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trlProps/ctrlProp11.xml" ContentType="application/vnd.ms-excel.controlproperties+xml"/>
  <Override PartName="/xl/comments1.xml" ContentType="application/vnd.openxmlformats-officedocument.spreadsheetml.comments+xml"/>
  <Override PartName="/xl/drawings/drawing1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15.xml" ContentType="application/vnd.openxmlformats-officedocument.drawing+xml"/>
  <Override PartName="/xl/drawings/drawing16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17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18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19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20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21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omments2.xml" ContentType="application/vnd.openxmlformats-officedocument.spreadsheetml.comments+xml"/>
  <Override PartName="/xl/drawings/drawing22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ctrlProps/ctrlProp28.xml" ContentType="application/vnd.ms-excel.controlproperties+xml"/>
  <Override PartName="/xl/drawings/drawing28.xml" ContentType="application/vnd.openxmlformats-officedocument.drawing+xml"/>
  <Override PartName="/xl/ctrlProps/ctrlProp29.xml" ContentType="application/vnd.ms-excel.controlproperties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ctrlProps/ctrlProp30.xml" ContentType="application/vnd.ms-excel.controlproperties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comments3.xml" ContentType="application/vnd.openxmlformats-officedocument.spreadsheetml.comments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ctrlProps/ctrlProp31.xml" ContentType="application/vnd.ms-excel.controlproperties+xml"/>
  <Override PartName="/xl/comments4.xml" ContentType="application/vnd.openxmlformats-officedocument.spreadsheetml.comments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40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drawings/drawing4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comments5.xml" ContentType="application/vnd.openxmlformats-officedocument.spreadsheetml.comments+xml"/>
  <Override PartName="/xl/drawings/drawing4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trlProps/ctrlProp44.xml" ContentType="application/vnd.ms-excel.controlproperties+xml"/>
  <Override PartName="/xl/comments6.xml" ContentType="application/vnd.openxmlformats-officedocument.spreadsheetml.comments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ctrlProps/ctrlProp45.xml" ContentType="application/vnd.ms-excel.controlproperties+xml"/>
  <Override PartName="/xl/comments7.xml" ContentType="application/vnd.openxmlformats-officedocument.spreadsheetml.comments+xml"/>
  <Override PartName="/xl/drawings/drawing48.xml" ContentType="application/vnd.openxmlformats-officedocument.drawing+xml"/>
  <Override PartName="/xl/ctrlProps/ctrlProp46.xml" ContentType="application/vnd.ms-excel.controlproperties+xml"/>
  <Override PartName="/xl/comments8.xml" ContentType="application/vnd.openxmlformats-officedocument.spreadsheetml.comments+xml"/>
  <Override PartName="/xl/drawings/drawing49.xml" ContentType="application/vnd.openxmlformats-officedocument.drawing+xml"/>
  <Override PartName="/xl/ctrlProps/ctrlProp47.xml" ContentType="application/vnd.ms-excel.controlproperties+xml"/>
  <Override PartName="/xl/drawings/drawing50.xml" ContentType="application/vnd.openxmlformats-officedocument.drawing+xml"/>
  <Override PartName="/xl/ctrlProps/ctrlProp4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bbb5569ce6c140d1" Type="http://schemas.microsoft.com/office/2007/relationships/ui/extensibility" Target="customUI/customUI14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hidePivotFieldList="1" autoCompressPictures="0"/>
  <mc:AlternateContent xmlns:mc="http://schemas.openxmlformats.org/markup-compatibility/2006">
    <mc:Choice Requires="x15">
      <x15ac:absPath xmlns:x15ac="http://schemas.microsoft.com/office/spreadsheetml/2010/11/ac" url="d:\1_Documents\1_Companies\C009-KOK SNUOL\ks_system\"/>
    </mc:Choice>
  </mc:AlternateContent>
  <xr:revisionPtr revIDLastSave="0" documentId="13_ncr:1_{D004A7C3-ABD9-4C18-848E-FE096B8CC3BC}" xr6:coauthVersionLast="47" xr6:coauthVersionMax="47" xr10:uidLastSave="{00000000-0000-0000-0000-000000000000}"/>
  <bookViews>
    <workbookView xWindow="-120" yWindow="-120" windowWidth="29040" windowHeight="15720" tabRatio="915" firstSheet="9" activeTab="20" xr2:uid="{00000000-000D-0000-FFFF-FFFF00000000}"/>
  </bookViews>
  <sheets>
    <sheet name="List of Invoice" sheetId="3" state="hidden" r:id="rId1"/>
    <sheet name="Home" sheetId="584" r:id="rId2"/>
    <sheet name="FilesSetting" sheetId="836" r:id="rId3"/>
    <sheet name="ChartAccountType" sheetId="810" r:id="rId4"/>
    <sheet name="ChartAccountGroup" sheetId="811" r:id="rId5"/>
    <sheet name="ChartAccount" sheetId="812" r:id="rId6"/>
    <sheet name="COA" sheetId="851" r:id="rId7"/>
    <sheet name="ChartAccountDefault" sheetId="813" r:id="rId8"/>
    <sheet name="ModuleGroup" sheetId="814" r:id="rId9"/>
    <sheet name="ModuleType" sheetId="806" r:id="rId10"/>
    <sheet name="Lang" sheetId="771" r:id="rId11"/>
    <sheet name="ReportInventoryActivitySummary" sheetId="229" r:id="rId12"/>
    <sheet name="InventoryAdj" sheetId="824" r:id="rId13"/>
    <sheet name="PrintInvAdjustment" sheetId="848" r:id="rId14"/>
    <sheet name="PrintInvoiceA5" sheetId="845" r:id="rId15"/>
    <sheet name="PrintQuotation" sheetId="850" r:id="rId16"/>
    <sheet name="PrintInvoice" sheetId="823" r:id="rId17"/>
    <sheet name="AddQuotation" sheetId="849" r:id="rId18"/>
    <sheet name="PrintPurchaseBill" sheetId="843" r:id="rId19"/>
    <sheet name="AddPurchaseBill" sheetId="825" r:id="rId20"/>
    <sheet name="AddInvoice" sheetId="805" r:id="rId21"/>
    <sheet name="AddReceivePayment" sheetId="404" r:id="rId22"/>
    <sheet name="OtherExpense" sheetId="406" r:id="rId23"/>
    <sheet name="OtherIncome" sheetId="802" r:id="rId24"/>
    <sheet name="ShipTo" sheetId="794" r:id="rId25"/>
    <sheet name="Cgroup" sheetId="800" r:id="rId26"/>
    <sheet name="CustomerList" sheetId="28" r:id="rId27"/>
    <sheet name="VendorList" sheetId="408" r:id="rId28"/>
    <sheet name="VendorContact" sheetId="828" r:id="rId29"/>
    <sheet name="Seller" sheetId="292" r:id="rId30"/>
    <sheet name="ReportFinancialDetail" sheetId="116" r:id="rId31"/>
    <sheet name="CountStock" sheetId="155" r:id="rId32"/>
    <sheet name="Setting" sheetId="4" r:id="rId33"/>
    <sheet name="LocationGroup" sheetId="784" r:id="rId34"/>
    <sheet name="Location" sheetId="785" r:id="rId35"/>
    <sheet name="Currency" sheetId="786" r:id="rId36"/>
    <sheet name="UoM" sheetId="782" r:id="rId37"/>
    <sheet name="UomConversion" sheetId="783" r:id="rId38"/>
    <sheet name="Branch" sheetId="781" r:id="rId39"/>
    <sheet name="BankInfo" sheetId="787" r:id="rId40"/>
    <sheet name="(1 )" sheetId="24" state="hidden" r:id="rId41"/>
    <sheet name="( 3)" sheetId="26" state="hidden" r:id="rId42"/>
    <sheet name="NBC_Exchange_Rate" sheetId="545" r:id="rId43"/>
    <sheet name="ProductCostHistory" sheetId="826" r:id="rId44"/>
    <sheet name="ProductPriceHistory" sheetId="827" r:id="rId45"/>
    <sheet name="ProductPrice" sheetId="834" r:id="rId46"/>
    <sheet name="Brand" sheetId="838" r:id="rId47"/>
    <sheet name="ProductGroup" sheetId="837" r:id="rId48"/>
    <sheet name="ProductList" sheetId="124" r:id="rId49"/>
    <sheet name="ImportProductPrice" sheetId="844" r:id="rId50"/>
    <sheet name="Movies" sheetId="852" r:id="rId51"/>
    <sheet name="Output" sheetId="853" r:id="rId52"/>
  </sheets>
  <functionGroups builtInGroupCount="19">
    <functionGroup name="Barcode"/>
  </functionGroups>
  <externalReferences>
    <externalReference r:id="rId53"/>
  </externalReferences>
  <definedNames>
    <definedName name="_xlnm._FilterDatabase" localSheetId="7" hidden="1">ChartAccountDefault!$C$7:$L$7</definedName>
    <definedName name="_xlnm._FilterDatabase" localSheetId="6" hidden="1">COA!$B$7:$H$207</definedName>
    <definedName name="_xlnm._FilterDatabase" localSheetId="26" hidden="1">CustomerList!$C$4:$Q$132</definedName>
    <definedName name="_xlnm._FilterDatabase" localSheetId="49" hidden="1">ImportProductPrice!$C$19:$BA$19</definedName>
    <definedName name="_xlnm._FilterDatabase" localSheetId="10" hidden="1">Lang!$C$6:$I$6</definedName>
    <definedName name="_xlnm._FilterDatabase" localSheetId="42" hidden="1">NBC_Exchange_Rate!$C$7:$C$13</definedName>
    <definedName name="_xlnm._FilterDatabase" localSheetId="47" hidden="1">ProductGroup!$C$7:$L$7</definedName>
    <definedName name="_xlnm._FilterDatabase" localSheetId="48" hidden="1">ProductList!$C$7:$AK$475</definedName>
    <definedName name="_xlnm._FilterDatabase" localSheetId="45" hidden="1">ProductPrice!$C$27:$W$654</definedName>
    <definedName name="_xlnm._FilterDatabase" localSheetId="30" hidden="1">ReportFinancialDetail!#REF!</definedName>
    <definedName name="_xlnm._FilterDatabase" localSheetId="37" hidden="1">UomConversion!$C$7:$J$70</definedName>
    <definedName name="_xleta.AND" hidden="1" xlm="1">#NAME?</definedName>
    <definedName name="_xleta.COUNTA" hidden="1" xlm="1">#NAME?</definedName>
    <definedName name="_xleta.COUNTIFS" hidden="1" xlm="1">#NAME?</definedName>
    <definedName name="_xleta.DATE" hidden="1" xlm="1">#NAME?</definedName>
    <definedName name="_xleta.IFS" hidden="1" xlm="1">#NAME?</definedName>
    <definedName name="_xleta.NOT" hidden="1" xlm="1">#NAME?</definedName>
    <definedName name="_xleta.OR" hidden="1" xlm="1">#NAME?</definedName>
    <definedName name="_xleta.PRICE" hidden="1" xlm="1">#NAME?</definedName>
    <definedName name="_xleta.ROUND" hidden="1" xlm="1">#NAME?</definedName>
    <definedName name="_xleta.ROUNDUP" hidden="1" xlm="1">#NAME?</definedName>
    <definedName name="_xleta.T" hidden="1" xlm="1">#NAME?</definedName>
    <definedName name="_xleta.TEXTAFTER" hidden="1" xlm="1">#NAME?</definedName>
    <definedName name="_xleta.TEXTSPLIT" hidden="1" xlm="1">#NAME?</definedName>
    <definedName name="_xleta.VLOOKUP" hidden="1" xlm="1">#NAME?</definedName>
    <definedName name="adj_branch">InventoryAdj!$C$13</definedName>
    <definedName name="adj_branch_id">InventoryAdj!$F$13</definedName>
    <definedName name="adj_chart_account_id">InventoryAdj!$F$19</definedName>
    <definedName name="adj_check_ref_invoice">InventoryAdj!$E$12</definedName>
    <definedName name="adj_check_ref_invoice_stock">InventoryAdj!#REF!</definedName>
    <definedName name="adj_code">InventoryAdj!$E$9</definedName>
    <definedName name="adj_column_current_qty">InventoryAdj!$O$8:$O$87</definedName>
    <definedName name="adj_column_expired_date">InventoryAdj!$T$8:$T$87</definedName>
    <definedName name="adj_column_input_stock">InventoryAdj!#REF!</definedName>
    <definedName name="adj_column_location">InventoryAdj!$N$8:$N$87</definedName>
    <definedName name="adj_column_lots_number">InventoryAdj!$S$8:$S$87</definedName>
    <definedName name="adj_column_remark">InventoryAdj!$U$8:$U$87</definedName>
    <definedName name="adj_column_uom">InventoryAdj!$M$8:$M$87</definedName>
    <definedName name="adj_created_by">InventoryAdj!$F$15</definedName>
    <definedName name="adj_date">InventoryAdj!$C$9</definedName>
    <definedName name="adj_item">InventoryAdj!$L$8:$L$87</definedName>
    <definedName name="adj_location_group_id">InventoryAdj!$D$11</definedName>
    <definedName name="adj_no">InventoryAdj!$F$9</definedName>
    <definedName name="adj_note">InventoryAdj!$C$22</definedName>
    <definedName name="adj_ref_invoice">InventoryAdj!$E$11</definedName>
    <definedName name="adj_status">InventoryAdj!$D$6</definedName>
    <definedName name="adj_stock_creator">InventoryAdj!$C$15</definedName>
    <definedName name="adj_total_qty">InventoryAdj!$P$88</definedName>
    <definedName name="adj_type">InventoryAdj!$F$17</definedName>
    <definedName name="adj_week">InventoryAdj!$D$9</definedName>
    <definedName name="branch_list">Branch!$C$7:$AH$11</definedName>
    <definedName name="branch_option">Branch!$AG$7:$AG$7</definedName>
    <definedName name="c_exp_amount_en_paid">OtherExpense!$Q$13</definedName>
    <definedName name="c_exp_amount_kh_paid">OtherExpense!$Q$11</definedName>
    <definedName name="c_exp_branch_id">OtherExpense!$R$4</definedName>
    <definedName name="c_exp_current_date">OtherExpense!$V$6</definedName>
    <definedName name="c_exp_description">OtherExpense!$O$22</definedName>
    <definedName name="c_exp_exchange_rate">OtherExpense!$W$12</definedName>
    <definedName name="c_exp_module_types_option">OtherExpense!$Q$18</definedName>
    <definedName name="c_exp_qrcode">OtherExpense!$J$4</definedName>
    <definedName name="c_exp_ref_invoice_no">OtherExpense!$Q$6</definedName>
    <definedName name="c_exp_vendor_id">OtherExpense!$R$8</definedName>
    <definedName name="c_expense_type_id">OtherExpense!$W$4</definedName>
    <definedName name="c_inv_amount_paid" localSheetId="31">CountStock!$K$19</definedName>
    <definedName name="c_inv_discount" localSheetId="31">CountStock!$K$18</definedName>
    <definedName name="c_inv_discount_type" localSheetId="31">CountStock!$R$17</definedName>
    <definedName name="c_invoice_price_type" localSheetId="31">CountStock!$Q$3</definedName>
    <definedName name="c_monthly_exchange_rate_balance_summary_detail" localSheetId="30">ReportFinancialDetail!$L$3</definedName>
    <definedName name="c_other_expense_no">OtherExpense!$Q$3</definedName>
    <definedName name="c_other_expense_status">OtherExpense!$W$3</definedName>
    <definedName name="c_rp_amount_en_paid" localSheetId="22">OtherExpense!$Q$13</definedName>
    <definedName name="c_rp_amount_kh_paid" localSheetId="22">OtherExpense!$Q$11</definedName>
    <definedName name="c_rp_current_date" localSheetId="22">OtherExpense!$V$6</definedName>
    <definedName name="c_rp_description" localSheetId="22">OtherExpense!$O$22</definedName>
    <definedName name="c_rp_exchange_rate" localSheetId="22">OtherExpense!$W$12</definedName>
    <definedName name="c_rp_invoice_no" localSheetId="22">OtherExpense!$Q$6</definedName>
    <definedName name="c_rp_module_types_option" localSheetId="22">OtherExpense!$Q$18</definedName>
    <definedName name="c_rp_receipt_no" localSheetId="22">OtherExpense!$Q$3</definedName>
    <definedName name="c_rp_status" localSheetId="22">OtherExpense!$W$3</definedName>
    <definedName name="cgroup_list">Cgroup!$C$8:$E$80</definedName>
    <definedName name="cgroup_option">Cgroup!$F$8:$F$80</definedName>
    <definedName name="chart_account_default_list">ChartAccountDefault!$C$8:$L$52</definedName>
    <definedName name="chart_account_default_list2">ChartAccountDefault!$E$8:$L$102</definedName>
    <definedName name="chart_account_default_option">ChartAccountDefault!$M$8:$M$52</definedName>
    <definedName name="chart_account_group_list">ChartAccountGroup!$C$8:$H$100</definedName>
    <definedName name="chart_account_group_option">ChartAccountGroup!$I$8:$I$100</definedName>
    <definedName name="chart_account_list">ChartAccount!$C$8:$K$100</definedName>
    <definedName name="chart_account_option">ChartAccount!$L$8:$L$100</definedName>
    <definedName name="chart_account_type_list">ChartAccountType!$C$8:$F$30</definedName>
    <definedName name="chart_account_type_option">ChartAccountType!$G$8:$G$30</definedName>
    <definedName name="Clint_ID" localSheetId="16">PrintInvoice!$J$16</definedName>
    <definedName name="Clint_ID" localSheetId="15">PrintQuotation!$J$16</definedName>
    <definedName name="col_header">Cgroup!$C$7:$D$7</definedName>
    <definedName name="column_qty_stock" localSheetId="21">AddReceivePayment!$G$17:$G$21</definedName>
    <definedName name="column_qty_stock" localSheetId="22">OtherExpense!$F$17:$F$21</definedName>
    <definedName name="company_list">Setting!$C$9:$H$9</definedName>
    <definedName name="currency_list">Currency!$C$7:$F$30</definedName>
    <definedName name="currency_option">Currency!$F$7:$F$19</definedName>
    <definedName name="customer_code_option" localSheetId="28">VendorContact!$D$8:$D$18</definedName>
    <definedName name="customer_code_option" localSheetId="27">VendorList!#REF!</definedName>
    <definedName name="customer_code_option">CustomerList!$D$5:$D$120</definedName>
    <definedName name="customer_code_th" localSheetId="28">VendorContact!$D$7</definedName>
    <definedName name="customer_code_th" localSheetId="27">VendorList!$E$7</definedName>
    <definedName name="customer_code_th">CustomerList!$D$3</definedName>
    <definedName name="Customer_Detail" localSheetId="41">'( 3)'!$D$18:$H$21,'( 3)'!$D$22,'( 3)'!$F$22,'( 3)'!$D$23,'( 3)'!$F$23</definedName>
    <definedName name="customer_list">CustomerList!$C$5:$Q$300</definedName>
    <definedName name="customer_name_kh_th" localSheetId="28">VendorContact!$E$7</definedName>
    <definedName name="customer_name_kh_th" localSheetId="27">VendorList!$F$7</definedName>
    <definedName name="customer_name_kh_th">CustomerList!$G$3</definedName>
    <definedName name="customer_name_option" localSheetId="28">VendorContact!$L$8:$L$18</definedName>
    <definedName name="customer_name_option" localSheetId="27">VendorList!#REF!</definedName>
    <definedName name="customer_name_option">CustomerList!$Q$5:$Q$200</definedName>
    <definedName name="Customer_TIN_Area" localSheetId="41">'( 3)'!$P$20</definedName>
    <definedName name="data_input_path">FilesSetting!$L$10</definedName>
    <definedName name="database_backup_path">FilesSetting!$L$9</definedName>
    <definedName name="database_path">FilesSetting!$L$8</definedName>
    <definedName name="Date" localSheetId="41">'( 3)'!$N$14</definedName>
    <definedName name="Description_Area" localSheetId="41">'( 3)'!$C$28:$G$38</definedName>
    <definedName name="discount_option">Setting!$D$24:$D$43</definedName>
    <definedName name="discount_type_option">Setting!$E$24:$E$29</definedName>
    <definedName name="eow_1">ReportFinancialDetail!$F$9:$F$33</definedName>
    <definedName name="Exchange_Rate" localSheetId="41">'( 3)'!$N$15</definedName>
    <definedName name="Exchange_Rate" localSheetId="18">PrintPurchaseBill!#REF!</definedName>
    <definedName name="exchange_rate_date_wbsd">ReportFinancialDetail!$I$44</definedName>
    <definedName name="exchange_rate_list">NBC_Exchange_Rate!$C$8:$F$13</definedName>
    <definedName name="exchange_rate_wbsd">ReportFinancialDetail!$H$44</definedName>
    <definedName name="ExchangeRateToday">NBC_Exchange_Rate!$J$9</definedName>
    <definedName name="exp_alert_to_check_amount">OtherExpense!$O$10</definedName>
    <definedName name="exp_code">OtherExpense!$J$8</definedName>
    <definedName name="exp_member_id" localSheetId="22">OtherExpense!$R$9</definedName>
    <definedName name="exp_member_option">OtherExpense!$Q$9</definedName>
    <definedName name="exp_vendor_option">OtherExpense!$Q$8</definedName>
    <definedName name="exp_week">OtherExpense!$V$8</definedName>
    <definedName name="exp_year">OtherExpense!$Z$1</definedName>
    <definedName name="ExternalData_2" localSheetId="42" hidden="1">NBC_Exchange_Rate!$D$7:$F$13</definedName>
    <definedName name="ExternalData_3" localSheetId="42" hidden="1">NBC_Exchange_Rate!#REF!</definedName>
    <definedName name="file_path_list">Setting!$AV$8:$AY$17</definedName>
    <definedName name="file_path_option">Setting!$AZ$8:$AZ$17</definedName>
    <definedName name="group_member_option_select" localSheetId="21">AddReceivePayment!$X$36</definedName>
    <definedName name="import_pro_branch_id">ImportProductPrice!$F$3</definedName>
    <definedName name="import_pro_number_of_price_type">ImportProductPrice!$H$3</definedName>
    <definedName name="import_pro_price_type_arr">ImportProductPrice!$I$3</definedName>
    <definedName name="income_option" localSheetId="30">ReportFinancialDetail!$B$9:$B$1048576</definedName>
    <definedName name="inv_adj_stock_type_option">Setting!$P$24:$P$30</definedName>
    <definedName name="inventory_activity_list">ReportInventoryActivitySummary!$B$7:$I$262</definedName>
    <definedName name="inventory_activity_summary_list">ReportInventoryActivitySummary!$B$7:$I$266</definedName>
    <definedName name="invoice_branch" localSheetId="20">AddInvoice!$C$13</definedName>
    <definedName name="invoice_branch_id">AddInvoice!$D$13</definedName>
    <definedName name="invoice_chart_acc_income">AddInvoice!$D$19</definedName>
    <definedName name="invoice_chart_account_id">AddInvoice!$D$20</definedName>
    <definedName name="invoice_code">AddInvoice!$E$9</definedName>
    <definedName name="invoice_column_expired_date">AddInvoice!$R$8:$R$87</definedName>
    <definedName name="invoice_column_lote_number">AddInvoice!$Q$8:$Q$87</definedName>
    <definedName name="invoice_column_new_unit_price">AddInvoice!$T$8:$T$87</definedName>
    <definedName name="invoice_column_product" localSheetId="20">AddInvoice!$M$8:$M$87</definedName>
    <definedName name="invoice_column_remark">AddInvoice!$Z$8:$Z$87</definedName>
    <definedName name="invoice_column_uom" localSheetId="20">AddInvoice!$P$8:$P$87</definedName>
    <definedName name="invoice_column_uom">AddInvoice!$P$8:$P$87</definedName>
    <definedName name="invoice_copy_print_letter_head" localSheetId="20">AddInvoice!$AV$112:$AV$217</definedName>
    <definedName name="invoice_currency_id">AddInvoice!$C$18</definedName>
    <definedName name="invoice_currency_symbol">AddInvoice!$D$17</definedName>
    <definedName name="invoice_customer" localSheetId="20">AddInvoice!$C$11</definedName>
    <definedName name="invoice_customer_id">AddInvoice!$E$11</definedName>
    <definedName name="invoice_date">AddInvoice!$C$9</definedName>
    <definedName name="invoice_deposit">AddInvoice!$Y$91</definedName>
    <definedName name="invoice_discount">AddInvoice!$Y$89</definedName>
    <definedName name="invoice_discount_amount">AddInvoice!$O$89</definedName>
    <definedName name="invoice_discount_by_item" localSheetId="20">AddInvoice!$W$8:$W$87</definedName>
    <definedName name="invoice_discount_id">AddInvoice!$N$89</definedName>
    <definedName name="invoice_discount_option">AddInvoice!$M$89</definedName>
    <definedName name="invoice_discount_percent">AddInvoice!$P$89</definedName>
    <definedName name="invoice_exchange_rate">AddInvoice!$P$4</definedName>
    <definedName name="invoice_location">AddInvoice!$E$15</definedName>
    <definedName name="invoice_location_group_id">AddInvoice!$F$13</definedName>
    <definedName name="invoice_location_id">AddInvoice!$F$15</definedName>
    <definedName name="invoice_no">AddInvoice!$F$9</definedName>
    <definedName name="invoice_note">AddInvoice!$C$22</definedName>
    <definedName name="invoice_payment_term_id">AddInvoice!$F$20</definedName>
    <definedName name="invoice_price_type">AddInvoice!$L$4</definedName>
    <definedName name="invoice_price_type_id">AddInvoice!$N$4</definedName>
    <definedName name="invoice_qty" localSheetId="20">AddInvoice!$N$8:$N$87</definedName>
    <definedName name="invoice_qty_free" localSheetId="20">AddInvoice!$O$8:$O$87</definedName>
    <definedName name="invoice_seller">AddInvoice!$C$15</definedName>
    <definedName name="invoice_seller_id">AddInvoice!$D$15</definedName>
    <definedName name="invoice_status">AddInvoice!$D$6</definedName>
    <definedName name="invoice_sub_total_amount">AddInvoice!$Y$88</definedName>
    <definedName name="invoice_tax_code">AddInvoice!$E$8</definedName>
    <definedName name="invoice_tax_no">AddInvoice!$D$8</definedName>
    <definedName name="invoice_total_amount">AddInvoice!$Y$92</definedName>
    <definedName name="invoice_total_dis_item_free">AddInvoice!$AC$88</definedName>
    <definedName name="invoice_total_price_bf_discount" localSheetId="20">AddInvoice!$AG$88</definedName>
    <definedName name="invoice_total_vat">AddInvoice!$Y$90</definedName>
    <definedName name="invoice_type_id">AddInvoice!$F$17</definedName>
    <definedName name="invoice_type_list">Setting!$W$24:$Y$29</definedName>
    <definedName name="invoice_type_option">Setting!$Z$24:$Z$29</definedName>
    <definedName name="invoice_vat">AddInvoice!$U$90</definedName>
    <definedName name="invoice_vat_cal_id" localSheetId="20">AddInvoice!$S$90</definedName>
    <definedName name="invoice_vat_chart_acc_id">AddInvoice!$U$91</definedName>
    <definedName name="invoice_vat_percent">AddInvoice!$V$90</definedName>
    <definedName name="invoice_week">AddInvoice!$D$9</definedName>
    <definedName name="iow_1">ReportFinancialDetail!$B$9:$B$33</definedName>
    <definedName name="item_code_invoice" localSheetId="31">CountStock!$N$15:$N$27</definedName>
    <definedName name="last_adj_id">InventoryAdj!$F$8</definedName>
    <definedName name="last_invoice_id">AddInvoice!$F$8</definedName>
    <definedName name="last_pb_id" localSheetId="19">AddPurchaseBill!$F$8</definedName>
    <definedName name="last_quot_id" localSheetId="17">AddQuotation!$F$8</definedName>
    <definedName name="local_system_path">FilesSetting!$U$8</definedName>
    <definedName name="location_group_list">LocationGroup!$C$8:$K$108</definedName>
    <definedName name="location_group_option">LocationGroup!$L$8:$L$108</definedName>
    <definedName name="location_option">Location!$O$8:$O$100</definedName>
    <definedName name="module_type_option">ModuleType!$H$7:$H$60</definedName>
    <definedName name="month_kh_option">Setting!$L$8:$L$19</definedName>
    <definedName name="nbc_exchange_date">NBC_Exchange_Rate!$J$11</definedName>
    <definedName name="oic_amount_due" localSheetId="23">OtherIncome!$J$16</definedName>
    <definedName name="oic_amount_en_paid" localSheetId="23">OtherIncome!$P$13</definedName>
    <definedName name="oic_amount_kh_paid" localSheetId="23">OtherIncome!$P$11</definedName>
    <definedName name="oic_amount_paid_befor" localSheetId="23">OtherIncome!$P$23</definedName>
    <definedName name="oic_amount_paid_over" localSheetId="23">OtherIncome!$U$22</definedName>
    <definedName name="oic_column_qty_stock" localSheetId="23">OtherIncome!$G$17:$G$21</definedName>
    <definedName name="oic_current_date" localSheetId="23">OtherIncome!$U$7</definedName>
    <definedName name="oic_customer_code" localSheetId="23">OtherIncome!$P$9</definedName>
    <definedName name="oic_customer_id" localSheetId="23">OtherIncome!$Q$9</definedName>
    <definedName name="oic_customer_name" localSheetId="23">OtherIncome!$P$10</definedName>
    <definedName name="oic_description" localSheetId="23">OtherIncome!$S$18</definedName>
    <definedName name="oic_exchange_rate" localSheetId="23">OtherIncome!$V$12</definedName>
    <definedName name="oic_expense_type" localSheetId="23">OtherIncome!$P$17</definedName>
    <definedName name="oic_group_member_option_select" localSheetId="23">OtherIncome!$W$36</definedName>
    <definedName name="oic_income_id" localSheetId="23">OtherIncome!$V$5</definedName>
    <definedName name="oic_invoice_no" localSheetId="23">OtherIncome!$P$16</definedName>
    <definedName name="oic_invoice_note" localSheetId="23">OtherIncome!$W$28</definedName>
    <definedName name="oic_invoice_sheet_no" localSheetId="23">OtherIncome!$Q$7</definedName>
    <definedName name="oic_last_discount" localSheetId="23">OtherIncome!$P$15</definedName>
    <definedName name="oic_module_types_option" localSheetId="23">OtherIncome!$U$15</definedName>
    <definedName name="oic_option_income_from" localSheetId="23">OtherIncome!$U$5</definedName>
    <definedName name="oic_option_income_type" localSheetId="23">OtherIncome!$P$5</definedName>
    <definedName name="oic_print_area" localSheetId="23">OtherIncome!$B$3:$K$20</definedName>
    <definedName name="oic_qty_invoice" localSheetId="23">OtherIncome!$G$17:$G$20</definedName>
    <definedName name="oic_receipt_code" localSheetId="23">OtherIncome!$J$8</definedName>
    <definedName name="oic_receipt_no" localSheetId="23">OtherIncome!$P$4</definedName>
    <definedName name="oic_recipient_id" localSheetId="23">OtherIncome!$Q$18</definedName>
    <definedName name="oic_recipient_option" localSheetId="23">OtherIncome!$P$18</definedName>
    <definedName name="oic_status" localSheetId="23">OtherIncome!$V$4</definedName>
    <definedName name="oic_status_note" localSheetId="23">OtherIncome!$U$4</definedName>
    <definedName name="oic_total_amount_paid" localSheetId="23">OtherIncome!$J$10</definedName>
    <definedName name="oic_total_balance" localSheetId="23">OtherIncome!$J$19</definedName>
    <definedName name="oic_total_balance_unpaid" localSheetId="23">OtherIncome!$P$25</definedName>
    <definedName name="oic_week" localSheetId="23">OtherIncome!$U$9</definedName>
    <definedName name="one_drive_path">FilesSetting!$P$7</definedName>
    <definedName name="online_system_path">FilesSetting!$U$7</definedName>
    <definedName name="option_vendor" localSheetId="28">VendorContact!$L$8:$L$17</definedName>
    <definedName name="option_vendor">VendorList!#REF!</definedName>
    <definedName name="other_exp_branch_option">OtherExpense!$Q$4</definedName>
    <definedName name="other_expense_type_option">OtherExpense!$V$4</definedName>
    <definedName name="payment_term_list">Setting!$R$24:$T$43</definedName>
    <definedName name="payment_term_option">Setting!$U$24:$U$43</definedName>
    <definedName name="pb_branch" localSheetId="19">AddPurchaseBill!$C$13</definedName>
    <definedName name="pb_branch_id" localSheetId="19">AddPurchaseBill!$D$13</definedName>
    <definedName name="pb_chart_account_id" localSheetId="19">AddPurchaseBill!$D$20</definedName>
    <definedName name="pb_code" localSheetId="19">AddPurchaseBill!$E$9</definedName>
    <definedName name="pb_column_expired_date">AddPurchaseBill!$R$8:$R$87</definedName>
    <definedName name="pb_column_new_unit_cost">AddPurchaseBill!$T$8:$T$87</definedName>
    <definedName name="pb_column_product" localSheetId="19">AddPurchaseBill!$M$8:$M$87</definedName>
    <definedName name="pb_column_remark">AddPurchaseBill!$Z$8:$Z$87</definedName>
    <definedName name="pb_column_uom" localSheetId="19">AddPurchaseBill!$P$8:$P$87</definedName>
    <definedName name="pb_copy_print_letter_head" localSheetId="19">AddPurchaseBill!$AT$112:$BJ$217</definedName>
    <definedName name="pb_copy_print_no_letter_head" localSheetId="19">AddPurchaseBill!$BL$112:$CB$217</definedName>
    <definedName name="pb_currency_id" localSheetId="19">AddPurchaseBill!$C$18</definedName>
    <definedName name="pb_currency_symbol" localSheetId="19">AddPurchaseBill!$D$17</definedName>
    <definedName name="pb_date" localSheetId="19">AddPurchaseBill!$C$9</definedName>
    <definedName name="pb_deposit" localSheetId="19">AddPurchaseBill!$Y$91</definedName>
    <definedName name="pb_discount" localSheetId="19">AddPurchaseBill!$Y$89</definedName>
    <definedName name="pb_discount_amount" localSheetId="19">AddPurchaseBill!$O$89</definedName>
    <definedName name="pb_discount_by_item" localSheetId="19">AddPurchaseBill!$W$8:$W$87</definedName>
    <definedName name="pb_discount_id" localSheetId="19">AddPurchaseBill!$N$89</definedName>
    <definedName name="pb_discount_option" localSheetId="19">AddPurchaseBill!$M$89</definedName>
    <definedName name="pb_discount_percent" localSheetId="19">AddPurchaseBill!$P$89</definedName>
    <definedName name="pb_exchange_rate" localSheetId="19">AddPurchaseBill!$S$4</definedName>
    <definedName name="pb_location" localSheetId="19">AddPurchaseBill!$E$13</definedName>
    <definedName name="pb_location_group_id">AddPurchaseBill!$F$11</definedName>
    <definedName name="pb_location_id" localSheetId="19">AddPurchaseBill!$F$13</definedName>
    <definedName name="pb_lots_number">AddPurchaseBill!$Q$8:$Q$87</definedName>
    <definedName name="pb_net_days">AddPurchaseBill!$F$21</definedName>
    <definedName name="pb_no" localSheetId="19">AddPurchaseBill!$F$9</definedName>
    <definedName name="pb_no_letter_head_qrcode" localSheetId="19">AddPurchaseBill!$CA$117</definedName>
    <definedName name="pb_note" localSheetId="19">AddPurchaseBill!$C$22</definedName>
    <definedName name="pb_payment_term_id" localSheetId="19">AddPurchaseBill!$F$20</definedName>
    <definedName name="pb_print_letter_head" localSheetId="19">AddPurchaseBill!$AU$112:$BI$215</definedName>
    <definedName name="pb_print_no_letter_head" localSheetId="19">AddPurchaseBill!$BM$112:$CA$215</definedName>
    <definedName name="pb_purchase_request_no">AddPurchaseBill!$C$15</definedName>
    <definedName name="pb_qty" localSheetId="19">AddPurchaseBill!$N$8:$N$87</definedName>
    <definedName name="pb_qty_free" localSheetId="19">AddPurchaseBill!$O$8:$O$87</definedName>
    <definedName name="pb_ref_invoice">AddPurchaseBill!$E$15</definedName>
    <definedName name="pb_ref_invoice_date">AddPurchaseBill!$E$17</definedName>
    <definedName name="pb_status" localSheetId="19">AddPurchaseBill!$D$6</definedName>
    <definedName name="pb_sub_total_amount" localSheetId="19">AddPurchaseBill!$Y$88</definedName>
    <definedName name="pb_total_amount" localSheetId="19">AddPurchaseBill!$Y$92</definedName>
    <definedName name="pb_total_dis_item_free" localSheetId="19">AddPurchaseBill!$AC$88</definedName>
    <definedName name="pb_total_price_bf_discount" localSheetId="19">AddPurchaseBill!$AE$88</definedName>
    <definedName name="pb_total_vat" localSheetId="19">AddPurchaseBill!$Y$90</definedName>
    <definedName name="pb_vat" localSheetId="19">AddPurchaseBill!$U$90</definedName>
    <definedName name="pb_vat_cal_id" localSheetId="19">AddPurchaseBill!$S$90</definedName>
    <definedName name="pb_vat_chart_acc_id" localSheetId="19">AddPurchaseBill!$U$91</definedName>
    <definedName name="pb_vat_percent" localSheetId="19">AddPurchaseBill!$V$90</definedName>
    <definedName name="pb_vendor" localSheetId="19">AddPurchaseBill!$C$11</definedName>
    <definedName name="pb_vendor_id" localSheetId="19">AddPurchaseBill!$D$11</definedName>
    <definedName name="pb_week" localSheetId="19">AddPurchaseBill!$D$9</definedName>
    <definedName name="position_list">Setting!$C$55:$E$84</definedName>
    <definedName name="position_option">Setting!$F$55:$F$83</definedName>
    <definedName name="price_type_list">Setting!$T$8:$V$18</definedName>
    <definedName name="price_type_option">Setting!$U$8:$U$18</definedName>
    <definedName name="print_adj_branch_address_kh" localSheetId="13">PrintInvAdjustment!$P$5</definedName>
    <definedName name="print_adj_branch_email" localSheetId="13">PrintInvAdjustment!$P$7</definedName>
    <definedName name="print_adj_branch_telephone" localSheetId="13">PrintInvAdjustment!$P$6</definedName>
    <definedName name="print_adj_code" localSheetId="13">PrintInvAdjustment!$L$12</definedName>
    <definedName name="print_adj_company_name_en" localSheetId="13">PrintInvAdjustment!$C$5</definedName>
    <definedName name="print_adj_company_name_kh" localSheetId="13">PrintInvAdjustment!$C$4</definedName>
    <definedName name="print_adj_company_tin" localSheetId="13">PrintInvAdjustment!$P$4</definedName>
    <definedName name="print_adj_date" localSheetId="13">PrintInvAdjustment!$L$13</definedName>
    <definedName name="print_adj_exchange_rate">PrintInvAdjustment!$G$144</definedName>
    <definedName name="print_adj_items" localSheetId="13">PrintInvAdjustment!$C$27:$L$143</definedName>
    <definedName name="print_adj_note" localSheetId="13">PrintInvAdjustment!$C$14</definedName>
    <definedName name="print_adj_reference">PrintInvAdjustment!$E$13</definedName>
    <definedName name="print_adj_total_cost_kh">PrintInvAdjustment!$L$145</definedName>
    <definedName name="print_adj_total_cost_usd">PrintInvAdjustment!$L$144</definedName>
    <definedName name="print_adj_warehouse">PrintInvAdjustment!$E$12</definedName>
    <definedName name="_xlnm.Print_Area" localSheetId="41">'( 3)'!$B$2:$I$48</definedName>
    <definedName name="_xlnm.Print_Area" localSheetId="40">'(1 )'!$B$2:$I$45</definedName>
    <definedName name="_xlnm.Print_Area" localSheetId="19">AddPurchaseBill!$AU$113:$BI$215</definedName>
    <definedName name="_xlnm.Print_Area" localSheetId="21">AddReceivePayment!$B$3:$K$37</definedName>
    <definedName name="_xlnm.Print_Area" localSheetId="38">Branch!$F$1:$Y$7</definedName>
    <definedName name="_xlnm.Print_Area" localSheetId="46">Brand!$C$4:$F$35</definedName>
    <definedName name="_xlnm.Print_Area" localSheetId="31">CountStock!$B$2:$H$35</definedName>
    <definedName name="_xlnm.Print_Area" localSheetId="26">CustomerList!$C$3:$O$129</definedName>
    <definedName name="_xlnm.Print_Area" localSheetId="1">Home!$C$1:$L$29</definedName>
    <definedName name="_xlnm.Print_Area" localSheetId="49">ImportProductPrice!$C$18:$AY$219</definedName>
    <definedName name="_xlnm.Print_Area" localSheetId="22">OtherExpense!$B$2:$J$31</definedName>
    <definedName name="_xlnm.Print_Area" localSheetId="13">PrintInvAdjustment!$C$2:$L$156</definedName>
    <definedName name="_xlnm.Print_Area" localSheetId="16">PrintInvoice!$C$3:$K$156</definedName>
    <definedName name="_xlnm.Print_Area" localSheetId="14">PrintInvoiceA5!$C$2:$M$227</definedName>
    <definedName name="_xlnm.Print_Area" localSheetId="18">PrintPurchaseBill!$C$2:$K$156</definedName>
    <definedName name="_xlnm.Print_Area" localSheetId="15">PrintQuotation!$C$5:$M$153</definedName>
    <definedName name="_xlnm.Print_Area" localSheetId="47">ProductGroup!$C$1:$G$35</definedName>
    <definedName name="_xlnm.Print_Area" localSheetId="48">ProductList!$C$4:$AE$440</definedName>
    <definedName name="_xlnm.Print_Area" localSheetId="45">ProductPrice!$C$24:$N$258</definedName>
    <definedName name="_xlnm.Print_Area" localSheetId="30">ReportFinancialDetail!$B$1:$I$45</definedName>
    <definedName name="_xlnm.Print_Area" localSheetId="11">ReportInventoryActivitySummary!$B$1:$I$325</definedName>
    <definedName name="_xlnm.Print_Area" localSheetId="29">Seller!$C$1:$K$22</definedName>
    <definedName name="_xlnm.Print_Area" localSheetId="36">UoM!$C$3:$H$61</definedName>
    <definedName name="print_inv_account_name">PrintInvoice!$D$151</definedName>
    <definedName name="print_inv_account_no">PrintInvoice!$D$152</definedName>
    <definedName name="print_inv_bank_name">PrintInvoice!$D$150</definedName>
    <definedName name="print_inv_branch_address_kh">PrintInvoice!$O$5</definedName>
    <definedName name="print_inv_branch_email">PrintInvoice!$O$7</definedName>
    <definedName name="print_inv_branch_telephone">PrintInvoice!$O$6</definedName>
    <definedName name="print_inv_brand_address_kh">PrintInvoice!$O$5</definedName>
    <definedName name="print_inv_code">PrintInvoice!$K$12</definedName>
    <definedName name="print_inv_company_name_en">PrintInvoice!$C$5</definedName>
    <definedName name="print_inv_company_name_kh">PrintInvoice!$C$4</definedName>
    <definedName name="print_inv_company_tin">PrintInvoice!$O$4</definedName>
    <definedName name="print_inv_customer_address_kh">PrintInvoice!$F$19</definedName>
    <definedName name="print_inv_customer_email">PrintInvoice!$F$21</definedName>
    <definedName name="print_inv_customer_name_en">PrintInvoice!$F$18</definedName>
    <definedName name="print_inv_customer_name_kh">PrintInvoice!$F$17</definedName>
    <definedName name="print_inv_customer_tel">PrintInvoice!$F$20</definedName>
    <definedName name="print_inv_customer_tin_number">PrintInvoice!$G$22</definedName>
    <definedName name="print_inv_date">PrintInvoice!$K$13</definedName>
    <definedName name="print_inv_due_date">PrintInvoice!$K$14</definedName>
    <definedName name="print_inv_exchange_rate">PrintInvoice!$F$144</definedName>
    <definedName name="print_inv_grand_total">PrintInvoice!$J$146</definedName>
    <definedName name="print_inv_grand_total_kh">PrintInvoice!$K$146</definedName>
    <definedName name="print_inv_items">PrintInvoice!$C$27:$K$143</definedName>
    <definedName name="print_inv_note">PrintInvoice!$C$13</definedName>
    <definedName name="print_inv_payment_net_days">PrintInvoice!$R$5</definedName>
    <definedName name="print_inv_payment_term_id">PrintInvoice!$R$4</definedName>
    <definedName name="print_inv_sub_total">PrintInvoice!$J$144</definedName>
    <definedName name="print_inv_sub_total_kh">PrintInvoice!$K$144</definedName>
    <definedName name="print_inv_toal_deposit">PrintInvoice!$O$144</definedName>
    <definedName name="print_inv_toal_discount">PrintInvoice!$J$145</definedName>
    <definedName name="print_inv_toal_discount_kh">PrintInvoice!$K$145</definedName>
    <definedName name="print_inv_toal_vat">PrintInvoice!$O$145</definedName>
    <definedName name="print_pb_account_name" localSheetId="18">PrintPurchaseBill!$D$151</definedName>
    <definedName name="print_pb_account_no" localSheetId="18">PrintPurchaseBill!$D$152</definedName>
    <definedName name="print_pb_bank_name" localSheetId="18">PrintPurchaseBill!$D$150</definedName>
    <definedName name="print_pb_branch_address_kh" localSheetId="18">PrintPurchaseBill!$O$5</definedName>
    <definedName name="print_pb_branch_address_kh">PrintPurchaseBill!$O$5</definedName>
    <definedName name="print_pb_branch_email" localSheetId="18">PrintPurchaseBill!$O$7</definedName>
    <definedName name="print_pb_branch_email">PrintPurchaseBill!$O$7</definedName>
    <definedName name="print_pb_branch_telephone" localSheetId="18">PrintPurchaseBill!$O$6</definedName>
    <definedName name="print_pb_branch_telephone">PrintPurchaseBill!$O$6</definedName>
    <definedName name="print_pb_brand_address_kh" localSheetId="18">PrintPurchaseBill!$O$5</definedName>
    <definedName name="print_pb_code" localSheetId="18">PrintPurchaseBill!$K$12</definedName>
    <definedName name="print_pb_company_name_en" localSheetId="18">PrintPurchaseBill!$C$5</definedName>
    <definedName name="print_pb_company_name_kh" localSheetId="18">PrintPurchaseBill!$C$4</definedName>
    <definedName name="print_pb_company_tin" localSheetId="18">PrintPurchaseBill!$O$4</definedName>
    <definedName name="print_pb_company_tin">PrintPurchaseBill!$O$4</definedName>
    <definedName name="print_pb_customer_tin_number" localSheetId="18">PrintPurchaseBill!$O$8</definedName>
    <definedName name="print_pb_date" localSheetId="18">PrintPurchaseBill!$K$13</definedName>
    <definedName name="print_pb_due_date" localSheetId="18">PrintPurchaseBill!$K$14</definedName>
    <definedName name="print_pb_exchange_rate" localSheetId="18">PrintPurchaseBill!$F$144</definedName>
    <definedName name="print_pb_grand_total" localSheetId="18">PrintPurchaseBill!$J$146</definedName>
    <definedName name="print_pb_grand_total_kh" localSheetId="18">PrintPurchaseBill!$K$146</definedName>
    <definedName name="print_pb_items" localSheetId="18">PrintPurchaseBill!$C$27:$K$143</definedName>
    <definedName name="print_pb_note" localSheetId="18">PrintPurchaseBill!$C$13</definedName>
    <definedName name="print_pb_payment_net_days" localSheetId="18">PrintPurchaseBill!$R$5</definedName>
    <definedName name="print_pb_payment_net_days">PrintPurchaseBill!$R$5</definedName>
    <definedName name="print_pb_payment_term_id" localSheetId="18">PrintPurchaseBill!$R$4</definedName>
    <definedName name="print_pb_payment_term_id">PrintPurchaseBill!$R$4</definedName>
    <definedName name="print_pb_sub_total" localSheetId="18">PrintPurchaseBill!$J$144</definedName>
    <definedName name="print_pb_sub_total_kh" localSheetId="18">PrintPurchaseBill!$K$144</definedName>
    <definedName name="print_pb_toal_deposit" localSheetId="18">PrintPurchaseBill!$O$144</definedName>
    <definedName name="print_pb_toal_discount" localSheetId="18">PrintPurchaseBill!$J$145</definedName>
    <definedName name="print_pb_toal_discount_kh" localSheetId="18">PrintPurchaseBill!$K$145</definedName>
    <definedName name="print_pb_toal_vat" localSheetId="18">PrintPurchaseBill!$O$145</definedName>
    <definedName name="print_pb_vendor_address_kh" localSheetId="18">PrintPurchaseBill!$F$19</definedName>
    <definedName name="print_pb_vendor_email" localSheetId="18">PrintPurchaseBill!$F$21</definedName>
    <definedName name="print_pb_vendor_name_en" localSheetId="18">PrintPurchaseBill!$F$18</definedName>
    <definedName name="print_pb_vendor_name_kh" localSheetId="18">PrintPurchaseBill!$F$17</definedName>
    <definedName name="print_pb_vendor_tel" localSheetId="18">PrintPurchaseBill!$F$20</definedName>
    <definedName name="print_pb_vendor_tin_number">PrintPurchaseBill!$O$8</definedName>
    <definedName name="print_quote_account_name" localSheetId="15">PrintQuotation!$D$151</definedName>
    <definedName name="print_quote_account_no" localSheetId="15">PrintQuotation!$D$152</definedName>
    <definedName name="print_quote_bank_name" localSheetId="15">PrintQuotation!$D$150</definedName>
    <definedName name="print_quote_branch_address_kh" localSheetId="15">PrintQuotation!$P$6</definedName>
    <definedName name="print_quote_branch_email" localSheetId="15">PrintQuotation!$P$9</definedName>
    <definedName name="print_quote_branch_telephone" localSheetId="15">PrintQuotation!$P$7</definedName>
    <definedName name="print_quote_brand_address_kh" localSheetId="15">PrintQuotation!$P$6</definedName>
    <definedName name="print_quote_code" localSheetId="15">PrintQuotation!$L$11</definedName>
    <definedName name="print_quote_company_name_en" localSheetId="15">PrintQuotation!$C$7</definedName>
    <definedName name="print_quote_company_name_kh" localSheetId="15">PrintQuotation!$C$6</definedName>
    <definedName name="print_quote_company_tin" localSheetId="15">PrintQuotation!$P$5</definedName>
    <definedName name="print_quote_customer_address_kh" localSheetId="15">PrintQuotation!$F$19</definedName>
    <definedName name="print_quote_customer_email" localSheetId="15">PrintQuotation!$F$21</definedName>
    <definedName name="print_quote_customer_name_en" localSheetId="15">PrintQuotation!$F$18</definedName>
    <definedName name="print_quote_customer_name_kh" localSheetId="15">PrintQuotation!$F$17</definedName>
    <definedName name="print_quote_customer_tel" localSheetId="15">PrintQuotation!$F$20</definedName>
    <definedName name="print_quote_customer_tin_number" localSheetId="15">PrintQuotation!$F$22</definedName>
    <definedName name="print_quote_date" localSheetId="15">PrintQuotation!$L$12</definedName>
    <definedName name="print_quote_exchange_rate" localSheetId="15">PrintQuotation!$F$144</definedName>
    <definedName name="print_quote_grand_total" localSheetId="15">PrintQuotation!$L$147</definedName>
    <definedName name="print_quote_grand_total_kh" localSheetId="15">PrintQuotation!$L$148</definedName>
    <definedName name="print_quote_items" localSheetId="15">PrintQuotation!$C$27:$L$143</definedName>
    <definedName name="print_quote_note" localSheetId="15">PrintQuotation!$L$13</definedName>
    <definedName name="print_quote_sub_total" localSheetId="15">PrintQuotation!$L$144</definedName>
    <definedName name="print_quote_sub_total_kh" localSheetId="15">PrintQuotation!#REF!</definedName>
    <definedName name="print_quote_toal_deposit" localSheetId="15">PrintQuotation!$P$144</definedName>
    <definedName name="print_quote_toal_discount" localSheetId="15">PrintQuotation!$L$145</definedName>
    <definedName name="print_quote_toal_discount_kh" localSheetId="15">PrintQuotation!#REF!</definedName>
    <definedName name="print_quote_toal_vat" localSheetId="15">PrintQuotation!$L$146</definedName>
    <definedName name="_xlnm.Print_Titles" localSheetId="20">AddInvoice!$123:$124</definedName>
    <definedName name="_xlnm.Print_Titles" localSheetId="19">AddPurchaseBill!$123:$124</definedName>
    <definedName name="_xlnm.Print_Titles" localSheetId="17">AddQuotation!$123:$124</definedName>
    <definedName name="_xlnm.Print_Titles" localSheetId="13">PrintInvAdjustment!$2:$26</definedName>
    <definedName name="_xlnm.Print_Titles" localSheetId="16">PrintInvoice!$3:$26</definedName>
    <definedName name="_xlnm.Print_Titles" localSheetId="14">PrintInvoiceA5!$2:$20</definedName>
    <definedName name="_xlnm.Print_Titles" localSheetId="18">PrintPurchaseBill!$2:$26</definedName>
    <definedName name="_xlnm.Print_Titles" localSheetId="15">PrintQuotation!$5:$26</definedName>
    <definedName name="_xlnm.Print_Titles" localSheetId="48">ProductList!$6:$7</definedName>
    <definedName name="_xlnm.Print_Titles" localSheetId="45">ProductPrice!$26:$27</definedName>
    <definedName name="_xlnm.Print_Titles" localSheetId="36">UoM!$6:$7</definedName>
    <definedName name="product_barcode_list" localSheetId="49">ImportProductPrice!$G$20:$Z$218</definedName>
    <definedName name="product_barcode_list">ProductList!$G$8:$AA$206</definedName>
    <definedName name="product_brand_list">Brand!$C$8:$I$50</definedName>
    <definedName name="product_brand_option">Brand!$J$8:$J$50</definedName>
    <definedName name="product_currency">ProductList!$AD$4</definedName>
    <definedName name="product_group_list">ProductGroup!$C$8:$K$189</definedName>
    <definedName name="product_group_option">ProductGroup!$L$8:$L$189</definedName>
    <definedName name="product_list" localSheetId="49">ImportProductPrice!$C$20:$AU$512</definedName>
    <definedName name="product_list">ProductList!$C$8:$AA$500</definedName>
    <definedName name="product_list_second" localSheetId="49">ImportProductPrice!$G$20:$X$512</definedName>
    <definedName name="product_list_second">ProductList!$G$8:$Z$500</definedName>
    <definedName name="product_name_option" localSheetId="49">ImportProductPrice!$Y$20:$Y$512</definedName>
    <definedName name="product_name_option">ProductList!$AA$8:$AA$500</definedName>
    <definedName name="product_name_th" localSheetId="49">ImportProductPrice!$H$19</definedName>
    <definedName name="product_name_th">ProductList!$H$7</definedName>
    <definedName name="product_price_branch_id">ProductPrice!$M$6</definedName>
    <definedName name="product_price_input_by_uom_list">ProductPrice!$B$10:$W$21</definedName>
    <definedName name="product_price_input_range">ProductPrice!$I$10:$M$21</definedName>
    <definedName name="product_price_list">ProductPrice!$D$28:$S$3020</definedName>
    <definedName name="product_price_name">ProductPrice!$R$2</definedName>
    <definedName name="product_price_pcode">ProductPrice!$C$6</definedName>
    <definedName name="product_price_pid">ProductPrice!$H$4</definedName>
    <definedName name="product_price_pname">ProductPrice!$E$6</definedName>
    <definedName name="product_price_small_val_uom">ProductPrice!$L$4</definedName>
    <definedName name="product_price_uom">ProductPrice!$J$4</definedName>
    <definedName name="product_price_uom_id">ProductPrice!$K$4</definedName>
    <definedName name="qr_code_adj" localSheetId="13">PrintInvAdjustment!$H$10</definedName>
    <definedName name="qr_code_invoice">PrintInvoice!$G$10</definedName>
    <definedName name="qr_code_pb" localSheetId="18">PrintPurchaseBill!$G$10</definedName>
    <definedName name="qr_code_quote" localSheetId="15">PrintQuotation!$G$10</definedName>
    <definedName name="qty_invoice" localSheetId="21">AddReceivePayment!$G$17:$G$20</definedName>
    <definedName name="qty_invoice" localSheetId="31">CountStock!$E$7:$E$16</definedName>
    <definedName name="qty_invoice" localSheetId="22">OtherExpense!$F$17:$F$20</definedName>
    <definedName name="quot_branch" localSheetId="17">AddQuotation!$C$13</definedName>
    <definedName name="quot_branch_id" localSheetId="17">AddQuotation!$D$13</definedName>
    <definedName name="quot_code" localSheetId="17">AddQuotation!$E$9</definedName>
    <definedName name="quot_column_expired_date" localSheetId="17">AddQuotation!$R$8:$R$87</definedName>
    <definedName name="quot_column_lote_number" localSheetId="17">AddQuotation!$Q$8:$Q$87</definedName>
    <definedName name="quot_column_new_unit_price" localSheetId="17">AddQuotation!$T$8:$T$87</definedName>
    <definedName name="quot_column_product" localSheetId="17">AddQuotation!$M$8:$M$87</definedName>
    <definedName name="quot_column_remark" localSheetId="17">AddQuotation!$Z$8:$Z$87</definedName>
    <definedName name="quot_column_uom" localSheetId="17">AddQuotation!$P$8:$P$87</definedName>
    <definedName name="quot_copy_print_letter_head" localSheetId="17">AddQuotation!$AV$112:$AV$217</definedName>
    <definedName name="quot_currency_id" localSheetId="17">AddQuotation!$C$18</definedName>
    <definedName name="quot_currency_symbol" localSheetId="17">AddQuotation!$D$17</definedName>
    <definedName name="quot_customer" localSheetId="17">AddQuotation!$C$11</definedName>
    <definedName name="quot_customer_id" localSheetId="17">AddQuotation!$E$11</definedName>
    <definedName name="quot_date" localSheetId="17">AddQuotation!$C$9</definedName>
    <definedName name="quot_deposit" localSheetId="17">AddQuotation!$Y$91</definedName>
    <definedName name="quot_discount" localSheetId="17">AddQuotation!$Y$89</definedName>
    <definedName name="quot_discount_amount" localSheetId="17">AddQuotation!$O$89</definedName>
    <definedName name="quot_discount_by_item" localSheetId="17">AddQuotation!$W$8:$W$87</definedName>
    <definedName name="quot_discount_id" localSheetId="17">AddQuotation!$N$89</definedName>
    <definedName name="quot_discount_option" localSheetId="17">AddQuotation!$M$89</definedName>
    <definedName name="quot_discount_percent" localSheetId="17">AddQuotation!$P$89</definedName>
    <definedName name="quot_exchange_rate" localSheetId="17">AddQuotation!$P$4</definedName>
    <definedName name="quot_location" localSheetId="17">AddQuotation!$E$15</definedName>
    <definedName name="quot_location_group_id" localSheetId="17">AddQuotation!$F$13</definedName>
    <definedName name="quot_location_id" localSheetId="17">AddQuotation!$F$15</definedName>
    <definedName name="quot_no" localSheetId="17">AddQuotation!$F$9</definedName>
    <definedName name="quot_note" localSheetId="17">AddQuotation!$C$26</definedName>
    <definedName name="quot_price_type" localSheetId="17">AddQuotation!$L$4</definedName>
    <definedName name="quot_price_type_id" localSheetId="17">AddQuotation!$N$4</definedName>
    <definedName name="quot_qty" localSheetId="17">AddQuotation!$N$8:$N$87</definedName>
    <definedName name="quot_qty_free" localSheetId="17">AddQuotation!$O$8:$O$87</definedName>
    <definedName name="quot_seller" localSheetId="17">AddQuotation!$C$15</definedName>
    <definedName name="quot_seller_id" localSheetId="17">AddQuotation!$D$15</definedName>
    <definedName name="quot_service_type">AddQuotation!$E$17</definedName>
    <definedName name="quot_service_type_id" localSheetId="17">AddQuotation!$F$17</definedName>
    <definedName name="quot_ship_telephone">AddQuotation!$C$24</definedName>
    <definedName name="quot_ship_to">AddQuotation!$C$20</definedName>
    <definedName name="quot_status" localSheetId="17">AddQuotation!$D$6</definedName>
    <definedName name="quot_sub_total_amount" localSheetId="17">AddQuotation!$Y$88</definedName>
    <definedName name="quot_tax_code" localSheetId="17">AddQuotation!$E$8</definedName>
    <definedName name="quot_tax_no" localSheetId="17">AddQuotation!$D$8</definedName>
    <definedName name="quot_total_amount" localSheetId="17">AddQuotation!$Y$92</definedName>
    <definedName name="quot_total_dis_item_free" localSheetId="17">AddQuotation!$AC$88</definedName>
    <definedName name="quot_total_price_bf_discount" localSheetId="17">AddQuotation!$AG$88</definedName>
    <definedName name="quot_total_vat" localSheetId="17">AddQuotation!$Y$90</definedName>
    <definedName name="quot_vat" localSheetId="17">AddQuotation!$U$90</definedName>
    <definedName name="quot_vat_cal_id" localSheetId="17">AddQuotation!$S$90</definedName>
    <definedName name="quot_vat_chart_acc_id" localSheetId="17">AddQuotation!$U$91</definedName>
    <definedName name="quot_vat_percent" localSheetId="17">AddQuotation!$V$90</definedName>
    <definedName name="quot_week" localSheetId="17">AddQuotation!$D$9</definedName>
    <definedName name="quote_total_dis_item_free" localSheetId="20">AddInvoice!$AC$88</definedName>
    <definedName name="quote_total_dis_item_free" localSheetId="17">AddQuotation!$AC$88</definedName>
    <definedName name="Reference_Area" localSheetId="41">'( 3)'!$B$15</definedName>
    <definedName name="rp_amount_change_en">AddReceivePayment!$W$25</definedName>
    <definedName name="rp_amount_change_kh">AddReceivePayment!$W$26</definedName>
    <definedName name="rp_amount_due">AddReceivePayment!$J$17</definedName>
    <definedName name="rp_amount_paid_before">AddReceivePayment!$P$23</definedName>
    <definedName name="rp_amount_paid_en">AddReceivePayment!$P$13</definedName>
    <definedName name="rp_amount_paid_kh">AddReceivePayment!$P$11</definedName>
    <definedName name="rp_branch">AddReceivePayment!$P$5</definedName>
    <definedName name="rp_chart_account">AddReceivePayment!$U$5</definedName>
    <definedName name="rp_chart_account_id">AddReceivePayment!$X$5</definedName>
    <definedName name="rp_currency_id">AddReceivePayment!$AA$13</definedName>
    <definedName name="rp_currency_symbol">AddReceivePayment!$AB$13</definedName>
    <definedName name="rp_current_date">AddReceivePayment!$U$7</definedName>
    <definedName name="rp_customer_code">AddReceivePayment!$AA$11</definedName>
    <definedName name="rp_customer_id">AddReceivePayment!$AB$11</definedName>
    <definedName name="rp_customer_name">AddReceivePayment!$AA$12</definedName>
    <definedName name="rp_description">AddReceivePayment!$S$18</definedName>
    <definedName name="rp_discount_en">AddReceivePayment!$P$17</definedName>
    <definedName name="rp_discount_kh">AddReceivePayment!$P$16</definedName>
    <definedName name="rp_exchange_rate">AddReceivePayment!$W$12</definedName>
    <definedName name="rp_invoice_code">AddReceivePayment!$N$9</definedName>
    <definedName name="rp_invoice_date">AddReceivePayment!$Q$29</definedName>
    <definedName name="rp_invoice_id">AddReceivePayment!$N$10</definedName>
    <definedName name="rp_invoice_no">AddReceivePayment!$P$7</definedName>
    <definedName name="rp_last_discount">AddReceivePayment!$P$15</definedName>
    <definedName name="rp_last_discount_en">AddReceivePayment!$P$26</definedName>
    <definedName name="rp_last_discount_kh">AddReceivePayment!$P$25</definedName>
    <definedName name="rp_location_group_id">AddReceivePayment!$AA$17</definedName>
    <definedName name="rp_location_id">AddReceivePayment!$AA$18</definedName>
    <definedName name="rp_module_types_option">AddReceivePayment!$U$15</definedName>
    <definedName name="rp_option_income_from" localSheetId="22">OtherExpense!$V$4</definedName>
    <definedName name="rp_option_income_type" localSheetId="22">OtherExpense!$Q$4</definedName>
    <definedName name="rp_payment_net_days">AddReceivePayment!$AA$16</definedName>
    <definedName name="rp_payment_term_id">AddReceivePayment!$AA$15</definedName>
    <definedName name="rp_print_receipt">AddReceivePayment!$B$3:$K$21</definedName>
    <definedName name="rp_receipt_code">AddReceivePayment!$I$8</definedName>
    <definedName name="rp_receipt_no">AddReceivePayment!$P$4</definedName>
    <definedName name="rp_recipient_id">AddReceivePayment!$Q$19</definedName>
    <definedName name="rp_recipient_option">AddReceivePayment!$P$19</definedName>
    <definedName name="rp_status">AddReceivePayment!$W$4</definedName>
    <definedName name="rp_status_note">AddReceivePayment!$U$4</definedName>
    <definedName name="rp_total_amount_paid">AddReceivePayment!$J$9</definedName>
    <definedName name="rp_total_balance">AddReceivePayment!$J$20</definedName>
    <definedName name="rp_total_balance_unpaid">AddReceivePayment!$P$28</definedName>
    <definedName name="rp_total_change">AddReceivePayment!$W$23</definedName>
    <definedName name="rp_total_discount">AddReceivePayment!$J$18</definedName>
    <definedName name="rp_total_last_discount">AddReceivePayment!$P$27</definedName>
    <definedName name="rp_total_paid">AddReceivePayment!$W$22</definedName>
    <definedName name="rp_week">AddReceivePayment!$U$9</definedName>
    <definedName name="saller_list">Seller!$C$7:$L$25</definedName>
    <definedName name="saller_option">Seller!$L$7:$L$25</definedName>
    <definedName name="ship_to_list">ShipTo!$D$6:$H$300</definedName>
    <definedName name="ship_to_option">ShipTo!$H$6:$H$400</definedName>
    <definedName name="uom_con_array_con_id">UomConversion!$M$4</definedName>
    <definedName name="uom_con_array_value">UomConversion!$M$3</definedName>
    <definedName name="uom_con_main_uom">UomConversion!$E$2</definedName>
    <definedName name="uom_con_main_uom_id">UomConversion!$G$2</definedName>
    <definedName name="uom_con_middle_uom">UomConversion!$E$4</definedName>
    <definedName name="uom_con_middle_uom_id">UomConversion!$G$3</definedName>
    <definedName name="uom_con_middle_value_uom">UomConversion!$J$3</definedName>
    <definedName name="uom_con_small_uom">UomConversion!$E$3</definedName>
    <definedName name="uom_con_small_uom_id">UomConversion!$G$4</definedName>
    <definedName name="uom_con_small_value_uom">UomConversion!$J$4</definedName>
    <definedName name="uom_converion_list">UomConversion!$D$8:$J$500</definedName>
    <definedName name="uom_list">UoM!$C$8:$J$500</definedName>
    <definedName name="uom_option">UoM!$J$8:$J$500</definedName>
    <definedName name="uom_type_option">Setting!$K$55:$K$60</definedName>
    <definedName name="vat_list">Setting!$G$24:$J$38</definedName>
    <definedName name="vat_option">Setting!$J$24:$J$38</definedName>
    <definedName name="VATRATE" localSheetId="41">'( 3)'!$F$49</definedName>
    <definedName name="VATRATE" localSheetId="40">'(1 )'!$F$46</definedName>
    <definedName name="vendor_list">VendorList!$C$8:$T$200</definedName>
    <definedName name="vendor_option">VendorList!$U$8:$U$200</definedName>
    <definedName name="week_list">Setting!$N$8:$R$12</definedName>
    <definedName name="week_option">Setting!$R$8:$R$12</definedName>
  </definedNames>
  <calcPr calcId="191029"/>
  <extLst>
    <ext xmlns:x14="http://schemas.microsoft.com/office/spreadsheetml/2009/9/main" uri="{8193D73E-4604-4355-AFF4-8A2333D13BE4}">
      <x14:definedNames>
        <x14:definedName name="Aztec">
          <x14:argumentDescriptions count="3">
            <x14:argumentDescription index="0">text to encode</x14:argumentDescription>
            <x14:argumentDescription index="1">percentage of checkwords (1..90)_x000D_
number, optional, default 23%</x14:argumentDescription>
            <x14:argumentDescription index="2">minimum number of layers (0-32)_x000D_
number, optional, default 1_x000D_
set to 0 for Aztec rune</x14:argumentDescription>
          </x14:argumentDescriptions>
        </x14:definedName>
        <x14:definedName name="Code128">
          <x14:argumentDescriptions count="1">
            <x14:argumentDescription index="0">text to encode</x14:argumentDescription>
          </x14:argumentDescriptions>
        </x14:definedName>
        <x14:definedName name="DataMatrix">
          <x14:argumentDescriptions count="1">
            <x14:argumentDescription index="0">text to encode</x14:argumentDescription>
          </x14:argumentDescriptions>
        </x14:definedName>
        <x14:definedName name="Qrcode">
          <x14:argumentDescriptions count="3">
            <x14:argumentDescription index="0">text to encode</x14:argumentDescription>
            <x14:argumentDescription index="1">security level "LMQH"_x000D_
low, medium, quartile, high_x000D_
letter, optional, default L</x14:argumentDescription>
            <x14:argumentDescription index="2">minimum version size(-3..40)_x000D_
number, optional, default 1_x000D_
MircoQR M1:-3, M2:-2, M3:-1, M4:0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warnBelowVersion="2" setVersion="2"/>
    </ext>
  </extLst>
</workbook>
</file>

<file path=xl/calcChain.xml><?xml version="1.0" encoding="utf-8"?>
<calcChain xmlns="http://schemas.openxmlformats.org/spreadsheetml/2006/main">
  <c r="K3" i="852" l="1"/>
  <c r="K4" i="852"/>
  <c r="K5" i="852"/>
  <c r="K6" i="852"/>
  <c r="K7" i="852"/>
  <c r="K8" i="852"/>
  <c r="K9" i="852"/>
  <c r="K10" i="852"/>
  <c r="K11" i="852"/>
  <c r="K12" i="852"/>
  <c r="K13" i="852"/>
  <c r="K14" i="852"/>
  <c r="K15" i="852"/>
  <c r="K16" i="852"/>
  <c r="K17" i="852"/>
  <c r="K18" i="852"/>
  <c r="K19" i="852"/>
  <c r="K20" i="852"/>
  <c r="K21" i="852"/>
  <c r="K22" i="852"/>
  <c r="K23" i="852"/>
  <c r="K24" i="852"/>
  <c r="K25" i="852"/>
  <c r="K26" i="852"/>
  <c r="K27" i="852"/>
  <c r="K28" i="852"/>
  <c r="K29" i="852"/>
  <c r="K30" i="852"/>
  <c r="K31" i="852"/>
  <c r="K2" i="852"/>
  <c r="J2" i="852"/>
  <c r="J3" i="852"/>
  <c r="J4" i="852"/>
  <c r="J5" i="852"/>
  <c r="J6" i="852"/>
  <c r="J7" i="852"/>
  <c r="J8" i="852"/>
  <c r="J9" i="852"/>
  <c r="J10" i="852"/>
  <c r="J11" i="852"/>
  <c r="J12" i="852"/>
  <c r="J13" i="852"/>
  <c r="J14" i="852"/>
  <c r="J15" i="852"/>
  <c r="J16" i="852"/>
  <c r="J17" i="852"/>
  <c r="J18" i="852"/>
  <c r="J19" i="852"/>
  <c r="J20" i="852"/>
  <c r="J21" i="852"/>
  <c r="J22" i="852"/>
  <c r="J23" i="852"/>
  <c r="J24" i="852"/>
  <c r="J25" i="852"/>
  <c r="J26" i="852"/>
  <c r="J27" i="852"/>
  <c r="J28" i="852"/>
  <c r="J29" i="852"/>
  <c r="J30" i="852"/>
  <c r="J31" i="852"/>
  <c r="AB442" i="124"/>
  <c r="AC442" i="124"/>
  <c r="AB443" i="124"/>
  <c r="AC443" i="124"/>
  <c r="AB444" i="124"/>
  <c r="AC444" i="124"/>
  <c r="AB445" i="124"/>
  <c r="AC445" i="124"/>
  <c r="AB446" i="124"/>
  <c r="AC446" i="124"/>
  <c r="AB447" i="124"/>
  <c r="AC447" i="124"/>
  <c r="AB448" i="124"/>
  <c r="AC448" i="124"/>
  <c r="AB449" i="124"/>
  <c r="AC449" i="124"/>
  <c r="AB450" i="124"/>
  <c r="AC450" i="124"/>
  <c r="AB451" i="124"/>
  <c r="AC451" i="124"/>
  <c r="AB452" i="124"/>
  <c r="AC452" i="124"/>
  <c r="AB453" i="124"/>
  <c r="AC453" i="124"/>
  <c r="AB454" i="124"/>
  <c r="AC454" i="124"/>
  <c r="AB455" i="124"/>
  <c r="AC455" i="124"/>
  <c r="AB456" i="124"/>
  <c r="AC456" i="124"/>
  <c r="AB457" i="124"/>
  <c r="AC457" i="124"/>
  <c r="AB458" i="124"/>
  <c r="AC458" i="124"/>
  <c r="AB459" i="124"/>
  <c r="AC459" i="124"/>
  <c r="AB460" i="124"/>
  <c r="AC460" i="124"/>
  <c r="AB461" i="124"/>
  <c r="AC461" i="124"/>
  <c r="AB462" i="124"/>
  <c r="AC462" i="124"/>
  <c r="AB463" i="124"/>
  <c r="AC463" i="124"/>
  <c r="AB464" i="124"/>
  <c r="AC464" i="124"/>
  <c r="AB465" i="124"/>
  <c r="AC465" i="124"/>
  <c r="AB466" i="124"/>
  <c r="AC466" i="124"/>
  <c r="AB467" i="124"/>
  <c r="AC467" i="124"/>
  <c r="AB468" i="124"/>
  <c r="AC468" i="124"/>
  <c r="AB469" i="124"/>
  <c r="AC469" i="124"/>
  <c r="AB470" i="124"/>
  <c r="AC470" i="124"/>
  <c r="AB471" i="124"/>
  <c r="AC471" i="124"/>
  <c r="AB472" i="124"/>
  <c r="AC472" i="124"/>
  <c r="AB473" i="124"/>
  <c r="AC473" i="124"/>
  <c r="S438" i="124"/>
  <c r="S439" i="124"/>
  <c r="S440" i="124"/>
  <c r="S441" i="124"/>
  <c r="S442" i="124"/>
  <c r="S443" i="124"/>
  <c r="S444" i="124"/>
  <c r="S445" i="124"/>
  <c r="S446" i="124"/>
  <c r="S447" i="124"/>
  <c r="S448" i="124"/>
  <c r="S449" i="124"/>
  <c r="S450" i="124"/>
  <c r="S451" i="124"/>
  <c r="S452" i="124"/>
  <c r="S453" i="124"/>
  <c r="S454" i="124"/>
  <c r="S455" i="124"/>
  <c r="S456" i="124"/>
  <c r="S457" i="124"/>
  <c r="S458" i="124"/>
  <c r="S459" i="124"/>
  <c r="S460" i="124"/>
  <c r="S461" i="124"/>
  <c r="S462" i="124"/>
  <c r="S463" i="124"/>
  <c r="S464" i="124"/>
  <c r="S465" i="124"/>
  <c r="S466" i="124"/>
  <c r="S467" i="124"/>
  <c r="S468" i="124"/>
  <c r="S469" i="124"/>
  <c r="S470" i="124"/>
  <c r="S471" i="124"/>
  <c r="S472" i="124"/>
  <c r="S473" i="124"/>
  <c r="U438" i="124"/>
  <c r="U439" i="124"/>
  <c r="U440" i="124"/>
  <c r="U441" i="124"/>
  <c r="U442" i="124"/>
  <c r="U443" i="124"/>
  <c r="U444" i="124"/>
  <c r="U445" i="124"/>
  <c r="U446" i="124"/>
  <c r="U447" i="124"/>
  <c r="U448" i="124"/>
  <c r="U449" i="124"/>
  <c r="U450" i="124"/>
  <c r="U451" i="124"/>
  <c r="U452" i="124"/>
  <c r="U453" i="124"/>
  <c r="U454" i="124"/>
  <c r="U455" i="124"/>
  <c r="U456" i="124"/>
  <c r="U457" i="124"/>
  <c r="U458" i="124"/>
  <c r="U459" i="124"/>
  <c r="U460" i="124"/>
  <c r="U461" i="124"/>
  <c r="U462" i="124"/>
  <c r="U463" i="124"/>
  <c r="U464" i="124"/>
  <c r="U465" i="124"/>
  <c r="U466" i="124"/>
  <c r="U467" i="124"/>
  <c r="U468" i="124"/>
  <c r="U469" i="124"/>
  <c r="U470" i="124"/>
  <c r="U471" i="124"/>
  <c r="U472" i="124"/>
  <c r="U473" i="124"/>
  <c r="R442" i="124"/>
  <c r="AA442" i="124" s="1"/>
  <c r="R443" i="124"/>
  <c r="AA443" i="124" s="1"/>
  <c r="R444" i="124"/>
  <c r="AA444" i="124" s="1"/>
  <c r="R445" i="124"/>
  <c r="AA445" i="124" s="1"/>
  <c r="R446" i="124"/>
  <c r="AA446" i="124" s="1"/>
  <c r="R447" i="124"/>
  <c r="AA447" i="124" s="1"/>
  <c r="R448" i="124"/>
  <c r="AA448" i="124" s="1"/>
  <c r="R449" i="124"/>
  <c r="AA449" i="124" s="1"/>
  <c r="R450" i="124"/>
  <c r="AA450" i="124" s="1"/>
  <c r="R451" i="124"/>
  <c r="AA451" i="124" s="1"/>
  <c r="R452" i="124"/>
  <c r="AA452" i="124" s="1"/>
  <c r="R453" i="124"/>
  <c r="AA453" i="124" s="1"/>
  <c r="R454" i="124"/>
  <c r="AA454" i="124" s="1"/>
  <c r="R455" i="124"/>
  <c r="AA455" i="124" s="1"/>
  <c r="R456" i="124"/>
  <c r="AA456" i="124" s="1"/>
  <c r="R457" i="124"/>
  <c r="AA457" i="124" s="1"/>
  <c r="R458" i="124"/>
  <c r="AA458" i="124" s="1"/>
  <c r="R459" i="124"/>
  <c r="AA459" i="124" s="1"/>
  <c r="R460" i="124"/>
  <c r="AA460" i="124" s="1"/>
  <c r="R461" i="124"/>
  <c r="AA461" i="124" s="1"/>
  <c r="R462" i="124"/>
  <c r="AA462" i="124" s="1"/>
  <c r="R463" i="124"/>
  <c r="AA463" i="124" s="1"/>
  <c r="R464" i="124"/>
  <c r="AA464" i="124" s="1"/>
  <c r="R465" i="124"/>
  <c r="AA465" i="124" s="1"/>
  <c r="R466" i="124"/>
  <c r="AA466" i="124" s="1"/>
  <c r="R467" i="124"/>
  <c r="AA467" i="124" s="1"/>
  <c r="R468" i="124"/>
  <c r="AA468" i="124" s="1"/>
  <c r="R469" i="124"/>
  <c r="AA469" i="124" s="1"/>
  <c r="R470" i="124"/>
  <c r="AA470" i="124" s="1"/>
  <c r="R471" i="124"/>
  <c r="AA471" i="124" s="1"/>
  <c r="R472" i="124"/>
  <c r="AA472" i="124" s="1"/>
  <c r="R473" i="124"/>
  <c r="AA473" i="124" s="1"/>
  <c r="U394" i="124"/>
  <c r="R441" i="124"/>
  <c r="AA441" i="124" s="1"/>
  <c r="D100" i="782"/>
  <c r="J100" i="782"/>
  <c r="J22" i="838"/>
  <c r="J21" i="838"/>
  <c r="O6" i="28"/>
  <c r="U397" i="124"/>
  <c r="AE4" i="124"/>
  <c r="AD4" i="124"/>
  <c r="Y10" i="805"/>
  <c r="Y11" i="805"/>
  <c r="Y12" i="805"/>
  <c r="Y13" i="805"/>
  <c r="Y14" i="805"/>
  <c r="Y15" i="805"/>
  <c r="Y16" i="805"/>
  <c r="Y17" i="805"/>
  <c r="Y18" i="805"/>
  <c r="Y19" i="805"/>
  <c r="Y20" i="805"/>
  <c r="Y21" i="805"/>
  <c r="Y22" i="805"/>
  <c r="Y23" i="805"/>
  <c r="Y24" i="805"/>
  <c r="Y25" i="805"/>
  <c r="Y26" i="805"/>
  <c r="Y27" i="805"/>
  <c r="Y28" i="805"/>
  <c r="Y29" i="805"/>
  <c r="Y30" i="805"/>
  <c r="Y31" i="805"/>
  <c r="Y32" i="805"/>
  <c r="Y33" i="805"/>
  <c r="Y34" i="805"/>
  <c r="Y35" i="805"/>
  <c r="Y36" i="805"/>
  <c r="Y37" i="805"/>
  <c r="Y38" i="805"/>
  <c r="Y39" i="805"/>
  <c r="Y40" i="805"/>
  <c r="Y41" i="805"/>
  <c r="Y42" i="805"/>
  <c r="Y43" i="805"/>
  <c r="Y44" i="805"/>
  <c r="Y45" i="805"/>
  <c r="Y46" i="805"/>
  <c r="Y47" i="805"/>
  <c r="Y48" i="805"/>
  <c r="Y49" i="805"/>
  <c r="Y50" i="805"/>
  <c r="Y51" i="805"/>
  <c r="Y52" i="805"/>
  <c r="Y53" i="805"/>
  <c r="Y54" i="805"/>
  <c r="Y55" i="805"/>
  <c r="Y56" i="805"/>
  <c r="Y57" i="805"/>
  <c r="Y58" i="805"/>
  <c r="Y59" i="805"/>
  <c r="Y60" i="805"/>
  <c r="Y61" i="805"/>
  <c r="Y62" i="805"/>
  <c r="Y63" i="805"/>
  <c r="Y64" i="805"/>
  <c r="Y65" i="805"/>
  <c r="Y66" i="805"/>
  <c r="Y67" i="805"/>
  <c r="Y68" i="805"/>
  <c r="Y69" i="805"/>
  <c r="Y70" i="805"/>
  <c r="Y71" i="805"/>
  <c r="Y72" i="805"/>
  <c r="Y73" i="805"/>
  <c r="Y74" i="805"/>
  <c r="Y75" i="805"/>
  <c r="Y76" i="805"/>
  <c r="Y77" i="805"/>
  <c r="Y78" i="805"/>
  <c r="Y79" i="805"/>
  <c r="Y80" i="805"/>
  <c r="Y81" i="805"/>
  <c r="Y82" i="805"/>
  <c r="Y83" i="805"/>
  <c r="Y84" i="805"/>
  <c r="Y85" i="805"/>
  <c r="Y86" i="805"/>
  <c r="Y87" i="805"/>
  <c r="AB441" i="124"/>
  <c r="AC441" i="124"/>
  <c r="U10" i="805"/>
  <c r="U11" i="805"/>
  <c r="U12" i="805"/>
  <c r="U13" i="805"/>
  <c r="U14" i="805"/>
  <c r="U15" i="805"/>
  <c r="U16" i="805"/>
  <c r="U17" i="805"/>
  <c r="U18" i="805"/>
  <c r="U19" i="805"/>
  <c r="U20" i="805"/>
  <c r="U21" i="805"/>
  <c r="U22" i="805"/>
  <c r="U23" i="805"/>
  <c r="U24" i="805"/>
  <c r="U25" i="805"/>
  <c r="U26" i="805"/>
  <c r="U27" i="805"/>
  <c r="U28" i="805"/>
  <c r="U29" i="805"/>
  <c r="U30" i="805"/>
  <c r="U31" i="805"/>
  <c r="U32" i="805"/>
  <c r="U33" i="805"/>
  <c r="U34" i="805"/>
  <c r="U35" i="805"/>
  <c r="U36" i="805"/>
  <c r="U37" i="805"/>
  <c r="U38" i="805"/>
  <c r="U39" i="805"/>
  <c r="U40" i="805"/>
  <c r="U41" i="805"/>
  <c r="U42" i="805"/>
  <c r="U43" i="805"/>
  <c r="U44" i="805"/>
  <c r="U45" i="805"/>
  <c r="U46" i="805"/>
  <c r="U47" i="805"/>
  <c r="U48" i="805"/>
  <c r="U49" i="805"/>
  <c r="U50" i="805"/>
  <c r="U51" i="805"/>
  <c r="U52" i="805"/>
  <c r="U53" i="805"/>
  <c r="U54" i="805"/>
  <c r="U55" i="805"/>
  <c r="U56" i="805"/>
  <c r="U57" i="805"/>
  <c r="U58" i="805"/>
  <c r="U59" i="805"/>
  <c r="U60" i="805"/>
  <c r="U61" i="805"/>
  <c r="U62" i="805"/>
  <c r="U63" i="805"/>
  <c r="U64" i="805"/>
  <c r="U65" i="805"/>
  <c r="U66" i="805"/>
  <c r="U67" i="805"/>
  <c r="U68" i="805"/>
  <c r="U69" i="805"/>
  <c r="U70" i="805"/>
  <c r="U71" i="805"/>
  <c r="U72" i="805"/>
  <c r="U73" i="805"/>
  <c r="U74" i="805"/>
  <c r="U75" i="805"/>
  <c r="U76" i="805"/>
  <c r="U77" i="805"/>
  <c r="U78" i="805"/>
  <c r="U79" i="805"/>
  <c r="U80" i="805"/>
  <c r="U81" i="805"/>
  <c r="U82" i="805"/>
  <c r="U83" i="805"/>
  <c r="U84" i="805"/>
  <c r="U85" i="805"/>
  <c r="U86" i="805"/>
  <c r="U87" i="805"/>
  <c r="F22" i="843"/>
  <c r="S16" i="408"/>
  <c r="AZ9" i="4"/>
  <c r="AZ10" i="4"/>
  <c r="AZ11" i="4"/>
  <c r="AZ12" i="4"/>
  <c r="AZ13" i="4"/>
  <c r="AZ14" i="4"/>
  <c r="AZ15" i="4"/>
  <c r="AZ16" i="4"/>
  <c r="AZ17" i="4"/>
  <c r="AZ8" i="4"/>
  <c r="U324" i="124"/>
  <c r="F9" i="836"/>
  <c r="L9" i="836" s="1"/>
  <c r="M9" i="836" s="1"/>
  <c r="F10" i="836"/>
  <c r="L10" i="836" s="1"/>
  <c r="M10" i="836" s="1"/>
  <c r="F11" i="836"/>
  <c r="L11" i="836" s="1"/>
  <c r="M11" i="836" s="1"/>
  <c r="F12" i="836"/>
  <c r="L12" i="836" s="1"/>
  <c r="M12" i="836" s="1"/>
  <c r="F13" i="836"/>
  <c r="L13" i="836" s="1"/>
  <c r="M13" i="836" s="1"/>
  <c r="F14" i="836"/>
  <c r="L14" i="836" s="1"/>
  <c r="M14" i="836" s="1"/>
  <c r="F15" i="836"/>
  <c r="L15" i="836" s="1"/>
  <c r="M15" i="836" s="1"/>
  <c r="F16" i="836"/>
  <c r="L16" i="836" s="1"/>
  <c r="M16" i="836" s="1"/>
  <c r="F17" i="836"/>
  <c r="L17" i="836" s="1"/>
  <c r="M17" i="836" s="1"/>
  <c r="F18" i="836"/>
  <c r="L18" i="836" s="1"/>
  <c r="M18" i="836" s="1"/>
  <c r="F19" i="836"/>
  <c r="L19" i="836" s="1"/>
  <c r="M19" i="836" s="1"/>
  <c r="F20" i="836"/>
  <c r="L20" i="836" s="1"/>
  <c r="M20" i="836" s="1"/>
  <c r="F21" i="836"/>
  <c r="L21" i="836" s="1"/>
  <c r="M21" i="836" s="1"/>
  <c r="F22" i="836"/>
  <c r="L22" i="836" s="1"/>
  <c r="M22" i="836" s="1"/>
  <c r="F23" i="836"/>
  <c r="L23" i="836" s="1"/>
  <c r="M23" i="836" s="1"/>
  <c r="F24" i="836"/>
  <c r="L24" i="836" s="1"/>
  <c r="M24" i="836" s="1"/>
  <c r="F25" i="836"/>
  <c r="L25" i="836" s="1"/>
  <c r="M25" i="836" s="1"/>
  <c r="F26" i="836"/>
  <c r="L26" i="836" s="1"/>
  <c r="M26" i="836" s="1"/>
  <c r="F27" i="836"/>
  <c r="L27" i="836" s="1"/>
  <c r="M27" i="836" s="1"/>
  <c r="F28" i="836"/>
  <c r="L28" i="836" s="1"/>
  <c r="M28" i="836" s="1"/>
  <c r="F29" i="836"/>
  <c r="L29" i="836" s="1"/>
  <c r="M29" i="836" s="1"/>
  <c r="F30" i="836"/>
  <c r="L30" i="836" s="1"/>
  <c r="M30" i="836" s="1"/>
  <c r="F31" i="836"/>
  <c r="L31" i="836" s="1"/>
  <c r="M31" i="836" s="1"/>
  <c r="F32" i="836"/>
  <c r="L32" i="836" s="1"/>
  <c r="M32" i="836" s="1"/>
  <c r="F33" i="836"/>
  <c r="L33" i="836" s="1"/>
  <c r="M33" i="836" s="1"/>
  <c r="F34" i="836"/>
  <c r="L34" i="836" s="1"/>
  <c r="M34" i="836" s="1"/>
  <c r="F35" i="836"/>
  <c r="L35" i="836" s="1"/>
  <c r="M35" i="836" s="1"/>
  <c r="F36" i="836"/>
  <c r="L36" i="836" s="1"/>
  <c r="M36" i="836" s="1"/>
  <c r="F37" i="836"/>
  <c r="L37" i="836" s="1"/>
  <c r="M37" i="836" s="1"/>
  <c r="F38" i="836"/>
  <c r="L38" i="836" s="1"/>
  <c r="M38" i="836" s="1"/>
  <c r="F39" i="836"/>
  <c r="L39" i="836" s="1"/>
  <c r="M39" i="836" s="1"/>
  <c r="F40" i="836"/>
  <c r="L40" i="836" s="1"/>
  <c r="M40" i="836" s="1"/>
  <c r="F41" i="836"/>
  <c r="L41" i="836" s="1"/>
  <c r="M41" i="836" s="1"/>
  <c r="F42" i="836"/>
  <c r="L42" i="836" s="1"/>
  <c r="M42" i="836" s="1"/>
  <c r="F43" i="836"/>
  <c r="L43" i="836" s="1"/>
  <c r="M43" i="836" s="1"/>
  <c r="F44" i="836"/>
  <c r="L44" i="836" s="1"/>
  <c r="M44" i="836" s="1"/>
  <c r="F45" i="836"/>
  <c r="L45" i="836" s="1"/>
  <c r="M45" i="836" s="1"/>
  <c r="F46" i="836"/>
  <c r="L46" i="836" s="1"/>
  <c r="M46" i="836" s="1"/>
  <c r="F47" i="836"/>
  <c r="L47" i="836" s="1"/>
  <c r="M47" i="836" s="1"/>
  <c r="F48" i="836"/>
  <c r="L48" i="836" s="1"/>
  <c r="M48" i="836" s="1"/>
  <c r="F8" i="836"/>
  <c r="L8" i="836" s="1"/>
  <c r="M8" i="836" s="1"/>
  <c r="S15" i="408"/>
  <c r="S14" i="408"/>
  <c r="AB440" i="124"/>
  <c r="R440" i="124"/>
  <c r="AC440" i="124"/>
  <c r="S13" i="408"/>
  <c r="AB9" i="124"/>
  <c r="AC9" i="124"/>
  <c r="AB10" i="124"/>
  <c r="AC10" i="124"/>
  <c r="AB11" i="124"/>
  <c r="AC11" i="124"/>
  <c r="AB12" i="124"/>
  <c r="AC12" i="124"/>
  <c r="AB13" i="124"/>
  <c r="AC13" i="124"/>
  <c r="AB14" i="124"/>
  <c r="AC14" i="124"/>
  <c r="AB15" i="124"/>
  <c r="AC15" i="124"/>
  <c r="AB16" i="124"/>
  <c r="AC16" i="124"/>
  <c r="AB17" i="124"/>
  <c r="AC17" i="124"/>
  <c r="AB18" i="124"/>
  <c r="AC18" i="124"/>
  <c r="AB19" i="124"/>
  <c r="AC19" i="124"/>
  <c r="AB20" i="124"/>
  <c r="AC20" i="124"/>
  <c r="AB21" i="124"/>
  <c r="AC21" i="124"/>
  <c r="AB22" i="124"/>
  <c r="AC22" i="124"/>
  <c r="AB23" i="124"/>
  <c r="AC23" i="124"/>
  <c r="AB24" i="124"/>
  <c r="AC24" i="124"/>
  <c r="AB25" i="124"/>
  <c r="AC25" i="124"/>
  <c r="AB26" i="124"/>
  <c r="AC26" i="124"/>
  <c r="AB27" i="124"/>
  <c r="AC27" i="124"/>
  <c r="AB28" i="124"/>
  <c r="AC28" i="124"/>
  <c r="AB29" i="124"/>
  <c r="AC29" i="124"/>
  <c r="AB30" i="124"/>
  <c r="AC30" i="124"/>
  <c r="AB31" i="124"/>
  <c r="AC31" i="124"/>
  <c r="AB32" i="124"/>
  <c r="AC32" i="124"/>
  <c r="AB33" i="124"/>
  <c r="AC33" i="124"/>
  <c r="AB34" i="124"/>
  <c r="AC34" i="124"/>
  <c r="AB35" i="124"/>
  <c r="AC35" i="124"/>
  <c r="AB36" i="124"/>
  <c r="AC36" i="124"/>
  <c r="AB37" i="124"/>
  <c r="AC37" i="124"/>
  <c r="AB38" i="124"/>
  <c r="AC38" i="124"/>
  <c r="AB39" i="124"/>
  <c r="AC39" i="124"/>
  <c r="AB40" i="124"/>
  <c r="AC40" i="124"/>
  <c r="AB41" i="124"/>
  <c r="AC41" i="124"/>
  <c r="AB42" i="124"/>
  <c r="AC42" i="124"/>
  <c r="AB43" i="124"/>
  <c r="AC43" i="124"/>
  <c r="AB44" i="124"/>
  <c r="AC44" i="124"/>
  <c r="AB45" i="124"/>
  <c r="AC45" i="124"/>
  <c r="AB46" i="124"/>
  <c r="AC46" i="124"/>
  <c r="AB47" i="124"/>
  <c r="AC47" i="124"/>
  <c r="AB48" i="124"/>
  <c r="AC48" i="124"/>
  <c r="AB49" i="124"/>
  <c r="AC49" i="124"/>
  <c r="AB50" i="124"/>
  <c r="AC50" i="124"/>
  <c r="AB51" i="124"/>
  <c r="AC51" i="124"/>
  <c r="AB52" i="124"/>
  <c r="AC52" i="124"/>
  <c r="AB53" i="124"/>
  <c r="AC53" i="124"/>
  <c r="AB54" i="124"/>
  <c r="AC54" i="124"/>
  <c r="AB55" i="124"/>
  <c r="AC55" i="124"/>
  <c r="AB56" i="124"/>
  <c r="AC56" i="124"/>
  <c r="AB57" i="124"/>
  <c r="AC57" i="124"/>
  <c r="AB58" i="124"/>
  <c r="AC58" i="124"/>
  <c r="AB59" i="124"/>
  <c r="AC59" i="124"/>
  <c r="AB60" i="124"/>
  <c r="AC60" i="124"/>
  <c r="AB61" i="124"/>
  <c r="AC61" i="124"/>
  <c r="AB62" i="124"/>
  <c r="AC62" i="124"/>
  <c r="AB63" i="124"/>
  <c r="AC63" i="124"/>
  <c r="AB64" i="124"/>
  <c r="AC64" i="124"/>
  <c r="AB65" i="124"/>
  <c r="AC65" i="124"/>
  <c r="AB66" i="124"/>
  <c r="AC66" i="124"/>
  <c r="AB67" i="124"/>
  <c r="AC67" i="124"/>
  <c r="AB68" i="124"/>
  <c r="AC68" i="124"/>
  <c r="AB69" i="124"/>
  <c r="AC69" i="124"/>
  <c r="AB70" i="124"/>
  <c r="AC70" i="124"/>
  <c r="AB71" i="124"/>
  <c r="AC71" i="124"/>
  <c r="AB72" i="124"/>
  <c r="AC72" i="124"/>
  <c r="AB73" i="124"/>
  <c r="AC73" i="124"/>
  <c r="AB74" i="124"/>
  <c r="AC74" i="124"/>
  <c r="AB75" i="124"/>
  <c r="AC75" i="124"/>
  <c r="AB76" i="124"/>
  <c r="AC76" i="124"/>
  <c r="AB77" i="124"/>
  <c r="AC77" i="124"/>
  <c r="AB78" i="124"/>
  <c r="AC78" i="124"/>
  <c r="AB79" i="124"/>
  <c r="AC79" i="124"/>
  <c r="AB80" i="124"/>
  <c r="AC80" i="124"/>
  <c r="AB81" i="124"/>
  <c r="AC81" i="124"/>
  <c r="AB82" i="124"/>
  <c r="AC82" i="124"/>
  <c r="AB83" i="124"/>
  <c r="AC83" i="124"/>
  <c r="AB84" i="124"/>
  <c r="AC84" i="124"/>
  <c r="AB85" i="124"/>
  <c r="AC85" i="124"/>
  <c r="AB86" i="124"/>
  <c r="AC86" i="124"/>
  <c r="AB87" i="124"/>
  <c r="AC87" i="124"/>
  <c r="AB88" i="124"/>
  <c r="AC88" i="124"/>
  <c r="AB89" i="124"/>
  <c r="AC89" i="124"/>
  <c r="AB90" i="124"/>
  <c r="AC90" i="124"/>
  <c r="AB91" i="124"/>
  <c r="AC91" i="124"/>
  <c r="AB92" i="124"/>
  <c r="AC92" i="124"/>
  <c r="AB93" i="124"/>
  <c r="AC93" i="124"/>
  <c r="AB94" i="124"/>
  <c r="AC94" i="124"/>
  <c r="AB95" i="124"/>
  <c r="AC95" i="124"/>
  <c r="AB96" i="124"/>
  <c r="AC96" i="124"/>
  <c r="AB97" i="124"/>
  <c r="AC97" i="124"/>
  <c r="AB98" i="124"/>
  <c r="AC98" i="124"/>
  <c r="AB99" i="124"/>
  <c r="AC99" i="124"/>
  <c r="AB100" i="124"/>
  <c r="AC100" i="124"/>
  <c r="AB101" i="124"/>
  <c r="AC101" i="124"/>
  <c r="AB102" i="124"/>
  <c r="AC102" i="124"/>
  <c r="AB103" i="124"/>
  <c r="AC103" i="124"/>
  <c r="AB104" i="124"/>
  <c r="AC104" i="124"/>
  <c r="AB105" i="124"/>
  <c r="AC105" i="124"/>
  <c r="AB106" i="124"/>
  <c r="AC106" i="124"/>
  <c r="AB107" i="124"/>
  <c r="AC107" i="124"/>
  <c r="AB108" i="124"/>
  <c r="AC108" i="124"/>
  <c r="AB109" i="124"/>
  <c r="AC109" i="124"/>
  <c r="AB110" i="124"/>
  <c r="AC110" i="124"/>
  <c r="AB111" i="124"/>
  <c r="AC111" i="124"/>
  <c r="AB112" i="124"/>
  <c r="AC112" i="124"/>
  <c r="AB113" i="124"/>
  <c r="AC113" i="124"/>
  <c r="AB114" i="124"/>
  <c r="AC114" i="124"/>
  <c r="AB115" i="124"/>
  <c r="AC115" i="124"/>
  <c r="AB116" i="124"/>
  <c r="AC116" i="124"/>
  <c r="AB117" i="124"/>
  <c r="AC117" i="124"/>
  <c r="AB118" i="124"/>
  <c r="AC118" i="124"/>
  <c r="AB119" i="124"/>
  <c r="AC119" i="124"/>
  <c r="AB120" i="124"/>
  <c r="AC120" i="124"/>
  <c r="AB121" i="124"/>
  <c r="AC121" i="124"/>
  <c r="AB122" i="124"/>
  <c r="AC122" i="124"/>
  <c r="AB123" i="124"/>
  <c r="AC123" i="124"/>
  <c r="AB124" i="124"/>
  <c r="AC124" i="124"/>
  <c r="AB125" i="124"/>
  <c r="AC125" i="124"/>
  <c r="AB126" i="124"/>
  <c r="AC126" i="124"/>
  <c r="AB127" i="124"/>
  <c r="AC127" i="124"/>
  <c r="AB128" i="124"/>
  <c r="AC128" i="124"/>
  <c r="AB129" i="124"/>
  <c r="AC129" i="124"/>
  <c r="AB130" i="124"/>
  <c r="AC130" i="124"/>
  <c r="AB131" i="124"/>
  <c r="AC131" i="124"/>
  <c r="AB132" i="124"/>
  <c r="AC132" i="124"/>
  <c r="AB133" i="124"/>
  <c r="AC133" i="124"/>
  <c r="AB134" i="124"/>
  <c r="AC134" i="124"/>
  <c r="AB135" i="124"/>
  <c r="AC135" i="124"/>
  <c r="AB136" i="124"/>
  <c r="AC136" i="124"/>
  <c r="AB137" i="124"/>
  <c r="AC137" i="124"/>
  <c r="AB138" i="124"/>
  <c r="AC138" i="124"/>
  <c r="AB139" i="124"/>
  <c r="AC139" i="124"/>
  <c r="AB140" i="124"/>
  <c r="AC140" i="124"/>
  <c r="AB141" i="124"/>
  <c r="AC141" i="124"/>
  <c r="AB142" i="124"/>
  <c r="AC142" i="124"/>
  <c r="AB143" i="124"/>
  <c r="AC143" i="124"/>
  <c r="AB144" i="124"/>
  <c r="AC144" i="124"/>
  <c r="AB145" i="124"/>
  <c r="AC145" i="124"/>
  <c r="AB146" i="124"/>
  <c r="AC146" i="124"/>
  <c r="AB147" i="124"/>
  <c r="AC147" i="124"/>
  <c r="AB148" i="124"/>
  <c r="AC148" i="124"/>
  <c r="AB149" i="124"/>
  <c r="AC149" i="124"/>
  <c r="AB150" i="124"/>
  <c r="AC150" i="124"/>
  <c r="AB151" i="124"/>
  <c r="AC151" i="124"/>
  <c r="AB152" i="124"/>
  <c r="AC152" i="124"/>
  <c r="AB153" i="124"/>
  <c r="AC153" i="124"/>
  <c r="AB154" i="124"/>
  <c r="AC154" i="124"/>
  <c r="AB155" i="124"/>
  <c r="AC155" i="124"/>
  <c r="AB156" i="124"/>
  <c r="AC156" i="124"/>
  <c r="AB157" i="124"/>
  <c r="AC157" i="124"/>
  <c r="AB158" i="124"/>
  <c r="AC158" i="124"/>
  <c r="AB159" i="124"/>
  <c r="AC159" i="124"/>
  <c r="AB160" i="124"/>
  <c r="AC160" i="124"/>
  <c r="AB161" i="124"/>
  <c r="AC161" i="124"/>
  <c r="AB162" i="124"/>
  <c r="AC162" i="124"/>
  <c r="AB163" i="124"/>
  <c r="AC163" i="124"/>
  <c r="AB164" i="124"/>
  <c r="AC164" i="124"/>
  <c r="AB165" i="124"/>
  <c r="AC165" i="124"/>
  <c r="AB166" i="124"/>
  <c r="AC166" i="124"/>
  <c r="AB167" i="124"/>
  <c r="AC167" i="124"/>
  <c r="AB168" i="124"/>
  <c r="AC168" i="124"/>
  <c r="AB169" i="124"/>
  <c r="AC169" i="124"/>
  <c r="AB170" i="124"/>
  <c r="AC170" i="124"/>
  <c r="AB171" i="124"/>
  <c r="AC171" i="124"/>
  <c r="AB172" i="124"/>
  <c r="AC172" i="124"/>
  <c r="AB173" i="124"/>
  <c r="AC173" i="124"/>
  <c r="AB174" i="124"/>
  <c r="AC174" i="124"/>
  <c r="AB175" i="124"/>
  <c r="AC175" i="124"/>
  <c r="AB176" i="124"/>
  <c r="AC176" i="124"/>
  <c r="AB177" i="124"/>
  <c r="AC177" i="124"/>
  <c r="AB178" i="124"/>
  <c r="AC178" i="124"/>
  <c r="AB179" i="124"/>
  <c r="AC179" i="124"/>
  <c r="AB180" i="124"/>
  <c r="AC180" i="124"/>
  <c r="AB181" i="124"/>
  <c r="AC181" i="124"/>
  <c r="AB182" i="124"/>
  <c r="AC182" i="124"/>
  <c r="AB183" i="124"/>
  <c r="AC183" i="124"/>
  <c r="AB184" i="124"/>
  <c r="AC184" i="124"/>
  <c r="AB185" i="124"/>
  <c r="AC185" i="124"/>
  <c r="AB186" i="124"/>
  <c r="AC186" i="124"/>
  <c r="AB187" i="124"/>
  <c r="AC187" i="124"/>
  <c r="AB188" i="124"/>
  <c r="AC188" i="124"/>
  <c r="AB189" i="124"/>
  <c r="AC189" i="124"/>
  <c r="AB190" i="124"/>
  <c r="AC190" i="124"/>
  <c r="AB191" i="124"/>
  <c r="AC191" i="124"/>
  <c r="AB192" i="124"/>
  <c r="AC192" i="124"/>
  <c r="AB193" i="124"/>
  <c r="AC193" i="124"/>
  <c r="AB194" i="124"/>
  <c r="AC194" i="124"/>
  <c r="AB195" i="124"/>
  <c r="AC195" i="124"/>
  <c r="AB196" i="124"/>
  <c r="AC196" i="124"/>
  <c r="AB197" i="124"/>
  <c r="AC197" i="124"/>
  <c r="AB198" i="124"/>
  <c r="AC198" i="124"/>
  <c r="AB199" i="124"/>
  <c r="AC199" i="124"/>
  <c r="AB200" i="124"/>
  <c r="AC200" i="124"/>
  <c r="AB201" i="124"/>
  <c r="AC201" i="124"/>
  <c r="AB202" i="124"/>
  <c r="AC202" i="124"/>
  <c r="AB203" i="124"/>
  <c r="AC203" i="124"/>
  <c r="AB204" i="124"/>
  <c r="AC204" i="124"/>
  <c r="AB205" i="124"/>
  <c r="AC205" i="124"/>
  <c r="AB206" i="124"/>
  <c r="AC206" i="124"/>
  <c r="AB207" i="124"/>
  <c r="AC207" i="124"/>
  <c r="AB208" i="124"/>
  <c r="AC208" i="124"/>
  <c r="AB209" i="124"/>
  <c r="AC209" i="124"/>
  <c r="AB210" i="124"/>
  <c r="AC210" i="124"/>
  <c r="AB211" i="124"/>
  <c r="AC211" i="124"/>
  <c r="AB212" i="124"/>
  <c r="AC212" i="124"/>
  <c r="AB213" i="124"/>
  <c r="AC213" i="124"/>
  <c r="AB214" i="124"/>
  <c r="AC214" i="124"/>
  <c r="AB215" i="124"/>
  <c r="AC215" i="124"/>
  <c r="AB216" i="124"/>
  <c r="AC216" i="124"/>
  <c r="AB217" i="124"/>
  <c r="AC217" i="124"/>
  <c r="AB218" i="124"/>
  <c r="AC218" i="124"/>
  <c r="AB219" i="124"/>
  <c r="AC219" i="124"/>
  <c r="AB220" i="124"/>
  <c r="AC220" i="124"/>
  <c r="AB221" i="124"/>
  <c r="AC221" i="124"/>
  <c r="AB222" i="124"/>
  <c r="AC222" i="124"/>
  <c r="AB223" i="124"/>
  <c r="AC223" i="124"/>
  <c r="AB224" i="124"/>
  <c r="AC224" i="124"/>
  <c r="AB225" i="124"/>
  <c r="AC225" i="124"/>
  <c r="AB226" i="124"/>
  <c r="AC226" i="124"/>
  <c r="AB227" i="124"/>
  <c r="AC227" i="124"/>
  <c r="AB228" i="124"/>
  <c r="AC228" i="124"/>
  <c r="AB229" i="124"/>
  <c r="AC229" i="124"/>
  <c r="AB230" i="124"/>
  <c r="AC230" i="124"/>
  <c r="AB231" i="124"/>
  <c r="AC231" i="124"/>
  <c r="AB232" i="124"/>
  <c r="AC232" i="124"/>
  <c r="AB233" i="124"/>
  <c r="AC233" i="124"/>
  <c r="AB234" i="124"/>
  <c r="AC234" i="124"/>
  <c r="AB235" i="124"/>
  <c r="AC235" i="124"/>
  <c r="AB236" i="124"/>
  <c r="AC236" i="124"/>
  <c r="AB237" i="124"/>
  <c r="AC237" i="124"/>
  <c r="AB238" i="124"/>
  <c r="AC238" i="124"/>
  <c r="AB239" i="124"/>
  <c r="AC239" i="124"/>
  <c r="AB240" i="124"/>
  <c r="AC240" i="124"/>
  <c r="AB241" i="124"/>
  <c r="AC241" i="124"/>
  <c r="AB242" i="124"/>
  <c r="AC242" i="124"/>
  <c r="AB243" i="124"/>
  <c r="AC243" i="124"/>
  <c r="AB244" i="124"/>
  <c r="AC244" i="124"/>
  <c r="AB245" i="124"/>
  <c r="AC245" i="124"/>
  <c r="AB246" i="124"/>
  <c r="AC246" i="124"/>
  <c r="AB247" i="124"/>
  <c r="AC247" i="124"/>
  <c r="AB248" i="124"/>
  <c r="AC248" i="124"/>
  <c r="AB249" i="124"/>
  <c r="AC249" i="124"/>
  <c r="AB250" i="124"/>
  <c r="AC250" i="124"/>
  <c r="AB251" i="124"/>
  <c r="AC251" i="124"/>
  <c r="AB252" i="124"/>
  <c r="AC252" i="124"/>
  <c r="AB253" i="124"/>
  <c r="AC253" i="124"/>
  <c r="AB254" i="124"/>
  <c r="AC254" i="124"/>
  <c r="AB255" i="124"/>
  <c r="AC255" i="124"/>
  <c r="AB256" i="124"/>
  <c r="AC256" i="124"/>
  <c r="AB257" i="124"/>
  <c r="AC257" i="124"/>
  <c r="AB258" i="124"/>
  <c r="AC258" i="124"/>
  <c r="AB259" i="124"/>
  <c r="AC259" i="124"/>
  <c r="AB260" i="124"/>
  <c r="AC260" i="124"/>
  <c r="AB261" i="124"/>
  <c r="AC261" i="124"/>
  <c r="AB262" i="124"/>
  <c r="AC262" i="124"/>
  <c r="AB263" i="124"/>
  <c r="AC263" i="124"/>
  <c r="AB264" i="124"/>
  <c r="AC264" i="124"/>
  <c r="AB265" i="124"/>
  <c r="AC265" i="124"/>
  <c r="AB266" i="124"/>
  <c r="AC266" i="124"/>
  <c r="AB267" i="124"/>
  <c r="AC267" i="124"/>
  <c r="AB268" i="124"/>
  <c r="AC268" i="124"/>
  <c r="AB269" i="124"/>
  <c r="AC269" i="124"/>
  <c r="AB270" i="124"/>
  <c r="AC270" i="124"/>
  <c r="AB271" i="124"/>
  <c r="AC271" i="124"/>
  <c r="AB272" i="124"/>
  <c r="AC272" i="124"/>
  <c r="AB273" i="124"/>
  <c r="AC273" i="124"/>
  <c r="AB274" i="124"/>
  <c r="AC274" i="124"/>
  <c r="AB275" i="124"/>
  <c r="AC275" i="124"/>
  <c r="AB276" i="124"/>
  <c r="AC276" i="124"/>
  <c r="AB277" i="124"/>
  <c r="AC277" i="124"/>
  <c r="AB278" i="124"/>
  <c r="AC278" i="124"/>
  <c r="AB279" i="124"/>
  <c r="AC279" i="124"/>
  <c r="AB280" i="124"/>
  <c r="AC280" i="124"/>
  <c r="AB281" i="124"/>
  <c r="AC281" i="124"/>
  <c r="AB282" i="124"/>
  <c r="AC282" i="124"/>
  <c r="AB283" i="124"/>
  <c r="AC283" i="124"/>
  <c r="AB284" i="124"/>
  <c r="AC284" i="124"/>
  <c r="AB285" i="124"/>
  <c r="AC285" i="124"/>
  <c r="AB286" i="124"/>
  <c r="AC286" i="124"/>
  <c r="AB287" i="124"/>
  <c r="AC287" i="124"/>
  <c r="AB288" i="124"/>
  <c r="AC288" i="124"/>
  <c r="AB289" i="124"/>
  <c r="AC289" i="124"/>
  <c r="AB290" i="124"/>
  <c r="AC290" i="124"/>
  <c r="AB291" i="124"/>
  <c r="AC291" i="124"/>
  <c r="AB292" i="124"/>
  <c r="AC292" i="124"/>
  <c r="AB293" i="124"/>
  <c r="AC293" i="124"/>
  <c r="AB294" i="124"/>
  <c r="AC294" i="124"/>
  <c r="AB295" i="124"/>
  <c r="AC295" i="124"/>
  <c r="AB296" i="124"/>
  <c r="AC296" i="124"/>
  <c r="AB297" i="124"/>
  <c r="AC297" i="124"/>
  <c r="AB298" i="124"/>
  <c r="AC298" i="124"/>
  <c r="AB299" i="124"/>
  <c r="AC299" i="124"/>
  <c r="AB300" i="124"/>
  <c r="AC300" i="124"/>
  <c r="AB301" i="124"/>
  <c r="AC301" i="124"/>
  <c r="AB302" i="124"/>
  <c r="AC302" i="124"/>
  <c r="AB303" i="124"/>
  <c r="AC303" i="124"/>
  <c r="AB304" i="124"/>
  <c r="AC304" i="124"/>
  <c r="AB305" i="124"/>
  <c r="AC305" i="124"/>
  <c r="AB306" i="124"/>
  <c r="AC306" i="124"/>
  <c r="AB307" i="124"/>
  <c r="AC307" i="124"/>
  <c r="AB308" i="124"/>
  <c r="AC308" i="124"/>
  <c r="AB309" i="124"/>
  <c r="AC309" i="124"/>
  <c r="AB310" i="124"/>
  <c r="AC310" i="124"/>
  <c r="AB311" i="124"/>
  <c r="AC311" i="124"/>
  <c r="AB312" i="124"/>
  <c r="AC312" i="124"/>
  <c r="AB313" i="124"/>
  <c r="AC313" i="124"/>
  <c r="AB314" i="124"/>
  <c r="AC314" i="124"/>
  <c r="AB315" i="124"/>
  <c r="AC315" i="124"/>
  <c r="AB316" i="124"/>
  <c r="AC316" i="124"/>
  <c r="AB317" i="124"/>
  <c r="AC317" i="124"/>
  <c r="AB318" i="124"/>
  <c r="AC318" i="124"/>
  <c r="AB319" i="124"/>
  <c r="AC319" i="124"/>
  <c r="AB320" i="124"/>
  <c r="AC320" i="124"/>
  <c r="AB321" i="124"/>
  <c r="AC321" i="124"/>
  <c r="AB322" i="124"/>
  <c r="AC322" i="124"/>
  <c r="AB323" i="124"/>
  <c r="AC323" i="124"/>
  <c r="AB324" i="124"/>
  <c r="AC324" i="124"/>
  <c r="AB325" i="124"/>
  <c r="AC325" i="124"/>
  <c r="AB326" i="124"/>
  <c r="AC326" i="124"/>
  <c r="AB327" i="124"/>
  <c r="AC327" i="124"/>
  <c r="AB328" i="124"/>
  <c r="AC328" i="124"/>
  <c r="AB329" i="124"/>
  <c r="AC329" i="124"/>
  <c r="AB330" i="124"/>
  <c r="AC330" i="124"/>
  <c r="AB331" i="124"/>
  <c r="AC331" i="124"/>
  <c r="AB332" i="124"/>
  <c r="AC332" i="124"/>
  <c r="AB333" i="124"/>
  <c r="AC333" i="124"/>
  <c r="AB334" i="124"/>
  <c r="AC334" i="124"/>
  <c r="AB335" i="124"/>
  <c r="AC335" i="124"/>
  <c r="AB336" i="124"/>
  <c r="AC336" i="124"/>
  <c r="AB337" i="124"/>
  <c r="AC337" i="124"/>
  <c r="AB338" i="124"/>
  <c r="AC338" i="124"/>
  <c r="AB339" i="124"/>
  <c r="AC339" i="124"/>
  <c r="AB340" i="124"/>
  <c r="AC340" i="124"/>
  <c r="AB341" i="124"/>
  <c r="AC341" i="124"/>
  <c r="AB342" i="124"/>
  <c r="AC342" i="124"/>
  <c r="AB343" i="124"/>
  <c r="AC343" i="124"/>
  <c r="AB344" i="124"/>
  <c r="AC344" i="124"/>
  <c r="AB345" i="124"/>
  <c r="AC345" i="124"/>
  <c r="AB346" i="124"/>
  <c r="AC346" i="124"/>
  <c r="AB347" i="124"/>
  <c r="AC347" i="124"/>
  <c r="AB348" i="124"/>
  <c r="AC348" i="124"/>
  <c r="AB349" i="124"/>
  <c r="AC349" i="124"/>
  <c r="AB350" i="124"/>
  <c r="AC350" i="124"/>
  <c r="AB351" i="124"/>
  <c r="AC351" i="124"/>
  <c r="AB352" i="124"/>
  <c r="AC352" i="124"/>
  <c r="AB353" i="124"/>
  <c r="AC353" i="124"/>
  <c r="AB354" i="124"/>
  <c r="AC354" i="124"/>
  <c r="AB355" i="124"/>
  <c r="AC355" i="124"/>
  <c r="AB356" i="124"/>
  <c r="AC356" i="124"/>
  <c r="AB357" i="124"/>
  <c r="AC357" i="124"/>
  <c r="AB358" i="124"/>
  <c r="AC358" i="124"/>
  <c r="AB359" i="124"/>
  <c r="AC359" i="124"/>
  <c r="AB360" i="124"/>
  <c r="AC360" i="124"/>
  <c r="AB361" i="124"/>
  <c r="AC361" i="124"/>
  <c r="AB362" i="124"/>
  <c r="AC362" i="124"/>
  <c r="AB363" i="124"/>
  <c r="AC363" i="124"/>
  <c r="AB364" i="124"/>
  <c r="AC364" i="124"/>
  <c r="AB365" i="124"/>
  <c r="AC365" i="124"/>
  <c r="AB366" i="124"/>
  <c r="AC366" i="124"/>
  <c r="AB367" i="124"/>
  <c r="AC367" i="124"/>
  <c r="AB368" i="124"/>
  <c r="AC368" i="124"/>
  <c r="AB369" i="124"/>
  <c r="AC369" i="124"/>
  <c r="AB370" i="124"/>
  <c r="AC370" i="124"/>
  <c r="AB371" i="124"/>
  <c r="AC371" i="124"/>
  <c r="AB372" i="124"/>
  <c r="AC372" i="124"/>
  <c r="AB373" i="124"/>
  <c r="AC373" i="124"/>
  <c r="AB374" i="124"/>
  <c r="AC374" i="124"/>
  <c r="AB375" i="124"/>
  <c r="AC375" i="124"/>
  <c r="AB376" i="124"/>
  <c r="AC376" i="124"/>
  <c r="AB377" i="124"/>
  <c r="AC377" i="124"/>
  <c r="AB378" i="124"/>
  <c r="AC378" i="124"/>
  <c r="AB379" i="124"/>
  <c r="AC379" i="124"/>
  <c r="AB380" i="124"/>
  <c r="AC380" i="124"/>
  <c r="AB381" i="124"/>
  <c r="AC381" i="124"/>
  <c r="AB382" i="124"/>
  <c r="AC382" i="124"/>
  <c r="AB383" i="124"/>
  <c r="AC383" i="124"/>
  <c r="AB384" i="124"/>
  <c r="AC384" i="124"/>
  <c r="AB385" i="124"/>
  <c r="AC385" i="124"/>
  <c r="AB386" i="124"/>
  <c r="AC386" i="124"/>
  <c r="AB387" i="124"/>
  <c r="AC387" i="124"/>
  <c r="AB388" i="124"/>
  <c r="AC388" i="124"/>
  <c r="AB389" i="124"/>
  <c r="AC389" i="124"/>
  <c r="AB390" i="124"/>
  <c r="AC390" i="124"/>
  <c r="AB391" i="124"/>
  <c r="AC391" i="124"/>
  <c r="AB392" i="124"/>
  <c r="AC392" i="124"/>
  <c r="AB393" i="124"/>
  <c r="AC393" i="124"/>
  <c r="AB394" i="124"/>
  <c r="AC394" i="124"/>
  <c r="AB395" i="124"/>
  <c r="AC395" i="124"/>
  <c r="AB396" i="124"/>
  <c r="AC396" i="124"/>
  <c r="AB397" i="124"/>
  <c r="AC397" i="124"/>
  <c r="AB398" i="124"/>
  <c r="AC398" i="124"/>
  <c r="AB399" i="124"/>
  <c r="AC399" i="124"/>
  <c r="AB400" i="124"/>
  <c r="AC400" i="124"/>
  <c r="AB401" i="124"/>
  <c r="AC401" i="124"/>
  <c r="AB402" i="124"/>
  <c r="AC402" i="124"/>
  <c r="AB403" i="124"/>
  <c r="AC403" i="124"/>
  <c r="AB404" i="124"/>
  <c r="AC404" i="124"/>
  <c r="AB405" i="124"/>
  <c r="AC405" i="124"/>
  <c r="AB406" i="124"/>
  <c r="AC406" i="124"/>
  <c r="AB407" i="124"/>
  <c r="AC407" i="124"/>
  <c r="AB408" i="124"/>
  <c r="AC408" i="124"/>
  <c r="AB409" i="124"/>
  <c r="AC409" i="124"/>
  <c r="AB410" i="124"/>
  <c r="AC410" i="124"/>
  <c r="AB411" i="124"/>
  <c r="AC411" i="124"/>
  <c r="AB412" i="124"/>
  <c r="AC412" i="124"/>
  <c r="AB413" i="124"/>
  <c r="AC413" i="124"/>
  <c r="AB414" i="124"/>
  <c r="AC414" i="124"/>
  <c r="AB415" i="124"/>
  <c r="AC415" i="124"/>
  <c r="AB416" i="124"/>
  <c r="AC416" i="124"/>
  <c r="AB417" i="124"/>
  <c r="AC417" i="124"/>
  <c r="AB418" i="124"/>
  <c r="AC418" i="124"/>
  <c r="AB419" i="124"/>
  <c r="AC419" i="124"/>
  <c r="AB420" i="124"/>
  <c r="AC420" i="124"/>
  <c r="AB421" i="124"/>
  <c r="AC421" i="124"/>
  <c r="AB422" i="124"/>
  <c r="AC422" i="124"/>
  <c r="AB423" i="124"/>
  <c r="AC423" i="124"/>
  <c r="AB424" i="124"/>
  <c r="AC424" i="124"/>
  <c r="AB425" i="124"/>
  <c r="AC425" i="124"/>
  <c r="AB426" i="124"/>
  <c r="AC426" i="124"/>
  <c r="AB427" i="124"/>
  <c r="AC427" i="124"/>
  <c r="AB428" i="124"/>
  <c r="AC428" i="124"/>
  <c r="AB429" i="124"/>
  <c r="AC429" i="124"/>
  <c r="AB430" i="124"/>
  <c r="AC430" i="124"/>
  <c r="AB431" i="124"/>
  <c r="AC431" i="124"/>
  <c r="AB432" i="124"/>
  <c r="AC432" i="124"/>
  <c r="AB433" i="124"/>
  <c r="AC433" i="124"/>
  <c r="AB434" i="124"/>
  <c r="AC434" i="124"/>
  <c r="AB435" i="124"/>
  <c r="AC435" i="124"/>
  <c r="AB436" i="124"/>
  <c r="AC436" i="124"/>
  <c r="AB437" i="124"/>
  <c r="AC437" i="124"/>
  <c r="AB438" i="124"/>
  <c r="AC438" i="124"/>
  <c r="AB439" i="124"/>
  <c r="AC439" i="124"/>
  <c r="AC8" i="124"/>
  <c r="AB8" i="124"/>
  <c r="AE10" i="849"/>
  <c r="AF10" i="849"/>
  <c r="AE11" i="849"/>
  <c r="AF11" i="849"/>
  <c r="AE12" i="849"/>
  <c r="AF12" i="849"/>
  <c r="AE13" i="849"/>
  <c r="AF13" i="849"/>
  <c r="AE14" i="849"/>
  <c r="AF14" i="849"/>
  <c r="AE15" i="849"/>
  <c r="AF15" i="849"/>
  <c r="AE16" i="849"/>
  <c r="AF16" i="849"/>
  <c r="AE17" i="849"/>
  <c r="AF17" i="849"/>
  <c r="AE18" i="849"/>
  <c r="AF18" i="849"/>
  <c r="AE19" i="849"/>
  <c r="AF19" i="849"/>
  <c r="AE20" i="849"/>
  <c r="AF20" i="849"/>
  <c r="AE21" i="849"/>
  <c r="AF21" i="849"/>
  <c r="AE22" i="849"/>
  <c r="AF22" i="849"/>
  <c r="AE23" i="849"/>
  <c r="AF23" i="849"/>
  <c r="AE24" i="849"/>
  <c r="AF24" i="849"/>
  <c r="AE25" i="849"/>
  <c r="AF25" i="849"/>
  <c r="AE26" i="849"/>
  <c r="AF26" i="849"/>
  <c r="AE27" i="849"/>
  <c r="AF27" i="849"/>
  <c r="AE28" i="849"/>
  <c r="AF28" i="849"/>
  <c r="AE29" i="849"/>
  <c r="AF29" i="849"/>
  <c r="AE30" i="849"/>
  <c r="AF30" i="849"/>
  <c r="AE31" i="849"/>
  <c r="AF31" i="849"/>
  <c r="AE32" i="849"/>
  <c r="AF32" i="849"/>
  <c r="AE33" i="849"/>
  <c r="AF33" i="849"/>
  <c r="AE34" i="849"/>
  <c r="AF34" i="849"/>
  <c r="AE35" i="849"/>
  <c r="AF35" i="849"/>
  <c r="AE36" i="849"/>
  <c r="AF36" i="849"/>
  <c r="AE37" i="849"/>
  <c r="AF37" i="849"/>
  <c r="AE38" i="849"/>
  <c r="AF38" i="849"/>
  <c r="AE39" i="849"/>
  <c r="AF39" i="849"/>
  <c r="AE40" i="849"/>
  <c r="AF40" i="849"/>
  <c r="AE41" i="849"/>
  <c r="AF41" i="849"/>
  <c r="AE42" i="849"/>
  <c r="AF42" i="849"/>
  <c r="AE43" i="849"/>
  <c r="AF43" i="849"/>
  <c r="AE44" i="849"/>
  <c r="AF44" i="849"/>
  <c r="AE45" i="849"/>
  <c r="AF45" i="849"/>
  <c r="AE46" i="849"/>
  <c r="AF46" i="849"/>
  <c r="AE47" i="849"/>
  <c r="AF47" i="849"/>
  <c r="AE48" i="849"/>
  <c r="AF48" i="849"/>
  <c r="AE49" i="849"/>
  <c r="AF49" i="849"/>
  <c r="AE50" i="849"/>
  <c r="AF50" i="849"/>
  <c r="AE51" i="849"/>
  <c r="AF51" i="849"/>
  <c r="AE52" i="849"/>
  <c r="AF52" i="849"/>
  <c r="AE53" i="849"/>
  <c r="AF53" i="849"/>
  <c r="AE54" i="849"/>
  <c r="AF54" i="849"/>
  <c r="AE55" i="849"/>
  <c r="AF55" i="849"/>
  <c r="AE56" i="849"/>
  <c r="AF56" i="849"/>
  <c r="AE57" i="849"/>
  <c r="AF57" i="849"/>
  <c r="AE58" i="849"/>
  <c r="AF58" i="849"/>
  <c r="AE59" i="849"/>
  <c r="AF59" i="849"/>
  <c r="AE60" i="849"/>
  <c r="AF60" i="849"/>
  <c r="AE61" i="849"/>
  <c r="AF61" i="849"/>
  <c r="AE62" i="849"/>
  <c r="AF62" i="849"/>
  <c r="AE63" i="849"/>
  <c r="AF63" i="849"/>
  <c r="AE64" i="849"/>
  <c r="AF64" i="849"/>
  <c r="AE65" i="849"/>
  <c r="AF65" i="849"/>
  <c r="AE66" i="849"/>
  <c r="AF66" i="849"/>
  <c r="AE67" i="849"/>
  <c r="AF67" i="849"/>
  <c r="AE68" i="849"/>
  <c r="AF68" i="849"/>
  <c r="AE69" i="849"/>
  <c r="AF69" i="849"/>
  <c r="AE70" i="849"/>
  <c r="AF70" i="849"/>
  <c r="AE71" i="849"/>
  <c r="AF71" i="849"/>
  <c r="AE72" i="849"/>
  <c r="AF72" i="849"/>
  <c r="AE73" i="849"/>
  <c r="AF73" i="849"/>
  <c r="AE74" i="849"/>
  <c r="AF74" i="849"/>
  <c r="AE75" i="849"/>
  <c r="AF75" i="849"/>
  <c r="AE76" i="849"/>
  <c r="AF76" i="849"/>
  <c r="AE77" i="849"/>
  <c r="AF77" i="849"/>
  <c r="AE78" i="849"/>
  <c r="AF78" i="849"/>
  <c r="AE79" i="849"/>
  <c r="AF79" i="849"/>
  <c r="AE80" i="849"/>
  <c r="AF80" i="849"/>
  <c r="AE81" i="849"/>
  <c r="AF81" i="849"/>
  <c r="AE82" i="849"/>
  <c r="AF82" i="849"/>
  <c r="AE83" i="849"/>
  <c r="AF83" i="849"/>
  <c r="AE84" i="849"/>
  <c r="AF84" i="849"/>
  <c r="AE85" i="849"/>
  <c r="AF85" i="849"/>
  <c r="AE86" i="849"/>
  <c r="AF86" i="849"/>
  <c r="AE87" i="849"/>
  <c r="AF87" i="849"/>
  <c r="U10" i="849"/>
  <c r="U11" i="849"/>
  <c r="U12" i="849"/>
  <c r="U13" i="849"/>
  <c r="U14" i="849"/>
  <c r="U15" i="849"/>
  <c r="U16" i="849"/>
  <c r="U17" i="849"/>
  <c r="U18" i="849"/>
  <c r="U19" i="849"/>
  <c r="U20" i="849"/>
  <c r="U21" i="849"/>
  <c r="U22" i="849"/>
  <c r="U23" i="849"/>
  <c r="U24" i="849"/>
  <c r="U25" i="849"/>
  <c r="U26" i="849"/>
  <c r="U27" i="849"/>
  <c r="U28" i="849"/>
  <c r="U29" i="849"/>
  <c r="U30" i="849"/>
  <c r="U31" i="849"/>
  <c r="U32" i="849"/>
  <c r="U33" i="849"/>
  <c r="U34" i="849"/>
  <c r="U35" i="849"/>
  <c r="U36" i="849"/>
  <c r="U37" i="849"/>
  <c r="U38" i="849"/>
  <c r="U39" i="849"/>
  <c r="U40" i="849"/>
  <c r="U41" i="849"/>
  <c r="U42" i="849"/>
  <c r="U43" i="849"/>
  <c r="U44" i="849"/>
  <c r="U45" i="849"/>
  <c r="U46" i="849"/>
  <c r="U47" i="849"/>
  <c r="U48" i="849"/>
  <c r="U49" i="849"/>
  <c r="U50" i="849"/>
  <c r="U51" i="849"/>
  <c r="U52" i="849"/>
  <c r="U53" i="849"/>
  <c r="U54" i="849"/>
  <c r="U55" i="849"/>
  <c r="U56" i="849"/>
  <c r="U57" i="849"/>
  <c r="U58" i="849"/>
  <c r="U59" i="849"/>
  <c r="U60" i="849"/>
  <c r="U61" i="849"/>
  <c r="U62" i="849"/>
  <c r="U63" i="849"/>
  <c r="U64" i="849"/>
  <c r="U65" i="849"/>
  <c r="U66" i="849"/>
  <c r="U67" i="849"/>
  <c r="U68" i="849"/>
  <c r="U69" i="849"/>
  <c r="U70" i="849"/>
  <c r="U71" i="849"/>
  <c r="U72" i="849"/>
  <c r="U73" i="849"/>
  <c r="U74" i="849"/>
  <c r="U75" i="849"/>
  <c r="U76" i="849"/>
  <c r="U77" i="849"/>
  <c r="U78" i="849"/>
  <c r="U79" i="849"/>
  <c r="U80" i="849"/>
  <c r="U81" i="849"/>
  <c r="U82" i="849"/>
  <c r="U83" i="849"/>
  <c r="U84" i="849"/>
  <c r="U85" i="849"/>
  <c r="U86" i="849"/>
  <c r="U87" i="849"/>
  <c r="AF23" i="805"/>
  <c r="AF24" i="805"/>
  <c r="AF25" i="805"/>
  <c r="AF26" i="805"/>
  <c r="AF27" i="805"/>
  <c r="AF28" i="805"/>
  <c r="AF29" i="805"/>
  <c r="AF30" i="805"/>
  <c r="AF31" i="805"/>
  <c r="AF32" i="805"/>
  <c r="AF33" i="805"/>
  <c r="AF34" i="805"/>
  <c r="AF35" i="805"/>
  <c r="AF36" i="805"/>
  <c r="AF37" i="805"/>
  <c r="AF38" i="805"/>
  <c r="AF39" i="805"/>
  <c r="AF40" i="805"/>
  <c r="AF41" i="805"/>
  <c r="AF42" i="805"/>
  <c r="AF43" i="805"/>
  <c r="AF44" i="805"/>
  <c r="AF45" i="805"/>
  <c r="AF46" i="805"/>
  <c r="AF47" i="805"/>
  <c r="AF48" i="805"/>
  <c r="AF49" i="805"/>
  <c r="AF50" i="805"/>
  <c r="AF51" i="805"/>
  <c r="AF52" i="805"/>
  <c r="AF53" i="805"/>
  <c r="AF54" i="805"/>
  <c r="AF55" i="805"/>
  <c r="AF56" i="805"/>
  <c r="AF57" i="805"/>
  <c r="AF58" i="805"/>
  <c r="AF59" i="805"/>
  <c r="AF60" i="805"/>
  <c r="AF61" i="805"/>
  <c r="AF62" i="805"/>
  <c r="AF63" i="805"/>
  <c r="AF64" i="805"/>
  <c r="AF65" i="805"/>
  <c r="AF66" i="805"/>
  <c r="AF67" i="805"/>
  <c r="AF68" i="805"/>
  <c r="AF69" i="805"/>
  <c r="AF70" i="805"/>
  <c r="AF71" i="805"/>
  <c r="AF72" i="805"/>
  <c r="AF73" i="805"/>
  <c r="AF74" i="805"/>
  <c r="AF75" i="805"/>
  <c r="AF76" i="805"/>
  <c r="AF77" i="805"/>
  <c r="AF78" i="805"/>
  <c r="AF79" i="805"/>
  <c r="AF80" i="805"/>
  <c r="AF81" i="805"/>
  <c r="AF82" i="805"/>
  <c r="AF83" i="805"/>
  <c r="AF84" i="805"/>
  <c r="AF85" i="805"/>
  <c r="AF86" i="805"/>
  <c r="AF87" i="805"/>
  <c r="AS23" i="805"/>
  <c r="AS24" i="805"/>
  <c r="AS25" i="805"/>
  <c r="AS26" i="805"/>
  <c r="AS27" i="805"/>
  <c r="AS28" i="805"/>
  <c r="AS29" i="805"/>
  <c r="AS30" i="805"/>
  <c r="AS31" i="805"/>
  <c r="AS32" i="805"/>
  <c r="AS33" i="805"/>
  <c r="AS34" i="805"/>
  <c r="AS35" i="805"/>
  <c r="AS36" i="805"/>
  <c r="AS37" i="805"/>
  <c r="AS38" i="805"/>
  <c r="AS39" i="805"/>
  <c r="AS40" i="805"/>
  <c r="AS41" i="805"/>
  <c r="AS42" i="805"/>
  <c r="AS43" i="805"/>
  <c r="AS44" i="805"/>
  <c r="AS45" i="805"/>
  <c r="AS46" i="805"/>
  <c r="AS47" i="805"/>
  <c r="AS48" i="805"/>
  <c r="AS49" i="805"/>
  <c r="AS50" i="805"/>
  <c r="AS51" i="805"/>
  <c r="AS52" i="805"/>
  <c r="AS53" i="805"/>
  <c r="AS54" i="805"/>
  <c r="AS55" i="805"/>
  <c r="AS56" i="805"/>
  <c r="AS57" i="805"/>
  <c r="AS58" i="805"/>
  <c r="AS59" i="805"/>
  <c r="AS60" i="805"/>
  <c r="AS61" i="805"/>
  <c r="AS62" i="805"/>
  <c r="AS63" i="805"/>
  <c r="AS64" i="805"/>
  <c r="AS65" i="805"/>
  <c r="AS66" i="805"/>
  <c r="AS67" i="805"/>
  <c r="AS68" i="805"/>
  <c r="AS69" i="805"/>
  <c r="AS70" i="805"/>
  <c r="AS71" i="805"/>
  <c r="AS72" i="805"/>
  <c r="AS73" i="805"/>
  <c r="AS74" i="805"/>
  <c r="AS75" i="805"/>
  <c r="AS76" i="805"/>
  <c r="AS77" i="805"/>
  <c r="AS78" i="805"/>
  <c r="AS79" i="805"/>
  <c r="AS80" i="805"/>
  <c r="AS81" i="805"/>
  <c r="AS82" i="805"/>
  <c r="AS83" i="805"/>
  <c r="AS84" i="805"/>
  <c r="AS85" i="805"/>
  <c r="AS86" i="805"/>
  <c r="AS87" i="805"/>
  <c r="K7" i="545"/>
  <c r="S2" i="825"/>
  <c r="P2" i="849"/>
  <c r="P2" i="805"/>
  <c r="AE18" i="844"/>
  <c r="AF18" i="844"/>
  <c r="AG18" i="844"/>
  <c r="AH18" i="844"/>
  <c r="AI18" i="844"/>
  <c r="AJ18" i="844"/>
  <c r="AK18" i="844"/>
  <c r="AL18" i="844"/>
  <c r="AM18" i="844"/>
  <c r="AN18" i="844"/>
  <c r="AO18" i="844"/>
  <c r="AP18" i="844"/>
  <c r="AQ18" i="844"/>
  <c r="AR18" i="844"/>
  <c r="AS18" i="844"/>
  <c r="AT18" i="844"/>
  <c r="AE19" i="844"/>
  <c r="AF19" i="844"/>
  <c r="AG19" i="844"/>
  <c r="AH19" i="844"/>
  <c r="AI19" i="844"/>
  <c r="AJ19" i="844"/>
  <c r="AK19" i="844"/>
  <c r="AL19" i="844"/>
  <c r="AM19" i="844"/>
  <c r="AN19" i="844"/>
  <c r="AO19" i="844"/>
  <c r="AP19" i="844"/>
  <c r="AQ19" i="844"/>
  <c r="AR19" i="844"/>
  <c r="AS19" i="844"/>
  <c r="AT19" i="844"/>
  <c r="R437" i="124"/>
  <c r="AA437" i="124" s="1"/>
  <c r="S437" i="124"/>
  <c r="R438" i="124"/>
  <c r="AA438" i="124" s="1"/>
  <c r="R439" i="124"/>
  <c r="AA439" i="124" s="1"/>
  <c r="R433" i="124"/>
  <c r="S433" i="124"/>
  <c r="R434" i="124"/>
  <c r="S434" i="124"/>
  <c r="R435" i="124"/>
  <c r="S435" i="124"/>
  <c r="R436" i="124"/>
  <c r="S436" i="124"/>
  <c r="R9" i="124"/>
  <c r="AA9" i="124" s="1"/>
  <c r="R10" i="124"/>
  <c r="AA10" i="124" s="1"/>
  <c r="R11" i="124"/>
  <c r="AA11" i="124" s="1"/>
  <c r="R12" i="124"/>
  <c r="AA12" i="124" s="1"/>
  <c r="R13" i="124"/>
  <c r="AA13" i="124" s="1"/>
  <c r="R14" i="124"/>
  <c r="AA14" i="124" s="1"/>
  <c r="R15" i="124"/>
  <c r="AA15" i="124" s="1"/>
  <c r="R16" i="124"/>
  <c r="AA16" i="124" s="1"/>
  <c r="R17" i="124"/>
  <c r="AA17" i="124" s="1"/>
  <c r="R18" i="124"/>
  <c r="AA18" i="124" s="1"/>
  <c r="R19" i="124"/>
  <c r="AA19" i="124" s="1"/>
  <c r="R20" i="124"/>
  <c r="AA20" i="124" s="1"/>
  <c r="R21" i="124"/>
  <c r="AA21" i="124" s="1"/>
  <c r="R22" i="124"/>
  <c r="AA22" i="124" s="1"/>
  <c r="R23" i="124"/>
  <c r="AA23" i="124" s="1"/>
  <c r="R24" i="124"/>
  <c r="AA24" i="124" s="1"/>
  <c r="R25" i="124"/>
  <c r="AA25" i="124" s="1"/>
  <c r="R26" i="124"/>
  <c r="AA26" i="124" s="1"/>
  <c r="R27" i="124"/>
  <c r="AA27" i="124" s="1"/>
  <c r="R28" i="124"/>
  <c r="AA28" i="124" s="1"/>
  <c r="R29" i="124"/>
  <c r="AA29" i="124" s="1"/>
  <c r="R30" i="124"/>
  <c r="AA30" i="124" s="1"/>
  <c r="R31" i="124"/>
  <c r="AA31" i="124" s="1"/>
  <c r="R32" i="124"/>
  <c r="AA32" i="124" s="1"/>
  <c r="R33" i="124"/>
  <c r="AA33" i="124" s="1"/>
  <c r="R34" i="124"/>
  <c r="AA34" i="124" s="1"/>
  <c r="R35" i="124"/>
  <c r="AA35" i="124" s="1"/>
  <c r="R36" i="124"/>
  <c r="R37" i="124"/>
  <c r="AA37" i="124" s="1"/>
  <c r="R38" i="124"/>
  <c r="AA38" i="124" s="1"/>
  <c r="R39" i="124"/>
  <c r="AA39" i="124" s="1"/>
  <c r="R40" i="124"/>
  <c r="AA40" i="124" s="1"/>
  <c r="R41" i="124"/>
  <c r="AA41" i="124" s="1"/>
  <c r="R42" i="124"/>
  <c r="AA42" i="124" s="1"/>
  <c r="R43" i="124"/>
  <c r="AA43" i="124" s="1"/>
  <c r="R44" i="124"/>
  <c r="AA44" i="124" s="1"/>
  <c r="R45" i="124"/>
  <c r="AA45" i="124" s="1"/>
  <c r="R46" i="124"/>
  <c r="AA46" i="124" s="1"/>
  <c r="R47" i="124"/>
  <c r="AA47" i="124" s="1"/>
  <c r="R48" i="124"/>
  <c r="R49" i="124"/>
  <c r="AA49" i="124" s="1"/>
  <c r="R50" i="124"/>
  <c r="AA50" i="124" s="1"/>
  <c r="R51" i="124"/>
  <c r="AA51" i="124" s="1"/>
  <c r="R52" i="124"/>
  <c r="R53" i="124"/>
  <c r="AA53" i="124" s="1"/>
  <c r="R54" i="124"/>
  <c r="AA54" i="124" s="1"/>
  <c r="R55" i="124"/>
  <c r="AA55" i="124" s="1"/>
  <c r="R56" i="124"/>
  <c r="R57" i="124"/>
  <c r="R58" i="124"/>
  <c r="R59" i="124"/>
  <c r="AA59" i="124" s="1"/>
  <c r="R60" i="124"/>
  <c r="R61" i="124"/>
  <c r="R62" i="124"/>
  <c r="AA62" i="124" s="1"/>
  <c r="R63" i="124"/>
  <c r="R64" i="124"/>
  <c r="AA64" i="124" s="1"/>
  <c r="R65" i="124"/>
  <c r="AA65" i="124" s="1"/>
  <c r="R66" i="124"/>
  <c r="AA66" i="124" s="1"/>
  <c r="R67" i="124"/>
  <c r="AA67" i="124" s="1"/>
  <c r="R68" i="124"/>
  <c r="AA68" i="124" s="1"/>
  <c r="R69" i="124"/>
  <c r="AA69" i="124" s="1"/>
  <c r="R70" i="124"/>
  <c r="R71" i="124"/>
  <c r="AA71" i="124" s="1"/>
  <c r="R72" i="124"/>
  <c r="AA72" i="124" s="1"/>
  <c r="R73" i="124"/>
  <c r="R74" i="124"/>
  <c r="AA74" i="124" s="1"/>
  <c r="R75" i="124"/>
  <c r="R76" i="124"/>
  <c r="AA76" i="124" s="1"/>
  <c r="R77" i="124"/>
  <c r="AA77" i="124" s="1"/>
  <c r="R78" i="124"/>
  <c r="R79" i="124"/>
  <c r="AA79" i="124" s="1"/>
  <c r="R80" i="124"/>
  <c r="AA80" i="124" s="1"/>
  <c r="R81" i="124"/>
  <c r="AA81" i="124" s="1"/>
  <c r="R82" i="124"/>
  <c r="R83" i="124"/>
  <c r="AA83" i="124" s="1"/>
  <c r="R84" i="124"/>
  <c r="AA84" i="124" s="1"/>
  <c r="R85" i="124"/>
  <c r="AA85" i="124" s="1"/>
  <c r="R86" i="124"/>
  <c r="AA86" i="124" s="1"/>
  <c r="R87" i="124"/>
  <c r="AA87" i="124" s="1"/>
  <c r="R88" i="124"/>
  <c r="AA88" i="124" s="1"/>
  <c r="R89" i="124"/>
  <c r="R90" i="124"/>
  <c r="R91" i="124"/>
  <c r="AA91" i="124" s="1"/>
  <c r="R92" i="124"/>
  <c r="AA92" i="124" s="1"/>
  <c r="R93" i="124"/>
  <c r="AA93" i="124" s="1"/>
  <c r="R94" i="124"/>
  <c r="AA94" i="124" s="1"/>
  <c r="R95" i="124"/>
  <c r="AA95" i="124" s="1"/>
  <c r="R96" i="124"/>
  <c r="AA96" i="124" s="1"/>
  <c r="R97" i="124"/>
  <c r="AA97" i="124" s="1"/>
  <c r="R98" i="124"/>
  <c r="AA98" i="124" s="1"/>
  <c r="R99" i="124"/>
  <c r="AA99" i="124" s="1"/>
  <c r="R100" i="124"/>
  <c r="AA100" i="124" s="1"/>
  <c r="R101" i="124"/>
  <c r="R102" i="124"/>
  <c r="AA102" i="124" s="1"/>
  <c r="R103" i="124"/>
  <c r="R104" i="124"/>
  <c r="AA104" i="124" s="1"/>
  <c r="R105" i="124"/>
  <c r="AA105" i="124" s="1"/>
  <c r="R106" i="124"/>
  <c r="AA106" i="124" s="1"/>
  <c r="R107" i="124"/>
  <c r="AA107" i="124" s="1"/>
  <c r="R108" i="124"/>
  <c r="R109" i="124"/>
  <c r="AA109" i="124" s="1"/>
  <c r="R110" i="124"/>
  <c r="AA110" i="124" s="1"/>
  <c r="R111" i="124"/>
  <c r="AA111" i="124" s="1"/>
  <c r="R112" i="124"/>
  <c r="AA112" i="124" s="1"/>
  <c r="R113" i="124"/>
  <c r="AA113" i="124" s="1"/>
  <c r="R114" i="124"/>
  <c r="AA114" i="124" s="1"/>
  <c r="R115" i="124"/>
  <c r="R116" i="124"/>
  <c r="AA116" i="124" s="1"/>
  <c r="R117" i="124"/>
  <c r="AA117" i="124" s="1"/>
  <c r="R118" i="124"/>
  <c r="AA118" i="124" s="1"/>
  <c r="R119" i="124"/>
  <c r="AA119" i="124" s="1"/>
  <c r="R120" i="124"/>
  <c r="AA120" i="124" s="1"/>
  <c r="R121" i="124"/>
  <c r="AA121" i="124" s="1"/>
  <c r="R122" i="124"/>
  <c r="AA122" i="124" s="1"/>
  <c r="R123" i="124"/>
  <c r="AA123" i="124" s="1"/>
  <c r="R124" i="124"/>
  <c r="AA124" i="124" s="1"/>
  <c r="R125" i="124"/>
  <c r="AA125" i="124" s="1"/>
  <c r="R126" i="124"/>
  <c r="AA126" i="124" s="1"/>
  <c r="R127" i="124"/>
  <c r="AA127" i="124" s="1"/>
  <c r="R128" i="124"/>
  <c r="AA128" i="124" s="1"/>
  <c r="R129" i="124"/>
  <c r="AA129" i="124" s="1"/>
  <c r="R130" i="124"/>
  <c r="AA130" i="124" s="1"/>
  <c r="R131" i="124"/>
  <c r="AA131" i="124" s="1"/>
  <c r="R132" i="124"/>
  <c r="R133" i="124"/>
  <c r="AA133" i="124" s="1"/>
  <c r="R134" i="124"/>
  <c r="AA134" i="124" s="1"/>
  <c r="R135" i="124"/>
  <c r="AA135" i="124" s="1"/>
  <c r="R136" i="124"/>
  <c r="AA136" i="124" s="1"/>
  <c r="R137" i="124"/>
  <c r="AA137" i="124" s="1"/>
  <c r="R138" i="124"/>
  <c r="AA138" i="124" s="1"/>
  <c r="R139" i="124"/>
  <c r="AA139" i="124" s="1"/>
  <c r="R140" i="124"/>
  <c r="AA140" i="124" s="1"/>
  <c r="R141" i="124"/>
  <c r="AA141" i="124" s="1"/>
  <c r="R142" i="124"/>
  <c r="AA142" i="124" s="1"/>
  <c r="R143" i="124"/>
  <c r="AA143" i="124" s="1"/>
  <c r="R144" i="124"/>
  <c r="AA144" i="124" s="1"/>
  <c r="R145" i="124"/>
  <c r="AA145" i="124" s="1"/>
  <c r="R146" i="124"/>
  <c r="AA146" i="124" s="1"/>
  <c r="R147" i="124"/>
  <c r="AA147" i="124" s="1"/>
  <c r="R148" i="124"/>
  <c r="AA148" i="124" s="1"/>
  <c r="R149" i="124"/>
  <c r="AA149" i="124" s="1"/>
  <c r="R150" i="124"/>
  <c r="AA150" i="124" s="1"/>
  <c r="R151" i="124"/>
  <c r="AA151" i="124" s="1"/>
  <c r="R152" i="124"/>
  <c r="AA152" i="124" s="1"/>
  <c r="R153" i="124"/>
  <c r="AA153" i="124" s="1"/>
  <c r="R154" i="124"/>
  <c r="AA154" i="124" s="1"/>
  <c r="R155" i="124"/>
  <c r="AA155" i="124" s="1"/>
  <c r="R156" i="124"/>
  <c r="AA156" i="124" s="1"/>
  <c r="R157" i="124"/>
  <c r="R158" i="124"/>
  <c r="AA158" i="124" s="1"/>
  <c r="R159" i="124"/>
  <c r="AA159" i="124" s="1"/>
  <c r="R160" i="124"/>
  <c r="AA160" i="124" s="1"/>
  <c r="R161" i="124"/>
  <c r="AA161" i="124" s="1"/>
  <c r="R162" i="124"/>
  <c r="AA162" i="124" s="1"/>
  <c r="R163" i="124"/>
  <c r="AA163" i="124" s="1"/>
  <c r="R164" i="124"/>
  <c r="AA164" i="124" s="1"/>
  <c r="R165" i="124"/>
  <c r="AA165" i="124" s="1"/>
  <c r="R166" i="124"/>
  <c r="AA166" i="124" s="1"/>
  <c r="R167" i="124"/>
  <c r="AA167" i="124" s="1"/>
  <c r="R168" i="124"/>
  <c r="AA168" i="124" s="1"/>
  <c r="R169" i="124"/>
  <c r="AA169" i="124" s="1"/>
  <c r="R170" i="124"/>
  <c r="AA170" i="124" s="1"/>
  <c r="R171" i="124"/>
  <c r="AA171" i="124" s="1"/>
  <c r="R172" i="124"/>
  <c r="AA172" i="124" s="1"/>
  <c r="R173" i="124"/>
  <c r="AA173" i="124" s="1"/>
  <c r="R174" i="124"/>
  <c r="AA174" i="124" s="1"/>
  <c r="R175" i="124"/>
  <c r="AA175" i="124" s="1"/>
  <c r="R176" i="124"/>
  <c r="R177" i="124"/>
  <c r="R178" i="124"/>
  <c r="AA178" i="124" s="1"/>
  <c r="R179" i="124"/>
  <c r="AA179" i="124" s="1"/>
  <c r="R180" i="124"/>
  <c r="AA180" i="124" s="1"/>
  <c r="R181" i="124"/>
  <c r="AA181" i="124" s="1"/>
  <c r="R182" i="124"/>
  <c r="AA182" i="124" s="1"/>
  <c r="R183" i="124"/>
  <c r="AA183" i="124" s="1"/>
  <c r="R184" i="124"/>
  <c r="R185" i="124"/>
  <c r="AA185" i="124" s="1"/>
  <c r="R186" i="124"/>
  <c r="AA186" i="124" s="1"/>
  <c r="R187" i="124"/>
  <c r="AA187" i="124" s="1"/>
  <c r="R188" i="124"/>
  <c r="R189" i="124"/>
  <c r="R190" i="124"/>
  <c r="AA190" i="124" s="1"/>
  <c r="R191" i="124"/>
  <c r="AA191" i="124" s="1"/>
  <c r="R192" i="124"/>
  <c r="AA192" i="124" s="1"/>
  <c r="R193" i="124"/>
  <c r="AA193" i="124" s="1"/>
  <c r="R194" i="124"/>
  <c r="AA194" i="124" s="1"/>
  <c r="R195" i="124"/>
  <c r="AA195" i="124" s="1"/>
  <c r="R196" i="124"/>
  <c r="AA196" i="124" s="1"/>
  <c r="R197" i="124"/>
  <c r="AA197" i="124" s="1"/>
  <c r="R198" i="124"/>
  <c r="AA198" i="124" s="1"/>
  <c r="R199" i="124"/>
  <c r="AA199" i="124" s="1"/>
  <c r="R200" i="124"/>
  <c r="AA200" i="124" s="1"/>
  <c r="R201" i="124"/>
  <c r="AA201" i="124" s="1"/>
  <c r="R202" i="124"/>
  <c r="AA202" i="124" s="1"/>
  <c r="R203" i="124"/>
  <c r="AA203" i="124" s="1"/>
  <c r="R204" i="124"/>
  <c r="AA204" i="124" s="1"/>
  <c r="R205" i="124"/>
  <c r="AA205" i="124" s="1"/>
  <c r="R206" i="124"/>
  <c r="AA206" i="124" s="1"/>
  <c r="R207" i="124"/>
  <c r="AA207" i="124" s="1"/>
  <c r="R208" i="124"/>
  <c r="AA208" i="124" s="1"/>
  <c r="R209" i="124"/>
  <c r="AA209" i="124" s="1"/>
  <c r="R210" i="124"/>
  <c r="AA210" i="124" s="1"/>
  <c r="R211" i="124"/>
  <c r="AA211" i="124" s="1"/>
  <c r="R212" i="124"/>
  <c r="AA212" i="124" s="1"/>
  <c r="R213" i="124"/>
  <c r="AA213" i="124" s="1"/>
  <c r="R214" i="124"/>
  <c r="AA214" i="124" s="1"/>
  <c r="R215" i="124"/>
  <c r="AA215" i="124" s="1"/>
  <c r="R216" i="124"/>
  <c r="AA216" i="124" s="1"/>
  <c r="R217" i="124"/>
  <c r="AA217" i="124" s="1"/>
  <c r="R218" i="124"/>
  <c r="AA218" i="124" s="1"/>
  <c r="R219" i="124"/>
  <c r="AA219" i="124" s="1"/>
  <c r="R220" i="124"/>
  <c r="AA220" i="124" s="1"/>
  <c r="R221" i="124"/>
  <c r="AA221" i="124" s="1"/>
  <c r="R222" i="124"/>
  <c r="AA222" i="124" s="1"/>
  <c r="R223" i="124"/>
  <c r="AA223" i="124" s="1"/>
  <c r="R224" i="124"/>
  <c r="AA224" i="124" s="1"/>
  <c r="R225" i="124"/>
  <c r="AA225" i="124" s="1"/>
  <c r="R226" i="124"/>
  <c r="R227" i="124"/>
  <c r="AA227" i="124" s="1"/>
  <c r="R228" i="124"/>
  <c r="AA228" i="124" s="1"/>
  <c r="R229" i="124"/>
  <c r="AA229" i="124" s="1"/>
  <c r="R230" i="124"/>
  <c r="AA230" i="124" s="1"/>
  <c r="R231" i="124"/>
  <c r="AA231" i="124" s="1"/>
  <c r="R232" i="124"/>
  <c r="AA232" i="124" s="1"/>
  <c r="R233" i="124"/>
  <c r="AA233" i="124" s="1"/>
  <c r="R234" i="124"/>
  <c r="AA234" i="124" s="1"/>
  <c r="R235" i="124"/>
  <c r="AA235" i="124" s="1"/>
  <c r="R236" i="124"/>
  <c r="AA236" i="124" s="1"/>
  <c r="R237" i="124"/>
  <c r="AA237" i="124" s="1"/>
  <c r="R238" i="124"/>
  <c r="AA238" i="124" s="1"/>
  <c r="R239" i="124"/>
  <c r="AA239" i="124" s="1"/>
  <c r="R240" i="124"/>
  <c r="AA240" i="124" s="1"/>
  <c r="R241" i="124"/>
  <c r="AA241" i="124" s="1"/>
  <c r="R242" i="124"/>
  <c r="AA242" i="124" s="1"/>
  <c r="R243" i="124"/>
  <c r="AA243" i="124" s="1"/>
  <c r="R244" i="124"/>
  <c r="AA244" i="124" s="1"/>
  <c r="R245" i="124"/>
  <c r="AA245" i="124" s="1"/>
  <c r="R246" i="124"/>
  <c r="AA246" i="124" s="1"/>
  <c r="R247" i="124"/>
  <c r="AA247" i="124" s="1"/>
  <c r="R248" i="124"/>
  <c r="R249" i="124"/>
  <c r="AA249" i="124" s="1"/>
  <c r="R250" i="124"/>
  <c r="AA250" i="124" s="1"/>
  <c r="R251" i="124"/>
  <c r="AA251" i="124" s="1"/>
  <c r="R252" i="124"/>
  <c r="AA252" i="124" s="1"/>
  <c r="R253" i="124"/>
  <c r="AA253" i="124" s="1"/>
  <c r="R254" i="124"/>
  <c r="AA254" i="124" s="1"/>
  <c r="R255" i="124"/>
  <c r="AA255" i="124" s="1"/>
  <c r="R256" i="124"/>
  <c r="AA256" i="124" s="1"/>
  <c r="R257" i="124"/>
  <c r="AA257" i="124" s="1"/>
  <c r="R258" i="124"/>
  <c r="AA258" i="124" s="1"/>
  <c r="R259" i="124"/>
  <c r="AA259" i="124" s="1"/>
  <c r="R260" i="124"/>
  <c r="AA260" i="124" s="1"/>
  <c r="R261" i="124"/>
  <c r="AA261" i="124" s="1"/>
  <c r="R262" i="124"/>
  <c r="AA262" i="124" s="1"/>
  <c r="R263" i="124"/>
  <c r="AA263" i="124" s="1"/>
  <c r="R264" i="124"/>
  <c r="AA264" i="124" s="1"/>
  <c r="R265" i="124"/>
  <c r="AA265" i="124" s="1"/>
  <c r="R266" i="124"/>
  <c r="AA266" i="124" s="1"/>
  <c r="R267" i="124"/>
  <c r="AA267" i="124" s="1"/>
  <c r="R268" i="124"/>
  <c r="AA268" i="124" s="1"/>
  <c r="R269" i="124"/>
  <c r="AA269" i="124" s="1"/>
  <c r="R270" i="124"/>
  <c r="AA270" i="124" s="1"/>
  <c r="R271" i="124"/>
  <c r="AA271" i="124" s="1"/>
  <c r="R272" i="124"/>
  <c r="AA272" i="124" s="1"/>
  <c r="R273" i="124"/>
  <c r="AA273" i="124" s="1"/>
  <c r="R274" i="124"/>
  <c r="AA274" i="124" s="1"/>
  <c r="R275" i="124"/>
  <c r="AA275" i="124" s="1"/>
  <c r="R276" i="124"/>
  <c r="AA276" i="124" s="1"/>
  <c r="R277" i="124"/>
  <c r="AA277" i="124" s="1"/>
  <c r="R278" i="124"/>
  <c r="AA278" i="124" s="1"/>
  <c r="R279" i="124"/>
  <c r="AA279" i="124" s="1"/>
  <c r="R280" i="124"/>
  <c r="R281" i="124"/>
  <c r="AA281" i="124" s="1"/>
  <c r="R282" i="124"/>
  <c r="AA282" i="124" s="1"/>
  <c r="R283" i="124"/>
  <c r="R284" i="124"/>
  <c r="AA284" i="124" s="1"/>
  <c r="R285" i="124"/>
  <c r="AA285" i="124" s="1"/>
  <c r="R286" i="124"/>
  <c r="AA286" i="124" s="1"/>
  <c r="R287" i="124"/>
  <c r="AA287" i="124" s="1"/>
  <c r="R288" i="124"/>
  <c r="AA288" i="124" s="1"/>
  <c r="R289" i="124"/>
  <c r="AA289" i="124" s="1"/>
  <c r="R290" i="124"/>
  <c r="AA290" i="124" s="1"/>
  <c r="R291" i="124"/>
  <c r="R292" i="124"/>
  <c r="AA292" i="124" s="1"/>
  <c r="R293" i="124"/>
  <c r="AA293" i="124" s="1"/>
  <c r="R294" i="124"/>
  <c r="R295" i="124"/>
  <c r="AA295" i="124" s="1"/>
  <c r="R296" i="124"/>
  <c r="AA296" i="124" s="1"/>
  <c r="R297" i="124"/>
  <c r="AA297" i="124" s="1"/>
  <c r="R298" i="124"/>
  <c r="AA298" i="124" s="1"/>
  <c r="R299" i="124"/>
  <c r="AA299" i="124" s="1"/>
  <c r="R300" i="124"/>
  <c r="AA300" i="124" s="1"/>
  <c r="R301" i="124"/>
  <c r="R302" i="124"/>
  <c r="AA302" i="124" s="1"/>
  <c r="R303" i="124"/>
  <c r="AA303" i="124" s="1"/>
  <c r="R304" i="124"/>
  <c r="AA304" i="124" s="1"/>
  <c r="R305" i="124"/>
  <c r="AA305" i="124" s="1"/>
  <c r="R306" i="124"/>
  <c r="AA306" i="124" s="1"/>
  <c r="R307" i="124"/>
  <c r="AA307" i="124" s="1"/>
  <c r="R308" i="124"/>
  <c r="AA308" i="124" s="1"/>
  <c r="R309" i="124"/>
  <c r="AA309" i="124" s="1"/>
  <c r="R310" i="124"/>
  <c r="AA310" i="124" s="1"/>
  <c r="R311" i="124"/>
  <c r="AA311" i="124" s="1"/>
  <c r="R312" i="124"/>
  <c r="R313" i="124"/>
  <c r="AA313" i="124" s="1"/>
  <c r="R314" i="124"/>
  <c r="AA314" i="124" s="1"/>
  <c r="R315" i="124"/>
  <c r="AA315" i="124" s="1"/>
  <c r="R316" i="124"/>
  <c r="AA316" i="124" s="1"/>
  <c r="R317" i="124"/>
  <c r="AA317" i="124" s="1"/>
  <c r="R318" i="124"/>
  <c r="AA318" i="124" s="1"/>
  <c r="R319" i="124"/>
  <c r="AA319" i="124" s="1"/>
  <c r="R320" i="124"/>
  <c r="AA320" i="124" s="1"/>
  <c r="R321" i="124"/>
  <c r="AA321" i="124" s="1"/>
  <c r="R322" i="124"/>
  <c r="AA322" i="124" s="1"/>
  <c r="R323" i="124"/>
  <c r="AA323" i="124" s="1"/>
  <c r="R324" i="124"/>
  <c r="AA324" i="124" s="1"/>
  <c r="R325" i="124"/>
  <c r="AA325" i="124" s="1"/>
  <c r="R326" i="124"/>
  <c r="AA326" i="124" s="1"/>
  <c r="R327" i="124"/>
  <c r="AA327" i="124" s="1"/>
  <c r="R328" i="124"/>
  <c r="AA328" i="124" s="1"/>
  <c r="R329" i="124"/>
  <c r="AA329" i="124" s="1"/>
  <c r="R330" i="124"/>
  <c r="AA330" i="124" s="1"/>
  <c r="R331" i="124"/>
  <c r="AA331" i="124" s="1"/>
  <c r="R332" i="124"/>
  <c r="AA332" i="124" s="1"/>
  <c r="R333" i="124"/>
  <c r="AA333" i="124" s="1"/>
  <c r="R334" i="124"/>
  <c r="AA334" i="124" s="1"/>
  <c r="R335" i="124"/>
  <c r="AA335" i="124" s="1"/>
  <c r="R336" i="124"/>
  <c r="AA336" i="124" s="1"/>
  <c r="R337" i="124"/>
  <c r="AA337" i="124" s="1"/>
  <c r="R338" i="124"/>
  <c r="AA338" i="124" s="1"/>
  <c r="R339" i="124"/>
  <c r="AA339" i="124" s="1"/>
  <c r="R340" i="124"/>
  <c r="AA340" i="124" s="1"/>
  <c r="R341" i="124"/>
  <c r="AA341" i="124" s="1"/>
  <c r="R342" i="124"/>
  <c r="AA342" i="124" s="1"/>
  <c r="R343" i="124"/>
  <c r="AA343" i="124" s="1"/>
  <c r="R344" i="124"/>
  <c r="R345" i="124"/>
  <c r="AA345" i="124" s="1"/>
  <c r="R346" i="124"/>
  <c r="AA346" i="124" s="1"/>
  <c r="R347" i="124"/>
  <c r="AA347" i="124" s="1"/>
  <c r="R348" i="124"/>
  <c r="AA348" i="124" s="1"/>
  <c r="R349" i="124"/>
  <c r="AA349" i="124" s="1"/>
  <c r="R350" i="124"/>
  <c r="R351" i="124"/>
  <c r="AA351" i="124" s="1"/>
  <c r="R352" i="124"/>
  <c r="AA352" i="124" s="1"/>
  <c r="R353" i="124"/>
  <c r="AA353" i="124" s="1"/>
  <c r="R354" i="124"/>
  <c r="AA354" i="124" s="1"/>
  <c r="R355" i="124"/>
  <c r="AA355" i="124" s="1"/>
  <c r="R356" i="124"/>
  <c r="AA356" i="124" s="1"/>
  <c r="R357" i="124"/>
  <c r="AA357" i="124" s="1"/>
  <c r="R358" i="124"/>
  <c r="AA358" i="124" s="1"/>
  <c r="R359" i="124"/>
  <c r="AA359" i="124" s="1"/>
  <c r="R360" i="124"/>
  <c r="AA360" i="124" s="1"/>
  <c r="R361" i="124"/>
  <c r="AA361" i="124" s="1"/>
  <c r="R362" i="124"/>
  <c r="AA362" i="124" s="1"/>
  <c r="R363" i="124"/>
  <c r="AA363" i="124" s="1"/>
  <c r="R364" i="124"/>
  <c r="AA364" i="124" s="1"/>
  <c r="R365" i="124"/>
  <c r="R366" i="124"/>
  <c r="AA366" i="124" s="1"/>
  <c r="R367" i="124"/>
  <c r="AA367" i="124" s="1"/>
  <c r="R368" i="124"/>
  <c r="AA368" i="124" s="1"/>
  <c r="R369" i="124"/>
  <c r="AA369" i="124" s="1"/>
  <c r="R370" i="124"/>
  <c r="AA370" i="124" s="1"/>
  <c r="R371" i="124"/>
  <c r="AA371" i="124" s="1"/>
  <c r="R372" i="124"/>
  <c r="AA372" i="124" s="1"/>
  <c r="R373" i="124"/>
  <c r="AA373" i="124" s="1"/>
  <c r="R374" i="124"/>
  <c r="R375" i="124"/>
  <c r="R376" i="124"/>
  <c r="R377" i="124"/>
  <c r="R378" i="124"/>
  <c r="AA378" i="124" s="1"/>
  <c r="R379" i="124"/>
  <c r="R380" i="124"/>
  <c r="AA380" i="124" s="1"/>
  <c r="R381" i="124"/>
  <c r="AA381" i="124" s="1"/>
  <c r="R382" i="124"/>
  <c r="AA382" i="124" s="1"/>
  <c r="R383" i="124"/>
  <c r="R384" i="124"/>
  <c r="AA384" i="124" s="1"/>
  <c r="R385" i="124"/>
  <c r="AA385" i="124" s="1"/>
  <c r="R386" i="124"/>
  <c r="AA386" i="124" s="1"/>
  <c r="R387" i="124"/>
  <c r="R388" i="124"/>
  <c r="AA388" i="124" s="1"/>
  <c r="R389" i="124"/>
  <c r="AA389" i="124" s="1"/>
  <c r="R390" i="124"/>
  <c r="AA390" i="124" s="1"/>
  <c r="R391" i="124"/>
  <c r="AA391" i="124" s="1"/>
  <c r="R392" i="124"/>
  <c r="AA392" i="124" s="1"/>
  <c r="R393" i="124"/>
  <c r="AA393" i="124" s="1"/>
  <c r="R394" i="124"/>
  <c r="AA394" i="124" s="1"/>
  <c r="R395" i="124"/>
  <c r="R396" i="124"/>
  <c r="R397" i="124"/>
  <c r="R398" i="124"/>
  <c r="R399" i="124"/>
  <c r="R400" i="124"/>
  <c r="R401" i="124"/>
  <c r="AA401" i="124" s="1"/>
  <c r="R402" i="124"/>
  <c r="AA402" i="124" s="1"/>
  <c r="R403" i="124"/>
  <c r="R404" i="124"/>
  <c r="R405" i="124"/>
  <c r="R406" i="124"/>
  <c r="AA406" i="124" s="1"/>
  <c r="R407" i="124"/>
  <c r="AA407" i="124" s="1"/>
  <c r="R408" i="124"/>
  <c r="R409" i="124"/>
  <c r="R410" i="124"/>
  <c r="R411" i="124"/>
  <c r="R412" i="124"/>
  <c r="R413" i="124"/>
  <c r="R414" i="124"/>
  <c r="R415" i="124"/>
  <c r="AA415" i="124" s="1"/>
  <c r="R416" i="124"/>
  <c r="R417" i="124"/>
  <c r="R418" i="124"/>
  <c r="AA418" i="124" s="1"/>
  <c r="R419" i="124"/>
  <c r="AA419" i="124" s="1"/>
  <c r="R420" i="124"/>
  <c r="AA420" i="124" s="1"/>
  <c r="R421" i="124"/>
  <c r="AA421" i="124" s="1"/>
  <c r="R422" i="124"/>
  <c r="R423" i="124"/>
  <c r="R424" i="124"/>
  <c r="AA424" i="124" s="1"/>
  <c r="R425" i="124"/>
  <c r="R426" i="124"/>
  <c r="R427" i="124"/>
  <c r="R428" i="124"/>
  <c r="R429" i="124"/>
  <c r="R430" i="124"/>
  <c r="R431" i="124"/>
  <c r="R432" i="124"/>
  <c r="Y35" i="844"/>
  <c r="Y36" i="844"/>
  <c r="Y37" i="844"/>
  <c r="Y38" i="844"/>
  <c r="Y39" i="844"/>
  <c r="Y40" i="844"/>
  <c r="Y42" i="844"/>
  <c r="Y45" i="844"/>
  <c r="Y46" i="844"/>
  <c r="Y48" i="844"/>
  <c r="Y49" i="844"/>
  <c r="Y51" i="844"/>
  <c r="AW21" i="844"/>
  <c r="AW22" i="844"/>
  <c r="AW23" i="844"/>
  <c r="AW24" i="844"/>
  <c r="AW25" i="844"/>
  <c r="AW26" i="844"/>
  <c r="AW27" i="844"/>
  <c r="AW28" i="844"/>
  <c r="AW29" i="844"/>
  <c r="AW30" i="844"/>
  <c r="AW31" i="844"/>
  <c r="AW32" i="844"/>
  <c r="AW33" i="844"/>
  <c r="AW34" i="844"/>
  <c r="AW35" i="844"/>
  <c r="AW36" i="844"/>
  <c r="AW37" i="844"/>
  <c r="AW38" i="844"/>
  <c r="AW39" i="844"/>
  <c r="AW40" i="844"/>
  <c r="AW41" i="844"/>
  <c r="AW42" i="844"/>
  <c r="AW43" i="844"/>
  <c r="AW44" i="844"/>
  <c r="AW45" i="844"/>
  <c r="AW46" i="844"/>
  <c r="AW47" i="844"/>
  <c r="AY47" i="844"/>
  <c r="BA47" i="844" a="1"/>
  <c r="AW48" i="844"/>
  <c r="AY48" i="844"/>
  <c r="BA48" i="844" a="1"/>
  <c r="AW49" i="844"/>
  <c r="AY49" i="844"/>
  <c r="BA49" i="844" a="1"/>
  <c r="AW50" i="844"/>
  <c r="AY50" i="844"/>
  <c r="BA50" i="844" a="1"/>
  <c r="AW51" i="844"/>
  <c r="AY51" i="844"/>
  <c r="BA51" i="844" a="1"/>
  <c r="V599" i="834"/>
  <c r="V598" i="834"/>
  <c r="V600" i="834"/>
  <c r="V601" i="834"/>
  <c r="V602" i="834"/>
  <c r="V603" i="834"/>
  <c r="V604" i="834"/>
  <c r="V605" i="834"/>
  <c r="V606" i="834"/>
  <c r="V607" i="834"/>
  <c r="V608" i="834"/>
  <c r="V609" i="834"/>
  <c r="V610" i="834"/>
  <c r="V611" i="834"/>
  <c r="V612" i="834"/>
  <c r="V613" i="834"/>
  <c r="V614" i="834"/>
  <c r="V615" i="834"/>
  <c r="V616" i="834"/>
  <c r="V617" i="834"/>
  <c r="V618" i="834"/>
  <c r="V619" i="834"/>
  <c r="V620" i="834"/>
  <c r="V621" i="834"/>
  <c r="V622" i="834"/>
  <c r="V623" i="834"/>
  <c r="V624" i="834"/>
  <c r="V625" i="834"/>
  <c r="V626" i="834"/>
  <c r="V627" i="834"/>
  <c r="V628" i="834"/>
  <c r="V629" i="834"/>
  <c r="V630" i="834"/>
  <c r="V631" i="834"/>
  <c r="V632" i="834"/>
  <c r="V633" i="834"/>
  <c r="V634" i="834"/>
  <c r="V635" i="834"/>
  <c r="V636" i="834"/>
  <c r="V637" i="834"/>
  <c r="V638" i="834"/>
  <c r="V639" i="834"/>
  <c r="V640" i="834"/>
  <c r="V641" i="834"/>
  <c r="F3" i="844"/>
  <c r="AU21" i="844" a="1"/>
  <c r="Z21" i="844" s="1"/>
  <c r="AV21" i="844"/>
  <c r="AU22" i="844" a="1"/>
  <c r="Z22" i="844" s="1"/>
  <c r="AV22" i="844"/>
  <c r="AU23" i="844" a="1"/>
  <c r="Z23" i="844" s="1"/>
  <c r="AV23" i="844"/>
  <c r="AU24" i="844" a="1"/>
  <c r="Z24" i="844" s="1"/>
  <c r="AV24" i="844"/>
  <c r="AU25" i="844" a="1"/>
  <c r="Z25" i="844" s="1"/>
  <c r="AV25" i="844"/>
  <c r="AU26" i="844" a="1"/>
  <c r="Z26" i="844" s="1"/>
  <c r="AV26" i="844"/>
  <c r="AU27" i="844" a="1"/>
  <c r="Z27" i="844" s="1"/>
  <c r="AV27" i="844"/>
  <c r="Y27" i="844" s="1"/>
  <c r="AU28" i="844" a="1"/>
  <c r="Z28" i="844" s="1"/>
  <c r="AV28" i="844"/>
  <c r="Y28" i="844" s="1"/>
  <c r="AU29" i="844" a="1"/>
  <c r="Z29" i="844" s="1"/>
  <c r="AV29" i="844"/>
  <c r="AU30" i="844" a="1"/>
  <c r="Z30" i="844" s="1"/>
  <c r="AV30" i="844"/>
  <c r="Y30" i="844" s="1"/>
  <c r="AU31" i="844" a="1"/>
  <c r="Z31" i="844" s="1"/>
  <c r="AV31" i="844"/>
  <c r="AU32" i="844" a="1"/>
  <c r="Z32" i="844" s="1"/>
  <c r="AV32" i="844"/>
  <c r="Y32" i="844" s="1"/>
  <c r="AU33" i="844" a="1"/>
  <c r="Z33" i="844" s="1"/>
  <c r="AV33" i="844"/>
  <c r="Y33" i="844" s="1"/>
  <c r="AU34" i="844" a="1"/>
  <c r="Z34" i="844" s="1"/>
  <c r="AV34" i="844"/>
  <c r="Y34" i="844" s="1"/>
  <c r="AU35" i="844" a="1"/>
  <c r="Z35" i="844" s="1"/>
  <c r="AV35" i="844"/>
  <c r="AU36" i="844" a="1"/>
  <c r="Z36" i="844" s="1"/>
  <c r="AV36" i="844"/>
  <c r="AU37" i="844" a="1"/>
  <c r="Z37" i="844" s="1"/>
  <c r="AV37" i="844"/>
  <c r="AU38" i="844" a="1"/>
  <c r="Z38" i="844" s="1"/>
  <c r="AV38" i="844"/>
  <c r="AU39" i="844" a="1"/>
  <c r="Z39" i="844" s="1"/>
  <c r="AV39" i="844"/>
  <c r="AU40" i="844" a="1"/>
  <c r="Z40" i="844" s="1"/>
  <c r="AV40" i="844"/>
  <c r="AU41" i="844" a="1"/>
  <c r="Z41" i="844" s="1"/>
  <c r="AV41" i="844"/>
  <c r="Y41" i="844" s="1"/>
  <c r="AU42" i="844" a="1"/>
  <c r="Z42" i="844" s="1"/>
  <c r="AV42" i="844"/>
  <c r="AU43" i="844" a="1"/>
  <c r="Z43" i="844" s="1"/>
  <c r="AV43" i="844"/>
  <c r="Y43" i="844" s="1"/>
  <c r="AU44" i="844" a="1"/>
  <c r="Z44" i="844" s="1"/>
  <c r="AV44" i="844"/>
  <c r="Y44" i="844" s="1"/>
  <c r="AU45" i="844" a="1"/>
  <c r="Z45" i="844" s="1"/>
  <c r="AV45" i="844"/>
  <c r="AU46" i="844" a="1"/>
  <c r="Z46" i="844" s="1"/>
  <c r="AV46" i="844"/>
  <c r="AU47" i="844" a="1"/>
  <c r="AV47" i="844"/>
  <c r="Y47" i="844" s="1"/>
  <c r="AU48" i="844" a="1"/>
  <c r="AV48" i="844"/>
  <c r="AU49" i="844" a="1"/>
  <c r="AV49" i="844"/>
  <c r="AU50" i="844" a="1"/>
  <c r="AV50" i="844"/>
  <c r="Y50" i="844" s="1"/>
  <c r="AU51" i="844" a="1"/>
  <c r="AV51" i="844"/>
  <c r="S371" i="124"/>
  <c r="S372" i="124"/>
  <c r="S373" i="124"/>
  <c r="S374" i="124"/>
  <c r="S375" i="124"/>
  <c r="S376" i="124"/>
  <c r="S377" i="124"/>
  <c r="S378" i="124"/>
  <c r="S379" i="124"/>
  <c r="S380" i="124"/>
  <c r="S381" i="124"/>
  <c r="S382" i="124"/>
  <c r="S383" i="124"/>
  <c r="S384" i="124"/>
  <c r="S385" i="124"/>
  <c r="S386" i="124"/>
  <c r="S387" i="124"/>
  <c r="S388" i="124"/>
  <c r="S389" i="124"/>
  <c r="S390" i="124"/>
  <c r="S391" i="124"/>
  <c r="S392" i="124"/>
  <c r="S393" i="124"/>
  <c r="S394" i="124"/>
  <c r="S395" i="124"/>
  <c r="S396" i="124"/>
  <c r="S397" i="124"/>
  <c r="S398" i="124"/>
  <c r="S399" i="124"/>
  <c r="S400" i="124"/>
  <c r="S401" i="124"/>
  <c r="S402" i="124"/>
  <c r="S403" i="124"/>
  <c r="S404" i="124"/>
  <c r="S405" i="124"/>
  <c r="S406" i="124"/>
  <c r="S407" i="124"/>
  <c r="S408" i="124"/>
  <c r="S409" i="124"/>
  <c r="S410" i="124"/>
  <c r="S411" i="124"/>
  <c r="S412" i="124"/>
  <c r="S413" i="124"/>
  <c r="S414" i="124"/>
  <c r="S415" i="124"/>
  <c r="S416" i="124"/>
  <c r="S417" i="124"/>
  <c r="S418" i="124"/>
  <c r="S419" i="124"/>
  <c r="S420" i="124"/>
  <c r="S421" i="124"/>
  <c r="S422" i="124"/>
  <c r="S423" i="124"/>
  <c r="S424" i="124"/>
  <c r="S425" i="124"/>
  <c r="S426" i="124"/>
  <c r="S427" i="124"/>
  <c r="S428" i="124"/>
  <c r="S429" i="124"/>
  <c r="S430" i="124"/>
  <c r="S431" i="124"/>
  <c r="S432" i="124"/>
  <c r="J96" i="782"/>
  <c r="J97" i="782"/>
  <c r="J98" i="782"/>
  <c r="J99" i="782"/>
  <c r="D96" i="782"/>
  <c r="D97" i="782"/>
  <c r="D98" i="782"/>
  <c r="D99" i="782"/>
  <c r="J19" i="838"/>
  <c r="J20" i="838"/>
  <c r="S12" i="408"/>
  <c r="S11" i="408"/>
  <c r="V566" i="834"/>
  <c r="V472" i="834"/>
  <c r="V473" i="834"/>
  <c r="V474" i="834"/>
  <c r="V475" i="834"/>
  <c r="V476" i="834"/>
  <c r="V477" i="834"/>
  <c r="V478" i="834"/>
  <c r="V479" i="834"/>
  <c r="V480" i="834"/>
  <c r="V481" i="834"/>
  <c r="V482" i="834"/>
  <c r="V483" i="834"/>
  <c r="V484" i="834"/>
  <c r="V485" i="834"/>
  <c r="V486" i="834"/>
  <c r="V487" i="834"/>
  <c r="V488" i="834"/>
  <c r="V489" i="834"/>
  <c r="V490" i="834"/>
  <c r="V491" i="834"/>
  <c r="V492" i="834"/>
  <c r="V493" i="834"/>
  <c r="V494" i="834"/>
  <c r="V495" i="834"/>
  <c r="V496" i="834"/>
  <c r="V497" i="834"/>
  <c r="V498" i="834"/>
  <c r="V499" i="834"/>
  <c r="V500" i="834"/>
  <c r="V501" i="834"/>
  <c r="V502" i="834"/>
  <c r="V503" i="834"/>
  <c r="V504" i="834"/>
  <c r="V505" i="834"/>
  <c r="V506" i="834"/>
  <c r="V507" i="834"/>
  <c r="V508" i="834"/>
  <c r="V509" i="834"/>
  <c r="V510" i="834"/>
  <c r="V511" i="834"/>
  <c r="V512" i="834"/>
  <c r="V513" i="834"/>
  <c r="V514" i="834"/>
  <c r="V515" i="834"/>
  <c r="V516" i="834"/>
  <c r="V517" i="834"/>
  <c r="V518" i="834"/>
  <c r="V519" i="834"/>
  <c r="V520" i="834"/>
  <c r="V521" i="834"/>
  <c r="V522" i="834"/>
  <c r="V523" i="834"/>
  <c r="V524" i="834"/>
  <c r="V525" i="834"/>
  <c r="V526" i="834"/>
  <c r="V527" i="834"/>
  <c r="V528" i="834"/>
  <c r="V529" i="834"/>
  <c r="V530" i="834"/>
  <c r="V531" i="834"/>
  <c r="V532" i="834"/>
  <c r="V533" i="834"/>
  <c r="V534" i="834"/>
  <c r="V535" i="834"/>
  <c r="V536" i="834"/>
  <c r="V537" i="834"/>
  <c r="V538" i="834"/>
  <c r="V539" i="834"/>
  <c r="V540" i="834"/>
  <c r="V541" i="834"/>
  <c r="V542" i="834"/>
  <c r="V543" i="834"/>
  <c r="V544" i="834"/>
  <c r="V545" i="834"/>
  <c r="V546" i="834"/>
  <c r="V547" i="834"/>
  <c r="V548" i="834"/>
  <c r="V549" i="834"/>
  <c r="V550" i="834"/>
  <c r="V551" i="834"/>
  <c r="V552" i="834"/>
  <c r="V553" i="834"/>
  <c r="V554" i="834"/>
  <c r="V555" i="834"/>
  <c r="V556" i="834"/>
  <c r="V557" i="834"/>
  <c r="V558" i="834"/>
  <c r="V559" i="834"/>
  <c r="V560" i="834"/>
  <c r="V561" i="834"/>
  <c r="V562" i="834"/>
  <c r="V563" i="834"/>
  <c r="V564" i="834"/>
  <c r="V565" i="834"/>
  <c r="V567" i="834"/>
  <c r="V568" i="834"/>
  <c r="V569" i="834"/>
  <c r="V570" i="834"/>
  <c r="V571" i="834"/>
  <c r="V572" i="834"/>
  <c r="V573" i="834"/>
  <c r="V574" i="834"/>
  <c r="V575" i="834"/>
  <c r="V576" i="834"/>
  <c r="V577" i="834"/>
  <c r="V578" i="834"/>
  <c r="V579" i="834"/>
  <c r="V580" i="834"/>
  <c r="V581" i="834"/>
  <c r="V582" i="834"/>
  <c r="V583" i="834"/>
  <c r="V584" i="834"/>
  <c r="V585" i="834"/>
  <c r="V586" i="834"/>
  <c r="V587" i="834"/>
  <c r="V588" i="834"/>
  <c r="V589" i="834"/>
  <c r="V590" i="834"/>
  <c r="V591" i="834"/>
  <c r="V592" i="834"/>
  <c r="V593" i="834"/>
  <c r="V594" i="834"/>
  <c r="V595" i="834"/>
  <c r="V596" i="834"/>
  <c r="V597" i="834"/>
  <c r="Y22" i="844"/>
  <c r="Y24" i="844"/>
  <c r="Y21" i="844"/>
  <c r="Y23" i="844"/>
  <c r="AU20" i="844" a="1"/>
  <c r="Z20" i="844" s="1"/>
  <c r="AV20" i="844"/>
  <c r="Y20" i="844" s="1"/>
  <c r="AW20" i="844"/>
  <c r="Y25" i="844"/>
  <c r="Y29" i="844"/>
  <c r="Y31" i="844"/>
  <c r="Y26" i="844"/>
  <c r="D94" i="782"/>
  <c r="J94" i="782"/>
  <c r="D95" i="782"/>
  <c r="J95" i="782"/>
  <c r="S370" i="124"/>
  <c r="S10" i="408"/>
  <c r="J91" i="782"/>
  <c r="J92" i="782"/>
  <c r="J93" i="782"/>
  <c r="D91" i="782"/>
  <c r="D92" i="782"/>
  <c r="D93" i="782"/>
  <c r="D90" i="782"/>
  <c r="J90" i="782"/>
  <c r="S369" i="124"/>
  <c r="D89" i="782"/>
  <c r="S368" i="124"/>
  <c r="S367" i="124"/>
  <c r="S366" i="124"/>
  <c r="R10" i="834"/>
  <c r="D87" i="782"/>
  <c r="J87" i="782"/>
  <c r="D88" i="782"/>
  <c r="J88" i="782"/>
  <c r="S365" i="124"/>
  <c r="S359" i="124"/>
  <c r="S360" i="124"/>
  <c r="S361" i="124"/>
  <c r="S362" i="124"/>
  <c r="S363" i="124"/>
  <c r="S364" i="124"/>
  <c r="S354" i="124"/>
  <c r="S355" i="124"/>
  <c r="S356" i="124"/>
  <c r="S357" i="124"/>
  <c r="S358" i="124"/>
  <c r="S353" i="124"/>
  <c r="S352" i="124"/>
  <c r="S351" i="124"/>
  <c r="S349" i="124"/>
  <c r="S350" i="124"/>
  <c r="M6" i="834"/>
  <c r="D86" i="782"/>
  <c r="J86" i="782"/>
  <c r="J84" i="782"/>
  <c r="J85" i="782"/>
  <c r="D84" i="782"/>
  <c r="D85" i="782"/>
  <c r="S346" i="124"/>
  <c r="S347" i="124"/>
  <c r="S348" i="124"/>
  <c r="S345" i="124"/>
  <c r="S344" i="124"/>
  <c r="S343" i="124"/>
  <c r="S342" i="124"/>
  <c r="S310" i="124"/>
  <c r="D83" i="782"/>
  <c r="J83" i="782"/>
  <c r="D82" i="782"/>
  <c r="J82" i="782"/>
  <c r="D81" i="782"/>
  <c r="S341" i="124"/>
  <c r="V420" i="834"/>
  <c r="V29" i="834"/>
  <c r="V30" i="834"/>
  <c r="V31" i="834"/>
  <c r="V32" i="834"/>
  <c r="V33" i="834"/>
  <c r="V34" i="834"/>
  <c r="V35" i="834"/>
  <c r="V36" i="834"/>
  <c r="V37" i="834"/>
  <c r="V38" i="834"/>
  <c r="V39" i="834"/>
  <c r="V40" i="834"/>
  <c r="V41" i="834"/>
  <c r="V42" i="834"/>
  <c r="V43" i="834"/>
  <c r="V44" i="834"/>
  <c r="V45" i="834"/>
  <c r="V46" i="834"/>
  <c r="V47" i="834"/>
  <c r="V48" i="834"/>
  <c r="V49" i="834"/>
  <c r="V50" i="834"/>
  <c r="V51" i="834"/>
  <c r="V52" i="834"/>
  <c r="V53" i="834"/>
  <c r="V54" i="834"/>
  <c r="V55" i="834"/>
  <c r="V56" i="834"/>
  <c r="V57" i="834"/>
  <c r="V58" i="834"/>
  <c r="V59" i="834"/>
  <c r="V60" i="834"/>
  <c r="V61" i="834"/>
  <c r="V62" i="834"/>
  <c r="V63" i="834"/>
  <c r="V64" i="834"/>
  <c r="V65" i="834"/>
  <c r="V66" i="834"/>
  <c r="V67" i="834"/>
  <c r="V68" i="834"/>
  <c r="V69" i="834"/>
  <c r="V70" i="834"/>
  <c r="V71" i="834"/>
  <c r="V72" i="834"/>
  <c r="V73" i="834"/>
  <c r="V74" i="834"/>
  <c r="V75" i="834"/>
  <c r="V76" i="834"/>
  <c r="V77" i="834"/>
  <c r="V78" i="834"/>
  <c r="V79" i="834"/>
  <c r="V80" i="834"/>
  <c r="V81" i="834"/>
  <c r="V82" i="834"/>
  <c r="V83" i="834"/>
  <c r="V84" i="834"/>
  <c r="V85" i="834"/>
  <c r="V86" i="834"/>
  <c r="V87" i="834"/>
  <c r="V88" i="834"/>
  <c r="V89" i="834"/>
  <c r="V90" i="834"/>
  <c r="V91" i="834"/>
  <c r="V92" i="834"/>
  <c r="V93" i="834"/>
  <c r="V94" i="834"/>
  <c r="V95" i="834"/>
  <c r="V96" i="834"/>
  <c r="V97" i="834"/>
  <c r="V98" i="834"/>
  <c r="V99" i="834"/>
  <c r="V100" i="834"/>
  <c r="V101" i="834"/>
  <c r="V102" i="834"/>
  <c r="V103" i="834"/>
  <c r="V104" i="834"/>
  <c r="V105" i="834"/>
  <c r="V106" i="834"/>
  <c r="V107" i="834"/>
  <c r="V108" i="834"/>
  <c r="V109" i="834"/>
  <c r="V110" i="834"/>
  <c r="V111" i="834"/>
  <c r="V112" i="834"/>
  <c r="V113" i="834"/>
  <c r="V114" i="834"/>
  <c r="V115" i="834"/>
  <c r="V116" i="834"/>
  <c r="V117" i="834"/>
  <c r="V118" i="834"/>
  <c r="V119" i="834"/>
  <c r="V120" i="834"/>
  <c r="V121" i="834"/>
  <c r="V122" i="834"/>
  <c r="V123" i="834"/>
  <c r="V124" i="834"/>
  <c r="V125" i="834"/>
  <c r="V126" i="834"/>
  <c r="V127" i="834"/>
  <c r="V128" i="834"/>
  <c r="V129" i="834"/>
  <c r="V130" i="834"/>
  <c r="V131" i="834"/>
  <c r="V132" i="834"/>
  <c r="V133" i="834"/>
  <c r="V134" i="834"/>
  <c r="V135" i="834"/>
  <c r="V136" i="834"/>
  <c r="V137" i="834"/>
  <c r="V138" i="834"/>
  <c r="V139" i="834"/>
  <c r="V140" i="834"/>
  <c r="V141" i="834"/>
  <c r="V142" i="834"/>
  <c r="V143" i="834"/>
  <c r="V144" i="834"/>
  <c r="V145" i="834"/>
  <c r="V146" i="834"/>
  <c r="V147" i="834"/>
  <c r="V148" i="834"/>
  <c r="V149" i="834"/>
  <c r="V150" i="834"/>
  <c r="V151" i="834"/>
  <c r="V152" i="834"/>
  <c r="V153" i="834"/>
  <c r="V154" i="834"/>
  <c r="V155" i="834"/>
  <c r="V156" i="834"/>
  <c r="V157" i="834"/>
  <c r="V158" i="834"/>
  <c r="V159" i="834"/>
  <c r="V160" i="834"/>
  <c r="V161" i="834"/>
  <c r="V162" i="834"/>
  <c r="V163" i="834"/>
  <c r="V164" i="834"/>
  <c r="V165" i="834"/>
  <c r="V166" i="834"/>
  <c r="V167" i="834"/>
  <c r="V168" i="834"/>
  <c r="V169" i="834"/>
  <c r="V170" i="834"/>
  <c r="V171" i="834"/>
  <c r="V172" i="834"/>
  <c r="V173" i="834"/>
  <c r="V174" i="834"/>
  <c r="V175" i="834"/>
  <c r="V176" i="834"/>
  <c r="V177" i="834"/>
  <c r="V178" i="834"/>
  <c r="V179" i="834"/>
  <c r="V180" i="834"/>
  <c r="V181" i="834"/>
  <c r="V182" i="834"/>
  <c r="V183" i="834"/>
  <c r="V184" i="834"/>
  <c r="V185" i="834"/>
  <c r="V186" i="834"/>
  <c r="V187" i="834"/>
  <c r="V188" i="834"/>
  <c r="V189" i="834"/>
  <c r="V190" i="834"/>
  <c r="V191" i="834"/>
  <c r="V192" i="834"/>
  <c r="V193" i="834"/>
  <c r="V194" i="834"/>
  <c r="V195" i="834"/>
  <c r="V196" i="834"/>
  <c r="V197" i="834"/>
  <c r="V198" i="834"/>
  <c r="V199" i="834"/>
  <c r="V200" i="834"/>
  <c r="V201" i="834"/>
  <c r="V202" i="834"/>
  <c r="V203" i="834"/>
  <c r="V204" i="834"/>
  <c r="V205" i="834"/>
  <c r="V206" i="834"/>
  <c r="V207" i="834"/>
  <c r="V208" i="834"/>
  <c r="V209" i="834"/>
  <c r="V210" i="834"/>
  <c r="V211" i="834"/>
  <c r="V212" i="834"/>
  <c r="V213" i="834"/>
  <c r="V214" i="834"/>
  <c r="V215" i="834"/>
  <c r="V216" i="834"/>
  <c r="V217" i="834"/>
  <c r="V218" i="834"/>
  <c r="V219" i="834"/>
  <c r="V220" i="834"/>
  <c r="V221" i="834"/>
  <c r="V222" i="834"/>
  <c r="V223" i="834"/>
  <c r="V224" i="834"/>
  <c r="V225" i="834"/>
  <c r="V226" i="834"/>
  <c r="V227" i="834"/>
  <c r="V228" i="834"/>
  <c r="V229" i="834"/>
  <c r="V230" i="834"/>
  <c r="V231" i="834"/>
  <c r="V232" i="834"/>
  <c r="V233" i="834"/>
  <c r="V234" i="834"/>
  <c r="V235" i="834"/>
  <c r="V236" i="834"/>
  <c r="V237" i="834"/>
  <c r="V238" i="834"/>
  <c r="V239" i="834"/>
  <c r="V240" i="834"/>
  <c r="V241" i="834"/>
  <c r="V242" i="834"/>
  <c r="V243" i="834"/>
  <c r="V244" i="834"/>
  <c r="V245" i="834"/>
  <c r="V246" i="834"/>
  <c r="V247" i="834"/>
  <c r="V248" i="834"/>
  <c r="V249" i="834"/>
  <c r="V250" i="834"/>
  <c r="V251" i="834"/>
  <c r="V252" i="834"/>
  <c r="V253" i="834"/>
  <c r="V254" i="834"/>
  <c r="V255" i="834"/>
  <c r="V256" i="834"/>
  <c r="V257" i="834"/>
  <c r="V258" i="834"/>
  <c r="V259" i="834"/>
  <c r="V260" i="834"/>
  <c r="V261" i="834"/>
  <c r="V262" i="834"/>
  <c r="V263" i="834"/>
  <c r="V264" i="834"/>
  <c r="V265" i="834"/>
  <c r="V266" i="834"/>
  <c r="V267" i="834"/>
  <c r="V268" i="834"/>
  <c r="V269" i="834"/>
  <c r="V270" i="834"/>
  <c r="V271" i="834"/>
  <c r="V272" i="834"/>
  <c r="V273" i="834"/>
  <c r="V274" i="834"/>
  <c r="V275" i="834"/>
  <c r="V276" i="834"/>
  <c r="V277" i="834"/>
  <c r="V278" i="834"/>
  <c r="V279" i="834"/>
  <c r="V280" i="834"/>
  <c r="V281" i="834"/>
  <c r="V282" i="834"/>
  <c r="V283" i="834"/>
  <c r="V284" i="834"/>
  <c r="V285" i="834"/>
  <c r="V286" i="834"/>
  <c r="V287" i="834"/>
  <c r="V288" i="834"/>
  <c r="V289" i="834"/>
  <c r="V290" i="834"/>
  <c r="V291" i="834"/>
  <c r="V292" i="834"/>
  <c r="V293" i="834"/>
  <c r="V294" i="834"/>
  <c r="V295" i="834"/>
  <c r="V296" i="834"/>
  <c r="V297" i="834"/>
  <c r="V298" i="834"/>
  <c r="V299" i="834"/>
  <c r="V300" i="834"/>
  <c r="V301" i="834"/>
  <c r="V302" i="834"/>
  <c r="V303" i="834"/>
  <c r="V304" i="834"/>
  <c r="V305" i="834"/>
  <c r="V306" i="834"/>
  <c r="V307" i="834"/>
  <c r="V308" i="834"/>
  <c r="V309" i="834"/>
  <c r="V310" i="834"/>
  <c r="V311" i="834"/>
  <c r="V312" i="834"/>
  <c r="V313" i="834"/>
  <c r="V314" i="834"/>
  <c r="V315" i="834"/>
  <c r="V316" i="834"/>
  <c r="V317" i="834"/>
  <c r="V318" i="834"/>
  <c r="V319" i="834"/>
  <c r="V320" i="834"/>
  <c r="V321" i="834"/>
  <c r="V322" i="834"/>
  <c r="V323" i="834"/>
  <c r="V324" i="834"/>
  <c r="V325" i="834"/>
  <c r="V326" i="834"/>
  <c r="V327" i="834"/>
  <c r="V328" i="834"/>
  <c r="V329" i="834"/>
  <c r="V330" i="834"/>
  <c r="V331" i="834"/>
  <c r="V332" i="834"/>
  <c r="V333" i="834"/>
  <c r="V334" i="834"/>
  <c r="V335" i="834"/>
  <c r="V336" i="834"/>
  <c r="V337" i="834"/>
  <c r="V338" i="834"/>
  <c r="V339" i="834"/>
  <c r="V340" i="834"/>
  <c r="V341" i="834"/>
  <c r="V342" i="834"/>
  <c r="V343" i="834"/>
  <c r="V344" i="834"/>
  <c r="V345" i="834"/>
  <c r="V346" i="834"/>
  <c r="V347" i="834"/>
  <c r="V348" i="834"/>
  <c r="V349" i="834"/>
  <c r="V350" i="834"/>
  <c r="V351" i="834"/>
  <c r="V352" i="834"/>
  <c r="V353" i="834"/>
  <c r="V354" i="834"/>
  <c r="V355" i="834"/>
  <c r="V356" i="834"/>
  <c r="V357" i="834"/>
  <c r="V358" i="834"/>
  <c r="V359" i="834"/>
  <c r="V360" i="834"/>
  <c r="V361" i="834"/>
  <c r="V362" i="834"/>
  <c r="V363" i="834"/>
  <c r="V364" i="834"/>
  <c r="V365" i="834"/>
  <c r="V366" i="834"/>
  <c r="V367" i="834"/>
  <c r="V368" i="834"/>
  <c r="V369" i="834"/>
  <c r="V370" i="834"/>
  <c r="V371" i="834"/>
  <c r="V372" i="834"/>
  <c r="V373" i="834"/>
  <c r="V374" i="834"/>
  <c r="V375" i="834"/>
  <c r="V376" i="834"/>
  <c r="V377" i="834"/>
  <c r="V378" i="834"/>
  <c r="V379" i="834"/>
  <c r="V380" i="834"/>
  <c r="V381" i="834"/>
  <c r="V382" i="834"/>
  <c r="V383" i="834"/>
  <c r="V384" i="834"/>
  <c r="V385" i="834"/>
  <c r="V386" i="834"/>
  <c r="V387" i="834"/>
  <c r="V388" i="834"/>
  <c r="V389" i="834"/>
  <c r="V390" i="834"/>
  <c r="V391" i="834"/>
  <c r="V392" i="834"/>
  <c r="V393" i="834"/>
  <c r="V394" i="834"/>
  <c r="V395" i="834"/>
  <c r="V396" i="834"/>
  <c r="V397" i="834"/>
  <c r="V398" i="834"/>
  <c r="V399" i="834"/>
  <c r="V400" i="834"/>
  <c r="V401" i="834"/>
  <c r="V402" i="834"/>
  <c r="V403" i="834"/>
  <c r="V404" i="834"/>
  <c r="V405" i="834"/>
  <c r="V406" i="834"/>
  <c r="V407" i="834"/>
  <c r="V408" i="834"/>
  <c r="V409" i="834"/>
  <c r="V410" i="834"/>
  <c r="V411" i="834"/>
  <c r="V412" i="834"/>
  <c r="V413" i="834"/>
  <c r="V414" i="834"/>
  <c r="V415" i="834"/>
  <c r="V416" i="834"/>
  <c r="V417" i="834"/>
  <c r="V418" i="834"/>
  <c r="V419" i="834"/>
  <c r="V421" i="834"/>
  <c r="V422" i="834"/>
  <c r="V423" i="834"/>
  <c r="V424" i="834"/>
  <c r="V425" i="834"/>
  <c r="V426" i="834"/>
  <c r="V427" i="834"/>
  <c r="V428" i="834"/>
  <c r="V429" i="834"/>
  <c r="V430" i="834"/>
  <c r="V431" i="834"/>
  <c r="V432" i="834"/>
  <c r="V433" i="834"/>
  <c r="V434" i="834"/>
  <c r="V435" i="834"/>
  <c r="V436" i="834"/>
  <c r="V437" i="834"/>
  <c r="V438" i="834"/>
  <c r="V439" i="834"/>
  <c r="V440" i="834"/>
  <c r="V441" i="834"/>
  <c r="V442" i="834"/>
  <c r="V443" i="834"/>
  <c r="V444" i="834"/>
  <c r="V445" i="834"/>
  <c r="V446" i="834"/>
  <c r="V447" i="834"/>
  <c r="V448" i="834"/>
  <c r="V449" i="834"/>
  <c r="V450" i="834"/>
  <c r="V451" i="834"/>
  <c r="V452" i="834"/>
  <c r="V453" i="834"/>
  <c r="V454" i="834"/>
  <c r="V455" i="834"/>
  <c r="V456" i="834"/>
  <c r="V457" i="834"/>
  <c r="V458" i="834"/>
  <c r="V459" i="834"/>
  <c r="V460" i="834"/>
  <c r="V461" i="834"/>
  <c r="V462" i="834"/>
  <c r="V463" i="834"/>
  <c r="V464" i="834"/>
  <c r="V465" i="834"/>
  <c r="V466" i="834"/>
  <c r="V467" i="834"/>
  <c r="V468" i="834"/>
  <c r="V469" i="834"/>
  <c r="V470" i="834"/>
  <c r="V471" i="834"/>
  <c r="V28" i="834"/>
  <c r="D80" i="782"/>
  <c r="S340" i="124"/>
  <c r="D79" i="782"/>
  <c r="D78" i="782"/>
  <c r="J78" i="782"/>
  <c r="S208" i="124"/>
  <c r="S209" i="124"/>
  <c r="S210" i="124"/>
  <c r="S211" i="124"/>
  <c r="S212" i="124"/>
  <c r="S213" i="124"/>
  <c r="S214" i="124"/>
  <c r="S215" i="124"/>
  <c r="S216" i="124"/>
  <c r="S217" i="124"/>
  <c r="S218" i="124"/>
  <c r="S219" i="124"/>
  <c r="S220" i="124"/>
  <c r="S221" i="124"/>
  <c r="S222" i="124"/>
  <c r="S223" i="124"/>
  <c r="S224" i="124"/>
  <c r="S225" i="124"/>
  <c r="S226" i="124"/>
  <c r="S227" i="124"/>
  <c r="S228" i="124"/>
  <c r="S229" i="124"/>
  <c r="S230" i="124"/>
  <c r="S231" i="124"/>
  <c r="S232" i="124"/>
  <c r="S233" i="124"/>
  <c r="S234" i="124"/>
  <c r="S235" i="124"/>
  <c r="S236" i="124"/>
  <c r="S237" i="124"/>
  <c r="S238" i="124"/>
  <c r="S239" i="124"/>
  <c r="S240" i="124"/>
  <c r="S241" i="124"/>
  <c r="S242" i="124"/>
  <c r="S243" i="124"/>
  <c r="S244" i="124"/>
  <c r="S245" i="124"/>
  <c r="S246" i="124"/>
  <c r="S247" i="124"/>
  <c r="S248" i="124"/>
  <c r="S249" i="124"/>
  <c r="S250" i="124"/>
  <c r="S251" i="124"/>
  <c r="S252" i="124"/>
  <c r="S253" i="124"/>
  <c r="S254" i="124"/>
  <c r="S255" i="124"/>
  <c r="S256" i="124"/>
  <c r="S257" i="124"/>
  <c r="S258" i="124"/>
  <c r="S259" i="124"/>
  <c r="S260" i="124"/>
  <c r="S261" i="124"/>
  <c r="S262" i="124"/>
  <c r="S263" i="124"/>
  <c r="S264" i="124"/>
  <c r="S265" i="124"/>
  <c r="S266" i="124"/>
  <c r="S267" i="124"/>
  <c r="S268" i="124"/>
  <c r="S269" i="124"/>
  <c r="S270" i="124"/>
  <c r="S271" i="124"/>
  <c r="S272" i="124"/>
  <c r="S273" i="124"/>
  <c r="S274" i="124"/>
  <c r="S275" i="124"/>
  <c r="S276" i="124"/>
  <c r="S277" i="124"/>
  <c r="S278" i="124"/>
  <c r="S279" i="124"/>
  <c r="S280" i="124"/>
  <c r="S281" i="124"/>
  <c r="S282" i="124"/>
  <c r="S283" i="124"/>
  <c r="S284" i="124"/>
  <c r="S285" i="124"/>
  <c r="S286" i="124"/>
  <c r="S287" i="124"/>
  <c r="S288" i="124"/>
  <c r="S289" i="124"/>
  <c r="S290" i="124"/>
  <c r="S291" i="124"/>
  <c r="S292" i="124"/>
  <c r="S293" i="124"/>
  <c r="S294" i="124"/>
  <c r="S295" i="124"/>
  <c r="S296" i="124"/>
  <c r="S297" i="124"/>
  <c r="S298" i="124"/>
  <c r="S299" i="124"/>
  <c r="S300" i="124"/>
  <c r="S301" i="124"/>
  <c r="S302" i="124"/>
  <c r="S303" i="124"/>
  <c r="S304" i="124"/>
  <c r="S305" i="124"/>
  <c r="S306" i="124"/>
  <c r="S307" i="124"/>
  <c r="S308" i="124"/>
  <c r="S309" i="124"/>
  <c r="S311" i="124"/>
  <c r="S312" i="124"/>
  <c r="S313" i="124"/>
  <c r="S314" i="124"/>
  <c r="S315" i="124"/>
  <c r="S316" i="124"/>
  <c r="S317" i="124"/>
  <c r="S318" i="124"/>
  <c r="S319" i="124"/>
  <c r="S320" i="124"/>
  <c r="S321" i="124"/>
  <c r="S322" i="124"/>
  <c r="S323" i="124"/>
  <c r="S324" i="124"/>
  <c r="S325" i="124"/>
  <c r="S326" i="124"/>
  <c r="S327" i="124"/>
  <c r="S328" i="124"/>
  <c r="S329" i="124"/>
  <c r="S330" i="124"/>
  <c r="S331" i="124"/>
  <c r="S332" i="124"/>
  <c r="S333" i="124"/>
  <c r="S334" i="124"/>
  <c r="S335" i="124"/>
  <c r="S336" i="124"/>
  <c r="S337" i="124"/>
  <c r="S338" i="124"/>
  <c r="S339" i="124"/>
  <c r="S207" i="124"/>
  <c r="J17" i="838"/>
  <c r="J18" i="838"/>
  <c r="J16" i="838"/>
  <c r="J15" i="838"/>
  <c r="D62" i="782"/>
  <c r="D63" i="782"/>
  <c r="D64" i="782"/>
  <c r="D65" i="782"/>
  <c r="D66" i="782"/>
  <c r="D67" i="782"/>
  <c r="D68" i="782"/>
  <c r="D69" i="782"/>
  <c r="D70" i="782"/>
  <c r="D71" i="782"/>
  <c r="D72" i="782"/>
  <c r="D73" i="782"/>
  <c r="D74" i="782"/>
  <c r="D75" i="782"/>
  <c r="D76" i="782"/>
  <c r="D77" i="782"/>
  <c r="J62" i="782"/>
  <c r="J63" i="782"/>
  <c r="J64" i="782"/>
  <c r="J65" i="782"/>
  <c r="J66" i="782"/>
  <c r="J67" i="782"/>
  <c r="J68" i="782"/>
  <c r="J69" i="782"/>
  <c r="J70" i="782"/>
  <c r="J71" i="782"/>
  <c r="J72" i="782"/>
  <c r="J73" i="782"/>
  <c r="J74" i="782"/>
  <c r="J75" i="782"/>
  <c r="J76" i="782"/>
  <c r="J77" i="782"/>
  <c r="J18" i="404"/>
  <c r="E8" i="404"/>
  <c r="AA13" i="404"/>
  <c r="E15" i="404"/>
  <c r="E17" i="404"/>
  <c r="E32" i="404"/>
  <c r="E34" i="404"/>
  <c r="J35" i="404"/>
  <c r="E26" i="404"/>
  <c r="P4" i="404"/>
  <c r="I8" i="404" s="1"/>
  <c r="Z5" i="404"/>
  <c r="C10" i="850"/>
  <c r="Z8" i="404"/>
  <c r="AE285" i="404"/>
  <c r="AE286" i="404"/>
  <c r="AE287" i="404"/>
  <c r="AE288" i="404"/>
  <c r="AE289" i="404"/>
  <c r="AE290" i="404"/>
  <c r="AE291" i="404"/>
  <c r="AE292" i="404"/>
  <c r="AE293" i="404"/>
  <c r="AE294" i="404"/>
  <c r="AE295" i="404"/>
  <c r="AE296" i="404"/>
  <c r="AE297" i="404"/>
  <c r="AE298" i="404"/>
  <c r="AE299" i="404"/>
  <c r="AE300" i="404"/>
  <c r="AE301" i="404"/>
  <c r="AE302" i="404"/>
  <c r="AE303" i="404"/>
  <c r="AE304" i="404"/>
  <c r="AE305" i="404"/>
  <c r="AE306" i="404"/>
  <c r="AE307" i="404"/>
  <c r="AE308" i="404"/>
  <c r="AE309" i="404"/>
  <c r="AE310" i="404"/>
  <c r="AE311" i="404"/>
  <c r="AE312" i="404"/>
  <c r="AE313" i="404"/>
  <c r="AE314" i="404"/>
  <c r="AE315" i="404"/>
  <c r="AE316" i="404"/>
  <c r="AE317" i="404"/>
  <c r="AE318" i="404"/>
  <c r="AE319" i="404"/>
  <c r="AE320" i="404"/>
  <c r="AE321" i="404"/>
  <c r="AE322" i="404"/>
  <c r="AE323" i="404"/>
  <c r="AE324" i="404"/>
  <c r="AE325" i="404"/>
  <c r="AE326" i="404"/>
  <c r="AE327" i="404"/>
  <c r="AE328" i="404"/>
  <c r="AE329" i="404"/>
  <c r="AE330" i="404"/>
  <c r="AE331" i="404"/>
  <c r="AE332" i="404"/>
  <c r="AE333" i="404"/>
  <c r="AE334" i="404"/>
  <c r="AE335" i="404"/>
  <c r="AE336" i="404"/>
  <c r="AE337" i="404"/>
  <c r="AE338" i="404"/>
  <c r="AE339" i="404"/>
  <c r="AE340" i="404"/>
  <c r="AE341" i="404"/>
  <c r="AE342" i="404"/>
  <c r="AE343" i="404"/>
  <c r="AE344" i="404"/>
  <c r="AE345" i="404"/>
  <c r="AE346" i="404"/>
  <c r="AE347" i="404"/>
  <c r="AE348" i="404"/>
  <c r="AE349" i="404"/>
  <c r="AE350" i="404"/>
  <c r="AE351" i="404"/>
  <c r="AE352" i="404"/>
  <c r="AE353" i="404"/>
  <c r="AE354" i="404"/>
  <c r="AE355" i="404"/>
  <c r="AE356" i="404"/>
  <c r="AE357" i="404"/>
  <c r="AE358" i="404"/>
  <c r="AE359" i="404"/>
  <c r="AE360" i="404"/>
  <c r="AE361" i="404"/>
  <c r="AE362" i="404"/>
  <c r="AE363" i="404"/>
  <c r="AE364" i="404"/>
  <c r="AE365" i="404"/>
  <c r="AE366" i="404"/>
  <c r="AE367" i="404"/>
  <c r="AE368" i="404"/>
  <c r="AE369" i="404"/>
  <c r="AE370" i="404"/>
  <c r="AE371" i="404"/>
  <c r="AE372" i="404"/>
  <c r="AE373" i="404"/>
  <c r="AE374" i="404"/>
  <c r="AE375" i="404"/>
  <c r="AE376" i="404"/>
  <c r="AE377" i="404"/>
  <c r="AE378" i="404"/>
  <c r="AE379" i="404"/>
  <c r="AE380" i="404"/>
  <c r="AE381" i="404"/>
  <c r="AE382" i="404"/>
  <c r="AE383" i="404"/>
  <c r="AE384" i="404"/>
  <c r="AE385" i="404"/>
  <c r="AE386" i="404"/>
  <c r="AE387" i="404"/>
  <c r="AE388" i="404"/>
  <c r="AE389" i="404"/>
  <c r="AE390" i="404"/>
  <c r="AE391" i="404"/>
  <c r="AE392" i="404"/>
  <c r="AE393" i="404"/>
  <c r="AE394" i="404"/>
  <c r="AE395" i="404"/>
  <c r="AE396" i="404"/>
  <c r="AE397" i="404"/>
  <c r="AE398" i="404"/>
  <c r="AE399" i="404"/>
  <c r="AE400" i="404"/>
  <c r="AE401" i="404"/>
  <c r="AE402" i="404"/>
  <c r="AE403" i="404"/>
  <c r="AE404" i="404"/>
  <c r="AE405" i="404"/>
  <c r="AE406" i="404"/>
  <c r="AE407" i="404"/>
  <c r="AE408" i="404"/>
  <c r="AE409" i="404"/>
  <c r="AE410" i="404"/>
  <c r="AE411" i="404"/>
  <c r="AE412" i="404"/>
  <c r="AE413" i="404"/>
  <c r="AE414" i="404"/>
  <c r="AE415" i="404"/>
  <c r="AE416" i="404"/>
  <c r="AE417" i="404"/>
  <c r="AE418" i="404"/>
  <c r="AE419" i="404"/>
  <c r="AE420" i="404"/>
  <c r="AE421" i="404"/>
  <c r="AE422" i="404"/>
  <c r="AE423" i="404"/>
  <c r="AE424" i="404"/>
  <c r="AE425" i="404"/>
  <c r="AE426" i="404"/>
  <c r="AE427" i="404"/>
  <c r="AE428" i="404"/>
  <c r="AE429" i="404"/>
  <c r="AE430" i="404"/>
  <c r="AE431" i="404"/>
  <c r="AE432" i="404"/>
  <c r="AE433" i="404"/>
  <c r="AE434" i="404"/>
  <c r="AE435" i="404"/>
  <c r="AE436" i="404"/>
  <c r="AE437" i="404"/>
  <c r="AE438" i="404"/>
  <c r="AE439" i="404"/>
  <c r="AE440" i="404"/>
  <c r="AE441" i="404"/>
  <c r="AE442" i="404"/>
  <c r="AE443" i="404"/>
  <c r="AE444" i="404"/>
  <c r="AE445" i="404"/>
  <c r="AE446" i="404"/>
  <c r="AE447" i="404"/>
  <c r="AE448" i="404"/>
  <c r="AE449" i="404"/>
  <c r="AE450" i="404"/>
  <c r="AE451" i="404"/>
  <c r="AE452" i="404"/>
  <c r="AE453" i="404"/>
  <c r="AE454" i="404"/>
  <c r="AE455" i="404"/>
  <c r="AE456" i="404"/>
  <c r="AE457" i="404"/>
  <c r="AE458" i="404"/>
  <c r="AE459" i="404"/>
  <c r="AE460" i="404"/>
  <c r="AE461" i="404"/>
  <c r="AE462" i="404"/>
  <c r="AE463" i="404"/>
  <c r="AE464" i="404"/>
  <c r="AE465" i="404"/>
  <c r="AE466" i="404"/>
  <c r="AE467" i="404"/>
  <c r="AE468" i="404"/>
  <c r="AE469" i="404"/>
  <c r="AE470" i="404"/>
  <c r="AE471" i="404"/>
  <c r="AE472" i="404"/>
  <c r="AE473" i="404"/>
  <c r="AE474" i="404"/>
  <c r="AE475" i="404"/>
  <c r="AE476" i="404"/>
  <c r="AE477" i="404"/>
  <c r="AE478" i="404"/>
  <c r="AE479" i="404"/>
  <c r="AE480" i="404"/>
  <c r="AE481" i="404"/>
  <c r="AE482" i="404"/>
  <c r="AE483" i="404"/>
  <c r="AE484" i="404"/>
  <c r="AE485" i="404"/>
  <c r="AE486" i="404"/>
  <c r="AE487" i="404"/>
  <c r="AE488" i="404"/>
  <c r="AE489" i="404"/>
  <c r="AE490" i="404"/>
  <c r="AE491" i="404"/>
  <c r="AE492" i="404"/>
  <c r="AE493" i="404"/>
  <c r="AE494" i="404"/>
  <c r="AE495" i="404"/>
  <c r="AE496" i="404"/>
  <c r="AE497" i="404"/>
  <c r="AE498" i="404"/>
  <c r="AE499" i="404"/>
  <c r="AE500" i="404"/>
  <c r="AE501" i="404"/>
  <c r="AE502" i="404"/>
  <c r="AE503" i="404"/>
  <c r="AE504" i="404"/>
  <c r="AE505" i="404"/>
  <c r="AE506" i="404"/>
  <c r="AE507" i="404"/>
  <c r="AE508" i="404"/>
  <c r="AE509" i="404"/>
  <c r="AE510" i="404"/>
  <c r="AE511" i="404"/>
  <c r="AE512" i="404"/>
  <c r="AE513" i="404"/>
  <c r="AE514" i="404"/>
  <c r="AE515" i="404"/>
  <c r="AE516" i="404"/>
  <c r="AE517" i="404"/>
  <c r="AE518" i="404"/>
  <c r="AE519" i="404"/>
  <c r="AE520" i="404"/>
  <c r="AE521" i="404"/>
  <c r="AE522" i="404"/>
  <c r="AE523" i="404"/>
  <c r="AE524" i="404"/>
  <c r="AE525" i="404"/>
  <c r="AE526" i="404"/>
  <c r="AE527" i="404"/>
  <c r="AE528" i="404"/>
  <c r="AE529" i="404"/>
  <c r="AE530" i="404"/>
  <c r="AE531" i="404"/>
  <c r="AE532" i="404"/>
  <c r="AE533" i="404"/>
  <c r="AE534" i="404"/>
  <c r="AE535" i="404"/>
  <c r="AE536" i="404"/>
  <c r="AE537" i="404"/>
  <c r="AE538" i="404"/>
  <c r="AE539" i="404"/>
  <c r="AE540" i="404"/>
  <c r="AE541" i="404"/>
  <c r="AE542" i="404"/>
  <c r="AE543" i="404"/>
  <c r="AE544" i="404"/>
  <c r="AE545" i="404"/>
  <c r="AE546" i="404"/>
  <c r="AE547" i="404"/>
  <c r="AE548" i="404"/>
  <c r="AE549" i="404"/>
  <c r="AE550" i="404"/>
  <c r="AE551" i="404"/>
  <c r="AE552" i="404"/>
  <c r="AE553" i="404"/>
  <c r="AE554" i="404"/>
  <c r="AE555" i="404"/>
  <c r="AE556" i="404"/>
  <c r="AE557" i="404"/>
  <c r="AE558" i="404"/>
  <c r="AE559" i="404"/>
  <c r="AE560" i="404"/>
  <c r="AE561" i="404"/>
  <c r="AE562" i="404"/>
  <c r="AE563" i="404"/>
  <c r="AE564" i="404"/>
  <c r="AE565" i="404"/>
  <c r="AE566" i="404"/>
  <c r="AE567" i="404"/>
  <c r="AE568" i="404"/>
  <c r="AE569" i="404"/>
  <c r="AE570" i="404"/>
  <c r="AE571" i="404"/>
  <c r="AE572" i="404"/>
  <c r="AE573" i="404"/>
  <c r="AE574" i="404"/>
  <c r="AE575" i="404"/>
  <c r="AE576" i="404"/>
  <c r="AE577" i="404"/>
  <c r="AE578" i="404"/>
  <c r="AE579" i="404"/>
  <c r="AE580" i="404"/>
  <c r="AE581" i="404"/>
  <c r="AE582" i="404"/>
  <c r="AE583" i="404"/>
  <c r="AE584" i="404"/>
  <c r="AE585" i="404"/>
  <c r="AE586" i="404"/>
  <c r="AE587" i="404"/>
  <c r="AE588" i="404"/>
  <c r="AE589" i="404"/>
  <c r="AE590" i="404"/>
  <c r="AE591" i="404"/>
  <c r="AE592" i="404"/>
  <c r="AE593" i="404"/>
  <c r="AE594" i="404"/>
  <c r="AE595" i="404"/>
  <c r="AE596" i="404"/>
  <c r="AE597" i="404"/>
  <c r="AE598" i="404"/>
  <c r="AE599" i="404"/>
  <c r="AE600" i="404"/>
  <c r="AE601" i="404"/>
  <c r="AE602" i="404"/>
  <c r="AE603" i="404"/>
  <c r="AE604" i="404"/>
  <c r="AE605" i="404"/>
  <c r="AE606" i="404"/>
  <c r="AE607" i="404"/>
  <c r="AE608" i="404"/>
  <c r="AE609" i="404"/>
  <c r="AE610" i="404"/>
  <c r="AE611" i="404"/>
  <c r="AE612" i="404"/>
  <c r="AE613" i="404"/>
  <c r="AE614" i="404"/>
  <c r="AE615" i="404"/>
  <c r="AE616" i="404"/>
  <c r="AE617" i="404"/>
  <c r="AE618" i="404"/>
  <c r="AE619" i="404"/>
  <c r="AE620" i="404"/>
  <c r="AE621" i="404"/>
  <c r="AE622" i="404"/>
  <c r="AE623" i="404"/>
  <c r="AE624" i="404"/>
  <c r="AE625" i="404"/>
  <c r="AE626" i="404"/>
  <c r="AE627" i="404"/>
  <c r="AE628" i="404"/>
  <c r="AE629" i="404"/>
  <c r="AE630" i="404"/>
  <c r="AE631" i="404"/>
  <c r="AE632" i="404"/>
  <c r="AE633" i="404"/>
  <c r="AE634" i="404"/>
  <c r="AE635" i="404"/>
  <c r="AE636" i="404"/>
  <c r="AE637" i="404"/>
  <c r="AE638" i="404"/>
  <c r="AE639" i="404"/>
  <c r="AE640" i="404"/>
  <c r="AE641" i="404"/>
  <c r="AE642" i="404"/>
  <c r="AE643" i="404"/>
  <c r="AE644" i="404"/>
  <c r="AE645" i="404"/>
  <c r="AE646" i="404"/>
  <c r="AE647" i="404"/>
  <c r="AE648" i="404"/>
  <c r="AE649" i="404"/>
  <c r="AE650" i="404"/>
  <c r="AE651" i="404"/>
  <c r="AE652" i="404"/>
  <c r="AE653" i="404"/>
  <c r="AE654" i="404"/>
  <c r="AE655" i="404"/>
  <c r="AE656" i="404"/>
  <c r="AE657" i="404"/>
  <c r="AE658" i="404"/>
  <c r="AE659" i="404"/>
  <c r="AE660" i="404"/>
  <c r="AE661" i="404"/>
  <c r="AE662" i="404"/>
  <c r="AE663" i="404"/>
  <c r="AE664" i="404"/>
  <c r="AE665" i="404"/>
  <c r="AE666" i="404"/>
  <c r="AE667" i="404"/>
  <c r="AE668" i="404"/>
  <c r="AE669" i="404"/>
  <c r="AE670" i="404"/>
  <c r="AE671" i="404"/>
  <c r="AE672" i="404"/>
  <c r="AE673" i="404"/>
  <c r="AE674" i="404"/>
  <c r="AE675" i="404"/>
  <c r="AE676" i="404"/>
  <c r="AE677" i="404"/>
  <c r="AE678" i="404"/>
  <c r="AE679" i="404"/>
  <c r="AE680" i="404"/>
  <c r="AE681" i="404"/>
  <c r="AE682" i="404"/>
  <c r="AE683" i="404"/>
  <c r="AE684" i="404"/>
  <c r="AE685" i="404"/>
  <c r="AE686" i="404"/>
  <c r="AE687" i="404"/>
  <c r="AE688" i="404"/>
  <c r="AE689" i="404"/>
  <c r="AE690" i="404"/>
  <c r="AE691" i="404"/>
  <c r="AE692" i="404"/>
  <c r="AE693" i="404"/>
  <c r="AE694" i="404"/>
  <c r="AE695" i="404"/>
  <c r="AE696" i="404"/>
  <c r="AE697" i="404"/>
  <c r="AE698" i="404"/>
  <c r="AE699" i="404"/>
  <c r="AE700" i="404"/>
  <c r="AE701" i="404"/>
  <c r="AE702" i="404"/>
  <c r="AE703" i="404"/>
  <c r="AE704" i="404"/>
  <c r="AE705" i="404"/>
  <c r="AE706" i="404"/>
  <c r="AE707" i="404"/>
  <c r="AE708" i="404"/>
  <c r="AE709" i="404"/>
  <c r="AE710" i="404"/>
  <c r="AE711" i="404"/>
  <c r="AE712" i="404"/>
  <c r="AE713" i="404"/>
  <c r="AE714" i="404"/>
  <c r="AE715" i="404"/>
  <c r="AE716" i="404"/>
  <c r="AE717" i="404"/>
  <c r="AE718" i="404"/>
  <c r="AE719" i="404"/>
  <c r="AE720" i="404"/>
  <c r="AE721" i="404"/>
  <c r="AE722" i="404"/>
  <c r="AE723" i="404"/>
  <c r="AE724" i="404"/>
  <c r="AE725" i="404"/>
  <c r="AE726" i="404"/>
  <c r="AE727" i="404"/>
  <c r="AE728" i="404"/>
  <c r="AE729" i="404"/>
  <c r="AE730" i="404"/>
  <c r="AE731" i="404"/>
  <c r="AE732" i="404"/>
  <c r="AE733" i="404"/>
  <c r="AE734" i="404"/>
  <c r="AE735" i="404"/>
  <c r="AE736" i="404"/>
  <c r="AE737" i="404"/>
  <c r="AE738" i="404"/>
  <c r="AE739" i="404"/>
  <c r="AE740" i="404"/>
  <c r="AE741" i="404"/>
  <c r="AE742" i="404"/>
  <c r="AE743" i="404"/>
  <c r="AE744" i="404"/>
  <c r="AE745" i="404"/>
  <c r="AE746" i="404"/>
  <c r="AE747" i="404"/>
  <c r="AE748" i="404"/>
  <c r="AE749" i="404"/>
  <c r="AE750" i="404"/>
  <c r="AE751" i="404"/>
  <c r="AE752" i="404"/>
  <c r="AE753" i="404"/>
  <c r="AE754" i="404"/>
  <c r="AE755" i="404"/>
  <c r="AE756" i="404"/>
  <c r="AE757" i="404"/>
  <c r="AE758" i="404"/>
  <c r="AE759" i="404"/>
  <c r="AE760" i="404"/>
  <c r="AE761" i="404"/>
  <c r="AE762" i="404"/>
  <c r="AE763" i="404"/>
  <c r="AE764" i="404"/>
  <c r="AE765" i="404"/>
  <c r="AE766" i="404"/>
  <c r="AE767" i="404"/>
  <c r="AE768" i="404"/>
  <c r="AE769" i="404"/>
  <c r="AE770" i="404"/>
  <c r="AE771" i="404"/>
  <c r="AE772" i="404"/>
  <c r="AE773" i="404"/>
  <c r="AE774" i="404"/>
  <c r="AE775" i="404"/>
  <c r="AE776" i="404"/>
  <c r="AE777" i="404"/>
  <c r="AE778" i="404"/>
  <c r="AE779" i="404"/>
  <c r="AE780" i="404"/>
  <c r="AE781" i="404"/>
  <c r="AE782" i="404"/>
  <c r="AE783" i="404"/>
  <c r="AE784" i="404"/>
  <c r="AE785" i="404"/>
  <c r="AE786" i="404"/>
  <c r="AE787" i="404"/>
  <c r="AE788" i="404"/>
  <c r="AE789" i="404"/>
  <c r="AE790" i="404"/>
  <c r="AE791" i="404"/>
  <c r="AE792" i="404"/>
  <c r="AE793" i="404"/>
  <c r="AE794" i="404"/>
  <c r="AE795" i="404"/>
  <c r="AE796" i="404"/>
  <c r="AE797" i="404"/>
  <c r="AE798" i="404"/>
  <c r="AE799" i="404"/>
  <c r="AE800" i="404"/>
  <c r="AE801" i="404"/>
  <c r="AE802" i="404"/>
  <c r="AE803" i="404"/>
  <c r="AE804" i="404"/>
  <c r="AE805" i="404"/>
  <c r="AE806" i="404"/>
  <c r="AE807" i="404"/>
  <c r="AE808" i="404"/>
  <c r="AE809" i="404"/>
  <c r="AE810" i="404"/>
  <c r="AE811" i="404"/>
  <c r="AE812" i="404"/>
  <c r="AE813" i="404"/>
  <c r="AE814" i="404"/>
  <c r="AE815" i="404"/>
  <c r="AE816" i="404"/>
  <c r="AE817" i="404"/>
  <c r="AE818" i="404"/>
  <c r="AE819" i="404"/>
  <c r="AE820" i="404"/>
  <c r="AE821" i="404"/>
  <c r="AE822" i="404"/>
  <c r="AE823" i="404"/>
  <c r="AE824" i="404"/>
  <c r="AE825" i="404"/>
  <c r="AE826" i="404"/>
  <c r="AE827" i="404"/>
  <c r="AE828" i="404"/>
  <c r="AE829" i="404"/>
  <c r="AE830" i="404"/>
  <c r="AE831" i="404"/>
  <c r="AE832" i="404"/>
  <c r="AE833" i="404"/>
  <c r="AE834" i="404"/>
  <c r="AE835" i="404"/>
  <c r="AE836" i="404"/>
  <c r="AE837" i="404"/>
  <c r="AE838" i="404"/>
  <c r="AE839" i="404"/>
  <c r="AE840" i="404"/>
  <c r="AE841" i="404"/>
  <c r="AE842" i="404"/>
  <c r="AE843" i="404"/>
  <c r="AE844" i="404"/>
  <c r="AE845" i="404"/>
  <c r="AE846" i="404"/>
  <c r="AE847" i="404"/>
  <c r="AE848" i="404"/>
  <c r="AE849" i="404"/>
  <c r="AE850" i="404"/>
  <c r="AE851" i="404"/>
  <c r="AE852" i="404"/>
  <c r="AE853" i="404"/>
  <c r="AE854" i="404"/>
  <c r="AE855" i="404"/>
  <c r="AE856" i="404"/>
  <c r="AE857" i="404"/>
  <c r="AE858" i="404"/>
  <c r="AE859" i="404"/>
  <c r="AE860" i="404"/>
  <c r="AE861" i="404"/>
  <c r="AE862" i="404"/>
  <c r="AE863" i="404"/>
  <c r="AE864" i="404"/>
  <c r="AE865" i="404"/>
  <c r="AE866" i="404"/>
  <c r="AE867" i="404"/>
  <c r="AE868" i="404"/>
  <c r="AE869" i="404"/>
  <c r="AE870" i="404"/>
  <c r="AE871" i="404"/>
  <c r="AE872" i="404"/>
  <c r="AE873" i="404"/>
  <c r="AE874" i="404"/>
  <c r="AE875" i="404"/>
  <c r="AE876" i="404"/>
  <c r="AE877" i="404"/>
  <c r="AE878" i="404"/>
  <c r="AE879" i="404"/>
  <c r="AE880" i="404"/>
  <c r="AE881" i="404"/>
  <c r="AE882" i="404"/>
  <c r="AE883" i="404"/>
  <c r="AE884" i="404"/>
  <c r="AE885" i="404"/>
  <c r="AE886" i="404"/>
  <c r="AE887" i="404"/>
  <c r="AE888" i="404"/>
  <c r="AE889" i="404"/>
  <c r="AE890" i="404"/>
  <c r="AE891" i="404"/>
  <c r="AE892" i="404"/>
  <c r="AE893" i="404"/>
  <c r="AE894" i="404"/>
  <c r="AE895" i="404"/>
  <c r="AE896" i="404"/>
  <c r="AE897" i="404"/>
  <c r="AE898" i="404"/>
  <c r="AE899" i="404"/>
  <c r="AE900" i="404"/>
  <c r="AE901" i="404"/>
  <c r="AE902" i="404"/>
  <c r="AE903" i="404"/>
  <c r="AE904" i="404"/>
  <c r="AE905" i="404"/>
  <c r="AE906" i="404"/>
  <c r="AE907" i="404"/>
  <c r="AE908" i="404"/>
  <c r="AE909" i="404"/>
  <c r="AE910" i="404"/>
  <c r="AE911" i="404"/>
  <c r="AE912" i="404"/>
  <c r="AE913" i="404"/>
  <c r="AE914" i="404"/>
  <c r="AE915" i="404"/>
  <c r="AE916" i="404"/>
  <c r="AE917" i="404"/>
  <c r="AE918" i="404"/>
  <c r="AE919" i="404"/>
  <c r="AE920" i="404"/>
  <c r="AE921" i="404"/>
  <c r="AE922" i="404"/>
  <c r="AE923" i="404"/>
  <c r="AE924" i="404"/>
  <c r="AE925" i="404"/>
  <c r="AE926" i="404"/>
  <c r="AE927" i="404"/>
  <c r="AE928" i="404"/>
  <c r="AE929" i="404"/>
  <c r="AE930" i="404"/>
  <c r="AE931" i="404"/>
  <c r="AE932" i="404"/>
  <c r="AE933" i="404"/>
  <c r="AE934" i="404"/>
  <c r="AE935" i="404"/>
  <c r="AE936" i="404"/>
  <c r="AE937" i="404"/>
  <c r="AE938" i="404"/>
  <c r="AE939" i="404"/>
  <c r="AE940" i="404"/>
  <c r="AE941" i="404"/>
  <c r="AE942" i="404"/>
  <c r="AE943" i="404"/>
  <c r="AE944" i="404"/>
  <c r="AE945" i="404"/>
  <c r="AE946" i="404"/>
  <c r="AE947" i="404"/>
  <c r="AE948" i="404"/>
  <c r="AE949" i="404"/>
  <c r="AE950" i="404"/>
  <c r="AE951" i="404"/>
  <c r="AE952" i="404"/>
  <c r="AE953" i="404"/>
  <c r="AE954" i="404"/>
  <c r="AE955" i="404"/>
  <c r="AE956" i="404"/>
  <c r="AE957" i="404"/>
  <c r="AE958" i="404"/>
  <c r="AE959" i="404"/>
  <c r="AE960" i="404"/>
  <c r="AE961" i="404"/>
  <c r="AE962" i="404"/>
  <c r="AE963" i="404"/>
  <c r="AE964" i="404"/>
  <c r="AE965" i="404"/>
  <c r="AE966" i="404"/>
  <c r="AE967" i="404"/>
  <c r="AE968" i="404"/>
  <c r="AE969" i="404"/>
  <c r="AE970" i="404"/>
  <c r="AE971" i="404"/>
  <c r="AE972" i="404"/>
  <c r="AE973" i="404"/>
  <c r="AE974" i="404"/>
  <c r="AE975" i="404"/>
  <c r="AE976" i="404"/>
  <c r="AE977" i="404"/>
  <c r="AE978" i="404"/>
  <c r="AE979" i="404"/>
  <c r="AE980" i="404"/>
  <c r="AE981" i="404"/>
  <c r="AE982" i="404"/>
  <c r="AE983" i="404"/>
  <c r="AE984" i="404"/>
  <c r="AE985" i="404"/>
  <c r="AE986" i="404"/>
  <c r="AE987" i="404"/>
  <c r="AE988" i="404"/>
  <c r="AE989" i="404"/>
  <c r="AE990" i="404"/>
  <c r="AE991" i="404"/>
  <c r="AE992" i="404"/>
  <c r="AE993" i="404"/>
  <c r="AE994" i="404"/>
  <c r="AE995" i="404"/>
  <c r="AE996" i="404"/>
  <c r="AE997" i="404"/>
  <c r="AE998" i="404"/>
  <c r="AE999" i="404"/>
  <c r="AE1000" i="404"/>
  <c r="AE1001" i="404"/>
  <c r="AE1002" i="404"/>
  <c r="AE1003" i="404"/>
  <c r="AE1004" i="404"/>
  <c r="AE1005" i="404"/>
  <c r="AE1006" i="404"/>
  <c r="AE1007" i="404"/>
  <c r="AE1008" i="404"/>
  <c r="AE1009" i="404"/>
  <c r="AE1010" i="404"/>
  <c r="AE1011" i="404"/>
  <c r="AE1012" i="404"/>
  <c r="AE1013" i="404"/>
  <c r="AE1014" i="404"/>
  <c r="AE1015" i="404"/>
  <c r="AE1016" i="404"/>
  <c r="AE1017" i="404"/>
  <c r="AE1018" i="404"/>
  <c r="AE1019" i="404"/>
  <c r="AE1020" i="404"/>
  <c r="AE1021" i="404"/>
  <c r="AE1022" i="404"/>
  <c r="AE1023" i="404"/>
  <c r="AE1024" i="404"/>
  <c r="AE1025" i="404"/>
  <c r="AE1026" i="404"/>
  <c r="AE1027" i="404"/>
  <c r="AE1028" i="404"/>
  <c r="AE1029" i="404"/>
  <c r="AE1030" i="404"/>
  <c r="AE1031" i="404"/>
  <c r="AE1032" i="404"/>
  <c r="AE1033" i="404"/>
  <c r="AE1034" i="404"/>
  <c r="AE1035" i="404"/>
  <c r="AE1036" i="404"/>
  <c r="AE1037" i="404"/>
  <c r="AE1038" i="404"/>
  <c r="AE1039" i="404"/>
  <c r="AE1040" i="404"/>
  <c r="AE1041" i="404"/>
  <c r="AE1042" i="404"/>
  <c r="AE1043" i="404"/>
  <c r="AE1044" i="404"/>
  <c r="AE1045" i="404"/>
  <c r="AE1046" i="404"/>
  <c r="AE1047" i="404"/>
  <c r="AE1048" i="404"/>
  <c r="AE1049" i="404"/>
  <c r="AE1050" i="404"/>
  <c r="AE1051" i="404"/>
  <c r="AE1052" i="404"/>
  <c r="AE1053" i="404"/>
  <c r="AE1054" i="404"/>
  <c r="AE1055" i="404"/>
  <c r="AE1056" i="404"/>
  <c r="AE1057" i="404"/>
  <c r="AE1058" i="404"/>
  <c r="AE1059" i="404"/>
  <c r="AE1060" i="404"/>
  <c r="AE1061" i="404"/>
  <c r="AE1062" i="404"/>
  <c r="AE1063" i="404"/>
  <c r="AE1064" i="404"/>
  <c r="AE1065" i="404"/>
  <c r="AE1066" i="404"/>
  <c r="AE1067" i="404"/>
  <c r="AE1068" i="404"/>
  <c r="AE1069" i="404"/>
  <c r="AE1070" i="404"/>
  <c r="AE1071" i="404"/>
  <c r="AE1072" i="404"/>
  <c r="AE1073" i="404"/>
  <c r="AE1074" i="404"/>
  <c r="AE1075" i="404"/>
  <c r="AE1076" i="404"/>
  <c r="AE1077" i="404"/>
  <c r="AE1078" i="404"/>
  <c r="AE1079" i="404"/>
  <c r="AE1080" i="404"/>
  <c r="AE1081" i="404"/>
  <c r="AE1082" i="404"/>
  <c r="AE1083" i="404"/>
  <c r="AE1084" i="404"/>
  <c r="AE1085" i="404"/>
  <c r="AE1086" i="404"/>
  <c r="AE1087" i="404"/>
  <c r="AE1088" i="404"/>
  <c r="AE1089" i="404"/>
  <c r="AE1090" i="404"/>
  <c r="AE1091" i="404"/>
  <c r="AE1092" i="404"/>
  <c r="AE1093" i="404"/>
  <c r="AE1094" i="404"/>
  <c r="AE1095" i="404"/>
  <c r="AE1096" i="404"/>
  <c r="AE1097" i="404"/>
  <c r="AE1098" i="404"/>
  <c r="AE1099" i="404"/>
  <c r="AE1100" i="404"/>
  <c r="AE1101" i="404"/>
  <c r="AE1102" i="404"/>
  <c r="AE1103" i="404"/>
  <c r="AE1104" i="404"/>
  <c r="AE1105" i="404"/>
  <c r="AE1106" i="404"/>
  <c r="AE1107" i="404"/>
  <c r="AE1108" i="404"/>
  <c r="AE1109" i="404"/>
  <c r="AE1110" i="404"/>
  <c r="AE1111" i="404"/>
  <c r="AE1112" i="404"/>
  <c r="AE1113" i="404"/>
  <c r="AE1114" i="404"/>
  <c r="AE1115" i="404"/>
  <c r="AE1116" i="404"/>
  <c r="AE1117" i="404"/>
  <c r="AE1118" i="404"/>
  <c r="AE1119" i="404"/>
  <c r="AE1120" i="404"/>
  <c r="AE1121" i="404"/>
  <c r="AE1122" i="404"/>
  <c r="AE1123" i="404"/>
  <c r="AE1124" i="404"/>
  <c r="AE1125" i="404"/>
  <c r="AE1126" i="404"/>
  <c r="AE1127" i="404"/>
  <c r="AE1128" i="404"/>
  <c r="AE1129" i="404"/>
  <c r="AE1130" i="404"/>
  <c r="AE1131" i="404"/>
  <c r="AE1132" i="404"/>
  <c r="AE1133" i="404"/>
  <c r="AE1134" i="404"/>
  <c r="AE1135" i="404"/>
  <c r="AE1136" i="404"/>
  <c r="AE1137" i="404"/>
  <c r="AE1138" i="404"/>
  <c r="AE1139" i="404"/>
  <c r="AE1140" i="404"/>
  <c r="AE1141" i="404"/>
  <c r="AE1142" i="404"/>
  <c r="AE1143" i="404"/>
  <c r="AE1144" i="404"/>
  <c r="AE1145" i="404"/>
  <c r="AE1146" i="404"/>
  <c r="AE1147" i="404"/>
  <c r="AE1148" i="404"/>
  <c r="AE1149" i="404"/>
  <c r="AE1150" i="404"/>
  <c r="AE1151" i="404"/>
  <c r="AE1152" i="404"/>
  <c r="AE1153" i="404"/>
  <c r="AE1154" i="404"/>
  <c r="AE1155" i="404"/>
  <c r="AE1156" i="404"/>
  <c r="AE1157" i="404"/>
  <c r="AE1158" i="404"/>
  <c r="AE1159" i="404"/>
  <c r="AE1160" i="404"/>
  <c r="AE1161" i="404"/>
  <c r="AE1162" i="404"/>
  <c r="AE1163" i="404"/>
  <c r="AE1164" i="404"/>
  <c r="AE1165" i="404"/>
  <c r="AE1166" i="404"/>
  <c r="AE1167" i="404"/>
  <c r="AE1168" i="404"/>
  <c r="AE1169" i="404"/>
  <c r="AE1170" i="404"/>
  <c r="AE1171" i="404"/>
  <c r="AE1172" i="404"/>
  <c r="AE1173" i="404"/>
  <c r="AE1174" i="404"/>
  <c r="AE1175" i="404"/>
  <c r="AE1176" i="404"/>
  <c r="AE1177" i="404"/>
  <c r="AE1178" i="404"/>
  <c r="AE1179" i="404"/>
  <c r="AE1180" i="404"/>
  <c r="AE1181" i="404"/>
  <c r="AE1182" i="404"/>
  <c r="AE1183" i="404"/>
  <c r="AE1184" i="404"/>
  <c r="AE1185" i="404"/>
  <c r="AE1186" i="404"/>
  <c r="AE1187" i="404"/>
  <c r="AE1188" i="404"/>
  <c r="AE1189" i="404"/>
  <c r="AE1190" i="404"/>
  <c r="AE1191" i="404"/>
  <c r="AE1192" i="404"/>
  <c r="AE1193" i="404"/>
  <c r="AE1194" i="404"/>
  <c r="AE1195" i="404"/>
  <c r="AE1196" i="404"/>
  <c r="AE1197" i="404"/>
  <c r="AE1198" i="404"/>
  <c r="AE1199" i="404"/>
  <c r="AE1200" i="404"/>
  <c r="AE1201" i="404"/>
  <c r="AE1202" i="404"/>
  <c r="AE1203" i="404"/>
  <c r="AE1204" i="404"/>
  <c r="AE1205" i="404"/>
  <c r="AE1206" i="404"/>
  <c r="AE1207" i="404"/>
  <c r="AE1208" i="404"/>
  <c r="AE1209" i="404"/>
  <c r="AE1210" i="404"/>
  <c r="AE1211" i="404"/>
  <c r="AE1212" i="404"/>
  <c r="AE1213" i="404"/>
  <c r="AE1214" i="404"/>
  <c r="AE1215" i="404"/>
  <c r="AE1216" i="404"/>
  <c r="AE1217" i="404"/>
  <c r="AE1218" i="404"/>
  <c r="AE1219" i="404"/>
  <c r="AE1220" i="404"/>
  <c r="AE1221" i="404"/>
  <c r="AE1222" i="404"/>
  <c r="AE1223" i="404"/>
  <c r="AE1224" i="404"/>
  <c r="AE1225" i="404"/>
  <c r="AE1226" i="404"/>
  <c r="AE1227" i="404"/>
  <c r="AE1228" i="404"/>
  <c r="AE1229" i="404"/>
  <c r="AE1230" i="404"/>
  <c r="AE1231" i="404"/>
  <c r="AE1232" i="404"/>
  <c r="AE1233" i="404"/>
  <c r="AE1234" i="404"/>
  <c r="AE1235" i="404"/>
  <c r="AE1236" i="404"/>
  <c r="AE1237" i="404"/>
  <c r="AE1238" i="404"/>
  <c r="AE1239" i="404"/>
  <c r="AE1240" i="404"/>
  <c r="AE1241" i="404"/>
  <c r="AE1242" i="404"/>
  <c r="AE1243" i="404"/>
  <c r="AE1244" i="404"/>
  <c r="AE1245" i="404"/>
  <c r="AE1246" i="404"/>
  <c r="AE1247" i="404"/>
  <c r="AE1248" i="404"/>
  <c r="AE1249" i="404"/>
  <c r="AE1250" i="404"/>
  <c r="AE1251" i="404"/>
  <c r="AE1252" i="404"/>
  <c r="AE1253" i="404"/>
  <c r="AE1254" i="404"/>
  <c r="AE1255" i="404"/>
  <c r="AE1256" i="404"/>
  <c r="AE1257" i="404"/>
  <c r="AE1258" i="404"/>
  <c r="AE1259" i="404"/>
  <c r="AE1260" i="404"/>
  <c r="AE1261" i="404"/>
  <c r="AE1262" i="404"/>
  <c r="AE1263" i="404"/>
  <c r="AE1264" i="404"/>
  <c r="AE1265" i="404"/>
  <c r="AE1266" i="404"/>
  <c r="AE1267" i="404"/>
  <c r="AE1268" i="404"/>
  <c r="AE1269" i="404"/>
  <c r="AE1270" i="404"/>
  <c r="AE1271" i="404"/>
  <c r="AE1272" i="404"/>
  <c r="AE1273" i="404"/>
  <c r="AE1274" i="404"/>
  <c r="AE1275" i="404"/>
  <c r="AE1276" i="404"/>
  <c r="AE1277" i="404"/>
  <c r="AE1278" i="404"/>
  <c r="AE1279" i="404"/>
  <c r="AE1280" i="404"/>
  <c r="AE1281" i="404"/>
  <c r="AE1282" i="404"/>
  <c r="AE1283" i="404"/>
  <c r="AE1284" i="404"/>
  <c r="AE1285" i="404"/>
  <c r="AE1286" i="404"/>
  <c r="AE1287" i="404"/>
  <c r="AE1288" i="404"/>
  <c r="AE1289" i="404"/>
  <c r="AE1290" i="404"/>
  <c r="AE1291" i="404"/>
  <c r="AE1292" i="404"/>
  <c r="AE1293" i="404"/>
  <c r="AE1294" i="404"/>
  <c r="AE1295" i="404"/>
  <c r="AE1296" i="404"/>
  <c r="AE1297" i="404"/>
  <c r="AE1298" i="404"/>
  <c r="AE1299" i="404"/>
  <c r="AE1300" i="404"/>
  <c r="AE1301" i="404"/>
  <c r="AE1302" i="404"/>
  <c r="AE1303" i="404"/>
  <c r="AE1304" i="404"/>
  <c r="AE1305" i="404"/>
  <c r="AE1306" i="404"/>
  <c r="AE1307" i="404"/>
  <c r="AE1308" i="404"/>
  <c r="AE1309" i="404"/>
  <c r="AE1310" i="404"/>
  <c r="AE1311" i="404"/>
  <c r="AE1312" i="404"/>
  <c r="AE1313" i="404"/>
  <c r="AE1314" i="404"/>
  <c r="AE1315" i="404"/>
  <c r="AE1316" i="404"/>
  <c r="AE1317" i="404"/>
  <c r="AE1318" i="404"/>
  <c r="AE1319" i="404"/>
  <c r="AE1320" i="404"/>
  <c r="AE1321" i="404"/>
  <c r="AE1322" i="404"/>
  <c r="AE1323" i="404"/>
  <c r="AE1324" i="404"/>
  <c r="AE1325" i="404"/>
  <c r="AE1326" i="404"/>
  <c r="AE1327" i="404"/>
  <c r="AE1328" i="404"/>
  <c r="AE1329" i="404"/>
  <c r="AE1330" i="404"/>
  <c r="AE1331" i="404"/>
  <c r="AE1332" i="404"/>
  <c r="AE1333" i="404"/>
  <c r="AE1334" i="404"/>
  <c r="AE1335" i="404"/>
  <c r="AE1336" i="404"/>
  <c r="AE1337" i="404"/>
  <c r="AE1338" i="404"/>
  <c r="AE1339" i="404"/>
  <c r="AE1340" i="404"/>
  <c r="AE1341" i="404"/>
  <c r="AE1342" i="404"/>
  <c r="AE1343" i="404"/>
  <c r="AE1344" i="404"/>
  <c r="AE1345" i="404"/>
  <c r="AE1346" i="404"/>
  <c r="AE1347" i="404"/>
  <c r="AE1348" i="404"/>
  <c r="AE1349" i="404"/>
  <c r="AE1350" i="404"/>
  <c r="AE1351" i="404"/>
  <c r="AE1352" i="404"/>
  <c r="AE1353" i="404"/>
  <c r="AE1354" i="404"/>
  <c r="AE1355" i="404"/>
  <c r="AE1356" i="404"/>
  <c r="AE1357" i="404"/>
  <c r="AE1358" i="404"/>
  <c r="AE1359" i="404"/>
  <c r="AE1360" i="404"/>
  <c r="AE1361" i="404"/>
  <c r="AE1362" i="404"/>
  <c r="AE1363" i="404"/>
  <c r="AE1364" i="404"/>
  <c r="AE1365" i="404"/>
  <c r="AE1366" i="404"/>
  <c r="AE1367" i="404"/>
  <c r="AE1368" i="404"/>
  <c r="AE1369" i="404"/>
  <c r="AE1370" i="404"/>
  <c r="AE1371" i="404"/>
  <c r="AE1372" i="404"/>
  <c r="AE1373" i="404"/>
  <c r="AE1374" i="404"/>
  <c r="AE1375" i="404"/>
  <c r="AE1376" i="404"/>
  <c r="AE1377" i="404"/>
  <c r="AE1378" i="404"/>
  <c r="AE1379" i="404"/>
  <c r="AE1380" i="404"/>
  <c r="AE1381" i="404"/>
  <c r="AE1382" i="404"/>
  <c r="AE1383" i="404"/>
  <c r="AE1384" i="404"/>
  <c r="AE1385" i="404"/>
  <c r="AE1386" i="404"/>
  <c r="AE1387" i="404"/>
  <c r="AE1388" i="404"/>
  <c r="AE1389" i="404"/>
  <c r="AE1390" i="404"/>
  <c r="AE1391" i="404"/>
  <c r="AE1392" i="404"/>
  <c r="AE1393" i="404"/>
  <c r="AE1394" i="404"/>
  <c r="AE1395" i="404"/>
  <c r="AE1396" i="404"/>
  <c r="AE1397" i="404"/>
  <c r="AE1398" i="404"/>
  <c r="AE1399" i="404"/>
  <c r="AE1400" i="404"/>
  <c r="AE1401" i="404"/>
  <c r="AE1402" i="404"/>
  <c r="AE1403" i="404"/>
  <c r="AE1404" i="404"/>
  <c r="AE1405" i="404"/>
  <c r="AE1406" i="404"/>
  <c r="AE1407" i="404"/>
  <c r="AE1408" i="404"/>
  <c r="AE1409" i="404"/>
  <c r="AE1410" i="404"/>
  <c r="AE1411" i="404"/>
  <c r="AE1412" i="404"/>
  <c r="AE1413" i="404"/>
  <c r="AE1414" i="404"/>
  <c r="AE1415" i="404"/>
  <c r="AE1416" i="404"/>
  <c r="AE1417" i="404"/>
  <c r="AE1418" i="404"/>
  <c r="AE1419" i="404"/>
  <c r="AE1420" i="404"/>
  <c r="AE1421" i="404"/>
  <c r="AE1422" i="404"/>
  <c r="AE1423" i="404"/>
  <c r="AE1424" i="404"/>
  <c r="AE1425" i="404"/>
  <c r="AE1426" i="404"/>
  <c r="AE1427" i="404"/>
  <c r="AE1428" i="404"/>
  <c r="AE1429" i="404"/>
  <c r="AE1430" i="404"/>
  <c r="AE1431" i="404"/>
  <c r="AE1432" i="404"/>
  <c r="AE1433" i="404"/>
  <c r="AE1434" i="404"/>
  <c r="AE1435" i="404"/>
  <c r="AE1436" i="404"/>
  <c r="AE1437" i="404"/>
  <c r="AE1438" i="404"/>
  <c r="AE1439" i="404"/>
  <c r="AE1440" i="404"/>
  <c r="AE1441" i="404"/>
  <c r="AE1442" i="404"/>
  <c r="AE1443" i="404"/>
  <c r="AE1444" i="404"/>
  <c r="AE1445" i="404"/>
  <c r="AE1446" i="404"/>
  <c r="AE1447" i="404"/>
  <c r="AE1448" i="404"/>
  <c r="AE1449" i="404"/>
  <c r="AE1450" i="404"/>
  <c r="AE1451" i="404"/>
  <c r="AE1452" i="404"/>
  <c r="AE1453" i="404"/>
  <c r="AE1454" i="404"/>
  <c r="AE1455" i="404"/>
  <c r="AE1456" i="404"/>
  <c r="AE1457" i="404"/>
  <c r="AE1458" i="404"/>
  <c r="AE1459" i="404"/>
  <c r="AE1460" i="404"/>
  <c r="AE1461" i="404"/>
  <c r="AE1462" i="404"/>
  <c r="AE1463" i="404"/>
  <c r="AE1464" i="404"/>
  <c r="AE1465" i="404"/>
  <c r="AE1466" i="404"/>
  <c r="AE1467" i="404"/>
  <c r="AE1468" i="404"/>
  <c r="AE1469" i="404"/>
  <c r="AE1470" i="404"/>
  <c r="AE1471" i="404"/>
  <c r="AE1472" i="404"/>
  <c r="AE1473" i="404"/>
  <c r="AE1474" i="404"/>
  <c r="AE1475" i="404"/>
  <c r="AE1476" i="404"/>
  <c r="AE1477" i="404"/>
  <c r="AE1478" i="404"/>
  <c r="AE1479" i="404"/>
  <c r="AE1480" i="404"/>
  <c r="AE1481" i="404"/>
  <c r="AE1482" i="404"/>
  <c r="AE1483" i="404"/>
  <c r="AE1484" i="404"/>
  <c r="AE1485" i="404"/>
  <c r="AE1486" i="404"/>
  <c r="AE1487" i="404"/>
  <c r="AE1488" i="404"/>
  <c r="AE1489" i="404"/>
  <c r="AE1490" i="404"/>
  <c r="AE1491" i="404"/>
  <c r="AE1492" i="404"/>
  <c r="AE1493" i="404"/>
  <c r="AE1494" i="404"/>
  <c r="AE1495" i="404"/>
  <c r="AE1496" i="404"/>
  <c r="AE1497" i="404"/>
  <c r="AE1498" i="404"/>
  <c r="AE1499" i="404"/>
  <c r="AE1500" i="404"/>
  <c r="AE1501" i="404"/>
  <c r="AE1502" i="404"/>
  <c r="AE1503" i="404"/>
  <c r="AE1504" i="404"/>
  <c r="AE1505" i="404"/>
  <c r="AE1506" i="404"/>
  <c r="AE1507" i="404"/>
  <c r="AE1508" i="404"/>
  <c r="AE1509" i="404"/>
  <c r="AE1510" i="404"/>
  <c r="AE1511" i="404"/>
  <c r="AE1512" i="404"/>
  <c r="AE1513" i="404"/>
  <c r="AE1514" i="404"/>
  <c r="AE1515" i="404"/>
  <c r="AE1516" i="404"/>
  <c r="AE1517" i="404"/>
  <c r="AE1518" i="404"/>
  <c r="AE1519" i="404"/>
  <c r="AE1520" i="404"/>
  <c r="AE1521" i="404"/>
  <c r="AE1522" i="404"/>
  <c r="AE1523" i="404"/>
  <c r="AE1524" i="404"/>
  <c r="AE1525" i="404"/>
  <c r="AE1526" i="404"/>
  <c r="AE1527" i="404"/>
  <c r="AE1528" i="404"/>
  <c r="AE1529" i="404"/>
  <c r="AE1530" i="404"/>
  <c r="AE1531" i="404"/>
  <c r="AE1532" i="404"/>
  <c r="AE1533" i="404"/>
  <c r="AE1534" i="404"/>
  <c r="AE1535" i="404"/>
  <c r="AE1536" i="404"/>
  <c r="AE1537" i="404"/>
  <c r="AE1538" i="404"/>
  <c r="AE1539" i="404"/>
  <c r="AE1540" i="404"/>
  <c r="AE1541" i="404"/>
  <c r="AE1542" i="404"/>
  <c r="AE1543" i="404"/>
  <c r="AE1544" i="404"/>
  <c r="AE1545" i="404"/>
  <c r="AE1546" i="404"/>
  <c r="AE1547" i="404"/>
  <c r="AE1548" i="404"/>
  <c r="AE1549" i="404"/>
  <c r="AE1550" i="404"/>
  <c r="AE1551" i="404"/>
  <c r="AE1552" i="404"/>
  <c r="AE1553" i="404"/>
  <c r="AE1554" i="404"/>
  <c r="AE1555" i="404"/>
  <c r="AE1556" i="404"/>
  <c r="AE1557" i="404"/>
  <c r="AE1558" i="404"/>
  <c r="AE1559" i="404"/>
  <c r="AE1560" i="404"/>
  <c r="AE1561" i="404"/>
  <c r="AE1562" i="404"/>
  <c r="AE1563" i="404"/>
  <c r="AE1564" i="404"/>
  <c r="AE1565" i="404"/>
  <c r="AE1566" i="404"/>
  <c r="AE1567" i="404"/>
  <c r="AE1568" i="404"/>
  <c r="AE1569" i="404"/>
  <c r="AE1570" i="404"/>
  <c r="AE1571" i="404"/>
  <c r="AE1572" i="404"/>
  <c r="AE1573" i="404"/>
  <c r="AE1574" i="404"/>
  <c r="AE1575" i="404"/>
  <c r="AE1576" i="404"/>
  <c r="AE1577" i="404"/>
  <c r="AE1578" i="404"/>
  <c r="AE1579" i="404"/>
  <c r="AE1580" i="404"/>
  <c r="AE1581" i="404"/>
  <c r="AE1582" i="404"/>
  <c r="AE1583" i="404"/>
  <c r="AE1584" i="404"/>
  <c r="AE1585" i="404"/>
  <c r="AE1586" i="404"/>
  <c r="AE1587" i="404"/>
  <c r="AE1588" i="404"/>
  <c r="AE1589" i="404"/>
  <c r="AE1590" i="404"/>
  <c r="AE1591" i="404"/>
  <c r="AE1592" i="404"/>
  <c r="AE1593" i="404"/>
  <c r="AE1594" i="404"/>
  <c r="AE1595" i="404"/>
  <c r="AE1596" i="404"/>
  <c r="AE1597" i="404"/>
  <c r="AE1598" i="404"/>
  <c r="AE1599" i="404"/>
  <c r="AE1600" i="404"/>
  <c r="AE1601" i="404"/>
  <c r="AE1602" i="404"/>
  <c r="AE1603" i="404"/>
  <c r="AE1604" i="404"/>
  <c r="AE1605" i="404"/>
  <c r="AE1606" i="404"/>
  <c r="AE1607" i="404"/>
  <c r="AE1608" i="404"/>
  <c r="AE1609" i="404"/>
  <c r="AE1610" i="404"/>
  <c r="AE1611" i="404"/>
  <c r="AE1612" i="404"/>
  <c r="AE1613" i="404"/>
  <c r="AE1614" i="404"/>
  <c r="AE1615" i="404"/>
  <c r="AE1616" i="404"/>
  <c r="AE1617" i="404"/>
  <c r="AE1618" i="404"/>
  <c r="AE1619" i="404"/>
  <c r="AE1620" i="404"/>
  <c r="AE1621" i="404"/>
  <c r="AE1622" i="404"/>
  <c r="AE1623" i="404"/>
  <c r="AE1624" i="404"/>
  <c r="AE1625" i="404"/>
  <c r="AE1626" i="404"/>
  <c r="AE1627" i="404"/>
  <c r="AE1628" i="404"/>
  <c r="AE1629" i="404"/>
  <c r="AE1630" i="404"/>
  <c r="AE1631" i="404"/>
  <c r="AE1632" i="404"/>
  <c r="AE1633" i="404"/>
  <c r="AE1634" i="404"/>
  <c r="AE1635" i="404"/>
  <c r="AE1636" i="404"/>
  <c r="AE1637" i="404"/>
  <c r="AE1638" i="404"/>
  <c r="AE1639" i="404"/>
  <c r="AE1640" i="404"/>
  <c r="AE1641" i="404"/>
  <c r="AE1642" i="404"/>
  <c r="AE1643" i="404"/>
  <c r="AE1644" i="404"/>
  <c r="AE1645" i="404"/>
  <c r="AE1646" i="404"/>
  <c r="AE1647" i="404"/>
  <c r="AE1648" i="404"/>
  <c r="AE1649" i="404"/>
  <c r="AE1650" i="404"/>
  <c r="AE1651" i="404"/>
  <c r="AE1652" i="404"/>
  <c r="AE1653" i="404"/>
  <c r="AE1654" i="404"/>
  <c r="AE1655" i="404"/>
  <c r="AE1656" i="404"/>
  <c r="AE1657" i="404"/>
  <c r="AE1658" i="404"/>
  <c r="AE1659" i="404"/>
  <c r="AE1660" i="404"/>
  <c r="AE1661" i="404"/>
  <c r="AE1662" i="404"/>
  <c r="AE1663" i="404"/>
  <c r="AE1664" i="404"/>
  <c r="AE1665" i="404"/>
  <c r="AE1666" i="404"/>
  <c r="AE1667" i="404"/>
  <c r="AE1668" i="404"/>
  <c r="AE1669" i="404"/>
  <c r="AE1670" i="404"/>
  <c r="AE1671" i="404"/>
  <c r="AE1672" i="404"/>
  <c r="AE1673" i="404"/>
  <c r="AE1674" i="404"/>
  <c r="AE1675" i="404"/>
  <c r="AE1676" i="404"/>
  <c r="AE1677" i="404"/>
  <c r="AE1678" i="404"/>
  <c r="AE1679" i="404"/>
  <c r="AE1680" i="404"/>
  <c r="AE1681" i="404"/>
  <c r="AE1682" i="404"/>
  <c r="AE1683" i="404"/>
  <c r="AE1684" i="404"/>
  <c r="AE1685" i="404"/>
  <c r="AE1686" i="404"/>
  <c r="AE1687" i="404"/>
  <c r="AE1688" i="404"/>
  <c r="AE1689" i="404"/>
  <c r="AE1690" i="404"/>
  <c r="AE1691" i="404"/>
  <c r="AE1692" i="404"/>
  <c r="AE1693" i="404"/>
  <c r="AE1694" i="404"/>
  <c r="AE1695" i="404"/>
  <c r="AE1696" i="404"/>
  <c r="AE1697" i="404"/>
  <c r="AE1698" i="404"/>
  <c r="AE1699" i="404"/>
  <c r="AE1700" i="404"/>
  <c r="AE1701" i="404"/>
  <c r="AE1702" i="404"/>
  <c r="AE1703" i="404"/>
  <c r="AE1704" i="404"/>
  <c r="AE1705" i="404"/>
  <c r="AE1706" i="404"/>
  <c r="AE1707" i="404"/>
  <c r="AE1708" i="404"/>
  <c r="AE1709" i="404"/>
  <c r="AE1710" i="404"/>
  <c r="AE1711" i="404"/>
  <c r="AE1712" i="404"/>
  <c r="AE1713" i="404"/>
  <c r="AE1714" i="404"/>
  <c r="AE1715" i="404"/>
  <c r="AE1716" i="404"/>
  <c r="AE1717" i="404"/>
  <c r="AE1718" i="404"/>
  <c r="AE1719" i="404"/>
  <c r="AE1720" i="404"/>
  <c r="AE1721" i="404"/>
  <c r="AE1722" i="404"/>
  <c r="AE1723" i="404"/>
  <c r="AE1724" i="404"/>
  <c r="AE1725" i="404"/>
  <c r="AE1726" i="404"/>
  <c r="AE1727" i="404"/>
  <c r="AE1728" i="404"/>
  <c r="AE1729" i="404"/>
  <c r="AE1730" i="404"/>
  <c r="AE1731" i="404"/>
  <c r="AE1732" i="404"/>
  <c r="AE1733" i="404"/>
  <c r="AE1734" i="404"/>
  <c r="AE1735" i="404"/>
  <c r="AE1736" i="404"/>
  <c r="AE1737" i="404"/>
  <c r="AE1738" i="404"/>
  <c r="AE1739" i="404"/>
  <c r="AE1740" i="404"/>
  <c r="AE1741" i="404"/>
  <c r="AE1742" i="404"/>
  <c r="AE1743" i="404"/>
  <c r="AE1744" i="404"/>
  <c r="AE1745" i="404"/>
  <c r="AE1746" i="404"/>
  <c r="AE1747" i="404"/>
  <c r="AE1748" i="404"/>
  <c r="AE1749" i="404"/>
  <c r="AE1750" i="404"/>
  <c r="AE1751" i="404"/>
  <c r="AE1752" i="404"/>
  <c r="AE1753" i="404"/>
  <c r="AE1754" i="404"/>
  <c r="AE1755" i="404"/>
  <c r="AE1756" i="404"/>
  <c r="AE1757" i="404"/>
  <c r="AE1758" i="404"/>
  <c r="AE1759" i="404"/>
  <c r="AE1760" i="404"/>
  <c r="AE1761" i="404"/>
  <c r="AE1762" i="404"/>
  <c r="AE1763" i="404"/>
  <c r="AE1764" i="404"/>
  <c r="AE1765" i="404"/>
  <c r="AE1766" i="404"/>
  <c r="AE1767" i="404"/>
  <c r="AE1768" i="404"/>
  <c r="AE1769" i="404"/>
  <c r="AE1770" i="404"/>
  <c r="AE1771" i="404"/>
  <c r="AE1772" i="404"/>
  <c r="AE1773" i="404"/>
  <c r="AE1774" i="404"/>
  <c r="AE1775" i="404"/>
  <c r="AE1776" i="404"/>
  <c r="AE1777" i="404"/>
  <c r="AE1778" i="404"/>
  <c r="AE1779" i="404"/>
  <c r="AE1780" i="404"/>
  <c r="AE1781" i="404"/>
  <c r="AE1782" i="404"/>
  <c r="AE1783" i="404"/>
  <c r="AE1784" i="404"/>
  <c r="AE1785" i="404"/>
  <c r="AE1786" i="404"/>
  <c r="AE1787" i="404"/>
  <c r="AE1788" i="404"/>
  <c r="AE1789" i="404"/>
  <c r="AE1790" i="404"/>
  <c r="AE1791" i="404"/>
  <c r="AE1792" i="404"/>
  <c r="AE1793" i="404"/>
  <c r="AE1794" i="404"/>
  <c r="AE1795" i="404"/>
  <c r="AE1796" i="404"/>
  <c r="AE1797" i="404"/>
  <c r="AE1798" i="404"/>
  <c r="AE1799" i="404"/>
  <c r="AE1800" i="404"/>
  <c r="AE1801" i="404"/>
  <c r="AE1802" i="404"/>
  <c r="AE1803" i="404"/>
  <c r="AE1804" i="404"/>
  <c r="AE1805" i="404"/>
  <c r="AE1806" i="404"/>
  <c r="AE1807" i="404"/>
  <c r="AE1808" i="404"/>
  <c r="AE1809" i="404"/>
  <c r="AE1810" i="404"/>
  <c r="AE1811" i="404"/>
  <c r="AE1812" i="404"/>
  <c r="AE1813" i="404"/>
  <c r="AE1814" i="404"/>
  <c r="AE1815" i="404"/>
  <c r="AE1816" i="404"/>
  <c r="AE1817" i="404"/>
  <c r="AE1818" i="404"/>
  <c r="AE1819" i="404"/>
  <c r="AE1820" i="404"/>
  <c r="AE1821" i="404"/>
  <c r="AE1822" i="404"/>
  <c r="AE1823" i="404"/>
  <c r="AE1824" i="404"/>
  <c r="AE1825" i="404"/>
  <c r="AE1826" i="404"/>
  <c r="AE1827" i="404"/>
  <c r="AE1828" i="404"/>
  <c r="AE1829" i="404"/>
  <c r="AE1830" i="404"/>
  <c r="AE1831" i="404"/>
  <c r="AE1832" i="404"/>
  <c r="AE1833" i="404"/>
  <c r="AE1834" i="404"/>
  <c r="AE1835" i="404"/>
  <c r="AE1836" i="404"/>
  <c r="AE1837" i="404"/>
  <c r="AE1838" i="404"/>
  <c r="AE1839" i="404"/>
  <c r="AE1840" i="404"/>
  <c r="AE1841" i="404"/>
  <c r="AE1842" i="404"/>
  <c r="AE1843" i="404"/>
  <c r="AE1844" i="404"/>
  <c r="AE1845" i="404"/>
  <c r="AE1846" i="404"/>
  <c r="AE1847" i="404"/>
  <c r="AE1848" i="404"/>
  <c r="AE1849" i="404"/>
  <c r="AE1850" i="404"/>
  <c r="AE1851" i="404"/>
  <c r="AE1852" i="404"/>
  <c r="AE1853" i="404"/>
  <c r="AE1854" i="404"/>
  <c r="AE1855" i="404"/>
  <c r="AE1856" i="404"/>
  <c r="AE1857" i="404"/>
  <c r="AE1858" i="404"/>
  <c r="AE1859" i="404"/>
  <c r="AE1860" i="404"/>
  <c r="AE1861" i="404"/>
  <c r="AE1862" i="404"/>
  <c r="AE1863" i="404"/>
  <c r="AE1864" i="404"/>
  <c r="AE1865" i="404"/>
  <c r="AE1866" i="404"/>
  <c r="AE1867" i="404"/>
  <c r="AE1868" i="404"/>
  <c r="AE1869" i="404"/>
  <c r="AE1870" i="404"/>
  <c r="AE1871" i="404"/>
  <c r="AE1872" i="404"/>
  <c r="AE1873" i="404"/>
  <c r="AE1874" i="404"/>
  <c r="AE1875" i="404"/>
  <c r="AE1876" i="404"/>
  <c r="AE1877" i="404"/>
  <c r="AE1878" i="404"/>
  <c r="AE1879" i="404"/>
  <c r="AE1880" i="404"/>
  <c r="AE1881" i="404"/>
  <c r="AE1882" i="404"/>
  <c r="AE1883" i="404"/>
  <c r="AE1884" i="404"/>
  <c r="AE1885" i="404"/>
  <c r="AE1886" i="404"/>
  <c r="AE1887" i="404"/>
  <c r="AE1888" i="404"/>
  <c r="AE1889" i="404"/>
  <c r="AE1890" i="404"/>
  <c r="AE1891" i="404"/>
  <c r="AE1892" i="404"/>
  <c r="AE1893" i="404"/>
  <c r="AE1894" i="404"/>
  <c r="AE1895" i="404"/>
  <c r="AE1896" i="404"/>
  <c r="AE1897" i="404"/>
  <c r="AE1898" i="404"/>
  <c r="AE1899" i="404"/>
  <c r="AE1900" i="404"/>
  <c r="AE1901" i="404"/>
  <c r="AE1902" i="404"/>
  <c r="AE1903" i="404"/>
  <c r="AE1904" i="404"/>
  <c r="AE1905" i="404"/>
  <c r="AE1906" i="404"/>
  <c r="AE1907" i="404"/>
  <c r="AE1908" i="404"/>
  <c r="AE1909" i="404"/>
  <c r="AE1910" i="404"/>
  <c r="AE1911" i="404"/>
  <c r="AE1912" i="404"/>
  <c r="AE1913" i="404"/>
  <c r="AE1914" i="404"/>
  <c r="AE1915" i="404"/>
  <c r="AE1916" i="404"/>
  <c r="AE1917" i="404"/>
  <c r="AE1918" i="404"/>
  <c r="AE1919" i="404"/>
  <c r="AE1920" i="404"/>
  <c r="AE1921" i="404"/>
  <c r="AE1922" i="404"/>
  <c r="AE1923" i="404"/>
  <c r="AE1924" i="404"/>
  <c r="AE1925" i="404"/>
  <c r="AE1926" i="404"/>
  <c r="AE1927" i="404"/>
  <c r="AE1928" i="404"/>
  <c r="AE1929" i="404"/>
  <c r="AE1930" i="404"/>
  <c r="AE1931" i="404"/>
  <c r="AE1932" i="404"/>
  <c r="AE1933" i="404"/>
  <c r="AE1934" i="404"/>
  <c r="AE1935" i="404"/>
  <c r="AE1936" i="404"/>
  <c r="AE1937" i="404"/>
  <c r="AE1938" i="404"/>
  <c r="AE1939" i="404"/>
  <c r="AE1940" i="404"/>
  <c r="AE1941" i="404"/>
  <c r="AE1942" i="404"/>
  <c r="AE1943" i="404"/>
  <c r="AE1944" i="404"/>
  <c r="AE1945" i="404"/>
  <c r="AE1946" i="404"/>
  <c r="AE1947" i="404"/>
  <c r="AE1948" i="404"/>
  <c r="AE1949" i="404"/>
  <c r="AE1950" i="404"/>
  <c r="AE1951" i="404"/>
  <c r="AE1952" i="404"/>
  <c r="AE1953" i="404"/>
  <c r="AE1954" i="404"/>
  <c r="AE1955" i="404"/>
  <c r="AE1956" i="404"/>
  <c r="AE1957" i="404"/>
  <c r="AE1958" i="404"/>
  <c r="AE1959" i="404"/>
  <c r="AE1960" i="404"/>
  <c r="AE1961" i="404"/>
  <c r="AE1962" i="404"/>
  <c r="AE1963" i="404"/>
  <c r="AE1964" i="404"/>
  <c r="AE1965" i="404"/>
  <c r="AE1966" i="404"/>
  <c r="AE1967" i="404"/>
  <c r="AE1968" i="404"/>
  <c r="AE1969" i="404"/>
  <c r="AE1970" i="404"/>
  <c r="AE1971" i="404"/>
  <c r="AE1972" i="404"/>
  <c r="AE1973" i="404"/>
  <c r="AE1974" i="404"/>
  <c r="AE1975" i="404"/>
  <c r="AE1976" i="404"/>
  <c r="AE1977" i="404"/>
  <c r="AE1978" i="404"/>
  <c r="AE1979" i="404"/>
  <c r="AE1980" i="404"/>
  <c r="AE1981" i="404"/>
  <c r="AE1982" i="404"/>
  <c r="AE1983" i="404"/>
  <c r="AE1984" i="404"/>
  <c r="AE1985" i="404"/>
  <c r="AE1986" i="404"/>
  <c r="AE1987" i="404"/>
  <c r="AE1988" i="404"/>
  <c r="AE1989" i="404"/>
  <c r="AE1990" i="404"/>
  <c r="AE1991" i="404"/>
  <c r="AE1992" i="404"/>
  <c r="AE1993" i="404"/>
  <c r="AE1994" i="404"/>
  <c r="AE1995" i="404"/>
  <c r="AE1996" i="404"/>
  <c r="AE1997" i="404"/>
  <c r="AE1998" i="404"/>
  <c r="AE1999" i="404"/>
  <c r="AE2000" i="404"/>
  <c r="AE2001" i="404"/>
  <c r="AE2002" i="404"/>
  <c r="AE2003" i="404"/>
  <c r="AE2004" i="404"/>
  <c r="AE2005" i="404"/>
  <c r="AE2006" i="404"/>
  <c r="AE2007" i="404"/>
  <c r="AE2008" i="404"/>
  <c r="AE2009" i="404"/>
  <c r="AE2010" i="404"/>
  <c r="AE2011" i="404"/>
  <c r="AE2012" i="404"/>
  <c r="AE2013" i="404"/>
  <c r="AE2014" i="404"/>
  <c r="AE2015" i="404"/>
  <c r="AE2016" i="404"/>
  <c r="AE2017" i="404"/>
  <c r="AE2018" i="404"/>
  <c r="AE2019" i="404"/>
  <c r="AE2020" i="404"/>
  <c r="AE2021" i="404"/>
  <c r="AE2022" i="404"/>
  <c r="AE2023" i="404"/>
  <c r="AE2024" i="404"/>
  <c r="AE2025" i="404"/>
  <c r="AE2026" i="404"/>
  <c r="AE2027" i="404"/>
  <c r="AE2028" i="404"/>
  <c r="AE2029" i="404"/>
  <c r="AE2030" i="404"/>
  <c r="AE2031" i="404"/>
  <c r="AE2032" i="404"/>
  <c r="AE2033" i="404"/>
  <c r="AE2034" i="404"/>
  <c r="AE2035" i="404"/>
  <c r="AE2036" i="404"/>
  <c r="AE2037" i="404"/>
  <c r="AE2038" i="404"/>
  <c r="AE2039" i="404"/>
  <c r="AE2040" i="404"/>
  <c r="AE2041" i="404"/>
  <c r="AE2042" i="404"/>
  <c r="AE2043" i="404"/>
  <c r="AE2044" i="404"/>
  <c r="AE2045" i="404"/>
  <c r="AE2046" i="404"/>
  <c r="AE2047" i="404"/>
  <c r="AE2048" i="404"/>
  <c r="AE2049" i="404"/>
  <c r="AE2050" i="404"/>
  <c r="AE2051" i="404"/>
  <c r="AE2052" i="404"/>
  <c r="AE2053" i="404"/>
  <c r="AE2054" i="404"/>
  <c r="AE2055" i="404"/>
  <c r="AE2056" i="404"/>
  <c r="AE2057" i="404"/>
  <c r="AE2058" i="404"/>
  <c r="AE2059" i="404"/>
  <c r="AE2060" i="404"/>
  <c r="AE2061" i="404"/>
  <c r="AE2062" i="404"/>
  <c r="AE2063" i="404"/>
  <c r="AE2064" i="404"/>
  <c r="AE2065" i="404"/>
  <c r="AE2066" i="404"/>
  <c r="AE2067" i="404"/>
  <c r="AE2068" i="404"/>
  <c r="AE2069" i="404"/>
  <c r="AE2070" i="404"/>
  <c r="AE2071" i="404"/>
  <c r="AE2072" i="404"/>
  <c r="AE2073" i="404"/>
  <c r="AE2074" i="404"/>
  <c r="AE2075" i="404"/>
  <c r="AE2076" i="404"/>
  <c r="AE2077" i="404"/>
  <c r="AE2078" i="404"/>
  <c r="AE2079" i="404"/>
  <c r="AE2080" i="404"/>
  <c r="AE2081" i="404"/>
  <c r="AE2082" i="404"/>
  <c r="AE2083" i="404"/>
  <c r="AE2084" i="404"/>
  <c r="AE2085" i="404"/>
  <c r="AE2086" i="404"/>
  <c r="AE2087" i="404"/>
  <c r="AE2088" i="404"/>
  <c r="AE2089" i="404"/>
  <c r="AE2090" i="404"/>
  <c r="AE2091" i="404"/>
  <c r="AE2092" i="404"/>
  <c r="AE2093" i="404"/>
  <c r="AE2094" i="404"/>
  <c r="AE2095" i="404"/>
  <c r="AE2096" i="404"/>
  <c r="AE2097" i="404"/>
  <c r="AE2098" i="404"/>
  <c r="AE2099" i="404"/>
  <c r="AE2100" i="404"/>
  <c r="AE2101" i="404"/>
  <c r="AE2102" i="404"/>
  <c r="AE2103" i="404"/>
  <c r="AE2104" i="404"/>
  <c r="AE2105" i="404"/>
  <c r="AE2106" i="404"/>
  <c r="AE2107" i="404"/>
  <c r="AE2108" i="404"/>
  <c r="AE2109" i="404"/>
  <c r="AE2110" i="404"/>
  <c r="AE2111" i="404"/>
  <c r="AE2112" i="404"/>
  <c r="AE2113" i="404"/>
  <c r="AE2114" i="404"/>
  <c r="AE2115" i="404"/>
  <c r="AE2116" i="404"/>
  <c r="AE2117" i="404"/>
  <c r="AE2118" i="404"/>
  <c r="AE2119" i="404"/>
  <c r="AE2120" i="404"/>
  <c r="AE2121" i="404"/>
  <c r="AE2122" i="404"/>
  <c r="AE2123" i="404"/>
  <c r="AE2124" i="404"/>
  <c r="AE2125" i="404"/>
  <c r="AE2126" i="404"/>
  <c r="AE2127" i="404"/>
  <c r="AE2128" i="404"/>
  <c r="AE2129" i="404"/>
  <c r="AE2130" i="404"/>
  <c r="AE2131" i="404"/>
  <c r="AE2132" i="404"/>
  <c r="AE2133" i="404"/>
  <c r="AE2134" i="404"/>
  <c r="AE2135" i="404"/>
  <c r="AE2136" i="404"/>
  <c r="AE2137" i="404"/>
  <c r="AE2138" i="404"/>
  <c r="AE2139" i="404"/>
  <c r="AE2140" i="404"/>
  <c r="AE2141" i="404"/>
  <c r="AE2142" i="404"/>
  <c r="AE2143" i="404"/>
  <c r="AE2144" i="404"/>
  <c r="AE2145" i="404"/>
  <c r="AE2146" i="404"/>
  <c r="AE2147" i="404"/>
  <c r="AE2148" i="404"/>
  <c r="AE2149" i="404"/>
  <c r="AE2150" i="404"/>
  <c r="AE2151" i="404"/>
  <c r="AE2152" i="404"/>
  <c r="AE2153" i="404"/>
  <c r="AE2154" i="404"/>
  <c r="AE2155" i="404"/>
  <c r="AE2156" i="404"/>
  <c r="AE2157" i="404"/>
  <c r="AE2158" i="404"/>
  <c r="AE2159" i="404"/>
  <c r="AE2160" i="404"/>
  <c r="AE2161" i="404"/>
  <c r="AE2162" i="404"/>
  <c r="AE2163" i="404"/>
  <c r="AE2164" i="404"/>
  <c r="AE2165" i="404"/>
  <c r="AE2166" i="404"/>
  <c r="AE2167" i="404"/>
  <c r="AE2168" i="404"/>
  <c r="AE2169" i="404"/>
  <c r="AE2170" i="404"/>
  <c r="AE2171" i="404"/>
  <c r="AE2172" i="404"/>
  <c r="AE2173" i="404"/>
  <c r="AE2174" i="404"/>
  <c r="AE2175" i="404"/>
  <c r="AE2176" i="404"/>
  <c r="AE2177" i="404"/>
  <c r="AE2178" i="404"/>
  <c r="AE2179" i="404"/>
  <c r="AE2180" i="404"/>
  <c r="AE2181" i="404"/>
  <c r="AE2182" i="404"/>
  <c r="AE2183" i="404"/>
  <c r="AE2184" i="404"/>
  <c r="AE2185" i="404"/>
  <c r="AE2186" i="404"/>
  <c r="AE2187" i="404"/>
  <c r="AE2188" i="404"/>
  <c r="AE2189" i="404"/>
  <c r="AE2190" i="404"/>
  <c r="AE2191" i="404"/>
  <c r="AE2192" i="404"/>
  <c r="AE2193" i="404"/>
  <c r="AE2194" i="404"/>
  <c r="AE2195" i="404"/>
  <c r="AE2196" i="404"/>
  <c r="AE2197" i="404"/>
  <c r="AE2198" i="404"/>
  <c r="AE2199" i="404"/>
  <c r="AE2200" i="404"/>
  <c r="AE2201" i="404"/>
  <c r="AE2202" i="404"/>
  <c r="AE2203" i="404"/>
  <c r="AE2204" i="404"/>
  <c r="AE2205" i="404"/>
  <c r="AE2206" i="404"/>
  <c r="AE2207" i="404"/>
  <c r="AE2208" i="404"/>
  <c r="AE2209" i="404"/>
  <c r="AE2210" i="404"/>
  <c r="AE2211" i="404"/>
  <c r="AE2212" i="404"/>
  <c r="AE2213" i="404"/>
  <c r="AE2214" i="404"/>
  <c r="AE2215" i="404"/>
  <c r="AE2216" i="404"/>
  <c r="AE2217" i="404"/>
  <c r="AE2218" i="404"/>
  <c r="AE2219" i="404"/>
  <c r="AE2220" i="404"/>
  <c r="AE2221" i="404"/>
  <c r="AE2222" i="404"/>
  <c r="AE2223" i="404"/>
  <c r="AE2224" i="404"/>
  <c r="AE2225" i="404"/>
  <c r="AE2226" i="404"/>
  <c r="AE2227" i="404"/>
  <c r="AE2228" i="404"/>
  <c r="AE2229" i="404"/>
  <c r="AE2230" i="404"/>
  <c r="AE2231" i="404"/>
  <c r="AE2232" i="404"/>
  <c r="AE2233" i="404"/>
  <c r="AE2234" i="404"/>
  <c r="AE2235" i="404"/>
  <c r="AE2236" i="404"/>
  <c r="AE2237" i="404"/>
  <c r="AE2238" i="404"/>
  <c r="AE2239" i="404"/>
  <c r="AE2240" i="404"/>
  <c r="AE2241" i="404"/>
  <c r="AE2242" i="404"/>
  <c r="AE2243" i="404"/>
  <c r="AE2244" i="404"/>
  <c r="AE2245" i="404"/>
  <c r="AE2246" i="404"/>
  <c r="AE2247" i="404"/>
  <c r="AE2248" i="404"/>
  <c r="AE2249" i="404"/>
  <c r="AE2250" i="404"/>
  <c r="AE2251" i="404"/>
  <c r="AE2252" i="404"/>
  <c r="AE2253" i="404"/>
  <c r="AE2254" i="404"/>
  <c r="AE2255" i="404"/>
  <c r="AE2256" i="404"/>
  <c r="AE2257" i="404"/>
  <c r="AE2258" i="404"/>
  <c r="AE2259" i="404"/>
  <c r="AE2260" i="404"/>
  <c r="AE2261" i="404"/>
  <c r="AE2262" i="404"/>
  <c r="AE2263" i="404"/>
  <c r="AE2264" i="404"/>
  <c r="AE2265" i="404"/>
  <c r="AE2266" i="404"/>
  <c r="AE2267" i="404"/>
  <c r="AE2268" i="404"/>
  <c r="AE2269" i="404"/>
  <c r="AE2270" i="404"/>
  <c r="AE2271" i="404"/>
  <c r="AE2272" i="404"/>
  <c r="AE2273" i="404"/>
  <c r="AE2274" i="404"/>
  <c r="AE2275" i="404"/>
  <c r="AE2276" i="404"/>
  <c r="AE2277" i="404"/>
  <c r="AE2278" i="404"/>
  <c r="AE2279" i="404"/>
  <c r="AE2280" i="404"/>
  <c r="AE2281" i="404"/>
  <c r="AE2282" i="404"/>
  <c r="AE2283" i="404"/>
  <c r="AE2284" i="404"/>
  <c r="AE2285" i="404"/>
  <c r="AE2286" i="404"/>
  <c r="AE2287" i="404"/>
  <c r="AE2288" i="404"/>
  <c r="AE2289" i="404"/>
  <c r="AE2290" i="404"/>
  <c r="AE2291" i="404"/>
  <c r="AE2292" i="404"/>
  <c r="AE2293" i="404"/>
  <c r="AE2294" i="404"/>
  <c r="AE2295" i="404"/>
  <c r="AE2296" i="404"/>
  <c r="AE2297" i="404"/>
  <c r="AE2298" i="404"/>
  <c r="AE2299" i="404"/>
  <c r="AE2300" i="404"/>
  <c r="AE2301" i="404"/>
  <c r="AE2302" i="404"/>
  <c r="AE2303" i="404"/>
  <c r="AE2304" i="404"/>
  <c r="AE2305" i="404"/>
  <c r="AE2306" i="404"/>
  <c r="AE2307" i="404"/>
  <c r="AE2308" i="404"/>
  <c r="AE2309" i="404"/>
  <c r="AE2310" i="404"/>
  <c r="AE2311" i="404"/>
  <c r="AE2312" i="404"/>
  <c r="AE2313" i="404"/>
  <c r="AE2314" i="404"/>
  <c r="AE2315" i="404"/>
  <c r="AE2316" i="404"/>
  <c r="AE2317" i="404"/>
  <c r="AE2318" i="404"/>
  <c r="AE2319" i="404"/>
  <c r="AE2320" i="404"/>
  <c r="AE2321" i="404"/>
  <c r="AE2322" i="404"/>
  <c r="AE2323" i="404"/>
  <c r="AE2324" i="404"/>
  <c r="AE2325" i="404"/>
  <c r="AE2326" i="404"/>
  <c r="AE2327" i="404"/>
  <c r="AE2328" i="404"/>
  <c r="AE2329" i="404"/>
  <c r="AE2330" i="404"/>
  <c r="AE2331" i="404"/>
  <c r="AE2332" i="404"/>
  <c r="AE2333" i="404"/>
  <c r="AE2334" i="404"/>
  <c r="AE2335" i="404"/>
  <c r="AE2336" i="404"/>
  <c r="AE2337" i="404"/>
  <c r="AE2338" i="404"/>
  <c r="AE2339" i="404"/>
  <c r="AE2340" i="404"/>
  <c r="AE2341" i="404"/>
  <c r="AE2342" i="404"/>
  <c r="AE2343" i="404"/>
  <c r="AE2344" i="404"/>
  <c r="AE2345" i="404"/>
  <c r="AE2346" i="404"/>
  <c r="AE2347" i="404"/>
  <c r="AE2348" i="404"/>
  <c r="AE2349" i="404"/>
  <c r="AE2350" i="404"/>
  <c r="AE2351" i="404"/>
  <c r="AE2352" i="404"/>
  <c r="AE2353" i="404"/>
  <c r="AE2354" i="404"/>
  <c r="AE2355" i="404"/>
  <c r="AE2356" i="404"/>
  <c r="AE2357" i="404"/>
  <c r="AE2358" i="404"/>
  <c r="AE2359" i="404"/>
  <c r="AE2360" i="404"/>
  <c r="AE2361" i="404"/>
  <c r="AE2362" i="404"/>
  <c r="AE2363" i="404"/>
  <c r="AE2364" i="404"/>
  <c r="AE2365" i="404"/>
  <c r="AE2366" i="404"/>
  <c r="AE2367" i="404"/>
  <c r="AE2368" i="404"/>
  <c r="AE2369" i="404"/>
  <c r="AE2370" i="404"/>
  <c r="AE2371" i="404"/>
  <c r="AE2372" i="404"/>
  <c r="AE2373" i="404"/>
  <c r="AE2374" i="404"/>
  <c r="AE2375" i="404"/>
  <c r="AE2376" i="404"/>
  <c r="AE2377" i="404"/>
  <c r="AE2378" i="404"/>
  <c r="AE2379" i="404"/>
  <c r="AE2380" i="404"/>
  <c r="AE2381" i="404"/>
  <c r="AE2382" i="404"/>
  <c r="AE2383" i="404"/>
  <c r="AE2384" i="404"/>
  <c r="AE2385" i="404"/>
  <c r="AE2386" i="404"/>
  <c r="AE2387" i="404"/>
  <c r="AE2388" i="404"/>
  <c r="AE2389" i="404"/>
  <c r="AE2390" i="404"/>
  <c r="AE2391" i="404"/>
  <c r="AE2392" i="404"/>
  <c r="AE2393" i="404"/>
  <c r="AE2394" i="404"/>
  <c r="AE2395" i="404"/>
  <c r="AE2396" i="404"/>
  <c r="AE2397" i="404"/>
  <c r="AE2398" i="404"/>
  <c r="AE2399" i="404"/>
  <c r="AE2400" i="404"/>
  <c r="AE2401" i="404"/>
  <c r="AE2402" i="404"/>
  <c r="AE2403" i="404"/>
  <c r="AE2404" i="404"/>
  <c r="AE2405" i="404"/>
  <c r="AE2406" i="404"/>
  <c r="AE2407" i="404"/>
  <c r="AE2408" i="404"/>
  <c r="AE2409" i="404"/>
  <c r="AE2410" i="404"/>
  <c r="AE2411" i="404"/>
  <c r="AE2412" i="404"/>
  <c r="AE2413" i="404"/>
  <c r="AE2414" i="404"/>
  <c r="AE2415" i="404"/>
  <c r="AE2416" i="404"/>
  <c r="AE2417" i="404"/>
  <c r="AE2418" i="404"/>
  <c r="AE2419" i="404"/>
  <c r="AE2420" i="404"/>
  <c r="AE2421" i="404"/>
  <c r="AE2422" i="404"/>
  <c r="AE2423" i="404"/>
  <c r="AE2424" i="404"/>
  <c r="AE2425" i="404"/>
  <c r="AE2426" i="404"/>
  <c r="AE2427" i="404"/>
  <c r="AE2428" i="404"/>
  <c r="AE2429" i="404"/>
  <c r="AE2430" i="404"/>
  <c r="AE2431" i="404"/>
  <c r="AE2432" i="404"/>
  <c r="AE2433" i="404"/>
  <c r="AE2434" i="404"/>
  <c r="AE2435" i="404"/>
  <c r="AE2436" i="404"/>
  <c r="AE2437" i="404"/>
  <c r="AE2438" i="404"/>
  <c r="AE2439" i="404"/>
  <c r="AE2440" i="404"/>
  <c r="AE2441" i="404"/>
  <c r="AE2442" i="404"/>
  <c r="AE2443" i="404"/>
  <c r="AE2444" i="404"/>
  <c r="AE2445" i="404"/>
  <c r="AE2446" i="404"/>
  <c r="AE2447" i="404"/>
  <c r="AE2448" i="404"/>
  <c r="AE2449" i="404"/>
  <c r="AE2450" i="404"/>
  <c r="AE2451" i="404"/>
  <c r="AE2452" i="404"/>
  <c r="AE2453" i="404"/>
  <c r="AE2454" i="404"/>
  <c r="AE2455" i="404"/>
  <c r="AE2456" i="404"/>
  <c r="AE2457" i="404"/>
  <c r="AE2458" i="404"/>
  <c r="AE2459" i="404"/>
  <c r="AE2460" i="404"/>
  <c r="AE2461" i="404"/>
  <c r="AE2462" i="404"/>
  <c r="AE2463" i="404"/>
  <c r="AE2464" i="404"/>
  <c r="AE2465" i="404"/>
  <c r="AE2466" i="404"/>
  <c r="AE2467" i="404"/>
  <c r="AE2468" i="404"/>
  <c r="AE2469" i="404"/>
  <c r="AE2470" i="404"/>
  <c r="AE2471" i="404"/>
  <c r="AE2472" i="404"/>
  <c r="AE2473" i="404"/>
  <c r="AE2474" i="404"/>
  <c r="AE2475" i="404"/>
  <c r="AE2476" i="404"/>
  <c r="AE2477" i="404"/>
  <c r="AE2478" i="404"/>
  <c r="AE2479" i="404"/>
  <c r="AE2480" i="404"/>
  <c r="AE2481" i="404"/>
  <c r="AE2482" i="404"/>
  <c r="AE2483" i="404"/>
  <c r="AE2484" i="404"/>
  <c r="AE2485" i="404"/>
  <c r="AE2486" i="404"/>
  <c r="AE2487" i="404"/>
  <c r="AE2488" i="404"/>
  <c r="AE2489" i="404"/>
  <c r="AE2490" i="404"/>
  <c r="AE2491" i="404"/>
  <c r="AE2492" i="404"/>
  <c r="AE2493" i="404"/>
  <c r="AE2494" i="404"/>
  <c r="AE2495" i="404"/>
  <c r="AE2496" i="404"/>
  <c r="AE2497" i="404"/>
  <c r="AE2498" i="404"/>
  <c r="AE2499" i="404"/>
  <c r="AE2500" i="404"/>
  <c r="AE2501" i="404"/>
  <c r="AE2502" i="404"/>
  <c r="AE2503" i="404"/>
  <c r="AE2504" i="404"/>
  <c r="AE2505" i="404"/>
  <c r="AE2506" i="404"/>
  <c r="AE2507" i="404"/>
  <c r="AE2508" i="404"/>
  <c r="AE2509" i="404"/>
  <c r="AE2510" i="404"/>
  <c r="AE2511" i="404"/>
  <c r="AE2512" i="404"/>
  <c r="AE2513" i="404"/>
  <c r="AE2514" i="404"/>
  <c r="AE2515" i="404"/>
  <c r="AE2516" i="404"/>
  <c r="AE2517" i="404"/>
  <c r="AE2518" i="404"/>
  <c r="AE2519" i="404"/>
  <c r="AE2520" i="404"/>
  <c r="AE2521" i="404"/>
  <c r="AE2522" i="404"/>
  <c r="AE2523" i="404"/>
  <c r="AE2524" i="404"/>
  <c r="AE2525" i="404"/>
  <c r="AE2526" i="404"/>
  <c r="AE2527" i="404"/>
  <c r="AE2528" i="404"/>
  <c r="AE2529" i="404"/>
  <c r="AE2530" i="404"/>
  <c r="AE2531" i="404"/>
  <c r="AE2532" i="404"/>
  <c r="AE2533" i="404"/>
  <c r="AE2534" i="404"/>
  <c r="AE2535" i="404"/>
  <c r="AE2536" i="404"/>
  <c r="AE2537" i="404"/>
  <c r="AE2538" i="404"/>
  <c r="AE2539" i="404"/>
  <c r="AE2540" i="404"/>
  <c r="AE2541" i="404"/>
  <c r="AE2542" i="404"/>
  <c r="AE2543" i="404"/>
  <c r="AE2544" i="404"/>
  <c r="AE2545" i="404"/>
  <c r="AE2546" i="404"/>
  <c r="AE2547" i="404"/>
  <c r="AE2548" i="404"/>
  <c r="AE2549" i="404"/>
  <c r="AE2550" i="404"/>
  <c r="AE2551" i="404"/>
  <c r="AE2552" i="404"/>
  <c r="AE2553" i="404"/>
  <c r="AE2554" i="404"/>
  <c r="AE2555" i="404"/>
  <c r="AE2556" i="404"/>
  <c r="AE2557" i="404"/>
  <c r="AE2558" i="404"/>
  <c r="AE2559" i="404"/>
  <c r="AE2560" i="404"/>
  <c r="AE2561" i="404"/>
  <c r="AE2562" i="404"/>
  <c r="AE2563" i="404"/>
  <c r="AE2564" i="404"/>
  <c r="AE2565" i="404"/>
  <c r="AE2566" i="404"/>
  <c r="AE2567" i="404"/>
  <c r="AE2568" i="404"/>
  <c r="AE2569" i="404"/>
  <c r="AE2570" i="404"/>
  <c r="AE2571" i="404"/>
  <c r="AE2572" i="404"/>
  <c r="AE2573" i="404"/>
  <c r="AE2574" i="404"/>
  <c r="AE2575" i="404"/>
  <c r="AE2576" i="404"/>
  <c r="AE2577" i="404"/>
  <c r="AE2578" i="404"/>
  <c r="AE2579" i="404"/>
  <c r="AE2580" i="404"/>
  <c r="AE2581" i="404"/>
  <c r="AE2582" i="404"/>
  <c r="AE2583" i="404"/>
  <c r="AE2584" i="404"/>
  <c r="AE2585" i="404"/>
  <c r="AE2586" i="404"/>
  <c r="AE2587" i="404"/>
  <c r="AE2588" i="404"/>
  <c r="AE2589" i="404"/>
  <c r="AE2590" i="404"/>
  <c r="AE2591" i="404"/>
  <c r="AE2592" i="404"/>
  <c r="AE2593" i="404"/>
  <c r="AE2594" i="404"/>
  <c r="AE2595" i="404"/>
  <c r="AE2596" i="404"/>
  <c r="AE2597" i="404"/>
  <c r="AE2598" i="404"/>
  <c r="AE2599" i="404"/>
  <c r="AE2600" i="404"/>
  <c r="AE2601" i="404"/>
  <c r="AE2602" i="404"/>
  <c r="AE2603" i="404"/>
  <c r="AE2604" i="404"/>
  <c r="AE2605" i="404"/>
  <c r="AE2606" i="404"/>
  <c r="AE2607" i="404"/>
  <c r="AE2608" i="404"/>
  <c r="AE2609" i="404"/>
  <c r="AE2610" i="404"/>
  <c r="AE2611" i="404"/>
  <c r="AE2612" i="404"/>
  <c r="AE2613" i="404"/>
  <c r="AE2614" i="404"/>
  <c r="AE2615" i="404"/>
  <c r="AE2616" i="404"/>
  <c r="AE2617" i="404"/>
  <c r="AE2618" i="404"/>
  <c r="AE2619" i="404"/>
  <c r="AE2620" i="404"/>
  <c r="AE2621" i="404"/>
  <c r="AE2622" i="404"/>
  <c r="AE2623" i="404"/>
  <c r="AE2624" i="404"/>
  <c r="AE2625" i="404"/>
  <c r="AE2626" i="404"/>
  <c r="AE2627" i="404"/>
  <c r="AE2628" i="404"/>
  <c r="AE2629" i="404"/>
  <c r="AE2630" i="404"/>
  <c r="AE2631" i="404"/>
  <c r="AE2632" i="404"/>
  <c r="AE2633" i="404"/>
  <c r="AE2634" i="404"/>
  <c r="AE2635" i="404"/>
  <c r="AE2636" i="404"/>
  <c r="AE2637" i="404"/>
  <c r="AE2638" i="404"/>
  <c r="AE2639" i="404"/>
  <c r="AE2640" i="404"/>
  <c r="AE2641" i="404"/>
  <c r="AE2642" i="404"/>
  <c r="AE2643" i="404"/>
  <c r="AE2644" i="404"/>
  <c r="AE2645" i="404"/>
  <c r="AE2646" i="404"/>
  <c r="AE2647" i="404"/>
  <c r="AE2648" i="404"/>
  <c r="AE2649" i="404"/>
  <c r="AE2650" i="404"/>
  <c r="AE2651" i="404"/>
  <c r="AE2652" i="404"/>
  <c r="AE2653" i="404"/>
  <c r="AE2654" i="404"/>
  <c r="AE2655" i="404"/>
  <c r="AE2656" i="404"/>
  <c r="AE2657" i="404"/>
  <c r="AE2658" i="404"/>
  <c r="AE2659" i="404"/>
  <c r="AE2660" i="404"/>
  <c r="AE2661" i="404"/>
  <c r="AE2662" i="404"/>
  <c r="AE2663" i="404"/>
  <c r="AE2664" i="404"/>
  <c r="AE2665" i="404"/>
  <c r="AE2666" i="404"/>
  <c r="AE2667" i="404"/>
  <c r="AE2668" i="404"/>
  <c r="AE2669" i="404"/>
  <c r="AE2670" i="404"/>
  <c r="AE2671" i="404"/>
  <c r="AE2672" i="404"/>
  <c r="AE2673" i="404"/>
  <c r="AE2674" i="404"/>
  <c r="AE2675" i="404"/>
  <c r="AE2676" i="404"/>
  <c r="AE2677" i="404"/>
  <c r="AE2678" i="404"/>
  <c r="AE2679" i="404"/>
  <c r="AE2680" i="404"/>
  <c r="AE2681" i="404"/>
  <c r="AE2682" i="404"/>
  <c r="AE2683" i="404"/>
  <c r="AE2684" i="404"/>
  <c r="AE2685" i="404"/>
  <c r="AE2686" i="404"/>
  <c r="AE2687" i="404"/>
  <c r="AE2688" i="404"/>
  <c r="AE2689" i="404"/>
  <c r="AE2690" i="404"/>
  <c r="AE2691" i="404"/>
  <c r="AE2692" i="404"/>
  <c r="AE2693" i="404"/>
  <c r="AE2694" i="404"/>
  <c r="AE2695" i="404"/>
  <c r="AE2696" i="404"/>
  <c r="AE2697" i="404"/>
  <c r="AE2698" i="404"/>
  <c r="AE2699" i="404"/>
  <c r="AE2700" i="404"/>
  <c r="AE2701" i="404"/>
  <c r="AE2702" i="404"/>
  <c r="AE2703" i="404"/>
  <c r="AE2704" i="404"/>
  <c r="AE2705" i="404"/>
  <c r="AE2706" i="404"/>
  <c r="AE2707" i="404"/>
  <c r="AE2708" i="404"/>
  <c r="AE2709" i="404"/>
  <c r="AE2710" i="404"/>
  <c r="AE2711" i="404"/>
  <c r="AE2712" i="404"/>
  <c r="AE2713" i="404"/>
  <c r="AE2714" i="404"/>
  <c r="AE2715" i="404"/>
  <c r="AE2716" i="404"/>
  <c r="AE2717" i="404"/>
  <c r="AE2718" i="404"/>
  <c r="AE2719" i="404"/>
  <c r="AE2720" i="404"/>
  <c r="AE2721" i="404"/>
  <c r="AE2722" i="404"/>
  <c r="AE2723" i="404"/>
  <c r="AE2724" i="404"/>
  <c r="AE2725" i="404"/>
  <c r="AE2726" i="404"/>
  <c r="AE2727" i="404"/>
  <c r="AE2728" i="404"/>
  <c r="AE2729" i="404"/>
  <c r="AE2730" i="404"/>
  <c r="AE2731" i="404"/>
  <c r="AE2732" i="404"/>
  <c r="AE2733" i="404"/>
  <c r="AE2734" i="404"/>
  <c r="AE2735" i="404"/>
  <c r="AE2736" i="404"/>
  <c r="AE2737" i="404"/>
  <c r="AE2738" i="404"/>
  <c r="AE2739" i="404"/>
  <c r="AE2740" i="404"/>
  <c r="AE2741" i="404"/>
  <c r="AE2742" i="404"/>
  <c r="AE2743" i="404"/>
  <c r="AE2744" i="404"/>
  <c r="AE2745" i="404"/>
  <c r="AE2746" i="404"/>
  <c r="AE2747" i="404"/>
  <c r="AE2748" i="404"/>
  <c r="AE2749" i="404"/>
  <c r="AE2750" i="404"/>
  <c r="AE2751" i="404"/>
  <c r="AE2752" i="404"/>
  <c r="AE2753" i="404"/>
  <c r="AE2754" i="404"/>
  <c r="AE2755" i="404"/>
  <c r="AE2756" i="404"/>
  <c r="AE2757" i="404"/>
  <c r="AE2758" i="404"/>
  <c r="AE2759" i="404"/>
  <c r="AE2760" i="404"/>
  <c r="AE2761" i="404"/>
  <c r="AE2762" i="404"/>
  <c r="AE2763" i="404"/>
  <c r="AE2764" i="404"/>
  <c r="AE2765" i="404"/>
  <c r="AE2766" i="404"/>
  <c r="AE2767" i="404"/>
  <c r="AE2768" i="404"/>
  <c r="AE2769" i="404"/>
  <c r="AE2770" i="404"/>
  <c r="AE2771" i="404"/>
  <c r="AE2772" i="404"/>
  <c r="AE2773" i="404"/>
  <c r="AE2774" i="404"/>
  <c r="AE2775" i="404"/>
  <c r="AE2776" i="404"/>
  <c r="AE2777" i="404"/>
  <c r="AE2778" i="404"/>
  <c r="AE2779" i="404"/>
  <c r="AE2780" i="404"/>
  <c r="AE2781" i="404"/>
  <c r="AE2782" i="404"/>
  <c r="AE2783" i="404"/>
  <c r="AE2784" i="404"/>
  <c r="AE2785" i="404"/>
  <c r="AE2786" i="404"/>
  <c r="AE2787" i="404"/>
  <c r="AE2788" i="404"/>
  <c r="AE2789" i="404"/>
  <c r="AE2790" i="404"/>
  <c r="AE2791" i="404"/>
  <c r="AE2792" i="404"/>
  <c r="AE2793" i="404"/>
  <c r="AE2794" i="404"/>
  <c r="AE2795" i="404"/>
  <c r="AE2796" i="404"/>
  <c r="AE2797" i="404"/>
  <c r="AE2798" i="404"/>
  <c r="AE2799" i="404"/>
  <c r="AE2800" i="404"/>
  <c r="AE2801" i="404"/>
  <c r="AE2802" i="404"/>
  <c r="AE2803" i="404"/>
  <c r="AE2804" i="404"/>
  <c r="AE2805" i="404"/>
  <c r="AE2806" i="404"/>
  <c r="AE2807" i="404"/>
  <c r="AE2808" i="404"/>
  <c r="AE2809" i="404"/>
  <c r="AE2810" i="404"/>
  <c r="AE2811" i="404"/>
  <c r="AE2812" i="404"/>
  <c r="AE2813" i="404"/>
  <c r="AE2814" i="404"/>
  <c r="AE2815" i="404"/>
  <c r="AE2816" i="404"/>
  <c r="AE2817" i="404"/>
  <c r="AE2818" i="404"/>
  <c r="AE2819" i="404"/>
  <c r="AE2820" i="404"/>
  <c r="AE2821" i="404"/>
  <c r="AE2822" i="404"/>
  <c r="AE2823" i="404"/>
  <c r="AE2824" i="404"/>
  <c r="AE2825" i="404"/>
  <c r="AE2826" i="404"/>
  <c r="AE2827" i="404"/>
  <c r="AE2828" i="404"/>
  <c r="AE2829" i="404"/>
  <c r="AE2830" i="404"/>
  <c r="AE2831" i="404"/>
  <c r="AE2832" i="404"/>
  <c r="AE2833" i="404"/>
  <c r="AE2834" i="404"/>
  <c r="AE2835" i="404"/>
  <c r="AE2836" i="404"/>
  <c r="AE2837" i="404"/>
  <c r="AE2838" i="404"/>
  <c r="AE2839" i="404"/>
  <c r="AE2840" i="404"/>
  <c r="AE2841" i="404"/>
  <c r="AE2842" i="404"/>
  <c r="AE2843" i="404"/>
  <c r="AE2844" i="404"/>
  <c r="AE2845" i="404"/>
  <c r="AE2846" i="404"/>
  <c r="AE2847" i="404"/>
  <c r="AE2848" i="404"/>
  <c r="AE2849" i="404"/>
  <c r="AE2850" i="404"/>
  <c r="AE2851" i="404"/>
  <c r="AE2852" i="404"/>
  <c r="AE2853" i="404"/>
  <c r="AE2854" i="404"/>
  <c r="AE2855" i="404"/>
  <c r="AE2856" i="404"/>
  <c r="AE2857" i="404"/>
  <c r="AE2858" i="404"/>
  <c r="AE2859" i="404"/>
  <c r="AE2860" i="404"/>
  <c r="AE2861" i="404"/>
  <c r="AE2862" i="404"/>
  <c r="AE2863" i="404"/>
  <c r="AE2864" i="404"/>
  <c r="AE2865" i="404"/>
  <c r="AE2866" i="404"/>
  <c r="AE2867" i="404"/>
  <c r="AE2868" i="404"/>
  <c r="AE2869" i="404"/>
  <c r="AE2870" i="404"/>
  <c r="AE2871" i="404"/>
  <c r="AE2872" i="404"/>
  <c r="AE2873" i="404"/>
  <c r="AE2874" i="404"/>
  <c r="AE2875" i="404"/>
  <c r="AE2876" i="404"/>
  <c r="AE2877" i="404"/>
  <c r="AE2878" i="404"/>
  <c r="AE2879" i="404"/>
  <c r="AE2880" i="404"/>
  <c r="AE2881" i="404"/>
  <c r="AE2882" i="404"/>
  <c r="AE2883" i="404"/>
  <c r="AE2884" i="404"/>
  <c r="AE2885" i="404"/>
  <c r="AE2886" i="404"/>
  <c r="AE2887" i="404"/>
  <c r="AE2888" i="404"/>
  <c r="AE2889" i="404"/>
  <c r="AE2890" i="404"/>
  <c r="AE2891" i="404"/>
  <c r="AE2892" i="404"/>
  <c r="AE2893" i="404"/>
  <c r="AE2894" i="404"/>
  <c r="AE2895" i="404"/>
  <c r="AE2896" i="404"/>
  <c r="AE2897" i="404"/>
  <c r="AE2898" i="404"/>
  <c r="AE2899" i="404"/>
  <c r="AE2900" i="404"/>
  <c r="AE2901" i="404"/>
  <c r="AE2902" i="404"/>
  <c r="AE2903" i="404"/>
  <c r="AE2904" i="404"/>
  <c r="AE2905" i="404"/>
  <c r="AE2906" i="404"/>
  <c r="AE2907" i="404"/>
  <c r="AE2908" i="404"/>
  <c r="AE2909" i="404"/>
  <c r="AE2910" i="404"/>
  <c r="AE2911" i="404"/>
  <c r="AE2912" i="404"/>
  <c r="AE2913" i="404"/>
  <c r="AE2914" i="404"/>
  <c r="AE2915" i="404"/>
  <c r="AE2916" i="404"/>
  <c r="AE2917" i="404"/>
  <c r="AE2918" i="404"/>
  <c r="AE2919" i="404"/>
  <c r="AE2920" i="404"/>
  <c r="AE2921" i="404"/>
  <c r="AE2922" i="404"/>
  <c r="AE2923" i="404"/>
  <c r="AE2924" i="404"/>
  <c r="AE2925" i="404"/>
  <c r="AE2926" i="404"/>
  <c r="AE2927" i="404"/>
  <c r="AE2928" i="404"/>
  <c r="AE2929" i="404"/>
  <c r="AE2930" i="404"/>
  <c r="AE2931" i="404"/>
  <c r="AE2932" i="404"/>
  <c r="AE2933" i="404"/>
  <c r="AE2934" i="404"/>
  <c r="AE2935" i="404"/>
  <c r="AE2936" i="404"/>
  <c r="AE2937" i="404"/>
  <c r="AE2938" i="404"/>
  <c r="AE2939" i="404"/>
  <c r="AE2940" i="404"/>
  <c r="AE2941" i="404"/>
  <c r="AE2942" i="404"/>
  <c r="AE2943" i="404"/>
  <c r="AE2944" i="404"/>
  <c r="AE2945" i="404"/>
  <c r="AE2946" i="404"/>
  <c r="AE2947" i="404"/>
  <c r="AE2948" i="404"/>
  <c r="AE2949" i="404"/>
  <c r="AE2950" i="404"/>
  <c r="AE2951" i="404"/>
  <c r="AE2952" i="404"/>
  <c r="AE2953" i="404"/>
  <c r="AE2954" i="404"/>
  <c r="AE2955" i="404"/>
  <c r="AE2956" i="404"/>
  <c r="AE2957" i="404"/>
  <c r="AE2958" i="404"/>
  <c r="AE2959" i="404"/>
  <c r="AE2960" i="404"/>
  <c r="AE2961" i="404"/>
  <c r="AE2962" i="404"/>
  <c r="AE2963" i="404"/>
  <c r="AE2964" i="404"/>
  <c r="AE2965" i="404"/>
  <c r="AE2966" i="404"/>
  <c r="AE2967" i="404"/>
  <c r="AE2968" i="404"/>
  <c r="AE2969" i="404"/>
  <c r="AE2970" i="404"/>
  <c r="AE2971" i="404"/>
  <c r="AE2972" i="404"/>
  <c r="AE2973" i="404"/>
  <c r="AE2974" i="404"/>
  <c r="AE2975" i="404"/>
  <c r="AE2976" i="404"/>
  <c r="AE2977" i="404"/>
  <c r="AE2978" i="404"/>
  <c r="AE2979" i="404"/>
  <c r="AE2980" i="404"/>
  <c r="AE2981" i="404"/>
  <c r="AE2982" i="404"/>
  <c r="AE2983" i="404"/>
  <c r="AE2984" i="404"/>
  <c r="AE2985" i="404"/>
  <c r="AE2986" i="404"/>
  <c r="AE2987" i="404"/>
  <c r="AE2988" i="404"/>
  <c r="AE2989" i="404"/>
  <c r="AE2990" i="404"/>
  <c r="AE2991" i="404"/>
  <c r="AE2992" i="404"/>
  <c r="AE2993" i="404"/>
  <c r="AE2994" i="404"/>
  <c r="AE2995" i="404"/>
  <c r="AE2996" i="404"/>
  <c r="AE2997" i="404"/>
  <c r="AE2998" i="404"/>
  <c r="AE2999" i="404"/>
  <c r="AE3000" i="404"/>
  <c r="AE3001" i="404"/>
  <c r="AE3002" i="404"/>
  <c r="AE3003" i="404"/>
  <c r="AE3004" i="404"/>
  <c r="AE3005" i="404"/>
  <c r="AE3006" i="404"/>
  <c r="AE3007" i="404"/>
  <c r="AE3008" i="404"/>
  <c r="AE3009" i="404"/>
  <c r="AE3010" i="404"/>
  <c r="AE3011" i="404"/>
  <c r="AE3012" i="404"/>
  <c r="AE3013" i="404"/>
  <c r="AE3014" i="404"/>
  <c r="AE3015" i="404"/>
  <c r="AE3016" i="404"/>
  <c r="AE3017" i="404"/>
  <c r="AE3018" i="404"/>
  <c r="AE3019" i="404"/>
  <c r="AE3020" i="404"/>
  <c r="AE3021" i="404"/>
  <c r="AE3022" i="404"/>
  <c r="AE3023" i="404"/>
  <c r="AE3024" i="404"/>
  <c r="AE3025" i="404"/>
  <c r="AE3026" i="404"/>
  <c r="AE3027" i="404"/>
  <c r="AE3028" i="404"/>
  <c r="AE3029" i="404"/>
  <c r="AE3030" i="404"/>
  <c r="AE3031" i="404"/>
  <c r="AE3032" i="404"/>
  <c r="AE3033" i="404"/>
  <c r="AE3034" i="404"/>
  <c r="AE3035" i="404"/>
  <c r="AE3036" i="404"/>
  <c r="AE3037" i="404"/>
  <c r="AE3038" i="404"/>
  <c r="AE3039" i="404"/>
  <c r="AE3040" i="404"/>
  <c r="AE3041" i="404"/>
  <c r="AE3042" i="404"/>
  <c r="AE3043" i="404"/>
  <c r="AE3044" i="404"/>
  <c r="AE3045" i="404"/>
  <c r="AE3046" i="404"/>
  <c r="AE3047" i="404"/>
  <c r="AE3048" i="404"/>
  <c r="AE3049" i="404"/>
  <c r="AE3050" i="404"/>
  <c r="AE3051" i="404"/>
  <c r="AE3052" i="404"/>
  <c r="AE3053" i="404"/>
  <c r="AE3054" i="404"/>
  <c r="AE3055" i="404"/>
  <c r="AE3056" i="404"/>
  <c r="AE3057" i="404"/>
  <c r="AE3058" i="404"/>
  <c r="AE3059" i="404"/>
  <c r="AE3060" i="404"/>
  <c r="AE3061" i="404"/>
  <c r="AE3062" i="404"/>
  <c r="AE3063" i="404"/>
  <c r="AE3064" i="404"/>
  <c r="AE3065" i="404"/>
  <c r="AE3066" i="404"/>
  <c r="AE3067" i="404"/>
  <c r="AE3068" i="404"/>
  <c r="AE3069" i="404"/>
  <c r="AE3070" i="404"/>
  <c r="AE3071" i="404"/>
  <c r="AE3072" i="404"/>
  <c r="AE3073" i="404"/>
  <c r="AE3074" i="404"/>
  <c r="AE3075" i="404"/>
  <c r="AE3076" i="404"/>
  <c r="AE3077" i="404"/>
  <c r="AE3078" i="404"/>
  <c r="AE3079" i="404"/>
  <c r="AE3080" i="404"/>
  <c r="AE3081" i="404"/>
  <c r="AE3082" i="404"/>
  <c r="AE3083" i="404"/>
  <c r="AE3084" i="404"/>
  <c r="AE3085" i="404"/>
  <c r="AE3086" i="404"/>
  <c r="AE3087" i="404"/>
  <c r="AE3088" i="404"/>
  <c r="AE3089" i="404"/>
  <c r="AE3090" i="404"/>
  <c r="AE3091" i="404"/>
  <c r="AE3092" i="404"/>
  <c r="AE3093" i="404"/>
  <c r="AE3094" i="404"/>
  <c r="AE3095" i="404"/>
  <c r="AE3096" i="404"/>
  <c r="AE3097" i="404"/>
  <c r="AE3098" i="404"/>
  <c r="AE3099" i="404"/>
  <c r="AE3100" i="404"/>
  <c r="AE3101" i="404"/>
  <c r="AE3102" i="404"/>
  <c r="AE3103" i="404"/>
  <c r="AE3104" i="404"/>
  <c r="AE3105" i="404"/>
  <c r="AE3106" i="404"/>
  <c r="AE3107" i="404"/>
  <c r="AE3108" i="404"/>
  <c r="AE3109" i="404"/>
  <c r="AE3110" i="404"/>
  <c r="AE3111" i="404"/>
  <c r="AE3112" i="404"/>
  <c r="AE3113" i="404"/>
  <c r="AE3114" i="404"/>
  <c r="AE3115" i="404"/>
  <c r="AE3116" i="404"/>
  <c r="AE3117" i="404"/>
  <c r="AE3118" i="404"/>
  <c r="AE3119" i="404"/>
  <c r="AE3120" i="404"/>
  <c r="AE3121" i="404"/>
  <c r="AE3122" i="404"/>
  <c r="AE3123" i="404"/>
  <c r="AE3124" i="404"/>
  <c r="AE3125" i="404"/>
  <c r="AE3126" i="404"/>
  <c r="AE3127" i="404"/>
  <c r="AE3128" i="404"/>
  <c r="AE3129" i="404"/>
  <c r="AE3130" i="404"/>
  <c r="AE3131" i="404"/>
  <c r="AE3132" i="404"/>
  <c r="AE3133" i="404"/>
  <c r="AE3134" i="404"/>
  <c r="AE3135" i="404"/>
  <c r="AE3136" i="404"/>
  <c r="AE3137" i="404"/>
  <c r="AE3138" i="404"/>
  <c r="AE3139" i="404"/>
  <c r="AE3140" i="404"/>
  <c r="AE3141" i="404"/>
  <c r="AE3142" i="404"/>
  <c r="AE3143" i="404"/>
  <c r="AE3144" i="404"/>
  <c r="AE3145" i="404"/>
  <c r="AE3146" i="404"/>
  <c r="AE3147" i="404"/>
  <c r="AE3148" i="404"/>
  <c r="AE3149" i="404"/>
  <c r="AE3150" i="404"/>
  <c r="AE3151" i="404"/>
  <c r="AE3152" i="404"/>
  <c r="AE3153" i="404"/>
  <c r="AE3154" i="404"/>
  <c r="AE3155" i="404"/>
  <c r="AE3156" i="404"/>
  <c r="AE3157" i="404"/>
  <c r="AE3158" i="404"/>
  <c r="AE3159" i="404"/>
  <c r="AE3160" i="404"/>
  <c r="AE3161" i="404"/>
  <c r="AE3162" i="404"/>
  <c r="AE3163" i="404"/>
  <c r="AE3164" i="404"/>
  <c r="AE3165" i="404"/>
  <c r="AE3166" i="404"/>
  <c r="AE3167" i="404"/>
  <c r="AE3168" i="404"/>
  <c r="AE3169" i="404"/>
  <c r="AE3170" i="404"/>
  <c r="AE3171" i="404"/>
  <c r="AE3172" i="404"/>
  <c r="AE3173" i="404"/>
  <c r="AE3174" i="404"/>
  <c r="AE3175" i="404"/>
  <c r="AE3176" i="404"/>
  <c r="AE3177" i="404"/>
  <c r="AE3178" i="404"/>
  <c r="AE3179" i="404"/>
  <c r="AE3180" i="404"/>
  <c r="AE3181" i="404"/>
  <c r="AE3182" i="404"/>
  <c r="AE3183" i="404"/>
  <c r="AE3184" i="404"/>
  <c r="AE3185" i="404"/>
  <c r="AE3186" i="404"/>
  <c r="AE3187" i="404"/>
  <c r="AE3188" i="404"/>
  <c r="AE3189" i="404"/>
  <c r="AE3190" i="404"/>
  <c r="AE3191" i="404"/>
  <c r="AE3192" i="404"/>
  <c r="AE3193" i="404"/>
  <c r="AE3194" i="404"/>
  <c r="AE3195" i="404"/>
  <c r="AE3196" i="404"/>
  <c r="AE3197" i="404"/>
  <c r="AE3198" i="404"/>
  <c r="AE3199" i="404"/>
  <c r="AE3200" i="404"/>
  <c r="AE3201" i="404"/>
  <c r="AE3202" i="404"/>
  <c r="AE3203" i="404"/>
  <c r="AE3204" i="404"/>
  <c r="AE3205" i="404"/>
  <c r="AE3206" i="404"/>
  <c r="AE3207" i="404"/>
  <c r="AE3208" i="404"/>
  <c r="AE3209" i="404"/>
  <c r="AE3210" i="404"/>
  <c r="AE3211" i="404"/>
  <c r="AE3212" i="404"/>
  <c r="AE3213" i="404"/>
  <c r="AE3214" i="404"/>
  <c r="AE3215" i="404"/>
  <c r="AE3216" i="404"/>
  <c r="AE3217" i="404"/>
  <c r="AE3218" i="404"/>
  <c r="AE3219" i="404"/>
  <c r="AE3220" i="404"/>
  <c r="AE3221" i="404"/>
  <c r="AE3222" i="404"/>
  <c r="AE3223" i="404"/>
  <c r="AE3224" i="404"/>
  <c r="AE3225" i="404"/>
  <c r="AE3226" i="404"/>
  <c r="AE3227" i="404"/>
  <c r="AE3228" i="404"/>
  <c r="AE3229" i="404"/>
  <c r="AE3230" i="404"/>
  <c r="AE3231" i="404"/>
  <c r="AE3232" i="404"/>
  <c r="AE3233" i="404"/>
  <c r="AE3234" i="404"/>
  <c r="AE3235" i="404"/>
  <c r="AE3236" i="404"/>
  <c r="AE3237" i="404"/>
  <c r="AE3238" i="404"/>
  <c r="AE3239" i="404"/>
  <c r="AE3240" i="404"/>
  <c r="AE3241" i="404"/>
  <c r="AE3242" i="404"/>
  <c r="AE3243" i="404"/>
  <c r="AE3244" i="404"/>
  <c r="AE3245" i="404"/>
  <c r="AE3246" i="404"/>
  <c r="AE3247" i="404"/>
  <c r="AE3248" i="404"/>
  <c r="AE3249" i="404"/>
  <c r="AE3250" i="404"/>
  <c r="AE3251" i="404"/>
  <c r="AE3252" i="404"/>
  <c r="AE3253" i="404"/>
  <c r="AE3254" i="404"/>
  <c r="AE3255" i="404"/>
  <c r="AE3256" i="404"/>
  <c r="AE3257" i="404"/>
  <c r="AE3258" i="404"/>
  <c r="AE3259" i="404"/>
  <c r="AE3260" i="404"/>
  <c r="AE3261" i="404"/>
  <c r="AE3262" i="404"/>
  <c r="AE3263" i="404"/>
  <c r="AE3264" i="404"/>
  <c r="AE3265" i="404"/>
  <c r="AE3266" i="404"/>
  <c r="AE3267" i="404"/>
  <c r="AE3268" i="404"/>
  <c r="AE3269" i="404"/>
  <c r="AE3270" i="404"/>
  <c r="AE3271" i="404"/>
  <c r="AE3272" i="404"/>
  <c r="AE3273" i="404"/>
  <c r="AE3274" i="404"/>
  <c r="AE3275" i="404"/>
  <c r="AE3276" i="404"/>
  <c r="AE3277" i="404"/>
  <c r="AF4" i="404" a="1"/>
  <c r="D9" i="849"/>
  <c r="F17" i="849"/>
  <c r="N89" i="849"/>
  <c r="Y89" i="849"/>
  <c r="C146" i="850"/>
  <c r="C9" i="850"/>
  <c r="O5" i="28"/>
  <c r="C24" i="849"/>
  <c r="H7" i="794"/>
  <c r="H8" i="794"/>
  <c r="H9" i="794"/>
  <c r="H10" i="794"/>
  <c r="H11" i="794"/>
  <c r="H12" i="794"/>
  <c r="H13" i="794"/>
  <c r="H14" i="794"/>
  <c r="H15" i="794"/>
  <c r="H16" i="794"/>
  <c r="H17" i="794"/>
  <c r="H18" i="794"/>
  <c r="H19" i="794"/>
  <c r="H6" i="794"/>
  <c r="F9" i="849"/>
  <c r="E9" i="849" s="1"/>
  <c r="Y91" i="849"/>
  <c r="V90" i="849"/>
  <c r="S90" i="849"/>
  <c r="BB87" i="849"/>
  <c r="BA87" i="849"/>
  <c r="AZ87" i="849"/>
  <c r="AY87" i="849"/>
  <c r="AX87" i="849"/>
  <c r="AW87" i="849"/>
  <c r="AV87" i="849"/>
  <c r="AU87" i="849" a="1"/>
  <c r="AS87" i="849"/>
  <c r="AR87" i="849"/>
  <c r="AN87" i="849"/>
  <c r="AM87" i="849"/>
  <c r="AL87" i="849"/>
  <c r="AK87" i="849"/>
  <c r="AJ87" i="849"/>
  <c r="AI87" i="849"/>
  <c r="AG87" i="849"/>
  <c r="AD87" i="849"/>
  <c r="AC87" i="849"/>
  <c r="AA87" i="849" a="1"/>
  <c r="Y87" i="849"/>
  <c r="X87" i="849"/>
  <c r="V87" i="849"/>
  <c r="S87" i="849"/>
  <c r="K87" i="849"/>
  <c r="J87" i="849"/>
  <c r="I87" i="849"/>
  <c r="BB86" i="849"/>
  <c r="BA86" i="849"/>
  <c r="AZ86" i="849"/>
  <c r="AY86" i="849"/>
  <c r="AX86" i="849"/>
  <c r="AW86" i="849"/>
  <c r="AV86" i="849"/>
  <c r="AU86" i="849" a="1"/>
  <c r="AS86" i="849"/>
  <c r="AR86" i="849"/>
  <c r="AN86" i="849"/>
  <c r="AM86" i="849"/>
  <c r="AL86" i="849"/>
  <c r="AK86" i="849"/>
  <c r="AJ86" i="849"/>
  <c r="AI86" i="849"/>
  <c r="AG86" i="849"/>
  <c r="AD86" i="849"/>
  <c r="AC86" i="849"/>
  <c r="AA86" i="849" a="1"/>
  <c r="Y86" i="849"/>
  <c r="X86" i="849"/>
  <c r="V86" i="849"/>
  <c r="S86" i="849"/>
  <c r="K86" i="849"/>
  <c r="J86" i="849"/>
  <c r="I86" i="849"/>
  <c r="BB85" i="849"/>
  <c r="BA85" i="849"/>
  <c r="AZ85" i="849"/>
  <c r="AY85" i="849"/>
  <c r="AX85" i="849"/>
  <c r="AW85" i="849"/>
  <c r="AV85" i="849"/>
  <c r="AU85" i="849" a="1"/>
  <c r="AS85" i="849"/>
  <c r="AR85" i="849"/>
  <c r="AN85" i="849"/>
  <c r="AM85" i="849"/>
  <c r="AL85" i="849"/>
  <c r="AK85" i="849"/>
  <c r="AJ85" i="849"/>
  <c r="AI85" i="849"/>
  <c r="AG85" i="849"/>
  <c r="AD85" i="849"/>
  <c r="AC85" i="849"/>
  <c r="AA85" i="849" a="1"/>
  <c r="Y85" i="849"/>
  <c r="X85" i="849"/>
  <c r="V85" i="849"/>
  <c r="S85" i="849"/>
  <c r="K85" i="849"/>
  <c r="J85" i="849"/>
  <c r="I85" i="849"/>
  <c r="BB84" i="849"/>
  <c r="BA84" i="849"/>
  <c r="AZ84" i="849"/>
  <c r="AY84" i="849"/>
  <c r="AX84" i="849"/>
  <c r="AW84" i="849"/>
  <c r="AV84" i="849"/>
  <c r="AU84" i="849" a="1"/>
  <c r="AS84" i="849"/>
  <c r="AR84" i="849"/>
  <c r="AN84" i="849"/>
  <c r="AM84" i="849"/>
  <c r="AL84" i="849"/>
  <c r="AK84" i="849"/>
  <c r="AJ84" i="849"/>
  <c r="AI84" i="849"/>
  <c r="AG84" i="849"/>
  <c r="AD84" i="849"/>
  <c r="AC84" i="849"/>
  <c r="AA84" i="849" a="1"/>
  <c r="Y84" i="849"/>
  <c r="X84" i="849"/>
  <c r="V84" i="849"/>
  <c r="S84" i="849"/>
  <c r="K84" i="849"/>
  <c r="J84" i="849"/>
  <c r="I84" i="849"/>
  <c r="BB83" i="849"/>
  <c r="BA83" i="849"/>
  <c r="AZ83" i="849"/>
  <c r="AY83" i="849"/>
  <c r="AX83" i="849"/>
  <c r="AW83" i="849"/>
  <c r="AV83" i="849"/>
  <c r="AU83" i="849" a="1"/>
  <c r="AS83" i="849"/>
  <c r="AR83" i="849"/>
  <c r="AN83" i="849"/>
  <c r="AM83" i="849"/>
  <c r="AL83" i="849"/>
  <c r="AK83" i="849"/>
  <c r="AJ83" i="849"/>
  <c r="AI83" i="849"/>
  <c r="AG83" i="849"/>
  <c r="AD83" i="849"/>
  <c r="AC83" i="849"/>
  <c r="AA83" i="849" a="1"/>
  <c r="Y83" i="849"/>
  <c r="X83" i="849"/>
  <c r="V83" i="849"/>
  <c r="S83" i="849"/>
  <c r="K83" i="849"/>
  <c r="J83" i="849"/>
  <c r="I83" i="849"/>
  <c r="BB82" i="849"/>
  <c r="BA82" i="849"/>
  <c r="AZ82" i="849"/>
  <c r="AY82" i="849"/>
  <c r="AX82" i="849"/>
  <c r="AW82" i="849"/>
  <c r="AV82" i="849"/>
  <c r="AU82" i="849" a="1"/>
  <c r="AS82" i="849"/>
  <c r="AR82" i="849"/>
  <c r="AN82" i="849"/>
  <c r="AM82" i="849"/>
  <c r="AL82" i="849"/>
  <c r="AK82" i="849"/>
  <c r="AJ82" i="849"/>
  <c r="AI82" i="849"/>
  <c r="AG82" i="849"/>
  <c r="AD82" i="849"/>
  <c r="AC82" i="849"/>
  <c r="AA82" i="849" a="1"/>
  <c r="Y82" i="849"/>
  <c r="X82" i="849"/>
  <c r="V82" i="849"/>
  <c r="S82" i="849"/>
  <c r="K82" i="849"/>
  <c r="J82" i="849"/>
  <c r="I82" i="849"/>
  <c r="BB81" i="849"/>
  <c r="BA81" i="849"/>
  <c r="AZ81" i="849"/>
  <c r="AY81" i="849"/>
  <c r="AX81" i="849"/>
  <c r="AW81" i="849"/>
  <c r="AV81" i="849"/>
  <c r="AU81" i="849" a="1"/>
  <c r="AS81" i="849"/>
  <c r="AR81" i="849"/>
  <c r="AN81" i="849"/>
  <c r="AM81" i="849"/>
  <c r="AL81" i="849"/>
  <c r="AK81" i="849"/>
  <c r="AJ81" i="849"/>
  <c r="AI81" i="849"/>
  <c r="AG81" i="849"/>
  <c r="AD81" i="849"/>
  <c r="AC81" i="849"/>
  <c r="AA81" i="849" a="1"/>
  <c r="Y81" i="849"/>
  <c r="X81" i="849"/>
  <c r="V81" i="849"/>
  <c r="S81" i="849"/>
  <c r="K81" i="849"/>
  <c r="J81" i="849"/>
  <c r="I81" i="849"/>
  <c r="BB80" i="849"/>
  <c r="BA80" i="849"/>
  <c r="AZ80" i="849"/>
  <c r="AY80" i="849"/>
  <c r="AX80" i="849"/>
  <c r="AW80" i="849"/>
  <c r="AV80" i="849"/>
  <c r="AU80" i="849" a="1"/>
  <c r="AS80" i="849"/>
  <c r="AR80" i="849"/>
  <c r="AN80" i="849"/>
  <c r="AM80" i="849"/>
  <c r="AL80" i="849"/>
  <c r="AK80" i="849"/>
  <c r="AJ80" i="849"/>
  <c r="AI80" i="849"/>
  <c r="AG80" i="849"/>
  <c r="AD80" i="849"/>
  <c r="AC80" i="849"/>
  <c r="AA80" i="849" a="1"/>
  <c r="Y80" i="849"/>
  <c r="X80" i="849"/>
  <c r="V80" i="849"/>
  <c r="S80" i="849"/>
  <c r="K80" i="849"/>
  <c r="J80" i="849"/>
  <c r="I80" i="849"/>
  <c r="BB79" i="849"/>
  <c r="BA79" i="849"/>
  <c r="AZ79" i="849"/>
  <c r="AY79" i="849"/>
  <c r="AX79" i="849"/>
  <c r="AW79" i="849"/>
  <c r="AV79" i="849"/>
  <c r="AU79" i="849" a="1"/>
  <c r="AS79" i="849"/>
  <c r="AR79" i="849"/>
  <c r="AN79" i="849"/>
  <c r="AM79" i="849"/>
  <c r="AL79" i="849"/>
  <c r="AK79" i="849"/>
  <c r="AJ79" i="849"/>
  <c r="AI79" i="849"/>
  <c r="AG79" i="849"/>
  <c r="AD79" i="849"/>
  <c r="AC79" i="849"/>
  <c r="AA79" i="849" a="1"/>
  <c r="Y79" i="849"/>
  <c r="X79" i="849"/>
  <c r="V79" i="849"/>
  <c r="S79" i="849"/>
  <c r="K79" i="849"/>
  <c r="J79" i="849"/>
  <c r="I79" i="849"/>
  <c r="BB78" i="849"/>
  <c r="BA78" i="849"/>
  <c r="AZ78" i="849"/>
  <c r="AY78" i="849"/>
  <c r="AX78" i="849"/>
  <c r="AW78" i="849"/>
  <c r="AV78" i="849"/>
  <c r="AU78" i="849" a="1"/>
  <c r="AS78" i="849"/>
  <c r="AR78" i="849"/>
  <c r="AN78" i="849"/>
  <c r="AM78" i="849"/>
  <c r="AL78" i="849"/>
  <c r="AK78" i="849"/>
  <c r="AJ78" i="849"/>
  <c r="AI78" i="849"/>
  <c r="AG78" i="849"/>
  <c r="AD78" i="849"/>
  <c r="AC78" i="849"/>
  <c r="AA78" i="849" a="1"/>
  <c r="Y78" i="849"/>
  <c r="X78" i="849"/>
  <c r="V78" i="849"/>
  <c r="S78" i="849"/>
  <c r="K78" i="849"/>
  <c r="J78" i="849"/>
  <c r="I78" i="849"/>
  <c r="BB77" i="849"/>
  <c r="BA77" i="849"/>
  <c r="AZ77" i="849"/>
  <c r="AY77" i="849"/>
  <c r="AX77" i="849"/>
  <c r="AW77" i="849"/>
  <c r="AV77" i="849"/>
  <c r="AU77" i="849" a="1"/>
  <c r="AS77" i="849"/>
  <c r="AR77" i="849"/>
  <c r="AN77" i="849"/>
  <c r="AM77" i="849"/>
  <c r="AL77" i="849"/>
  <c r="AK77" i="849"/>
  <c r="AJ77" i="849"/>
  <c r="AI77" i="849"/>
  <c r="AG77" i="849"/>
  <c r="AD77" i="849"/>
  <c r="AC77" i="849"/>
  <c r="AA77" i="849" a="1"/>
  <c r="Y77" i="849"/>
  <c r="X77" i="849"/>
  <c r="V77" i="849"/>
  <c r="S77" i="849"/>
  <c r="K77" i="849"/>
  <c r="J77" i="849"/>
  <c r="I77" i="849"/>
  <c r="BB76" i="849"/>
  <c r="BA76" i="849"/>
  <c r="AZ76" i="849"/>
  <c r="AY76" i="849"/>
  <c r="AX76" i="849"/>
  <c r="AW76" i="849"/>
  <c r="AV76" i="849"/>
  <c r="AU76" i="849" a="1"/>
  <c r="AS76" i="849"/>
  <c r="AR76" i="849"/>
  <c r="AN76" i="849"/>
  <c r="AM76" i="849"/>
  <c r="AL76" i="849"/>
  <c r="AK76" i="849"/>
  <c r="AJ76" i="849"/>
  <c r="AI76" i="849"/>
  <c r="AG76" i="849"/>
  <c r="AD76" i="849"/>
  <c r="AC76" i="849"/>
  <c r="AA76" i="849" a="1"/>
  <c r="Y76" i="849"/>
  <c r="X76" i="849"/>
  <c r="V76" i="849"/>
  <c r="S76" i="849"/>
  <c r="K76" i="849"/>
  <c r="J76" i="849"/>
  <c r="I76" i="849"/>
  <c r="BB75" i="849"/>
  <c r="BA75" i="849"/>
  <c r="AZ75" i="849"/>
  <c r="AY75" i="849"/>
  <c r="AX75" i="849"/>
  <c r="AW75" i="849"/>
  <c r="AV75" i="849"/>
  <c r="AU75" i="849" a="1"/>
  <c r="AS75" i="849"/>
  <c r="AR75" i="849"/>
  <c r="AN75" i="849"/>
  <c r="AM75" i="849"/>
  <c r="AL75" i="849"/>
  <c r="AK75" i="849"/>
  <c r="AJ75" i="849"/>
  <c r="AI75" i="849"/>
  <c r="AG75" i="849"/>
  <c r="AD75" i="849"/>
  <c r="AC75" i="849"/>
  <c r="AA75" i="849" a="1"/>
  <c r="Y75" i="849"/>
  <c r="X75" i="849"/>
  <c r="V75" i="849"/>
  <c r="S75" i="849"/>
  <c r="K75" i="849"/>
  <c r="J75" i="849"/>
  <c r="I75" i="849"/>
  <c r="BB74" i="849"/>
  <c r="BA74" i="849"/>
  <c r="AZ74" i="849"/>
  <c r="AY74" i="849"/>
  <c r="AX74" i="849"/>
  <c r="AW74" i="849"/>
  <c r="AV74" i="849"/>
  <c r="AU74" i="849" a="1"/>
  <c r="AS74" i="849"/>
  <c r="AR74" i="849"/>
  <c r="AN74" i="849"/>
  <c r="AM74" i="849"/>
  <c r="AL74" i="849"/>
  <c r="AK74" i="849"/>
  <c r="AJ74" i="849"/>
  <c r="AI74" i="849"/>
  <c r="AG74" i="849"/>
  <c r="AD74" i="849"/>
  <c r="AC74" i="849"/>
  <c r="AA74" i="849" a="1"/>
  <c r="Y74" i="849"/>
  <c r="X74" i="849"/>
  <c r="V74" i="849"/>
  <c r="S74" i="849"/>
  <c r="K74" i="849"/>
  <c r="J74" i="849"/>
  <c r="I74" i="849"/>
  <c r="BB73" i="849"/>
  <c r="BA73" i="849"/>
  <c r="AZ73" i="849"/>
  <c r="AY73" i="849"/>
  <c r="AX73" i="849"/>
  <c r="AW73" i="849"/>
  <c r="AV73" i="849"/>
  <c r="AU73" i="849" a="1"/>
  <c r="AS73" i="849"/>
  <c r="AR73" i="849"/>
  <c r="AN73" i="849"/>
  <c r="AM73" i="849"/>
  <c r="AL73" i="849"/>
  <c r="AK73" i="849"/>
  <c r="AJ73" i="849"/>
  <c r="AI73" i="849"/>
  <c r="AG73" i="849"/>
  <c r="AD73" i="849"/>
  <c r="AC73" i="849"/>
  <c r="AA73" i="849" a="1"/>
  <c r="Y73" i="849"/>
  <c r="X73" i="849"/>
  <c r="V73" i="849"/>
  <c r="S73" i="849"/>
  <c r="K73" i="849"/>
  <c r="J73" i="849"/>
  <c r="I73" i="849"/>
  <c r="BB72" i="849"/>
  <c r="BA72" i="849"/>
  <c r="AZ72" i="849"/>
  <c r="AY72" i="849"/>
  <c r="AX72" i="849"/>
  <c r="AW72" i="849"/>
  <c r="AV72" i="849"/>
  <c r="AU72" i="849" a="1"/>
  <c r="AS72" i="849"/>
  <c r="AR72" i="849"/>
  <c r="AN72" i="849"/>
  <c r="AM72" i="849"/>
  <c r="AL72" i="849"/>
  <c r="AK72" i="849"/>
  <c r="AJ72" i="849"/>
  <c r="AI72" i="849"/>
  <c r="AG72" i="849"/>
  <c r="AD72" i="849"/>
  <c r="AC72" i="849"/>
  <c r="AA72" i="849" a="1"/>
  <c r="Y72" i="849"/>
  <c r="X72" i="849"/>
  <c r="V72" i="849"/>
  <c r="S72" i="849"/>
  <c r="K72" i="849"/>
  <c r="J72" i="849"/>
  <c r="I72" i="849"/>
  <c r="BB71" i="849"/>
  <c r="BA71" i="849"/>
  <c r="AZ71" i="849"/>
  <c r="AY71" i="849"/>
  <c r="AX71" i="849"/>
  <c r="AW71" i="849"/>
  <c r="AV71" i="849"/>
  <c r="AU71" i="849" a="1"/>
  <c r="AS71" i="849"/>
  <c r="AR71" i="849"/>
  <c r="AN71" i="849"/>
  <c r="AM71" i="849"/>
  <c r="AL71" i="849"/>
  <c r="AK71" i="849"/>
  <c r="AJ71" i="849"/>
  <c r="AI71" i="849"/>
  <c r="AG71" i="849"/>
  <c r="AD71" i="849"/>
  <c r="AC71" i="849"/>
  <c r="AA71" i="849" a="1"/>
  <c r="Y71" i="849"/>
  <c r="X71" i="849"/>
  <c r="V71" i="849"/>
  <c r="S71" i="849"/>
  <c r="K71" i="849"/>
  <c r="J71" i="849"/>
  <c r="I71" i="849"/>
  <c r="BB70" i="849"/>
  <c r="BA70" i="849"/>
  <c r="AZ70" i="849"/>
  <c r="AY70" i="849"/>
  <c r="AX70" i="849"/>
  <c r="AW70" i="849"/>
  <c r="AV70" i="849"/>
  <c r="AU70" i="849" a="1"/>
  <c r="AS70" i="849"/>
  <c r="AR70" i="849"/>
  <c r="AN70" i="849"/>
  <c r="AM70" i="849"/>
  <c r="AL70" i="849"/>
  <c r="AK70" i="849"/>
  <c r="AJ70" i="849"/>
  <c r="AI70" i="849"/>
  <c r="AG70" i="849"/>
  <c r="AD70" i="849"/>
  <c r="AC70" i="849"/>
  <c r="AA70" i="849" a="1"/>
  <c r="Y70" i="849"/>
  <c r="X70" i="849"/>
  <c r="V70" i="849"/>
  <c r="S70" i="849"/>
  <c r="K70" i="849"/>
  <c r="J70" i="849"/>
  <c r="I70" i="849"/>
  <c r="BB69" i="849"/>
  <c r="BA69" i="849"/>
  <c r="AZ69" i="849"/>
  <c r="AY69" i="849"/>
  <c r="AX69" i="849"/>
  <c r="AW69" i="849"/>
  <c r="AV69" i="849"/>
  <c r="AU69" i="849" a="1"/>
  <c r="AS69" i="849"/>
  <c r="AR69" i="849"/>
  <c r="AN69" i="849"/>
  <c r="AM69" i="849"/>
  <c r="AL69" i="849"/>
  <c r="AK69" i="849"/>
  <c r="AJ69" i="849"/>
  <c r="AI69" i="849"/>
  <c r="AG69" i="849"/>
  <c r="AD69" i="849"/>
  <c r="AC69" i="849"/>
  <c r="AA69" i="849" a="1"/>
  <c r="Y69" i="849"/>
  <c r="X69" i="849"/>
  <c r="V69" i="849"/>
  <c r="S69" i="849"/>
  <c r="K69" i="849"/>
  <c r="J69" i="849"/>
  <c r="I69" i="849"/>
  <c r="BB68" i="849"/>
  <c r="BA68" i="849"/>
  <c r="AZ68" i="849"/>
  <c r="AY68" i="849"/>
  <c r="AX68" i="849"/>
  <c r="AW68" i="849"/>
  <c r="AV68" i="849"/>
  <c r="AU68" i="849" a="1"/>
  <c r="AS68" i="849"/>
  <c r="AR68" i="849"/>
  <c r="AN68" i="849"/>
  <c r="AM68" i="849"/>
  <c r="AL68" i="849"/>
  <c r="AK68" i="849"/>
  <c r="AJ68" i="849"/>
  <c r="AI68" i="849"/>
  <c r="AG68" i="849"/>
  <c r="AD68" i="849"/>
  <c r="AC68" i="849"/>
  <c r="AA68" i="849" a="1"/>
  <c r="Y68" i="849"/>
  <c r="X68" i="849"/>
  <c r="V68" i="849"/>
  <c r="S68" i="849"/>
  <c r="K68" i="849"/>
  <c r="J68" i="849"/>
  <c r="I68" i="849"/>
  <c r="BB67" i="849"/>
  <c r="BA67" i="849"/>
  <c r="AZ67" i="849"/>
  <c r="AY67" i="849"/>
  <c r="AX67" i="849"/>
  <c r="AW67" i="849"/>
  <c r="AV67" i="849"/>
  <c r="AU67" i="849" a="1"/>
  <c r="AS67" i="849"/>
  <c r="AR67" i="849"/>
  <c r="AN67" i="849"/>
  <c r="AM67" i="849"/>
  <c r="AL67" i="849"/>
  <c r="AK67" i="849"/>
  <c r="AJ67" i="849"/>
  <c r="AI67" i="849"/>
  <c r="AG67" i="849"/>
  <c r="AD67" i="849"/>
  <c r="AC67" i="849"/>
  <c r="AA67" i="849" a="1"/>
  <c r="Y67" i="849"/>
  <c r="X67" i="849"/>
  <c r="V67" i="849"/>
  <c r="S67" i="849"/>
  <c r="K67" i="849"/>
  <c r="J67" i="849"/>
  <c r="I67" i="849"/>
  <c r="BB66" i="849"/>
  <c r="BA66" i="849"/>
  <c r="AZ66" i="849"/>
  <c r="AY66" i="849"/>
  <c r="AX66" i="849"/>
  <c r="AW66" i="849"/>
  <c r="AV66" i="849"/>
  <c r="AU66" i="849" a="1"/>
  <c r="AS66" i="849"/>
  <c r="AR66" i="849"/>
  <c r="AN66" i="849"/>
  <c r="AM66" i="849"/>
  <c r="AL66" i="849"/>
  <c r="AK66" i="849"/>
  <c r="AJ66" i="849"/>
  <c r="AI66" i="849"/>
  <c r="AG66" i="849"/>
  <c r="AD66" i="849"/>
  <c r="AC66" i="849"/>
  <c r="AA66" i="849" a="1"/>
  <c r="Y66" i="849"/>
  <c r="X66" i="849"/>
  <c r="V66" i="849"/>
  <c r="S66" i="849"/>
  <c r="K66" i="849"/>
  <c r="J66" i="849"/>
  <c r="I66" i="849"/>
  <c r="BB65" i="849"/>
  <c r="BA65" i="849"/>
  <c r="AZ65" i="849"/>
  <c r="AY65" i="849"/>
  <c r="AX65" i="849"/>
  <c r="AW65" i="849"/>
  <c r="AV65" i="849"/>
  <c r="AU65" i="849" a="1"/>
  <c r="AS65" i="849"/>
  <c r="AR65" i="849"/>
  <c r="AN65" i="849"/>
  <c r="AM65" i="849"/>
  <c r="AL65" i="849"/>
  <c r="AK65" i="849"/>
  <c r="AJ65" i="849"/>
  <c r="AI65" i="849"/>
  <c r="AG65" i="849"/>
  <c r="AD65" i="849"/>
  <c r="AC65" i="849"/>
  <c r="AA65" i="849" a="1"/>
  <c r="Y65" i="849"/>
  <c r="X65" i="849"/>
  <c r="V65" i="849"/>
  <c r="S65" i="849"/>
  <c r="K65" i="849"/>
  <c r="J65" i="849"/>
  <c r="I65" i="849"/>
  <c r="BB64" i="849"/>
  <c r="BA64" i="849"/>
  <c r="AZ64" i="849"/>
  <c r="AY64" i="849"/>
  <c r="AX64" i="849"/>
  <c r="AW64" i="849"/>
  <c r="AV64" i="849"/>
  <c r="AU64" i="849" a="1"/>
  <c r="AS64" i="849"/>
  <c r="AR64" i="849"/>
  <c r="AN64" i="849"/>
  <c r="AM64" i="849"/>
  <c r="AL64" i="849"/>
  <c r="AK64" i="849"/>
  <c r="AJ64" i="849"/>
  <c r="AI64" i="849"/>
  <c r="AG64" i="849"/>
  <c r="AD64" i="849"/>
  <c r="AC64" i="849"/>
  <c r="AA64" i="849" a="1"/>
  <c r="Y64" i="849"/>
  <c r="X64" i="849"/>
  <c r="V64" i="849"/>
  <c r="S64" i="849"/>
  <c r="K64" i="849"/>
  <c r="J64" i="849"/>
  <c r="I64" i="849"/>
  <c r="BB63" i="849"/>
  <c r="BA63" i="849"/>
  <c r="AZ63" i="849"/>
  <c r="AY63" i="849"/>
  <c r="AX63" i="849"/>
  <c r="AW63" i="849"/>
  <c r="AV63" i="849"/>
  <c r="AU63" i="849" a="1"/>
  <c r="AS63" i="849"/>
  <c r="AR63" i="849"/>
  <c r="AN63" i="849"/>
  <c r="AM63" i="849"/>
  <c r="AL63" i="849"/>
  <c r="AK63" i="849"/>
  <c r="AJ63" i="849"/>
  <c r="AI63" i="849"/>
  <c r="AG63" i="849"/>
  <c r="AD63" i="849"/>
  <c r="AC63" i="849"/>
  <c r="AA63" i="849" a="1"/>
  <c r="Y63" i="849"/>
  <c r="X63" i="849"/>
  <c r="V63" i="849"/>
  <c r="S63" i="849"/>
  <c r="K63" i="849"/>
  <c r="J63" i="849"/>
  <c r="I63" i="849"/>
  <c r="BB62" i="849"/>
  <c r="BA62" i="849"/>
  <c r="AZ62" i="849"/>
  <c r="AY62" i="849"/>
  <c r="AX62" i="849"/>
  <c r="AW62" i="849"/>
  <c r="AV62" i="849"/>
  <c r="AU62" i="849" a="1"/>
  <c r="AS62" i="849"/>
  <c r="AR62" i="849"/>
  <c r="AN62" i="849"/>
  <c r="AM62" i="849"/>
  <c r="AL62" i="849"/>
  <c r="AK62" i="849"/>
  <c r="AJ62" i="849"/>
  <c r="AI62" i="849"/>
  <c r="AG62" i="849"/>
  <c r="AD62" i="849"/>
  <c r="AC62" i="849"/>
  <c r="AA62" i="849" a="1"/>
  <c r="Y62" i="849"/>
  <c r="X62" i="849"/>
  <c r="V62" i="849"/>
  <c r="S62" i="849"/>
  <c r="K62" i="849"/>
  <c r="J62" i="849"/>
  <c r="I62" i="849"/>
  <c r="BB61" i="849"/>
  <c r="BA61" i="849"/>
  <c r="AZ61" i="849"/>
  <c r="AY61" i="849"/>
  <c r="AX61" i="849"/>
  <c r="AW61" i="849"/>
  <c r="AV61" i="849"/>
  <c r="AU61" i="849" a="1"/>
  <c r="AS61" i="849"/>
  <c r="AR61" i="849"/>
  <c r="AN61" i="849"/>
  <c r="AM61" i="849"/>
  <c r="AL61" i="849"/>
  <c r="AK61" i="849"/>
  <c r="AJ61" i="849"/>
  <c r="AI61" i="849"/>
  <c r="AG61" i="849"/>
  <c r="AD61" i="849"/>
  <c r="AC61" i="849"/>
  <c r="AA61" i="849" a="1"/>
  <c r="Y61" i="849"/>
  <c r="X61" i="849"/>
  <c r="V61" i="849"/>
  <c r="S61" i="849"/>
  <c r="K61" i="849"/>
  <c r="J61" i="849"/>
  <c r="I61" i="849"/>
  <c r="BB60" i="849"/>
  <c r="BA60" i="849"/>
  <c r="AZ60" i="849"/>
  <c r="AY60" i="849"/>
  <c r="AX60" i="849"/>
  <c r="AW60" i="849"/>
  <c r="AV60" i="849"/>
  <c r="AU60" i="849" a="1"/>
  <c r="AS60" i="849"/>
  <c r="AR60" i="849"/>
  <c r="AN60" i="849"/>
  <c r="AM60" i="849"/>
  <c r="AL60" i="849"/>
  <c r="AK60" i="849"/>
  <c r="AJ60" i="849"/>
  <c r="AI60" i="849"/>
  <c r="AG60" i="849"/>
  <c r="AD60" i="849"/>
  <c r="AC60" i="849"/>
  <c r="AA60" i="849" a="1"/>
  <c r="Y60" i="849"/>
  <c r="X60" i="849"/>
  <c r="V60" i="849"/>
  <c r="S60" i="849"/>
  <c r="K60" i="849"/>
  <c r="J60" i="849"/>
  <c r="I60" i="849"/>
  <c r="BB59" i="849"/>
  <c r="BA59" i="849"/>
  <c r="AZ59" i="849"/>
  <c r="AY59" i="849"/>
  <c r="AX59" i="849"/>
  <c r="AW59" i="849"/>
  <c r="AV59" i="849"/>
  <c r="AU59" i="849" a="1"/>
  <c r="AS59" i="849"/>
  <c r="AR59" i="849"/>
  <c r="AN59" i="849"/>
  <c r="AM59" i="849"/>
  <c r="AL59" i="849"/>
  <c r="AK59" i="849"/>
  <c r="AJ59" i="849"/>
  <c r="AI59" i="849"/>
  <c r="AG59" i="849"/>
  <c r="AD59" i="849"/>
  <c r="AC59" i="849"/>
  <c r="AA59" i="849" a="1"/>
  <c r="Y59" i="849"/>
  <c r="X59" i="849"/>
  <c r="V59" i="849"/>
  <c r="S59" i="849"/>
  <c r="K59" i="849"/>
  <c r="J59" i="849"/>
  <c r="I59" i="849"/>
  <c r="BB58" i="849"/>
  <c r="BA58" i="849"/>
  <c r="AZ58" i="849"/>
  <c r="AY58" i="849"/>
  <c r="AX58" i="849"/>
  <c r="AW58" i="849"/>
  <c r="AV58" i="849"/>
  <c r="AU58" i="849" a="1"/>
  <c r="AS58" i="849"/>
  <c r="AR58" i="849"/>
  <c r="AN58" i="849"/>
  <c r="AM58" i="849"/>
  <c r="AL58" i="849"/>
  <c r="AK58" i="849"/>
  <c r="AJ58" i="849"/>
  <c r="AI58" i="849"/>
  <c r="AG58" i="849"/>
  <c r="AD58" i="849"/>
  <c r="AC58" i="849"/>
  <c r="AA58" i="849" a="1"/>
  <c r="Y58" i="849"/>
  <c r="X58" i="849"/>
  <c r="V58" i="849"/>
  <c r="S58" i="849"/>
  <c r="K58" i="849"/>
  <c r="J58" i="849"/>
  <c r="I58" i="849"/>
  <c r="BB57" i="849"/>
  <c r="BA57" i="849"/>
  <c r="AZ57" i="849"/>
  <c r="AY57" i="849"/>
  <c r="AX57" i="849"/>
  <c r="AW57" i="849"/>
  <c r="AV57" i="849"/>
  <c r="AU57" i="849" a="1"/>
  <c r="AS57" i="849"/>
  <c r="AR57" i="849"/>
  <c r="AN57" i="849"/>
  <c r="AM57" i="849"/>
  <c r="AL57" i="849"/>
  <c r="AK57" i="849"/>
  <c r="AJ57" i="849"/>
  <c r="AI57" i="849"/>
  <c r="AG57" i="849"/>
  <c r="AD57" i="849"/>
  <c r="AC57" i="849"/>
  <c r="AA57" i="849" a="1"/>
  <c r="Y57" i="849"/>
  <c r="X57" i="849"/>
  <c r="V57" i="849"/>
  <c r="S57" i="849"/>
  <c r="K57" i="849"/>
  <c r="J57" i="849"/>
  <c r="I57" i="849"/>
  <c r="BB56" i="849"/>
  <c r="BA56" i="849"/>
  <c r="AZ56" i="849"/>
  <c r="AY56" i="849"/>
  <c r="AX56" i="849"/>
  <c r="AW56" i="849"/>
  <c r="AV56" i="849"/>
  <c r="AU56" i="849" a="1"/>
  <c r="AS56" i="849"/>
  <c r="AR56" i="849"/>
  <c r="AN56" i="849"/>
  <c r="AM56" i="849"/>
  <c r="AL56" i="849"/>
  <c r="AK56" i="849"/>
  <c r="AJ56" i="849"/>
  <c r="AI56" i="849"/>
  <c r="AG56" i="849"/>
  <c r="AD56" i="849"/>
  <c r="AC56" i="849"/>
  <c r="AA56" i="849" a="1"/>
  <c r="Y56" i="849"/>
  <c r="X56" i="849"/>
  <c r="V56" i="849"/>
  <c r="S56" i="849"/>
  <c r="K56" i="849"/>
  <c r="J56" i="849"/>
  <c r="I56" i="849"/>
  <c r="BB55" i="849"/>
  <c r="BA55" i="849"/>
  <c r="AZ55" i="849"/>
  <c r="AY55" i="849"/>
  <c r="AX55" i="849"/>
  <c r="AW55" i="849"/>
  <c r="AV55" i="849"/>
  <c r="AU55" i="849" a="1"/>
  <c r="AS55" i="849"/>
  <c r="AR55" i="849"/>
  <c r="AN55" i="849"/>
  <c r="AM55" i="849"/>
  <c r="AL55" i="849"/>
  <c r="AK55" i="849"/>
  <c r="AJ55" i="849"/>
  <c r="AI55" i="849"/>
  <c r="AG55" i="849"/>
  <c r="AD55" i="849"/>
  <c r="AC55" i="849"/>
  <c r="AA55" i="849" a="1"/>
  <c r="Y55" i="849"/>
  <c r="X55" i="849"/>
  <c r="V55" i="849"/>
  <c r="S55" i="849"/>
  <c r="K55" i="849"/>
  <c r="J55" i="849"/>
  <c r="I55" i="849"/>
  <c r="BB54" i="849"/>
  <c r="BA54" i="849"/>
  <c r="AZ54" i="849"/>
  <c r="AY54" i="849"/>
  <c r="AX54" i="849"/>
  <c r="AW54" i="849"/>
  <c r="AV54" i="849"/>
  <c r="AU54" i="849" a="1"/>
  <c r="AS54" i="849"/>
  <c r="AR54" i="849"/>
  <c r="AN54" i="849"/>
  <c r="AM54" i="849"/>
  <c r="AL54" i="849"/>
  <c r="AK54" i="849"/>
  <c r="AJ54" i="849"/>
  <c r="AI54" i="849"/>
  <c r="AG54" i="849"/>
  <c r="AD54" i="849"/>
  <c r="AC54" i="849"/>
  <c r="AA54" i="849" a="1"/>
  <c r="Y54" i="849"/>
  <c r="X54" i="849"/>
  <c r="V54" i="849"/>
  <c r="S54" i="849"/>
  <c r="K54" i="849"/>
  <c r="J54" i="849"/>
  <c r="I54" i="849"/>
  <c r="BB53" i="849"/>
  <c r="BA53" i="849"/>
  <c r="AZ53" i="849"/>
  <c r="AY53" i="849"/>
  <c r="AX53" i="849"/>
  <c r="AW53" i="849"/>
  <c r="AV53" i="849"/>
  <c r="AU53" i="849" a="1"/>
  <c r="AS53" i="849"/>
  <c r="AR53" i="849"/>
  <c r="AN53" i="849"/>
  <c r="AM53" i="849"/>
  <c r="AL53" i="849"/>
  <c r="AK53" i="849"/>
  <c r="AJ53" i="849"/>
  <c r="AI53" i="849"/>
  <c r="AG53" i="849"/>
  <c r="AD53" i="849"/>
  <c r="AC53" i="849"/>
  <c r="AA53" i="849" a="1"/>
  <c r="Y53" i="849"/>
  <c r="X53" i="849"/>
  <c r="V53" i="849"/>
  <c r="S53" i="849"/>
  <c r="K53" i="849"/>
  <c r="J53" i="849"/>
  <c r="I53" i="849"/>
  <c r="BB52" i="849"/>
  <c r="BA52" i="849"/>
  <c r="AZ52" i="849"/>
  <c r="AY52" i="849"/>
  <c r="AX52" i="849"/>
  <c r="AW52" i="849"/>
  <c r="AV52" i="849"/>
  <c r="AU52" i="849" a="1"/>
  <c r="AS52" i="849"/>
  <c r="AR52" i="849"/>
  <c r="AN52" i="849"/>
  <c r="AM52" i="849"/>
  <c r="AL52" i="849"/>
  <c r="AK52" i="849"/>
  <c r="AJ52" i="849"/>
  <c r="AI52" i="849"/>
  <c r="AG52" i="849"/>
  <c r="AD52" i="849"/>
  <c r="AC52" i="849"/>
  <c r="AA52" i="849" a="1"/>
  <c r="Y52" i="849"/>
  <c r="X52" i="849"/>
  <c r="V52" i="849"/>
  <c r="S52" i="849"/>
  <c r="K52" i="849"/>
  <c r="J52" i="849"/>
  <c r="I52" i="849"/>
  <c r="BB51" i="849"/>
  <c r="BA51" i="849"/>
  <c r="AZ51" i="849"/>
  <c r="AY51" i="849"/>
  <c r="AX51" i="849"/>
  <c r="AW51" i="849"/>
  <c r="AV51" i="849"/>
  <c r="AU51" i="849" a="1"/>
  <c r="AS51" i="849"/>
  <c r="AR51" i="849"/>
  <c r="AN51" i="849"/>
  <c r="AM51" i="849"/>
  <c r="AL51" i="849"/>
  <c r="AK51" i="849"/>
  <c r="AJ51" i="849"/>
  <c r="AI51" i="849"/>
  <c r="AG51" i="849"/>
  <c r="AD51" i="849"/>
  <c r="AC51" i="849"/>
  <c r="AA51" i="849" a="1"/>
  <c r="Y51" i="849"/>
  <c r="X51" i="849"/>
  <c r="V51" i="849"/>
  <c r="S51" i="849"/>
  <c r="K51" i="849"/>
  <c r="J51" i="849"/>
  <c r="I51" i="849"/>
  <c r="BB50" i="849"/>
  <c r="BA50" i="849"/>
  <c r="AZ50" i="849"/>
  <c r="AY50" i="849"/>
  <c r="AX50" i="849"/>
  <c r="AW50" i="849"/>
  <c r="AV50" i="849"/>
  <c r="AU50" i="849" a="1"/>
  <c r="AS50" i="849"/>
  <c r="AR50" i="849"/>
  <c r="AN50" i="849"/>
  <c r="AM50" i="849"/>
  <c r="AL50" i="849"/>
  <c r="AK50" i="849"/>
  <c r="AJ50" i="849"/>
  <c r="AI50" i="849"/>
  <c r="AG50" i="849"/>
  <c r="AD50" i="849"/>
  <c r="AC50" i="849"/>
  <c r="AA50" i="849" a="1"/>
  <c r="Y50" i="849"/>
  <c r="X50" i="849"/>
  <c r="V50" i="849"/>
  <c r="S50" i="849"/>
  <c r="K50" i="849"/>
  <c r="J50" i="849"/>
  <c r="I50" i="849"/>
  <c r="BB49" i="849"/>
  <c r="BA49" i="849"/>
  <c r="AZ49" i="849"/>
  <c r="AY49" i="849"/>
  <c r="AX49" i="849"/>
  <c r="AW49" i="849"/>
  <c r="AV49" i="849"/>
  <c r="AU49" i="849" a="1"/>
  <c r="AS49" i="849"/>
  <c r="AR49" i="849"/>
  <c r="AN49" i="849"/>
  <c r="AM49" i="849"/>
  <c r="AL49" i="849"/>
  <c r="AK49" i="849"/>
  <c r="AJ49" i="849"/>
  <c r="AI49" i="849"/>
  <c r="AG49" i="849"/>
  <c r="AD49" i="849"/>
  <c r="AC49" i="849"/>
  <c r="AA49" i="849" a="1"/>
  <c r="Y49" i="849"/>
  <c r="X49" i="849"/>
  <c r="V49" i="849"/>
  <c r="S49" i="849"/>
  <c r="K49" i="849"/>
  <c r="J49" i="849"/>
  <c r="I49" i="849"/>
  <c r="BB48" i="849"/>
  <c r="BA48" i="849"/>
  <c r="AZ48" i="849"/>
  <c r="AY48" i="849"/>
  <c r="AX48" i="849"/>
  <c r="AW48" i="849"/>
  <c r="AV48" i="849"/>
  <c r="AU48" i="849" a="1"/>
  <c r="AS48" i="849"/>
  <c r="AR48" i="849"/>
  <c r="AN48" i="849"/>
  <c r="AM48" i="849"/>
  <c r="AL48" i="849"/>
  <c r="AK48" i="849"/>
  <c r="AJ48" i="849"/>
  <c r="AI48" i="849"/>
  <c r="AG48" i="849"/>
  <c r="AD48" i="849"/>
  <c r="AC48" i="849"/>
  <c r="AA48" i="849" a="1"/>
  <c r="Y48" i="849"/>
  <c r="X48" i="849"/>
  <c r="V48" i="849"/>
  <c r="S48" i="849"/>
  <c r="K48" i="849"/>
  <c r="J48" i="849"/>
  <c r="I48" i="849"/>
  <c r="BB47" i="849"/>
  <c r="BA47" i="849"/>
  <c r="AZ47" i="849"/>
  <c r="AY47" i="849"/>
  <c r="AX47" i="849"/>
  <c r="AW47" i="849"/>
  <c r="AV47" i="849"/>
  <c r="AU47" i="849" a="1"/>
  <c r="AS47" i="849"/>
  <c r="AR47" i="849"/>
  <c r="AN47" i="849"/>
  <c r="AM47" i="849"/>
  <c r="AL47" i="849"/>
  <c r="AK47" i="849"/>
  <c r="AJ47" i="849"/>
  <c r="AI47" i="849"/>
  <c r="AG47" i="849"/>
  <c r="AD47" i="849"/>
  <c r="AC47" i="849"/>
  <c r="AA47" i="849" a="1"/>
  <c r="Y47" i="849"/>
  <c r="X47" i="849"/>
  <c r="V47" i="849"/>
  <c r="S47" i="849"/>
  <c r="K47" i="849"/>
  <c r="J47" i="849"/>
  <c r="I47" i="849"/>
  <c r="BB46" i="849"/>
  <c r="BA46" i="849"/>
  <c r="AZ46" i="849"/>
  <c r="AY46" i="849"/>
  <c r="AX46" i="849"/>
  <c r="AW46" i="849"/>
  <c r="AV46" i="849"/>
  <c r="AU46" i="849" a="1"/>
  <c r="AS46" i="849"/>
  <c r="AR46" i="849"/>
  <c r="AN46" i="849"/>
  <c r="AM46" i="849"/>
  <c r="AL46" i="849"/>
  <c r="AK46" i="849"/>
  <c r="AJ46" i="849"/>
  <c r="AI46" i="849"/>
  <c r="AG46" i="849"/>
  <c r="AD46" i="849"/>
  <c r="AC46" i="849"/>
  <c r="AA46" i="849" a="1"/>
  <c r="Y46" i="849"/>
  <c r="X46" i="849"/>
  <c r="V46" i="849"/>
  <c r="S46" i="849"/>
  <c r="K46" i="849"/>
  <c r="J46" i="849"/>
  <c r="I46" i="849"/>
  <c r="BB45" i="849"/>
  <c r="BA45" i="849"/>
  <c r="AZ45" i="849"/>
  <c r="AY45" i="849"/>
  <c r="AX45" i="849"/>
  <c r="AW45" i="849"/>
  <c r="AV45" i="849"/>
  <c r="AU45" i="849" a="1"/>
  <c r="AS45" i="849"/>
  <c r="AR45" i="849"/>
  <c r="AN45" i="849"/>
  <c r="AM45" i="849"/>
  <c r="AL45" i="849"/>
  <c r="AK45" i="849"/>
  <c r="AJ45" i="849"/>
  <c r="AI45" i="849"/>
  <c r="AG45" i="849"/>
  <c r="AD45" i="849"/>
  <c r="AC45" i="849"/>
  <c r="AA45" i="849" a="1"/>
  <c r="Y45" i="849"/>
  <c r="X45" i="849"/>
  <c r="V45" i="849"/>
  <c r="S45" i="849"/>
  <c r="K45" i="849"/>
  <c r="J45" i="849"/>
  <c r="I45" i="849"/>
  <c r="BB44" i="849"/>
  <c r="BA44" i="849"/>
  <c r="AZ44" i="849"/>
  <c r="AY44" i="849"/>
  <c r="AX44" i="849"/>
  <c r="AW44" i="849"/>
  <c r="AV44" i="849"/>
  <c r="AU44" i="849" a="1"/>
  <c r="AS44" i="849"/>
  <c r="AR44" i="849"/>
  <c r="AN44" i="849"/>
  <c r="AM44" i="849"/>
  <c r="AL44" i="849"/>
  <c r="AK44" i="849"/>
  <c r="AJ44" i="849"/>
  <c r="AI44" i="849"/>
  <c r="AG44" i="849"/>
  <c r="AD44" i="849"/>
  <c r="AC44" i="849"/>
  <c r="AA44" i="849" a="1"/>
  <c r="Y44" i="849"/>
  <c r="X44" i="849"/>
  <c r="V44" i="849"/>
  <c r="S44" i="849"/>
  <c r="K44" i="849"/>
  <c r="J44" i="849"/>
  <c r="I44" i="849"/>
  <c r="BB43" i="849"/>
  <c r="BA43" i="849"/>
  <c r="AZ43" i="849"/>
  <c r="AY43" i="849"/>
  <c r="AX43" i="849"/>
  <c r="AW43" i="849"/>
  <c r="AV43" i="849"/>
  <c r="AU43" i="849" a="1"/>
  <c r="AS43" i="849"/>
  <c r="AR43" i="849"/>
  <c r="AN43" i="849"/>
  <c r="AM43" i="849"/>
  <c r="AL43" i="849"/>
  <c r="AK43" i="849"/>
  <c r="AJ43" i="849"/>
  <c r="AI43" i="849"/>
  <c r="AG43" i="849"/>
  <c r="AD43" i="849"/>
  <c r="AC43" i="849"/>
  <c r="AA43" i="849" a="1"/>
  <c r="Y43" i="849"/>
  <c r="X43" i="849"/>
  <c r="V43" i="849"/>
  <c r="S43" i="849"/>
  <c r="K43" i="849"/>
  <c r="J43" i="849"/>
  <c r="I43" i="849"/>
  <c r="BB42" i="849"/>
  <c r="BA42" i="849"/>
  <c r="AZ42" i="849"/>
  <c r="AY42" i="849"/>
  <c r="AX42" i="849"/>
  <c r="AW42" i="849"/>
  <c r="AV42" i="849"/>
  <c r="AU42" i="849" a="1"/>
  <c r="AS42" i="849"/>
  <c r="AR42" i="849"/>
  <c r="AN42" i="849"/>
  <c r="AM42" i="849"/>
  <c r="AL42" i="849"/>
  <c r="AK42" i="849"/>
  <c r="AJ42" i="849"/>
  <c r="AI42" i="849"/>
  <c r="AG42" i="849"/>
  <c r="AD42" i="849"/>
  <c r="AC42" i="849"/>
  <c r="AA42" i="849" a="1"/>
  <c r="Y42" i="849"/>
  <c r="X42" i="849"/>
  <c r="V42" i="849"/>
  <c r="S42" i="849"/>
  <c r="K42" i="849"/>
  <c r="J42" i="849"/>
  <c r="I42" i="849"/>
  <c r="BB41" i="849"/>
  <c r="BA41" i="849"/>
  <c r="AZ41" i="849"/>
  <c r="AY41" i="849"/>
  <c r="AX41" i="849"/>
  <c r="AW41" i="849"/>
  <c r="AV41" i="849"/>
  <c r="AU41" i="849" a="1"/>
  <c r="AS41" i="849"/>
  <c r="AR41" i="849"/>
  <c r="AN41" i="849"/>
  <c r="AM41" i="849"/>
  <c r="AL41" i="849"/>
  <c r="AK41" i="849"/>
  <c r="AJ41" i="849"/>
  <c r="AI41" i="849"/>
  <c r="AG41" i="849"/>
  <c r="AD41" i="849"/>
  <c r="AC41" i="849"/>
  <c r="AA41" i="849" a="1"/>
  <c r="Y41" i="849"/>
  <c r="X41" i="849"/>
  <c r="V41" i="849"/>
  <c r="S41" i="849"/>
  <c r="K41" i="849"/>
  <c r="J41" i="849"/>
  <c r="I41" i="849"/>
  <c r="BB40" i="849"/>
  <c r="BA40" i="849"/>
  <c r="AZ40" i="849"/>
  <c r="AY40" i="849"/>
  <c r="AX40" i="849"/>
  <c r="AW40" i="849"/>
  <c r="AV40" i="849"/>
  <c r="AU40" i="849" a="1"/>
  <c r="AS40" i="849"/>
  <c r="AR40" i="849"/>
  <c r="AN40" i="849"/>
  <c r="AM40" i="849"/>
  <c r="AL40" i="849"/>
  <c r="AK40" i="849"/>
  <c r="AJ40" i="849"/>
  <c r="AI40" i="849"/>
  <c r="AG40" i="849"/>
  <c r="AD40" i="849"/>
  <c r="AC40" i="849"/>
  <c r="AA40" i="849" a="1"/>
  <c r="Y40" i="849"/>
  <c r="X40" i="849"/>
  <c r="V40" i="849"/>
  <c r="S40" i="849"/>
  <c r="K40" i="849"/>
  <c r="J40" i="849"/>
  <c r="I40" i="849"/>
  <c r="BB39" i="849"/>
  <c r="BA39" i="849"/>
  <c r="AZ39" i="849"/>
  <c r="AY39" i="849"/>
  <c r="AX39" i="849"/>
  <c r="AW39" i="849"/>
  <c r="AV39" i="849"/>
  <c r="AU39" i="849" a="1"/>
  <c r="AS39" i="849"/>
  <c r="AR39" i="849"/>
  <c r="AN39" i="849"/>
  <c r="AM39" i="849"/>
  <c r="AL39" i="849"/>
  <c r="AK39" i="849"/>
  <c r="AJ39" i="849"/>
  <c r="AI39" i="849"/>
  <c r="AG39" i="849"/>
  <c r="AD39" i="849"/>
  <c r="AC39" i="849"/>
  <c r="AA39" i="849" a="1"/>
  <c r="Y39" i="849"/>
  <c r="X39" i="849"/>
  <c r="V39" i="849"/>
  <c r="S39" i="849"/>
  <c r="K39" i="849"/>
  <c r="J39" i="849"/>
  <c r="I39" i="849"/>
  <c r="BB38" i="849"/>
  <c r="BA38" i="849"/>
  <c r="AZ38" i="849"/>
  <c r="AY38" i="849"/>
  <c r="AX38" i="849"/>
  <c r="AW38" i="849"/>
  <c r="AV38" i="849"/>
  <c r="AU38" i="849" a="1"/>
  <c r="AS38" i="849"/>
  <c r="AR38" i="849"/>
  <c r="AN38" i="849"/>
  <c r="AM38" i="849"/>
  <c r="AL38" i="849"/>
  <c r="AK38" i="849"/>
  <c r="AJ38" i="849"/>
  <c r="AI38" i="849"/>
  <c r="AG38" i="849"/>
  <c r="AD38" i="849"/>
  <c r="AC38" i="849"/>
  <c r="AA38" i="849" a="1"/>
  <c r="Y38" i="849"/>
  <c r="X38" i="849"/>
  <c r="V38" i="849"/>
  <c r="S38" i="849"/>
  <c r="K38" i="849"/>
  <c r="J38" i="849"/>
  <c r="I38" i="849"/>
  <c r="BB37" i="849"/>
  <c r="BA37" i="849"/>
  <c r="AZ37" i="849"/>
  <c r="AY37" i="849"/>
  <c r="AX37" i="849"/>
  <c r="AW37" i="849"/>
  <c r="AV37" i="849"/>
  <c r="AU37" i="849" a="1"/>
  <c r="AS37" i="849"/>
  <c r="AR37" i="849"/>
  <c r="AN37" i="849"/>
  <c r="AM37" i="849"/>
  <c r="AL37" i="849"/>
  <c r="AK37" i="849"/>
  <c r="AJ37" i="849"/>
  <c r="AI37" i="849"/>
  <c r="AG37" i="849"/>
  <c r="AD37" i="849"/>
  <c r="AC37" i="849"/>
  <c r="AA37" i="849" a="1"/>
  <c r="Y37" i="849"/>
  <c r="X37" i="849"/>
  <c r="V37" i="849"/>
  <c r="S37" i="849"/>
  <c r="K37" i="849"/>
  <c r="J37" i="849"/>
  <c r="I37" i="849"/>
  <c r="BB36" i="849"/>
  <c r="BA36" i="849"/>
  <c r="AZ36" i="849"/>
  <c r="AY36" i="849"/>
  <c r="AX36" i="849"/>
  <c r="AW36" i="849"/>
  <c r="AV36" i="849"/>
  <c r="AU36" i="849" a="1"/>
  <c r="AS36" i="849"/>
  <c r="AR36" i="849"/>
  <c r="AN36" i="849"/>
  <c r="AM36" i="849"/>
  <c r="AL36" i="849"/>
  <c r="AK36" i="849"/>
  <c r="AJ36" i="849"/>
  <c r="AI36" i="849"/>
  <c r="AG36" i="849"/>
  <c r="AD36" i="849"/>
  <c r="AC36" i="849"/>
  <c r="AA36" i="849" a="1"/>
  <c r="Y36" i="849"/>
  <c r="X36" i="849"/>
  <c r="V36" i="849"/>
  <c r="S36" i="849"/>
  <c r="K36" i="849"/>
  <c r="J36" i="849"/>
  <c r="I36" i="849"/>
  <c r="BB35" i="849"/>
  <c r="BA35" i="849"/>
  <c r="AZ35" i="849"/>
  <c r="AY35" i="849"/>
  <c r="AX35" i="849"/>
  <c r="AW35" i="849"/>
  <c r="AV35" i="849"/>
  <c r="AU35" i="849" a="1"/>
  <c r="AS35" i="849"/>
  <c r="AR35" i="849"/>
  <c r="AN35" i="849"/>
  <c r="AM35" i="849"/>
  <c r="AL35" i="849"/>
  <c r="AK35" i="849"/>
  <c r="AJ35" i="849"/>
  <c r="AI35" i="849"/>
  <c r="AG35" i="849"/>
  <c r="AD35" i="849"/>
  <c r="AC35" i="849"/>
  <c r="AA35" i="849" a="1"/>
  <c r="Y35" i="849"/>
  <c r="X35" i="849"/>
  <c r="V35" i="849"/>
  <c r="S35" i="849"/>
  <c r="K35" i="849"/>
  <c r="J35" i="849"/>
  <c r="I35" i="849"/>
  <c r="BB34" i="849"/>
  <c r="BA34" i="849"/>
  <c r="AZ34" i="849"/>
  <c r="AY34" i="849"/>
  <c r="AX34" i="849"/>
  <c r="AW34" i="849"/>
  <c r="AV34" i="849"/>
  <c r="AU34" i="849" a="1"/>
  <c r="AS34" i="849"/>
  <c r="AR34" i="849"/>
  <c r="AN34" i="849"/>
  <c r="AM34" i="849"/>
  <c r="AL34" i="849"/>
  <c r="AK34" i="849"/>
  <c r="AJ34" i="849"/>
  <c r="AI34" i="849"/>
  <c r="AG34" i="849"/>
  <c r="AD34" i="849"/>
  <c r="AC34" i="849"/>
  <c r="AA34" i="849" a="1"/>
  <c r="Y34" i="849"/>
  <c r="X34" i="849"/>
  <c r="V34" i="849"/>
  <c r="S34" i="849"/>
  <c r="K34" i="849"/>
  <c r="J34" i="849"/>
  <c r="I34" i="849"/>
  <c r="BB33" i="849"/>
  <c r="BA33" i="849"/>
  <c r="AZ33" i="849"/>
  <c r="AY33" i="849"/>
  <c r="AX33" i="849"/>
  <c r="AW33" i="849"/>
  <c r="AV33" i="849"/>
  <c r="AU33" i="849" a="1"/>
  <c r="AS33" i="849"/>
  <c r="AR33" i="849"/>
  <c r="AN33" i="849"/>
  <c r="AM33" i="849"/>
  <c r="AL33" i="849"/>
  <c r="AK33" i="849"/>
  <c r="AJ33" i="849"/>
  <c r="AI33" i="849"/>
  <c r="AG33" i="849"/>
  <c r="AD33" i="849"/>
  <c r="AC33" i="849"/>
  <c r="AA33" i="849" a="1"/>
  <c r="Y33" i="849"/>
  <c r="X33" i="849"/>
  <c r="V33" i="849"/>
  <c r="S33" i="849"/>
  <c r="K33" i="849"/>
  <c r="J33" i="849"/>
  <c r="I33" i="849"/>
  <c r="BB32" i="849"/>
  <c r="BA32" i="849"/>
  <c r="AZ32" i="849"/>
  <c r="AY32" i="849"/>
  <c r="AX32" i="849"/>
  <c r="AW32" i="849"/>
  <c r="AV32" i="849"/>
  <c r="AU32" i="849" a="1"/>
  <c r="AS32" i="849"/>
  <c r="AR32" i="849"/>
  <c r="AN32" i="849"/>
  <c r="AM32" i="849"/>
  <c r="AL32" i="849"/>
  <c r="AK32" i="849"/>
  <c r="AJ32" i="849"/>
  <c r="AI32" i="849"/>
  <c r="AG32" i="849"/>
  <c r="AD32" i="849"/>
  <c r="AC32" i="849"/>
  <c r="AA32" i="849" a="1"/>
  <c r="Y32" i="849"/>
  <c r="X32" i="849"/>
  <c r="V32" i="849"/>
  <c r="S32" i="849"/>
  <c r="K32" i="849"/>
  <c r="J32" i="849"/>
  <c r="I32" i="849"/>
  <c r="BB31" i="849"/>
  <c r="BA31" i="849"/>
  <c r="AZ31" i="849"/>
  <c r="AY31" i="849"/>
  <c r="AX31" i="849"/>
  <c r="AW31" i="849"/>
  <c r="AV31" i="849"/>
  <c r="AU31" i="849" a="1"/>
  <c r="AS31" i="849"/>
  <c r="AR31" i="849"/>
  <c r="AN31" i="849"/>
  <c r="AM31" i="849"/>
  <c r="AL31" i="849"/>
  <c r="AK31" i="849"/>
  <c r="AJ31" i="849"/>
  <c r="AI31" i="849"/>
  <c r="AG31" i="849"/>
  <c r="AD31" i="849"/>
  <c r="AC31" i="849"/>
  <c r="AA31" i="849" a="1"/>
  <c r="Y31" i="849"/>
  <c r="X31" i="849"/>
  <c r="V31" i="849"/>
  <c r="S31" i="849"/>
  <c r="K31" i="849"/>
  <c r="J31" i="849"/>
  <c r="I31" i="849"/>
  <c r="BB30" i="849"/>
  <c r="BA30" i="849"/>
  <c r="AZ30" i="849"/>
  <c r="AY30" i="849"/>
  <c r="AX30" i="849"/>
  <c r="AW30" i="849"/>
  <c r="AV30" i="849"/>
  <c r="AU30" i="849" a="1"/>
  <c r="AS30" i="849"/>
  <c r="AR30" i="849"/>
  <c r="AN30" i="849"/>
  <c r="AM30" i="849"/>
  <c r="AL30" i="849"/>
  <c r="AK30" i="849"/>
  <c r="AJ30" i="849"/>
  <c r="AI30" i="849"/>
  <c r="AG30" i="849"/>
  <c r="AD30" i="849"/>
  <c r="AC30" i="849"/>
  <c r="AA30" i="849" a="1"/>
  <c r="Y30" i="849"/>
  <c r="X30" i="849"/>
  <c r="V30" i="849"/>
  <c r="S30" i="849"/>
  <c r="K30" i="849"/>
  <c r="J30" i="849"/>
  <c r="I30" i="849"/>
  <c r="BB29" i="849"/>
  <c r="BA29" i="849"/>
  <c r="AZ29" i="849"/>
  <c r="AY29" i="849"/>
  <c r="AX29" i="849"/>
  <c r="AW29" i="849"/>
  <c r="AV29" i="849"/>
  <c r="AU29" i="849" a="1"/>
  <c r="AS29" i="849"/>
  <c r="AR29" i="849"/>
  <c r="AN29" i="849"/>
  <c r="AM29" i="849"/>
  <c r="AL29" i="849"/>
  <c r="AK29" i="849"/>
  <c r="AJ29" i="849"/>
  <c r="AI29" i="849"/>
  <c r="AG29" i="849"/>
  <c r="AD29" i="849"/>
  <c r="AC29" i="849"/>
  <c r="AA29" i="849" a="1"/>
  <c r="Y29" i="849"/>
  <c r="X29" i="849"/>
  <c r="V29" i="849"/>
  <c r="S29" i="849"/>
  <c r="K29" i="849"/>
  <c r="J29" i="849"/>
  <c r="I29" i="849"/>
  <c r="BB28" i="849"/>
  <c r="BA28" i="849"/>
  <c r="AZ28" i="849"/>
  <c r="AY28" i="849"/>
  <c r="AX28" i="849"/>
  <c r="AW28" i="849"/>
  <c r="AV28" i="849"/>
  <c r="AU28" i="849" a="1"/>
  <c r="AS28" i="849"/>
  <c r="AR28" i="849"/>
  <c r="AN28" i="849"/>
  <c r="AM28" i="849"/>
  <c r="AL28" i="849"/>
  <c r="AK28" i="849"/>
  <c r="AJ28" i="849"/>
  <c r="AI28" i="849"/>
  <c r="AG28" i="849"/>
  <c r="AD28" i="849"/>
  <c r="AC28" i="849"/>
  <c r="AA28" i="849" a="1"/>
  <c r="Y28" i="849"/>
  <c r="X28" i="849"/>
  <c r="V28" i="849"/>
  <c r="S28" i="849"/>
  <c r="K28" i="849"/>
  <c r="J28" i="849"/>
  <c r="I28" i="849"/>
  <c r="BB27" i="849"/>
  <c r="BA27" i="849"/>
  <c r="AZ27" i="849"/>
  <c r="AY27" i="849"/>
  <c r="AX27" i="849"/>
  <c r="AW27" i="849"/>
  <c r="AV27" i="849"/>
  <c r="AU27" i="849" a="1"/>
  <c r="AS27" i="849"/>
  <c r="AR27" i="849"/>
  <c r="AN27" i="849"/>
  <c r="AM27" i="849"/>
  <c r="AL27" i="849"/>
  <c r="AK27" i="849"/>
  <c r="AJ27" i="849"/>
  <c r="AI27" i="849"/>
  <c r="AG27" i="849"/>
  <c r="AD27" i="849"/>
  <c r="AC27" i="849"/>
  <c r="AA27" i="849" a="1"/>
  <c r="Y27" i="849"/>
  <c r="X27" i="849"/>
  <c r="V27" i="849"/>
  <c r="S27" i="849"/>
  <c r="K27" i="849"/>
  <c r="J27" i="849"/>
  <c r="I27" i="849"/>
  <c r="BB26" i="849"/>
  <c r="BA26" i="849"/>
  <c r="AZ26" i="849"/>
  <c r="AY26" i="849"/>
  <c r="AX26" i="849"/>
  <c r="AW26" i="849"/>
  <c r="AV26" i="849"/>
  <c r="AU26" i="849" a="1"/>
  <c r="AS26" i="849"/>
  <c r="AR26" i="849"/>
  <c r="AN26" i="849"/>
  <c r="AM26" i="849"/>
  <c r="AL26" i="849"/>
  <c r="AK26" i="849"/>
  <c r="AJ26" i="849"/>
  <c r="AI26" i="849"/>
  <c r="AG26" i="849"/>
  <c r="AD26" i="849"/>
  <c r="AC26" i="849"/>
  <c r="AA26" i="849" a="1"/>
  <c r="Y26" i="849"/>
  <c r="X26" i="849"/>
  <c r="V26" i="849"/>
  <c r="S26" i="849"/>
  <c r="K26" i="849"/>
  <c r="J26" i="849"/>
  <c r="I26" i="849"/>
  <c r="BB25" i="849"/>
  <c r="BA25" i="849"/>
  <c r="AZ25" i="849"/>
  <c r="AY25" i="849"/>
  <c r="AX25" i="849"/>
  <c r="AW25" i="849"/>
  <c r="AV25" i="849"/>
  <c r="AU25" i="849" a="1"/>
  <c r="AS25" i="849"/>
  <c r="AR25" i="849"/>
  <c r="AN25" i="849"/>
  <c r="AM25" i="849"/>
  <c r="AL25" i="849"/>
  <c r="AK25" i="849"/>
  <c r="AJ25" i="849"/>
  <c r="AI25" i="849"/>
  <c r="AG25" i="849"/>
  <c r="AD25" i="849"/>
  <c r="AC25" i="849"/>
  <c r="AA25" i="849" a="1"/>
  <c r="Y25" i="849"/>
  <c r="X25" i="849"/>
  <c r="V25" i="849"/>
  <c r="S25" i="849"/>
  <c r="K25" i="849"/>
  <c r="J25" i="849"/>
  <c r="I25" i="849"/>
  <c r="BB24" i="849"/>
  <c r="BA24" i="849"/>
  <c r="AZ24" i="849"/>
  <c r="AY24" i="849"/>
  <c r="AX24" i="849"/>
  <c r="AW24" i="849"/>
  <c r="AV24" i="849"/>
  <c r="AU24" i="849" a="1"/>
  <c r="AS24" i="849"/>
  <c r="AR24" i="849"/>
  <c r="AN24" i="849"/>
  <c r="AM24" i="849"/>
  <c r="AL24" i="849"/>
  <c r="AK24" i="849"/>
  <c r="AJ24" i="849"/>
  <c r="AI24" i="849"/>
  <c r="AG24" i="849"/>
  <c r="AD24" i="849"/>
  <c r="AC24" i="849"/>
  <c r="AA24" i="849" a="1"/>
  <c r="Y24" i="849"/>
  <c r="X24" i="849"/>
  <c r="V24" i="849"/>
  <c r="S24" i="849"/>
  <c r="K24" i="849"/>
  <c r="J24" i="849"/>
  <c r="I24" i="849"/>
  <c r="BB23" i="849"/>
  <c r="BA23" i="849"/>
  <c r="AZ23" i="849"/>
  <c r="AY23" i="849"/>
  <c r="AX23" i="849"/>
  <c r="AW23" i="849"/>
  <c r="AV23" i="849"/>
  <c r="AU23" i="849" a="1"/>
  <c r="AS23" i="849"/>
  <c r="AR23" i="849"/>
  <c r="AN23" i="849"/>
  <c r="AM23" i="849"/>
  <c r="AL23" i="849"/>
  <c r="AK23" i="849"/>
  <c r="AJ23" i="849"/>
  <c r="AI23" i="849"/>
  <c r="AG23" i="849"/>
  <c r="AD23" i="849"/>
  <c r="AC23" i="849"/>
  <c r="AA23" i="849" a="1"/>
  <c r="Y23" i="849"/>
  <c r="X23" i="849"/>
  <c r="V23" i="849"/>
  <c r="S23" i="849"/>
  <c r="K23" i="849"/>
  <c r="J23" i="849"/>
  <c r="I23" i="849"/>
  <c r="BB22" i="849"/>
  <c r="BA22" i="849"/>
  <c r="AZ22" i="849"/>
  <c r="AY22" i="849"/>
  <c r="AX22" i="849"/>
  <c r="AW22" i="849"/>
  <c r="AV22" i="849"/>
  <c r="AU22" i="849" a="1"/>
  <c r="AS22" i="849"/>
  <c r="AR22" i="849"/>
  <c r="AN22" i="849"/>
  <c r="AM22" i="849"/>
  <c r="AL22" i="849"/>
  <c r="AK22" i="849"/>
  <c r="AJ22" i="849"/>
  <c r="AI22" i="849"/>
  <c r="AG22" i="849"/>
  <c r="AD22" i="849"/>
  <c r="AC22" i="849"/>
  <c r="AA22" i="849" a="1"/>
  <c r="Y22" i="849"/>
  <c r="X22" i="849"/>
  <c r="V22" i="849"/>
  <c r="S22" i="849"/>
  <c r="K22" i="849"/>
  <c r="J22" i="849"/>
  <c r="I22" i="849"/>
  <c r="BB21" i="849"/>
  <c r="BA21" i="849"/>
  <c r="AZ21" i="849"/>
  <c r="AY21" i="849"/>
  <c r="AX21" i="849"/>
  <c r="AW21" i="849"/>
  <c r="AV21" i="849"/>
  <c r="AU21" i="849" a="1"/>
  <c r="AS21" i="849"/>
  <c r="AR21" i="849"/>
  <c r="AN21" i="849"/>
  <c r="AM21" i="849"/>
  <c r="AL21" i="849"/>
  <c r="AK21" i="849"/>
  <c r="AJ21" i="849"/>
  <c r="AI21" i="849"/>
  <c r="AG21" i="849"/>
  <c r="AD21" i="849"/>
  <c r="AC21" i="849"/>
  <c r="AA21" i="849" a="1"/>
  <c r="Y21" i="849"/>
  <c r="X21" i="849"/>
  <c r="V21" i="849"/>
  <c r="S21" i="849"/>
  <c r="K21" i="849"/>
  <c r="J21" i="849"/>
  <c r="I21" i="849"/>
  <c r="BB20" i="849"/>
  <c r="BA20" i="849"/>
  <c r="AZ20" i="849"/>
  <c r="AY20" i="849"/>
  <c r="AX20" i="849"/>
  <c r="AW20" i="849"/>
  <c r="AV20" i="849"/>
  <c r="AU20" i="849" a="1"/>
  <c r="AS20" i="849"/>
  <c r="AR20" i="849"/>
  <c r="AN20" i="849"/>
  <c r="AM20" i="849"/>
  <c r="AL20" i="849"/>
  <c r="AK20" i="849"/>
  <c r="AJ20" i="849"/>
  <c r="AI20" i="849"/>
  <c r="AG20" i="849"/>
  <c r="AD20" i="849"/>
  <c r="AC20" i="849"/>
  <c r="AA20" i="849" a="1"/>
  <c r="Y20" i="849"/>
  <c r="X20" i="849"/>
  <c r="V20" i="849"/>
  <c r="S20" i="849"/>
  <c r="K20" i="849"/>
  <c r="J20" i="849"/>
  <c r="I20" i="849"/>
  <c r="BB19" i="849"/>
  <c r="BA19" i="849"/>
  <c r="AZ19" i="849"/>
  <c r="AY19" i="849"/>
  <c r="AX19" i="849"/>
  <c r="AW19" i="849"/>
  <c r="AV19" i="849"/>
  <c r="AU19" i="849" a="1"/>
  <c r="AS19" i="849"/>
  <c r="AR19" i="849"/>
  <c r="AN19" i="849"/>
  <c r="AM19" i="849"/>
  <c r="AL19" i="849"/>
  <c r="AK19" i="849"/>
  <c r="AJ19" i="849"/>
  <c r="AI19" i="849"/>
  <c r="AG19" i="849"/>
  <c r="AD19" i="849"/>
  <c r="AC19" i="849"/>
  <c r="AA19" i="849" a="1"/>
  <c r="Y19" i="849"/>
  <c r="X19" i="849"/>
  <c r="V19" i="849"/>
  <c r="S19" i="849"/>
  <c r="K19" i="849"/>
  <c r="J19" i="849"/>
  <c r="I19" i="849"/>
  <c r="D19" i="849"/>
  <c r="BB18" i="849"/>
  <c r="BA18" i="849"/>
  <c r="AZ18" i="849"/>
  <c r="AY18" i="849"/>
  <c r="AX18" i="849"/>
  <c r="AW18" i="849"/>
  <c r="AV18" i="849"/>
  <c r="AU18" i="849" a="1"/>
  <c r="AS18" i="849"/>
  <c r="AR18" i="849"/>
  <c r="AN18" i="849"/>
  <c r="AM18" i="849"/>
  <c r="AL18" i="849"/>
  <c r="AK18" i="849"/>
  <c r="AJ18" i="849"/>
  <c r="AI18" i="849"/>
  <c r="AG18" i="849"/>
  <c r="AD18" i="849"/>
  <c r="AC18" i="849"/>
  <c r="AA18" i="849" a="1"/>
  <c r="Y18" i="849"/>
  <c r="X18" i="849"/>
  <c r="V18" i="849"/>
  <c r="S18" i="849"/>
  <c r="K18" i="849"/>
  <c r="J18" i="849"/>
  <c r="I18" i="849"/>
  <c r="C18" i="849"/>
  <c r="AC17" i="849"/>
  <c r="X17" i="849"/>
  <c r="V17" i="849"/>
  <c r="S17" i="849"/>
  <c r="I17" i="849"/>
  <c r="AC16" i="849"/>
  <c r="X16" i="849"/>
  <c r="V16" i="849"/>
  <c r="S16" i="849"/>
  <c r="I16" i="849"/>
  <c r="AC15" i="849"/>
  <c r="X15" i="849"/>
  <c r="V15" i="849"/>
  <c r="S15" i="849"/>
  <c r="I15" i="849"/>
  <c r="F15" i="849"/>
  <c r="D15" i="849"/>
  <c r="AC14" i="849"/>
  <c r="X14" i="849"/>
  <c r="V14" i="849"/>
  <c r="S14" i="849"/>
  <c r="I14" i="849"/>
  <c r="AC13" i="849"/>
  <c r="X13" i="849"/>
  <c r="V13" i="849"/>
  <c r="S13" i="849"/>
  <c r="I13" i="849"/>
  <c r="F13" i="849"/>
  <c r="D13" i="849"/>
  <c r="AC12" i="849"/>
  <c r="X12" i="849"/>
  <c r="V12" i="849"/>
  <c r="S12" i="849"/>
  <c r="I12" i="849"/>
  <c r="AC11" i="849"/>
  <c r="X11" i="849"/>
  <c r="V11" i="849"/>
  <c r="S11" i="849"/>
  <c r="I11" i="849"/>
  <c r="E11" i="849"/>
  <c r="AC10" i="849"/>
  <c r="X10" i="849"/>
  <c r="V10" i="849"/>
  <c r="S10" i="849"/>
  <c r="I10" i="849"/>
  <c r="AC9" i="849"/>
  <c r="V9" i="849"/>
  <c r="I9" i="849"/>
  <c r="AC8" i="849"/>
  <c r="V8" i="849"/>
  <c r="J8" i="849"/>
  <c r="J9" i="849" s="1"/>
  <c r="J10" i="849" s="1"/>
  <c r="J11" i="849" s="1"/>
  <c r="J12" i="849" s="1"/>
  <c r="J13" i="849" s="1"/>
  <c r="J14" i="849" s="1"/>
  <c r="J15" i="849" s="1"/>
  <c r="J16" i="849" s="1"/>
  <c r="J17" i="849" s="1"/>
  <c r="I8" i="849"/>
  <c r="AC7" i="849"/>
  <c r="E6" i="849"/>
  <c r="N4" i="849"/>
  <c r="U25" i="4"/>
  <c r="U26" i="4"/>
  <c r="U27" i="4"/>
  <c r="U28" i="4"/>
  <c r="U29" i="4"/>
  <c r="U30" i="4"/>
  <c r="U31" i="4"/>
  <c r="U32" i="4"/>
  <c r="U33" i="4"/>
  <c r="V28" i="4"/>
  <c r="F8" i="805"/>
  <c r="F9" i="805"/>
  <c r="E9" i="805" s="1"/>
  <c r="R8" i="124"/>
  <c r="AA8" i="124" s="1"/>
  <c r="M92" i="825"/>
  <c r="AC9" i="825"/>
  <c r="AC10" i="825"/>
  <c r="AC11" i="825"/>
  <c r="AC12" i="825"/>
  <c r="AC13" i="825"/>
  <c r="AC14" i="825"/>
  <c r="AC15" i="825"/>
  <c r="AC16" i="825"/>
  <c r="AC17" i="825"/>
  <c r="AC18" i="825"/>
  <c r="AC19" i="825"/>
  <c r="AC20" i="825"/>
  <c r="AC21" i="825"/>
  <c r="AC22" i="825"/>
  <c r="AC23" i="825"/>
  <c r="AC24" i="825"/>
  <c r="AC25" i="825"/>
  <c r="AC26" i="825"/>
  <c r="AC27" i="825"/>
  <c r="AC28" i="825"/>
  <c r="AC29" i="825"/>
  <c r="AC30" i="825"/>
  <c r="AC31" i="825"/>
  <c r="AC32" i="825"/>
  <c r="AC33" i="825"/>
  <c r="AC34" i="825"/>
  <c r="AC35" i="825"/>
  <c r="AC36" i="825"/>
  <c r="AC37" i="825"/>
  <c r="AC38" i="825"/>
  <c r="AC39" i="825"/>
  <c r="AC40" i="825"/>
  <c r="AC41" i="825"/>
  <c r="AC42" i="825"/>
  <c r="AC43" i="825"/>
  <c r="AC44" i="825"/>
  <c r="AC45" i="825"/>
  <c r="AC46" i="825"/>
  <c r="AC47" i="825"/>
  <c r="AC48" i="825"/>
  <c r="AC49" i="825"/>
  <c r="AC50" i="825"/>
  <c r="AC51" i="825"/>
  <c r="AC52" i="825"/>
  <c r="AC53" i="825"/>
  <c r="AC54" i="825"/>
  <c r="AC55" i="825"/>
  <c r="AC56" i="825"/>
  <c r="AC57" i="825"/>
  <c r="AC58" i="825"/>
  <c r="AC59" i="825"/>
  <c r="AC60" i="825"/>
  <c r="AC61" i="825"/>
  <c r="AC62" i="825"/>
  <c r="AC63" i="825"/>
  <c r="AC64" i="825"/>
  <c r="AC65" i="825"/>
  <c r="AC66" i="825"/>
  <c r="AC67" i="825"/>
  <c r="AC68" i="825"/>
  <c r="AC69" i="825"/>
  <c r="AC70" i="825"/>
  <c r="AC71" i="825"/>
  <c r="AC72" i="825"/>
  <c r="AC73" i="825"/>
  <c r="AC74" i="825"/>
  <c r="AC75" i="825"/>
  <c r="AC76" i="825"/>
  <c r="AI76" i="825"/>
  <c r="AK76" i="825"/>
  <c r="AJ76" i="825" s="1"/>
  <c r="AL76" i="825"/>
  <c r="AR76" i="825" a="1"/>
  <c r="AS76" i="825"/>
  <c r="AT76" i="825"/>
  <c r="AH76" i="825" s="1"/>
  <c r="AC77" i="825"/>
  <c r="AD77" i="825"/>
  <c r="AE77" i="825"/>
  <c r="AG77" i="825"/>
  <c r="AI77" i="825"/>
  <c r="AK77" i="825"/>
  <c r="AJ77" i="825" s="1"/>
  <c r="AL77" i="825"/>
  <c r="AR77" i="825" a="1"/>
  <c r="AS77" i="825"/>
  <c r="AT77" i="825"/>
  <c r="AH77" i="825" s="1"/>
  <c r="AC78" i="825"/>
  <c r="AD78" i="825"/>
  <c r="AE78" i="825"/>
  <c r="AG78" i="825"/>
  <c r="AI78" i="825"/>
  <c r="AK78" i="825"/>
  <c r="AJ78" i="825" s="1"/>
  <c r="AL78" i="825"/>
  <c r="AR78" i="825" a="1"/>
  <c r="AS78" i="825"/>
  <c r="AT78" i="825"/>
  <c r="AH78" i="825" s="1"/>
  <c r="AC79" i="825"/>
  <c r="AD79" i="825"/>
  <c r="AE79" i="825"/>
  <c r="AG79" i="825"/>
  <c r="AI79" i="825"/>
  <c r="AK79" i="825"/>
  <c r="AJ79" i="825" s="1"/>
  <c r="AL79" i="825"/>
  <c r="AR79" i="825" a="1"/>
  <c r="AS79" i="825"/>
  <c r="AT79" i="825"/>
  <c r="AH79" i="825" s="1"/>
  <c r="AC80" i="825"/>
  <c r="AD80" i="825"/>
  <c r="AE80" i="825"/>
  <c r="AG80" i="825"/>
  <c r="AI80" i="825"/>
  <c r="AK80" i="825"/>
  <c r="AJ80" i="825" s="1"/>
  <c r="AL80" i="825"/>
  <c r="AR80" i="825" a="1"/>
  <c r="AS80" i="825"/>
  <c r="AT80" i="825"/>
  <c r="AH80" i="825" s="1"/>
  <c r="AC81" i="825"/>
  <c r="AD81" i="825"/>
  <c r="AE81" i="825"/>
  <c r="AG81" i="825"/>
  <c r="AI81" i="825"/>
  <c r="AK81" i="825"/>
  <c r="AJ81" i="825" s="1"/>
  <c r="AL81" i="825"/>
  <c r="AR81" i="825" a="1"/>
  <c r="AS81" i="825"/>
  <c r="AT81" i="825"/>
  <c r="AH81" i="825" s="1"/>
  <c r="AC82" i="825"/>
  <c r="AD82" i="825"/>
  <c r="AE82" i="825"/>
  <c r="AG82" i="825"/>
  <c r="AI82" i="825"/>
  <c r="AK82" i="825"/>
  <c r="AJ82" i="825" s="1"/>
  <c r="AL82" i="825"/>
  <c r="AR82" i="825" a="1"/>
  <c r="AS82" i="825"/>
  <c r="AT82" i="825"/>
  <c r="AH82" i="825" s="1"/>
  <c r="AC83" i="825"/>
  <c r="AD83" i="825"/>
  <c r="AE83" i="825"/>
  <c r="AG83" i="825"/>
  <c r="AI83" i="825"/>
  <c r="AK83" i="825"/>
  <c r="AJ83" i="825" s="1"/>
  <c r="AL83" i="825"/>
  <c r="AR83" i="825" a="1"/>
  <c r="AS83" i="825"/>
  <c r="AT83" i="825"/>
  <c r="AH83" i="825" s="1"/>
  <c r="AC84" i="825"/>
  <c r="AD84" i="825"/>
  <c r="AE84" i="825"/>
  <c r="AG84" i="825"/>
  <c r="AI84" i="825"/>
  <c r="AK84" i="825"/>
  <c r="AJ84" i="825" s="1"/>
  <c r="AL84" i="825"/>
  <c r="AR84" i="825" a="1"/>
  <c r="AS84" i="825"/>
  <c r="AT84" i="825"/>
  <c r="AH84" i="825" s="1"/>
  <c r="AC85" i="825"/>
  <c r="AD85" i="825"/>
  <c r="AE85" i="825"/>
  <c r="AG85" i="825"/>
  <c r="AI85" i="825"/>
  <c r="AK85" i="825"/>
  <c r="AJ85" i="825" s="1"/>
  <c r="AL85" i="825"/>
  <c r="AR85" i="825" a="1"/>
  <c r="AS85" i="825"/>
  <c r="AT85" i="825"/>
  <c r="AH85" i="825" s="1"/>
  <c r="AC86" i="825"/>
  <c r="AD86" i="825"/>
  <c r="AE86" i="825"/>
  <c r="AG86" i="825"/>
  <c r="AI86" i="825"/>
  <c r="AK86" i="825"/>
  <c r="AJ86" i="825" s="1"/>
  <c r="AL86" i="825"/>
  <c r="AS86" i="825"/>
  <c r="AT86" i="825"/>
  <c r="AH86" i="825" s="1"/>
  <c r="AC87" i="825"/>
  <c r="AD87" i="825"/>
  <c r="AE87" i="825"/>
  <c r="AG87" i="825"/>
  <c r="AI87" i="825"/>
  <c r="AK87" i="825"/>
  <c r="AJ87" i="825" s="1"/>
  <c r="AL87" i="825"/>
  <c r="AR87" i="825" a="1"/>
  <c r="AS87" i="825"/>
  <c r="AT87" i="825"/>
  <c r="AH87" i="825" s="1"/>
  <c r="V760" i="834"/>
  <c r="V761" i="834"/>
  <c r="V762" i="834"/>
  <c r="V763" i="834"/>
  <c r="V764" i="834"/>
  <c r="V765" i="834"/>
  <c r="V766" i="834"/>
  <c r="V767" i="834"/>
  <c r="V768" i="834"/>
  <c r="V769" i="834"/>
  <c r="V770" i="834"/>
  <c r="V771" i="834"/>
  <c r="V772" i="834"/>
  <c r="V773" i="834"/>
  <c r="V774" i="834"/>
  <c r="V775" i="834"/>
  <c r="V776" i="834"/>
  <c r="V777" i="834"/>
  <c r="V778" i="834"/>
  <c r="V779" i="834"/>
  <c r="V780" i="834"/>
  <c r="V781" i="834"/>
  <c r="V782" i="834"/>
  <c r="V783" i="834"/>
  <c r="V784" i="834"/>
  <c r="V785" i="834"/>
  <c r="V786" i="834"/>
  <c r="V787" i="834"/>
  <c r="V788" i="834"/>
  <c r="V789" i="834"/>
  <c r="V790" i="834"/>
  <c r="V791" i="834"/>
  <c r="V792" i="834"/>
  <c r="V793" i="834"/>
  <c r="V794" i="834"/>
  <c r="V795" i="834"/>
  <c r="V796" i="834"/>
  <c r="V797" i="834"/>
  <c r="V798" i="834"/>
  <c r="V799" i="834"/>
  <c r="V800" i="834"/>
  <c r="V801" i="834"/>
  <c r="V802" i="834"/>
  <c r="V803" i="834"/>
  <c r="V804" i="834"/>
  <c r="V805" i="834"/>
  <c r="V806" i="834"/>
  <c r="V807" i="834"/>
  <c r="V808" i="834"/>
  <c r="V809" i="834"/>
  <c r="V810" i="834"/>
  <c r="V811" i="834"/>
  <c r="V812" i="834"/>
  <c r="V813" i="834"/>
  <c r="V814" i="834"/>
  <c r="V815" i="834"/>
  <c r="V816" i="834"/>
  <c r="V817" i="834"/>
  <c r="V818" i="834"/>
  <c r="V819" i="834"/>
  <c r="V820" i="834"/>
  <c r="V821" i="834"/>
  <c r="V822" i="834"/>
  <c r="V823" i="834"/>
  <c r="V824" i="834"/>
  <c r="V825" i="834"/>
  <c r="V826" i="834"/>
  <c r="V827" i="834"/>
  <c r="V828" i="834"/>
  <c r="V829" i="834"/>
  <c r="V830" i="834"/>
  <c r="V831" i="834"/>
  <c r="V832" i="834"/>
  <c r="V833" i="834"/>
  <c r="V834" i="834"/>
  <c r="V835" i="834"/>
  <c r="V836" i="834"/>
  <c r="V837" i="834"/>
  <c r="V838" i="834"/>
  <c r="V839" i="834"/>
  <c r="V840" i="834"/>
  <c r="V841" i="834"/>
  <c r="V842" i="834"/>
  <c r="V843" i="834"/>
  <c r="V844" i="834"/>
  <c r="V845" i="834"/>
  <c r="V846" i="834"/>
  <c r="V847" i="834"/>
  <c r="V848" i="834"/>
  <c r="V849" i="834"/>
  <c r="V850" i="834"/>
  <c r="V851" i="834"/>
  <c r="V852" i="834"/>
  <c r="V853" i="834"/>
  <c r="V854" i="834"/>
  <c r="V855" i="834"/>
  <c r="V856" i="834"/>
  <c r="V857" i="834"/>
  <c r="V858" i="834"/>
  <c r="V859" i="834"/>
  <c r="V860" i="834"/>
  <c r="V861" i="834"/>
  <c r="V862" i="834"/>
  <c r="V863" i="834"/>
  <c r="V864" i="834"/>
  <c r="V865" i="834"/>
  <c r="V866" i="834"/>
  <c r="V867" i="834"/>
  <c r="V868" i="834"/>
  <c r="V869" i="834"/>
  <c r="V870" i="834"/>
  <c r="V871" i="834"/>
  <c r="V872" i="834"/>
  <c r="V873" i="834"/>
  <c r="V874" i="834"/>
  <c r="V875" i="834"/>
  <c r="V876" i="834"/>
  <c r="V877" i="834"/>
  <c r="V878" i="834"/>
  <c r="V879" i="834"/>
  <c r="V880" i="834"/>
  <c r="V881" i="834"/>
  <c r="V882" i="834"/>
  <c r="V883" i="834"/>
  <c r="V884" i="834"/>
  <c r="V885" i="834"/>
  <c r="V886" i="834"/>
  <c r="V887" i="834"/>
  <c r="V888" i="834"/>
  <c r="V889" i="834"/>
  <c r="V890" i="834"/>
  <c r="V891" i="834"/>
  <c r="V892" i="834"/>
  <c r="V893" i="834"/>
  <c r="V894" i="834"/>
  <c r="V895" i="834"/>
  <c r="V896" i="834"/>
  <c r="V897" i="834"/>
  <c r="V898" i="834"/>
  <c r="V899" i="834"/>
  <c r="V900" i="834"/>
  <c r="V901" i="834"/>
  <c r="V902" i="834"/>
  <c r="V903" i="834"/>
  <c r="V904" i="834"/>
  <c r="V905" i="834"/>
  <c r="V906" i="834"/>
  <c r="V907" i="834"/>
  <c r="V908" i="834"/>
  <c r="V909" i="834"/>
  <c r="V910" i="834"/>
  <c r="V911" i="834"/>
  <c r="V912" i="834"/>
  <c r="V913" i="834"/>
  <c r="V914" i="834"/>
  <c r="V915" i="834"/>
  <c r="V916" i="834"/>
  <c r="V917" i="834"/>
  <c r="V918" i="834"/>
  <c r="V919" i="834"/>
  <c r="V920" i="834"/>
  <c r="V921" i="834"/>
  <c r="V922" i="834"/>
  <c r="V923" i="834"/>
  <c r="V924" i="834"/>
  <c r="V925" i="834"/>
  <c r="V926" i="834"/>
  <c r="V927" i="834"/>
  <c r="V928" i="834"/>
  <c r="V929" i="834"/>
  <c r="V930" i="834"/>
  <c r="V931" i="834"/>
  <c r="V932" i="834"/>
  <c r="V933" i="834"/>
  <c r="V934" i="834"/>
  <c r="V935" i="834"/>
  <c r="V936" i="834"/>
  <c r="V937" i="834"/>
  <c r="V938" i="834"/>
  <c r="V939" i="834"/>
  <c r="V940" i="834"/>
  <c r="V941" i="834"/>
  <c r="V942" i="834"/>
  <c r="V943" i="834"/>
  <c r="V944" i="834"/>
  <c r="V945" i="834"/>
  <c r="V946" i="834"/>
  <c r="V947" i="834"/>
  <c r="V948" i="834"/>
  <c r="V949" i="834"/>
  <c r="V950" i="834"/>
  <c r="V951" i="834"/>
  <c r="V952" i="834"/>
  <c r="V953" i="834"/>
  <c r="V954" i="834"/>
  <c r="V955" i="834"/>
  <c r="V956" i="834"/>
  <c r="V957" i="834"/>
  <c r="V958" i="834"/>
  <c r="V959" i="834"/>
  <c r="V960" i="834"/>
  <c r="V961" i="834"/>
  <c r="V962" i="834"/>
  <c r="V963" i="834"/>
  <c r="V964" i="834"/>
  <c r="V965" i="834"/>
  <c r="V966" i="834"/>
  <c r="V967" i="834"/>
  <c r="V968" i="834"/>
  <c r="V969" i="834"/>
  <c r="V970" i="834"/>
  <c r="V971" i="834"/>
  <c r="V972" i="834"/>
  <c r="V973" i="834"/>
  <c r="V974" i="834"/>
  <c r="V975" i="834"/>
  <c r="V976" i="834"/>
  <c r="V977" i="834"/>
  <c r="V978" i="834"/>
  <c r="V979" i="834"/>
  <c r="V980" i="834"/>
  <c r="V981" i="834"/>
  <c r="V982" i="834"/>
  <c r="V983" i="834"/>
  <c r="V984" i="834"/>
  <c r="V985" i="834"/>
  <c r="V986" i="834"/>
  <c r="V987" i="834"/>
  <c r="V988" i="834"/>
  <c r="V989" i="834"/>
  <c r="V990" i="834"/>
  <c r="V991" i="834"/>
  <c r="V992" i="834"/>
  <c r="V993" i="834"/>
  <c r="V994" i="834"/>
  <c r="V995" i="834"/>
  <c r="V996" i="834"/>
  <c r="V997" i="834"/>
  <c r="V998" i="834"/>
  <c r="V999" i="834"/>
  <c r="V1000" i="834"/>
  <c r="V1001" i="834"/>
  <c r="V1002" i="834"/>
  <c r="V1003" i="834"/>
  <c r="V1004" i="834"/>
  <c r="V1005" i="834"/>
  <c r="V1006" i="834"/>
  <c r="V1007" i="834"/>
  <c r="V1008" i="834"/>
  <c r="V1009" i="834"/>
  <c r="V1010" i="834"/>
  <c r="V1011" i="834"/>
  <c r="V1012" i="834"/>
  <c r="V1013" i="834"/>
  <c r="V1014" i="834"/>
  <c r="V1015" i="834"/>
  <c r="V1016" i="834"/>
  <c r="V1017" i="834"/>
  <c r="V1018" i="834"/>
  <c r="V1019" i="834"/>
  <c r="V1020" i="834"/>
  <c r="V1021" i="834"/>
  <c r="V1022" i="834"/>
  <c r="V1023" i="834"/>
  <c r="V1024" i="834"/>
  <c r="V1025" i="834"/>
  <c r="V1026" i="834"/>
  <c r="V1027" i="834"/>
  <c r="V1028" i="834"/>
  <c r="V1029" i="834"/>
  <c r="V1030" i="834"/>
  <c r="V1031" i="834"/>
  <c r="V1032" i="834"/>
  <c r="V1033" i="834"/>
  <c r="V1034" i="834"/>
  <c r="V1035" i="834"/>
  <c r="V1036" i="834"/>
  <c r="V1037" i="834"/>
  <c r="V1038" i="834"/>
  <c r="V1039" i="834"/>
  <c r="V1040" i="834"/>
  <c r="V1041" i="834"/>
  <c r="V1042" i="834"/>
  <c r="V1043" i="834"/>
  <c r="V1044" i="834"/>
  <c r="V1045" i="834"/>
  <c r="V1046" i="834"/>
  <c r="V1047" i="834"/>
  <c r="V1048" i="834"/>
  <c r="V1049" i="834"/>
  <c r="V1050" i="834"/>
  <c r="V1051" i="834"/>
  <c r="V1052" i="834"/>
  <c r="V1053" i="834"/>
  <c r="V1054" i="834"/>
  <c r="V1055" i="834"/>
  <c r="V1056" i="834"/>
  <c r="V1057" i="834"/>
  <c r="V1058" i="834"/>
  <c r="V1059" i="834"/>
  <c r="V1060" i="834"/>
  <c r="V1061" i="834"/>
  <c r="V1062" i="834"/>
  <c r="V1063" i="834"/>
  <c r="V1064" i="834"/>
  <c r="V1065" i="834"/>
  <c r="V1066" i="834"/>
  <c r="V1067" i="834"/>
  <c r="V1068" i="834"/>
  <c r="V1069" i="834"/>
  <c r="V1070" i="834"/>
  <c r="V1071" i="834"/>
  <c r="V1072" i="834"/>
  <c r="V1073" i="834"/>
  <c r="V1074" i="834"/>
  <c r="V1075" i="834"/>
  <c r="V1076" i="834"/>
  <c r="V1077" i="834"/>
  <c r="V1078" i="834"/>
  <c r="V1079" i="834"/>
  <c r="V1080" i="834"/>
  <c r="V1081" i="834"/>
  <c r="V1082" i="834"/>
  <c r="V1083" i="834"/>
  <c r="V1084" i="834"/>
  <c r="V1085" i="834"/>
  <c r="V1086" i="834"/>
  <c r="V1087" i="834"/>
  <c r="V1088" i="834"/>
  <c r="V1089" i="834"/>
  <c r="V1090" i="834"/>
  <c r="V1091" i="834"/>
  <c r="V1092" i="834"/>
  <c r="V1093" i="834"/>
  <c r="V1094" i="834"/>
  <c r="V1095" i="834"/>
  <c r="V1096" i="834"/>
  <c r="V1097" i="834"/>
  <c r="V1098" i="834"/>
  <c r="V1099" i="834"/>
  <c r="V1100" i="834"/>
  <c r="V1101" i="834"/>
  <c r="V1102" i="834"/>
  <c r="V1103" i="834"/>
  <c r="V1104" i="834"/>
  <c r="V1105" i="834"/>
  <c r="V1106" i="834"/>
  <c r="V1107" i="834"/>
  <c r="V1108" i="834"/>
  <c r="V1109" i="834"/>
  <c r="V1110" i="834"/>
  <c r="V1111" i="834"/>
  <c r="V1112" i="834"/>
  <c r="V1113" i="834"/>
  <c r="V1114" i="834"/>
  <c r="V1115" i="834"/>
  <c r="V1116" i="834"/>
  <c r="V1117" i="834"/>
  <c r="V1118" i="834"/>
  <c r="V1119" i="834"/>
  <c r="V1120" i="834"/>
  <c r="V1121" i="834"/>
  <c r="V1122" i="834"/>
  <c r="V1123" i="834"/>
  <c r="V1124" i="834"/>
  <c r="V1125" i="834"/>
  <c r="V1126" i="834"/>
  <c r="V1127" i="834"/>
  <c r="V1128" i="834"/>
  <c r="V1129" i="834"/>
  <c r="V1130" i="834"/>
  <c r="V1131" i="834"/>
  <c r="V1132" i="834"/>
  <c r="V1133" i="834"/>
  <c r="V1134" i="834"/>
  <c r="V1135" i="834"/>
  <c r="V1136" i="834"/>
  <c r="V1137" i="834"/>
  <c r="V1138" i="834"/>
  <c r="V1139" i="834"/>
  <c r="V1140" i="834"/>
  <c r="V1141" i="834"/>
  <c r="V1142" i="834"/>
  <c r="V1143" i="834"/>
  <c r="V1144" i="834"/>
  <c r="V1145" i="834"/>
  <c r="V1146" i="834"/>
  <c r="V1147" i="834"/>
  <c r="V1148" i="834"/>
  <c r="V1149" i="834"/>
  <c r="V1150" i="834"/>
  <c r="V1151" i="834"/>
  <c r="V1152" i="834"/>
  <c r="V1153" i="834"/>
  <c r="V1154" i="834"/>
  <c r="V1155" i="834"/>
  <c r="V1156" i="834"/>
  <c r="V1157" i="834"/>
  <c r="V1158" i="834"/>
  <c r="V1159" i="834"/>
  <c r="V1160" i="834"/>
  <c r="V1161" i="834"/>
  <c r="V1162" i="834"/>
  <c r="V1163" i="834"/>
  <c r="V1164" i="834"/>
  <c r="V1165" i="834"/>
  <c r="V1166" i="834"/>
  <c r="V1167" i="834"/>
  <c r="V1168" i="834"/>
  <c r="V1169" i="834"/>
  <c r="V1170" i="834"/>
  <c r="V1171" i="834"/>
  <c r="V1172" i="834"/>
  <c r="V1173" i="834"/>
  <c r="V1174" i="834"/>
  <c r="V1175" i="834"/>
  <c r="V1176" i="834"/>
  <c r="V1177" i="834"/>
  <c r="V1178" i="834"/>
  <c r="V1179" i="834"/>
  <c r="V1180" i="834"/>
  <c r="V1181" i="834"/>
  <c r="V1182" i="834"/>
  <c r="V1183" i="834"/>
  <c r="V1184" i="834"/>
  <c r="V1185" i="834"/>
  <c r="V1186" i="834"/>
  <c r="V1187" i="834"/>
  <c r="V1188" i="834"/>
  <c r="V1189" i="834"/>
  <c r="V1190" i="834"/>
  <c r="V1191" i="834"/>
  <c r="V1192" i="834"/>
  <c r="V1193" i="834"/>
  <c r="V1194" i="834"/>
  <c r="V1195" i="834"/>
  <c r="V1196" i="834"/>
  <c r="V1197" i="834"/>
  <c r="V1198" i="834"/>
  <c r="V1199" i="834"/>
  <c r="V1200" i="834"/>
  <c r="V1201" i="834"/>
  <c r="V1202" i="834"/>
  <c r="V1203" i="834"/>
  <c r="V1204" i="834"/>
  <c r="V1205" i="834"/>
  <c r="V1206" i="834"/>
  <c r="V1207" i="834"/>
  <c r="V1208" i="834"/>
  <c r="V1209" i="834"/>
  <c r="V1210" i="834"/>
  <c r="V1211" i="834"/>
  <c r="V1212" i="834"/>
  <c r="V1213" i="834"/>
  <c r="V1214" i="834"/>
  <c r="V1215" i="834"/>
  <c r="V1216" i="834"/>
  <c r="V1217" i="834"/>
  <c r="V1218" i="834"/>
  <c r="V1219" i="834"/>
  <c r="V1220" i="834"/>
  <c r="V1221" i="834"/>
  <c r="V1222" i="834"/>
  <c r="V1223" i="834"/>
  <c r="V1224" i="834"/>
  <c r="V1225" i="834"/>
  <c r="V1226" i="834"/>
  <c r="V1227" i="834"/>
  <c r="V1228" i="834"/>
  <c r="V1229" i="834"/>
  <c r="V1230" i="834"/>
  <c r="V1231" i="834"/>
  <c r="V1232" i="834"/>
  <c r="V1233" i="834"/>
  <c r="V1234" i="834"/>
  <c r="V1235" i="834"/>
  <c r="V1236" i="834"/>
  <c r="V1237" i="834"/>
  <c r="V1238" i="834"/>
  <c r="V1239" i="834"/>
  <c r="V1240" i="834"/>
  <c r="V1241" i="834"/>
  <c r="V1242" i="834"/>
  <c r="V1243" i="834"/>
  <c r="V1244" i="834"/>
  <c r="V1245" i="834"/>
  <c r="V1246" i="834"/>
  <c r="V1247" i="834"/>
  <c r="V1248" i="834"/>
  <c r="V1249" i="834"/>
  <c r="V1250" i="834"/>
  <c r="V1251" i="834"/>
  <c r="V1252" i="834"/>
  <c r="V1253" i="834"/>
  <c r="V1254" i="834"/>
  <c r="V1255" i="834"/>
  <c r="V1256" i="834"/>
  <c r="V1257" i="834"/>
  <c r="V1258" i="834"/>
  <c r="V1259" i="834"/>
  <c r="V1260" i="834"/>
  <c r="V1261" i="834"/>
  <c r="M49" i="836"/>
  <c r="M50" i="836"/>
  <c r="F13" i="824"/>
  <c r="F9" i="824"/>
  <c r="E9" i="824" s="1"/>
  <c r="F8" i="824"/>
  <c r="J8" i="825"/>
  <c r="J9" i="825" s="1"/>
  <c r="J10" i="825" s="1"/>
  <c r="D9" i="805"/>
  <c r="I8" i="805"/>
  <c r="AE8" i="805" s="1"/>
  <c r="K85" i="805"/>
  <c r="K75" i="805"/>
  <c r="AC9" i="805"/>
  <c r="AC10" i="805"/>
  <c r="AC11" i="805"/>
  <c r="AC12" i="805"/>
  <c r="AC13" i="805"/>
  <c r="AC14" i="805"/>
  <c r="AC15" i="805"/>
  <c r="AC16" i="805"/>
  <c r="AC17" i="805"/>
  <c r="AC18" i="805"/>
  <c r="AC19" i="805"/>
  <c r="AC20" i="805"/>
  <c r="AC21" i="805"/>
  <c r="AC22" i="805"/>
  <c r="AC23" i="805"/>
  <c r="AC24" i="805"/>
  <c r="AC25" i="805"/>
  <c r="AA26" i="805" a="1"/>
  <c r="AC26" i="805"/>
  <c r="AD26" i="805"/>
  <c r="AE26" i="805"/>
  <c r="AG26" i="805"/>
  <c r="AI26" i="805"/>
  <c r="AJ26" i="805"/>
  <c r="AK26" i="805"/>
  <c r="AL26" i="805"/>
  <c r="AM26" i="805"/>
  <c r="AN26" i="805"/>
  <c r="AR26" i="805"/>
  <c r="AU26" i="805" a="1"/>
  <c r="AV26" i="805"/>
  <c r="AW26" i="805"/>
  <c r="AX26" i="805"/>
  <c r="AY26" i="805"/>
  <c r="AZ26" i="805"/>
  <c r="BA26" i="805"/>
  <c r="BB26" i="805"/>
  <c r="AA27" i="805" a="1"/>
  <c r="AC27" i="805"/>
  <c r="AD27" i="805"/>
  <c r="AE27" i="805"/>
  <c r="AG27" i="805"/>
  <c r="AI27" i="805"/>
  <c r="AJ27" i="805"/>
  <c r="AK27" i="805"/>
  <c r="AL27" i="805"/>
  <c r="AM27" i="805"/>
  <c r="AN27" i="805"/>
  <c r="AR27" i="805"/>
  <c r="AU27" i="805" a="1"/>
  <c r="AV27" i="805"/>
  <c r="AW27" i="805"/>
  <c r="AX27" i="805"/>
  <c r="AY27" i="805"/>
  <c r="AZ27" i="805"/>
  <c r="BA27" i="805"/>
  <c r="BB27" i="805"/>
  <c r="AA28" i="805" a="1"/>
  <c r="AC28" i="805"/>
  <c r="AD28" i="805"/>
  <c r="AE28" i="805"/>
  <c r="AG28" i="805"/>
  <c r="AI28" i="805"/>
  <c r="AJ28" i="805"/>
  <c r="AK28" i="805"/>
  <c r="AL28" i="805"/>
  <c r="AM28" i="805"/>
  <c r="AN28" i="805"/>
  <c r="AR28" i="805"/>
  <c r="AU28" i="805" a="1"/>
  <c r="AV28" i="805"/>
  <c r="AW28" i="805"/>
  <c r="AX28" i="805"/>
  <c r="AY28" i="805"/>
  <c r="AZ28" i="805"/>
  <c r="BA28" i="805"/>
  <c r="BB28" i="805"/>
  <c r="AA29" i="805" a="1"/>
  <c r="AC29" i="805"/>
  <c r="AD29" i="805"/>
  <c r="AE29" i="805"/>
  <c r="AG29" i="805"/>
  <c r="AI29" i="805"/>
  <c r="AJ29" i="805"/>
  <c r="AK29" i="805"/>
  <c r="AL29" i="805"/>
  <c r="AM29" i="805"/>
  <c r="AN29" i="805"/>
  <c r="AR29" i="805"/>
  <c r="AU29" i="805" a="1"/>
  <c r="AV29" i="805"/>
  <c r="AW29" i="805"/>
  <c r="AX29" i="805"/>
  <c r="AY29" i="805"/>
  <c r="AZ29" i="805"/>
  <c r="BA29" i="805"/>
  <c r="BB29" i="805"/>
  <c r="AA30" i="805" a="1"/>
  <c r="AC30" i="805"/>
  <c r="AD30" i="805"/>
  <c r="AE30" i="805"/>
  <c r="AG30" i="805"/>
  <c r="AI30" i="805"/>
  <c r="AJ30" i="805"/>
  <c r="AK30" i="805"/>
  <c r="AL30" i="805"/>
  <c r="AM30" i="805"/>
  <c r="AN30" i="805"/>
  <c r="AR30" i="805"/>
  <c r="AU30" i="805" a="1"/>
  <c r="AV30" i="805"/>
  <c r="AW30" i="805"/>
  <c r="AX30" i="805"/>
  <c r="AY30" i="805"/>
  <c r="AZ30" i="805"/>
  <c r="BA30" i="805"/>
  <c r="BB30" i="805"/>
  <c r="AA31" i="805" a="1"/>
  <c r="AC31" i="805"/>
  <c r="AD31" i="805"/>
  <c r="AE31" i="805"/>
  <c r="AG31" i="805"/>
  <c r="AI31" i="805"/>
  <c r="AJ31" i="805"/>
  <c r="AK31" i="805"/>
  <c r="AL31" i="805"/>
  <c r="AM31" i="805"/>
  <c r="AN31" i="805"/>
  <c r="AR31" i="805"/>
  <c r="AU31" i="805" a="1"/>
  <c r="AV31" i="805"/>
  <c r="AW31" i="805"/>
  <c r="AX31" i="805"/>
  <c r="AY31" i="805"/>
  <c r="AZ31" i="805"/>
  <c r="BA31" i="805"/>
  <c r="BB31" i="805"/>
  <c r="AA32" i="805" a="1"/>
  <c r="AC32" i="805"/>
  <c r="AD32" i="805"/>
  <c r="AE32" i="805"/>
  <c r="AG32" i="805"/>
  <c r="AI32" i="805"/>
  <c r="AJ32" i="805"/>
  <c r="AK32" i="805"/>
  <c r="AL32" i="805"/>
  <c r="AM32" i="805"/>
  <c r="AN32" i="805"/>
  <c r="AR32" i="805"/>
  <c r="AU32" i="805" a="1"/>
  <c r="AV32" i="805"/>
  <c r="AW32" i="805"/>
  <c r="AX32" i="805"/>
  <c r="AY32" i="805"/>
  <c r="AZ32" i="805"/>
  <c r="BA32" i="805"/>
  <c r="BB32" i="805"/>
  <c r="AA33" i="805" a="1"/>
  <c r="AC33" i="805"/>
  <c r="AD33" i="805"/>
  <c r="AE33" i="805"/>
  <c r="AG33" i="805"/>
  <c r="AI33" i="805"/>
  <c r="AJ33" i="805"/>
  <c r="AK33" i="805"/>
  <c r="AL33" i="805"/>
  <c r="AM33" i="805"/>
  <c r="AN33" i="805"/>
  <c r="AR33" i="805"/>
  <c r="AU33" i="805" a="1"/>
  <c r="AV33" i="805"/>
  <c r="AW33" i="805"/>
  <c r="AX33" i="805"/>
  <c r="AY33" i="805"/>
  <c r="AZ33" i="805"/>
  <c r="BA33" i="805"/>
  <c r="BB33" i="805"/>
  <c r="AA34" i="805" a="1"/>
  <c r="AC34" i="805"/>
  <c r="AD34" i="805"/>
  <c r="AE34" i="805"/>
  <c r="AG34" i="805"/>
  <c r="AI34" i="805"/>
  <c r="AJ34" i="805"/>
  <c r="AK34" i="805"/>
  <c r="AL34" i="805"/>
  <c r="AM34" i="805"/>
  <c r="AN34" i="805"/>
  <c r="AR34" i="805"/>
  <c r="AU34" i="805" a="1"/>
  <c r="AV34" i="805"/>
  <c r="AW34" i="805"/>
  <c r="AX34" i="805"/>
  <c r="AY34" i="805"/>
  <c r="AZ34" i="805"/>
  <c r="BA34" i="805"/>
  <c r="BB34" i="805"/>
  <c r="AA35" i="805" a="1"/>
  <c r="AC35" i="805"/>
  <c r="AD35" i="805"/>
  <c r="AE35" i="805"/>
  <c r="AG35" i="805"/>
  <c r="AI35" i="805"/>
  <c r="AJ35" i="805"/>
  <c r="AK35" i="805"/>
  <c r="AL35" i="805"/>
  <c r="AM35" i="805"/>
  <c r="AN35" i="805"/>
  <c r="AR35" i="805"/>
  <c r="AU35" i="805" a="1"/>
  <c r="AV35" i="805"/>
  <c r="AW35" i="805"/>
  <c r="AX35" i="805"/>
  <c r="AY35" i="805"/>
  <c r="AZ35" i="805"/>
  <c r="BA35" i="805"/>
  <c r="BB35" i="805"/>
  <c r="AA36" i="805" a="1"/>
  <c r="AC36" i="805"/>
  <c r="AD36" i="805"/>
  <c r="AE36" i="805"/>
  <c r="AG36" i="805"/>
  <c r="AI36" i="805"/>
  <c r="AJ36" i="805"/>
  <c r="AK36" i="805"/>
  <c r="AL36" i="805"/>
  <c r="AM36" i="805"/>
  <c r="AN36" i="805"/>
  <c r="AR36" i="805"/>
  <c r="AU36" i="805" a="1"/>
  <c r="AV36" i="805"/>
  <c r="AW36" i="805"/>
  <c r="AX36" i="805"/>
  <c r="AY36" i="805"/>
  <c r="AZ36" i="805"/>
  <c r="BA36" i="805"/>
  <c r="BB36" i="805"/>
  <c r="AA37" i="805" a="1"/>
  <c r="AC37" i="805"/>
  <c r="AD37" i="805"/>
  <c r="AE37" i="805"/>
  <c r="AG37" i="805"/>
  <c r="AI37" i="805"/>
  <c r="AJ37" i="805"/>
  <c r="AK37" i="805"/>
  <c r="AL37" i="805"/>
  <c r="AM37" i="805"/>
  <c r="AN37" i="805"/>
  <c r="AR37" i="805"/>
  <c r="AU37" i="805" a="1"/>
  <c r="AV37" i="805"/>
  <c r="AW37" i="805"/>
  <c r="AX37" i="805"/>
  <c r="AY37" i="805"/>
  <c r="AZ37" i="805"/>
  <c r="BA37" i="805"/>
  <c r="BB37" i="805"/>
  <c r="AA38" i="805" a="1"/>
  <c r="AC38" i="805"/>
  <c r="AD38" i="805"/>
  <c r="AE38" i="805"/>
  <c r="AG38" i="805"/>
  <c r="AI38" i="805"/>
  <c r="AJ38" i="805"/>
  <c r="AK38" i="805"/>
  <c r="AL38" i="805"/>
  <c r="AM38" i="805"/>
  <c r="AN38" i="805"/>
  <c r="AR38" i="805"/>
  <c r="AU38" i="805" a="1"/>
  <c r="AV38" i="805"/>
  <c r="AW38" i="805"/>
  <c r="AX38" i="805"/>
  <c r="AY38" i="805"/>
  <c r="AZ38" i="805"/>
  <c r="BA38" i="805"/>
  <c r="BB38" i="805"/>
  <c r="AA39" i="805" a="1"/>
  <c r="AC39" i="805"/>
  <c r="AD39" i="805"/>
  <c r="AE39" i="805"/>
  <c r="AG39" i="805"/>
  <c r="AI39" i="805"/>
  <c r="AJ39" i="805"/>
  <c r="AK39" i="805"/>
  <c r="AL39" i="805"/>
  <c r="AM39" i="805"/>
  <c r="AN39" i="805"/>
  <c r="AR39" i="805"/>
  <c r="AU39" i="805" a="1"/>
  <c r="AV39" i="805"/>
  <c r="AW39" i="805"/>
  <c r="AX39" i="805"/>
  <c r="AY39" i="805"/>
  <c r="AZ39" i="805"/>
  <c r="BA39" i="805"/>
  <c r="BB39" i="805"/>
  <c r="AA40" i="805" a="1"/>
  <c r="AC40" i="805"/>
  <c r="AD40" i="805"/>
  <c r="AE40" i="805"/>
  <c r="AG40" i="805"/>
  <c r="AI40" i="805"/>
  <c r="AJ40" i="805"/>
  <c r="AK40" i="805"/>
  <c r="AL40" i="805"/>
  <c r="AM40" i="805"/>
  <c r="AN40" i="805"/>
  <c r="AR40" i="805"/>
  <c r="AU40" i="805" a="1"/>
  <c r="AV40" i="805"/>
  <c r="AW40" i="805"/>
  <c r="AX40" i="805"/>
  <c r="AY40" i="805"/>
  <c r="AZ40" i="805"/>
  <c r="BA40" i="805"/>
  <c r="BB40" i="805"/>
  <c r="AA41" i="805" a="1"/>
  <c r="AC41" i="805"/>
  <c r="AD41" i="805"/>
  <c r="AE41" i="805"/>
  <c r="AG41" i="805"/>
  <c r="AI41" i="805"/>
  <c r="AJ41" i="805"/>
  <c r="AK41" i="805"/>
  <c r="AL41" i="805"/>
  <c r="AM41" i="805"/>
  <c r="AN41" i="805"/>
  <c r="AR41" i="805"/>
  <c r="AU41" i="805" a="1"/>
  <c r="AV41" i="805"/>
  <c r="AW41" i="805"/>
  <c r="AX41" i="805"/>
  <c r="AY41" i="805"/>
  <c r="AZ41" i="805"/>
  <c r="BA41" i="805"/>
  <c r="BB41" i="805"/>
  <c r="AA42" i="805" a="1"/>
  <c r="AC42" i="805"/>
  <c r="AD42" i="805"/>
  <c r="AE42" i="805"/>
  <c r="AG42" i="805"/>
  <c r="AI42" i="805"/>
  <c r="AJ42" i="805"/>
  <c r="AK42" i="805"/>
  <c r="AL42" i="805"/>
  <c r="AM42" i="805"/>
  <c r="AN42" i="805"/>
  <c r="AR42" i="805"/>
  <c r="AU42" i="805" a="1"/>
  <c r="AV42" i="805"/>
  <c r="AW42" i="805"/>
  <c r="AX42" i="805"/>
  <c r="AY42" i="805"/>
  <c r="AZ42" i="805"/>
  <c r="BA42" i="805"/>
  <c r="BB42" i="805"/>
  <c r="AA43" i="805" a="1"/>
  <c r="AC43" i="805"/>
  <c r="AD43" i="805"/>
  <c r="AE43" i="805"/>
  <c r="AG43" i="805"/>
  <c r="AI43" i="805"/>
  <c r="AJ43" i="805"/>
  <c r="AK43" i="805"/>
  <c r="AL43" i="805"/>
  <c r="AM43" i="805"/>
  <c r="AN43" i="805"/>
  <c r="AR43" i="805"/>
  <c r="AU43" i="805" a="1"/>
  <c r="AV43" i="805"/>
  <c r="AW43" i="805"/>
  <c r="AX43" i="805"/>
  <c r="AY43" i="805"/>
  <c r="AZ43" i="805"/>
  <c r="BA43" i="805"/>
  <c r="BB43" i="805"/>
  <c r="AA44" i="805" a="1"/>
  <c r="AC44" i="805"/>
  <c r="AD44" i="805"/>
  <c r="AE44" i="805"/>
  <c r="AG44" i="805"/>
  <c r="AI44" i="805"/>
  <c r="AJ44" i="805"/>
  <c r="AK44" i="805"/>
  <c r="AL44" i="805"/>
  <c r="AM44" i="805"/>
  <c r="AN44" i="805"/>
  <c r="AR44" i="805"/>
  <c r="AU44" i="805" a="1"/>
  <c r="AV44" i="805"/>
  <c r="AW44" i="805"/>
  <c r="AX44" i="805"/>
  <c r="AY44" i="805"/>
  <c r="AZ44" i="805"/>
  <c r="BA44" i="805"/>
  <c r="BB44" i="805"/>
  <c r="AA45" i="805" a="1"/>
  <c r="AC45" i="805"/>
  <c r="AD45" i="805"/>
  <c r="AE45" i="805"/>
  <c r="AG45" i="805"/>
  <c r="AI45" i="805"/>
  <c r="AJ45" i="805"/>
  <c r="AK45" i="805"/>
  <c r="AL45" i="805"/>
  <c r="AM45" i="805"/>
  <c r="AN45" i="805"/>
  <c r="AR45" i="805"/>
  <c r="AU45" i="805" a="1"/>
  <c r="AV45" i="805"/>
  <c r="AW45" i="805"/>
  <c r="AX45" i="805"/>
  <c r="AY45" i="805"/>
  <c r="AZ45" i="805"/>
  <c r="BA45" i="805"/>
  <c r="BB45" i="805"/>
  <c r="AA46" i="805" a="1"/>
  <c r="AC46" i="805"/>
  <c r="AD46" i="805"/>
  <c r="AE46" i="805"/>
  <c r="AG46" i="805"/>
  <c r="AI46" i="805"/>
  <c r="AJ46" i="805"/>
  <c r="AK46" i="805"/>
  <c r="AL46" i="805"/>
  <c r="AM46" i="805"/>
  <c r="AN46" i="805"/>
  <c r="AR46" i="805"/>
  <c r="AU46" i="805" a="1"/>
  <c r="AV46" i="805"/>
  <c r="AW46" i="805"/>
  <c r="AX46" i="805"/>
  <c r="AY46" i="805"/>
  <c r="AZ46" i="805"/>
  <c r="BA46" i="805"/>
  <c r="BB46" i="805"/>
  <c r="AA47" i="805" a="1"/>
  <c r="AC47" i="805"/>
  <c r="AD47" i="805"/>
  <c r="AE47" i="805"/>
  <c r="AG47" i="805"/>
  <c r="AI47" i="805"/>
  <c r="AJ47" i="805"/>
  <c r="AK47" i="805"/>
  <c r="AL47" i="805"/>
  <c r="AM47" i="805"/>
  <c r="AN47" i="805"/>
  <c r="AR47" i="805"/>
  <c r="AU47" i="805" a="1"/>
  <c r="AV47" i="805"/>
  <c r="AW47" i="805"/>
  <c r="AX47" i="805"/>
  <c r="AY47" i="805"/>
  <c r="AZ47" i="805"/>
  <c r="BA47" i="805"/>
  <c r="BB47" i="805"/>
  <c r="AA48" i="805" a="1"/>
  <c r="AC48" i="805"/>
  <c r="AD48" i="805"/>
  <c r="AE48" i="805"/>
  <c r="AG48" i="805"/>
  <c r="AI48" i="805"/>
  <c r="AJ48" i="805"/>
  <c r="AK48" i="805"/>
  <c r="AL48" i="805"/>
  <c r="AM48" i="805"/>
  <c r="AN48" i="805"/>
  <c r="AR48" i="805"/>
  <c r="AU48" i="805" a="1"/>
  <c r="AV48" i="805"/>
  <c r="AW48" i="805"/>
  <c r="AX48" i="805"/>
  <c r="AY48" i="805"/>
  <c r="AZ48" i="805"/>
  <c r="BA48" i="805"/>
  <c r="BB48" i="805"/>
  <c r="AA49" i="805" a="1"/>
  <c r="AC49" i="805"/>
  <c r="AD49" i="805"/>
  <c r="AE49" i="805"/>
  <c r="AG49" i="805"/>
  <c r="AI49" i="805"/>
  <c r="AJ49" i="805"/>
  <c r="AK49" i="805"/>
  <c r="AL49" i="805"/>
  <c r="AM49" i="805"/>
  <c r="AN49" i="805"/>
  <c r="AR49" i="805"/>
  <c r="AU49" i="805" a="1"/>
  <c r="AV49" i="805"/>
  <c r="AW49" i="805"/>
  <c r="AX49" i="805"/>
  <c r="AY49" i="805"/>
  <c r="AZ49" i="805"/>
  <c r="BA49" i="805"/>
  <c r="BB49" i="805"/>
  <c r="AA50" i="805" a="1"/>
  <c r="AC50" i="805"/>
  <c r="AD50" i="805"/>
  <c r="AE50" i="805"/>
  <c r="AG50" i="805"/>
  <c r="AI50" i="805"/>
  <c r="AJ50" i="805"/>
  <c r="AK50" i="805"/>
  <c r="AL50" i="805"/>
  <c r="AM50" i="805"/>
  <c r="AN50" i="805"/>
  <c r="AR50" i="805"/>
  <c r="AU50" i="805" a="1"/>
  <c r="AV50" i="805"/>
  <c r="AW50" i="805"/>
  <c r="AX50" i="805"/>
  <c r="AY50" i="805"/>
  <c r="AZ50" i="805"/>
  <c r="BA50" i="805"/>
  <c r="BB50" i="805"/>
  <c r="AA51" i="805" a="1"/>
  <c r="AC51" i="805"/>
  <c r="AD51" i="805"/>
  <c r="AE51" i="805"/>
  <c r="AG51" i="805"/>
  <c r="AI51" i="805"/>
  <c r="AJ51" i="805"/>
  <c r="AK51" i="805"/>
  <c r="AL51" i="805"/>
  <c r="AM51" i="805"/>
  <c r="AN51" i="805"/>
  <c r="AR51" i="805"/>
  <c r="AU51" i="805" a="1"/>
  <c r="AV51" i="805"/>
  <c r="AW51" i="805"/>
  <c r="AX51" i="805"/>
  <c r="AY51" i="805"/>
  <c r="AZ51" i="805"/>
  <c r="BA51" i="805"/>
  <c r="BB51" i="805"/>
  <c r="AA52" i="805" a="1"/>
  <c r="AC52" i="805"/>
  <c r="AD52" i="805"/>
  <c r="AE52" i="805"/>
  <c r="AG52" i="805"/>
  <c r="AI52" i="805"/>
  <c r="AJ52" i="805"/>
  <c r="AK52" i="805"/>
  <c r="AL52" i="805"/>
  <c r="AM52" i="805"/>
  <c r="AN52" i="805"/>
  <c r="AR52" i="805"/>
  <c r="AU52" i="805" a="1"/>
  <c r="AV52" i="805"/>
  <c r="AW52" i="805"/>
  <c r="AX52" i="805"/>
  <c r="AY52" i="805"/>
  <c r="AZ52" i="805"/>
  <c r="BA52" i="805"/>
  <c r="BB52" i="805"/>
  <c r="AA53" i="805" a="1"/>
  <c r="AC53" i="805"/>
  <c r="AD53" i="805"/>
  <c r="AE53" i="805"/>
  <c r="AG53" i="805"/>
  <c r="AI53" i="805"/>
  <c r="AJ53" i="805"/>
  <c r="AK53" i="805"/>
  <c r="AL53" i="805"/>
  <c r="AM53" i="805"/>
  <c r="AN53" i="805"/>
  <c r="AR53" i="805"/>
  <c r="AU53" i="805" a="1"/>
  <c r="AV53" i="805"/>
  <c r="AW53" i="805"/>
  <c r="AX53" i="805"/>
  <c r="AY53" i="805"/>
  <c r="AZ53" i="805"/>
  <c r="BA53" i="805"/>
  <c r="BB53" i="805"/>
  <c r="AA54" i="805" a="1"/>
  <c r="AC54" i="805"/>
  <c r="AD54" i="805"/>
  <c r="AE54" i="805"/>
  <c r="AG54" i="805"/>
  <c r="AI54" i="805"/>
  <c r="AJ54" i="805"/>
  <c r="AK54" i="805"/>
  <c r="AL54" i="805"/>
  <c r="AM54" i="805"/>
  <c r="AN54" i="805"/>
  <c r="AR54" i="805"/>
  <c r="AU54" i="805" a="1"/>
  <c r="AV54" i="805"/>
  <c r="AW54" i="805"/>
  <c r="AX54" i="805"/>
  <c r="AY54" i="805"/>
  <c r="AZ54" i="805"/>
  <c r="BA54" i="805"/>
  <c r="BB54" i="805"/>
  <c r="AA55" i="805" a="1"/>
  <c r="AC55" i="805"/>
  <c r="AD55" i="805"/>
  <c r="AE55" i="805"/>
  <c r="AG55" i="805"/>
  <c r="AI55" i="805"/>
  <c r="AJ55" i="805"/>
  <c r="AK55" i="805"/>
  <c r="AL55" i="805"/>
  <c r="AM55" i="805"/>
  <c r="AN55" i="805"/>
  <c r="AR55" i="805"/>
  <c r="AU55" i="805" a="1"/>
  <c r="AV55" i="805"/>
  <c r="AW55" i="805"/>
  <c r="AX55" i="805"/>
  <c r="AY55" i="805"/>
  <c r="AZ55" i="805"/>
  <c r="BA55" i="805"/>
  <c r="BB55" i="805"/>
  <c r="AA56" i="805" a="1"/>
  <c r="AC56" i="805"/>
  <c r="AD56" i="805"/>
  <c r="AE56" i="805"/>
  <c r="AG56" i="805"/>
  <c r="AI56" i="805"/>
  <c r="AJ56" i="805"/>
  <c r="AK56" i="805"/>
  <c r="AL56" i="805"/>
  <c r="AM56" i="805"/>
  <c r="AN56" i="805"/>
  <c r="AR56" i="805"/>
  <c r="AU56" i="805" a="1"/>
  <c r="AV56" i="805"/>
  <c r="AW56" i="805"/>
  <c r="AX56" i="805"/>
  <c r="AY56" i="805"/>
  <c r="AZ56" i="805"/>
  <c r="BA56" i="805"/>
  <c r="BB56" i="805"/>
  <c r="AA57" i="805" a="1"/>
  <c r="AC57" i="805"/>
  <c r="AD57" i="805"/>
  <c r="AE57" i="805"/>
  <c r="AG57" i="805"/>
  <c r="AI57" i="805"/>
  <c r="AJ57" i="805"/>
  <c r="AK57" i="805"/>
  <c r="AL57" i="805"/>
  <c r="AM57" i="805"/>
  <c r="AN57" i="805"/>
  <c r="AR57" i="805"/>
  <c r="AU57" i="805" a="1"/>
  <c r="AV57" i="805"/>
  <c r="AW57" i="805"/>
  <c r="AX57" i="805"/>
  <c r="AY57" i="805"/>
  <c r="AZ57" i="805"/>
  <c r="BA57" i="805"/>
  <c r="BB57" i="805"/>
  <c r="AA58" i="805" a="1"/>
  <c r="AC58" i="805"/>
  <c r="AD58" i="805"/>
  <c r="AE58" i="805"/>
  <c r="AG58" i="805"/>
  <c r="AI58" i="805"/>
  <c r="AJ58" i="805"/>
  <c r="AK58" i="805"/>
  <c r="AL58" i="805"/>
  <c r="AM58" i="805"/>
  <c r="AN58" i="805"/>
  <c r="AR58" i="805"/>
  <c r="AU58" i="805" a="1"/>
  <c r="AV58" i="805"/>
  <c r="AW58" i="805"/>
  <c r="AX58" i="805"/>
  <c r="AY58" i="805"/>
  <c r="AZ58" i="805"/>
  <c r="BA58" i="805"/>
  <c r="BB58" i="805"/>
  <c r="AA59" i="805" a="1"/>
  <c r="AC59" i="805"/>
  <c r="AD59" i="805"/>
  <c r="AE59" i="805"/>
  <c r="AG59" i="805"/>
  <c r="AI59" i="805"/>
  <c r="AJ59" i="805"/>
  <c r="AK59" i="805"/>
  <c r="AL59" i="805"/>
  <c r="AM59" i="805"/>
  <c r="AN59" i="805"/>
  <c r="AR59" i="805"/>
  <c r="AU59" i="805" a="1"/>
  <c r="AV59" i="805"/>
  <c r="AW59" i="805"/>
  <c r="AX59" i="805"/>
  <c r="AY59" i="805"/>
  <c r="AZ59" i="805"/>
  <c r="BA59" i="805"/>
  <c r="BB59" i="805"/>
  <c r="AA60" i="805" a="1"/>
  <c r="AC60" i="805"/>
  <c r="AD60" i="805"/>
  <c r="AE60" i="805"/>
  <c r="AG60" i="805"/>
  <c r="AI60" i="805"/>
  <c r="AJ60" i="805"/>
  <c r="AK60" i="805"/>
  <c r="AL60" i="805"/>
  <c r="AM60" i="805"/>
  <c r="AN60" i="805"/>
  <c r="AR60" i="805"/>
  <c r="AU60" i="805" a="1"/>
  <c r="AV60" i="805"/>
  <c r="AW60" i="805"/>
  <c r="AX60" i="805"/>
  <c r="AY60" i="805"/>
  <c r="AZ60" i="805"/>
  <c r="BA60" i="805"/>
  <c r="BB60" i="805"/>
  <c r="AA61" i="805" a="1"/>
  <c r="AC61" i="805"/>
  <c r="AD61" i="805"/>
  <c r="AE61" i="805"/>
  <c r="AG61" i="805"/>
  <c r="AI61" i="805"/>
  <c r="AJ61" i="805"/>
  <c r="AK61" i="805"/>
  <c r="AL61" i="805"/>
  <c r="AM61" i="805"/>
  <c r="AN61" i="805"/>
  <c r="AR61" i="805"/>
  <c r="AU61" i="805" a="1"/>
  <c r="AV61" i="805"/>
  <c r="AW61" i="805"/>
  <c r="AX61" i="805"/>
  <c r="AY61" i="805"/>
  <c r="AZ61" i="805"/>
  <c r="BA61" i="805"/>
  <c r="BB61" i="805"/>
  <c r="AA62" i="805" a="1"/>
  <c r="AC62" i="805"/>
  <c r="AD62" i="805"/>
  <c r="AE62" i="805"/>
  <c r="AG62" i="805"/>
  <c r="AI62" i="805"/>
  <c r="AJ62" i="805"/>
  <c r="AK62" i="805"/>
  <c r="AL62" i="805"/>
  <c r="AM62" i="805"/>
  <c r="AN62" i="805"/>
  <c r="AR62" i="805"/>
  <c r="AU62" i="805" a="1"/>
  <c r="AV62" i="805"/>
  <c r="AW62" i="805"/>
  <c r="AX62" i="805"/>
  <c r="AY62" i="805"/>
  <c r="AZ62" i="805"/>
  <c r="BA62" i="805"/>
  <c r="BB62" i="805"/>
  <c r="AA63" i="805" a="1"/>
  <c r="AC63" i="805"/>
  <c r="AD63" i="805"/>
  <c r="AE63" i="805"/>
  <c r="AG63" i="805"/>
  <c r="AI63" i="805"/>
  <c r="AJ63" i="805"/>
  <c r="AK63" i="805"/>
  <c r="AL63" i="805"/>
  <c r="AM63" i="805"/>
  <c r="AN63" i="805"/>
  <c r="AR63" i="805"/>
  <c r="AU63" i="805" a="1"/>
  <c r="AV63" i="805"/>
  <c r="AW63" i="805"/>
  <c r="AX63" i="805"/>
  <c r="AY63" i="805"/>
  <c r="AZ63" i="805"/>
  <c r="BA63" i="805"/>
  <c r="BB63" i="805"/>
  <c r="AA64" i="805" a="1"/>
  <c r="AC64" i="805"/>
  <c r="AD64" i="805"/>
  <c r="AE64" i="805"/>
  <c r="AG64" i="805"/>
  <c r="AI64" i="805"/>
  <c r="AJ64" i="805"/>
  <c r="AK64" i="805"/>
  <c r="AL64" i="805"/>
  <c r="AM64" i="805"/>
  <c r="AN64" i="805"/>
  <c r="AR64" i="805"/>
  <c r="AU64" i="805" a="1"/>
  <c r="AV64" i="805"/>
  <c r="AW64" i="805"/>
  <c r="AX64" i="805"/>
  <c r="AY64" i="805"/>
  <c r="AZ64" i="805"/>
  <c r="BA64" i="805"/>
  <c r="BB64" i="805"/>
  <c r="AA65" i="805" a="1"/>
  <c r="AC65" i="805"/>
  <c r="AD65" i="805"/>
  <c r="AE65" i="805"/>
  <c r="AG65" i="805"/>
  <c r="AI65" i="805"/>
  <c r="AJ65" i="805"/>
  <c r="AK65" i="805"/>
  <c r="AL65" i="805"/>
  <c r="AM65" i="805"/>
  <c r="AN65" i="805"/>
  <c r="AR65" i="805"/>
  <c r="AU65" i="805" a="1"/>
  <c r="AV65" i="805"/>
  <c r="AW65" i="805"/>
  <c r="AX65" i="805"/>
  <c r="AY65" i="805"/>
  <c r="AZ65" i="805"/>
  <c r="BA65" i="805"/>
  <c r="BB65" i="805"/>
  <c r="AA66" i="805" a="1"/>
  <c r="AC66" i="805"/>
  <c r="AD66" i="805"/>
  <c r="AE66" i="805"/>
  <c r="AG66" i="805"/>
  <c r="AI66" i="805"/>
  <c r="AJ66" i="805"/>
  <c r="AK66" i="805"/>
  <c r="AL66" i="805"/>
  <c r="AM66" i="805"/>
  <c r="AN66" i="805"/>
  <c r="AR66" i="805"/>
  <c r="AU66" i="805" a="1"/>
  <c r="AV66" i="805"/>
  <c r="AW66" i="805"/>
  <c r="AX66" i="805"/>
  <c r="AY66" i="805"/>
  <c r="AZ66" i="805"/>
  <c r="BA66" i="805"/>
  <c r="BB66" i="805"/>
  <c r="AA67" i="805" a="1"/>
  <c r="AC67" i="805"/>
  <c r="AD67" i="805"/>
  <c r="AE67" i="805"/>
  <c r="AG67" i="805"/>
  <c r="AI67" i="805"/>
  <c r="AJ67" i="805"/>
  <c r="AK67" i="805"/>
  <c r="AL67" i="805"/>
  <c r="AM67" i="805"/>
  <c r="AN67" i="805"/>
  <c r="AR67" i="805"/>
  <c r="AU67" i="805" a="1"/>
  <c r="AV67" i="805"/>
  <c r="AW67" i="805"/>
  <c r="AX67" i="805"/>
  <c r="AY67" i="805"/>
  <c r="AZ67" i="805"/>
  <c r="BA67" i="805"/>
  <c r="BB67" i="805"/>
  <c r="AA68" i="805" a="1"/>
  <c r="AC68" i="805"/>
  <c r="AD68" i="805"/>
  <c r="AE68" i="805"/>
  <c r="AG68" i="805"/>
  <c r="AI68" i="805"/>
  <c r="AJ68" i="805"/>
  <c r="AK68" i="805"/>
  <c r="AL68" i="805"/>
  <c r="AM68" i="805"/>
  <c r="AN68" i="805"/>
  <c r="AR68" i="805"/>
  <c r="AU68" i="805" a="1"/>
  <c r="AV68" i="805"/>
  <c r="AW68" i="805"/>
  <c r="AX68" i="805"/>
  <c r="AY68" i="805"/>
  <c r="AZ68" i="805"/>
  <c r="BA68" i="805"/>
  <c r="BB68" i="805"/>
  <c r="AA69" i="805" a="1"/>
  <c r="AC69" i="805"/>
  <c r="AD69" i="805"/>
  <c r="AE69" i="805"/>
  <c r="AG69" i="805"/>
  <c r="AI69" i="805"/>
  <c r="AJ69" i="805"/>
  <c r="AK69" i="805"/>
  <c r="AL69" i="805"/>
  <c r="AM69" i="805"/>
  <c r="AN69" i="805"/>
  <c r="AR69" i="805"/>
  <c r="AU69" i="805" a="1"/>
  <c r="AV69" i="805"/>
  <c r="AW69" i="805"/>
  <c r="AX69" i="805"/>
  <c r="AY69" i="805"/>
  <c r="AZ69" i="805"/>
  <c r="BA69" i="805"/>
  <c r="BB69" i="805"/>
  <c r="AA70" i="805" a="1"/>
  <c r="AC70" i="805"/>
  <c r="AD70" i="805"/>
  <c r="AE70" i="805"/>
  <c r="AG70" i="805"/>
  <c r="AI70" i="805"/>
  <c r="AJ70" i="805"/>
  <c r="AK70" i="805"/>
  <c r="AL70" i="805"/>
  <c r="AM70" i="805"/>
  <c r="AN70" i="805"/>
  <c r="AR70" i="805"/>
  <c r="AU70" i="805" a="1"/>
  <c r="AV70" i="805"/>
  <c r="AW70" i="805"/>
  <c r="AX70" i="805"/>
  <c r="AY70" i="805"/>
  <c r="AZ70" i="805"/>
  <c r="BA70" i="805"/>
  <c r="BB70" i="805"/>
  <c r="AA71" i="805" a="1"/>
  <c r="AC71" i="805"/>
  <c r="AD71" i="805"/>
  <c r="AE71" i="805"/>
  <c r="AG71" i="805"/>
  <c r="AI71" i="805"/>
  <c r="AJ71" i="805"/>
  <c r="AK71" i="805"/>
  <c r="AL71" i="805"/>
  <c r="AM71" i="805"/>
  <c r="AN71" i="805"/>
  <c r="AR71" i="805"/>
  <c r="AU71" i="805" a="1"/>
  <c r="AV71" i="805"/>
  <c r="AW71" i="805"/>
  <c r="AX71" i="805"/>
  <c r="AY71" i="805"/>
  <c r="AZ71" i="805"/>
  <c r="BA71" i="805"/>
  <c r="BB71" i="805"/>
  <c r="AA72" i="805" a="1"/>
  <c r="AC72" i="805"/>
  <c r="AD72" i="805"/>
  <c r="AE72" i="805"/>
  <c r="AG72" i="805"/>
  <c r="AI72" i="805"/>
  <c r="AJ72" i="805"/>
  <c r="AK72" i="805"/>
  <c r="AL72" i="805"/>
  <c r="AM72" i="805"/>
  <c r="AN72" i="805"/>
  <c r="AR72" i="805"/>
  <c r="AU72" i="805" a="1"/>
  <c r="AV72" i="805"/>
  <c r="AW72" i="805"/>
  <c r="AX72" i="805"/>
  <c r="AY72" i="805"/>
  <c r="AZ72" i="805"/>
  <c r="BA72" i="805"/>
  <c r="BB72" i="805"/>
  <c r="AA73" i="805" a="1"/>
  <c r="AC73" i="805"/>
  <c r="AD73" i="805"/>
  <c r="AE73" i="805"/>
  <c r="AG73" i="805"/>
  <c r="AI73" i="805"/>
  <c r="AJ73" i="805"/>
  <c r="AK73" i="805"/>
  <c r="AL73" i="805"/>
  <c r="AM73" i="805"/>
  <c r="AN73" i="805"/>
  <c r="AR73" i="805"/>
  <c r="AU73" i="805" a="1"/>
  <c r="AV73" i="805"/>
  <c r="AW73" i="805"/>
  <c r="AX73" i="805"/>
  <c r="AY73" i="805"/>
  <c r="AZ73" i="805"/>
  <c r="BA73" i="805"/>
  <c r="BB73" i="805"/>
  <c r="AA74" i="805" a="1"/>
  <c r="AC74" i="805"/>
  <c r="AD74" i="805"/>
  <c r="AE74" i="805"/>
  <c r="AG74" i="805"/>
  <c r="AI74" i="805"/>
  <c r="AJ74" i="805"/>
  <c r="AK74" i="805"/>
  <c r="AL74" i="805"/>
  <c r="AM74" i="805"/>
  <c r="AN74" i="805"/>
  <c r="AR74" i="805"/>
  <c r="AU74" i="805" a="1"/>
  <c r="AV74" i="805"/>
  <c r="AW74" i="805"/>
  <c r="AX74" i="805"/>
  <c r="AY74" i="805"/>
  <c r="AZ74" i="805"/>
  <c r="BA74" i="805"/>
  <c r="BB74" i="805"/>
  <c r="AA75" i="805" a="1"/>
  <c r="AC75" i="805"/>
  <c r="AD75" i="805"/>
  <c r="AE75" i="805"/>
  <c r="AG75" i="805"/>
  <c r="AI75" i="805"/>
  <c r="AJ75" i="805"/>
  <c r="AK75" i="805"/>
  <c r="AL75" i="805"/>
  <c r="AM75" i="805"/>
  <c r="AN75" i="805"/>
  <c r="AR75" i="805"/>
  <c r="AU75" i="805" a="1"/>
  <c r="AV75" i="805"/>
  <c r="AW75" i="805"/>
  <c r="AX75" i="805"/>
  <c r="AY75" i="805"/>
  <c r="AZ75" i="805"/>
  <c r="BA75" i="805"/>
  <c r="BB75" i="805"/>
  <c r="AA76" i="805" a="1"/>
  <c r="AC76" i="805"/>
  <c r="AD76" i="805"/>
  <c r="AE76" i="805"/>
  <c r="AG76" i="805"/>
  <c r="AI76" i="805"/>
  <c r="AJ76" i="805"/>
  <c r="AK76" i="805"/>
  <c r="AL76" i="805"/>
  <c r="AM76" i="805"/>
  <c r="AN76" i="805"/>
  <c r="AR76" i="805"/>
  <c r="AU76" i="805" a="1"/>
  <c r="AV76" i="805"/>
  <c r="AW76" i="805"/>
  <c r="AX76" i="805"/>
  <c r="AY76" i="805"/>
  <c r="AZ76" i="805"/>
  <c r="BA76" i="805"/>
  <c r="BB76" i="805"/>
  <c r="AA77" i="805" a="1"/>
  <c r="AC77" i="805"/>
  <c r="AD77" i="805"/>
  <c r="AE77" i="805"/>
  <c r="AG77" i="805"/>
  <c r="AI77" i="805"/>
  <c r="AJ77" i="805"/>
  <c r="AK77" i="805"/>
  <c r="AL77" i="805"/>
  <c r="AM77" i="805"/>
  <c r="AN77" i="805"/>
  <c r="AR77" i="805"/>
  <c r="AU77" i="805" a="1"/>
  <c r="AV77" i="805"/>
  <c r="AW77" i="805"/>
  <c r="AX77" i="805"/>
  <c r="AY77" i="805"/>
  <c r="AZ77" i="805"/>
  <c r="BA77" i="805"/>
  <c r="BB77" i="805"/>
  <c r="AA78" i="805" a="1"/>
  <c r="AC78" i="805"/>
  <c r="AD78" i="805"/>
  <c r="AE78" i="805"/>
  <c r="AG78" i="805"/>
  <c r="AI78" i="805"/>
  <c r="AJ78" i="805"/>
  <c r="AK78" i="805"/>
  <c r="AL78" i="805"/>
  <c r="AM78" i="805"/>
  <c r="AN78" i="805"/>
  <c r="AR78" i="805"/>
  <c r="AU78" i="805" a="1"/>
  <c r="AV78" i="805"/>
  <c r="AW78" i="805"/>
  <c r="AX78" i="805"/>
  <c r="AY78" i="805"/>
  <c r="AZ78" i="805"/>
  <c r="BA78" i="805"/>
  <c r="BB78" i="805"/>
  <c r="AA79" i="805" a="1"/>
  <c r="AC79" i="805"/>
  <c r="AD79" i="805"/>
  <c r="AE79" i="805"/>
  <c r="AG79" i="805"/>
  <c r="AI79" i="805"/>
  <c r="AJ79" i="805"/>
  <c r="AK79" i="805"/>
  <c r="AL79" i="805"/>
  <c r="AM79" i="805"/>
  <c r="AN79" i="805"/>
  <c r="AR79" i="805"/>
  <c r="AU79" i="805" a="1"/>
  <c r="AV79" i="805"/>
  <c r="AW79" i="805"/>
  <c r="AX79" i="805"/>
  <c r="AY79" i="805"/>
  <c r="AZ79" i="805"/>
  <c r="BA79" i="805"/>
  <c r="BB79" i="805"/>
  <c r="AA80" i="805" a="1"/>
  <c r="AC80" i="805"/>
  <c r="AD80" i="805"/>
  <c r="AE80" i="805"/>
  <c r="AG80" i="805"/>
  <c r="AI80" i="805"/>
  <c r="AJ80" i="805"/>
  <c r="AK80" i="805"/>
  <c r="AL80" i="805"/>
  <c r="AM80" i="805"/>
  <c r="AN80" i="805"/>
  <c r="AR80" i="805"/>
  <c r="AU80" i="805" a="1"/>
  <c r="AV80" i="805"/>
  <c r="AW80" i="805"/>
  <c r="AX80" i="805"/>
  <c r="AY80" i="805"/>
  <c r="AZ80" i="805"/>
  <c r="BA80" i="805"/>
  <c r="BB80" i="805"/>
  <c r="AA81" i="805" a="1"/>
  <c r="AC81" i="805"/>
  <c r="AD81" i="805"/>
  <c r="AE81" i="805"/>
  <c r="AG81" i="805"/>
  <c r="AI81" i="805"/>
  <c r="AJ81" i="805"/>
  <c r="AK81" i="805"/>
  <c r="AL81" i="805"/>
  <c r="AM81" i="805"/>
  <c r="AN81" i="805"/>
  <c r="AR81" i="805"/>
  <c r="AU81" i="805" a="1"/>
  <c r="AV81" i="805"/>
  <c r="AW81" i="805"/>
  <c r="AX81" i="805"/>
  <c r="AY81" i="805"/>
  <c r="AZ81" i="805"/>
  <c r="BA81" i="805"/>
  <c r="BB81" i="805"/>
  <c r="AA82" i="805" a="1"/>
  <c r="AC82" i="805"/>
  <c r="AD82" i="805"/>
  <c r="AE82" i="805"/>
  <c r="AG82" i="805"/>
  <c r="AI82" i="805"/>
  <c r="AJ82" i="805"/>
  <c r="AK82" i="805"/>
  <c r="AL82" i="805"/>
  <c r="AM82" i="805"/>
  <c r="AN82" i="805"/>
  <c r="AR82" i="805"/>
  <c r="AU82" i="805" a="1"/>
  <c r="AV82" i="805"/>
  <c r="AW82" i="805"/>
  <c r="AX82" i="805"/>
  <c r="AY82" i="805"/>
  <c r="AZ82" i="805"/>
  <c r="BA82" i="805"/>
  <c r="BB82" i="805"/>
  <c r="AA83" i="805" a="1"/>
  <c r="AC83" i="805"/>
  <c r="AD83" i="805"/>
  <c r="AE83" i="805"/>
  <c r="AG83" i="805"/>
  <c r="AI83" i="805"/>
  <c r="AJ83" i="805"/>
  <c r="AK83" i="805"/>
  <c r="AL83" i="805"/>
  <c r="AM83" i="805"/>
  <c r="AN83" i="805"/>
  <c r="AR83" i="805"/>
  <c r="AU83" i="805" a="1"/>
  <c r="AV83" i="805"/>
  <c r="AW83" i="805"/>
  <c r="AX83" i="805"/>
  <c r="AY83" i="805"/>
  <c r="AZ83" i="805"/>
  <c r="BA83" i="805"/>
  <c r="BB83" i="805"/>
  <c r="AA84" i="805" a="1"/>
  <c r="AC84" i="805"/>
  <c r="AD84" i="805"/>
  <c r="AE84" i="805"/>
  <c r="AG84" i="805"/>
  <c r="AI84" i="805"/>
  <c r="AJ84" i="805"/>
  <c r="AK84" i="805"/>
  <c r="AL84" i="805"/>
  <c r="AM84" i="805"/>
  <c r="AN84" i="805"/>
  <c r="AR84" i="805"/>
  <c r="AU84" i="805" a="1"/>
  <c r="AV84" i="805"/>
  <c r="AW84" i="805"/>
  <c r="AX84" i="805"/>
  <c r="AY84" i="805"/>
  <c r="AZ84" i="805"/>
  <c r="BA84" i="805"/>
  <c r="BB84" i="805"/>
  <c r="AA85" i="805" a="1"/>
  <c r="AC85" i="805"/>
  <c r="AD85" i="805"/>
  <c r="AE85" i="805"/>
  <c r="AG85" i="805"/>
  <c r="AI85" i="805"/>
  <c r="AJ85" i="805"/>
  <c r="AK85" i="805"/>
  <c r="AL85" i="805"/>
  <c r="AM85" i="805"/>
  <c r="AN85" i="805"/>
  <c r="AR85" i="805"/>
  <c r="AU85" i="805" a="1"/>
  <c r="AV85" i="805"/>
  <c r="AW85" i="805"/>
  <c r="AX85" i="805"/>
  <c r="AY85" i="805"/>
  <c r="AZ85" i="805"/>
  <c r="BA85" i="805"/>
  <c r="BB85" i="805"/>
  <c r="AA86" i="805" a="1"/>
  <c r="AC86" i="805"/>
  <c r="AD86" i="805"/>
  <c r="AE86" i="805"/>
  <c r="AG86" i="805"/>
  <c r="AI86" i="805"/>
  <c r="AJ86" i="805"/>
  <c r="AK86" i="805"/>
  <c r="AL86" i="805"/>
  <c r="AM86" i="805"/>
  <c r="AN86" i="805"/>
  <c r="AR86" i="805"/>
  <c r="AU86" i="805" a="1"/>
  <c r="AV86" i="805"/>
  <c r="AW86" i="805"/>
  <c r="AX86" i="805"/>
  <c r="AY86" i="805"/>
  <c r="AZ86" i="805"/>
  <c r="BA86" i="805"/>
  <c r="BB86" i="805"/>
  <c r="AA87" i="805" a="1"/>
  <c r="AC87" i="805"/>
  <c r="AD87" i="805"/>
  <c r="AE87" i="805"/>
  <c r="AG87" i="805"/>
  <c r="AI87" i="805"/>
  <c r="AJ87" i="805"/>
  <c r="AK87" i="805"/>
  <c r="AL87" i="805"/>
  <c r="AM87" i="805"/>
  <c r="AN87" i="805"/>
  <c r="AR87" i="805"/>
  <c r="AU87" i="805" a="1"/>
  <c r="AV87" i="805"/>
  <c r="AW87" i="805"/>
  <c r="AX87" i="805"/>
  <c r="AY87" i="805"/>
  <c r="AZ87" i="805"/>
  <c r="BA87" i="805"/>
  <c r="BB87" i="805"/>
  <c r="J4" i="825"/>
  <c r="F8" i="825"/>
  <c r="F9" i="825"/>
  <c r="E9" i="825" s="1"/>
  <c r="C5" i="848"/>
  <c r="C4" i="848"/>
  <c r="N9" i="834" a="1"/>
  <c r="AA33" i="824"/>
  <c r="AB33" i="824"/>
  <c r="AC33" i="824"/>
  <c r="AL33" i="824"/>
  <c r="AA34" i="824"/>
  <c r="AB34" i="824"/>
  <c r="AC34" i="824"/>
  <c r="AL34" i="824"/>
  <c r="AA35" i="824"/>
  <c r="AB35" i="824"/>
  <c r="AC35" i="824"/>
  <c r="AL35" i="824"/>
  <c r="AA36" i="824"/>
  <c r="AB36" i="824"/>
  <c r="AC36" i="824"/>
  <c r="AL36" i="824"/>
  <c r="AA37" i="824"/>
  <c r="AB37" i="824"/>
  <c r="AC37" i="824"/>
  <c r="AL37" i="824"/>
  <c r="AA38" i="824"/>
  <c r="AB38" i="824"/>
  <c r="AC38" i="824"/>
  <c r="AL38" i="824"/>
  <c r="AA39" i="824"/>
  <c r="AB39" i="824"/>
  <c r="AC39" i="824"/>
  <c r="AL39" i="824"/>
  <c r="AA40" i="824"/>
  <c r="AB40" i="824"/>
  <c r="AC40" i="824"/>
  <c r="AL40" i="824"/>
  <c r="AA41" i="824"/>
  <c r="AB41" i="824"/>
  <c r="AC41" i="824"/>
  <c r="AL41" i="824"/>
  <c r="AA42" i="824"/>
  <c r="AB42" i="824"/>
  <c r="AC42" i="824"/>
  <c r="AL42" i="824"/>
  <c r="AA43" i="824"/>
  <c r="AB43" i="824"/>
  <c r="AC43" i="824"/>
  <c r="AL43" i="824"/>
  <c r="AA44" i="824"/>
  <c r="AB44" i="824"/>
  <c r="AC44" i="824"/>
  <c r="AL44" i="824"/>
  <c r="AA45" i="824"/>
  <c r="AB45" i="824"/>
  <c r="AC45" i="824"/>
  <c r="AL45" i="824"/>
  <c r="AA46" i="824"/>
  <c r="AB46" i="824"/>
  <c r="AC46" i="824"/>
  <c r="AL46" i="824"/>
  <c r="AA47" i="824"/>
  <c r="AB47" i="824"/>
  <c r="AC47" i="824"/>
  <c r="AL47" i="824"/>
  <c r="AA48" i="824"/>
  <c r="AB48" i="824"/>
  <c r="AC48" i="824"/>
  <c r="AL48" i="824"/>
  <c r="AA49" i="824"/>
  <c r="AB49" i="824"/>
  <c r="AC49" i="824"/>
  <c r="AL49" i="824"/>
  <c r="AA50" i="824"/>
  <c r="AB50" i="824"/>
  <c r="AC50" i="824"/>
  <c r="AL50" i="824"/>
  <c r="AA51" i="824"/>
  <c r="AB51" i="824"/>
  <c r="AC51" i="824"/>
  <c r="AL51" i="824"/>
  <c r="AA52" i="824"/>
  <c r="AB52" i="824"/>
  <c r="AC52" i="824"/>
  <c r="AL52" i="824"/>
  <c r="AA53" i="824"/>
  <c r="AB53" i="824"/>
  <c r="AC53" i="824"/>
  <c r="AL53" i="824"/>
  <c r="AA54" i="824"/>
  <c r="AB54" i="824"/>
  <c r="AC54" i="824"/>
  <c r="AL54" i="824"/>
  <c r="AA55" i="824"/>
  <c r="AB55" i="824"/>
  <c r="AC55" i="824"/>
  <c r="AL55" i="824"/>
  <c r="AA56" i="824"/>
  <c r="AB56" i="824"/>
  <c r="AC56" i="824"/>
  <c r="AL56" i="824"/>
  <c r="AA57" i="824"/>
  <c r="AB57" i="824"/>
  <c r="AC57" i="824"/>
  <c r="AL57" i="824"/>
  <c r="AA58" i="824"/>
  <c r="AB58" i="824"/>
  <c r="AC58" i="824"/>
  <c r="AL58" i="824"/>
  <c r="AA59" i="824"/>
  <c r="AB59" i="824"/>
  <c r="AC59" i="824"/>
  <c r="AL59" i="824"/>
  <c r="AA60" i="824"/>
  <c r="AB60" i="824"/>
  <c r="AC60" i="824"/>
  <c r="AL60" i="824"/>
  <c r="AA61" i="824"/>
  <c r="AB61" i="824"/>
  <c r="AC61" i="824"/>
  <c r="AL61" i="824"/>
  <c r="AA62" i="824"/>
  <c r="AB62" i="824"/>
  <c r="AC62" i="824"/>
  <c r="AL62" i="824"/>
  <c r="AA63" i="824"/>
  <c r="AB63" i="824"/>
  <c r="AC63" i="824"/>
  <c r="AL63" i="824"/>
  <c r="AA64" i="824"/>
  <c r="AB64" i="824"/>
  <c r="AC64" i="824"/>
  <c r="AL64" i="824"/>
  <c r="AA65" i="824"/>
  <c r="AB65" i="824"/>
  <c r="AC65" i="824"/>
  <c r="AL65" i="824"/>
  <c r="AA66" i="824"/>
  <c r="AB66" i="824"/>
  <c r="AC66" i="824"/>
  <c r="AL66" i="824"/>
  <c r="AA67" i="824"/>
  <c r="AB67" i="824"/>
  <c r="AC67" i="824"/>
  <c r="AL67" i="824"/>
  <c r="AA68" i="824"/>
  <c r="AB68" i="824"/>
  <c r="AC68" i="824"/>
  <c r="AL68" i="824"/>
  <c r="AA69" i="824"/>
  <c r="AB69" i="824"/>
  <c r="AC69" i="824"/>
  <c r="AL69" i="824"/>
  <c r="AA70" i="824"/>
  <c r="AB70" i="824"/>
  <c r="AC70" i="824"/>
  <c r="AL70" i="824"/>
  <c r="AA71" i="824"/>
  <c r="AB71" i="824"/>
  <c r="AC71" i="824"/>
  <c r="AL71" i="824"/>
  <c r="AA72" i="824"/>
  <c r="AB72" i="824"/>
  <c r="AC72" i="824"/>
  <c r="AL72" i="824"/>
  <c r="AA73" i="824"/>
  <c r="AB73" i="824"/>
  <c r="AC73" i="824"/>
  <c r="AL73" i="824"/>
  <c r="AA74" i="824"/>
  <c r="AB74" i="824"/>
  <c r="AC74" i="824"/>
  <c r="AL74" i="824"/>
  <c r="AA75" i="824"/>
  <c r="AB75" i="824"/>
  <c r="AC75" i="824"/>
  <c r="AL75" i="824"/>
  <c r="AA76" i="824"/>
  <c r="AB76" i="824"/>
  <c r="AC76" i="824"/>
  <c r="AL76" i="824"/>
  <c r="AA77" i="824"/>
  <c r="AB77" i="824"/>
  <c r="AC77" i="824"/>
  <c r="AL77" i="824"/>
  <c r="AA78" i="824"/>
  <c r="AB78" i="824"/>
  <c r="AC78" i="824"/>
  <c r="AL78" i="824"/>
  <c r="AA79" i="824"/>
  <c r="AB79" i="824"/>
  <c r="AC79" i="824"/>
  <c r="AL79" i="824"/>
  <c r="AA80" i="824"/>
  <c r="AB80" i="824"/>
  <c r="AC80" i="824"/>
  <c r="AL80" i="824"/>
  <c r="AA81" i="824"/>
  <c r="AB81" i="824"/>
  <c r="AC81" i="824"/>
  <c r="AL81" i="824"/>
  <c r="AA82" i="824"/>
  <c r="AB82" i="824"/>
  <c r="AC82" i="824"/>
  <c r="AL82" i="824"/>
  <c r="AA83" i="824"/>
  <c r="AB83" i="824"/>
  <c r="AC83" i="824"/>
  <c r="AL83" i="824"/>
  <c r="AA84" i="824"/>
  <c r="AB84" i="824"/>
  <c r="AC84" i="824"/>
  <c r="AL84" i="824"/>
  <c r="AA85" i="824"/>
  <c r="AB85" i="824"/>
  <c r="AC85" i="824"/>
  <c r="AL85" i="824"/>
  <c r="AA86" i="824"/>
  <c r="AB86" i="824"/>
  <c r="AC86" i="824"/>
  <c r="AL86" i="824"/>
  <c r="AA87" i="824"/>
  <c r="AB87" i="824"/>
  <c r="AC87" i="824"/>
  <c r="AL87" i="824"/>
  <c r="L145" i="848"/>
  <c r="F9" i="800"/>
  <c r="F10" i="800"/>
  <c r="F11" i="800"/>
  <c r="F12" i="800"/>
  <c r="F13" i="800"/>
  <c r="F14" i="800"/>
  <c r="F15" i="800"/>
  <c r="F16" i="800"/>
  <c r="F17" i="800"/>
  <c r="F18" i="800"/>
  <c r="F19" i="800"/>
  <c r="F20" i="800"/>
  <c r="F21" i="800"/>
  <c r="F22" i="800"/>
  <c r="F23" i="800"/>
  <c r="M12" i="848"/>
  <c r="C7" i="848"/>
  <c r="C6" i="848"/>
  <c r="L49" i="836"/>
  <c r="L50" i="836"/>
  <c r="S22" i="805"/>
  <c r="S23" i="805"/>
  <c r="S24" i="805"/>
  <c r="S25" i="805"/>
  <c r="S26" i="805"/>
  <c r="S27" i="805"/>
  <c r="S28" i="805"/>
  <c r="S29" i="805"/>
  <c r="S30" i="805"/>
  <c r="S31" i="805"/>
  <c r="S32" i="805"/>
  <c r="S33" i="805"/>
  <c r="S34" i="805"/>
  <c r="S35" i="805"/>
  <c r="S36" i="805"/>
  <c r="S37" i="805"/>
  <c r="S38" i="805"/>
  <c r="S39" i="805"/>
  <c r="S40" i="805"/>
  <c r="S41" i="805"/>
  <c r="S42" i="805"/>
  <c r="S43" i="805"/>
  <c r="S44" i="805"/>
  <c r="S45" i="805"/>
  <c r="S46" i="805"/>
  <c r="S47" i="805"/>
  <c r="S48" i="805"/>
  <c r="S49" i="805"/>
  <c r="S50" i="805"/>
  <c r="S51" i="805"/>
  <c r="S52" i="805"/>
  <c r="S53" i="805"/>
  <c r="S54" i="805"/>
  <c r="S55" i="805"/>
  <c r="S56" i="805"/>
  <c r="S57" i="805"/>
  <c r="S58" i="805"/>
  <c r="S59" i="805"/>
  <c r="S60" i="805"/>
  <c r="S61" i="805"/>
  <c r="S62" i="805"/>
  <c r="S63" i="805"/>
  <c r="S64" i="805"/>
  <c r="S65" i="805"/>
  <c r="S66" i="805"/>
  <c r="S67" i="805"/>
  <c r="S68" i="805"/>
  <c r="S69" i="805"/>
  <c r="S70" i="805"/>
  <c r="S71" i="805"/>
  <c r="S72" i="805"/>
  <c r="S73" i="805"/>
  <c r="S74" i="805"/>
  <c r="S75" i="805"/>
  <c r="S76" i="805"/>
  <c r="S77" i="805"/>
  <c r="S78" i="805"/>
  <c r="S79" i="805"/>
  <c r="S80" i="805"/>
  <c r="S81" i="805"/>
  <c r="S82" i="805"/>
  <c r="S83" i="805"/>
  <c r="S84" i="805"/>
  <c r="S85" i="805"/>
  <c r="S86" i="805"/>
  <c r="S87" i="805"/>
  <c r="E7" i="229"/>
  <c r="E8" i="229"/>
  <c r="E9" i="229"/>
  <c r="E10" i="229"/>
  <c r="E11" i="229"/>
  <c r="E12" i="229"/>
  <c r="E13" i="229"/>
  <c r="E14" i="229"/>
  <c r="E15" i="229"/>
  <c r="E16" i="229"/>
  <c r="E17" i="229"/>
  <c r="E18" i="229"/>
  <c r="S5" i="823"/>
  <c r="C5" i="823"/>
  <c r="C4" i="823"/>
  <c r="N10" i="834" a="1"/>
  <c r="K9" i="834" s="1"/>
  <c r="AD18" i="844"/>
  <c r="AD19" i="844"/>
  <c r="M3" i="844"/>
  <c r="N3" i="844"/>
  <c r="O3" i="844"/>
  <c r="P3" i="844"/>
  <c r="Q3" i="844"/>
  <c r="R3" i="844"/>
  <c r="S3" i="844"/>
  <c r="T3" i="844"/>
  <c r="U3" i="844"/>
  <c r="V3" i="844"/>
  <c r="W3" i="844"/>
  <c r="X3" i="844"/>
  <c r="Y3" i="844"/>
  <c r="Z3" i="844"/>
  <c r="L3" i="844"/>
  <c r="K3" i="844"/>
  <c r="J3" i="844"/>
  <c r="J9" i="834"/>
  <c r="K5" i="844"/>
  <c r="K6" i="844"/>
  <c r="K7" i="844"/>
  <c r="K8" i="844"/>
  <c r="K9" i="844"/>
  <c r="K10" i="844"/>
  <c r="K11" i="844"/>
  <c r="K12" i="844"/>
  <c r="K13" i="844"/>
  <c r="K26" i="805"/>
  <c r="K27" i="805"/>
  <c r="K28" i="805"/>
  <c r="K29" i="805"/>
  <c r="K30" i="805"/>
  <c r="K31" i="805"/>
  <c r="K32" i="805"/>
  <c r="K33" i="805"/>
  <c r="K34" i="805"/>
  <c r="K35" i="805"/>
  <c r="K36" i="805"/>
  <c r="K37" i="805"/>
  <c r="K38" i="805"/>
  <c r="K39" i="805"/>
  <c r="K40" i="805"/>
  <c r="C146" i="823"/>
  <c r="C146" i="843"/>
  <c r="L12" i="843"/>
  <c r="C7" i="843"/>
  <c r="C6" i="843"/>
  <c r="S5" i="843"/>
  <c r="J9" i="838"/>
  <c r="J10" i="838"/>
  <c r="J11" i="838"/>
  <c r="J12" i="838"/>
  <c r="J13" i="838"/>
  <c r="J14" i="838"/>
  <c r="J8" i="838"/>
  <c r="L9" i="837"/>
  <c r="L10" i="837"/>
  <c r="L11" i="837"/>
  <c r="L12" i="837"/>
  <c r="L13" i="837"/>
  <c r="L14" i="837"/>
  <c r="L15" i="837"/>
  <c r="L16" i="837"/>
  <c r="L17" i="837"/>
  <c r="L18" i="837"/>
  <c r="L19" i="837"/>
  <c r="L20" i="837"/>
  <c r="L21" i="837"/>
  <c r="L22" i="837"/>
  <c r="L23" i="837"/>
  <c r="L24" i="837"/>
  <c r="L25" i="837"/>
  <c r="L26" i="837"/>
  <c r="L27" i="837"/>
  <c r="L28" i="837"/>
  <c r="L29" i="837"/>
  <c r="L30" i="837"/>
  <c r="L31" i="837"/>
  <c r="L32" i="837"/>
  <c r="L33" i="837"/>
  <c r="L34" i="837"/>
  <c r="L35" i="837"/>
  <c r="L8" i="837"/>
  <c r="S9" i="124"/>
  <c r="S10" i="124"/>
  <c r="S11" i="124"/>
  <c r="S12" i="124"/>
  <c r="S13" i="124"/>
  <c r="S14" i="124"/>
  <c r="S15" i="124"/>
  <c r="S16" i="124"/>
  <c r="S17" i="124"/>
  <c r="S18" i="124"/>
  <c r="S19" i="124"/>
  <c r="S20" i="124"/>
  <c r="S21" i="124"/>
  <c r="S22" i="124"/>
  <c r="S23" i="124"/>
  <c r="S24" i="124"/>
  <c r="S25" i="124"/>
  <c r="S26" i="124"/>
  <c r="S27" i="124"/>
  <c r="S28" i="124"/>
  <c r="S29" i="124"/>
  <c r="S30" i="124"/>
  <c r="S31" i="124"/>
  <c r="S32" i="124"/>
  <c r="S33" i="124"/>
  <c r="S34" i="124"/>
  <c r="S35" i="124"/>
  <c r="S36" i="124"/>
  <c r="S37" i="124"/>
  <c r="S38" i="124"/>
  <c r="S39" i="124"/>
  <c r="S40" i="124"/>
  <c r="S41" i="124"/>
  <c r="S42" i="124"/>
  <c r="S43" i="124"/>
  <c r="S44" i="124"/>
  <c r="S45" i="124"/>
  <c r="S46" i="124"/>
  <c r="S47" i="124"/>
  <c r="S48" i="124"/>
  <c r="S49" i="124"/>
  <c r="S50" i="124"/>
  <c r="S51" i="124"/>
  <c r="S52" i="124"/>
  <c r="S53" i="124"/>
  <c r="S54" i="124"/>
  <c r="S55" i="124"/>
  <c r="S56" i="124"/>
  <c r="S57" i="124"/>
  <c r="S58" i="124"/>
  <c r="S59" i="124"/>
  <c r="S60" i="124"/>
  <c r="S61" i="124"/>
  <c r="S62" i="124"/>
  <c r="S63" i="124"/>
  <c r="S64" i="124"/>
  <c r="S65" i="124"/>
  <c r="S66" i="124"/>
  <c r="S67" i="124"/>
  <c r="S68" i="124"/>
  <c r="S69" i="124"/>
  <c r="S70" i="124"/>
  <c r="S71" i="124"/>
  <c r="S72" i="124"/>
  <c r="S73" i="124"/>
  <c r="S74" i="124"/>
  <c r="S75" i="124"/>
  <c r="S76" i="124"/>
  <c r="S77" i="124"/>
  <c r="S78" i="124"/>
  <c r="S79" i="124"/>
  <c r="S80" i="124"/>
  <c r="S81" i="124"/>
  <c r="S82" i="124"/>
  <c r="S83" i="124"/>
  <c r="S84" i="124"/>
  <c r="S85" i="124"/>
  <c r="S86" i="124"/>
  <c r="S87" i="124"/>
  <c r="S88" i="124"/>
  <c r="S89" i="124"/>
  <c r="S90" i="124"/>
  <c r="S91" i="124"/>
  <c r="S92" i="124"/>
  <c r="S93" i="124"/>
  <c r="S94" i="124"/>
  <c r="S95" i="124"/>
  <c r="S96" i="124"/>
  <c r="S97" i="124"/>
  <c r="S98" i="124"/>
  <c r="S99" i="124"/>
  <c r="S100" i="124"/>
  <c r="S101" i="124"/>
  <c r="S102" i="124"/>
  <c r="S103" i="124"/>
  <c r="S104" i="124"/>
  <c r="S105" i="124"/>
  <c r="S106" i="124"/>
  <c r="S107" i="124"/>
  <c r="S108" i="124"/>
  <c r="S109" i="124"/>
  <c r="S110" i="124"/>
  <c r="S111" i="124"/>
  <c r="S112" i="124"/>
  <c r="S113" i="124"/>
  <c r="S114" i="124"/>
  <c r="S115" i="124"/>
  <c r="S116" i="124"/>
  <c r="S117" i="124"/>
  <c r="S118" i="124"/>
  <c r="S119" i="124"/>
  <c r="S120" i="124"/>
  <c r="S121" i="124"/>
  <c r="S122" i="124"/>
  <c r="S123" i="124"/>
  <c r="S124" i="124"/>
  <c r="S125" i="124"/>
  <c r="S126" i="124"/>
  <c r="S127" i="124"/>
  <c r="S128" i="124"/>
  <c r="S129" i="124"/>
  <c r="S130" i="124"/>
  <c r="S131" i="124"/>
  <c r="S132" i="124"/>
  <c r="S133" i="124"/>
  <c r="S134" i="124"/>
  <c r="S135" i="124"/>
  <c r="S136" i="124"/>
  <c r="S137" i="124"/>
  <c r="S138" i="124"/>
  <c r="S139" i="124"/>
  <c r="S140" i="124"/>
  <c r="S141" i="124"/>
  <c r="S142" i="124"/>
  <c r="S143" i="124"/>
  <c r="S144" i="124"/>
  <c r="S145" i="124"/>
  <c r="S146" i="124"/>
  <c r="S147" i="124"/>
  <c r="S148" i="124"/>
  <c r="S149" i="124"/>
  <c r="S150" i="124"/>
  <c r="S151" i="124"/>
  <c r="S152" i="124"/>
  <c r="S153" i="124"/>
  <c r="S154" i="124"/>
  <c r="S155" i="124"/>
  <c r="S156" i="124"/>
  <c r="S157" i="124"/>
  <c r="S158" i="124"/>
  <c r="S159" i="124"/>
  <c r="S160" i="124"/>
  <c r="S161" i="124"/>
  <c r="S162" i="124"/>
  <c r="S163" i="124"/>
  <c r="S164" i="124"/>
  <c r="S165" i="124"/>
  <c r="S166" i="124"/>
  <c r="S167" i="124"/>
  <c r="S168" i="124"/>
  <c r="S169" i="124"/>
  <c r="S170" i="124"/>
  <c r="S171" i="124"/>
  <c r="S172" i="124"/>
  <c r="S173" i="124"/>
  <c r="S174" i="124"/>
  <c r="S175" i="124"/>
  <c r="S176" i="124"/>
  <c r="S177" i="124"/>
  <c r="S178" i="124"/>
  <c r="S179" i="124"/>
  <c r="S180" i="124"/>
  <c r="S181" i="124"/>
  <c r="S182" i="124"/>
  <c r="S183" i="124"/>
  <c r="S184" i="124"/>
  <c r="S185" i="124"/>
  <c r="S186" i="124"/>
  <c r="S187" i="124"/>
  <c r="S188" i="124"/>
  <c r="S189" i="124"/>
  <c r="S190" i="124"/>
  <c r="S191" i="124"/>
  <c r="S192" i="124"/>
  <c r="S193" i="124"/>
  <c r="S194" i="124"/>
  <c r="S195" i="124"/>
  <c r="S196" i="124"/>
  <c r="S197" i="124"/>
  <c r="S198" i="124"/>
  <c r="S199" i="124"/>
  <c r="S200" i="124"/>
  <c r="S201" i="124"/>
  <c r="S202" i="124"/>
  <c r="S203" i="124"/>
  <c r="S204" i="124"/>
  <c r="S205" i="124"/>
  <c r="S206" i="124"/>
  <c r="S8" i="124"/>
  <c r="J9" i="782"/>
  <c r="J10" i="782"/>
  <c r="J11" i="782"/>
  <c r="J12" i="782"/>
  <c r="J13" i="782"/>
  <c r="J14" i="782"/>
  <c r="J15" i="782"/>
  <c r="J16" i="782"/>
  <c r="J17" i="782"/>
  <c r="J18" i="782"/>
  <c r="J19" i="782"/>
  <c r="J20" i="782"/>
  <c r="J21" i="782"/>
  <c r="J22" i="782"/>
  <c r="J23" i="782"/>
  <c r="J24" i="782"/>
  <c r="J25" i="782"/>
  <c r="J26" i="782"/>
  <c r="J27" i="782"/>
  <c r="J28" i="782"/>
  <c r="J29" i="782"/>
  <c r="J30" i="782"/>
  <c r="J31" i="782"/>
  <c r="J32" i="782"/>
  <c r="J33" i="782"/>
  <c r="J34" i="782"/>
  <c r="J35" i="782"/>
  <c r="J36" i="782"/>
  <c r="J37" i="782"/>
  <c r="J38" i="782"/>
  <c r="J39" i="782"/>
  <c r="J40" i="782"/>
  <c r="J41" i="782"/>
  <c r="J42" i="782"/>
  <c r="J43" i="782"/>
  <c r="J44" i="782"/>
  <c r="J45" i="782"/>
  <c r="J46" i="782"/>
  <c r="J47" i="782"/>
  <c r="J48" i="782"/>
  <c r="J49" i="782"/>
  <c r="J50" i="782"/>
  <c r="J51" i="782"/>
  <c r="J52" i="782"/>
  <c r="J53" i="782"/>
  <c r="J54" i="782"/>
  <c r="J55" i="782"/>
  <c r="J56" i="782"/>
  <c r="J57" i="782"/>
  <c r="J58" i="782"/>
  <c r="J59" i="782"/>
  <c r="J60" i="782"/>
  <c r="J61" i="782"/>
  <c r="D9" i="782"/>
  <c r="D10" i="782"/>
  <c r="D11" i="782"/>
  <c r="D12" i="782"/>
  <c r="D13" i="782"/>
  <c r="D14" i="782"/>
  <c r="D15" i="782"/>
  <c r="D16" i="782"/>
  <c r="D17" i="782"/>
  <c r="D18" i="782"/>
  <c r="D19" i="782"/>
  <c r="D20" i="782"/>
  <c r="D21" i="782"/>
  <c r="D22" i="782"/>
  <c r="D23" i="782"/>
  <c r="D24" i="782"/>
  <c r="D25" i="782"/>
  <c r="D26" i="782"/>
  <c r="D27" i="782"/>
  <c r="D28" i="782"/>
  <c r="D29" i="782"/>
  <c r="D30" i="782"/>
  <c r="D31" i="782"/>
  <c r="D32" i="782"/>
  <c r="D33" i="782"/>
  <c r="D34" i="782"/>
  <c r="D35" i="782"/>
  <c r="D36" i="782"/>
  <c r="D37" i="782"/>
  <c r="D38" i="782"/>
  <c r="D39" i="782"/>
  <c r="D40" i="782"/>
  <c r="D41" i="782"/>
  <c r="D42" i="782"/>
  <c r="D43" i="782"/>
  <c r="D44" i="782"/>
  <c r="D45" i="782"/>
  <c r="D46" i="782"/>
  <c r="D47" i="782"/>
  <c r="D48" i="782"/>
  <c r="D49" i="782"/>
  <c r="D50" i="782"/>
  <c r="D51" i="782"/>
  <c r="D52" i="782"/>
  <c r="D53" i="782"/>
  <c r="D54" i="782"/>
  <c r="D55" i="782"/>
  <c r="D56" i="782"/>
  <c r="D57" i="782"/>
  <c r="D58" i="782"/>
  <c r="D59" i="782"/>
  <c r="D60" i="782"/>
  <c r="D61" i="782"/>
  <c r="K41" i="805"/>
  <c r="K42" i="805"/>
  <c r="K43" i="805"/>
  <c r="K44" i="805"/>
  <c r="K45" i="805"/>
  <c r="K46" i="805"/>
  <c r="K47" i="805"/>
  <c r="K48" i="805"/>
  <c r="K49" i="805"/>
  <c r="K50" i="805"/>
  <c r="K51" i="805"/>
  <c r="K52" i="805"/>
  <c r="K53" i="805"/>
  <c r="K54" i="805"/>
  <c r="K55" i="805"/>
  <c r="K56" i="805"/>
  <c r="K57" i="805"/>
  <c r="K58" i="805"/>
  <c r="K59" i="805"/>
  <c r="K60" i="805"/>
  <c r="K61" i="805"/>
  <c r="K62" i="805"/>
  <c r="K63" i="805"/>
  <c r="K64" i="805"/>
  <c r="K65" i="805"/>
  <c r="K66" i="805"/>
  <c r="K67" i="805"/>
  <c r="K68" i="805"/>
  <c r="K69" i="805"/>
  <c r="K70" i="805"/>
  <c r="K71" i="805"/>
  <c r="K72" i="805"/>
  <c r="K73" i="805"/>
  <c r="K74" i="805"/>
  <c r="K76" i="805"/>
  <c r="K77" i="805"/>
  <c r="K78" i="805"/>
  <c r="K79" i="805"/>
  <c r="K80" i="805"/>
  <c r="K81" i="805"/>
  <c r="K82" i="805"/>
  <c r="K83" i="805"/>
  <c r="K84" i="805"/>
  <c r="K86" i="805"/>
  <c r="K87" i="805"/>
  <c r="R11" i="834"/>
  <c r="R12" i="834"/>
  <c r="R13" i="834"/>
  <c r="R14" i="834"/>
  <c r="R15" i="834"/>
  <c r="R16" i="834"/>
  <c r="R17" i="834"/>
  <c r="R18" i="834"/>
  <c r="R19" i="834"/>
  <c r="R20" i="834"/>
  <c r="R21" i="834"/>
  <c r="F11" i="834"/>
  <c r="F12" i="834"/>
  <c r="F13" i="834"/>
  <c r="F14" i="834"/>
  <c r="F15" i="834"/>
  <c r="F16" i="834"/>
  <c r="F17" i="834"/>
  <c r="F18" i="834"/>
  <c r="F19" i="834"/>
  <c r="F20" i="834"/>
  <c r="F21" i="834"/>
  <c r="F10" i="834"/>
  <c r="C10" i="834"/>
  <c r="I9" i="834"/>
  <c r="J8" i="782"/>
  <c r="H2" i="783"/>
  <c r="D8" i="782"/>
  <c r="K56" i="4"/>
  <c r="K57" i="4"/>
  <c r="K58" i="4"/>
  <c r="K59" i="4"/>
  <c r="K60" i="4"/>
  <c r="K55" i="4"/>
  <c r="L36" i="837"/>
  <c r="L37" i="837"/>
  <c r="L38" i="837"/>
  <c r="L39" i="837"/>
  <c r="L40" i="837"/>
  <c r="L41" i="837"/>
  <c r="L42" i="837"/>
  <c r="L43" i="837"/>
  <c r="L44" i="837"/>
  <c r="L45" i="837"/>
  <c r="L46" i="837"/>
  <c r="L47" i="837"/>
  <c r="L48" i="837"/>
  <c r="L49" i="837"/>
  <c r="L50" i="837"/>
  <c r="L51" i="837"/>
  <c r="L52" i="837"/>
  <c r="L53" i="837"/>
  <c r="L54" i="837"/>
  <c r="L55" i="837"/>
  <c r="L56" i="837"/>
  <c r="L57" i="837"/>
  <c r="L58" i="837"/>
  <c r="L59" i="837"/>
  <c r="L60" i="837"/>
  <c r="L61" i="837"/>
  <c r="L62" i="837"/>
  <c r="L63" i="837"/>
  <c r="L64" i="837"/>
  <c r="L65" i="837"/>
  <c r="L66" i="837"/>
  <c r="L67" i="837"/>
  <c r="L68" i="837"/>
  <c r="L69" i="837"/>
  <c r="L70" i="837"/>
  <c r="L71" i="837"/>
  <c r="L72" i="837"/>
  <c r="L73" i="837"/>
  <c r="L74" i="837"/>
  <c r="L75" i="837"/>
  <c r="L76" i="837"/>
  <c r="L77" i="837"/>
  <c r="L78" i="837"/>
  <c r="L79" i="837"/>
  <c r="L80" i="837"/>
  <c r="L81" i="837"/>
  <c r="L82" i="837"/>
  <c r="L83" i="837"/>
  <c r="L84" i="837"/>
  <c r="L85" i="837"/>
  <c r="L86" i="837"/>
  <c r="L87" i="837"/>
  <c r="L88" i="837"/>
  <c r="L89" i="837"/>
  <c r="L90" i="837"/>
  <c r="L91" i="837"/>
  <c r="L92" i="837"/>
  <c r="L93" i="837"/>
  <c r="L94" i="837"/>
  <c r="L95" i="837"/>
  <c r="L96" i="837"/>
  <c r="L97" i="837"/>
  <c r="L98" i="837"/>
  <c r="L99" i="837"/>
  <c r="L100" i="837"/>
  <c r="L101" i="837"/>
  <c r="L102" i="837"/>
  <c r="L103" i="837"/>
  <c r="L104" i="837"/>
  <c r="L105" i="837"/>
  <c r="L106" i="837"/>
  <c r="L107" i="837"/>
  <c r="L108" i="837"/>
  <c r="L109" i="837"/>
  <c r="L110" i="837"/>
  <c r="L111" i="837"/>
  <c r="L112" i="837"/>
  <c r="L113" i="837"/>
  <c r="L114" i="837"/>
  <c r="L115" i="837"/>
  <c r="L116" i="837"/>
  <c r="L117" i="837"/>
  <c r="L118" i="837"/>
  <c r="L119" i="837"/>
  <c r="L120" i="837"/>
  <c r="L121" i="837"/>
  <c r="L122" i="837"/>
  <c r="L123" i="837"/>
  <c r="L124" i="837"/>
  <c r="L125" i="837"/>
  <c r="L126" i="837"/>
  <c r="L127" i="837"/>
  <c r="L128" i="837"/>
  <c r="L129" i="837"/>
  <c r="L297" i="837"/>
  <c r="L298" i="837"/>
  <c r="L299" i="837"/>
  <c r="L300" i="837"/>
  <c r="L301" i="837"/>
  <c r="L302" i="837"/>
  <c r="L303" i="837"/>
  <c r="L304" i="837"/>
  <c r="L305" i="837"/>
  <c r="L306" i="837"/>
  <c r="L307" i="837"/>
  <c r="L308" i="837"/>
  <c r="L309" i="837"/>
  <c r="L310" i="837"/>
  <c r="L311" i="837"/>
  <c r="L312" i="837"/>
  <c r="L313" i="837"/>
  <c r="L314" i="837"/>
  <c r="L315" i="837"/>
  <c r="L316" i="837"/>
  <c r="L317" i="837"/>
  <c r="L318" i="837"/>
  <c r="L319" i="837"/>
  <c r="L320" i="837"/>
  <c r="L321" i="837"/>
  <c r="L322" i="837"/>
  <c r="L323" i="837"/>
  <c r="L324" i="837"/>
  <c r="L325" i="837"/>
  <c r="L326" i="837"/>
  <c r="L327" i="837"/>
  <c r="L328" i="837"/>
  <c r="L329" i="837"/>
  <c r="L330" i="837"/>
  <c r="L331" i="837"/>
  <c r="L332" i="837"/>
  <c r="L333" i="837"/>
  <c r="L334" i="837"/>
  <c r="L335" i="837"/>
  <c r="L336" i="837"/>
  <c r="L337" i="837"/>
  <c r="L338" i="837"/>
  <c r="L339" i="837"/>
  <c r="L340" i="837"/>
  <c r="L341" i="837"/>
  <c r="L342" i="837"/>
  <c r="L343" i="837"/>
  <c r="L344" i="837"/>
  <c r="L345" i="837"/>
  <c r="L346" i="837"/>
  <c r="L347" i="837"/>
  <c r="L348" i="837"/>
  <c r="L349" i="837"/>
  <c r="L350" i="837"/>
  <c r="L351" i="837"/>
  <c r="L352" i="837"/>
  <c r="L353" i="837"/>
  <c r="L354" i="837"/>
  <c r="L355" i="837"/>
  <c r="L356" i="837"/>
  <c r="L357" i="837"/>
  <c r="L358" i="837"/>
  <c r="L359" i="837"/>
  <c r="L360" i="837"/>
  <c r="L361" i="837"/>
  <c r="L362" i="837"/>
  <c r="L363" i="837"/>
  <c r="L364" i="837"/>
  <c r="L365" i="837"/>
  <c r="L366" i="837"/>
  <c r="L367" i="837"/>
  <c r="L368" i="837"/>
  <c r="L369" i="837"/>
  <c r="L370" i="837"/>
  <c r="L371" i="837"/>
  <c r="L372" i="837"/>
  <c r="L373" i="837"/>
  <c r="L374" i="837"/>
  <c r="L375" i="837"/>
  <c r="L376" i="837"/>
  <c r="L377" i="837"/>
  <c r="L378" i="837"/>
  <c r="L379" i="837"/>
  <c r="L380" i="837"/>
  <c r="L381" i="837"/>
  <c r="L382" i="837"/>
  <c r="L383" i="837"/>
  <c r="L384" i="837"/>
  <c r="L385" i="837"/>
  <c r="L386" i="837"/>
  <c r="L387" i="837"/>
  <c r="L388" i="837"/>
  <c r="L389" i="837"/>
  <c r="L390" i="837"/>
  <c r="L391" i="837"/>
  <c r="L392" i="837"/>
  <c r="L393" i="837"/>
  <c r="L394" i="837"/>
  <c r="L395" i="837"/>
  <c r="L396" i="837"/>
  <c r="L397" i="837"/>
  <c r="L398" i="837"/>
  <c r="L399" i="837"/>
  <c r="L400" i="837"/>
  <c r="L401" i="837"/>
  <c r="L402" i="837"/>
  <c r="L403" i="837"/>
  <c r="L404" i="837"/>
  <c r="L405" i="837"/>
  <c r="L406" i="837"/>
  <c r="L407" i="837"/>
  <c r="L408" i="837"/>
  <c r="L409" i="837"/>
  <c r="L410" i="837"/>
  <c r="L411" i="837"/>
  <c r="L412" i="837"/>
  <c r="L413" i="837"/>
  <c r="L414" i="837"/>
  <c r="L415" i="837"/>
  <c r="L416" i="837"/>
  <c r="L417" i="837"/>
  <c r="L418" i="837"/>
  <c r="L419" i="837"/>
  <c r="L420" i="837"/>
  <c r="L421" i="837"/>
  <c r="L422" i="837"/>
  <c r="L423" i="837"/>
  <c r="L424" i="837"/>
  <c r="L425" i="837"/>
  <c r="L426" i="837"/>
  <c r="L427" i="837"/>
  <c r="L428" i="837"/>
  <c r="L429" i="837"/>
  <c r="L430" i="837"/>
  <c r="L431" i="837"/>
  <c r="L432" i="837"/>
  <c r="L433" i="837"/>
  <c r="L434" i="837"/>
  <c r="L435" i="837"/>
  <c r="L436" i="837"/>
  <c r="L437" i="837"/>
  <c r="L438" i="837"/>
  <c r="L439" i="837"/>
  <c r="L440" i="837"/>
  <c r="L441" i="837"/>
  <c r="L442" i="837"/>
  <c r="L443" i="837"/>
  <c r="L444" i="837"/>
  <c r="L445" i="837"/>
  <c r="L446" i="837"/>
  <c r="L447" i="837"/>
  <c r="L448" i="837"/>
  <c r="L449" i="837"/>
  <c r="L450" i="837"/>
  <c r="L451" i="837"/>
  <c r="L452" i="837"/>
  <c r="L453" i="837"/>
  <c r="L454" i="837"/>
  <c r="L455" i="837"/>
  <c r="L456" i="837"/>
  <c r="L457" i="837"/>
  <c r="L458" i="837"/>
  <c r="L459" i="837"/>
  <c r="L460" i="837"/>
  <c r="L461" i="837"/>
  <c r="L462" i="837"/>
  <c r="L463" i="837"/>
  <c r="L464" i="837"/>
  <c r="L465" i="837"/>
  <c r="L466" i="837"/>
  <c r="L467" i="837"/>
  <c r="L468" i="837"/>
  <c r="L469" i="837"/>
  <c r="L470" i="837"/>
  <c r="L471" i="837"/>
  <c r="L472" i="837"/>
  <c r="L473" i="837"/>
  <c r="L474" i="837"/>
  <c r="L475" i="837"/>
  <c r="L476" i="837"/>
  <c r="L477" i="837"/>
  <c r="L478" i="837"/>
  <c r="L479" i="837"/>
  <c r="L480" i="837"/>
  <c r="L481" i="837"/>
  <c r="L482" i="837"/>
  <c r="L483" i="837"/>
  <c r="L484" i="837"/>
  <c r="L485" i="837"/>
  <c r="L486" i="837"/>
  <c r="L487" i="837"/>
  <c r="L488" i="837"/>
  <c r="L489" i="837"/>
  <c r="L490" i="837"/>
  <c r="L491" i="837"/>
  <c r="L492" i="837"/>
  <c r="L493" i="837"/>
  <c r="L494" i="837"/>
  <c r="L495" i="837"/>
  <c r="L496" i="837"/>
  <c r="L497" i="837"/>
  <c r="L498" i="837"/>
  <c r="L499" i="837"/>
  <c r="L500" i="837"/>
  <c r="L501" i="837"/>
  <c r="L502" i="837"/>
  <c r="L503" i="837"/>
  <c r="L504" i="837"/>
  <c r="L505" i="837"/>
  <c r="L506" i="837"/>
  <c r="L507" i="837"/>
  <c r="L508" i="837"/>
  <c r="L509" i="837"/>
  <c r="L510" i="837"/>
  <c r="L511" i="837"/>
  <c r="L512" i="837"/>
  <c r="L513" i="837"/>
  <c r="L514" i="837"/>
  <c r="L515" i="837"/>
  <c r="L516" i="837"/>
  <c r="L517" i="837"/>
  <c r="L518" i="837"/>
  <c r="L519" i="837"/>
  <c r="L520" i="837"/>
  <c r="L521" i="837"/>
  <c r="L522" i="837"/>
  <c r="L523" i="837"/>
  <c r="L524" i="837"/>
  <c r="L525" i="837"/>
  <c r="L526" i="837"/>
  <c r="L527" i="837"/>
  <c r="L528" i="837"/>
  <c r="L529" i="837"/>
  <c r="L530" i="837"/>
  <c r="L531" i="837"/>
  <c r="L532" i="837"/>
  <c r="L533" i="837"/>
  <c r="L534" i="837"/>
  <c r="L535" i="837"/>
  <c r="L536" i="837"/>
  <c r="L537" i="837"/>
  <c r="L538" i="837"/>
  <c r="L539" i="837"/>
  <c r="L540" i="837"/>
  <c r="L541" i="837"/>
  <c r="L542" i="837"/>
  <c r="L543" i="837"/>
  <c r="L544" i="837"/>
  <c r="L545" i="837"/>
  <c r="L546" i="837"/>
  <c r="L547" i="837"/>
  <c r="L548" i="837"/>
  <c r="L549" i="837"/>
  <c r="L550" i="837"/>
  <c r="L551" i="837"/>
  <c r="L552" i="837"/>
  <c r="L553" i="837"/>
  <c r="L554" i="837"/>
  <c r="L555" i="837"/>
  <c r="L556" i="837"/>
  <c r="L557" i="837"/>
  <c r="L558" i="837"/>
  <c r="L559" i="837"/>
  <c r="L560" i="837"/>
  <c r="L561" i="837"/>
  <c r="L562" i="837"/>
  <c r="L563" i="837"/>
  <c r="L564" i="837"/>
  <c r="L565" i="837"/>
  <c r="L566" i="837"/>
  <c r="L567" i="837"/>
  <c r="L568" i="837"/>
  <c r="L569" i="837"/>
  <c r="L570" i="837"/>
  <c r="L571" i="837"/>
  <c r="L572" i="837"/>
  <c r="L573" i="837"/>
  <c r="L574" i="837"/>
  <c r="L575" i="837"/>
  <c r="L576" i="837"/>
  <c r="L577" i="837"/>
  <c r="L578" i="837"/>
  <c r="L579" i="837"/>
  <c r="L580" i="837"/>
  <c r="L581" i="837"/>
  <c r="L582" i="837"/>
  <c r="L583" i="837"/>
  <c r="L584" i="837"/>
  <c r="L585" i="837"/>
  <c r="L586" i="837"/>
  <c r="L587" i="837"/>
  <c r="L588" i="837"/>
  <c r="L589" i="837"/>
  <c r="L590" i="837"/>
  <c r="L591" i="837"/>
  <c r="L592" i="837"/>
  <c r="L593" i="837"/>
  <c r="L594" i="837"/>
  <c r="L595" i="837"/>
  <c r="L596" i="837"/>
  <c r="L597" i="837"/>
  <c r="L598" i="837"/>
  <c r="L599" i="837"/>
  <c r="L600" i="837"/>
  <c r="L601" i="837"/>
  <c r="L602" i="837"/>
  <c r="L603" i="837"/>
  <c r="L604" i="837"/>
  <c r="L605" i="837"/>
  <c r="L606" i="837"/>
  <c r="L607" i="837"/>
  <c r="L608" i="837"/>
  <c r="L609" i="837"/>
  <c r="L610" i="837"/>
  <c r="L611" i="837"/>
  <c r="L612" i="837"/>
  <c r="L613" i="837"/>
  <c r="L614" i="837"/>
  <c r="L615" i="837"/>
  <c r="L616" i="837"/>
  <c r="L617" i="837"/>
  <c r="L618" i="837"/>
  <c r="L619" i="837"/>
  <c r="L620" i="837"/>
  <c r="L621" i="837"/>
  <c r="L622" i="837"/>
  <c r="L623" i="837"/>
  <c r="L624" i="837"/>
  <c r="L625" i="837"/>
  <c r="L626" i="837"/>
  <c r="L627" i="837"/>
  <c r="L628" i="837"/>
  <c r="L629" i="837"/>
  <c r="L630" i="837"/>
  <c r="L631" i="837"/>
  <c r="L632" i="837"/>
  <c r="L633" i="837"/>
  <c r="L634" i="837"/>
  <c r="L635" i="837"/>
  <c r="L636" i="837"/>
  <c r="L637" i="837"/>
  <c r="L638" i="837"/>
  <c r="L639" i="837"/>
  <c r="L640" i="837"/>
  <c r="L641" i="837"/>
  <c r="L642" i="837"/>
  <c r="L643" i="837"/>
  <c r="L644" i="837"/>
  <c r="L645" i="837"/>
  <c r="L646" i="837"/>
  <c r="L647" i="837"/>
  <c r="L648" i="837"/>
  <c r="L649" i="837"/>
  <c r="L650" i="837"/>
  <c r="L651" i="837"/>
  <c r="L652" i="837"/>
  <c r="L653" i="837"/>
  <c r="L654" i="837"/>
  <c r="L655" i="837"/>
  <c r="L656" i="837"/>
  <c r="L657" i="837"/>
  <c r="L658" i="837"/>
  <c r="L659" i="837"/>
  <c r="L660" i="837"/>
  <c r="L661" i="837"/>
  <c r="L662" i="837"/>
  <c r="L663" i="837"/>
  <c r="L664" i="837"/>
  <c r="L665" i="837"/>
  <c r="L666" i="837"/>
  <c r="L667" i="837"/>
  <c r="L668" i="837"/>
  <c r="L669" i="837"/>
  <c r="L670" i="837"/>
  <c r="L671" i="837"/>
  <c r="L672" i="837"/>
  <c r="L673" i="837"/>
  <c r="L674" i="837"/>
  <c r="L675" i="837"/>
  <c r="L676" i="837"/>
  <c r="L677" i="837"/>
  <c r="L678" i="837"/>
  <c r="L679" i="837"/>
  <c r="L680" i="837"/>
  <c r="L681" i="837"/>
  <c r="L682" i="837"/>
  <c r="L683" i="837"/>
  <c r="L684" i="837"/>
  <c r="L685" i="837"/>
  <c r="L686" i="837"/>
  <c r="L687" i="837"/>
  <c r="L688" i="837"/>
  <c r="L689" i="837"/>
  <c r="L690" i="837"/>
  <c r="L130" i="837"/>
  <c r="L131" i="837"/>
  <c r="L132" i="837"/>
  <c r="L133" i="837"/>
  <c r="L134" i="837"/>
  <c r="L135" i="837"/>
  <c r="L136" i="837"/>
  <c r="L137" i="837"/>
  <c r="L138" i="837"/>
  <c r="L139" i="837"/>
  <c r="L140" i="837"/>
  <c r="L141" i="837"/>
  <c r="L142" i="837"/>
  <c r="L143" i="837"/>
  <c r="L144" i="837"/>
  <c r="L145" i="837"/>
  <c r="L146" i="837"/>
  <c r="L147" i="837"/>
  <c r="L148" i="837"/>
  <c r="L149" i="837"/>
  <c r="L150" i="837"/>
  <c r="L151" i="837"/>
  <c r="L152" i="837"/>
  <c r="L153" i="837"/>
  <c r="L154" i="837"/>
  <c r="L155" i="837"/>
  <c r="L156" i="837"/>
  <c r="L157" i="837"/>
  <c r="L158" i="837"/>
  <c r="L159" i="837"/>
  <c r="L160" i="837"/>
  <c r="L161" i="837"/>
  <c r="L162" i="837"/>
  <c r="L163" i="837"/>
  <c r="L164" i="837"/>
  <c r="L165" i="837"/>
  <c r="L166" i="837"/>
  <c r="L167" i="837"/>
  <c r="L168" i="837"/>
  <c r="L169" i="837"/>
  <c r="L170" i="837"/>
  <c r="L171" i="837"/>
  <c r="L172" i="837"/>
  <c r="L173" i="837"/>
  <c r="L174" i="837"/>
  <c r="L175" i="837"/>
  <c r="L176" i="837"/>
  <c r="L177" i="837"/>
  <c r="L178" i="837"/>
  <c r="L179" i="837"/>
  <c r="L180" i="837"/>
  <c r="L181" i="837"/>
  <c r="L182" i="837"/>
  <c r="L183" i="837"/>
  <c r="L184" i="837"/>
  <c r="L185" i="837"/>
  <c r="L186" i="837"/>
  <c r="L187" i="837"/>
  <c r="L188" i="837"/>
  <c r="L189" i="837"/>
  <c r="L190" i="837"/>
  <c r="L191" i="837"/>
  <c r="L192" i="837"/>
  <c r="L193" i="837"/>
  <c r="L194" i="837"/>
  <c r="L195" i="837"/>
  <c r="L196" i="837"/>
  <c r="L197" i="837"/>
  <c r="L198" i="837"/>
  <c r="L199" i="837"/>
  <c r="L200" i="837"/>
  <c r="L201" i="837"/>
  <c r="L202" i="837"/>
  <c r="L203" i="837"/>
  <c r="L204" i="837"/>
  <c r="L205" i="837"/>
  <c r="L206" i="837"/>
  <c r="L207" i="837"/>
  <c r="L208" i="837"/>
  <c r="L209" i="837"/>
  <c r="L210" i="837"/>
  <c r="L211" i="837"/>
  <c r="L212" i="837"/>
  <c r="L213" i="837"/>
  <c r="L214" i="837"/>
  <c r="L215" i="837"/>
  <c r="L216" i="837"/>
  <c r="L217" i="837"/>
  <c r="L218" i="837"/>
  <c r="L219" i="837"/>
  <c r="L220" i="837"/>
  <c r="L221" i="837"/>
  <c r="L222" i="837"/>
  <c r="L223" i="837"/>
  <c r="L224" i="837"/>
  <c r="L225" i="837"/>
  <c r="L226" i="837"/>
  <c r="L227" i="837"/>
  <c r="L228" i="837"/>
  <c r="L229" i="837"/>
  <c r="L230" i="837"/>
  <c r="L231" i="837"/>
  <c r="L232" i="837"/>
  <c r="L233" i="837"/>
  <c r="L234" i="837"/>
  <c r="L235" i="837"/>
  <c r="L236" i="837"/>
  <c r="L237" i="837"/>
  <c r="L238" i="837"/>
  <c r="L239" i="837"/>
  <c r="L240" i="837"/>
  <c r="L241" i="837"/>
  <c r="L242" i="837"/>
  <c r="L243" i="837"/>
  <c r="L244" i="837"/>
  <c r="L245" i="837"/>
  <c r="L246" i="837"/>
  <c r="L247" i="837"/>
  <c r="L248" i="837"/>
  <c r="L249" i="837"/>
  <c r="L250" i="837"/>
  <c r="L251" i="837"/>
  <c r="L252" i="837"/>
  <c r="L253" i="837"/>
  <c r="L254" i="837"/>
  <c r="L255" i="837"/>
  <c r="L256" i="837"/>
  <c r="L257" i="837"/>
  <c r="L258" i="837"/>
  <c r="L259" i="837"/>
  <c r="L260" i="837"/>
  <c r="L261" i="837"/>
  <c r="L262" i="837"/>
  <c r="L263" i="837"/>
  <c r="L264" i="837"/>
  <c r="L265" i="837"/>
  <c r="L266" i="837"/>
  <c r="L267" i="837"/>
  <c r="L268" i="837"/>
  <c r="L269" i="837"/>
  <c r="L270" i="837"/>
  <c r="L271" i="837"/>
  <c r="L272" i="837"/>
  <c r="L273" i="837"/>
  <c r="L274" i="837"/>
  <c r="L275" i="837"/>
  <c r="L276" i="837"/>
  <c r="L277" i="837"/>
  <c r="L278" i="837"/>
  <c r="L279" i="837"/>
  <c r="L280" i="837"/>
  <c r="L281" i="837"/>
  <c r="L282" i="837"/>
  <c r="L283" i="837"/>
  <c r="L284" i="837"/>
  <c r="L285" i="837"/>
  <c r="L286" i="837"/>
  <c r="L287" i="837"/>
  <c r="L288" i="837"/>
  <c r="L289" i="837"/>
  <c r="L290" i="837"/>
  <c r="L291" i="837"/>
  <c r="L292" i="837"/>
  <c r="L293" i="837"/>
  <c r="L294" i="837"/>
  <c r="L295" i="837"/>
  <c r="L296" i="837"/>
  <c r="J23" i="838"/>
  <c r="J24" i="838"/>
  <c r="J25" i="838"/>
  <c r="J26" i="838"/>
  <c r="J27" i="838"/>
  <c r="J28" i="838"/>
  <c r="J29" i="838"/>
  <c r="J30" i="838"/>
  <c r="J31" i="838"/>
  <c r="J32" i="838"/>
  <c r="J33" i="838"/>
  <c r="J34" i="838"/>
  <c r="J35" i="838"/>
  <c r="J36" i="838"/>
  <c r="J37" i="838"/>
  <c r="J38" i="838"/>
  <c r="J39" i="838"/>
  <c r="J40" i="838"/>
  <c r="J41" i="838"/>
  <c r="J42" i="838"/>
  <c r="J43" i="838"/>
  <c r="J44" i="838"/>
  <c r="J45" i="838"/>
  <c r="J46" i="838"/>
  <c r="J47" i="838"/>
  <c r="J48" i="838"/>
  <c r="J49" i="838"/>
  <c r="J50" i="838"/>
  <c r="J51" i="838"/>
  <c r="J52" i="838"/>
  <c r="J53" i="838"/>
  <c r="J54" i="838"/>
  <c r="J55" i="838"/>
  <c r="J56" i="838"/>
  <c r="J57" i="838"/>
  <c r="J58" i="838"/>
  <c r="J59" i="838"/>
  <c r="J60" i="838"/>
  <c r="J61" i="838"/>
  <c r="J62" i="838"/>
  <c r="J63" i="838"/>
  <c r="J64" i="838"/>
  <c r="J65" i="838"/>
  <c r="J66" i="838"/>
  <c r="J67" i="838"/>
  <c r="J68" i="838"/>
  <c r="J69" i="838"/>
  <c r="J70" i="838"/>
  <c r="J71" i="838"/>
  <c r="J72" i="838"/>
  <c r="J73" i="838"/>
  <c r="J74" i="838"/>
  <c r="J75" i="838"/>
  <c r="J76" i="838"/>
  <c r="J77" i="838"/>
  <c r="J78" i="838"/>
  <c r="J79" i="838"/>
  <c r="J80" i="838"/>
  <c r="J81" i="838"/>
  <c r="J82" i="838"/>
  <c r="J83" i="838"/>
  <c r="J84" i="838"/>
  <c r="J85" i="838"/>
  <c r="J86" i="838"/>
  <c r="J87" i="838"/>
  <c r="J88" i="838"/>
  <c r="J89" i="838"/>
  <c r="J90" i="838"/>
  <c r="J91" i="838"/>
  <c r="J92" i="838"/>
  <c r="J93" i="838"/>
  <c r="J94" i="838"/>
  <c r="J95" i="838"/>
  <c r="J96" i="838"/>
  <c r="J97" i="838"/>
  <c r="J98" i="838"/>
  <c r="J99" i="838"/>
  <c r="J100" i="838"/>
  <c r="J101" i="838"/>
  <c r="J102" i="838"/>
  <c r="J103" i="838"/>
  <c r="J104" i="838"/>
  <c r="J105" i="838"/>
  <c r="J106" i="838"/>
  <c r="J107" i="838"/>
  <c r="J108" i="838"/>
  <c r="J109" i="838"/>
  <c r="J110" i="838"/>
  <c r="J111" i="838"/>
  <c r="J112" i="838"/>
  <c r="J113" i="838"/>
  <c r="J114" i="838"/>
  <c r="J115" i="838"/>
  <c r="J116" i="838"/>
  <c r="J117" i="838"/>
  <c r="J118" i="838"/>
  <c r="J119" i="838"/>
  <c r="J120" i="838"/>
  <c r="J121" i="838"/>
  <c r="J122" i="838"/>
  <c r="J123" i="838"/>
  <c r="J124" i="838"/>
  <c r="J125" i="838"/>
  <c r="J126" i="838"/>
  <c r="J127" i="838"/>
  <c r="J128" i="838"/>
  <c r="J129" i="838"/>
  <c r="J130" i="838"/>
  <c r="J131" i="838"/>
  <c r="J132" i="838"/>
  <c r="J133" i="838"/>
  <c r="J134" i="838"/>
  <c r="J135" i="838"/>
  <c r="J136" i="838"/>
  <c r="J137" i="838"/>
  <c r="J138" i="838"/>
  <c r="J139" i="838"/>
  <c r="J140" i="838"/>
  <c r="J141" i="838"/>
  <c r="J142" i="838"/>
  <c r="J143" i="838"/>
  <c r="J144" i="838"/>
  <c r="J145" i="838"/>
  <c r="J146" i="838"/>
  <c r="J147" i="838"/>
  <c r="J148" i="838"/>
  <c r="J149" i="838"/>
  <c r="J150" i="838"/>
  <c r="J151" i="838"/>
  <c r="J152" i="838"/>
  <c r="J153" i="838"/>
  <c r="J154" i="838"/>
  <c r="J155" i="838"/>
  <c r="J156" i="838"/>
  <c r="J157" i="838"/>
  <c r="J158" i="838"/>
  <c r="J159" i="838"/>
  <c r="J160" i="838"/>
  <c r="J161" i="838"/>
  <c r="J162" i="838"/>
  <c r="J163" i="838"/>
  <c r="J164" i="838"/>
  <c r="J165" i="838"/>
  <c r="J166" i="838"/>
  <c r="J167" i="838"/>
  <c r="J168" i="838"/>
  <c r="J169" i="838"/>
  <c r="J170" i="838"/>
  <c r="J171" i="838"/>
  <c r="J172" i="838"/>
  <c r="J173" i="838"/>
  <c r="J174" i="838"/>
  <c r="J175" i="838"/>
  <c r="J176" i="838"/>
  <c r="J177" i="838"/>
  <c r="J178" i="838"/>
  <c r="J179" i="838"/>
  <c r="J180" i="838"/>
  <c r="J181" i="838"/>
  <c r="J182" i="838"/>
  <c r="J183" i="838"/>
  <c r="J184" i="838"/>
  <c r="J185" i="838"/>
  <c r="J186" i="838"/>
  <c r="J187" i="838"/>
  <c r="J188" i="838"/>
  <c r="J189" i="838"/>
  <c r="J190" i="838"/>
  <c r="J191" i="838"/>
  <c r="J192" i="838"/>
  <c r="J193" i="838"/>
  <c r="J194" i="838"/>
  <c r="J195" i="838"/>
  <c r="J196" i="838"/>
  <c r="J197" i="838"/>
  <c r="J198" i="838"/>
  <c r="J199" i="838"/>
  <c r="J200" i="838"/>
  <c r="J201" i="838"/>
  <c r="J202" i="838"/>
  <c r="J203" i="838"/>
  <c r="J204" i="838"/>
  <c r="J205" i="838"/>
  <c r="J206" i="838"/>
  <c r="J207" i="838"/>
  <c r="J208" i="838"/>
  <c r="J209" i="838"/>
  <c r="J210" i="838"/>
  <c r="J211" i="838"/>
  <c r="J212" i="838"/>
  <c r="J213" i="838"/>
  <c r="J214" i="838"/>
  <c r="J215" i="838"/>
  <c r="J216" i="838"/>
  <c r="J217" i="838"/>
  <c r="J218" i="838"/>
  <c r="J219" i="838"/>
  <c r="J220" i="838"/>
  <c r="J221" i="838"/>
  <c r="J222" i="838"/>
  <c r="J223" i="838"/>
  <c r="J224" i="838"/>
  <c r="J225" i="838"/>
  <c r="J226" i="838"/>
  <c r="J227" i="838"/>
  <c r="J228" i="838"/>
  <c r="J229" i="838"/>
  <c r="J230" i="838"/>
  <c r="J231" i="838"/>
  <c r="J232" i="838"/>
  <c r="J233" i="838"/>
  <c r="J234" i="838"/>
  <c r="J235" i="838"/>
  <c r="J236" i="838"/>
  <c r="J237" i="838"/>
  <c r="J238" i="838"/>
  <c r="J239" i="838"/>
  <c r="J240" i="838"/>
  <c r="J241" i="838"/>
  <c r="J242" i="838"/>
  <c r="J243" i="838"/>
  <c r="J244" i="838"/>
  <c r="J245" i="838"/>
  <c r="J246" i="838"/>
  <c r="J247" i="838"/>
  <c r="J248" i="838"/>
  <c r="J249" i="838"/>
  <c r="J250" i="838"/>
  <c r="J251" i="838"/>
  <c r="J252" i="838"/>
  <c r="J253" i="838"/>
  <c r="J254" i="838"/>
  <c r="J255" i="838"/>
  <c r="J256" i="838"/>
  <c r="J257" i="838"/>
  <c r="J258" i="838"/>
  <c r="J259" i="838"/>
  <c r="J260" i="838"/>
  <c r="J261" i="838"/>
  <c r="J262" i="838"/>
  <c r="J263" i="838"/>
  <c r="J264" i="838"/>
  <c r="J265" i="838"/>
  <c r="J266" i="838"/>
  <c r="J267" i="838"/>
  <c r="J268" i="838"/>
  <c r="J269" i="838"/>
  <c r="J270" i="838"/>
  <c r="J271" i="838"/>
  <c r="J272" i="838"/>
  <c r="J273" i="838"/>
  <c r="J274" i="838"/>
  <c r="J275" i="838"/>
  <c r="J276" i="838"/>
  <c r="J277" i="838"/>
  <c r="J278" i="838"/>
  <c r="J279" i="838"/>
  <c r="J280" i="838"/>
  <c r="J281" i="838"/>
  <c r="J282" i="838"/>
  <c r="J283" i="838"/>
  <c r="J284" i="838"/>
  <c r="J285" i="838"/>
  <c r="J286" i="838"/>
  <c r="J287" i="838"/>
  <c r="J288" i="838"/>
  <c r="J289" i="838"/>
  <c r="J290" i="838"/>
  <c r="J291" i="838"/>
  <c r="J292" i="838"/>
  <c r="J293" i="838"/>
  <c r="J294" i="838"/>
  <c r="J295" i="838"/>
  <c r="J296" i="838"/>
  <c r="J297" i="838"/>
  <c r="J298" i="838"/>
  <c r="J299" i="838"/>
  <c r="J300" i="838"/>
  <c r="J301" i="838"/>
  <c r="J302" i="838"/>
  <c r="J303" i="838"/>
  <c r="J304" i="838"/>
  <c r="J305" i="838"/>
  <c r="J306" i="838"/>
  <c r="J307" i="838"/>
  <c r="J308" i="838"/>
  <c r="J309" i="838"/>
  <c r="J310" i="838"/>
  <c r="J311" i="838"/>
  <c r="J312" i="838"/>
  <c r="J313" i="838"/>
  <c r="J314" i="838"/>
  <c r="J315" i="838"/>
  <c r="J316" i="838"/>
  <c r="J317" i="838"/>
  <c r="J318" i="838"/>
  <c r="J319" i="838"/>
  <c r="J320" i="838"/>
  <c r="J321" i="838"/>
  <c r="J322" i="838"/>
  <c r="J323" i="838"/>
  <c r="J324" i="838"/>
  <c r="J325" i="838"/>
  <c r="J326" i="838"/>
  <c r="J327" i="838"/>
  <c r="J328" i="838"/>
  <c r="J329" i="838"/>
  <c r="J330" i="838"/>
  <c r="J331" i="838"/>
  <c r="J332" i="838"/>
  <c r="J333" i="838"/>
  <c r="J334" i="838"/>
  <c r="J335" i="838"/>
  <c r="J336" i="838"/>
  <c r="J337" i="838"/>
  <c r="J338" i="838"/>
  <c r="J339" i="838"/>
  <c r="J340" i="838"/>
  <c r="J341" i="838"/>
  <c r="J342" i="838"/>
  <c r="J343" i="838"/>
  <c r="J344" i="838"/>
  <c r="J345" i="838"/>
  <c r="J346" i="838"/>
  <c r="J347" i="838"/>
  <c r="J348" i="838"/>
  <c r="J349" i="838"/>
  <c r="J350" i="838"/>
  <c r="J351" i="838"/>
  <c r="J352" i="838"/>
  <c r="J353" i="838"/>
  <c r="J354" i="838"/>
  <c r="J355" i="838"/>
  <c r="J356" i="838"/>
  <c r="J357" i="838"/>
  <c r="J358" i="838"/>
  <c r="J359" i="838"/>
  <c r="J360" i="838"/>
  <c r="J361" i="838"/>
  <c r="J362" i="838"/>
  <c r="J363" i="838"/>
  <c r="J364" i="838"/>
  <c r="J365" i="838"/>
  <c r="J366" i="838"/>
  <c r="J367" i="838"/>
  <c r="J368" i="838"/>
  <c r="J369" i="838"/>
  <c r="J370" i="838"/>
  <c r="J371" i="838"/>
  <c r="J372" i="838"/>
  <c r="J373" i="838"/>
  <c r="J374" i="838"/>
  <c r="J375" i="838"/>
  <c r="J376" i="838"/>
  <c r="J377" i="838"/>
  <c r="J378" i="838"/>
  <c r="J379" i="838"/>
  <c r="J380" i="838"/>
  <c r="J381" i="838"/>
  <c r="J382" i="838"/>
  <c r="J383" i="838"/>
  <c r="AC8" i="805"/>
  <c r="P14" i="834"/>
  <c r="Q14" i="834"/>
  <c r="W14" i="834"/>
  <c r="P15" i="834"/>
  <c r="Q15" i="834"/>
  <c r="W15" i="834"/>
  <c r="P16" i="834"/>
  <c r="Q16" i="834"/>
  <c r="W16" i="834"/>
  <c r="P17" i="834"/>
  <c r="Q17" i="834"/>
  <c r="W17" i="834"/>
  <c r="P18" i="834"/>
  <c r="Q18" i="834"/>
  <c r="W18" i="834"/>
  <c r="P19" i="834"/>
  <c r="Q19" i="834"/>
  <c r="W19" i="834"/>
  <c r="P20" i="834"/>
  <c r="Q20" i="834"/>
  <c r="W20" i="834"/>
  <c r="P21" i="834"/>
  <c r="Q21" i="834"/>
  <c r="W21" i="834"/>
  <c r="G4" i="783"/>
  <c r="G3" i="783"/>
  <c r="G2" i="783"/>
  <c r="B11" i="834"/>
  <c r="B12" i="834"/>
  <c r="B13" i="834"/>
  <c r="B14" i="834"/>
  <c r="B15" i="834"/>
  <c r="B16" i="834"/>
  <c r="B17" i="834"/>
  <c r="B18" i="834"/>
  <c r="B19" i="834"/>
  <c r="B20" i="834"/>
  <c r="B21" i="834"/>
  <c r="B10" i="834"/>
  <c r="F13" i="825"/>
  <c r="L19" i="292"/>
  <c r="L20" i="292"/>
  <c r="L21" i="292"/>
  <c r="L22" i="292"/>
  <c r="D11" i="824"/>
  <c r="M19" i="813"/>
  <c r="M20" i="813"/>
  <c r="M21" i="813"/>
  <c r="M22" i="813"/>
  <c r="M23" i="813"/>
  <c r="M24" i="813"/>
  <c r="M25" i="813"/>
  <c r="M26" i="813"/>
  <c r="M27" i="813"/>
  <c r="M28" i="813"/>
  <c r="M29" i="813"/>
  <c r="M30" i="813"/>
  <c r="M31" i="813"/>
  <c r="H19" i="813"/>
  <c r="H20" i="813"/>
  <c r="H21" i="813"/>
  <c r="H22" i="813"/>
  <c r="H23" i="813"/>
  <c r="H24" i="813"/>
  <c r="H25" i="813"/>
  <c r="H26" i="813"/>
  <c r="H27" i="813"/>
  <c r="H28" i="813"/>
  <c r="H29" i="813"/>
  <c r="H30" i="813"/>
  <c r="H31" i="813"/>
  <c r="O20" i="813"/>
  <c r="O19" i="813"/>
  <c r="F11" i="825"/>
  <c r="J26" i="805"/>
  <c r="J27" i="805"/>
  <c r="J28" i="805"/>
  <c r="J29" i="805"/>
  <c r="J30" i="805"/>
  <c r="V9" i="805"/>
  <c r="V10" i="805"/>
  <c r="V12" i="805"/>
  <c r="V14" i="805"/>
  <c r="V15" i="805"/>
  <c r="V16" i="805"/>
  <c r="V17" i="805"/>
  <c r="V18" i="805"/>
  <c r="V19" i="805"/>
  <c r="V20" i="805"/>
  <c r="V21" i="805"/>
  <c r="V22" i="805"/>
  <c r="X22" i="805"/>
  <c r="V23" i="805"/>
  <c r="X23" i="805"/>
  <c r="V24" i="805"/>
  <c r="X24" i="805"/>
  <c r="V25" i="805"/>
  <c r="X25" i="805"/>
  <c r="V26" i="805"/>
  <c r="X26" i="805"/>
  <c r="V27" i="805"/>
  <c r="X27" i="805"/>
  <c r="V28" i="805"/>
  <c r="X28" i="805"/>
  <c r="V29" i="805"/>
  <c r="X29" i="805"/>
  <c r="V30" i="805"/>
  <c r="X30" i="805"/>
  <c r="J31" i="805"/>
  <c r="V31" i="805"/>
  <c r="X31" i="805"/>
  <c r="J32" i="805"/>
  <c r="V32" i="805"/>
  <c r="X32" i="805"/>
  <c r="J33" i="805"/>
  <c r="V33" i="805"/>
  <c r="X33" i="805"/>
  <c r="J34" i="805"/>
  <c r="V34" i="805"/>
  <c r="X34" i="805"/>
  <c r="J35" i="805"/>
  <c r="V35" i="805"/>
  <c r="X35" i="805"/>
  <c r="J36" i="805"/>
  <c r="V36" i="805"/>
  <c r="X36" i="805"/>
  <c r="J37" i="805"/>
  <c r="V37" i="805"/>
  <c r="X37" i="805"/>
  <c r="J38" i="805"/>
  <c r="V38" i="805"/>
  <c r="X38" i="805"/>
  <c r="J39" i="805"/>
  <c r="V39" i="805"/>
  <c r="X39" i="805"/>
  <c r="J40" i="805"/>
  <c r="V40" i="805"/>
  <c r="X40" i="805"/>
  <c r="J41" i="805"/>
  <c r="V41" i="805"/>
  <c r="X41" i="805"/>
  <c r="J42" i="805"/>
  <c r="V42" i="805"/>
  <c r="X42" i="805"/>
  <c r="J43" i="805"/>
  <c r="V43" i="805"/>
  <c r="X43" i="805"/>
  <c r="J44" i="805"/>
  <c r="V44" i="805"/>
  <c r="X44" i="805"/>
  <c r="J45" i="805"/>
  <c r="V45" i="805"/>
  <c r="X45" i="805"/>
  <c r="J46" i="805"/>
  <c r="V46" i="805"/>
  <c r="X46" i="805"/>
  <c r="J47" i="805"/>
  <c r="V47" i="805"/>
  <c r="X47" i="805"/>
  <c r="J48" i="805"/>
  <c r="V48" i="805"/>
  <c r="X48" i="805"/>
  <c r="J49" i="805"/>
  <c r="V49" i="805"/>
  <c r="X49" i="805"/>
  <c r="J50" i="805"/>
  <c r="V50" i="805"/>
  <c r="X50" i="805"/>
  <c r="J51" i="805"/>
  <c r="V51" i="805"/>
  <c r="X51" i="805"/>
  <c r="J52" i="805"/>
  <c r="V52" i="805"/>
  <c r="X52" i="805"/>
  <c r="J53" i="805"/>
  <c r="V53" i="805"/>
  <c r="X53" i="805"/>
  <c r="J54" i="805"/>
  <c r="V54" i="805"/>
  <c r="X54" i="805"/>
  <c r="J55" i="805"/>
  <c r="V55" i="805"/>
  <c r="X55" i="805"/>
  <c r="J56" i="805"/>
  <c r="V56" i="805"/>
  <c r="X56" i="805"/>
  <c r="J57" i="805"/>
  <c r="V57" i="805"/>
  <c r="X57" i="805"/>
  <c r="J58" i="805"/>
  <c r="V58" i="805"/>
  <c r="X58" i="805"/>
  <c r="J59" i="805"/>
  <c r="V59" i="805"/>
  <c r="X59" i="805"/>
  <c r="J60" i="805"/>
  <c r="V60" i="805"/>
  <c r="X60" i="805"/>
  <c r="J61" i="805"/>
  <c r="V61" i="805"/>
  <c r="X61" i="805"/>
  <c r="J62" i="805"/>
  <c r="V62" i="805"/>
  <c r="X62" i="805"/>
  <c r="J63" i="805"/>
  <c r="V63" i="805"/>
  <c r="X63" i="805"/>
  <c r="J64" i="805"/>
  <c r="V64" i="805"/>
  <c r="X64" i="805"/>
  <c r="J65" i="805"/>
  <c r="V65" i="805"/>
  <c r="X65" i="805"/>
  <c r="J66" i="805"/>
  <c r="V66" i="805"/>
  <c r="X66" i="805"/>
  <c r="J67" i="805"/>
  <c r="V67" i="805"/>
  <c r="X67" i="805"/>
  <c r="J68" i="805"/>
  <c r="V68" i="805"/>
  <c r="X68" i="805"/>
  <c r="J69" i="805"/>
  <c r="V69" i="805"/>
  <c r="X69" i="805"/>
  <c r="J70" i="805"/>
  <c r="V70" i="805"/>
  <c r="X70" i="805"/>
  <c r="J71" i="805"/>
  <c r="V71" i="805"/>
  <c r="X71" i="805"/>
  <c r="J72" i="805"/>
  <c r="V72" i="805"/>
  <c r="X72" i="805"/>
  <c r="J73" i="805"/>
  <c r="V73" i="805"/>
  <c r="X73" i="805"/>
  <c r="J74" i="805"/>
  <c r="V74" i="805"/>
  <c r="X74" i="805"/>
  <c r="J75" i="805"/>
  <c r="V75" i="805"/>
  <c r="X75" i="805"/>
  <c r="J76" i="805"/>
  <c r="V76" i="805"/>
  <c r="X76" i="805"/>
  <c r="J77" i="805"/>
  <c r="V77" i="805"/>
  <c r="X77" i="805"/>
  <c r="J78" i="805"/>
  <c r="V78" i="805"/>
  <c r="X78" i="805"/>
  <c r="J79" i="805"/>
  <c r="V79" i="805"/>
  <c r="X79" i="805"/>
  <c r="J80" i="805"/>
  <c r="V80" i="805"/>
  <c r="X80" i="805"/>
  <c r="J81" i="805"/>
  <c r="V81" i="805"/>
  <c r="X81" i="805"/>
  <c r="J82" i="805"/>
  <c r="V82" i="805"/>
  <c r="X82" i="805"/>
  <c r="J83" i="805"/>
  <c r="V83" i="805"/>
  <c r="X83" i="805"/>
  <c r="J84" i="805"/>
  <c r="V84" i="805"/>
  <c r="X84" i="805"/>
  <c r="J85" i="805"/>
  <c r="V85" i="805"/>
  <c r="X85" i="805"/>
  <c r="J86" i="805"/>
  <c r="V86" i="805"/>
  <c r="X86" i="805"/>
  <c r="J87" i="805"/>
  <c r="V87" i="805"/>
  <c r="X87" i="805"/>
  <c r="F13" i="805"/>
  <c r="L9" i="784"/>
  <c r="L10" i="784"/>
  <c r="L11" i="784"/>
  <c r="L12" i="784"/>
  <c r="L13" i="784"/>
  <c r="L14" i="784"/>
  <c r="L15" i="784"/>
  <c r="L16" i="784"/>
  <c r="L17" i="784"/>
  <c r="L18" i="784"/>
  <c r="L19" i="784"/>
  <c r="F15" i="805"/>
  <c r="D11" i="825"/>
  <c r="F61" i="4"/>
  <c r="F62" i="4"/>
  <c r="F63" i="4"/>
  <c r="F64" i="4"/>
  <c r="F65" i="4"/>
  <c r="F66" i="4"/>
  <c r="F67" i="4"/>
  <c r="F68" i="4"/>
  <c r="F69" i="4"/>
  <c r="F55" i="4"/>
  <c r="C56" i="4"/>
  <c r="L303" i="828"/>
  <c r="L302" i="828"/>
  <c r="L301" i="828"/>
  <c r="L300" i="828"/>
  <c r="L299" i="828"/>
  <c r="L298" i="828"/>
  <c r="L297" i="828"/>
  <c r="L296" i="828"/>
  <c r="L295" i="828"/>
  <c r="L294" i="828"/>
  <c r="L293" i="828"/>
  <c r="L292" i="828"/>
  <c r="L291" i="828"/>
  <c r="L290" i="828"/>
  <c r="L289" i="828"/>
  <c r="L288" i="828"/>
  <c r="L287" i="828"/>
  <c r="L286" i="828"/>
  <c r="L285" i="828"/>
  <c r="L284" i="828"/>
  <c r="L283" i="828"/>
  <c r="L282" i="828"/>
  <c r="L281" i="828"/>
  <c r="L280" i="828"/>
  <c r="L279" i="828"/>
  <c r="L278" i="828"/>
  <c r="L277" i="828"/>
  <c r="L276" i="828"/>
  <c r="L275" i="828"/>
  <c r="L274" i="828"/>
  <c r="L273" i="828"/>
  <c r="L272" i="828"/>
  <c r="L271" i="828"/>
  <c r="L270" i="828"/>
  <c r="L269" i="828"/>
  <c r="L268" i="828"/>
  <c r="L267" i="828"/>
  <c r="L266" i="828"/>
  <c r="L265" i="828"/>
  <c r="L264" i="828"/>
  <c r="L263" i="828"/>
  <c r="L262" i="828"/>
  <c r="L261" i="828"/>
  <c r="L260" i="828"/>
  <c r="L259" i="828"/>
  <c r="L258" i="828"/>
  <c r="L257" i="828"/>
  <c r="L256" i="828"/>
  <c r="L255" i="828"/>
  <c r="L254" i="828"/>
  <c r="L253" i="828"/>
  <c r="L252" i="828"/>
  <c r="L251" i="828"/>
  <c r="L250" i="828"/>
  <c r="L249" i="828"/>
  <c r="L248" i="828"/>
  <c r="L247" i="828"/>
  <c r="L246" i="828"/>
  <c r="L245" i="828"/>
  <c r="L244" i="828"/>
  <c r="L243" i="828"/>
  <c r="L242" i="828"/>
  <c r="L241" i="828"/>
  <c r="L240" i="828"/>
  <c r="L239" i="828"/>
  <c r="L238" i="828"/>
  <c r="L237" i="828"/>
  <c r="L236" i="828"/>
  <c r="L235" i="828"/>
  <c r="L234" i="828"/>
  <c r="L233" i="828"/>
  <c r="L232" i="828"/>
  <c r="L231" i="828"/>
  <c r="L230" i="828"/>
  <c r="L229" i="828"/>
  <c r="L228" i="828"/>
  <c r="L227" i="828"/>
  <c r="L226" i="828"/>
  <c r="L225" i="828"/>
  <c r="L224" i="828"/>
  <c r="L223" i="828"/>
  <c r="L222" i="828"/>
  <c r="L221" i="828"/>
  <c r="L220" i="828"/>
  <c r="L219" i="828"/>
  <c r="L218" i="828"/>
  <c r="L217" i="828"/>
  <c r="L216" i="828"/>
  <c r="L215" i="828"/>
  <c r="L214" i="828"/>
  <c r="L213" i="828"/>
  <c r="L212" i="828"/>
  <c r="L211" i="828"/>
  <c r="L210" i="828"/>
  <c r="L209" i="828"/>
  <c r="L208" i="828"/>
  <c r="L207" i="828"/>
  <c r="L206" i="828"/>
  <c r="L205" i="828"/>
  <c r="L204" i="828"/>
  <c r="L203" i="828"/>
  <c r="L202" i="828"/>
  <c r="L201" i="828"/>
  <c r="L200" i="828"/>
  <c r="L199" i="828"/>
  <c r="L198" i="828"/>
  <c r="L197" i="828"/>
  <c r="L196" i="828"/>
  <c r="L195" i="828"/>
  <c r="L194" i="828"/>
  <c r="L193" i="828"/>
  <c r="L192" i="828"/>
  <c r="L191" i="828"/>
  <c r="L190" i="828"/>
  <c r="L189" i="828"/>
  <c r="L188" i="828"/>
  <c r="L187" i="828"/>
  <c r="L186" i="828"/>
  <c r="L185" i="828"/>
  <c r="L184" i="828"/>
  <c r="L183" i="828"/>
  <c r="L182" i="828"/>
  <c r="L181" i="828"/>
  <c r="L180" i="828"/>
  <c r="L179" i="828"/>
  <c r="L178" i="828"/>
  <c r="L177" i="828"/>
  <c r="L176" i="828"/>
  <c r="L175" i="828"/>
  <c r="L174" i="828"/>
  <c r="L173" i="828"/>
  <c r="L172" i="828"/>
  <c r="L171" i="828"/>
  <c r="L170" i="828"/>
  <c r="L169" i="828"/>
  <c r="L168" i="828"/>
  <c r="L167" i="828"/>
  <c r="L166" i="828"/>
  <c r="L165" i="828"/>
  <c r="L164" i="828"/>
  <c r="L163" i="828"/>
  <c r="L162" i="828"/>
  <c r="L161" i="828"/>
  <c r="L160" i="828"/>
  <c r="L159" i="828"/>
  <c r="L158" i="828"/>
  <c r="L157" i="828"/>
  <c r="L156" i="828"/>
  <c r="L155" i="828"/>
  <c r="L154" i="828"/>
  <c r="L153" i="828"/>
  <c r="L152" i="828"/>
  <c r="L151" i="828"/>
  <c r="L150" i="828"/>
  <c r="L149" i="828"/>
  <c r="L148" i="828"/>
  <c r="L147" i="828"/>
  <c r="L146" i="828"/>
  <c r="L145" i="828"/>
  <c r="L144" i="828"/>
  <c r="L143" i="828"/>
  <c r="L142" i="828"/>
  <c r="L141" i="828"/>
  <c r="L140" i="828"/>
  <c r="L139" i="828"/>
  <c r="L138" i="828"/>
  <c r="L137" i="828"/>
  <c r="L136" i="828"/>
  <c r="L135" i="828"/>
  <c r="L134" i="828"/>
  <c r="L133" i="828"/>
  <c r="L132" i="828"/>
  <c r="L131" i="828"/>
  <c r="L130" i="828"/>
  <c r="L129" i="828"/>
  <c r="L128" i="828"/>
  <c r="L127" i="828"/>
  <c r="L126" i="828"/>
  <c r="L125" i="828"/>
  <c r="L124" i="828"/>
  <c r="L123" i="828"/>
  <c r="L122" i="828"/>
  <c r="L121" i="828"/>
  <c r="L120" i="828"/>
  <c r="L119" i="828"/>
  <c r="L118" i="828"/>
  <c r="L117" i="828"/>
  <c r="L116" i="828"/>
  <c r="L115" i="828"/>
  <c r="L114" i="828"/>
  <c r="L113" i="828"/>
  <c r="L112" i="828"/>
  <c r="L111" i="828"/>
  <c r="L110" i="828"/>
  <c r="L109" i="828"/>
  <c r="L108" i="828"/>
  <c r="L107" i="828"/>
  <c r="L106" i="828"/>
  <c r="L105" i="828"/>
  <c r="L104" i="828"/>
  <c r="L103" i="828"/>
  <c r="L102" i="828"/>
  <c r="L101" i="828"/>
  <c r="L100" i="828"/>
  <c r="L99" i="828"/>
  <c r="L98" i="828"/>
  <c r="L97" i="828"/>
  <c r="L96" i="828"/>
  <c r="L95" i="828"/>
  <c r="L94" i="828"/>
  <c r="L93" i="828"/>
  <c r="L92" i="828"/>
  <c r="L91" i="828"/>
  <c r="L90" i="828"/>
  <c r="L89" i="828"/>
  <c r="L88" i="828"/>
  <c r="L87" i="828"/>
  <c r="L86" i="828"/>
  <c r="L85" i="828"/>
  <c r="L84" i="828"/>
  <c r="L83" i="828"/>
  <c r="L82" i="828"/>
  <c r="L81" i="828"/>
  <c r="L80" i="828"/>
  <c r="L79" i="828"/>
  <c r="L78" i="828"/>
  <c r="L77" i="828"/>
  <c r="L76" i="828"/>
  <c r="L75" i="828"/>
  <c r="L74" i="828"/>
  <c r="L73" i="828"/>
  <c r="L72" i="828"/>
  <c r="L71" i="828"/>
  <c r="L70" i="828"/>
  <c r="L69" i="828"/>
  <c r="L68" i="828"/>
  <c r="L67" i="828"/>
  <c r="L66" i="828"/>
  <c r="L65" i="828"/>
  <c r="L64" i="828"/>
  <c r="L63" i="828"/>
  <c r="L62" i="828"/>
  <c r="L61" i="828"/>
  <c r="L60" i="828"/>
  <c r="L59" i="828"/>
  <c r="L58" i="828"/>
  <c r="L57" i="828"/>
  <c r="L56" i="828"/>
  <c r="L55" i="828"/>
  <c r="L54" i="828"/>
  <c r="L53" i="828"/>
  <c r="L52" i="828"/>
  <c r="L51" i="828"/>
  <c r="L50" i="828"/>
  <c r="L49" i="828"/>
  <c r="L48" i="828"/>
  <c r="L47" i="828"/>
  <c r="L46" i="828"/>
  <c r="L45" i="828"/>
  <c r="L44" i="828"/>
  <c r="L43" i="828"/>
  <c r="L42" i="828"/>
  <c r="L41" i="828"/>
  <c r="L40" i="828"/>
  <c r="L39" i="828"/>
  <c r="L38" i="828"/>
  <c r="L37" i="828"/>
  <c r="L36" i="828"/>
  <c r="L35" i="828"/>
  <c r="L34" i="828"/>
  <c r="L33" i="828"/>
  <c r="L32" i="828"/>
  <c r="L31" i="828"/>
  <c r="L30" i="828"/>
  <c r="L29" i="828"/>
  <c r="L28" i="828"/>
  <c r="L27" i="828"/>
  <c r="L26" i="828"/>
  <c r="L25" i="828"/>
  <c r="L24" i="828"/>
  <c r="L23" i="828"/>
  <c r="L22" i="828"/>
  <c r="L21" i="828"/>
  <c r="L20" i="828"/>
  <c r="L19" i="828"/>
  <c r="L18" i="828"/>
  <c r="L17" i="828"/>
  <c r="L8" i="828"/>
  <c r="AC8" i="825"/>
  <c r="BY204" i="825"/>
  <c r="BU204" i="825"/>
  <c r="BT204" i="825"/>
  <c r="BS204" i="825"/>
  <c r="BQ204" i="825"/>
  <c r="BG204" i="825"/>
  <c r="BC204" i="825"/>
  <c r="BB204" i="825"/>
  <c r="BA204" i="825"/>
  <c r="AY204" i="825"/>
  <c r="BY203" i="825"/>
  <c r="BU203" i="825"/>
  <c r="BT203" i="825"/>
  <c r="BS203" i="825"/>
  <c r="BQ203" i="825"/>
  <c r="BG203" i="825"/>
  <c r="BC203" i="825"/>
  <c r="BB203" i="825"/>
  <c r="BA203" i="825"/>
  <c r="AY203" i="825"/>
  <c r="BY202" i="825"/>
  <c r="BU202" i="825"/>
  <c r="BT202" i="825"/>
  <c r="BS202" i="825"/>
  <c r="BQ202" i="825"/>
  <c r="BG202" i="825"/>
  <c r="BC202" i="825"/>
  <c r="BB202" i="825"/>
  <c r="BA202" i="825"/>
  <c r="AY202" i="825"/>
  <c r="BY201" i="825"/>
  <c r="BU201" i="825"/>
  <c r="BT201" i="825"/>
  <c r="BS201" i="825"/>
  <c r="BQ201" i="825"/>
  <c r="BG201" i="825"/>
  <c r="BC201" i="825"/>
  <c r="BB201" i="825"/>
  <c r="BA201" i="825"/>
  <c r="AY201" i="825"/>
  <c r="BY200" i="825"/>
  <c r="BU200" i="825"/>
  <c r="BT200" i="825"/>
  <c r="BS200" i="825"/>
  <c r="BQ200" i="825"/>
  <c r="BG200" i="825"/>
  <c r="BC200" i="825"/>
  <c r="BB200" i="825"/>
  <c r="BA200" i="825"/>
  <c r="AY200" i="825"/>
  <c r="BY199" i="825"/>
  <c r="BU199" i="825"/>
  <c r="BT199" i="825"/>
  <c r="BS199" i="825"/>
  <c r="BQ199" i="825"/>
  <c r="BG199" i="825"/>
  <c r="BC199" i="825"/>
  <c r="BB199" i="825"/>
  <c r="BA199" i="825"/>
  <c r="AY199" i="825"/>
  <c r="BY198" i="825"/>
  <c r="BU198" i="825"/>
  <c r="BT198" i="825"/>
  <c r="BS198" i="825"/>
  <c r="BQ198" i="825"/>
  <c r="BG198" i="825"/>
  <c r="BC198" i="825"/>
  <c r="BB198" i="825"/>
  <c r="BA198" i="825"/>
  <c r="AY198" i="825"/>
  <c r="BY197" i="825"/>
  <c r="BU197" i="825"/>
  <c r="BT197" i="825"/>
  <c r="BS197" i="825"/>
  <c r="BQ197" i="825"/>
  <c r="BG197" i="825"/>
  <c r="BC197" i="825"/>
  <c r="BB197" i="825"/>
  <c r="BA197" i="825"/>
  <c r="AY197" i="825"/>
  <c r="BY196" i="825"/>
  <c r="BU196" i="825"/>
  <c r="BT196" i="825"/>
  <c r="BS196" i="825"/>
  <c r="BQ196" i="825"/>
  <c r="BG196" i="825"/>
  <c r="BC196" i="825"/>
  <c r="BB196" i="825"/>
  <c r="BA196" i="825"/>
  <c r="AY196" i="825"/>
  <c r="BY195" i="825"/>
  <c r="BU195" i="825"/>
  <c r="BT195" i="825"/>
  <c r="BS195" i="825"/>
  <c r="BQ195" i="825"/>
  <c r="BG195" i="825"/>
  <c r="BC195" i="825"/>
  <c r="BB195" i="825"/>
  <c r="BA195" i="825"/>
  <c r="AY195" i="825"/>
  <c r="BY194" i="825"/>
  <c r="BU194" i="825"/>
  <c r="BT194" i="825"/>
  <c r="BS194" i="825"/>
  <c r="BQ194" i="825"/>
  <c r="BG194" i="825"/>
  <c r="BC194" i="825"/>
  <c r="BB194" i="825"/>
  <c r="BA194" i="825"/>
  <c r="AY194" i="825"/>
  <c r="BY193" i="825"/>
  <c r="BU193" i="825"/>
  <c r="BT193" i="825"/>
  <c r="BS193" i="825"/>
  <c r="BQ193" i="825"/>
  <c r="BG193" i="825"/>
  <c r="BC193" i="825"/>
  <c r="BB193" i="825"/>
  <c r="BA193" i="825"/>
  <c r="AY193" i="825"/>
  <c r="BY192" i="825"/>
  <c r="BU192" i="825"/>
  <c r="BT192" i="825"/>
  <c r="BS192" i="825"/>
  <c r="BQ192" i="825"/>
  <c r="BG192" i="825"/>
  <c r="BC192" i="825"/>
  <c r="BB192" i="825"/>
  <c r="BA192" i="825"/>
  <c r="AY192" i="825"/>
  <c r="BY191" i="825"/>
  <c r="BU191" i="825"/>
  <c r="BT191" i="825"/>
  <c r="BS191" i="825"/>
  <c r="BQ191" i="825"/>
  <c r="BG191" i="825"/>
  <c r="BC191" i="825"/>
  <c r="BB191" i="825"/>
  <c r="BA191" i="825"/>
  <c r="AY191" i="825"/>
  <c r="BY190" i="825"/>
  <c r="BU190" i="825"/>
  <c r="BT190" i="825"/>
  <c r="BS190" i="825"/>
  <c r="BQ190" i="825"/>
  <c r="BG190" i="825"/>
  <c r="BC190" i="825"/>
  <c r="BB190" i="825"/>
  <c r="BA190" i="825"/>
  <c r="AY190" i="825"/>
  <c r="BY189" i="825"/>
  <c r="BU189" i="825"/>
  <c r="BT189" i="825"/>
  <c r="BS189" i="825"/>
  <c r="BQ189" i="825"/>
  <c r="BG189" i="825"/>
  <c r="BC189" i="825"/>
  <c r="BB189" i="825"/>
  <c r="BA189" i="825"/>
  <c r="AY189" i="825"/>
  <c r="BY188" i="825"/>
  <c r="BU188" i="825"/>
  <c r="BT188" i="825"/>
  <c r="BS188" i="825"/>
  <c r="BQ188" i="825"/>
  <c r="BG188" i="825"/>
  <c r="BC188" i="825"/>
  <c r="BB188" i="825"/>
  <c r="BA188" i="825"/>
  <c r="AY188" i="825"/>
  <c r="BY187" i="825"/>
  <c r="BU187" i="825"/>
  <c r="BT187" i="825"/>
  <c r="BS187" i="825"/>
  <c r="BQ187" i="825"/>
  <c r="BG187" i="825"/>
  <c r="BC187" i="825"/>
  <c r="BB187" i="825"/>
  <c r="BA187" i="825"/>
  <c r="AY187" i="825"/>
  <c r="BY186" i="825"/>
  <c r="BU186" i="825"/>
  <c r="BT186" i="825"/>
  <c r="BS186" i="825"/>
  <c r="BQ186" i="825"/>
  <c r="BG186" i="825"/>
  <c r="BC186" i="825"/>
  <c r="BB186" i="825"/>
  <c r="BA186" i="825"/>
  <c r="AY186" i="825"/>
  <c r="BY185" i="825"/>
  <c r="BU185" i="825"/>
  <c r="BT185" i="825"/>
  <c r="BS185" i="825"/>
  <c r="BQ185" i="825"/>
  <c r="BG185" i="825"/>
  <c r="BC185" i="825"/>
  <c r="BB185" i="825"/>
  <c r="BA185" i="825"/>
  <c r="AY185" i="825"/>
  <c r="BY184" i="825"/>
  <c r="BU184" i="825"/>
  <c r="BT184" i="825"/>
  <c r="BS184" i="825"/>
  <c r="BQ184" i="825"/>
  <c r="BG184" i="825"/>
  <c r="BC184" i="825"/>
  <c r="BB184" i="825"/>
  <c r="BA184" i="825"/>
  <c r="AY184" i="825"/>
  <c r="BY183" i="825"/>
  <c r="BU183" i="825"/>
  <c r="BT183" i="825"/>
  <c r="BS183" i="825"/>
  <c r="BQ183" i="825"/>
  <c r="BG183" i="825"/>
  <c r="BC183" i="825"/>
  <c r="BB183" i="825"/>
  <c r="BA183" i="825"/>
  <c r="AY183" i="825"/>
  <c r="BY182" i="825"/>
  <c r="BU182" i="825"/>
  <c r="BT182" i="825"/>
  <c r="BS182" i="825"/>
  <c r="BQ182" i="825"/>
  <c r="BG182" i="825"/>
  <c r="BC182" i="825"/>
  <c r="BB182" i="825"/>
  <c r="BA182" i="825"/>
  <c r="AY182" i="825"/>
  <c r="BY181" i="825"/>
  <c r="BU181" i="825"/>
  <c r="BT181" i="825"/>
  <c r="BS181" i="825"/>
  <c r="BQ181" i="825"/>
  <c r="BG181" i="825"/>
  <c r="BC181" i="825"/>
  <c r="BB181" i="825"/>
  <c r="BA181" i="825"/>
  <c r="AY181" i="825"/>
  <c r="BY180" i="825"/>
  <c r="BU180" i="825"/>
  <c r="BT180" i="825"/>
  <c r="BS180" i="825"/>
  <c r="BQ180" i="825"/>
  <c r="BG180" i="825"/>
  <c r="BC180" i="825"/>
  <c r="BB180" i="825"/>
  <c r="BA180" i="825"/>
  <c r="AY180" i="825"/>
  <c r="BY179" i="825"/>
  <c r="BU179" i="825"/>
  <c r="BT179" i="825"/>
  <c r="BS179" i="825"/>
  <c r="BQ179" i="825"/>
  <c r="BG179" i="825"/>
  <c r="BC179" i="825"/>
  <c r="BB179" i="825"/>
  <c r="BA179" i="825"/>
  <c r="AY179" i="825"/>
  <c r="BY178" i="825"/>
  <c r="BU178" i="825"/>
  <c r="BT178" i="825"/>
  <c r="BS178" i="825"/>
  <c r="BQ178" i="825"/>
  <c r="BG178" i="825"/>
  <c r="BC178" i="825"/>
  <c r="BB178" i="825"/>
  <c r="BA178" i="825"/>
  <c r="AY178" i="825"/>
  <c r="BY177" i="825"/>
  <c r="BU177" i="825"/>
  <c r="BT177" i="825"/>
  <c r="BS177" i="825"/>
  <c r="BQ177" i="825"/>
  <c r="BG177" i="825"/>
  <c r="BC177" i="825"/>
  <c r="BB177" i="825"/>
  <c r="BA177" i="825"/>
  <c r="AY177" i="825"/>
  <c r="BY176" i="825"/>
  <c r="BU176" i="825"/>
  <c r="BT176" i="825"/>
  <c r="BS176" i="825"/>
  <c r="BQ176" i="825"/>
  <c r="BG176" i="825"/>
  <c r="BC176" i="825"/>
  <c r="BB176" i="825"/>
  <c r="BA176" i="825"/>
  <c r="AY176" i="825"/>
  <c r="BY175" i="825"/>
  <c r="BU175" i="825"/>
  <c r="BT175" i="825"/>
  <c r="BS175" i="825"/>
  <c r="BQ175" i="825"/>
  <c r="BG175" i="825"/>
  <c r="BC175" i="825"/>
  <c r="BB175" i="825"/>
  <c r="BA175" i="825"/>
  <c r="AY175" i="825"/>
  <c r="BY174" i="825"/>
  <c r="BU174" i="825"/>
  <c r="BT174" i="825"/>
  <c r="BS174" i="825"/>
  <c r="BQ174" i="825"/>
  <c r="BG174" i="825"/>
  <c r="BC174" i="825"/>
  <c r="BB174" i="825"/>
  <c r="BA174" i="825"/>
  <c r="AY174" i="825"/>
  <c r="BY173" i="825"/>
  <c r="BU173" i="825"/>
  <c r="BT173" i="825"/>
  <c r="BS173" i="825"/>
  <c r="BQ173" i="825"/>
  <c r="BG173" i="825"/>
  <c r="BC173" i="825"/>
  <c r="BB173" i="825"/>
  <c r="BA173" i="825"/>
  <c r="AY173" i="825"/>
  <c r="BY172" i="825"/>
  <c r="BU172" i="825"/>
  <c r="BT172" i="825"/>
  <c r="BS172" i="825"/>
  <c r="BQ172" i="825"/>
  <c r="BG172" i="825"/>
  <c r="BC172" i="825"/>
  <c r="BB172" i="825"/>
  <c r="BA172" i="825"/>
  <c r="AY172" i="825"/>
  <c r="BY171" i="825"/>
  <c r="BU171" i="825"/>
  <c r="BT171" i="825"/>
  <c r="BS171" i="825"/>
  <c r="BQ171" i="825"/>
  <c r="BG171" i="825"/>
  <c r="BC171" i="825"/>
  <c r="BB171" i="825"/>
  <c r="BA171" i="825"/>
  <c r="AY171" i="825"/>
  <c r="BY170" i="825"/>
  <c r="BU170" i="825"/>
  <c r="BT170" i="825"/>
  <c r="BS170" i="825"/>
  <c r="BQ170" i="825"/>
  <c r="BG170" i="825"/>
  <c r="BC170" i="825"/>
  <c r="BB170" i="825"/>
  <c r="BA170" i="825"/>
  <c r="AY170" i="825"/>
  <c r="BY169" i="825"/>
  <c r="BU169" i="825"/>
  <c r="BT169" i="825"/>
  <c r="BS169" i="825"/>
  <c r="BQ169" i="825"/>
  <c r="BG169" i="825"/>
  <c r="BC169" i="825"/>
  <c r="BB169" i="825"/>
  <c r="BA169" i="825"/>
  <c r="AY169" i="825"/>
  <c r="BY168" i="825"/>
  <c r="BU168" i="825"/>
  <c r="BT168" i="825"/>
  <c r="BS168" i="825"/>
  <c r="BQ168" i="825"/>
  <c r="BG168" i="825"/>
  <c r="BC168" i="825"/>
  <c r="BB168" i="825"/>
  <c r="BA168" i="825"/>
  <c r="AY168" i="825"/>
  <c r="BY167" i="825"/>
  <c r="BU167" i="825"/>
  <c r="BT167" i="825"/>
  <c r="BS167" i="825"/>
  <c r="BQ167" i="825"/>
  <c r="BG167" i="825"/>
  <c r="BC167" i="825"/>
  <c r="BB167" i="825"/>
  <c r="BA167" i="825"/>
  <c r="AY167" i="825"/>
  <c r="BY166" i="825"/>
  <c r="BU166" i="825"/>
  <c r="BT166" i="825"/>
  <c r="BS166" i="825"/>
  <c r="BQ166" i="825"/>
  <c r="BG166" i="825"/>
  <c r="BC166" i="825"/>
  <c r="BB166" i="825"/>
  <c r="BA166" i="825"/>
  <c r="AY166" i="825"/>
  <c r="BY165" i="825"/>
  <c r="BU165" i="825"/>
  <c r="BT165" i="825"/>
  <c r="BS165" i="825"/>
  <c r="BQ165" i="825"/>
  <c r="BG165" i="825"/>
  <c r="BC165" i="825"/>
  <c r="BB165" i="825"/>
  <c r="BA165" i="825"/>
  <c r="AY165" i="825"/>
  <c r="BY164" i="825"/>
  <c r="BU164" i="825"/>
  <c r="BT164" i="825"/>
  <c r="BS164" i="825"/>
  <c r="BQ164" i="825"/>
  <c r="BG164" i="825"/>
  <c r="BC164" i="825"/>
  <c r="BB164" i="825"/>
  <c r="BA164" i="825"/>
  <c r="AY164" i="825"/>
  <c r="BY163" i="825"/>
  <c r="BU163" i="825"/>
  <c r="BT163" i="825"/>
  <c r="BS163" i="825"/>
  <c r="BQ163" i="825"/>
  <c r="BG163" i="825"/>
  <c r="BC163" i="825"/>
  <c r="BB163" i="825"/>
  <c r="BA163" i="825"/>
  <c r="AY163" i="825"/>
  <c r="BY162" i="825"/>
  <c r="BU162" i="825"/>
  <c r="BT162" i="825"/>
  <c r="BS162" i="825"/>
  <c r="BQ162" i="825"/>
  <c r="BG162" i="825"/>
  <c r="BC162" i="825"/>
  <c r="BB162" i="825"/>
  <c r="BA162" i="825"/>
  <c r="AY162" i="825"/>
  <c r="BY161" i="825"/>
  <c r="BU161" i="825"/>
  <c r="BT161" i="825"/>
  <c r="BS161" i="825"/>
  <c r="BQ161" i="825"/>
  <c r="BG161" i="825"/>
  <c r="BC161" i="825"/>
  <c r="BB161" i="825"/>
  <c r="BA161" i="825"/>
  <c r="AY161" i="825"/>
  <c r="BY160" i="825"/>
  <c r="BU160" i="825"/>
  <c r="BT160" i="825"/>
  <c r="BS160" i="825"/>
  <c r="BQ160" i="825"/>
  <c r="BG160" i="825"/>
  <c r="BC160" i="825"/>
  <c r="BB160" i="825"/>
  <c r="BA160" i="825"/>
  <c r="AY160" i="825"/>
  <c r="BY159" i="825"/>
  <c r="BU159" i="825"/>
  <c r="BT159" i="825"/>
  <c r="BS159" i="825"/>
  <c r="BQ159" i="825"/>
  <c r="BG159" i="825"/>
  <c r="BC159" i="825"/>
  <c r="BB159" i="825"/>
  <c r="BA159" i="825"/>
  <c r="AY159" i="825"/>
  <c r="BY158" i="825"/>
  <c r="BU158" i="825"/>
  <c r="BT158" i="825"/>
  <c r="BS158" i="825"/>
  <c r="BQ158" i="825"/>
  <c r="BG158" i="825"/>
  <c r="BC158" i="825"/>
  <c r="BB158" i="825"/>
  <c r="BA158" i="825"/>
  <c r="AY158" i="825"/>
  <c r="BY157" i="825"/>
  <c r="BU157" i="825"/>
  <c r="BT157" i="825"/>
  <c r="BS157" i="825"/>
  <c r="BQ157" i="825"/>
  <c r="BG157" i="825"/>
  <c r="BC157" i="825"/>
  <c r="BB157" i="825"/>
  <c r="BA157" i="825"/>
  <c r="AY157" i="825"/>
  <c r="BY156" i="825"/>
  <c r="BU156" i="825"/>
  <c r="BT156" i="825"/>
  <c r="BS156" i="825"/>
  <c r="BQ156" i="825"/>
  <c r="BG156" i="825"/>
  <c r="BC156" i="825"/>
  <c r="BB156" i="825"/>
  <c r="BA156" i="825"/>
  <c r="AY156" i="825"/>
  <c r="BY155" i="825"/>
  <c r="BU155" i="825"/>
  <c r="BT155" i="825"/>
  <c r="BS155" i="825"/>
  <c r="BQ155" i="825"/>
  <c r="BG155" i="825"/>
  <c r="BC155" i="825"/>
  <c r="BB155" i="825"/>
  <c r="BA155" i="825"/>
  <c r="AY155" i="825"/>
  <c r="BY154" i="825"/>
  <c r="BU154" i="825"/>
  <c r="BT154" i="825"/>
  <c r="BS154" i="825"/>
  <c r="BQ154" i="825"/>
  <c r="BG154" i="825"/>
  <c r="BC154" i="825"/>
  <c r="BB154" i="825"/>
  <c r="BA154" i="825"/>
  <c r="AY154" i="825"/>
  <c r="BY153" i="825"/>
  <c r="BU153" i="825"/>
  <c r="BT153" i="825"/>
  <c r="BS153" i="825"/>
  <c r="BQ153" i="825"/>
  <c r="BG153" i="825"/>
  <c r="BC153" i="825"/>
  <c r="BB153" i="825"/>
  <c r="BA153" i="825"/>
  <c r="AY153" i="825"/>
  <c r="BY152" i="825"/>
  <c r="BU152" i="825"/>
  <c r="BT152" i="825"/>
  <c r="BS152" i="825"/>
  <c r="BQ152" i="825"/>
  <c r="BG152" i="825"/>
  <c r="BC152" i="825"/>
  <c r="BB152" i="825"/>
  <c r="BA152" i="825"/>
  <c r="AY152" i="825"/>
  <c r="BY151" i="825"/>
  <c r="BU151" i="825"/>
  <c r="BT151" i="825"/>
  <c r="BS151" i="825"/>
  <c r="BQ151" i="825"/>
  <c r="BG151" i="825"/>
  <c r="BC151" i="825"/>
  <c r="BB151" i="825"/>
  <c r="BA151" i="825"/>
  <c r="AY151" i="825"/>
  <c r="BY150" i="825"/>
  <c r="BU150" i="825"/>
  <c r="BT150" i="825"/>
  <c r="BS150" i="825"/>
  <c r="BQ150" i="825"/>
  <c r="BG150" i="825"/>
  <c r="BC150" i="825"/>
  <c r="BB150" i="825"/>
  <c r="BA150" i="825"/>
  <c r="AY150" i="825"/>
  <c r="BY149" i="825"/>
  <c r="BU149" i="825"/>
  <c r="BT149" i="825"/>
  <c r="BS149" i="825"/>
  <c r="BQ149" i="825"/>
  <c r="BG149" i="825"/>
  <c r="BC149" i="825"/>
  <c r="BB149" i="825"/>
  <c r="BA149" i="825"/>
  <c r="AY149" i="825"/>
  <c r="BY148" i="825"/>
  <c r="BU148" i="825"/>
  <c r="BT148" i="825"/>
  <c r="BS148" i="825"/>
  <c r="BQ148" i="825"/>
  <c r="BG148" i="825"/>
  <c r="BC148" i="825"/>
  <c r="BB148" i="825"/>
  <c r="BA148" i="825"/>
  <c r="AY148" i="825"/>
  <c r="BY147" i="825"/>
  <c r="BU147" i="825"/>
  <c r="BT147" i="825"/>
  <c r="BS147" i="825"/>
  <c r="BQ147" i="825"/>
  <c r="BG147" i="825"/>
  <c r="BC147" i="825"/>
  <c r="BB147" i="825"/>
  <c r="BA147" i="825"/>
  <c r="AY147" i="825"/>
  <c r="BY146" i="825"/>
  <c r="BU146" i="825"/>
  <c r="BT146" i="825"/>
  <c r="BS146" i="825"/>
  <c r="BQ146" i="825"/>
  <c r="BG146" i="825"/>
  <c r="BC146" i="825"/>
  <c r="BB146" i="825"/>
  <c r="BA146" i="825"/>
  <c r="AY146" i="825"/>
  <c r="BY145" i="825"/>
  <c r="BU145" i="825"/>
  <c r="BT145" i="825"/>
  <c r="BS145" i="825"/>
  <c r="BQ145" i="825"/>
  <c r="BG145" i="825"/>
  <c r="BC145" i="825"/>
  <c r="BB145" i="825"/>
  <c r="BA145" i="825"/>
  <c r="AY145" i="825"/>
  <c r="BY144" i="825"/>
  <c r="BU144" i="825"/>
  <c r="BT144" i="825"/>
  <c r="BS144" i="825"/>
  <c r="BQ144" i="825"/>
  <c r="BG144" i="825"/>
  <c r="BC144" i="825"/>
  <c r="BB144" i="825"/>
  <c r="BA144" i="825"/>
  <c r="AY144" i="825"/>
  <c r="BY143" i="825"/>
  <c r="BU143" i="825"/>
  <c r="BT143" i="825"/>
  <c r="BS143" i="825"/>
  <c r="BQ143" i="825"/>
  <c r="BG143" i="825"/>
  <c r="BC143" i="825"/>
  <c r="BB143" i="825"/>
  <c r="BA143" i="825"/>
  <c r="AY143" i="825"/>
  <c r="BY142" i="825"/>
  <c r="BU142" i="825"/>
  <c r="BT142" i="825"/>
  <c r="BS142" i="825"/>
  <c r="BQ142" i="825"/>
  <c r="BG142" i="825"/>
  <c r="BC142" i="825"/>
  <c r="BB142" i="825"/>
  <c r="BA142" i="825"/>
  <c r="AY142" i="825"/>
  <c r="BY141" i="825"/>
  <c r="BU141" i="825"/>
  <c r="BT141" i="825"/>
  <c r="BS141" i="825"/>
  <c r="BQ141" i="825"/>
  <c r="BG141" i="825"/>
  <c r="BC141" i="825"/>
  <c r="BB141" i="825"/>
  <c r="BA141" i="825"/>
  <c r="AY141" i="825"/>
  <c r="BY140" i="825"/>
  <c r="BU140" i="825"/>
  <c r="BT140" i="825"/>
  <c r="BS140" i="825"/>
  <c r="BQ140" i="825"/>
  <c r="BG140" i="825"/>
  <c r="BC140" i="825"/>
  <c r="BB140" i="825"/>
  <c r="BA140" i="825"/>
  <c r="AY140" i="825"/>
  <c r="BY139" i="825"/>
  <c r="BU139" i="825"/>
  <c r="BT139" i="825"/>
  <c r="BS139" i="825"/>
  <c r="BQ139" i="825"/>
  <c r="BG139" i="825"/>
  <c r="BC139" i="825"/>
  <c r="BB139" i="825"/>
  <c r="BA139" i="825"/>
  <c r="AY139" i="825"/>
  <c r="BY138" i="825"/>
  <c r="BU138" i="825"/>
  <c r="BT138" i="825"/>
  <c r="BS138" i="825"/>
  <c r="BQ138" i="825"/>
  <c r="BG138" i="825"/>
  <c r="BC138" i="825"/>
  <c r="BB138" i="825"/>
  <c r="BA138" i="825"/>
  <c r="AY138" i="825"/>
  <c r="BY137" i="825"/>
  <c r="BU137" i="825"/>
  <c r="BT137" i="825"/>
  <c r="BS137" i="825"/>
  <c r="BQ137" i="825"/>
  <c r="BG137" i="825"/>
  <c r="BC137" i="825"/>
  <c r="BB137" i="825"/>
  <c r="BA137" i="825"/>
  <c r="AY137" i="825"/>
  <c r="BY136" i="825"/>
  <c r="BU136" i="825"/>
  <c r="BT136" i="825"/>
  <c r="BS136" i="825"/>
  <c r="BQ136" i="825"/>
  <c r="BG136" i="825"/>
  <c r="BC136" i="825"/>
  <c r="BB136" i="825"/>
  <c r="BA136" i="825"/>
  <c r="AY136" i="825"/>
  <c r="BY135" i="825"/>
  <c r="BU135" i="825"/>
  <c r="BT135" i="825"/>
  <c r="BS135" i="825"/>
  <c r="BQ135" i="825"/>
  <c r="BG135" i="825"/>
  <c r="BC135" i="825"/>
  <c r="BB135" i="825"/>
  <c r="BA135" i="825"/>
  <c r="AY135" i="825"/>
  <c r="BY134" i="825"/>
  <c r="BU134" i="825"/>
  <c r="BT134" i="825"/>
  <c r="BS134" i="825"/>
  <c r="BQ134" i="825"/>
  <c r="BG134" i="825"/>
  <c r="BC134" i="825"/>
  <c r="BB134" i="825"/>
  <c r="BA134" i="825"/>
  <c r="AY134" i="825"/>
  <c r="BY133" i="825"/>
  <c r="BU133" i="825"/>
  <c r="BT133" i="825"/>
  <c r="BS133" i="825"/>
  <c r="BQ133" i="825"/>
  <c r="BG133" i="825"/>
  <c r="BC133" i="825"/>
  <c r="BB133" i="825"/>
  <c r="BA133" i="825"/>
  <c r="AY133" i="825"/>
  <c r="BY132" i="825"/>
  <c r="BU132" i="825"/>
  <c r="BT132" i="825"/>
  <c r="BS132" i="825"/>
  <c r="BQ132" i="825"/>
  <c r="BG132" i="825"/>
  <c r="BC132" i="825"/>
  <c r="BB132" i="825"/>
  <c r="BA132" i="825"/>
  <c r="AY132" i="825"/>
  <c r="BY131" i="825"/>
  <c r="BU131" i="825"/>
  <c r="BT131" i="825"/>
  <c r="BS131" i="825"/>
  <c r="BQ131" i="825"/>
  <c r="BG131" i="825"/>
  <c r="BC131" i="825"/>
  <c r="BB131" i="825"/>
  <c r="BA131" i="825"/>
  <c r="AY131" i="825"/>
  <c r="BY130" i="825"/>
  <c r="BU130" i="825"/>
  <c r="BT130" i="825"/>
  <c r="BS130" i="825"/>
  <c r="BQ130" i="825"/>
  <c r="BG130" i="825"/>
  <c r="BC130" i="825"/>
  <c r="BB130" i="825"/>
  <c r="BA130" i="825"/>
  <c r="AY130" i="825"/>
  <c r="BY129" i="825"/>
  <c r="BU129" i="825"/>
  <c r="BT129" i="825"/>
  <c r="BS129" i="825"/>
  <c r="BQ129" i="825"/>
  <c r="BG129" i="825"/>
  <c r="BC129" i="825"/>
  <c r="BB129" i="825"/>
  <c r="BA129" i="825"/>
  <c r="AY129" i="825"/>
  <c r="BY128" i="825"/>
  <c r="BU128" i="825"/>
  <c r="BT128" i="825"/>
  <c r="BS128" i="825"/>
  <c r="BQ128" i="825"/>
  <c r="BG128" i="825"/>
  <c r="BC128" i="825"/>
  <c r="BB128" i="825"/>
  <c r="BA128" i="825"/>
  <c r="AY128" i="825"/>
  <c r="BY127" i="825"/>
  <c r="BU127" i="825"/>
  <c r="BT127" i="825"/>
  <c r="BS127" i="825"/>
  <c r="BQ127" i="825"/>
  <c r="BG127" i="825"/>
  <c r="BC127" i="825"/>
  <c r="BB127" i="825"/>
  <c r="BA127" i="825"/>
  <c r="AY127" i="825"/>
  <c r="BY126" i="825"/>
  <c r="BU126" i="825"/>
  <c r="BT126" i="825"/>
  <c r="BS126" i="825"/>
  <c r="BQ126" i="825"/>
  <c r="BG126" i="825"/>
  <c r="BC126" i="825"/>
  <c r="BB126" i="825"/>
  <c r="BA126" i="825"/>
  <c r="AY126" i="825"/>
  <c r="BY125" i="825"/>
  <c r="BU125" i="825"/>
  <c r="BT125" i="825"/>
  <c r="BS125" i="825"/>
  <c r="BQ125" i="825"/>
  <c r="BM125" i="825"/>
  <c r="BM126" i="825" s="1"/>
  <c r="BM127" i="825" s="1"/>
  <c r="BG125" i="825"/>
  <c r="BF125" i="825" s="1"/>
  <c r="BC125" i="825"/>
  <c r="BB125" i="825"/>
  <c r="BA125" i="825"/>
  <c r="AY125" i="825"/>
  <c r="AU125" i="825"/>
  <c r="AU126" i="825" s="1"/>
  <c r="AU127" i="825" s="1"/>
  <c r="BP121" i="825"/>
  <c r="AX121" i="825"/>
  <c r="CA120" i="825"/>
  <c r="BP120" i="825"/>
  <c r="BI120" i="825"/>
  <c r="AX120" i="825"/>
  <c r="BP119" i="825"/>
  <c r="AX119" i="825"/>
  <c r="BU117" i="825"/>
  <c r="BC116" i="825"/>
  <c r="AX116" i="825"/>
  <c r="AX115" i="825"/>
  <c r="AX114" i="825"/>
  <c r="V90" i="825"/>
  <c r="S90" i="825"/>
  <c r="N89" i="825"/>
  <c r="X87" i="825"/>
  <c r="V87" i="825"/>
  <c r="S87" i="825"/>
  <c r="I87" i="825"/>
  <c r="X86" i="825"/>
  <c r="V86" i="825"/>
  <c r="S86" i="825"/>
  <c r="I86" i="825"/>
  <c r="X85" i="825"/>
  <c r="V85" i="825"/>
  <c r="S85" i="825"/>
  <c r="I85" i="825"/>
  <c r="X84" i="825"/>
  <c r="V84" i="825"/>
  <c r="S84" i="825"/>
  <c r="I84" i="825"/>
  <c r="X83" i="825"/>
  <c r="V83" i="825"/>
  <c r="S83" i="825"/>
  <c r="I83" i="825"/>
  <c r="X82" i="825"/>
  <c r="V82" i="825"/>
  <c r="S82" i="825"/>
  <c r="I82" i="825"/>
  <c r="X81" i="825"/>
  <c r="V81" i="825"/>
  <c r="S81" i="825"/>
  <c r="I81" i="825"/>
  <c r="BN198" i="825" s="1"/>
  <c r="X80" i="825"/>
  <c r="V80" i="825"/>
  <c r="S80" i="825"/>
  <c r="I80" i="825"/>
  <c r="X79" i="825"/>
  <c r="V79" i="825"/>
  <c r="S79" i="825"/>
  <c r="I79" i="825"/>
  <c r="X78" i="825"/>
  <c r="V78" i="825"/>
  <c r="S78" i="825"/>
  <c r="I78" i="825"/>
  <c r="X77" i="825"/>
  <c r="V77" i="825"/>
  <c r="S77" i="825"/>
  <c r="I77" i="825"/>
  <c r="X76" i="825"/>
  <c r="V76" i="825"/>
  <c r="S76" i="825"/>
  <c r="I76" i="825"/>
  <c r="X75" i="825"/>
  <c r="V75" i="825"/>
  <c r="S75" i="825"/>
  <c r="I75" i="825"/>
  <c r="X74" i="825"/>
  <c r="V74" i="825"/>
  <c r="S74" i="825"/>
  <c r="I74" i="825"/>
  <c r="X73" i="825"/>
  <c r="V73" i="825"/>
  <c r="S73" i="825"/>
  <c r="I73" i="825"/>
  <c r="X72" i="825"/>
  <c r="V72" i="825"/>
  <c r="S72" i="825"/>
  <c r="I72" i="825"/>
  <c r="X71" i="825"/>
  <c r="V71" i="825"/>
  <c r="S71" i="825"/>
  <c r="I71" i="825"/>
  <c r="X70" i="825"/>
  <c r="V70" i="825"/>
  <c r="S70" i="825"/>
  <c r="I70" i="825"/>
  <c r="X69" i="825"/>
  <c r="V69" i="825"/>
  <c r="S69" i="825"/>
  <c r="I69" i="825"/>
  <c r="X68" i="825"/>
  <c r="V68" i="825"/>
  <c r="S68" i="825"/>
  <c r="I68" i="825"/>
  <c r="X67" i="825"/>
  <c r="V67" i="825"/>
  <c r="S67" i="825"/>
  <c r="I67" i="825"/>
  <c r="X66" i="825"/>
  <c r="V66" i="825"/>
  <c r="S66" i="825"/>
  <c r="I66" i="825"/>
  <c r="X65" i="825"/>
  <c r="V65" i="825"/>
  <c r="S65" i="825"/>
  <c r="I65" i="825"/>
  <c r="X64" i="825"/>
  <c r="V64" i="825"/>
  <c r="S64" i="825"/>
  <c r="I64" i="825"/>
  <c r="X63" i="825"/>
  <c r="V63" i="825"/>
  <c r="S63" i="825"/>
  <c r="I63" i="825"/>
  <c r="X62" i="825"/>
  <c r="V62" i="825"/>
  <c r="S62" i="825"/>
  <c r="I62" i="825"/>
  <c r="X61" i="825"/>
  <c r="V61" i="825"/>
  <c r="S61" i="825"/>
  <c r="I61" i="825"/>
  <c r="X60" i="825"/>
  <c r="V60" i="825"/>
  <c r="S60" i="825"/>
  <c r="I60" i="825"/>
  <c r="X59" i="825"/>
  <c r="V59" i="825"/>
  <c r="S59" i="825"/>
  <c r="I59" i="825"/>
  <c r="X58" i="825"/>
  <c r="V58" i="825"/>
  <c r="S58" i="825"/>
  <c r="I58" i="825"/>
  <c r="X57" i="825"/>
  <c r="V57" i="825"/>
  <c r="S57" i="825"/>
  <c r="I57" i="825"/>
  <c r="X56" i="825"/>
  <c r="V56" i="825"/>
  <c r="S56" i="825"/>
  <c r="I56" i="825"/>
  <c r="X55" i="825"/>
  <c r="V55" i="825"/>
  <c r="S55" i="825"/>
  <c r="I55" i="825"/>
  <c r="X54" i="825"/>
  <c r="V54" i="825"/>
  <c r="S54" i="825"/>
  <c r="I54" i="825"/>
  <c r="X53" i="825"/>
  <c r="V53" i="825"/>
  <c r="S53" i="825"/>
  <c r="I53" i="825"/>
  <c r="X52" i="825"/>
  <c r="V52" i="825"/>
  <c r="S52" i="825"/>
  <c r="I52" i="825"/>
  <c r="X51" i="825"/>
  <c r="V51" i="825"/>
  <c r="S51" i="825"/>
  <c r="I51" i="825"/>
  <c r="X50" i="825"/>
  <c r="V50" i="825"/>
  <c r="S50" i="825"/>
  <c r="I50" i="825"/>
  <c r="X49" i="825"/>
  <c r="V49" i="825"/>
  <c r="S49" i="825"/>
  <c r="I49" i="825"/>
  <c r="X48" i="825"/>
  <c r="V48" i="825"/>
  <c r="S48" i="825"/>
  <c r="I48" i="825"/>
  <c r="X47" i="825"/>
  <c r="V47" i="825"/>
  <c r="S47" i="825"/>
  <c r="I47" i="825"/>
  <c r="X46" i="825"/>
  <c r="V46" i="825"/>
  <c r="S46" i="825"/>
  <c r="I46" i="825"/>
  <c r="X45" i="825"/>
  <c r="V45" i="825"/>
  <c r="S45" i="825"/>
  <c r="I45" i="825"/>
  <c r="X44" i="825"/>
  <c r="V44" i="825"/>
  <c r="S44" i="825"/>
  <c r="I44" i="825"/>
  <c r="X43" i="825"/>
  <c r="V43" i="825"/>
  <c r="S43" i="825"/>
  <c r="I43" i="825"/>
  <c r="X42" i="825"/>
  <c r="V42" i="825"/>
  <c r="S42" i="825"/>
  <c r="I42" i="825"/>
  <c r="X41" i="825"/>
  <c r="V41" i="825"/>
  <c r="S41" i="825"/>
  <c r="I41" i="825"/>
  <c r="X40" i="825"/>
  <c r="V40" i="825"/>
  <c r="S40" i="825"/>
  <c r="I40" i="825"/>
  <c r="X39" i="825"/>
  <c r="V39" i="825"/>
  <c r="S39" i="825"/>
  <c r="I39" i="825"/>
  <c r="X38" i="825"/>
  <c r="V38" i="825"/>
  <c r="S38" i="825"/>
  <c r="I38" i="825"/>
  <c r="X37" i="825"/>
  <c r="V37" i="825"/>
  <c r="S37" i="825"/>
  <c r="I37" i="825"/>
  <c r="X36" i="825"/>
  <c r="V36" i="825"/>
  <c r="S36" i="825"/>
  <c r="I36" i="825"/>
  <c r="X35" i="825"/>
  <c r="V35" i="825"/>
  <c r="S35" i="825"/>
  <c r="I35" i="825"/>
  <c r="X34" i="825"/>
  <c r="V34" i="825"/>
  <c r="S34" i="825"/>
  <c r="I34" i="825"/>
  <c r="X33" i="825"/>
  <c r="V33" i="825"/>
  <c r="S33" i="825"/>
  <c r="I33" i="825"/>
  <c r="X32" i="825"/>
  <c r="V32" i="825"/>
  <c r="S32" i="825"/>
  <c r="I32" i="825"/>
  <c r="X31" i="825"/>
  <c r="V31" i="825"/>
  <c r="S31" i="825"/>
  <c r="I31" i="825"/>
  <c r="X30" i="825"/>
  <c r="V30" i="825"/>
  <c r="S30" i="825"/>
  <c r="I30" i="825"/>
  <c r="X29" i="825"/>
  <c r="V29" i="825"/>
  <c r="S29" i="825"/>
  <c r="I29" i="825"/>
  <c r="X28" i="825"/>
  <c r="V28" i="825"/>
  <c r="S28" i="825"/>
  <c r="I28" i="825"/>
  <c r="X27" i="825"/>
  <c r="V27" i="825"/>
  <c r="S27" i="825"/>
  <c r="I27" i="825"/>
  <c r="X26" i="825"/>
  <c r="V26" i="825"/>
  <c r="S26" i="825"/>
  <c r="I26" i="825"/>
  <c r="X25" i="825"/>
  <c r="V25" i="825"/>
  <c r="S25" i="825"/>
  <c r="I25" i="825"/>
  <c r="X24" i="825"/>
  <c r="V24" i="825"/>
  <c r="S24" i="825"/>
  <c r="I24" i="825"/>
  <c r="X23" i="825"/>
  <c r="V23" i="825"/>
  <c r="S23" i="825"/>
  <c r="I23" i="825"/>
  <c r="X22" i="825"/>
  <c r="V22" i="825"/>
  <c r="S22" i="825"/>
  <c r="I22" i="825"/>
  <c r="X21" i="825"/>
  <c r="V21" i="825"/>
  <c r="S21" i="825"/>
  <c r="I21" i="825"/>
  <c r="X20" i="825"/>
  <c r="V20" i="825"/>
  <c r="S20" i="825"/>
  <c r="I20" i="825"/>
  <c r="F20" i="825"/>
  <c r="F21" i="825" s="1"/>
  <c r="D20" i="825"/>
  <c r="X19" i="825"/>
  <c r="V19" i="825"/>
  <c r="S19" i="825"/>
  <c r="I19" i="825"/>
  <c r="X18" i="825"/>
  <c r="V18" i="825"/>
  <c r="S18" i="825"/>
  <c r="I18" i="825"/>
  <c r="C18" i="825"/>
  <c r="X17" i="825"/>
  <c r="V17" i="825"/>
  <c r="S17" i="825"/>
  <c r="I17" i="825"/>
  <c r="V16" i="825"/>
  <c r="I16" i="825"/>
  <c r="AT16" i="825" s="1"/>
  <c r="V15" i="825"/>
  <c r="I15" i="825"/>
  <c r="V14" i="825"/>
  <c r="I14" i="825"/>
  <c r="V13" i="825"/>
  <c r="I13" i="825"/>
  <c r="AT13" i="825" s="1"/>
  <c r="D13" i="825"/>
  <c r="V12" i="825"/>
  <c r="I12" i="825"/>
  <c r="V11" i="825"/>
  <c r="I11" i="825"/>
  <c r="V10" i="825"/>
  <c r="I10" i="825"/>
  <c r="V9" i="825"/>
  <c r="I9" i="825"/>
  <c r="D9" i="825"/>
  <c r="I8" i="825"/>
  <c r="E6" i="825"/>
  <c r="N4" i="805"/>
  <c r="F20" i="805"/>
  <c r="C7" i="823"/>
  <c r="C6" i="823"/>
  <c r="AE8" i="4"/>
  <c r="AE7" i="4"/>
  <c r="C18" i="805"/>
  <c r="C17" i="805" s="1"/>
  <c r="H5" i="781"/>
  <c r="U437" i="124"/>
  <c r="U13" i="124"/>
  <c r="U21" i="124"/>
  <c r="U29" i="124"/>
  <c r="U37" i="124"/>
  <c r="U45" i="124"/>
  <c r="U53" i="124"/>
  <c r="U61" i="124"/>
  <c r="U69" i="124"/>
  <c r="U77" i="124"/>
  <c r="U85" i="124"/>
  <c r="U93" i="124"/>
  <c r="U101" i="124"/>
  <c r="U109" i="124"/>
  <c r="U117" i="124"/>
  <c r="U125" i="124"/>
  <c r="U133" i="124"/>
  <c r="U141" i="124"/>
  <c r="U149" i="124"/>
  <c r="U157" i="124"/>
  <c r="U165" i="124"/>
  <c r="U173" i="124"/>
  <c r="U181" i="124"/>
  <c r="U189" i="124"/>
  <c r="U197" i="124"/>
  <c r="U205" i="124"/>
  <c r="U213" i="124"/>
  <c r="U221" i="124"/>
  <c r="U229" i="124"/>
  <c r="U237" i="124"/>
  <c r="U245" i="124"/>
  <c r="U253" i="124"/>
  <c r="U261" i="124"/>
  <c r="U269" i="124"/>
  <c r="U277" i="124"/>
  <c r="U285" i="124"/>
  <c r="U293" i="124"/>
  <c r="U301" i="124"/>
  <c r="U309" i="124"/>
  <c r="U317" i="124"/>
  <c r="U325" i="124"/>
  <c r="U333" i="124"/>
  <c r="U341" i="124"/>
  <c r="U349" i="124"/>
  <c r="U357" i="124"/>
  <c r="U365" i="124"/>
  <c r="U373" i="124"/>
  <c r="U381" i="124"/>
  <c r="U389" i="124"/>
  <c r="U405" i="124"/>
  <c r="U413" i="124"/>
  <c r="U421" i="124"/>
  <c r="U429" i="124"/>
  <c r="U99" i="124"/>
  <c r="U163" i="124"/>
  <c r="U211" i="124"/>
  <c r="U259" i="124"/>
  <c r="U307" i="124"/>
  <c r="U355" i="124"/>
  <c r="U403" i="124"/>
  <c r="U8" i="124"/>
  <c r="U14" i="124"/>
  <c r="U22" i="124"/>
  <c r="U30" i="124"/>
  <c r="U38" i="124"/>
  <c r="U46" i="124"/>
  <c r="U54" i="124"/>
  <c r="U62" i="124"/>
  <c r="U70" i="124"/>
  <c r="U78" i="124"/>
  <c r="U86" i="124"/>
  <c r="U94" i="124"/>
  <c r="U102" i="124"/>
  <c r="U110" i="124"/>
  <c r="U118" i="124"/>
  <c r="U126" i="124"/>
  <c r="U134" i="124"/>
  <c r="U142" i="124"/>
  <c r="U150" i="124"/>
  <c r="U158" i="124"/>
  <c r="U166" i="124"/>
  <c r="U174" i="124"/>
  <c r="U182" i="124"/>
  <c r="U190" i="124"/>
  <c r="U198" i="124"/>
  <c r="U206" i="124"/>
  <c r="U214" i="124"/>
  <c r="U222" i="124"/>
  <c r="U230" i="124"/>
  <c r="U238" i="124"/>
  <c r="U246" i="124"/>
  <c r="U254" i="124"/>
  <c r="U262" i="124"/>
  <c r="U270" i="124"/>
  <c r="U278" i="124"/>
  <c r="U286" i="124"/>
  <c r="U294" i="124"/>
  <c r="U302" i="124"/>
  <c r="U310" i="124"/>
  <c r="U318" i="124"/>
  <c r="U326" i="124"/>
  <c r="U334" i="124"/>
  <c r="U342" i="124"/>
  <c r="U350" i="124"/>
  <c r="U358" i="124"/>
  <c r="U366" i="124"/>
  <c r="U374" i="124"/>
  <c r="U382" i="124"/>
  <c r="U390" i="124"/>
  <c r="U398" i="124"/>
  <c r="U406" i="124"/>
  <c r="U414" i="124"/>
  <c r="U422" i="124"/>
  <c r="U430" i="124"/>
  <c r="U115" i="124"/>
  <c r="U436" i="124"/>
  <c r="U15" i="124"/>
  <c r="U23" i="124"/>
  <c r="U31" i="124"/>
  <c r="U39" i="124"/>
  <c r="U47" i="124"/>
  <c r="U55" i="124"/>
  <c r="U63" i="124"/>
  <c r="U71" i="124"/>
  <c r="U79" i="124"/>
  <c r="U87" i="124"/>
  <c r="U95" i="124"/>
  <c r="U103" i="124"/>
  <c r="U111" i="124"/>
  <c r="U119" i="124"/>
  <c r="U127" i="124"/>
  <c r="U135" i="124"/>
  <c r="U143" i="124"/>
  <c r="U151" i="124"/>
  <c r="U159" i="124"/>
  <c r="U167" i="124"/>
  <c r="U175" i="124"/>
  <c r="U183" i="124"/>
  <c r="U191" i="124"/>
  <c r="U199" i="124"/>
  <c r="U207" i="124"/>
  <c r="U215" i="124"/>
  <c r="U223" i="124"/>
  <c r="U231" i="124"/>
  <c r="U239" i="124"/>
  <c r="U247" i="124"/>
  <c r="U255" i="124"/>
  <c r="U263" i="124"/>
  <c r="U271" i="124"/>
  <c r="U279" i="124"/>
  <c r="U287" i="124"/>
  <c r="U295" i="124"/>
  <c r="U303" i="124"/>
  <c r="U311" i="124"/>
  <c r="U319" i="124"/>
  <c r="U327" i="124"/>
  <c r="U335" i="124"/>
  <c r="U343" i="124"/>
  <c r="U351" i="124"/>
  <c r="U359" i="124"/>
  <c r="U367" i="124"/>
  <c r="U375" i="124"/>
  <c r="U383" i="124"/>
  <c r="U391" i="124"/>
  <c r="U399" i="124"/>
  <c r="U407" i="124"/>
  <c r="U415" i="124"/>
  <c r="U423" i="124"/>
  <c r="U431" i="124"/>
  <c r="U19" i="124"/>
  <c r="U83" i="124"/>
  <c r="U147" i="124"/>
  <c r="U203" i="124"/>
  <c r="U251" i="124"/>
  <c r="U299" i="124"/>
  <c r="U347" i="124"/>
  <c r="U395" i="124"/>
  <c r="U16" i="124"/>
  <c r="U24" i="124"/>
  <c r="U32" i="124"/>
  <c r="U40" i="124"/>
  <c r="U48" i="124"/>
  <c r="U56" i="124"/>
  <c r="U64" i="124"/>
  <c r="U72" i="124"/>
  <c r="U80" i="124"/>
  <c r="U88" i="124"/>
  <c r="U96" i="124"/>
  <c r="U104" i="124"/>
  <c r="U112" i="124"/>
  <c r="U120" i="124"/>
  <c r="U128" i="124"/>
  <c r="U136" i="124"/>
  <c r="U144" i="124"/>
  <c r="U152" i="124"/>
  <c r="U160" i="124"/>
  <c r="U168" i="124"/>
  <c r="U176" i="124"/>
  <c r="U184" i="124"/>
  <c r="U192" i="124"/>
  <c r="U200" i="124"/>
  <c r="U208" i="124"/>
  <c r="U216" i="124"/>
  <c r="U224" i="124"/>
  <c r="U232" i="124"/>
  <c r="U240" i="124"/>
  <c r="U248" i="124"/>
  <c r="U256" i="124"/>
  <c r="U264" i="124"/>
  <c r="U272" i="124"/>
  <c r="U280" i="124"/>
  <c r="U288" i="124"/>
  <c r="U296" i="124"/>
  <c r="U304" i="124"/>
  <c r="U312" i="124"/>
  <c r="U320" i="124"/>
  <c r="U328" i="124"/>
  <c r="U336" i="124"/>
  <c r="U344" i="124"/>
  <c r="U352" i="124"/>
  <c r="U360" i="124"/>
  <c r="U368" i="124"/>
  <c r="U376" i="124"/>
  <c r="U384" i="124"/>
  <c r="U392" i="124"/>
  <c r="U400" i="124"/>
  <c r="U408" i="124"/>
  <c r="U416" i="124"/>
  <c r="U424" i="124"/>
  <c r="U432" i="124"/>
  <c r="U11" i="124"/>
  <c r="U59" i="124"/>
  <c r="U107" i="124"/>
  <c r="U155" i="124"/>
  <c r="U195" i="124"/>
  <c r="U235" i="124"/>
  <c r="U275" i="124"/>
  <c r="U323" i="124"/>
  <c r="U371" i="124"/>
  <c r="U419" i="124"/>
  <c r="U434" i="124"/>
  <c r="U9" i="124"/>
  <c r="U17" i="124"/>
  <c r="U25" i="124"/>
  <c r="U33" i="124"/>
  <c r="U41" i="124"/>
  <c r="U49" i="124"/>
  <c r="U57" i="124"/>
  <c r="U65" i="124"/>
  <c r="U73" i="124"/>
  <c r="U81" i="124"/>
  <c r="U89" i="124"/>
  <c r="U97" i="124"/>
  <c r="U105" i="124"/>
  <c r="U113" i="124"/>
  <c r="U121" i="124"/>
  <c r="U129" i="124"/>
  <c r="U137" i="124"/>
  <c r="U145" i="124"/>
  <c r="U153" i="124"/>
  <c r="U161" i="124"/>
  <c r="U169" i="124"/>
  <c r="U177" i="124"/>
  <c r="U185" i="124"/>
  <c r="U193" i="124"/>
  <c r="U201" i="124"/>
  <c r="U209" i="124"/>
  <c r="U217" i="124"/>
  <c r="U225" i="124"/>
  <c r="U233" i="124"/>
  <c r="U241" i="124"/>
  <c r="U249" i="124"/>
  <c r="U257" i="124"/>
  <c r="U265" i="124"/>
  <c r="U273" i="124"/>
  <c r="U281" i="124"/>
  <c r="U289" i="124"/>
  <c r="U297" i="124"/>
  <c r="U305" i="124"/>
  <c r="U313" i="124"/>
  <c r="U321" i="124"/>
  <c r="U329" i="124"/>
  <c r="U337" i="124"/>
  <c r="U345" i="124"/>
  <c r="U353" i="124"/>
  <c r="U361" i="124"/>
  <c r="U369" i="124"/>
  <c r="U377" i="124"/>
  <c r="U385" i="124"/>
  <c r="U393" i="124"/>
  <c r="U401" i="124"/>
  <c r="U409" i="124"/>
  <c r="U417" i="124"/>
  <c r="U425" i="124"/>
  <c r="U43" i="124"/>
  <c r="U75" i="124"/>
  <c r="U131" i="124"/>
  <c r="U187" i="124"/>
  <c r="U243" i="124"/>
  <c r="U291" i="124"/>
  <c r="U339" i="124"/>
  <c r="U387" i="124"/>
  <c r="U10" i="124"/>
  <c r="U18" i="124"/>
  <c r="U26" i="124"/>
  <c r="U34" i="124"/>
  <c r="U42" i="124"/>
  <c r="U50" i="124"/>
  <c r="U58" i="124"/>
  <c r="U66" i="124"/>
  <c r="U74" i="124"/>
  <c r="U82" i="124"/>
  <c r="U90" i="124"/>
  <c r="U98" i="124"/>
  <c r="U106" i="124"/>
  <c r="U114" i="124"/>
  <c r="U122" i="124"/>
  <c r="U130" i="124"/>
  <c r="U138" i="124"/>
  <c r="U146" i="124"/>
  <c r="U154" i="124"/>
  <c r="U162" i="124"/>
  <c r="U170" i="124"/>
  <c r="U178" i="124"/>
  <c r="U186" i="124"/>
  <c r="U194" i="124"/>
  <c r="U202" i="124"/>
  <c r="U210" i="124"/>
  <c r="U218" i="124"/>
  <c r="U226" i="124"/>
  <c r="U234" i="124"/>
  <c r="U242" i="124"/>
  <c r="U250" i="124"/>
  <c r="U258" i="124"/>
  <c r="U266" i="124"/>
  <c r="U274" i="124"/>
  <c r="U282" i="124"/>
  <c r="U290" i="124"/>
  <c r="U298" i="124"/>
  <c r="U306" i="124"/>
  <c r="U314" i="124"/>
  <c r="U322" i="124"/>
  <c r="U330" i="124"/>
  <c r="U338" i="124"/>
  <c r="U346" i="124"/>
  <c r="U354" i="124"/>
  <c r="U362" i="124"/>
  <c r="U370" i="124"/>
  <c r="U378" i="124"/>
  <c r="U386" i="124"/>
  <c r="U402" i="124"/>
  <c r="U410" i="124"/>
  <c r="U418" i="124"/>
  <c r="U426" i="124"/>
  <c r="U35" i="124"/>
  <c r="U67" i="124"/>
  <c r="U123" i="124"/>
  <c r="U171" i="124"/>
  <c r="U227" i="124"/>
  <c r="U283" i="124"/>
  <c r="U331" i="124"/>
  <c r="U379" i="124"/>
  <c r="U427" i="124"/>
  <c r="U433" i="124"/>
  <c r="U435" i="124"/>
  <c r="U12" i="124"/>
  <c r="U20" i="124"/>
  <c r="U28" i="124"/>
  <c r="U36" i="124"/>
  <c r="U44" i="124"/>
  <c r="U52" i="124"/>
  <c r="U60" i="124"/>
  <c r="U68" i="124"/>
  <c r="U76" i="124"/>
  <c r="U84" i="124"/>
  <c r="U92" i="124"/>
  <c r="U100" i="124"/>
  <c r="U108" i="124"/>
  <c r="U116" i="124"/>
  <c r="U124" i="124"/>
  <c r="U132" i="124"/>
  <c r="U140" i="124"/>
  <c r="U148" i="124"/>
  <c r="U156" i="124"/>
  <c r="U164" i="124"/>
  <c r="U172" i="124"/>
  <c r="U180" i="124"/>
  <c r="U188" i="124"/>
  <c r="U196" i="124"/>
  <c r="U204" i="124"/>
  <c r="U212" i="124"/>
  <c r="U220" i="124"/>
  <c r="U228" i="124"/>
  <c r="U236" i="124"/>
  <c r="U244" i="124"/>
  <c r="U252" i="124"/>
  <c r="U260" i="124"/>
  <c r="U268" i="124"/>
  <c r="U276" i="124"/>
  <c r="U284" i="124"/>
  <c r="U292" i="124"/>
  <c r="U300" i="124"/>
  <c r="U308" i="124"/>
  <c r="U316" i="124"/>
  <c r="U332" i="124"/>
  <c r="U340" i="124"/>
  <c r="U348" i="124"/>
  <c r="U356" i="124"/>
  <c r="U364" i="124"/>
  <c r="U372" i="124"/>
  <c r="U380" i="124"/>
  <c r="U388" i="124"/>
  <c r="U396" i="124"/>
  <c r="U404" i="124"/>
  <c r="U412" i="124"/>
  <c r="U420" i="124"/>
  <c r="U428" i="124"/>
  <c r="U27" i="124"/>
  <c r="U51" i="124"/>
  <c r="U91" i="124"/>
  <c r="U139" i="124"/>
  <c r="U179" i="124"/>
  <c r="U219" i="124"/>
  <c r="U267" i="124"/>
  <c r="U315" i="124"/>
  <c r="U363" i="124"/>
  <c r="U411" i="124"/>
  <c r="AX35" i="844" l="1"/>
  <c r="AZ35" i="844" a="1"/>
  <c r="AX36" i="844"/>
  <c r="AZ36" i="844" a="1"/>
  <c r="AX37" i="844"/>
  <c r="AZ37" i="844" a="1"/>
  <c r="AX38" i="844"/>
  <c r="AZ38" i="844" a="1"/>
  <c r="AX39" i="844"/>
  <c r="AZ39" i="844" a="1"/>
  <c r="AX40" i="844"/>
  <c r="AZ40" i="844" a="1"/>
  <c r="AX42" i="844"/>
  <c r="AZ42" i="844" a="1"/>
  <c r="AX45" i="844"/>
  <c r="AZ45" i="844" a="1"/>
  <c r="AX46" i="844"/>
  <c r="AZ46" i="844" a="1"/>
  <c r="AX48" i="844"/>
  <c r="AZ48" i="844" a="1"/>
  <c r="AX49" i="844"/>
  <c r="AB49" i="844" s="1"/>
  <c r="AZ49" i="844" a="1"/>
  <c r="AX51" i="844"/>
  <c r="AB51" i="844" s="1"/>
  <c r="AZ51" i="844" a="1"/>
  <c r="AE9" i="849"/>
  <c r="AF9" i="849"/>
  <c r="AS8" i="849"/>
  <c r="U8" i="849" s="1"/>
  <c r="AL8" i="849"/>
  <c r="AM8" i="849"/>
  <c r="AF8" i="849"/>
  <c r="AA440" i="124"/>
  <c r="AA434" i="124"/>
  <c r="AA52" i="124"/>
  <c r="AA89" i="124"/>
  <c r="AA248" i="124"/>
  <c r="AA399" i="124"/>
  <c r="AA412" i="124"/>
  <c r="AA422" i="124"/>
  <c r="AA435" i="124"/>
  <c r="AA63" i="124"/>
  <c r="AA103" i="124"/>
  <c r="AA283" i="124"/>
  <c r="AA404" i="124"/>
  <c r="AA416" i="124"/>
  <c r="AA428" i="124"/>
  <c r="AA108" i="124"/>
  <c r="AA132" i="124"/>
  <c r="AA291" i="124"/>
  <c r="AA383" i="124"/>
  <c r="AA395" i="124"/>
  <c r="AA417" i="124"/>
  <c r="AA427" i="124"/>
  <c r="AA312" i="124"/>
  <c r="AA344" i="124"/>
  <c r="AA374" i="124"/>
  <c r="AA396" i="124"/>
  <c r="AA430" i="124"/>
  <c r="AA48" i="124"/>
  <c r="AA60" i="124"/>
  <c r="AA75" i="124"/>
  <c r="AA115" i="124"/>
  <c r="AA184" i="124"/>
  <c r="AA294" i="124"/>
  <c r="AA375" i="124"/>
  <c r="AA397" i="124"/>
  <c r="AA410" i="124"/>
  <c r="AA432" i="124"/>
  <c r="AA377" i="124"/>
  <c r="AA405" i="124"/>
  <c r="AA426" i="124"/>
  <c r="AA73" i="124"/>
  <c r="AA226" i="124"/>
  <c r="AA301" i="124"/>
  <c r="AA398" i="124"/>
  <c r="AA408" i="124"/>
  <c r="AA429" i="124"/>
  <c r="AA57" i="124"/>
  <c r="AA82" i="124"/>
  <c r="AA176" i="124"/>
  <c r="AA189" i="124"/>
  <c r="AA280" i="124"/>
  <c r="AA411" i="124"/>
  <c r="AA423" i="124"/>
  <c r="AA36" i="124"/>
  <c r="AA61" i="124"/>
  <c r="AA70" i="124"/>
  <c r="AA78" i="124"/>
  <c r="AA400" i="124"/>
  <c r="AA413" i="124"/>
  <c r="AA56" i="124"/>
  <c r="AA188" i="124"/>
  <c r="AA350" i="124"/>
  <c r="AA365" i="124"/>
  <c r="AA376" i="124"/>
  <c r="AA387" i="124"/>
  <c r="AA409" i="124"/>
  <c r="AA431" i="124"/>
  <c r="AA433" i="124"/>
  <c r="AA436" i="124"/>
  <c r="AA58" i="124"/>
  <c r="AA90" i="124"/>
  <c r="AA101" i="124"/>
  <c r="AA157" i="124"/>
  <c r="AA177" i="124"/>
  <c r="AA379" i="124"/>
  <c r="AA403" i="124"/>
  <c r="AA414" i="124"/>
  <c r="AA425" i="124"/>
  <c r="AB48" i="844"/>
  <c r="AZ34" i="844" a="1"/>
  <c r="AX34" i="844"/>
  <c r="AZ41" i="844" a="1"/>
  <c r="AX41" i="844"/>
  <c r="AX43" i="844"/>
  <c r="AZ43" i="844" a="1"/>
  <c r="AZ44" i="844" a="1"/>
  <c r="AX44" i="844"/>
  <c r="AZ50" i="844" a="1"/>
  <c r="AX50" i="844"/>
  <c r="AB50" i="844" s="1"/>
  <c r="AD442" i="124"/>
  <c r="AE442" i="124"/>
  <c r="AD443" i="124"/>
  <c r="AE443" i="124"/>
  <c r="AD444" i="124"/>
  <c r="AE444" i="124"/>
  <c r="AD445" i="124"/>
  <c r="AE445" i="124"/>
  <c r="AD446" i="124"/>
  <c r="AE446" i="124"/>
  <c r="AD447" i="124"/>
  <c r="AE447" i="124"/>
  <c r="AD448" i="124"/>
  <c r="AE448" i="124"/>
  <c r="AD449" i="124"/>
  <c r="AE449" i="124"/>
  <c r="AD450" i="124"/>
  <c r="AE450" i="124"/>
  <c r="AD451" i="124"/>
  <c r="AE451" i="124"/>
  <c r="AD452" i="124"/>
  <c r="AE452" i="124"/>
  <c r="AD453" i="124"/>
  <c r="AE453" i="124"/>
  <c r="AD454" i="124"/>
  <c r="AE454" i="124"/>
  <c r="AD455" i="124"/>
  <c r="AE455" i="124"/>
  <c r="AD456" i="124"/>
  <c r="AE456" i="124"/>
  <c r="AD457" i="124"/>
  <c r="AE457" i="124"/>
  <c r="AD458" i="124"/>
  <c r="AE458" i="124"/>
  <c r="AD459" i="124"/>
  <c r="AE459" i="124"/>
  <c r="AD460" i="124"/>
  <c r="AE460" i="124"/>
  <c r="AD461" i="124"/>
  <c r="AE461" i="124"/>
  <c r="AD462" i="124"/>
  <c r="AE462" i="124"/>
  <c r="AD463" i="124"/>
  <c r="AE463" i="124"/>
  <c r="AD464" i="124"/>
  <c r="AE464" i="124"/>
  <c r="AD465" i="124"/>
  <c r="AE465" i="124"/>
  <c r="AD466" i="124"/>
  <c r="AE466" i="124"/>
  <c r="AD467" i="124"/>
  <c r="AE467" i="124"/>
  <c r="AD468" i="124"/>
  <c r="AE468" i="124"/>
  <c r="AD469" i="124"/>
  <c r="AE469" i="124"/>
  <c r="AD470" i="124"/>
  <c r="AE470" i="124"/>
  <c r="AD471" i="124"/>
  <c r="AE471" i="124"/>
  <c r="AD472" i="124"/>
  <c r="AE472" i="124"/>
  <c r="AD473" i="124"/>
  <c r="AE473" i="124"/>
  <c r="AD441" i="124"/>
  <c r="AE441" i="124"/>
  <c r="AF441" i="124"/>
  <c r="AG441" i="124"/>
  <c r="W22" i="404"/>
  <c r="O24" i="404"/>
  <c r="C57" i="4"/>
  <c r="F56" i="4"/>
  <c r="AD440" i="124"/>
  <c r="AE440" i="124"/>
  <c r="AF440" i="124"/>
  <c r="AG440" i="124"/>
  <c r="AG437" i="124"/>
  <c r="AF437" i="124"/>
  <c r="AD437" i="124"/>
  <c r="AE437" i="124"/>
  <c r="AD438" i="124"/>
  <c r="AE438" i="124"/>
  <c r="AF438" i="124"/>
  <c r="AG438" i="124"/>
  <c r="AD439" i="124"/>
  <c r="AE439" i="124"/>
  <c r="AF439" i="124"/>
  <c r="AG439" i="124"/>
  <c r="AD433" i="124"/>
  <c r="AF433" i="124"/>
  <c r="AE433" i="124"/>
  <c r="AG433" i="124"/>
  <c r="AD434" i="124"/>
  <c r="AE434" i="124"/>
  <c r="AF434" i="124"/>
  <c r="AG434" i="124"/>
  <c r="AF435" i="124"/>
  <c r="AG435" i="124"/>
  <c r="AE435" i="124"/>
  <c r="AD435" i="124"/>
  <c r="AE436" i="124"/>
  <c r="AG436" i="124"/>
  <c r="AF436" i="124"/>
  <c r="AD436" i="124"/>
  <c r="AD9" i="124"/>
  <c r="AE9" i="124"/>
  <c r="AF9" i="124"/>
  <c r="AG9" i="124"/>
  <c r="AG10" i="124"/>
  <c r="AD10" i="124"/>
  <c r="AE10" i="124"/>
  <c r="AF10" i="124"/>
  <c r="AD11" i="124"/>
  <c r="AE11" i="124"/>
  <c r="AF11" i="124"/>
  <c r="AG11" i="124"/>
  <c r="AD12" i="124"/>
  <c r="AE12" i="124"/>
  <c r="AF12" i="124"/>
  <c r="AG12" i="124"/>
  <c r="AD13" i="124"/>
  <c r="AG13" i="124"/>
  <c r="AF13" i="124"/>
  <c r="AE13" i="124"/>
  <c r="AF14" i="124"/>
  <c r="AD14" i="124"/>
  <c r="AG14" i="124"/>
  <c r="AE14" i="124"/>
  <c r="AF15" i="124"/>
  <c r="AE15" i="124"/>
  <c r="AD15" i="124"/>
  <c r="AG15" i="124"/>
  <c r="AG16" i="124"/>
  <c r="AF16" i="124"/>
  <c r="AE16" i="124"/>
  <c r="AD16" i="124"/>
  <c r="AD17" i="124"/>
  <c r="AG17" i="124"/>
  <c r="AE17" i="124"/>
  <c r="AF17" i="124"/>
  <c r="AD18" i="124"/>
  <c r="AE18" i="124"/>
  <c r="AG18" i="124"/>
  <c r="AF18" i="124"/>
  <c r="AD19" i="124"/>
  <c r="AE19" i="124"/>
  <c r="AF19" i="124"/>
  <c r="AG19" i="124"/>
  <c r="AF20" i="124"/>
  <c r="AD20" i="124"/>
  <c r="AE20" i="124"/>
  <c r="AG20" i="124"/>
  <c r="AD21" i="124"/>
  <c r="AE21" i="124"/>
  <c r="AF21" i="124"/>
  <c r="AG21" i="124"/>
  <c r="AF22" i="124"/>
  <c r="AE22" i="124"/>
  <c r="AG22" i="124"/>
  <c r="AD22" i="124"/>
  <c r="AE23" i="124"/>
  <c r="AF23" i="124"/>
  <c r="AG23" i="124"/>
  <c r="AD23" i="124"/>
  <c r="AG24" i="124"/>
  <c r="AD24" i="124"/>
  <c r="AE24" i="124"/>
  <c r="AF24" i="124"/>
  <c r="AE25" i="124"/>
  <c r="AF25" i="124"/>
  <c r="AG25" i="124"/>
  <c r="AD25" i="124"/>
  <c r="AD26" i="124"/>
  <c r="AE26" i="124"/>
  <c r="AG26" i="124"/>
  <c r="AF26" i="124"/>
  <c r="AE27" i="124"/>
  <c r="AF27" i="124"/>
  <c r="AG27" i="124"/>
  <c r="AD27" i="124"/>
  <c r="AE28" i="124"/>
  <c r="AG28" i="124"/>
  <c r="AD28" i="124"/>
  <c r="AF28" i="124"/>
  <c r="AF29" i="124"/>
  <c r="AE29" i="124"/>
  <c r="AD29" i="124"/>
  <c r="AG29" i="124"/>
  <c r="AG30" i="124"/>
  <c r="AF30" i="124"/>
  <c r="AE30" i="124"/>
  <c r="AD30" i="124"/>
  <c r="AE31" i="124"/>
  <c r="AG31" i="124"/>
  <c r="AF31" i="124"/>
  <c r="AD31" i="124"/>
  <c r="AE32" i="124"/>
  <c r="AD32" i="124"/>
  <c r="AF32" i="124"/>
  <c r="AG32" i="124"/>
  <c r="AF33" i="124"/>
  <c r="AG33" i="124"/>
  <c r="AD33" i="124"/>
  <c r="AE33" i="124"/>
  <c r="AE34" i="124"/>
  <c r="AD34" i="124"/>
  <c r="AG34" i="124"/>
  <c r="AF34" i="124"/>
  <c r="AG35" i="124"/>
  <c r="AF35" i="124"/>
  <c r="AE35" i="124"/>
  <c r="AD35" i="124"/>
  <c r="AG36" i="124"/>
  <c r="AF36" i="124"/>
  <c r="AE36" i="124"/>
  <c r="AD36" i="124"/>
  <c r="AE37" i="124"/>
  <c r="AG37" i="124"/>
  <c r="AF37" i="124"/>
  <c r="AD37" i="124"/>
  <c r="AE38" i="124"/>
  <c r="AG38" i="124"/>
  <c r="AF38" i="124"/>
  <c r="AD38" i="124"/>
  <c r="AF39" i="124"/>
  <c r="AG39" i="124"/>
  <c r="AE39" i="124"/>
  <c r="AD39" i="124"/>
  <c r="AG40" i="124"/>
  <c r="AE40" i="124"/>
  <c r="AD40" i="124"/>
  <c r="AF40" i="124"/>
  <c r="AD41" i="124"/>
  <c r="AG41" i="124"/>
  <c r="AF41" i="124"/>
  <c r="AE41" i="124"/>
  <c r="AF42" i="124"/>
  <c r="AD42" i="124"/>
  <c r="AE42" i="124"/>
  <c r="AG42" i="124"/>
  <c r="AD43" i="124"/>
  <c r="AF43" i="124"/>
  <c r="AE43" i="124"/>
  <c r="AG43" i="124"/>
  <c r="AG44" i="124"/>
  <c r="AD44" i="124"/>
  <c r="AE44" i="124"/>
  <c r="AF44" i="124"/>
  <c r="AE45" i="124"/>
  <c r="AF45" i="124"/>
  <c r="AD45" i="124"/>
  <c r="AG45" i="124"/>
  <c r="AE46" i="124"/>
  <c r="AG46" i="124"/>
  <c r="AF46" i="124"/>
  <c r="AD46" i="124"/>
  <c r="AD47" i="124"/>
  <c r="AF47" i="124"/>
  <c r="AG47" i="124"/>
  <c r="AE47" i="124"/>
  <c r="AD48" i="124"/>
  <c r="AG48" i="124"/>
  <c r="AE48" i="124"/>
  <c r="AF48" i="124"/>
  <c r="AE49" i="124"/>
  <c r="AG49" i="124"/>
  <c r="AF49" i="124"/>
  <c r="AD49" i="124"/>
  <c r="AF50" i="124"/>
  <c r="AD50" i="124"/>
  <c r="AG50" i="124"/>
  <c r="AE50" i="124"/>
  <c r="AD51" i="124"/>
  <c r="AE51" i="124"/>
  <c r="AF51" i="124"/>
  <c r="AG51" i="124"/>
  <c r="AG52" i="124"/>
  <c r="AE52" i="124"/>
  <c r="AF52" i="124"/>
  <c r="AD52" i="124"/>
  <c r="AG53" i="124"/>
  <c r="AD53" i="124"/>
  <c r="AF53" i="124"/>
  <c r="AE53" i="124"/>
  <c r="AD54" i="124"/>
  <c r="AG54" i="124"/>
  <c r="AE54" i="124"/>
  <c r="AF54" i="124"/>
  <c r="AE55" i="124"/>
  <c r="AG55" i="124"/>
  <c r="AD55" i="124"/>
  <c r="AF55" i="124"/>
  <c r="AF56" i="124"/>
  <c r="AD56" i="124"/>
  <c r="AE56" i="124"/>
  <c r="AG56" i="124"/>
  <c r="AF57" i="124"/>
  <c r="AD57" i="124"/>
  <c r="AE57" i="124"/>
  <c r="AG57" i="124"/>
  <c r="AE58" i="124"/>
  <c r="AG58" i="124"/>
  <c r="AF58" i="124"/>
  <c r="AD58" i="124"/>
  <c r="AF59" i="124"/>
  <c r="AG59" i="124"/>
  <c r="AE59" i="124"/>
  <c r="AD59" i="124"/>
  <c r="AE60" i="124"/>
  <c r="AG60" i="124"/>
  <c r="AF60" i="124"/>
  <c r="AD60" i="124"/>
  <c r="AE61" i="124"/>
  <c r="AD61" i="124"/>
  <c r="AG61" i="124"/>
  <c r="AF61" i="124"/>
  <c r="AE62" i="124"/>
  <c r="AG62" i="124"/>
  <c r="AD62" i="124"/>
  <c r="AF62" i="124"/>
  <c r="AE63" i="124"/>
  <c r="AG63" i="124"/>
  <c r="AD63" i="124"/>
  <c r="AF63" i="124"/>
  <c r="AD64" i="124"/>
  <c r="AE64" i="124"/>
  <c r="AF64" i="124"/>
  <c r="AG64" i="124"/>
  <c r="AG65" i="124"/>
  <c r="AD65" i="124"/>
  <c r="AE65" i="124"/>
  <c r="AF65" i="124"/>
  <c r="AG66" i="124"/>
  <c r="AF66" i="124"/>
  <c r="AD66" i="124"/>
  <c r="AE66" i="124"/>
  <c r="AF67" i="124"/>
  <c r="AD67" i="124"/>
  <c r="AE67" i="124"/>
  <c r="AG67" i="124"/>
  <c r="AE68" i="124"/>
  <c r="AD68" i="124"/>
  <c r="AF68" i="124"/>
  <c r="AG68" i="124"/>
  <c r="AD69" i="124"/>
  <c r="AF69" i="124"/>
  <c r="AG69" i="124"/>
  <c r="AE69" i="124"/>
  <c r="AD70" i="124"/>
  <c r="AG70" i="124"/>
  <c r="AE70" i="124"/>
  <c r="AF70" i="124"/>
  <c r="AE71" i="124"/>
  <c r="AG71" i="124"/>
  <c r="AD71" i="124"/>
  <c r="AF71" i="124"/>
  <c r="AD72" i="124"/>
  <c r="AF72" i="124"/>
  <c r="AE72" i="124"/>
  <c r="AG72" i="124"/>
  <c r="AD73" i="124"/>
  <c r="AF73" i="124"/>
  <c r="AE73" i="124"/>
  <c r="AG73" i="124"/>
  <c r="AD74" i="124"/>
  <c r="AF74" i="124"/>
  <c r="AE74" i="124"/>
  <c r="AG74" i="124"/>
  <c r="AF75" i="124"/>
  <c r="AD75" i="124"/>
  <c r="AE75" i="124"/>
  <c r="AG75" i="124"/>
  <c r="AF76" i="124"/>
  <c r="AE76" i="124"/>
  <c r="AG76" i="124"/>
  <c r="AD76" i="124"/>
  <c r="AD77" i="124"/>
  <c r="AE77" i="124"/>
  <c r="AG77" i="124"/>
  <c r="AF77" i="124"/>
  <c r="AF78" i="124"/>
  <c r="AG78" i="124"/>
  <c r="AD78" i="124"/>
  <c r="AE78" i="124"/>
  <c r="AF79" i="124"/>
  <c r="AD79" i="124"/>
  <c r="AE79" i="124"/>
  <c r="AG79" i="124"/>
  <c r="AD80" i="124"/>
  <c r="AE80" i="124"/>
  <c r="AF80" i="124"/>
  <c r="AG80" i="124"/>
  <c r="AG81" i="124"/>
  <c r="AF81" i="124"/>
  <c r="AE81" i="124"/>
  <c r="AD81" i="124"/>
  <c r="AE82" i="124"/>
  <c r="AG82" i="124"/>
  <c r="AF82" i="124"/>
  <c r="AD82" i="124"/>
  <c r="AE83" i="124"/>
  <c r="AG83" i="124"/>
  <c r="AF83" i="124"/>
  <c r="AD83" i="124"/>
  <c r="AE84" i="124"/>
  <c r="AG84" i="124"/>
  <c r="AF84" i="124"/>
  <c r="AD84" i="124"/>
  <c r="AF85" i="124"/>
  <c r="AE85" i="124"/>
  <c r="AD85" i="124"/>
  <c r="AG85" i="124"/>
  <c r="AG86" i="124"/>
  <c r="AF86" i="124"/>
  <c r="AE86" i="124"/>
  <c r="AD86" i="124"/>
  <c r="AE87" i="124"/>
  <c r="AG87" i="124"/>
  <c r="AD87" i="124"/>
  <c r="AF87" i="124"/>
  <c r="AE88" i="124"/>
  <c r="AF88" i="124"/>
  <c r="AD88" i="124"/>
  <c r="AG88" i="124"/>
  <c r="AF89" i="124"/>
  <c r="AG89" i="124"/>
  <c r="AE89" i="124"/>
  <c r="AD89" i="124"/>
  <c r="AE90" i="124"/>
  <c r="AD90" i="124"/>
  <c r="AF90" i="124"/>
  <c r="AG90" i="124"/>
  <c r="AD91" i="124"/>
  <c r="AF91" i="124"/>
  <c r="AG91" i="124"/>
  <c r="AE91" i="124"/>
  <c r="AG92" i="124"/>
  <c r="AE92" i="124"/>
  <c r="AF92" i="124"/>
  <c r="AD92" i="124"/>
  <c r="AE93" i="124"/>
  <c r="AG93" i="124"/>
  <c r="AF93" i="124"/>
  <c r="AD93" i="124"/>
  <c r="AF94" i="124"/>
  <c r="AG94" i="124"/>
  <c r="AE94" i="124"/>
  <c r="AD94" i="124"/>
  <c r="AG95" i="124"/>
  <c r="AE95" i="124"/>
  <c r="AD95" i="124"/>
  <c r="AF95" i="124"/>
  <c r="AD96" i="124"/>
  <c r="AG96" i="124"/>
  <c r="AF96" i="124"/>
  <c r="AE96" i="124"/>
  <c r="AE97" i="124"/>
  <c r="AD97" i="124"/>
  <c r="AG97" i="124"/>
  <c r="AF97" i="124"/>
  <c r="AF98" i="124"/>
  <c r="AE98" i="124"/>
  <c r="AG98" i="124"/>
  <c r="AD98" i="124"/>
  <c r="AD99" i="124"/>
  <c r="AF99" i="124"/>
  <c r="AE99" i="124"/>
  <c r="AG99" i="124"/>
  <c r="AG100" i="124"/>
  <c r="AD100" i="124"/>
  <c r="AF100" i="124"/>
  <c r="AE100" i="124"/>
  <c r="AD101" i="124"/>
  <c r="AF101" i="124"/>
  <c r="AE101" i="124"/>
  <c r="AG101" i="124"/>
  <c r="AG102" i="124"/>
  <c r="AE102" i="124"/>
  <c r="AD102" i="124"/>
  <c r="AF102" i="124"/>
  <c r="AG103" i="124"/>
  <c r="AE103" i="124"/>
  <c r="AF103" i="124"/>
  <c r="AD103" i="124"/>
  <c r="AD104" i="124"/>
  <c r="AE104" i="124"/>
  <c r="AF104" i="124"/>
  <c r="AG104" i="124"/>
  <c r="AD105" i="124"/>
  <c r="AF105" i="124"/>
  <c r="AE105" i="124"/>
  <c r="AG105" i="124"/>
  <c r="AG106" i="124"/>
  <c r="AE106" i="124"/>
  <c r="AF106" i="124"/>
  <c r="AD106" i="124"/>
  <c r="AD107" i="124"/>
  <c r="AG107" i="124"/>
  <c r="AE107" i="124"/>
  <c r="AF107" i="124"/>
  <c r="AD108" i="124"/>
  <c r="AE108" i="124"/>
  <c r="AF108" i="124"/>
  <c r="AG108" i="124"/>
  <c r="AG109" i="124"/>
  <c r="AE109" i="124"/>
  <c r="AF109" i="124"/>
  <c r="AD109" i="124"/>
  <c r="AG110" i="124"/>
  <c r="AE110" i="124"/>
  <c r="AF110" i="124"/>
  <c r="AD110" i="124"/>
  <c r="AF111" i="124"/>
  <c r="AD111" i="124"/>
  <c r="AG111" i="124"/>
  <c r="AE111" i="124"/>
  <c r="AD112" i="124"/>
  <c r="AE112" i="124"/>
  <c r="AG112" i="124"/>
  <c r="AF112" i="124"/>
  <c r="AE113" i="124"/>
  <c r="AG113" i="124"/>
  <c r="AD113" i="124"/>
  <c r="AF113" i="124"/>
  <c r="AD114" i="124"/>
  <c r="AE114" i="124"/>
  <c r="AG114" i="124"/>
  <c r="AF114" i="124"/>
  <c r="AE115" i="124"/>
  <c r="AG115" i="124"/>
  <c r="AD115" i="124"/>
  <c r="AF115" i="124"/>
  <c r="AD116" i="124"/>
  <c r="AE116" i="124"/>
  <c r="AG116" i="124"/>
  <c r="AF116" i="124"/>
  <c r="AE117" i="124"/>
  <c r="AG117" i="124"/>
  <c r="AF117" i="124"/>
  <c r="AD117" i="124"/>
  <c r="AE118" i="124"/>
  <c r="AF118" i="124"/>
  <c r="AD118" i="124"/>
  <c r="AG118" i="124"/>
  <c r="AD119" i="124"/>
  <c r="AF119" i="124"/>
  <c r="AE119" i="124"/>
  <c r="AG119" i="124"/>
  <c r="AD120" i="124"/>
  <c r="AF120" i="124"/>
  <c r="AE120" i="124"/>
  <c r="AG120" i="124"/>
  <c r="AD121" i="124"/>
  <c r="AF121" i="124"/>
  <c r="AE121" i="124"/>
  <c r="AG121" i="124"/>
  <c r="AD122" i="124"/>
  <c r="AF122" i="124"/>
  <c r="AE122" i="124"/>
  <c r="AG122" i="124"/>
  <c r="AD123" i="124"/>
  <c r="AF123" i="124"/>
  <c r="AE123" i="124"/>
  <c r="AG123" i="124"/>
  <c r="AE124" i="124"/>
  <c r="AG124" i="124"/>
  <c r="AF124" i="124"/>
  <c r="AD124" i="124"/>
  <c r="AG125" i="124"/>
  <c r="AF125" i="124"/>
  <c r="AE125" i="124"/>
  <c r="AD125" i="124"/>
  <c r="AF126" i="124"/>
  <c r="AE126" i="124"/>
  <c r="AD126" i="124"/>
  <c r="AG126" i="124"/>
  <c r="AF127" i="124"/>
  <c r="AD127" i="124"/>
  <c r="AE127" i="124"/>
  <c r="AG127" i="124"/>
  <c r="AD128" i="124"/>
  <c r="AF128" i="124"/>
  <c r="AG128" i="124"/>
  <c r="AE128" i="124"/>
  <c r="AG129" i="124"/>
  <c r="AF129" i="124"/>
  <c r="AE129" i="124"/>
  <c r="AD129" i="124"/>
  <c r="AF130" i="124"/>
  <c r="AD130" i="124"/>
  <c r="AE130" i="124"/>
  <c r="AG130" i="124"/>
  <c r="AD131" i="124"/>
  <c r="AG131" i="124"/>
  <c r="AF131" i="124"/>
  <c r="AE131" i="124"/>
  <c r="AG132" i="124"/>
  <c r="AE132" i="124"/>
  <c r="AD132" i="124"/>
  <c r="AF132" i="124"/>
  <c r="AF133" i="124"/>
  <c r="AD133" i="124"/>
  <c r="AE133" i="124"/>
  <c r="AG133" i="124"/>
  <c r="AF134" i="124"/>
  <c r="AG134" i="124"/>
  <c r="AD134" i="124"/>
  <c r="AE134" i="124"/>
  <c r="AD135" i="124"/>
  <c r="AE135" i="124"/>
  <c r="AG135" i="124"/>
  <c r="AF135" i="124"/>
  <c r="AE136" i="124"/>
  <c r="AG136" i="124"/>
  <c r="AD136" i="124"/>
  <c r="AF136" i="124"/>
  <c r="AD137" i="124"/>
  <c r="AG137" i="124"/>
  <c r="AF137" i="124"/>
  <c r="AE137" i="124"/>
  <c r="AF138" i="124"/>
  <c r="AD138" i="124"/>
  <c r="AG138" i="124"/>
  <c r="AE138" i="124"/>
  <c r="AE139" i="124"/>
  <c r="AG139" i="124"/>
  <c r="AD139" i="124"/>
  <c r="AF139" i="124"/>
  <c r="AD140" i="124"/>
  <c r="AG140" i="124"/>
  <c r="AF140" i="124"/>
  <c r="AE140" i="124"/>
  <c r="AE141" i="124"/>
  <c r="AG141" i="124"/>
  <c r="AD141" i="124"/>
  <c r="AF141" i="124"/>
  <c r="AE142" i="124"/>
  <c r="AG142" i="124"/>
  <c r="AF142" i="124"/>
  <c r="AD142" i="124"/>
  <c r="AE143" i="124"/>
  <c r="AF143" i="124"/>
  <c r="AD143" i="124"/>
  <c r="AG143" i="124"/>
  <c r="AE144" i="124"/>
  <c r="AG144" i="124"/>
  <c r="AD144" i="124"/>
  <c r="AF144" i="124"/>
  <c r="AF145" i="124"/>
  <c r="AG145" i="124"/>
  <c r="AD145" i="124"/>
  <c r="AE145" i="124"/>
  <c r="AG146" i="124"/>
  <c r="AE146" i="124"/>
  <c r="AF146" i="124"/>
  <c r="AD146" i="124"/>
  <c r="AD147" i="124"/>
  <c r="AE147" i="124"/>
  <c r="AF147" i="124"/>
  <c r="AG147" i="124"/>
  <c r="AG148" i="124"/>
  <c r="AF148" i="124"/>
  <c r="AE148" i="124"/>
  <c r="AD148" i="124"/>
  <c r="AD149" i="124"/>
  <c r="AG149" i="124"/>
  <c r="AF149" i="124"/>
  <c r="AE149" i="124"/>
  <c r="AD150" i="124"/>
  <c r="AG150" i="124"/>
  <c r="AE150" i="124"/>
  <c r="AF150" i="124"/>
  <c r="AD151" i="124"/>
  <c r="AG151" i="124"/>
  <c r="AF151" i="124"/>
  <c r="AE151" i="124"/>
  <c r="AG152" i="124"/>
  <c r="AD152" i="124"/>
  <c r="AE152" i="124"/>
  <c r="AF152" i="124"/>
  <c r="AD153" i="124"/>
  <c r="AF153" i="124"/>
  <c r="AE153" i="124"/>
  <c r="AG153" i="124"/>
  <c r="AD154" i="124"/>
  <c r="AF154" i="124"/>
  <c r="AG154" i="124"/>
  <c r="AE154" i="124"/>
  <c r="AD155" i="124"/>
  <c r="AE155" i="124"/>
  <c r="AF155" i="124"/>
  <c r="AG155" i="124"/>
  <c r="AG156" i="124"/>
  <c r="AF156" i="124"/>
  <c r="AE156" i="124"/>
  <c r="AD156" i="124"/>
  <c r="AD157" i="124"/>
  <c r="AE157" i="124"/>
  <c r="AF157" i="124"/>
  <c r="AG157" i="124"/>
  <c r="AD158" i="124"/>
  <c r="AG158" i="124"/>
  <c r="AF158" i="124"/>
  <c r="AE158" i="124"/>
  <c r="AE159" i="124"/>
  <c r="AD159" i="124"/>
  <c r="AG159" i="124"/>
  <c r="AF159" i="124"/>
  <c r="AG160" i="124"/>
  <c r="AD160" i="124"/>
  <c r="AE160" i="124"/>
  <c r="AF160" i="124"/>
  <c r="AD161" i="124"/>
  <c r="AF161" i="124"/>
  <c r="AG161" i="124"/>
  <c r="AE161" i="124"/>
  <c r="AG162" i="124"/>
  <c r="AD162" i="124"/>
  <c r="AE162" i="124"/>
  <c r="AF162" i="124"/>
  <c r="AD163" i="124"/>
  <c r="AG163" i="124"/>
  <c r="AE163" i="124"/>
  <c r="AF163" i="124"/>
  <c r="AE164" i="124"/>
  <c r="AD164" i="124"/>
  <c r="AG164" i="124"/>
  <c r="AF164" i="124"/>
  <c r="AF165" i="124"/>
  <c r="AE165" i="124"/>
  <c r="AD165" i="124"/>
  <c r="AG165" i="124"/>
  <c r="AE166" i="124"/>
  <c r="AG166" i="124"/>
  <c r="AF166" i="124"/>
  <c r="AD166" i="124"/>
  <c r="AE167" i="124"/>
  <c r="AG167" i="124"/>
  <c r="AF167" i="124"/>
  <c r="AD167" i="124"/>
  <c r="AG168" i="124"/>
  <c r="AF168" i="124"/>
  <c r="AD168" i="124"/>
  <c r="AE168" i="124"/>
  <c r="AG169" i="124"/>
  <c r="AF169" i="124"/>
  <c r="AE169" i="124"/>
  <c r="AD169" i="124"/>
  <c r="AF170" i="124"/>
  <c r="AD170" i="124"/>
  <c r="AG170" i="124"/>
  <c r="AE170" i="124"/>
  <c r="AD171" i="124"/>
  <c r="AF171" i="124"/>
  <c r="AG171" i="124"/>
  <c r="AE171" i="124"/>
  <c r="AE172" i="124"/>
  <c r="AD172" i="124"/>
  <c r="AG172" i="124"/>
  <c r="AF172" i="124"/>
  <c r="AG173" i="124"/>
  <c r="AF173" i="124"/>
  <c r="AE173" i="124"/>
  <c r="AD173" i="124"/>
  <c r="AF174" i="124"/>
  <c r="AE174" i="124"/>
  <c r="AD174" i="124"/>
  <c r="AG174" i="124"/>
  <c r="AD175" i="124"/>
  <c r="AF175" i="124"/>
  <c r="AE175" i="124"/>
  <c r="AG175" i="124"/>
  <c r="AD176" i="124"/>
  <c r="AE176" i="124"/>
  <c r="AF176" i="124"/>
  <c r="AG176" i="124"/>
  <c r="AD177" i="124"/>
  <c r="AE177" i="124"/>
  <c r="AF177" i="124"/>
  <c r="AG177" i="124"/>
  <c r="AD178" i="124"/>
  <c r="AF178" i="124"/>
  <c r="AE178" i="124"/>
  <c r="AG178" i="124"/>
  <c r="AE179" i="124"/>
  <c r="AG179" i="124"/>
  <c r="AD179" i="124"/>
  <c r="AF179" i="124"/>
  <c r="AD180" i="124"/>
  <c r="AF180" i="124"/>
  <c r="AE180" i="124"/>
  <c r="AG180" i="124"/>
  <c r="AD181" i="124"/>
  <c r="AF181" i="124"/>
  <c r="AE181" i="124"/>
  <c r="AG181" i="124"/>
  <c r="AG182" i="124"/>
  <c r="AF182" i="124"/>
  <c r="AE182" i="124"/>
  <c r="AD182" i="124"/>
  <c r="AG183" i="124"/>
  <c r="AE183" i="124"/>
  <c r="AF183" i="124"/>
  <c r="AD183" i="124"/>
  <c r="AD184" i="124"/>
  <c r="AF184" i="124"/>
  <c r="AG184" i="124"/>
  <c r="AE184" i="124"/>
  <c r="AF185" i="124"/>
  <c r="AE185" i="124"/>
  <c r="AD185" i="124"/>
  <c r="AG185" i="124"/>
  <c r="AE186" i="124"/>
  <c r="AF186" i="124"/>
  <c r="AD186" i="124"/>
  <c r="AG186" i="124"/>
  <c r="AE187" i="124"/>
  <c r="AG187" i="124"/>
  <c r="AD187" i="124"/>
  <c r="AF187" i="124"/>
  <c r="AF188" i="124"/>
  <c r="AG188" i="124"/>
  <c r="AE188" i="124"/>
  <c r="AD188" i="124"/>
  <c r="AD189" i="124"/>
  <c r="AE189" i="124"/>
  <c r="AF189" i="124"/>
  <c r="AG189" i="124"/>
  <c r="AD190" i="124"/>
  <c r="AE190" i="124"/>
  <c r="AF190" i="124"/>
  <c r="AG190" i="124"/>
  <c r="AF191" i="124"/>
  <c r="AD191" i="124"/>
  <c r="AE191" i="124"/>
  <c r="AG191" i="124"/>
  <c r="AD192" i="124"/>
  <c r="AE192" i="124"/>
  <c r="AF192" i="124"/>
  <c r="AG192" i="124"/>
  <c r="AD193" i="124"/>
  <c r="AE193" i="124"/>
  <c r="AF193" i="124"/>
  <c r="AG193" i="124"/>
  <c r="AG194" i="124"/>
  <c r="AD194" i="124"/>
  <c r="AE194" i="124"/>
  <c r="AF194" i="124"/>
  <c r="AD195" i="124"/>
  <c r="AE195" i="124"/>
  <c r="AF195" i="124"/>
  <c r="AG195" i="124"/>
  <c r="AD196" i="124"/>
  <c r="AE196" i="124"/>
  <c r="AF196" i="124"/>
  <c r="AG196" i="124"/>
  <c r="AF197" i="124"/>
  <c r="AG197" i="124"/>
  <c r="AD197" i="124"/>
  <c r="AE197" i="124"/>
  <c r="AD198" i="124"/>
  <c r="AE198" i="124"/>
  <c r="AF198" i="124"/>
  <c r="AG198" i="124"/>
  <c r="AG199" i="124"/>
  <c r="AE199" i="124"/>
  <c r="AD199" i="124"/>
  <c r="AF199" i="124"/>
  <c r="AD200" i="124"/>
  <c r="AE200" i="124"/>
  <c r="AF200" i="124"/>
  <c r="AG200" i="124"/>
  <c r="AE201" i="124"/>
  <c r="AF201" i="124"/>
  <c r="AG201" i="124"/>
  <c r="AD201" i="124"/>
  <c r="AE202" i="124"/>
  <c r="AF202" i="124"/>
  <c r="AG202" i="124"/>
  <c r="AD202" i="124"/>
  <c r="AE203" i="124"/>
  <c r="AF203" i="124"/>
  <c r="AD203" i="124"/>
  <c r="AG203" i="124"/>
  <c r="AF204" i="124"/>
  <c r="AG204" i="124"/>
  <c r="AE204" i="124"/>
  <c r="AD204" i="124"/>
  <c r="AG205" i="124"/>
  <c r="AF205" i="124"/>
  <c r="AE205" i="124"/>
  <c r="AD205" i="124"/>
  <c r="AE206" i="124"/>
  <c r="AD206" i="124"/>
  <c r="AF206" i="124"/>
  <c r="AG206" i="124"/>
  <c r="AD207" i="124"/>
  <c r="AE207" i="124"/>
  <c r="AF207" i="124"/>
  <c r="AG207" i="124"/>
  <c r="AG208" i="124"/>
  <c r="AF208" i="124"/>
  <c r="AE208" i="124"/>
  <c r="AD208" i="124"/>
  <c r="AG209" i="124"/>
  <c r="AF209" i="124"/>
  <c r="AE209" i="124"/>
  <c r="AD209" i="124"/>
  <c r="AG210" i="124"/>
  <c r="AF210" i="124"/>
  <c r="AD210" i="124"/>
  <c r="AE210" i="124"/>
  <c r="AF211" i="124"/>
  <c r="AD211" i="124"/>
  <c r="AE211" i="124"/>
  <c r="AG211" i="124"/>
  <c r="AF212" i="124"/>
  <c r="AD212" i="124"/>
  <c r="AE212" i="124"/>
  <c r="AG212" i="124"/>
  <c r="AE213" i="124"/>
  <c r="AG213" i="124"/>
  <c r="AD213" i="124"/>
  <c r="AF213" i="124"/>
  <c r="AG214" i="124"/>
  <c r="AF214" i="124"/>
  <c r="AE214" i="124"/>
  <c r="AD214" i="124"/>
  <c r="AF215" i="124"/>
  <c r="AD215" i="124"/>
  <c r="AE215" i="124"/>
  <c r="AG215" i="124"/>
  <c r="AE216" i="124"/>
  <c r="AG216" i="124"/>
  <c r="AD216" i="124"/>
  <c r="AF216" i="124"/>
  <c r="AG217" i="124"/>
  <c r="AF217" i="124"/>
  <c r="AD217" i="124"/>
  <c r="AE217" i="124"/>
  <c r="AG218" i="124"/>
  <c r="AE218" i="124"/>
  <c r="AF218" i="124"/>
  <c r="AD218" i="124"/>
  <c r="AD219" i="124"/>
  <c r="AF219" i="124"/>
  <c r="AG219" i="124"/>
  <c r="AE219" i="124"/>
  <c r="AG220" i="124"/>
  <c r="AD220" i="124"/>
  <c r="AF220" i="124"/>
  <c r="AE220" i="124"/>
  <c r="AF221" i="124"/>
  <c r="AG221" i="124"/>
  <c r="AD221" i="124"/>
  <c r="AE221" i="124"/>
  <c r="AG222" i="124"/>
  <c r="AE222" i="124"/>
  <c r="AF222" i="124"/>
  <c r="AD222" i="124"/>
  <c r="AE223" i="124"/>
  <c r="AD223" i="124"/>
  <c r="AG223" i="124"/>
  <c r="AF223" i="124"/>
  <c r="AG224" i="124"/>
  <c r="AD224" i="124"/>
  <c r="AF224" i="124"/>
  <c r="AE224" i="124"/>
  <c r="AG225" i="124"/>
  <c r="AE225" i="124"/>
  <c r="AD225" i="124"/>
  <c r="AF225" i="124"/>
  <c r="AD226" i="124"/>
  <c r="AF226" i="124"/>
  <c r="AE226" i="124"/>
  <c r="AG226" i="124"/>
  <c r="AG227" i="124"/>
  <c r="AF227" i="124"/>
  <c r="AD227" i="124"/>
  <c r="AE227" i="124"/>
  <c r="AE228" i="124"/>
  <c r="AG228" i="124"/>
  <c r="AD228" i="124"/>
  <c r="AF228" i="124"/>
  <c r="AF229" i="124"/>
  <c r="AG229" i="124"/>
  <c r="AE229" i="124"/>
  <c r="AD229" i="124"/>
  <c r="AD230" i="124"/>
  <c r="AF230" i="124"/>
  <c r="AE230" i="124"/>
  <c r="AG230" i="124"/>
  <c r="AF231" i="124"/>
  <c r="AD231" i="124"/>
  <c r="AE231" i="124"/>
  <c r="AG231" i="124"/>
  <c r="AD232" i="124"/>
  <c r="AF232" i="124"/>
  <c r="AE232" i="124"/>
  <c r="AG232" i="124"/>
  <c r="AE233" i="124"/>
  <c r="AD233" i="124"/>
  <c r="AF233" i="124"/>
  <c r="AG233" i="124"/>
  <c r="AE234" i="124"/>
  <c r="AG234" i="124"/>
  <c r="AF234" i="124"/>
  <c r="AD234" i="124"/>
  <c r="AD235" i="124"/>
  <c r="AF235" i="124"/>
  <c r="AG235" i="124"/>
  <c r="AE235" i="124"/>
  <c r="AG236" i="124"/>
  <c r="AD236" i="124"/>
  <c r="AF236" i="124"/>
  <c r="AE236" i="124"/>
  <c r="AE237" i="124"/>
  <c r="AG237" i="124"/>
  <c r="AF237" i="124"/>
  <c r="AD237" i="124"/>
  <c r="AG238" i="124"/>
  <c r="AE238" i="124"/>
  <c r="AD238" i="124"/>
  <c r="AF238" i="124"/>
  <c r="AD239" i="124"/>
  <c r="AF239" i="124"/>
  <c r="AG239" i="124"/>
  <c r="AE239" i="124"/>
  <c r="AF240" i="124"/>
  <c r="AG240" i="124"/>
  <c r="AD240" i="124"/>
  <c r="AE240" i="124"/>
  <c r="AD241" i="124"/>
  <c r="AE241" i="124"/>
  <c r="AF241" i="124"/>
  <c r="AG241" i="124"/>
  <c r="AD242" i="124"/>
  <c r="AF242" i="124"/>
  <c r="AG242" i="124"/>
  <c r="AE242" i="124"/>
  <c r="AD243" i="124"/>
  <c r="AF243" i="124"/>
  <c r="AE243" i="124"/>
  <c r="AG243" i="124"/>
  <c r="AG244" i="124"/>
  <c r="AF244" i="124"/>
  <c r="AD244" i="124"/>
  <c r="AE244" i="124"/>
  <c r="AG245" i="124"/>
  <c r="AE245" i="124"/>
  <c r="AF245" i="124"/>
  <c r="AD245" i="124"/>
  <c r="AF246" i="124"/>
  <c r="AD246" i="124"/>
  <c r="AE246" i="124"/>
  <c r="AG246" i="124"/>
  <c r="AG247" i="124"/>
  <c r="AF247" i="124"/>
  <c r="AD247" i="124"/>
  <c r="AE247" i="124"/>
  <c r="AE248" i="124"/>
  <c r="AG248" i="124"/>
  <c r="AF248" i="124"/>
  <c r="AD248" i="124"/>
  <c r="AE249" i="124"/>
  <c r="AF249" i="124"/>
  <c r="AG249" i="124"/>
  <c r="AD249" i="124"/>
  <c r="AE250" i="124"/>
  <c r="AG250" i="124"/>
  <c r="AF250" i="124"/>
  <c r="AD250" i="124"/>
  <c r="AD251" i="124"/>
  <c r="AE251" i="124"/>
  <c r="AF251" i="124"/>
  <c r="AG251" i="124"/>
  <c r="AE252" i="124"/>
  <c r="AG252" i="124"/>
  <c r="AF252" i="124"/>
  <c r="AD252" i="124"/>
  <c r="AE253" i="124"/>
  <c r="AG253" i="124"/>
  <c r="AF253" i="124"/>
  <c r="AD253" i="124"/>
  <c r="AE254" i="124"/>
  <c r="AF254" i="124"/>
  <c r="AD254" i="124"/>
  <c r="AG254" i="124"/>
  <c r="AG255" i="124"/>
  <c r="AF255" i="124"/>
  <c r="AD255" i="124"/>
  <c r="AE255" i="124"/>
  <c r="AF256" i="124"/>
  <c r="AD256" i="124"/>
  <c r="AE256" i="124"/>
  <c r="AG256" i="124"/>
  <c r="AE257" i="124"/>
  <c r="AG257" i="124"/>
  <c r="AF257" i="124"/>
  <c r="AD257" i="124"/>
  <c r="AF258" i="124"/>
  <c r="AG258" i="124"/>
  <c r="AE258" i="124"/>
  <c r="AD258" i="124"/>
  <c r="AE259" i="124"/>
  <c r="AF259" i="124"/>
  <c r="AG259" i="124"/>
  <c r="AD259" i="124"/>
  <c r="AG260" i="124"/>
  <c r="AE260" i="124"/>
  <c r="AF260" i="124"/>
  <c r="AD260" i="124"/>
  <c r="AD261" i="124"/>
  <c r="AG261" i="124"/>
  <c r="AE261" i="124"/>
  <c r="AF261" i="124"/>
  <c r="AE262" i="124"/>
  <c r="AD262" i="124"/>
  <c r="AF262" i="124"/>
  <c r="AG262" i="124"/>
  <c r="AE263" i="124"/>
  <c r="AD263" i="124"/>
  <c r="AG263" i="124"/>
  <c r="AF263" i="124"/>
  <c r="AD264" i="124"/>
  <c r="AF264" i="124"/>
  <c r="AG264" i="124"/>
  <c r="AE264" i="124"/>
  <c r="AF265" i="124"/>
  <c r="AE265" i="124"/>
  <c r="AG265" i="124"/>
  <c r="AD265" i="124"/>
  <c r="AE266" i="124"/>
  <c r="AF266" i="124"/>
  <c r="AG266" i="124"/>
  <c r="AD266" i="124"/>
  <c r="AF267" i="124"/>
  <c r="AE267" i="124"/>
  <c r="AG267" i="124"/>
  <c r="AD267" i="124"/>
  <c r="AD268" i="124"/>
  <c r="AF268" i="124"/>
  <c r="AG268" i="124"/>
  <c r="AE268" i="124"/>
  <c r="AF269" i="124"/>
  <c r="AD269" i="124"/>
  <c r="AE269" i="124"/>
  <c r="AG269" i="124"/>
  <c r="AF270" i="124"/>
  <c r="AD270" i="124"/>
  <c r="AG270" i="124"/>
  <c r="AE270" i="124"/>
  <c r="AD271" i="124"/>
  <c r="AF271" i="124"/>
  <c r="AG271" i="124"/>
  <c r="AE271" i="124"/>
  <c r="AG272" i="124"/>
  <c r="AE272" i="124"/>
  <c r="AF272" i="124"/>
  <c r="AD272" i="124"/>
  <c r="AG273" i="124"/>
  <c r="AE273" i="124"/>
  <c r="AF273" i="124"/>
  <c r="AD273" i="124"/>
  <c r="AD274" i="124"/>
  <c r="AF274" i="124"/>
  <c r="AG274" i="124"/>
  <c r="AE274" i="124"/>
  <c r="AG275" i="124"/>
  <c r="AF275" i="124"/>
  <c r="AD275" i="124"/>
  <c r="AE275" i="124"/>
  <c r="AE276" i="124"/>
  <c r="AG276" i="124"/>
  <c r="AD276" i="124"/>
  <c r="AF276" i="124"/>
  <c r="AF277" i="124"/>
  <c r="AE277" i="124"/>
  <c r="AG277" i="124"/>
  <c r="AD277" i="124"/>
  <c r="AD278" i="124"/>
  <c r="AF278" i="124"/>
  <c r="AG278" i="124"/>
  <c r="AE278" i="124"/>
  <c r="AD279" i="124"/>
  <c r="AF279" i="124"/>
  <c r="AG279" i="124"/>
  <c r="AE279" i="124"/>
  <c r="AD280" i="124"/>
  <c r="AF280" i="124"/>
  <c r="AG280" i="124"/>
  <c r="AE280" i="124"/>
  <c r="AD281" i="124"/>
  <c r="AF281" i="124"/>
  <c r="AG281" i="124"/>
  <c r="AE281" i="124"/>
  <c r="AD282" i="124"/>
  <c r="AF282" i="124"/>
  <c r="AG282" i="124"/>
  <c r="AE282" i="124"/>
  <c r="AD283" i="124"/>
  <c r="AF283" i="124"/>
  <c r="AE283" i="124"/>
  <c r="AG283" i="124"/>
  <c r="AD284" i="124"/>
  <c r="AE284" i="124"/>
  <c r="AG284" i="124"/>
  <c r="AF284" i="124"/>
  <c r="AD285" i="124"/>
  <c r="AF285" i="124"/>
  <c r="AG285" i="124"/>
  <c r="AE285" i="124"/>
  <c r="AD286" i="124"/>
  <c r="AF286" i="124"/>
  <c r="AG286" i="124"/>
  <c r="AE286" i="124"/>
  <c r="AD287" i="124"/>
  <c r="AF287" i="124"/>
  <c r="AG287" i="124"/>
  <c r="AE287" i="124"/>
  <c r="AE288" i="124"/>
  <c r="AG288" i="124"/>
  <c r="AF288" i="124"/>
  <c r="AD288" i="124"/>
  <c r="AG289" i="124"/>
  <c r="AE289" i="124"/>
  <c r="AF289" i="124"/>
  <c r="AD289" i="124"/>
  <c r="AG290" i="124"/>
  <c r="AE290" i="124"/>
  <c r="AD290" i="124"/>
  <c r="AF290" i="124"/>
  <c r="AG291" i="124"/>
  <c r="AE291" i="124"/>
  <c r="AD291" i="124"/>
  <c r="AF291" i="124"/>
  <c r="AG292" i="124"/>
  <c r="AE292" i="124"/>
  <c r="AD292" i="124"/>
  <c r="AF292" i="124"/>
  <c r="AE293" i="124"/>
  <c r="AD293" i="124"/>
  <c r="AG293" i="124"/>
  <c r="AF293" i="124"/>
  <c r="AE294" i="124"/>
  <c r="AG294" i="124"/>
  <c r="AF294" i="124"/>
  <c r="AD294" i="124"/>
  <c r="AF295" i="124"/>
  <c r="AD295" i="124"/>
  <c r="AG295" i="124"/>
  <c r="AE295" i="124"/>
  <c r="AE296" i="124"/>
  <c r="AD296" i="124"/>
  <c r="AF296" i="124"/>
  <c r="AG296" i="124"/>
  <c r="AE297" i="124"/>
  <c r="AD297" i="124"/>
  <c r="AF297" i="124"/>
  <c r="AG297" i="124"/>
  <c r="AF298" i="124"/>
  <c r="AE298" i="124"/>
  <c r="AD298" i="124"/>
  <c r="AG298" i="124"/>
  <c r="AE299" i="124"/>
  <c r="AD299" i="124"/>
  <c r="AF299" i="124"/>
  <c r="AG299" i="124"/>
  <c r="AE300" i="124"/>
  <c r="AD300" i="124"/>
  <c r="AF300" i="124"/>
  <c r="AG300" i="124"/>
  <c r="AF301" i="124"/>
  <c r="AD301" i="124"/>
  <c r="AE301" i="124"/>
  <c r="AG301" i="124"/>
  <c r="AD302" i="124"/>
  <c r="AE302" i="124"/>
  <c r="AG302" i="124"/>
  <c r="AF302" i="124"/>
  <c r="AG303" i="124"/>
  <c r="AF303" i="124"/>
  <c r="AE303" i="124"/>
  <c r="AD303" i="124"/>
  <c r="AE304" i="124"/>
  <c r="AG304" i="124"/>
  <c r="AF304" i="124"/>
  <c r="AD304" i="124"/>
  <c r="AE305" i="124"/>
  <c r="AD305" i="124"/>
  <c r="AF305" i="124"/>
  <c r="AG305" i="124"/>
  <c r="AD306" i="124"/>
  <c r="AF306" i="124"/>
  <c r="AE306" i="124"/>
  <c r="AG306" i="124"/>
  <c r="AE307" i="124"/>
  <c r="AG307" i="124"/>
  <c r="AF307" i="124"/>
  <c r="AD307" i="124"/>
  <c r="AD308" i="124"/>
  <c r="AG308" i="124"/>
  <c r="AF308" i="124"/>
  <c r="AE308" i="124"/>
  <c r="AE309" i="124"/>
  <c r="AF309" i="124"/>
  <c r="AG309" i="124"/>
  <c r="AD309" i="124"/>
  <c r="AG310" i="124"/>
  <c r="AD310" i="124"/>
  <c r="AE310" i="124"/>
  <c r="AF310" i="124"/>
  <c r="AD311" i="124"/>
  <c r="AE311" i="124"/>
  <c r="AG311" i="124"/>
  <c r="AF311" i="124"/>
  <c r="AF312" i="124"/>
  <c r="AG312" i="124"/>
  <c r="AE312" i="124"/>
  <c r="AD312" i="124"/>
  <c r="AF313" i="124"/>
  <c r="AG313" i="124"/>
  <c r="AD313" i="124"/>
  <c r="AE313" i="124"/>
  <c r="AE314" i="124"/>
  <c r="AD314" i="124"/>
  <c r="AF314" i="124"/>
  <c r="AG314" i="124"/>
  <c r="AD315" i="124"/>
  <c r="AE315" i="124"/>
  <c r="AF315" i="124"/>
  <c r="AG315" i="124"/>
  <c r="AD316" i="124"/>
  <c r="AE316" i="124"/>
  <c r="AG316" i="124"/>
  <c r="AF316" i="124"/>
  <c r="AG317" i="124"/>
  <c r="AF317" i="124"/>
  <c r="AE317" i="124"/>
  <c r="AD317" i="124"/>
  <c r="AE318" i="124"/>
  <c r="AD318" i="124"/>
  <c r="AG318" i="124"/>
  <c r="AF318" i="124"/>
  <c r="AG319" i="124"/>
  <c r="AD319" i="124"/>
  <c r="AE319" i="124"/>
  <c r="AF319" i="124"/>
  <c r="AE320" i="124"/>
  <c r="AF320" i="124"/>
  <c r="AG320" i="124"/>
  <c r="AD320" i="124"/>
  <c r="AF321" i="124"/>
  <c r="AG321" i="124"/>
  <c r="AD321" i="124"/>
  <c r="AE321" i="124"/>
  <c r="AD322" i="124"/>
  <c r="AE322" i="124"/>
  <c r="AF322" i="124"/>
  <c r="AG322" i="124"/>
  <c r="AD323" i="124"/>
  <c r="AE323" i="124"/>
  <c r="AF323" i="124"/>
  <c r="AG323" i="124"/>
  <c r="AD324" i="124"/>
  <c r="AG324" i="124"/>
  <c r="AE324" i="124"/>
  <c r="AF324" i="124"/>
  <c r="AG325" i="124"/>
  <c r="AD325" i="124"/>
  <c r="AE325" i="124"/>
  <c r="AF325" i="124"/>
  <c r="AD326" i="124"/>
  <c r="AG326" i="124"/>
  <c r="AF326" i="124"/>
  <c r="AE326" i="124"/>
  <c r="AG327" i="124"/>
  <c r="AF327" i="124"/>
  <c r="AE327" i="124"/>
  <c r="AD327" i="124"/>
  <c r="AE328" i="124"/>
  <c r="AG328" i="124"/>
  <c r="AF328" i="124"/>
  <c r="AD328" i="124"/>
  <c r="AD329" i="124"/>
  <c r="AE329" i="124"/>
  <c r="AF329" i="124"/>
  <c r="AG329" i="124"/>
  <c r="AD330" i="124"/>
  <c r="AE330" i="124"/>
  <c r="AF330" i="124"/>
  <c r="AG330" i="124"/>
  <c r="AD331" i="124"/>
  <c r="AE331" i="124"/>
  <c r="AF331" i="124"/>
  <c r="AG331" i="124"/>
  <c r="AD332" i="124"/>
  <c r="AG332" i="124"/>
  <c r="AE332" i="124"/>
  <c r="AF332" i="124"/>
  <c r="AF333" i="124"/>
  <c r="AG333" i="124"/>
  <c r="AD333" i="124"/>
  <c r="AE333" i="124"/>
  <c r="AE334" i="124"/>
  <c r="AG334" i="124"/>
  <c r="AF334" i="124"/>
  <c r="AD334" i="124"/>
  <c r="AD335" i="124"/>
  <c r="AG335" i="124"/>
  <c r="AF335" i="124"/>
  <c r="AE335" i="124"/>
  <c r="AG336" i="124"/>
  <c r="AF336" i="124"/>
  <c r="AE336" i="124"/>
  <c r="AD336" i="124"/>
  <c r="AG337" i="124"/>
  <c r="AD337" i="124"/>
  <c r="AF337" i="124"/>
  <c r="AE337" i="124"/>
  <c r="AD338" i="124"/>
  <c r="AE338" i="124"/>
  <c r="AG338" i="124"/>
  <c r="AF338" i="124"/>
  <c r="AD339" i="124"/>
  <c r="AE339" i="124"/>
  <c r="AF339" i="124"/>
  <c r="AG339" i="124"/>
  <c r="AG340" i="124"/>
  <c r="AF340" i="124"/>
  <c r="AE340" i="124"/>
  <c r="AD340" i="124"/>
  <c r="AG341" i="124"/>
  <c r="AF341" i="124"/>
  <c r="AE341" i="124"/>
  <c r="AD341" i="124"/>
  <c r="AF342" i="124"/>
  <c r="AG342" i="124"/>
  <c r="AD342" i="124"/>
  <c r="AE342" i="124"/>
  <c r="AG343" i="124"/>
  <c r="AF343" i="124"/>
  <c r="AE343" i="124"/>
  <c r="AD343" i="124"/>
  <c r="AE344" i="124"/>
  <c r="AG344" i="124"/>
  <c r="AD344" i="124"/>
  <c r="AF344" i="124"/>
  <c r="AD345" i="124"/>
  <c r="AE345" i="124"/>
  <c r="AG345" i="124"/>
  <c r="AF345" i="124"/>
  <c r="AE346" i="124"/>
  <c r="AD346" i="124"/>
  <c r="AG346" i="124"/>
  <c r="AF346" i="124"/>
  <c r="AE347" i="124"/>
  <c r="AG347" i="124"/>
  <c r="AD347" i="124"/>
  <c r="AF347" i="124"/>
  <c r="AF348" i="124"/>
  <c r="AG348" i="124"/>
  <c r="AE348" i="124"/>
  <c r="AD348" i="124"/>
  <c r="AD349" i="124"/>
  <c r="AF349" i="124"/>
  <c r="AG349" i="124"/>
  <c r="AE349" i="124"/>
  <c r="AG350" i="124"/>
  <c r="AE350" i="124"/>
  <c r="AD350" i="124"/>
  <c r="AF350" i="124"/>
  <c r="AE351" i="124"/>
  <c r="AG351" i="124"/>
  <c r="AF351" i="124"/>
  <c r="AD351" i="124"/>
  <c r="AG352" i="124"/>
  <c r="AF352" i="124"/>
  <c r="AD352" i="124"/>
  <c r="AE352" i="124"/>
  <c r="AE353" i="124"/>
  <c r="AD353" i="124"/>
  <c r="AF353" i="124"/>
  <c r="AG353" i="124"/>
  <c r="AF354" i="124"/>
  <c r="AG354" i="124"/>
  <c r="AE354" i="124"/>
  <c r="AD354" i="124"/>
  <c r="AG355" i="124"/>
  <c r="AF355" i="124"/>
  <c r="AE355" i="124"/>
  <c r="AD355" i="124"/>
  <c r="AG356" i="124"/>
  <c r="AF356" i="124"/>
  <c r="AE356" i="124"/>
  <c r="AD356" i="124"/>
  <c r="AF357" i="124"/>
  <c r="AE357" i="124"/>
  <c r="AG357" i="124"/>
  <c r="AD357" i="124"/>
  <c r="AE358" i="124"/>
  <c r="AD358" i="124"/>
  <c r="AG358" i="124"/>
  <c r="AF358" i="124"/>
  <c r="AE359" i="124"/>
  <c r="AG359" i="124"/>
  <c r="AF359" i="124"/>
  <c r="AD359" i="124"/>
  <c r="AG360" i="124"/>
  <c r="AE360" i="124"/>
  <c r="AF360" i="124"/>
  <c r="AD360" i="124"/>
  <c r="AD361" i="124"/>
  <c r="AG361" i="124"/>
  <c r="AF361" i="124"/>
  <c r="AE361" i="124"/>
  <c r="AG362" i="124"/>
  <c r="AE362" i="124"/>
  <c r="AD362" i="124"/>
  <c r="AF362" i="124"/>
  <c r="AF363" i="124"/>
  <c r="AD363" i="124"/>
  <c r="AE363" i="124"/>
  <c r="AG363" i="124"/>
  <c r="AF364" i="124"/>
  <c r="AG364" i="124"/>
  <c r="AD364" i="124"/>
  <c r="AE364" i="124"/>
  <c r="AD365" i="124"/>
  <c r="AF365" i="124"/>
  <c r="AG365" i="124"/>
  <c r="AE365" i="124"/>
  <c r="AE366" i="124"/>
  <c r="AG366" i="124"/>
  <c r="AF366" i="124"/>
  <c r="AD366" i="124"/>
  <c r="AD367" i="124"/>
  <c r="AE367" i="124"/>
  <c r="AF367" i="124"/>
  <c r="AG367" i="124"/>
  <c r="AE368" i="124"/>
  <c r="AG368" i="124"/>
  <c r="AD368" i="124"/>
  <c r="AF368" i="124"/>
  <c r="AG369" i="124"/>
  <c r="AE369" i="124"/>
  <c r="AD369" i="124"/>
  <c r="AF369" i="124"/>
  <c r="AF370" i="124"/>
  <c r="AG370" i="124"/>
  <c r="AD370" i="124"/>
  <c r="AE370" i="124"/>
  <c r="AF371" i="124"/>
  <c r="AG371" i="124"/>
  <c r="AD371" i="124"/>
  <c r="AE371" i="124"/>
  <c r="AD372" i="124"/>
  <c r="AF372" i="124"/>
  <c r="AG372" i="124"/>
  <c r="AE372" i="124"/>
  <c r="AD373" i="124"/>
  <c r="AE373" i="124"/>
  <c r="AF373" i="124"/>
  <c r="AG373" i="124"/>
  <c r="AG374" i="124"/>
  <c r="AD374" i="124"/>
  <c r="AE374" i="124"/>
  <c r="AF374" i="124"/>
  <c r="AF375" i="124"/>
  <c r="AG375" i="124"/>
  <c r="AD375" i="124"/>
  <c r="AE375" i="124"/>
  <c r="AE376" i="124"/>
  <c r="AF376" i="124"/>
  <c r="AG376" i="124"/>
  <c r="AD376" i="124"/>
  <c r="AG377" i="124"/>
  <c r="AF377" i="124"/>
  <c r="AE377" i="124"/>
  <c r="AD377" i="124"/>
  <c r="AD378" i="124"/>
  <c r="AG378" i="124"/>
  <c r="AF378" i="124"/>
  <c r="AE378" i="124"/>
  <c r="AE379" i="124"/>
  <c r="AD379" i="124"/>
  <c r="AG379" i="124"/>
  <c r="AF379" i="124"/>
  <c r="AD380" i="124"/>
  <c r="AG380" i="124"/>
  <c r="AE380" i="124"/>
  <c r="AF380" i="124"/>
  <c r="AD381" i="124"/>
  <c r="AE381" i="124"/>
  <c r="AF381" i="124"/>
  <c r="AG381" i="124"/>
  <c r="AF382" i="124"/>
  <c r="AE382" i="124"/>
  <c r="AG382" i="124"/>
  <c r="AD382" i="124"/>
  <c r="AD383" i="124"/>
  <c r="AE383" i="124"/>
  <c r="AG383" i="124"/>
  <c r="AF383" i="124"/>
  <c r="AD384" i="124"/>
  <c r="AE384" i="124"/>
  <c r="AG384" i="124"/>
  <c r="AF384" i="124"/>
  <c r="AG385" i="124"/>
  <c r="AF385" i="124"/>
  <c r="AE385" i="124"/>
  <c r="AD385" i="124"/>
  <c r="AE386" i="124"/>
  <c r="AF386" i="124"/>
  <c r="AG386" i="124"/>
  <c r="AD386" i="124"/>
  <c r="AD387" i="124"/>
  <c r="AE387" i="124"/>
  <c r="AF387" i="124"/>
  <c r="AG387" i="124"/>
  <c r="AE388" i="124"/>
  <c r="AD388" i="124"/>
  <c r="AG388" i="124"/>
  <c r="AF388" i="124"/>
  <c r="AD389" i="124"/>
  <c r="AE389" i="124"/>
  <c r="AF389" i="124"/>
  <c r="AG389" i="124"/>
  <c r="AD390" i="124"/>
  <c r="AG390" i="124"/>
  <c r="AF390" i="124"/>
  <c r="AE390" i="124"/>
  <c r="AF391" i="124"/>
  <c r="AD391" i="124"/>
  <c r="AE391" i="124"/>
  <c r="AG391" i="124"/>
  <c r="AG392" i="124"/>
  <c r="AE392" i="124"/>
  <c r="AF392" i="124"/>
  <c r="AD392" i="124"/>
  <c r="AG393" i="124"/>
  <c r="AF393" i="124"/>
  <c r="AE393" i="124"/>
  <c r="AD393" i="124"/>
  <c r="AD394" i="124"/>
  <c r="AG394" i="124"/>
  <c r="AF394" i="124"/>
  <c r="AE394" i="124"/>
  <c r="AF395" i="124"/>
  <c r="AE395" i="124"/>
  <c r="AG395" i="124"/>
  <c r="AD395" i="124"/>
  <c r="AG396" i="124"/>
  <c r="AD396" i="124"/>
  <c r="AE396" i="124"/>
  <c r="AF396" i="124"/>
  <c r="AG397" i="124"/>
  <c r="AF397" i="124"/>
  <c r="AE397" i="124"/>
  <c r="AD397" i="124"/>
  <c r="AF398" i="124"/>
  <c r="AG398" i="124"/>
  <c r="AE398" i="124"/>
  <c r="AD398" i="124"/>
  <c r="AD399" i="124"/>
  <c r="AG399" i="124"/>
  <c r="AF399" i="124"/>
  <c r="AE399" i="124"/>
  <c r="AF400" i="124"/>
  <c r="AG400" i="124"/>
  <c r="AE400" i="124"/>
  <c r="AD400" i="124"/>
  <c r="AF401" i="124"/>
  <c r="AE401" i="124"/>
  <c r="AG401" i="124"/>
  <c r="AD401" i="124"/>
  <c r="AG402" i="124"/>
  <c r="AD402" i="124"/>
  <c r="AF402" i="124"/>
  <c r="AE402" i="124"/>
  <c r="AD403" i="124"/>
  <c r="AE403" i="124"/>
  <c r="AF403" i="124"/>
  <c r="AG403" i="124"/>
  <c r="AD404" i="124"/>
  <c r="AE404" i="124"/>
  <c r="AF404" i="124"/>
  <c r="AG404" i="124"/>
  <c r="AF405" i="124"/>
  <c r="AE405" i="124"/>
  <c r="AD405" i="124"/>
  <c r="AG405" i="124"/>
  <c r="AD406" i="124"/>
  <c r="AE406" i="124"/>
  <c r="AF406" i="124"/>
  <c r="AG406" i="124"/>
  <c r="AF407" i="124"/>
  <c r="AE407" i="124"/>
  <c r="AD407" i="124"/>
  <c r="AG407" i="124"/>
  <c r="AG408" i="124"/>
  <c r="AF408" i="124"/>
  <c r="AE408" i="124"/>
  <c r="AD408" i="124"/>
  <c r="AG409" i="124"/>
  <c r="AF409" i="124"/>
  <c r="AE409" i="124"/>
  <c r="AD409" i="124"/>
  <c r="AG410" i="124"/>
  <c r="AD410" i="124"/>
  <c r="AE410" i="124"/>
  <c r="AF410" i="124"/>
  <c r="AD411" i="124"/>
  <c r="AE411" i="124"/>
  <c r="AF411" i="124"/>
  <c r="AG411" i="124"/>
  <c r="AD412" i="124"/>
  <c r="AE412" i="124"/>
  <c r="AF412" i="124"/>
  <c r="AG412" i="124"/>
  <c r="AD413" i="124"/>
  <c r="AE413" i="124"/>
  <c r="AG413" i="124"/>
  <c r="AF413" i="124"/>
  <c r="AG414" i="124"/>
  <c r="AF414" i="124"/>
  <c r="AE414" i="124"/>
  <c r="AD414" i="124"/>
  <c r="AD415" i="124"/>
  <c r="AG415" i="124"/>
  <c r="AF415" i="124"/>
  <c r="AE415" i="124"/>
  <c r="AE416" i="124"/>
  <c r="AF416" i="124"/>
  <c r="AG416" i="124"/>
  <c r="AD416" i="124"/>
  <c r="AE417" i="124"/>
  <c r="AF417" i="124"/>
  <c r="AG417" i="124"/>
  <c r="AD417" i="124"/>
  <c r="AD418" i="124"/>
  <c r="AE418" i="124"/>
  <c r="AF418" i="124"/>
  <c r="AG418" i="124"/>
  <c r="AF419" i="124"/>
  <c r="AD419" i="124"/>
  <c r="AE419" i="124"/>
  <c r="AG419" i="124"/>
  <c r="AG420" i="124"/>
  <c r="AF420" i="124"/>
  <c r="AE420" i="124"/>
  <c r="AD420" i="124"/>
  <c r="AG421" i="124"/>
  <c r="AF421" i="124"/>
  <c r="AE421" i="124"/>
  <c r="AD421" i="124"/>
  <c r="AG422" i="124"/>
  <c r="AF422" i="124"/>
  <c r="AE422" i="124"/>
  <c r="AD422" i="124"/>
  <c r="AG423" i="124"/>
  <c r="AF423" i="124"/>
  <c r="AE423" i="124"/>
  <c r="AD423" i="124"/>
  <c r="AG424" i="124"/>
  <c r="AF424" i="124"/>
  <c r="AE424" i="124"/>
  <c r="AD424" i="124"/>
  <c r="AG425" i="124"/>
  <c r="AF425" i="124"/>
  <c r="AE425" i="124"/>
  <c r="AD425" i="124"/>
  <c r="AD426" i="124"/>
  <c r="AE426" i="124"/>
  <c r="AG426" i="124"/>
  <c r="AF426" i="124"/>
  <c r="AF427" i="124"/>
  <c r="AE427" i="124"/>
  <c r="AD427" i="124"/>
  <c r="AG427" i="124"/>
  <c r="AG428" i="124"/>
  <c r="AF428" i="124"/>
  <c r="AE428" i="124"/>
  <c r="AD428" i="124"/>
  <c r="AG429" i="124"/>
  <c r="AF429" i="124"/>
  <c r="AE429" i="124"/>
  <c r="AD429" i="124"/>
  <c r="AG430" i="124"/>
  <c r="AD430" i="124"/>
  <c r="AE430" i="124"/>
  <c r="AF430" i="124"/>
  <c r="AD431" i="124"/>
  <c r="AE431" i="124"/>
  <c r="AF431" i="124"/>
  <c r="AG431" i="124"/>
  <c r="AE432" i="124"/>
  <c r="AF432" i="124"/>
  <c r="AG432" i="124"/>
  <c r="AD432" i="124"/>
  <c r="AD8" i="124"/>
  <c r="AG8" i="124"/>
  <c r="AE8" i="124"/>
  <c r="AF8" i="124"/>
  <c r="AF8" i="805"/>
  <c r="AM8" i="805"/>
  <c r="AX27" i="844"/>
  <c r="AZ27" i="844" a="1"/>
  <c r="AX28" i="844"/>
  <c r="AZ28" i="844" a="1"/>
  <c r="AX30" i="844"/>
  <c r="AZ30" i="844" a="1"/>
  <c r="AX32" i="844"/>
  <c r="AZ32" i="844" a="1"/>
  <c r="AX33" i="844"/>
  <c r="AZ33" i="844" a="1"/>
  <c r="AX26" i="844"/>
  <c r="AZ26" i="844" a="1"/>
  <c r="BA21" i="844" a="1"/>
  <c r="AY21" i="844"/>
  <c r="BA22" i="844" a="1"/>
  <c r="AY22" i="844"/>
  <c r="BA23" i="844" a="1"/>
  <c r="AY23" i="844"/>
  <c r="BA24" i="844" a="1"/>
  <c r="AY24" i="844"/>
  <c r="AY25" i="844"/>
  <c r="BA25" i="844" a="1"/>
  <c r="BA26" i="844" a="1"/>
  <c r="AY26" i="844"/>
  <c r="AY27" i="844"/>
  <c r="BA27" i="844" a="1"/>
  <c r="BA28" i="844" a="1"/>
  <c r="AY28" i="844"/>
  <c r="BA29" i="844" a="1"/>
  <c r="AY29" i="844"/>
  <c r="BA30" i="844" a="1"/>
  <c r="AY30" i="844"/>
  <c r="AY31" i="844"/>
  <c r="BA31" i="844" a="1"/>
  <c r="BA32" i="844" a="1"/>
  <c r="AY32" i="844"/>
  <c r="AY33" i="844"/>
  <c r="BA33" i="844" a="1"/>
  <c r="BA34" i="844" a="1"/>
  <c r="AY34" i="844"/>
  <c r="BA35" i="844" a="1"/>
  <c r="AY35" i="844"/>
  <c r="AB35" i="844" s="1"/>
  <c r="AY36" i="844"/>
  <c r="AB36" i="844" s="1"/>
  <c r="BA36" i="844" a="1"/>
  <c r="AY37" i="844"/>
  <c r="AB37" i="844" s="1"/>
  <c r="BA37" i="844" a="1"/>
  <c r="BA38" i="844" a="1"/>
  <c r="AY38" i="844"/>
  <c r="AB38" i="844" s="1"/>
  <c r="AY39" i="844"/>
  <c r="AB39" i="844" s="1"/>
  <c r="BA39" i="844" a="1"/>
  <c r="AY40" i="844"/>
  <c r="BA40" i="844" a="1"/>
  <c r="AY41" i="844"/>
  <c r="BA41" i="844" a="1"/>
  <c r="AY42" i="844"/>
  <c r="AB42" i="844" s="1"/>
  <c r="BA42" i="844" a="1"/>
  <c r="BA43" i="844" a="1"/>
  <c r="AY43" i="844"/>
  <c r="BA44" i="844" a="1"/>
  <c r="AY44" i="844"/>
  <c r="BA45" i="844" a="1"/>
  <c r="AY45" i="844"/>
  <c r="AB45" i="844" s="1"/>
  <c r="BA46" i="844" a="1"/>
  <c r="AY46" i="844"/>
  <c r="AB46" i="844" s="1"/>
  <c r="AX22" i="844"/>
  <c r="AZ22" i="844" a="1"/>
  <c r="AX24" i="844"/>
  <c r="AZ24" i="844" a="1"/>
  <c r="AX21" i="844"/>
  <c r="AZ21" i="844" a="1"/>
  <c r="AX23" i="844"/>
  <c r="AZ23" i="844" a="1"/>
  <c r="AX25" i="844"/>
  <c r="AZ25" i="844" a="1"/>
  <c r="AX29" i="844"/>
  <c r="AZ29" i="844" a="1"/>
  <c r="AX31" i="844"/>
  <c r="AZ31" i="844" a="1"/>
  <c r="AX47" i="844"/>
  <c r="AB47" i="844" s="1"/>
  <c r="AZ47" i="844" a="1"/>
  <c r="AA33" i="844"/>
  <c r="AB33" i="844"/>
  <c r="AA41" i="844"/>
  <c r="AA42" i="844"/>
  <c r="AA43" i="844"/>
  <c r="AA45" i="844"/>
  <c r="AA47" i="844"/>
  <c r="AA48" i="844"/>
  <c r="AA49" i="844"/>
  <c r="AA50" i="844"/>
  <c r="AA51" i="844"/>
  <c r="BA20" i="844" a="1"/>
  <c r="AY20" i="844"/>
  <c r="AZ20" i="844" a="1"/>
  <c r="AX20" i="844"/>
  <c r="H3" i="844"/>
  <c r="I26" i="404"/>
  <c r="AB13" i="404"/>
  <c r="AG5" i="404" a="1"/>
  <c r="AE5" i="404" s="1"/>
  <c r="AG6" i="404" a="1"/>
  <c r="AE6" i="404" s="1"/>
  <c r="AG7" i="404" a="1"/>
  <c r="AE7" i="404" s="1"/>
  <c r="AG8" i="404" a="1"/>
  <c r="AE8" i="404" s="1"/>
  <c r="AG9" i="404" a="1"/>
  <c r="AE9" i="404" s="1"/>
  <c r="AG10" i="404" a="1"/>
  <c r="AE10" i="404" s="1"/>
  <c r="AG11" i="404" a="1"/>
  <c r="AE11" i="404" s="1"/>
  <c r="AG12" i="404" a="1"/>
  <c r="AE12" i="404" s="1"/>
  <c r="AG13" i="404" a="1"/>
  <c r="AE13" i="404" s="1"/>
  <c r="AG14" i="404" a="1"/>
  <c r="AE14" i="404" s="1"/>
  <c r="AG15" i="404" a="1"/>
  <c r="AE15" i="404" s="1"/>
  <c r="AG16" i="404" a="1"/>
  <c r="AE16" i="404" s="1"/>
  <c r="AG17" i="404" a="1"/>
  <c r="AE17" i="404" s="1"/>
  <c r="AG18" i="404" a="1"/>
  <c r="AE18" i="404" s="1"/>
  <c r="AG19" i="404" a="1"/>
  <c r="AE19" i="404" s="1"/>
  <c r="AG20" i="404" a="1"/>
  <c r="AE20" i="404" s="1"/>
  <c r="AG21" i="404" a="1"/>
  <c r="AE21" i="404" s="1"/>
  <c r="AG22" i="404" a="1"/>
  <c r="AE22" i="404" s="1"/>
  <c r="AG23" i="404" a="1"/>
  <c r="AE23" i="404" s="1"/>
  <c r="AG24" i="404" a="1"/>
  <c r="AE24" i="404" s="1"/>
  <c r="AG25" i="404" a="1"/>
  <c r="AE25" i="404" s="1"/>
  <c r="AG26" i="404" a="1"/>
  <c r="AE26" i="404" s="1"/>
  <c r="AG27" i="404" a="1"/>
  <c r="AE27" i="404" s="1"/>
  <c r="AG28" i="404" a="1"/>
  <c r="AE28" i="404" s="1"/>
  <c r="AG29" i="404" a="1"/>
  <c r="AE29" i="404" s="1"/>
  <c r="AG30" i="404" a="1"/>
  <c r="AE30" i="404" s="1"/>
  <c r="AG31" i="404" a="1"/>
  <c r="AE31" i="404" s="1"/>
  <c r="AG32" i="404" a="1"/>
  <c r="AE32" i="404" s="1"/>
  <c r="AG33" i="404" a="1"/>
  <c r="AE33" i="404" s="1"/>
  <c r="AG34" i="404" a="1"/>
  <c r="AE34" i="404" s="1"/>
  <c r="AG35" i="404" a="1"/>
  <c r="AE35" i="404" s="1"/>
  <c r="AG36" i="404" a="1"/>
  <c r="AE36" i="404" s="1"/>
  <c r="AG37" i="404" a="1"/>
  <c r="AE37" i="404" s="1"/>
  <c r="AG38" i="404" a="1"/>
  <c r="AE38" i="404" s="1"/>
  <c r="AG39" i="404" a="1"/>
  <c r="AE39" i="404" s="1"/>
  <c r="AG40" i="404" a="1"/>
  <c r="AE40" i="404" s="1"/>
  <c r="AG41" i="404" a="1"/>
  <c r="AE41" i="404" s="1"/>
  <c r="AG42" i="404" a="1"/>
  <c r="AE42" i="404" s="1"/>
  <c r="AG43" i="404" a="1"/>
  <c r="AE43" i="404" s="1"/>
  <c r="AG44" i="404" a="1"/>
  <c r="AE44" i="404" s="1"/>
  <c r="AG45" i="404" a="1"/>
  <c r="AE45" i="404" s="1"/>
  <c r="AG46" i="404" a="1"/>
  <c r="AE46" i="404" s="1"/>
  <c r="AG47" i="404" a="1"/>
  <c r="AE47" i="404" s="1"/>
  <c r="AG48" i="404" a="1"/>
  <c r="AE48" i="404" s="1"/>
  <c r="AG49" i="404" a="1"/>
  <c r="AE49" i="404" s="1"/>
  <c r="AG50" i="404" a="1"/>
  <c r="AE50" i="404" s="1"/>
  <c r="AG51" i="404" a="1"/>
  <c r="AE51" i="404" s="1"/>
  <c r="AG52" i="404" a="1"/>
  <c r="AE52" i="404" s="1"/>
  <c r="AG53" i="404" a="1"/>
  <c r="AE53" i="404" s="1"/>
  <c r="AG54" i="404" a="1"/>
  <c r="AE54" i="404" s="1"/>
  <c r="AG55" i="404" a="1"/>
  <c r="AE55" i="404" s="1"/>
  <c r="AG56" i="404" a="1"/>
  <c r="AE56" i="404" s="1"/>
  <c r="AG57" i="404" a="1"/>
  <c r="AE57" i="404" s="1"/>
  <c r="AG58" i="404" a="1"/>
  <c r="AE58" i="404" s="1"/>
  <c r="AG59" i="404" a="1"/>
  <c r="AE59" i="404" s="1"/>
  <c r="AG60" i="404" a="1"/>
  <c r="AE60" i="404" s="1"/>
  <c r="AG61" i="404" a="1"/>
  <c r="AE61" i="404" s="1"/>
  <c r="AG62" i="404" a="1"/>
  <c r="AE62" i="404" s="1"/>
  <c r="AG63" i="404" a="1"/>
  <c r="AE63" i="404" s="1"/>
  <c r="AG64" i="404" a="1"/>
  <c r="AE64" i="404" s="1"/>
  <c r="AG65" i="404" a="1"/>
  <c r="AE65" i="404" s="1"/>
  <c r="AG66" i="404" a="1"/>
  <c r="AE66" i="404" s="1"/>
  <c r="AG67" i="404" a="1"/>
  <c r="AE67" i="404" s="1"/>
  <c r="AG68" i="404" a="1"/>
  <c r="AE68" i="404" s="1"/>
  <c r="AG69" i="404" a="1"/>
  <c r="AE69" i="404" s="1"/>
  <c r="AG70" i="404" a="1"/>
  <c r="AE70" i="404" s="1"/>
  <c r="AG71" i="404" a="1"/>
  <c r="AE71" i="404" s="1"/>
  <c r="AG72" i="404" a="1"/>
  <c r="AE72" i="404" s="1"/>
  <c r="AG73" i="404" a="1"/>
  <c r="AE73" i="404" s="1"/>
  <c r="AG74" i="404" a="1"/>
  <c r="AE74" i="404" s="1"/>
  <c r="AG75" i="404" a="1"/>
  <c r="AE75" i="404" s="1"/>
  <c r="AG76" i="404" a="1"/>
  <c r="AE76" i="404" s="1"/>
  <c r="AG77" i="404" a="1"/>
  <c r="AE77" i="404" s="1"/>
  <c r="AG78" i="404" a="1"/>
  <c r="AE78" i="404" s="1"/>
  <c r="AG79" i="404" a="1"/>
  <c r="AE79" i="404" s="1"/>
  <c r="AG80" i="404" a="1"/>
  <c r="AE80" i="404" s="1"/>
  <c r="AG81" i="404" a="1"/>
  <c r="AE81" i="404" s="1"/>
  <c r="AG82" i="404" a="1"/>
  <c r="AE82" i="404" s="1"/>
  <c r="AG83" i="404" a="1"/>
  <c r="AE83" i="404" s="1"/>
  <c r="AG84" i="404" a="1"/>
  <c r="AE84" i="404" s="1"/>
  <c r="AG85" i="404" a="1"/>
  <c r="AE85" i="404" s="1"/>
  <c r="AG86" i="404" a="1"/>
  <c r="AE86" i="404" s="1"/>
  <c r="AG87" i="404" a="1"/>
  <c r="AE87" i="404" s="1"/>
  <c r="AG88" i="404" a="1"/>
  <c r="AE88" i="404" s="1"/>
  <c r="AG89" i="404" a="1"/>
  <c r="AE89" i="404" s="1"/>
  <c r="AG90" i="404" a="1"/>
  <c r="AE90" i="404" s="1"/>
  <c r="AG91" i="404" a="1"/>
  <c r="AE91" i="404" s="1"/>
  <c r="AG92" i="404" a="1"/>
  <c r="AE92" i="404" s="1"/>
  <c r="AG93" i="404" a="1"/>
  <c r="AE93" i="404" s="1"/>
  <c r="AG94" i="404" a="1"/>
  <c r="AG95" i="404" a="1"/>
  <c r="AG96" i="404" a="1"/>
  <c r="AG97" i="404" a="1"/>
  <c r="AG98" i="404" a="1"/>
  <c r="AG99" i="404" a="1"/>
  <c r="AG100" i="404" a="1"/>
  <c r="AG101" i="404" a="1"/>
  <c r="AG102" i="404" a="1"/>
  <c r="AG103" i="404" a="1"/>
  <c r="AG104" i="404" a="1"/>
  <c r="AG105" i="404" a="1"/>
  <c r="AG106" i="404" a="1"/>
  <c r="AG107" i="404" a="1"/>
  <c r="AG108" i="404" a="1"/>
  <c r="AG109" i="404" a="1"/>
  <c r="AG110" i="404" a="1"/>
  <c r="AG111" i="404" a="1"/>
  <c r="AG112" i="404" a="1"/>
  <c r="AG113" i="404" a="1"/>
  <c r="AG114" i="404" a="1"/>
  <c r="AG115" i="404" a="1"/>
  <c r="AG116" i="404" a="1"/>
  <c r="AG117" i="404" a="1"/>
  <c r="AG118" i="404" a="1"/>
  <c r="AG119" i="404" a="1"/>
  <c r="AG120" i="404" a="1"/>
  <c r="AG121" i="404" a="1"/>
  <c r="AG122" i="404" a="1"/>
  <c r="AG123" i="404" a="1"/>
  <c r="AG124" i="404" a="1"/>
  <c r="AG125" i="404" a="1"/>
  <c r="AG126" i="404" a="1"/>
  <c r="AG127" i="404" a="1"/>
  <c r="AG128" i="404" a="1"/>
  <c r="AG129" i="404" a="1"/>
  <c r="AG130" i="404" a="1"/>
  <c r="AG131" i="404" a="1"/>
  <c r="AG132" i="404" a="1"/>
  <c r="AG133" i="404" a="1"/>
  <c r="AG134" i="404" a="1"/>
  <c r="AG135" i="404" a="1"/>
  <c r="AG136" i="404" a="1"/>
  <c r="AG137" i="404" a="1"/>
  <c r="AG138" i="404" a="1"/>
  <c r="AG139" i="404" a="1"/>
  <c r="AG140" i="404" a="1"/>
  <c r="AG141" i="404" a="1"/>
  <c r="AG142" i="404" a="1"/>
  <c r="AG143" i="404" a="1"/>
  <c r="AG144" i="404" a="1"/>
  <c r="AG145" i="404" a="1"/>
  <c r="AG146" i="404" a="1"/>
  <c r="AG147" i="404" a="1"/>
  <c r="AG148" i="404" a="1"/>
  <c r="AG149" i="404" a="1"/>
  <c r="AG150" i="404" a="1"/>
  <c r="AG151" i="404" a="1"/>
  <c r="AG152" i="404" a="1"/>
  <c r="AG153" i="404" a="1"/>
  <c r="AG154" i="404" a="1"/>
  <c r="AG155" i="404" a="1"/>
  <c r="AG156" i="404" a="1"/>
  <c r="AG157" i="404" a="1"/>
  <c r="AG158" i="404" a="1"/>
  <c r="AG159" i="404" a="1"/>
  <c r="AG160" i="404" a="1"/>
  <c r="AG161" i="404" a="1"/>
  <c r="AG162" i="404" a="1"/>
  <c r="AG163" i="404" a="1"/>
  <c r="AG164" i="404" a="1"/>
  <c r="AG165" i="404" a="1"/>
  <c r="AG166" i="404" a="1"/>
  <c r="AG167" i="404" a="1"/>
  <c r="AG168" i="404" a="1"/>
  <c r="AG169" i="404" a="1"/>
  <c r="AG170" i="404" a="1"/>
  <c r="AG171" i="404" a="1"/>
  <c r="AG172" i="404" a="1"/>
  <c r="AG173" i="404" a="1"/>
  <c r="AG174" i="404" a="1"/>
  <c r="AG175" i="404" a="1"/>
  <c r="AG176" i="404" a="1"/>
  <c r="AG177" i="404" a="1"/>
  <c r="AG178" i="404" a="1"/>
  <c r="AG179" i="404" a="1"/>
  <c r="AG180" i="404" a="1"/>
  <c r="AG181" i="404" a="1"/>
  <c r="AG182" i="404" a="1"/>
  <c r="AE182" i="404" s="1"/>
  <c r="AG183" i="404" a="1"/>
  <c r="AE183" i="404" s="1"/>
  <c r="AG184" i="404" a="1"/>
  <c r="AE184" i="404" s="1"/>
  <c r="AG185" i="404" a="1"/>
  <c r="AE185" i="404" s="1"/>
  <c r="AG186" i="404" a="1"/>
  <c r="AE186" i="404" s="1"/>
  <c r="AG187" i="404" a="1"/>
  <c r="AE187" i="404" s="1"/>
  <c r="AG188" i="404" a="1"/>
  <c r="AE188" i="404" s="1"/>
  <c r="AG189" i="404" a="1"/>
  <c r="AE189" i="404" s="1"/>
  <c r="AG190" i="404" a="1"/>
  <c r="AE190" i="404" s="1"/>
  <c r="AG191" i="404" a="1"/>
  <c r="AE191" i="404" s="1"/>
  <c r="AG192" i="404" a="1"/>
  <c r="AE192" i="404" s="1"/>
  <c r="AG193" i="404" a="1"/>
  <c r="AE193" i="404" s="1"/>
  <c r="AG194" i="404" a="1"/>
  <c r="AE194" i="404" s="1"/>
  <c r="AG195" i="404" a="1"/>
  <c r="AE195" i="404" s="1"/>
  <c r="AG196" i="404" a="1"/>
  <c r="AE196" i="404" s="1"/>
  <c r="AG197" i="404" a="1"/>
  <c r="AE197" i="404" s="1"/>
  <c r="AG198" i="404" a="1"/>
  <c r="AE198" i="404" s="1"/>
  <c r="AG199" i="404" a="1"/>
  <c r="AE199" i="404" s="1"/>
  <c r="AG200" i="404" a="1"/>
  <c r="AE200" i="404" s="1"/>
  <c r="AG201" i="404" a="1"/>
  <c r="AE201" i="404" s="1"/>
  <c r="AG202" i="404" a="1"/>
  <c r="AE202" i="404" s="1"/>
  <c r="AG203" i="404" a="1"/>
  <c r="AE203" i="404" s="1"/>
  <c r="AG204" i="404" a="1"/>
  <c r="AE204" i="404" s="1"/>
  <c r="AG205" i="404" a="1"/>
  <c r="AE205" i="404" s="1"/>
  <c r="AG206" i="404" a="1"/>
  <c r="AE206" i="404" s="1"/>
  <c r="AG207" i="404" a="1"/>
  <c r="AE207" i="404" s="1"/>
  <c r="AG208" i="404" a="1"/>
  <c r="AE208" i="404" s="1"/>
  <c r="AG209" i="404" a="1"/>
  <c r="AE209" i="404" s="1"/>
  <c r="AG210" i="404" a="1"/>
  <c r="AE210" i="404" s="1"/>
  <c r="AG211" i="404" a="1"/>
  <c r="AE211" i="404" s="1"/>
  <c r="AG212" i="404" a="1"/>
  <c r="AE212" i="404" s="1"/>
  <c r="AG213" i="404" a="1"/>
  <c r="AE213" i="404" s="1"/>
  <c r="AG214" i="404" a="1"/>
  <c r="AE214" i="404" s="1"/>
  <c r="AG215" i="404" a="1"/>
  <c r="AE215" i="404" s="1"/>
  <c r="AG216" i="404" a="1"/>
  <c r="AE216" i="404" s="1"/>
  <c r="AG217" i="404" a="1"/>
  <c r="AE217" i="404" s="1"/>
  <c r="AG218" i="404" a="1"/>
  <c r="AE218" i="404" s="1"/>
  <c r="AG219" i="404" a="1"/>
  <c r="AE219" i="404" s="1"/>
  <c r="AG220" i="404" a="1"/>
  <c r="AE220" i="404" s="1"/>
  <c r="AG221" i="404" a="1"/>
  <c r="AE221" i="404" s="1"/>
  <c r="AG222" i="404" a="1"/>
  <c r="AE222" i="404" s="1"/>
  <c r="AG223" i="404" a="1"/>
  <c r="AE223" i="404" s="1"/>
  <c r="AG224" i="404" a="1"/>
  <c r="AE224" i="404" s="1"/>
  <c r="AG225" i="404" a="1"/>
  <c r="AE225" i="404" s="1"/>
  <c r="AG226" i="404" a="1"/>
  <c r="AE226" i="404" s="1"/>
  <c r="AG227" i="404" a="1"/>
  <c r="AE227" i="404" s="1"/>
  <c r="AG228" i="404" a="1"/>
  <c r="AE228" i="404" s="1"/>
  <c r="AG229" i="404" a="1"/>
  <c r="AE229" i="404" s="1"/>
  <c r="AG230" i="404" a="1"/>
  <c r="AE230" i="404" s="1"/>
  <c r="AG231" i="404" a="1"/>
  <c r="AE231" i="404" s="1"/>
  <c r="AG232" i="404" a="1"/>
  <c r="AE232" i="404" s="1"/>
  <c r="AG233" i="404" a="1"/>
  <c r="AE233" i="404" s="1"/>
  <c r="AG234" i="404" a="1"/>
  <c r="AE234" i="404" s="1"/>
  <c r="AG235" i="404" a="1"/>
  <c r="AE235" i="404" s="1"/>
  <c r="AG236" i="404" a="1"/>
  <c r="AE236" i="404" s="1"/>
  <c r="AG237" i="404" a="1"/>
  <c r="AE237" i="404" s="1"/>
  <c r="AG238" i="404" a="1"/>
  <c r="AE238" i="404" s="1"/>
  <c r="AG239" i="404" a="1"/>
  <c r="AE239" i="404" s="1"/>
  <c r="AG240" i="404" a="1"/>
  <c r="AE240" i="404" s="1"/>
  <c r="AG241" i="404" a="1"/>
  <c r="AE241" i="404" s="1"/>
  <c r="AG242" i="404" a="1"/>
  <c r="AE242" i="404" s="1"/>
  <c r="AG243" i="404" a="1"/>
  <c r="AE243" i="404" s="1"/>
  <c r="AG244" i="404" a="1"/>
  <c r="AE244" i="404" s="1"/>
  <c r="AG245" i="404" a="1"/>
  <c r="AE245" i="404" s="1"/>
  <c r="AG246" i="404" a="1"/>
  <c r="AE246" i="404" s="1"/>
  <c r="AG247" i="404" a="1"/>
  <c r="AE247" i="404" s="1"/>
  <c r="AG248" i="404" a="1"/>
  <c r="AE248" i="404" s="1"/>
  <c r="AG249" i="404" a="1"/>
  <c r="AE249" i="404" s="1"/>
  <c r="AG250" i="404" a="1"/>
  <c r="AE250" i="404" s="1"/>
  <c r="AG251" i="404" a="1"/>
  <c r="AE251" i="404" s="1"/>
  <c r="AG252" i="404" a="1"/>
  <c r="AE252" i="404" s="1"/>
  <c r="AG253" i="404" a="1"/>
  <c r="AE253" i="404" s="1"/>
  <c r="AG254" i="404" a="1"/>
  <c r="AE254" i="404" s="1"/>
  <c r="AG255" i="404" a="1"/>
  <c r="AE255" i="404" s="1"/>
  <c r="AG256" i="404" a="1"/>
  <c r="AE256" i="404" s="1"/>
  <c r="AG257" i="404" a="1"/>
  <c r="AE257" i="404" s="1"/>
  <c r="AG258" i="404" a="1"/>
  <c r="AE258" i="404" s="1"/>
  <c r="AG259" i="404" a="1"/>
  <c r="AE259" i="404" s="1"/>
  <c r="AG260" i="404" a="1"/>
  <c r="AE260" i="404" s="1"/>
  <c r="AG261" i="404" a="1"/>
  <c r="AE261" i="404" s="1"/>
  <c r="AG262" i="404" a="1"/>
  <c r="AE262" i="404" s="1"/>
  <c r="AG263" i="404" a="1"/>
  <c r="AE263" i="404" s="1"/>
  <c r="AG264" i="404" a="1"/>
  <c r="AE264" i="404" s="1"/>
  <c r="AG265" i="404" a="1"/>
  <c r="AE265" i="404" s="1"/>
  <c r="AG266" i="404" a="1"/>
  <c r="AE266" i="404" s="1"/>
  <c r="AG267" i="404" a="1"/>
  <c r="AE267" i="404" s="1"/>
  <c r="AG268" i="404" a="1"/>
  <c r="AE268" i="404" s="1"/>
  <c r="AG269" i="404" a="1"/>
  <c r="AE269" i="404" s="1"/>
  <c r="AG270" i="404" a="1"/>
  <c r="AE270" i="404" s="1"/>
  <c r="AG271" i="404" a="1"/>
  <c r="AE271" i="404" s="1"/>
  <c r="AG272" i="404" a="1"/>
  <c r="AE272" i="404" s="1"/>
  <c r="AG273" i="404" a="1"/>
  <c r="AE273" i="404" s="1"/>
  <c r="AG274" i="404" a="1"/>
  <c r="AE274" i="404" s="1"/>
  <c r="AG275" i="404" a="1"/>
  <c r="AE275" i="404" s="1"/>
  <c r="AG276" i="404" a="1"/>
  <c r="AE276" i="404" s="1"/>
  <c r="AG277" i="404" a="1"/>
  <c r="AE277" i="404" s="1"/>
  <c r="AG278" i="404" a="1"/>
  <c r="AE278" i="404" s="1"/>
  <c r="AG279" i="404" a="1"/>
  <c r="AE279" i="404" s="1"/>
  <c r="AG280" i="404" a="1"/>
  <c r="AE280" i="404" s="1"/>
  <c r="AG281" i="404" a="1"/>
  <c r="AE281" i="404" s="1"/>
  <c r="AG282" i="404" a="1"/>
  <c r="AE282" i="404" s="1"/>
  <c r="AG283" i="404" a="1"/>
  <c r="AE283" i="404" s="1"/>
  <c r="AG284" i="404" a="1"/>
  <c r="AE284" i="404" s="1"/>
  <c r="AG285" i="404" a="1"/>
  <c r="AG286" i="404" a="1"/>
  <c r="AG287" i="404" a="1"/>
  <c r="AG288" i="404" a="1"/>
  <c r="AG289" i="404" a="1"/>
  <c r="AG290" i="404" a="1"/>
  <c r="AG291" i="404" a="1"/>
  <c r="AG292" i="404" a="1"/>
  <c r="AG293" i="404" a="1"/>
  <c r="AG294" i="404" a="1"/>
  <c r="AG295" i="404" a="1"/>
  <c r="AG296" i="404" a="1"/>
  <c r="AG297" i="404" a="1"/>
  <c r="AG298" i="404" a="1"/>
  <c r="AG299" i="404" a="1"/>
  <c r="AG300" i="404" a="1"/>
  <c r="AG301" i="404" a="1"/>
  <c r="AG302" i="404" a="1"/>
  <c r="AG303" i="404" a="1"/>
  <c r="AG304" i="404" a="1"/>
  <c r="AG305" i="404" a="1"/>
  <c r="AG306" i="404" a="1"/>
  <c r="AG307" i="404" a="1"/>
  <c r="AG308" i="404" a="1"/>
  <c r="AG309" i="404" a="1"/>
  <c r="AG310" i="404" a="1"/>
  <c r="AG311" i="404" a="1"/>
  <c r="AG312" i="404" a="1"/>
  <c r="AG313" i="404" a="1"/>
  <c r="AG314" i="404" a="1"/>
  <c r="AG315" i="404" a="1"/>
  <c r="AG316" i="404" a="1"/>
  <c r="AG317" i="404" a="1"/>
  <c r="AG318" i="404" a="1"/>
  <c r="AG319" i="404" a="1"/>
  <c r="AG320" i="404" a="1"/>
  <c r="AG321" i="404" a="1"/>
  <c r="AG322" i="404" a="1"/>
  <c r="AG323" i="404" a="1"/>
  <c r="AG324" i="404" a="1"/>
  <c r="AG325" i="404" a="1"/>
  <c r="AG326" i="404" a="1"/>
  <c r="AG327" i="404" a="1"/>
  <c r="AG328" i="404" a="1"/>
  <c r="AG329" i="404" a="1"/>
  <c r="AG330" i="404" a="1"/>
  <c r="AG331" i="404" a="1"/>
  <c r="AG332" i="404" a="1"/>
  <c r="AG333" i="404" a="1"/>
  <c r="AG334" i="404" a="1"/>
  <c r="AG335" i="404" a="1"/>
  <c r="AG336" i="404" a="1"/>
  <c r="AG337" i="404" a="1"/>
  <c r="AG338" i="404" a="1"/>
  <c r="AG339" i="404" a="1"/>
  <c r="AG340" i="404" a="1"/>
  <c r="AG341" i="404" a="1"/>
  <c r="AG342" i="404" a="1"/>
  <c r="AG343" i="404" a="1"/>
  <c r="AG344" i="404" a="1"/>
  <c r="AG345" i="404" a="1"/>
  <c r="AG346" i="404" a="1"/>
  <c r="AG347" i="404" a="1"/>
  <c r="AG348" i="404" a="1"/>
  <c r="AG349" i="404" a="1"/>
  <c r="AG350" i="404" a="1"/>
  <c r="AG351" i="404" a="1"/>
  <c r="AG352" i="404" a="1"/>
  <c r="AG353" i="404" a="1"/>
  <c r="AG354" i="404" a="1"/>
  <c r="AG355" i="404" a="1"/>
  <c r="AG356" i="404" a="1"/>
  <c r="AG357" i="404" a="1"/>
  <c r="AG358" i="404" a="1"/>
  <c r="AG359" i="404" a="1"/>
  <c r="AG360" i="404" a="1"/>
  <c r="AG361" i="404" a="1"/>
  <c r="AG362" i="404" a="1"/>
  <c r="AG363" i="404" a="1"/>
  <c r="AG364" i="404" a="1"/>
  <c r="AG365" i="404" a="1"/>
  <c r="AG366" i="404" a="1"/>
  <c r="AG367" i="404" a="1"/>
  <c r="AG368" i="404" a="1"/>
  <c r="AG369" i="404" a="1"/>
  <c r="AG370" i="404" a="1"/>
  <c r="AG371" i="404" a="1"/>
  <c r="AG372" i="404" a="1"/>
  <c r="AG373" i="404" a="1"/>
  <c r="AG374" i="404" a="1"/>
  <c r="AG375" i="404" a="1"/>
  <c r="AG376" i="404" a="1"/>
  <c r="AG377" i="404" a="1"/>
  <c r="AG378" i="404" a="1"/>
  <c r="AG379" i="404" a="1"/>
  <c r="AG380" i="404" a="1"/>
  <c r="AG381" i="404" a="1"/>
  <c r="AG382" i="404" a="1"/>
  <c r="AG383" i="404" a="1"/>
  <c r="AG384" i="404" a="1"/>
  <c r="AG385" i="404" a="1"/>
  <c r="AG386" i="404" a="1"/>
  <c r="AG387" i="404" a="1"/>
  <c r="AG388" i="404" a="1"/>
  <c r="AG389" i="404" a="1"/>
  <c r="AG390" i="404" a="1"/>
  <c r="AG391" i="404" a="1"/>
  <c r="AG392" i="404" a="1"/>
  <c r="AG393" i="404" a="1"/>
  <c r="AG394" i="404" a="1"/>
  <c r="AG395" i="404" a="1"/>
  <c r="AG396" i="404" a="1"/>
  <c r="AG397" i="404" a="1"/>
  <c r="AG398" i="404" a="1"/>
  <c r="AG399" i="404" a="1"/>
  <c r="AG400" i="404" a="1"/>
  <c r="AG401" i="404" a="1"/>
  <c r="AG402" i="404" a="1"/>
  <c r="AG403" i="404" a="1"/>
  <c r="AG404" i="404" a="1"/>
  <c r="AG405" i="404" a="1"/>
  <c r="AG406" i="404" a="1"/>
  <c r="AG407" i="404" a="1"/>
  <c r="AG408" i="404" a="1"/>
  <c r="AG409" i="404" a="1"/>
  <c r="AG410" i="404" a="1"/>
  <c r="AG411" i="404" a="1"/>
  <c r="AG412" i="404" a="1"/>
  <c r="AG413" i="404" a="1"/>
  <c r="AG414" i="404" a="1"/>
  <c r="AG415" i="404" a="1"/>
  <c r="AG416" i="404" a="1"/>
  <c r="AG417" i="404" a="1"/>
  <c r="AG418" i="404" a="1"/>
  <c r="AG419" i="404" a="1"/>
  <c r="AG420" i="404" a="1"/>
  <c r="AG421" i="404" a="1"/>
  <c r="AG422" i="404" a="1"/>
  <c r="AG423" i="404" a="1"/>
  <c r="AG424" i="404" a="1"/>
  <c r="AG425" i="404" a="1"/>
  <c r="AG426" i="404" a="1"/>
  <c r="AG427" i="404" a="1"/>
  <c r="AG428" i="404" a="1"/>
  <c r="AG429" i="404" a="1"/>
  <c r="AG430" i="404" a="1"/>
  <c r="AG431" i="404" a="1"/>
  <c r="AG432" i="404" a="1"/>
  <c r="AG433" i="404" a="1"/>
  <c r="AG434" i="404" a="1"/>
  <c r="AG435" i="404" a="1"/>
  <c r="AG436" i="404" a="1"/>
  <c r="AG437" i="404" a="1"/>
  <c r="AG438" i="404" a="1"/>
  <c r="AG439" i="404" a="1"/>
  <c r="AG440" i="404" a="1"/>
  <c r="AG441" i="404" a="1"/>
  <c r="AG442" i="404" a="1"/>
  <c r="AG443" i="404" a="1"/>
  <c r="AG444" i="404" a="1"/>
  <c r="AG445" i="404" a="1"/>
  <c r="AG446" i="404" a="1"/>
  <c r="AG447" i="404" a="1"/>
  <c r="AG448" i="404" a="1"/>
  <c r="AG449" i="404" a="1"/>
  <c r="AG450" i="404" a="1"/>
  <c r="AG451" i="404" a="1"/>
  <c r="AG452" i="404" a="1"/>
  <c r="AG453" i="404" a="1"/>
  <c r="AG454" i="404" a="1"/>
  <c r="AG455" i="404" a="1"/>
  <c r="AG456" i="404" a="1"/>
  <c r="AG457" i="404" a="1"/>
  <c r="AG458" i="404" a="1"/>
  <c r="AG459" i="404" a="1"/>
  <c r="AG460" i="404" a="1"/>
  <c r="AG461" i="404" a="1"/>
  <c r="AG462" i="404" a="1"/>
  <c r="AG463" i="404" a="1"/>
  <c r="AG464" i="404" a="1"/>
  <c r="AG465" i="404" a="1"/>
  <c r="AG466" i="404" a="1"/>
  <c r="AG467" i="404" a="1"/>
  <c r="AG468" i="404" a="1"/>
  <c r="AG469" i="404" a="1"/>
  <c r="AG470" i="404" a="1"/>
  <c r="AG471" i="404" a="1"/>
  <c r="AG472" i="404" a="1"/>
  <c r="AG473" i="404" a="1"/>
  <c r="AG474" i="404" a="1"/>
  <c r="AG475" i="404" a="1"/>
  <c r="AG476" i="404" a="1"/>
  <c r="AG477" i="404" a="1"/>
  <c r="AG478" i="404" a="1"/>
  <c r="AG479" i="404" a="1"/>
  <c r="AG480" i="404" a="1"/>
  <c r="AG481" i="404" a="1"/>
  <c r="AG482" i="404" a="1"/>
  <c r="AG483" i="404" a="1"/>
  <c r="AG484" i="404" a="1"/>
  <c r="AG485" i="404" a="1"/>
  <c r="AG486" i="404" a="1"/>
  <c r="AG487" i="404" a="1"/>
  <c r="AG488" i="404" a="1"/>
  <c r="AG489" i="404" a="1"/>
  <c r="AG490" i="404" a="1"/>
  <c r="AG491" i="404" a="1"/>
  <c r="AG492" i="404" a="1"/>
  <c r="AG493" i="404" a="1"/>
  <c r="AG494" i="404" a="1"/>
  <c r="AG495" i="404" a="1"/>
  <c r="AG496" i="404" a="1"/>
  <c r="AG497" i="404" a="1"/>
  <c r="AG498" i="404" a="1"/>
  <c r="AG499" i="404" a="1"/>
  <c r="AG500" i="404" a="1"/>
  <c r="AG501" i="404" a="1"/>
  <c r="AG502" i="404" a="1"/>
  <c r="AG503" i="404" a="1"/>
  <c r="AG504" i="404" a="1"/>
  <c r="AG505" i="404" a="1"/>
  <c r="AG506" i="404" a="1"/>
  <c r="AG507" i="404" a="1"/>
  <c r="AG508" i="404" a="1"/>
  <c r="AG509" i="404" a="1"/>
  <c r="AG510" i="404" a="1"/>
  <c r="AG511" i="404" a="1"/>
  <c r="AG512" i="404" a="1"/>
  <c r="AG513" i="404" a="1"/>
  <c r="AG514" i="404" a="1"/>
  <c r="AG515" i="404" a="1"/>
  <c r="AG516" i="404" a="1"/>
  <c r="AG517" i="404" a="1"/>
  <c r="AG518" i="404" a="1"/>
  <c r="AG519" i="404" a="1"/>
  <c r="AG520" i="404" a="1"/>
  <c r="AG521" i="404" a="1"/>
  <c r="AG522" i="404" a="1"/>
  <c r="AG523" i="404" a="1"/>
  <c r="AG524" i="404" a="1"/>
  <c r="AG525" i="404" a="1"/>
  <c r="AG526" i="404" a="1"/>
  <c r="AG527" i="404" a="1"/>
  <c r="AG528" i="404" a="1"/>
  <c r="AG529" i="404" a="1"/>
  <c r="AG530" i="404" a="1"/>
  <c r="AG531" i="404" a="1"/>
  <c r="AG532" i="404" a="1"/>
  <c r="AG533" i="404" a="1"/>
  <c r="AG534" i="404" a="1"/>
  <c r="AG535" i="404" a="1"/>
  <c r="AG536" i="404" a="1"/>
  <c r="AG537" i="404" a="1"/>
  <c r="AG538" i="404" a="1"/>
  <c r="AG539" i="404" a="1"/>
  <c r="AG540" i="404" a="1"/>
  <c r="AG541" i="404" a="1"/>
  <c r="AG542" i="404" a="1"/>
  <c r="AG543" i="404" a="1"/>
  <c r="AG544" i="404" a="1"/>
  <c r="AG545" i="404" a="1"/>
  <c r="AG546" i="404" a="1"/>
  <c r="AG547" i="404" a="1"/>
  <c r="AG548" i="404" a="1"/>
  <c r="AG549" i="404" a="1"/>
  <c r="AG550" i="404" a="1"/>
  <c r="AG551" i="404" a="1"/>
  <c r="AG552" i="404" a="1"/>
  <c r="AG553" i="404" a="1"/>
  <c r="AG554" i="404" a="1"/>
  <c r="AG555" i="404" a="1"/>
  <c r="AG556" i="404" a="1"/>
  <c r="AG557" i="404" a="1"/>
  <c r="AG558" i="404" a="1"/>
  <c r="AG559" i="404" a="1"/>
  <c r="AG560" i="404" a="1"/>
  <c r="AG561" i="404" a="1"/>
  <c r="AG562" i="404" a="1"/>
  <c r="AG563" i="404" a="1"/>
  <c r="AG564" i="404" a="1"/>
  <c r="AG565" i="404" a="1"/>
  <c r="AG566" i="404" a="1"/>
  <c r="AG567" i="404" a="1"/>
  <c r="AG568" i="404" a="1"/>
  <c r="AG569" i="404" a="1"/>
  <c r="AG570" i="404" a="1"/>
  <c r="AG571" i="404" a="1"/>
  <c r="AG572" i="404" a="1"/>
  <c r="AG573" i="404" a="1"/>
  <c r="AG574" i="404" a="1"/>
  <c r="AG575" i="404" a="1"/>
  <c r="AG576" i="404" a="1"/>
  <c r="AG577" i="404" a="1"/>
  <c r="AG578" i="404" a="1"/>
  <c r="AG579" i="404" a="1"/>
  <c r="AG580" i="404" a="1"/>
  <c r="AG581" i="404" a="1"/>
  <c r="AG582" i="404" a="1"/>
  <c r="AG583" i="404" a="1"/>
  <c r="AG584" i="404" a="1"/>
  <c r="AG585" i="404" a="1"/>
  <c r="AG586" i="404" a="1"/>
  <c r="AG587" i="404" a="1"/>
  <c r="AG588" i="404" a="1"/>
  <c r="AG589" i="404" a="1"/>
  <c r="AG590" i="404" a="1"/>
  <c r="AG591" i="404" a="1"/>
  <c r="AG592" i="404" a="1"/>
  <c r="AG593" i="404" a="1"/>
  <c r="AG594" i="404" a="1"/>
  <c r="AG595" i="404" a="1"/>
  <c r="AG596" i="404" a="1"/>
  <c r="AG597" i="404" a="1"/>
  <c r="AG598" i="404" a="1"/>
  <c r="AG599" i="404" a="1"/>
  <c r="AG600" i="404" a="1"/>
  <c r="AG601" i="404" a="1"/>
  <c r="AG602" i="404" a="1"/>
  <c r="AG603" i="404" a="1"/>
  <c r="AG604" i="404" a="1"/>
  <c r="AG605" i="404" a="1"/>
  <c r="AG606" i="404" a="1"/>
  <c r="AG607" i="404" a="1"/>
  <c r="AG608" i="404" a="1"/>
  <c r="AG609" i="404" a="1"/>
  <c r="AG610" i="404" a="1"/>
  <c r="AG611" i="404" a="1"/>
  <c r="AG612" i="404" a="1"/>
  <c r="AG613" i="404" a="1"/>
  <c r="AG614" i="404" a="1"/>
  <c r="AG615" i="404" a="1"/>
  <c r="AG616" i="404" a="1"/>
  <c r="AG617" i="404" a="1"/>
  <c r="AG618" i="404" a="1"/>
  <c r="AG619" i="404" a="1"/>
  <c r="AG620" i="404" a="1"/>
  <c r="AG621" i="404" a="1"/>
  <c r="AG622" i="404" a="1"/>
  <c r="AG623" i="404" a="1"/>
  <c r="AG624" i="404" a="1"/>
  <c r="AG625" i="404" a="1"/>
  <c r="AG626" i="404" a="1"/>
  <c r="AG627" i="404" a="1"/>
  <c r="AG628" i="404" a="1"/>
  <c r="AG629" i="404" a="1"/>
  <c r="AG630" i="404" a="1"/>
  <c r="AG631" i="404" a="1"/>
  <c r="AG632" i="404" a="1"/>
  <c r="AG633" i="404" a="1"/>
  <c r="AG634" i="404" a="1"/>
  <c r="AG635" i="404" a="1"/>
  <c r="AG636" i="404" a="1"/>
  <c r="AG637" i="404" a="1"/>
  <c r="AG638" i="404" a="1"/>
  <c r="AG639" i="404" a="1"/>
  <c r="AG640" i="404" a="1"/>
  <c r="AG641" i="404" a="1"/>
  <c r="AG642" i="404" a="1"/>
  <c r="AG643" i="404" a="1"/>
  <c r="AG644" i="404" a="1"/>
  <c r="AG645" i="404" a="1"/>
  <c r="AG646" i="404" a="1"/>
  <c r="AG647" i="404" a="1"/>
  <c r="AG648" i="404" a="1"/>
  <c r="AG649" i="404" a="1"/>
  <c r="AG650" i="404" a="1"/>
  <c r="AG651" i="404" a="1"/>
  <c r="AG652" i="404" a="1"/>
  <c r="AG653" i="404" a="1"/>
  <c r="AG654" i="404" a="1"/>
  <c r="AG655" i="404" a="1"/>
  <c r="AG656" i="404" a="1"/>
  <c r="AG657" i="404" a="1"/>
  <c r="AG658" i="404" a="1"/>
  <c r="AG659" i="404" a="1"/>
  <c r="AG660" i="404" a="1"/>
  <c r="AG661" i="404" a="1"/>
  <c r="AG662" i="404" a="1"/>
  <c r="AG663" i="404" a="1"/>
  <c r="AG664" i="404" a="1"/>
  <c r="AG665" i="404" a="1"/>
  <c r="AG666" i="404" a="1"/>
  <c r="AG667" i="404" a="1"/>
  <c r="AG668" i="404" a="1"/>
  <c r="AG669" i="404" a="1"/>
  <c r="AG670" i="404" a="1"/>
  <c r="AG671" i="404" a="1"/>
  <c r="AG672" i="404" a="1"/>
  <c r="AG673" i="404" a="1"/>
  <c r="AG674" i="404" a="1"/>
  <c r="AG675" i="404" a="1"/>
  <c r="AG676" i="404" a="1"/>
  <c r="AG677" i="404" a="1"/>
  <c r="AG678" i="404" a="1"/>
  <c r="AG679" i="404" a="1"/>
  <c r="AG680" i="404" a="1"/>
  <c r="AG681" i="404" a="1"/>
  <c r="AG682" i="404" a="1"/>
  <c r="AG683" i="404" a="1"/>
  <c r="AG684" i="404" a="1"/>
  <c r="AG685" i="404" a="1"/>
  <c r="AG686" i="404" a="1"/>
  <c r="AG687" i="404" a="1"/>
  <c r="AG688" i="404" a="1"/>
  <c r="AG689" i="404" a="1"/>
  <c r="AG690" i="404" a="1"/>
  <c r="AG691" i="404" a="1"/>
  <c r="AG692" i="404" a="1"/>
  <c r="AG693" i="404" a="1"/>
  <c r="AG694" i="404" a="1"/>
  <c r="AG695" i="404" a="1"/>
  <c r="AG696" i="404" a="1"/>
  <c r="AG697" i="404" a="1"/>
  <c r="AG698" i="404" a="1"/>
  <c r="AG699" i="404" a="1"/>
  <c r="AG700" i="404" a="1"/>
  <c r="AG701" i="404" a="1"/>
  <c r="AG702" i="404" a="1"/>
  <c r="AG703" i="404" a="1"/>
  <c r="AG704" i="404" a="1"/>
  <c r="AG705" i="404" a="1"/>
  <c r="AG706" i="404" a="1"/>
  <c r="AG707" i="404" a="1"/>
  <c r="AG708" i="404" a="1"/>
  <c r="AG709" i="404" a="1"/>
  <c r="AG710" i="404" a="1"/>
  <c r="AG711" i="404" a="1"/>
  <c r="AG712" i="404" a="1"/>
  <c r="AG713" i="404" a="1"/>
  <c r="AG714" i="404" a="1"/>
  <c r="AG715" i="404" a="1"/>
  <c r="AG716" i="404" a="1"/>
  <c r="AG717" i="404" a="1"/>
  <c r="AG718" i="404" a="1"/>
  <c r="AG719" i="404" a="1"/>
  <c r="AG720" i="404" a="1"/>
  <c r="AG721" i="404" a="1"/>
  <c r="AG722" i="404" a="1"/>
  <c r="AG723" i="404" a="1"/>
  <c r="AG724" i="404" a="1"/>
  <c r="AG725" i="404" a="1"/>
  <c r="AG726" i="404" a="1"/>
  <c r="AG727" i="404" a="1"/>
  <c r="AG728" i="404" a="1"/>
  <c r="AG729" i="404" a="1"/>
  <c r="AG730" i="404" a="1"/>
  <c r="AG731" i="404" a="1"/>
  <c r="AG732" i="404" a="1"/>
  <c r="AG733" i="404" a="1"/>
  <c r="AG734" i="404" a="1"/>
  <c r="AG735" i="404" a="1"/>
  <c r="AG736" i="404" a="1"/>
  <c r="AG737" i="404" a="1"/>
  <c r="AG738" i="404" a="1"/>
  <c r="AG739" i="404" a="1"/>
  <c r="AG740" i="404" a="1"/>
  <c r="AG741" i="404" a="1"/>
  <c r="AG742" i="404" a="1"/>
  <c r="AG743" i="404" a="1"/>
  <c r="AG744" i="404" a="1"/>
  <c r="AG745" i="404" a="1"/>
  <c r="AG746" i="404" a="1"/>
  <c r="AG747" i="404" a="1"/>
  <c r="AG748" i="404" a="1"/>
  <c r="AG749" i="404" a="1"/>
  <c r="AG750" i="404" a="1"/>
  <c r="AG751" i="404" a="1"/>
  <c r="AG752" i="404" a="1"/>
  <c r="AG753" i="404" a="1"/>
  <c r="AG754" i="404" a="1"/>
  <c r="AG755" i="404" a="1"/>
  <c r="AG756" i="404" a="1"/>
  <c r="AG757" i="404" a="1"/>
  <c r="AG758" i="404" a="1"/>
  <c r="AG759" i="404" a="1"/>
  <c r="AG760" i="404" a="1"/>
  <c r="AG761" i="404" a="1"/>
  <c r="AG762" i="404" a="1"/>
  <c r="AG763" i="404" a="1"/>
  <c r="AG764" i="404" a="1"/>
  <c r="AG765" i="404" a="1"/>
  <c r="AG766" i="404" a="1"/>
  <c r="AG767" i="404" a="1"/>
  <c r="AG768" i="404" a="1"/>
  <c r="AG769" i="404" a="1"/>
  <c r="AG770" i="404" a="1"/>
  <c r="AG771" i="404" a="1"/>
  <c r="AG772" i="404" a="1"/>
  <c r="AG773" i="404" a="1"/>
  <c r="AG774" i="404" a="1"/>
  <c r="AG775" i="404" a="1"/>
  <c r="AG776" i="404" a="1"/>
  <c r="AG777" i="404" a="1"/>
  <c r="AG778" i="404" a="1"/>
  <c r="AG779" i="404" a="1"/>
  <c r="AG780" i="404" a="1"/>
  <c r="AG781" i="404" a="1"/>
  <c r="AG782" i="404" a="1"/>
  <c r="AG783" i="404" a="1"/>
  <c r="AG784" i="404" a="1"/>
  <c r="AG785" i="404" a="1"/>
  <c r="AG786" i="404" a="1"/>
  <c r="AG787" i="404" a="1"/>
  <c r="AG788" i="404" a="1"/>
  <c r="AG789" i="404" a="1"/>
  <c r="AG790" i="404" a="1"/>
  <c r="AG791" i="404" a="1"/>
  <c r="AG792" i="404" a="1"/>
  <c r="AG793" i="404" a="1"/>
  <c r="AG794" i="404" a="1"/>
  <c r="AG795" i="404" a="1"/>
  <c r="AG796" i="404" a="1"/>
  <c r="AG797" i="404" a="1"/>
  <c r="AG798" i="404" a="1"/>
  <c r="AG799" i="404" a="1"/>
  <c r="AG800" i="404" a="1"/>
  <c r="AG801" i="404" a="1"/>
  <c r="AG802" i="404" a="1"/>
  <c r="AG803" i="404" a="1"/>
  <c r="AG804" i="404" a="1"/>
  <c r="AG805" i="404" a="1"/>
  <c r="AG806" i="404" a="1"/>
  <c r="AG807" i="404" a="1"/>
  <c r="AG808" i="404" a="1"/>
  <c r="AG809" i="404" a="1"/>
  <c r="AG810" i="404" a="1"/>
  <c r="AG811" i="404" a="1"/>
  <c r="AG812" i="404" a="1"/>
  <c r="AG813" i="404" a="1"/>
  <c r="AG814" i="404" a="1"/>
  <c r="AG815" i="404" a="1"/>
  <c r="AG816" i="404" a="1"/>
  <c r="AG817" i="404" a="1"/>
  <c r="AG818" i="404" a="1"/>
  <c r="AG819" i="404" a="1"/>
  <c r="AG820" i="404" a="1"/>
  <c r="AG821" i="404" a="1"/>
  <c r="AG822" i="404" a="1"/>
  <c r="AG823" i="404" a="1"/>
  <c r="AG824" i="404" a="1"/>
  <c r="AG825" i="404" a="1"/>
  <c r="AG826" i="404" a="1"/>
  <c r="AG827" i="404" a="1"/>
  <c r="AG828" i="404" a="1"/>
  <c r="AG829" i="404" a="1"/>
  <c r="AG830" i="404" a="1"/>
  <c r="AG831" i="404" a="1"/>
  <c r="AG832" i="404" a="1"/>
  <c r="AG833" i="404" a="1"/>
  <c r="AG834" i="404" a="1"/>
  <c r="AG835" i="404" a="1"/>
  <c r="AG836" i="404" a="1"/>
  <c r="AG837" i="404" a="1"/>
  <c r="AG838" i="404" a="1"/>
  <c r="AG839" i="404" a="1"/>
  <c r="AG840" i="404" a="1"/>
  <c r="AG841" i="404" a="1"/>
  <c r="AG842" i="404" a="1"/>
  <c r="AG843" i="404" a="1"/>
  <c r="AG844" i="404" a="1"/>
  <c r="AG845" i="404" a="1"/>
  <c r="AG846" i="404" a="1"/>
  <c r="AG847" i="404" a="1"/>
  <c r="AG848" i="404" a="1"/>
  <c r="AG849" i="404" a="1"/>
  <c r="AG850" i="404" a="1"/>
  <c r="AG851" i="404" a="1"/>
  <c r="AG852" i="404" a="1"/>
  <c r="AG853" i="404" a="1"/>
  <c r="AG854" i="404" a="1"/>
  <c r="AG855" i="404" a="1"/>
  <c r="AG856" i="404" a="1"/>
  <c r="AG857" i="404" a="1"/>
  <c r="AG858" i="404" a="1"/>
  <c r="AG859" i="404" a="1"/>
  <c r="AG860" i="404" a="1"/>
  <c r="AG861" i="404" a="1"/>
  <c r="AG862" i="404" a="1"/>
  <c r="AG863" i="404" a="1"/>
  <c r="AG864" i="404" a="1"/>
  <c r="AG865" i="404" a="1"/>
  <c r="AG866" i="404" a="1"/>
  <c r="AG867" i="404" a="1"/>
  <c r="AG868" i="404" a="1"/>
  <c r="AG869" i="404" a="1"/>
  <c r="AG870" i="404" a="1"/>
  <c r="AG871" i="404" a="1"/>
  <c r="AG872" i="404" a="1"/>
  <c r="AG873" i="404" a="1"/>
  <c r="AG874" i="404" a="1"/>
  <c r="AG875" i="404" a="1"/>
  <c r="AG876" i="404" a="1"/>
  <c r="AG877" i="404" a="1"/>
  <c r="AG878" i="404" a="1"/>
  <c r="AG879" i="404" a="1"/>
  <c r="AG880" i="404" a="1"/>
  <c r="AG881" i="404" a="1"/>
  <c r="AG882" i="404" a="1"/>
  <c r="AG883" i="404" a="1"/>
  <c r="AG884" i="404" a="1"/>
  <c r="AG885" i="404" a="1"/>
  <c r="AG886" i="404" a="1"/>
  <c r="AG887" i="404" a="1"/>
  <c r="AG888" i="404" a="1"/>
  <c r="AG889" i="404" a="1"/>
  <c r="AG890" i="404" a="1"/>
  <c r="AG891" i="404" a="1"/>
  <c r="AG892" i="404" a="1"/>
  <c r="AG893" i="404" a="1"/>
  <c r="AG894" i="404" a="1"/>
  <c r="AG895" i="404" a="1"/>
  <c r="AG896" i="404" a="1"/>
  <c r="AG897" i="404" a="1"/>
  <c r="AG898" i="404" a="1"/>
  <c r="AG899" i="404" a="1"/>
  <c r="AG900" i="404" a="1"/>
  <c r="AG901" i="404" a="1"/>
  <c r="AG902" i="404" a="1"/>
  <c r="AG903" i="404" a="1"/>
  <c r="AG904" i="404" a="1"/>
  <c r="AG905" i="404" a="1"/>
  <c r="AG906" i="404" a="1"/>
  <c r="AG907" i="404" a="1"/>
  <c r="AG908" i="404" a="1"/>
  <c r="AG909" i="404" a="1"/>
  <c r="AG910" i="404" a="1"/>
  <c r="AG911" i="404" a="1"/>
  <c r="AG912" i="404" a="1"/>
  <c r="AG913" i="404" a="1"/>
  <c r="AG914" i="404" a="1"/>
  <c r="AG915" i="404" a="1"/>
  <c r="AG916" i="404" a="1"/>
  <c r="AG917" i="404" a="1"/>
  <c r="AG918" i="404" a="1"/>
  <c r="AG919" i="404" a="1"/>
  <c r="AG920" i="404" a="1"/>
  <c r="AG921" i="404" a="1"/>
  <c r="AG922" i="404" a="1"/>
  <c r="AG923" i="404" a="1"/>
  <c r="AG924" i="404" a="1"/>
  <c r="AG925" i="404" a="1"/>
  <c r="AG926" i="404" a="1"/>
  <c r="AG927" i="404" a="1"/>
  <c r="AG928" i="404" a="1"/>
  <c r="AG929" i="404" a="1"/>
  <c r="AG930" i="404" a="1"/>
  <c r="AG931" i="404" a="1"/>
  <c r="AG932" i="404" a="1"/>
  <c r="AG933" i="404" a="1"/>
  <c r="AG934" i="404" a="1"/>
  <c r="AG935" i="404" a="1"/>
  <c r="AG936" i="404" a="1"/>
  <c r="AG937" i="404" a="1"/>
  <c r="AG938" i="404" a="1"/>
  <c r="AG939" i="404" a="1"/>
  <c r="AG940" i="404" a="1"/>
  <c r="AG941" i="404" a="1"/>
  <c r="AG942" i="404" a="1"/>
  <c r="AG943" i="404" a="1"/>
  <c r="AG944" i="404" a="1"/>
  <c r="AG945" i="404" a="1"/>
  <c r="AG946" i="404" a="1"/>
  <c r="AG947" i="404" a="1"/>
  <c r="AG948" i="404" a="1"/>
  <c r="AG949" i="404" a="1"/>
  <c r="AG950" i="404" a="1"/>
  <c r="AG951" i="404" a="1"/>
  <c r="AG952" i="404" a="1"/>
  <c r="AG953" i="404" a="1"/>
  <c r="AG954" i="404" a="1"/>
  <c r="AG955" i="404" a="1"/>
  <c r="AG956" i="404" a="1"/>
  <c r="AG957" i="404" a="1"/>
  <c r="AG958" i="404" a="1"/>
  <c r="AG959" i="404" a="1"/>
  <c r="AG960" i="404" a="1"/>
  <c r="AG961" i="404" a="1"/>
  <c r="AG962" i="404" a="1"/>
  <c r="AG963" i="404" a="1"/>
  <c r="AG964" i="404" a="1"/>
  <c r="AG965" i="404" a="1"/>
  <c r="AG966" i="404" a="1"/>
  <c r="AG967" i="404" a="1"/>
  <c r="AG968" i="404" a="1"/>
  <c r="AG969" i="404" a="1"/>
  <c r="AG970" i="404" a="1"/>
  <c r="AG971" i="404" a="1"/>
  <c r="AG972" i="404" a="1"/>
  <c r="AG973" i="404" a="1"/>
  <c r="AG974" i="404" a="1"/>
  <c r="AG975" i="404" a="1"/>
  <c r="AG976" i="404" a="1"/>
  <c r="AG977" i="404" a="1"/>
  <c r="AG978" i="404" a="1"/>
  <c r="AG979" i="404" a="1"/>
  <c r="AG980" i="404" a="1"/>
  <c r="AG981" i="404" a="1"/>
  <c r="AG982" i="404" a="1"/>
  <c r="AG983" i="404" a="1"/>
  <c r="AG984" i="404" a="1"/>
  <c r="AG985" i="404" a="1"/>
  <c r="AG986" i="404" a="1"/>
  <c r="AG987" i="404" a="1"/>
  <c r="AG988" i="404" a="1"/>
  <c r="AG989" i="404" a="1"/>
  <c r="AG990" i="404" a="1"/>
  <c r="AG991" i="404" a="1"/>
  <c r="AG992" i="404" a="1"/>
  <c r="AG993" i="404" a="1"/>
  <c r="AG994" i="404" a="1"/>
  <c r="AG995" i="404" a="1"/>
  <c r="AG996" i="404" a="1"/>
  <c r="AG997" i="404" a="1"/>
  <c r="AG998" i="404" a="1"/>
  <c r="AG999" i="404" a="1"/>
  <c r="AG1000" i="404" a="1"/>
  <c r="AG1001" i="404" a="1"/>
  <c r="AG1002" i="404" a="1"/>
  <c r="AG1003" i="404" a="1"/>
  <c r="AG1004" i="404" a="1"/>
  <c r="AG1005" i="404" a="1"/>
  <c r="AG1006" i="404" a="1"/>
  <c r="AG1007" i="404" a="1"/>
  <c r="AG1008" i="404" a="1"/>
  <c r="AG1009" i="404" a="1"/>
  <c r="AG1010" i="404" a="1"/>
  <c r="AG1011" i="404" a="1"/>
  <c r="AG1012" i="404" a="1"/>
  <c r="AG1013" i="404" a="1"/>
  <c r="AG1014" i="404" a="1"/>
  <c r="AG1015" i="404" a="1"/>
  <c r="AG1016" i="404" a="1"/>
  <c r="AG1017" i="404" a="1"/>
  <c r="AG1018" i="404" a="1"/>
  <c r="AG1019" i="404" a="1"/>
  <c r="AG1020" i="404" a="1"/>
  <c r="AG1021" i="404" a="1"/>
  <c r="AG1022" i="404" a="1"/>
  <c r="AG1023" i="404" a="1"/>
  <c r="AG1024" i="404" a="1"/>
  <c r="AG1025" i="404" a="1"/>
  <c r="AG1026" i="404" a="1"/>
  <c r="AG1027" i="404" a="1"/>
  <c r="AG1028" i="404" a="1"/>
  <c r="AG1029" i="404" a="1"/>
  <c r="AG1030" i="404" a="1"/>
  <c r="AG1031" i="404" a="1"/>
  <c r="AG1032" i="404" a="1"/>
  <c r="AG1033" i="404" a="1"/>
  <c r="AG1034" i="404" a="1"/>
  <c r="AG1035" i="404" a="1"/>
  <c r="AG1036" i="404" a="1"/>
  <c r="AG1037" i="404" a="1"/>
  <c r="AG1038" i="404" a="1"/>
  <c r="AG1039" i="404" a="1"/>
  <c r="AG1040" i="404" a="1"/>
  <c r="AG1041" i="404" a="1"/>
  <c r="AG1042" i="404" a="1"/>
  <c r="AG1043" i="404" a="1"/>
  <c r="AG1044" i="404" a="1"/>
  <c r="AG1045" i="404" a="1"/>
  <c r="AG1046" i="404" a="1"/>
  <c r="AG1047" i="404" a="1"/>
  <c r="AG1048" i="404" a="1"/>
  <c r="AG1049" i="404" a="1"/>
  <c r="AG1050" i="404" a="1"/>
  <c r="AG1051" i="404" a="1"/>
  <c r="AG1052" i="404" a="1"/>
  <c r="AG1053" i="404" a="1"/>
  <c r="AG1054" i="404" a="1"/>
  <c r="AG1055" i="404" a="1"/>
  <c r="AG1056" i="404" a="1"/>
  <c r="AG1057" i="404" a="1"/>
  <c r="AG1058" i="404" a="1"/>
  <c r="AG1059" i="404" a="1"/>
  <c r="AG1060" i="404" a="1"/>
  <c r="AG1061" i="404" a="1"/>
  <c r="AG1062" i="404" a="1"/>
  <c r="AG1063" i="404" a="1"/>
  <c r="AG1064" i="404" a="1"/>
  <c r="AG1065" i="404" a="1"/>
  <c r="AG1066" i="404" a="1"/>
  <c r="AG1067" i="404" a="1"/>
  <c r="AG1068" i="404" a="1"/>
  <c r="AG1069" i="404" a="1"/>
  <c r="AG1070" i="404" a="1"/>
  <c r="AG1071" i="404" a="1"/>
  <c r="AG1072" i="404" a="1"/>
  <c r="AG1073" i="404" a="1"/>
  <c r="AG1074" i="404" a="1"/>
  <c r="AG1075" i="404" a="1"/>
  <c r="AG1076" i="404" a="1"/>
  <c r="AG1077" i="404" a="1"/>
  <c r="AG1078" i="404" a="1"/>
  <c r="AG1079" i="404" a="1"/>
  <c r="AG1080" i="404" a="1"/>
  <c r="AG1081" i="404" a="1"/>
  <c r="AG1082" i="404" a="1"/>
  <c r="AG1083" i="404" a="1"/>
  <c r="AG1084" i="404" a="1"/>
  <c r="AG1085" i="404" a="1"/>
  <c r="AG1086" i="404" a="1"/>
  <c r="AG1087" i="404" a="1"/>
  <c r="AG1088" i="404" a="1"/>
  <c r="AG1089" i="404" a="1"/>
  <c r="AG1090" i="404" a="1"/>
  <c r="AG1091" i="404" a="1"/>
  <c r="AG1092" i="404" a="1"/>
  <c r="AG1093" i="404" a="1"/>
  <c r="AG1094" i="404" a="1"/>
  <c r="AG1095" i="404" a="1"/>
  <c r="AG1096" i="404" a="1"/>
  <c r="AG1097" i="404" a="1"/>
  <c r="AG1098" i="404" a="1"/>
  <c r="AG1099" i="404" a="1"/>
  <c r="AG1100" i="404" a="1"/>
  <c r="AG1101" i="404" a="1"/>
  <c r="AG1102" i="404" a="1"/>
  <c r="AG1103" i="404" a="1"/>
  <c r="AG1104" i="404" a="1"/>
  <c r="AG1105" i="404" a="1"/>
  <c r="AG1106" i="404" a="1"/>
  <c r="AG1107" i="404" a="1"/>
  <c r="AG1108" i="404" a="1"/>
  <c r="AG1109" i="404" a="1"/>
  <c r="AG1110" i="404" a="1"/>
  <c r="AG1111" i="404" a="1"/>
  <c r="AG1112" i="404" a="1"/>
  <c r="AG1113" i="404" a="1"/>
  <c r="AG1114" i="404" a="1"/>
  <c r="AG1115" i="404" a="1"/>
  <c r="AG1116" i="404" a="1"/>
  <c r="AG1117" i="404" a="1"/>
  <c r="AG1118" i="404" a="1"/>
  <c r="AG1119" i="404" a="1"/>
  <c r="AG1120" i="404" a="1"/>
  <c r="AG1121" i="404" a="1"/>
  <c r="AG1122" i="404" a="1"/>
  <c r="AG1123" i="404" a="1"/>
  <c r="AG1124" i="404" a="1"/>
  <c r="AG1125" i="404" a="1"/>
  <c r="AG1126" i="404" a="1"/>
  <c r="AG1127" i="404" a="1"/>
  <c r="AG1128" i="404" a="1"/>
  <c r="AG1129" i="404" a="1"/>
  <c r="AG1130" i="404" a="1"/>
  <c r="AG1131" i="404" a="1"/>
  <c r="AG1132" i="404" a="1"/>
  <c r="AG1133" i="404" a="1"/>
  <c r="AG1134" i="404" a="1"/>
  <c r="AG1135" i="404" a="1"/>
  <c r="AG1136" i="404" a="1"/>
  <c r="AG1137" i="404" a="1"/>
  <c r="AG1138" i="404" a="1"/>
  <c r="AG1139" i="404" a="1"/>
  <c r="AG1140" i="404" a="1"/>
  <c r="AG1141" i="404" a="1"/>
  <c r="AG1142" i="404" a="1"/>
  <c r="AG1143" i="404" a="1"/>
  <c r="AG1144" i="404" a="1"/>
  <c r="AG1145" i="404" a="1"/>
  <c r="AG1146" i="404" a="1"/>
  <c r="AG1147" i="404" a="1"/>
  <c r="AG1148" i="404" a="1"/>
  <c r="AG1149" i="404" a="1"/>
  <c r="AG1150" i="404" a="1"/>
  <c r="AG1151" i="404" a="1"/>
  <c r="AG1152" i="404" a="1"/>
  <c r="AG1153" i="404" a="1"/>
  <c r="AG1154" i="404" a="1"/>
  <c r="AG1155" i="404" a="1"/>
  <c r="AG1156" i="404" a="1"/>
  <c r="AG1157" i="404" a="1"/>
  <c r="AG1158" i="404" a="1"/>
  <c r="AG1159" i="404" a="1"/>
  <c r="AG1160" i="404" a="1"/>
  <c r="AG1161" i="404" a="1"/>
  <c r="AG1162" i="404" a="1"/>
  <c r="AG1163" i="404" a="1"/>
  <c r="AG1164" i="404" a="1"/>
  <c r="AG1165" i="404" a="1"/>
  <c r="AG1166" i="404" a="1"/>
  <c r="AG1167" i="404" a="1"/>
  <c r="AG1168" i="404" a="1"/>
  <c r="AG1169" i="404" a="1"/>
  <c r="AG1170" i="404" a="1"/>
  <c r="AG1171" i="404" a="1"/>
  <c r="AG1172" i="404" a="1"/>
  <c r="AG1173" i="404" a="1"/>
  <c r="AG1174" i="404" a="1"/>
  <c r="AG1175" i="404" a="1"/>
  <c r="AG1176" i="404" a="1"/>
  <c r="AG1177" i="404" a="1"/>
  <c r="AG1178" i="404" a="1"/>
  <c r="AG1179" i="404" a="1"/>
  <c r="AG1180" i="404" a="1"/>
  <c r="AG1181" i="404" a="1"/>
  <c r="AG1182" i="404" a="1"/>
  <c r="AG1183" i="404" a="1"/>
  <c r="AG1184" i="404" a="1"/>
  <c r="AG1185" i="404" a="1"/>
  <c r="AG1186" i="404" a="1"/>
  <c r="AG1187" i="404" a="1"/>
  <c r="AG1188" i="404" a="1"/>
  <c r="AG1189" i="404" a="1"/>
  <c r="AG1190" i="404" a="1"/>
  <c r="AG1191" i="404" a="1"/>
  <c r="AG1192" i="404" a="1"/>
  <c r="AG1193" i="404" a="1"/>
  <c r="AG1194" i="404" a="1"/>
  <c r="AG1195" i="404" a="1"/>
  <c r="AG1196" i="404" a="1"/>
  <c r="AG1197" i="404" a="1"/>
  <c r="AG1198" i="404" a="1"/>
  <c r="AG1199" i="404" a="1"/>
  <c r="AG1200" i="404" a="1"/>
  <c r="AG1201" i="404" a="1"/>
  <c r="AG1202" i="404" a="1"/>
  <c r="AG1203" i="404" a="1"/>
  <c r="AG1204" i="404" a="1"/>
  <c r="AG1205" i="404" a="1"/>
  <c r="AG1206" i="404" a="1"/>
  <c r="AG1207" i="404" a="1"/>
  <c r="AG1208" i="404" a="1"/>
  <c r="AG1209" i="404" a="1"/>
  <c r="AG1210" i="404" a="1"/>
  <c r="AG1211" i="404" a="1"/>
  <c r="AG1212" i="404" a="1"/>
  <c r="AG1213" i="404" a="1"/>
  <c r="AG1214" i="404" a="1"/>
  <c r="AG1215" i="404" a="1"/>
  <c r="AG1216" i="404" a="1"/>
  <c r="AG1217" i="404" a="1"/>
  <c r="AG1218" i="404" a="1"/>
  <c r="AG1219" i="404" a="1"/>
  <c r="AG1220" i="404" a="1"/>
  <c r="AG1221" i="404" a="1"/>
  <c r="AG1222" i="404" a="1"/>
  <c r="AG1223" i="404" a="1"/>
  <c r="AG1224" i="404" a="1"/>
  <c r="AG1225" i="404" a="1"/>
  <c r="AG1226" i="404" a="1"/>
  <c r="AG1227" i="404" a="1"/>
  <c r="AG1228" i="404" a="1"/>
  <c r="AG1229" i="404" a="1"/>
  <c r="AG1230" i="404" a="1"/>
  <c r="AG1231" i="404" a="1"/>
  <c r="AG1232" i="404" a="1"/>
  <c r="AG1233" i="404" a="1"/>
  <c r="AG1234" i="404" a="1"/>
  <c r="AG1235" i="404" a="1"/>
  <c r="AG1236" i="404" a="1"/>
  <c r="AG1237" i="404" a="1"/>
  <c r="AG1238" i="404" a="1"/>
  <c r="AG1239" i="404" a="1"/>
  <c r="AG1240" i="404" a="1"/>
  <c r="AG1241" i="404" a="1"/>
  <c r="AG1242" i="404" a="1"/>
  <c r="AG1243" i="404" a="1"/>
  <c r="AG1244" i="404" a="1"/>
  <c r="AG1245" i="404" a="1"/>
  <c r="AG1246" i="404" a="1"/>
  <c r="AG1247" i="404" a="1"/>
  <c r="AG1248" i="404" a="1"/>
  <c r="AG1249" i="404" a="1"/>
  <c r="AG1250" i="404" a="1"/>
  <c r="AG1251" i="404" a="1"/>
  <c r="AG1252" i="404" a="1"/>
  <c r="AG1253" i="404" a="1"/>
  <c r="AG1254" i="404" a="1"/>
  <c r="AG1255" i="404" a="1"/>
  <c r="AG1256" i="404" a="1"/>
  <c r="AG1257" i="404" a="1"/>
  <c r="AG1258" i="404" a="1"/>
  <c r="AG1259" i="404" a="1"/>
  <c r="AG1260" i="404" a="1"/>
  <c r="AG1261" i="404" a="1"/>
  <c r="AG1262" i="404" a="1"/>
  <c r="AG1263" i="404" a="1"/>
  <c r="AG1264" i="404" a="1"/>
  <c r="AG1265" i="404" a="1"/>
  <c r="AG1266" i="404" a="1"/>
  <c r="AG1267" i="404" a="1"/>
  <c r="AG1268" i="404" a="1"/>
  <c r="AG1269" i="404" a="1"/>
  <c r="AG1270" i="404" a="1"/>
  <c r="AG1271" i="404" a="1"/>
  <c r="AG1272" i="404" a="1"/>
  <c r="AG1273" i="404" a="1"/>
  <c r="AG1274" i="404" a="1"/>
  <c r="AG1275" i="404" a="1"/>
  <c r="AG1276" i="404" a="1"/>
  <c r="AG1277" i="404" a="1"/>
  <c r="AG1278" i="404" a="1"/>
  <c r="AG1279" i="404" a="1"/>
  <c r="AG1280" i="404" a="1"/>
  <c r="AG1281" i="404" a="1"/>
  <c r="AG1282" i="404" a="1"/>
  <c r="AG1283" i="404" a="1"/>
  <c r="AG1284" i="404" a="1"/>
  <c r="AG1285" i="404" a="1"/>
  <c r="AG1286" i="404" a="1"/>
  <c r="AG1287" i="404" a="1"/>
  <c r="AG1288" i="404" a="1"/>
  <c r="AG1289" i="404" a="1"/>
  <c r="AG1290" i="404" a="1"/>
  <c r="AG1291" i="404" a="1"/>
  <c r="AG1293" i="404" a="1"/>
  <c r="AG1294" i="404" a="1"/>
  <c r="AG1295" i="404" a="1"/>
  <c r="AG1296" i="404" a="1"/>
  <c r="AG1297" i="404" a="1"/>
  <c r="AG1299" i="404" a="1"/>
  <c r="AG1300" i="404" a="1"/>
  <c r="AG1301" i="404" a="1"/>
  <c r="AG1303" i="404" a="1"/>
  <c r="AG1306" i="404" a="1"/>
  <c r="AG1309" i="404" a="1"/>
  <c r="AG1312" i="404" a="1"/>
  <c r="AG1315" i="404" a="1"/>
  <c r="AG1318" i="404" a="1"/>
  <c r="AG1321" i="404" a="1"/>
  <c r="AG1325" i="404" a="1"/>
  <c r="AG1328" i="404" a="1"/>
  <c r="AG1330" i="404" a="1"/>
  <c r="AG1333" i="404" a="1"/>
  <c r="AG1336" i="404" a="1"/>
  <c r="AG1339" i="404" a="1"/>
  <c r="AG1342" i="404" a="1"/>
  <c r="AG1345" i="404" a="1"/>
  <c r="AG1348" i="404" a="1"/>
  <c r="AG1351" i="404" a="1"/>
  <c r="AG1355" i="404" a="1"/>
  <c r="AG1358" i="404" a="1"/>
  <c r="AG1363" i="404" a="1"/>
  <c r="AG1366" i="404" a="1"/>
  <c r="AG1369" i="404" a="1"/>
  <c r="AG1372" i="404" a="1"/>
  <c r="AG1375" i="404" a="1"/>
  <c r="AG1378" i="404" a="1"/>
  <c r="AG1382" i="404" a="1"/>
  <c r="AG1385" i="404" a="1"/>
  <c r="AG1388" i="404" a="1"/>
  <c r="AG1391" i="404" a="1"/>
  <c r="AG1394" i="404" a="1"/>
  <c r="AG1397" i="404" a="1"/>
  <c r="AG1400" i="404" a="1"/>
  <c r="AG1405" i="404" a="1"/>
  <c r="AG1408" i="404" a="1"/>
  <c r="AG1411" i="404" a="1"/>
  <c r="AG1414" i="404" a="1"/>
  <c r="AG1416" i="404" a="1"/>
  <c r="AG1419" i="404" a="1"/>
  <c r="AG1422" i="404" a="1"/>
  <c r="AG1427" i="404" a="1"/>
  <c r="AG1430" i="404" a="1"/>
  <c r="AG1433" i="404" a="1"/>
  <c r="AG1436" i="404" a="1"/>
  <c r="AG1439" i="404" a="1"/>
  <c r="AG1443" i="404" a="1"/>
  <c r="AG1447" i="404" a="1"/>
  <c r="AG1450" i="404" a="1"/>
  <c r="AG1453" i="404" a="1"/>
  <c r="AG1456" i="404" a="1"/>
  <c r="AG1459" i="404" a="1"/>
  <c r="AG1462" i="404" a="1"/>
  <c r="AG1463" i="404" a="1"/>
  <c r="AG1465" i="404" a="1"/>
  <c r="AG1467" i="404" a="1"/>
  <c r="AG1470" i="404" a="1"/>
  <c r="AG1472" i="404" a="1"/>
  <c r="AG1473" i="404" a="1"/>
  <c r="AG1476" i="404" a="1"/>
  <c r="AG1478" i="404" a="1"/>
  <c r="AG1479" i="404" a="1"/>
  <c r="AG1481" i="404" a="1"/>
  <c r="AG1483" i="404" a="1"/>
  <c r="AG1485" i="404" a="1"/>
  <c r="AG1487" i="404" a="1"/>
  <c r="AG1489" i="404" a="1"/>
  <c r="AG1492" i="404" a="1"/>
  <c r="AG1655" i="404" a="1"/>
  <c r="AG1659" i="404" a="1"/>
  <c r="AG1660" i="404" a="1"/>
  <c r="AG1665" i="404" a="1"/>
  <c r="AG1669" i="404" a="1"/>
  <c r="AG1672" i="404" a="1"/>
  <c r="AG1675" i="404" a="1"/>
  <c r="AG1678" i="404" a="1"/>
  <c r="AG1681" i="404" a="1"/>
  <c r="AG1684" i="404" a="1"/>
  <c r="AG1689" i="404" a="1"/>
  <c r="AG1694" i="404" a="1"/>
  <c r="AG1697" i="404" a="1"/>
  <c r="AG1702" i="404" a="1"/>
  <c r="AG1705" i="404" a="1"/>
  <c r="AG1708" i="404" a="1"/>
  <c r="AG1711" i="404" a="1"/>
  <c r="AG1715" i="404" a="1"/>
  <c r="AG1718" i="404" a="1"/>
  <c r="AG1721" i="404" a="1"/>
  <c r="AG1724" i="404" a="1"/>
  <c r="AG1727" i="404" a="1"/>
  <c r="AG1730" i="404" a="1"/>
  <c r="AG1734" i="404" a="1"/>
  <c r="AG1739" i="404" a="1"/>
  <c r="AG1743" i="404" a="1"/>
  <c r="AG1746" i="404" a="1"/>
  <c r="AG1749" i="404" a="1"/>
  <c r="AG1752" i="404" a="1"/>
  <c r="AG1755" i="404" a="1"/>
  <c r="AG1758" i="404" a="1"/>
  <c r="AG1761" i="404" a="1"/>
  <c r="AG1764" i="404" a="1"/>
  <c r="AG1767" i="404" a="1"/>
  <c r="AG1770" i="404" a="1"/>
  <c r="AG1774" i="404" a="1"/>
  <c r="AG1778" i="404" a="1"/>
  <c r="AG1780" i="404" a="1"/>
  <c r="AG1785" i="404" a="1"/>
  <c r="AG1787" i="404" a="1"/>
  <c r="AG1791" i="404" a="1"/>
  <c r="AG1794" i="404" a="1"/>
  <c r="AG1797" i="404" a="1"/>
  <c r="AG1800" i="404" a="1"/>
  <c r="AG1803" i="404" a="1"/>
  <c r="AG1806" i="404" a="1"/>
  <c r="AG1809" i="404" a="1"/>
  <c r="AG1812" i="404" a="1"/>
  <c r="AG1815" i="404" a="1"/>
  <c r="AG1817" i="404" a="1"/>
  <c r="AG1820" i="404" a="1"/>
  <c r="AG1822" i="404" a="1"/>
  <c r="AG1824" i="404" a="1"/>
  <c r="AG1826" i="404" a="1"/>
  <c r="AG1828" i="404" a="1"/>
  <c r="AG1830" i="404" a="1"/>
  <c r="AG1833" i="404" a="1"/>
  <c r="AG1836" i="404" a="1"/>
  <c r="AG3613" i="404" a="1"/>
  <c r="AG3619" i="404" a="1"/>
  <c r="AG3622" i="404" a="1"/>
  <c r="AG3627" i="404" a="1"/>
  <c r="AG3631" i="404" a="1"/>
  <c r="AG3637" i="404" a="1"/>
  <c r="AG3641" i="404" a="1"/>
  <c r="AG3644" i="404" a="1"/>
  <c r="AG3649" i="404" a="1"/>
  <c r="AG3653" i="404" a="1"/>
  <c r="AG3655" i="404" a="1"/>
  <c r="AG3657" i="404" a="1"/>
  <c r="AG3660" i="404" a="1"/>
  <c r="AG3664" i="404" a="1"/>
  <c r="AG3667" i="404" a="1"/>
  <c r="AG3673" i="404" a="1"/>
  <c r="AG3676" i="404" a="1"/>
  <c r="AG1837" i="404" a="1"/>
  <c r="AG1838" i="404" a="1"/>
  <c r="AG1839" i="404" a="1"/>
  <c r="AG1840" i="404" a="1"/>
  <c r="AG1841" i="404" a="1"/>
  <c r="AG1842" i="404" a="1"/>
  <c r="AG1843" i="404" a="1"/>
  <c r="AG1844" i="404" a="1"/>
  <c r="AG1845" i="404" a="1"/>
  <c r="AG1846" i="404" a="1"/>
  <c r="AG1847" i="404" a="1"/>
  <c r="AG1848" i="404" a="1"/>
  <c r="AG1849" i="404" a="1"/>
  <c r="AG1850" i="404" a="1"/>
  <c r="AG1851" i="404" a="1"/>
  <c r="AG1852" i="404" a="1"/>
  <c r="AG1853" i="404" a="1"/>
  <c r="AG1854" i="404" a="1"/>
  <c r="AG1855" i="404" a="1"/>
  <c r="AG1856" i="404" a="1"/>
  <c r="AG1857" i="404" a="1"/>
  <c r="AG1858" i="404" a="1"/>
  <c r="AG1859" i="404" a="1"/>
  <c r="AG1860" i="404" a="1"/>
  <c r="AG1861" i="404" a="1"/>
  <c r="AG1862" i="404" a="1"/>
  <c r="AG1863" i="404" a="1"/>
  <c r="AG1864" i="404" a="1"/>
  <c r="AG1865" i="404" a="1"/>
  <c r="AG1866" i="404" a="1"/>
  <c r="AG1867" i="404" a="1"/>
  <c r="AG1868" i="404" a="1"/>
  <c r="AG1869" i="404" a="1"/>
  <c r="AG1870" i="404" a="1"/>
  <c r="AG1871" i="404" a="1"/>
  <c r="AG1872" i="404" a="1"/>
  <c r="AG1873" i="404" a="1"/>
  <c r="AG1874" i="404" a="1"/>
  <c r="AG1875" i="404" a="1"/>
  <c r="AG1876" i="404" a="1"/>
  <c r="AG1877" i="404" a="1"/>
  <c r="AG1878" i="404" a="1"/>
  <c r="AG1879" i="404" a="1"/>
  <c r="AG1880" i="404" a="1"/>
  <c r="AG1881" i="404" a="1"/>
  <c r="AG1882" i="404" a="1"/>
  <c r="AG1883" i="404" a="1"/>
  <c r="AG1884" i="404" a="1"/>
  <c r="AG1885" i="404" a="1"/>
  <c r="AG1886" i="404" a="1"/>
  <c r="AG1887" i="404" a="1"/>
  <c r="AG1888" i="404" a="1"/>
  <c r="AG1889" i="404" a="1"/>
  <c r="AG1890" i="404" a="1"/>
  <c r="AG1891" i="404" a="1"/>
  <c r="AG1892" i="404" a="1"/>
  <c r="AG1893" i="404" a="1"/>
  <c r="AG1894" i="404" a="1"/>
  <c r="AG1895" i="404" a="1"/>
  <c r="AG1896" i="404" a="1"/>
  <c r="AG1897" i="404" a="1"/>
  <c r="AG1898" i="404" a="1"/>
  <c r="AG1899" i="404" a="1"/>
  <c r="AG1900" i="404" a="1"/>
  <c r="AG1901" i="404" a="1"/>
  <c r="AG1902" i="404" a="1"/>
  <c r="AG1903" i="404" a="1"/>
  <c r="AG1904" i="404" a="1"/>
  <c r="AG1905" i="404" a="1"/>
  <c r="AG1906" i="404" a="1"/>
  <c r="AG1907" i="404" a="1"/>
  <c r="AG1908" i="404" a="1"/>
  <c r="AG1909" i="404" a="1"/>
  <c r="AG1910" i="404" a="1"/>
  <c r="AG1911" i="404" a="1"/>
  <c r="AG1912" i="404" a="1"/>
  <c r="AG1913" i="404" a="1"/>
  <c r="AG1914" i="404" a="1"/>
  <c r="AG1915" i="404" a="1"/>
  <c r="AG1916" i="404" a="1"/>
  <c r="AG1917" i="404" a="1"/>
  <c r="AG1918" i="404" a="1"/>
  <c r="AG1919" i="404" a="1"/>
  <c r="AG1920" i="404" a="1"/>
  <c r="AG1921" i="404" a="1"/>
  <c r="AG1922" i="404" a="1"/>
  <c r="AG1923" i="404" a="1"/>
  <c r="AG1924" i="404" a="1"/>
  <c r="AG1925" i="404" a="1"/>
  <c r="AG1926" i="404" a="1"/>
  <c r="AG1927" i="404" a="1"/>
  <c r="AG1928" i="404" a="1"/>
  <c r="AG1929" i="404" a="1"/>
  <c r="AG1930" i="404" a="1"/>
  <c r="AG1931" i="404" a="1"/>
  <c r="AG1932" i="404" a="1"/>
  <c r="AG1933" i="404" a="1"/>
  <c r="AG1934" i="404" a="1"/>
  <c r="AG1935" i="404" a="1"/>
  <c r="AG1936" i="404" a="1"/>
  <c r="AG1937" i="404" a="1"/>
  <c r="AG1938" i="404" a="1"/>
  <c r="AG1939" i="404" a="1"/>
  <c r="AG1940" i="404" a="1"/>
  <c r="AG1941" i="404" a="1"/>
  <c r="AG1942" i="404" a="1"/>
  <c r="AG1943" i="404" a="1"/>
  <c r="AG1944" i="404" a="1"/>
  <c r="AG1945" i="404" a="1"/>
  <c r="AG1946" i="404" a="1"/>
  <c r="AG1947" i="404" a="1"/>
  <c r="AG1948" i="404" a="1"/>
  <c r="AG1949" i="404" a="1"/>
  <c r="AG1950" i="404" a="1"/>
  <c r="AG1951" i="404" a="1"/>
  <c r="AG1952" i="404" a="1"/>
  <c r="AG1953" i="404" a="1"/>
  <c r="AG1954" i="404" a="1"/>
  <c r="AG1955" i="404" a="1"/>
  <c r="AG1956" i="404" a="1"/>
  <c r="AG1957" i="404" a="1"/>
  <c r="AG1958" i="404" a="1"/>
  <c r="AG1959" i="404" a="1"/>
  <c r="AG1960" i="404" a="1"/>
  <c r="AG1961" i="404" a="1"/>
  <c r="AG1962" i="404" a="1"/>
  <c r="AG1963" i="404" a="1"/>
  <c r="AG1964" i="404" a="1"/>
  <c r="AG1965" i="404" a="1"/>
  <c r="AG1966" i="404" a="1"/>
  <c r="AG1967" i="404" a="1"/>
  <c r="AG1968" i="404" a="1"/>
  <c r="AG1969" i="404" a="1"/>
  <c r="AG1970" i="404" a="1"/>
  <c r="AG1971" i="404" a="1"/>
  <c r="AG1972" i="404" a="1"/>
  <c r="AG1973" i="404" a="1"/>
  <c r="AG1974" i="404" a="1"/>
  <c r="AG1975" i="404" a="1"/>
  <c r="AG1976" i="404" a="1"/>
  <c r="AG1977" i="404" a="1"/>
  <c r="AG1978" i="404" a="1"/>
  <c r="AG1979" i="404" a="1"/>
  <c r="AG1980" i="404" a="1"/>
  <c r="AG1981" i="404" a="1"/>
  <c r="AG1982" i="404" a="1"/>
  <c r="AG1983" i="404" a="1"/>
  <c r="AG1984" i="404" a="1"/>
  <c r="AG1985" i="404" a="1"/>
  <c r="AG1986" i="404" a="1"/>
  <c r="AG1987" i="404" a="1"/>
  <c r="AG1988" i="404" a="1"/>
  <c r="AG1989" i="404" a="1"/>
  <c r="AG1990" i="404" a="1"/>
  <c r="AG1991" i="404" a="1"/>
  <c r="AG1992" i="404" a="1"/>
  <c r="AG1993" i="404" a="1"/>
  <c r="AG1994" i="404" a="1"/>
  <c r="AG1995" i="404" a="1"/>
  <c r="AG1996" i="404" a="1"/>
  <c r="AG1997" i="404" a="1"/>
  <c r="AG1998" i="404" a="1"/>
  <c r="AG1999" i="404" a="1"/>
  <c r="AG2000" i="404" a="1"/>
  <c r="AG2001" i="404" a="1"/>
  <c r="AG2002" i="404" a="1"/>
  <c r="AG2003" i="404" a="1"/>
  <c r="AG2004" i="404" a="1"/>
  <c r="AG2005" i="404" a="1"/>
  <c r="AG2006" i="404" a="1"/>
  <c r="AG2007" i="404" a="1"/>
  <c r="AG2008" i="404" a="1"/>
  <c r="AG2009" i="404" a="1"/>
  <c r="AG2010" i="404" a="1"/>
  <c r="AG2011" i="404" a="1"/>
  <c r="AG2012" i="404" a="1"/>
  <c r="AG2013" i="404" a="1"/>
  <c r="AG2014" i="404" a="1"/>
  <c r="AG2015" i="404" a="1"/>
  <c r="AG2016" i="404" a="1"/>
  <c r="AG2017" i="404" a="1"/>
  <c r="AG2018" i="404" a="1"/>
  <c r="AG2019" i="404" a="1"/>
  <c r="AG2020" i="404" a="1"/>
  <c r="AG2021" i="404" a="1"/>
  <c r="AG2022" i="404" a="1"/>
  <c r="AG2023" i="404" a="1"/>
  <c r="AG2024" i="404" a="1"/>
  <c r="AG2025" i="404" a="1"/>
  <c r="AG2026" i="404" a="1"/>
  <c r="AG2027" i="404" a="1"/>
  <c r="AG2028" i="404" a="1"/>
  <c r="AG2029" i="404" a="1"/>
  <c r="AG2030" i="404" a="1"/>
  <c r="AG2031" i="404" a="1"/>
  <c r="AG2032" i="404" a="1"/>
  <c r="AG2033" i="404" a="1"/>
  <c r="AG2034" i="404" a="1"/>
  <c r="AG2035" i="404" a="1"/>
  <c r="AG2036" i="404" a="1"/>
  <c r="AG2037" i="404" a="1"/>
  <c r="AG2038" i="404" a="1"/>
  <c r="AG2039" i="404" a="1"/>
  <c r="AG2040" i="404" a="1"/>
  <c r="AG2041" i="404" a="1"/>
  <c r="AG2042" i="404" a="1"/>
  <c r="AG2043" i="404" a="1"/>
  <c r="AG2044" i="404" a="1"/>
  <c r="AG2045" i="404" a="1"/>
  <c r="AG2046" i="404" a="1"/>
  <c r="AG2047" i="404" a="1"/>
  <c r="AG2048" i="404" a="1"/>
  <c r="AG2049" i="404" a="1"/>
  <c r="AG2050" i="404" a="1"/>
  <c r="AG2051" i="404" a="1"/>
  <c r="AG2052" i="404" a="1"/>
  <c r="AG2053" i="404" a="1"/>
  <c r="AG2054" i="404" a="1"/>
  <c r="AG2055" i="404" a="1"/>
  <c r="AG2056" i="404" a="1"/>
  <c r="AG2057" i="404" a="1"/>
  <c r="AG2058" i="404" a="1"/>
  <c r="AG2059" i="404" a="1"/>
  <c r="AG2060" i="404" a="1"/>
  <c r="AG2061" i="404" a="1"/>
  <c r="AG2062" i="404" a="1"/>
  <c r="AG2063" i="404" a="1"/>
  <c r="AG2064" i="404" a="1"/>
  <c r="AG2065" i="404" a="1"/>
  <c r="AG2066" i="404" a="1"/>
  <c r="AG2067" i="404" a="1"/>
  <c r="AG2068" i="404" a="1"/>
  <c r="AG2069" i="404" a="1"/>
  <c r="AG2070" i="404" a="1"/>
  <c r="AG2071" i="404" a="1"/>
  <c r="AG2072" i="404" a="1"/>
  <c r="AG2073" i="404" a="1"/>
  <c r="AG2074" i="404" a="1"/>
  <c r="AG2075" i="404" a="1"/>
  <c r="AG2076" i="404" a="1"/>
  <c r="AG2077" i="404" a="1"/>
  <c r="AG2078" i="404" a="1"/>
  <c r="AG2079" i="404" a="1"/>
  <c r="AG2080" i="404" a="1"/>
  <c r="AG2081" i="404" a="1"/>
  <c r="AG2082" i="404" a="1"/>
  <c r="AG2083" i="404" a="1"/>
  <c r="AG2084" i="404" a="1"/>
  <c r="AG2085" i="404" a="1"/>
  <c r="AG2086" i="404" a="1"/>
  <c r="AG2087" i="404" a="1"/>
  <c r="AG2088" i="404" a="1"/>
  <c r="AG2089" i="404" a="1"/>
  <c r="AG2090" i="404" a="1"/>
  <c r="AG2091" i="404" a="1"/>
  <c r="AG2092" i="404" a="1"/>
  <c r="AG2093" i="404" a="1"/>
  <c r="AG2094" i="404" a="1"/>
  <c r="AG2095" i="404" a="1"/>
  <c r="AG2096" i="404" a="1"/>
  <c r="AG2097" i="404" a="1"/>
  <c r="AG2098" i="404" a="1"/>
  <c r="AG2099" i="404" a="1"/>
  <c r="AG2100" i="404" a="1"/>
  <c r="AG2101" i="404" a="1"/>
  <c r="AG2102" i="404" a="1"/>
  <c r="AG2103" i="404" a="1"/>
  <c r="AG2104" i="404" a="1"/>
  <c r="AG2105" i="404" a="1"/>
  <c r="AG2106" i="404" a="1"/>
  <c r="AG2107" i="404" a="1"/>
  <c r="AG2108" i="404" a="1"/>
  <c r="AG2109" i="404" a="1"/>
  <c r="AG2110" i="404" a="1"/>
  <c r="AG2111" i="404" a="1"/>
  <c r="AG2112" i="404" a="1"/>
  <c r="AG2113" i="404" a="1"/>
  <c r="AG2114" i="404" a="1"/>
  <c r="AG2115" i="404" a="1"/>
  <c r="AG2116" i="404" a="1"/>
  <c r="AG2117" i="404" a="1"/>
  <c r="AG2118" i="404" a="1"/>
  <c r="AG2119" i="404" a="1"/>
  <c r="AG2120" i="404" a="1"/>
  <c r="AG2121" i="404" a="1"/>
  <c r="AG2122" i="404" a="1"/>
  <c r="AG2123" i="404" a="1"/>
  <c r="AG2124" i="404" a="1"/>
  <c r="AG2125" i="404" a="1"/>
  <c r="AG2126" i="404" a="1"/>
  <c r="AG2127" i="404" a="1"/>
  <c r="AG2128" i="404" a="1"/>
  <c r="AG2129" i="404" a="1"/>
  <c r="AG2130" i="404" a="1"/>
  <c r="AG2131" i="404" a="1"/>
  <c r="AG2132" i="404" a="1"/>
  <c r="AG2133" i="404" a="1"/>
  <c r="AG2134" i="404" a="1"/>
  <c r="AG2135" i="404" a="1"/>
  <c r="AG2136" i="404" a="1"/>
  <c r="AG2137" i="404" a="1"/>
  <c r="AG2138" i="404" a="1"/>
  <c r="AG2139" i="404" a="1"/>
  <c r="AG2140" i="404" a="1"/>
  <c r="AG2141" i="404" a="1"/>
  <c r="AG2142" i="404" a="1"/>
  <c r="AG2143" i="404" a="1"/>
  <c r="AG2144" i="404" a="1"/>
  <c r="AG2145" i="404" a="1"/>
  <c r="AG2146" i="404" a="1"/>
  <c r="AG2147" i="404" a="1"/>
  <c r="AG2148" i="404" a="1"/>
  <c r="AG2149" i="404" a="1"/>
  <c r="AG2150" i="404" a="1"/>
  <c r="AG2151" i="404" a="1"/>
  <c r="AG2152" i="404" a="1"/>
  <c r="AG2153" i="404" a="1"/>
  <c r="AG2154" i="404" a="1"/>
  <c r="AG2155" i="404" a="1"/>
  <c r="AG2156" i="404" a="1"/>
  <c r="AG2157" i="404" a="1"/>
  <c r="AG2158" i="404" a="1"/>
  <c r="AG2159" i="404" a="1"/>
  <c r="AG2160" i="404" a="1"/>
  <c r="AG2161" i="404" a="1"/>
  <c r="AG2162" i="404" a="1"/>
  <c r="AG2163" i="404" a="1"/>
  <c r="AG2164" i="404" a="1"/>
  <c r="AG2165" i="404" a="1"/>
  <c r="AG2166" i="404" a="1"/>
  <c r="AG2167" i="404" a="1"/>
  <c r="AG2168" i="404" a="1"/>
  <c r="AG2169" i="404" a="1"/>
  <c r="AG2170" i="404" a="1"/>
  <c r="AG2171" i="404" a="1"/>
  <c r="AG2172" i="404" a="1"/>
  <c r="AG2173" i="404" a="1"/>
  <c r="AG2174" i="404" a="1"/>
  <c r="AG2175" i="404" a="1"/>
  <c r="AG2176" i="404" a="1"/>
  <c r="AG2177" i="404" a="1"/>
  <c r="AG2178" i="404" a="1"/>
  <c r="AG2179" i="404" a="1"/>
  <c r="AG2180" i="404" a="1"/>
  <c r="AG2181" i="404" a="1"/>
  <c r="AG2182" i="404" a="1"/>
  <c r="AG2183" i="404" a="1"/>
  <c r="AG2184" i="404" a="1"/>
  <c r="AG2185" i="404" a="1"/>
  <c r="AG2186" i="404" a="1"/>
  <c r="AG2187" i="404" a="1"/>
  <c r="AG2188" i="404" a="1"/>
  <c r="AG2189" i="404" a="1"/>
  <c r="AG2190" i="404" a="1"/>
  <c r="AG2191" i="404" a="1"/>
  <c r="AG2192" i="404" a="1"/>
  <c r="AG2193" i="404" a="1"/>
  <c r="AG2194" i="404" a="1"/>
  <c r="AG2195" i="404" a="1"/>
  <c r="AG2196" i="404" a="1"/>
  <c r="AG2197" i="404" a="1"/>
  <c r="AG2198" i="404" a="1"/>
  <c r="AG2199" i="404" a="1"/>
  <c r="AG2200" i="404" a="1"/>
  <c r="AG2201" i="404" a="1"/>
  <c r="AG2202" i="404" a="1"/>
  <c r="AG2203" i="404" a="1"/>
  <c r="AG2204" i="404" a="1"/>
  <c r="AG2205" i="404" a="1"/>
  <c r="AG2206" i="404" a="1"/>
  <c r="AG2207" i="404" a="1"/>
  <c r="AG2208" i="404" a="1"/>
  <c r="AG2209" i="404" a="1"/>
  <c r="AG2210" i="404" a="1"/>
  <c r="AG2211" i="404" a="1"/>
  <c r="AG2212" i="404" a="1"/>
  <c r="AG2213" i="404" a="1"/>
  <c r="AG2214" i="404" a="1"/>
  <c r="AG2215" i="404" a="1"/>
  <c r="AG2216" i="404" a="1"/>
  <c r="AG2217" i="404" a="1"/>
  <c r="AG2218" i="404" a="1"/>
  <c r="AG2219" i="404" a="1"/>
  <c r="AG2220" i="404" a="1"/>
  <c r="AG2221" i="404" a="1"/>
  <c r="AG2222" i="404" a="1"/>
  <c r="AG2223" i="404" a="1"/>
  <c r="AG2224" i="404" a="1"/>
  <c r="AG2225" i="404" a="1"/>
  <c r="AG2226" i="404" a="1"/>
  <c r="AG2227" i="404" a="1"/>
  <c r="AG2228" i="404" a="1"/>
  <c r="AG2229" i="404" a="1"/>
  <c r="AG2230" i="404" a="1"/>
  <c r="AG2231" i="404" a="1"/>
  <c r="AG2232" i="404" a="1"/>
  <c r="AG2233" i="404" a="1"/>
  <c r="AG2234" i="404" a="1"/>
  <c r="AG2235" i="404" a="1"/>
  <c r="AG2236" i="404" a="1"/>
  <c r="AG2237" i="404" a="1"/>
  <c r="AG2238" i="404" a="1"/>
  <c r="AG2239" i="404" a="1"/>
  <c r="AG2240" i="404" a="1"/>
  <c r="AG2241" i="404" a="1"/>
  <c r="AG2242" i="404" a="1"/>
  <c r="AG2243" i="404" a="1"/>
  <c r="AG2244" i="404" a="1"/>
  <c r="AG2245" i="404" a="1"/>
  <c r="AG2246" i="404" a="1"/>
  <c r="AG2247" i="404" a="1"/>
  <c r="AG2248" i="404" a="1"/>
  <c r="AG2249" i="404" a="1"/>
  <c r="AG2250" i="404" a="1"/>
  <c r="AG2251" i="404" a="1"/>
  <c r="AG2252" i="404" a="1"/>
  <c r="AG2253" i="404" a="1"/>
  <c r="AG2254" i="404" a="1"/>
  <c r="AG2255" i="404" a="1"/>
  <c r="AG2256" i="404" a="1"/>
  <c r="AG2257" i="404" a="1"/>
  <c r="AG2258" i="404" a="1"/>
  <c r="AG2259" i="404" a="1"/>
  <c r="AG2260" i="404" a="1"/>
  <c r="AG2261" i="404" a="1"/>
  <c r="AG2262" i="404" a="1"/>
  <c r="AG2263" i="404" a="1"/>
  <c r="AG2264" i="404" a="1"/>
  <c r="AG2265" i="404" a="1"/>
  <c r="AG2266" i="404" a="1"/>
  <c r="AG2267" i="404" a="1"/>
  <c r="AG2268" i="404" a="1"/>
  <c r="AG2269" i="404" a="1"/>
  <c r="AG2270" i="404" a="1"/>
  <c r="AG2271" i="404" a="1"/>
  <c r="AG2272" i="404" a="1"/>
  <c r="AG2273" i="404" a="1"/>
  <c r="AG2274" i="404" a="1"/>
  <c r="AG2275" i="404" a="1"/>
  <c r="AG2276" i="404" a="1"/>
  <c r="AG2277" i="404" a="1"/>
  <c r="AG2278" i="404" a="1"/>
  <c r="AG2279" i="404" a="1"/>
  <c r="AG2280" i="404" a="1"/>
  <c r="AG2281" i="404" a="1"/>
  <c r="AG2282" i="404" a="1"/>
  <c r="AG2283" i="404" a="1"/>
  <c r="AG2284" i="404" a="1"/>
  <c r="AG2285" i="404" a="1"/>
  <c r="AG2286" i="404" a="1"/>
  <c r="AG2287" i="404" a="1"/>
  <c r="AG2288" i="404" a="1"/>
  <c r="AG2289" i="404" a="1"/>
  <c r="AG2290" i="404" a="1"/>
  <c r="AG2291" i="404" a="1"/>
  <c r="AG2292" i="404" a="1"/>
  <c r="AG2293" i="404" a="1"/>
  <c r="AG2294" i="404" a="1"/>
  <c r="AG2295" i="404" a="1"/>
  <c r="AG2296" i="404" a="1"/>
  <c r="AG2297" i="404" a="1"/>
  <c r="AG2298" i="404" a="1"/>
  <c r="AG2299" i="404" a="1"/>
  <c r="AG2300" i="404" a="1"/>
  <c r="AG2301" i="404" a="1"/>
  <c r="AG2302" i="404" a="1"/>
  <c r="AG2303" i="404" a="1"/>
  <c r="AG2304" i="404" a="1"/>
  <c r="AG2305" i="404" a="1"/>
  <c r="AG2306" i="404" a="1"/>
  <c r="AG2307" i="404" a="1"/>
  <c r="AG2308" i="404" a="1"/>
  <c r="AG2309" i="404" a="1"/>
  <c r="AG2310" i="404" a="1"/>
  <c r="AG2311" i="404" a="1"/>
  <c r="AG2312" i="404" a="1"/>
  <c r="AG2313" i="404" a="1"/>
  <c r="AG2314" i="404" a="1"/>
  <c r="AG2315" i="404" a="1"/>
  <c r="AG2316" i="404" a="1"/>
  <c r="AG2317" i="404" a="1"/>
  <c r="AG2318" i="404" a="1"/>
  <c r="AG2319" i="404" a="1"/>
  <c r="AG2320" i="404" a="1"/>
  <c r="AG2321" i="404" a="1"/>
  <c r="AG2322" i="404" a="1"/>
  <c r="AG2323" i="404" a="1"/>
  <c r="AG2324" i="404" a="1"/>
  <c r="AG2325" i="404" a="1"/>
  <c r="AG2326" i="404" a="1"/>
  <c r="AG2327" i="404" a="1"/>
  <c r="AG2328" i="404" a="1"/>
  <c r="AG2329" i="404" a="1"/>
  <c r="AG2330" i="404" a="1"/>
  <c r="AG2331" i="404" a="1"/>
  <c r="AG2332" i="404" a="1"/>
  <c r="AG2333" i="404" a="1"/>
  <c r="AG2334" i="404" a="1"/>
  <c r="AG2335" i="404" a="1"/>
  <c r="AG2336" i="404" a="1"/>
  <c r="AG2337" i="404" a="1"/>
  <c r="AG2338" i="404" a="1"/>
  <c r="AG2339" i="404" a="1"/>
  <c r="AG2340" i="404" a="1"/>
  <c r="AG2341" i="404" a="1"/>
  <c r="AG2342" i="404" a="1"/>
  <c r="AG2343" i="404" a="1"/>
  <c r="AG2344" i="404" a="1"/>
  <c r="AG2345" i="404" a="1"/>
  <c r="AG2346" i="404" a="1"/>
  <c r="AG2347" i="404" a="1"/>
  <c r="AG2348" i="404" a="1"/>
  <c r="AG2349" i="404" a="1"/>
  <c r="AG2350" i="404" a="1"/>
  <c r="AG2351" i="404" a="1"/>
  <c r="AG2352" i="404" a="1"/>
  <c r="AG2353" i="404" a="1"/>
  <c r="AG2354" i="404" a="1"/>
  <c r="AG2355" i="404" a="1"/>
  <c r="AG2356" i="404" a="1"/>
  <c r="AG2357" i="404" a="1"/>
  <c r="AG2358" i="404" a="1"/>
  <c r="AG2359" i="404" a="1"/>
  <c r="AG2360" i="404" a="1"/>
  <c r="AG2361" i="404" a="1"/>
  <c r="AG2362" i="404" a="1"/>
  <c r="AG2363" i="404" a="1"/>
  <c r="AG2364" i="404" a="1"/>
  <c r="AG2365" i="404" a="1"/>
  <c r="AG2366" i="404" a="1"/>
  <c r="AG2367" i="404" a="1"/>
  <c r="AG2368" i="404" a="1"/>
  <c r="AG2369" i="404" a="1"/>
  <c r="AG2370" i="404" a="1"/>
  <c r="AG2371" i="404" a="1"/>
  <c r="AG2372" i="404" a="1"/>
  <c r="AG2373" i="404" a="1"/>
  <c r="AG2374" i="404" a="1"/>
  <c r="AG2375" i="404" a="1"/>
  <c r="AG2376" i="404" a="1"/>
  <c r="AG2377" i="404" a="1"/>
  <c r="AG2378" i="404" a="1"/>
  <c r="AG2379" i="404" a="1"/>
  <c r="AG2380" i="404" a="1"/>
  <c r="AG2381" i="404" a="1"/>
  <c r="AG2382" i="404" a="1"/>
  <c r="AG2383" i="404" a="1"/>
  <c r="AG2384" i="404" a="1"/>
  <c r="AG2385" i="404" a="1"/>
  <c r="AG2386" i="404" a="1"/>
  <c r="AG2387" i="404" a="1"/>
  <c r="AG2388" i="404" a="1"/>
  <c r="AG2389" i="404" a="1"/>
  <c r="AG2390" i="404" a="1"/>
  <c r="AG2391" i="404" a="1"/>
  <c r="AG2392" i="404" a="1"/>
  <c r="AG2393" i="404" a="1"/>
  <c r="AG2394" i="404" a="1"/>
  <c r="AG2395" i="404" a="1"/>
  <c r="AG2396" i="404" a="1"/>
  <c r="AG2397" i="404" a="1"/>
  <c r="AG2398" i="404" a="1"/>
  <c r="AG2399" i="404" a="1"/>
  <c r="AG2400" i="404" a="1"/>
  <c r="AG2401" i="404" a="1"/>
  <c r="AG2402" i="404" a="1"/>
  <c r="AG2403" i="404" a="1"/>
  <c r="AG2404" i="404" a="1"/>
  <c r="AG2405" i="404" a="1"/>
  <c r="AG2406" i="404" a="1"/>
  <c r="AG2407" i="404" a="1"/>
  <c r="AG2408" i="404" a="1"/>
  <c r="AG2409" i="404" a="1"/>
  <c r="AG2410" i="404" a="1"/>
  <c r="AG2411" i="404" a="1"/>
  <c r="AG2412" i="404" a="1"/>
  <c r="AG2413" i="404" a="1"/>
  <c r="AG2414" i="404" a="1"/>
  <c r="AG2415" i="404" a="1"/>
  <c r="AG2416" i="404" a="1"/>
  <c r="AG2417" i="404" a="1"/>
  <c r="AG2418" i="404" a="1"/>
  <c r="AG2419" i="404" a="1"/>
  <c r="AG2420" i="404" a="1"/>
  <c r="AG2421" i="404" a="1"/>
  <c r="AG2422" i="404" a="1"/>
  <c r="AG2423" i="404" a="1"/>
  <c r="AG2424" i="404" a="1"/>
  <c r="AG2425" i="404" a="1"/>
  <c r="AG2426" i="404" a="1"/>
  <c r="AG2427" i="404" a="1"/>
  <c r="AG2428" i="404" a="1"/>
  <c r="AG2429" i="404" a="1"/>
  <c r="AG2430" i="404" a="1"/>
  <c r="AG2431" i="404" a="1"/>
  <c r="AG2432" i="404" a="1"/>
  <c r="AG2433" i="404" a="1"/>
  <c r="AG2434" i="404" a="1"/>
  <c r="AG2435" i="404" a="1"/>
  <c r="AG2436" i="404" a="1"/>
  <c r="AG2437" i="404" a="1"/>
  <c r="AG2438" i="404" a="1"/>
  <c r="AG2439" i="404" a="1"/>
  <c r="AG2440" i="404" a="1"/>
  <c r="AG2441" i="404" a="1"/>
  <c r="AG2442" i="404" a="1"/>
  <c r="AG2443" i="404" a="1"/>
  <c r="AG2444" i="404" a="1"/>
  <c r="AG2445" i="404" a="1"/>
  <c r="AG2446" i="404" a="1"/>
  <c r="AG2447" i="404" a="1"/>
  <c r="AG2448" i="404" a="1"/>
  <c r="AG2449" i="404" a="1"/>
  <c r="AG2450" i="404" a="1"/>
  <c r="AG2451" i="404" a="1"/>
  <c r="AG2452" i="404" a="1"/>
  <c r="AG2453" i="404" a="1"/>
  <c r="AG2454" i="404" a="1"/>
  <c r="AG2455" i="404" a="1"/>
  <c r="AG2456" i="404" a="1"/>
  <c r="AG2457" i="404" a="1"/>
  <c r="AG2458" i="404" a="1"/>
  <c r="AG2459" i="404" a="1"/>
  <c r="AG2460" i="404" a="1"/>
  <c r="AG2461" i="404" a="1"/>
  <c r="AG2462" i="404" a="1"/>
  <c r="AG2463" i="404" a="1"/>
  <c r="AG2464" i="404" a="1"/>
  <c r="AG2465" i="404" a="1"/>
  <c r="AG2466" i="404" a="1"/>
  <c r="AG2467" i="404" a="1"/>
  <c r="AG2468" i="404" a="1"/>
  <c r="AG2469" i="404" a="1"/>
  <c r="AG2470" i="404" a="1"/>
  <c r="AG2471" i="404" a="1"/>
  <c r="AG2472" i="404" a="1"/>
  <c r="AG2473" i="404" a="1"/>
  <c r="AG2474" i="404" a="1"/>
  <c r="AG2475" i="404" a="1"/>
  <c r="AG2476" i="404" a="1"/>
  <c r="AG2477" i="404" a="1"/>
  <c r="AG2478" i="404" a="1"/>
  <c r="AG2479" i="404" a="1"/>
  <c r="AG2480" i="404" a="1"/>
  <c r="AG2481" i="404" a="1"/>
  <c r="AG2482" i="404" a="1"/>
  <c r="AG2483" i="404" a="1"/>
  <c r="AG2484" i="404" a="1"/>
  <c r="AG2485" i="404" a="1"/>
  <c r="AG2486" i="404" a="1"/>
  <c r="AG2487" i="404" a="1"/>
  <c r="AG2488" i="404" a="1"/>
  <c r="AG2489" i="404" a="1"/>
  <c r="AG2490" i="404" a="1"/>
  <c r="AG2491" i="404" a="1"/>
  <c r="AG2492" i="404" a="1"/>
  <c r="AG2493" i="404" a="1"/>
  <c r="AG2494" i="404" a="1"/>
  <c r="AG2495" i="404" a="1"/>
  <c r="AG2496" i="404" a="1"/>
  <c r="AG2497" i="404" a="1"/>
  <c r="AG2498" i="404" a="1"/>
  <c r="AG2499" i="404" a="1"/>
  <c r="AG2500" i="404" a="1"/>
  <c r="AG2501" i="404" a="1"/>
  <c r="AG2502" i="404" a="1"/>
  <c r="AG2503" i="404" a="1"/>
  <c r="AG2504" i="404" a="1"/>
  <c r="AG2505" i="404" a="1"/>
  <c r="AG2506" i="404" a="1"/>
  <c r="AG2507" i="404" a="1"/>
  <c r="AG2508" i="404" a="1"/>
  <c r="AG2509" i="404" a="1"/>
  <c r="AG2510" i="404" a="1"/>
  <c r="AG2511" i="404" a="1"/>
  <c r="AG2512" i="404" a="1"/>
  <c r="AG2513" i="404" a="1"/>
  <c r="AG2514" i="404" a="1"/>
  <c r="AG2515" i="404" a="1"/>
  <c r="AG2516" i="404" a="1"/>
  <c r="AG2517" i="404" a="1"/>
  <c r="AG2518" i="404" a="1"/>
  <c r="AG2519" i="404" a="1"/>
  <c r="AG2520" i="404" a="1"/>
  <c r="AG2521" i="404" a="1"/>
  <c r="AG2522" i="404" a="1"/>
  <c r="AG2523" i="404" a="1"/>
  <c r="AG2524" i="404" a="1"/>
  <c r="AG2525" i="404" a="1"/>
  <c r="AG2526" i="404" a="1"/>
  <c r="AG2527" i="404" a="1"/>
  <c r="AG2528" i="404" a="1"/>
  <c r="AG2529" i="404" a="1"/>
  <c r="AG2530" i="404" a="1"/>
  <c r="AG2531" i="404" a="1"/>
  <c r="AG2532" i="404" a="1"/>
  <c r="AG2533" i="404" a="1"/>
  <c r="AG2534" i="404" a="1"/>
  <c r="AG2535" i="404" a="1"/>
  <c r="AG2536" i="404" a="1"/>
  <c r="AG2537" i="404" a="1"/>
  <c r="AG2538" i="404" a="1"/>
  <c r="AG2539" i="404" a="1"/>
  <c r="AG2540" i="404" a="1"/>
  <c r="AG2541" i="404" a="1"/>
  <c r="AG2542" i="404" a="1"/>
  <c r="AG2543" i="404" a="1"/>
  <c r="AG2544" i="404" a="1"/>
  <c r="AG2545" i="404" a="1"/>
  <c r="AG2546" i="404" a="1"/>
  <c r="AG2547" i="404" a="1"/>
  <c r="AG2548" i="404" a="1"/>
  <c r="AG2549" i="404" a="1"/>
  <c r="AG2550" i="404" a="1"/>
  <c r="AG2551" i="404" a="1"/>
  <c r="AG2552" i="404" a="1"/>
  <c r="AG2553" i="404" a="1"/>
  <c r="AG2554" i="404" a="1"/>
  <c r="AG2555" i="404" a="1"/>
  <c r="AG2556" i="404" a="1"/>
  <c r="AG2557" i="404" a="1"/>
  <c r="AG2558" i="404" a="1"/>
  <c r="AG2559" i="404" a="1"/>
  <c r="AG2560" i="404" a="1"/>
  <c r="AG2561" i="404" a="1"/>
  <c r="AG2562" i="404" a="1"/>
  <c r="AG2563" i="404" a="1"/>
  <c r="AG2564" i="404" a="1"/>
  <c r="AG2565" i="404" a="1"/>
  <c r="AG2566" i="404" a="1"/>
  <c r="AG2567" i="404" a="1"/>
  <c r="AG2568" i="404" a="1"/>
  <c r="AG2569" i="404" a="1"/>
  <c r="AG2570" i="404" a="1"/>
  <c r="AG2571" i="404" a="1"/>
  <c r="AG2572" i="404" a="1"/>
  <c r="AG2573" i="404" a="1"/>
  <c r="AG2574" i="404" a="1"/>
  <c r="AG2575" i="404" a="1"/>
  <c r="AG2576" i="404" a="1"/>
  <c r="AG2577" i="404" a="1"/>
  <c r="AG2578" i="404" a="1"/>
  <c r="AG2579" i="404" a="1"/>
  <c r="AG2580" i="404" a="1"/>
  <c r="AG2581" i="404" a="1"/>
  <c r="AG2582" i="404" a="1"/>
  <c r="AG2583" i="404" a="1"/>
  <c r="AG2584" i="404" a="1"/>
  <c r="AG2585" i="404" a="1"/>
  <c r="AG2586" i="404" a="1"/>
  <c r="AG2587" i="404" a="1"/>
  <c r="AG2588" i="404" a="1"/>
  <c r="AG2589" i="404" a="1"/>
  <c r="AG2590" i="404" a="1"/>
  <c r="AG2591" i="404" a="1"/>
  <c r="AG2592" i="404" a="1"/>
  <c r="AG2593" i="404" a="1"/>
  <c r="AG2594" i="404" a="1"/>
  <c r="AG2595" i="404" a="1"/>
  <c r="AG2596" i="404" a="1"/>
  <c r="AG2597" i="404" a="1"/>
  <c r="AG2598" i="404" a="1"/>
  <c r="AG2599" i="404" a="1"/>
  <c r="AG2600" i="404" a="1"/>
  <c r="AG2601" i="404" a="1"/>
  <c r="AG2602" i="404" a="1"/>
  <c r="AG2603" i="404" a="1"/>
  <c r="AG2604" i="404" a="1"/>
  <c r="AG2605" i="404" a="1"/>
  <c r="AG2606" i="404" a="1"/>
  <c r="AG2607" i="404" a="1"/>
  <c r="AG2608" i="404" a="1"/>
  <c r="AG2609" i="404" a="1"/>
  <c r="AG2610" i="404" a="1"/>
  <c r="AG2611" i="404" a="1"/>
  <c r="AG2612" i="404" a="1"/>
  <c r="AG2613" i="404" a="1"/>
  <c r="AG2614" i="404" a="1"/>
  <c r="AG2615" i="404" a="1"/>
  <c r="AG2616" i="404" a="1"/>
  <c r="AG2617" i="404" a="1"/>
  <c r="AG2618" i="404" a="1"/>
  <c r="AG2619" i="404" a="1"/>
  <c r="AG2620" i="404" a="1"/>
  <c r="AG2621" i="404" a="1"/>
  <c r="AG2622" i="404" a="1"/>
  <c r="AG2623" i="404" a="1"/>
  <c r="AG2624" i="404" a="1"/>
  <c r="AG2625" i="404" a="1"/>
  <c r="AG2626" i="404" a="1"/>
  <c r="AG2627" i="404" a="1"/>
  <c r="AG2628" i="404" a="1"/>
  <c r="AG2629" i="404" a="1"/>
  <c r="AG2630" i="404" a="1"/>
  <c r="AG2631" i="404" a="1"/>
  <c r="AG2632" i="404" a="1"/>
  <c r="AG2633" i="404" a="1"/>
  <c r="AG2634" i="404" a="1"/>
  <c r="AG2635" i="404" a="1"/>
  <c r="AG2636" i="404" a="1"/>
  <c r="AG2637" i="404" a="1"/>
  <c r="AG2638" i="404" a="1"/>
  <c r="AG2639" i="404" a="1"/>
  <c r="AG2640" i="404" a="1"/>
  <c r="AG2641" i="404" a="1"/>
  <c r="AG2642" i="404" a="1"/>
  <c r="AG2643" i="404" a="1"/>
  <c r="AG2644" i="404" a="1"/>
  <c r="AG2645" i="404" a="1"/>
  <c r="AG2646" i="404" a="1"/>
  <c r="AG2647" i="404" a="1"/>
  <c r="AG2648" i="404" a="1"/>
  <c r="AG2649" i="404" a="1"/>
  <c r="AG2650" i="404" a="1"/>
  <c r="AG2651" i="404" a="1"/>
  <c r="AG2652" i="404" a="1"/>
  <c r="AG2653" i="404" a="1"/>
  <c r="AG2654" i="404" a="1"/>
  <c r="AG2655" i="404" a="1"/>
  <c r="AG2656" i="404" a="1"/>
  <c r="AG2657" i="404" a="1"/>
  <c r="AG2658" i="404" a="1"/>
  <c r="AG2659" i="404" a="1"/>
  <c r="AG2660" i="404" a="1"/>
  <c r="AG2661" i="404" a="1"/>
  <c r="AG2662" i="404" a="1"/>
  <c r="AG2663" i="404" a="1"/>
  <c r="AG2664" i="404" a="1"/>
  <c r="AG2665" i="404" a="1"/>
  <c r="AG2666" i="404" a="1"/>
  <c r="AG2667" i="404" a="1"/>
  <c r="AG2668" i="404" a="1"/>
  <c r="AG2669" i="404" a="1"/>
  <c r="AG2670" i="404" a="1"/>
  <c r="AG2671" i="404" a="1"/>
  <c r="AG2672" i="404" a="1"/>
  <c r="AG2673" i="404" a="1"/>
  <c r="AG2674" i="404" a="1"/>
  <c r="AG2675" i="404" a="1"/>
  <c r="AG2676" i="404" a="1"/>
  <c r="AG2677" i="404" a="1"/>
  <c r="AG2678" i="404" a="1"/>
  <c r="AG2679" i="404" a="1"/>
  <c r="AG2680" i="404" a="1"/>
  <c r="AG2681" i="404" a="1"/>
  <c r="AG2682" i="404" a="1"/>
  <c r="AG2683" i="404" a="1"/>
  <c r="AG2684" i="404" a="1"/>
  <c r="AG2685" i="404" a="1"/>
  <c r="AG2686" i="404" a="1"/>
  <c r="AG2687" i="404" a="1"/>
  <c r="AG2688" i="404" a="1"/>
  <c r="AG2689" i="404" a="1"/>
  <c r="AG2690" i="404" a="1"/>
  <c r="AG2691" i="404" a="1"/>
  <c r="AG2692" i="404" a="1"/>
  <c r="AG2693" i="404" a="1"/>
  <c r="AG2694" i="404" a="1"/>
  <c r="AG2695" i="404" a="1"/>
  <c r="AG2696" i="404" a="1"/>
  <c r="AG2697" i="404" a="1"/>
  <c r="AG2698" i="404" a="1"/>
  <c r="AG2699" i="404" a="1"/>
  <c r="AG2700" i="404" a="1"/>
  <c r="AG2701" i="404" a="1"/>
  <c r="AG2702" i="404" a="1"/>
  <c r="AG2703" i="404" a="1"/>
  <c r="AG2704" i="404" a="1"/>
  <c r="AG2705" i="404" a="1"/>
  <c r="AG2706" i="404" a="1"/>
  <c r="AG2707" i="404" a="1"/>
  <c r="AG2708" i="404" a="1"/>
  <c r="AG2709" i="404" a="1"/>
  <c r="AG2710" i="404" a="1"/>
  <c r="AG2711" i="404" a="1"/>
  <c r="AG2712" i="404" a="1"/>
  <c r="AG2713" i="404" a="1"/>
  <c r="AG2714" i="404" a="1"/>
  <c r="AG2715" i="404" a="1"/>
  <c r="AG2716" i="404" a="1"/>
  <c r="AG2717" i="404" a="1"/>
  <c r="AG2718" i="404" a="1"/>
  <c r="AG2719" i="404" a="1"/>
  <c r="AG2720" i="404" a="1"/>
  <c r="AG2721" i="404" a="1"/>
  <c r="AG2722" i="404" a="1"/>
  <c r="AG2723" i="404" a="1"/>
  <c r="AG2724" i="404" a="1"/>
  <c r="AG2725" i="404" a="1"/>
  <c r="AG2726" i="404" a="1"/>
  <c r="AG2727" i="404" a="1"/>
  <c r="AG2728" i="404" a="1"/>
  <c r="AG2729" i="404" a="1"/>
  <c r="AG2730" i="404" a="1"/>
  <c r="AG2731" i="404" a="1"/>
  <c r="AG2732" i="404" a="1"/>
  <c r="AG2733" i="404" a="1"/>
  <c r="AG2734" i="404" a="1"/>
  <c r="AG2735" i="404" a="1"/>
  <c r="AG2736" i="404" a="1"/>
  <c r="AG2737" i="404" a="1"/>
  <c r="AG2738" i="404" a="1"/>
  <c r="AG2739" i="404" a="1"/>
  <c r="AG2740" i="404" a="1"/>
  <c r="AG2741" i="404" a="1"/>
  <c r="AG2742" i="404" a="1"/>
  <c r="AG2743" i="404" a="1"/>
  <c r="AG2744" i="404" a="1"/>
  <c r="AG2745" i="404" a="1"/>
  <c r="AG2746" i="404" a="1"/>
  <c r="AG2747" i="404" a="1"/>
  <c r="AG2748" i="404" a="1"/>
  <c r="AG2749" i="404" a="1"/>
  <c r="AG2750" i="404" a="1"/>
  <c r="AG2751" i="404" a="1"/>
  <c r="AG2752" i="404" a="1"/>
  <c r="AG2753" i="404" a="1"/>
  <c r="AG2754" i="404" a="1"/>
  <c r="AG2755" i="404" a="1"/>
  <c r="AG2756" i="404" a="1"/>
  <c r="AG2757" i="404" a="1"/>
  <c r="AG2758" i="404" a="1"/>
  <c r="AG2759" i="404" a="1"/>
  <c r="AG2760" i="404" a="1"/>
  <c r="AG2761" i="404" a="1"/>
  <c r="AG2762" i="404" a="1"/>
  <c r="AG2763" i="404" a="1"/>
  <c r="AG2764" i="404" a="1"/>
  <c r="AG2765" i="404" a="1"/>
  <c r="AG2766" i="404" a="1"/>
  <c r="AG2767" i="404" a="1"/>
  <c r="AG2768" i="404" a="1"/>
  <c r="AG2769" i="404" a="1"/>
  <c r="AG2770" i="404" a="1"/>
  <c r="AG2771" i="404" a="1"/>
  <c r="AG2772" i="404" a="1"/>
  <c r="AG2773" i="404" a="1"/>
  <c r="AG2774" i="404" a="1"/>
  <c r="AG2775" i="404" a="1"/>
  <c r="AG2776" i="404" a="1"/>
  <c r="AG2777" i="404" a="1"/>
  <c r="AG2778" i="404" a="1"/>
  <c r="AG2779" i="404" a="1"/>
  <c r="AG2780" i="404" a="1"/>
  <c r="AG2781" i="404" a="1"/>
  <c r="AG2782" i="404" a="1"/>
  <c r="AG2783" i="404" a="1"/>
  <c r="AG2784" i="404" a="1"/>
  <c r="AG2785" i="404" a="1"/>
  <c r="AG2786" i="404" a="1"/>
  <c r="AG2787" i="404" a="1"/>
  <c r="AG2788" i="404" a="1"/>
  <c r="AG2789" i="404" a="1"/>
  <c r="AG2790" i="404" a="1"/>
  <c r="AG2791" i="404" a="1"/>
  <c r="AG2792" i="404" a="1"/>
  <c r="AG2793" i="404" a="1"/>
  <c r="AG2794" i="404" a="1"/>
  <c r="AG2795" i="404" a="1"/>
  <c r="AG2796" i="404" a="1"/>
  <c r="AG2797" i="404" a="1"/>
  <c r="AG2798" i="404" a="1"/>
  <c r="AG2799" i="404" a="1"/>
  <c r="AG2800" i="404" a="1"/>
  <c r="AG2801" i="404" a="1"/>
  <c r="AG2802" i="404" a="1"/>
  <c r="AG2803" i="404" a="1"/>
  <c r="AG2804" i="404" a="1"/>
  <c r="AG2805" i="404" a="1"/>
  <c r="AG2806" i="404" a="1"/>
  <c r="AG2807" i="404" a="1"/>
  <c r="AG2808" i="404" a="1"/>
  <c r="AG2809" i="404" a="1"/>
  <c r="AG2810" i="404" a="1"/>
  <c r="AG2811" i="404" a="1"/>
  <c r="AG2812" i="404" a="1"/>
  <c r="AG2813" i="404" a="1"/>
  <c r="AG2814" i="404" a="1"/>
  <c r="AG2815" i="404" a="1"/>
  <c r="AG2816" i="404" a="1"/>
  <c r="AG2817" i="404" a="1"/>
  <c r="AG2818" i="404" a="1"/>
  <c r="AG2819" i="404" a="1"/>
  <c r="AG2820" i="404" a="1"/>
  <c r="AG2821" i="404" a="1"/>
  <c r="AG2822" i="404" a="1"/>
  <c r="AG2823" i="404" a="1"/>
  <c r="AG2824" i="404" a="1"/>
  <c r="AG2825" i="404" a="1"/>
  <c r="AG2826" i="404" a="1"/>
  <c r="AG2827" i="404" a="1"/>
  <c r="AG2828" i="404" a="1"/>
  <c r="AG2829" i="404" a="1"/>
  <c r="AG2830" i="404" a="1"/>
  <c r="AG2831" i="404" a="1"/>
  <c r="AG2832" i="404" a="1"/>
  <c r="AG2833" i="404" a="1"/>
  <c r="AG2834" i="404" a="1"/>
  <c r="AG2835" i="404" a="1"/>
  <c r="AG2836" i="404" a="1"/>
  <c r="AG2837" i="404" a="1"/>
  <c r="AG2838" i="404" a="1"/>
  <c r="AG2839" i="404" a="1"/>
  <c r="AG2840" i="404" a="1"/>
  <c r="AG2841" i="404" a="1"/>
  <c r="AG2842" i="404" a="1"/>
  <c r="AG2843" i="404" a="1"/>
  <c r="AG2844" i="404" a="1"/>
  <c r="AG2845" i="404" a="1"/>
  <c r="AG2846" i="404" a="1"/>
  <c r="AG2847" i="404" a="1"/>
  <c r="AG2848" i="404" a="1"/>
  <c r="AG2849" i="404" a="1"/>
  <c r="AG2850" i="404" a="1"/>
  <c r="AG2851" i="404" a="1"/>
  <c r="AG2852" i="404" a="1"/>
  <c r="AG2853" i="404" a="1"/>
  <c r="AG2854" i="404" a="1"/>
  <c r="AG2855" i="404" a="1"/>
  <c r="AG2856" i="404" a="1"/>
  <c r="AG2857" i="404" a="1"/>
  <c r="AG2858" i="404" a="1"/>
  <c r="AG2859" i="404" a="1"/>
  <c r="AG2860" i="404" a="1"/>
  <c r="AG2861" i="404" a="1"/>
  <c r="AG2862" i="404" a="1"/>
  <c r="AG2863" i="404" a="1"/>
  <c r="AG2864" i="404" a="1"/>
  <c r="AG2865" i="404" a="1"/>
  <c r="AG2866" i="404" a="1"/>
  <c r="AG2867" i="404" a="1"/>
  <c r="AG2868" i="404" a="1"/>
  <c r="AG2869" i="404" a="1"/>
  <c r="AG2870" i="404" a="1"/>
  <c r="AG2871" i="404" a="1"/>
  <c r="AG2872" i="404" a="1"/>
  <c r="AG2873" i="404" a="1"/>
  <c r="AG2874" i="404" a="1"/>
  <c r="AG2875" i="404" a="1"/>
  <c r="AG2876" i="404" a="1"/>
  <c r="AG2877" i="404" a="1"/>
  <c r="AG2878" i="404" a="1"/>
  <c r="AG2879" i="404" a="1"/>
  <c r="AG2880" i="404" a="1"/>
  <c r="AG2881" i="404" a="1"/>
  <c r="AG2882" i="404" a="1"/>
  <c r="AG2883" i="404" a="1"/>
  <c r="AG2884" i="404" a="1"/>
  <c r="AG2885" i="404" a="1"/>
  <c r="AG2886" i="404" a="1"/>
  <c r="AG2887" i="404" a="1"/>
  <c r="AG2888" i="404" a="1"/>
  <c r="AG2889" i="404" a="1"/>
  <c r="AG2890" i="404" a="1"/>
  <c r="AG2891" i="404" a="1"/>
  <c r="AG2892" i="404" a="1"/>
  <c r="AG2893" i="404" a="1"/>
  <c r="AG2894" i="404" a="1"/>
  <c r="AG2895" i="404" a="1"/>
  <c r="AG2896" i="404" a="1"/>
  <c r="AG2897" i="404" a="1"/>
  <c r="AG2898" i="404" a="1"/>
  <c r="AG2899" i="404" a="1"/>
  <c r="AG2900" i="404" a="1"/>
  <c r="AG2901" i="404" a="1"/>
  <c r="AG2902" i="404" a="1"/>
  <c r="AG2903" i="404" a="1"/>
  <c r="AG2904" i="404" a="1"/>
  <c r="AG2905" i="404" a="1"/>
  <c r="AG2906" i="404" a="1"/>
  <c r="AG2907" i="404" a="1"/>
  <c r="AG2908" i="404" a="1"/>
  <c r="AG2909" i="404" a="1"/>
  <c r="AG2910" i="404" a="1"/>
  <c r="AG2911" i="404" a="1"/>
  <c r="AG2912" i="404" a="1"/>
  <c r="AG2913" i="404" a="1"/>
  <c r="AG2914" i="404" a="1"/>
  <c r="AG2915" i="404" a="1"/>
  <c r="AG2916" i="404" a="1"/>
  <c r="AG2917" i="404" a="1"/>
  <c r="AG2918" i="404" a="1"/>
  <c r="AG2919" i="404" a="1"/>
  <c r="AG2920" i="404" a="1"/>
  <c r="AG2921" i="404" a="1"/>
  <c r="AG2922" i="404" a="1"/>
  <c r="AG2923" i="404" a="1"/>
  <c r="AG2924" i="404" a="1"/>
  <c r="AG2925" i="404" a="1"/>
  <c r="AG2926" i="404" a="1"/>
  <c r="AG2927" i="404" a="1"/>
  <c r="AG2928" i="404" a="1"/>
  <c r="AG2929" i="404" a="1"/>
  <c r="AG2930" i="404" a="1"/>
  <c r="AG2931" i="404" a="1"/>
  <c r="AG2932" i="404" a="1"/>
  <c r="AG2933" i="404" a="1"/>
  <c r="AG2934" i="404" a="1"/>
  <c r="AG2935" i="404" a="1"/>
  <c r="AG2936" i="404" a="1"/>
  <c r="AG2937" i="404" a="1"/>
  <c r="AG2938" i="404" a="1"/>
  <c r="AG2939" i="404" a="1"/>
  <c r="AG2940" i="404" a="1"/>
  <c r="AG2941" i="404" a="1"/>
  <c r="AG2942" i="404" a="1"/>
  <c r="AG2943" i="404" a="1"/>
  <c r="AG2944" i="404" a="1"/>
  <c r="AG2945" i="404" a="1"/>
  <c r="AG2946" i="404" a="1"/>
  <c r="AG2947" i="404" a="1"/>
  <c r="AG2948" i="404" a="1"/>
  <c r="AG2949" i="404" a="1"/>
  <c r="AG2950" i="404" a="1"/>
  <c r="AG2951" i="404" a="1"/>
  <c r="AG2952" i="404" a="1"/>
  <c r="AG2953" i="404" a="1"/>
  <c r="AG2954" i="404" a="1"/>
  <c r="AG2955" i="404" a="1"/>
  <c r="AG2956" i="404" a="1"/>
  <c r="AG2957" i="404" a="1"/>
  <c r="AG2958" i="404" a="1"/>
  <c r="AG2959" i="404" a="1"/>
  <c r="AG2960" i="404" a="1"/>
  <c r="AG2961" i="404" a="1"/>
  <c r="AG2962" i="404" a="1"/>
  <c r="AG2963" i="404" a="1"/>
  <c r="AG2964" i="404" a="1"/>
  <c r="AG2965" i="404" a="1"/>
  <c r="AG2966" i="404" a="1"/>
  <c r="AG2967" i="404" a="1"/>
  <c r="AG2968" i="404" a="1"/>
  <c r="AG2969" i="404" a="1"/>
  <c r="AG2970" i="404" a="1"/>
  <c r="AG2971" i="404" a="1"/>
  <c r="AG2972" i="404" a="1"/>
  <c r="AG2973" i="404" a="1"/>
  <c r="AG2974" i="404" a="1"/>
  <c r="AG2975" i="404" a="1"/>
  <c r="AG2976" i="404" a="1"/>
  <c r="AG2977" i="404" a="1"/>
  <c r="AG2978" i="404" a="1"/>
  <c r="AG2979" i="404" a="1"/>
  <c r="AG2980" i="404" a="1"/>
  <c r="AG2981" i="404" a="1"/>
  <c r="AG2982" i="404" a="1"/>
  <c r="AG2983" i="404" a="1"/>
  <c r="AG2984" i="404" a="1"/>
  <c r="AG2985" i="404" a="1"/>
  <c r="AG2986" i="404" a="1"/>
  <c r="AG2987" i="404" a="1"/>
  <c r="AG2988" i="404" a="1"/>
  <c r="AG2989" i="404" a="1"/>
  <c r="AG2990" i="404" a="1"/>
  <c r="AG2991" i="404" a="1"/>
  <c r="AG2992" i="404" a="1"/>
  <c r="AG2993" i="404" a="1"/>
  <c r="AG2994" i="404" a="1"/>
  <c r="AG2995" i="404" a="1"/>
  <c r="AG2996" i="404" a="1"/>
  <c r="AG2997" i="404" a="1"/>
  <c r="AG2998" i="404" a="1"/>
  <c r="AG2999" i="404" a="1"/>
  <c r="AG3000" i="404" a="1"/>
  <c r="AG3001" i="404" a="1"/>
  <c r="AG3002" i="404" a="1"/>
  <c r="AG3003" i="404" a="1"/>
  <c r="AG3004" i="404" a="1"/>
  <c r="AG3005" i="404" a="1"/>
  <c r="AG3006" i="404" a="1"/>
  <c r="AG3007" i="404" a="1"/>
  <c r="AG3008" i="404" a="1"/>
  <c r="AG3009" i="404" a="1"/>
  <c r="AG3010" i="404" a="1"/>
  <c r="AG3011" i="404" a="1"/>
  <c r="AG3012" i="404" a="1"/>
  <c r="AG3013" i="404" a="1"/>
  <c r="AG3014" i="404" a="1"/>
  <c r="AG3015" i="404" a="1"/>
  <c r="AG3016" i="404" a="1"/>
  <c r="AG3017" i="404" a="1"/>
  <c r="AG3018" i="404" a="1"/>
  <c r="AG3019" i="404" a="1"/>
  <c r="AG3020" i="404" a="1"/>
  <c r="AG3021" i="404" a="1"/>
  <c r="AG3022" i="404" a="1"/>
  <c r="AG3023" i="404" a="1"/>
  <c r="AG3024" i="404" a="1"/>
  <c r="AG3025" i="404" a="1"/>
  <c r="AG3026" i="404" a="1"/>
  <c r="AG3027" i="404" a="1"/>
  <c r="AG3028" i="404" a="1"/>
  <c r="AG3029" i="404" a="1"/>
  <c r="AG3030" i="404" a="1"/>
  <c r="AG3031" i="404" a="1"/>
  <c r="AG3032" i="404" a="1"/>
  <c r="AG3033" i="404" a="1"/>
  <c r="AG3034" i="404" a="1"/>
  <c r="AG3035" i="404" a="1"/>
  <c r="AG3036" i="404" a="1"/>
  <c r="AG3037" i="404" a="1"/>
  <c r="AG3038" i="404" a="1"/>
  <c r="AG3039" i="404" a="1"/>
  <c r="AG3040" i="404" a="1"/>
  <c r="AG3041" i="404" a="1"/>
  <c r="AG3042" i="404" a="1"/>
  <c r="AG3043" i="404" a="1"/>
  <c r="AG3044" i="404" a="1"/>
  <c r="AG3045" i="404" a="1"/>
  <c r="AG3046" i="404" a="1"/>
  <c r="AG3047" i="404" a="1"/>
  <c r="AG3048" i="404" a="1"/>
  <c r="AG3049" i="404" a="1"/>
  <c r="AG3050" i="404" a="1"/>
  <c r="AG3051" i="404" a="1"/>
  <c r="AG3052" i="404" a="1"/>
  <c r="AG3053" i="404" a="1"/>
  <c r="AG3054" i="404" a="1"/>
  <c r="AG3055" i="404" a="1"/>
  <c r="AG3056" i="404" a="1"/>
  <c r="AG3057" i="404" a="1"/>
  <c r="AG3058" i="404" a="1"/>
  <c r="AG3059" i="404" a="1"/>
  <c r="AG3060" i="404" a="1"/>
  <c r="AG3061" i="404" a="1"/>
  <c r="AG3062" i="404" a="1"/>
  <c r="AG3063" i="404" a="1"/>
  <c r="AG3064" i="404" a="1"/>
  <c r="AG3065" i="404" a="1"/>
  <c r="AG3066" i="404" a="1"/>
  <c r="AG3067" i="404" a="1"/>
  <c r="AG3068" i="404" a="1"/>
  <c r="AG3069" i="404" a="1"/>
  <c r="AG3070" i="404" a="1"/>
  <c r="AG3071" i="404" a="1"/>
  <c r="AG3072" i="404" a="1"/>
  <c r="AG3073" i="404" a="1"/>
  <c r="AG3074" i="404" a="1"/>
  <c r="AG3075" i="404" a="1"/>
  <c r="AG3076" i="404" a="1"/>
  <c r="AG3077" i="404" a="1"/>
  <c r="AG3078" i="404" a="1"/>
  <c r="AG3079" i="404" a="1"/>
  <c r="AG3080" i="404" a="1"/>
  <c r="AG3081" i="404" a="1"/>
  <c r="AG3082" i="404" a="1"/>
  <c r="AG3083" i="404" a="1"/>
  <c r="AG3084" i="404" a="1"/>
  <c r="AG3085" i="404" a="1"/>
  <c r="AG3086" i="404" a="1"/>
  <c r="AG3087" i="404" a="1"/>
  <c r="AG3088" i="404" a="1"/>
  <c r="AG3089" i="404" a="1"/>
  <c r="AG3090" i="404" a="1"/>
  <c r="AG3091" i="404" a="1"/>
  <c r="AG3092" i="404" a="1"/>
  <c r="AG3093" i="404" a="1"/>
  <c r="AG3094" i="404" a="1"/>
  <c r="AG3095" i="404" a="1"/>
  <c r="AG3096" i="404" a="1"/>
  <c r="AG3097" i="404" a="1"/>
  <c r="AG3098" i="404" a="1"/>
  <c r="AG3099" i="404" a="1"/>
  <c r="AG3100" i="404" a="1"/>
  <c r="AG3101" i="404" a="1"/>
  <c r="AG3102" i="404" a="1"/>
  <c r="AG3103" i="404" a="1"/>
  <c r="AG3104" i="404" a="1"/>
  <c r="AG3105" i="404" a="1"/>
  <c r="AG3106" i="404" a="1"/>
  <c r="AG3107" i="404" a="1"/>
  <c r="AG3108" i="404" a="1"/>
  <c r="AG3109" i="404" a="1"/>
  <c r="AG3110" i="404" a="1"/>
  <c r="AG3111" i="404" a="1"/>
  <c r="AG3112" i="404" a="1"/>
  <c r="AG3113" i="404" a="1"/>
  <c r="AG3114" i="404" a="1"/>
  <c r="AG3115" i="404" a="1"/>
  <c r="AG3116" i="404" a="1"/>
  <c r="AG3117" i="404" a="1"/>
  <c r="AG3118" i="404" a="1"/>
  <c r="AG3119" i="404" a="1"/>
  <c r="AG3120" i="404" a="1"/>
  <c r="AG3121" i="404" a="1"/>
  <c r="AG3122" i="404" a="1"/>
  <c r="AG3123" i="404" a="1"/>
  <c r="AG3124" i="404" a="1"/>
  <c r="AG3125" i="404" a="1"/>
  <c r="AG3126" i="404" a="1"/>
  <c r="AG3127" i="404" a="1"/>
  <c r="AG3128" i="404" a="1"/>
  <c r="AG3129" i="404" a="1"/>
  <c r="AG3130" i="404" a="1"/>
  <c r="AG3131" i="404" a="1"/>
  <c r="AG3132" i="404" a="1"/>
  <c r="AG3133" i="404" a="1"/>
  <c r="AG3134" i="404" a="1"/>
  <c r="AG3135" i="404" a="1"/>
  <c r="AG3136" i="404" a="1"/>
  <c r="AG3137" i="404" a="1"/>
  <c r="AG3138" i="404" a="1"/>
  <c r="AG3139" i="404" a="1"/>
  <c r="AG3140" i="404" a="1"/>
  <c r="AG3141" i="404" a="1"/>
  <c r="AG3142" i="404" a="1"/>
  <c r="AG3143" i="404" a="1"/>
  <c r="AG3144" i="404" a="1"/>
  <c r="AG3145" i="404" a="1"/>
  <c r="AG3146" i="404" a="1"/>
  <c r="AG3147" i="404" a="1"/>
  <c r="AG3148" i="404" a="1"/>
  <c r="AG3149" i="404" a="1"/>
  <c r="AG3150" i="404" a="1"/>
  <c r="AG3151" i="404" a="1"/>
  <c r="AG3152" i="404" a="1"/>
  <c r="AG3153" i="404" a="1"/>
  <c r="AG3154" i="404" a="1"/>
  <c r="AG3155" i="404" a="1"/>
  <c r="AG3156" i="404" a="1"/>
  <c r="AG3157" i="404" a="1"/>
  <c r="AG3158" i="404" a="1"/>
  <c r="AG3159" i="404" a="1"/>
  <c r="AG3160" i="404" a="1"/>
  <c r="AG3161" i="404" a="1"/>
  <c r="AG3162" i="404" a="1"/>
  <c r="AG3163" i="404" a="1"/>
  <c r="AG3164" i="404" a="1"/>
  <c r="AG3165" i="404" a="1"/>
  <c r="AG3166" i="404" a="1"/>
  <c r="AG3167" i="404" a="1"/>
  <c r="AG3168" i="404" a="1"/>
  <c r="AG3169" i="404" a="1"/>
  <c r="AG3170" i="404" a="1"/>
  <c r="AG3171" i="404" a="1"/>
  <c r="AG3172" i="404" a="1"/>
  <c r="AG3173" i="404" a="1"/>
  <c r="AG3174" i="404" a="1"/>
  <c r="AG3175" i="404" a="1"/>
  <c r="AG3176" i="404" a="1"/>
  <c r="AG3177" i="404" a="1"/>
  <c r="AG3178" i="404" a="1"/>
  <c r="AG3179" i="404" a="1"/>
  <c r="AG3180" i="404" a="1"/>
  <c r="AG3181" i="404" a="1"/>
  <c r="AG3182" i="404" a="1"/>
  <c r="AG3183" i="404" a="1"/>
  <c r="AG3184" i="404" a="1"/>
  <c r="AG3185" i="404" a="1"/>
  <c r="AG3186" i="404" a="1"/>
  <c r="AG3187" i="404" a="1"/>
  <c r="AG3188" i="404" a="1"/>
  <c r="AG3189" i="404" a="1"/>
  <c r="AG3190" i="404" a="1"/>
  <c r="AG3191" i="404" a="1"/>
  <c r="AG3192" i="404" a="1"/>
  <c r="AG3193" i="404" a="1"/>
  <c r="AG3194" i="404" a="1"/>
  <c r="AG3195" i="404" a="1"/>
  <c r="AG3196" i="404" a="1"/>
  <c r="AG3197" i="404" a="1"/>
  <c r="AG3198" i="404" a="1"/>
  <c r="AG3199" i="404" a="1"/>
  <c r="AG3200" i="404" a="1"/>
  <c r="AG3201" i="404" a="1"/>
  <c r="AG3202" i="404" a="1"/>
  <c r="AG3203" i="404" a="1"/>
  <c r="AG3204" i="404" a="1"/>
  <c r="AG3205" i="404" a="1"/>
  <c r="AG3206" i="404" a="1"/>
  <c r="AG3207" i="404" a="1"/>
  <c r="AG3208" i="404" a="1"/>
  <c r="AG3209" i="404" a="1"/>
  <c r="AG3210" i="404" a="1"/>
  <c r="AG3211" i="404" a="1"/>
  <c r="AG3212" i="404" a="1"/>
  <c r="AG3213" i="404" a="1"/>
  <c r="AG3214" i="404" a="1"/>
  <c r="AG3215" i="404" a="1"/>
  <c r="AG3216" i="404" a="1"/>
  <c r="AG3217" i="404" a="1"/>
  <c r="AG3218" i="404" a="1"/>
  <c r="AG3219" i="404" a="1"/>
  <c r="AG3220" i="404" a="1"/>
  <c r="AG3221" i="404" a="1"/>
  <c r="AG3222" i="404" a="1"/>
  <c r="AG3223" i="404" a="1"/>
  <c r="AG3224" i="404" a="1"/>
  <c r="AG3225" i="404" a="1"/>
  <c r="AG3226" i="404" a="1"/>
  <c r="AG3227" i="404" a="1"/>
  <c r="AG3228" i="404" a="1"/>
  <c r="AG3229" i="404" a="1"/>
  <c r="AG3230" i="404" a="1"/>
  <c r="AG3231" i="404" a="1"/>
  <c r="AG3232" i="404" a="1"/>
  <c r="AG3233" i="404" a="1"/>
  <c r="AG3234" i="404" a="1"/>
  <c r="AG3235" i="404" a="1"/>
  <c r="AG3236" i="404" a="1"/>
  <c r="AG3237" i="404" a="1"/>
  <c r="AG3238" i="404" a="1"/>
  <c r="AG3239" i="404" a="1"/>
  <c r="AG3240" i="404" a="1"/>
  <c r="AG3241" i="404" a="1"/>
  <c r="AG3242" i="404" a="1"/>
  <c r="AG3243" i="404" a="1"/>
  <c r="AG3244" i="404" a="1"/>
  <c r="AG3245" i="404" a="1"/>
  <c r="AG3246" i="404" a="1"/>
  <c r="AG3247" i="404" a="1"/>
  <c r="AG3248" i="404" a="1"/>
  <c r="AG3249" i="404" a="1"/>
  <c r="AG3250" i="404" a="1"/>
  <c r="AG3251" i="404" a="1"/>
  <c r="AG3252" i="404" a="1"/>
  <c r="AG3253" i="404" a="1"/>
  <c r="AG3254" i="404" a="1"/>
  <c r="AG3255" i="404" a="1"/>
  <c r="AG3256" i="404" a="1"/>
  <c r="AG3257" i="404" a="1"/>
  <c r="AG3258" i="404" a="1"/>
  <c r="AG3259" i="404" a="1"/>
  <c r="AG3260" i="404" a="1"/>
  <c r="AG3261" i="404" a="1"/>
  <c r="AG3262" i="404" a="1"/>
  <c r="AG3263" i="404" a="1"/>
  <c r="AG3264" i="404" a="1"/>
  <c r="AG3265" i="404" a="1"/>
  <c r="AG3266" i="404" a="1"/>
  <c r="AG3267" i="404" a="1"/>
  <c r="AG3268" i="404" a="1"/>
  <c r="AG3269" i="404" a="1"/>
  <c r="AG3270" i="404" a="1"/>
  <c r="AG3271" i="404" a="1"/>
  <c r="AG3272" i="404" a="1"/>
  <c r="AG3273" i="404" a="1"/>
  <c r="AG3274" i="404" a="1"/>
  <c r="AG3275" i="404" a="1"/>
  <c r="AG3276" i="404" a="1"/>
  <c r="AG3277" i="404" a="1"/>
  <c r="AG3278" i="404" a="1"/>
  <c r="AG3279" i="404" a="1"/>
  <c r="AG3280" i="404" a="1"/>
  <c r="AG3281" i="404" a="1"/>
  <c r="AG3282" i="404" a="1"/>
  <c r="AG3283" i="404" a="1"/>
  <c r="AG3284" i="404" a="1"/>
  <c r="AG3285" i="404" a="1"/>
  <c r="AG3286" i="404" a="1"/>
  <c r="AG3287" i="404" a="1"/>
  <c r="AG3288" i="404" a="1"/>
  <c r="AG3289" i="404" a="1"/>
  <c r="AG3290" i="404" a="1"/>
  <c r="AG3291" i="404" a="1"/>
  <c r="AG3292" i="404" a="1"/>
  <c r="AG3293" i="404" a="1"/>
  <c r="AG3294" i="404" a="1"/>
  <c r="AG3295" i="404" a="1"/>
  <c r="AG3296" i="404" a="1"/>
  <c r="AG3297" i="404" a="1"/>
  <c r="AG3298" i="404" a="1"/>
  <c r="AG3299" i="404" a="1"/>
  <c r="AG3300" i="404" a="1"/>
  <c r="AG3301" i="404" a="1"/>
  <c r="AG3302" i="404" a="1"/>
  <c r="AG3303" i="404" a="1"/>
  <c r="AG3304" i="404" a="1"/>
  <c r="AG3305" i="404" a="1"/>
  <c r="AG3306" i="404" a="1"/>
  <c r="AG3307" i="404" a="1"/>
  <c r="AG3308" i="404" a="1"/>
  <c r="AG3309" i="404" a="1"/>
  <c r="AG3310" i="404" a="1"/>
  <c r="AG3311" i="404" a="1"/>
  <c r="AG3312" i="404" a="1"/>
  <c r="AG3313" i="404" a="1"/>
  <c r="AG3314" i="404" a="1"/>
  <c r="AG3315" i="404" a="1"/>
  <c r="AG3316" i="404" a="1"/>
  <c r="AG3317" i="404" a="1"/>
  <c r="AG3318" i="404" a="1"/>
  <c r="AG3319" i="404" a="1"/>
  <c r="AG3320" i="404" a="1"/>
  <c r="AG3321" i="404" a="1"/>
  <c r="AG3322" i="404" a="1"/>
  <c r="AG3323" i="404" a="1"/>
  <c r="AG3324" i="404" a="1"/>
  <c r="AG3325" i="404" a="1"/>
  <c r="AG3326" i="404" a="1"/>
  <c r="AG3327" i="404" a="1"/>
  <c r="AG3328" i="404" a="1"/>
  <c r="AG3329" i="404" a="1"/>
  <c r="AG3330" i="404" a="1"/>
  <c r="AG3331" i="404" a="1"/>
  <c r="AG3332" i="404" a="1"/>
  <c r="AG3333" i="404" a="1"/>
  <c r="AG3334" i="404" a="1"/>
  <c r="AG3335" i="404" a="1"/>
  <c r="AG3336" i="404" a="1"/>
  <c r="AG3337" i="404" a="1"/>
  <c r="AG3338" i="404" a="1"/>
  <c r="AG3339" i="404" a="1"/>
  <c r="AG3340" i="404" a="1"/>
  <c r="AG3341" i="404" a="1"/>
  <c r="AG3342" i="404" a="1"/>
  <c r="AG3343" i="404" a="1"/>
  <c r="AG3344" i="404" a="1"/>
  <c r="AG3345" i="404" a="1"/>
  <c r="AG3346" i="404" a="1"/>
  <c r="AG3347" i="404" a="1"/>
  <c r="AG3348" i="404" a="1"/>
  <c r="AG3349" i="404" a="1"/>
  <c r="AG3350" i="404" a="1"/>
  <c r="AG3351" i="404" a="1"/>
  <c r="AG3352" i="404" a="1"/>
  <c r="AG3353" i="404" a="1"/>
  <c r="AG3354" i="404" a="1"/>
  <c r="AG3355" i="404" a="1"/>
  <c r="AG3356" i="404" a="1"/>
  <c r="AG3357" i="404" a="1"/>
  <c r="AG3358" i="404" a="1"/>
  <c r="AG3359" i="404" a="1"/>
  <c r="AG3360" i="404" a="1"/>
  <c r="AG3361" i="404" a="1"/>
  <c r="AG3362" i="404" a="1"/>
  <c r="AG3363" i="404" a="1"/>
  <c r="AG3364" i="404" a="1"/>
  <c r="AG3365" i="404" a="1"/>
  <c r="AG3366" i="404" a="1"/>
  <c r="AG3367" i="404" a="1"/>
  <c r="AG3368" i="404" a="1"/>
  <c r="AG3369" i="404" a="1"/>
  <c r="AG3370" i="404" a="1"/>
  <c r="AG3371" i="404" a="1"/>
  <c r="AG3372" i="404" a="1"/>
  <c r="AG3373" i="404" a="1"/>
  <c r="AG3374" i="404" a="1"/>
  <c r="AG3375" i="404" a="1"/>
  <c r="AG3376" i="404" a="1"/>
  <c r="AG3377" i="404" a="1"/>
  <c r="AG3378" i="404" a="1"/>
  <c r="AG3379" i="404" a="1"/>
  <c r="AG3380" i="404" a="1"/>
  <c r="AG3381" i="404" a="1"/>
  <c r="AG3382" i="404" a="1"/>
  <c r="AG3383" i="404" a="1"/>
  <c r="AG3384" i="404" a="1"/>
  <c r="AG3385" i="404" a="1"/>
  <c r="AG3386" i="404" a="1"/>
  <c r="AG3387" i="404" a="1"/>
  <c r="AG3388" i="404" a="1"/>
  <c r="AG3389" i="404" a="1"/>
  <c r="AG3390" i="404" a="1"/>
  <c r="AG3391" i="404" a="1"/>
  <c r="AG3392" i="404" a="1"/>
  <c r="AG3393" i="404" a="1"/>
  <c r="AG3394" i="404" a="1"/>
  <c r="AG3395" i="404" a="1"/>
  <c r="AG3396" i="404" a="1"/>
  <c r="AG3397" i="404" a="1"/>
  <c r="AG3398" i="404" a="1"/>
  <c r="AG3399" i="404" a="1"/>
  <c r="AG3400" i="404" a="1"/>
  <c r="AG3401" i="404" a="1"/>
  <c r="AG3402" i="404" a="1"/>
  <c r="AG3403" i="404" a="1"/>
  <c r="AG3404" i="404" a="1"/>
  <c r="AG3405" i="404" a="1"/>
  <c r="AG3406" i="404" a="1"/>
  <c r="AG3407" i="404" a="1"/>
  <c r="AG3408" i="404" a="1"/>
  <c r="AG3409" i="404" a="1"/>
  <c r="AG3410" i="404" a="1"/>
  <c r="AG3411" i="404" a="1"/>
  <c r="AG3412" i="404" a="1"/>
  <c r="AG3413" i="404" a="1"/>
  <c r="AG3414" i="404" a="1"/>
  <c r="AG3415" i="404" a="1"/>
  <c r="AG3416" i="404" a="1"/>
  <c r="AG3417" i="404" a="1"/>
  <c r="AG3418" i="404" a="1"/>
  <c r="AG3419" i="404" a="1"/>
  <c r="AG3420" i="404" a="1"/>
  <c r="AG3421" i="404" a="1"/>
  <c r="AG3422" i="404" a="1"/>
  <c r="AG3423" i="404" a="1"/>
  <c r="AG3424" i="404" a="1"/>
  <c r="AG3425" i="404" a="1"/>
  <c r="AG3426" i="404" a="1"/>
  <c r="AG3427" i="404" a="1"/>
  <c r="AG3428" i="404" a="1"/>
  <c r="AG3429" i="404" a="1"/>
  <c r="AG3430" i="404" a="1"/>
  <c r="AG3431" i="404" a="1"/>
  <c r="AG3432" i="404" a="1"/>
  <c r="AG3433" i="404" a="1"/>
  <c r="AG3434" i="404" a="1"/>
  <c r="AG3435" i="404" a="1"/>
  <c r="AG3436" i="404" a="1"/>
  <c r="AG3437" i="404" a="1"/>
  <c r="AG3438" i="404" a="1"/>
  <c r="AG3439" i="404" a="1"/>
  <c r="AG3440" i="404" a="1"/>
  <c r="AG3441" i="404" a="1"/>
  <c r="AG3442" i="404" a="1"/>
  <c r="AG3443" i="404" a="1"/>
  <c r="AG3444" i="404" a="1"/>
  <c r="AG3445" i="404" a="1"/>
  <c r="AG3446" i="404" a="1"/>
  <c r="AG3447" i="404" a="1"/>
  <c r="AG3448" i="404" a="1"/>
  <c r="AG3449" i="404" a="1"/>
  <c r="AG3450" i="404" a="1"/>
  <c r="AG3451" i="404" a="1"/>
  <c r="AG3452" i="404" a="1"/>
  <c r="AG3453" i="404" a="1"/>
  <c r="AG3454" i="404" a="1"/>
  <c r="AG3455" i="404" a="1"/>
  <c r="AG3456" i="404" a="1"/>
  <c r="AG3457" i="404" a="1"/>
  <c r="AG3458" i="404" a="1"/>
  <c r="AG3459" i="404" a="1"/>
  <c r="AG3460" i="404" a="1"/>
  <c r="AG3461" i="404" a="1"/>
  <c r="AG3462" i="404" a="1"/>
  <c r="AG3463" i="404" a="1"/>
  <c r="AG3464" i="404" a="1"/>
  <c r="AG3465" i="404" a="1"/>
  <c r="AG3466" i="404" a="1"/>
  <c r="AG3467" i="404" a="1"/>
  <c r="AG3468" i="404" a="1"/>
  <c r="AG3469" i="404" a="1"/>
  <c r="AG3470" i="404" a="1"/>
  <c r="AG3471" i="404" a="1"/>
  <c r="AG3472" i="404" a="1"/>
  <c r="AG3473" i="404" a="1"/>
  <c r="AG3474" i="404" a="1"/>
  <c r="AG3475" i="404" a="1"/>
  <c r="AG3476" i="404" a="1"/>
  <c r="AG3477" i="404" a="1"/>
  <c r="AG3478" i="404" a="1"/>
  <c r="AG3479" i="404" a="1"/>
  <c r="AG3480" i="404" a="1"/>
  <c r="AG3481" i="404" a="1"/>
  <c r="AG3482" i="404" a="1"/>
  <c r="AG3483" i="404" a="1"/>
  <c r="AG3484" i="404" a="1"/>
  <c r="AG3485" i="404" a="1"/>
  <c r="AG3486" i="404" a="1"/>
  <c r="AG3487" i="404" a="1"/>
  <c r="AG3488" i="404" a="1"/>
  <c r="AG3489" i="404" a="1"/>
  <c r="AG3490" i="404" a="1"/>
  <c r="AG3491" i="404" a="1"/>
  <c r="AG3492" i="404" a="1"/>
  <c r="AG3493" i="404" a="1"/>
  <c r="AG3494" i="404" a="1"/>
  <c r="AG3495" i="404" a="1"/>
  <c r="AG3496" i="404" a="1"/>
  <c r="AG3497" i="404" a="1"/>
  <c r="AG3498" i="404" a="1"/>
  <c r="AG3499" i="404" a="1"/>
  <c r="AG3500" i="404" a="1"/>
  <c r="AG3501" i="404" a="1"/>
  <c r="AG3502" i="404" a="1"/>
  <c r="AG3503" i="404" a="1"/>
  <c r="AG3504" i="404" a="1"/>
  <c r="AG3505" i="404" a="1"/>
  <c r="AG3506" i="404" a="1"/>
  <c r="AG3507" i="404" a="1"/>
  <c r="AG3508" i="404" a="1"/>
  <c r="AG3509" i="404" a="1"/>
  <c r="AG3510" i="404" a="1"/>
  <c r="AG3511" i="404" a="1"/>
  <c r="AG3512" i="404" a="1"/>
  <c r="AG3513" i="404" a="1"/>
  <c r="AG3514" i="404" a="1"/>
  <c r="AG3515" i="404" a="1"/>
  <c r="AG3516" i="404" a="1"/>
  <c r="AG3517" i="404" a="1"/>
  <c r="AG3518" i="404" a="1"/>
  <c r="AG3519" i="404" a="1"/>
  <c r="AG3520" i="404" a="1"/>
  <c r="AG3521" i="404" a="1"/>
  <c r="AG3522" i="404" a="1"/>
  <c r="AG3523" i="404" a="1"/>
  <c r="AG3524" i="404" a="1"/>
  <c r="AG3525" i="404" a="1"/>
  <c r="AG3526" i="404" a="1"/>
  <c r="AG3527" i="404" a="1"/>
  <c r="AG3528" i="404" a="1"/>
  <c r="AG3529" i="404" a="1"/>
  <c r="AG3530" i="404" a="1"/>
  <c r="AG3531" i="404" a="1"/>
  <c r="AG3532" i="404" a="1"/>
  <c r="AG3533" i="404" a="1"/>
  <c r="AG3534" i="404" a="1"/>
  <c r="AG3535" i="404" a="1"/>
  <c r="AG3536" i="404" a="1"/>
  <c r="AG3537" i="404" a="1"/>
  <c r="AG3538" i="404" a="1"/>
  <c r="AG3539" i="404" a="1"/>
  <c r="AG3540" i="404" a="1"/>
  <c r="AG3541" i="404" a="1"/>
  <c r="AG3542" i="404" a="1"/>
  <c r="AG3543" i="404" a="1"/>
  <c r="AG3544" i="404" a="1"/>
  <c r="AG3545" i="404" a="1"/>
  <c r="AG3546" i="404" a="1"/>
  <c r="AG3547" i="404" a="1"/>
  <c r="AG3548" i="404" a="1"/>
  <c r="AG3549" i="404" a="1"/>
  <c r="AG3550" i="404" a="1"/>
  <c r="AG3551" i="404" a="1"/>
  <c r="AG3552" i="404" a="1"/>
  <c r="AG3553" i="404" a="1"/>
  <c r="AG3554" i="404" a="1"/>
  <c r="AG3555" i="404" a="1"/>
  <c r="AG3556" i="404" a="1"/>
  <c r="AG3557" i="404" a="1"/>
  <c r="AG3558" i="404" a="1"/>
  <c r="AG3559" i="404" a="1"/>
  <c r="AG3560" i="404" a="1"/>
  <c r="AG3561" i="404" a="1"/>
  <c r="AG3562" i="404" a="1"/>
  <c r="AG3563" i="404" a="1"/>
  <c r="AG3564" i="404" a="1"/>
  <c r="AG3565" i="404" a="1"/>
  <c r="AG3566" i="404" a="1"/>
  <c r="AG3567" i="404" a="1"/>
  <c r="AG3568" i="404" a="1"/>
  <c r="AG3569" i="404" a="1"/>
  <c r="AG3570" i="404" a="1"/>
  <c r="AG3571" i="404" a="1"/>
  <c r="AG3572" i="404" a="1"/>
  <c r="AG3573" i="404" a="1"/>
  <c r="AG3574" i="404" a="1"/>
  <c r="AG3575" i="404" a="1"/>
  <c r="AG3576" i="404" a="1"/>
  <c r="AG3577" i="404" a="1"/>
  <c r="AG3578" i="404" a="1"/>
  <c r="AG3579" i="404" a="1"/>
  <c r="AG3580" i="404" a="1"/>
  <c r="AG3581" i="404" a="1"/>
  <c r="AG3582" i="404" a="1"/>
  <c r="AG3583" i="404" a="1"/>
  <c r="AG3584" i="404" a="1"/>
  <c r="AG3585" i="404" a="1"/>
  <c r="AG3586" i="404" a="1"/>
  <c r="AG3587" i="404" a="1"/>
  <c r="AG3588" i="404" a="1"/>
  <c r="AG3589" i="404" a="1"/>
  <c r="AG3590" i="404" a="1"/>
  <c r="AG3591" i="404" a="1"/>
  <c r="AG3592" i="404" a="1"/>
  <c r="AG3593" i="404" a="1"/>
  <c r="AG3594" i="404" a="1"/>
  <c r="AG3595" i="404" a="1"/>
  <c r="AG3596" i="404" a="1"/>
  <c r="AG3597" i="404" a="1"/>
  <c r="AG3598" i="404" a="1"/>
  <c r="AG3599" i="404" a="1"/>
  <c r="AG3600" i="404" a="1"/>
  <c r="AG3601" i="404" a="1"/>
  <c r="AG3602" i="404" a="1"/>
  <c r="AG3603" i="404" a="1"/>
  <c r="AG3604" i="404" a="1"/>
  <c r="AG3605" i="404" a="1"/>
  <c r="AG3606" i="404" a="1"/>
  <c r="AG3607" i="404" a="1"/>
  <c r="AG3608" i="404" a="1"/>
  <c r="AG3609" i="404" a="1"/>
  <c r="AG3610" i="404" a="1"/>
  <c r="AG3611" i="404" a="1"/>
  <c r="AG3612" i="404" a="1"/>
  <c r="AG3614" i="404" a="1"/>
  <c r="AG3615" i="404" a="1"/>
  <c r="AG3617" i="404" a="1"/>
  <c r="AG3620" i="404" a="1"/>
  <c r="AG3623" i="404" a="1"/>
  <c r="AG3626" i="404" a="1"/>
  <c r="AG3628" i="404" a="1"/>
  <c r="AG3633" i="404" a="1"/>
  <c r="AG3636" i="404" a="1"/>
  <c r="AG3640" i="404" a="1"/>
  <c r="AG3643" i="404" a="1"/>
  <c r="AG3645" i="404" a="1"/>
  <c r="AG3648" i="404" a="1"/>
  <c r="AG3652" i="404" a="1"/>
  <c r="AG3656" i="404" a="1"/>
  <c r="AG3661" i="404" a="1"/>
  <c r="AG3663" i="404" a="1"/>
  <c r="AG3666" i="404" a="1"/>
  <c r="AG3670" i="404" a="1"/>
  <c r="AG3672" i="404" a="1"/>
  <c r="AG3675" i="404" a="1"/>
  <c r="AG3677" i="404" a="1"/>
  <c r="AG3678" i="404" a="1"/>
  <c r="AG3679" i="404" a="1"/>
  <c r="AG3680" i="404" a="1"/>
  <c r="AG3681" i="404" a="1"/>
  <c r="AG3682" i="404" a="1"/>
  <c r="AG3683" i="404" a="1"/>
  <c r="AG3684" i="404" a="1"/>
  <c r="AG3685" i="404" a="1"/>
  <c r="AG3686" i="404" a="1"/>
  <c r="AG3687" i="404" a="1"/>
  <c r="AG3688" i="404" a="1"/>
  <c r="AG3689" i="404" a="1"/>
  <c r="AG3690" i="404" a="1"/>
  <c r="AG3691" i="404" a="1"/>
  <c r="AG3692" i="404" a="1"/>
  <c r="AG3693" i="404" a="1"/>
  <c r="AG3694" i="404" a="1"/>
  <c r="AG3695" i="404" a="1"/>
  <c r="AG3696" i="404" a="1"/>
  <c r="AG3697" i="404" a="1"/>
  <c r="AG3698" i="404" a="1"/>
  <c r="AG3699" i="404" a="1"/>
  <c r="AG3700" i="404" a="1"/>
  <c r="AG3701" i="404" a="1"/>
  <c r="AG3702" i="404" a="1"/>
  <c r="AG3703" i="404" a="1"/>
  <c r="AG3704" i="404" a="1"/>
  <c r="AG3705" i="404" a="1"/>
  <c r="AG3706" i="404" a="1"/>
  <c r="AG3707" i="404" a="1"/>
  <c r="AG3708" i="404" a="1"/>
  <c r="AG3709" i="404" a="1"/>
  <c r="AG3710" i="404" a="1"/>
  <c r="AG3711" i="404" a="1"/>
  <c r="AG3712" i="404" a="1"/>
  <c r="AG3713" i="404" a="1"/>
  <c r="AG3714" i="404" a="1"/>
  <c r="AG3715" i="404" a="1"/>
  <c r="AG3716" i="404" a="1"/>
  <c r="AG3717" i="404" a="1"/>
  <c r="AG3718" i="404" a="1"/>
  <c r="AG3719" i="404" a="1"/>
  <c r="AG3720" i="404" a="1"/>
  <c r="AG3721" i="404" a="1"/>
  <c r="AG3722" i="404" a="1"/>
  <c r="AG3723" i="404" a="1"/>
  <c r="AG3724" i="404" a="1"/>
  <c r="AG3725" i="404" a="1"/>
  <c r="AG3726" i="404" a="1"/>
  <c r="AG3727" i="404" a="1"/>
  <c r="AG3728" i="404" a="1"/>
  <c r="AG3729" i="404" a="1"/>
  <c r="AG3730" i="404" a="1"/>
  <c r="AG3731" i="404" a="1"/>
  <c r="AG3732" i="404" a="1"/>
  <c r="AG3733" i="404" a="1"/>
  <c r="AG3734" i="404" a="1"/>
  <c r="AG3735" i="404" a="1"/>
  <c r="AG3736" i="404" a="1"/>
  <c r="AG3737" i="404" a="1"/>
  <c r="AG3738" i="404" a="1"/>
  <c r="AG3739" i="404" a="1"/>
  <c r="AG3740" i="404" a="1"/>
  <c r="AG3741" i="404" a="1"/>
  <c r="AG3742" i="404" a="1"/>
  <c r="AG3743" i="404" a="1"/>
  <c r="AG3744" i="404" a="1"/>
  <c r="AG3745" i="404" a="1"/>
  <c r="AG3746" i="404" a="1"/>
  <c r="AG3747" i="404" a="1"/>
  <c r="AG3748" i="404" a="1"/>
  <c r="AG3749" i="404" a="1"/>
  <c r="AG3750" i="404" a="1"/>
  <c r="AG3751" i="404" a="1"/>
  <c r="AG3752" i="404" a="1"/>
  <c r="AG3753" i="404" a="1"/>
  <c r="AG3754" i="404" a="1"/>
  <c r="AG3755" i="404" a="1"/>
  <c r="AG3756" i="404" a="1"/>
  <c r="AG3757" i="404" a="1"/>
  <c r="AG3758" i="404" a="1"/>
  <c r="AG3759" i="404" a="1"/>
  <c r="AG3760" i="404" a="1"/>
  <c r="AG3761" i="404" a="1"/>
  <c r="AG3762" i="404" a="1"/>
  <c r="AG3763" i="404" a="1"/>
  <c r="AG3764" i="404" a="1"/>
  <c r="AG3765" i="404" a="1"/>
  <c r="AG3766" i="404" a="1"/>
  <c r="AG3767" i="404" a="1"/>
  <c r="AG3768" i="404" a="1"/>
  <c r="AG3769" i="404" a="1"/>
  <c r="AG3770" i="404" a="1"/>
  <c r="AG3771" i="404" a="1"/>
  <c r="AG3772" i="404" a="1"/>
  <c r="AG3773" i="404" a="1"/>
  <c r="AG3774" i="404" a="1"/>
  <c r="AG3775" i="404" a="1"/>
  <c r="AG3776" i="404" a="1"/>
  <c r="AG3777" i="404" a="1"/>
  <c r="AG3778" i="404" a="1"/>
  <c r="AG3779" i="404" a="1"/>
  <c r="AG3780" i="404" a="1"/>
  <c r="AG3781" i="404" a="1"/>
  <c r="AG3782" i="404" a="1"/>
  <c r="AG3783" i="404" a="1"/>
  <c r="AG3784" i="404" a="1"/>
  <c r="AG3785" i="404" a="1"/>
  <c r="AG3786" i="404" a="1"/>
  <c r="AG3787" i="404" a="1"/>
  <c r="AG3788" i="404" a="1"/>
  <c r="AG3789" i="404" a="1"/>
  <c r="AG3790" i="404" a="1"/>
  <c r="AG3791" i="404" a="1"/>
  <c r="AG3792" i="404" a="1"/>
  <c r="AG3793" i="404" a="1"/>
  <c r="AG3794" i="404" a="1"/>
  <c r="AG3795" i="404" a="1"/>
  <c r="AG3796" i="404" a="1"/>
  <c r="AG3797" i="404" a="1"/>
  <c r="AG3798" i="404" a="1"/>
  <c r="AG3799" i="404" a="1"/>
  <c r="AG3800" i="404" a="1"/>
  <c r="AG3801" i="404" a="1"/>
  <c r="AG3802" i="404" a="1"/>
  <c r="AG3803" i="404" a="1"/>
  <c r="AG3804" i="404" a="1"/>
  <c r="AG3805" i="404" a="1"/>
  <c r="AG3806" i="404" a="1"/>
  <c r="AG3807" i="404" a="1"/>
  <c r="AG3808" i="404" a="1"/>
  <c r="AG3809" i="404" a="1"/>
  <c r="AG3810" i="404" a="1"/>
  <c r="AG3811" i="404" a="1"/>
  <c r="AG3812" i="404" a="1"/>
  <c r="AG3813" i="404" a="1"/>
  <c r="AG3814" i="404" a="1"/>
  <c r="AG3815" i="404" a="1"/>
  <c r="AG3816" i="404" a="1"/>
  <c r="AG3817" i="404" a="1"/>
  <c r="AG3818" i="404" a="1"/>
  <c r="AG3819" i="404" a="1"/>
  <c r="AG3820" i="404" a="1"/>
  <c r="AG3821" i="404" a="1"/>
  <c r="AG3822" i="404" a="1"/>
  <c r="AG3823" i="404" a="1"/>
  <c r="AG3824" i="404" a="1"/>
  <c r="AG3825" i="404" a="1"/>
  <c r="AG3826" i="404" a="1"/>
  <c r="AG3827" i="404" a="1"/>
  <c r="AG3828" i="404" a="1"/>
  <c r="AG3829" i="404" a="1"/>
  <c r="AG3830" i="404" a="1"/>
  <c r="AG3831" i="404" a="1"/>
  <c r="AG3832" i="404" a="1"/>
  <c r="AG3833" i="404" a="1"/>
  <c r="AG3834" i="404" a="1"/>
  <c r="AG3835" i="404" a="1"/>
  <c r="AG3836" i="404" a="1"/>
  <c r="AG3837" i="404" a="1"/>
  <c r="AG3838" i="404" a="1"/>
  <c r="AG3839" i="404" a="1"/>
  <c r="AG3840" i="404" a="1"/>
  <c r="AG3841" i="404" a="1"/>
  <c r="AG3842" i="404" a="1"/>
  <c r="AG3843" i="404" a="1"/>
  <c r="AG3844" i="404" a="1"/>
  <c r="AG3845" i="404" a="1"/>
  <c r="AG3846" i="404" a="1"/>
  <c r="AG3847" i="404" a="1"/>
  <c r="AG3848" i="404" a="1"/>
  <c r="AG3849" i="404" a="1"/>
  <c r="AG3850" i="404" a="1"/>
  <c r="AG3851" i="404" a="1"/>
  <c r="AG3852" i="404" a="1"/>
  <c r="AG3853" i="404" a="1"/>
  <c r="AG3854" i="404" a="1"/>
  <c r="AG3855" i="404" a="1"/>
  <c r="AG3856" i="404" a="1"/>
  <c r="AG3857" i="404" a="1"/>
  <c r="AG3858" i="404" a="1"/>
  <c r="AG3859" i="404" a="1"/>
  <c r="AG3860" i="404" a="1"/>
  <c r="AG3861" i="404" a="1"/>
  <c r="AG3862" i="404" a="1"/>
  <c r="AG3863" i="404" a="1"/>
  <c r="AG3864" i="404" a="1"/>
  <c r="AG3865" i="404" a="1"/>
  <c r="AG3866" i="404" a="1"/>
  <c r="AG3867" i="404" a="1"/>
  <c r="AG3868" i="404" a="1"/>
  <c r="AG3869" i="404" a="1"/>
  <c r="AG3870" i="404" a="1"/>
  <c r="AG3871" i="404" a="1"/>
  <c r="AG3872" i="404" a="1"/>
  <c r="AG3873" i="404" a="1"/>
  <c r="AG3874" i="404" a="1"/>
  <c r="AG3875" i="404" a="1"/>
  <c r="AG3876" i="404" a="1"/>
  <c r="AG3877" i="404" a="1"/>
  <c r="AG3878" i="404" a="1"/>
  <c r="AG3879" i="404" a="1"/>
  <c r="AG3880" i="404" a="1"/>
  <c r="AG3881" i="404" a="1"/>
  <c r="AG3882" i="404" a="1"/>
  <c r="AG3883" i="404" a="1"/>
  <c r="AG3884" i="404" a="1"/>
  <c r="AG3885" i="404" a="1"/>
  <c r="AG3886" i="404" a="1"/>
  <c r="AG3887" i="404" a="1"/>
  <c r="AG3888" i="404" a="1"/>
  <c r="AG3889" i="404" a="1"/>
  <c r="AG3890" i="404" a="1"/>
  <c r="AG3891" i="404" a="1"/>
  <c r="AG3892" i="404" a="1"/>
  <c r="AG3893" i="404" a="1"/>
  <c r="AG3894" i="404" a="1"/>
  <c r="AG3895" i="404" a="1"/>
  <c r="AG3896" i="404" a="1"/>
  <c r="AG3897" i="404" a="1"/>
  <c r="AG3898" i="404" a="1"/>
  <c r="AG3899" i="404" a="1"/>
  <c r="AG3900" i="404" a="1"/>
  <c r="AG3901" i="404" a="1"/>
  <c r="AG3902" i="404" a="1"/>
  <c r="AG3903" i="404" a="1"/>
  <c r="AG3904" i="404" a="1"/>
  <c r="AG3905" i="404" a="1"/>
  <c r="AG3906" i="404" a="1"/>
  <c r="AG3907" i="404" a="1"/>
  <c r="AG3908" i="404" a="1"/>
  <c r="AG3909" i="404" a="1"/>
  <c r="AG3910" i="404" a="1"/>
  <c r="AG3911" i="404" a="1"/>
  <c r="AG3912" i="404" a="1"/>
  <c r="AG3913" i="404" a="1"/>
  <c r="AG1292" i="404" a="1"/>
  <c r="AG1302" i="404" a="1"/>
  <c r="AG1305" i="404" a="1"/>
  <c r="AG1308" i="404" a="1"/>
  <c r="AG1311" i="404" a="1"/>
  <c r="AG1314" i="404" a="1"/>
  <c r="AG1317" i="404" a="1"/>
  <c r="AG1320" i="404" a="1"/>
  <c r="AG1323" i="404" a="1"/>
  <c r="AG1326" i="404" a="1"/>
  <c r="AG1329" i="404" a="1"/>
  <c r="AG1332" i="404" a="1"/>
  <c r="AG1335" i="404" a="1"/>
  <c r="AG1338" i="404" a="1"/>
  <c r="AG1341" i="404" a="1"/>
  <c r="AG1344" i="404" a="1"/>
  <c r="AG1347" i="404" a="1"/>
  <c r="AG1350" i="404" a="1"/>
  <c r="AG1352" i="404" a="1"/>
  <c r="AG1354" i="404" a="1"/>
  <c r="AG1357" i="404" a="1"/>
  <c r="AG1360" i="404" a="1"/>
  <c r="AG1362" i="404" a="1"/>
  <c r="AG1365" i="404" a="1"/>
  <c r="AG1367" i="404" a="1"/>
  <c r="AG1371" i="404" a="1"/>
  <c r="AG1374" i="404" a="1"/>
  <c r="AG1377" i="404" a="1"/>
  <c r="AG1380" i="404" a="1"/>
  <c r="AG1383" i="404" a="1"/>
  <c r="AG1387" i="404" a="1"/>
  <c r="AG1390" i="404" a="1"/>
  <c r="AG1393" i="404" a="1"/>
  <c r="AG1396" i="404" a="1"/>
  <c r="AG1399" i="404" a="1"/>
  <c r="AG1402" i="404" a="1"/>
  <c r="AG1404" i="404" a="1"/>
  <c r="AG1407" i="404" a="1"/>
  <c r="AG1410" i="404" a="1"/>
  <c r="AG1413" i="404" a="1"/>
  <c r="AG1417" i="404" a="1"/>
  <c r="AG1420" i="404" a="1"/>
  <c r="AG1423" i="404" a="1"/>
  <c r="AG1426" i="404" a="1"/>
  <c r="AG1429" i="404" a="1"/>
  <c r="AG1432" i="404" a="1"/>
  <c r="AG1435" i="404" a="1"/>
  <c r="AG1438" i="404" a="1"/>
  <c r="AG1440" i="404" a="1"/>
  <c r="AG1442" i="404" a="1"/>
  <c r="AG1445" i="404" a="1"/>
  <c r="AG1448" i="404" a="1"/>
  <c r="AG1452" i="404" a="1"/>
  <c r="AG1455" i="404" a="1"/>
  <c r="AG1458" i="404" a="1"/>
  <c r="AG1529" i="404" a="1"/>
  <c r="AG1531" i="404" a="1"/>
  <c r="AG1534" i="404" a="1"/>
  <c r="AG1536" i="404" a="1"/>
  <c r="AG1538" i="404" a="1"/>
  <c r="AG1540" i="404" a="1"/>
  <c r="AG1542" i="404" a="1"/>
  <c r="AG1545" i="404" a="1"/>
  <c r="AG1547" i="404" a="1"/>
  <c r="AG1549" i="404" a="1"/>
  <c r="AG1551" i="404" a="1"/>
  <c r="AG1553" i="404" a="1"/>
  <c r="AG1556" i="404" a="1"/>
  <c r="AG1558" i="404" a="1"/>
  <c r="AG1560" i="404" a="1"/>
  <c r="AG1562" i="404" a="1"/>
  <c r="AG1565" i="404" a="1"/>
  <c r="AG1567" i="404" a="1"/>
  <c r="AG1569" i="404" a="1"/>
  <c r="AG1570" i="404" a="1"/>
  <c r="AG1572" i="404" a="1"/>
  <c r="AG1574" i="404" a="1"/>
  <c r="AG1576" i="404" a="1"/>
  <c r="AG1578" i="404" a="1"/>
  <c r="AG1580" i="404" a="1"/>
  <c r="AG1582" i="404" a="1"/>
  <c r="AG1584" i="404" a="1"/>
  <c r="AG1585" i="404" a="1"/>
  <c r="AG1587" i="404" a="1"/>
  <c r="AG1590" i="404" a="1"/>
  <c r="AG1592" i="404" a="1"/>
  <c r="AG1603" i="404" a="1"/>
  <c r="AG1605" i="404" a="1"/>
  <c r="AG1607" i="404" a="1"/>
  <c r="AG1609" i="404" a="1"/>
  <c r="AG1611" i="404" a="1"/>
  <c r="AG1613" i="404" a="1"/>
  <c r="AG1615" i="404" a="1"/>
  <c r="AG1617" i="404" a="1"/>
  <c r="AG1619" i="404" a="1"/>
  <c r="AG1621" i="404" a="1"/>
  <c r="AG1623" i="404" a="1"/>
  <c r="AG1625" i="404" a="1"/>
  <c r="AG1627" i="404" a="1"/>
  <c r="AG1629" i="404" a="1"/>
  <c r="AG1631" i="404" a="1"/>
  <c r="AG1633" i="404" a="1"/>
  <c r="AG1635" i="404" a="1"/>
  <c r="AG1638" i="404" a="1"/>
  <c r="AG1640" i="404" a="1"/>
  <c r="AG1642" i="404" a="1"/>
  <c r="AG1643" i="404" a="1"/>
  <c r="AG1644" i="404" a="1"/>
  <c r="AG1645" i="404" a="1"/>
  <c r="AG1646" i="404" a="1"/>
  <c r="AG1647" i="404" a="1"/>
  <c r="AG1648" i="404" a="1"/>
  <c r="AG1650" i="404" a="1"/>
  <c r="AG1651" i="404" a="1"/>
  <c r="AG1653" i="404" a="1"/>
  <c r="AG1657" i="404" a="1"/>
  <c r="AG1661" i="404" a="1"/>
  <c r="AG1663" i="404" a="1"/>
  <c r="AG1666" i="404" a="1"/>
  <c r="AG1668" i="404" a="1"/>
  <c r="AG1671" i="404" a="1"/>
  <c r="AG1673" i="404" a="1"/>
  <c r="AG1677" i="404" a="1"/>
  <c r="AG1679" i="404" a="1"/>
  <c r="AG1682" i="404" a="1"/>
  <c r="AG1686" i="404" a="1"/>
  <c r="AG1687" i="404" a="1"/>
  <c r="AG1691" i="404" a="1"/>
  <c r="AG1693" i="404" a="1"/>
  <c r="AG1696" i="404" a="1"/>
  <c r="AG1699" i="404" a="1"/>
  <c r="AG1701" i="404" a="1"/>
  <c r="AG1704" i="404" a="1"/>
  <c r="AG1707" i="404" a="1"/>
  <c r="AG1710" i="404" a="1"/>
  <c r="AG1713" i="404" a="1"/>
  <c r="AG1716" i="404" a="1"/>
  <c r="AG1719" i="404" a="1"/>
  <c r="AG1722" i="404" a="1"/>
  <c r="AG1725" i="404" a="1"/>
  <c r="AG1729" i="404" a="1"/>
  <c r="AG1732" i="404" a="1"/>
  <c r="AG1735" i="404" a="1"/>
  <c r="AG1737" i="404" a="1"/>
  <c r="AG1740" i="404" a="1"/>
  <c r="AG1742" i="404" a="1"/>
  <c r="AG1744" i="404" a="1"/>
  <c r="AG1747" i="404" a="1"/>
  <c r="AG1751" i="404" a="1"/>
  <c r="AG1754" i="404" a="1"/>
  <c r="AG1757" i="404" a="1"/>
  <c r="AG1760" i="404" a="1"/>
  <c r="AG1763" i="404" a="1"/>
  <c r="AG1765" i="404" a="1"/>
  <c r="AG1768" i="404" a="1"/>
  <c r="AG1771" i="404" a="1"/>
  <c r="AG1773" i="404" a="1"/>
  <c r="AG1776" i="404" a="1"/>
  <c r="AG1779" i="404" a="1"/>
  <c r="AG1782" i="404" a="1"/>
  <c r="AG1784" i="404" a="1"/>
  <c r="AG1788" i="404" a="1"/>
  <c r="AG1790" i="404" a="1"/>
  <c r="AG1792" i="404" a="1"/>
  <c r="AG1795" i="404" a="1"/>
  <c r="AG1798" i="404" a="1"/>
  <c r="AG1801" i="404" a="1"/>
  <c r="AG1804" i="404" a="1"/>
  <c r="AG1807" i="404" a="1"/>
  <c r="AG1810" i="404" a="1"/>
  <c r="AG1813" i="404" a="1"/>
  <c r="AG1834" i="404" a="1"/>
  <c r="AG3618" i="404" a="1"/>
  <c r="AG3624" i="404" a="1"/>
  <c r="AG3630" i="404" a="1"/>
  <c r="AG3634" i="404" a="1"/>
  <c r="AG3638" i="404" a="1"/>
  <c r="AG3647" i="404" a="1"/>
  <c r="AG3650" i="404" a="1"/>
  <c r="AG3658" i="404" a="1"/>
  <c r="AG3665" i="404" a="1"/>
  <c r="AG3668" i="404" a="1"/>
  <c r="AG3671" i="404" a="1"/>
  <c r="AG1298" i="404" a="1"/>
  <c r="AG1304" i="404" a="1"/>
  <c r="AG1307" i="404" a="1"/>
  <c r="AG1310" i="404" a="1"/>
  <c r="AG1313" i="404" a="1"/>
  <c r="AG1316" i="404" a="1"/>
  <c r="AG1319" i="404" a="1"/>
  <c r="AG1322" i="404" a="1"/>
  <c r="AG1324" i="404" a="1"/>
  <c r="AG1327" i="404" a="1"/>
  <c r="AG1331" i="404" a="1"/>
  <c r="AG1334" i="404" a="1"/>
  <c r="AG1337" i="404" a="1"/>
  <c r="AG1340" i="404" a="1"/>
  <c r="AG1343" i="404" a="1"/>
  <c r="AG1346" i="404" a="1"/>
  <c r="AG1349" i="404" a="1"/>
  <c r="AG1353" i="404" a="1"/>
  <c r="AG1356" i="404" a="1"/>
  <c r="AG1359" i="404" a="1"/>
  <c r="AG1361" i="404" a="1"/>
  <c r="AG1364" i="404" a="1"/>
  <c r="AG1368" i="404" a="1"/>
  <c r="AG1370" i="404" a="1"/>
  <c r="AG1373" i="404" a="1"/>
  <c r="AG1376" i="404" a="1"/>
  <c r="AG1379" i="404" a="1"/>
  <c r="AG1381" i="404" a="1"/>
  <c r="AG1384" i="404" a="1"/>
  <c r="AG1386" i="404" a="1"/>
  <c r="AG1389" i="404" a="1"/>
  <c r="AG1392" i="404" a="1"/>
  <c r="AG1395" i="404" a="1"/>
  <c r="AG1398" i="404" a="1"/>
  <c r="AG1401" i="404" a="1"/>
  <c r="AG1403" i="404" a="1"/>
  <c r="AG1406" i="404" a="1"/>
  <c r="AG1409" i="404" a="1"/>
  <c r="AG1412" i="404" a="1"/>
  <c r="AG1415" i="404" a="1"/>
  <c r="AG1418" i="404" a="1"/>
  <c r="AG1421" i="404" a="1"/>
  <c r="AG1424" i="404" a="1"/>
  <c r="AG1425" i="404" a="1"/>
  <c r="AG1428" i="404" a="1"/>
  <c r="AG1431" i="404" a="1"/>
  <c r="AG1434" i="404" a="1"/>
  <c r="AG1437" i="404" a="1"/>
  <c r="AG1441" i="404" a="1"/>
  <c r="AG1444" i="404" a="1"/>
  <c r="AG1446" i="404" a="1"/>
  <c r="AG1449" i="404" a="1"/>
  <c r="AG1451" i="404" a="1"/>
  <c r="AG1454" i="404" a="1"/>
  <c r="AG1457" i="404" a="1"/>
  <c r="AG1460" i="404" a="1"/>
  <c r="AG1461" i="404" a="1"/>
  <c r="AG1464" i="404" a="1"/>
  <c r="AG1466" i="404" a="1"/>
  <c r="AG1468" i="404" a="1"/>
  <c r="AG1469" i="404" a="1"/>
  <c r="AG1471" i="404" a="1"/>
  <c r="AG1474" i="404" a="1"/>
  <c r="AG1475" i="404" a="1"/>
  <c r="AG1477" i="404" a="1"/>
  <c r="AG1480" i="404" a="1"/>
  <c r="AG1482" i="404" a="1"/>
  <c r="AG1484" i="404" a="1"/>
  <c r="AG1486" i="404" a="1"/>
  <c r="AG1488" i="404" a="1"/>
  <c r="AG1490" i="404" a="1"/>
  <c r="AG1491" i="404" a="1"/>
  <c r="AG1493" i="404" a="1"/>
  <c r="AG1494" i="404" a="1"/>
  <c r="AG1495" i="404" a="1"/>
  <c r="AG1496" i="404" a="1"/>
  <c r="AG1497" i="404" a="1"/>
  <c r="AG1498" i="404" a="1"/>
  <c r="AG1499" i="404" a="1"/>
  <c r="AG1500" i="404" a="1"/>
  <c r="AG1501" i="404" a="1"/>
  <c r="AG1502" i="404" a="1"/>
  <c r="AG1503" i="404" a="1"/>
  <c r="AG1504" i="404" a="1"/>
  <c r="AG1505" i="404" a="1"/>
  <c r="AG1506" i="404" a="1"/>
  <c r="AG1507" i="404" a="1"/>
  <c r="AG1508" i="404" a="1"/>
  <c r="AG1509" i="404" a="1"/>
  <c r="AG1510" i="404" a="1"/>
  <c r="AG1511" i="404" a="1"/>
  <c r="AG1512" i="404" a="1"/>
  <c r="AG1513" i="404" a="1"/>
  <c r="AG1514" i="404" a="1"/>
  <c r="AG1515" i="404" a="1"/>
  <c r="AG1516" i="404" a="1"/>
  <c r="AG1517" i="404" a="1"/>
  <c r="AG1518" i="404" a="1"/>
  <c r="AG1519" i="404" a="1"/>
  <c r="AG1520" i="404" a="1"/>
  <c r="AG1521" i="404" a="1"/>
  <c r="AG1522" i="404" a="1"/>
  <c r="AG1523" i="404" a="1"/>
  <c r="AG1524" i="404" a="1"/>
  <c r="AG1525" i="404" a="1"/>
  <c r="AG1526" i="404" a="1"/>
  <c r="AG1527" i="404" a="1"/>
  <c r="AG1528" i="404" a="1"/>
  <c r="AG1530" i="404" a="1"/>
  <c r="AG1532" i="404" a="1"/>
  <c r="AG1533" i="404" a="1"/>
  <c r="AG1535" i="404" a="1"/>
  <c r="AG1537" i="404" a="1"/>
  <c r="AG1539" i="404" a="1"/>
  <c r="AG1541" i="404" a="1"/>
  <c r="AG1543" i="404" a="1"/>
  <c r="AG1544" i="404" a="1"/>
  <c r="AG1546" i="404" a="1"/>
  <c r="AG1548" i="404" a="1"/>
  <c r="AG1550" i="404" a="1"/>
  <c r="AG1552" i="404" a="1"/>
  <c r="AG1554" i="404" a="1"/>
  <c r="AG1555" i="404" a="1"/>
  <c r="AG1557" i="404" a="1"/>
  <c r="AG1559" i="404" a="1"/>
  <c r="AG1561" i="404" a="1"/>
  <c r="AG1563" i="404" a="1"/>
  <c r="AG1564" i="404" a="1"/>
  <c r="AG1566" i="404" a="1"/>
  <c r="AG1568" i="404" a="1"/>
  <c r="AG1571" i="404" a="1"/>
  <c r="AG1573" i="404" a="1"/>
  <c r="AG1575" i="404" a="1"/>
  <c r="AG1577" i="404" a="1"/>
  <c r="AG1579" i="404" a="1"/>
  <c r="AG1581" i="404" a="1"/>
  <c r="AG1583" i="404" a="1"/>
  <c r="AG1586" i="404" a="1"/>
  <c r="AG1588" i="404" a="1"/>
  <c r="AG1589" i="404" a="1"/>
  <c r="AG1591" i="404" a="1"/>
  <c r="AG1593" i="404" a="1"/>
  <c r="AG1594" i="404" a="1"/>
  <c r="AG1595" i="404" a="1"/>
  <c r="AG1596" i="404" a="1"/>
  <c r="AG1597" i="404" a="1"/>
  <c r="AG1598" i="404" a="1"/>
  <c r="AG1599" i="404" a="1"/>
  <c r="AG1600" i="404" a="1"/>
  <c r="AG1601" i="404" a="1"/>
  <c r="AG1602" i="404" a="1"/>
  <c r="AG1604" i="404" a="1"/>
  <c r="AG1606" i="404" a="1"/>
  <c r="AG1608" i="404" a="1"/>
  <c r="AG1610" i="404" a="1"/>
  <c r="AG1612" i="404" a="1"/>
  <c r="AG1614" i="404" a="1"/>
  <c r="AG1616" i="404" a="1"/>
  <c r="AG1618" i="404" a="1"/>
  <c r="AG1620" i="404" a="1"/>
  <c r="AG1622" i="404" a="1"/>
  <c r="AG1624" i="404" a="1"/>
  <c r="AG1626" i="404" a="1"/>
  <c r="AG1628" i="404" a="1"/>
  <c r="AG1630" i="404" a="1"/>
  <c r="AG1632" i="404" a="1"/>
  <c r="AG1634" i="404" a="1"/>
  <c r="AG1636" i="404" a="1"/>
  <c r="AG1637" i="404" a="1"/>
  <c r="AG1639" i="404" a="1"/>
  <c r="AG1641" i="404" a="1"/>
  <c r="AG1649" i="404" a="1"/>
  <c r="AG1652" i="404" a="1"/>
  <c r="AG1654" i="404" a="1"/>
  <c r="AG1656" i="404" a="1"/>
  <c r="AG1658" i="404" a="1"/>
  <c r="AG1662" i="404" a="1"/>
  <c r="AG1664" i="404" a="1"/>
  <c r="AG1667" i="404" a="1"/>
  <c r="AG1670" i="404" a="1"/>
  <c r="AG1674" i="404" a="1"/>
  <c r="AG1676" i="404" a="1"/>
  <c r="AG1680" i="404" a="1"/>
  <c r="AG1683" i="404" a="1"/>
  <c r="AG1685" i="404" a="1"/>
  <c r="AG1688" i="404" a="1"/>
  <c r="AG1690" i="404" a="1"/>
  <c r="AG1692" i="404" a="1"/>
  <c r="AG1695" i="404" a="1"/>
  <c r="AG1698" i="404" a="1"/>
  <c r="AG1700" i="404" a="1"/>
  <c r="AG1703" i="404" a="1"/>
  <c r="AG1706" i="404" a="1"/>
  <c r="AG1709" i="404" a="1"/>
  <c r="AG1712" i="404" a="1"/>
  <c r="AG1714" i="404" a="1"/>
  <c r="AG1717" i="404" a="1"/>
  <c r="AG1720" i="404" a="1"/>
  <c r="AG1723" i="404" a="1"/>
  <c r="AG1726" i="404" a="1"/>
  <c r="AG1728" i="404" a="1"/>
  <c r="AG1731" i="404" a="1"/>
  <c r="AG1733" i="404" a="1"/>
  <c r="AG1736" i="404" a="1"/>
  <c r="AG1738" i="404" a="1"/>
  <c r="AG1741" i="404" a="1"/>
  <c r="AG1745" i="404" a="1"/>
  <c r="AG1748" i="404" a="1"/>
  <c r="AG1750" i="404" a="1"/>
  <c r="AG1753" i="404" a="1"/>
  <c r="AG1756" i="404" a="1"/>
  <c r="AG1759" i="404" a="1"/>
  <c r="AG1762" i="404" a="1"/>
  <c r="AG1766" i="404" a="1"/>
  <c r="AG1769" i="404" a="1"/>
  <c r="AG1772" i="404" a="1"/>
  <c r="AG1775" i="404" a="1"/>
  <c r="AG1777" i="404" a="1"/>
  <c r="AG1781" i="404" a="1"/>
  <c r="AG1783" i="404" a="1"/>
  <c r="AG1786" i="404" a="1"/>
  <c r="AG1789" i="404" a="1"/>
  <c r="AG1793" i="404" a="1"/>
  <c r="AG1796" i="404" a="1"/>
  <c r="AG1799" i="404" a="1"/>
  <c r="AG1802" i="404" a="1"/>
  <c r="AG1805" i="404" a="1"/>
  <c r="AG1808" i="404" a="1"/>
  <c r="AG1811" i="404" a="1"/>
  <c r="AG1814" i="404" a="1"/>
  <c r="AG1816" i="404" a="1"/>
  <c r="AG1818" i="404" a="1"/>
  <c r="AG1819" i="404" a="1"/>
  <c r="AG1821" i="404" a="1"/>
  <c r="AG1823" i="404" a="1"/>
  <c r="AG1825" i="404" a="1"/>
  <c r="AG1827" i="404" a="1"/>
  <c r="AG1829" i="404" a="1"/>
  <c r="AG1831" i="404" a="1"/>
  <c r="AG1832" i="404" a="1"/>
  <c r="AG1835" i="404" a="1"/>
  <c r="AG3616" i="404" a="1"/>
  <c r="AG3621" i="404" a="1"/>
  <c r="AG3625" i="404" a="1"/>
  <c r="AG3629" i="404" a="1"/>
  <c r="AG3632" i="404" a="1"/>
  <c r="AG3635" i="404" a="1"/>
  <c r="AG3639" i="404" a="1"/>
  <c r="AG3642" i="404" a="1"/>
  <c r="AG3646" i="404" a="1"/>
  <c r="AG3651" i="404" a="1"/>
  <c r="AG3654" i="404" a="1"/>
  <c r="AG3659" i="404" a="1"/>
  <c r="AG3662" i="404" a="1"/>
  <c r="AG3669" i="404" a="1"/>
  <c r="AG3674" i="404" a="1"/>
  <c r="AS17" i="849"/>
  <c r="AM17" i="849"/>
  <c r="BB17" i="849"/>
  <c r="AG17" i="849"/>
  <c r="AN17" i="849"/>
  <c r="AI17" i="849"/>
  <c r="K17" i="849"/>
  <c r="BA17" i="849"/>
  <c r="AV17" i="849" s="1"/>
  <c r="AH17" i="849" s="1"/>
  <c r="AW17" i="849"/>
  <c r="AJ17" i="849" s="1"/>
  <c r="AK17" i="849"/>
  <c r="AL17" i="849"/>
  <c r="AS16" i="849"/>
  <c r="AW16" i="849"/>
  <c r="AJ16" i="849" s="1"/>
  <c r="AL16" i="849"/>
  <c r="AG16" i="849"/>
  <c r="K16" i="849"/>
  <c r="AI16" i="849"/>
  <c r="AK16" i="849"/>
  <c r="AN16" i="849"/>
  <c r="AM16" i="849"/>
  <c r="BA16" i="849"/>
  <c r="AV16" i="849" s="1"/>
  <c r="AH16" i="849" s="1"/>
  <c r="BB16" i="849"/>
  <c r="AG15" i="849"/>
  <c r="AW15" i="849"/>
  <c r="AJ15" i="849" s="1"/>
  <c r="AL15" i="849"/>
  <c r="K15" i="849"/>
  <c r="AN15" i="849"/>
  <c r="BB15" i="849"/>
  <c r="AI15" i="849"/>
  <c r="AS15" i="849"/>
  <c r="AK15" i="849"/>
  <c r="BA15" i="849"/>
  <c r="AV15" i="849" s="1"/>
  <c r="AH15" i="849" s="1"/>
  <c r="AM15" i="849"/>
  <c r="BB14" i="849"/>
  <c r="AG14" i="849"/>
  <c r="AK14" i="849"/>
  <c r="AW14" i="849"/>
  <c r="AJ14" i="849" s="1"/>
  <c r="AI14" i="849"/>
  <c r="BA14" i="849"/>
  <c r="AV14" i="849" s="1"/>
  <c r="AH14" i="849" s="1"/>
  <c r="AS14" i="849"/>
  <c r="AN14" i="849"/>
  <c r="AM14" i="849"/>
  <c r="AL14" i="849"/>
  <c r="K14" i="849"/>
  <c r="AG13" i="849"/>
  <c r="AL13" i="849"/>
  <c r="BA13" i="849"/>
  <c r="AV13" i="849" s="1"/>
  <c r="AH13" i="849" s="1"/>
  <c r="AW13" i="849"/>
  <c r="AJ13" i="849" s="1"/>
  <c r="AS13" i="849"/>
  <c r="AK13" i="849"/>
  <c r="K13" i="849"/>
  <c r="AN13" i="849"/>
  <c r="AM13" i="849"/>
  <c r="BB13" i="849"/>
  <c r="AI13" i="849"/>
  <c r="AI12" i="849"/>
  <c r="BB12" i="849"/>
  <c r="AN12" i="849"/>
  <c r="AK12" i="849"/>
  <c r="AM12" i="849"/>
  <c r="BA12" i="849"/>
  <c r="AV12" i="849" s="1"/>
  <c r="AH12" i="849" s="1"/>
  <c r="AS12" i="849"/>
  <c r="AG12" i="849"/>
  <c r="AW12" i="849"/>
  <c r="AJ12" i="849" s="1"/>
  <c r="AL12" i="849"/>
  <c r="K12" i="849"/>
  <c r="AM11" i="849"/>
  <c r="AJ11" i="849"/>
  <c r="BA11" i="849"/>
  <c r="AV11" i="849" s="1"/>
  <c r="AH11" i="849" s="1"/>
  <c r="AI11" i="849"/>
  <c r="K11" i="849"/>
  <c r="AS11" i="849"/>
  <c r="AK11" i="849"/>
  <c r="AL11" i="849"/>
  <c r="AN11" i="849"/>
  <c r="AW11" i="849"/>
  <c r="BB11" i="849"/>
  <c r="AG11" i="849"/>
  <c r="AG10" i="849"/>
  <c r="AM10" i="849"/>
  <c r="BB10" i="849"/>
  <c r="BA10" i="849"/>
  <c r="AV10" i="849" s="1"/>
  <c r="AH10" i="849" s="1"/>
  <c r="AW10" i="849"/>
  <c r="AJ10" i="849" s="1"/>
  <c r="AI10" i="849"/>
  <c r="K10" i="849"/>
  <c r="AL10" i="849"/>
  <c r="AN10" i="849"/>
  <c r="AS10" i="849"/>
  <c r="AK10" i="849"/>
  <c r="AM9" i="849"/>
  <c r="BB9" i="849"/>
  <c r="BA9" i="849"/>
  <c r="AV9" i="849" s="1"/>
  <c r="AH9" i="849" s="1"/>
  <c r="AW9" i="849"/>
  <c r="AJ9" i="849" s="1"/>
  <c r="K9" i="849"/>
  <c r="AN9" i="849"/>
  <c r="AK9" i="849"/>
  <c r="AG9" i="849"/>
  <c r="AL9" i="849"/>
  <c r="AS9" i="849"/>
  <c r="U9" i="849" s="1"/>
  <c r="AI9" i="849"/>
  <c r="C17" i="849"/>
  <c r="D17" i="849"/>
  <c r="AC88" i="849"/>
  <c r="AH52" i="849"/>
  <c r="AB52" i="849"/>
  <c r="AI8" i="849"/>
  <c r="AW8" i="849"/>
  <c r="AJ8" i="849" s="1"/>
  <c r="AE8" i="849"/>
  <c r="AN8" i="849"/>
  <c r="AG8" i="849"/>
  <c r="K8" i="849"/>
  <c r="BA8" i="849"/>
  <c r="AV8" i="849" s="1"/>
  <c r="AH8" i="849" s="1"/>
  <c r="BB8" i="849"/>
  <c r="AK8" i="849"/>
  <c r="AT87" i="849"/>
  <c r="AO87" i="849"/>
  <c r="AH87" i="849"/>
  <c r="AB87" i="849"/>
  <c r="AT86" i="849"/>
  <c r="AO86" i="849"/>
  <c r="AH86" i="849"/>
  <c r="AB86" i="849"/>
  <c r="AO85" i="849"/>
  <c r="AT85" i="849"/>
  <c r="AH85" i="849"/>
  <c r="AB85" i="849"/>
  <c r="AT84" i="849"/>
  <c r="AO84" i="849"/>
  <c r="AH84" i="849"/>
  <c r="AB84" i="849"/>
  <c r="AT83" i="849"/>
  <c r="AO83" i="849"/>
  <c r="AH83" i="849"/>
  <c r="AB83" i="849"/>
  <c r="AT82" i="849"/>
  <c r="AO82" i="849"/>
  <c r="AH82" i="849"/>
  <c r="AB82" i="849"/>
  <c r="AT81" i="849"/>
  <c r="AO81" i="849"/>
  <c r="AH81" i="849"/>
  <c r="AB81" i="849"/>
  <c r="AO80" i="849"/>
  <c r="AT80" i="849"/>
  <c r="AH80" i="849"/>
  <c r="AB80" i="849"/>
  <c r="AT79" i="849"/>
  <c r="AO79" i="849"/>
  <c r="AB79" i="849"/>
  <c r="AH79" i="849"/>
  <c r="AT78" i="849"/>
  <c r="AO78" i="849"/>
  <c r="AH78" i="849"/>
  <c r="AB78" i="849"/>
  <c r="AT77" i="849"/>
  <c r="AO77" i="849"/>
  <c r="AH77" i="849"/>
  <c r="AB77" i="849"/>
  <c r="AO76" i="849"/>
  <c r="AT76" i="849"/>
  <c r="AH76" i="849"/>
  <c r="AB76" i="849"/>
  <c r="AO75" i="849"/>
  <c r="AT75" i="849"/>
  <c r="AH75" i="849"/>
  <c r="AB75" i="849"/>
  <c r="AO74" i="849"/>
  <c r="AT74" i="849"/>
  <c r="AB74" i="849"/>
  <c r="AH74" i="849"/>
  <c r="AT73" i="849"/>
  <c r="AO73" i="849"/>
  <c r="AH73" i="849"/>
  <c r="AB73" i="849"/>
  <c r="AT72" i="849"/>
  <c r="AO72" i="849"/>
  <c r="AB72" i="849"/>
  <c r="AH72" i="849"/>
  <c r="AO71" i="849"/>
  <c r="AT71" i="849"/>
  <c r="AB71" i="849"/>
  <c r="AH71" i="849"/>
  <c r="AO70" i="849"/>
  <c r="AT70" i="849"/>
  <c r="AH70" i="849"/>
  <c r="AB70" i="849"/>
  <c r="AO69" i="849"/>
  <c r="AT69" i="849"/>
  <c r="AH69" i="849"/>
  <c r="AB69" i="849"/>
  <c r="AT68" i="849"/>
  <c r="AO68" i="849"/>
  <c r="AB68" i="849"/>
  <c r="AH68" i="849"/>
  <c r="AO67" i="849"/>
  <c r="AT67" i="849"/>
  <c r="AH67" i="849"/>
  <c r="AB67" i="849"/>
  <c r="AT66" i="849"/>
  <c r="AO66" i="849"/>
  <c r="AH66" i="849"/>
  <c r="AB66" i="849"/>
  <c r="AO65" i="849"/>
  <c r="AT65" i="849"/>
  <c r="AH65" i="849"/>
  <c r="AB65" i="849"/>
  <c r="AO64" i="849"/>
  <c r="AT64" i="849"/>
  <c r="AH64" i="849"/>
  <c r="AB64" i="849"/>
  <c r="AT63" i="849"/>
  <c r="AO63" i="849"/>
  <c r="AH63" i="849"/>
  <c r="AB63" i="849"/>
  <c r="AT62" i="849"/>
  <c r="AO62" i="849"/>
  <c r="AB62" i="849"/>
  <c r="AH62" i="849"/>
  <c r="AO61" i="849"/>
  <c r="AT61" i="849"/>
  <c r="AH61" i="849"/>
  <c r="AB61" i="849"/>
  <c r="AT60" i="849"/>
  <c r="AO60" i="849"/>
  <c r="AH60" i="849"/>
  <c r="AB60" i="849"/>
  <c r="AT59" i="849"/>
  <c r="AO59" i="849"/>
  <c r="AH59" i="849"/>
  <c r="AB59" i="849"/>
  <c r="AT58" i="849"/>
  <c r="AO58" i="849"/>
  <c r="AH58" i="849"/>
  <c r="AB58" i="849"/>
  <c r="AO57" i="849"/>
  <c r="AT57" i="849"/>
  <c r="AH57" i="849"/>
  <c r="AB57" i="849"/>
  <c r="AO56" i="849"/>
  <c r="AT56" i="849"/>
  <c r="AH56" i="849"/>
  <c r="AB56" i="849"/>
  <c r="AT55" i="849"/>
  <c r="AO55" i="849"/>
  <c r="AH55" i="849"/>
  <c r="AB55" i="849"/>
  <c r="AO54" i="849"/>
  <c r="AT54" i="849"/>
  <c r="AB54" i="849"/>
  <c r="AH54" i="849"/>
  <c r="AT53" i="849"/>
  <c r="AO53" i="849"/>
  <c r="AB53" i="849"/>
  <c r="AH53" i="849"/>
  <c r="AO52" i="849"/>
  <c r="AT52" i="849"/>
  <c r="AT51" i="849"/>
  <c r="AO51" i="849"/>
  <c r="AB51" i="849"/>
  <c r="AH51" i="849"/>
  <c r="AT50" i="849"/>
  <c r="AO50" i="849"/>
  <c r="AH50" i="849"/>
  <c r="AB50" i="849"/>
  <c r="AT49" i="849"/>
  <c r="AO49" i="849"/>
  <c r="AB49" i="849"/>
  <c r="AH49" i="849"/>
  <c r="AO48" i="849"/>
  <c r="AT48" i="849"/>
  <c r="AB48" i="849"/>
  <c r="AH48" i="849"/>
  <c r="AT47" i="849"/>
  <c r="AO47" i="849"/>
  <c r="AH47" i="849"/>
  <c r="AB47" i="849"/>
  <c r="AO46" i="849"/>
  <c r="AT46" i="849"/>
  <c r="AB46" i="849"/>
  <c r="AH46" i="849"/>
  <c r="AT45" i="849"/>
  <c r="AO45" i="849"/>
  <c r="AH45" i="849"/>
  <c r="AB45" i="849"/>
  <c r="AO44" i="849"/>
  <c r="AT44" i="849"/>
  <c r="AH44" i="849"/>
  <c r="AB44" i="849"/>
  <c r="AO43" i="849"/>
  <c r="AT43" i="849"/>
  <c r="AH43" i="849"/>
  <c r="AB43" i="849"/>
  <c r="AT42" i="849"/>
  <c r="AO42" i="849"/>
  <c r="AH42" i="849"/>
  <c r="AB42" i="849"/>
  <c r="AT41" i="849"/>
  <c r="AO41" i="849"/>
  <c r="AH41" i="849"/>
  <c r="AB41" i="849"/>
  <c r="AT40" i="849"/>
  <c r="AO40" i="849"/>
  <c r="AH40" i="849"/>
  <c r="AB40" i="849"/>
  <c r="AT39" i="849"/>
  <c r="AO39" i="849"/>
  <c r="AH39" i="849"/>
  <c r="AB39" i="849"/>
  <c r="AT38" i="849"/>
  <c r="AO38" i="849"/>
  <c r="AH38" i="849"/>
  <c r="AB38" i="849"/>
  <c r="AT37" i="849"/>
  <c r="AO37" i="849"/>
  <c r="AH37" i="849"/>
  <c r="AB37" i="849"/>
  <c r="AT36" i="849"/>
  <c r="AO36" i="849"/>
  <c r="AB36" i="849"/>
  <c r="AH36" i="849"/>
  <c r="AT35" i="849"/>
  <c r="AO35" i="849"/>
  <c r="AH35" i="849"/>
  <c r="AB35" i="849"/>
  <c r="AT34" i="849"/>
  <c r="AO34" i="849"/>
  <c r="AH34" i="849"/>
  <c r="AB34" i="849"/>
  <c r="AT33" i="849"/>
  <c r="AO33" i="849"/>
  <c r="AB33" i="849"/>
  <c r="AH33" i="849"/>
  <c r="AT32" i="849"/>
  <c r="AO32" i="849"/>
  <c r="AH32" i="849"/>
  <c r="AB32" i="849"/>
  <c r="AO31" i="849"/>
  <c r="AT31" i="849"/>
  <c r="AB31" i="849"/>
  <c r="AH31" i="849"/>
  <c r="AO30" i="849"/>
  <c r="AT30" i="849"/>
  <c r="AH30" i="849"/>
  <c r="AB30" i="849"/>
  <c r="AO29" i="849"/>
  <c r="AT29" i="849"/>
  <c r="AB29" i="849"/>
  <c r="AH29" i="849"/>
  <c r="AO28" i="849"/>
  <c r="AT28" i="849"/>
  <c r="AH28" i="849"/>
  <c r="AB28" i="849"/>
  <c r="AT27" i="849"/>
  <c r="AO27" i="849"/>
  <c r="AH27" i="849"/>
  <c r="AB27" i="849"/>
  <c r="AT26" i="849"/>
  <c r="AO26" i="849"/>
  <c r="AH26" i="849"/>
  <c r="AB26" i="849"/>
  <c r="AT25" i="849"/>
  <c r="AO25" i="849"/>
  <c r="AH25" i="849"/>
  <c r="AB25" i="849"/>
  <c r="AO24" i="849"/>
  <c r="AT24" i="849"/>
  <c r="AB24" i="849"/>
  <c r="AH24" i="849"/>
  <c r="AT23" i="849"/>
  <c r="AO23" i="849"/>
  <c r="AB23" i="849"/>
  <c r="AH23" i="849"/>
  <c r="AT22" i="849"/>
  <c r="AO22" i="849"/>
  <c r="AH22" i="849"/>
  <c r="AB22" i="849"/>
  <c r="AT21" i="849"/>
  <c r="AO21" i="849"/>
  <c r="AH21" i="849"/>
  <c r="AB21" i="849"/>
  <c r="AT20" i="849"/>
  <c r="AO20" i="849"/>
  <c r="AB20" i="849"/>
  <c r="AH20" i="849"/>
  <c r="AT19" i="849"/>
  <c r="AO19" i="849"/>
  <c r="AB19" i="849"/>
  <c r="AH19" i="849"/>
  <c r="AO18" i="849"/>
  <c r="AT18" i="849"/>
  <c r="AH18" i="849"/>
  <c r="AB18" i="849"/>
  <c r="AB17" i="849"/>
  <c r="AB16" i="849"/>
  <c r="AB15" i="849"/>
  <c r="AB14" i="849"/>
  <c r="AB13" i="849"/>
  <c r="AB12" i="849"/>
  <c r="AB11" i="849"/>
  <c r="AB10" i="849"/>
  <c r="AB9" i="849"/>
  <c r="AB8" i="849"/>
  <c r="AF76" i="825"/>
  <c r="AF77" i="825"/>
  <c r="AF78" i="825"/>
  <c r="AF79" i="825"/>
  <c r="AF80" i="825"/>
  <c r="AF82" i="825"/>
  <c r="AF83" i="825"/>
  <c r="AF84" i="825"/>
  <c r="AF85" i="825"/>
  <c r="AF86" i="825"/>
  <c r="AF87" i="825"/>
  <c r="BN204" i="825"/>
  <c r="AB87" i="825"/>
  <c r="BN203" i="825"/>
  <c r="AB86" i="825"/>
  <c r="BN202" i="825"/>
  <c r="AB85" i="825"/>
  <c r="BN201" i="825"/>
  <c r="AB84" i="825"/>
  <c r="BN200" i="825"/>
  <c r="AB83" i="825"/>
  <c r="BN199" i="825"/>
  <c r="AB82" i="825"/>
  <c r="BN197" i="825"/>
  <c r="AB80" i="825"/>
  <c r="BN196" i="825"/>
  <c r="AB79" i="825"/>
  <c r="BN195" i="825"/>
  <c r="AB78" i="825"/>
  <c r="BN194" i="825"/>
  <c r="AB77" i="825"/>
  <c r="BN193" i="825"/>
  <c r="AB76" i="825"/>
  <c r="AG76" i="825"/>
  <c r="AE76" i="825"/>
  <c r="AD76" i="825"/>
  <c r="BN192" i="825"/>
  <c r="AE75" i="825"/>
  <c r="AD75" i="825"/>
  <c r="AB75" i="825"/>
  <c r="AT75" i="825"/>
  <c r="AH75" i="825" s="1"/>
  <c r="AS75" i="825"/>
  <c r="AL75" i="825"/>
  <c r="AK75" i="825"/>
  <c r="AJ75" i="825" s="1"/>
  <c r="AI75" i="825"/>
  <c r="AG75" i="825"/>
  <c r="BN191" i="825"/>
  <c r="AE74" i="825"/>
  <c r="AD74" i="825"/>
  <c r="AL74" i="825"/>
  <c r="AB74" i="825"/>
  <c r="AT74" i="825"/>
  <c r="AH74" i="825" s="1"/>
  <c r="AS74" i="825"/>
  <c r="AF74" i="825" s="1"/>
  <c r="AK74" i="825"/>
  <c r="AJ74" i="825" s="1"/>
  <c r="AI74" i="825"/>
  <c r="AG74" i="825"/>
  <c r="BN190" i="825"/>
  <c r="AG73" i="825"/>
  <c r="AS73" i="825"/>
  <c r="AF73" i="825" s="1"/>
  <c r="AL73" i="825"/>
  <c r="AK73" i="825"/>
  <c r="AJ73" i="825" s="1"/>
  <c r="AI73" i="825"/>
  <c r="AT73" i="825"/>
  <c r="AH73" i="825" s="1"/>
  <c r="AE73" i="825"/>
  <c r="AD73" i="825"/>
  <c r="AB73" i="825"/>
  <c r="BN189" i="825"/>
  <c r="AT72" i="825"/>
  <c r="AH72" i="825" s="1"/>
  <c r="AS72" i="825"/>
  <c r="AF72" i="825" s="1"/>
  <c r="AL72" i="825"/>
  <c r="AK72" i="825"/>
  <c r="AJ72" i="825" s="1"/>
  <c r="AI72" i="825"/>
  <c r="AG72" i="825"/>
  <c r="AE72" i="825"/>
  <c r="AD72" i="825"/>
  <c r="AB72" i="825"/>
  <c r="BN188" i="825"/>
  <c r="AE71" i="825"/>
  <c r="AD71" i="825"/>
  <c r="AB71" i="825"/>
  <c r="AT71" i="825"/>
  <c r="AH71" i="825" s="1"/>
  <c r="AS71" i="825"/>
  <c r="AF71" i="825" s="1"/>
  <c r="AL71" i="825"/>
  <c r="AK71" i="825"/>
  <c r="AJ71" i="825" s="1"/>
  <c r="AI71" i="825"/>
  <c r="AG71" i="825"/>
  <c r="BN187" i="825"/>
  <c r="AE70" i="825"/>
  <c r="AD70" i="825"/>
  <c r="AB70" i="825"/>
  <c r="AT70" i="825"/>
  <c r="AH70" i="825" s="1"/>
  <c r="AS70" i="825"/>
  <c r="AF70" i="825" s="1"/>
  <c r="AL70" i="825"/>
  <c r="AK70" i="825"/>
  <c r="AJ70" i="825" s="1"/>
  <c r="AI70" i="825"/>
  <c r="AG70" i="825"/>
  <c r="BN186" i="825"/>
  <c r="AL69" i="825"/>
  <c r="AI69" i="825"/>
  <c r="AT69" i="825"/>
  <c r="AH69" i="825" s="1"/>
  <c r="AS69" i="825"/>
  <c r="AF69" i="825" s="1"/>
  <c r="AD69" i="825"/>
  <c r="AK69" i="825"/>
  <c r="AJ69" i="825" s="1"/>
  <c r="AG69" i="825"/>
  <c r="AE69" i="825"/>
  <c r="AB69" i="825"/>
  <c r="BN185" i="825"/>
  <c r="AE68" i="825"/>
  <c r="AD68" i="825"/>
  <c r="AL68" i="825"/>
  <c r="AT68" i="825"/>
  <c r="AH68" i="825" s="1"/>
  <c r="AS68" i="825"/>
  <c r="AF68" i="825" s="1"/>
  <c r="AB68" i="825"/>
  <c r="AK68" i="825"/>
  <c r="AJ68" i="825" s="1"/>
  <c r="AI68" i="825"/>
  <c r="AG68" i="825"/>
  <c r="BN184" i="825"/>
  <c r="AE67" i="825"/>
  <c r="AD67" i="825"/>
  <c r="AB67" i="825"/>
  <c r="AT67" i="825"/>
  <c r="AH67" i="825" s="1"/>
  <c r="AS67" i="825"/>
  <c r="AF67" i="825" s="1"/>
  <c r="AL67" i="825"/>
  <c r="AK67" i="825"/>
  <c r="AJ67" i="825" s="1"/>
  <c r="AI67" i="825"/>
  <c r="AG67" i="825"/>
  <c r="BN183" i="825"/>
  <c r="AK66" i="825"/>
  <c r="AJ66" i="825" s="1"/>
  <c r="AS66" i="825"/>
  <c r="AF66" i="825" s="1"/>
  <c r="AL66" i="825"/>
  <c r="AT66" i="825"/>
  <c r="AH66" i="825" s="1"/>
  <c r="AI66" i="825"/>
  <c r="AG66" i="825"/>
  <c r="AE66" i="825"/>
  <c r="AD66" i="825"/>
  <c r="AB66" i="825"/>
  <c r="BN182" i="825"/>
  <c r="AS65" i="825"/>
  <c r="AF65" i="825" s="1"/>
  <c r="AT65" i="825"/>
  <c r="AH65" i="825" s="1"/>
  <c r="AL65" i="825"/>
  <c r="AK65" i="825"/>
  <c r="AJ65" i="825" s="1"/>
  <c r="AI65" i="825"/>
  <c r="AG65" i="825"/>
  <c r="AE65" i="825"/>
  <c r="AD65" i="825"/>
  <c r="AB65" i="825"/>
  <c r="BN181" i="825"/>
  <c r="AD64" i="825"/>
  <c r="AT64" i="825"/>
  <c r="AH64" i="825" s="1"/>
  <c r="AS64" i="825"/>
  <c r="AF64" i="825" s="1"/>
  <c r="AL64" i="825"/>
  <c r="AK64" i="825"/>
  <c r="AJ64" i="825" s="1"/>
  <c r="AI64" i="825"/>
  <c r="AG64" i="825"/>
  <c r="AE64" i="825"/>
  <c r="AB64" i="825"/>
  <c r="BN180" i="825"/>
  <c r="AE63" i="825"/>
  <c r="AD63" i="825"/>
  <c r="AB63" i="825"/>
  <c r="AT63" i="825"/>
  <c r="AH63" i="825" s="1"/>
  <c r="AS63" i="825"/>
  <c r="AF63" i="825" s="1"/>
  <c r="AL63" i="825"/>
  <c r="AK63" i="825"/>
  <c r="AJ63" i="825" s="1"/>
  <c r="AI63" i="825"/>
  <c r="AG63" i="825"/>
  <c r="BN179" i="825"/>
  <c r="AL62" i="825"/>
  <c r="AS62" i="825"/>
  <c r="AF62" i="825" s="1"/>
  <c r="AT62" i="825"/>
  <c r="AH62" i="825" s="1"/>
  <c r="AB62" i="825"/>
  <c r="AD62" i="825"/>
  <c r="AE62" i="825"/>
  <c r="AG62" i="825"/>
  <c r="AI62" i="825"/>
  <c r="AK62" i="825"/>
  <c r="AJ62" i="825" s="1"/>
  <c r="BN178" i="825"/>
  <c r="AK61" i="825"/>
  <c r="AJ61" i="825" s="1"/>
  <c r="AT61" i="825"/>
  <c r="AH61" i="825" s="1"/>
  <c r="AS61" i="825"/>
  <c r="AF61" i="825" s="1"/>
  <c r="AL61" i="825"/>
  <c r="AI61" i="825"/>
  <c r="AG61" i="825"/>
  <c r="AE61" i="825"/>
  <c r="AD61" i="825"/>
  <c r="AB61" i="825"/>
  <c r="BN177" i="825"/>
  <c r="AE60" i="825"/>
  <c r="AD60" i="825"/>
  <c r="AK60" i="825"/>
  <c r="AJ60" i="825" s="1"/>
  <c r="AT60" i="825"/>
  <c r="AH60" i="825" s="1"/>
  <c r="AS60" i="825"/>
  <c r="AF60" i="825" s="1"/>
  <c r="AL60" i="825"/>
  <c r="AB60" i="825"/>
  <c r="AI60" i="825"/>
  <c r="AG60" i="825"/>
  <c r="BN176" i="825"/>
  <c r="AE59" i="825"/>
  <c r="AD59" i="825"/>
  <c r="AB59" i="825"/>
  <c r="AT59" i="825"/>
  <c r="AH59" i="825" s="1"/>
  <c r="AS59" i="825"/>
  <c r="AF59" i="825" s="1"/>
  <c r="AL59" i="825"/>
  <c r="AK59" i="825"/>
  <c r="AJ59" i="825" s="1"/>
  <c r="AI59" i="825"/>
  <c r="AG59" i="825"/>
  <c r="BN175" i="825"/>
  <c r="AT58" i="825"/>
  <c r="AH58" i="825" s="1"/>
  <c r="AS58" i="825"/>
  <c r="AF58" i="825" s="1"/>
  <c r="AL58" i="825"/>
  <c r="AK58" i="825"/>
  <c r="AJ58" i="825" s="1"/>
  <c r="AI58" i="825"/>
  <c r="AG58" i="825"/>
  <c r="AE58" i="825"/>
  <c r="AD58" i="825"/>
  <c r="AB58" i="825"/>
  <c r="AT57" i="825"/>
  <c r="AH57" i="825" s="1"/>
  <c r="AS57" i="825"/>
  <c r="AF57" i="825" s="1"/>
  <c r="AL57" i="825"/>
  <c r="AK57" i="825"/>
  <c r="AJ57" i="825" s="1"/>
  <c r="AI57" i="825"/>
  <c r="AG57" i="825"/>
  <c r="AE57" i="825"/>
  <c r="AD57" i="825"/>
  <c r="BN161" i="825"/>
  <c r="AE44" i="825"/>
  <c r="AD44" i="825"/>
  <c r="AB44" i="825"/>
  <c r="AT44" i="825"/>
  <c r="AH44" i="825" s="1"/>
  <c r="AS44" i="825"/>
  <c r="AF44" i="825" s="1"/>
  <c r="AL44" i="825"/>
  <c r="AK44" i="825"/>
  <c r="AJ44" i="825" s="1"/>
  <c r="AI44" i="825"/>
  <c r="AG44" i="825"/>
  <c r="BN160" i="825"/>
  <c r="AE43" i="825"/>
  <c r="AD43" i="825"/>
  <c r="AB43" i="825"/>
  <c r="AT43" i="825"/>
  <c r="AH43" i="825" s="1"/>
  <c r="AS43" i="825"/>
  <c r="AF43" i="825" s="1"/>
  <c r="AL43" i="825"/>
  <c r="AK43" i="825"/>
  <c r="AJ43" i="825" s="1"/>
  <c r="AI43" i="825"/>
  <c r="AG43" i="825"/>
  <c r="BN159" i="825"/>
  <c r="AI42" i="825"/>
  <c r="AT42" i="825"/>
  <c r="AH42" i="825" s="1"/>
  <c r="AS42" i="825"/>
  <c r="AF42" i="825" s="1"/>
  <c r="AL42" i="825"/>
  <c r="AK42" i="825"/>
  <c r="AJ42" i="825" s="1"/>
  <c r="AG42" i="825"/>
  <c r="AE42" i="825"/>
  <c r="AD42" i="825"/>
  <c r="AB42" i="825"/>
  <c r="BN158" i="825"/>
  <c r="AL41" i="825"/>
  <c r="AT41" i="825"/>
  <c r="AH41" i="825" s="1"/>
  <c r="AS41" i="825"/>
  <c r="AF41" i="825" s="1"/>
  <c r="AK41" i="825"/>
  <c r="AJ41" i="825" s="1"/>
  <c r="AI41" i="825"/>
  <c r="AG41" i="825"/>
  <c r="AE41" i="825"/>
  <c r="AD41" i="825"/>
  <c r="AB41" i="825"/>
  <c r="BN157" i="825"/>
  <c r="AE40" i="825"/>
  <c r="AD40" i="825"/>
  <c r="AB40" i="825"/>
  <c r="AT40" i="825"/>
  <c r="AH40" i="825" s="1"/>
  <c r="AS40" i="825"/>
  <c r="AF40" i="825" s="1"/>
  <c r="AL40" i="825"/>
  <c r="AK40" i="825"/>
  <c r="AJ40" i="825" s="1"/>
  <c r="AI40" i="825"/>
  <c r="AG40" i="825"/>
  <c r="BN156" i="825"/>
  <c r="AE39" i="825"/>
  <c r="AD39" i="825"/>
  <c r="AB39" i="825"/>
  <c r="AK39" i="825"/>
  <c r="AJ39" i="825" s="1"/>
  <c r="AT39" i="825"/>
  <c r="AH39" i="825" s="1"/>
  <c r="AS39" i="825"/>
  <c r="AF39" i="825" s="1"/>
  <c r="AL39" i="825"/>
  <c r="AI39" i="825"/>
  <c r="AG39" i="825"/>
  <c r="BN155" i="825"/>
  <c r="AT38" i="825"/>
  <c r="AH38" i="825" s="1"/>
  <c r="AS38" i="825"/>
  <c r="AF38" i="825" s="1"/>
  <c r="AL38" i="825"/>
  <c r="AK38" i="825"/>
  <c r="AJ38" i="825" s="1"/>
  <c r="AI38" i="825"/>
  <c r="AG38" i="825"/>
  <c r="AE38" i="825"/>
  <c r="AD38" i="825"/>
  <c r="AB38" i="825"/>
  <c r="BN154" i="825"/>
  <c r="AT37" i="825"/>
  <c r="AH37" i="825" s="1"/>
  <c r="AS37" i="825"/>
  <c r="AF37" i="825" s="1"/>
  <c r="AL37" i="825"/>
  <c r="AK37" i="825"/>
  <c r="AJ37" i="825" s="1"/>
  <c r="AI37" i="825"/>
  <c r="AG37" i="825"/>
  <c r="AE37" i="825"/>
  <c r="AD37" i="825"/>
  <c r="AB37" i="825"/>
  <c r="AG36" i="825"/>
  <c r="AD36" i="825"/>
  <c r="AE36" i="825"/>
  <c r="AT36" i="825"/>
  <c r="AH36" i="825" s="1"/>
  <c r="AS36" i="825"/>
  <c r="AF36" i="825" s="1"/>
  <c r="AL36" i="825"/>
  <c r="AK36" i="825"/>
  <c r="AJ36" i="825" s="1"/>
  <c r="AI36" i="825"/>
  <c r="AF75" i="825"/>
  <c r="AA36" i="825" a="1"/>
  <c r="AP36" i="825" s="1"/>
  <c r="AR36" i="825" a="1"/>
  <c r="AA37" i="825" a="1"/>
  <c r="AP37" i="825" s="1"/>
  <c r="AA38" i="825" a="1"/>
  <c r="AP38" i="825" s="1"/>
  <c r="AA39" i="825" a="1"/>
  <c r="AP39" i="825" s="1"/>
  <c r="AR39" i="825" a="1"/>
  <c r="AA40" i="825" a="1"/>
  <c r="AA41" i="825" a="1"/>
  <c r="AP41" i="825" s="1"/>
  <c r="AA42" i="825" a="1"/>
  <c r="AP42" i="825" s="1"/>
  <c r="AA43" i="825" a="1"/>
  <c r="AA44" i="825" a="1"/>
  <c r="AP44" i="825" s="1"/>
  <c r="AA57" i="825" a="1"/>
  <c r="AP57" i="825" s="1"/>
  <c r="AA58" i="825" a="1"/>
  <c r="AP58" i="825" s="1"/>
  <c r="AA59" i="825" a="1"/>
  <c r="AP59" i="825" s="1"/>
  <c r="AA60" i="825" a="1"/>
  <c r="AP60" i="825" s="1"/>
  <c r="AA61" i="825" a="1"/>
  <c r="AP61" i="825" s="1"/>
  <c r="AA62" i="825" a="1"/>
  <c r="AP62" i="825" s="1"/>
  <c r="AA63" i="825" a="1"/>
  <c r="AP63" i="825" s="1"/>
  <c r="AA64" i="825" a="1"/>
  <c r="AP64" i="825" s="1"/>
  <c r="AA65" i="825" a="1"/>
  <c r="AP65" i="825" s="1"/>
  <c r="AA66" i="825" a="1"/>
  <c r="AP66" i="825" s="1"/>
  <c r="AA67" i="825" a="1"/>
  <c r="AP67" i="825" s="1"/>
  <c r="AA68" i="825" a="1"/>
  <c r="AP68" i="825" s="1"/>
  <c r="AA69" i="825" a="1"/>
  <c r="AP69" i="825" s="1"/>
  <c r="AA70" i="825" a="1"/>
  <c r="AA71" i="825" a="1"/>
  <c r="AP71" i="825" s="1"/>
  <c r="AA72" i="825" a="1"/>
  <c r="AP72" i="825" s="1"/>
  <c r="AA73" i="825" a="1"/>
  <c r="AP73" i="825" s="1"/>
  <c r="AA74" i="825" a="1"/>
  <c r="AA75" i="825" a="1"/>
  <c r="AP75" i="825" s="1"/>
  <c r="AA76" i="825" a="1"/>
  <c r="AP76" i="825" s="1"/>
  <c r="AA77" i="825" a="1"/>
  <c r="AA78" i="825" a="1"/>
  <c r="AP78" i="825" s="1"/>
  <c r="AA79" i="825" a="1"/>
  <c r="AP79" i="825" s="1"/>
  <c r="AA80" i="825" a="1"/>
  <c r="AA81" i="825" a="1"/>
  <c r="AP81" i="825" s="1"/>
  <c r="AA82" i="825" a="1"/>
  <c r="AP82" i="825" s="1"/>
  <c r="AA83" i="825" a="1"/>
  <c r="AP83" i="825" s="1"/>
  <c r="AA84" i="825" a="1"/>
  <c r="AP84" i="825" s="1"/>
  <c r="AA85" i="825" a="1"/>
  <c r="AP85" i="825" s="1"/>
  <c r="AA86" i="825" a="1"/>
  <c r="AP86" i="825" s="1"/>
  <c r="AR86" i="825" a="1"/>
  <c r="AA87" i="825" a="1"/>
  <c r="AP87" i="825" s="1"/>
  <c r="AB57" i="825"/>
  <c r="AB56" i="825"/>
  <c r="AD56" i="825"/>
  <c r="AE56" i="825"/>
  <c r="AG56" i="825"/>
  <c r="AI56" i="825"/>
  <c r="AK56" i="825"/>
  <c r="AJ56" i="825" s="1"/>
  <c r="AL56" i="825"/>
  <c r="AT56" i="825"/>
  <c r="AH56" i="825" s="1"/>
  <c r="AS56" i="825"/>
  <c r="AF56" i="825" s="1"/>
  <c r="AG55" i="825"/>
  <c r="AI55" i="825"/>
  <c r="AK55" i="825"/>
  <c r="AJ55" i="825" s="1"/>
  <c r="AL55" i="825"/>
  <c r="AS55" i="825"/>
  <c r="AF55" i="825" s="1"/>
  <c r="AT55" i="825"/>
  <c r="AH55" i="825" s="1"/>
  <c r="AB55" i="825"/>
  <c r="AD55" i="825"/>
  <c r="AE55" i="825"/>
  <c r="AS54" i="825"/>
  <c r="AF54" i="825" s="1"/>
  <c r="AL54" i="825"/>
  <c r="AK54" i="825"/>
  <c r="AJ54" i="825" s="1"/>
  <c r="AB54" i="825"/>
  <c r="AD54" i="825"/>
  <c r="AE54" i="825"/>
  <c r="AI54" i="825"/>
  <c r="AG54" i="825"/>
  <c r="AT54" i="825"/>
  <c r="AH54" i="825" s="1"/>
  <c r="AI53" i="825"/>
  <c r="AK53" i="825"/>
  <c r="AJ53" i="825" s="1"/>
  <c r="AL53" i="825"/>
  <c r="AS53" i="825"/>
  <c r="AF53" i="825" s="1"/>
  <c r="AT53" i="825"/>
  <c r="AH53" i="825" s="1"/>
  <c r="AG53" i="825"/>
  <c r="AE53" i="825"/>
  <c r="AD53" i="825"/>
  <c r="AB53" i="825"/>
  <c r="AT52" i="825"/>
  <c r="AH52" i="825" s="1"/>
  <c r="AE52" i="825"/>
  <c r="AD52" i="825"/>
  <c r="AB52" i="825"/>
  <c r="AS52" i="825"/>
  <c r="AF52" i="825" s="1"/>
  <c r="AL52" i="825"/>
  <c r="AK52" i="825"/>
  <c r="AJ52" i="825" s="1"/>
  <c r="AI52" i="825"/>
  <c r="AG52" i="825"/>
  <c r="AB51" i="825"/>
  <c r="AD51" i="825"/>
  <c r="AE51" i="825"/>
  <c r="AS51" i="825"/>
  <c r="AF51" i="825" s="1"/>
  <c r="AG51" i="825"/>
  <c r="AI51" i="825"/>
  <c r="AK51" i="825"/>
  <c r="AJ51" i="825" s="1"/>
  <c r="AL51" i="825"/>
  <c r="AT51" i="825"/>
  <c r="AH51" i="825" s="1"/>
  <c r="AB50" i="825"/>
  <c r="AG50" i="825"/>
  <c r="AE50" i="825"/>
  <c r="AD50" i="825"/>
  <c r="AT50" i="825"/>
  <c r="AH50" i="825" s="1"/>
  <c r="AS50" i="825"/>
  <c r="AF50" i="825" s="1"/>
  <c r="AL50" i="825"/>
  <c r="AK50" i="825"/>
  <c r="AJ50" i="825" s="1"/>
  <c r="AI50" i="825"/>
  <c r="AI49" i="825"/>
  <c r="AB49" i="825"/>
  <c r="AD49" i="825"/>
  <c r="AG49" i="825"/>
  <c r="AK49" i="825"/>
  <c r="AJ49" i="825" s="1"/>
  <c r="AL49" i="825"/>
  <c r="AS49" i="825"/>
  <c r="AF49" i="825" s="1"/>
  <c r="AE49" i="825"/>
  <c r="AT49" i="825"/>
  <c r="AH49" i="825" s="1"/>
  <c r="AB48" i="825"/>
  <c r="AD48" i="825"/>
  <c r="AE48" i="825"/>
  <c r="AS48" i="825"/>
  <c r="AF48" i="825" s="1"/>
  <c r="AG48" i="825"/>
  <c r="AI48" i="825"/>
  <c r="AK48" i="825"/>
  <c r="AJ48" i="825" s="1"/>
  <c r="AL48" i="825"/>
  <c r="AT48" i="825"/>
  <c r="AH48" i="825" s="1"/>
  <c r="AT47" i="825"/>
  <c r="AH47" i="825" s="1"/>
  <c r="AS47" i="825"/>
  <c r="AF47" i="825" s="1"/>
  <c r="AL47" i="825"/>
  <c r="AK47" i="825"/>
  <c r="AJ47" i="825" s="1"/>
  <c r="AI47" i="825"/>
  <c r="AG47" i="825"/>
  <c r="AB47" i="825"/>
  <c r="AE47" i="825"/>
  <c r="AD47" i="825"/>
  <c r="AG46" i="825"/>
  <c r="AT46" i="825"/>
  <c r="AH46" i="825" s="1"/>
  <c r="AS46" i="825"/>
  <c r="AF46" i="825" s="1"/>
  <c r="AL46" i="825"/>
  <c r="AK46" i="825"/>
  <c r="AJ46" i="825" s="1"/>
  <c r="AI46" i="825"/>
  <c r="AE46" i="825"/>
  <c r="AD46" i="825"/>
  <c r="AB46" i="825"/>
  <c r="AG45" i="825"/>
  <c r="AI45" i="825"/>
  <c r="AB45" i="825"/>
  <c r="AD45" i="825"/>
  <c r="AE45" i="825"/>
  <c r="AT45" i="825"/>
  <c r="AH45" i="825" s="1"/>
  <c r="AS45" i="825"/>
  <c r="AF45" i="825" s="1"/>
  <c r="AL45" i="825"/>
  <c r="AK45" i="825"/>
  <c r="AJ45" i="825" s="1"/>
  <c r="AB36" i="825"/>
  <c r="AE35" i="825"/>
  <c r="AD35" i="825"/>
  <c r="AB35" i="825"/>
  <c r="AI35" i="825"/>
  <c r="AK35" i="825"/>
  <c r="AJ35" i="825" s="1"/>
  <c r="AG35" i="825"/>
  <c r="AL35" i="825"/>
  <c r="AT35" i="825"/>
  <c r="AH35" i="825" s="1"/>
  <c r="AS35" i="825"/>
  <c r="AF35" i="825" s="1"/>
  <c r="AT34" i="825"/>
  <c r="AH34" i="825" s="1"/>
  <c r="AI34" i="825"/>
  <c r="AG34" i="825"/>
  <c r="AE34" i="825"/>
  <c r="AD34" i="825"/>
  <c r="AB34" i="825"/>
  <c r="AS34" i="825"/>
  <c r="AF34" i="825" s="1"/>
  <c r="AL34" i="825"/>
  <c r="AK34" i="825"/>
  <c r="AJ34" i="825" s="1"/>
  <c r="AB33" i="825"/>
  <c r="AD33" i="825"/>
  <c r="AE33" i="825"/>
  <c r="AT33" i="825"/>
  <c r="AS33" i="825"/>
  <c r="AL33" i="825"/>
  <c r="AK33" i="825"/>
  <c r="AJ33" i="825" s="1"/>
  <c r="AI33" i="825"/>
  <c r="AH33" i="825"/>
  <c r="AG33" i="825"/>
  <c r="AF33" i="825"/>
  <c r="AI32" i="825"/>
  <c r="AG32" i="825"/>
  <c r="AE32" i="825"/>
  <c r="AD32" i="825"/>
  <c r="AB32" i="825"/>
  <c r="AL32" i="825"/>
  <c r="AT32" i="825"/>
  <c r="AH32" i="825" s="1"/>
  <c r="AS32" i="825"/>
  <c r="AF32" i="825" s="1"/>
  <c r="AK32" i="825"/>
  <c r="AJ32" i="825" s="1"/>
  <c r="AT31" i="825"/>
  <c r="AH31" i="825" s="1"/>
  <c r="AG31" i="825"/>
  <c r="AB31" i="825"/>
  <c r="AD31" i="825"/>
  <c r="AE31" i="825"/>
  <c r="AS31" i="825"/>
  <c r="AF31" i="825" s="1"/>
  <c r="AL31" i="825"/>
  <c r="AK31" i="825"/>
  <c r="AJ31" i="825" s="1"/>
  <c r="AI31" i="825"/>
  <c r="AG30" i="825"/>
  <c r="AS30" i="825"/>
  <c r="AF30" i="825" s="1"/>
  <c r="AL30" i="825"/>
  <c r="AK30" i="825"/>
  <c r="AJ30" i="825" s="1"/>
  <c r="AI30" i="825"/>
  <c r="AB30" i="825"/>
  <c r="AD30" i="825"/>
  <c r="AE30" i="825"/>
  <c r="AT30" i="825"/>
  <c r="AH30" i="825" s="1"/>
  <c r="AI29" i="825"/>
  <c r="AK29" i="825"/>
  <c r="AJ29" i="825" s="1"/>
  <c r="AL29" i="825"/>
  <c r="AS29" i="825"/>
  <c r="AF29" i="825" s="1"/>
  <c r="AT29" i="825"/>
  <c r="AH29" i="825" s="1"/>
  <c r="AG29" i="825"/>
  <c r="AE29" i="825"/>
  <c r="AD29" i="825"/>
  <c r="AB29" i="825"/>
  <c r="K29" i="825"/>
  <c r="K28" i="825"/>
  <c r="AT28" i="825"/>
  <c r="AH28" i="825" s="1"/>
  <c r="AS28" i="825"/>
  <c r="AF28" i="825" s="1"/>
  <c r="AL28" i="825"/>
  <c r="AK28" i="825"/>
  <c r="AJ28" i="825" s="1"/>
  <c r="AI28" i="825"/>
  <c r="AG28" i="825"/>
  <c r="AE28" i="825"/>
  <c r="AD28" i="825"/>
  <c r="AB28" i="825"/>
  <c r="AT27" i="825"/>
  <c r="AH27" i="825" s="1"/>
  <c r="AS27" i="825"/>
  <c r="AF27" i="825" s="1"/>
  <c r="AL27" i="825"/>
  <c r="AK27" i="825"/>
  <c r="AJ27" i="825" s="1"/>
  <c r="AI27" i="825"/>
  <c r="AG27" i="825"/>
  <c r="AE27" i="825"/>
  <c r="AD27" i="825"/>
  <c r="AK26" i="825"/>
  <c r="AJ26" i="825" s="1"/>
  <c r="AI26" i="825"/>
  <c r="AT26" i="825"/>
  <c r="AH26" i="825" s="1"/>
  <c r="AS26" i="825"/>
  <c r="AF26" i="825" s="1"/>
  <c r="AL26" i="825"/>
  <c r="AD26" i="825"/>
  <c r="AE26" i="825"/>
  <c r="AG26" i="825"/>
  <c r="AI25" i="825"/>
  <c r="AG25" i="825"/>
  <c r="AE25" i="825"/>
  <c r="AD25" i="825"/>
  <c r="AT25" i="825"/>
  <c r="AH25" i="825" s="1"/>
  <c r="AS25" i="825"/>
  <c r="AF25" i="825" s="1"/>
  <c r="AL25" i="825"/>
  <c r="AK25" i="825"/>
  <c r="AJ25" i="825" s="1"/>
  <c r="AG24" i="825"/>
  <c r="AE24" i="825"/>
  <c r="AD24" i="825"/>
  <c r="AT24" i="825"/>
  <c r="AH24" i="825" s="1"/>
  <c r="AL24" i="825"/>
  <c r="AK24" i="825"/>
  <c r="AJ24" i="825" s="1"/>
  <c r="AI24" i="825"/>
  <c r="AS24" i="825"/>
  <c r="AF24" i="825" s="1"/>
  <c r="AT23" i="825"/>
  <c r="AH23" i="825" s="1"/>
  <c r="AS23" i="825"/>
  <c r="AF23" i="825" s="1"/>
  <c r="AL23" i="825"/>
  <c r="AK23" i="825"/>
  <c r="AJ23" i="825" s="1"/>
  <c r="AI23" i="825"/>
  <c r="AG23" i="825"/>
  <c r="AE23" i="825"/>
  <c r="AD23" i="825"/>
  <c r="AT22" i="825"/>
  <c r="AH22" i="825" s="1"/>
  <c r="AS22" i="825"/>
  <c r="AF22" i="825" s="1"/>
  <c r="AL22" i="825"/>
  <c r="AK22" i="825"/>
  <c r="AJ22" i="825" s="1"/>
  <c r="AI22" i="825"/>
  <c r="AD22" i="825"/>
  <c r="AE22" i="825"/>
  <c r="AG22" i="825"/>
  <c r="AM85" i="825"/>
  <c r="AQ85" i="825"/>
  <c r="AO27" i="805"/>
  <c r="AT27" i="805"/>
  <c r="AM80" i="825"/>
  <c r="AQ80" i="825"/>
  <c r="AB81" i="825"/>
  <c r="AF81" i="825"/>
  <c r="AB27" i="825"/>
  <c r="AB26" i="825"/>
  <c r="AB25" i="825"/>
  <c r="AB24" i="825"/>
  <c r="AB23" i="825"/>
  <c r="AB22" i="825"/>
  <c r="AB21" i="825"/>
  <c r="AD21" i="825"/>
  <c r="AE21" i="825"/>
  <c r="AG21" i="825"/>
  <c r="AI21" i="825"/>
  <c r="AK21" i="825"/>
  <c r="AJ21" i="825" s="1"/>
  <c r="AL21" i="825"/>
  <c r="AS21" i="825"/>
  <c r="AF21" i="825" s="1"/>
  <c r="AT21" i="825"/>
  <c r="AH21" i="825" s="1"/>
  <c r="AB20" i="825"/>
  <c r="AD20" i="825"/>
  <c r="AE20" i="825"/>
  <c r="AG20" i="825"/>
  <c r="AI20" i="825"/>
  <c r="AK20" i="825"/>
  <c r="AJ20" i="825" s="1"/>
  <c r="AL20" i="825"/>
  <c r="AS20" i="825"/>
  <c r="AF20" i="825" s="1"/>
  <c r="AT20" i="825"/>
  <c r="AH20" i="825" s="1"/>
  <c r="AB19" i="825"/>
  <c r="AD19" i="825"/>
  <c r="AE19" i="825"/>
  <c r="AG19" i="825"/>
  <c r="AI19" i="825"/>
  <c r="AK19" i="825"/>
  <c r="AJ19" i="825" s="1"/>
  <c r="AL19" i="825"/>
  <c r="AS19" i="825"/>
  <c r="AF19" i="825" s="1"/>
  <c r="AT19" i="825"/>
  <c r="AH19" i="825" s="1"/>
  <c r="AB18" i="825"/>
  <c r="AD18" i="825"/>
  <c r="AE18" i="825"/>
  <c r="AG18" i="825"/>
  <c r="AI18" i="825"/>
  <c r="AK18" i="825"/>
  <c r="AJ18" i="825" s="1"/>
  <c r="AL18" i="825"/>
  <c r="AS18" i="825"/>
  <c r="AF18" i="825" s="1"/>
  <c r="AT18" i="825"/>
  <c r="AH18" i="825" s="1"/>
  <c r="AB17" i="825"/>
  <c r="AD17" i="825"/>
  <c r="AE17" i="825"/>
  <c r="AG17" i="825"/>
  <c r="AI17" i="825"/>
  <c r="AK17" i="825"/>
  <c r="AJ17" i="825" s="1"/>
  <c r="AL17" i="825"/>
  <c r="AS17" i="825"/>
  <c r="AF17" i="825" s="1"/>
  <c r="AT17" i="825"/>
  <c r="AH17" i="825" s="1"/>
  <c r="AB16" i="825"/>
  <c r="AD16" i="825"/>
  <c r="AE16" i="825"/>
  <c r="AG16" i="825"/>
  <c r="AH16" i="825"/>
  <c r="AI16" i="825"/>
  <c r="AK16" i="825"/>
  <c r="AJ16" i="825" s="1"/>
  <c r="AL16" i="825"/>
  <c r="AS16" i="825"/>
  <c r="AF16" i="825" s="1"/>
  <c r="AD15" i="825"/>
  <c r="AE15" i="825"/>
  <c r="AG15" i="825"/>
  <c r="AI15" i="825"/>
  <c r="AK15" i="825"/>
  <c r="AJ15" i="825" s="1"/>
  <c r="AL15" i="825"/>
  <c r="AA15" i="825" s="1" a="1"/>
  <c r="AS15" i="825"/>
  <c r="AF15" i="825" s="1"/>
  <c r="AT15" i="825"/>
  <c r="AH15" i="825" s="1"/>
  <c r="AD14" i="825"/>
  <c r="AE14" i="825"/>
  <c r="AG14" i="825"/>
  <c r="AI14" i="825"/>
  <c r="AK14" i="825"/>
  <c r="AJ14" i="825" s="1"/>
  <c r="AL14" i="825"/>
  <c r="AA14" i="825" s="1" a="1"/>
  <c r="AS14" i="825"/>
  <c r="AF14" i="825" s="1"/>
  <c r="AT14" i="825"/>
  <c r="AH14" i="825" s="1"/>
  <c r="AR14" i="825" a="1"/>
  <c r="AD13" i="825"/>
  <c r="AE13" i="825"/>
  <c r="AG13" i="825"/>
  <c r="AH13" i="825"/>
  <c r="AI13" i="825"/>
  <c r="AK13" i="825"/>
  <c r="AJ13" i="825" s="1"/>
  <c r="AL13" i="825"/>
  <c r="AS13" i="825"/>
  <c r="AF13" i="825" s="1"/>
  <c r="AD12" i="825"/>
  <c r="AE12" i="825"/>
  <c r="AG12" i="825"/>
  <c r="AI12" i="825"/>
  <c r="AK12" i="825"/>
  <c r="AJ12" i="825" s="1"/>
  <c r="AL12" i="825"/>
  <c r="AS12" i="825"/>
  <c r="AF12" i="825" s="1"/>
  <c r="AT12" i="825"/>
  <c r="AH12" i="825" s="1"/>
  <c r="AD11" i="825"/>
  <c r="AE11" i="825"/>
  <c r="AG11" i="825"/>
  <c r="AI11" i="825"/>
  <c r="AK11" i="825"/>
  <c r="AJ11" i="825" s="1"/>
  <c r="AL11" i="825"/>
  <c r="AS11" i="825"/>
  <c r="AF11" i="825" s="1"/>
  <c r="AT11" i="825"/>
  <c r="AH11" i="825" s="1"/>
  <c r="AM81" i="825"/>
  <c r="AQ81" i="825"/>
  <c r="AM86" i="825"/>
  <c r="AQ86" i="825"/>
  <c r="AO30" i="805"/>
  <c r="AT30" i="805"/>
  <c r="AO57" i="805"/>
  <c r="AT57" i="805"/>
  <c r="AM82" i="825"/>
  <c r="AQ82" i="825"/>
  <c r="AM83" i="825"/>
  <c r="AQ83" i="825"/>
  <c r="AM76" i="825"/>
  <c r="AQ76" i="825"/>
  <c r="AO77" i="805"/>
  <c r="AT77" i="805"/>
  <c r="K8" i="805"/>
  <c r="AL8" i="805"/>
  <c r="AQ78" i="825"/>
  <c r="AM78" i="825"/>
  <c r="AM79" i="825"/>
  <c r="AQ79" i="825"/>
  <c r="AB10" i="825"/>
  <c r="AD10" i="825"/>
  <c r="AE10" i="825"/>
  <c r="AG10" i="825"/>
  <c r="AI10" i="825"/>
  <c r="AK10" i="825"/>
  <c r="AJ10" i="825" s="1"/>
  <c r="AL10" i="825"/>
  <c r="AA10" i="825" s="1" a="1"/>
  <c r="AP10" i="825" s="1"/>
  <c r="AS10" i="825"/>
  <c r="AF10" i="825" s="1"/>
  <c r="AT10" i="825"/>
  <c r="AH10" i="825" s="1"/>
  <c r="AS9" i="825"/>
  <c r="AF9" i="825" s="1"/>
  <c r="AT9" i="825"/>
  <c r="AH9" i="825" s="1"/>
  <c r="AG8" i="825"/>
  <c r="AS8" i="825"/>
  <c r="AF8" i="825" s="1"/>
  <c r="AT8" i="825"/>
  <c r="AH8" i="825" s="1"/>
  <c r="AK8" i="825"/>
  <c r="AJ8" i="825" s="1"/>
  <c r="AI8" i="825"/>
  <c r="AM84" i="825"/>
  <c r="AQ84" i="825"/>
  <c r="AM87" i="825"/>
  <c r="AQ87" i="825"/>
  <c r="AB15" i="825"/>
  <c r="AB14" i="825"/>
  <c r="AB13" i="825"/>
  <c r="AB12" i="825"/>
  <c r="AB11" i="825"/>
  <c r="AG9" i="825"/>
  <c r="AB9" i="825"/>
  <c r="AD9" i="825"/>
  <c r="AE9" i="825"/>
  <c r="AI9" i="825"/>
  <c r="AK9" i="825"/>
  <c r="AJ9" i="825" s="1"/>
  <c r="AL9" i="825"/>
  <c r="AM77" i="825"/>
  <c r="AQ77" i="825"/>
  <c r="AO52" i="805"/>
  <c r="AT52" i="805"/>
  <c r="AO59" i="805"/>
  <c r="AT59" i="805"/>
  <c r="AO76" i="805"/>
  <c r="AT76" i="805"/>
  <c r="AO36" i="805"/>
  <c r="AT36" i="805"/>
  <c r="AO41" i="805"/>
  <c r="AT41" i="805"/>
  <c r="AO69" i="805"/>
  <c r="AT69" i="805"/>
  <c r="AO81" i="805"/>
  <c r="AT81" i="805"/>
  <c r="AO26" i="805"/>
  <c r="AT26" i="805"/>
  <c r="AO40" i="805"/>
  <c r="AT40" i="805"/>
  <c r="AO46" i="805"/>
  <c r="AT46" i="805"/>
  <c r="AO50" i="805"/>
  <c r="AT50" i="805"/>
  <c r="AO54" i="805"/>
  <c r="AT54" i="805"/>
  <c r="AO56" i="805"/>
  <c r="AT56" i="805"/>
  <c r="AO61" i="805"/>
  <c r="AT61" i="805"/>
  <c r="AO29" i="805"/>
  <c r="AT29" i="805"/>
  <c r="AO31" i="805"/>
  <c r="AT31" i="805"/>
  <c r="AO42" i="805"/>
  <c r="AT42" i="805"/>
  <c r="AO55" i="805"/>
  <c r="AT55" i="805"/>
  <c r="AO58" i="805"/>
  <c r="AT58" i="805"/>
  <c r="AO72" i="805"/>
  <c r="AT72" i="805"/>
  <c r="AO78" i="805"/>
  <c r="AT78" i="805"/>
  <c r="AO28" i="805"/>
  <c r="AT28" i="805"/>
  <c r="AO33" i="805"/>
  <c r="AT33" i="805"/>
  <c r="AO47" i="805"/>
  <c r="AT47" i="805"/>
  <c r="AO65" i="805"/>
  <c r="AT65" i="805"/>
  <c r="AO71" i="805"/>
  <c r="AT71" i="805"/>
  <c r="AO73" i="805"/>
  <c r="AT73" i="805"/>
  <c r="AO80" i="805"/>
  <c r="AT80" i="805"/>
  <c r="AO83" i="805"/>
  <c r="AT83" i="805"/>
  <c r="AO85" i="805"/>
  <c r="AT85" i="805"/>
  <c r="AO32" i="805"/>
  <c r="AT32" i="805"/>
  <c r="AO34" i="805"/>
  <c r="AT34" i="805"/>
  <c r="AO38" i="805"/>
  <c r="AT38" i="805"/>
  <c r="AO39" i="805"/>
  <c r="AT39" i="805"/>
  <c r="AO45" i="805"/>
  <c r="AT45" i="805"/>
  <c r="AO51" i="805"/>
  <c r="AT51" i="805"/>
  <c r="AO62" i="805"/>
  <c r="AT62" i="805"/>
  <c r="AO66" i="805"/>
  <c r="AT66" i="805"/>
  <c r="AO67" i="805"/>
  <c r="AT67" i="805"/>
  <c r="AO74" i="805"/>
  <c r="AT74" i="805"/>
  <c r="AO84" i="805"/>
  <c r="AT84" i="805"/>
  <c r="AO75" i="805"/>
  <c r="AT75" i="805"/>
  <c r="AO82" i="805"/>
  <c r="AT82" i="805"/>
  <c r="AO35" i="805"/>
  <c r="AT35" i="805"/>
  <c r="AO37" i="805"/>
  <c r="AT37" i="805"/>
  <c r="AO43" i="805"/>
  <c r="AT43" i="805"/>
  <c r="AO44" i="805"/>
  <c r="AT44" i="805"/>
  <c r="AO48" i="805"/>
  <c r="AT48" i="805"/>
  <c r="AO49" i="805"/>
  <c r="AT49" i="805"/>
  <c r="AO53" i="805"/>
  <c r="AT53" i="805"/>
  <c r="AO68" i="805"/>
  <c r="AT68" i="805"/>
  <c r="AO70" i="805"/>
  <c r="AT70" i="805"/>
  <c r="AO86" i="805"/>
  <c r="AT86" i="805"/>
  <c r="AO87" i="805"/>
  <c r="AT87" i="805"/>
  <c r="AO60" i="805"/>
  <c r="AT60" i="805"/>
  <c r="AT63" i="805"/>
  <c r="AO63" i="805"/>
  <c r="AT64" i="805"/>
  <c r="AO64" i="805"/>
  <c r="AT79" i="805"/>
  <c r="AO79" i="805"/>
  <c r="G10" i="834"/>
  <c r="G11" i="834"/>
  <c r="AV181" i="825"/>
  <c r="AV180" i="825"/>
  <c r="AV179" i="825"/>
  <c r="AV178" i="825"/>
  <c r="AV177" i="825"/>
  <c r="AV176" i="825"/>
  <c r="AV175" i="825"/>
  <c r="K11" i="825"/>
  <c r="K12" i="825"/>
  <c r="K13" i="825"/>
  <c r="K14" i="825"/>
  <c r="K15" i="825"/>
  <c r="BN132" i="825" s="1"/>
  <c r="K16" i="825"/>
  <c r="BN133" i="825" s="1"/>
  <c r="K17" i="825"/>
  <c r="BN134" i="825" s="1"/>
  <c r="K18" i="825"/>
  <c r="BN135" i="825" s="1"/>
  <c r="K19" i="825"/>
  <c r="BN136" i="825" s="1"/>
  <c r="K20" i="825"/>
  <c r="BN137" i="825" s="1"/>
  <c r="K21" i="825"/>
  <c r="BN138" i="825" s="1"/>
  <c r="K22" i="825"/>
  <c r="BN139" i="825" s="1"/>
  <c r="K23" i="825"/>
  <c r="BN140" i="825" s="1"/>
  <c r="K24" i="825"/>
  <c r="BN141" i="825" s="1"/>
  <c r="K25" i="825"/>
  <c r="BN142" i="825" s="1"/>
  <c r="K26" i="825"/>
  <c r="BN143" i="825" s="1"/>
  <c r="K27" i="825"/>
  <c r="BN144" i="825" s="1"/>
  <c r="K10" i="825"/>
  <c r="K9" i="825"/>
  <c r="K8" i="825"/>
  <c r="AE8" i="825"/>
  <c r="AD8" i="825"/>
  <c r="AL8" i="825"/>
  <c r="AB8" i="825"/>
  <c r="AV182" i="825"/>
  <c r="AV159" i="825"/>
  <c r="AV158" i="825"/>
  <c r="AV157" i="825"/>
  <c r="AV156" i="825"/>
  <c r="AV155" i="825"/>
  <c r="AV154" i="825"/>
  <c r="AV161" i="825"/>
  <c r="AV160" i="825"/>
  <c r="AV199" i="825"/>
  <c r="AV194" i="825"/>
  <c r="AV190" i="825"/>
  <c r="AV185" i="825"/>
  <c r="AV198" i="825"/>
  <c r="AV192" i="825"/>
  <c r="AV186" i="825"/>
  <c r="AV202" i="825"/>
  <c r="AV197" i="825"/>
  <c r="AV193" i="825"/>
  <c r="AV188" i="825"/>
  <c r="AV203" i="825"/>
  <c r="AV200" i="825"/>
  <c r="AV201" i="825"/>
  <c r="AV189" i="825"/>
  <c r="AV184" i="825"/>
  <c r="AV183" i="825"/>
  <c r="AV204" i="825"/>
  <c r="AV196" i="825"/>
  <c r="AV195" i="825"/>
  <c r="AV191" i="825"/>
  <c r="AV187" i="825"/>
  <c r="C11" i="834"/>
  <c r="C12" i="834" s="1"/>
  <c r="C13" i="834" s="1"/>
  <c r="C14" i="834" s="1"/>
  <c r="C15" i="834" s="1"/>
  <c r="C16" i="834" s="1"/>
  <c r="C17" i="834" s="1"/>
  <c r="C18" i="834" s="1"/>
  <c r="C19" i="834" s="1"/>
  <c r="C20" i="834" s="1"/>
  <c r="C21" i="834" s="1"/>
  <c r="O17" i="834"/>
  <c r="O14" i="834"/>
  <c r="O16" i="834"/>
  <c r="O19" i="834"/>
  <c r="O21" i="834"/>
  <c r="O15" i="834"/>
  <c r="O18" i="834"/>
  <c r="O20" i="834"/>
  <c r="J11" i="825"/>
  <c r="AU128" i="825"/>
  <c r="AU129" i="825" s="1"/>
  <c r="AU130" i="825" s="1"/>
  <c r="AU131" i="825" s="1"/>
  <c r="AU132" i="825" s="1"/>
  <c r="AU133" i="825" s="1"/>
  <c r="AU134" i="825" s="1"/>
  <c r="AU135" i="825" s="1"/>
  <c r="AU136" i="825" s="1"/>
  <c r="AU137" i="825" s="1"/>
  <c r="AU138" i="825" s="1"/>
  <c r="AU139" i="825" s="1"/>
  <c r="AU140" i="825" s="1"/>
  <c r="AU141" i="825" s="1"/>
  <c r="AU142" i="825" s="1"/>
  <c r="AU143" i="825" s="1"/>
  <c r="AU144" i="825" s="1"/>
  <c r="AU145" i="825" s="1"/>
  <c r="AU146" i="825" s="1"/>
  <c r="AU147" i="825" s="1"/>
  <c r="AU148" i="825" s="1"/>
  <c r="AU149" i="825" s="1"/>
  <c r="AU150" i="825" s="1"/>
  <c r="AU151" i="825" s="1"/>
  <c r="AU152" i="825" s="1"/>
  <c r="AU153" i="825" s="1"/>
  <c r="AU154" i="825" s="1"/>
  <c r="AU155" i="825" s="1"/>
  <c r="AU156" i="825" s="1"/>
  <c r="AU157" i="825" s="1"/>
  <c r="AU158" i="825" s="1"/>
  <c r="AU159" i="825" s="1"/>
  <c r="AU160" i="825" s="1"/>
  <c r="AU161" i="825" s="1"/>
  <c r="AU162" i="825" s="1"/>
  <c r="AU163" i="825" s="1"/>
  <c r="AU164" i="825" s="1"/>
  <c r="AU165" i="825" s="1"/>
  <c r="AU166" i="825" s="1"/>
  <c r="AU167" i="825" s="1"/>
  <c r="AU168" i="825" s="1"/>
  <c r="AU169" i="825" s="1"/>
  <c r="AU170" i="825" s="1"/>
  <c r="AU171" i="825" s="1"/>
  <c r="AU172" i="825" s="1"/>
  <c r="AU173" i="825" s="1"/>
  <c r="AU174" i="825" s="1"/>
  <c r="AU175" i="825" s="1"/>
  <c r="AU176" i="825" s="1"/>
  <c r="AU177" i="825" s="1"/>
  <c r="AU178" i="825" s="1"/>
  <c r="AU179" i="825" s="1"/>
  <c r="AU180" i="825" s="1"/>
  <c r="AU181" i="825" s="1"/>
  <c r="AU182" i="825" s="1"/>
  <c r="AU183" i="825" s="1"/>
  <c r="AU184" i="825" s="1"/>
  <c r="AU185" i="825" s="1"/>
  <c r="AU186" i="825" s="1"/>
  <c r="AU187" i="825" s="1"/>
  <c r="AU188" i="825" s="1"/>
  <c r="AU189" i="825" s="1"/>
  <c r="AU190" i="825" s="1"/>
  <c r="AU191" i="825" s="1"/>
  <c r="AU192" i="825" s="1"/>
  <c r="AU193" i="825" s="1"/>
  <c r="AU194" i="825" s="1"/>
  <c r="AU195" i="825" s="1"/>
  <c r="AU196" i="825" s="1"/>
  <c r="AU197" i="825" s="1"/>
  <c r="AU198" i="825" s="1"/>
  <c r="AU199" i="825" s="1"/>
  <c r="AU200" i="825" s="1"/>
  <c r="AU201" i="825" s="1"/>
  <c r="AU202" i="825" s="1"/>
  <c r="AU203" i="825" s="1"/>
  <c r="AU204" i="825" s="1"/>
  <c r="BM128" i="825"/>
  <c r="BM129" i="825" s="1"/>
  <c r="BM130" i="825" s="1"/>
  <c r="BM131" i="825" s="1"/>
  <c r="BM132" i="825" s="1"/>
  <c r="BM133" i="825" s="1"/>
  <c r="BM134" i="825" s="1"/>
  <c r="BM135" i="825" s="1"/>
  <c r="BM136" i="825" s="1"/>
  <c r="BM137" i="825" s="1"/>
  <c r="BM138" i="825" s="1"/>
  <c r="BM139" i="825" s="1"/>
  <c r="BM140" i="825" s="1"/>
  <c r="BM141" i="825" s="1"/>
  <c r="BM142" i="825" s="1"/>
  <c r="BM143" i="825" s="1"/>
  <c r="BM144" i="825" s="1"/>
  <c r="BM145" i="825" s="1"/>
  <c r="BM146" i="825" s="1"/>
  <c r="BM147" i="825" s="1"/>
  <c r="BM148" i="825" s="1"/>
  <c r="BM149" i="825" s="1"/>
  <c r="BM150" i="825" s="1"/>
  <c r="BM151" i="825" s="1"/>
  <c r="BM152" i="825" s="1"/>
  <c r="BM153" i="825" s="1"/>
  <c r="BM154" i="825" s="1"/>
  <c r="BM155" i="825" s="1"/>
  <c r="BM156" i="825" s="1"/>
  <c r="BM157" i="825" s="1"/>
  <c r="BM158" i="825" s="1"/>
  <c r="BM159" i="825" s="1"/>
  <c r="BM160" i="825" s="1"/>
  <c r="BM161" i="825" s="1"/>
  <c r="BM162" i="825" s="1"/>
  <c r="BM163" i="825" s="1"/>
  <c r="BM164" i="825" s="1"/>
  <c r="BM165" i="825" s="1"/>
  <c r="BM166" i="825" s="1"/>
  <c r="BM167" i="825" s="1"/>
  <c r="BM168" i="825" s="1"/>
  <c r="BM169" i="825" s="1"/>
  <c r="BM170" i="825" s="1"/>
  <c r="BM171" i="825" s="1"/>
  <c r="BM172" i="825" s="1"/>
  <c r="BM173" i="825" s="1"/>
  <c r="BM174" i="825" s="1"/>
  <c r="BM175" i="825" s="1"/>
  <c r="BM176" i="825" s="1"/>
  <c r="BM177" i="825" s="1"/>
  <c r="BM178" i="825" s="1"/>
  <c r="BM179" i="825" s="1"/>
  <c r="BM180" i="825" s="1"/>
  <c r="BM181" i="825" s="1"/>
  <c r="BM182" i="825" s="1"/>
  <c r="BM183" i="825" s="1"/>
  <c r="BM184" i="825" s="1"/>
  <c r="BM185" i="825" s="1"/>
  <c r="BM186" i="825" s="1"/>
  <c r="BM187" i="825" s="1"/>
  <c r="BM188" i="825" s="1"/>
  <c r="BM189" i="825" s="1"/>
  <c r="BM190" i="825" s="1"/>
  <c r="BM191" i="825" s="1"/>
  <c r="BM192" i="825" s="1"/>
  <c r="BM193" i="825" s="1"/>
  <c r="BM194" i="825" s="1"/>
  <c r="BM195" i="825" s="1"/>
  <c r="BM196" i="825" s="1"/>
  <c r="BM197" i="825" s="1"/>
  <c r="BM198" i="825" s="1"/>
  <c r="BM199" i="825" s="1"/>
  <c r="BM200" i="825" s="1"/>
  <c r="BM201" i="825" s="1"/>
  <c r="BM202" i="825" s="1"/>
  <c r="BM203" i="825" s="1"/>
  <c r="BM204" i="825" s="1"/>
  <c r="F10" i="825"/>
  <c r="M3" i="783"/>
  <c r="M4" i="783"/>
  <c r="N12" i="834" a="1"/>
  <c r="N13" i="834" a="1"/>
  <c r="N14" i="834" a="1"/>
  <c r="N15" i="834" a="1"/>
  <c r="N16" i="834" a="1"/>
  <c r="N17" i="834" a="1"/>
  <c r="N18" i="834" a="1"/>
  <c r="N19" i="834" a="1"/>
  <c r="N21" i="834" a="1"/>
  <c r="N20" i="834" a="1"/>
  <c r="C17" i="825"/>
  <c r="D17" i="825"/>
  <c r="BH151" i="825"/>
  <c r="BZ204" i="825"/>
  <c r="BV204" i="825"/>
  <c r="BX204" i="825"/>
  <c r="BF204" i="825"/>
  <c r="BH204" i="825"/>
  <c r="BD204" i="825"/>
  <c r="BZ203" i="825"/>
  <c r="BV203" i="825"/>
  <c r="BX203" i="825"/>
  <c r="BH203" i="825"/>
  <c r="BF203" i="825"/>
  <c r="BD203" i="825"/>
  <c r="BZ202" i="825"/>
  <c r="BX202" i="825"/>
  <c r="BV202" i="825"/>
  <c r="BH202" i="825"/>
  <c r="BD202" i="825"/>
  <c r="BF202" i="825"/>
  <c r="BX201" i="825"/>
  <c r="BZ201" i="825"/>
  <c r="BV201" i="825"/>
  <c r="BF201" i="825"/>
  <c r="BH201" i="825"/>
  <c r="BD201" i="825"/>
  <c r="BV200" i="825"/>
  <c r="BX200" i="825"/>
  <c r="BZ200" i="825"/>
  <c r="BD200" i="825"/>
  <c r="BF200" i="825"/>
  <c r="BH200" i="825"/>
  <c r="BZ199" i="825"/>
  <c r="BX199" i="825"/>
  <c r="BV199" i="825"/>
  <c r="BH199" i="825"/>
  <c r="BF199" i="825"/>
  <c r="BD199" i="825"/>
  <c r="BZ198" i="825"/>
  <c r="BV198" i="825"/>
  <c r="BX198" i="825"/>
  <c r="BH198" i="825"/>
  <c r="BF198" i="825"/>
  <c r="BD198" i="825"/>
  <c r="BX197" i="825"/>
  <c r="BV197" i="825"/>
  <c r="BZ197" i="825"/>
  <c r="BD197" i="825"/>
  <c r="BH197" i="825"/>
  <c r="BF197" i="825"/>
  <c r="BX196" i="825"/>
  <c r="BV196" i="825"/>
  <c r="BZ196" i="825"/>
  <c r="BF196" i="825"/>
  <c r="BH196" i="825"/>
  <c r="BD196" i="825"/>
  <c r="BZ195" i="825"/>
  <c r="BX195" i="825"/>
  <c r="BV195" i="825"/>
  <c r="BH195" i="825"/>
  <c r="BD195" i="825"/>
  <c r="BF195" i="825"/>
  <c r="BV194" i="825"/>
  <c r="BZ194" i="825"/>
  <c r="BX194" i="825"/>
  <c r="BH194" i="825"/>
  <c r="BD194" i="825"/>
  <c r="BF194" i="825"/>
  <c r="BZ193" i="825"/>
  <c r="BV193" i="825"/>
  <c r="BX193" i="825"/>
  <c r="BF193" i="825"/>
  <c r="BD193" i="825"/>
  <c r="BH193" i="825"/>
  <c r="BZ192" i="825"/>
  <c r="BX192" i="825"/>
  <c r="BV192" i="825"/>
  <c r="BH192" i="825"/>
  <c r="BF192" i="825"/>
  <c r="BD192" i="825"/>
  <c r="BV191" i="825"/>
  <c r="BZ191" i="825"/>
  <c r="BX191" i="825"/>
  <c r="BD191" i="825"/>
  <c r="BH191" i="825"/>
  <c r="BF191" i="825"/>
  <c r="BZ190" i="825"/>
  <c r="BV190" i="825"/>
  <c r="BX190" i="825"/>
  <c r="BD190" i="825"/>
  <c r="BH190" i="825"/>
  <c r="BF190" i="825"/>
  <c r="BX189" i="825"/>
  <c r="BV189" i="825"/>
  <c r="BZ189" i="825"/>
  <c r="BH189" i="825"/>
  <c r="BF189" i="825"/>
  <c r="BD189" i="825"/>
  <c r="BX188" i="825"/>
  <c r="BV188" i="825"/>
  <c r="BZ188" i="825"/>
  <c r="BD188" i="825"/>
  <c r="BF188" i="825"/>
  <c r="BH188" i="825"/>
  <c r="BZ187" i="825"/>
  <c r="BX187" i="825"/>
  <c r="BV187" i="825"/>
  <c r="BH187" i="825"/>
  <c r="BF187" i="825"/>
  <c r="BD187" i="825"/>
  <c r="BZ186" i="825"/>
  <c r="BX186" i="825"/>
  <c r="BV186" i="825"/>
  <c r="BH186" i="825"/>
  <c r="BD186" i="825"/>
  <c r="BF186" i="825"/>
  <c r="BX185" i="825"/>
  <c r="BZ185" i="825"/>
  <c r="BV185" i="825"/>
  <c r="BH185" i="825"/>
  <c r="BF185" i="825"/>
  <c r="BD185" i="825"/>
  <c r="BV184" i="825"/>
  <c r="BX184" i="825"/>
  <c r="BZ184" i="825"/>
  <c r="BD184" i="825"/>
  <c r="BH184" i="825"/>
  <c r="BF184" i="825"/>
  <c r="BZ183" i="825"/>
  <c r="BV183" i="825"/>
  <c r="BX183" i="825"/>
  <c r="BH183" i="825"/>
  <c r="BD183" i="825"/>
  <c r="BF183" i="825"/>
  <c r="BZ182" i="825"/>
  <c r="BV182" i="825"/>
  <c r="BX182" i="825"/>
  <c r="BF182" i="825"/>
  <c r="BH182" i="825"/>
  <c r="BD182" i="825"/>
  <c r="BV181" i="825"/>
  <c r="BZ181" i="825"/>
  <c r="BX181" i="825"/>
  <c r="BF181" i="825"/>
  <c r="BH181" i="825"/>
  <c r="BD181" i="825"/>
  <c r="BZ180" i="825"/>
  <c r="BV180" i="825"/>
  <c r="BX180" i="825"/>
  <c r="BF180" i="825"/>
  <c r="BD180" i="825"/>
  <c r="BH180" i="825"/>
  <c r="BX179" i="825"/>
  <c r="BZ179" i="825"/>
  <c r="BV179" i="825"/>
  <c r="BD179" i="825"/>
  <c r="BF179" i="825"/>
  <c r="BH179" i="825"/>
  <c r="BX178" i="825"/>
  <c r="BV178" i="825"/>
  <c r="BZ178" i="825"/>
  <c r="BF178" i="825"/>
  <c r="BH178" i="825"/>
  <c r="BD178" i="825"/>
  <c r="BV177" i="825"/>
  <c r="BX177" i="825"/>
  <c r="BZ177" i="825"/>
  <c r="BH177" i="825"/>
  <c r="BD177" i="825"/>
  <c r="BF177" i="825"/>
  <c r="BV176" i="825"/>
  <c r="BX176" i="825"/>
  <c r="BZ176" i="825"/>
  <c r="BD176" i="825"/>
  <c r="BF176" i="825"/>
  <c r="BH176" i="825"/>
  <c r="BX175" i="825"/>
  <c r="BZ175" i="825"/>
  <c r="BV175" i="825"/>
  <c r="BD175" i="825"/>
  <c r="BF175" i="825"/>
  <c r="BH175" i="825"/>
  <c r="BV174" i="825"/>
  <c r="BX174" i="825"/>
  <c r="BZ174" i="825"/>
  <c r="BD174" i="825"/>
  <c r="BF174" i="825"/>
  <c r="BH174" i="825"/>
  <c r="BV173" i="825"/>
  <c r="BZ173" i="825"/>
  <c r="BX173" i="825"/>
  <c r="BH173" i="825"/>
  <c r="BF173" i="825"/>
  <c r="BD173" i="825"/>
  <c r="BX172" i="825"/>
  <c r="BV172" i="825"/>
  <c r="BZ172" i="825"/>
  <c r="BH172" i="825"/>
  <c r="BF172" i="825"/>
  <c r="BD172" i="825"/>
  <c r="BZ171" i="825"/>
  <c r="BX171" i="825"/>
  <c r="BV171" i="825"/>
  <c r="BF171" i="825"/>
  <c r="BH171" i="825"/>
  <c r="BD171" i="825"/>
  <c r="BZ170" i="825"/>
  <c r="BX170" i="825"/>
  <c r="BV170" i="825"/>
  <c r="BD170" i="825"/>
  <c r="BH170" i="825"/>
  <c r="BF170" i="825"/>
  <c r="BZ169" i="825"/>
  <c r="BX169" i="825"/>
  <c r="BV169" i="825"/>
  <c r="BH169" i="825"/>
  <c r="BF169" i="825"/>
  <c r="BD169" i="825"/>
  <c r="BZ168" i="825"/>
  <c r="BX168" i="825"/>
  <c r="BV168" i="825"/>
  <c r="BH168" i="825"/>
  <c r="BF168" i="825"/>
  <c r="BD168" i="825"/>
  <c r="BZ167" i="825"/>
  <c r="BX167" i="825"/>
  <c r="BV167" i="825"/>
  <c r="BD167" i="825"/>
  <c r="BF167" i="825"/>
  <c r="BH167" i="825"/>
  <c r="BV166" i="825"/>
  <c r="BX166" i="825"/>
  <c r="BZ166" i="825"/>
  <c r="BF166" i="825"/>
  <c r="BH166" i="825"/>
  <c r="BD166" i="825"/>
  <c r="BZ165" i="825"/>
  <c r="BX165" i="825"/>
  <c r="BV165" i="825"/>
  <c r="BH165" i="825"/>
  <c r="BF165" i="825"/>
  <c r="BD165" i="825"/>
  <c r="BZ164" i="825"/>
  <c r="BX164" i="825"/>
  <c r="BV164" i="825"/>
  <c r="BH164" i="825"/>
  <c r="BF164" i="825"/>
  <c r="BD164" i="825"/>
  <c r="BV163" i="825"/>
  <c r="BX163" i="825"/>
  <c r="BZ163" i="825"/>
  <c r="BF163" i="825"/>
  <c r="BD163" i="825"/>
  <c r="BH163" i="825"/>
  <c r="BZ162" i="825"/>
  <c r="BX162" i="825"/>
  <c r="BV162" i="825"/>
  <c r="BD162" i="825"/>
  <c r="BH162" i="825"/>
  <c r="BF162" i="825"/>
  <c r="BZ161" i="825"/>
  <c r="BX161" i="825"/>
  <c r="BV161" i="825"/>
  <c r="BD161" i="825"/>
  <c r="BF161" i="825"/>
  <c r="BH161" i="825"/>
  <c r="BZ160" i="825"/>
  <c r="BV160" i="825"/>
  <c r="BX160" i="825"/>
  <c r="BD160" i="825"/>
  <c r="BF160" i="825"/>
  <c r="BH160" i="825"/>
  <c r="BX159" i="825"/>
  <c r="BV159" i="825"/>
  <c r="BZ159" i="825"/>
  <c r="BH159" i="825"/>
  <c r="BD159" i="825"/>
  <c r="BF159" i="825"/>
  <c r="BZ158" i="825"/>
  <c r="BX158" i="825"/>
  <c r="BV158" i="825"/>
  <c r="BF158" i="825"/>
  <c r="BD158" i="825"/>
  <c r="BH158" i="825"/>
  <c r="BX157" i="825"/>
  <c r="BZ157" i="825"/>
  <c r="BV157" i="825"/>
  <c r="BH157" i="825"/>
  <c r="BD157" i="825"/>
  <c r="BF157" i="825"/>
  <c r="BZ156" i="825"/>
  <c r="BV156" i="825"/>
  <c r="BX156" i="825"/>
  <c r="BD156" i="825"/>
  <c r="BF156" i="825"/>
  <c r="BH156" i="825"/>
  <c r="BZ155" i="825"/>
  <c r="BV155" i="825"/>
  <c r="BX155" i="825"/>
  <c r="BH155" i="825"/>
  <c r="BD155" i="825"/>
  <c r="BF155" i="825"/>
  <c r="BV154" i="825"/>
  <c r="BZ154" i="825"/>
  <c r="BX154" i="825"/>
  <c r="BH154" i="825"/>
  <c r="BD154" i="825"/>
  <c r="BF154" i="825"/>
  <c r="BX153" i="825"/>
  <c r="BV153" i="825"/>
  <c r="BZ153" i="825"/>
  <c r="BH153" i="825"/>
  <c r="BF153" i="825"/>
  <c r="BD153" i="825"/>
  <c r="BV152" i="825"/>
  <c r="BZ152" i="825"/>
  <c r="BX152" i="825"/>
  <c r="BH152" i="825"/>
  <c r="BF152" i="825"/>
  <c r="BD152" i="825"/>
  <c r="BZ151" i="825"/>
  <c r="BV151" i="825"/>
  <c r="BX151" i="825"/>
  <c r="BD151" i="825"/>
  <c r="BF151" i="825"/>
  <c r="BV150" i="825"/>
  <c r="BZ150" i="825"/>
  <c r="BX150" i="825"/>
  <c r="BH150" i="825"/>
  <c r="BF150" i="825"/>
  <c r="BD150" i="825"/>
  <c r="BV149" i="825"/>
  <c r="BX149" i="825"/>
  <c r="BZ149" i="825"/>
  <c r="BD149" i="825"/>
  <c r="BF149" i="825"/>
  <c r="BH149" i="825"/>
  <c r="BX148" i="825"/>
  <c r="BZ148" i="825"/>
  <c r="BV148" i="825"/>
  <c r="BH148" i="825"/>
  <c r="BF148" i="825"/>
  <c r="BD148" i="825"/>
  <c r="BZ147" i="825"/>
  <c r="BX147" i="825"/>
  <c r="BV147" i="825"/>
  <c r="BH147" i="825"/>
  <c r="BD147" i="825"/>
  <c r="BF147" i="825"/>
  <c r="BV146" i="825"/>
  <c r="BZ146" i="825"/>
  <c r="BX146" i="825"/>
  <c r="BH146" i="825"/>
  <c r="BD146" i="825"/>
  <c r="BF146" i="825"/>
  <c r="BZ145" i="825"/>
  <c r="BX145" i="825"/>
  <c r="BV145" i="825"/>
  <c r="BH145" i="825"/>
  <c r="BD145" i="825"/>
  <c r="BF145" i="825"/>
  <c r="BX144" i="825"/>
  <c r="BV144" i="825"/>
  <c r="BZ144" i="825"/>
  <c r="BH144" i="825"/>
  <c r="BF144" i="825"/>
  <c r="BD144" i="825"/>
  <c r="BZ143" i="825"/>
  <c r="BX143" i="825"/>
  <c r="BV143" i="825"/>
  <c r="BD143" i="825"/>
  <c r="BH143" i="825"/>
  <c r="BF143" i="825"/>
  <c r="BZ142" i="825"/>
  <c r="BV142" i="825"/>
  <c r="BX142" i="825"/>
  <c r="BH142" i="825"/>
  <c r="BF142" i="825"/>
  <c r="BD142" i="825"/>
  <c r="BX141" i="825"/>
  <c r="BV141" i="825"/>
  <c r="BZ141" i="825"/>
  <c r="BH141" i="825"/>
  <c r="BD141" i="825"/>
  <c r="BF141" i="825"/>
  <c r="BV140" i="825"/>
  <c r="BX140" i="825"/>
  <c r="BZ140" i="825"/>
  <c r="BF140" i="825"/>
  <c r="BH140" i="825"/>
  <c r="BD140" i="825"/>
  <c r="BX139" i="825"/>
  <c r="BV139" i="825"/>
  <c r="BZ139" i="825"/>
  <c r="BH139" i="825"/>
  <c r="BF139" i="825"/>
  <c r="BD139" i="825"/>
  <c r="BZ138" i="825"/>
  <c r="BX138" i="825"/>
  <c r="BV138" i="825"/>
  <c r="BD138" i="825"/>
  <c r="BF138" i="825"/>
  <c r="BH138" i="825"/>
  <c r="BV137" i="825"/>
  <c r="BX137" i="825"/>
  <c r="BZ137" i="825"/>
  <c r="BF137" i="825"/>
  <c r="BD137" i="825"/>
  <c r="BH137" i="825"/>
  <c r="BZ136" i="825"/>
  <c r="BX136" i="825"/>
  <c r="BV136" i="825"/>
  <c r="BF136" i="825"/>
  <c r="BD136" i="825"/>
  <c r="BH136" i="825"/>
  <c r="BV135" i="825"/>
  <c r="BZ135" i="825"/>
  <c r="BX135" i="825"/>
  <c r="BD135" i="825"/>
  <c r="BH135" i="825"/>
  <c r="BF135" i="825"/>
  <c r="BZ134" i="825"/>
  <c r="BX134" i="825"/>
  <c r="BV134" i="825"/>
  <c r="BD134" i="825"/>
  <c r="BH134" i="825"/>
  <c r="BF134" i="825"/>
  <c r="BZ133" i="825"/>
  <c r="BX133" i="825"/>
  <c r="BV133" i="825"/>
  <c r="BH133" i="825"/>
  <c r="BF133" i="825"/>
  <c r="BD133" i="825"/>
  <c r="BZ132" i="825"/>
  <c r="BX132" i="825"/>
  <c r="BV132" i="825"/>
  <c r="BF132" i="825"/>
  <c r="BD132" i="825"/>
  <c r="BH132" i="825"/>
  <c r="BV131" i="825"/>
  <c r="BX131" i="825"/>
  <c r="BZ131" i="825"/>
  <c r="BD131" i="825"/>
  <c r="BF131" i="825"/>
  <c r="BH131" i="825"/>
  <c r="BZ130" i="825"/>
  <c r="BX130" i="825"/>
  <c r="BV130" i="825"/>
  <c r="BH130" i="825"/>
  <c r="BF130" i="825"/>
  <c r="BD130" i="825"/>
  <c r="BZ129" i="825"/>
  <c r="BX129" i="825"/>
  <c r="BV129" i="825"/>
  <c r="BF129" i="825"/>
  <c r="BD129" i="825"/>
  <c r="BH129" i="825"/>
  <c r="BZ128" i="825"/>
  <c r="BX128" i="825"/>
  <c r="BV128" i="825"/>
  <c r="BH128" i="825"/>
  <c r="BF128" i="825"/>
  <c r="BD128" i="825"/>
  <c r="AB34" i="844" l="1"/>
  <c r="AB41" i="844"/>
  <c r="AB43" i="844"/>
  <c r="X9" i="849"/>
  <c r="S9" i="849"/>
  <c r="AB40" i="844"/>
  <c r="AA40" i="844"/>
  <c r="F57" i="4"/>
  <c r="C58" i="4"/>
  <c r="AD8" i="849"/>
  <c r="AG7" i="124"/>
  <c r="AF7" i="124"/>
  <c r="AE7" i="124"/>
  <c r="AD7" i="124"/>
  <c r="AQ20" i="825"/>
  <c r="AM20" i="825" s="1"/>
  <c r="AA20" i="825" a="1"/>
  <c r="AP20" i="825" s="1"/>
  <c r="AR17" i="825" a="1"/>
  <c r="AA17" i="825" a="1"/>
  <c r="AP17" i="825" s="1"/>
  <c r="AE181" i="404"/>
  <c r="AB44" i="844"/>
  <c r="AA44" i="844"/>
  <c r="AA28" i="844"/>
  <c r="AB28" i="844"/>
  <c r="AC21" i="844"/>
  <c r="AC22" i="844"/>
  <c r="AC23" i="844"/>
  <c r="AC24" i="844"/>
  <c r="AC25" i="844"/>
  <c r="AC26" i="844"/>
  <c r="AC27" i="844"/>
  <c r="AC28" i="844"/>
  <c r="AC29" i="844"/>
  <c r="AC30" i="844"/>
  <c r="AC31" i="844"/>
  <c r="AC32" i="844"/>
  <c r="AC33" i="844"/>
  <c r="AC34" i="844"/>
  <c r="AC35" i="844"/>
  <c r="AC36" i="844"/>
  <c r="AC37" i="844"/>
  <c r="AC38" i="844"/>
  <c r="AC39" i="844"/>
  <c r="AC40" i="844"/>
  <c r="AC41" i="844"/>
  <c r="AC42" i="844"/>
  <c r="AC43" i="844"/>
  <c r="AC44" i="844"/>
  <c r="AC45" i="844"/>
  <c r="AC46" i="844"/>
  <c r="AC47" i="844"/>
  <c r="AC48" i="844"/>
  <c r="AC49" i="844"/>
  <c r="AC50" i="844"/>
  <c r="AC51" i="844"/>
  <c r="AB27" i="844"/>
  <c r="AA27" i="844"/>
  <c r="AB30" i="844"/>
  <c r="AA30" i="844"/>
  <c r="AB32" i="844"/>
  <c r="AA32" i="844"/>
  <c r="AA46" i="844"/>
  <c r="AB22" i="844"/>
  <c r="AA22" i="844"/>
  <c r="AB24" i="844"/>
  <c r="AA24" i="844"/>
  <c r="AB21" i="844"/>
  <c r="AA21" i="844"/>
  <c r="AA23" i="844"/>
  <c r="AB23" i="844"/>
  <c r="AB25" i="844"/>
  <c r="AA25" i="844"/>
  <c r="AA29" i="844"/>
  <c r="AB29" i="844"/>
  <c r="AA31" i="844"/>
  <c r="AB31" i="844"/>
  <c r="AA34" i="844"/>
  <c r="AA35" i="844"/>
  <c r="AA36" i="844"/>
  <c r="AA26" i="844"/>
  <c r="AB26" i="844"/>
  <c r="AA37" i="844"/>
  <c r="AA38" i="844"/>
  <c r="AA39" i="844"/>
  <c r="AP15" i="825"/>
  <c r="AP14" i="825"/>
  <c r="AE100" i="404"/>
  <c r="AE104" i="404"/>
  <c r="AE107" i="404"/>
  <c r="AE110" i="404"/>
  <c r="AE112" i="404"/>
  <c r="AE115" i="404"/>
  <c r="AE117" i="404"/>
  <c r="AE119" i="404"/>
  <c r="AE121" i="404"/>
  <c r="AE123" i="404"/>
  <c r="AE125" i="404"/>
  <c r="AE128" i="404"/>
  <c r="AE131" i="404"/>
  <c r="AE134" i="404"/>
  <c r="AE137" i="404"/>
  <c r="AE140" i="404"/>
  <c r="AE143" i="404"/>
  <c r="AE144" i="404"/>
  <c r="AE145" i="404"/>
  <c r="AE146" i="404"/>
  <c r="AE147" i="404"/>
  <c r="AE148" i="404"/>
  <c r="AE149" i="404"/>
  <c r="AE150" i="404"/>
  <c r="AE151" i="404"/>
  <c r="AE152" i="404"/>
  <c r="AE153" i="404"/>
  <c r="AE154" i="404"/>
  <c r="AE155" i="404"/>
  <c r="AE156" i="404"/>
  <c r="AE157" i="404"/>
  <c r="AE158" i="404"/>
  <c r="AE159" i="404"/>
  <c r="AE160" i="404"/>
  <c r="AE161" i="404"/>
  <c r="AE162" i="404"/>
  <c r="AE163" i="404"/>
  <c r="AE164" i="404"/>
  <c r="AE165" i="404"/>
  <c r="AE166" i="404"/>
  <c r="AE167" i="404"/>
  <c r="AE168" i="404"/>
  <c r="AE169" i="404"/>
  <c r="AE170" i="404"/>
  <c r="AE171" i="404"/>
  <c r="AE172" i="404"/>
  <c r="AE173" i="404"/>
  <c r="AE174" i="404"/>
  <c r="AE175" i="404"/>
  <c r="AE176" i="404"/>
  <c r="AE177" i="404"/>
  <c r="AE178" i="404"/>
  <c r="AE179" i="404"/>
  <c r="AE180" i="404"/>
  <c r="AE99" i="404"/>
  <c r="AE102" i="404"/>
  <c r="AE105" i="404"/>
  <c r="AE108" i="404"/>
  <c r="AE111" i="404"/>
  <c r="AE114" i="404"/>
  <c r="AE116" i="404"/>
  <c r="AE118" i="404"/>
  <c r="AE120" i="404"/>
  <c r="AE122" i="404"/>
  <c r="AE124" i="404"/>
  <c r="AE126" i="404"/>
  <c r="AE129" i="404"/>
  <c r="AE132" i="404"/>
  <c r="AE135" i="404"/>
  <c r="AE138" i="404"/>
  <c r="AE141" i="404"/>
  <c r="AE101" i="404"/>
  <c r="AE103" i="404"/>
  <c r="AE106" i="404"/>
  <c r="AE109" i="404"/>
  <c r="AE113" i="404"/>
  <c r="AE127" i="404"/>
  <c r="AE130" i="404"/>
  <c r="AE133" i="404"/>
  <c r="AE136" i="404"/>
  <c r="AE139" i="404"/>
  <c r="AE142" i="404"/>
  <c r="AE96" i="404"/>
  <c r="AE98" i="404"/>
  <c r="AE95" i="404"/>
  <c r="AE97" i="404"/>
  <c r="I3" i="844"/>
  <c r="AE94" i="404"/>
  <c r="V6" i="849"/>
  <c r="M88" i="849"/>
  <c r="X92" i="849"/>
  <c r="X88" i="849"/>
  <c r="X6" i="849"/>
  <c r="S6" i="849"/>
  <c r="X91" i="849"/>
  <c r="X89" i="849"/>
  <c r="X90" i="849"/>
  <c r="I37" i="404"/>
  <c r="I36" i="404"/>
  <c r="I35" i="404"/>
  <c r="I34" i="404"/>
  <c r="O28" i="404"/>
  <c r="O27" i="404"/>
  <c r="O23" i="404"/>
  <c r="O22" i="404"/>
  <c r="V22" i="404"/>
  <c r="I27" i="404"/>
  <c r="I9" i="404"/>
  <c r="I17" i="404"/>
  <c r="V23" i="404"/>
  <c r="I20" i="404"/>
  <c r="I19" i="404"/>
  <c r="I18" i="404"/>
  <c r="AA17" i="849" a="1"/>
  <c r="AU17" i="849" a="1"/>
  <c r="AA16" i="849" a="1"/>
  <c r="AU16" i="849" a="1"/>
  <c r="AA15" i="849" a="1"/>
  <c r="AU15" i="849" a="1"/>
  <c r="AO17" i="849"/>
  <c r="AD17" i="849" s="1"/>
  <c r="AT17" i="849"/>
  <c r="AO16" i="849"/>
  <c r="AD16" i="849" s="1"/>
  <c r="AT16" i="849"/>
  <c r="AO15" i="849"/>
  <c r="AT15" i="849"/>
  <c r="AU14" i="849" a="1"/>
  <c r="AA14" i="849" a="1"/>
  <c r="AU13" i="849" a="1"/>
  <c r="AA13" i="849" a="1"/>
  <c r="AU12" i="849" a="1"/>
  <c r="AA12" i="849" a="1"/>
  <c r="AA11" i="849" a="1"/>
  <c r="AU11" i="849" a="1"/>
  <c r="AT14" i="849"/>
  <c r="AO14" i="849"/>
  <c r="AT13" i="849"/>
  <c r="AO13" i="849"/>
  <c r="AT12" i="849"/>
  <c r="AO12" i="849"/>
  <c r="AO11" i="849"/>
  <c r="AT11" i="849"/>
  <c r="AA10" i="849" a="1"/>
  <c r="AU10" i="849" a="1"/>
  <c r="AT10" i="849"/>
  <c r="AO10" i="849" s="1"/>
  <c r="AT9" i="849"/>
  <c r="AO9" i="849" s="1"/>
  <c r="S8" i="849"/>
  <c r="X8" i="849"/>
  <c r="AA8" i="849" a="1"/>
  <c r="AT8" i="849"/>
  <c r="AO8" i="849" s="1"/>
  <c r="AR70" i="825" a="1"/>
  <c r="AM70" i="825"/>
  <c r="AQ70" i="825"/>
  <c r="AR75" i="825" a="1"/>
  <c r="AM75" i="825"/>
  <c r="AQ75" i="825"/>
  <c r="AR74" i="825" a="1"/>
  <c r="AM74" i="825"/>
  <c r="AQ74" i="825"/>
  <c r="AR73" i="825" a="1"/>
  <c r="AM73" i="825"/>
  <c r="AQ73" i="825"/>
  <c r="AM45" i="825"/>
  <c r="AQ45" i="825"/>
  <c r="AR72" i="825" a="1"/>
  <c r="AQ72" i="825"/>
  <c r="AM72" i="825"/>
  <c r="AR71" i="825" a="1"/>
  <c r="AQ71" i="825"/>
  <c r="AM71" i="825"/>
  <c r="AR69" i="825" a="1"/>
  <c r="AQ69" i="825"/>
  <c r="AM69" i="825"/>
  <c r="AR68" i="825" a="1"/>
  <c r="AQ68" i="825"/>
  <c r="AM68" i="825"/>
  <c r="AR67" i="825" a="1"/>
  <c r="AQ67" i="825"/>
  <c r="AM67" i="825"/>
  <c r="AR66" i="825" a="1"/>
  <c r="AQ66" i="825"/>
  <c r="AM66" i="825"/>
  <c r="AR65" i="825" a="1"/>
  <c r="AQ65" i="825"/>
  <c r="AM65" i="825"/>
  <c r="AR64" i="825" a="1"/>
  <c r="AM64" i="825"/>
  <c r="AQ64" i="825"/>
  <c r="AR63" i="825" a="1"/>
  <c r="AQ63" i="825"/>
  <c r="AM63" i="825"/>
  <c r="AR62" i="825" a="1"/>
  <c r="AM62" i="825"/>
  <c r="AQ62" i="825"/>
  <c r="AR61" i="825" a="1"/>
  <c r="AM61" i="825"/>
  <c r="AQ61" i="825"/>
  <c r="AR60" i="825" a="1"/>
  <c r="AQ60" i="825"/>
  <c r="AM60" i="825"/>
  <c r="AR59" i="825" a="1"/>
  <c r="AQ59" i="825"/>
  <c r="AM59" i="825"/>
  <c r="AR58" i="825" a="1"/>
  <c r="AQ58" i="825"/>
  <c r="AM58" i="825"/>
  <c r="AR57" i="825" a="1"/>
  <c r="AQ57" i="825"/>
  <c r="AM57" i="825"/>
  <c r="AR44" i="825" a="1"/>
  <c r="AM44" i="825"/>
  <c r="AQ44" i="825"/>
  <c r="AR43" i="825" a="1"/>
  <c r="AM43" i="825"/>
  <c r="AQ43" i="825"/>
  <c r="AR42" i="825" a="1"/>
  <c r="AQ42" i="825"/>
  <c r="AM42" i="825"/>
  <c r="AR41" i="825" a="1"/>
  <c r="AM41" i="825"/>
  <c r="AQ41" i="825"/>
  <c r="AR40" i="825" a="1"/>
  <c r="AQ40" i="825"/>
  <c r="AM40" i="825"/>
  <c r="AQ39" i="825"/>
  <c r="AM39" i="825"/>
  <c r="AR38" i="825" a="1"/>
  <c r="AQ38" i="825"/>
  <c r="AM38" i="825"/>
  <c r="AR37" i="825" a="1"/>
  <c r="AM37" i="825"/>
  <c r="AQ37" i="825"/>
  <c r="AQ36" i="825"/>
  <c r="AM36" i="825"/>
  <c r="AM56" i="825"/>
  <c r="AQ56" i="825"/>
  <c r="AQ55" i="825"/>
  <c r="AM55" i="825"/>
  <c r="AQ54" i="825"/>
  <c r="AM54" i="825"/>
  <c r="AM53" i="825"/>
  <c r="AQ53" i="825"/>
  <c r="AM52" i="825"/>
  <c r="AQ52" i="825"/>
  <c r="AQ51" i="825"/>
  <c r="AM51" i="825"/>
  <c r="AQ50" i="825"/>
  <c r="AM50" i="825"/>
  <c r="AQ49" i="825"/>
  <c r="AM49" i="825"/>
  <c r="AQ48" i="825"/>
  <c r="AM48" i="825"/>
  <c r="AQ47" i="825"/>
  <c r="AM47" i="825"/>
  <c r="AQ46" i="825"/>
  <c r="AM46" i="825"/>
  <c r="AQ31" i="825"/>
  <c r="AM31" i="825"/>
  <c r="AQ30" i="825"/>
  <c r="AM30" i="825"/>
  <c r="U85" i="825"/>
  <c r="U69" i="825"/>
  <c r="U73" i="825"/>
  <c r="U78" i="825"/>
  <c r="U39" i="825"/>
  <c r="U44" i="825"/>
  <c r="U62" i="825"/>
  <c r="U66" i="825"/>
  <c r="U84" i="825"/>
  <c r="U81" i="825"/>
  <c r="U86" i="825"/>
  <c r="U82" i="825"/>
  <c r="U83" i="825"/>
  <c r="U76" i="825"/>
  <c r="U60" i="825"/>
  <c r="U75" i="825"/>
  <c r="U79" i="825"/>
  <c r="U59" i="825"/>
  <c r="U63" i="825"/>
  <c r="U67" i="825"/>
  <c r="U71" i="825"/>
  <c r="U64" i="825"/>
  <c r="U58" i="825"/>
  <c r="U37" i="825"/>
  <c r="U41" i="825"/>
  <c r="U57" i="825"/>
  <c r="U65" i="825"/>
  <c r="U68" i="825"/>
  <c r="U36" i="825"/>
  <c r="U38" i="825"/>
  <c r="U42" i="825"/>
  <c r="U61" i="825"/>
  <c r="U72" i="825"/>
  <c r="Y72" i="825" s="1"/>
  <c r="U87" i="825"/>
  <c r="AM28" i="825"/>
  <c r="AQ28" i="825"/>
  <c r="AQ27" i="825"/>
  <c r="AM27" i="825" s="1"/>
  <c r="AQ26" i="825"/>
  <c r="AM26" i="825" s="1"/>
  <c r="AQ25" i="825"/>
  <c r="AM25" i="825" s="1"/>
  <c r="BW153" i="825"/>
  <c r="CA153" i="825" s="1"/>
  <c r="Y36" i="825"/>
  <c r="BE153" i="825"/>
  <c r="BI153" i="825" s="1"/>
  <c r="BW154" i="825"/>
  <c r="CA154" i="825" s="1"/>
  <c r="Y37" i="825"/>
  <c r="BE154" i="825"/>
  <c r="BI154" i="825" s="1"/>
  <c r="BW155" i="825"/>
  <c r="CA155" i="825" s="1"/>
  <c r="Y38" i="825"/>
  <c r="BE155" i="825"/>
  <c r="BI155" i="825" s="1"/>
  <c r="BW156" i="825"/>
  <c r="CA156" i="825" s="1"/>
  <c r="Y39" i="825"/>
  <c r="BE156" i="825"/>
  <c r="BI156" i="825" s="1"/>
  <c r="BW158" i="825"/>
  <c r="CA158" i="825" s="1"/>
  <c r="BE158" i="825"/>
  <c r="BI158" i="825" s="1"/>
  <c r="Y41" i="825"/>
  <c r="Y42" i="825"/>
  <c r="BE159" i="825"/>
  <c r="BI159" i="825" s="1"/>
  <c r="BW159" i="825"/>
  <c r="CA159" i="825" s="1"/>
  <c r="BE161" i="825"/>
  <c r="BI161" i="825" s="1"/>
  <c r="Y44" i="825"/>
  <c r="BW161" i="825"/>
  <c r="CA161" i="825" s="1"/>
  <c r="BW174" i="825"/>
  <c r="CA174" i="825" s="1"/>
  <c r="Y57" i="825"/>
  <c r="BE174" i="825"/>
  <c r="BI174" i="825" s="1"/>
  <c r="Y58" i="825"/>
  <c r="BE175" i="825"/>
  <c r="BI175" i="825" s="1"/>
  <c r="BW175" i="825"/>
  <c r="CA175" i="825" s="1"/>
  <c r="BE176" i="825"/>
  <c r="BI176" i="825" s="1"/>
  <c r="BW176" i="825"/>
  <c r="CA176" i="825" s="1"/>
  <c r="Y59" i="825"/>
  <c r="Y60" i="825"/>
  <c r="BW177" i="825"/>
  <c r="CA177" i="825" s="1"/>
  <c r="BE177" i="825"/>
  <c r="BI177" i="825" s="1"/>
  <c r="Y61" i="825"/>
  <c r="BE178" i="825"/>
  <c r="BI178" i="825" s="1"/>
  <c r="BW178" i="825"/>
  <c r="CA178" i="825" s="1"/>
  <c r="BE179" i="825"/>
  <c r="BI179" i="825" s="1"/>
  <c r="Y62" i="825"/>
  <c r="BW179" i="825"/>
  <c r="CA179" i="825" s="1"/>
  <c r="Y63" i="825"/>
  <c r="BE180" i="825"/>
  <c r="BI180" i="825" s="1"/>
  <c r="BW180" i="825"/>
  <c r="CA180" i="825" s="1"/>
  <c r="Y64" i="825"/>
  <c r="BE181" i="825"/>
  <c r="BI181" i="825" s="1"/>
  <c r="BW181" i="825"/>
  <c r="CA181" i="825" s="1"/>
  <c r="BW182" i="825"/>
  <c r="CA182" i="825" s="1"/>
  <c r="Y65" i="825"/>
  <c r="BE182" i="825"/>
  <c r="BI182" i="825" s="1"/>
  <c r="BE183" i="825"/>
  <c r="BI183" i="825" s="1"/>
  <c r="Y66" i="825"/>
  <c r="BW183" i="825"/>
  <c r="CA183" i="825" s="1"/>
  <c r="BW184" i="825"/>
  <c r="CA184" i="825" s="1"/>
  <c r="Y67" i="825"/>
  <c r="BE184" i="825"/>
  <c r="BI184" i="825" s="1"/>
  <c r="Y68" i="825"/>
  <c r="BW185" i="825"/>
  <c r="CA185" i="825" s="1"/>
  <c r="BE185" i="825"/>
  <c r="BI185" i="825" s="1"/>
  <c r="Y69" i="825"/>
  <c r="BW186" i="825"/>
  <c r="CA186" i="825" s="1"/>
  <c r="BE186" i="825"/>
  <c r="BI186" i="825" s="1"/>
  <c r="BE188" i="825"/>
  <c r="BI188" i="825" s="1"/>
  <c r="BW188" i="825"/>
  <c r="CA188" i="825" s="1"/>
  <c r="Y71" i="825"/>
  <c r="BW189" i="825"/>
  <c r="CA189" i="825" s="1"/>
  <c r="BE189" i="825"/>
  <c r="BI189" i="825" s="1"/>
  <c r="BW202" i="825"/>
  <c r="CA202" i="825" s="1"/>
  <c r="Y85" i="825"/>
  <c r="BE202" i="825"/>
  <c r="BI202" i="825" s="1"/>
  <c r="Y86" i="825"/>
  <c r="BE203" i="825"/>
  <c r="BI203" i="825" s="1"/>
  <c r="BW203" i="825"/>
  <c r="CA203" i="825" s="1"/>
  <c r="BW204" i="825"/>
  <c r="CA204" i="825" s="1"/>
  <c r="BE204" i="825"/>
  <c r="BI204" i="825" s="1"/>
  <c r="Y87" i="825"/>
  <c r="AA56" i="825" a="1"/>
  <c r="AR56" i="825" a="1"/>
  <c r="AA55" i="825" a="1"/>
  <c r="AR55" i="825" a="1"/>
  <c r="AA54" i="825" a="1"/>
  <c r="AR54" i="825" a="1"/>
  <c r="AA53" i="825" a="1"/>
  <c r="AR53" i="825" a="1"/>
  <c r="AA52" i="825" a="1"/>
  <c r="AR52" i="825" a="1"/>
  <c r="AA51" i="825" a="1"/>
  <c r="AR51" i="825" a="1"/>
  <c r="AA50" i="825" a="1"/>
  <c r="AR50" i="825" a="1"/>
  <c r="AA49" i="825" a="1"/>
  <c r="AR49" i="825" a="1"/>
  <c r="AA48" i="825" a="1"/>
  <c r="AR48" i="825" a="1"/>
  <c r="AA47" i="825" a="1"/>
  <c r="AR47" i="825" a="1"/>
  <c r="AA46" i="825" a="1"/>
  <c r="AR46" i="825" a="1"/>
  <c r="AA45" i="825" a="1"/>
  <c r="AR45" i="825" a="1"/>
  <c r="AA35" i="825" a="1"/>
  <c r="AP35" i="825" s="1"/>
  <c r="AR35" i="825" a="1"/>
  <c r="AA34" i="825" a="1"/>
  <c r="AP34" i="825" s="1"/>
  <c r="AR34" i="825" a="1"/>
  <c r="AA33" i="825" a="1"/>
  <c r="AP33" i="825" s="1"/>
  <c r="AR33" i="825" a="1"/>
  <c r="AA32" i="825" a="1"/>
  <c r="AP32" i="825" s="1"/>
  <c r="AR32" i="825" a="1"/>
  <c r="AA31" i="825" a="1"/>
  <c r="AR31" i="825" a="1"/>
  <c r="AA30" i="825" a="1"/>
  <c r="AR30" i="825" a="1"/>
  <c r="AA29" i="825" a="1"/>
  <c r="AP29" i="825" s="1"/>
  <c r="AR29" i="825" a="1"/>
  <c r="AA28" i="825" a="1"/>
  <c r="AR28" i="825" a="1"/>
  <c r="AA27" i="825" a="1"/>
  <c r="AR27" i="825" a="1"/>
  <c r="AA26" i="825" a="1"/>
  <c r="AR26" i="825" a="1"/>
  <c r="AA25" i="825" a="1"/>
  <c r="AR25" i="825" a="1"/>
  <c r="AA24" i="825" a="1"/>
  <c r="AR24" i="825" a="1"/>
  <c r="AA23" i="825" a="1"/>
  <c r="AR23" i="825" a="1"/>
  <c r="AR22" i="825" a="1"/>
  <c r="AQ22" i="825"/>
  <c r="AM22" i="825" s="1"/>
  <c r="AP40" i="825"/>
  <c r="U40" i="825"/>
  <c r="AP43" i="825"/>
  <c r="U43" i="825"/>
  <c r="AP70" i="825"/>
  <c r="U70" i="825"/>
  <c r="AP74" i="825"/>
  <c r="U74" i="825"/>
  <c r="AP77" i="825"/>
  <c r="U77" i="825"/>
  <c r="AP80" i="825"/>
  <c r="U80" i="825"/>
  <c r="BN174" i="825"/>
  <c r="AV174" i="825"/>
  <c r="BN173" i="825"/>
  <c r="AV173" i="825"/>
  <c r="BN172" i="825"/>
  <c r="AV172" i="825"/>
  <c r="BN171" i="825"/>
  <c r="AV171" i="825"/>
  <c r="BN170" i="825"/>
  <c r="AV170" i="825"/>
  <c r="BN169" i="825"/>
  <c r="AV169" i="825"/>
  <c r="BN168" i="825"/>
  <c r="AV168" i="825"/>
  <c r="BN167" i="825"/>
  <c r="AV167" i="825"/>
  <c r="BN166" i="825"/>
  <c r="AV166" i="825"/>
  <c r="BN165" i="825"/>
  <c r="AV165" i="825"/>
  <c r="BN164" i="825"/>
  <c r="AV164" i="825"/>
  <c r="BN163" i="825"/>
  <c r="AV163" i="825"/>
  <c r="BN162" i="825"/>
  <c r="AV162" i="825"/>
  <c r="BN153" i="825"/>
  <c r="AV153" i="825"/>
  <c r="BN152" i="825"/>
  <c r="AV152" i="825"/>
  <c r="AM35" i="825"/>
  <c r="AQ35" i="825"/>
  <c r="BN151" i="825"/>
  <c r="AV151" i="825"/>
  <c r="AQ34" i="825"/>
  <c r="AM34" i="825"/>
  <c r="AQ33" i="825"/>
  <c r="AM33" i="825"/>
  <c r="BN150" i="825"/>
  <c r="AV150" i="825"/>
  <c r="BN149" i="825"/>
  <c r="AV149" i="825"/>
  <c r="AM32" i="825"/>
  <c r="AQ32" i="825"/>
  <c r="BN148" i="825"/>
  <c r="AV148" i="825"/>
  <c r="BN147" i="825"/>
  <c r="AV147" i="825"/>
  <c r="AQ29" i="825"/>
  <c r="AM29" i="825"/>
  <c r="BN146" i="825"/>
  <c r="AV146" i="825"/>
  <c r="BN145" i="825"/>
  <c r="AV145" i="825"/>
  <c r="AQ24" i="825"/>
  <c r="AM24" i="825" s="1"/>
  <c r="AQ23" i="825"/>
  <c r="AM23" i="825" s="1"/>
  <c r="AA22" i="825" a="1"/>
  <c r="AQ21" i="825"/>
  <c r="AM21" i="825" s="1"/>
  <c r="AR20" i="825" a="1"/>
  <c r="AQ18" i="825"/>
  <c r="AM18" i="825" s="1"/>
  <c r="AQ15" i="825"/>
  <c r="AM15" i="825" s="1"/>
  <c r="AR15" i="825" a="1"/>
  <c r="AQ12" i="825"/>
  <c r="AM12" i="825" s="1"/>
  <c r="AR21" i="825" a="1"/>
  <c r="AA21" i="825" a="1"/>
  <c r="AP21" i="825" s="1"/>
  <c r="AR19" i="825" a="1"/>
  <c r="AA19" i="825" a="1"/>
  <c r="AQ19" i="825"/>
  <c r="AM19" i="825" s="1"/>
  <c r="AR18" i="825" a="1"/>
  <c r="AA18" i="825" a="1"/>
  <c r="AQ17" i="825"/>
  <c r="AM17" i="825" s="1"/>
  <c r="AA16" i="825" a="1"/>
  <c r="AR16" i="825" a="1"/>
  <c r="AQ16" i="825"/>
  <c r="AM16" i="825" s="1"/>
  <c r="AQ14" i="825"/>
  <c r="AM14" i="825" s="1"/>
  <c r="AA13" i="825" a="1"/>
  <c r="AR13" i="825" a="1"/>
  <c r="AQ13" i="825"/>
  <c r="AM13" i="825" s="1"/>
  <c r="AA12" i="825" a="1"/>
  <c r="AR12" i="825" a="1"/>
  <c r="AA11" i="825" a="1"/>
  <c r="AR11" i="825" a="1"/>
  <c r="AQ11" i="825"/>
  <c r="AM11" i="825" s="1"/>
  <c r="AR10" i="825" a="1"/>
  <c r="AQ10" i="825"/>
  <c r="AM10" i="825" s="1"/>
  <c r="AA9" i="825" a="1"/>
  <c r="AR9" i="825" a="1"/>
  <c r="AQ9" i="825"/>
  <c r="AM9" i="825" s="1"/>
  <c r="X16" i="825"/>
  <c r="S16" i="825"/>
  <c r="X15" i="825"/>
  <c r="S15" i="825"/>
  <c r="AC20" i="844"/>
  <c r="X14" i="825"/>
  <c r="S14" i="825"/>
  <c r="X13" i="825"/>
  <c r="S13" i="825"/>
  <c r="X12" i="825"/>
  <c r="S12" i="825"/>
  <c r="X11" i="825"/>
  <c r="S11" i="825"/>
  <c r="J12" i="825"/>
  <c r="J13" i="825" s="1"/>
  <c r="J14" i="825" s="1"/>
  <c r="J15" i="825" s="1"/>
  <c r="J16" i="825" s="1"/>
  <c r="J17" i="825" s="1"/>
  <c r="J18" i="825" s="1"/>
  <c r="J19" i="825" s="1"/>
  <c r="J20" i="825" s="1"/>
  <c r="J21" i="825" s="1"/>
  <c r="J22" i="825" s="1"/>
  <c r="J23" i="825" s="1"/>
  <c r="J24" i="825" s="1"/>
  <c r="J25" i="825" s="1"/>
  <c r="J26" i="825" s="1"/>
  <c r="J27" i="825" s="1"/>
  <c r="J28" i="825" s="1"/>
  <c r="J29" i="825" s="1"/>
  <c r="J30" i="825" s="1"/>
  <c r="J31" i="825" s="1"/>
  <c r="J32" i="825" s="1"/>
  <c r="J33" i="825" s="1"/>
  <c r="J34" i="825" s="1"/>
  <c r="J35" i="825" s="1"/>
  <c r="J36" i="825" s="1"/>
  <c r="J37" i="825" s="1"/>
  <c r="J38" i="825" s="1"/>
  <c r="J39" i="825" s="1"/>
  <c r="J40" i="825" s="1"/>
  <c r="J41" i="825" s="1"/>
  <c r="J42" i="825" s="1"/>
  <c r="J43" i="825" s="1"/>
  <c r="J44" i="825" s="1"/>
  <c r="J45" i="825" s="1"/>
  <c r="J46" i="825" s="1"/>
  <c r="J47" i="825" s="1"/>
  <c r="J48" i="825" s="1"/>
  <c r="J49" i="825" s="1"/>
  <c r="J50" i="825" s="1"/>
  <c r="J51" i="825" s="1"/>
  <c r="J52" i="825" s="1"/>
  <c r="J53" i="825" s="1"/>
  <c r="J54" i="825" s="1"/>
  <c r="J55" i="825" s="1"/>
  <c r="J56" i="825" s="1"/>
  <c r="J57" i="825" s="1"/>
  <c r="J58" i="825" s="1"/>
  <c r="J59" i="825" s="1"/>
  <c r="J60" i="825" s="1"/>
  <c r="J61" i="825" s="1"/>
  <c r="J62" i="825" s="1"/>
  <c r="J63" i="825" s="1"/>
  <c r="J64" i="825" s="1"/>
  <c r="J65" i="825" s="1"/>
  <c r="J66" i="825" s="1"/>
  <c r="J67" i="825" s="1"/>
  <c r="J68" i="825" s="1"/>
  <c r="J69" i="825" s="1"/>
  <c r="J70" i="825" s="1"/>
  <c r="J71" i="825" s="1"/>
  <c r="J72" i="825" s="1"/>
  <c r="J73" i="825" s="1"/>
  <c r="J74" i="825" s="1"/>
  <c r="J75" i="825" s="1"/>
  <c r="J76" i="825" s="1"/>
  <c r="J77" i="825" s="1"/>
  <c r="J78" i="825" s="1"/>
  <c r="J79" i="825" s="1"/>
  <c r="J80" i="825" s="1"/>
  <c r="J81" i="825" s="1"/>
  <c r="J82" i="825" s="1"/>
  <c r="J83" i="825" s="1"/>
  <c r="J84" i="825" s="1"/>
  <c r="J85" i="825" s="1"/>
  <c r="J86" i="825" s="1"/>
  <c r="J87" i="825" s="1"/>
  <c r="AV133" i="825"/>
  <c r="AV132" i="825"/>
  <c r="AV144" i="825"/>
  <c r="AV143" i="825"/>
  <c r="AV142" i="825"/>
  <c r="AV141" i="825"/>
  <c r="AV140" i="825"/>
  <c r="AV139" i="825"/>
  <c r="AV138" i="825"/>
  <c r="AV137" i="825"/>
  <c r="AV136" i="825"/>
  <c r="AV135" i="825"/>
  <c r="AV134" i="825"/>
  <c r="AQ8" i="825"/>
  <c r="T9" i="834"/>
  <c r="AR8" i="825" a="1"/>
  <c r="AA8" i="825" a="1"/>
  <c r="BN131" i="825"/>
  <c r="AV131" i="825"/>
  <c r="BN130" i="825"/>
  <c r="AV130" i="825"/>
  <c r="BN129" i="825"/>
  <c r="AV129" i="825"/>
  <c r="BN128" i="825"/>
  <c r="AV128" i="825"/>
  <c r="T10" i="834"/>
  <c r="T11" i="834"/>
  <c r="T12" i="834"/>
  <c r="T13" i="834"/>
  <c r="T14" i="834"/>
  <c r="T15" i="834"/>
  <c r="T16" i="834"/>
  <c r="T18" i="834"/>
  <c r="T19" i="834"/>
  <c r="T20" i="834"/>
  <c r="T21" i="834"/>
  <c r="J8" i="834"/>
  <c r="G14" i="834"/>
  <c r="G20" i="834"/>
  <c r="G13" i="834"/>
  <c r="G15" i="834"/>
  <c r="G19" i="834"/>
  <c r="G12" i="834"/>
  <c r="G16" i="834"/>
  <c r="G21" i="834"/>
  <c r="G17" i="834"/>
  <c r="G18" i="834"/>
  <c r="N11" i="834" a="1"/>
  <c r="I8" i="834"/>
  <c r="V8" i="825"/>
  <c r="S6" i="825"/>
  <c r="BI121" i="825"/>
  <c r="CA121" i="825"/>
  <c r="X10" i="825"/>
  <c r="V6" i="825"/>
  <c r="X8" i="825"/>
  <c r="X9" i="825"/>
  <c r="X6" i="825"/>
  <c r="S10" i="825"/>
  <c r="S8" i="825"/>
  <c r="S9" i="825"/>
  <c r="X91" i="825"/>
  <c r="X92" i="825"/>
  <c r="V89" i="825"/>
  <c r="X89" i="825"/>
  <c r="X90" i="825"/>
  <c r="M88" i="825"/>
  <c r="X88" i="825"/>
  <c r="BN127" i="825"/>
  <c r="AV127" i="825"/>
  <c r="AV126" i="825"/>
  <c r="BN126" i="825"/>
  <c r="BN125" i="825"/>
  <c r="AV125" i="825"/>
  <c r="F15" i="824"/>
  <c r="D9" i="824"/>
  <c r="F17" i="824"/>
  <c r="E12" i="824" s="1"/>
  <c r="E6" i="824"/>
  <c r="BS204" i="824"/>
  <c r="BQ204" i="824"/>
  <c r="BP204" i="824"/>
  <c r="BO204" i="824"/>
  <c r="BM204" i="824"/>
  <c r="BA204" i="824"/>
  <c r="AY204" i="824"/>
  <c r="AX204" i="824"/>
  <c r="AW204" i="824"/>
  <c r="AU204" i="824"/>
  <c r="BS203" i="824"/>
  <c r="BQ203" i="824"/>
  <c r="BP203" i="824"/>
  <c r="BO203" i="824"/>
  <c r="BM203" i="824"/>
  <c r="BA203" i="824"/>
  <c r="AY203" i="824"/>
  <c r="AX203" i="824"/>
  <c r="AW203" i="824"/>
  <c r="AU203" i="824"/>
  <c r="BS202" i="824"/>
  <c r="BQ202" i="824"/>
  <c r="BP202" i="824"/>
  <c r="BO202" i="824"/>
  <c r="BM202" i="824"/>
  <c r="BA202" i="824"/>
  <c r="AY202" i="824"/>
  <c r="AX202" i="824"/>
  <c r="AW202" i="824"/>
  <c r="AU202" i="824"/>
  <c r="BS201" i="824"/>
  <c r="BQ201" i="824"/>
  <c r="BP201" i="824"/>
  <c r="BO201" i="824"/>
  <c r="BM201" i="824"/>
  <c r="BA201" i="824"/>
  <c r="AY201" i="824"/>
  <c r="AX201" i="824"/>
  <c r="AW201" i="824"/>
  <c r="AU201" i="824"/>
  <c r="BS200" i="824"/>
  <c r="BQ200" i="824"/>
  <c r="BP200" i="824"/>
  <c r="BO200" i="824"/>
  <c r="BM200" i="824"/>
  <c r="BA200" i="824"/>
  <c r="AY200" i="824"/>
  <c r="AX200" i="824"/>
  <c r="AW200" i="824"/>
  <c r="AU200" i="824"/>
  <c r="BS199" i="824"/>
  <c r="BQ199" i="824"/>
  <c r="BP199" i="824"/>
  <c r="BO199" i="824"/>
  <c r="BM199" i="824"/>
  <c r="BA199" i="824"/>
  <c r="AY199" i="824"/>
  <c r="AX199" i="824"/>
  <c r="AW199" i="824"/>
  <c r="AU199" i="824"/>
  <c r="BS198" i="824"/>
  <c r="BQ198" i="824"/>
  <c r="BP198" i="824"/>
  <c r="BO198" i="824"/>
  <c r="BM198" i="824"/>
  <c r="BA198" i="824"/>
  <c r="AY198" i="824"/>
  <c r="AX198" i="824"/>
  <c r="AW198" i="824"/>
  <c r="AU198" i="824"/>
  <c r="BS197" i="824"/>
  <c r="BQ197" i="824"/>
  <c r="BP197" i="824"/>
  <c r="BO197" i="824"/>
  <c r="BM197" i="824"/>
  <c r="BA197" i="824"/>
  <c r="AY197" i="824"/>
  <c r="AX197" i="824"/>
  <c r="AW197" i="824"/>
  <c r="AU197" i="824"/>
  <c r="BS196" i="824"/>
  <c r="BQ196" i="824"/>
  <c r="BP196" i="824"/>
  <c r="BO196" i="824"/>
  <c r="BM196" i="824"/>
  <c r="BA196" i="824"/>
  <c r="AY196" i="824"/>
  <c r="AX196" i="824"/>
  <c r="AW196" i="824"/>
  <c r="AU196" i="824"/>
  <c r="BS195" i="824"/>
  <c r="BQ195" i="824"/>
  <c r="BP195" i="824"/>
  <c r="BO195" i="824"/>
  <c r="BM195" i="824"/>
  <c r="BA195" i="824"/>
  <c r="AY195" i="824"/>
  <c r="AX195" i="824"/>
  <c r="AW195" i="824"/>
  <c r="AU195" i="824"/>
  <c r="BS194" i="824"/>
  <c r="BQ194" i="824"/>
  <c r="BP194" i="824"/>
  <c r="BO194" i="824"/>
  <c r="BM194" i="824"/>
  <c r="BA194" i="824"/>
  <c r="AY194" i="824"/>
  <c r="AX194" i="824"/>
  <c r="AW194" i="824"/>
  <c r="AU194" i="824"/>
  <c r="BS193" i="824"/>
  <c r="BQ193" i="824"/>
  <c r="BP193" i="824"/>
  <c r="BO193" i="824"/>
  <c r="BM193" i="824"/>
  <c r="BA193" i="824"/>
  <c r="AY193" i="824"/>
  <c r="AX193" i="824"/>
  <c r="AW193" i="824"/>
  <c r="AU193" i="824"/>
  <c r="BS192" i="824"/>
  <c r="BQ192" i="824"/>
  <c r="BP192" i="824"/>
  <c r="BO192" i="824"/>
  <c r="BM192" i="824"/>
  <c r="BA192" i="824"/>
  <c r="AY192" i="824"/>
  <c r="AX192" i="824"/>
  <c r="AW192" i="824"/>
  <c r="AU192" i="824"/>
  <c r="BS191" i="824"/>
  <c r="BQ191" i="824"/>
  <c r="BP191" i="824"/>
  <c r="BO191" i="824"/>
  <c r="BM191" i="824"/>
  <c r="BA191" i="824"/>
  <c r="AY191" i="824"/>
  <c r="AX191" i="824"/>
  <c r="AW191" i="824"/>
  <c r="AU191" i="824"/>
  <c r="BS190" i="824"/>
  <c r="BQ190" i="824"/>
  <c r="BP190" i="824"/>
  <c r="BO190" i="824"/>
  <c r="BM190" i="824"/>
  <c r="BA190" i="824"/>
  <c r="AY190" i="824"/>
  <c r="AX190" i="824"/>
  <c r="AW190" i="824"/>
  <c r="AU190" i="824"/>
  <c r="BS189" i="824"/>
  <c r="BQ189" i="824"/>
  <c r="BP189" i="824"/>
  <c r="BO189" i="824"/>
  <c r="BM189" i="824"/>
  <c r="BA189" i="824"/>
  <c r="AY189" i="824"/>
  <c r="AX189" i="824"/>
  <c r="AW189" i="824"/>
  <c r="AU189" i="824"/>
  <c r="BS188" i="824"/>
  <c r="BQ188" i="824"/>
  <c r="BP188" i="824"/>
  <c r="BO188" i="824"/>
  <c r="BM188" i="824"/>
  <c r="BA188" i="824"/>
  <c r="AY188" i="824"/>
  <c r="AX188" i="824"/>
  <c r="AW188" i="824"/>
  <c r="AU188" i="824"/>
  <c r="BS187" i="824"/>
  <c r="BQ187" i="824"/>
  <c r="BP187" i="824"/>
  <c r="BO187" i="824"/>
  <c r="BM187" i="824"/>
  <c r="BA187" i="824"/>
  <c r="AY187" i="824"/>
  <c r="AX187" i="824"/>
  <c r="AW187" i="824"/>
  <c r="AU187" i="824"/>
  <c r="BS186" i="824"/>
  <c r="BQ186" i="824"/>
  <c r="BP186" i="824"/>
  <c r="BO186" i="824"/>
  <c r="BM186" i="824"/>
  <c r="BA186" i="824"/>
  <c r="AY186" i="824"/>
  <c r="AX186" i="824"/>
  <c r="AW186" i="824"/>
  <c r="AU186" i="824"/>
  <c r="BS185" i="824"/>
  <c r="BQ185" i="824"/>
  <c r="BP185" i="824"/>
  <c r="BO185" i="824"/>
  <c r="BM185" i="824"/>
  <c r="BA185" i="824"/>
  <c r="AY185" i="824"/>
  <c r="AX185" i="824"/>
  <c r="AW185" i="824"/>
  <c r="AU185" i="824"/>
  <c r="BS184" i="824"/>
  <c r="BQ184" i="824"/>
  <c r="BP184" i="824"/>
  <c r="BO184" i="824"/>
  <c r="BM184" i="824"/>
  <c r="BA184" i="824"/>
  <c r="AY184" i="824"/>
  <c r="AX184" i="824"/>
  <c r="AW184" i="824"/>
  <c r="AU184" i="824"/>
  <c r="BB184" i="824" s="1"/>
  <c r="BS183" i="824"/>
  <c r="BQ183" i="824"/>
  <c r="BP183" i="824"/>
  <c r="BO183" i="824"/>
  <c r="BM183" i="824"/>
  <c r="BA183" i="824"/>
  <c r="AY183" i="824"/>
  <c r="AX183" i="824"/>
  <c r="AW183" i="824"/>
  <c r="AU183" i="824"/>
  <c r="BS182" i="824"/>
  <c r="BQ182" i="824"/>
  <c r="BP182" i="824"/>
  <c r="BO182" i="824"/>
  <c r="BM182" i="824"/>
  <c r="BA182" i="824"/>
  <c r="AY182" i="824"/>
  <c r="AX182" i="824"/>
  <c r="AW182" i="824"/>
  <c r="AU182" i="824"/>
  <c r="BB182" i="824" s="1"/>
  <c r="BS181" i="824"/>
  <c r="BQ181" i="824"/>
  <c r="BP181" i="824"/>
  <c r="BO181" i="824"/>
  <c r="BM181" i="824"/>
  <c r="BA181" i="824"/>
  <c r="AY181" i="824"/>
  <c r="AX181" i="824"/>
  <c r="AW181" i="824"/>
  <c r="AU181" i="824"/>
  <c r="BS180" i="824"/>
  <c r="BQ180" i="824"/>
  <c r="BP180" i="824"/>
  <c r="BO180" i="824"/>
  <c r="BM180" i="824"/>
  <c r="BA180" i="824"/>
  <c r="AY180" i="824"/>
  <c r="AX180" i="824"/>
  <c r="AW180" i="824"/>
  <c r="AU180" i="824"/>
  <c r="BB180" i="824" s="1"/>
  <c r="BS179" i="824"/>
  <c r="BQ179" i="824"/>
  <c r="BP179" i="824"/>
  <c r="BO179" i="824"/>
  <c r="BM179" i="824"/>
  <c r="BA179" i="824"/>
  <c r="AY179" i="824"/>
  <c r="AX179" i="824"/>
  <c r="AW179" i="824"/>
  <c r="AU179" i="824"/>
  <c r="BS178" i="824"/>
  <c r="BQ178" i="824"/>
  <c r="BP178" i="824"/>
  <c r="BO178" i="824"/>
  <c r="BM178" i="824"/>
  <c r="BA178" i="824"/>
  <c r="AY178" i="824"/>
  <c r="AX178" i="824"/>
  <c r="AW178" i="824"/>
  <c r="AU178" i="824"/>
  <c r="BB178" i="824" s="1"/>
  <c r="BS177" i="824"/>
  <c r="BQ177" i="824"/>
  <c r="BP177" i="824"/>
  <c r="BO177" i="824"/>
  <c r="BM177" i="824"/>
  <c r="BA177" i="824"/>
  <c r="AY177" i="824"/>
  <c r="AX177" i="824"/>
  <c r="AW177" i="824"/>
  <c r="AU177" i="824"/>
  <c r="BS176" i="824"/>
  <c r="BQ176" i="824"/>
  <c r="BP176" i="824"/>
  <c r="BO176" i="824"/>
  <c r="BM176" i="824"/>
  <c r="BA176" i="824"/>
  <c r="AY176" i="824"/>
  <c r="AX176" i="824"/>
  <c r="AW176" i="824"/>
  <c r="AU176" i="824"/>
  <c r="BB176" i="824" s="1"/>
  <c r="BS175" i="824"/>
  <c r="BQ175" i="824"/>
  <c r="BP175" i="824"/>
  <c r="BO175" i="824"/>
  <c r="BM175" i="824"/>
  <c r="BT175" i="824" s="1"/>
  <c r="BA175" i="824"/>
  <c r="AY175" i="824"/>
  <c r="AX175" i="824"/>
  <c r="AW175" i="824"/>
  <c r="AU175" i="824"/>
  <c r="BS174" i="824"/>
  <c r="BQ174" i="824"/>
  <c r="BP174" i="824"/>
  <c r="BO174" i="824"/>
  <c r="BM174" i="824"/>
  <c r="BA174" i="824"/>
  <c r="AY174" i="824"/>
  <c r="AX174" i="824"/>
  <c r="AW174" i="824"/>
  <c r="AU174" i="824"/>
  <c r="BB174" i="824" s="1"/>
  <c r="BS173" i="824"/>
  <c r="BQ173" i="824"/>
  <c r="BP173" i="824"/>
  <c r="BO173" i="824"/>
  <c r="BM173" i="824"/>
  <c r="BA173" i="824"/>
  <c r="AY173" i="824"/>
  <c r="AX173" i="824"/>
  <c r="AW173" i="824"/>
  <c r="AU173" i="824"/>
  <c r="BS172" i="824"/>
  <c r="BQ172" i="824"/>
  <c r="BP172" i="824"/>
  <c r="BO172" i="824"/>
  <c r="BM172" i="824"/>
  <c r="BA172" i="824"/>
  <c r="AY172" i="824"/>
  <c r="AX172" i="824"/>
  <c r="AW172" i="824"/>
  <c r="AU172" i="824"/>
  <c r="BB172" i="824" s="1"/>
  <c r="BS171" i="824"/>
  <c r="BQ171" i="824"/>
  <c r="BP171" i="824"/>
  <c r="BO171" i="824"/>
  <c r="BM171" i="824"/>
  <c r="BT171" i="824" s="1"/>
  <c r="BA171" i="824"/>
  <c r="AY171" i="824"/>
  <c r="AX171" i="824"/>
  <c r="AW171" i="824"/>
  <c r="AU171" i="824"/>
  <c r="BS170" i="824"/>
  <c r="BQ170" i="824"/>
  <c r="BP170" i="824"/>
  <c r="BO170" i="824"/>
  <c r="BM170" i="824"/>
  <c r="BA170" i="824"/>
  <c r="AY170" i="824"/>
  <c r="AX170" i="824"/>
  <c r="AW170" i="824"/>
  <c r="AU170" i="824"/>
  <c r="BB170" i="824" s="1"/>
  <c r="BS169" i="824"/>
  <c r="BQ169" i="824"/>
  <c r="BP169" i="824"/>
  <c r="BO169" i="824"/>
  <c r="BM169" i="824"/>
  <c r="BT169" i="824" s="1"/>
  <c r="BA169" i="824"/>
  <c r="AY169" i="824"/>
  <c r="AX169" i="824"/>
  <c r="AW169" i="824"/>
  <c r="AU169" i="824"/>
  <c r="BS168" i="824"/>
  <c r="BQ168" i="824"/>
  <c r="BP168" i="824"/>
  <c r="BO168" i="824"/>
  <c r="BM168" i="824"/>
  <c r="BA168" i="824"/>
  <c r="AY168" i="824"/>
  <c r="AX168" i="824"/>
  <c r="AW168" i="824"/>
  <c r="AU168" i="824"/>
  <c r="BB168" i="824" s="1"/>
  <c r="BS167" i="824"/>
  <c r="BQ167" i="824"/>
  <c r="BP167" i="824"/>
  <c r="BO167" i="824"/>
  <c r="BM167" i="824"/>
  <c r="BT167" i="824" s="1"/>
  <c r="BA167" i="824"/>
  <c r="AY167" i="824"/>
  <c r="AX167" i="824"/>
  <c r="AW167" i="824"/>
  <c r="AU167" i="824"/>
  <c r="BS166" i="824"/>
  <c r="BQ166" i="824"/>
  <c r="BP166" i="824"/>
  <c r="BO166" i="824"/>
  <c r="BM166" i="824"/>
  <c r="BA166" i="824"/>
  <c r="AY166" i="824"/>
  <c r="AX166" i="824"/>
  <c r="AW166" i="824"/>
  <c r="AU166" i="824"/>
  <c r="BB166" i="824" s="1"/>
  <c r="BS165" i="824"/>
  <c r="BQ165" i="824"/>
  <c r="BP165" i="824"/>
  <c r="BO165" i="824"/>
  <c r="BM165" i="824"/>
  <c r="BA165" i="824"/>
  <c r="AY165" i="824"/>
  <c r="AX165" i="824"/>
  <c r="AW165" i="824"/>
  <c r="AU165" i="824"/>
  <c r="BS164" i="824"/>
  <c r="BQ164" i="824"/>
  <c r="BP164" i="824"/>
  <c r="BO164" i="824"/>
  <c r="BM164" i="824"/>
  <c r="BA164" i="824"/>
  <c r="AY164" i="824"/>
  <c r="AX164" i="824"/>
  <c r="AW164" i="824"/>
  <c r="AU164" i="824"/>
  <c r="BB164" i="824" s="1"/>
  <c r="BS163" i="824"/>
  <c r="BQ163" i="824"/>
  <c r="BP163" i="824"/>
  <c r="BO163" i="824"/>
  <c r="BM163" i="824"/>
  <c r="BT163" i="824" s="1"/>
  <c r="BA163" i="824"/>
  <c r="AY163" i="824"/>
  <c r="AX163" i="824"/>
  <c r="AW163" i="824"/>
  <c r="AU163" i="824"/>
  <c r="BS162" i="824"/>
  <c r="BQ162" i="824"/>
  <c r="BP162" i="824"/>
  <c r="BO162" i="824"/>
  <c r="BM162" i="824"/>
  <c r="BV162" i="824" s="1"/>
  <c r="BA162" i="824"/>
  <c r="AY162" i="824"/>
  <c r="AX162" i="824"/>
  <c r="AW162" i="824"/>
  <c r="AU162" i="824"/>
  <c r="BD162" i="824" s="1"/>
  <c r="BS161" i="824"/>
  <c r="BQ161" i="824"/>
  <c r="BP161" i="824"/>
  <c r="BO161" i="824"/>
  <c r="BM161" i="824"/>
  <c r="BV161" i="824" s="1"/>
  <c r="BA161" i="824"/>
  <c r="AY161" i="824"/>
  <c r="AX161" i="824"/>
  <c r="AW161" i="824"/>
  <c r="AU161" i="824"/>
  <c r="BD161" i="824" s="1"/>
  <c r="BS160" i="824"/>
  <c r="BQ160" i="824"/>
  <c r="BP160" i="824"/>
  <c r="BO160" i="824"/>
  <c r="BM160" i="824"/>
  <c r="BA160" i="824"/>
  <c r="AY160" i="824"/>
  <c r="AX160" i="824"/>
  <c r="AW160" i="824"/>
  <c r="AU160" i="824"/>
  <c r="BS159" i="824"/>
  <c r="BQ159" i="824"/>
  <c r="BP159" i="824"/>
  <c r="BO159" i="824"/>
  <c r="BM159" i="824"/>
  <c r="BV159" i="824" s="1"/>
  <c r="BA159" i="824"/>
  <c r="AY159" i="824"/>
  <c r="AX159" i="824"/>
  <c r="AW159" i="824"/>
  <c r="AU159" i="824"/>
  <c r="BD159" i="824" s="1"/>
  <c r="BS158" i="824"/>
  <c r="BQ158" i="824"/>
  <c r="BP158" i="824"/>
  <c r="BO158" i="824"/>
  <c r="BM158" i="824"/>
  <c r="BV158" i="824" s="1"/>
  <c r="BA158" i="824"/>
  <c r="AY158" i="824"/>
  <c r="AX158" i="824"/>
  <c r="AW158" i="824"/>
  <c r="AU158" i="824"/>
  <c r="BD158" i="824" s="1"/>
  <c r="BS157" i="824"/>
  <c r="BQ157" i="824"/>
  <c r="BP157" i="824"/>
  <c r="BO157" i="824"/>
  <c r="BM157" i="824"/>
  <c r="BV157" i="824" s="1"/>
  <c r="BA157" i="824"/>
  <c r="AY157" i="824"/>
  <c r="AX157" i="824"/>
  <c r="AW157" i="824"/>
  <c r="AU157" i="824"/>
  <c r="BD157" i="824" s="1"/>
  <c r="BS156" i="824"/>
  <c r="BQ156" i="824"/>
  <c r="BP156" i="824"/>
  <c r="BO156" i="824"/>
  <c r="BM156" i="824"/>
  <c r="BV156" i="824" s="1"/>
  <c r="BA156" i="824"/>
  <c r="AY156" i="824"/>
  <c r="AX156" i="824"/>
  <c r="AW156" i="824"/>
  <c r="AU156" i="824"/>
  <c r="BD156" i="824" s="1"/>
  <c r="BS155" i="824"/>
  <c r="BQ155" i="824"/>
  <c r="BP155" i="824"/>
  <c r="BO155" i="824"/>
  <c r="BM155" i="824"/>
  <c r="BV155" i="824" s="1"/>
  <c r="BA155" i="824"/>
  <c r="AY155" i="824"/>
  <c r="AX155" i="824"/>
  <c r="AW155" i="824"/>
  <c r="AU155" i="824"/>
  <c r="BD155" i="824" s="1"/>
  <c r="BS154" i="824"/>
  <c r="BQ154" i="824"/>
  <c r="BP154" i="824"/>
  <c r="BO154" i="824"/>
  <c r="BM154" i="824"/>
  <c r="BA154" i="824"/>
  <c r="AY154" i="824"/>
  <c r="AX154" i="824"/>
  <c r="AW154" i="824"/>
  <c r="AU154" i="824"/>
  <c r="BS153" i="824"/>
  <c r="BQ153" i="824"/>
  <c r="BP153" i="824"/>
  <c r="BO153" i="824"/>
  <c r="BM153" i="824"/>
  <c r="BV153" i="824" s="1"/>
  <c r="BA153" i="824"/>
  <c r="AY153" i="824"/>
  <c r="AX153" i="824"/>
  <c r="AW153" i="824"/>
  <c r="AU153" i="824"/>
  <c r="BD153" i="824" s="1"/>
  <c r="BS152" i="824"/>
  <c r="BQ152" i="824"/>
  <c r="BP152" i="824"/>
  <c r="BO152" i="824"/>
  <c r="BM152" i="824"/>
  <c r="BV152" i="824" s="1"/>
  <c r="BA152" i="824"/>
  <c r="AY152" i="824"/>
  <c r="AX152" i="824"/>
  <c r="AW152" i="824"/>
  <c r="AU152" i="824"/>
  <c r="BD152" i="824" s="1"/>
  <c r="BS151" i="824"/>
  <c r="BQ151" i="824"/>
  <c r="BP151" i="824"/>
  <c r="BO151" i="824"/>
  <c r="BM151" i="824"/>
  <c r="BV151" i="824" s="1"/>
  <c r="BA151" i="824"/>
  <c r="AY151" i="824"/>
  <c r="AX151" i="824"/>
  <c r="AW151" i="824"/>
  <c r="AU151" i="824"/>
  <c r="BD151" i="824" s="1"/>
  <c r="BS150" i="824"/>
  <c r="BQ150" i="824"/>
  <c r="BP150" i="824"/>
  <c r="BO150" i="824"/>
  <c r="BM150" i="824"/>
  <c r="BV150" i="824" s="1"/>
  <c r="BA150" i="824"/>
  <c r="AY150" i="824"/>
  <c r="AX150" i="824"/>
  <c r="AW150" i="824"/>
  <c r="AU150" i="824"/>
  <c r="BD150" i="824" s="1"/>
  <c r="BS149" i="824"/>
  <c r="BQ149" i="824"/>
  <c r="BP149" i="824"/>
  <c r="BO149" i="824"/>
  <c r="BM149" i="824"/>
  <c r="BV149" i="824" s="1"/>
  <c r="BA149" i="824"/>
  <c r="AY149" i="824"/>
  <c r="AX149" i="824"/>
  <c r="AW149" i="824"/>
  <c r="AU149" i="824"/>
  <c r="BD149" i="824" s="1"/>
  <c r="BS148" i="824"/>
  <c r="BQ148" i="824"/>
  <c r="BP148" i="824"/>
  <c r="BO148" i="824"/>
  <c r="BM148" i="824"/>
  <c r="BA148" i="824"/>
  <c r="AY148" i="824"/>
  <c r="AX148" i="824"/>
  <c r="AW148" i="824"/>
  <c r="AU148" i="824"/>
  <c r="BS147" i="824"/>
  <c r="BQ147" i="824"/>
  <c r="BP147" i="824"/>
  <c r="BO147" i="824"/>
  <c r="BM147" i="824"/>
  <c r="BV147" i="824" s="1"/>
  <c r="BA147" i="824"/>
  <c r="AY147" i="824"/>
  <c r="AX147" i="824"/>
  <c r="AW147" i="824"/>
  <c r="AU147" i="824"/>
  <c r="BD147" i="824" s="1"/>
  <c r="BS146" i="824"/>
  <c r="BQ146" i="824"/>
  <c r="BP146" i="824"/>
  <c r="BO146" i="824"/>
  <c r="BM146" i="824"/>
  <c r="BV146" i="824" s="1"/>
  <c r="BA146" i="824"/>
  <c r="AY146" i="824"/>
  <c r="AX146" i="824"/>
  <c r="AW146" i="824"/>
  <c r="AU146" i="824"/>
  <c r="BD146" i="824" s="1"/>
  <c r="BS145" i="824"/>
  <c r="BQ145" i="824"/>
  <c r="BP145" i="824"/>
  <c r="BO145" i="824"/>
  <c r="BM145" i="824"/>
  <c r="BV145" i="824" s="1"/>
  <c r="BA145" i="824"/>
  <c r="AY145" i="824"/>
  <c r="AX145" i="824"/>
  <c r="AW145" i="824"/>
  <c r="AU145" i="824"/>
  <c r="BD145" i="824" s="1"/>
  <c r="BS144" i="824"/>
  <c r="BQ144" i="824"/>
  <c r="BP144" i="824"/>
  <c r="BO144" i="824"/>
  <c r="BM144" i="824"/>
  <c r="BV144" i="824" s="1"/>
  <c r="BA144" i="824"/>
  <c r="AY144" i="824"/>
  <c r="AX144" i="824"/>
  <c r="AW144" i="824"/>
  <c r="AU144" i="824"/>
  <c r="BD144" i="824" s="1"/>
  <c r="BS143" i="824"/>
  <c r="BQ143" i="824"/>
  <c r="BP143" i="824"/>
  <c r="BO143" i="824"/>
  <c r="BM143" i="824"/>
  <c r="BV143" i="824" s="1"/>
  <c r="BA143" i="824"/>
  <c r="AY143" i="824"/>
  <c r="AX143" i="824"/>
  <c r="AW143" i="824"/>
  <c r="AU143" i="824"/>
  <c r="BD143" i="824" s="1"/>
  <c r="BS142" i="824"/>
  <c r="BQ142" i="824"/>
  <c r="BP142" i="824"/>
  <c r="BO142" i="824"/>
  <c r="BM142" i="824"/>
  <c r="BA142" i="824"/>
  <c r="AY142" i="824"/>
  <c r="AX142" i="824"/>
  <c r="AW142" i="824"/>
  <c r="AU142" i="824"/>
  <c r="BS141" i="824"/>
  <c r="BQ141" i="824"/>
  <c r="BP141" i="824"/>
  <c r="BO141" i="824"/>
  <c r="BM141" i="824"/>
  <c r="BV141" i="824" s="1"/>
  <c r="BA141" i="824"/>
  <c r="AY141" i="824"/>
  <c r="AX141" i="824"/>
  <c r="AW141" i="824"/>
  <c r="AU141" i="824"/>
  <c r="BD141" i="824" s="1"/>
  <c r="BS140" i="824"/>
  <c r="BQ140" i="824"/>
  <c r="BP140" i="824"/>
  <c r="BO140" i="824"/>
  <c r="BM140" i="824"/>
  <c r="BV140" i="824" s="1"/>
  <c r="BA140" i="824"/>
  <c r="AY140" i="824"/>
  <c r="AX140" i="824"/>
  <c r="AW140" i="824"/>
  <c r="AU140" i="824"/>
  <c r="BD140" i="824" s="1"/>
  <c r="BS139" i="824"/>
  <c r="BQ139" i="824"/>
  <c r="BP139" i="824"/>
  <c r="BO139" i="824"/>
  <c r="BM139" i="824"/>
  <c r="BV139" i="824" s="1"/>
  <c r="BA139" i="824"/>
  <c r="AY139" i="824"/>
  <c r="AX139" i="824"/>
  <c r="AW139" i="824"/>
  <c r="AU139" i="824"/>
  <c r="BD139" i="824" s="1"/>
  <c r="BS138" i="824"/>
  <c r="BQ138" i="824"/>
  <c r="BP138" i="824"/>
  <c r="BO138" i="824"/>
  <c r="BM138" i="824"/>
  <c r="BV138" i="824" s="1"/>
  <c r="BA138" i="824"/>
  <c r="AY138" i="824"/>
  <c r="AX138" i="824"/>
  <c r="AW138" i="824"/>
  <c r="AU138" i="824"/>
  <c r="BD138" i="824" s="1"/>
  <c r="BS137" i="824"/>
  <c r="BQ137" i="824"/>
  <c r="BP137" i="824"/>
  <c r="BO137" i="824"/>
  <c r="BM137" i="824"/>
  <c r="BV137" i="824" s="1"/>
  <c r="BA137" i="824"/>
  <c r="AY137" i="824"/>
  <c r="AX137" i="824"/>
  <c r="AW137" i="824"/>
  <c r="AU137" i="824"/>
  <c r="BD137" i="824" s="1"/>
  <c r="BS136" i="824"/>
  <c r="BQ136" i="824"/>
  <c r="BP136" i="824"/>
  <c r="BO136" i="824"/>
  <c r="BM136" i="824"/>
  <c r="BA136" i="824"/>
  <c r="AY136" i="824"/>
  <c r="AX136" i="824"/>
  <c r="AW136" i="824"/>
  <c r="AU136" i="824"/>
  <c r="BS135" i="824"/>
  <c r="BQ135" i="824"/>
  <c r="BP135" i="824"/>
  <c r="BO135" i="824"/>
  <c r="BM135" i="824"/>
  <c r="BV135" i="824" s="1"/>
  <c r="BA135" i="824"/>
  <c r="AY135" i="824"/>
  <c r="AX135" i="824"/>
  <c r="AW135" i="824"/>
  <c r="AU135" i="824"/>
  <c r="BD135" i="824" s="1"/>
  <c r="BS134" i="824"/>
  <c r="BQ134" i="824"/>
  <c r="BP134" i="824"/>
  <c r="BO134" i="824"/>
  <c r="BM134" i="824"/>
  <c r="BV134" i="824" s="1"/>
  <c r="BA134" i="824"/>
  <c r="AY134" i="824"/>
  <c r="AX134" i="824"/>
  <c r="AW134" i="824"/>
  <c r="AU134" i="824"/>
  <c r="BD134" i="824" s="1"/>
  <c r="BS133" i="824"/>
  <c r="BQ133" i="824"/>
  <c r="BP133" i="824"/>
  <c r="BO133" i="824"/>
  <c r="BM133" i="824"/>
  <c r="BV133" i="824" s="1"/>
  <c r="BA133" i="824"/>
  <c r="AY133" i="824"/>
  <c r="AX133" i="824"/>
  <c r="AW133" i="824"/>
  <c r="AU133" i="824"/>
  <c r="BD133" i="824" s="1"/>
  <c r="BS132" i="824"/>
  <c r="BQ132" i="824"/>
  <c r="BP132" i="824"/>
  <c r="BO132" i="824"/>
  <c r="BM132" i="824"/>
  <c r="BV132" i="824" s="1"/>
  <c r="BA132" i="824"/>
  <c r="AY132" i="824"/>
  <c r="AX132" i="824"/>
  <c r="AW132" i="824"/>
  <c r="AU132" i="824"/>
  <c r="BD132" i="824" s="1"/>
  <c r="BS131" i="824"/>
  <c r="BQ131" i="824"/>
  <c r="BP131" i="824"/>
  <c r="BO131" i="824"/>
  <c r="BM131" i="824"/>
  <c r="BV131" i="824" s="1"/>
  <c r="BA131" i="824"/>
  <c r="AY131" i="824"/>
  <c r="AX131" i="824"/>
  <c r="AW131" i="824"/>
  <c r="AU131" i="824"/>
  <c r="BD131" i="824" s="1"/>
  <c r="BS130" i="824"/>
  <c r="BQ130" i="824"/>
  <c r="BP130" i="824"/>
  <c r="BO130" i="824"/>
  <c r="BM130" i="824"/>
  <c r="BA130" i="824"/>
  <c r="AY130" i="824"/>
  <c r="AX130" i="824"/>
  <c r="AW130" i="824"/>
  <c r="AU130" i="824"/>
  <c r="BS129" i="824"/>
  <c r="BQ129" i="824"/>
  <c r="BP129" i="824"/>
  <c r="BO129" i="824"/>
  <c r="BM129" i="824"/>
  <c r="BV129" i="824" s="1"/>
  <c r="BA129" i="824"/>
  <c r="AY129" i="824"/>
  <c r="AX129" i="824"/>
  <c r="AW129" i="824"/>
  <c r="AU129" i="824"/>
  <c r="BD129" i="824" s="1"/>
  <c r="BS128" i="824"/>
  <c r="BQ128" i="824"/>
  <c r="BP128" i="824"/>
  <c r="BO128" i="824"/>
  <c r="BM128" i="824"/>
  <c r="BV128" i="824" s="1"/>
  <c r="BA128" i="824"/>
  <c r="AY128" i="824"/>
  <c r="AX128" i="824"/>
  <c r="AW128" i="824"/>
  <c r="AU128" i="824"/>
  <c r="BD128" i="824" s="1"/>
  <c r="BS127" i="824"/>
  <c r="BQ127" i="824"/>
  <c r="BP127" i="824"/>
  <c r="BO127" i="824"/>
  <c r="BM127" i="824"/>
  <c r="BA127" i="824"/>
  <c r="AY127" i="824"/>
  <c r="AX127" i="824"/>
  <c r="AW127" i="824"/>
  <c r="AU127" i="824"/>
  <c r="BS126" i="824"/>
  <c r="BQ126" i="824"/>
  <c r="BP126" i="824"/>
  <c r="BO126" i="824"/>
  <c r="BM126" i="824"/>
  <c r="BA126" i="824"/>
  <c r="AY126" i="824"/>
  <c r="AX126" i="824"/>
  <c r="AW126" i="824"/>
  <c r="AU126" i="824"/>
  <c r="BQ125" i="824"/>
  <c r="BP125" i="824"/>
  <c r="BO125" i="824"/>
  <c r="BM125" i="824"/>
  <c r="BI125" i="824"/>
  <c r="BI126" i="824" s="1"/>
  <c r="BI127" i="824" s="1"/>
  <c r="BI128" i="824" s="1"/>
  <c r="BI129" i="824" s="1"/>
  <c r="BI130" i="824" s="1"/>
  <c r="BI131" i="824" s="1"/>
  <c r="BI132" i="824" s="1"/>
  <c r="BI133" i="824" s="1"/>
  <c r="BI134" i="824" s="1"/>
  <c r="BI135" i="824" s="1"/>
  <c r="BI136" i="824" s="1"/>
  <c r="BI137" i="824" s="1"/>
  <c r="BI138" i="824" s="1"/>
  <c r="BI139" i="824" s="1"/>
  <c r="BI140" i="824" s="1"/>
  <c r="BI141" i="824" s="1"/>
  <c r="BI142" i="824" s="1"/>
  <c r="BI143" i="824" s="1"/>
  <c r="BI144" i="824" s="1"/>
  <c r="BI145" i="824" s="1"/>
  <c r="BI146" i="824" s="1"/>
  <c r="BI147" i="824" s="1"/>
  <c r="BI148" i="824" s="1"/>
  <c r="BI149" i="824" s="1"/>
  <c r="BI150" i="824" s="1"/>
  <c r="BI151" i="824" s="1"/>
  <c r="BI152" i="824" s="1"/>
  <c r="BI153" i="824" s="1"/>
  <c r="BI154" i="824" s="1"/>
  <c r="BI155" i="824" s="1"/>
  <c r="BI156" i="824" s="1"/>
  <c r="BI157" i="824" s="1"/>
  <c r="BI158" i="824" s="1"/>
  <c r="BI159" i="824" s="1"/>
  <c r="BI160" i="824" s="1"/>
  <c r="BI161" i="824" s="1"/>
  <c r="BI162" i="824" s="1"/>
  <c r="BI163" i="824" s="1"/>
  <c r="BI164" i="824" s="1"/>
  <c r="BI165" i="824" s="1"/>
  <c r="BI166" i="824" s="1"/>
  <c r="BI167" i="824" s="1"/>
  <c r="BI168" i="824" s="1"/>
  <c r="BI169" i="824" s="1"/>
  <c r="BI170" i="824" s="1"/>
  <c r="BI171" i="824" s="1"/>
  <c r="BI172" i="824" s="1"/>
  <c r="BI173" i="824" s="1"/>
  <c r="BI174" i="824" s="1"/>
  <c r="BI175" i="824" s="1"/>
  <c r="BI176" i="824" s="1"/>
  <c r="BI177" i="824" s="1"/>
  <c r="BI178" i="824" s="1"/>
  <c r="BI179" i="824" s="1"/>
  <c r="BI180" i="824" s="1"/>
  <c r="BI181" i="824" s="1"/>
  <c r="BI182" i="824" s="1"/>
  <c r="BI183" i="824" s="1"/>
  <c r="BI184" i="824" s="1"/>
  <c r="BI185" i="824" s="1"/>
  <c r="BI186" i="824" s="1"/>
  <c r="BI187" i="824" s="1"/>
  <c r="BI188" i="824" s="1"/>
  <c r="BI189" i="824" s="1"/>
  <c r="BI190" i="824" s="1"/>
  <c r="BI191" i="824" s="1"/>
  <c r="BI192" i="824" s="1"/>
  <c r="BI193" i="824" s="1"/>
  <c r="BI194" i="824" s="1"/>
  <c r="BI195" i="824" s="1"/>
  <c r="BI196" i="824" s="1"/>
  <c r="BI197" i="824" s="1"/>
  <c r="BI198" i="824" s="1"/>
  <c r="BI199" i="824" s="1"/>
  <c r="BI200" i="824" s="1"/>
  <c r="BI201" i="824" s="1"/>
  <c r="BI202" i="824" s="1"/>
  <c r="BI203" i="824" s="1"/>
  <c r="BI204" i="824" s="1"/>
  <c r="AY125" i="824"/>
  <c r="AX125" i="824"/>
  <c r="AW125" i="824"/>
  <c r="AU125" i="824"/>
  <c r="AQ125" i="824"/>
  <c r="AQ126" i="824" s="1"/>
  <c r="AQ127" i="824" s="1"/>
  <c r="AQ128" i="824" s="1"/>
  <c r="AQ129" i="824" s="1"/>
  <c r="AQ130" i="824" s="1"/>
  <c r="AQ131" i="824" s="1"/>
  <c r="AQ132" i="824" s="1"/>
  <c r="AQ133" i="824" s="1"/>
  <c r="AQ134" i="824" s="1"/>
  <c r="AQ135" i="824" s="1"/>
  <c r="AQ136" i="824" s="1"/>
  <c r="AQ137" i="824" s="1"/>
  <c r="AQ138" i="824" s="1"/>
  <c r="AQ139" i="824" s="1"/>
  <c r="AQ140" i="824" s="1"/>
  <c r="AQ141" i="824" s="1"/>
  <c r="AQ142" i="824" s="1"/>
  <c r="AQ143" i="824" s="1"/>
  <c r="AQ144" i="824" s="1"/>
  <c r="AQ145" i="824" s="1"/>
  <c r="AQ146" i="824" s="1"/>
  <c r="AQ147" i="824" s="1"/>
  <c r="AQ148" i="824" s="1"/>
  <c r="AQ149" i="824" s="1"/>
  <c r="AQ150" i="824" s="1"/>
  <c r="AQ151" i="824" s="1"/>
  <c r="AQ152" i="824" s="1"/>
  <c r="AQ153" i="824" s="1"/>
  <c r="AQ154" i="824" s="1"/>
  <c r="AQ155" i="824" s="1"/>
  <c r="AQ156" i="824" s="1"/>
  <c r="AQ157" i="824" s="1"/>
  <c r="AQ158" i="824" s="1"/>
  <c r="AQ159" i="824" s="1"/>
  <c r="AQ160" i="824" s="1"/>
  <c r="AQ161" i="824" s="1"/>
  <c r="AQ162" i="824" s="1"/>
  <c r="AQ163" i="824" s="1"/>
  <c r="AQ164" i="824" s="1"/>
  <c r="AQ165" i="824" s="1"/>
  <c r="AQ166" i="824" s="1"/>
  <c r="AQ167" i="824" s="1"/>
  <c r="AQ168" i="824" s="1"/>
  <c r="AQ169" i="824" s="1"/>
  <c r="AQ170" i="824" s="1"/>
  <c r="AQ171" i="824" s="1"/>
  <c r="AQ172" i="824" s="1"/>
  <c r="AQ173" i="824" s="1"/>
  <c r="AQ174" i="824" s="1"/>
  <c r="AQ175" i="824" s="1"/>
  <c r="AQ176" i="824" s="1"/>
  <c r="AQ177" i="824" s="1"/>
  <c r="AQ178" i="824" s="1"/>
  <c r="AQ179" i="824" s="1"/>
  <c r="AQ180" i="824" s="1"/>
  <c r="AQ181" i="824" s="1"/>
  <c r="AQ182" i="824" s="1"/>
  <c r="AQ183" i="824" s="1"/>
  <c r="AQ184" i="824" s="1"/>
  <c r="AQ185" i="824" s="1"/>
  <c r="AQ186" i="824" s="1"/>
  <c r="AQ187" i="824" s="1"/>
  <c r="AQ188" i="824" s="1"/>
  <c r="AQ189" i="824" s="1"/>
  <c r="AQ190" i="824" s="1"/>
  <c r="AQ191" i="824" s="1"/>
  <c r="AQ192" i="824" s="1"/>
  <c r="AQ193" i="824" s="1"/>
  <c r="AQ194" i="824" s="1"/>
  <c r="AQ195" i="824" s="1"/>
  <c r="AQ196" i="824" s="1"/>
  <c r="AQ197" i="824" s="1"/>
  <c r="AQ198" i="824" s="1"/>
  <c r="AQ199" i="824" s="1"/>
  <c r="AQ200" i="824" s="1"/>
  <c r="AQ201" i="824" s="1"/>
  <c r="AQ202" i="824" s="1"/>
  <c r="AQ203" i="824" s="1"/>
  <c r="AQ204" i="824" s="1"/>
  <c r="BL121" i="824"/>
  <c r="AT121" i="824"/>
  <c r="BW120" i="824"/>
  <c r="BL120" i="824"/>
  <c r="BE120" i="824"/>
  <c r="AT120" i="824"/>
  <c r="BL119" i="824"/>
  <c r="AT119" i="824"/>
  <c r="BQ117" i="824"/>
  <c r="AY116" i="824"/>
  <c r="AT116" i="824"/>
  <c r="AT115" i="824"/>
  <c r="AT114" i="824"/>
  <c r="I87" i="824"/>
  <c r="I86" i="824"/>
  <c r="I85" i="824"/>
  <c r="I84" i="824"/>
  <c r="I83" i="824"/>
  <c r="I82" i="824"/>
  <c r="I81" i="824"/>
  <c r="I80" i="824"/>
  <c r="I79" i="824"/>
  <c r="I78" i="824"/>
  <c r="I77" i="824"/>
  <c r="I76" i="824"/>
  <c r="I75" i="824"/>
  <c r="I74" i="824"/>
  <c r="I73" i="824"/>
  <c r="I72" i="824"/>
  <c r="I71" i="824"/>
  <c r="I70" i="824"/>
  <c r="I69" i="824"/>
  <c r="I68" i="824"/>
  <c r="I67" i="824"/>
  <c r="I66" i="824"/>
  <c r="I65" i="824"/>
  <c r="I64" i="824"/>
  <c r="I63" i="824"/>
  <c r="I62" i="824"/>
  <c r="I61" i="824"/>
  <c r="I60" i="824"/>
  <c r="I59" i="824"/>
  <c r="I58" i="824"/>
  <c r="I57" i="824"/>
  <c r="I56" i="824"/>
  <c r="I55" i="824"/>
  <c r="I54" i="824"/>
  <c r="I53" i="824"/>
  <c r="I52" i="824"/>
  <c r="I51" i="824"/>
  <c r="I50" i="824"/>
  <c r="I49" i="824"/>
  <c r="I48" i="824"/>
  <c r="I47" i="824"/>
  <c r="I46" i="824"/>
  <c r="I45" i="824"/>
  <c r="I44" i="824"/>
  <c r="I43" i="824"/>
  <c r="I42" i="824"/>
  <c r="I41" i="824"/>
  <c r="I40" i="824"/>
  <c r="I39" i="824"/>
  <c r="I38" i="824"/>
  <c r="I37" i="824"/>
  <c r="I36" i="824"/>
  <c r="I35" i="824"/>
  <c r="I34" i="824"/>
  <c r="I33" i="824"/>
  <c r="I32" i="824"/>
  <c r="I31" i="824"/>
  <c r="I30" i="824"/>
  <c r="I29" i="824"/>
  <c r="I28" i="824"/>
  <c r="I27" i="824"/>
  <c r="I26" i="824"/>
  <c r="I25" i="824"/>
  <c r="I24" i="824"/>
  <c r="I23" i="824"/>
  <c r="I22" i="824"/>
  <c r="I21" i="824"/>
  <c r="I20" i="824"/>
  <c r="F19" i="824"/>
  <c r="E19" i="824" s="1"/>
  <c r="I19" i="824"/>
  <c r="I18" i="824"/>
  <c r="I17" i="824"/>
  <c r="I16" i="824"/>
  <c r="I15" i="824"/>
  <c r="I14" i="824"/>
  <c r="I13" i="824"/>
  <c r="I12" i="824"/>
  <c r="I11" i="824"/>
  <c r="I10" i="824"/>
  <c r="I9" i="824"/>
  <c r="J8" i="824"/>
  <c r="J9" i="824" s="1"/>
  <c r="J10" i="824" s="1"/>
  <c r="J11" i="824" s="1"/>
  <c r="J12" i="824" s="1"/>
  <c r="J13" i="824" s="1"/>
  <c r="J14" i="824" s="1"/>
  <c r="J15" i="824" s="1"/>
  <c r="J16" i="824" s="1"/>
  <c r="J17" i="824" s="1"/>
  <c r="J18" i="824" s="1"/>
  <c r="J19" i="824" s="1"/>
  <c r="J20" i="824" s="1"/>
  <c r="J21" i="824" s="1"/>
  <c r="J22" i="824" s="1"/>
  <c r="J23" i="824" s="1"/>
  <c r="J24" i="824" s="1"/>
  <c r="J25" i="824" s="1"/>
  <c r="J26" i="824" s="1"/>
  <c r="J27" i="824" s="1"/>
  <c r="J28" i="824" s="1"/>
  <c r="J29" i="824" s="1"/>
  <c r="J30" i="824" s="1"/>
  <c r="J31" i="824" s="1"/>
  <c r="J32" i="824" s="1"/>
  <c r="J33" i="824" s="1"/>
  <c r="J34" i="824" s="1"/>
  <c r="J35" i="824" s="1"/>
  <c r="J36" i="824" s="1"/>
  <c r="J37" i="824" s="1"/>
  <c r="J38" i="824" s="1"/>
  <c r="J39" i="824" s="1"/>
  <c r="J40" i="824" s="1"/>
  <c r="J41" i="824" s="1"/>
  <c r="J42" i="824" s="1"/>
  <c r="J43" i="824" s="1"/>
  <c r="J44" i="824" s="1"/>
  <c r="J45" i="824" s="1"/>
  <c r="J46" i="824" s="1"/>
  <c r="J47" i="824" s="1"/>
  <c r="J48" i="824" s="1"/>
  <c r="J49" i="824" s="1"/>
  <c r="J50" i="824" s="1"/>
  <c r="J51" i="824" s="1"/>
  <c r="J52" i="824" s="1"/>
  <c r="J53" i="824" s="1"/>
  <c r="J54" i="824" s="1"/>
  <c r="J55" i="824" s="1"/>
  <c r="J56" i="824" s="1"/>
  <c r="J57" i="824" s="1"/>
  <c r="J58" i="824" s="1"/>
  <c r="J59" i="824" s="1"/>
  <c r="J60" i="824" s="1"/>
  <c r="J61" i="824" s="1"/>
  <c r="J62" i="824" s="1"/>
  <c r="J63" i="824" s="1"/>
  <c r="J64" i="824" s="1"/>
  <c r="J65" i="824" s="1"/>
  <c r="J66" i="824" s="1"/>
  <c r="J67" i="824" s="1"/>
  <c r="J68" i="824" s="1"/>
  <c r="J69" i="824" s="1"/>
  <c r="J70" i="824" s="1"/>
  <c r="J71" i="824" s="1"/>
  <c r="J72" i="824" s="1"/>
  <c r="J73" i="824" s="1"/>
  <c r="J74" i="824" s="1"/>
  <c r="J75" i="824" s="1"/>
  <c r="J76" i="824" s="1"/>
  <c r="J77" i="824" s="1"/>
  <c r="J78" i="824" s="1"/>
  <c r="J79" i="824" s="1"/>
  <c r="J80" i="824" s="1"/>
  <c r="J81" i="824" s="1"/>
  <c r="J82" i="824" s="1"/>
  <c r="J83" i="824" s="1"/>
  <c r="J84" i="824" s="1"/>
  <c r="J85" i="824" s="1"/>
  <c r="J86" i="824" s="1"/>
  <c r="J87" i="824" s="1"/>
  <c r="I8" i="824"/>
  <c r="AC7" i="805"/>
  <c r="AU9" i="849" a="1"/>
  <c r="AA9" i="849" a="1"/>
  <c r="AU8" i="849" a="1"/>
  <c r="F58" i="4" l="1"/>
  <c r="C59" i="4"/>
  <c r="AA20" i="844"/>
  <c r="AB20" i="844"/>
  <c r="AP19" i="825"/>
  <c r="AP18" i="825"/>
  <c r="AP16" i="825"/>
  <c r="AP13" i="825"/>
  <c r="AP12" i="825"/>
  <c r="AP11" i="825"/>
  <c r="AP9" i="825"/>
  <c r="AA8" i="824"/>
  <c r="AB8" i="824"/>
  <c r="AC8" i="824"/>
  <c r="AC32" i="824"/>
  <c r="AB32" i="824"/>
  <c r="AA32" i="824"/>
  <c r="AC31" i="824"/>
  <c r="AA31" i="824"/>
  <c r="AB31" i="824"/>
  <c r="AA30" i="824"/>
  <c r="AC30" i="824"/>
  <c r="AB30" i="824"/>
  <c r="AC29" i="824"/>
  <c r="AB29" i="824"/>
  <c r="AA29" i="824"/>
  <c r="AB28" i="824"/>
  <c r="AC28" i="824"/>
  <c r="AA28" i="824"/>
  <c r="AC27" i="824"/>
  <c r="AA27" i="824"/>
  <c r="AB27" i="824"/>
  <c r="AA26" i="824"/>
  <c r="AB26" i="824"/>
  <c r="AC26" i="824"/>
  <c r="AB25" i="824"/>
  <c r="AC25" i="824"/>
  <c r="AA25" i="824"/>
  <c r="AA24" i="824"/>
  <c r="AB24" i="824"/>
  <c r="AC24" i="824"/>
  <c r="AB23" i="824"/>
  <c r="AC23" i="824"/>
  <c r="AA23" i="824"/>
  <c r="AB22" i="824"/>
  <c r="AC22" i="824"/>
  <c r="AA22" i="824"/>
  <c r="AC21" i="824"/>
  <c r="AB21" i="824"/>
  <c r="AA21" i="824"/>
  <c r="AB20" i="824"/>
  <c r="AC20" i="824"/>
  <c r="AA20" i="824"/>
  <c r="AC19" i="824"/>
  <c r="AB19" i="824"/>
  <c r="AA19" i="824"/>
  <c r="AC18" i="824"/>
  <c r="AA18" i="824"/>
  <c r="AB18" i="824"/>
  <c r="AC17" i="824"/>
  <c r="AB17" i="824"/>
  <c r="AA17" i="824"/>
  <c r="AC16" i="824"/>
  <c r="AB16" i="824"/>
  <c r="AA16" i="824"/>
  <c r="AB15" i="824"/>
  <c r="AC15" i="824"/>
  <c r="AA15" i="824"/>
  <c r="AB14" i="824"/>
  <c r="AC14" i="824"/>
  <c r="AA14" i="824"/>
  <c r="AC13" i="824"/>
  <c r="AB13" i="824"/>
  <c r="AA13" i="824"/>
  <c r="AC12" i="824"/>
  <c r="AB12" i="824"/>
  <c r="AA12" i="824"/>
  <c r="AC11" i="824"/>
  <c r="AB11" i="824"/>
  <c r="AA11" i="824"/>
  <c r="AC10" i="824"/>
  <c r="AB10" i="824"/>
  <c r="AA10" i="824"/>
  <c r="AD87" i="824"/>
  <c r="Q87" i="824" s="1"/>
  <c r="K87" i="824"/>
  <c r="AE87" i="824"/>
  <c r="AO87" i="824"/>
  <c r="AM87" i="824"/>
  <c r="Y87" i="824"/>
  <c r="AN87" i="824"/>
  <c r="AD86" i="824"/>
  <c r="Q86" i="824" s="1"/>
  <c r="K86" i="824"/>
  <c r="AM86" i="824"/>
  <c r="AO86" i="824"/>
  <c r="Y86" i="824"/>
  <c r="AE86" i="824"/>
  <c r="AN86" i="824"/>
  <c r="Y85" i="824"/>
  <c r="AO85" i="824"/>
  <c r="AM85" i="824"/>
  <c r="AE85" i="824"/>
  <c r="K85" i="824"/>
  <c r="AD85" i="824"/>
  <c r="Q85" i="824" s="1"/>
  <c r="AN85" i="824"/>
  <c r="AO84" i="824"/>
  <c r="AD84" i="824"/>
  <c r="Q84" i="824" s="1"/>
  <c r="AM84" i="824"/>
  <c r="K84" i="824"/>
  <c r="Y84" i="824"/>
  <c r="AN84" i="824"/>
  <c r="AE84" i="824"/>
  <c r="AO83" i="824"/>
  <c r="AE83" i="824"/>
  <c r="AM83" i="824"/>
  <c r="Y83" i="824"/>
  <c r="K83" i="824"/>
  <c r="AN83" i="824"/>
  <c r="AD83" i="824"/>
  <c r="Q83" i="824" s="1"/>
  <c r="Y82" i="824"/>
  <c r="AE82" i="824"/>
  <c r="AM82" i="824"/>
  <c r="AN82" i="824"/>
  <c r="K82" i="824"/>
  <c r="AD82" i="824"/>
  <c r="Q82" i="824" s="1"/>
  <c r="AO82" i="824"/>
  <c r="K81" i="824"/>
  <c r="AN81" i="824"/>
  <c r="AE81" i="824"/>
  <c r="AM81" i="824"/>
  <c r="Y81" i="824"/>
  <c r="AO81" i="824"/>
  <c r="AD81" i="824"/>
  <c r="Q81" i="824" s="1"/>
  <c r="K80" i="824"/>
  <c r="Y80" i="824"/>
  <c r="AM80" i="824"/>
  <c r="AE80" i="824"/>
  <c r="AN80" i="824"/>
  <c r="AO80" i="824"/>
  <c r="AD80" i="824"/>
  <c r="Q80" i="824" s="1"/>
  <c r="K79" i="824"/>
  <c r="AM79" i="824"/>
  <c r="Y79" i="824"/>
  <c r="AN79" i="824"/>
  <c r="AE79" i="824"/>
  <c r="AO79" i="824"/>
  <c r="AD79" i="824"/>
  <c r="Q79" i="824" s="1"/>
  <c r="K78" i="824"/>
  <c r="AO78" i="824"/>
  <c r="AD78" i="824"/>
  <c r="Q78" i="824" s="1"/>
  <c r="AN78" i="824"/>
  <c r="Y78" i="824"/>
  <c r="AM78" i="824"/>
  <c r="AE78" i="824"/>
  <c r="K77" i="824"/>
  <c r="AM77" i="824"/>
  <c r="AN77" i="824"/>
  <c r="AO77" i="824"/>
  <c r="Y77" i="824"/>
  <c r="AE77" i="824"/>
  <c r="AD77" i="824"/>
  <c r="Q77" i="824" s="1"/>
  <c r="Y76" i="824"/>
  <c r="AO76" i="824"/>
  <c r="K76" i="824"/>
  <c r="AN76" i="824"/>
  <c r="AM76" i="824"/>
  <c r="AE76" i="824"/>
  <c r="AD76" i="824"/>
  <c r="Q76" i="824" s="1"/>
  <c r="AN75" i="824"/>
  <c r="Y75" i="824"/>
  <c r="K75" i="824"/>
  <c r="AO75" i="824"/>
  <c r="AM75" i="824"/>
  <c r="AD75" i="824"/>
  <c r="Q75" i="824" s="1"/>
  <c r="AE75" i="824"/>
  <c r="Y74" i="824"/>
  <c r="AO74" i="824"/>
  <c r="AM74" i="824"/>
  <c r="AN74" i="824"/>
  <c r="AE74" i="824"/>
  <c r="AD74" i="824"/>
  <c r="Q74" i="824" s="1"/>
  <c r="K74" i="824"/>
  <c r="AE73" i="824"/>
  <c r="AM73" i="824"/>
  <c r="Y73" i="824"/>
  <c r="AN73" i="824"/>
  <c r="AD73" i="824"/>
  <c r="Q73" i="824" s="1"/>
  <c r="K73" i="824"/>
  <c r="AO73" i="824"/>
  <c r="AE72" i="824"/>
  <c r="AM72" i="824"/>
  <c r="AD72" i="824"/>
  <c r="Q72" i="824" s="1"/>
  <c r="K72" i="824"/>
  <c r="AN72" i="824"/>
  <c r="Y72" i="824"/>
  <c r="AO72" i="824"/>
  <c r="AE71" i="824"/>
  <c r="AM71" i="824"/>
  <c r="AN71" i="824"/>
  <c r="K71" i="824"/>
  <c r="AD71" i="824"/>
  <c r="Q71" i="824" s="1"/>
  <c r="Y71" i="824"/>
  <c r="AO71" i="824"/>
  <c r="AO70" i="824"/>
  <c r="AD70" i="824"/>
  <c r="Q70" i="824" s="1"/>
  <c r="K70" i="824"/>
  <c r="AN70" i="824"/>
  <c r="Y70" i="824"/>
  <c r="AM70" i="824"/>
  <c r="AE70" i="824"/>
  <c r="AO69" i="824"/>
  <c r="AD69" i="824"/>
  <c r="Q69" i="824" s="1"/>
  <c r="K69" i="824"/>
  <c r="AE69" i="824"/>
  <c r="AM69" i="824"/>
  <c r="AN69" i="824"/>
  <c r="Y69" i="824"/>
  <c r="AO68" i="824"/>
  <c r="AM68" i="824"/>
  <c r="K68" i="824"/>
  <c r="Y68" i="824"/>
  <c r="AD68" i="824"/>
  <c r="Q68" i="824" s="1"/>
  <c r="AN68" i="824"/>
  <c r="AE68" i="824"/>
  <c r="Y67" i="824"/>
  <c r="AO67" i="824"/>
  <c r="AM67" i="824"/>
  <c r="AE67" i="824"/>
  <c r="K67" i="824"/>
  <c r="AN67" i="824"/>
  <c r="AD67" i="824"/>
  <c r="Q67" i="824" s="1"/>
  <c r="AD66" i="824"/>
  <c r="Q66" i="824" s="1"/>
  <c r="AM66" i="824"/>
  <c r="Y66" i="824"/>
  <c r="AN66" i="824"/>
  <c r="K66" i="824"/>
  <c r="AO66" i="824"/>
  <c r="AE66" i="824"/>
  <c r="Y65" i="824"/>
  <c r="AM65" i="824"/>
  <c r="AO65" i="824"/>
  <c r="AD65" i="824"/>
  <c r="Q65" i="824" s="1"/>
  <c r="AN65" i="824"/>
  <c r="K65" i="824"/>
  <c r="AE65" i="824"/>
  <c r="AD64" i="824"/>
  <c r="Q64" i="824" s="1"/>
  <c r="Y64" i="824"/>
  <c r="K64" i="824"/>
  <c r="AM64" i="824"/>
  <c r="AE64" i="824"/>
  <c r="AO64" i="824"/>
  <c r="AN64" i="824"/>
  <c r="AO63" i="824"/>
  <c r="AE63" i="824"/>
  <c r="K63" i="824"/>
  <c r="AM63" i="824"/>
  <c r="AD63" i="824"/>
  <c r="Q63" i="824" s="1"/>
  <c r="Y63" i="824"/>
  <c r="AN63" i="824"/>
  <c r="AN62" i="824"/>
  <c r="Y62" i="824"/>
  <c r="K62" i="824"/>
  <c r="AM62" i="824"/>
  <c r="AD62" i="824"/>
  <c r="Q62" i="824" s="1"/>
  <c r="AE62" i="824"/>
  <c r="AO62" i="824"/>
  <c r="Y61" i="824"/>
  <c r="AD61" i="824"/>
  <c r="Q61" i="824" s="1"/>
  <c r="AM61" i="824"/>
  <c r="AO61" i="824"/>
  <c r="AN61" i="824"/>
  <c r="K61" i="824"/>
  <c r="AE61" i="824"/>
  <c r="AD60" i="824"/>
  <c r="Q60" i="824" s="1"/>
  <c r="Y60" i="824"/>
  <c r="K60" i="824"/>
  <c r="AO60" i="824"/>
  <c r="AM60" i="824"/>
  <c r="AE60" i="824"/>
  <c r="AN60" i="824"/>
  <c r="K59" i="824"/>
  <c r="AD59" i="824"/>
  <c r="Q59" i="824" s="1"/>
  <c r="Y59" i="824"/>
  <c r="AE59" i="824"/>
  <c r="AN59" i="824"/>
  <c r="AM59" i="824"/>
  <c r="AO59" i="824"/>
  <c r="K58" i="824"/>
  <c r="AE58" i="824"/>
  <c r="Y58" i="824"/>
  <c r="AO58" i="824"/>
  <c r="AD58" i="824"/>
  <c r="Q58" i="824" s="1"/>
  <c r="AN58" i="824"/>
  <c r="AM58" i="824"/>
  <c r="AN57" i="824"/>
  <c r="AM57" i="824"/>
  <c r="K57" i="824"/>
  <c r="AE57" i="824"/>
  <c r="AD57" i="824"/>
  <c r="Q57" i="824" s="1"/>
  <c r="AO57" i="824"/>
  <c r="Y57" i="824"/>
  <c r="AN56" i="824"/>
  <c r="AM56" i="824"/>
  <c r="Y56" i="824"/>
  <c r="AO56" i="824"/>
  <c r="K56" i="824"/>
  <c r="AE56" i="824"/>
  <c r="AD56" i="824"/>
  <c r="Q56" i="824" s="1"/>
  <c r="AD55" i="824"/>
  <c r="Q55" i="824" s="1"/>
  <c r="AO55" i="824"/>
  <c r="AE55" i="824"/>
  <c r="Y55" i="824"/>
  <c r="K55" i="824"/>
  <c r="AM55" i="824"/>
  <c r="AN55" i="824"/>
  <c r="Y54" i="824"/>
  <c r="AM54" i="824"/>
  <c r="AD54" i="824"/>
  <c r="Q54" i="824" s="1"/>
  <c r="AE54" i="824"/>
  <c r="K54" i="824"/>
  <c r="AN54" i="824"/>
  <c r="AO54" i="824"/>
  <c r="Y53" i="824"/>
  <c r="AM53" i="824"/>
  <c r="AE53" i="824"/>
  <c r="AN53" i="824"/>
  <c r="K53" i="824"/>
  <c r="AD53" i="824"/>
  <c r="Q53" i="824" s="1"/>
  <c r="AO53" i="824"/>
  <c r="K52" i="824"/>
  <c r="AM52" i="824"/>
  <c r="AD52" i="824"/>
  <c r="Q52" i="824" s="1"/>
  <c r="AN52" i="824"/>
  <c r="AE52" i="824"/>
  <c r="AO52" i="824"/>
  <c r="Y52" i="824"/>
  <c r="AM51" i="824"/>
  <c r="AN51" i="824"/>
  <c r="AE51" i="824"/>
  <c r="K51" i="824"/>
  <c r="Y51" i="824"/>
  <c r="AO51" i="824"/>
  <c r="AD51" i="824"/>
  <c r="Q51" i="824" s="1"/>
  <c r="AD50" i="824"/>
  <c r="Q50" i="824" s="1"/>
  <c r="AM50" i="824"/>
  <c r="K50" i="824"/>
  <c r="AN50" i="824"/>
  <c r="Y50" i="824"/>
  <c r="AO50" i="824"/>
  <c r="AE50" i="824"/>
  <c r="K49" i="824"/>
  <c r="AE49" i="824"/>
  <c r="AO49" i="824"/>
  <c r="AN49" i="824"/>
  <c r="AD49" i="824"/>
  <c r="Q49" i="824" s="1"/>
  <c r="Y49" i="824"/>
  <c r="AM49" i="824"/>
  <c r="AD48" i="824"/>
  <c r="Q48" i="824" s="1"/>
  <c r="K48" i="824"/>
  <c r="AE48" i="824"/>
  <c r="Y48" i="824"/>
  <c r="AO48" i="824"/>
  <c r="AM48" i="824"/>
  <c r="AN48" i="824"/>
  <c r="AO47" i="824"/>
  <c r="Y47" i="824"/>
  <c r="K47" i="824"/>
  <c r="AM47" i="824"/>
  <c r="AD47" i="824"/>
  <c r="Q47" i="824" s="1"/>
  <c r="AE47" i="824"/>
  <c r="AN47" i="824"/>
  <c r="AE46" i="824"/>
  <c r="K46" i="824"/>
  <c r="Y46" i="824"/>
  <c r="AM46" i="824"/>
  <c r="AD46" i="824"/>
  <c r="Q46" i="824" s="1"/>
  <c r="AO46" i="824"/>
  <c r="AN46" i="824"/>
  <c r="AM45" i="824"/>
  <c r="K45" i="824"/>
  <c r="AR162" i="824" s="1"/>
  <c r="AE45" i="824"/>
  <c r="AO45" i="824"/>
  <c r="AN45" i="824"/>
  <c r="Y45" i="824"/>
  <c r="AD45" i="824"/>
  <c r="Q45" i="824" s="1"/>
  <c r="Y44" i="824"/>
  <c r="AE44" i="824"/>
  <c r="AM44" i="824"/>
  <c r="AN44" i="824"/>
  <c r="AO44" i="824"/>
  <c r="AD44" i="824"/>
  <c r="Q44" i="824" s="1"/>
  <c r="K44" i="824"/>
  <c r="AN43" i="824"/>
  <c r="Y43" i="824"/>
  <c r="AO43" i="824"/>
  <c r="AE43" i="824"/>
  <c r="K43" i="824"/>
  <c r="AM43" i="824"/>
  <c r="AD43" i="824"/>
  <c r="Q43" i="824" s="1"/>
  <c r="Y42" i="824"/>
  <c r="AD42" i="824"/>
  <c r="Q42" i="824" s="1"/>
  <c r="AO42" i="824"/>
  <c r="AE42" i="824"/>
  <c r="K42" i="824"/>
  <c r="AN42" i="824"/>
  <c r="AM42" i="824"/>
  <c r="AO41" i="824"/>
  <c r="AE41" i="824"/>
  <c r="AN41" i="824"/>
  <c r="AD41" i="824"/>
  <c r="Q41" i="824" s="1"/>
  <c r="K41" i="824"/>
  <c r="AM41" i="824"/>
  <c r="Y41" i="824"/>
  <c r="AN40" i="824"/>
  <c r="AD40" i="824"/>
  <c r="Q40" i="824" s="1"/>
  <c r="AO40" i="824"/>
  <c r="Y40" i="824"/>
  <c r="AE40" i="824"/>
  <c r="AM40" i="824"/>
  <c r="K40" i="824"/>
  <c r="AN39" i="824"/>
  <c r="AD39" i="824"/>
  <c r="Q39" i="824" s="1"/>
  <c r="AO39" i="824"/>
  <c r="K39" i="824"/>
  <c r="AM39" i="824"/>
  <c r="Y39" i="824"/>
  <c r="AE39" i="824"/>
  <c r="K38" i="824"/>
  <c r="AO38" i="824"/>
  <c r="AE38" i="824"/>
  <c r="AM38" i="824"/>
  <c r="AN38" i="824"/>
  <c r="AD38" i="824"/>
  <c r="Q38" i="824" s="1"/>
  <c r="Y38" i="824"/>
  <c r="AE37" i="824"/>
  <c r="Y37" i="824"/>
  <c r="AO37" i="824"/>
  <c r="AD37" i="824"/>
  <c r="Q37" i="824" s="1"/>
  <c r="AM37" i="824"/>
  <c r="K37" i="824"/>
  <c r="AN37" i="824"/>
  <c r="AM36" i="824"/>
  <c r="AD36" i="824"/>
  <c r="Q36" i="824" s="1"/>
  <c r="K36" i="824"/>
  <c r="AE36" i="824"/>
  <c r="AN36" i="824"/>
  <c r="AO36" i="824"/>
  <c r="Y36" i="824"/>
  <c r="AO35" i="824"/>
  <c r="AD35" i="824"/>
  <c r="Q35" i="824" s="1"/>
  <c r="Y35" i="824"/>
  <c r="K35" i="824"/>
  <c r="AE35" i="824"/>
  <c r="AN35" i="824"/>
  <c r="AM35" i="824"/>
  <c r="AM34" i="824"/>
  <c r="AN34" i="824"/>
  <c r="AO34" i="824"/>
  <c r="Y34" i="824"/>
  <c r="AD34" i="824"/>
  <c r="Q34" i="824" s="1"/>
  <c r="K34" i="824"/>
  <c r="AE34" i="824"/>
  <c r="AM33" i="824"/>
  <c r="AE33" i="824"/>
  <c r="Y33" i="824"/>
  <c r="K33" i="824"/>
  <c r="AO33" i="824"/>
  <c r="AD33" i="824"/>
  <c r="Q33" i="824" s="1"/>
  <c r="AN33" i="824"/>
  <c r="AD32" i="824"/>
  <c r="Q32" i="824" s="1"/>
  <c r="K32" i="824"/>
  <c r="AE32" i="824"/>
  <c r="AM32" i="824"/>
  <c r="AO32" i="824"/>
  <c r="AN32" i="824"/>
  <c r="AL32" i="824" s="1"/>
  <c r="Z32" i="824" s="1"/>
  <c r="Y32" i="824"/>
  <c r="K31" i="824"/>
  <c r="AM31" i="824"/>
  <c r="AO31" i="824"/>
  <c r="AE31" i="824"/>
  <c r="AN31" i="824"/>
  <c r="AL31" i="824" s="1"/>
  <c r="Z31" i="824" s="1"/>
  <c r="Y31" i="824"/>
  <c r="AD31" i="824"/>
  <c r="Q31" i="824" s="1"/>
  <c r="AD30" i="824"/>
  <c r="Q30" i="824" s="1"/>
  <c r="AO30" i="824"/>
  <c r="AN30" i="824"/>
  <c r="AL30" i="824" s="1"/>
  <c r="Z30" i="824" s="1"/>
  <c r="K30" i="824"/>
  <c r="AE30" i="824"/>
  <c r="AM30" i="824"/>
  <c r="Y30" i="824"/>
  <c r="AO29" i="824"/>
  <c r="AE29" i="824"/>
  <c r="K29" i="824"/>
  <c r="AM29" i="824"/>
  <c r="AD29" i="824"/>
  <c r="Q29" i="824" s="1"/>
  <c r="AN29" i="824"/>
  <c r="AL29" i="824" s="1"/>
  <c r="Z29" i="824" s="1"/>
  <c r="Y29" i="824"/>
  <c r="AE28" i="824"/>
  <c r="AO28" i="824"/>
  <c r="Y28" i="824"/>
  <c r="AN28" i="824"/>
  <c r="AL28" i="824" s="1"/>
  <c r="Z28" i="824" s="1"/>
  <c r="AM28" i="824"/>
  <c r="AD28" i="824"/>
  <c r="K28" i="824"/>
  <c r="AD27" i="824"/>
  <c r="Y27" i="824"/>
  <c r="AE27" i="824"/>
  <c r="K27" i="824"/>
  <c r="AM27" i="824"/>
  <c r="AO27" i="824"/>
  <c r="AN27" i="824"/>
  <c r="AL27" i="824" s="1"/>
  <c r="Z27" i="824" s="1"/>
  <c r="AO26" i="824"/>
  <c r="AN26" i="824"/>
  <c r="AL26" i="824" s="1"/>
  <c r="Z26" i="824" s="1"/>
  <c r="AE26" i="824"/>
  <c r="AD26" i="824"/>
  <c r="AM26" i="824"/>
  <c r="Y26" i="824"/>
  <c r="K26" i="824"/>
  <c r="AM25" i="824"/>
  <c r="Y25" i="824"/>
  <c r="AD25" i="824"/>
  <c r="AO25" i="824"/>
  <c r="K25" i="824"/>
  <c r="AN25" i="824"/>
  <c r="AL25" i="824" s="1"/>
  <c r="Z25" i="824" s="1"/>
  <c r="AE25" i="824"/>
  <c r="AD24" i="824"/>
  <c r="AE24" i="824"/>
  <c r="Y24" i="824"/>
  <c r="K24" i="824"/>
  <c r="AO24" i="824"/>
  <c r="AM24" i="824"/>
  <c r="AN24" i="824"/>
  <c r="AL24" i="824" s="1"/>
  <c r="Z24" i="824" s="1"/>
  <c r="AO23" i="824"/>
  <c r="K23" i="824"/>
  <c r="AD23" i="824"/>
  <c r="Y23" i="824"/>
  <c r="AM23" i="824"/>
  <c r="AE23" i="824"/>
  <c r="AN23" i="824"/>
  <c r="AL23" i="824" s="1"/>
  <c r="Z23" i="824" s="1"/>
  <c r="AD22" i="824"/>
  <c r="K22" i="824"/>
  <c r="AO22" i="824"/>
  <c r="AM22" i="824"/>
  <c r="Y22" i="824"/>
  <c r="AE22" i="824"/>
  <c r="AN22" i="824"/>
  <c r="AL22" i="824" s="1"/>
  <c r="Z22" i="824" s="1"/>
  <c r="AE21" i="824"/>
  <c r="AM21" i="824"/>
  <c r="AO21" i="824"/>
  <c r="K21" i="824"/>
  <c r="Y21" i="824"/>
  <c r="AD21" i="824"/>
  <c r="AN21" i="824"/>
  <c r="AL21" i="824" s="1"/>
  <c r="Z21" i="824" s="1"/>
  <c r="AE20" i="824"/>
  <c r="AN20" i="824"/>
  <c r="AL20" i="824" s="1"/>
  <c r="Z20" i="824" s="1"/>
  <c r="K20" i="824"/>
  <c r="AO20" i="824"/>
  <c r="AD20" i="824"/>
  <c r="AM20" i="824"/>
  <c r="Y20" i="824"/>
  <c r="K19" i="824"/>
  <c r="AE19" i="824"/>
  <c r="AO19" i="824"/>
  <c r="AN19" i="824"/>
  <c r="AL19" i="824" s="1"/>
  <c r="Z19" i="824" s="1"/>
  <c r="Y19" i="824"/>
  <c r="AM19" i="824"/>
  <c r="AD19" i="824"/>
  <c r="Y18" i="824"/>
  <c r="K18" i="824"/>
  <c r="AO18" i="824"/>
  <c r="AM18" i="824"/>
  <c r="AE18" i="824"/>
  <c r="AN18" i="824"/>
  <c r="AL18" i="824" s="1"/>
  <c r="Z18" i="824" s="1"/>
  <c r="AD18" i="824"/>
  <c r="AD15" i="849"/>
  <c r="AD13" i="849"/>
  <c r="AD14" i="849"/>
  <c r="AD12" i="849"/>
  <c r="AX17" i="849"/>
  <c r="AR17" i="849"/>
  <c r="AX16" i="849"/>
  <c r="AR16" i="849"/>
  <c r="AX15" i="849"/>
  <c r="AR15" i="849"/>
  <c r="Y16" i="849"/>
  <c r="Y15" i="849"/>
  <c r="Y17" i="849"/>
  <c r="AX14" i="849"/>
  <c r="AR14" i="849"/>
  <c r="AX13" i="849"/>
  <c r="AR13" i="849"/>
  <c r="AX12" i="849"/>
  <c r="AR12" i="849"/>
  <c r="AX11" i="849"/>
  <c r="AR11" i="849"/>
  <c r="Y13" i="849"/>
  <c r="Y12" i="849"/>
  <c r="Y14" i="849"/>
  <c r="AD11" i="849"/>
  <c r="Y11" i="849"/>
  <c r="AX10" i="849"/>
  <c r="AR10" i="849"/>
  <c r="AD10" i="849"/>
  <c r="Y10" i="849"/>
  <c r="Y9" i="849"/>
  <c r="Y8" i="849"/>
  <c r="U33" i="825"/>
  <c r="U35" i="825"/>
  <c r="U32" i="825"/>
  <c r="BW190" i="825"/>
  <c r="CA190" i="825" s="1"/>
  <c r="Y73" i="825"/>
  <c r="BE190" i="825"/>
  <c r="BI190" i="825" s="1"/>
  <c r="BE195" i="825"/>
  <c r="BI195" i="825" s="1"/>
  <c r="Y78" i="825"/>
  <c r="BW195" i="825"/>
  <c r="CA195" i="825" s="1"/>
  <c r="Y84" i="825"/>
  <c r="BE201" i="825"/>
  <c r="BI201" i="825" s="1"/>
  <c r="BW201" i="825"/>
  <c r="CA201" i="825" s="1"/>
  <c r="BW198" i="825"/>
  <c r="CA198" i="825" s="1"/>
  <c r="Y81" i="825"/>
  <c r="BE198" i="825"/>
  <c r="BI198" i="825" s="1"/>
  <c r="BW199" i="825"/>
  <c r="CA199" i="825" s="1"/>
  <c r="BE199" i="825"/>
  <c r="BI199" i="825" s="1"/>
  <c r="Y82" i="825"/>
  <c r="Y83" i="825"/>
  <c r="BW200" i="825"/>
  <c r="CA200" i="825" s="1"/>
  <c r="BE200" i="825"/>
  <c r="BI200" i="825" s="1"/>
  <c r="BE193" i="825"/>
  <c r="BI193" i="825" s="1"/>
  <c r="Y76" i="825"/>
  <c r="BW193" i="825"/>
  <c r="CA193" i="825" s="1"/>
  <c r="Y75" i="825"/>
  <c r="BW192" i="825"/>
  <c r="CA192" i="825" s="1"/>
  <c r="BE192" i="825"/>
  <c r="BI192" i="825" s="1"/>
  <c r="BE196" i="825"/>
  <c r="BI196" i="825" s="1"/>
  <c r="Y79" i="825"/>
  <c r="BW196" i="825"/>
  <c r="CA196" i="825" s="1"/>
  <c r="U34" i="825"/>
  <c r="U29" i="825"/>
  <c r="Y29" i="825" s="1"/>
  <c r="Y35" i="825"/>
  <c r="BW152" i="825"/>
  <c r="CA152" i="825" s="1"/>
  <c r="BE152" i="825"/>
  <c r="BI152" i="825" s="1"/>
  <c r="BW151" i="825"/>
  <c r="CA151" i="825" s="1"/>
  <c r="BE151" i="825"/>
  <c r="BI151" i="825" s="1"/>
  <c r="Y34" i="825"/>
  <c r="BW150" i="825"/>
  <c r="CA150" i="825" s="1"/>
  <c r="BE150" i="825"/>
  <c r="BI150" i="825" s="1"/>
  <c r="Y33" i="825"/>
  <c r="BE149" i="825"/>
  <c r="BI149" i="825" s="1"/>
  <c r="Y32" i="825"/>
  <c r="BW149" i="825"/>
  <c r="CA149" i="825" s="1"/>
  <c r="BW146" i="825"/>
  <c r="CA146" i="825" s="1"/>
  <c r="BE146" i="825"/>
  <c r="BI146" i="825" s="1"/>
  <c r="Y40" i="825"/>
  <c r="BW157" i="825"/>
  <c r="CA157" i="825" s="1"/>
  <c r="BE157" i="825"/>
  <c r="BI157" i="825" s="1"/>
  <c r="BW160" i="825"/>
  <c r="CA160" i="825" s="1"/>
  <c r="BE160" i="825"/>
  <c r="BI160" i="825" s="1"/>
  <c r="Y43" i="825"/>
  <c r="BW187" i="825"/>
  <c r="CA187" i="825" s="1"/>
  <c r="Y70" i="825"/>
  <c r="BE187" i="825"/>
  <c r="BI187" i="825" s="1"/>
  <c r="BW191" i="825"/>
  <c r="CA191" i="825" s="1"/>
  <c r="Y74" i="825"/>
  <c r="BE191" i="825"/>
  <c r="BI191" i="825" s="1"/>
  <c r="BE194" i="825"/>
  <c r="BI194" i="825" s="1"/>
  <c r="BW194" i="825"/>
  <c r="CA194" i="825" s="1"/>
  <c r="Y77" i="825"/>
  <c r="BW197" i="825"/>
  <c r="CA197" i="825" s="1"/>
  <c r="BE197" i="825"/>
  <c r="BI197" i="825" s="1"/>
  <c r="Y80" i="825"/>
  <c r="AP56" i="825"/>
  <c r="U56" i="825"/>
  <c r="AP55" i="825"/>
  <c r="U55" i="825"/>
  <c r="AP54" i="825"/>
  <c r="U54" i="825"/>
  <c r="AP53" i="825"/>
  <c r="U53" i="825"/>
  <c r="AP52" i="825"/>
  <c r="U52" i="825"/>
  <c r="AP51" i="825"/>
  <c r="U51" i="825"/>
  <c r="AP50" i="825"/>
  <c r="U50" i="825"/>
  <c r="AP49" i="825"/>
  <c r="U49" i="825"/>
  <c r="AP48" i="825"/>
  <c r="U48" i="825"/>
  <c r="AP47" i="825"/>
  <c r="U47" i="825"/>
  <c r="AP46" i="825"/>
  <c r="U46" i="825"/>
  <c r="AP45" i="825"/>
  <c r="U45" i="825"/>
  <c r="AP31" i="825"/>
  <c r="U31" i="825"/>
  <c r="AP30" i="825"/>
  <c r="U30" i="825"/>
  <c r="AP28" i="825"/>
  <c r="U28" i="825"/>
  <c r="AP27" i="825"/>
  <c r="U27" i="825"/>
  <c r="AP26" i="825"/>
  <c r="U26" i="825"/>
  <c r="AP25" i="825"/>
  <c r="U25" i="825"/>
  <c r="AP24" i="825"/>
  <c r="U24" i="825"/>
  <c r="AP23" i="825"/>
  <c r="U23" i="825"/>
  <c r="AP22" i="825"/>
  <c r="U22" i="825"/>
  <c r="AB9" i="824"/>
  <c r="AC9" i="824"/>
  <c r="AA9" i="824"/>
  <c r="U21" i="825"/>
  <c r="K17" i="824"/>
  <c r="AD17" i="824"/>
  <c r="AN17" i="824"/>
  <c r="AL17" i="824" s="1"/>
  <c r="Z17" i="824" s="1"/>
  <c r="AM17" i="824"/>
  <c r="Y17" i="824"/>
  <c r="AE17" i="824"/>
  <c r="AO17" i="824"/>
  <c r="Y16" i="824"/>
  <c r="AE16" i="824"/>
  <c r="AN16" i="824"/>
  <c r="AL16" i="824" s="1"/>
  <c r="Z16" i="824" s="1"/>
  <c r="AM16" i="824"/>
  <c r="AD16" i="824"/>
  <c r="AO16" i="824"/>
  <c r="AO15" i="824"/>
  <c r="Y15" i="824"/>
  <c r="AN15" i="824"/>
  <c r="AL15" i="824" s="1"/>
  <c r="Z15" i="824" s="1"/>
  <c r="AE15" i="824"/>
  <c r="AM15" i="824"/>
  <c r="AD15" i="824"/>
  <c r="AD14" i="824"/>
  <c r="AE14" i="824"/>
  <c r="AN14" i="824"/>
  <c r="AL14" i="824" s="1"/>
  <c r="Z14" i="824" s="1"/>
  <c r="AM14" i="824"/>
  <c r="Y14" i="824"/>
  <c r="AO14" i="824"/>
  <c r="AM13" i="824"/>
  <c r="Y13" i="824"/>
  <c r="AO13" i="824"/>
  <c r="AN13" i="824"/>
  <c r="AL13" i="824" s="1"/>
  <c r="Z13" i="824" s="1"/>
  <c r="AD13" i="824"/>
  <c r="AE13" i="824"/>
  <c r="Y12" i="824"/>
  <c r="AE12" i="824"/>
  <c r="AM12" i="824"/>
  <c r="AO12" i="824"/>
  <c r="AN12" i="824"/>
  <c r="AL12" i="824" s="1"/>
  <c r="Z12" i="824" s="1"/>
  <c r="AD12" i="824"/>
  <c r="Y11" i="824"/>
  <c r="AD11" i="824"/>
  <c r="AM11" i="824"/>
  <c r="AO11" i="824"/>
  <c r="AE11" i="824"/>
  <c r="AN11" i="824"/>
  <c r="AL11" i="824" s="1"/>
  <c r="Z11" i="824" s="1"/>
  <c r="AD10" i="824"/>
  <c r="AM10" i="824"/>
  <c r="AN10" i="824"/>
  <c r="AL10" i="824" s="1"/>
  <c r="Z10" i="824" s="1"/>
  <c r="AO10" i="824"/>
  <c r="Y10" i="824"/>
  <c r="AE10" i="824"/>
  <c r="Y9" i="824"/>
  <c r="AE9" i="824"/>
  <c r="AN9" i="824"/>
  <c r="AL9" i="824" s="1"/>
  <c r="Z9" i="824" s="1"/>
  <c r="AO9" i="824"/>
  <c r="AM9" i="824"/>
  <c r="AD9" i="824"/>
  <c r="AD8" i="824"/>
  <c r="AM8" i="824"/>
  <c r="AO8" i="824"/>
  <c r="AN8" i="824"/>
  <c r="AL8" i="824" s="1"/>
  <c r="Z8" i="824" s="1"/>
  <c r="Z87" i="824"/>
  <c r="W87" i="824"/>
  <c r="W86" i="824"/>
  <c r="Z86" i="824"/>
  <c r="W85" i="824"/>
  <c r="Z85" i="824"/>
  <c r="Z84" i="824"/>
  <c r="W84" i="824"/>
  <c r="W83" i="824"/>
  <c r="Z83" i="824"/>
  <c r="Z82" i="824"/>
  <c r="W82" i="824"/>
  <c r="Z81" i="824"/>
  <c r="W81" i="824"/>
  <c r="Z80" i="824"/>
  <c r="W80" i="824"/>
  <c r="W79" i="824"/>
  <c r="Z79" i="824"/>
  <c r="Z78" i="824"/>
  <c r="W78" i="824"/>
  <c r="W77" i="824"/>
  <c r="Z77" i="824"/>
  <c r="W76" i="824"/>
  <c r="Z76" i="824"/>
  <c r="Z75" i="824"/>
  <c r="W75" i="824"/>
  <c r="W74" i="824"/>
  <c r="Z74" i="824"/>
  <c r="W73" i="824"/>
  <c r="Z73" i="824"/>
  <c r="Z72" i="824"/>
  <c r="W72" i="824"/>
  <c r="W71" i="824"/>
  <c r="Z71" i="824"/>
  <c r="W70" i="824"/>
  <c r="Z70" i="824"/>
  <c r="Z69" i="824"/>
  <c r="W69" i="824"/>
  <c r="Z68" i="824"/>
  <c r="W68" i="824"/>
  <c r="Z67" i="824"/>
  <c r="W67" i="824"/>
  <c r="W66" i="824"/>
  <c r="Z66" i="824"/>
  <c r="Z65" i="824"/>
  <c r="W65" i="824"/>
  <c r="Z64" i="824"/>
  <c r="W64" i="824"/>
  <c r="Z63" i="824"/>
  <c r="W63" i="824"/>
  <c r="W62" i="824"/>
  <c r="Z62" i="824"/>
  <c r="Z61" i="824"/>
  <c r="W61" i="824"/>
  <c r="W60" i="824"/>
  <c r="Z60" i="824"/>
  <c r="Z59" i="824"/>
  <c r="W59" i="824"/>
  <c r="Z58" i="824"/>
  <c r="W58" i="824"/>
  <c r="Z57" i="824"/>
  <c r="W57" i="824"/>
  <c r="Z56" i="824"/>
  <c r="W56" i="824"/>
  <c r="W55" i="824"/>
  <c r="Z55" i="824"/>
  <c r="W54" i="824"/>
  <c r="Z54" i="824"/>
  <c r="Z53" i="824"/>
  <c r="W53" i="824"/>
  <c r="W52" i="824"/>
  <c r="Z52" i="824"/>
  <c r="Z51" i="824"/>
  <c r="W51" i="824"/>
  <c r="Z50" i="824"/>
  <c r="W50" i="824"/>
  <c r="W49" i="824"/>
  <c r="Z49" i="824"/>
  <c r="Z48" i="824"/>
  <c r="W48" i="824"/>
  <c r="W47" i="824"/>
  <c r="Z47" i="824"/>
  <c r="Z46" i="824"/>
  <c r="W46" i="824"/>
  <c r="W45" i="824"/>
  <c r="Z45" i="824"/>
  <c r="Z44" i="824"/>
  <c r="W44" i="824"/>
  <c r="W43" i="824"/>
  <c r="Z43" i="824"/>
  <c r="W42" i="824"/>
  <c r="Z42" i="824"/>
  <c r="W41" i="824"/>
  <c r="Z41" i="824"/>
  <c r="Z40" i="824"/>
  <c r="W40" i="824"/>
  <c r="Z39" i="824"/>
  <c r="W39" i="824"/>
  <c r="W38" i="824"/>
  <c r="Z38" i="824"/>
  <c r="Z37" i="824"/>
  <c r="W37" i="824"/>
  <c r="W36" i="824"/>
  <c r="Z36" i="824"/>
  <c r="W35" i="824"/>
  <c r="Z35" i="824"/>
  <c r="Z34" i="824"/>
  <c r="W34" i="824"/>
  <c r="W33" i="824"/>
  <c r="Z33" i="824"/>
  <c r="W32" i="824"/>
  <c r="W31" i="824"/>
  <c r="W30" i="824"/>
  <c r="W29" i="824"/>
  <c r="W28" i="824"/>
  <c r="W27" i="824"/>
  <c r="W26" i="824"/>
  <c r="W25" i="824"/>
  <c r="W24" i="824"/>
  <c r="W23" i="824"/>
  <c r="W22" i="824"/>
  <c r="W21" i="824"/>
  <c r="W20" i="824"/>
  <c r="W19" i="824"/>
  <c r="W18" i="824"/>
  <c r="W17" i="824"/>
  <c r="W16" i="824"/>
  <c r="W15" i="824"/>
  <c r="W14" i="824"/>
  <c r="W13" i="824"/>
  <c r="W12" i="824"/>
  <c r="W11" i="824"/>
  <c r="W10" i="824"/>
  <c r="W9" i="824"/>
  <c r="K16" i="824"/>
  <c r="K15" i="824"/>
  <c r="K14" i="824"/>
  <c r="K13" i="824"/>
  <c r="K12" i="824"/>
  <c r="AR129" i="824" s="1"/>
  <c r="K11" i="824"/>
  <c r="K10" i="824"/>
  <c r="K9" i="824"/>
  <c r="K8" i="824"/>
  <c r="BJ125" i="824" s="1"/>
  <c r="Y8" i="824"/>
  <c r="AE8" i="824"/>
  <c r="AJ8" i="824" s="1"/>
  <c r="W8" i="824"/>
  <c r="U19" i="825"/>
  <c r="U18" i="825"/>
  <c r="U15" i="825"/>
  <c r="U16" i="825"/>
  <c r="U17" i="825"/>
  <c r="U20" i="825"/>
  <c r="AM8" i="825"/>
  <c r="K8" i="834"/>
  <c r="P10" i="834" s="1"/>
  <c r="T17" i="834"/>
  <c r="U14" i="825"/>
  <c r="Y14" i="825" s="1"/>
  <c r="U13" i="825"/>
  <c r="Y13" i="825" s="1"/>
  <c r="U12" i="825"/>
  <c r="Y12" i="825" s="1"/>
  <c r="U17" i="834"/>
  <c r="U14" i="834"/>
  <c r="U11" i="834"/>
  <c r="U19" i="834"/>
  <c r="U21" i="834"/>
  <c r="U16" i="834"/>
  <c r="U12" i="834"/>
  <c r="U13" i="834"/>
  <c r="U10" i="834"/>
  <c r="U20" i="834"/>
  <c r="U18" i="834"/>
  <c r="U15" i="834"/>
  <c r="V9" i="834"/>
  <c r="P33" i="824"/>
  <c r="P36" i="824"/>
  <c r="P39" i="824"/>
  <c r="P44" i="824"/>
  <c r="P45" i="824"/>
  <c r="P48" i="824"/>
  <c r="P52" i="824"/>
  <c r="P56" i="824"/>
  <c r="P61" i="824"/>
  <c r="P68" i="824"/>
  <c r="P72" i="824"/>
  <c r="P79" i="824"/>
  <c r="P42" i="824"/>
  <c r="P77" i="824"/>
  <c r="P84" i="824"/>
  <c r="P34" i="824"/>
  <c r="P37" i="824"/>
  <c r="P40" i="824"/>
  <c r="P43" i="824"/>
  <c r="P46" i="824"/>
  <c r="P49" i="824"/>
  <c r="P51" i="824"/>
  <c r="P57" i="824"/>
  <c r="P62" i="824"/>
  <c r="P64" i="824"/>
  <c r="P70" i="824"/>
  <c r="P76" i="824"/>
  <c r="P81" i="824"/>
  <c r="P60" i="824"/>
  <c r="P66" i="824"/>
  <c r="P75" i="824"/>
  <c r="P80" i="824"/>
  <c r="P59" i="824"/>
  <c r="P82" i="824"/>
  <c r="P87" i="824"/>
  <c r="P55" i="824"/>
  <c r="P63" i="824"/>
  <c r="P65" i="824"/>
  <c r="P69" i="824"/>
  <c r="P73" i="824"/>
  <c r="P86" i="824"/>
  <c r="P54" i="824"/>
  <c r="P78" i="824"/>
  <c r="P85" i="824"/>
  <c r="P35" i="824"/>
  <c r="P38" i="824"/>
  <c r="P41" i="824"/>
  <c r="P47" i="824"/>
  <c r="P50" i="824"/>
  <c r="P53" i="824"/>
  <c r="P58" i="824"/>
  <c r="P67" i="824"/>
  <c r="P71" i="824"/>
  <c r="P74" i="824"/>
  <c r="P83" i="824"/>
  <c r="BW134" i="824"/>
  <c r="BE202" i="824"/>
  <c r="BE204" i="824"/>
  <c r="BT141" i="824"/>
  <c r="BE161" i="824"/>
  <c r="BE141" i="824"/>
  <c r="AZ129" i="824"/>
  <c r="BW158" i="824"/>
  <c r="BW204" i="824"/>
  <c r="BE146" i="824"/>
  <c r="BW138" i="824"/>
  <c r="BE147" i="824"/>
  <c r="BT147" i="824"/>
  <c r="BE138" i="824"/>
  <c r="BB158" i="824"/>
  <c r="AZ141" i="824"/>
  <c r="AZ138" i="824"/>
  <c r="BE158" i="824"/>
  <c r="BW132" i="824"/>
  <c r="BB138" i="824"/>
  <c r="BE129" i="824"/>
  <c r="BB145" i="824"/>
  <c r="BW147" i="824"/>
  <c r="BW153" i="824"/>
  <c r="BT143" i="824"/>
  <c r="BR145" i="824"/>
  <c r="AZ147" i="824"/>
  <c r="BB162" i="824"/>
  <c r="BW202" i="824"/>
  <c r="BE126" i="824"/>
  <c r="BE132" i="824"/>
  <c r="BR132" i="824"/>
  <c r="BT161" i="824"/>
  <c r="BW203" i="824"/>
  <c r="BW129" i="824"/>
  <c r="AZ132" i="824"/>
  <c r="BW139" i="824"/>
  <c r="BW140" i="824"/>
  <c r="BW141" i="824"/>
  <c r="BW150" i="824"/>
  <c r="BB151" i="824"/>
  <c r="BB140" i="824"/>
  <c r="BB132" i="824"/>
  <c r="AZ135" i="824"/>
  <c r="BR144" i="824"/>
  <c r="BR156" i="824"/>
  <c r="BR139" i="824"/>
  <c r="BE140" i="824"/>
  <c r="BR150" i="824"/>
  <c r="BT139" i="824"/>
  <c r="AZ162" i="824"/>
  <c r="BE131" i="824"/>
  <c r="BT137" i="824"/>
  <c r="AZ153" i="824"/>
  <c r="BB156" i="824"/>
  <c r="BT145" i="824"/>
  <c r="BE150" i="824"/>
  <c r="AZ156" i="824"/>
  <c r="BW157" i="824"/>
  <c r="BW133" i="824"/>
  <c r="BE137" i="824"/>
  <c r="BB134" i="824"/>
  <c r="BE144" i="824"/>
  <c r="AZ150" i="824"/>
  <c r="BR157" i="824"/>
  <c r="BE159" i="824"/>
  <c r="BW151" i="824"/>
  <c r="BW152" i="824"/>
  <c r="BT159" i="824"/>
  <c r="BW126" i="824"/>
  <c r="BW127" i="824"/>
  <c r="BW128" i="824"/>
  <c r="BR133" i="824"/>
  <c r="BE134" i="824"/>
  <c r="BE135" i="824"/>
  <c r="BB139" i="824"/>
  <c r="BB150" i="824"/>
  <c r="BB152" i="824"/>
  <c r="BE155" i="824"/>
  <c r="BT155" i="824"/>
  <c r="BT157" i="824"/>
  <c r="BE162" i="824"/>
  <c r="BE203" i="824"/>
  <c r="BB128" i="824"/>
  <c r="BT131" i="824"/>
  <c r="BT135" i="824"/>
  <c r="AZ144" i="824"/>
  <c r="AZ159" i="824"/>
  <c r="BW159" i="824"/>
  <c r="BR162" i="824"/>
  <c r="BT133" i="824"/>
  <c r="BR138" i="824"/>
  <c r="BW144" i="824"/>
  <c r="BW145" i="824"/>
  <c r="BW146" i="824"/>
  <c r="BR151" i="824"/>
  <c r="BE152" i="824"/>
  <c r="BE153" i="824"/>
  <c r="BB157" i="824"/>
  <c r="BW201" i="824"/>
  <c r="BE128" i="824"/>
  <c r="BW135" i="824"/>
  <c r="BB144" i="824"/>
  <c r="BB146" i="824"/>
  <c r="BT149" i="824"/>
  <c r="BT153" i="824"/>
  <c r="BT129" i="824"/>
  <c r="BB133" i="824"/>
  <c r="BT151" i="824"/>
  <c r="BE156" i="824"/>
  <c r="BD130" i="824"/>
  <c r="BE130" i="824"/>
  <c r="BB130" i="824"/>
  <c r="AZ130" i="824"/>
  <c r="BD154" i="824"/>
  <c r="BE154" i="824"/>
  <c r="BB154" i="824"/>
  <c r="AZ154" i="824"/>
  <c r="BW165" i="824"/>
  <c r="BV165" i="824"/>
  <c r="BR165" i="824"/>
  <c r="BT165" i="824"/>
  <c r="BE167" i="824"/>
  <c r="BD167" i="824"/>
  <c r="AZ167" i="824"/>
  <c r="BB167" i="824"/>
  <c r="BV148" i="824"/>
  <c r="BW148" i="824"/>
  <c r="BT148" i="824"/>
  <c r="BR148" i="824"/>
  <c r="BV142" i="824"/>
  <c r="BW142" i="824"/>
  <c r="BT142" i="824"/>
  <c r="BR142" i="824"/>
  <c r="BD148" i="824"/>
  <c r="BE148" i="824"/>
  <c r="BB148" i="824"/>
  <c r="AZ148" i="824"/>
  <c r="BW188" i="824"/>
  <c r="BV188" i="824"/>
  <c r="BT188" i="824"/>
  <c r="BR188" i="824"/>
  <c r="BV160" i="824"/>
  <c r="BW160" i="824"/>
  <c r="BT160" i="824"/>
  <c r="BR160" i="824"/>
  <c r="BE187" i="824"/>
  <c r="BD187" i="824"/>
  <c r="BB187" i="824"/>
  <c r="AZ187" i="824"/>
  <c r="BV136" i="824"/>
  <c r="BW136" i="824"/>
  <c r="BT136" i="824"/>
  <c r="BR136" i="824"/>
  <c r="BD142" i="824"/>
  <c r="BE142" i="824"/>
  <c r="BB142" i="824"/>
  <c r="AZ142" i="824"/>
  <c r="BW121" i="824"/>
  <c r="BE121" i="824"/>
  <c r="BV130" i="824"/>
  <c r="BW130" i="824"/>
  <c r="BT130" i="824"/>
  <c r="BR130" i="824"/>
  <c r="BV154" i="824"/>
  <c r="BW154" i="824"/>
  <c r="BT154" i="824"/>
  <c r="BR154" i="824"/>
  <c r="BD160" i="824"/>
  <c r="BE160" i="824"/>
  <c r="BB160" i="824"/>
  <c r="AZ160" i="824"/>
  <c r="BD136" i="824"/>
  <c r="BE136" i="824"/>
  <c r="BB136" i="824"/>
  <c r="AZ136" i="824"/>
  <c r="BW173" i="824"/>
  <c r="BV173" i="824"/>
  <c r="BR173" i="824"/>
  <c r="BT173" i="824"/>
  <c r="AZ133" i="824"/>
  <c r="AZ139" i="824"/>
  <c r="AZ145" i="824"/>
  <c r="AZ151" i="824"/>
  <c r="AZ157" i="824"/>
  <c r="BE164" i="824"/>
  <c r="BD164" i="824"/>
  <c r="AZ164" i="824"/>
  <c r="BW170" i="824"/>
  <c r="BV170" i="824"/>
  <c r="BR170" i="824"/>
  <c r="BT170" i="824"/>
  <c r="BR131" i="824"/>
  <c r="BT132" i="824"/>
  <c r="BR137" i="824"/>
  <c r="BT138" i="824"/>
  <c r="BR143" i="824"/>
  <c r="BT144" i="824"/>
  <c r="BR149" i="824"/>
  <c r="BT150" i="824"/>
  <c r="BR155" i="824"/>
  <c r="BT156" i="824"/>
  <c r="BR161" i="824"/>
  <c r="BT162" i="824"/>
  <c r="BW168" i="824"/>
  <c r="BV168" i="824"/>
  <c r="BR168" i="824"/>
  <c r="BT168" i="824"/>
  <c r="BE170" i="824"/>
  <c r="BD170" i="824"/>
  <c r="AZ170" i="824"/>
  <c r="BW176" i="824"/>
  <c r="BV176" i="824"/>
  <c r="BR176" i="824"/>
  <c r="BT176" i="824"/>
  <c r="BW179" i="824"/>
  <c r="BV179" i="824"/>
  <c r="BR179" i="824"/>
  <c r="BT179" i="824"/>
  <c r="BW182" i="824"/>
  <c r="BV182" i="824"/>
  <c r="BR182" i="824"/>
  <c r="BT182" i="824"/>
  <c r="BW185" i="824"/>
  <c r="BV185" i="824"/>
  <c r="BT185" i="824"/>
  <c r="BR185" i="824"/>
  <c r="BE127" i="824"/>
  <c r="AZ131" i="824"/>
  <c r="BE133" i="824"/>
  <c r="AZ137" i="824"/>
  <c r="BE139" i="824"/>
  <c r="AZ143" i="824"/>
  <c r="BE145" i="824"/>
  <c r="AZ149" i="824"/>
  <c r="BE151" i="824"/>
  <c r="AZ155" i="824"/>
  <c r="BE157" i="824"/>
  <c r="AZ161" i="824"/>
  <c r="BW163" i="824"/>
  <c r="BV163" i="824"/>
  <c r="BR163" i="824"/>
  <c r="BW171" i="824"/>
  <c r="BV171" i="824"/>
  <c r="BR171" i="824"/>
  <c r="BW156" i="824"/>
  <c r="BW162" i="824"/>
  <c r="BE165" i="824"/>
  <c r="BD165" i="824"/>
  <c r="AZ165" i="824"/>
  <c r="BB165" i="824"/>
  <c r="BE173" i="824"/>
  <c r="BD173" i="824"/>
  <c r="AZ173" i="824"/>
  <c r="BB173" i="824"/>
  <c r="BB131" i="824"/>
  <c r="BB137" i="824"/>
  <c r="BB143" i="824"/>
  <c r="BB149" i="824"/>
  <c r="BB155" i="824"/>
  <c r="BB161" i="824"/>
  <c r="BW166" i="824"/>
  <c r="BV166" i="824"/>
  <c r="BR166" i="824"/>
  <c r="BT166" i="824"/>
  <c r="BE168" i="824"/>
  <c r="BD168" i="824"/>
  <c r="AZ168" i="824"/>
  <c r="BW174" i="824"/>
  <c r="BV174" i="824"/>
  <c r="BR174" i="824"/>
  <c r="BT174" i="824"/>
  <c r="BR129" i="824"/>
  <c r="BW131" i="824"/>
  <c r="BR135" i="824"/>
  <c r="BW137" i="824"/>
  <c r="BR141" i="824"/>
  <c r="BW143" i="824"/>
  <c r="BR147" i="824"/>
  <c r="BW149" i="824"/>
  <c r="BR153" i="824"/>
  <c r="BW155" i="824"/>
  <c r="BR159" i="824"/>
  <c r="BW161" i="824"/>
  <c r="BW169" i="824"/>
  <c r="BV169" i="824"/>
  <c r="BR169" i="824"/>
  <c r="BW177" i="824"/>
  <c r="BV177" i="824"/>
  <c r="BR177" i="824"/>
  <c r="BT177" i="824"/>
  <c r="BW180" i="824"/>
  <c r="BV180" i="824"/>
  <c r="BR180" i="824"/>
  <c r="BT180" i="824"/>
  <c r="BW183" i="824"/>
  <c r="BV183" i="824"/>
  <c r="BR183" i="824"/>
  <c r="BT183" i="824"/>
  <c r="BE143" i="824"/>
  <c r="BE149" i="824"/>
  <c r="BE163" i="824"/>
  <c r="BD163" i="824"/>
  <c r="AZ163" i="824"/>
  <c r="BB163" i="824"/>
  <c r="BE171" i="824"/>
  <c r="BD171" i="824"/>
  <c r="AZ171" i="824"/>
  <c r="BB171" i="824"/>
  <c r="BE189" i="824"/>
  <c r="BD189" i="824"/>
  <c r="BB189" i="824"/>
  <c r="AZ189" i="824"/>
  <c r="BR128" i="824"/>
  <c r="BR134" i="824"/>
  <c r="BR140" i="824"/>
  <c r="BR146" i="824"/>
  <c r="BR152" i="824"/>
  <c r="BR158" i="824"/>
  <c r="BW164" i="824"/>
  <c r="BV164" i="824"/>
  <c r="BR164" i="824"/>
  <c r="BT164" i="824"/>
  <c r="BE166" i="824"/>
  <c r="BD166" i="824"/>
  <c r="AZ166" i="824"/>
  <c r="BW172" i="824"/>
  <c r="BV172" i="824"/>
  <c r="BR172" i="824"/>
  <c r="BT172" i="824"/>
  <c r="BW187" i="824"/>
  <c r="BV187" i="824"/>
  <c r="BT187" i="824"/>
  <c r="BR187" i="824"/>
  <c r="AZ128" i="824"/>
  <c r="BB129" i="824"/>
  <c r="AZ134" i="824"/>
  <c r="BB135" i="824"/>
  <c r="AZ140" i="824"/>
  <c r="BB141" i="824"/>
  <c r="AZ146" i="824"/>
  <c r="BB147" i="824"/>
  <c r="AZ152" i="824"/>
  <c r="BB153" i="824"/>
  <c r="AZ158" i="824"/>
  <c r="BB159" i="824"/>
  <c r="BW167" i="824"/>
  <c r="BV167" i="824"/>
  <c r="BR167" i="824"/>
  <c r="BW175" i="824"/>
  <c r="BV175" i="824"/>
  <c r="BR175" i="824"/>
  <c r="BE186" i="824"/>
  <c r="BD186" i="824"/>
  <c r="BB186" i="824"/>
  <c r="AZ186" i="824"/>
  <c r="BT128" i="824"/>
  <c r="BT134" i="824"/>
  <c r="BT140" i="824"/>
  <c r="BT146" i="824"/>
  <c r="BT152" i="824"/>
  <c r="BT158" i="824"/>
  <c r="BE169" i="824"/>
  <c r="BD169" i="824"/>
  <c r="AZ169" i="824"/>
  <c r="BB169" i="824"/>
  <c r="BW178" i="824"/>
  <c r="BV178" i="824"/>
  <c r="BR178" i="824"/>
  <c r="BT178" i="824"/>
  <c r="BW181" i="824"/>
  <c r="BV181" i="824"/>
  <c r="BR181" i="824"/>
  <c r="BT181" i="824"/>
  <c r="BW184" i="824"/>
  <c r="BV184" i="824"/>
  <c r="BT184" i="824"/>
  <c r="BR184" i="824"/>
  <c r="BE185" i="824"/>
  <c r="BD185" i="824"/>
  <c r="BB185" i="824"/>
  <c r="AZ185" i="824"/>
  <c r="BW186" i="824"/>
  <c r="BV186" i="824"/>
  <c r="BT186" i="824"/>
  <c r="BR186" i="824"/>
  <c r="BE188" i="824"/>
  <c r="BD188" i="824"/>
  <c r="BB188" i="824"/>
  <c r="AZ188" i="824"/>
  <c r="BW189" i="824"/>
  <c r="BV189" i="824"/>
  <c r="BT189" i="824"/>
  <c r="BR189" i="824"/>
  <c r="BE191" i="824"/>
  <c r="BD191" i="824"/>
  <c r="BB191" i="824"/>
  <c r="AZ191" i="824"/>
  <c r="BW192" i="824"/>
  <c r="BV192" i="824"/>
  <c r="BT192" i="824"/>
  <c r="BR192" i="824"/>
  <c r="BE194" i="824"/>
  <c r="BD194" i="824"/>
  <c r="BB194" i="824"/>
  <c r="AZ194" i="824"/>
  <c r="BW195" i="824"/>
  <c r="BV195" i="824"/>
  <c r="BT195" i="824"/>
  <c r="BR195" i="824"/>
  <c r="BE197" i="824"/>
  <c r="BD197" i="824"/>
  <c r="BB197" i="824"/>
  <c r="AZ197" i="824"/>
  <c r="BW198" i="824"/>
  <c r="BV198" i="824"/>
  <c r="BT198" i="824"/>
  <c r="BR198" i="824"/>
  <c r="BE200" i="824"/>
  <c r="BD200" i="824"/>
  <c r="BB200" i="824"/>
  <c r="AZ200" i="824"/>
  <c r="BE175" i="824"/>
  <c r="BD175" i="824"/>
  <c r="AZ175" i="824"/>
  <c r="BE177" i="824"/>
  <c r="BD177" i="824"/>
  <c r="AZ177" i="824"/>
  <c r="BE179" i="824"/>
  <c r="BD179" i="824"/>
  <c r="AZ179" i="824"/>
  <c r="BE181" i="824"/>
  <c r="BD181" i="824"/>
  <c r="AZ181" i="824"/>
  <c r="BE183" i="824"/>
  <c r="BD183" i="824"/>
  <c r="AZ183" i="824"/>
  <c r="BW190" i="824"/>
  <c r="BV190" i="824"/>
  <c r="BT190" i="824"/>
  <c r="BR190" i="824"/>
  <c r="BE192" i="824"/>
  <c r="BD192" i="824"/>
  <c r="BB192" i="824"/>
  <c r="AZ192" i="824"/>
  <c r="BW193" i="824"/>
  <c r="BV193" i="824"/>
  <c r="BT193" i="824"/>
  <c r="BR193" i="824"/>
  <c r="BE195" i="824"/>
  <c r="BD195" i="824"/>
  <c r="BB195" i="824"/>
  <c r="AZ195" i="824"/>
  <c r="BW196" i="824"/>
  <c r="BV196" i="824"/>
  <c r="BT196" i="824"/>
  <c r="BR196" i="824"/>
  <c r="BE198" i="824"/>
  <c r="BD198" i="824"/>
  <c r="BB198" i="824"/>
  <c r="AZ198" i="824"/>
  <c r="BW199" i="824"/>
  <c r="BV199" i="824"/>
  <c r="BT199" i="824"/>
  <c r="BR199" i="824"/>
  <c r="BE201" i="824"/>
  <c r="BD201" i="824"/>
  <c r="BB201" i="824"/>
  <c r="AZ201" i="824"/>
  <c r="BB175" i="824"/>
  <c r="BB177" i="824"/>
  <c r="BB179" i="824"/>
  <c r="BB181" i="824"/>
  <c r="BB183" i="824"/>
  <c r="BE172" i="824"/>
  <c r="BD172" i="824"/>
  <c r="AZ172" i="824"/>
  <c r="BE174" i="824"/>
  <c r="BD174" i="824"/>
  <c r="AZ174" i="824"/>
  <c r="BE176" i="824"/>
  <c r="BD176" i="824"/>
  <c r="AZ176" i="824"/>
  <c r="BE178" i="824"/>
  <c r="BD178" i="824"/>
  <c r="AZ178" i="824"/>
  <c r="BE180" i="824"/>
  <c r="BD180" i="824"/>
  <c r="AZ180" i="824"/>
  <c r="BE182" i="824"/>
  <c r="BD182" i="824"/>
  <c r="AZ182" i="824"/>
  <c r="BE184" i="824"/>
  <c r="BD184" i="824"/>
  <c r="AZ184" i="824"/>
  <c r="BE190" i="824"/>
  <c r="BD190" i="824"/>
  <c r="BB190" i="824"/>
  <c r="AZ190" i="824"/>
  <c r="BW191" i="824"/>
  <c r="BV191" i="824"/>
  <c r="BT191" i="824"/>
  <c r="BR191" i="824"/>
  <c r="BE193" i="824"/>
  <c r="BD193" i="824"/>
  <c r="BB193" i="824"/>
  <c r="AZ193" i="824"/>
  <c r="BW194" i="824"/>
  <c r="BV194" i="824"/>
  <c r="BT194" i="824"/>
  <c r="BR194" i="824"/>
  <c r="BE196" i="824"/>
  <c r="BD196" i="824"/>
  <c r="BB196" i="824"/>
  <c r="AZ196" i="824"/>
  <c r="BW197" i="824"/>
  <c r="BV197" i="824"/>
  <c r="BT197" i="824"/>
  <c r="BR197" i="824"/>
  <c r="BE199" i="824"/>
  <c r="BD199" i="824"/>
  <c r="BB199" i="824"/>
  <c r="AZ199" i="824"/>
  <c r="BW200" i="824"/>
  <c r="BV200" i="824"/>
  <c r="BT200" i="824"/>
  <c r="BR200" i="824"/>
  <c r="BR201" i="824"/>
  <c r="AZ202" i="824"/>
  <c r="BR202" i="824"/>
  <c r="AZ203" i="824"/>
  <c r="BR203" i="824"/>
  <c r="AZ204" i="824"/>
  <c r="BR204" i="824"/>
  <c r="BT201" i="824"/>
  <c r="BB202" i="824"/>
  <c r="BT202" i="824"/>
  <c r="BB203" i="824"/>
  <c r="BT203" i="824"/>
  <c r="BB204" i="824"/>
  <c r="BT204" i="824"/>
  <c r="BV201" i="824"/>
  <c r="BD202" i="824"/>
  <c r="BV202" i="824"/>
  <c r="BD203" i="824"/>
  <c r="BV203" i="824"/>
  <c r="BD204" i="824"/>
  <c r="BV204" i="824"/>
  <c r="AP8" i="824" l="1"/>
  <c r="Q28" i="824"/>
  <c r="Q27" i="824"/>
  <c r="Q26" i="824"/>
  <c r="Q25" i="824"/>
  <c r="Q24" i="824"/>
  <c r="Q23" i="824"/>
  <c r="Q22" i="824"/>
  <c r="Q21" i="824"/>
  <c r="Q20" i="824"/>
  <c r="Q19" i="824"/>
  <c r="Q18" i="824"/>
  <c r="Q17" i="824"/>
  <c r="Q16" i="824"/>
  <c r="Q15" i="824"/>
  <c r="Q14" i="824"/>
  <c r="Q13" i="824"/>
  <c r="Q12" i="824"/>
  <c r="Q11" i="824"/>
  <c r="Q10" i="824"/>
  <c r="Q9" i="824"/>
  <c r="Q8" i="824"/>
  <c r="F59" i="4"/>
  <c r="C60" i="4"/>
  <c r="BJ186" i="824"/>
  <c r="AR186" i="824"/>
  <c r="AR168" i="824"/>
  <c r="BJ168" i="824"/>
  <c r="AK87" i="824" a="1"/>
  <c r="V87" i="824" a="1"/>
  <c r="AI87" i="824" s="1"/>
  <c r="AJ87" i="824"/>
  <c r="AF87" i="824" s="1"/>
  <c r="V86" i="824" a="1"/>
  <c r="AI86" i="824" s="1"/>
  <c r="AK86" i="824" a="1"/>
  <c r="AJ86" i="824"/>
  <c r="AF86" i="824" s="1"/>
  <c r="V85" i="824" a="1"/>
  <c r="AI85" i="824" s="1"/>
  <c r="AK85" i="824" a="1"/>
  <c r="AJ85" i="824"/>
  <c r="AF85" i="824" s="1"/>
  <c r="V84" i="824" a="1"/>
  <c r="AI84" i="824" s="1"/>
  <c r="AK84" i="824" a="1"/>
  <c r="AJ84" i="824"/>
  <c r="AF84" i="824" s="1"/>
  <c r="AJ83" i="824"/>
  <c r="AF83" i="824" s="1"/>
  <c r="AK83" i="824" a="1"/>
  <c r="V83" i="824" a="1"/>
  <c r="AI83" i="824" s="1"/>
  <c r="V82" i="824" a="1"/>
  <c r="AI82" i="824" s="1"/>
  <c r="AK82" i="824" a="1"/>
  <c r="AJ82" i="824"/>
  <c r="AF82" i="824" s="1"/>
  <c r="V81" i="824" a="1"/>
  <c r="AI81" i="824" s="1"/>
  <c r="AK81" i="824" a="1"/>
  <c r="AJ81" i="824"/>
  <c r="AF81" i="824" s="1"/>
  <c r="AK80" i="824" a="1"/>
  <c r="V80" i="824" a="1"/>
  <c r="AI80" i="824" s="1"/>
  <c r="AJ80" i="824"/>
  <c r="AF80" i="824" s="1"/>
  <c r="AK79" i="824" a="1"/>
  <c r="V79" i="824" a="1"/>
  <c r="AI79" i="824" s="1"/>
  <c r="AJ79" i="824"/>
  <c r="AF79" i="824" s="1"/>
  <c r="AJ78" i="824"/>
  <c r="AF78" i="824" s="1"/>
  <c r="V78" i="824" a="1"/>
  <c r="AI78" i="824" s="1"/>
  <c r="AK78" i="824" a="1"/>
  <c r="AK77" i="824" a="1"/>
  <c r="V77" i="824" a="1"/>
  <c r="AI77" i="824" s="1"/>
  <c r="AJ77" i="824"/>
  <c r="AF77" i="824" s="1"/>
  <c r="V76" i="824" a="1"/>
  <c r="AI76" i="824" s="1"/>
  <c r="AK76" i="824" a="1"/>
  <c r="AJ76" i="824"/>
  <c r="AF76" i="824" s="1"/>
  <c r="V75" i="824" a="1"/>
  <c r="AI75" i="824" s="1"/>
  <c r="AK75" i="824" a="1"/>
  <c r="AJ75" i="824"/>
  <c r="AF75" i="824" s="1"/>
  <c r="V74" i="824" a="1"/>
  <c r="AI74" i="824" s="1"/>
  <c r="AK74" i="824" a="1"/>
  <c r="AJ74" i="824"/>
  <c r="AF74" i="824" s="1"/>
  <c r="V73" i="824" a="1"/>
  <c r="AI73" i="824" s="1"/>
  <c r="AK73" i="824" a="1"/>
  <c r="AJ73" i="824"/>
  <c r="AF73" i="824" s="1"/>
  <c r="AK72" i="824" a="1"/>
  <c r="V72" i="824" a="1"/>
  <c r="AI72" i="824" s="1"/>
  <c r="AJ72" i="824"/>
  <c r="AF72" i="824" s="1"/>
  <c r="V71" i="824" a="1"/>
  <c r="AI71" i="824" s="1"/>
  <c r="AK71" i="824" a="1"/>
  <c r="AJ71" i="824"/>
  <c r="AF71" i="824" s="1"/>
  <c r="AK70" i="824" a="1"/>
  <c r="V70" i="824" a="1"/>
  <c r="AI70" i="824" s="1"/>
  <c r="AJ70" i="824"/>
  <c r="AF70" i="824" s="1"/>
  <c r="AJ69" i="824"/>
  <c r="AF69" i="824" s="1"/>
  <c r="V69" i="824" a="1"/>
  <c r="AI69" i="824" s="1"/>
  <c r="AK69" i="824" a="1"/>
  <c r="V68" i="824" a="1"/>
  <c r="AI68" i="824" s="1"/>
  <c r="AK68" i="824" a="1"/>
  <c r="AJ68" i="824"/>
  <c r="AF68" i="824" s="1"/>
  <c r="AK67" i="824" a="1"/>
  <c r="V67" i="824" a="1"/>
  <c r="AI67" i="824" s="1"/>
  <c r="AJ67" i="824"/>
  <c r="AF67" i="824" s="1"/>
  <c r="AJ66" i="824"/>
  <c r="AF66" i="824" s="1"/>
  <c r="AK66" i="824" a="1"/>
  <c r="V66" i="824" a="1"/>
  <c r="AI66" i="824" s="1"/>
  <c r="V65" i="824" a="1"/>
  <c r="AI65" i="824" s="1"/>
  <c r="AK65" i="824" a="1"/>
  <c r="AJ65" i="824"/>
  <c r="AF65" i="824" s="1"/>
  <c r="AK64" i="824" a="1"/>
  <c r="V64" i="824" a="1"/>
  <c r="AI64" i="824" s="1"/>
  <c r="AJ64" i="824"/>
  <c r="AF64" i="824" s="1"/>
  <c r="V63" i="824" a="1"/>
  <c r="AI63" i="824" s="1"/>
  <c r="AK63" i="824" a="1"/>
  <c r="AJ63" i="824"/>
  <c r="AF63" i="824" s="1"/>
  <c r="AK62" i="824" a="1"/>
  <c r="V62" i="824" a="1"/>
  <c r="AI62" i="824" s="1"/>
  <c r="AJ62" i="824"/>
  <c r="AF62" i="824" s="1"/>
  <c r="AK61" i="824" a="1"/>
  <c r="V61" i="824" a="1"/>
  <c r="AI61" i="824" s="1"/>
  <c r="AJ61" i="824"/>
  <c r="AF61" i="824" s="1"/>
  <c r="V60" i="824" a="1"/>
  <c r="AI60" i="824" s="1"/>
  <c r="AK60" i="824" a="1"/>
  <c r="AJ60" i="824"/>
  <c r="AF60" i="824" s="1"/>
  <c r="V59" i="824" a="1"/>
  <c r="AI59" i="824" s="1"/>
  <c r="AK59" i="824" a="1"/>
  <c r="AJ59" i="824"/>
  <c r="AF59" i="824" s="1"/>
  <c r="AJ58" i="824"/>
  <c r="AF58" i="824" s="1"/>
  <c r="AK58" i="824" a="1"/>
  <c r="V58" i="824" a="1"/>
  <c r="AI58" i="824" s="1"/>
  <c r="V57" i="824" a="1"/>
  <c r="AI57" i="824" s="1"/>
  <c r="AK57" i="824" a="1"/>
  <c r="AJ57" i="824"/>
  <c r="AF57" i="824" s="1"/>
  <c r="AK56" i="824" a="1"/>
  <c r="V56" i="824" a="1"/>
  <c r="AI56" i="824" s="1"/>
  <c r="AJ56" i="824"/>
  <c r="AF56" i="824" s="1"/>
  <c r="AK55" i="824" a="1"/>
  <c r="V55" i="824" a="1"/>
  <c r="AI55" i="824" s="1"/>
  <c r="AJ55" i="824"/>
  <c r="AF55" i="824" s="1"/>
  <c r="V54" i="824" a="1"/>
  <c r="AI54" i="824" s="1"/>
  <c r="AK54" i="824" a="1"/>
  <c r="AJ54" i="824"/>
  <c r="AF54" i="824" s="1"/>
  <c r="AK53" i="824" a="1"/>
  <c r="V53" i="824" a="1"/>
  <c r="AI53" i="824" s="1"/>
  <c r="AJ53" i="824"/>
  <c r="AF53" i="824" s="1"/>
  <c r="V52" i="824" a="1"/>
  <c r="AI52" i="824" s="1"/>
  <c r="AK52" i="824" a="1"/>
  <c r="AJ52" i="824"/>
  <c r="AF52" i="824" s="1"/>
  <c r="V51" i="824" a="1"/>
  <c r="AI51" i="824" s="1"/>
  <c r="AK51" i="824" a="1"/>
  <c r="AJ51" i="824"/>
  <c r="AF51" i="824" s="1"/>
  <c r="V50" i="824" a="1"/>
  <c r="AI50" i="824" s="1"/>
  <c r="AK50" i="824" a="1"/>
  <c r="AJ50" i="824"/>
  <c r="AF50" i="824" s="1"/>
  <c r="V49" i="824" a="1"/>
  <c r="AI49" i="824" s="1"/>
  <c r="AK49" i="824" a="1"/>
  <c r="AJ49" i="824"/>
  <c r="AF49" i="824" s="1"/>
  <c r="V48" i="824" a="1"/>
  <c r="AI48" i="824" s="1"/>
  <c r="AK48" i="824" a="1"/>
  <c r="AJ48" i="824"/>
  <c r="AF48" i="824" s="1"/>
  <c r="V47" i="824" a="1"/>
  <c r="AI47" i="824" s="1"/>
  <c r="AK47" i="824" a="1"/>
  <c r="AJ47" i="824"/>
  <c r="AF47" i="824" s="1"/>
  <c r="AK46" i="824" a="1"/>
  <c r="V46" i="824" a="1"/>
  <c r="AI46" i="824" s="1"/>
  <c r="AJ46" i="824"/>
  <c r="AF46" i="824" s="1"/>
  <c r="AK45" i="824" a="1"/>
  <c r="V45" i="824" a="1"/>
  <c r="AI45" i="824" s="1"/>
  <c r="AJ45" i="824"/>
  <c r="AF45" i="824" s="1"/>
  <c r="AK44" i="824" a="1"/>
  <c r="V44" i="824" a="1"/>
  <c r="AI44" i="824" s="1"/>
  <c r="AJ44" i="824"/>
  <c r="AF44" i="824" s="1"/>
  <c r="AK43" i="824" a="1"/>
  <c r="V43" i="824" a="1"/>
  <c r="AI43" i="824" s="1"/>
  <c r="AJ43" i="824"/>
  <c r="AF43" i="824" s="1"/>
  <c r="AK42" i="824" a="1"/>
  <c r="V42" i="824" a="1"/>
  <c r="AI42" i="824" s="1"/>
  <c r="AJ42" i="824"/>
  <c r="AF42" i="824" s="1"/>
  <c r="AK41" i="824" a="1"/>
  <c r="V41" i="824" a="1"/>
  <c r="AI41" i="824" s="1"/>
  <c r="AJ41" i="824"/>
  <c r="AF41" i="824" s="1"/>
  <c r="V40" i="824" a="1"/>
  <c r="AI40" i="824" s="1"/>
  <c r="AK40" i="824" a="1"/>
  <c r="AJ40" i="824"/>
  <c r="AF40" i="824" s="1"/>
  <c r="AK39" i="824" a="1"/>
  <c r="V39" i="824" a="1"/>
  <c r="AI39" i="824" s="1"/>
  <c r="AJ39" i="824"/>
  <c r="AF39" i="824" s="1"/>
  <c r="V38" i="824" a="1"/>
  <c r="AI38" i="824" s="1"/>
  <c r="AK38" i="824" a="1"/>
  <c r="AJ38" i="824"/>
  <c r="AF38" i="824" s="1"/>
  <c r="V37" i="824" a="1"/>
  <c r="AI37" i="824" s="1"/>
  <c r="AK37" i="824" a="1"/>
  <c r="AJ37" i="824"/>
  <c r="AF37" i="824" s="1"/>
  <c r="AK36" i="824" a="1"/>
  <c r="V36" i="824" a="1"/>
  <c r="AI36" i="824" s="1"/>
  <c r="AJ36" i="824"/>
  <c r="AF36" i="824" s="1"/>
  <c r="V35" i="824" a="1"/>
  <c r="AI35" i="824" s="1"/>
  <c r="AK35" i="824" a="1"/>
  <c r="AJ35" i="824"/>
  <c r="AF35" i="824" s="1"/>
  <c r="AK34" i="824" a="1"/>
  <c r="V34" i="824" a="1"/>
  <c r="AI34" i="824" s="1"/>
  <c r="AJ34" i="824"/>
  <c r="AF34" i="824" s="1"/>
  <c r="V33" i="824" a="1"/>
  <c r="AI33" i="824" s="1"/>
  <c r="AK33" i="824" a="1"/>
  <c r="AJ33" i="824"/>
  <c r="AF33" i="824" s="1"/>
  <c r="V32" i="824" a="1"/>
  <c r="AK32" i="824" a="1"/>
  <c r="AJ32" i="824"/>
  <c r="AF32" i="824" s="1"/>
  <c r="V31" i="824" a="1"/>
  <c r="AK31" i="824" a="1"/>
  <c r="AJ31" i="824"/>
  <c r="AF31" i="824" s="1"/>
  <c r="AK30" i="824" a="1"/>
  <c r="V30" i="824" a="1"/>
  <c r="AJ30" i="824"/>
  <c r="AF30" i="824" s="1"/>
  <c r="V29" i="824" a="1"/>
  <c r="AK29" i="824" a="1"/>
  <c r="AJ29" i="824"/>
  <c r="AF29" i="824" s="1"/>
  <c r="AK28" i="824" a="1"/>
  <c r="V28" i="824" a="1"/>
  <c r="AJ28" i="824"/>
  <c r="AF28" i="824" s="1"/>
  <c r="AK27" i="824" a="1"/>
  <c r="V27" i="824" a="1"/>
  <c r="AJ27" i="824"/>
  <c r="AF27" i="824" s="1"/>
  <c r="V26" i="824" a="1"/>
  <c r="AK26" i="824" a="1"/>
  <c r="AJ26" i="824"/>
  <c r="AF26" i="824" s="1"/>
  <c r="AK25" i="824" a="1"/>
  <c r="V25" i="824" a="1"/>
  <c r="AJ25" i="824"/>
  <c r="AF25" i="824" s="1"/>
  <c r="AK24" i="824" a="1"/>
  <c r="V24" i="824" a="1"/>
  <c r="AJ24" i="824"/>
  <c r="AF24" i="824" s="1"/>
  <c r="V23" i="824" a="1"/>
  <c r="AK23" i="824" a="1"/>
  <c r="AJ23" i="824"/>
  <c r="AF23" i="824" s="1"/>
  <c r="AK22" i="824" a="1"/>
  <c r="V22" i="824" a="1"/>
  <c r="AJ22" i="824"/>
  <c r="AF22" i="824" s="1"/>
  <c r="AK21" i="824" a="1"/>
  <c r="V21" i="824" a="1"/>
  <c r="AJ21" i="824"/>
  <c r="AF21" i="824" s="1"/>
  <c r="AK20" i="824" a="1"/>
  <c r="V20" i="824" a="1"/>
  <c r="AJ20" i="824"/>
  <c r="AF20" i="824" s="1"/>
  <c r="V19" i="824" a="1"/>
  <c r="AK19" i="824" a="1"/>
  <c r="AJ19" i="824"/>
  <c r="AF19" i="824" s="1"/>
  <c r="AK18" i="824" a="1"/>
  <c r="V18" i="824" a="1"/>
  <c r="AJ18" i="824"/>
  <c r="AF18" i="824" s="1"/>
  <c r="AR204" i="824"/>
  <c r="BJ204" i="824"/>
  <c r="AR202" i="824"/>
  <c r="BJ202" i="824"/>
  <c r="AR200" i="824"/>
  <c r="BJ200" i="824"/>
  <c r="BJ198" i="824"/>
  <c r="AR198" i="824"/>
  <c r="BJ197" i="824"/>
  <c r="AR197" i="824"/>
  <c r="AR196" i="824"/>
  <c r="BJ196" i="824"/>
  <c r="BJ194" i="824"/>
  <c r="AR194" i="824"/>
  <c r="BJ192" i="824"/>
  <c r="AR192" i="824"/>
  <c r="BJ190" i="824"/>
  <c r="AR190" i="824"/>
  <c r="BJ188" i="824"/>
  <c r="AR188" i="824"/>
  <c r="BJ184" i="824"/>
  <c r="AR184" i="824"/>
  <c r="AR182" i="824"/>
  <c r="BJ182" i="824"/>
  <c r="AR180" i="824"/>
  <c r="BJ180" i="824"/>
  <c r="AR178" i="824"/>
  <c r="BJ178" i="824"/>
  <c r="BJ176" i="824"/>
  <c r="AR176" i="824"/>
  <c r="BJ174" i="824"/>
  <c r="AR174" i="824"/>
  <c r="AR172" i="824"/>
  <c r="BJ172" i="824"/>
  <c r="AR170" i="824"/>
  <c r="BJ170" i="824"/>
  <c r="AR166" i="824"/>
  <c r="BJ166" i="824"/>
  <c r="BJ165" i="824"/>
  <c r="AR165" i="824"/>
  <c r="AR164" i="824"/>
  <c r="BJ164" i="824"/>
  <c r="AR160" i="824"/>
  <c r="BJ160" i="824"/>
  <c r="AR158" i="824"/>
  <c r="BJ158" i="824"/>
  <c r="AR156" i="824"/>
  <c r="BJ156" i="824"/>
  <c r="BJ154" i="824"/>
  <c r="AR154" i="824"/>
  <c r="AR153" i="824"/>
  <c r="BJ153" i="824"/>
  <c r="AR152" i="824"/>
  <c r="BJ152" i="824"/>
  <c r="AR150" i="824"/>
  <c r="BJ150" i="824"/>
  <c r="AR148" i="824"/>
  <c r="BJ148" i="824"/>
  <c r="BJ146" i="824"/>
  <c r="AR146" i="824"/>
  <c r="AR144" i="824"/>
  <c r="BJ144" i="824"/>
  <c r="AR142" i="824"/>
  <c r="BJ142" i="824"/>
  <c r="BJ141" i="824"/>
  <c r="AR141" i="824"/>
  <c r="AR140" i="824"/>
  <c r="BJ140" i="824"/>
  <c r="AR139" i="824"/>
  <c r="BJ139" i="824"/>
  <c r="AR137" i="824"/>
  <c r="BJ137" i="824"/>
  <c r="AR135" i="824"/>
  <c r="BJ135" i="824"/>
  <c r="AY16" i="849"/>
  <c r="AZ16" i="849" s="1"/>
  <c r="AY17" i="849"/>
  <c r="AZ17" i="849" s="1"/>
  <c r="AY15" i="849"/>
  <c r="AZ15" i="849" s="1"/>
  <c r="AY12" i="849"/>
  <c r="AZ12" i="849" s="1"/>
  <c r="AY14" i="849"/>
  <c r="AZ14" i="849" s="1"/>
  <c r="AY11" i="849"/>
  <c r="AZ11" i="849" s="1"/>
  <c r="AY13" i="849"/>
  <c r="AZ13" i="849" s="1"/>
  <c r="AY10" i="849"/>
  <c r="AZ10" i="849" s="1"/>
  <c r="Y88" i="849"/>
  <c r="BW173" i="825"/>
  <c r="CA173" i="825" s="1"/>
  <c r="BE173" i="825"/>
  <c r="BI173" i="825" s="1"/>
  <c r="Y56" i="825"/>
  <c r="BE172" i="825"/>
  <c r="BI172" i="825" s="1"/>
  <c r="BW172" i="825"/>
  <c r="CA172" i="825" s="1"/>
  <c r="Y55" i="825"/>
  <c r="BW171" i="825"/>
  <c r="CA171" i="825" s="1"/>
  <c r="Y54" i="825"/>
  <c r="BE171" i="825"/>
  <c r="BI171" i="825" s="1"/>
  <c r="BW170" i="825"/>
  <c r="CA170" i="825" s="1"/>
  <c r="Y53" i="825"/>
  <c r="BE170" i="825"/>
  <c r="BI170" i="825" s="1"/>
  <c r="BE169" i="825"/>
  <c r="BI169" i="825" s="1"/>
  <c r="BW169" i="825"/>
  <c r="CA169" i="825" s="1"/>
  <c r="Y52" i="825"/>
  <c r="BW168" i="825"/>
  <c r="CA168" i="825" s="1"/>
  <c r="BE168" i="825"/>
  <c r="BI168" i="825" s="1"/>
  <c r="Y51" i="825"/>
  <c r="BW167" i="825"/>
  <c r="CA167" i="825" s="1"/>
  <c r="Y50" i="825"/>
  <c r="BE167" i="825"/>
  <c r="BI167" i="825" s="1"/>
  <c r="Y49" i="825"/>
  <c r="BW166" i="825"/>
  <c r="CA166" i="825" s="1"/>
  <c r="BE166" i="825"/>
  <c r="BI166" i="825" s="1"/>
  <c r="Y48" i="825"/>
  <c r="BW165" i="825"/>
  <c r="CA165" i="825" s="1"/>
  <c r="BE165" i="825"/>
  <c r="BI165" i="825" s="1"/>
  <c r="BE164" i="825"/>
  <c r="BI164" i="825" s="1"/>
  <c r="BW164" i="825"/>
  <c r="CA164" i="825" s="1"/>
  <c r="Y47" i="825"/>
  <c r="BE163" i="825"/>
  <c r="BI163" i="825" s="1"/>
  <c r="Y46" i="825"/>
  <c r="BW163" i="825"/>
  <c r="CA163" i="825" s="1"/>
  <c r="BW162" i="825"/>
  <c r="CA162" i="825" s="1"/>
  <c r="Y45" i="825"/>
  <c r="BE162" i="825"/>
  <c r="BI162" i="825" s="1"/>
  <c r="BE148" i="825"/>
  <c r="BI148" i="825" s="1"/>
  <c r="Y31" i="825"/>
  <c r="BW148" i="825"/>
  <c r="CA148" i="825" s="1"/>
  <c r="BE147" i="825"/>
  <c r="BI147" i="825" s="1"/>
  <c r="BW147" i="825"/>
  <c r="CA147" i="825" s="1"/>
  <c r="Y30" i="825"/>
  <c r="BW145" i="825"/>
  <c r="CA145" i="825" s="1"/>
  <c r="Y28" i="825"/>
  <c r="BE145" i="825"/>
  <c r="BI145" i="825" s="1"/>
  <c r="BW144" i="825"/>
  <c r="CA144" i="825" s="1"/>
  <c r="Y27" i="825"/>
  <c r="BE144" i="825"/>
  <c r="BI144" i="825" s="1"/>
  <c r="BW143" i="825"/>
  <c r="CA143" i="825" s="1"/>
  <c r="BE143" i="825"/>
  <c r="BI143" i="825" s="1"/>
  <c r="Y26" i="825"/>
  <c r="BW142" i="825"/>
  <c r="CA142" i="825" s="1"/>
  <c r="BE142" i="825"/>
  <c r="BI142" i="825" s="1"/>
  <c r="Y25" i="825"/>
  <c r="BW141" i="825"/>
  <c r="CA141" i="825" s="1"/>
  <c r="Y24" i="825"/>
  <c r="BE141" i="825"/>
  <c r="BI141" i="825" s="1"/>
  <c r="Y23" i="825"/>
  <c r="BE140" i="825"/>
  <c r="BI140" i="825" s="1"/>
  <c r="BW140" i="825"/>
  <c r="CA140" i="825" s="1"/>
  <c r="BW139" i="825"/>
  <c r="CA139" i="825" s="1"/>
  <c r="Y22" i="825"/>
  <c r="BE139" i="825"/>
  <c r="BI139" i="825" s="1"/>
  <c r="BW138" i="825"/>
  <c r="CA138" i="825" s="1"/>
  <c r="BE138" i="825"/>
  <c r="BI138" i="825" s="1"/>
  <c r="Y21" i="825"/>
  <c r="V17" i="824" a="1"/>
  <c r="AK17" i="824" a="1"/>
  <c r="AJ17" i="824"/>
  <c r="AF17" i="824" s="1"/>
  <c r="AJ16" i="824"/>
  <c r="AF16" i="824" s="1"/>
  <c r="V16" i="824" a="1"/>
  <c r="AK16" i="824" a="1"/>
  <c r="AK15" i="824" a="1"/>
  <c r="AJ15" i="824"/>
  <c r="AF15" i="824" s="1"/>
  <c r="V15" i="824" a="1"/>
  <c r="AJ14" i="824"/>
  <c r="AF14" i="824" s="1"/>
  <c r="V14" i="824" a="1"/>
  <c r="AI14" i="824" s="1"/>
  <c r="AK14" i="824" a="1"/>
  <c r="AK13" i="824" a="1"/>
  <c r="V13" i="824" a="1"/>
  <c r="AI13" i="824" s="1"/>
  <c r="AJ13" i="824"/>
  <c r="AF13" i="824" s="1"/>
  <c r="V12" i="824" a="1"/>
  <c r="AI12" i="824" s="1"/>
  <c r="AK12" i="824" a="1"/>
  <c r="AJ12" i="824"/>
  <c r="AF12" i="824" s="1"/>
  <c r="V11" i="824" a="1"/>
  <c r="AI11" i="824" s="1"/>
  <c r="AK11" i="824" a="1"/>
  <c r="AJ11" i="824"/>
  <c r="AF11" i="824" s="1"/>
  <c r="V10" i="824" a="1"/>
  <c r="AI10" i="824" s="1"/>
  <c r="AK10" i="824" a="1"/>
  <c r="AJ10" i="824"/>
  <c r="AF10" i="824" s="1"/>
  <c r="V9" i="824" a="1"/>
  <c r="AI9" i="824" s="1"/>
  <c r="AK9" i="824" a="1"/>
  <c r="AJ9" i="824"/>
  <c r="AF9" i="824" s="1"/>
  <c r="AR133" i="824"/>
  <c r="BJ133" i="824"/>
  <c r="U11" i="825"/>
  <c r="Y11" i="825" s="1"/>
  <c r="BE136" i="825"/>
  <c r="BI136" i="825" s="1"/>
  <c r="BW136" i="825"/>
  <c r="CA136" i="825" s="1"/>
  <c r="Y19" i="825"/>
  <c r="BW135" i="825"/>
  <c r="CA135" i="825" s="1"/>
  <c r="BE135" i="825"/>
  <c r="BI135" i="825" s="1"/>
  <c r="Y18" i="825"/>
  <c r="BE132" i="825"/>
  <c r="BI132" i="825" s="1"/>
  <c r="BW132" i="825"/>
  <c r="CA132" i="825" s="1"/>
  <c r="Y15" i="825"/>
  <c r="BW133" i="825"/>
  <c r="CA133" i="825" s="1"/>
  <c r="BE133" i="825"/>
  <c r="BI133" i="825" s="1"/>
  <c r="Y16" i="825"/>
  <c r="Y17" i="825"/>
  <c r="BE134" i="825"/>
  <c r="BI134" i="825" s="1"/>
  <c r="BW134" i="825"/>
  <c r="CA134" i="825" s="1"/>
  <c r="Y20" i="825"/>
  <c r="BE137" i="825"/>
  <c r="BI137" i="825" s="1"/>
  <c r="BW137" i="825"/>
  <c r="CA137" i="825" s="1"/>
  <c r="Q13" i="834"/>
  <c r="Q12" i="834"/>
  <c r="P12" i="834"/>
  <c r="P13" i="834"/>
  <c r="O12" i="834"/>
  <c r="O13" i="834"/>
  <c r="AP8" i="825"/>
  <c r="Q11" i="834"/>
  <c r="Q10" i="834"/>
  <c r="U9" i="834"/>
  <c r="V18" i="834"/>
  <c r="V10" i="834"/>
  <c r="V14" i="834"/>
  <c r="V11" i="834"/>
  <c r="V16" i="834"/>
  <c r="V19" i="834"/>
  <c r="P11" i="834"/>
  <c r="V13" i="834"/>
  <c r="W13" i="834" s="1"/>
  <c r="V20" i="834"/>
  <c r="V12" i="834"/>
  <c r="W12" i="834" s="1"/>
  <c r="V15" i="834"/>
  <c r="V17" i="834"/>
  <c r="V21" i="834"/>
  <c r="O11" i="834"/>
  <c r="U10" i="825"/>
  <c r="Y10" i="825" s="1"/>
  <c r="BJ129" i="824"/>
  <c r="BW131" i="825"/>
  <c r="CA131" i="825" s="1"/>
  <c r="BE131" i="825"/>
  <c r="BI131" i="825" s="1"/>
  <c r="BW129" i="825"/>
  <c r="CA129" i="825" s="1"/>
  <c r="BE129" i="825"/>
  <c r="BI129" i="825" s="1"/>
  <c r="AF8" i="824"/>
  <c r="O10" i="834"/>
  <c r="AC88" i="825"/>
  <c r="BJ162" i="824"/>
  <c r="BC192" i="824"/>
  <c r="BU192" i="824"/>
  <c r="BC163" i="824"/>
  <c r="BU163" i="824"/>
  <c r="BU140" i="824"/>
  <c r="BC140" i="824"/>
  <c r="BU149" i="824"/>
  <c r="BC149" i="824"/>
  <c r="BC195" i="824"/>
  <c r="BU195" i="824"/>
  <c r="BC172" i="824"/>
  <c r="BU172" i="824"/>
  <c r="AR191" i="824"/>
  <c r="BJ191" i="824"/>
  <c r="AR143" i="824"/>
  <c r="BJ143" i="824"/>
  <c r="AR138" i="824"/>
  <c r="BJ138" i="824"/>
  <c r="AR201" i="824"/>
  <c r="BJ201" i="824"/>
  <c r="BU160" i="824"/>
  <c r="BC160" i="824"/>
  <c r="AR149" i="824"/>
  <c r="BJ149" i="824"/>
  <c r="BU157" i="824"/>
  <c r="BC157" i="824"/>
  <c r="BC198" i="824"/>
  <c r="BU198" i="824"/>
  <c r="BU169" i="824"/>
  <c r="BC169" i="824"/>
  <c r="BC146" i="824"/>
  <c r="BU146" i="824"/>
  <c r="BU201" i="824"/>
  <c r="BC201" i="824"/>
  <c r="BC178" i="824"/>
  <c r="BU178" i="824"/>
  <c r="AR187" i="824"/>
  <c r="BJ187" i="824"/>
  <c r="AR193" i="824"/>
  <c r="BJ193" i="824"/>
  <c r="BC180" i="824"/>
  <c r="BU180" i="824"/>
  <c r="AR147" i="824"/>
  <c r="BJ147" i="824"/>
  <c r="BC204" i="824"/>
  <c r="BU204" i="824"/>
  <c r="BC175" i="824"/>
  <c r="BU175" i="824"/>
  <c r="BU152" i="824"/>
  <c r="BC152" i="824"/>
  <c r="BU135" i="824"/>
  <c r="BC135" i="824"/>
  <c r="BU155" i="824"/>
  <c r="BC155" i="824"/>
  <c r="BC184" i="824"/>
  <c r="BU184" i="824"/>
  <c r="AR183" i="824"/>
  <c r="BJ183" i="824"/>
  <c r="AR189" i="824"/>
  <c r="BJ189" i="824"/>
  <c r="AR151" i="824"/>
  <c r="BJ151" i="824"/>
  <c r="BU161" i="824"/>
  <c r="BC161" i="824"/>
  <c r="BC138" i="824"/>
  <c r="BU138" i="824"/>
  <c r="BC167" i="824"/>
  <c r="BU167" i="824"/>
  <c r="BU181" i="824"/>
  <c r="BC181" i="824"/>
  <c r="BC158" i="824"/>
  <c r="BU158" i="824"/>
  <c r="BU141" i="824"/>
  <c r="BC141" i="824"/>
  <c r="BC203" i="824"/>
  <c r="BU203" i="824"/>
  <c r="BC190" i="824"/>
  <c r="BU190" i="824"/>
  <c r="AR179" i="824"/>
  <c r="BJ179" i="824"/>
  <c r="AR185" i="824"/>
  <c r="BJ185" i="824"/>
  <c r="AR199" i="824"/>
  <c r="BJ199" i="824"/>
  <c r="BC166" i="824"/>
  <c r="BU166" i="824"/>
  <c r="AR195" i="824"/>
  <c r="BJ195" i="824"/>
  <c r="BU144" i="824"/>
  <c r="BC144" i="824"/>
  <c r="BU197" i="824"/>
  <c r="BC197" i="824"/>
  <c r="BC187" i="824"/>
  <c r="BU187" i="824"/>
  <c r="BC164" i="824"/>
  <c r="BU164" i="824"/>
  <c r="BU147" i="824"/>
  <c r="BC147" i="824"/>
  <c r="BU143" i="824"/>
  <c r="BC143" i="824"/>
  <c r="BC196" i="824"/>
  <c r="BU196" i="824"/>
  <c r="AR175" i="824"/>
  <c r="BJ175" i="824"/>
  <c r="AR181" i="824"/>
  <c r="BJ181" i="824"/>
  <c r="BC183" i="824"/>
  <c r="BU183" i="824"/>
  <c r="BC186" i="824"/>
  <c r="BU186" i="824"/>
  <c r="BU189" i="824"/>
  <c r="BC189" i="824"/>
  <c r="AR145" i="824"/>
  <c r="BJ145" i="824"/>
  <c r="BC150" i="824"/>
  <c r="BU150" i="824"/>
  <c r="BU173" i="824"/>
  <c r="BC173" i="824"/>
  <c r="BU193" i="824"/>
  <c r="BC193" i="824"/>
  <c r="BC170" i="824"/>
  <c r="BU170" i="824"/>
  <c r="BU153" i="824"/>
  <c r="BC153" i="824"/>
  <c r="BC202" i="824"/>
  <c r="BU202" i="824"/>
  <c r="AR171" i="824"/>
  <c r="BJ171" i="824"/>
  <c r="AR177" i="824"/>
  <c r="BJ177" i="824"/>
  <c r="AR167" i="824"/>
  <c r="BJ167" i="824"/>
  <c r="AR173" i="824"/>
  <c r="BJ173" i="824"/>
  <c r="AR169" i="824"/>
  <c r="BJ169" i="824"/>
  <c r="BU151" i="824"/>
  <c r="BC151" i="824"/>
  <c r="BC176" i="824"/>
  <c r="BU176" i="824"/>
  <c r="BU136" i="824"/>
  <c r="BC136" i="824"/>
  <c r="BC162" i="824"/>
  <c r="BU162" i="824"/>
  <c r="BC179" i="824"/>
  <c r="BU179" i="824"/>
  <c r="BU165" i="824"/>
  <c r="BC165" i="824"/>
  <c r="AR163" i="824"/>
  <c r="BJ163" i="824"/>
  <c r="BC168" i="824"/>
  <c r="BU168" i="824"/>
  <c r="BU139" i="824"/>
  <c r="BC139" i="824"/>
  <c r="BC191" i="824"/>
  <c r="BU191" i="824"/>
  <c r="BC188" i="824"/>
  <c r="BU188" i="824"/>
  <c r="BC171" i="824"/>
  <c r="BU171" i="824"/>
  <c r="BU148" i="824"/>
  <c r="BC148" i="824"/>
  <c r="AR159" i="824"/>
  <c r="BJ159" i="824"/>
  <c r="AR161" i="824"/>
  <c r="BJ161" i="824"/>
  <c r="AR136" i="824"/>
  <c r="BJ136" i="824"/>
  <c r="BC200" i="824"/>
  <c r="BU200" i="824"/>
  <c r="BU156" i="824"/>
  <c r="BC156" i="824"/>
  <c r="BC199" i="824"/>
  <c r="BU199" i="824"/>
  <c r="BC159" i="824"/>
  <c r="BU159" i="824"/>
  <c r="BU137" i="824"/>
  <c r="BC137" i="824"/>
  <c r="BC182" i="824"/>
  <c r="BU182" i="824"/>
  <c r="BC142" i="824"/>
  <c r="BU142" i="824"/>
  <c r="BC174" i="824"/>
  <c r="BU174" i="824"/>
  <c r="BU145" i="824"/>
  <c r="BC145" i="824"/>
  <c r="BU185" i="824"/>
  <c r="BC185" i="824"/>
  <c r="BC194" i="824"/>
  <c r="BU194" i="824"/>
  <c r="BU177" i="824"/>
  <c r="BC177" i="824"/>
  <c r="BC154" i="824"/>
  <c r="BU154" i="824"/>
  <c r="AR203" i="824"/>
  <c r="BJ203" i="824"/>
  <c r="AR155" i="824"/>
  <c r="BJ155" i="824"/>
  <c r="AR157" i="824"/>
  <c r="BJ157" i="824"/>
  <c r="BC133" i="824"/>
  <c r="BU133" i="824"/>
  <c r="BU134" i="824"/>
  <c r="BC134" i="824"/>
  <c r="AR127" i="824"/>
  <c r="BJ127" i="824"/>
  <c r="AR131" i="824"/>
  <c r="BJ131" i="824"/>
  <c r="BC129" i="824"/>
  <c r="BU129" i="824"/>
  <c r="BU128" i="824"/>
  <c r="BC128" i="824"/>
  <c r="BU132" i="824"/>
  <c r="BC132" i="824"/>
  <c r="AR134" i="824"/>
  <c r="BJ134" i="824"/>
  <c r="AR130" i="824"/>
  <c r="BJ130" i="824"/>
  <c r="AR126" i="824"/>
  <c r="BJ126" i="824"/>
  <c r="BC130" i="824"/>
  <c r="BU130" i="824"/>
  <c r="AR132" i="824"/>
  <c r="BJ132" i="824"/>
  <c r="BC131" i="824"/>
  <c r="BU131" i="824"/>
  <c r="AR128" i="824"/>
  <c r="BJ128" i="824"/>
  <c r="AR125" i="824"/>
  <c r="Y91" i="805"/>
  <c r="V8" i="824" a="1"/>
  <c r="P8" i="824" s="1"/>
  <c r="AK8" i="824" a="1"/>
  <c r="F60" i="4" l="1"/>
  <c r="C61" i="4"/>
  <c r="C62" i="4" s="1"/>
  <c r="C63" i="4" s="1"/>
  <c r="C64" i="4" s="1"/>
  <c r="C65" i="4" s="1"/>
  <c r="C66" i="4" s="1"/>
  <c r="C67" i="4" s="1"/>
  <c r="C68" i="4" s="1"/>
  <c r="C69" i="4" s="1"/>
  <c r="C70" i="4" s="1"/>
  <c r="C71" i="4" s="1"/>
  <c r="C72" i="4" s="1"/>
  <c r="C73" i="4" s="1"/>
  <c r="C74" i="4" s="1"/>
  <c r="C75" i="4" s="1"/>
  <c r="C76" i="4" s="1"/>
  <c r="C77" i="4" s="1"/>
  <c r="C78" i="4" s="1"/>
  <c r="C79" i="4" s="1"/>
  <c r="C80" i="4" s="1"/>
  <c r="C81" i="4" s="1"/>
  <c r="C82" i="4" s="1"/>
  <c r="C83" i="4" s="1"/>
  <c r="C84" i="4" s="1"/>
  <c r="AI32" i="824"/>
  <c r="P32" i="824"/>
  <c r="AI31" i="824"/>
  <c r="P31" i="824"/>
  <c r="AI30" i="824"/>
  <c r="P30" i="824"/>
  <c r="AI29" i="824"/>
  <c r="P29" i="824"/>
  <c r="AI28" i="824"/>
  <c r="P28" i="824"/>
  <c r="AI27" i="824"/>
  <c r="P27" i="824"/>
  <c r="AI26" i="824"/>
  <c r="P26" i="824"/>
  <c r="AI25" i="824"/>
  <c r="P25" i="824"/>
  <c r="AI24" i="824"/>
  <c r="P24" i="824"/>
  <c r="AI23" i="824"/>
  <c r="P23" i="824"/>
  <c r="AI22" i="824"/>
  <c r="P22" i="824"/>
  <c r="AI21" i="824"/>
  <c r="P21" i="824"/>
  <c r="AI20" i="824"/>
  <c r="P20" i="824"/>
  <c r="AI19" i="824"/>
  <c r="P19" i="824"/>
  <c r="AI18" i="824"/>
  <c r="P18" i="824"/>
  <c r="X63" i="824"/>
  <c r="X33" i="824"/>
  <c r="X75" i="824"/>
  <c r="X74" i="824"/>
  <c r="X73" i="824"/>
  <c r="X72" i="824"/>
  <c r="X51" i="824"/>
  <c r="X35" i="824"/>
  <c r="X62" i="824"/>
  <c r="X61" i="824"/>
  <c r="X60" i="824"/>
  <c r="X59" i="824"/>
  <c r="X50" i="824"/>
  <c r="X49" i="824"/>
  <c r="X48" i="824"/>
  <c r="X47" i="824"/>
  <c r="X46" i="824"/>
  <c r="X38" i="824"/>
  <c r="X37" i="824"/>
  <c r="X39" i="824"/>
  <c r="X34" i="824"/>
  <c r="X36" i="824"/>
  <c r="X87" i="824"/>
  <c r="X84" i="824"/>
  <c r="X80" i="824"/>
  <c r="X42" i="824"/>
  <c r="X68" i="824"/>
  <c r="X58" i="824"/>
  <c r="X54" i="824"/>
  <c r="X53" i="824"/>
  <c r="X32" i="824"/>
  <c r="X45" i="824"/>
  <c r="X40" i="824"/>
  <c r="X30" i="824"/>
  <c r="X66" i="824"/>
  <c r="X65" i="824"/>
  <c r="X57" i="824"/>
  <c r="X56" i="824"/>
  <c r="X52" i="824"/>
  <c r="X69" i="824"/>
  <c r="X55" i="824"/>
  <c r="X31" i="824"/>
  <c r="X85" i="824"/>
  <c r="X83" i="824"/>
  <c r="X81" i="824"/>
  <c r="X44" i="824"/>
  <c r="X41" i="824"/>
  <c r="X86" i="824"/>
  <c r="X82" i="824"/>
  <c r="X78" i="824"/>
  <c r="X77" i="824"/>
  <c r="X76" i="824"/>
  <c r="X71" i="824"/>
  <c r="X70" i="824"/>
  <c r="X67" i="824"/>
  <c r="X79" i="824"/>
  <c r="X43" i="824"/>
  <c r="Y90" i="849"/>
  <c r="AI17" i="824"/>
  <c r="P17" i="824"/>
  <c r="AI16" i="824"/>
  <c r="AI15" i="824"/>
  <c r="P16" i="824"/>
  <c r="P15" i="824"/>
  <c r="P14" i="824"/>
  <c r="BW128" i="825"/>
  <c r="CA128" i="825" s="1"/>
  <c r="BE128" i="825"/>
  <c r="BI128" i="825" s="1"/>
  <c r="W11" i="834"/>
  <c r="W10" i="834"/>
  <c r="BW127" i="825"/>
  <c r="CA127" i="825" s="1"/>
  <c r="BE127" i="825"/>
  <c r="BI127" i="825" s="1"/>
  <c r="P13" i="824"/>
  <c r="P12" i="824"/>
  <c r="P11" i="824"/>
  <c r="BW130" i="825"/>
  <c r="CA130" i="825" s="1"/>
  <c r="BE130" i="825"/>
  <c r="BI130" i="825" s="1"/>
  <c r="P10" i="824"/>
  <c r="P9" i="824"/>
  <c r="D19" i="805"/>
  <c r="Y92" i="849" l="1"/>
  <c r="BU125" i="824"/>
  <c r="BC125" i="824"/>
  <c r="I9" i="805"/>
  <c r="I10" i="805"/>
  <c r="I11" i="805"/>
  <c r="I12" i="805"/>
  <c r="I13" i="805"/>
  <c r="I14" i="805"/>
  <c r="I15" i="805"/>
  <c r="I16" i="805"/>
  <c r="I17" i="805"/>
  <c r="I18" i="805"/>
  <c r="I19" i="805"/>
  <c r="I20" i="805"/>
  <c r="I21" i="805"/>
  <c r="I22" i="805"/>
  <c r="I23" i="805"/>
  <c r="I24" i="805"/>
  <c r="I25" i="805"/>
  <c r="I26" i="805"/>
  <c r="I27" i="805"/>
  <c r="I28" i="805"/>
  <c r="I29" i="805"/>
  <c r="I30" i="805"/>
  <c r="I31" i="805"/>
  <c r="I32" i="805"/>
  <c r="I33" i="805"/>
  <c r="I34" i="805"/>
  <c r="I35" i="805"/>
  <c r="I36" i="805"/>
  <c r="I37" i="805"/>
  <c r="I38" i="805"/>
  <c r="I39" i="805"/>
  <c r="I40" i="805"/>
  <c r="I41" i="805"/>
  <c r="I42" i="805"/>
  <c r="I43" i="805"/>
  <c r="I44" i="805"/>
  <c r="I45" i="805"/>
  <c r="I46" i="805"/>
  <c r="I47" i="805"/>
  <c r="I48" i="805"/>
  <c r="I49" i="805"/>
  <c r="I50" i="805"/>
  <c r="I51" i="805"/>
  <c r="I52" i="805"/>
  <c r="I53" i="805"/>
  <c r="I54" i="805"/>
  <c r="I55" i="805"/>
  <c r="I56" i="805"/>
  <c r="I57" i="805"/>
  <c r="I58" i="805"/>
  <c r="I59" i="805"/>
  <c r="I60" i="805"/>
  <c r="I61" i="805"/>
  <c r="I62" i="805"/>
  <c r="I63" i="805"/>
  <c r="I64" i="805"/>
  <c r="I65" i="805"/>
  <c r="I66" i="805"/>
  <c r="I67" i="805"/>
  <c r="I68" i="805"/>
  <c r="I69" i="805"/>
  <c r="I70" i="805"/>
  <c r="I71" i="805"/>
  <c r="I72" i="805"/>
  <c r="I73" i="805"/>
  <c r="I74" i="805"/>
  <c r="I75" i="805"/>
  <c r="I76" i="805"/>
  <c r="I77" i="805"/>
  <c r="I78" i="805"/>
  <c r="I79" i="805"/>
  <c r="I80" i="805"/>
  <c r="I81" i="805"/>
  <c r="I82" i="805"/>
  <c r="I83" i="805"/>
  <c r="I84" i="805"/>
  <c r="I85" i="805"/>
  <c r="I86" i="805"/>
  <c r="I87" i="805"/>
  <c r="Z6" i="404"/>
  <c r="E8" i="771"/>
  <c r="E9" i="771"/>
  <c r="E10" i="771"/>
  <c r="E11" i="771"/>
  <c r="E12" i="771"/>
  <c r="E13" i="771"/>
  <c r="E14" i="771"/>
  <c r="E15" i="771"/>
  <c r="E16" i="771"/>
  <c r="E17" i="771"/>
  <c r="E18" i="771"/>
  <c r="E19" i="771"/>
  <c r="E20" i="771"/>
  <c r="E21" i="771"/>
  <c r="E22" i="771"/>
  <c r="E23" i="771"/>
  <c r="E24" i="771"/>
  <c r="E25" i="771"/>
  <c r="E26" i="771"/>
  <c r="E27" i="771"/>
  <c r="E28" i="771"/>
  <c r="E29" i="771"/>
  <c r="E30" i="771"/>
  <c r="E31" i="771"/>
  <c r="E32" i="771"/>
  <c r="E33" i="771"/>
  <c r="E34" i="771"/>
  <c r="E35" i="771"/>
  <c r="E36" i="771"/>
  <c r="E37" i="771"/>
  <c r="E38" i="771"/>
  <c r="E39" i="771"/>
  <c r="E40" i="771"/>
  <c r="E41" i="771"/>
  <c r="E42" i="771"/>
  <c r="E43" i="771"/>
  <c r="E44" i="771"/>
  <c r="E45" i="771"/>
  <c r="E46" i="771"/>
  <c r="E47" i="771"/>
  <c r="E48" i="771"/>
  <c r="E49" i="771"/>
  <c r="E50" i="771"/>
  <c r="E51" i="771"/>
  <c r="E52" i="771"/>
  <c r="E53" i="771"/>
  <c r="E54" i="771"/>
  <c r="E55" i="771"/>
  <c r="E56" i="771"/>
  <c r="E57" i="771"/>
  <c r="E58" i="771"/>
  <c r="E59" i="771"/>
  <c r="E60" i="771"/>
  <c r="E61" i="771"/>
  <c r="E62" i="771"/>
  <c r="E63" i="771"/>
  <c r="E64" i="771"/>
  <c r="E65" i="771"/>
  <c r="E66" i="771"/>
  <c r="E67" i="771"/>
  <c r="E68" i="771"/>
  <c r="E69" i="771"/>
  <c r="E70" i="771"/>
  <c r="E71" i="771"/>
  <c r="E72" i="771"/>
  <c r="E73" i="771"/>
  <c r="E74" i="771"/>
  <c r="E75" i="771"/>
  <c r="E76" i="771"/>
  <c r="E77" i="771"/>
  <c r="E78" i="771"/>
  <c r="E79" i="771"/>
  <c r="E80" i="771"/>
  <c r="E81" i="771"/>
  <c r="E82" i="771"/>
  <c r="E83" i="771"/>
  <c r="E84" i="771"/>
  <c r="E85" i="771"/>
  <c r="E86" i="771"/>
  <c r="E87" i="771"/>
  <c r="E88" i="771"/>
  <c r="E89" i="771"/>
  <c r="E90" i="771"/>
  <c r="E91" i="771"/>
  <c r="E92" i="771"/>
  <c r="E93" i="771"/>
  <c r="E94" i="771"/>
  <c r="E95" i="771"/>
  <c r="E96" i="771"/>
  <c r="E97" i="771"/>
  <c r="E98" i="771"/>
  <c r="E99" i="771"/>
  <c r="E100" i="771"/>
  <c r="E101" i="771"/>
  <c r="E102" i="771"/>
  <c r="E103" i="771"/>
  <c r="E104" i="771"/>
  <c r="E105" i="771"/>
  <c r="E106" i="771"/>
  <c r="E107" i="771"/>
  <c r="E108" i="771"/>
  <c r="E109" i="771"/>
  <c r="E110" i="771"/>
  <c r="E111" i="771"/>
  <c r="E112" i="771"/>
  <c r="E113" i="771"/>
  <c r="E114" i="771"/>
  <c r="E115" i="771"/>
  <c r="E116" i="771"/>
  <c r="E117" i="771"/>
  <c r="E118" i="771"/>
  <c r="E119" i="771"/>
  <c r="E120" i="771"/>
  <c r="E121" i="771"/>
  <c r="E122" i="771"/>
  <c r="E123" i="771"/>
  <c r="E124" i="771"/>
  <c r="E125" i="771"/>
  <c r="E126" i="771"/>
  <c r="E127" i="771"/>
  <c r="E128" i="771"/>
  <c r="E129" i="771"/>
  <c r="E130" i="771"/>
  <c r="E131" i="771"/>
  <c r="E132" i="771"/>
  <c r="E133" i="771"/>
  <c r="E134" i="771"/>
  <c r="E135" i="771"/>
  <c r="E136" i="771"/>
  <c r="E137" i="771"/>
  <c r="E138" i="771"/>
  <c r="E139" i="771"/>
  <c r="E140" i="771"/>
  <c r="E141" i="771"/>
  <c r="E142" i="771"/>
  <c r="E143" i="771"/>
  <c r="E144" i="771"/>
  <c r="E145" i="771"/>
  <c r="E146" i="771"/>
  <c r="E147" i="771"/>
  <c r="E148" i="771"/>
  <c r="E149" i="771"/>
  <c r="E150" i="771"/>
  <c r="E151" i="771"/>
  <c r="E152" i="771"/>
  <c r="E153" i="771"/>
  <c r="E154" i="771"/>
  <c r="E155" i="771"/>
  <c r="E156" i="771"/>
  <c r="E157" i="771"/>
  <c r="E158" i="771"/>
  <c r="E159" i="771"/>
  <c r="E160" i="771"/>
  <c r="E161" i="771"/>
  <c r="E162" i="771"/>
  <c r="E163" i="771"/>
  <c r="E164" i="771"/>
  <c r="E165" i="771"/>
  <c r="E166" i="771"/>
  <c r="E167" i="771"/>
  <c r="E168" i="771"/>
  <c r="E169" i="771"/>
  <c r="E170" i="771"/>
  <c r="E171" i="771"/>
  <c r="E172" i="771"/>
  <c r="E173" i="771"/>
  <c r="E174" i="771"/>
  <c r="E175" i="771"/>
  <c r="E176" i="771"/>
  <c r="E177" i="771"/>
  <c r="E178" i="771"/>
  <c r="E179" i="771"/>
  <c r="E180" i="771"/>
  <c r="E181" i="771"/>
  <c r="E182" i="771"/>
  <c r="E183" i="771"/>
  <c r="E184" i="771"/>
  <c r="E185" i="771"/>
  <c r="E186" i="771"/>
  <c r="E187" i="771"/>
  <c r="E188" i="771"/>
  <c r="E189" i="771"/>
  <c r="E190" i="771"/>
  <c r="E191" i="771"/>
  <c r="E192" i="771"/>
  <c r="E193" i="771"/>
  <c r="E194" i="771"/>
  <c r="E195" i="771"/>
  <c r="E196" i="771"/>
  <c r="E197" i="771"/>
  <c r="E198" i="771"/>
  <c r="E199" i="771"/>
  <c r="E200" i="771"/>
  <c r="E201" i="771"/>
  <c r="E202" i="771"/>
  <c r="E203" i="771"/>
  <c r="E204" i="771"/>
  <c r="E205" i="771"/>
  <c r="E206" i="771"/>
  <c r="E207" i="771"/>
  <c r="E208" i="771"/>
  <c r="E209" i="771"/>
  <c r="E210" i="771"/>
  <c r="E211" i="771"/>
  <c r="E212" i="771"/>
  <c r="E213" i="771"/>
  <c r="E214" i="771"/>
  <c r="E215" i="771"/>
  <c r="E216" i="771"/>
  <c r="E217" i="771"/>
  <c r="E218" i="771"/>
  <c r="E219" i="771"/>
  <c r="E220" i="771"/>
  <c r="E221" i="771"/>
  <c r="E222" i="771"/>
  <c r="E223" i="771"/>
  <c r="E224" i="771"/>
  <c r="E225" i="771"/>
  <c r="E226" i="771"/>
  <c r="E227" i="771"/>
  <c r="E228" i="771"/>
  <c r="E229" i="771"/>
  <c r="E230" i="771"/>
  <c r="E231" i="771"/>
  <c r="E232" i="771"/>
  <c r="E233" i="771"/>
  <c r="E234" i="771"/>
  <c r="E235" i="771"/>
  <c r="E236" i="771"/>
  <c r="E237" i="771"/>
  <c r="E238" i="771"/>
  <c r="E239" i="771"/>
  <c r="E240" i="771"/>
  <c r="E241" i="771"/>
  <c r="E242" i="771"/>
  <c r="E243" i="771"/>
  <c r="E244" i="771"/>
  <c r="E245" i="771"/>
  <c r="E246" i="771"/>
  <c r="E247" i="771"/>
  <c r="E248" i="771"/>
  <c r="E249" i="771"/>
  <c r="E250" i="771"/>
  <c r="E251" i="771"/>
  <c r="E252" i="771"/>
  <c r="E253" i="771"/>
  <c r="E254" i="771"/>
  <c r="E255" i="771"/>
  <c r="E256" i="771"/>
  <c r="E257" i="771"/>
  <c r="E258" i="771"/>
  <c r="E259" i="771"/>
  <c r="E260" i="771"/>
  <c r="E261" i="771"/>
  <c r="E262" i="771"/>
  <c r="E263" i="771"/>
  <c r="E264" i="771"/>
  <c r="E265" i="771"/>
  <c r="E266" i="771"/>
  <c r="E267" i="771"/>
  <c r="E268" i="771"/>
  <c r="E269" i="771"/>
  <c r="E270" i="771"/>
  <c r="E271" i="771"/>
  <c r="E272" i="771"/>
  <c r="E273" i="771"/>
  <c r="E274" i="771"/>
  <c r="E275" i="771"/>
  <c r="E276" i="771"/>
  <c r="E277" i="771"/>
  <c r="E278" i="771"/>
  <c r="E279" i="771"/>
  <c r="E280" i="771"/>
  <c r="E281" i="771"/>
  <c r="E282" i="771"/>
  <c r="E283" i="771"/>
  <c r="E284" i="771"/>
  <c r="E285" i="771"/>
  <c r="E286" i="771"/>
  <c r="E287" i="771"/>
  <c r="E288" i="771"/>
  <c r="E289" i="771"/>
  <c r="E290" i="771"/>
  <c r="E291" i="771"/>
  <c r="E292" i="771"/>
  <c r="E293" i="771"/>
  <c r="E294" i="771"/>
  <c r="E295" i="771"/>
  <c r="E296" i="771"/>
  <c r="E297" i="771"/>
  <c r="E298" i="771"/>
  <c r="E299" i="771"/>
  <c r="E300" i="771"/>
  <c r="E301" i="771"/>
  <c r="E302" i="771"/>
  <c r="E303" i="771"/>
  <c r="E304" i="771"/>
  <c r="E305" i="771"/>
  <c r="E306" i="771"/>
  <c r="E307" i="771"/>
  <c r="E308" i="771"/>
  <c r="E309" i="771"/>
  <c r="E310" i="771"/>
  <c r="E311" i="771"/>
  <c r="E312" i="771"/>
  <c r="E313" i="771"/>
  <c r="E314" i="771"/>
  <c r="E315" i="771"/>
  <c r="E316" i="771"/>
  <c r="E317" i="771"/>
  <c r="E318" i="771"/>
  <c r="E319" i="771"/>
  <c r="E320" i="771"/>
  <c r="E321" i="771"/>
  <c r="E322" i="771"/>
  <c r="E323" i="771"/>
  <c r="E324" i="771"/>
  <c r="E325" i="771"/>
  <c r="E326" i="771"/>
  <c r="E327" i="771"/>
  <c r="E328" i="771"/>
  <c r="E329" i="771"/>
  <c r="E330" i="771"/>
  <c r="E331" i="771"/>
  <c r="E332" i="771"/>
  <c r="E333" i="771"/>
  <c r="E334" i="771"/>
  <c r="E335" i="771"/>
  <c r="E336" i="771"/>
  <c r="E337" i="771"/>
  <c r="E338" i="771"/>
  <c r="E339" i="771"/>
  <c r="E340" i="771"/>
  <c r="E341" i="771"/>
  <c r="E342" i="771"/>
  <c r="E343" i="771"/>
  <c r="E344" i="771"/>
  <c r="E345" i="771"/>
  <c r="E346" i="771"/>
  <c r="E347" i="771"/>
  <c r="E348" i="771"/>
  <c r="E349" i="771"/>
  <c r="E350" i="771"/>
  <c r="E351" i="771"/>
  <c r="E352" i="771"/>
  <c r="E353" i="771"/>
  <c r="E354" i="771"/>
  <c r="E355" i="771"/>
  <c r="E356" i="771"/>
  <c r="E357" i="771"/>
  <c r="E358" i="771"/>
  <c r="E359" i="771"/>
  <c r="E360" i="771"/>
  <c r="E361" i="771"/>
  <c r="E362" i="771"/>
  <c r="E363" i="771"/>
  <c r="E7" i="771"/>
  <c r="V90" i="805"/>
  <c r="X5" i="404"/>
  <c r="F24" i="800"/>
  <c r="F25" i="800"/>
  <c r="F26" i="800"/>
  <c r="F27" i="800"/>
  <c r="F8" i="800"/>
  <c r="E309" i="229"/>
  <c r="E310" i="229"/>
  <c r="E311" i="229"/>
  <c r="E312" i="229"/>
  <c r="E313" i="229"/>
  <c r="E314" i="229"/>
  <c r="E315" i="229"/>
  <c r="E316" i="229"/>
  <c r="E317" i="229"/>
  <c r="E318" i="229"/>
  <c r="E319" i="229"/>
  <c r="E320" i="229"/>
  <c r="E308" i="229"/>
  <c r="E285" i="229"/>
  <c r="E286" i="229"/>
  <c r="E287" i="229"/>
  <c r="E288" i="229"/>
  <c r="E289" i="229"/>
  <c r="E290" i="229"/>
  <c r="E291" i="229"/>
  <c r="E292" i="229"/>
  <c r="E293" i="229"/>
  <c r="E294" i="229"/>
  <c r="E295" i="229"/>
  <c r="E296" i="229"/>
  <c r="E284" i="229"/>
  <c r="U24" i="4"/>
  <c r="J25" i="4"/>
  <c r="J26" i="4"/>
  <c r="J27" i="4"/>
  <c r="J28" i="4"/>
  <c r="J29" i="4"/>
  <c r="J30" i="4"/>
  <c r="J31" i="4"/>
  <c r="J32" i="4"/>
  <c r="J33" i="4"/>
  <c r="J34" i="4"/>
  <c r="J35" i="4"/>
  <c r="J24" i="4"/>
  <c r="D15" i="805"/>
  <c r="D13" i="805"/>
  <c r="AS8" i="805" s="1"/>
  <c r="E11" i="805"/>
  <c r="F8" i="786"/>
  <c r="F9" i="786"/>
  <c r="F10" i="786"/>
  <c r="F11" i="786"/>
  <c r="F12" i="786"/>
  <c r="F13" i="786"/>
  <c r="F14" i="786"/>
  <c r="F15" i="786"/>
  <c r="F16" i="786"/>
  <c r="F17" i="786"/>
  <c r="F18" i="786"/>
  <c r="F19" i="786"/>
  <c r="F7" i="786"/>
  <c r="AG7" i="781"/>
  <c r="J89" i="782"/>
  <c r="J104" i="782"/>
  <c r="J105" i="782"/>
  <c r="J106" i="782"/>
  <c r="J107" i="782"/>
  <c r="J108" i="782"/>
  <c r="J109" i="782"/>
  <c r="J110" i="782"/>
  <c r="J111" i="782"/>
  <c r="J112" i="782"/>
  <c r="J113" i="782"/>
  <c r="J114" i="782"/>
  <c r="J79" i="782"/>
  <c r="J80" i="782"/>
  <c r="J81" i="782"/>
  <c r="L8" i="784"/>
  <c r="O10" i="785"/>
  <c r="O11" i="785"/>
  <c r="O12" i="785"/>
  <c r="O13" i="785"/>
  <c r="O14" i="785"/>
  <c r="O15" i="785"/>
  <c r="O16" i="785"/>
  <c r="O17" i="785"/>
  <c r="O18" i="785"/>
  <c r="O19" i="785"/>
  <c r="O20" i="785"/>
  <c r="O21" i="785"/>
  <c r="O22" i="785"/>
  <c r="O8" i="785"/>
  <c r="D20" i="805"/>
  <c r="BB8" i="805"/>
  <c r="M9" i="813"/>
  <c r="M10" i="813"/>
  <c r="M11" i="813"/>
  <c r="M12" i="813"/>
  <c r="M13" i="813"/>
  <c r="M14" i="813"/>
  <c r="M15" i="813"/>
  <c r="M16" i="813"/>
  <c r="M17" i="813"/>
  <c r="M18" i="813"/>
  <c r="M8" i="813"/>
  <c r="O9" i="813"/>
  <c r="O10" i="813"/>
  <c r="O11" i="813"/>
  <c r="O12" i="813"/>
  <c r="O13" i="813"/>
  <c r="O14" i="813"/>
  <c r="O15" i="813"/>
  <c r="O16" i="813"/>
  <c r="O17" i="813"/>
  <c r="O18" i="813"/>
  <c r="O21" i="813"/>
  <c r="O22" i="813"/>
  <c r="O23" i="813"/>
  <c r="O24" i="813"/>
  <c r="O25" i="813"/>
  <c r="O26" i="813"/>
  <c r="O27" i="813"/>
  <c r="O28" i="813"/>
  <c r="O29" i="813"/>
  <c r="O30" i="813"/>
  <c r="O31" i="813"/>
  <c r="O8" i="813"/>
  <c r="L9" i="812"/>
  <c r="L10" i="812"/>
  <c r="L11" i="812"/>
  <c r="L12" i="812"/>
  <c r="L13" i="812"/>
  <c r="L14" i="812"/>
  <c r="L15" i="812"/>
  <c r="L16" i="812"/>
  <c r="L17" i="812"/>
  <c r="L18" i="812"/>
  <c r="L19" i="812"/>
  <c r="L20" i="812"/>
  <c r="L21" i="812"/>
  <c r="L22" i="812"/>
  <c r="L23" i="812"/>
  <c r="L24" i="812"/>
  <c r="L25" i="812"/>
  <c r="L26" i="812"/>
  <c r="L27" i="812"/>
  <c r="L28" i="812"/>
  <c r="L29" i="812"/>
  <c r="L30" i="812"/>
  <c r="L8" i="812"/>
  <c r="D9" i="812"/>
  <c r="D10" i="812"/>
  <c r="D11" i="812"/>
  <c r="D12" i="812"/>
  <c r="D13" i="812"/>
  <c r="D14" i="812"/>
  <c r="D15" i="812"/>
  <c r="D16" i="812"/>
  <c r="D17" i="812"/>
  <c r="D18" i="812"/>
  <c r="D19" i="812"/>
  <c r="D20" i="812"/>
  <c r="D21" i="812"/>
  <c r="D22" i="812"/>
  <c r="D23" i="812"/>
  <c r="D24" i="812"/>
  <c r="D25" i="812"/>
  <c r="D26" i="812"/>
  <c r="D27" i="812"/>
  <c r="D28" i="812"/>
  <c r="D29" i="812"/>
  <c r="D30" i="812"/>
  <c r="D8" i="812"/>
  <c r="I9" i="811"/>
  <c r="I10" i="811"/>
  <c r="I11" i="811"/>
  <c r="I12" i="811"/>
  <c r="I13" i="811"/>
  <c r="I14" i="811"/>
  <c r="I15" i="811"/>
  <c r="I16" i="811"/>
  <c r="I17" i="811"/>
  <c r="I18" i="811"/>
  <c r="I19" i="811"/>
  <c r="I20" i="811"/>
  <c r="I21" i="811"/>
  <c r="I22" i="811"/>
  <c r="I23" i="811"/>
  <c r="I24" i="811"/>
  <c r="I25" i="811"/>
  <c r="I26" i="811"/>
  <c r="I27" i="811"/>
  <c r="I28" i="811"/>
  <c r="I29" i="811"/>
  <c r="I30" i="811"/>
  <c r="I31" i="811"/>
  <c r="I32" i="811"/>
  <c r="I33" i="811"/>
  <c r="I8" i="811"/>
  <c r="G9" i="810"/>
  <c r="G10" i="810"/>
  <c r="G11" i="810"/>
  <c r="G12" i="810"/>
  <c r="G13" i="810"/>
  <c r="G14" i="810"/>
  <c r="G15" i="810"/>
  <c r="G16" i="810"/>
  <c r="G17" i="810"/>
  <c r="G18" i="810"/>
  <c r="G19" i="810"/>
  <c r="G20" i="810"/>
  <c r="G21" i="810"/>
  <c r="G22" i="810"/>
  <c r="G8" i="810"/>
  <c r="AF22" i="805" l="1"/>
  <c r="AS22" i="805"/>
  <c r="AF21" i="805"/>
  <c r="AS21" i="805"/>
  <c r="AS20" i="805"/>
  <c r="AF20" i="805"/>
  <c r="AF19" i="805"/>
  <c r="AS19" i="805"/>
  <c r="AF18" i="805"/>
  <c r="AS18" i="805"/>
  <c r="AS17" i="805"/>
  <c r="AF17" i="805"/>
  <c r="AF16" i="805"/>
  <c r="AS16" i="805"/>
  <c r="AS15" i="805"/>
  <c r="AF15" i="805"/>
  <c r="AF14" i="805"/>
  <c r="AS14" i="805"/>
  <c r="AF13" i="805"/>
  <c r="AS13" i="805"/>
  <c r="AS12" i="805"/>
  <c r="AF12" i="805"/>
  <c r="AS11" i="805"/>
  <c r="AF11" i="805"/>
  <c r="K10" i="805"/>
  <c r="AS10" i="805"/>
  <c r="AF10" i="805"/>
  <c r="AS9" i="805"/>
  <c r="AF9" i="805"/>
  <c r="AE25" i="805"/>
  <c r="AN25" i="805"/>
  <c r="AK25" i="805"/>
  <c r="AW25" i="805"/>
  <c r="AJ25" i="805" s="1"/>
  <c r="AI25" i="805"/>
  <c r="BA25" i="805"/>
  <c r="AV25" i="805" s="1"/>
  <c r="AH25" i="805" s="1"/>
  <c r="AG25" i="805"/>
  <c r="AL25" i="805"/>
  <c r="AM25" i="805"/>
  <c r="BB25" i="805"/>
  <c r="AG24" i="805"/>
  <c r="AN24" i="805"/>
  <c r="AE24" i="805"/>
  <c r="AL24" i="805"/>
  <c r="AW24" i="805"/>
  <c r="AJ24" i="805" s="1"/>
  <c r="AI24" i="805"/>
  <c r="AM24" i="805"/>
  <c r="BA24" i="805"/>
  <c r="AV24" i="805" s="1"/>
  <c r="AH24" i="805" s="1"/>
  <c r="AK24" i="805"/>
  <c r="BB24" i="805"/>
  <c r="AK23" i="805"/>
  <c r="AM23" i="805"/>
  <c r="BB23" i="805"/>
  <c r="AE23" i="805"/>
  <c r="AG23" i="805"/>
  <c r="AI23" i="805"/>
  <c r="AL23" i="805"/>
  <c r="AN23" i="805"/>
  <c r="AW23" i="805"/>
  <c r="AJ23" i="805" s="1"/>
  <c r="BA23" i="805"/>
  <c r="AV23" i="805" s="1"/>
  <c r="AH23" i="805" s="1"/>
  <c r="AG21" i="805"/>
  <c r="AM21" i="805"/>
  <c r="AE21" i="805"/>
  <c r="AK21" i="805"/>
  <c r="AN21" i="805"/>
  <c r="AW21" i="805"/>
  <c r="AJ21" i="805" s="1"/>
  <c r="BB21" i="805"/>
  <c r="AL21" i="805"/>
  <c r="BA21" i="805"/>
  <c r="AV21" i="805" s="1"/>
  <c r="AH21" i="805" s="1"/>
  <c r="AI21" i="805"/>
  <c r="AE22" i="805"/>
  <c r="AK22" i="805"/>
  <c r="BB22" i="805"/>
  <c r="AG22" i="805"/>
  <c r="AM22" i="805"/>
  <c r="AW22" i="805"/>
  <c r="AJ22" i="805" s="1"/>
  <c r="AI22" i="805"/>
  <c r="AL22" i="805"/>
  <c r="AN22" i="805"/>
  <c r="BA22" i="805"/>
  <c r="AV22" i="805" s="1"/>
  <c r="AH22" i="805" s="1"/>
  <c r="AK10" i="805"/>
  <c r="AL10" i="805"/>
  <c r="AN10" i="805"/>
  <c r="AM10" i="805"/>
  <c r="AI10" i="805"/>
  <c r="BB10" i="805"/>
  <c r="BA10" i="805"/>
  <c r="AV10" i="805" s="1"/>
  <c r="AH10" i="805" s="1"/>
  <c r="AW10" i="805"/>
  <c r="AJ10" i="805" s="1"/>
  <c r="AG10" i="805"/>
  <c r="AE10" i="805"/>
  <c r="AN11" i="805"/>
  <c r="BA11" i="805"/>
  <c r="AV11" i="805" s="1"/>
  <c r="AH11" i="805" s="1"/>
  <c r="AW11" i="805"/>
  <c r="AJ11" i="805" s="1"/>
  <c r="AE11" i="805"/>
  <c r="AL11" i="805"/>
  <c r="AK11" i="805"/>
  <c r="BB11" i="805"/>
  <c r="AG11" i="805"/>
  <c r="AM11" i="805"/>
  <c r="AI11" i="805"/>
  <c r="AE12" i="805"/>
  <c r="AM12" i="805"/>
  <c r="AG12" i="805"/>
  <c r="AL12" i="805"/>
  <c r="AN12" i="805"/>
  <c r="AW12" i="805"/>
  <c r="AJ12" i="805" s="1"/>
  <c r="AK12" i="805"/>
  <c r="AI12" i="805"/>
  <c r="BA12" i="805"/>
  <c r="AV12" i="805" s="1"/>
  <c r="AH12" i="805" s="1"/>
  <c r="BB12" i="805"/>
  <c r="AG13" i="805"/>
  <c r="AK13" i="805"/>
  <c r="AW13" i="805"/>
  <c r="AJ13" i="805" s="1"/>
  <c r="AM13" i="805"/>
  <c r="BA13" i="805"/>
  <c r="AV13" i="805" s="1"/>
  <c r="AH13" i="805" s="1"/>
  <c r="AL13" i="805"/>
  <c r="AI13" i="805"/>
  <c r="BB13" i="805"/>
  <c r="AE13" i="805"/>
  <c r="AN13" i="805"/>
  <c r="AL14" i="805"/>
  <c r="AW14" i="805"/>
  <c r="AJ14" i="805" s="1"/>
  <c r="AI14" i="805"/>
  <c r="AG14" i="805"/>
  <c r="AK14" i="805"/>
  <c r="BA14" i="805"/>
  <c r="AV14" i="805" s="1"/>
  <c r="AH14" i="805" s="1"/>
  <c r="AE14" i="805"/>
  <c r="AN14" i="805"/>
  <c r="AM14" i="805"/>
  <c r="BB14" i="805"/>
  <c r="AM15" i="805"/>
  <c r="BB15" i="805"/>
  <c r="AW15" i="805"/>
  <c r="AJ15" i="805" s="1"/>
  <c r="AN15" i="805"/>
  <c r="AI15" i="805"/>
  <c r="BA15" i="805"/>
  <c r="AV15" i="805" s="1"/>
  <c r="AH15" i="805" s="1"/>
  <c r="AE15" i="805"/>
  <c r="AK15" i="805"/>
  <c r="AG15" i="805"/>
  <c r="AL15" i="805"/>
  <c r="AW16" i="805"/>
  <c r="AJ16" i="805" s="1"/>
  <c r="AK16" i="805"/>
  <c r="BA16" i="805"/>
  <c r="AV16" i="805" s="1"/>
  <c r="AH16" i="805" s="1"/>
  <c r="AN16" i="805"/>
  <c r="AL16" i="805"/>
  <c r="AE16" i="805"/>
  <c r="AI16" i="805"/>
  <c r="BB16" i="805"/>
  <c r="AG16" i="805"/>
  <c r="AM16" i="805"/>
  <c r="AG17" i="805"/>
  <c r="AN17" i="805"/>
  <c r="AL17" i="805"/>
  <c r="AK17" i="805"/>
  <c r="AW17" i="805"/>
  <c r="AJ17" i="805" s="1"/>
  <c r="BB17" i="805"/>
  <c r="BA17" i="805"/>
  <c r="AV17" i="805" s="1"/>
  <c r="AH17" i="805" s="1"/>
  <c r="AM17" i="805"/>
  <c r="AE17" i="805"/>
  <c r="AI17" i="805"/>
  <c r="AM18" i="805"/>
  <c r="AE18" i="805"/>
  <c r="BB18" i="805"/>
  <c r="AK18" i="805"/>
  <c r="AW18" i="805"/>
  <c r="AJ18" i="805" s="1"/>
  <c r="AG18" i="805"/>
  <c r="AL18" i="805"/>
  <c r="BA18" i="805"/>
  <c r="AV18" i="805" s="1"/>
  <c r="AH18" i="805" s="1"/>
  <c r="AI18" i="805"/>
  <c r="AN18" i="805"/>
  <c r="AE19" i="805"/>
  <c r="BB19" i="805"/>
  <c r="AI19" i="805"/>
  <c r="BA19" i="805"/>
  <c r="AV19" i="805" s="1"/>
  <c r="AH19" i="805" s="1"/>
  <c r="AK19" i="805"/>
  <c r="AW19" i="805"/>
  <c r="AJ19" i="805" s="1"/>
  <c r="AL19" i="805"/>
  <c r="AG19" i="805"/>
  <c r="AN19" i="805"/>
  <c r="AM19" i="805"/>
  <c r="AM20" i="805"/>
  <c r="AN20" i="805"/>
  <c r="AK20" i="805"/>
  <c r="AE20" i="805"/>
  <c r="AW20" i="805"/>
  <c r="AJ20" i="805" s="1"/>
  <c r="AG20" i="805"/>
  <c r="AI20" i="805"/>
  <c r="AL20" i="805"/>
  <c r="BA20" i="805"/>
  <c r="AV20" i="805" s="1"/>
  <c r="AH20" i="805" s="1"/>
  <c r="BB20" i="805"/>
  <c r="BB9" i="805"/>
  <c r="AB9" i="805"/>
  <c r="AE9" i="805"/>
  <c r="AG9" i="805"/>
  <c r="AK9" i="805"/>
  <c r="AL9" i="805"/>
  <c r="AM9" i="805"/>
  <c r="AN9" i="805"/>
  <c r="AW9" i="805"/>
  <c r="AJ9" i="805" s="1"/>
  <c r="BA9" i="805"/>
  <c r="AV9" i="805" s="1"/>
  <c r="AH9" i="805" s="1"/>
  <c r="AI9" i="805"/>
  <c r="AB18" i="805"/>
  <c r="AB19" i="805"/>
  <c r="AB20" i="805"/>
  <c r="AB21" i="805"/>
  <c r="AB22" i="805"/>
  <c r="AB23" i="805"/>
  <c r="AB24" i="805"/>
  <c r="AB25" i="805"/>
  <c r="AB26" i="805"/>
  <c r="AH26" i="805"/>
  <c r="AB27" i="805"/>
  <c r="AH27" i="805"/>
  <c r="AB28" i="805"/>
  <c r="AH28" i="805"/>
  <c r="AH29" i="805"/>
  <c r="AB29" i="805"/>
  <c r="AB30" i="805"/>
  <c r="AH30" i="805"/>
  <c r="AH31" i="805"/>
  <c r="AB31" i="805"/>
  <c r="AB32" i="805"/>
  <c r="AH32" i="805"/>
  <c r="AH33" i="805"/>
  <c r="AB33" i="805"/>
  <c r="AB34" i="805"/>
  <c r="AH34" i="805"/>
  <c r="AH35" i="805"/>
  <c r="AB35" i="805"/>
  <c r="AB36" i="805"/>
  <c r="AH36" i="805"/>
  <c r="AB37" i="805"/>
  <c r="AH37" i="805"/>
  <c r="AB38" i="805"/>
  <c r="AH38" i="805"/>
  <c r="AH39" i="805"/>
  <c r="AB39" i="805"/>
  <c r="AB40" i="805"/>
  <c r="AH40" i="805"/>
  <c r="AH41" i="805"/>
  <c r="AB41" i="805"/>
  <c r="AH42" i="805"/>
  <c r="AB42" i="805"/>
  <c r="AH43" i="805"/>
  <c r="AB43" i="805"/>
  <c r="AH44" i="805"/>
  <c r="AB44" i="805"/>
  <c r="AB45" i="805"/>
  <c r="AH45" i="805"/>
  <c r="AB46" i="805"/>
  <c r="AH46" i="805"/>
  <c r="AB47" i="805"/>
  <c r="AH47" i="805"/>
  <c r="AH48" i="805"/>
  <c r="AB48" i="805"/>
  <c r="AH49" i="805"/>
  <c r="AB49" i="805"/>
  <c r="AB50" i="805"/>
  <c r="AH50" i="805"/>
  <c r="AB51" i="805"/>
  <c r="AH51" i="805"/>
  <c r="AB52" i="805"/>
  <c r="AH52" i="805"/>
  <c r="AH53" i="805"/>
  <c r="AB53" i="805"/>
  <c r="AB54" i="805"/>
  <c r="AH54" i="805"/>
  <c r="AB55" i="805"/>
  <c r="AH55" i="805"/>
  <c r="AB56" i="805"/>
  <c r="AH56" i="805"/>
  <c r="AH57" i="805"/>
  <c r="AB57" i="805"/>
  <c r="AH58" i="805"/>
  <c r="AB58" i="805"/>
  <c r="AH59" i="805"/>
  <c r="AB59" i="805"/>
  <c r="AB60" i="805"/>
  <c r="AH60" i="805"/>
  <c r="AH61" i="805"/>
  <c r="AB61" i="805"/>
  <c r="AB62" i="805"/>
  <c r="AH62" i="805"/>
  <c r="AB63" i="805"/>
  <c r="AH63" i="805"/>
  <c r="AB64" i="805"/>
  <c r="AH64" i="805"/>
  <c r="AB65" i="805"/>
  <c r="AH65" i="805"/>
  <c r="AH66" i="805"/>
  <c r="AB66" i="805"/>
  <c r="AB67" i="805"/>
  <c r="AH67" i="805"/>
  <c r="AH68" i="805"/>
  <c r="AB68" i="805"/>
  <c r="AH69" i="805"/>
  <c r="AB69" i="805"/>
  <c r="AH70" i="805"/>
  <c r="AB70" i="805"/>
  <c r="AB71" i="805"/>
  <c r="AH71" i="805"/>
  <c r="AH72" i="805"/>
  <c r="AB72" i="805"/>
  <c r="AH73" i="805"/>
  <c r="AB73" i="805"/>
  <c r="AH74" i="805"/>
  <c r="AB74" i="805"/>
  <c r="AH75" i="805"/>
  <c r="AB75" i="805"/>
  <c r="AH76" i="805"/>
  <c r="AB76" i="805"/>
  <c r="AH77" i="805"/>
  <c r="AB77" i="805"/>
  <c r="AB78" i="805"/>
  <c r="AH78" i="805"/>
  <c r="AH79" i="805"/>
  <c r="AB79" i="805"/>
  <c r="AH80" i="805"/>
  <c r="AB80" i="805"/>
  <c r="AB81" i="805"/>
  <c r="AH81" i="805"/>
  <c r="AH82" i="805"/>
  <c r="AB82" i="805"/>
  <c r="AB83" i="805"/>
  <c r="AH83" i="805"/>
  <c r="AB84" i="805"/>
  <c r="AH84" i="805"/>
  <c r="AB85" i="805"/>
  <c r="AH85" i="805"/>
  <c r="AH86" i="805"/>
  <c r="AB86" i="805"/>
  <c r="AB87" i="805"/>
  <c r="AH87" i="805"/>
  <c r="AW8" i="805"/>
  <c r="AJ8" i="805" s="1"/>
  <c r="BA8" i="805"/>
  <c r="AV8" i="805" s="1"/>
  <c r="AH8" i="805" s="1"/>
  <c r="AI8" i="805"/>
  <c r="AK8" i="805"/>
  <c r="AB10" i="805"/>
  <c r="K11" i="805"/>
  <c r="AB11" i="805"/>
  <c r="K12" i="805"/>
  <c r="AB12" i="805"/>
  <c r="K13" i="805"/>
  <c r="AB13" i="805"/>
  <c r="AB14" i="805"/>
  <c r="AB15" i="805"/>
  <c r="AB16" i="805"/>
  <c r="AB17" i="805"/>
  <c r="K16" i="805"/>
  <c r="K17" i="805"/>
  <c r="K18" i="805"/>
  <c r="K19" i="805"/>
  <c r="K20" i="805"/>
  <c r="K21" i="805"/>
  <c r="K22" i="805"/>
  <c r="K23" i="805"/>
  <c r="K24" i="805"/>
  <c r="K25" i="805"/>
  <c r="K15" i="805"/>
  <c r="K14" i="805"/>
  <c r="K9" i="805"/>
  <c r="AN8" i="805"/>
  <c r="AG8" i="805"/>
  <c r="AB8" i="805"/>
  <c r="U89" i="825"/>
  <c r="Y89" i="825"/>
  <c r="BU127" i="824"/>
  <c r="BC127" i="824"/>
  <c r="BC126" i="824"/>
  <c r="BU126" i="824"/>
  <c r="BA125" i="824"/>
  <c r="BE125" i="824" s="1"/>
  <c r="BE205" i="824" s="1"/>
  <c r="BS125" i="824"/>
  <c r="BW125" i="824" s="1"/>
  <c r="BW205" i="824" s="1"/>
  <c r="I34" i="811"/>
  <c r="I35" i="811"/>
  <c r="I36" i="811"/>
  <c r="I37" i="811"/>
  <c r="I38" i="811"/>
  <c r="I39" i="811"/>
  <c r="I40" i="811"/>
  <c r="I41" i="811"/>
  <c r="I42" i="811"/>
  <c r="I43" i="811"/>
  <c r="I44" i="811"/>
  <c r="I45" i="811"/>
  <c r="I46" i="811"/>
  <c r="I47" i="811"/>
  <c r="I48" i="811"/>
  <c r="I49" i="811"/>
  <c r="I50" i="811"/>
  <c r="H9" i="813"/>
  <c r="H10" i="813"/>
  <c r="H11" i="813"/>
  <c r="H12" i="813"/>
  <c r="H13" i="813"/>
  <c r="H14" i="813"/>
  <c r="H15" i="813"/>
  <c r="H16" i="813"/>
  <c r="H17" i="813"/>
  <c r="H18" i="813"/>
  <c r="H8" i="813"/>
  <c r="AT8" i="805" l="1"/>
  <c r="AO8" i="805" s="1"/>
  <c r="AA8" i="805" a="1"/>
  <c r="AT25" i="805"/>
  <c r="AO25" i="805"/>
  <c r="AD25" i="805" s="1"/>
  <c r="AU25" i="805" a="1"/>
  <c r="AA25" i="805" a="1"/>
  <c r="AT24" i="805"/>
  <c r="AO24" i="805"/>
  <c r="AU24" i="805" a="1"/>
  <c r="AA24" i="805" a="1"/>
  <c r="AD24" i="805" s="1"/>
  <c r="AT23" i="805"/>
  <c r="AO23" i="805" s="1"/>
  <c r="AU23" i="805" a="1"/>
  <c r="AA23" i="805" a="1"/>
  <c r="AT21" i="805"/>
  <c r="AO21" i="805" s="1"/>
  <c r="AT22" i="805"/>
  <c r="AO22" i="805" s="1"/>
  <c r="AU22" i="805" a="1"/>
  <c r="AA22" i="805" a="1"/>
  <c r="AT10" i="805"/>
  <c r="AO10" i="805" s="1"/>
  <c r="AA11" i="805" a="1"/>
  <c r="AT11" i="805"/>
  <c r="AO11" i="805" s="1"/>
  <c r="AT12" i="805"/>
  <c r="AO12" i="805" s="1"/>
  <c r="AT13" i="805"/>
  <c r="AO13" i="805" s="1"/>
  <c r="AA14" i="805" a="1"/>
  <c r="AT14" i="805"/>
  <c r="AO14" i="805" s="1"/>
  <c r="AA15" i="805" a="1"/>
  <c r="AT15" i="805"/>
  <c r="AO15" i="805" s="1"/>
  <c r="AA16" i="805" a="1"/>
  <c r="AT16" i="805"/>
  <c r="AO16" i="805" s="1"/>
  <c r="AA17" i="805" a="1"/>
  <c r="AT17" i="805"/>
  <c r="AO17" i="805" s="1"/>
  <c r="AT18" i="805"/>
  <c r="AO18" i="805" s="1"/>
  <c r="AA18" i="805" a="1"/>
  <c r="AT19" i="805"/>
  <c r="AO19" i="805" s="1"/>
  <c r="AA20" i="805" a="1"/>
  <c r="AT20" i="805"/>
  <c r="AO20" i="805" s="1"/>
  <c r="AA9" i="805" a="1"/>
  <c r="AT9" i="805"/>
  <c r="AO9" i="805" s="1"/>
  <c r="CA206" i="825"/>
  <c r="BI206" i="825"/>
  <c r="O23" i="785"/>
  <c r="O24" i="785"/>
  <c r="O25" i="785"/>
  <c r="O26" i="785"/>
  <c r="O27" i="785"/>
  <c r="O28" i="785"/>
  <c r="O29" i="785"/>
  <c r="O30" i="785"/>
  <c r="O31" i="785"/>
  <c r="O32" i="785"/>
  <c r="O33" i="785"/>
  <c r="O34" i="785"/>
  <c r="O35" i="785"/>
  <c r="O36" i="785"/>
  <c r="O37" i="785"/>
  <c r="O38" i="785"/>
  <c r="O39" i="785"/>
  <c r="O40" i="785"/>
  <c r="O41" i="785"/>
  <c r="O42" i="785"/>
  <c r="O43" i="785"/>
  <c r="O44" i="785"/>
  <c r="O45" i="785"/>
  <c r="O46" i="785"/>
  <c r="O47" i="785"/>
  <c r="O48" i="785"/>
  <c r="O49" i="785"/>
  <c r="O50" i="785"/>
  <c r="O51" i="785"/>
  <c r="O52" i="785"/>
  <c r="O53" i="785"/>
  <c r="O54" i="785"/>
  <c r="O55" i="785"/>
  <c r="O56" i="785"/>
  <c r="O57" i="785"/>
  <c r="O58" i="785"/>
  <c r="O59" i="785"/>
  <c r="O60" i="785"/>
  <c r="O61" i="785"/>
  <c r="O62" i="785"/>
  <c r="O63" i="785"/>
  <c r="O64" i="785"/>
  <c r="O65" i="785"/>
  <c r="O66" i="785"/>
  <c r="O67" i="785"/>
  <c r="O68" i="785"/>
  <c r="O69" i="785"/>
  <c r="O70" i="785"/>
  <c r="O71" i="785"/>
  <c r="O72" i="785"/>
  <c r="O73" i="785"/>
  <c r="O74" i="785"/>
  <c r="O75" i="785"/>
  <c r="O76" i="785"/>
  <c r="O77" i="785"/>
  <c r="O78" i="785"/>
  <c r="O79" i="785"/>
  <c r="O80" i="785"/>
  <c r="O81" i="785"/>
  <c r="O82" i="785"/>
  <c r="O83" i="785"/>
  <c r="O84" i="785"/>
  <c r="O85" i="785"/>
  <c r="O86" i="785"/>
  <c r="O87" i="785"/>
  <c r="O88" i="785"/>
  <c r="O89" i="785"/>
  <c r="O90" i="785"/>
  <c r="O91" i="785"/>
  <c r="O92" i="785"/>
  <c r="O93" i="785"/>
  <c r="O94" i="785"/>
  <c r="O95" i="785"/>
  <c r="O96" i="785"/>
  <c r="O97" i="785"/>
  <c r="O98" i="785"/>
  <c r="O99" i="785"/>
  <c r="O100" i="785"/>
  <c r="L20" i="784"/>
  <c r="L21" i="784"/>
  <c r="L22" i="784"/>
  <c r="L23" i="784"/>
  <c r="L24" i="784"/>
  <c r="L25" i="784"/>
  <c r="L26" i="784"/>
  <c r="L27" i="784"/>
  <c r="L28" i="784"/>
  <c r="H52" i="806"/>
  <c r="H51" i="806"/>
  <c r="H50" i="806"/>
  <c r="H49" i="806"/>
  <c r="H48" i="806"/>
  <c r="H47" i="806"/>
  <c r="H46" i="806"/>
  <c r="H45" i="806"/>
  <c r="H44" i="806"/>
  <c r="H43" i="806"/>
  <c r="H42" i="806"/>
  <c r="H41" i="806"/>
  <c r="H40" i="806"/>
  <c r="H39" i="806"/>
  <c r="H38" i="806"/>
  <c r="H37" i="806"/>
  <c r="H36" i="806"/>
  <c r="H35" i="806"/>
  <c r="H34" i="806"/>
  <c r="H33" i="806"/>
  <c r="H32" i="806"/>
  <c r="H31" i="806"/>
  <c r="H30" i="806"/>
  <c r="H29" i="806"/>
  <c r="H28" i="806"/>
  <c r="H27" i="806"/>
  <c r="H26" i="806"/>
  <c r="H25" i="806"/>
  <c r="H24" i="806"/>
  <c r="H23" i="806"/>
  <c r="H22" i="806"/>
  <c r="H21" i="806"/>
  <c r="H20" i="806"/>
  <c r="H19" i="806"/>
  <c r="H18" i="806"/>
  <c r="H17" i="806"/>
  <c r="H16" i="806"/>
  <c r="H15" i="806"/>
  <c r="H14" i="806"/>
  <c r="H13" i="806"/>
  <c r="H12" i="806"/>
  <c r="H11" i="806"/>
  <c r="H10" i="806"/>
  <c r="H9" i="806"/>
  <c r="H8" i="806"/>
  <c r="H7" i="806"/>
  <c r="AU8" i="805" a="1"/>
  <c r="AU15" i="805" a="1"/>
  <c r="AU20" i="805" a="1"/>
  <c r="AU14" i="805" a="1"/>
  <c r="AU12" i="805" a="1"/>
  <c r="AA10" i="805" a="1"/>
  <c r="AA13" i="805" a="1"/>
  <c r="AU10" i="805" a="1"/>
  <c r="AU18" i="805" a="1"/>
  <c r="AU9" i="805" a="1"/>
  <c r="AU11" i="805" a="1"/>
  <c r="AU19" i="805" a="1"/>
  <c r="AU17" i="805" a="1"/>
  <c r="AA21" i="805" a="1"/>
  <c r="AU13" i="805" a="1"/>
  <c r="AA19" i="805" a="1"/>
  <c r="AU21" i="805" a="1"/>
  <c r="AU16" i="805" a="1"/>
  <c r="AA12" i="805" a="1"/>
  <c r="AD22" i="805" l="1"/>
  <c r="AX25" i="805"/>
  <c r="AY25" i="805" s="1"/>
  <c r="AZ25" i="805" s="1"/>
  <c r="AR25" i="805"/>
  <c r="AX24" i="805"/>
  <c r="AY24" i="805" s="1"/>
  <c r="AZ24" i="805" s="1"/>
  <c r="AR24" i="805"/>
  <c r="AX23" i="805"/>
  <c r="AY23" i="805" s="1"/>
  <c r="AZ23" i="805" s="1"/>
  <c r="AR23" i="805"/>
  <c r="AD23" i="805"/>
  <c r="AX22" i="805"/>
  <c r="AY22" i="805" s="1"/>
  <c r="AZ22" i="805" s="1"/>
  <c r="AR22" i="805"/>
  <c r="N89" i="805"/>
  <c r="F17" i="805"/>
  <c r="Z25" i="4"/>
  <c r="Z24" i="4"/>
  <c r="E6" i="805"/>
  <c r="D17" i="805" l="1"/>
  <c r="S90" i="805"/>
  <c r="J8" i="805"/>
  <c r="S20" i="805" l="1"/>
  <c r="X20" i="805"/>
  <c r="S21" i="805"/>
  <c r="X21" i="805"/>
  <c r="X19" i="805"/>
  <c r="S19" i="805"/>
  <c r="S17" i="805"/>
  <c r="S18" i="805"/>
  <c r="X17" i="805"/>
  <c r="X18" i="805"/>
  <c r="S11" i="805"/>
  <c r="S12" i="805"/>
  <c r="S14" i="805"/>
  <c r="S16" i="805"/>
  <c r="S10" i="805"/>
  <c r="S13" i="805"/>
  <c r="S15" i="805"/>
  <c r="X14" i="805"/>
  <c r="X15" i="805"/>
  <c r="X16" i="805"/>
  <c r="S9" i="805"/>
  <c r="X88" i="805"/>
  <c r="J9" i="805"/>
  <c r="J10" i="805" s="1"/>
  <c r="J11" i="805" s="1"/>
  <c r="J12" i="805" s="1"/>
  <c r="J13" i="805" s="1"/>
  <c r="J14" i="805" s="1"/>
  <c r="J15" i="805" s="1"/>
  <c r="J16" i="805" s="1"/>
  <c r="J17" i="805" s="1"/>
  <c r="J18" i="805" s="1"/>
  <c r="J19" i="805" s="1"/>
  <c r="J20" i="805" s="1"/>
  <c r="J21" i="805" s="1"/>
  <c r="J22" i="805" s="1"/>
  <c r="J23" i="805" s="1"/>
  <c r="J24" i="805" s="1"/>
  <c r="J25" i="805" s="1"/>
  <c r="V11" i="805"/>
  <c r="X12" i="805"/>
  <c r="V13" i="805"/>
  <c r="X13" i="805"/>
  <c r="V8" i="805"/>
  <c r="X9" i="805"/>
  <c r="X10" i="805"/>
  <c r="X11" i="805"/>
  <c r="S6" i="805"/>
  <c r="V6" i="805"/>
  <c r="S8" i="805"/>
  <c r="BW206" i="824"/>
  <c r="BE206" i="824"/>
  <c r="X91" i="805"/>
  <c r="M88" i="805"/>
  <c r="X6" i="805"/>
  <c r="X92" i="805"/>
  <c r="V89" i="805"/>
  <c r="X8" i="805"/>
  <c r="X89" i="805"/>
  <c r="X90" i="805"/>
  <c r="U34" i="4"/>
  <c r="U35" i="4"/>
  <c r="U36" i="4"/>
  <c r="U37" i="4"/>
  <c r="U38" i="4"/>
  <c r="U39" i="4"/>
  <c r="U40" i="4"/>
  <c r="U41" i="4"/>
  <c r="U42" i="4"/>
  <c r="U43" i="4"/>
  <c r="AC88" i="805" l="1"/>
  <c r="U9" i="404"/>
  <c r="H9" i="545" l="1"/>
  <c r="H10" i="545" s="1"/>
  <c r="D41" i="26"/>
  <c r="H39" i="26"/>
  <c r="I39" i="26" s="1"/>
  <c r="B39" i="26"/>
  <c r="H38" i="26"/>
  <c r="B38" i="26"/>
  <c r="H37" i="26"/>
  <c r="B37" i="26"/>
  <c r="H36" i="26"/>
  <c r="B36" i="26"/>
  <c r="H35" i="26"/>
  <c r="B35" i="26"/>
  <c r="H34" i="26"/>
  <c r="B34" i="26"/>
  <c r="H33" i="26"/>
  <c r="B33" i="26"/>
  <c r="H32" i="26"/>
  <c r="B32" i="26"/>
  <c r="H31" i="26"/>
  <c r="B31" i="26"/>
  <c r="H30" i="26"/>
  <c r="B30" i="26"/>
  <c r="H29" i="26"/>
  <c r="B29" i="26"/>
  <c r="H28" i="26"/>
  <c r="B28" i="26"/>
  <c r="L18" i="26"/>
  <c r="D24" i="26" s="1"/>
  <c r="I14" i="26"/>
  <c r="K12" i="26"/>
  <c r="AB9" i="26"/>
  <c r="AB8" i="26"/>
  <c r="AB7" i="26"/>
  <c r="B6" i="26"/>
  <c r="B5" i="26"/>
  <c r="AB4" i="26"/>
  <c r="B3" i="26"/>
  <c r="D38" i="24"/>
  <c r="H36" i="24"/>
  <c r="I36" i="24" s="1"/>
  <c r="B36" i="24"/>
  <c r="H35" i="24"/>
  <c r="B35" i="24"/>
  <c r="H34" i="24"/>
  <c r="B34" i="24"/>
  <c r="H33" i="24"/>
  <c r="B33" i="24"/>
  <c r="H32" i="24"/>
  <c r="B32" i="24"/>
  <c r="H31" i="24"/>
  <c r="B31" i="24"/>
  <c r="H30" i="24"/>
  <c r="B30" i="24"/>
  <c r="H29" i="24"/>
  <c r="B29" i="24"/>
  <c r="H28" i="24"/>
  <c r="B28" i="24"/>
  <c r="H27" i="24"/>
  <c r="B27" i="24"/>
  <c r="H26" i="24"/>
  <c r="H25" i="24"/>
  <c r="B25" i="24"/>
  <c r="B26" i="24" s="1"/>
  <c r="L15" i="24"/>
  <c r="D21" i="24" s="1"/>
  <c r="I11" i="24"/>
  <c r="K9" i="24"/>
  <c r="AB2" i="24" s="1"/>
  <c r="AB6" i="24"/>
  <c r="AB5" i="24"/>
  <c r="AB4" i="24"/>
  <c r="AB3" i="24"/>
  <c r="P25" i="4"/>
  <c r="P24" i="4"/>
  <c r="Q14" i="4"/>
  <c r="R14" i="4" s="1"/>
  <c r="O12" i="4"/>
  <c r="R12" i="4" s="1"/>
  <c r="R11" i="4"/>
  <c r="R10" i="4"/>
  <c r="R9" i="4"/>
  <c r="R8" i="4"/>
  <c r="Z4" i="404"/>
  <c r="Z3" i="404"/>
  <c r="C320" i="229"/>
  <c r="H320" i="229" s="1"/>
  <c r="B320" i="229"/>
  <c r="G320" i="229" s="1"/>
  <c r="C319" i="229"/>
  <c r="H319" i="229" s="1"/>
  <c r="B319" i="229"/>
  <c r="G319" i="229" s="1"/>
  <c r="C318" i="229"/>
  <c r="H318" i="229" s="1"/>
  <c r="B318" i="229"/>
  <c r="G318" i="229" s="1"/>
  <c r="C317" i="229"/>
  <c r="H317" i="229" s="1"/>
  <c r="B317" i="229"/>
  <c r="G317" i="229" s="1"/>
  <c r="C316" i="229"/>
  <c r="H316" i="229" s="1"/>
  <c r="B316" i="229"/>
  <c r="G316" i="229" s="1"/>
  <c r="C315" i="229"/>
  <c r="H315" i="229" s="1"/>
  <c r="B315" i="229"/>
  <c r="G315" i="229" s="1"/>
  <c r="C314" i="229"/>
  <c r="H314" i="229" s="1"/>
  <c r="B314" i="229"/>
  <c r="G314" i="229" s="1"/>
  <c r="C313" i="229"/>
  <c r="H313" i="229" s="1"/>
  <c r="B313" i="229"/>
  <c r="G313" i="229" s="1"/>
  <c r="C312" i="229"/>
  <c r="H312" i="229" s="1"/>
  <c r="B312" i="229"/>
  <c r="G312" i="229" s="1"/>
  <c r="C311" i="229"/>
  <c r="H311" i="229" s="1"/>
  <c r="B311" i="229"/>
  <c r="G311" i="229" s="1"/>
  <c r="C310" i="229"/>
  <c r="H310" i="229" s="1"/>
  <c r="B310" i="229"/>
  <c r="G310" i="229" s="1"/>
  <c r="C309" i="229"/>
  <c r="H309" i="229" s="1"/>
  <c r="B309" i="229"/>
  <c r="G309" i="229" s="1"/>
  <c r="C308" i="229"/>
  <c r="H308" i="229" s="1"/>
  <c r="B308" i="229"/>
  <c r="G308" i="229" s="1"/>
  <c r="F306" i="229"/>
  <c r="B304" i="229"/>
  <c r="C296" i="229"/>
  <c r="H296" i="229" s="1"/>
  <c r="C295" i="229"/>
  <c r="H295" i="229" s="1"/>
  <c r="C294" i="229"/>
  <c r="H294" i="229" s="1"/>
  <c r="C293" i="229"/>
  <c r="C292" i="229"/>
  <c r="G292" i="229" s="1"/>
  <c r="C291" i="229"/>
  <c r="G291" i="229" s="1"/>
  <c r="C290" i="229"/>
  <c r="G290" i="229" s="1"/>
  <c r="C289" i="229"/>
  <c r="G289" i="229" s="1"/>
  <c r="C288" i="229"/>
  <c r="G288" i="229" s="1"/>
  <c r="C287" i="229"/>
  <c r="G287" i="229" s="1"/>
  <c r="C286" i="229"/>
  <c r="C285" i="229"/>
  <c r="G285" i="229" s="1"/>
  <c r="C284" i="229"/>
  <c r="G284" i="229" s="1"/>
  <c r="F282" i="229"/>
  <c r="B280" i="229"/>
  <c r="C266" i="229"/>
  <c r="C265" i="229"/>
  <c r="C264" i="229"/>
  <c r="C263" i="229"/>
  <c r="C262" i="229"/>
  <c r="C261" i="229"/>
  <c r="C254" i="229"/>
  <c r="C246" i="229"/>
  <c r="C245" i="229"/>
  <c r="C244" i="229"/>
  <c r="C243" i="229"/>
  <c r="C242" i="229"/>
  <c r="C241" i="229"/>
  <c r="C240" i="229"/>
  <c r="C239" i="229"/>
  <c r="C238" i="229"/>
  <c r="C237" i="229"/>
  <c r="C236" i="229"/>
  <c r="C235" i="229"/>
  <c r="C234" i="229"/>
  <c r="C233" i="229"/>
  <c r="C232" i="229"/>
  <c r="C8" i="229"/>
  <c r="C7" i="229"/>
  <c r="O5" i="229"/>
  <c r="N5" i="229"/>
  <c r="P5" i="229" s="1"/>
  <c r="L4" i="229"/>
  <c r="H4" i="229"/>
  <c r="G4" i="229"/>
  <c r="M3" i="229"/>
  <c r="BZ208" i="825" l="1"/>
  <c r="BH208" i="825"/>
  <c r="BZ207" i="825"/>
  <c r="BH207" i="825"/>
  <c r="BZ206" i="825"/>
  <c r="BH206" i="825"/>
  <c r="BZ205" i="825"/>
  <c r="BH205" i="825"/>
  <c r="BZ127" i="825"/>
  <c r="BV127" i="825"/>
  <c r="BX127" i="825"/>
  <c r="BH127" i="825"/>
  <c r="BF127" i="825"/>
  <c r="BD127" i="825"/>
  <c r="BZ126" i="825"/>
  <c r="BX126" i="825"/>
  <c r="BV126" i="825"/>
  <c r="BD126" i="825"/>
  <c r="BH126" i="825"/>
  <c r="BF126" i="825"/>
  <c r="BZ125" i="825"/>
  <c r="BX125" i="825"/>
  <c r="BV125" i="825"/>
  <c r="BD125" i="825"/>
  <c r="BH125" i="825"/>
  <c r="BV127" i="824"/>
  <c r="BD127" i="824"/>
  <c r="BV126" i="824"/>
  <c r="BD126" i="824"/>
  <c r="BT127" i="824"/>
  <c r="BR127" i="824"/>
  <c r="BB127" i="824"/>
  <c r="BT126" i="824"/>
  <c r="AZ126" i="824"/>
  <c r="BR126" i="824"/>
  <c r="BB126" i="824"/>
  <c r="AZ127" i="824"/>
  <c r="BB125" i="824"/>
  <c r="G7" i="229"/>
  <c r="BV208" i="824"/>
  <c r="BV205" i="824"/>
  <c r="BD208" i="824"/>
  <c r="BV207" i="824"/>
  <c r="BD207" i="824"/>
  <c r="BV206" i="824"/>
  <c r="BD206" i="824"/>
  <c r="BD205" i="824"/>
  <c r="BT125" i="824"/>
  <c r="BR125" i="824"/>
  <c r="AZ125" i="824"/>
  <c r="BD125" i="824"/>
  <c r="BV125" i="824"/>
  <c r="I32" i="26"/>
  <c r="I33" i="26"/>
  <c r="I28" i="26"/>
  <c r="I34" i="26"/>
  <c r="I29" i="26"/>
  <c r="I30" i="26"/>
  <c r="I36" i="26"/>
  <c r="I35" i="26"/>
  <c r="I31" i="26"/>
  <c r="I37" i="26"/>
  <c r="I38" i="26"/>
  <c r="I34" i="24"/>
  <c r="I32" i="24"/>
  <c r="I25" i="24"/>
  <c r="I33" i="24"/>
  <c r="I28" i="24"/>
  <c r="I29" i="24"/>
  <c r="I27" i="24"/>
  <c r="I35" i="24"/>
  <c r="I31" i="24"/>
  <c r="H37" i="24"/>
  <c r="I12" i="26"/>
  <c r="H9" i="26" s="1"/>
  <c r="H40" i="26"/>
  <c r="I26" i="24"/>
  <c r="I30" i="24"/>
  <c r="G286" i="229"/>
  <c r="F286" i="229"/>
  <c r="G295" i="229"/>
  <c r="G293" i="229"/>
  <c r="H293" i="229"/>
  <c r="G296" i="229"/>
  <c r="F289" i="229"/>
  <c r="F292" i="229"/>
  <c r="F295" i="229"/>
  <c r="F296" i="229"/>
  <c r="H285" i="229"/>
  <c r="H284" i="229"/>
  <c r="H292" i="229"/>
  <c r="H291" i="229"/>
  <c r="H287" i="229"/>
  <c r="H286" i="229"/>
  <c r="H290" i="229"/>
  <c r="H289" i="229"/>
  <c r="H288" i="229"/>
  <c r="H8" i="229"/>
  <c r="H7" i="229"/>
  <c r="F285" i="229"/>
  <c r="F288" i="229"/>
  <c r="F291" i="229"/>
  <c r="G294" i="229"/>
  <c r="F294" i="229"/>
  <c r="F284" i="229"/>
  <c r="F287" i="229"/>
  <c r="F290" i="229"/>
  <c r="F293" i="229"/>
  <c r="G8" i="229"/>
  <c r="N4" i="229"/>
  <c r="O4" i="229" s="1"/>
  <c r="B281" i="229" s="1"/>
  <c r="I315" i="229"/>
  <c r="I317" i="229"/>
  <c r="I313" i="229"/>
  <c r="I311" i="229"/>
  <c r="I309" i="229"/>
  <c r="I310" i="229"/>
  <c r="I308" i="229"/>
  <c r="I320" i="229"/>
  <c r="I318" i="229"/>
  <c r="I316" i="229"/>
  <c r="I314" i="229"/>
  <c r="I312" i="229"/>
  <c r="I319" i="229"/>
  <c r="I9" i="24"/>
  <c r="H6" i="24" s="1"/>
  <c r="Q12" i="4"/>
  <c r="P12" i="4"/>
  <c r="P8" i="4"/>
  <c r="Q8" i="4" s="1"/>
  <c r="P9" i="4" s="1"/>
  <c r="Q9" i="4" s="1"/>
  <c r="P10" i="4" s="1"/>
  <c r="Q10" i="4" s="1"/>
  <c r="P11" i="4" s="1"/>
  <c r="Q11" i="4"/>
  <c r="AB2" i="26"/>
  <c r="AB1" i="24"/>
  <c r="AB1" i="26"/>
  <c r="D40" i="26"/>
  <c r="D37" i="24"/>
  <c r="I40" i="26" l="1"/>
  <c r="I37" i="24"/>
  <c r="I295" i="229"/>
  <c r="I293" i="229"/>
  <c r="I296" i="229"/>
  <c r="I286" i="229"/>
  <c r="I289" i="229"/>
  <c r="I292" i="229"/>
  <c r="Q3" i="229"/>
  <c r="F7" i="229" s="1"/>
  <c r="B3" i="229"/>
  <c r="B305" i="229"/>
  <c r="I291" i="229"/>
  <c r="I288" i="229"/>
  <c r="I294" i="229"/>
  <c r="I287" i="229"/>
  <c r="I285" i="229"/>
  <c r="I284" i="229"/>
  <c r="I290" i="229"/>
  <c r="F8" i="229" l="1"/>
  <c r="I8" i="229" s="1"/>
  <c r="I7" i="229"/>
  <c r="Y89" i="805" l="1"/>
  <c r="U89" i="805"/>
  <c r="BW207" i="824" l="1"/>
  <c r="BW208" i="824" s="1"/>
  <c r="BE207" i="824"/>
  <c r="BE208" i="824" s="1"/>
  <c r="AG4" i="404" a="1"/>
  <c r="AE4" i="404" s="1"/>
  <c r="AQ87" i="805" s="1"/>
  <c r="AP87" i="805" s="1"/>
  <c r="AQ86" i="805" s="1"/>
  <c r="AP86" i="805" s="1"/>
  <c r="AQ85" i="805" s="1"/>
  <c r="AP85" i="805" s="1"/>
  <c r="AQ84" i="805" s="1"/>
  <c r="AP84" i="805" s="1"/>
  <c r="AQ83" i="805" s="1"/>
  <c r="AP83" i="805" s="1"/>
  <c r="AQ82" i="805" s="1"/>
  <c r="AP82" i="805" s="1"/>
  <c r="AQ81" i="805" s="1"/>
  <c r="AP81" i="805" s="1"/>
  <c r="AQ80" i="805" s="1"/>
  <c r="AP80" i="805" s="1"/>
  <c r="AQ79" i="805" s="1"/>
  <c r="AP79" i="805" s="1"/>
  <c r="AQ78" i="805" s="1"/>
  <c r="AP78" i="805" s="1"/>
  <c r="AQ77" i="805" s="1"/>
  <c r="AP77" i="805" s="1"/>
  <c r="AQ76" i="805" s="1"/>
  <c r="AP76" i="805" s="1"/>
  <c r="AQ75" i="805" s="1"/>
  <c r="AP75" i="805" s="1"/>
  <c r="AQ74" i="805" s="1"/>
  <c r="AP74" i="805" s="1"/>
  <c r="AQ73" i="805" s="1"/>
  <c r="AP73" i="805" s="1"/>
  <c r="AQ72" i="805" s="1"/>
  <c r="AP72" i="805" s="1"/>
  <c r="AQ71" i="805" s="1"/>
  <c r="AP71" i="805" s="1"/>
  <c r="AQ70" i="805" s="1"/>
  <c r="AP70" i="805" s="1"/>
  <c r="AQ69" i="805" s="1"/>
  <c r="AP69" i="805" s="1"/>
  <c r="AQ68" i="805" s="1"/>
  <c r="AP68" i="805" s="1"/>
  <c r="AQ67" i="805" s="1"/>
  <c r="AP67" i="805" s="1"/>
  <c r="AQ66" i="805" s="1"/>
  <c r="AP66" i="805" s="1"/>
  <c r="AQ65" i="805" s="1"/>
  <c r="AP65" i="805" s="1"/>
  <c r="AQ64" i="805" s="1"/>
  <c r="AP64" i="805" s="1"/>
  <c r="AQ63" i="805" s="1"/>
  <c r="AP63" i="805" s="1"/>
  <c r="AQ62" i="805" s="1"/>
  <c r="AP62" i="805" s="1"/>
  <c r="AQ61" i="805" s="1"/>
  <c r="AP61" i="805" s="1"/>
  <c r="AQ60" i="805" s="1"/>
  <c r="AP60" i="805" s="1"/>
  <c r="AQ59" i="805" s="1"/>
  <c r="AP59" i="805" s="1"/>
  <c r="AQ58" i="805" s="1"/>
  <c r="AP58" i="805" s="1"/>
  <c r="AQ57" i="805" s="1"/>
  <c r="AP57" i="805" s="1"/>
  <c r="AQ56" i="805" s="1"/>
  <c r="AP56" i="805" s="1"/>
  <c r="AQ55" i="805" s="1"/>
  <c r="AP55" i="805" s="1"/>
  <c r="AQ54" i="805" s="1"/>
  <c r="AP54" i="805" s="1"/>
  <c r="AQ53" i="805" s="1"/>
  <c r="AP53" i="805" s="1"/>
  <c r="AQ52" i="805" s="1"/>
  <c r="AP52" i="805" s="1"/>
  <c r="AQ51" i="805" s="1"/>
  <c r="AP51" i="805" s="1"/>
  <c r="AQ50" i="805" s="1"/>
  <c r="AP50" i="805" s="1"/>
  <c r="AQ49" i="805" s="1"/>
  <c r="AP49" i="805" s="1"/>
  <c r="AQ48" i="805" s="1"/>
  <c r="AP48" i="805" s="1"/>
  <c r="AQ47" i="805" s="1"/>
  <c r="AP47" i="805" s="1"/>
  <c r="AQ46" i="805" s="1"/>
  <c r="AP46" i="805" s="1"/>
  <c r="AQ45" i="805" s="1"/>
  <c r="AP45" i="805" s="1"/>
  <c r="AQ44" i="805" s="1"/>
  <c r="AP44" i="805" s="1"/>
  <c r="AQ43" i="805" s="1"/>
  <c r="AP43" i="805" s="1"/>
  <c r="AQ42" i="805" s="1"/>
  <c r="AP42" i="805" s="1"/>
  <c r="AQ41" i="805" s="1"/>
  <c r="AP41" i="805" s="1"/>
  <c r="AQ40" i="805" s="1"/>
  <c r="AP40" i="805" s="1"/>
  <c r="AQ39" i="805" s="1"/>
  <c r="AP39" i="805" s="1"/>
  <c r="AQ38" i="805" s="1"/>
  <c r="AP38" i="805" s="1"/>
  <c r="AQ37" i="805" s="1"/>
  <c r="AP37" i="805" s="1"/>
  <c r="AQ36" i="805" s="1"/>
  <c r="AP36" i="805" s="1"/>
  <c r="AQ35" i="805" s="1"/>
  <c r="AP35" i="805" s="1"/>
  <c r="AQ34" i="805" s="1"/>
  <c r="AP34" i="805" s="1"/>
  <c r="AQ33" i="805" s="1"/>
  <c r="AP33" i="805" s="1"/>
  <c r="AQ32" i="805" s="1"/>
  <c r="AP32" i="805" s="1"/>
  <c r="AQ31" i="805" s="1"/>
  <c r="AP31" i="805" s="1"/>
  <c r="AQ30" i="805" s="1"/>
  <c r="AP30" i="805" s="1"/>
  <c r="AQ29" i="805" s="1"/>
  <c r="AP29" i="805" s="1"/>
  <c r="AQ28" i="805" s="1"/>
  <c r="AP28" i="805" s="1"/>
  <c r="AQ27" i="805" s="1"/>
  <c r="AP27" i="805" s="1"/>
  <c r="AQ26" i="805" s="1"/>
  <c r="AP26" i="805" s="1"/>
  <c r="AQ25" i="805" s="1"/>
  <c r="AP25" i="805" s="1"/>
  <c r="AQ24" i="805" s="1"/>
  <c r="AP24" i="805" s="1"/>
  <c r="AQ23" i="805" s="1"/>
  <c r="AP23" i="805" s="1"/>
  <c r="AQ22" i="805" s="1"/>
  <c r="AP22" i="805" s="1"/>
  <c r="AQ21" i="805" s="1"/>
  <c r="AP21" i="805" s="1"/>
  <c r="AQ20" i="805" l="1"/>
  <c r="AP20" i="805" s="1"/>
  <c r="AQ19" i="805"/>
  <c r="AP19" i="805" s="1"/>
  <c r="AQ17" i="805"/>
  <c r="AP17" i="805" s="1"/>
  <c r="AQ16" i="805"/>
  <c r="AP16" i="805" s="1"/>
  <c r="AQ13" i="805"/>
  <c r="AP13" i="805" s="1"/>
  <c r="AQ12" i="805"/>
  <c r="AP12" i="805" s="1"/>
  <c r="AQ11" i="805"/>
  <c r="AP11" i="805" s="1"/>
  <c r="AQ9" i="805"/>
  <c r="AP9" i="805" s="1"/>
  <c r="U9" i="805" s="1"/>
  <c r="Y9" i="805" s="1"/>
  <c r="AQ8" i="805"/>
  <c r="AP8" i="805" s="1"/>
  <c r="U8" i="805" s="1"/>
  <c r="Y8" i="805" s="1"/>
  <c r="AO87" i="825"/>
  <c r="AN87" i="825" s="1"/>
  <c r="AO86" i="825" s="1"/>
  <c r="AN86" i="825" s="1"/>
  <c r="AO85" i="825" s="1"/>
  <c r="AN85" i="825" s="1"/>
  <c r="AO84" i="825" s="1"/>
  <c r="AN84" i="825" s="1"/>
  <c r="AO83" i="825" s="1"/>
  <c r="AN83" i="825" s="1"/>
  <c r="AO82" i="825" s="1"/>
  <c r="AN82" i="825" s="1"/>
  <c r="AO81" i="825" s="1"/>
  <c r="AN81" i="825" s="1"/>
  <c r="AO80" i="825" s="1"/>
  <c r="AN80" i="825" s="1"/>
  <c r="AO79" i="825" s="1"/>
  <c r="AN79" i="825" s="1"/>
  <c r="AO78" i="825" s="1"/>
  <c r="AN78" i="825" s="1"/>
  <c r="AO77" i="825" s="1"/>
  <c r="AN77" i="825" s="1"/>
  <c r="AO76" i="825" s="1"/>
  <c r="AN76" i="825" s="1"/>
  <c r="AO75" i="825" s="1"/>
  <c r="AN75" i="825" s="1"/>
  <c r="AO74" i="825" s="1"/>
  <c r="AN74" i="825" s="1"/>
  <c r="AO73" i="825" s="1"/>
  <c r="AN73" i="825" s="1"/>
  <c r="AO72" i="825" s="1"/>
  <c r="AN72" i="825" s="1"/>
  <c r="AO71" i="825" s="1"/>
  <c r="AN71" i="825" s="1"/>
  <c r="AO70" i="825" s="1"/>
  <c r="AN70" i="825" s="1"/>
  <c r="AO69" i="825" s="1"/>
  <c r="AN69" i="825" s="1"/>
  <c r="AO68" i="825" s="1"/>
  <c r="AN68" i="825" s="1"/>
  <c r="AO67" i="825" s="1"/>
  <c r="AN67" i="825" s="1"/>
  <c r="AO66" i="825" s="1"/>
  <c r="AN66" i="825" s="1"/>
  <c r="AO65" i="825" s="1"/>
  <c r="AN65" i="825" s="1"/>
  <c r="AO64" i="825" s="1"/>
  <c r="AN64" i="825" s="1"/>
  <c r="AO63" i="825" s="1"/>
  <c r="AN63" i="825" s="1"/>
  <c r="AO62" i="825" s="1"/>
  <c r="AN62" i="825" s="1"/>
  <c r="AO61" i="825" s="1"/>
  <c r="AN61" i="825" s="1"/>
  <c r="AO60" i="825" s="1"/>
  <c r="AN60" i="825" s="1"/>
  <c r="AO59" i="825" s="1"/>
  <c r="AN59" i="825" s="1"/>
  <c r="AO58" i="825" s="1"/>
  <c r="AN58" i="825" s="1"/>
  <c r="AO57" i="825" s="1"/>
  <c r="AN57" i="825" s="1"/>
  <c r="AO56" i="825" s="1"/>
  <c r="AN56" i="825" s="1"/>
  <c r="AO55" i="825" s="1"/>
  <c r="AN55" i="825" s="1"/>
  <c r="AO54" i="825" s="1"/>
  <c r="AN54" i="825" s="1"/>
  <c r="AO53" i="825" s="1"/>
  <c r="AN53" i="825" s="1"/>
  <c r="AO52" i="825" s="1"/>
  <c r="AN52" i="825" s="1"/>
  <c r="AO51" i="825" s="1"/>
  <c r="AN51" i="825" s="1"/>
  <c r="AO50" i="825" s="1"/>
  <c r="AN50" i="825" s="1"/>
  <c r="AO49" i="825" s="1"/>
  <c r="AN49" i="825" s="1"/>
  <c r="AO48" i="825" s="1"/>
  <c r="AN48" i="825" s="1"/>
  <c r="AO47" i="825" s="1"/>
  <c r="AN47" i="825" s="1"/>
  <c r="AO46" i="825" s="1"/>
  <c r="AN46" i="825" s="1"/>
  <c r="AO45" i="825" s="1"/>
  <c r="AN45" i="825" s="1"/>
  <c r="AO44" i="825" s="1"/>
  <c r="AN44" i="825" s="1"/>
  <c r="AO43" i="825" s="1"/>
  <c r="AN43" i="825" s="1"/>
  <c r="AO42" i="825" s="1"/>
  <c r="AN42" i="825" s="1"/>
  <c r="AO41" i="825" s="1"/>
  <c r="AN41" i="825" s="1"/>
  <c r="AO40" i="825" s="1"/>
  <c r="AN40" i="825" s="1"/>
  <c r="AO39" i="825" s="1"/>
  <c r="AN39" i="825" s="1"/>
  <c r="AO38" i="825" s="1"/>
  <c r="AN38" i="825" s="1"/>
  <c r="AO37" i="825" s="1"/>
  <c r="AN37" i="825" s="1"/>
  <c r="AO36" i="825" s="1"/>
  <c r="AN36" i="825" s="1"/>
  <c r="AO35" i="825" s="1"/>
  <c r="AN35" i="825" s="1"/>
  <c r="AO34" i="825" s="1"/>
  <c r="AN34" i="825" s="1"/>
  <c r="AO33" i="825" s="1"/>
  <c r="AN33" i="825" s="1"/>
  <c r="AO32" i="825" s="1"/>
  <c r="AN32" i="825" s="1"/>
  <c r="AO31" i="825" s="1"/>
  <c r="AN31" i="825" s="1"/>
  <c r="AO30" i="825" s="1"/>
  <c r="AN30" i="825" s="1"/>
  <c r="AO29" i="825" s="1"/>
  <c r="AN29" i="825" s="1"/>
  <c r="AO28" i="825" s="1"/>
  <c r="AN28" i="825" s="1"/>
  <c r="AO27" i="825" s="1"/>
  <c r="AN27" i="825" s="1"/>
  <c r="AO26" i="825" s="1"/>
  <c r="AN26" i="825" s="1"/>
  <c r="AO25" i="825" s="1"/>
  <c r="AN25" i="825" s="1"/>
  <c r="AO24" i="825" s="1"/>
  <c r="AN24" i="825" s="1"/>
  <c r="AO23" i="825" s="1"/>
  <c r="AN23" i="825" s="1"/>
  <c r="AO22" i="825" s="1"/>
  <c r="AN22" i="825" s="1"/>
  <c r="AO21" i="825" s="1"/>
  <c r="AN21" i="825" s="1"/>
  <c r="AO20" i="825" s="1"/>
  <c r="AN20" i="825" s="1"/>
  <c r="AO19" i="825" s="1"/>
  <c r="AN19" i="825" s="1"/>
  <c r="AO18" i="825" s="1"/>
  <c r="AN18" i="825" s="1"/>
  <c r="AO17" i="825" s="1"/>
  <c r="AN17" i="825" s="1"/>
  <c r="AO16" i="825" s="1"/>
  <c r="AN16" i="825" s="1"/>
  <c r="AO15" i="825" s="1"/>
  <c r="AN15" i="825" s="1"/>
  <c r="AO14" i="825" s="1"/>
  <c r="AN14" i="825" s="1"/>
  <c r="AO13" i="825" s="1"/>
  <c r="AN13" i="825" s="1"/>
  <c r="AO12" i="825" s="1"/>
  <c r="AN12" i="825" s="1"/>
  <c r="AO11" i="825" s="1"/>
  <c r="AN11" i="825" s="1"/>
  <c r="AO10" i="825" s="1"/>
  <c r="AN10" i="825" s="1"/>
  <c r="AO9" i="825" s="1"/>
  <c r="AN9" i="825" s="1"/>
  <c r="AX10" i="805"/>
  <c r="AY10" i="805" s="1"/>
  <c r="AZ10" i="805" s="1"/>
  <c r="AR10" i="805"/>
  <c r="AX14" i="805"/>
  <c r="AY14" i="805" s="1"/>
  <c r="AZ14" i="805" s="1"/>
  <c r="AR14" i="805"/>
  <c r="AX18" i="805"/>
  <c r="AY18" i="805" s="1"/>
  <c r="AZ18" i="805" s="1"/>
  <c r="AR18" i="805"/>
  <c r="AX11" i="805"/>
  <c r="AY11" i="805" s="1"/>
  <c r="AZ11" i="805" s="1"/>
  <c r="AR11" i="805"/>
  <c r="AX15" i="805"/>
  <c r="AY15" i="805" s="1"/>
  <c r="AZ15" i="805" s="1"/>
  <c r="AR15" i="805"/>
  <c r="AX19" i="805"/>
  <c r="AR19" i="805"/>
  <c r="AI8" i="824"/>
  <c r="P88" i="824"/>
  <c r="AR8" i="849"/>
  <c r="AX8" i="849"/>
  <c r="AY8" i="849" s="1"/>
  <c r="AZ8" i="849" s="1"/>
  <c r="AX8" i="805"/>
  <c r="AY8" i="805" s="1"/>
  <c r="AZ8" i="805" s="1"/>
  <c r="AR8" i="805"/>
  <c r="AR12" i="805"/>
  <c r="AX12" i="805"/>
  <c r="AY12" i="805" s="1"/>
  <c r="AZ12" i="805" s="1"/>
  <c r="AR16" i="805"/>
  <c r="AX16" i="805"/>
  <c r="AY16" i="805" s="1"/>
  <c r="AZ16" i="805" s="1"/>
  <c r="AX20" i="805"/>
  <c r="AR20" i="805"/>
  <c r="N9" i="404" s="1"/>
  <c r="AX9" i="849"/>
  <c r="AY9" i="849" s="1"/>
  <c r="AZ9" i="849" s="1"/>
  <c r="AD9" i="849"/>
  <c r="AR9" i="849"/>
  <c r="AX9" i="805"/>
  <c r="AY9" i="805" s="1"/>
  <c r="AZ9" i="805" s="1"/>
  <c r="AR9" i="805"/>
  <c r="AX13" i="805"/>
  <c r="AY13" i="805" s="1"/>
  <c r="AZ13" i="805" s="1"/>
  <c r="AR13" i="805"/>
  <c r="AR17" i="805"/>
  <c r="AX17" i="805"/>
  <c r="AY17" i="805" s="1"/>
  <c r="AZ17" i="805" s="1"/>
  <c r="AR21" i="805"/>
  <c r="AX21" i="805"/>
  <c r="AY21" i="805" s="1"/>
  <c r="AZ21" i="805" s="1"/>
  <c r="AD21" i="805"/>
  <c r="AY20" i="805" l="1"/>
  <c r="AZ20" i="805" s="1"/>
  <c r="AY19" i="805"/>
  <c r="AZ19" i="805" s="1"/>
  <c r="AO8" i="825"/>
  <c r="AN8" i="825" s="1"/>
  <c r="U8" i="825" s="1"/>
  <c r="U9" i="825"/>
  <c r="AQ87" i="849"/>
  <c r="AP87" i="849" s="1"/>
  <c r="AQ86" i="849" s="1"/>
  <c r="AP86" i="849" s="1"/>
  <c r="AQ85" i="849" s="1"/>
  <c r="AP85" i="849" s="1"/>
  <c r="AQ84" i="849" s="1"/>
  <c r="AP84" i="849" s="1"/>
  <c r="AQ83" i="849" s="1"/>
  <c r="AP83" i="849" s="1"/>
  <c r="AQ82" i="849" s="1"/>
  <c r="AP82" i="849" s="1"/>
  <c r="AQ81" i="849" s="1"/>
  <c r="AP81" i="849" s="1"/>
  <c r="AQ80" i="849" s="1"/>
  <c r="AP80" i="849" s="1"/>
  <c r="AQ79" i="849" s="1"/>
  <c r="AP79" i="849" s="1"/>
  <c r="AQ78" i="849" s="1"/>
  <c r="AP78" i="849" s="1"/>
  <c r="AQ77" i="849" s="1"/>
  <c r="AP77" i="849" s="1"/>
  <c r="AQ76" i="849" s="1"/>
  <c r="AP76" i="849" s="1"/>
  <c r="AQ75" i="849" s="1"/>
  <c r="AP75" i="849" s="1"/>
  <c r="AQ74" i="849" s="1"/>
  <c r="AP74" i="849" s="1"/>
  <c r="AQ73" i="849" s="1"/>
  <c r="AP73" i="849" s="1"/>
  <c r="AQ72" i="849" s="1"/>
  <c r="AP72" i="849" s="1"/>
  <c r="AQ71" i="849" s="1"/>
  <c r="AP71" i="849" s="1"/>
  <c r="AQ70" i="849" s="1"/>
  <c r="AP70" i="849" s="1"/>
  <c r="AQ69" i="849" s="1"/>
  <c r="AP69" i="849" s="1"/>
  <c r="AQ68" i="849" s="1"/>
  <c r="AP68" i="849" s="1"/>
  <c r="AQ67" i="849" s="1"/>
  <c r="AP67" i="849" s="1"/>
  <c r="AQ66" i="849" s="1"/>
  <c r="AP66" i="849" s="1"/>
  <c r="AQ65" i="849" s="1"/>
  <c r="AP65" i="849" s="1"/>
  <c r="AQ64" i="849" s="1"/>
  <c r="AP64" i="849" s="1"/>
  <c r="AQ63" i="849" s="1"/>
  <c r="AP63" i="849" s="1"/>
  <c r="AQ62" i="849" s="1"/>
  <c r="AP62" i="849" s="1"/>
  <c r="AQ61" i="849" s="1"/>
  <c r="AP61" i="849" s="1"/>
  <c r="AQ60" i="849" s="1"/>
  <c r="AP60" i="849" s="1"/>
  <c r="AQ59" i="849" s="1"/>
  <c r="AP59" i="849" s="1"/>
  <c r="AQ58" i="849" s="1"/>
  <c r="AP58" i="849" s="1"/>
  <c r="AQ57" i="849" s="1"/>
  <c r="AP57" i="849" s="1"/>
  <c r="AQ56" i="849" s="1"/>
  <c r="AP56" i="849" s="1"/>
  <c r="AQ55" i="849" s="1"/>
  <c r="AP55" i="849" s="1"/>
  <c r="AQ54" i="849" s="1"/>
  <c r="AP54" i="849" s="1"/>
  <c r="AQ53" i="849" s="1"/>
  <c r="AP53" i="849" s="1"/>
  <c r="AQ52" i="849" s="1"/>
  <c r="AP52" i="849" s="1"/>
  <c r="AQ51" i="849" s="1"/>
  <c r="AP51" i="849" s="1"/>
  <c r="AQ50" i="849" s="1"/>
  <c r="AP50" i="849" s="1"/>
  <c r="AQ49" i="849" s="1"/>
  <c r="AP49" i="849" s="1"/>
  <c r="AQ48" i="849" s="1"/>
  <c r="AP48" i="849" s="1"/>
  <c r="AQ47" i="849" s="1"/>
  <c r="AP47" i="849" s="1"/>
  <c r="AQ46" i="849" s="1"/>
  <c r="AP46" i="849" s="1"/>
  <c r="AQ45" i="849" s="1"/>
  <c r="AP45" i="849" s="1"/>
  <c r="AQ44" i="849" s="1"/>
  <c r="AP44" i="849" s="1"/>
  <c r="AQ43" i="849" s="1"/>
  <c r="AP43" i="849" s="1"/>
  <c r="AQ42" i="849" s="1"/>
  <c r="AP42" i="849" s="1"/>
  <c r="AQ41" i="849" s="1"/>
  <c r="AP41" i="849" s="1"/>
  <c r="AQ40" i="849" s="1"/>
  <c r="AP40" i="849" s="1"/>
  <c r="AQ39" i="849" s="1"/>
  <c r="AP39" i="849" s="1"/>
  <c r="AQ38" i="849" s="1"/>
  <c r="AP38" i="849" s="1"/>
  <c r="AQ37" i="849" s="1"/>
  <c r="AP37" i="849" s="1"/>
  <c r="AQ36" i="849" s="1"/>
  <c r="AP36" i="849" s="1"/>
  <c r="AQ35" i="849" s="1"/>
  <c r="AP35" i="849" s="1"/>
  <c r="AQ34" i="849" s="1"/>
  <c r="AP34" i="849" s="1"/>
  <c r="AQ33" i="849" s="1"/>
  <c r="AP33" i="849" s="1"/>
  <c r="AQ32" i="849" s="1"/>
  <c r="AP32" i="849" s="1"/>
  <c r="AQ31" i="849" s="1"/>
  <c r="AP31" i="849" s="1"/>
  <c r="AQ30" i="849" s="1"/>
  <c r="AP30" i="849" s="1"/>
  <c r="AQ29" i="849" s="1"/>
  <c r="AP29" i="849" s="1"/>
  <c r="AQ28" i="849" s="1"/>
  <c r="AP28" i="849" s="1"/>
  <c r="AQ27" i="849" s="1"/>
  <c r="AP27" i="849" s="1"/>
  <c r="AQ26" i="849" s="1"/>
  <c r="AP26" i="849" s="1"/>
  <c r="AQ25" i="849" s="1"/>
  <c r="AP25" i="849" s="1"/>
  <c r="AQ24" i="849" s="1"/>
  <c r="AP24" i="849" s="1"/>
  <c r="AQ23" i="849" s="1"/>
  <c r="AP23" i="849" s="1"/>
  <c r="AQ22" i="849" s="1"/>
  <c r="AP22" i="849" s="1"/>
  <c r="AQ21" i="849" s="1"/>
  <c r="AP21" i="849" s="1"/>
  <c r="AQ20" i="849" s="1"/>
  <c r="AP20" i="849" s="1"/>
  <c r="AQ19" i="849" s="1"/>
  <c r="AP19" i="849" s="1"/>
  <c r="AQ18" i="849" s="1"/>
  <c r="AP18" i="849" s="1"/>
  <c r="AQ17" i="849" s="1"/>
  <c r="AP17" i="849" s="1"/>
  <c r="AQ16" i="849" s="1"/>
  <c r="AP16" i="849" s="1"/>
  <c r="AQ15" i="849" s="1"/>
  <c r="AP15" i="849" s="1"/>
  <c r="AQ14" i="849" s="1"/>
  <c r="AP14" i="849" s="1"/>
  <c r="AQ13" i="849" s="1"/>
  <c r="AP13" i="849" s="1"/>
  <c r="AQ12" i="849" s="1"/>
  <c r="AP12" i="849" s="1"/>
  <c r="AQ11" i="849" s="1"/>
  <c r="AP11" i="849" s="1"/>
  <c r="AQ10" i="849" s="1"/>
  <c r="AP10" i="849" s="1"/>
  <c r="AQ9" i="849" s="1"/>
  <c r="AP9" i="849" s="1"/>
  <c r="AQ8" i="849" s="1"/>
  <c r="AP8" i="849" s="1"/>
  <c r="AH87" i="824" s="1"/>
  <c r="AG87" i="824" s="1"/>
  <c r="AH86" i="824" s="1"/>
  <c r="AG86" i="824" s="1"/>
  <c r="AH85" i="824" s="1"/>
  <c r="AG85" i="824" s="1"/>
  <c r="AH84" i="824" s="1"/>
  <c r="AG84" i="824" s="1"/>
  <c r="AH83" i="824" s="1"/>
  <c r="AG83" i="824" s="1"/>
  <c r="AH82" i="824" s="1"/>
  <c r="AG82" i="824" s="1"/>
  <c r="AH81" i="824" s="1"/>
  <c r="AG81" i="824" s="1"/>
  <c r="AH80" i="824" s="1"/>
  <c r="AG80" i="824" s="1"/>
  <c r="AH79" i="824" s="1"/>
  <c r="AG79" i="824" s="1"/>
  <c r="AH78" i="824" s="1"/>
  <c r="AG78" i="824" s="1"/>
  <c r="AH77" i="824" s="1"/>
  <c r="AG77" i="824" s="1"/>
  <c r="AH76" i="824" s="1"/>
  <c r="AG76" i="824" s="1"/>
  <c r="AH75" i="824" s="1"/>
  <c r="AG75" i="824" s="1"/>
  <c r="AH74" i="824" s="1"/>
  <c r="AG74" i="824" s="1"/>
  <c r="AH73" i="824" s="1"/>
  <c r="AG73" i="824" s="1"/>
  <c r="AH72" i="824" s="1"/>
  <c r="AG72" i="824" s="1"/>
  <c r="AH71" i="824" s="1"/>
  <c r="AG71" i="824" s="1"/>
  <c r="AH70" i="824" s="1"/>
  <c r="AG70" i="824" s="1"/>
  <c r="AH69" i="824" s="1"/>
  <c r="AG69" i="824" s="1"/>
  <c r="AH68" i="824" s="1"/>
  <c r="AG68" i="824" s="1"/>
  <c r="AH67" i="824" s="1"/>
  <c r="AG67" i="824" s="1"/>
  <c r="AH66" i="824" s="1"/>
  <c r="AG66" i="824" s="1"/>
  <c r="AH65" i="824" s="1"/>
  <c r="AG65" i="824" s="1"/>
  <c r="AH64" i="824" s="1"/>
  <c r="AG64" i="824" s="1"/>
  <c r="X64" i="824" s="1"/>
  <c r="AH63" i="824" s="1"/>
  <c r="AG63" i="824" s="1"/>
  <c r="AH62" i="824" s="1"/>
  <c r="AG62" i="824" s="1"/>
  <c r="AH61" i="824" s="1"/>
  <c r="AG61" i="824" s="1"/>
  <c r="AH60" i="824" s="1"/>
  <c r="AG60" i="824" s="1"/>
  <c r="AH59" i="824" s="1"/>
  <c r="AG59" i="824" s="1"/>
  <c r="AH58" i="824" s="1"/>
  <c r="AG58" i="824" s="1"/>
  <c r="AH57" i="824" s="1"/>
  <c r="AG57" i="824" s="1"/>
  <c r="AH56" i="824" s="1"/>
  <c r="AG56" i="824" s="1"/>
  <c r="AH55" i="824" s="1"/>
  <c r="AG55" i="824" s="1"/>
  <c r="AH54" i="824" s="1"/>
  <c r="AG54" i="824" s="1"/>
  <c r="AH53" i="824" s="1"/>
  <c r="AG53" i="824" s="1"/>
  <c r="AH52" i="824" s="1"/>
  <c r="AG52" i="824" s="1"/>
  <c r="AH51" i="824" s="1"/>
  <c r="AG51" i="824" s="1"/>
  <c r="AH50" i="824" s="1"/>
  <c r="AG50" i="824" s="1"/>
  <c r="AH49" i="824" s="1"/>
  <c r="AG49" i="824" s="1"/>
  <c r="AH48" i="824" s="1"/>
  <c r="AG48" i="824" s="1"/>
  <c r="AH47" i="824" s="1"/>
  <c r="AG47" i="824" s="1"/>
  <c r="AH46" i="824" s="1"/>
  <c r="AG46" i="824" s="1"/>
  <c r="AH45" i="824" s="1"/>
  <c r="AG45" i="824" s="1"/>
  <c r="AH44" i="824" s="1"/>
  <c r="AG44" i="824" s="1"/>
  <c r="AH43" i="824" s="1"/>
  <c r="AG43" i="824" s="1"/>
  <c r="AH42" i="824" s="1"/>
  <c r="AG42" i="824" s="1"/>
  <c r="AH41" i="824" s="1"/>
  <c r="AG41" i="824" s="1"/>
  <c r="AH40" i="824" s="1"/>
  <c r="AG40" i="824" s="1"/>
  <c r="AH39" i="824" s="1"/>
  <c r="AG39" i="824" s="1"/>
  <c r="AH38" i="824" s="1"/>
  <c r="AG38" i="824" s="1"/>
  <c r="AH37" i="824" s="1"/>
  <c r="AG37" i="824" s="1"/>
  <c r="AH36" i="824" s="1"/>
  <c r="AG36" i="824" s="1"/>
  <c r="AH35" i="824" s="1"/>
  <c r="AG35" i="824" s="1"/>
  <c r="AH34" i="824" s="1"/>
  <c r="AG34" i="824" s="1"/>
  <c r="AH33" i="824" s="1"/>
  <c r="AG33" i="824" s="1"/>
  <c r="AH32" i="824" s="1"/>
  <c r="AG32" i="824" s="1"/>
  <c r="AH31" i="824" s="1"/>
  <c r="AG31" i="824" s="1"/>
  <c r="AH30" i="824" s="1"/>
  <c r="AG30" i="824" s="1"/>
  <c r="AH29" i="824" s="1"/>
  <c r="AG29" i="824" s="1"/>
  <c r="AD20" i="805"/>
  <c r="AQ18" i="805"/>
  <c r="AP18" i="805" s="1"/>
  <c r="AD19" i="805"/>
  <c r="AD17" i="805"/>
  <c r="AD13" i="805"/>
  <c r="AQ15" i="805"/>
  <c r="AP15" i="805" s="1"/>
  <c r="AD16" i="805"/>
  <c r="AD12" i="805"/>
  <c r="AQ10" i="805"/>
  <c r="AP10" i="805" s="1"/>
  <c r="AD11" i="805"/>
  <c r="AD9" i="805"/>
  <c r="AD8" i="805"/>
  <c r="AA17" i="404"/>
  <c r="N10" i="404"/>
  <c r="P29" i="404"/>
  <c r="P24" i="404"/>
  <c r="W4" i="404"/>
  <c r="U4" i="404" s="1"/>
  <c r="P25" i="404"/>
  <c r="E31" i="404"/>
  <c r="AA15" i="404"/>
  <c r="AA16" i="404" s="1"/>
  <c r="P27" i="404"/>
  <c r="P22" i="404"/>
  <c r="P26" i="404"/>
  <c r="AB11" i="404"/>
  <c r="AA18" i="404"/>
  <c r="Q29" i="404"/>
  <c r="P23" i="404"/>
  <c r="E14" i="404"/>
  <c r="P28" i="404"/>
  <c r="AH28" i="824" l="1"/>
  <c r="AG28" i="824" s="1"/>
  <c r="X28" i="824" s="1"/>
  <c r="AH27" i="824" s="1"/>
  <c r="AG27" i="824" s="1"/>
  <c r="X29" i="824"/>
  <c r="BW126" i="825"/>
  <c r="CA126" i="825" s="1"/>
  <c r="BE126" i="825"/>
  <c r="BI126" i="825" s="1"/>
  <c r="Y9" i="825"/>
  <c r="BW125" i="825"/>
  <c r="CA125" i="825" s="1"/>
  <c r="BE125" i="825"/>
  <c r="BI125" i="825" s="1"/>
  <c r="Y8" i="825"/>
  <c r="AQ14" i="805"/>
  <c r="AP14" i="805" s="1"/>
  <c r="AD15" i="805"/>
  <c r="AD18" i="805"/>
  <c r="AD10" i="805"/>
  <c r="J17" i="404"/>
  <c r="J34" i="404"/>
  <c r="E11" i="404"/>
  <c r="E12" i="404"/>
  <c r="AA12" i="404"/>
  <c r="E28" i="404"/>
  <c r="AA11" i="404"/>
  <c r="E29" i="404"/>
  <c r="X27" i="824" l="1"/>
  <c r="AH26" i="824"/>
  <c r="AG26" i="824" s="1"/>
  <c r="BI205" i="825"/>
  <c r="CA205" i="825"/>
  <c r="Y88" i="825"/>
  <c r="Y90" i="825" s="1"/>
  <c r="Y92" i="825" s="1"/>
  <c r="AD14" i="805"/>
  <c r="Y88" i="805"/>
  <c r="Y90" i="805" s="1"/>
  <c r="Y92" i="805" s="1"/>
  <c r="J9" i="404"/>
  <c r="J27" i="404"/>
  <c r="W23" i="404"/>
  <c r="X26" i="824" l="1"/>
  <c r="AH25" i="824"/>
  <c r="AG25" i="824" s="1"/>
  <c r="BI207" i="825"/>
  <c r="BI208" i="825" s="1"/>
  <c r="CA207" i="825"/>
  <c r="CA208" i="825" s="1"/>
  <c r="W25" i="404"/>
  <c r="W26" i="404" s="1"/>
  <c r="U28" i="404" s="1"/>
  <c r="J36" i="404"/>
  <c r="J37" i="404" s="1"/>
  <c r="J19" i="404"/>
  <c r="J20" i="404" s="1"/>
  <c r="E30" i="404" a="1"/>
  <c r="E13" i="404" a="1"/>
  <c r="X25" i="824" l="1"/>
  <c r="AH24" i="824"/>
  <c r="AG24" i="824" s="1"/>
  <c r="X24" i="824" l="1"/>
  <c r="AH23" i="824"/>
  <c r="AG23" i="824" s="1"/>
  <c r="X23" i="824" l="1"/>
  <c r="AH22" i="824"/>
  <c r="AG22" i="824" s="1"/>
  <c r="X22" i="824" l="1"/>
  <c r="AH21" i="824"/>
  <c r="AG21" i="824" s="1"/>
  <c r="X21" i="824" l="1"/>
  <c r="AH20" i="824"/>
  <c r="AG20" i="824" s="1"/>
  <c r="X20" i="824" l="1"/>
  <c r="AH19" i="824"/>
  <c r="AG19" i="824" s="1"/>
  <c r="X19" i="824" l="1"/>
  <c r="AH18" i="824"/>
  <c r="AG18" i="824" s="1"/>
  <c r="X18" i="824" l="1"/>
  <c r="AH17" i="824"/>
  <c r="AG17" i="824" s="1"/>
  <c r="X17" i="824" l="1"/>
  <c r="AH16" i="824"/>
  <c r="AG16" i="824" s="1"/>
  <c r="X16" i="824" l="1"/>
  <c r="AH15" i="824"/>
  <c r="AG15" i="824" s="1"/>
  <c r="X15" i="824" l="1"/>
  <c r="AH14" i="824"/>
  <c r="AG14" i="824" s="1"/>
  <c r="X14" i="824" l="1"/>
  <c r="AH13" i="824"/>
  <c r="AG13" i="824" s="1"/>
  <c r="X13" i="824" l="1"/>
  <c r="AH12" i="824"/>
  <c r="AG12" i="824" s="1"/>
  <c r="X12" i="824" l="1"/>
  <c r="AH11" i="824"/>
  <c r="AG11" i="824" s="1"/>
  <c r="X11" i="824" l="1"/>
  <c r="AH10" i="824"/>
  <c r="AG10" i="824" s="1"/>
  <c r="X10" i="824" l="1"/>
  <c r="AH9" i="824"/>
  <c r="AG9" i="824" s="1"/>
  <c r="X9" i="824" l="1"/>
  <c r="AH8" i="824"/>
  <c r="AG8" i="824" s="1"/>
  <c r="X8" i="82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Panha-PC</author>
  </authors>
  <commentList>
    <comment ref="O7" authorId="0" shapeId="0" xr:uid="{25EBCAE1-02D5-4C61-BE33-44AA702C690D}">
      <text>
        <r>
          <rPr>
            <b/>
            <sz val="9"/>
            <color indexed="81"/>
            <rFont val="Tahoma"/>
            <family val="2"/>
          </rPr>
          <t>Stock Input  related to UOM</t>
        </r>
      </text>
    </comment>
    <comment ref="Q7" authorId="0" shapeId="0" xr:uid="{408C08EC-BF45-44D3-90FE-E2B060C1812B}">
      <text>
        <r>
          <rPr>
            <b/>
            <sz val="9"/>
            <color indexed="81"/>
            <rFont val="Roboto"/>
          </rPr>
          <t>Stock ending=(J+M+O+P)- (K+L+N+Q)</t>
        </r>
      </text>
    </comment>
    <comment ref="V7" authorId="0" shapeId="0" xr:uid="{8E976B1A-7F4D-4B0F-A052-18A5CE2E8192}">
      <text>
        <r>
          <rPr>
            <b/>
            <sz val="9"/>
            <color indexed="81"/>
            <rFont val="Tahoma"/>
            <family val="2"/>
          </rPr>
          <t>Conversion base on UOM</t>
        </r>
      </text>
    </comment>
    <comment ref="X7" authorId="0" shapeId="0" xr:uid="{FF91457F-B0ED-4E65-8889-88916932867E}">
      <text>
        <r>
          <rPr>
            <b/>
            <sz val="9"/>
            <color indexed="81"/>
            <rFont val="Tahoma"/>
            <family val="2"/>
          </rPr>
          <t>Unit Cost by UoM Conversion</t>
        </r>
      </text>
    </comment>
    <comment ref="Z7" authorId="0" shapeId="0" xr:uid="{394444BD-746A-4DB6-84AF-6276732B78C4}">
      <text>
        <r>
          <rPr>
            <b/>
            <sz val="9"/>
            <color indexed="81"/>
            <rFont val="Tahoma"/>
            <family val="2"/>
          </rPr>
          <t>Check stock available inventory total</t>
        </r>
      </text>
    </comment>
    <comment ref="AA7" authorId="0" shapeId="0" xr:uid="{E11B7B5C-1AD0-4ACE-A10D-7D446F9F9FE1}">
      <text>
        <r>
          <rPr>
            <b/>
            <sz val="9"/>
            <color indexed="81"/>
            <rFont val="Tahoma"/>
            <family val="2"/>
          </rPr>
          <t>Check stock specific date</t>
        </r>
      </text>
    </comment>
    <comment ref="AB7" authorId="0" shapeId="0" xr:uid="{30E68290-80A7-4584-A4CC-F1C8680505AA}">
      <text>
        <r>
          <rPr>
            <b/>
            <sz val="9"/>
            <color indexed="81"/>
            <rFont val="Tahoma"/>
            <family val="2"/>
          </rPr>
          <t>Total stock available</t>
        </r>
      </text>
    </comment>
    <comment ref="AC7" authorId="0" shapeId="0" xr:uid="{D9EBC7CD-F9E9-4E5D-B9A3-B1EDE20DC8AE}">
      <text>
        <r>
          <rPr>
            <b/>
            <sz val="9"/>
            <color indexed="81"/>
            <rFont val="Tahoma"/>
            <family val="2"/>
          </rPr>
          <t>Unit Cost before conversion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Panha-PC</author>
  </authors>
  <commentList>
    <comment ref="AS7" authorId="0" shapeId="0" xr:uid="{88CEE140-88B2-4C23-A766-4D7A0BCCEDC1}">
      <text>
        <r>
          <rPr>
            <sz val="9"/>
            <color indexed="81"/>
            <rFont val="Tahoma"/>
            <family val="2"/>
          </rPr>
          <t xml:space="preserve">Product Price get from Sheet Product Price that is inputed price by uom.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Bou Panha</author>
  </authors>
  <commentList>
    <comment ref="H9" authorId="0" shapeId="0" xr:uid="{13E7632C-2E0B-427F-8A0C-3797D3B5ACB2}">
      <text>
        <r>
          <rPr>
            <b/>
            <sz val="9"/>
            <color indexed="81"/>
            <rFont val="Tahoma"/>
            <family val="2"/>
          </rPr>
          <t>1:VAT before discount
2:VAT after discount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Panha-PC</author>
  </authors>
  <commentList>
    <comment ref="I7" authorId="0" shapeId="0" xr:uid="{8E6CFD56-24B5-46F1-B2D5-E867C678926D}">
      <text>
        <r>
          <rPr>
            <sz val="9"/>
            <color indexed="81"/>
            <rFont val="Tahoma"/>
            <family val="2"/>
          </rPr>
          <t xml:space="preserve">1:small uom
0:middle uom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Panha-PC</author>
  </authors>
  <commentList>
    <comment ref="Q7" authorId="0" shapeId="0" xr:uid="{D5D1A514-9127-4698-A2E6-4C3D11B53BFC}">
      <text>
        <r>
          <rPr>
            <b/>
            <sz val="9"/>
            <color indexed="81"/>
            <rFont val="Tahoma"/>
            <family val="2"/>
          </rPr>
          <t>1:Amount
2:Percent
3:Add On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Panha-PC</author>
  </authors>
  <commentList>
    <comment ref="Q27" authorId="0" shapeId="0" xr:uid="{57983245-0EC6-4DFB-B391-4BBB6309E975}">
      <text>
        <r>
          <rPr>
            <b/>
            <sz val="9"/>
            <color indexed="81"/>
            <rFont val="Tahoma"/>
            <family val="2"/>
          </rPr>
          <t>1:Amount
2:Percent
3:Add On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Bou Panha</author>
  </authors>
  <commentList>
    <comment ref="Y7" authorId="0" shapeId="0" xr:uid="{9B07332E-C06C-48E1-8691-F09483D95649}">
      <text>
        <r>
          <rPr>
            <sz val="9"/>
            <color indexed="81"/>
            <rFont val="Tahoma"/>
            <family val="2"/>
          </rPr>
          <t>1:Product
2:Service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Bou Panha</author>
  </authors>
  <commentList>
    <comment ref="W19" authorId="0" shapeId="0" xr:uid="{EDD35DC1-E219-493C-BD59-A495EF186A45}">
      <text>
        <r>
          <rPr>
            <sz val="9"/>
            <color indexed="81"/>
            <rFont val="Tahoma"/>
            <family val="2"/>
          </rPr>
          <t>1:Product
2:Service</t>
        </r>
      </text>
    </comment>
    <comment ref="BE41" authorId="0" shapeId="0" xr:uid="{408BF72A-022C-4D4F-A384-3A823C153D3B}">
      <text>
        <r>
          <rPr>
            <sz val="9"/>
            <color indexed="81"/>
            <rFont val="Tahoma"/>
            <family val="2"/>
          </rPr>
          <t>1:Product
2:Service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5C5CCB3-B8BB-4584-A8DB-CA5F0CA5F0AC}" keepAlive="1" name="Query - NBC_Exchange_Rate" description="Connection to the 'NBC_Exchange_Rate' query in the workbook." type="5" refreshedVersion="8" background="1" saveData="1">
    <dbPr connection="Provider=Microsoft.Mashup.OleDb.1;Data Source=$Workbook$;Location=NBC_Exchange_Rate;Extended Properties=&quot;&quot;" command="SELECT * FROM [NBC_Exchange_Rate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<sst xmlns="http://schemas.openxmlformats.org/spreadsheetml/2006/main" count="13199" uniqueCount="4802">
  <si>
    <t>Column1</t>
  </si>
  <si>
    <t>Column2</t>
  </si>
  <si>
    <t>Column3</t>
  </si>
  <si>
    <t>រូបិយប័ណ្ណ</t>
  </si>
  <si>
    <t>ទិញ</t>
  </si>
  <si>
    <t>លក់</t>
  </si>
  <si>
    <t>ដុល្លារអូស្រ្តាលី</t>
  </si>
  <si>
    <t>យ៉ន់ចិន</t>
  </si>
  <si>
    <t>អ៊ឺរ៉ូ</t>
  </si>
  <si>
    <t>No.</t>
  </si>
  <si>
    <t>No</t>
  </si>
  <si>
    <t>Month</t>
  </si>
  <si>
    <t>Name</t>
  </si>
  <si>
    <t>Exchange Rate</t>
  </si>
  <si>
    <t>UoM</t>
  </si>
  <si>
    <t>01.មករា</t>
  </si>
  <si>
    <t>Abbr</t>
  </si>
  <si>
    <t>Name En</t>
  </si>
  <si>
    <t>02.កុម្ភៈ</t>
  </si>
  <si>
    <t>Unit</t>
  </si>
  <si>
    <t>01.លក់ដុំ ទូទៅ</t>
  </si>
  <si>
    <t>03.មីនា</t>
  </si>
  <si>
    <t>02.លក់រាយ ទូទៅ</t>
  </si>
  <si>
    <t>Address</t>
  </si>
  <si>
    <t>04.មេសា</t>
  </si>
  <si>
    <t>10</t>
  </si>
  <si>
    <t>05.ឧសភា</t>
  </si>
  <si>
    <t>11</t>
  </si>
  <si>
    <t>06.មិថុនា</t>
  </si>
  <si>
    <t>Unit Price</t>
  </si>
  <si>
    <t>07.កក្កដា</t>
  </si>
  <si>
    <t>08.សីហា</t>
  </si>
  <si>
    <t>ABA</t>
  </si>
  <si>
    <t>09.កញ្ញា</t>
  </si>
  <si>
    <t>10.តុលា</t>
  </si>
  <si>
    <t>11.វិច្ឆិកា</t>
  </si>
  <si>
    <t>12</t>
  </si>
  <si>
    <t>កាលបរិច្ឆេទ ៖</t>
  </si>
  <si>
    <t>13</t>
  </si>
  <si>
    <t>14</t>
  </si>
  <si>
    <t>15</t>
  </si>
  <si>
    <t>16</t>
  </si>
  <si>
    <t>17</t>
  </si>
  <si>
    <t>18</t>
  </si>
  <si>
    <t>19</t>
  </si>
  <si>
    <t>20</t>
  </si>
  <si>
    <t>បញ្ចុះតម្លៃ</t>
  </si>
  <si>
    <t>ល.រ</t>
  </si>
  <si>
    <t>ភាគរយ</t>
  </si>
  <si>
    <t>1</t>
  </si>
  <si>
    <t>0</t>
  </si>
  <si>
    <t>1.បញ្ចុះតម្លៃជាសាច់ប្រាក់</t>
  </si>
  <si>
    <t>2</t>
  </si>
  <si>
    <t>2.បញ្ចុះតម្លៃជាភាគរយ</t>
  </si>
  <si>
    <t>3</t>
  </si>
  <si>
    <t>25</t>
  </si>
  <si>
    <t>4</t>
  </si>
  <si>
    <t>5</t>
  </si>
  <si>
    <t>6</t>
  </si>
  <si>
    <t>location name</t>
  </si>
  <si>
    <t>ឈ្មោះផលិតផល</t>
  </si>
  <si>
    <t>ខ្នាត</t>
  </si>
  <si>
    <t>ថ្លៃដើម</t>
  </si>
  <si>
    <t>លេខកូដខ្នាត</t>
  </si>
  <si>
    <t>សំគាល់</t>
  </si>
  <si>
    <t>ចំនួន</t>
  </si>
  <si>
    <t>Product Name</t>
  </si>
  <si>
    <t>Qty</t>
  </si>
  <si>
    <t>Unit Cost</t>
  </si>
  <si>
    <t>Line</t>
  </si>
  <si>
    <t>Date</t>
  </si>
  <si>
    <t>PR No</t>
  </si>
  <si>
    <t>សប្តាហ៍</t>
  </si>
  <si>
    <t>កាលបរិច្ឆេទ</t>
  </si>
  <si>
    <t>បរិយាយ</t>
  </si>
  <si>
    <t>សម្គាល់</t>
  </si>
  <si>
    <t>Description</t>
  </si>
  <si>
    <t>Remark</t>
  </si>
  <si>
    <t>Note</t>
  </si>
  <si>
    <t>ឈ្មោះអតិថិជន</t>
  </si>
  <si>
    <t>ប្រាក់បានទូទាត់</t>
  </si>
  <si>
    <t>Invoice No</t>
  </si>
  <si>
    <t>Total Amount</t>
  </si>
  <si>
    <t>Discount</t>
  </si>
  <si>
    <t>Balance</t>
  </si>
  <si>
    <t>តម្លៃសរុប</t>
  </si>
  <si>
    <t>៖</t>
  </si>
  <si>
    <t>Item Description/Service</t>
  </si>
  <si>
    <t>កូដអតិថិជន</t>
  </si>
  <si>
    <t>បរិយាយផលិតផល</t>
  </si>
  <si>
    <t>តម្លៃឯកតា</t>
  </si>
  <si>
    <t>របាយការណ៍ស្តុក</t>
  </si>
  <si>
    <t>បាកូដ</t>
  </si>
  <si>
    <t>សមតុល្យស្តុក</t>
  </si>
  <si>
    <t>Barcode</t>
  </si>
  <si>
    <t>Beginning Stock</t>
  </si>
  <si>
    <t>Ajust Stock</t>
  </si>
  <si>
    <t>Ending​ Stock</t>
  </si>
  <si>
    <t>Code</t>
  </si>
  <si>
    <t>Name Kh</t>
  </si>
  <si>
    <t>Phone</t>
  </si>
  <si>
    <t>Email/Telegram/Other</t>
  </si>
  <si>
    <t>015 43 44 00</t>
  </si>
  <si>
    <t>លេខកូដអតិថិជន</t>
  </si>
  <si>
    <t>លេខទូរស័ព្ទ</t>
  </si>
  <si>
    <t>បណ្តាញទំនាក់ទំនងសង្គម</t>
  </si>
  <si>
    <t>អាសយដ្ឋាន</t>
  </si>
  <si>
    <t>EWA TIN:</t>
  </si>
  <si>
    <t>E</t>
  </si>
  <si>
    <t>-</t>
  </si>
  <si>
    <t>Annex: FA-3.2 Commercial Invoice (Form version 1.0)</t>
  </si>
  <si>
    <t>លេខវិក្កយបត្រ៖</t>
  </si>
  <si>
    <t>Invoice No:</t>
  </si>
  <si>
    <t>Reference (Attachement):</t>
  </si>
  <si>
    <t>កាលបរិច្ឆេទ៖</t>
  </si>
  <si>
    <t>Date:</t>
  </si>
  <si>
    <t>NBC Ex.Rate</t>
  </si>
  <si>
    <t>Get exchange NBC</t>
  </si>
  <si>
    <t>ពត័ត៌មានអតិថិជន/Customer Details</t>
  </si>
  <si>
    <t>លេខអត្តសញ្ញាណសម្គាល់ (MOI ID/TID…ect.)</t>
  </si>
  <si>
    <t>ឈ្មោះអតិថិជន៖</t>
  </si>
  <si>
    <t>Customer name:</t>
  </si>
  <si>
    <t>Ex:</t>
  </si>
  <si>
    <t>K</t>
  </si>
  <si>
    <t>X</t>
  </si>
  <si>
    <t>អាសយដ្ឋាន៖</t>
  </si>
  <si>
    <t>Please key in TIN here:</t>
  </si>
  <si>
    <t>Address:</t>
  </si>
  <si>
    <t>លេខទូរស័ព្ទ៖</t>
  </si>
  <si>
    <t>អ៊ីម៉ែល៖</t>
  </si>
  <si>
    <t>Telelphone:​</t>
  </si>
  <si>
    <t>Email:</t>
  </si>
  <si>
    <t>លេខអត្តសញ្ញាណសម្គាល់៖ 
(MOI ID/TID):</t>
  </si>
  <si>
    <t>បរិយាយមុខសេវា/ទំនិញ</t>
  </si>
  <si>
    <t>ឯកតា</t>
  </si>
  <si>
    <t>បរិមាណ</t>
  </si>
  <si>
    <t>តម្លៃសរុបរួបអាករ</t>
  </si>
  <si>
    <t>Unit Rate (USD)</t>
  </si>
  <si>
    <t>Amount with tax (USD)</t>
  </si>
  <si>
    <t>Amount with tax (KHR)</t>
  </si>
  <si>
    <t>Translation from Khmer to English</t>
  </si>
  <si>
    <t>Pages 1-3 and 7 (4 pages in total)</t>
  </si>
  <si>
    <t>page</t>
  </si>
  <si>
    <t xml:space="preserve">Grand total in word: </t>
  </si>
  <si>
    <t>សរុបរួមទាំងអាករលើតម្លៃបន្ថែម</t>
  </si>
  <si>
    <t>អត្រាប្តូរប្រាក់ ១ ដុល្លារ  =</t>
  </si>
  <si>
    <t>Total amount with 10% VAT:</t>
  </si>
  <si>
    <t>NBC Exchange Rate</t>
  </si>
  <si>
    <t>សម្គាល់៖ ច្បាប់ដើមសម្រាប់អ្នកទិញ និងច្បាប់ថតចម្លងដើមអ្នក​ផ្តល់សេវា</t>
  </si>
  <si>
    <t>Note: Orginal invoice is issued for customer while the copied one is kept by service provider.</t>
  </si>
  <si>
    <t>TIN:</t>
  </si>
  <si>
    <t>លេខអត្តសញ្ញាណកម្មសារពើពន្អ (TIN):</t>
  </si>
  <si>
    <t>ពត័ត៌មានអតិថិជន / Customer Detail</t>
  </si>
  <si>
    <t>Customer name</t>
  </si>
  <si>
    <t>Tel / Mobile​</t>
  </si>
  <si>
    <t>លេខអត្តសញ្ញាណសម្គាល់ 
(MOI ID/TID)</t>
  </si>
  <si>
    <t>Grand total included VAT 10%</t>
  </si>
  <si>
    <t>សម្គាល់៖ ច្បាប់ដើមសម្រាប់អ្នកទិញ និងច្បាប់ថតចម្លងដើម</t>
  </si>
  <si>
    <t>Note: Orginal Invoice for customer, Copied invoice for seller.</t>
  </si>
  <si>
    <t>លេខកូដ</t>
  </si>
  <si>
    <t>ខែ</t>
  </si>
  <si>
    <t>12.ធ្នូ</t>
  </si>
  <si>
    <t>Customer Name</t>
  </si>
  <si>
    <t>Status</t>
  </si>
  <si>
    <t>លេខបង្កាន់ដៃ</t>
  </si>
  <si>
    <t>ប្រាក់សុទ្ធ</t>
  </si>
  <si>
    <t>ទទួលពី</t>
  </si>
  <si>
    <t>ទទួលដោយ</t>
  </si>
  <si>
    <t>សេវាកម្មផ្ញើលុយផ្សេងៗ</t>
  </si>
  <si>
    <t>សម្រាប់វិក្កយប័ត្រ</t>
  </si>
  <si>
    <t>បញ្ចូលពត៌មានខាងក្រោម</t>
  </si>
  <si>
    <t>អត្រាប្តូរប្រាក់​​ ៖</t>
  </si>
  <si>
    <t>ប្រភេទម៉ូឌុល</t>
  </si>
  <si>
    <t>Vendor Code</t>
  </si>
  <si>
    <t>អ្នកផ្គត់ផ្គង់ទូទៅ</t>
  </si>
  <si>
    <t>លេខកូដអ្នកផ្គត់ផ្គង់</t>
  </si>
  <si>
    <t>ឈ្មោះអ្នកផ្គត់ផ្គង់</t>
  </si>
  <si>
    <t>Vendor Name KH</t>
  </si>
  <si>
    <t>General Vendor</t>
  </si>
  <si>
    <t>ឈ្មោះក្រុមហ៊ុន</t>
  </si>
  <si>
    <t/>
  </si>
  <si>
    <t>Sale​ Stock</t>
  </si>
  <si>
    <t>តំរឹមស្តុក</t>
  </si>
  <si>
    <t>ប្រាក់ជំពាក់សរុប</t>
  </si>
  <si>
    <t>Branch ID</t>
  </si>
  <si>
    <t>លេខសាខា</t>
  </si>
  <si>
    <t>ប្រាក់សរុប</t>
  </si>
  <si>
    <t>ស្ថានភាព</t>
  </si>
  <si>
    <t>សប្តាហ៍ទី1</t>
  </si>
  <si>
    <t>សប្តាហ៍ទី2</t>
  </si>
  <si>
    <t>សប្តាហ៍ទី3</t>
  </si>
  <si>
    <t>សប្តាហ៍ទី4</t>
  </si>
  <si>
    <t>01.សាប៊ូលាងចាន 4លីត្រ</t>
  </si>
  <si>
    <t>ឈ្មោះ</t>
  </si>
  <si>
    <t>Inventory</t>
  </si>
  <si>
    <t>Sales</t>
  </si>
  <si>
    <t>Accounting</t>
  </si>
  <si>
    <t>Report</t>
  </si>
  <si>
    <t>គណនេយ្យ</t>
  </si>
  <si>
    <t>របាយការណ៍</t>
  </si>
  <si>
    <t>កន្លែងកំណត់</t>
  </si>
  <si>
    <t>គ្រប់គ្រងបញ្ជាទិញ</t>
  </si>
  <si>
    <t>គ្រប់គ្រងបញ្ជាលក់</t>
  </si>
  <si>
    <t>Setting</t>
  </si>
  <si>
    <t>Purchasing</t>
  </si>
  <si>
    <t>Database</t>
  </si>
  <si>
    <t>ស្តុកផលិត</t>
  </si>
  <si>
    <t>ស្តុកលក់</t>
  </si>
  <si>
    <t>ឆ្នាំ</t>
  </si>
  <si>
    <t>Year</t>
  </si>
  <si>
    <t>ស្តុករាប់ជាក់ស្តែង</t>
  </si>
  <si>
    <t>Avariable Stock</t>
  </si>
  <si>
    <t>Branch Id</t>
  </si>
  <si>
    <t>ស្តុកចុងក្រោយ</t>
  </si>
  <si>
    <t>Id</t>
  </si>
  <si>
    <t>លេខឃ្លាំង</t>
  </si>
  <si>
    <t>លេខគណនេយ្យ</t>
  </si>
  <si>
    <t>Ending Qty</t>
  </si>
  <si>
    <t>Purchase Bill Id</t>
  </si>
  <si>
    <t>type</t>
  </si>
  <si>
    <t>Customer Id</t>
  </si>
  <si>
    <t>Vendor Id</t>
  </si>
  <si>
    <t>Product Id</t>
  </si>
  <si>
    <t>លរ</t>
  </si>
  <si>
    <t>ប្រភេទ</t>
  </si>
  <si>
    <t>អតិថិជន</t>
  </si>
  <si>
    <t>ថ្លៃលក់</t>
  </si>
  <si>
    <t>ស្តុកបញ្ចូល</t>
  </si>
  <si>
    <t>Adjust Qty</t>
  </si>
  <si>
    <t>Item Description</t>
  </si>
  <si>
    <t>Created By</t>
  </si>
  <si>
    <t>ប្រភេទស្តុក</t>
  </si>
  <si>
    <t>បញ្ចូលស្តុកថ្មី</t>
  </si>
  <si>
    <t>កំណត់សម្គាល់</t>
  </si>
  <si>
    <t>Conversion</t>
  </si>
  <si>
    <t>Uom Id</t>
  </si>
  <si>
    <t>Total Price</t>
  </si>
  <si>
    <t>ខ្នាតតូច</t>
  </si>
  <si>
    <t>កូដ</t>
  </si>
  <si>
    <t>ឈ្មោះខ្មែរ</t>
  </si>
  <si>
    <t>ឈ្មោះឡាតាំង</t>
  </si>
  <si>
    <t>បណ្តាញសង្គម</t>
  </si>
  <si>
    <t>Telephone</t>
  </si>
  <si>
    <t>Name EN</t>
  </si>
  <si>
    <t>Name KH</t>
  </si>
  <si>
    <t>00001</t>
  </si>
  <si>
    <t>00002</t>
  </si>
  <si>
    <t>00003</t>
  </si>
  <si>
    <t>00004</t>
  </si>
  <si>
    <t>00005</t>
  </si>
  <si>
    <t>00006</t>
  </si>
  <si>
    <t>00007</t>
  </si>
  <si>
    <t>00008</t>
  </si>
  <si>
    <t>00009</t>
  </si>
  <si>
    <t>00010</t>
  </si>
  <si>
    <t>00011</t>
  </si>
  <si>
    <t>00012</t>
  </si>
  <si>
    <t>00013</t>
  </si>
  <si>
    <t>00014</t>
  </si>
  <si>
    <t>00015</t>
  </si>
  <si>
    <t>00016</t>
  </si>
  <si>
    <t>00017</t>
  </si>
  <si>
    <t>00018</t>
  </si>
  <si>
    <t>00019</t>
  </si>
  <si>
    <t>00020</t>
  </si>
  <si>
    <t>00021</t>
  </si>
  <si>
    <t>00022</t>
  </si>
  <si>
    <t>00023</t>
  </si>
  <si>
    <t>00024</t>
  </si>
  <si>
    <t>00025</t>
  </si>
  <si>
    <t>00026</t>
  </si>
  <si>
    <t>00027</t>
  </si>
  <si>
    <t>00028</t>
  </si>
  <si>
    <t>00029</t>
  </si>
  <si>
    <t>00030</t>
  </si>
  <si>
    <t>00031</t>
  </si>
  <si>
    <t>00032</t>
  </si>
  <si>
    <t>00033</t>
  </si>
  <si>
    <t>00034</t>
  </si>
  <si>
    <t>00035</t>
  </si>
  <si>
    <t>00036</t>
  </si>
  <si>
    <t>00037</t>
  </si>
  <si>
    <t>00038</t>
  </si>
  <si>
    <t>00039</t>
  </si>
  <si>
    <t>00040</t>
  </si>
  <si>
    <t>00041</t>
  </si>
  <si>
    <t>00042</t>
  </si>
  <si>
    <t>00043</t>
  </si>
  <si>
    <t>00044</t>
  </si>
  <si>
    <t>00045</t>
  </si>
  <si>
    <t>00046</t>
  </si>
  <si>
    <t>00047</t>
  </si>
  <si>
    <t>00048</t>
  </si>
  <si>
    <t>00049</t>
  </si>
  <si>
    <t>00050</t>
  </si>
  <si>
    <t>00051</t>
  </si>
  <si>
    <t>00052</t>
  </si>
  <si>
    <t>00053</t>
  </si>
  <si>
    <t>00054</t>
  </si>
  <si>
    <t>00055</t>
  </si>
  <si>
    <t>00056</t>
  </si>
  <si>
    <t>00057</t>
  </si>
  <si>
    <t>00058</t>
  </si>
  <si>
    <t>00059</t>
  </si>
  <si>
    <t>00060</t>
  </si>
  <si>
    <t>00061</t>
  </si>
  <si>
    <t>00062</t>
  </si>
  <si>
    <t>00063</t>
  </si>
  <si>
    <t>00064</t>
  </si>
  <si>
    <t>00065</t>
  </si>
  <si>
    <t>00066</t>
  </si>
  <si>
    <t>00067</t>
  </si>
  <si>
    <t>00068</t>
  </si>
  <si>
    <t>00069</t>
  </si>
  <si>
    <t>00070</t>
  </si>
  <si>
    <t>00071</t>
  </si>
  <si>
    <t>00072</t>
  </si>
  <si>
    <t>00073</t>
  </si>
  <si>
    <t>00074</t>
  </si>
  <si>
    <t>00075</t>
  </si>
  <si>
    <t>00076</t>
  </si>
  <si>
    <t>00077</t>
  </si>
  <si>
    <t>00078</t>
  </si>
  <si>
    <t>00079</t>
  </si>
  <si>
    <t>00080</t>
  </si>
  <si>
    <t>00081</t>
  </si>
  <si>
    <t>00082</t>
  </si>
  <si>
    <t>00083</t>
  </si>
  <si>
    <t>00084</t>
  </si>
  <si>
    <t>00085</t>
  </si>
  <si>
    <t>00086</t>
  </si>
  <si>
    <t>00087</t>
  </si>
  <si>
    <t>00088</t>
  </si>
  <si>
    <t>00089</t>
  </si>
  <si>
    <t>00090</t>
  </si>
  <si>
    <t>00091</t>
  </si>
  <si>
    <t>Module Type Id</t>
  </si>
  <si>
    <t>ម៉ូឌុល</t>
  </si>
  <si>
    <t>ឈ្មោះអង់គ្លេស</t>
  </si>
  <si>
    <t>Customer</t>
  </si>
  <si>
    <t>Vendor</t>
  </si>
  <si>
    <t>Member</t>
  </si>
  <si>
    <t>Customer Group</t>
  </si>
  <si>
    <t>Vendor Group</t>
  </si>
  <si>
    <t>Product/Service</t>
  </si>
  <si>
    <t>Warehouse</t>
  </si>
  <si>
    <t>Purchase</t>
  </si>
  <si>
    <t>General Setting</t>
  </si>
  <si>
    <t>Cash Expense</t>
  </si>
  <si>
    <t>Ordering</t>
  </si>
  <si>
    <t>status</t>
  </si>
  <si>
    <t>Module Type</t>
  </si>
  <si>
    <t>003.Product/Service</t>
  </si>
  <si>
    <t>040.Inventory</t>
  </si>
  <si>
    <t>041.Purchase</t>
  </si>
  <si>
    <t>044.Accounting</t>
  </si>
  <si>
    <t>045.General Setting</t>
  </si>
  <si>
    <t>Module</t>
  </si>
  <si>
    <t>Product Information</t>
  </si>
  <si>
    <t>SKU</t>
  </si>
  <si>
    <t>Reorder Level</t>
  </si>
  <si>
    <t>Add New Category</t>
  </si>
  <si>
    <t>Add New Brand</t>
  </si>
  <si>
    <t>Add New Mark</t>
  </si>
  <si>
    <t>Add New Model</t>
  </si>
  <si>
    <t>Add New UoM</t>
  </si>
  <si>
    <t>Add New Product/Service</t>
  </si>
  <si>
    <t>Set Price</t>
  </si>
  <si>
    <t>Clone Product</t>
  </si>
  <si>
    <t>Product have been saved successful</t>
  </si>
  <si>
    <t>Product already exist.</t>
  </si>
  <si>
    <t>Product can't be save, please try again.</t>
  </si>
  <si>
    <t>Add New Vendor Group</t>
  </si>
  <si>
    <t>Payment Term</t>
  </si>
  <si>
    <t>Add New Payment Term</t>
  </si>
  <si>
    <t>Product barcode already exist.</t>
  </si>
  <si>
    <t>Category List</t>
  </si>
  <si>
    <t>Category Information</t>
  </si>
  <si>
    <t>Sub of Group</t>
  </si>
  <si>
    <t>User Apply</t>
  </si>
  <si>
    <t>Product Member</t>
  </si>
  <si>
    <t>Category have been saved successful.</t>
  </si>
  <si>
    <t>Category can't be save, please try again.</t>
  </si>
  <si>
    <t>Brand List</t>
  </si>
  <si>
    <t>Brand have been saved successful.</t>
  </si>
  <si>
    <t>Brand can't be save, please try again.</t>
  </si>
  <si>
    <t>Mark List</t>
  </si>
  <si>
    <t>Mark have been saved successful.</t>
  </si>
  <si>
    <t>Mark can't be save, please try again.</t>
  </si>
  <si>
    <t>Model List</t>
  </si>
  <si>
    <t>Model have saved successful.</t>
  </si>
  <si>
    <t>Model can’t be save, please try again.</t>
  </si>
  <si>
    <t>Lot/Serial No.</t>
  </si>
  <si>
    <t>Expired Date</t>
  </si>
  <si>
    <t>Year List</t>
  </si>
  <si>
    <t>Add New Year</t>
  </si>
  <si>
    <t>Year have been saved successful.</t>
  </si>
  <si>
    <t>Year can't be save, please try again.</t>
  </si>
  <si>
    <t>UOM List</t>
  </si>
  <si>
    <t>ABBR</t>
  </si>
  <si>
    <t>UoM Information</t>
  </si>
  <si>
    <t>Brand Information</t>
  </si>
  <si>
    <t>Mark Information</t>
  </si>
  <si>
    <t>Year Information</t>
  </si>
  <si>
    <t>Year is exist, please try again.</t>
  </si>
  <si>
    <t>Model is exist , please try again.</t>
  </si>
  <si>
    <t>Mark is exist, please try again.</t>
  </si>
  <si>
    <t>Brand is exist, please try again.</t>
  </si>
  <si>
    <t>Category is exist, please try again.</t>
  </si>
  <si>
    <t>UoM have been saved successful.</t>
  </si>
  <si>
    <t>UoM can't be save, please try again.</t>
  </si>
  <si>
    <t>UoM is exist, please try again.</t>
  </si>
  <si>
    <t>UoM Conversion List</t>
  </si>
  <si>
    <t>Add New UoM Conversion</t>
  </si>
  <si>
    <t>From UoM</t>
  </si>
  <si>
    <t>To UoM</t>
  </si>
  <si>
    <t>UoM Conversion Information</t>
  </si>
  <si>
    <t>Main UoM</t>
  </si>
  <si>
    <t>Small UoM</t>
  </si>
  <si>
    <t>Other UoM</t>
  </si>
  <si>
    <t>Add New Other UoM</t>
  </si>
  <si>
    <t>UoM Conversion is exist, please try again.</t>
  </si>
  <si>
    <t>UoM Conversion have been saved successful.</t>
  </si>
  <si>
    <t>UoM Conversion can't be save, please try again</t>
  </si>
  <si>
    <t>Products</t>
  </si>
  <si>
    <t>Barcode Scaner</t>
  </si>
  <si>
    <t>Product Packages</t>
  </si>
  <si>
    <t>Units Of Measure</t>
  </si>
  <si>
    <t>Lots &amp; Serial Numbers</t>
  </si>
  <si>
    <t>Expireation Dates</t>
  </si>
  <si>
    <t>Costing</t>
  </si>
  <si>
    <t>Landed Costs</t>
  </si>
  <si>
    <t>Landed Cost Type</t>
  </si>
  <si>
    <t>Add New Landed Cost Type</t>
  </si>
  <si>
    <t>Landed Cost Type Information</t>
  </si>
  <si>
    <t>Landed Cost Type have been saved successful.</t>
  </si>
  <si>
    <t>Landed Cost Type can't be save.</t>
  </si>
  <si>
    <t>Landed Cost Type is exist, please try again.</t>
  </si>
  <si>
    <t>Warehouse List</t>
  </si>
  <si>
    <t>Add New Warehouse</t>
  </si>
  <si>
    <t>Warehouse Information</t>
  </si>
  <si>
    <t>Warehouse have been saved successful.</t>
  </si>
  <si>
    <t>Warehouse is exist, please try again.</t>
  </si>
  <si>
    <t>View product in warehouse</t>
  </si>
  <si>
    <t>Warehouse Type</t>
  </si>
  <si>
    <t>Allow Negative Stock (Sale)</t>
  </si>
  <si>
    <t>User Information</t>
  </si>
  <si>
    <t>Available</t>
  </si>
  <si>
    <t>Location List</t>
  </si>
  <si>
    <t>Add New Location</t>
  </si>
  <si>
    <t>Location Information</t>
  </si>
  <si>
    <t>Location have been saved successful.</t>
  </si>
  <si>
    <t>Location is exist, plesae try again.</t>
  </si>
  <si>
    <t>Location can't be save, please try again.</t>
  </si>
  <si>
    <t>For Sale</t>
  </si>
  <si>
    <t>Purchase order is active</t>
  </si>
  <si>
    <t>Warn about duplicate purchase order number</t>
  </si>
  <si>
    <t>Delivery</t>
  </si>
  <si>
    <t>Goods Receipt Note is active.</t>
  </si>
  <si>
    <t>Paying Bills</t>
  </si>
  <si>
    <t>Automatically use credits</t>
  </si>
  <si>
    <t>Allow payment discount</t>
  </si>
  <si>
    <t>Vendor Group List</t>
  </si>
  <si>
    <t>Vendor Group Information</t>
  </si>
  <si>
    <t>Vendor Group have been saved successful.</t>
  </si>
  <si>
    <t>Vendor Group is exist, please try again.</t>
  </si>
  <si>
    <t>042.Sales</t>
  </si>
  <si>
    <t>Sale Order is active</t>
  </si>
  <si>
    <t>Delivery Note is active.</t>
  </si>
  <si>
    <t>Invoice</t>
  </si>
  <si>
    <t>Warn about duplicate sale invoice number</t>
  </si>
  <si>
    <t>Warn if not enough inventoryto sell.</t>
  </si>
  <si>
    <t xml:space="preserve">Allow sale payment team </t>
  </si>
  <si>
    <t>Payment</t>
  </si>
  <si>
    <t>Enable sale rep</t>
  </si>
  <si>
    <t>Term condition List</t>
  </si>
  <si>
    <t>Net Days</t>
  </si>
  <si>
    <t>Term condition Information</t>
  </si>
  <si>
    <t>Add New Term Condition</t>
  </si>
  <si>
    <t>Price Type Setting</t>
  </si>
  <si>
    <t>Price Type List</t>
  </si>
  <si>
    <t>Add New Price Type</t>
  </si>
  <si>
    <t xml:space="preserve">Apply To </t>
  </si>
  <si>
    <t>Set To</t>
  </si>
  <si>
    <t>Term Condition have been saved successful.</t>
  </si>
  <si>
    <t>Team Condition cab't be save, please try again.</t>
  </si>
  <si>
    <t>Team Condition already exist.</t>
  </si>
  <si>
    <t>Price Type Information</t>
  </si>
  <si>
    <t>Price Type have been saved successful.</t>
  </si>
  <si>
    <t>Price Type can't be save, please try again.</t>
  </si>
  <si>
    <t>Price Type already exist.</t>
  </si>
  <si>
    <t>Sale Rep List</t>
  </si>
  <si>
    <t>Add New Sales Rep</t>
  </si>
  <si>
    <t>Sale Rep have been saved successful.</t>
  </si>
  <si>
    <t>Sale Rep can't save, please try again.</t>
  </si>
  <si>
    <t>Sale Rep already exist, please try again.</t>
  </si>
  <si>
    <t>Employee Group</t>
  </si>
  <si>
    <t>Employee Group List</t>
  </si>
  <si>
    <t>Employee Group have been saved successful.</t>
  </si>
  <si>
    <t>Employee Group can't be save, please try again.</t>
  </si>
  <si>
    <t>Employee Group already exist.</t>
  </si>
  <si>
    <t>Add New Employee Group</t>
  </si>
  <si>
    <t>Employee NO.</t>
  </si>
  <si>
    <t>Start Working Date</t>
  </si>
  <si>
    <t>Termination Date</t>
  </si>
  <si>
    <t>Position</t>
  </si>
  <si>
    <t>Salary</t>
  </si>
  <si>
    <t>Working for vendor</t>
  </si>
  <si>
    <t>Employee Type</t>
  </si>
  <si>
    <t>Sales Rep Information</t>
  </si>
  <si>
    <t>Customer Group List</t>
  </si>
  <si>
    <t>Add New Customer Group</t>
  </si>
  <si>
    <t>Customer Group Information</t>
  </si>
  <si>
    <t>043.POS</t>
  </si>
  <si>
    <t>Cashier</t>
  </si>
  <si>
    <t>Slide Display</t>
  </si>
  <si>
    <t>Use Cash Shift</t>
  </si>
  <si>
    <t>Multi Payment Method</t>
  </si>
  <si>
    <t>Multi Payment Currency</t>
  </si>
  <si>
    <t>Payment Method</t>
  </si>
  <si>
    <t>Add New POS Payment Method</t>
  </si>
  <si>
    <t>POS Payment Method Information</t>
  </si>
  <si>
    <t>Account</t>
  </si>
  <si>
    <t>POS Currency</t>
  </si>
  <si>
    <t>Add New POS Currency</t>
  </si>
  <si>
    <t>Currency</t>
  </si>
  <si>
    <t>Exchange List</t>
  </si>
  <si>
    <t xml:space="preserve">Add New Exchange </t>
  </si>
  <si>
    <t>Rate For Sell</t>
  </si>
  <si>
    <t>Rate For Change</t>
  </si>
  <si>
    <t>Rate For Purchase</t>
  </si>
  <si>
    <t>Slide Display List</t>
  </si>
  <si>
    <t>Add New Slide Display</t>
  </si>
  <si>
    <t>Slide Display have been saved successful.</t>
  </si>
  <si>
    <t>Slide Display cab't be save, please try again.</t>
  </si>
  <si>
    <t>Slide Display already exist, please try again.</t>
  </si>
  <si>
    <t>VAT</t>
  </si>
  <si>
    <t>Decimal Setting</t>
  </si>
  <si>
    <t>Fiscal period</t>
  </si>
  <si>
    <t>Enable accounting module</t>
  </si>
  <si>
    <t>Disable account code</t>
  </si>
  <si>
    <t>Chart of Account</t>
  </si>
  <si>
    <t>Add New Chart of Account</t>
  </si>
  <si>
    <t>Chart of Account have been saved successful.</t>
  </si>
  <si>
    <t>Chart of Account can't be save, please try again.</t>
  </si>
  <si>
    <t>Chart of Account already exist, please try again.</t>
  </si>
  <si>
    <t>Account Type</t>
  </si>
  <si>
    <t>Account Group</t>
  </si>
  <si>
    <t>Sub Account</t>
  </si>
  <si>
    <t>Account Code</t>
  </si>
  <si>
    <t>Account Description</t>
  </si>
  <si>
    <t>Manual</t>
  </si>
  <si>
    <t>Default Account Setting</t>
  </si>
  <si>
    <t>A/R Mirror</t>
  </si>
  <si>
    <t>A/P Mirror</t>
  </si>
  <si>
    <t>Inventory Asset Account</t>
  </si>
  <si>
    <t>COGS Account</t>
  </si>
  <si>
    <t>Inventory Adjustment Account</t>
  </si>
  <si>
    <t>Accounts Payable</t>
  </si>
  <si>
    <t>Purchase Discount</t>
  </si>
  <si>
    <t>Cash Pay Bill</t>
  </si>
  <si>
    <t>Paybill Discount</t>
  </si>
  <si>
    <t>Accounts Receivable</t>
  </si>
  <si>
    <t>Sales Income</t>
  </si>
  <si>
    <t>Sales Markup</t>
  </si>
  <si>
    <t>Sales Discount</t>
  </si>
  <si>
    <t>Service Account</t>
  </si>
  <si>
    <t>Cash Payment</t>
  </si>
  <si>
    <t>Payment Discount</t>
  </si>
  <si>
    <t>Cash Discount</t>
  </si>
  <si>
    <t>Module Code</t>
  </si>
  <si>
    <t>Module Code Information</t>
  </si>
  <si>
    <t>Adjustment Code</t>
  </si>
  <si>
    <t>Goods Mixed Code</t>
  </si>
  <si>
    <t>Transfer Order Code</t>
  </si>
  <si>
    <t>Purchase Order Code</t>
  </si>
  <si>
    <t>Goods Receipt Note Code</t>
  </si>
  <si>
    <t>Purchase Bill Code</t>
  </si>
  <si>
    <t>Purchase Return Code</t>
  </si>
  <si>
    <t>Expense Code</t>
  </si>
  <si>
    <t>Pay Bill Code</t>
  </si>
  <si>
    <t>Quotation Code</t>
  </si>
  <si>
    <t>POS Code</t>
  </si>
  <si>
    <t>Sales Order Code</t>
  </si>
  <si>
    <t>Delivery Code</t>
  </si>
  <si>
    <t>Invoice Code</t>
  </si>
  <si>
    <t>Sale Return Code</t>
  </si>
  <si>
    <t>Receive Payment Code</t>
  </si>
  <si>
    <t>Module Code have been saved successful.</t>
  </si>
  <si>
    <t>Module Code can't be save, please try again.</t>
  </si>
  <si>
    <t>Module Code already exist, please try again.</t>
  </si>
  <si>
    <t>VAT Setting</t>
  </si>
  <si>
    <t>Add New VAT Setting</t>
  </si>
  <si>
    <t>VAT Type</t>
  </si>
  <si>
    <t>Percentage</t>
  </si>
  <si>
    <t>Default For</t>
  </si>
  <si>
    <t>VAT Setting Information</t>
  </si>
  <si>
    <t>VAT have been saved successful.</t>
  </si>
  <si>
    <t>VAT can't be save, please try again.</t>
  </si>
  <si>
    <t>VAT already exist, please try again.</t>
  </si>
  <si>
    <t>VAT Exchange Setting</t>
  </si>
  <si>
    <t>Add New VAT Exchange</t>
  </si>
  <si>
    <t>VAT Exchange have been saved successful.</t>
  </si>
  <si>
    <t>VAT Exchange can't be save, please try again.</t>
  </si>
  <si>
    <t>Rate</t>
  </si>
  <si>
    <t>Base Currency</t>
  </si>
  <si>
    <t>Multi Currency</t>
  </si>
  <si>
    <t>Company Setup</t>
  </si>
  <si>
    <t>Company Profile</t>
  </si>
  <si>
    <t>Branch Setting</t>
  </si>
  <si>
    <t>Users Setup</t>
  </si>
  <si>
    <t>Payment Term List</t>
  </si>
  <si>
    <t>VAT Calculating</t>
  </si>
  <si>
    <t>VAT No</t>
  </si>
  <si>
    <t>Add New Branch</t>
  </si>
  <si>
    <t>Branch Type</t>
  </si>
  <si>
    <t xml:space="preserve">Working Hour </t>
  </si>
  <si>
    <t>Longitude</t>
  </si>
  <si>
    <t>Latitude</t>
  </si>
  <si>
    <t>Branch Information</t>
  </si>
  <si>
    <t>Branch have been saved successful.</t>
  </si>
  <si>
    <t>Branch can't be save, please try again.</t>
  </si>
  <si>
    <t>Branch already exist, please try again.</t>
  </si>
  <si>
    <t>User Setting</t>
  </si>
  <si>
    <t>Expiry Date</t>
  </si>
  <si>
    <t>User's Rights Setting</t>
  </si>
  <si>
    <t>Add New User's Rights</t>
  </si>
  <si>
    <t>User Right have been saved successful.</t>
  </si>
  <si>
    <t>User Right can' t be save, please try again.</t>
  </si>
  <si>
    <t>User Right already exist, please try again.</t>
  </si>
  <si>
    <t>Payment Term have been save successful.</t>
  </si>
  <si>
    <t>Payment Term can't be save, please try again.</t>
  </si>
  <si>
    <t>Payment Term already exist, please try again.</t>
  </si>
  <si>
    <t>Payment Term Information</t>
  </si>
  <si>
    <t>Name FR</t>
  </si>
  <si>
    <t>បារាំង</t>
  </si>
  <si>
    <t>Group</t>
  </si>
  <si>
    <t>Type</t>
  </si>
  <si>
    <t>Action</t>
  </si>
  <si>
    <t>Created</t>
  </si>
  <si>
    <t>Modified</t>
  </si>
  <si>
    <t>Modified By</t>
  </si>
  <si>
    <t>Approved</t>
  </si>
  <si>
    <t>Note/Memo</t>
  </si>
  <si>
    <t>Close</t>
  </si>
  <si>
    <t>QTY</t>
  </si>
  <si>
    <t>Total Cast</t>
  </si>
  <si>
    <t>Sub Total</t>
  </si>
  <si>
    <t>Total</t>
  </si>
  <si>
    <t>Grand Total Amount</t>
  </si>
  <si>
    <t>Total Deposit</t>
  </si>
  <si>
    <t>F.O.C</t>
  </si>
  <si>
    <t>Product Code</t>
  </si>
  <si>
    <t>ថ្ងៃបង្កើត</t>
  </si>
  <si>
    <t>ថ្ងៃផុតកំណត់</t>
  </si>
  <si>
    <t>លេខឡូតិ៍</t>
  </si>
  <si>
    <t>Inv Total</t>
  </si>
  <si>
    <t>Total Detail</t>
  </si>
  <si>
    <t xml:space="preserve">ប្រចាំឆ្នាំ  </t>
  </si>
  <si>
    <t>លេខកូដបញ្ជាទិញ</t>
  </si>
  <si>
    <t>លេខបាកូដ</t>
  </si>
  <si>
    <t xml:space="preserve">បញ្ចុះតម្លៃ </t>
  </si>
  <si>
    <t xml:space="preserve">អាករ </t>
  </si>
  <si>
    <t>អាករ ១០%</t>
  </si>
  <si>
    <t>អាករ ១៥%</t>
  </si>
  <si>
    <t>អាករ ២០%</t>
  </si>
  <si>
    <t>អាករ ២៥%</t>
  </si>
  <si>
    <t>អាករ ៣%</t>
  </si>
  <si>
    <t>អាករ ៥%</t>
  </si>
  <si>
    <t>Name Other</t>
  </si>
  <si>
    <t>Currency Id</t>
  </si>
  <si>
    <t>VAT Calculate</t>
  </si>
  <si>
    <t>ឈ្មោះភាសាខ្មែរ</t>
  </si>
  <si>
    <t>លេខរូបិយប័ណ្ណ</t>
  </si>
  <si>
    <t>លេខអ.ត.ប</t>
  </si>
  <si>
    <t>ការគណនាអាករ</t>
  </si>
  <si>
    <t>Company Id</t>
  </si>
  <si>
    <t xml:space="preserve">Name </t>
  </si>
  <si>
    <t>Email</t>
  </si>
  <si>
    <t>FAX</t>
  </si>
  <si>
    <t>POS Currency ID</t>
  </si>
  <si>
    <t>Work Start</t>
  </si>
  <si>
    <t>Work End</t>
  </si>
  <si>
    <t>Address Other</t>
  </si>
  <si>
    <t>លេខក្រុមហ៊ុន</t>
  </si>
  <si>
    <t>អ៊ីម៉ែល</t>
  </si>
  <si>
    <t>ហ្វាក់</t>
  </si>
  <si>
    <t>អាស័យដ្ឋាន</t>
  </si>
  <si>
    <t>អាស័យដ្ឋានឡាតាំង</t>
  </si>
  <si>
    <t>លេខរូបិយប័ណ្ណលក់រាយ</t>
  </si>
  <si>
    <t>ម៉ោងធ្វើការ</t>
  </si>
  <si>
    <t>ម៉ោងសម្រាក</t>
  </si>
  <si>
    <t>សាខាធំ</t>
  </si>
  <si>
    <t>Head Office</t>
  </si>
  <si>
    <t>អាករ</t>
  </si>
  <si>
    <t>ប្រភេទតម្លៃ</t>
  </si>
  <si>
    <t>USD - US Dollar</t>
  </si>
  <si>
    <t>$</t>
  </si>
  <si>
    <t>KHR - Cambodia Riel</t>
  </si>
  <si>
    <t>៛</t>
  </si>
  <si>
    <t>THB - Thai Baht</t>
  </si>
  <si>
    <t>฿</t>
  </si>
  <si>
    <t>VND - Viet Nam Dong</t>
  </si>
  <si>
    <t>₫</t>
  </si>
  <si>
    <t>MYR - Malaysia Ringgit</t>
  </si>
  <si>
    <t>RM</t>
  </si>
  <si>
    <t>LAK - Laos Kip</t>
  </si>
  <si>
    <t>₭</t>
  </si>
  <si>
    <t>SGD - Singapore Dollar</t>
  </si>
  <si>
    <t>PHP - Philippines Peso</t>
  </si>
  <si>
    <t>₱</t>
  </si>
  <si>
    <t>IDR - Indonesia Rupiah</t>
  </si>
  <si>
    <t>Rp</t>
  </si>
  <si>
    <t>BND - Brunei Darussalam Dollar</t>
  </si>
  <si>
    <t>CNY - China Yuan Renminbi</t>
  </si>
  <si>
    <t>¥</t>
  </si>
  <si>
    <t>JPY - Japan Yen</t>
  </si>
  <si>
    <t>KRW - Korea (South) Won</t>
  </si>
  <si>
    <t>₩</t>
  </si>
  <si>
    <t>Symbol</t>
  </si>
  <si>
    <t>ឈ្មោះរូបិយប័ណ្ណ</t>
  </si>
  <si>
    <t>និមិត្តសញ្ញា</t>
  </si>
  <si>
    <t>Currency Option</t>
  </si>
  <si>
    <t>Currency Name</t>
  </si>
  <si>
    <t>ព័ត៌មានអំពីផលិតផល</t>
  </si>
  <si>
    <t>តម្រៀបកម្រិតឡើងវិញ</t>
  </si>
  <si>
    <t>កាលបរិច្ឆេទផុតកំណត់</t>
  </si>
  <si>
    <t>បន្ថែមផលិតផល/សេវាកម្មថ្មី។</t>
  </si>
  <si>
    <t>ផលិតផល/សេវាកម្ម</t>
  </si>
  <si>
    <t>កំណត់តម្លៃ</t>
  </si>
  <si>
    <t>ផលិតផលក្លូន</t>
  </si>
  <si>
    <t>ផលិតផលត្រូវបានរក្សាទុកដោយជោគជ័យ</t>
  </si>
  <si>
    <t>ផលិតផលមានរួចហើយ។</t>
  </si>
  <si>
    <t>ផលិតផលមិនអាចរក្សាទុកបានទេ សូមព្យាយាមម្តងទៀត។</t>
  </si>
  <si>
    <t>លេខកូដផលិតផលមានរួចហើយ។</t>
  </si>
  <si>
    <t>បញ្ជីប្រភេទ</t>
  </si>
  <si>
    <t>បន្ថែមប្រភេទថ្មី។</t>
  </si>
  <si>
    <t>ព័ត៌មានអំពីប្រភេទ</t>
  </si>
  <si>
    <t>អនុក្រុម</t>
  </si>
  <si>
    <t>អ្នកប្រើប្រាស់អនុវត្ត</t>
  </si>
  <si>
    <t>សមាជិកផលិតផល</t>
  </si>
  <si>
    <t>ប្រភេទត្រូវបានរក្សាទុកដោយជោគជ័យ។</t>
  </si>
  <si>
    <t>ប្រភេទមិនអាចរក្សាទុកបានទេ សូមព្យាយាមម្តងទៀត។</t>
  </si>
  <si>
    <t>ប្រភេទមានហើយ សូមព្យាយាមម្តងទៀត។</t>
  </si>
  <si>
    <t>បញ្ជីម៉ាក</t>
  </si>
  <si>
    <t>បន្ថែមម៉ាកថ្មី។</t>
  </si>
  <si>
    <t>ព័ត៌មានម៉ាក</t>
  </si>
  <si>
    <t>ម៉ាកត្រូវបានរក្សាទុកដោយជោគជ័យ។</t>
  </si>
  <si>
    <t>ម៉ាកមិនអាចរក្សាទុកបានទេ សូមព្យាយាមម្តងទៀត។</t>
  </si>
  <si>
    <t>ម៉ាកមានហើយ សូមព្យាយាមម្តងទៀត។</t>
  </si>
  <si>
    <t>បញ្ជីសម្គាល់</t>
  </si>
  <si>
    <t>សម្គាល់ព័ត៌មាន</t>
  </si>
  <si>
    <t>Mark ត្រូវបានសង្គ្រោះដោយជោគជ័យ។</t>
  </si>
  <si>
    <t>Mark មិនអាចរក្សាទុកបានទេ សូមព្យាយាមម្តងទៀត។</t>
  </si>
  <si>
    <t>ម៉ាកឃឺមានហើយ សូមព្យាយាមម្តងទៀត។</t>
  </si>
  <si>
    <t>បញ្ជីគំរូ</t>
  </si>
  <si>
    <t>បន្ថែមម៉ូដែលថ្មី។</t>
  </si>
  <si>
    <t>ម៉ូដែលបានរក្សាទុកដោយជោគជ័យ។</t>
  </si>
  <si>
    <t>ម៉ូដែលមិនអាចរក្សាទុកបានទេ សូមព្យាយាមម្តងទៀត។</t>
  </si>
  <si>
    <t>ម៉ូដែលមានហើយ សូមព្យាយាមម្តងទៀត។</t>
  </si>
  <si>
    <t>បញ្ជីឆ្នាំ</t>
  </si>
  <si>
    <t>បន្ថែមឆ្នាំថ្មី</t>
  </si>
  <si>
    <t>ព័ត៌មានឆ្នាំ</t>
  </si>
  <si>
    <t>ឆ្នាំត្រូវបានរក្សាទុកដោយជោគជ័យ។</t>
  </si>
  <si>
    <t>មិនអាចរក្សាទុកឆ្នាំបានទេ សូមព្យាយាមម្តងទៀត។</t>
  </si>
  <si>
    <t>មានឆ្នាំហើយ សូមព្យាយាមម្តងទៀត។</t>
  </si>
  <si>
    <t>បញ្ជី UOM</t>
  </si>
  <si>
    <t>បន្ថែម UoM ថ្មី។</t>
  </si>
  <si>
    <t>ព័ត៌មាន UoM</t>
  </si>
  <si>
    <t>UoM ត្រូវបានរក្សាទុកដោយជោគជ័យ។</t>
  </si>
  <si>
    <t>UoM មិនអាចរក្សាទុកបានទេ សូមព្យាយាមម្តងទៀត។</t>
  </si>
  <si>
    <t>UoM មានហើយ សូមព្យាយាមម្តងទៀត។</t>
  </si>
  <si>
    <t>បញ្ជីបំប្លែង UoM</t>
  </si>
  <si>
    <t>បន្ថែមការបំប្លែង UoM ថ្មី។</t>
  </si>
  <si>
    <t>ពី UoM</t>
  </si>
  <si>
    <t>ទៅ UoM</t>
  </si>
  <si>
    <t>ព័ត៌មានបំប្លែង UoM</t>
  </si>
  <si>
    <t>មេ UoM</t>
  </si>
  <si>
    <t>UoM តូច</t>
  </si>
  <si>
    <t>UoM ផ្សេងទៀត។</t>
  </si>
  <si>
    <t>បន្ថែម UoM ថ្មីផ្សេងទៀត។</t>
  </si>
  <si>
    <t>ការបំប្លែង UoM មានហើយ សូមព្យាយាមម្តងទៀត។</t>
  </si>
  <si>
    <t>ការបំប្លែង UoM ត្រូវបានរក្សាទុកដោយជោគជ័យ។</t>
  </si>
  <si>
    <t>ការបំប្លែង UoM មិនអាចរក្សាទុកបានទេ សូមព្យាយាមម្តងទៀត</t>
  </si>
  <si>
    <t>ផលិតផល</t>
  </si>
  <si>
    <t>ម៉ាស៊ីនស្កេនបាកូដ</t>
  </si>
  <si>
    <t>កញ្ចប់ផលិតផល</t>
  </si>
  <si>
    <t>ឯកតារង្វាស់</t>
  </si>
  <si>
    <t>លេខនិងលេខស៊េរី</t>
  </si>
  <si>
    <t>ការចំណាយ</t>
  </si>
  <si>
    <t>ការចំណាយលើដី</t>
  </si>
  <si>
    <t>ប្រភេទតម្លៃដី</t>
  </si>
  <si>
    <t>បន្ថែមប្រភេទតម្លៃដីថ្មី។</t>
  </si>
  <si>
    <t>ព័ត៌មានអំពីប្រភេទតម្លៃដី</t>
  </si>
  <si>
    <t>ប្រភេទតម្លៃដីត្រូវបានរក្សាទុកដោយជោគជ័យ។</t>
  </si>
  <si>
    <t>ប្រភេទតម្លៃដីមិនអាចរក្សាទុកបានទេ។</t>
  </si>
  <si>
    <t>ប្រភេទតម្លៃដីមានស្រាប់ សូមព្យាយាមម្តងទៀត។</t>
  </si>
  <si>
    <t>ឃ្លាំង</t>
  </si>
  <si>
    <t>បញ្ជីឃ្លាំង</t>
  </si>
  <si>
    <t>បន្ថែមឃ្លាំងថ្មី។</t>
  </si>
  <si>
    <t>ព័ត៌មានឃ្លាំង</t>
  </si>
  <si>
    <t>ឃ្លាំងត្រូវបានរក្សាទុកដោយជោគជ័យ។</t>
  </si>
  <si>
    <t>ឃ្លាំងមានហើយ សូមព្យាយាមម្តងទៀត។</t>
  </si>
  <si>
    <t>មើលផលិតផលក្នុងឃ្លាំង</t>
  </si>
  <si>
    <t>ប្រភេទឃ្លាំង</t>
  </si>
  <si>
    <t>អនុញ្ញាតឱ្យភាគហ៊ុនអវិជ្ជមាន (លក់)</t>
  </si>
  <si>
    <t>ព័ត៌មានអ្នកប្រើប្រាស់</t>
  </si>
  <si>
    <t>មាន</t>
  </si>
  <si>
    <t>សមាជិក</t>
  </si>
  <si>
    <t>បញ្ជីទីតាំង</t>
  </si>
  <si>
    <t>បន្ថែមទីតាំងថ្មី។</t>
  </si>
  <si>
    <t>ព័ត៌មានទីតាំង</t>
  </si>
  <si>
    <t>លេខឡូតិ៍/សៀរៀល</t>
  </si>
  <si>
    <t>ទីតាំងត្រូវបានរក្សាទុកដោយជោគជ័យ។</t>
  </si>
  <si>
    <t>មានទីតាំងហើយ សូមព្យាយាមម្តងទៀត។</t>
  </si>
  <si>
    <t>មិនអាចរក្សាទុកទីតាំងបានទេ សូមព្យាយាមម្តងទៀត។</t>
  </si>
  <si>
    <t>សម្រាប់លក់</t>
  </si>
  <si>
    <t>ការបញ្ជាទិញ</t>
  </si>
  <si>
    <t>ការបញ្ជាទិញគឺសកម្ម</t>
  </si>
  <si>
    <t>ព្រមានអំពីលេខបញ្ជាទិញស្ទួន</t>
  </si>
  <si>
    <t>ការដឹកជញ្ជូន</t>
  </si>
  <si>
    <t>ចំណាំបង្កាន់ដៃទំនិញគឺសកម្ម។</t>
  </si>
  <si>
    <t>បង់វិក្កយបត្រ</t>
  </si>
  <si>
    <t>ប្រើឥណទានដោយស្វ័យប្រវត្តិ</t>
  </si>
  <si>
    <t>អនុញ្ញាតឱ្យមានការបញ្ចុះតម្លៃលើការទូទាត់</t>
  </si>
  <si>
    <t>អ្នកលក់</t>
  </si>
  <si>
    <t>បញ្ជីក្រុមអ្នកលក់</t>
  </si>
  <si>
    <t>បន្ថែមក្រុមអ្នកលក់ថ្មី។</t>
  </si>
  <si>
    <t>ក្រុមអ្នកលក់</t>
  </si>
  <si>
    <t>ព័ត៌មានក្រុមអ្នកលក់</t>
  </si>
  <si>
    <t>ក្រុមអ្នកលក់ត្រូវបានរក្សាទុកដោយជោគជ័យ។</t>
  </si>
  <si>
    <t>ក្រុមអ្នកលក់មានហើយ សូមព្យាយាមម្តងទៀត។</t>
  </si>
  <si>
    <t>ការបញ្ជាទិញលក់គឺសកម្ម</t>
  </si>
  <si>
    <t>កំណត់សម្គាល់ការដឹកជញ្ជូនគឺសកម្ម។</t>
  </si>
  <si>
    <t>វិក្កយបត្រ</t>
  </si>
  <si>
    <t>ព្រមានអំពីលេខវិក្កយបត្រលក់ស្ទួន</t>
  </si>
  <si>
    <t>ព្រមានប្រសិនបើស្តុកមិនគ្រប់គ្រាន់ដើម្បីលក់។</t>
  </si>
  <si>
    <t>អនុញ្ញាតឱ្យក្រុមទូទាត់ការលក់</t>
  </si>
  <si>
    <t>ការទូទាត់</t>
  </si>
  <si>
    <t>តម្លៃ</t>
  </si>
  <si>
    <t>បើកដំណើរការលក់តំណាង</t>
  </si>
  <si>
    <t>បញ្ជីលក្ខខណ្ឌរយៈពេល</t>
  </si>
  <si>
    <t>បន្ថែមលក្ខខណ្ឌលក្ខខណ្ឌថ្មី។</t>
  </si>
  <si>
    <t>ថ្ងៃសុទ្ធ</t>
  </si>
  <si>
    <t>ព័ត៌មានអំពីលក្ខខណ្ឌ</t>
  </si>
  <si>
    <t>លក្ខខណ្ឌរយៈពេលត្រូវបានរក្សាទុកដោយជោគជ័យ។</t>
  </si>
  <si>
    <t>ស្ថានភាពក្រុមមិនត្រូវបានរក្សាទុកទេ សូមព្យាយាមម្តងទៀត។</t>
  </si>
  <si>
    <t>លក្ខខណ្ឌក្រុមមានរួចហើយ។</t>
  </si>
  <si>
    <t>ការកំណត់ប្រភេទតម្លៃ</t>
  </si>
  <si>
    <t>បញ្ជីប្រភេទតម្លៃ</t>
  </si>
  <si>
    <t>បន្ថែមប្រភេទតម្លៃថ្មី។</t>
  </si>
  <si>
    <t>អនុវត្តទៅ</t>
  </si>
  <si>
    <t>កំណត់ទៅ</t>
  </si>
  <si>
    <t>ព័ត៌មានអំពីប្រភេទតម្លៃ</t>
  </si>
  <si>
    <t>ប្រភេទតម្លៃត្រូវបានរក្សាទុកដោយជោគជ័យ។</t>
  </si>
  <si>
    <t>ប្រភេទតម្លៃមិនអាចរក្សាទុកបានទេ សូមព្យាយាមម្តងទៀត។</t>
  </si>
  <si>
    <t>ប្រភេទតម្លៃមានរួចហើយ។</t>
  </si>
  <si>
    <t>បញ្ជីតំណាងលក់</t>
  </si>
  <si>
    <t>បន្ថែមតំណាងផ្នែកលក់ថ្មី</t>
  </si>
  <si>
    <t>តំណាងផ្នែកលក់ត្រូវបានរក្សាទុកដោយជោគជ័យ។</t>
  </si>
  <si>
    <t>តំណាងផ្នែកលក់មិនអាចរក្សាទុកបានទេ សូមព្យាយាមម្តងទៀត។</t>
  </si>
  <si>
    <t>តំណាងផ្នែកលក់មានរួចហើយ សូមព្យាយាមម្តងទៀត។</t>
  </si>
  <si>
    <t>បញ្ជីក្រុមបុគ្គលិក</t>
  </si>
  <si>
    <t>ក្រុមបុគ្គលិកត្រូវបានរក្សាទុកដោយជោគជ័យ។</t>
  </si>
  <si>
    <t>ក្រុមបុគ្គលិកមិនអាចរក្សាទុកបានទេ សូមព្យាយាមម្តងទៀត។</t>
  </si>
  <si>
    <t>ក្រុមបុគ្គលិកមានរួចហើយ។</t>
  </si>
  <si>
    <t>បន្ថែមក្រុមបុគ្គលិកថ្មី។</t>
  </si>
  <si>
    <t>លេខបុគ្គលិក</t>
  </si>
  <si>
    <t>ក្រុមបុគ្គលិក</t>
  </si>
  <si>
    <t>ចាប់ផ្តើមថ្ងៃធ្វើការ</t>
  </si>
  <si>
    <t>កាលបរិច្ឆេទបញ្ចប់</t>
  </si>
  <si>
    <t>មុខតំណែង</t>
  </si>
  <si>
    <t>ប្រាក់ខែ</t>
  </si>
  <si>
    <t>ធ្វើការឱ្យអ្នកលក់</t>
  </si>
  <si>
    <t>ប្រភេទបុគ្គលិក</t>
  </si>
  <si>
    <t>ព័ត៌មានតំណាងផ្នែកលក់</t>
  </si>
  <si>
    <t>បញ្ជីក្រុមអតិថិជន</t>
  </si>
  <si>
    <t>ក្រុមអតិថិជន</t>
  </si>
  <si>
    <t>បន្ថែមក្រុមអតិថិជនថ្មី។</t>
  </si>
  <si>
    <t>ព័ត៌មានក្រុមអតិថិជន</t>
  </si>
  <si>
    <t>អ្នកគិតលុយ</t>
  </si>
  <si>
    <t>អត្រាប្តូរប្រាក់</t>
  </si>
  <si>
    <t>ការបង្ហាញស្លាយ</t>
  </si>
  <si>
    <t>ប្រើ Cash Shift</t>
  </si>
  <si>
    <t>វិធីសាស្រ្តទូទាត់ច្រើន។</t>
  </si>
  <si>
    <t>រូបិយប័ណ្ណទូទាត់ច្រើន។</t>
  </si>
  <si>
    <t>វិធីសាស្រ្តទូទាត់</t>
  </si>
  <si>
    <t>បន្ថែមវិធីបង់ប្រាក់ POS ថ្មី។</t>
  </si>
  <si>
    <t>ព័ត៌មានអំពីវិធីបង់ប្រាក់ POS</t>
  </si>
  <si>
    <t>គណនី</t>
  </si>
  <si>
    <t>រូបិយប័ណ្ណ POS</t>
  </si>
  <si>
    <t>បន្ថែមរូបិយប័ណ្ណ POS ថ្មី។</t>
  </si>
  <si>
    <t>បញ្ជីផ្លាស់ប្តូរ</t>
  </si>
  <si>
    <t>បន្ថែមការផ្លាស់ប្តូរថ្មី។</t>
  </si>
  <si>
    <t>អត្រាសម្រាប់លក់</t>
  </si>
  <si>
    <t>អត្រាសម្រាប់ការផ្លាស់ប្តូរ</t>
  </si>
  <si>
    <t>អត្រាសម្រាប់ការទិញ</t>
  </si>
  <si>
    <t>បញ្ជីបង្ហាញស្លាយ</t>
  </si>
  <si>
    <t>បន្ថែមការបង្ហាញស្លាយថ្មី។</t>
  </si>
  <si>
    <t>ការបង្ហាញស្លាយត្រូវបានរក្សាទុកដោយជោគជ័យ។</t>
  </si>
  <si>
    <t>Slide Display cab's be save សូមព្យាយាមម្តងទៀត។</t>
  </si>
  <si>
    <t>ការបង្ហាញស្លាយមានរួចហើយ សូមព្យាយាមម្តងទៀត។</t>
  </si>
  <si>
    <t>ការកំណត់ទសភាគ</t>
  </si>
  <si>
    <t>រយៈពេលសារពើពន្ធ</t>
  </si>
  <si>
    <t>បើកដំណើរការម៉ូឌុលគណនេយ្យ</t>
  </si>
  <si>
    <t>បិទលេខកូដគណនី</t>
  </si>
  <si>
    <t>តារាងគណនី</t>
  </si>
  <si>
    <t>បន្ថែមតារាងគណនីថ្មី។</t>
  </si>
  <si>
    <t>គំនូសតាងនៃគណនីត្រូវបានរក្សាទុកដោយជោគជ័យ។</t>
  </si>
  <si>
    <t>តារាងគណនីមិនអាចរក្សាទុកបានទេ សូមព្យាយាមម្តងទៀត។</t>
  </si>
  <si>
    <t>តារាងគណនីមានរួចហើយ សូមព្យាយាមម្តងទៀត។</t>
  </si>
  <si>
    <t>ប្រភេទគណនី</t>
  </si>
  <si>
    <t>ក្រុមគណនី</t>
  </si>
  <si>
    <t>គណនីរង</t>
  </si>
  <si>
    <t>លេខកូដគណនី</t>
  </si>
  <si>
    <t>ការពិពណ៌នាគណនី</t>
  </si>
  <si>
    <t>សៀវភៅដៃ</t>
  </si>
  <si>
    <t>ការកំណត់គណនីលំនាំដើម</t>
  </si>
  <si>
    <t>កញ្ចក់ A/R</t>
  </si>
  <si>
    <t>កញ្ចក់ A/P</t>
  </si>
  <si>
    <t>សារពើភ័ណ្ឌ</t>
  </si>
  <si>
    <t>គណនីទ្រព្យសម្បត្តិសារពើភ័ណ្ឌ</t>
  </si>
  <si>
    <t>គណនី COGS</t>
  </si>
  <si>
    <t>គណនីកែតម្រូវសារពើភ័ណ្ឌ</t>
  </si>
  <si>
    <t>គណនីដែលត្រូវបង់</t>
  </si>
  <si>
    <t>ទិញបញ្ចុះតម្លៃ</t>
  </si>
  <si>
    <t>វិក័យប័ត្រទូទាត់សាច់ប្រាក់</t>
  </si>
  <si>
    <t>ការបញ្ចុះតម្លៃលើវិក័យប័ត្រ</t>
  </si>
  <si>
    <t>ការចំណាយសាច់ប្រាក់</t>
  </si>
  <si>
    <t>គណនីទទួល</t>
  </si>
  <si>
    <t>ប្រាក់ចំណូលពីការលក់</t>
  </si>
  <si>
    <t>ស្លាកសញ្ញាលក់</t>
  </si>
  <si>
    <t>ការលក់បញ្ចុះតម្លៃ</t>
  </si>
  <si>
    <t>គណនីសេវាកម្ម</t>
  </si>
  <si>
    <t>ការទូទាត់សាច់ប្រាក់</t>
  </si>
  <si>
    <t>ការបញ្ចុះតម្លៃលើការទូទាត់</t>
  </si>
  <si>
    <t>ការបញ្ចុះតម្លៃសាច់ប្រាក់</t>
  </si>
  <si>
    <t>កូដម៉ូឌុល</t>
  </si>
  <si>
    <t>ព័ត៌មានកូដម៉ូឌុល</t>
  </si>
  <si>
    <t>លេខកូដកែតម្រូវ</t>
  </si>
  <si>
    <t>កូដចម្រុះទំនិញ</t>
  </si>
  <si>
    <t>លេខកូដបញ្ជាទិញផ្ទេរ</t>
  </si>
  <si>
    <t>ការទិញ</t>
  </si>
  <si>
    <t>លេខកូដចំណាំបង្កាន់ដៃទំនិញ</t>
  </si>
  <si>
    <t>ទិញលេខកូដវិក្កយបត្រ</t>
  </si>
  <si>
    <t>ទិញលេខកូដត្រឡប់មកវិញ</t>
  </si>
  <si>
    <t>លេខកូដចំណាយ</t>
  </si>
  <si>
    <t>បង់លេខកូដវិក្កយបត្រ</t>
  </si>
  <si>
    <t>ការលក់</t>
  </si>
  <si>
    <t>កូដសម្រង់</t>
  </si>
  <si>
    <t>លេខកូដ POS</t>
  </si>
  <si>
    <t>លេខកូដចែកចាយ</t>
  </si>
  <si>
    <t>លេខកូដវិក្កយបត្រ</t>
  </si>
  <si>
    <t>លេខកូដលក់ត្រឡប់មកវិញ</t>
  </si>
  <si>
    <t>ទទួលលេខកូដទូទាត់</t>
  </si>
  <si>
    <t>លេខកូដម៉ូឌុលត្រូវបានរក្សាទុកដោយជោគជ័យ។</t>
  </si>
  <si>
    <t>កូដម៉ូឌុលមិនអាចរក្សាទុកបានទេ សូមព្យាយាមម្តងទៀត។</t>
  </si>
  <si>
    <t>លេខកូដម៉ូឌុលមានរួចហើយ សូមព្យាយាមម្តងទៀត។</t>
  </si>
  <si>
    <t>ការកំណត់អាករ</t>
  </si>
  <si>
    <t>បន្ថែមការកំណត់អាករថ្មី។</t>
  </si>
  <si>
    <t>ប្រភេទអាករ</t>
  </si>
  <si>
    <t>លំនាំដើមសម្រាប់</t>
  </si>
  <si>
    <t>ព័ត៌មានអំពីការកំណត់អាករ</t>
  </si>
  <si>
    <t>ពន្ធលើតម្លៃបន្ថែមត្រូវបានរក្សាទុកដោយជោគជ័យ។</t>
  </si>
  <si>
    <t>VAT មិនអាចរក្សាទុកបានទេ សូមព្យាយាមម្តងទៀត។</t>
  </si>
  <si>
    <t>VAT មានរួចហើយ សូមព្យាយាមម្តងទៀត។</t>
  </si>
  <si>
    <t>ការកំណត់ការផ្លាស់ប្តូរអាករ</t>
  </si>
  <si>
    <t>បន្ថែមការប្តូរពន្ធអាករថ្មី។</t>
  </si>
  <si>
    <t>ការប្តូរ VAT ត្រូវបានរក្សាទុកដោយជោគជ័យ។</t>
  </si>
  <si>
    <t>ការផ្លាស់ប្តូរ VAT មិនអាចរក្សាទុកបានទេ សូមព្យាយាមម្តងទៀត។</t>
  </si>
  <si>
    <t>អត្រា</t>
  </si>
  <si>
    <t>រូបិយប័ណ្ណមូលដ្ឋាន</t>
  </si>
  <si>
    <t>រូបិយប័ណ្ណច្រើន។</t>
  </si>
  <si>
    <t>ការរៀបចំក្រុមហ៊ុន</t>
  </si>
  <si>
    <t>ប្រវត្តិរូបក្រុមហ៊ុន</t>
  </si>
  <si>
    <t>លេខ VAT</t>
  </si>
  <si>
    <t>ការគណនា VAT</t>
  </si>
  <si>
    <t>ការកំណត់សាខា</t>
  </si>
  <si>
    <t>បន្ថែមសាខាថ្មី។</t>
  </si>
  <si>
    <t>ប្រភេទសាខា</t>
  </si>
  <si>
    <t>រយៈបណ្តោយ</t>
  </si>
  <si>
    <t>រយៈទទឹង</t>
  </si>
  <si>
    <t>ព័ត៌មានសាខា</t>
  </si>
  <si>
    <t>សាខាត្រូវបានរក្សាទុកដោយជោគជ័យ។</t>
  </si>
  <si>
    <t>សាខាមិនអាចរក្សាទុកបានទេ សូមព្យាយាមម្តងទៀត។</t>
  </si>
  <si>
    <t>មានសាខារួចហើយ សូមព្យាយាមម្តងទៀត។</t>
  </si>
  <si>
    <t>ការដំឡើងអ្នកប្រើប្រាស់</t>
  </si>
  <si>
    <t>ការកំណត់អ្នកប្រើប្រាស់</t>
  </si>
  <si>
    <t>ការកំណត់សិទ្ធិអ្នកប្រើប្រាស់</t>
  </si>
  <si>
    <t>បន្ថែមសិទ្ធិអ្នកប្រើប្រាស់ថ្មី។</t>
  </si>
  <si>
    <t>សិទ្ធិអ្នកប្រើប្រាស់ត្រូវបានរក្សាទុកដោយជោគជ័យ។</t>
  </si>
  <si>
    <t>សិទ្ធិអ្នកប្រើប្រាស់មិនអាចរក្សាទុកបានទេ សូមព្យាយាមម្តងទៀត។</t>
  </si>
  <si>
    <t>សិទ្ធិអ្នកប្រើប្រាស់មានរួចហើយ សូមព្យាយាមម្តងទៀត។</t>
  </si>
  <si>
    <t>លក្ខខណ្ឌបង់ប្រាក់</t>
  </si>
  <si>
    <t>បញ្ជីលក្ខខណ្ឌបង់ប្រាក់</t>
  </si>
  <si>
    <t>បន្ថែមលក្ខខណ្ឌបង់ប្រាក់ថ្មី។</t>
  </si>
  <si>
    <t>លក្ខខណ្ឌបង់ប្រាក់ត្រូវបានរក្សាទុកដោយជោគជ័យ។</t>
  </si>
  <si>
    <t>លក្ខខណ្ឌបង់ប្រាក់មិនអាចរក្សាទុកបានទេ សូមព្យាយាមម្តងទៀត។</t>
  </si>
  <si>
    <t>លក្ខខណ្ឌបង់ប្រាក់មានរួចហើយ សូមព្យាយាមម្តងទៀត។</t>
  </si>
  <si>
    <t>ព័ត៌មានអំពីលក្ខខណ្ឌបង់ប្រាក់</t>
  </si>
  <si>
    <t>ការពិពណ៌នា</t>
  </si>
  <si>
    <t>ចំណាំ</t>
  </si>
  <si>
    <t>កំណត់ចំណាំ/អនុស្សរណៈ</t>
  </si>
  <si>
    <t>ក្រុម</t>
  </si>
  <si>
    <t>ទេ</t>
  </si>
  <si>
    <t>សកម្មភាព</t>
  </si>
  <si>
    <t>បានបង្កើត</t>
  </si>
  <si>
    <t>បង្កើតដោយ</t>
  </si>
  <si>
    <t>កែប្រែ</t>
  </si>
  <si>
    <t>កែប្រែដោយ</t>
  </si>
  <si>
    <t>បានអនុម័ត</t>
  </si>
  <si>
    <t>បិទ</t>
  </si>
  <si>
    <t>ការសម្ដែងសរុប</t>
  </si>
  <si>
    <t>សរុបរង</t>
  </si>
  <si>
    <t>សរុប</t>
  </si>
  <si>
    <t>ចំនួនសរុប</t>
  </si>
  <si>
    <t>ប្រាក់បញ្ញើសរុប</t>
  </si>
  <si>
    <t>តុល្យភាព</t>
  </si>
  <si>
    <t>ចំនួនទឹកប្រាក់សរុបដ៏អស្ចារ្យ</t>
  </si>
  <si>
    <t>ក្រុមអ្នកលក់មិនអាចរក្សាទុកបានទេ សូមព្យាយាមម្តងទៀត។</t>
  </si>
  <si>
    <t>Vendor Group can't be save, plesae try again.</t>
  </si>
  <si>
    <t>00092</t>
  </si>
  <si>
    <t>00093</t>
  </si>
  <si>
    <t>00094</t>
  </si>
  <si>
    <t>00095</t>
  </si>
  <si>
    <t>00096</t>
  </si>
  <si>
    <t>00097</t>
  </si>
  <si>
    <t>00098</t>
  </si>
  <si>
    <t>00099</t>
  </si>
  <si>
    <t>00100</t>
  </si>
  <si>
    <t>00101</t>
  </si>
  <si>
    <t>00102</t>
  </si>
  <si>
    <t>00103</t>
  </si>
  <si>
    <t>00104</t>
  </si>
  <si>
    <t>00105</t>
  </si>
  <si>
    <t>00106</t>
  </si>
  <si>
    <t>00107</t>
  </si>
  <si>
    <t>00108</t>
  </si>
  <si>
    <t>00109</t>
  </si>
  <si>
    <t>00110</t>
  </si>
  <si>
    <t>00111</t>
  </si>
  <si>
    <t>00112</t>
  </si>
  <si>
    <t>00113</t>
  </si>
  <si>
    <t>00114</t>
  </si>
  <si>
    <t>00115</t>
  </si>
  <si>
    <t>00116</t>
  </si>
  <si>
    <t>00117</t>
  </si>
  <si>
    <t>00118</t>
  </si>
  <si>
    <t>00119</t>
  </si>
  <si>
    <t>00120</t>
  </si>
  <si>
    <t>00121</t>
  </si>
  <si>
    <t>00122</t>
  </si>
  <si>
    <t>00123</t>
  </si>
  <si>
    <t>00124</t>
  </si>
  <si>
    <t>00125</t>
  </si>
  <si>
    <t>00126</t>
  </si>
  <si>
    <t>00127</t>
  </si>
  <si>
    <t>00128</t>
  </si>
  <si>
    <t>00129</t>
  </si>
  <si>
    <t>00130</t>
  </si>
  <si>
    <t>00131</t>
  </si>
  <si>
    <t>00132</t>
  </si>
  <si>
    <t>00133</t>
  </si>
  <si>
    <t>00134</t>
  </si>
  <si>
    <t>00135</t>
  </si>
  <si>
    <t>00136</t>
  </si>
  <si>
    <t>00137</t>
  </si>
  <si>
    <t>00138</t>
  </si>
  <si>
    <t>00139</t>
  </si>
  <si>
    <t>00140</t>
  </si>
  <si>
    <t>00141</t>
  </si>
  <si>
    <t>00142</t>
  </si>
  <si>
    <t>00143</t>
  </si>
  <si>
    <t>00144</t>
  </si>
  <si>
    <t>00145</t>
  </si>
  <si>
    <t>00146</t>
  </si>
  <si>
    <t>00147</t>
  </si>
  <si>
    <t>00148</t>
  </si>
  <si>
    <t>00149</t>
  </si>
  <si>
    <t>00150</t>
  </si>
  <si>
    <t>00151</t>
  </si>
  <si>
    <t>00152</t>
  </si>
  <si>
    <t>00153</t>
  </si>
  <si>
    <t>00154</t>
  </si>
  <si>
    <t>00155</t>
  </si>
  <si>
    <t>00156</t>
  </si>
  <si>
    <t>00157</t>
  </si>
  <si>
    <t>00158</t>
  </si>
  <si>
    <t>00159</t>
  </si>
  <si>
    <t>00160</t>
  </si>
  <si>
    <t>00161</t>
  </si>
  <si>
    <t>00162</t>
  </si>
  <si>
    <t>00163</t>
  </si>
  <si>
    <t>00164</t>
  </si>
  <si>
    <t>00165</t>
  </si>
  <si>
    <t>00166</t>
  </si>
  <si>
    <t>00167</t>
  </si>
  <si>
    <t>00168</t>
  </si>
  <si>
    <t>00169</t>
  </si>
  <si>
    <t>00170</t>
  </si>
  <si>
    <t>00171</t>
  </si>
  <si>
    <t>00172</t>
  </si>
  <si>
    <t>00173</t>
  </si>
  <si>
    <t>00174</t>
  </si>
  <si>
    <t>00175</t>
  </si>
  <si>
    <t>00176</t>
  </si>
  <si>
    <t>00177</t>
  </si>
  <si>
    <t>00178</t>
  </si>
  <si>
    <t>00179</t>
  </si>
  <si>
    <t>00180</t>
  </si>
  <si>
    <t>00181</t>
  </si>
  <si>
    <t>00182</t>
  </si>
  <si>
    <t>00183</t>
  </si>
  <si>
    <t>00184</t>
  </si>
  <si>
    <t>00185</t>
  </si>
  <si>
    <t>00186</t>
  </si>
  <si>
    <t>00187</t>
  </si>
  <si>
    <t>00188</t>
  </si>
  <si>
    <t>00189</t>
  </si>
  <si>
    <t>00190</t>
  </si>
  <si>
    <t>00191</t>
  </si>
  <si>
    <t>00192</t>
  </si>
  <si>
    <t>00193</t>
  </si>
  <si>
    <t>00194</t>
  </si>
  <si>
    <t>00195</t>
  </si>
  <si>
    <t>00196</t>
  </si>
  <si>
    <t>00197</t>
  </si>
  <si>
    <t>00198</t>
  </si>
  <si>
    <t>00199</t>
  </si>
  <si>
    <t>00200</t>
  </si>
  <si>
    <t>00201</t>
  </si>
  <si>
    <t>00202</t>
  </si>
  <si>
    <t>00203</t>
  </si>
  <si>
    <t>00204</t>
  </si>
  <si>
    <t>00205</t>
  </si>
  <si>
    <t>00206</t>
  </si>
  <si>
    <t>00207</t>
  </si>
  <si>
    <t>00208</t>
  </si>
  <si>
    <t>00209</t>
  </si>
  <si>
    <t>00210</t>
  </si>
  <si>
    <t>00211</t>
  </si>
  <si>
    <t>00212</t>
  </si>
  <si>
    <t>00213</t>
  </si>
  <si>
    <t>00214</t>
  </si>
  <si>
    <t>00215</t>
  </si>
  <si>
    <t>00216</t>
  </si>
  <si>
    <t>00217</t>
  </si>
  <si>
    <t>00218</t>
  </si>
  <si>
    <t>00219</t>
  </si>
  <si>
    <t>00220</t>
  </si>
  <si>
    <t>00221</t>
  </si>
  <si>
    <t>00222</t>
  </si>
  <si>
    <t>00223</t>
  </si>
  <si>
    <t>00224</t>
  </si>
  <si>
    <t>00225</t>
  </si>
  <si>
    <t>00226</t>
  </si>
  <si>
    <t>00227</t>
  </si>
  <si>
    <t>00228</t>
  </si>
  <si>
    <t>00229</t>
  </si>
  <si>
    <t>00230</t>
  </si>
  <si>
    <t>00231</t>
  </si>
  <si>
    <t>00232</t>
  </si>
  <si>
    <t>00233</t>
  </si>
  <si>
    <t>00234</t>
  </si>
  <si>
    <t>00235</t>
  </si>
  <si>
    <t>00236</t>
  </si>
  <si>
    <t>00237</t>
  </si>
  <si>
    <t>00238</t>
  </si>
  <si>
    <t>00239</t>
  </si>
  <si>
    <t>00240</t>
  </si>
  <si>
    <t>00241</t>
  </si>
  <si>
    <t>00242</t>
  </si>
  <si>
    <t>00243</t>
  </si>
  <si>
    <t>00244</t>
  </si>
  <si>
    <t>00245</t>
  </si>
  <si>
    <t>00246</t>
  </si>
  <si>
    <t>00247</t>
  </si>
  <si>
    <t>00248</t>
  </si>
  <si>
    <t>00249</t>
  </si>
  <si>
    <t>00250</t>
  </si>
  <si>
    <t>00251</t>
  </si>
  <si>
    <t>00252</t>
  </si>
  <si>
    <t>00253</t>
  </si>
  <si>
    <t>00254</t>
  </si>
  <si>
    <t>00255</t>
  </si>
  <si>
    <t>00256</t>
  </si>
  <si>
    <t>00257</t>
  </si>
  <si>
    <t>00258</t>
  </si>
  <si>
    <t>00259</t>
  </si>
  <si>
    <t>00260</t>
  </si>
  <si>
    <t>00261</t>
  </si>
  <si>
    <t>00262</t>
  </si>
  <si>
    <t>00263</t>
  </si>
  <si>
    <t>00264</t>
  </si>
  <si>
    <t>00265</t>
  </si>
  <si>
    <t>00266</t>
  </si>
  <si>
    <t>00267</t>
  </si>
  <si>
    <t>00268</t>
  </si>
  <si>
    <t>00269</t>
  </si>
  <si>
    <t>00270</t>
  </si>
  <si>
    <t>00271</t>
  </si>
  <si>
    <t>00272</t>
  </si>
  <si>
    <t>00273</t>
  </si>
  <si>
    <t>00274</t>
  </si>
  <si>
    <t>00275</t>
  </si>
  <si>
    <t>00276</t>
  </si>
  <si>
    <t>00277</t>
  </si>
  <si>
    <t>00278</t>
  </si>
  <si>
    <t>00279</t>
  </si>
  <si>
    <t>00280</t>
  </si>
  <si>
    <t>00281</t>
  </si>
  <si>
    <t>00282</t>
  </si>
  <si>
    <t>00283</t>
  </si>
  <si>
    <t>00284</t>
  </si>
  <si>
    <t>00285</t>
  </si>
  <si>
    <t>00286</t>
  </si>
  <si>
    <t>00287</t>
  </si>
  <si>
    <t>00288</t>
  </si>
  <si>
    <t>00289</t>
  </si>
  <si>
    <t>00290</t>
  </si>
  <si>
    <t>00291</t>
  </si>
  <si>
    <t>00292</t>
  </si>
  <si>
    <t>00293</t>
  </si>
  <si>
    <t>00294</t>
  </si>
  <si>
    <t>00295</t>
  </si>
  <si>
    <t>00296</t>
  </si>
  <si>
    <t>00297</t>
  </si>
  <si>
    <t>00298</t>
  </si>
  <si>
    <t>00299</t>
  </si>
  <si>
    <t>00300</t>
  </si>
  <si>
    <t>00301</t>
  </si>
  <si>
    <t>00302</t>
  </si>
  <si>
    <t>00303</t>
  </si>
  <si>
    <t>00304</t>
  </si>
  <si>
    <t>00305</t>
  </si>
  <si>
    <t>00306</t>
  </si>
  <si>
    <t>00307</t>
  </si>
  <si>
    <t>00308</t>
  </si>
  <si>
    <t>00309</t>
  </si>
  <si>
    <t>00310</t>
  </si>
  <si>
    <t>00311</t>
  </si>
  <si>
    <t>00312</t>
  </si>
  <si>
    <t>00313</t>
  </si>
  <si>
    <t>00314</t>
  </si>
  <si>
    <t>00315</t>
  </si>
  <si>
    <t>00316</t>
  </si>
  <si>
    <t>00317</t>
  </si>
  <si>
    <t>00318</t>
  </si>
  <si>
    <t>00319</t>
  </si>
  <si>
    <t>00320</t>
  </si>
  <si>
    <t>00321</t>
  </si>
  <si>
    <t>00322</t>
  </si>
  <si>
    <t>00323</t>
  </si>
  <si>
    <t>00324</t>
  </si>
  <si>
    <t>00325</t>
  </si>
  <si>
    <t>00326</t>
  </si>
  <si>
    <t>00327</t>
  </si>
  <si>
    <t>00328</t>
  </si>
  <si>
    <t>00329</t>
  </si>
  <si>
    <t>00330</t>
  </si>
  <si>
    <t>00331</t>
  </si>
  <si>
    <t>00332</t>
  </si>
  <si>
    <t>00333</t>
  </si>
  <si>
    <t>00334</t>
  </si>
  <si>
    <t>00335</t>
  </si>
  <si>
    <t>00336</t>
  </si>
  <si>
    <t>00337</t>
  </si>
  <si>
    <t>00338</t>
  </si>
  <si>
    <t>00339</t>
  </si>
  <si>
    <t>00340</t>
  </si>
  <si>
    <t>00341</t>
  </si>
  <si>
    <t>00342</t>
  </si>
  <si>
    <t>00343</t>
  </si>
  <si>
    <t>00344</t>
  </si>
  <si>
    <t>00345</t>
  </si>
  <si>
    <t>00346</t>
  </si>
  <si>
    <t>00347</t>
  </si>
  <si>
    <t>00348</t>
  </si>
  <si>
    <t>00349</t>
  </si>
  <si>
    <t>00350</t>
  </si>
  <si>
    <t>00351</t>
  </si>
  <si>
    <t>00352</t>
  </si>
  <si>
    <t>00353</t>
  </si>
  <si>
    <t>00354</t>
  </si>
  <si>
    <t>00355</t>
  </si>
  <si>
    <t>00356</t>
  </si>
  <si>
    <t>00357</t>
  </si>
  <si>
    <t>Informations produit</t>
  </si>
  <si>
    <t>Code-barres</t>
  </si>
  <si>
    <t>UGS</t>
  </si>
  <si>
    <t>Niveau de renouvellement</t>
  </si>
  <si>
    <t>Numéro de lot/série</t>
  </si>
  <si>
    <t>Date d'expiration</t>
  </si>
  <si>
    <t>Ajouter un nouveau produit/service</t>
  </si>
  <si>
    <t>Produit/service</t>
  </si>
  <si>
    <t>Définir le prix</t>
  </si>
  <si>
    <t>Cloner le produit</t>
  </si>
  <si>
    <t>Enregistrement du produit réussi</t>
  </si>
  <si>
    <t>Le produit existe déjà.</t>
  </si>
  <si>
    <t>Impossible d'enregistrer le produit, veuillez réessayer.</t>
  </si>
  <si>
    <t>Le code-barres du produit existe déjà.</t>
  </si>
  <si>
    <t>Liste des catégories</t>
  </si>
  <si>
    <t>Ajouter une nouvelle catégorie</t>
  </si>
  <si>
    <t>Informations sur la catégorie</t>
  </si>
  <si>
    <t>Sous-groupe</t>
  </si>
  <si>
    <t>Application utilisateur</t>
  </si>
  <si>
    <t>Membre du produit</t>
  </si>
  <si>
    <t>Enregistrement de la catégorie réussi.</t>
  </si>
  <si>
    <t>Impossible d'enregistrer la catégorie, veuillez réessayer.</t>
  </si>
  <si>
    <t>La catégorie existe, veuillez réessayer.</t>
  </si>
  <si>
    <t>Liste des marques</t>
  </si>
  <si>
    <t>Ajouter une nouvelle marque</t>
  </si>
  <si>
    <t>Informations sur la marque</t>
  </si>
  <si>
    <t>Enregistrement de la marque réussi.</t>
  </si>
  <si>
    <t>Impossible d'enregistrer la marque, veuillez réessayer.</t>
  </si>
  <si>
    <t>La marque existe, veuillez réessayer.</t>
  </si>
  <si>
    <t>Liste des modèles</t>
  </si>
  <si>
    <t>Ajouter un nouveau modèle</t>
  </si>
  <si>
    <t>Enregistrement du modèle réussi. Le modèle ne peut pas être enregistré, veuillez réessayer.</t>
  </si>
  <si>
    <t>Le modèle existe, veuillez réessayer.</t>
  </si>
  <si>
    <t>Liste des années</t>
  </si>
  <si>
    <t>Ajouter une nouvelle année</t>
  </si>
  <si>
    <t>Informations sur l'année</t>
  </si>
  <si>
    <t>L'année a été enregistrée avec succès.</t>
  </si>
  <si>
    <t>L'année ne peut pas être enregistrée, veuillez réessayer.</t>
  </si>
  <si>
    <t>L'année existe, veuillez réessayer.</t>
  </si>
  <si>
    <t>Liste des unités de mesure</t>
  </si>
  <si>
    <t>Ajouter une nouvelle unité de mesure</t>
  </si>
  <si>
    <t>Informations sur l'unité de mesure</t>
  </si>
  <si>
    <t>L'unité de mesure a été enregistrée avec succès.</t>
  </si>
  <si>
    <t>L'unité de mesure ne peut pas être enregistrée, veuillez réessayer.</t>
  </si>
  <si>
    <t>L'unité de mesure existe, veuillez réessayer.</t>
  </si>
  <si>
    <t>Liste des conversions d'unités de mesure</t>
  </si>
  <si>
    <t>Ajouter une nouvelle conversion d'unité de mesure</t>
  </si>
  <si>
    <t>De l'unité de mesure</t>
  </si>
  <si>
    <t>Vers l'unité de mesure</t>
  </si>
  <si>
    <t>Informations sur la conversion d'unité de mesure</t>
  </si>
  <si>
    <t>Unité de mesure principale</t>
  </si>
  <si>
    <t>Petite unité de mesure</t>
  </si>
  <si>
    <t>Autre unité de mesure</t>
  </si>
  <si>
    <t>Ajouter une autre unité de mesure</t>
  </si>
  <si>
    <t>La conversion d'unité de mesure existe, veuillez réessayer.</t>
  </si>
  <si>
    <t>La conversion d'unité de mesure a été enregistrée avec succès.</t>
  </si>
  <si>
    <t>Impossible d'enregistrer la conversion d'unité de mesure. Veuillez réessayer.</t>
  </si>
  <si>
    <t>Produits</t>
  </si>
  <si>
    <t>Lecteur de codes-barres</t>
  </si>
  <si>
    <t>Emballages de produits</t>
  </si>
  <si>
    <t>Unités de mesure</t>
  </si>
  <si>
    <t>Lots et numéros de série</t>
  </si>
  <si>
    <t>Dates d'expiration</t>
  </si>
  <si>
    <t>Calcul des coûts</t>
  </si>
  <si>
    <t>Coûts au débarquement</t>
  </si>
  <si>
    <t>Type de coût au débarquement</t>
  </si>
  <si>
    <t>Ajouter un nouveau type de coût au débarquement</t>
  </si>
  <si>
    <t>Informations sur le type de coût au débarquement</t>
  </si>
  <si>
    <t>Le type de coût au débarquement a été enregistré.</t>
  </si>
  <si>
    <t>Impossible d'enregistrer le type de coût au débarquement.</t>
  </si>
  <si>
    <t>Le type de coût au débarquement existe. Veuillez réessayer.</t>
  </si>
  <si>
    <t>Entrepôt</t>
  </si>
  <si>
    <t>Liste des entrepôts</t>
  </si>
  <si>
    <t>Ajouter un nouvel entrepôt</t>
  </si>
  <si>
    <t>Informations sur l'entrepôt</t>
  </si>
  <si>
    <t>L'entrepôt a été enregistré.</t>
  </si>
  <si>
    <t>L'entrepôt existe. Veuillez réessayer.</t>
  </si>
  <si>
    <t>Voir le produit dans l'entrepôt</t>
  </si>
  <si>
    <t>Type d'entrepôt</t>
  </si>
  <si>
    <t>Autoriser les stocks négatifs (vente)</t>
  </si>
  <si>
    <t>Informations utilisateur</t>
  </si>
  <si>
    <t>Disponible</t>
  </si>
  <si>
    <t>Membre</t>
  </si>
  <si>
    <t>Liste des emplacements</t>
  </si>
  <si>
    <t>Ajouter un nouvel emplacement</t>
  </si>
  <si>
    <t>Informations sur l'emplacement</t>
  </si>
  <si>
    <t>L'emplacement a été enregistré.</t>
  </si>
  <si>
    <t>L'emplacement existe. Veuillez réessayer.</t>
  </si>
  <si>
    <t>Impossible d'enregistrer l'emplacement. Veuillez réessayer.</t>
  </si>
  <si>
    <t>À vendre</t>
  </si>
  <si>
    <t>Achat</t>
  </si>
  <si>
    <t>Commande</t>
  </si>
  <si>
    <t>Bon de commande actif</t>
  </si>
  <si>
    <t>Avertissement concernant un numéro de bon de commande en double</t>
  </si>
  <si>
    <t>Livraison</t>
  </si>
  <si>
    <t>Bon de réception de marchandises actif</t>
  </si>
  <si>
    <t>Paiement des factures</t>
  </si>
  <si>
    <t>Utilisation automatique des crédits</t>
  </si>
  <si>
    <t>Autorisation d'escompte</t>
  </si>
  <si>
    <t>Fournisseur</t>
  </si>
  <si>
    <t>Liste des groupes de fournisseurs</t>
  </si>
  <si>
    <t>Ajouter un nouveau groupe de fournisseurs</t>
  </si>
  <si>
    <t>Groupe de fournisseurs</t>
  </si>
  <si>
    <t>Informations sur le groupe de fournisseurs</t>
  </si>
  <si>
    <t>Le groupe de fournisseurs a été enregistré.</t>
  </si>
  <si>
    <t>Le groupe de fournisseurs ne peut pas être enregistré. Veuillez réessayer.</t>
  </si>
  <si>
    <t>Le groupe de fournisseurs existe. Veuillez réessayer.</t>
  </si>
  <si>
    <t>Commande active</t>
  </si>
  <si>
    <t>Bon de livraison actif.</t>
  </si>
  <si>
    <t>Facture</t>
  </si>
  <si>
    <t>Avertissement concernant un numéro de facture en double</t>
  </si>
  <si>
    <t>Avertissement en cas de stock insuffisant.</t>
  </si>
  <si>
    <t>Autoriser l'équipe de paiement des ventes</t>
  </si>
  <si>
    <t>Paiement</t>
  </si>
  <si>
    <t>Tarification</t>
  </si>
  <si>
    <t>Activer le représentant commercial</t>
  </si>
  <si>
    <t>Client</t>
  </si>
  <si>
    <t>Liste des conditions générales</t>
  </si>
  <si>
    <t>Ajouter une nouvelle condition générale</t>
  </si>
  <si>
    <t>Nombre de jours nets</t>
  </si>
  <si>
    <t>Informations sur les conditions générales</t>
  </si>
  <si>
    <t>Les conditions générales ont été enregistrées.</t>
  </si>
  <si>
    <t>La condition d'équipe ne peut pas être enregistrée. Veuillez réessayer.</t>
  </si>
  <si>
    <t>La condition d'équipe existe déjà.</t>
  </si>
  <si>
    <t>Paramétrage du type de prix</t>
  </si>
  <si>
    <t>Liste des types de prix</t>
  </si>
  <si>
    <t>Ajouter un nouveau type de prix</t>
  </si>
  <si>
    <t>Appliquer à</t>
  </si>
  <si>
    <t>Définir à</t>
  </si>
  <si>
    <t>Informations sur le type de prix</t>
  </si>
  <si>
    <t>Le type de prix a été enregistré.</t>
  </si>
  <si>
    <t>Impossible d'enregistrer le type de prix. Veuillez réessayer.</t>
  </si>
  <si>
    <t>Le type de prix existe déjà.</t>
  </si>
  <si>
    <t>Liste des commerciaux</t>
  </si>
  <si>
    <t>Ajouter un nouveau commercial</t>
  </si>
  <si>
    <t>Le type de vendeur a été enregistré.</t>
  </si>
  <si>
    <t>Le type de vendeur existe déjà. Veuillez réessayer.</t>
  </si>
  <si>
    <t>Liste des groupes d'employés</t>
  </si>
  <si>
    <t>Le groupe d'employés a été enregistré.</t>
  </si>
  <si>
    <t>Le groupe d'employés existe déjà.</t>
  </si>
  <si>
    <t>Ajouter un nouveau groupe d'employés</t>
  </si>
  <si>
    <t>Numéro d'employé Groupe d'employés</t>
  </si>
  <si>
    <t>Date de début de travail</t>
  </si>
  <si>
    <t>Date de cessation d'emploi</t>
  </si>
  <si>
    <t>Poste</t>
  </si>
  <si>
    <t>Salaire</t>
  </si>
  <si>
    <t>Travail pour le fournisseur</t>
  </si>
  <si>
    <t>Type d'employé</t>
  </si>
  <si>
    <t>Informations sur le représentant commercial</t>
  </si>
  <si>
    <t>Liste des groupes de clients</t>
  </si>
  <si>
    <t>Groupe de clients</t>
  </si>
  <si>
    <t>Ajouter un nouveau groupe de clients</t>
  </si>
  <si>
    <t>Informations sur le groupe de clients</t>
  </si>
  <si>
    <t>Caissier</t>
  </si>
  <si>
    <t>Taux de change</t>
  </si>
  <si>
    <t>Affichage</t>
  </si>
  <si>
    <t>Utiliser Cash Shift</t>
  </si>
  <si>
    <t>Modes de paiement multiples</t>
  </si>
  <si>
    <t>Devise de paiement multiple</t>
  </si>
  <si>
    <t>Mode de paiement</t>
  </si>
  <si>
    <t>Ajouter un nouveau mode de paiement PDV</t>
  </si>
  <si>
    <t>Informations sur le mode de paiement PDV</t>
  </si>
  <si>
    <t>Compte</t>
  </si>
  <si>
    <t>Devise PDV</t>
  </si>
  <si>
    <t>Ajouter une nouvelle devise PDV</t>
  </si>
  <si>
    <t>Devise</t>
  </si>
  <si>
    <t>Liste des taux de change</t>
  </si>
  <si>
    <t>Ajouter un nouveau taux de change</t>
  </si>
  <si>
    <t>Taux de vente</t>
  </si>
  <si>
    <t>Taux de rendu</t>
  </si>
  <si>
    <t>Taux d'achat</t>
  </si>
  <si>
    <t>Liste des affichages</t>
  </si>
  <si>
    <t>Ajouter un nouvel affichage</t>
  </si>
  <si>
    <t>L'affichage a été enregistré.</t>
  </si>
  <si>
    <t>L'affichage n'a pas pu être enregistré. Veuillez réessayer.</t>
  </si>
  <si>
    <t>L'affichage existe déjà. Veuillez réessayer.</t>
  </si>
  <si>
    <t>TVA</t>
  </si>
  <si>
    <t>Paramètre décimal</t>
  </si>
  <si>
    <t>Période fiscale</t>
  </si>
  <si>
    <t>Activer le module comptable</t>
  </si>
  <si>
    <t>Désactiver le code de compte</t>
  </si>
  <si>
    <t>Plan comptable</t>
  </si>
  <si>
    <t>Ajouter un nouveau plan comptable</t>
  </si>
  <si>
    <t>L'enregistrement du plan comptable a été effectué.</t>
  </si>
  <si>
    <t>L'enregistrement du plan comptable n'a pas pu être effectué. Veuillez réessayer.</t>
  </si>
  <si>
    <t>Plan comptable existant, veuillez réessayer.</t>
  </si>
  <si>
    <t>Type de compte</t>
  </si>
  <si>
    <t>Groupe de comptes</t>
  </si>
  <si>
    <t>Sous-compte</t>
  </si>
  <si>
    <t>Code de compte</t>
  </si>
  <si>
    <t>Description du compte</t>
  </si>
  <si>
    <t>Manuel</t>
  </si>
  <si>
    <t>Paramètres de compte par défaut</t>
  </si>
  <si>
    <t>Miroir clients</t>
  </si>
  <si>
    <t>Miroir fournisseurs</t>
  </si>
  <si>
    <t>Inventaire</t>
  </si>
  <si>
    <t>Compte d'actifs</t>
  </si>
  <si>
    <t>Compte COGS</t>
  </si>
  <si>
    <t>Compte d'ajustement de stock</t>
  </si>
  <si>
    <t>Comptes fournisseurs</t>
  </si>
  <si>
    <t>Remise sur achat</t>
  </si>
  <si>
    <t>Facture payée comptant</t>
  </si>
  <si>
    <t>Remise sur facture</t>
  </si>
  <si>
    <t>Dépenses en espèces</t>
  </si>
  <si>
    <t>Comptes clients</t>
  </si>
  <si>
    <t>Revenu des ventes</t>
  </si>
  <si>
    <t>Marge des ventes</t>
  </si>
  <si>
    <t>Remise sur vente</t>
  </si>
  <si>
    <t>Compte de service</t>
  </si>
  <si>
    <t>Paiement comptant</t>
  </si>
  <si>
    <t>Remise sur paiement</t>
  </si>
  <si>
    <t>Remise en espèces</t>
  </si>
  <si>
    <t>Code du module</t>
  </si>
  <si>
    <t>Informations sur le code du module</t>
  </si>
  <si>
    <t>Code d'ajustement</t>
  </si>
  <si>
    <t>Code de mélange de marchandises</t>
  </si>
  <si>
    <t>Ordre de transfert</t>
  </si>
  <si>
    <t>កំណត់ភាសាប្រព័ន្ធ ខ្មែរ អង់គ្លេស បារាំង</t>
  </si>
  <si>
    <t>ពាក្យកាត់</t>
  </si>
  <si>
    <t>ឈ្មោះទីតាំង</t>
  </si>
  <si>
    <t>Retail Price</t>
  </si>
  <si>
    <t>UoM ID</t>
  </si>
  <si>
    <t>Bank Name</t>
  </si>
  <si>
    <t>Account Name</t>
  </si>
  <si>
    <t>Account No.</t>
  </si>
  <si>
    <t>ឈ្មោះធនាគារ</t>
  </si>
  <si>
    <t>ឈ្មោះគណនេយ្យ</t>
  </si>
  <si>
    <t>ACLEDA</t>
  </si>
  <si>
    <t>NOEM SREYMOM</t>
  </si>
  <si>
    <t>ពត៌មានធនាគារតាមសាខានីមួយៗ</t>
  </si>
  <si>
    <t>PHAL PISITH</t>
  </si>
  <si>
    <t>002833892 (USD)</t>
  </si>
  <si>
    <t>0977969339</t>
  </si>
  <si>
    <t>ក្រុមហ៊ុន/ស្ថាប័ន</t>
  </si>
  <si>
    <t>:</t>
  </si>
  <si>
    <t>Amount</t>
  </si>
  <si>
    <t xml:space="preserve">ប្រាក់សរុប </t>
  </si>
  <si>
    <t xml:space="preserve">សមតុល្យ </t>
  </si>
  <si>
    <t>សម្កាល់</t>
  </si>
  <si>
    <t>តារាងបញ្ជីអ្នកផ្គត់ផ្គង់</t>
  </si>
  <si>
    <t>ពត៌មានអ្នកលក់</t>
  </si>
  <si>
    <t>Price Type Id</t>
  </si>
  <si>
    <t>ឈ្មោះខ្នាត</t>
  </si>
  <si>
    <t>ខ្នាតបំបែក</t>
  </si>
  <si>
    <t>7</t>
  </si>
  <si>
    <t>8</t>
  </si>
  <si>
    <t>9</t>
  </si>
  <si>
    <t>05.លក់ថ្លៃដើម</t>
  </si>
  <si>
    <t>អាករ ០%</t>
  </si>
  <si>
    <t>Total Discount</t>
  </si>
  <si>
    <t>Product Option</t>
  </si>
  <si>
    <t>សរុប (Unit) ៖</t>
  </si>
  <si>
    <t>UOM</t>
  </si>
  <si>
    <t>កាលបរិច្ឆេទ :</t>
  </si>
  <si>
    <t>លេខកូដ :</t>
  </si>
  <si>
    <t>លេខកូដរូបិយប័ណ្ណ</t>
  </si>
  <si>
    <t>ទីតាំងដែលត្រូវដឹកទៅ</t>
  </si>
  <si>
    <r>
      <t>សាខា</t>
    </r>
    <r>
      <rPr>
        <sz val="11"/>
        <color rgb="FFFF0000"/>
        <rFont val="Roboto"/>
      </rPr>
      <t xml:space="preserve"> *</t>
    </r>
  </si>
  <si>
    <t>ឈ្មោះអាសយដ្ឋាន</t>
  </si>
  <si>
    <t>Address Name</t>
  </si>
  <si>
    <t>ជាសាច់ប្រាក់</t>
  </si>
  <si>
    <t>ជាភាគរយ</t>
  </si>
  <si>
    <t>សរុប ៖</t>
  </si>
  <si>
    <t>បញ្ចុះតម្លៃ ៖</t>
  </si>
  <si>
    <t>អាករ ៖</t>
  </si>
  <si>
    <t>សមតុល្យ ៖</t>
  </si>
  <si>
    <t>ស្តុកសល់ខែមុន</t>
  </si>
  <si>
    <t>ក្រុមទំនិញ</t>
  </si>
  <si>
    <t>ម៉ាក</t>
  </si>
  <si>
    <t>Product Group</t>
  </si>
  <si>
    <t>Brand</t>
  </si>
  <si>
    <t>Spec</t>
  </si>
  <si>
    <t>ទ្រង់ទ្រាយលំអិត</t>
  </si>
  <si>
    <t>ប្រភេទខ្នាត</t>
  </si>
  <si>
    <t>លេខអាករបន្ថែម</t>
  </si>
  <si>
    <t>NO.</t>
  </si>
  <si>
    <t>Customer Code</t>
  </si>
  <si>
    <t>Customer Name Kh</t>
  </si>
  <si>
    <t>Total Balance</t>
  </si>
  <si>
    <t>ឈ្មោះក្រុមអតិថិជន</t>
  </si>
  <si>
    <t>ID</t>
  </si>
  <si>
    <t>COD</t>
  </si>
  <si>
    <t>Three Month</t>
  </si>
  <si>
    <t>Six Month</t>
  </si>
  <si>
    <t>Customer Company</t>
  </si>
  <si>
    <t>Social Network</t>
  </si>
  <si>
    <t>CKS0000001</t>
  </si>
  <si>
    <t>កំណត់ការកម្មង់ទិញ</t>
  </si>
  <si>
    <t>00001.អំពូលភ្លើង 75W</t>
  </si>
  <si>
    <t>គោកស្នួល ខនស្រ្តាក់សិន មេធៀរៀល</t>
  </si>
  <si>
    <t>KORK SNUOL CONSTRUCTION MATERIAL</t>
  </si>
  <si>
    <t>PAYMENT TERM</t>
  </si>
  <si>
    <t>លក្ខណ្ឌនៃការទូទាត់វិក្កយបត្រ</t>
  </si>
  <si>
    <t>STOCK TYPE</t>
  </si>
  <si>
    <t>Invoice Status</t>
  </si>
  <si>
    <r>
      <t>លេខកូដ</t>
    </r>
    <r>
      <rPr>
        <sz val="11"/>
        <color rgb="FFFF0000"/>
        <rFont val="Roboto"/>
      </rPr>
      <t xml:space="preserve"> *</t>
    </r>
  </si>
  <si>
    <t>ចំនួនហ្រ្វី</t>
  </si>
  <si>
    <t>ប្រភេទវិក្កយបត្រ</t>
  </si>
  <si>
    <t>NAME</t>
  </si>
  <si>
    <t>NET DAYS</t>
  </si>
  <si>
    <t>PERCENT</t>
  </si>
  <si>
    <t>LATIN</t>
  </si>
  <si>
    <t>MONTH</t>
  </si>
  <si>
    <t>STAT</t>
  </si>
  <si>
    <t>END</t>
  </si>
  <si>
    <t>DISCOUNT TYPE</t>
  </si>
  <si>
    <t>Commercial Invoice</t>
  </si>
  <si>
    <t>INVOICE TYPE</t>
  </si>
  <si>
    <t>TAX</t>
  </si>
  <si>
    <t>INOVICE PREFIX</t>
  </si>
  <si>
    <t>Invoice Normal</t>
  </si>
  <si>
    <t>INV</t>
  </si>
  <si>
    <t>Group By</t>
  </si>
  <si>
    <t>Dashboard</t>
  </si>
  <si>
    <t>Home Page</t>
  </si>
  <si>
    <t>Inventory Adjustment</t>
  </si>
  <si>
    <t>Tranfer Order</t>
  </si>
  <si>
    <t>Goods Mixes</t>
  </si>
  <si>
    <t>Transfer Receive</t>
  </si>
  <si>
    <t>Purchase Order</t>
  </si>
  <si>
    <t>Goods Receipt Note</t>
  </si>
  <si>
    <t>Purchase Bill</t>
  </si>
  <si>
    <t>Pay Bills</t>
  </si>
  <si>
    <t>Purchase Return</t>
  </si>
  <si>
    <t>Landing Cost</t>
  </si>
  <si>
    <t>Quotation</t>
  </si>
  <si>
    <t>Sales Order</t>
  </si>
  <si>
    <t>Delivery Note</t>
  </si>
  <si>
    <t>Sales / Invoice</t>
  </si>
  <si>
    <t>Receive Payments</t>
  </si>
  <si>
    <t>Sales Return</t>
  </si>
  <si>
    <t>Discount Promotional</t>
  </si>
  <si>
    <t>Point Of Sales</t>
  </si>
  <si>
    <t>POS</t>
  </si>
  <si>
    <t>Shift Control</t>
  </si>
  <si>
    <t>Shift Collect Cash</t>
  </si>
  <si>
    <t>Journal Entry</t>
  </si>
  <si>
    <t>Receive Payment Journal</t>
  </si>
  <si>
    <t>Pay Bill Journal</t>
  </si>
  <si>
    <t>Reconcil</t>
  </si>
  <si>
    <t>Fixed Asset</t>
  </si>
  <si>
    <t>Customer Balance</t>
  </si>
  <si>
    <t>Sales Transaction</t>
  </si>
  <si>
    <t>Vendor Balance</t>
  </si>
  <si>
    <t>Purchase Transaction</t>
  </si>
  <si>
    <t>Stock/Inventory</t>
  </si>
  <si>
    <t>Financial</t>
  </si>
  <si>
    <t>List</t>
  </si>
  <si>
    <t>User</t>
  </si>
  <si>
    <t>System Setting</t>
  </si>
  <si>
    <t>Location Group ID</t>
  </si>
  <si>
    <t>ឈ្មោះឃ្លាំង</t>
  </si>
  <si>
    <t>location Group name</t>
  </si>
  <si>
    <t>Color</t>
  </si>
  <si>
    <t>Level</t>
  </si>
  <si>
    <t>Aisle</t>
  </si>
  <si>
    <t>Bay</t>
  </si>
  <si>
    <t>Bin</t>
  </si>
  <si>
    <t>Is Active</t>
  </si>
  <si>
    <t>Group Type</t>
  </si>
  <si>
    <t>Allow Negative Stock</t>
  </si>
  <si>
    <t>Stock Transfer Confirm</t>
  </si>
  <si>
    <t>លេខកូដឃ្លាំង</t>
  </si>
  <si>
    <t>លេខអតិថិជន់</t>
  </si>
  <si>
    <t>អនុញ្ញាតិឱ្យលក់ស្តុកសូន្យ</t>
  </si>
  <si>
    <t>អនុញ្ញាតិឱ្យផ្ទេរឃ្លាំងបាន</t>
  </si>
  <si>
    <t>ពណ៌</t>
  </si>
  <si>
    <t>កំរិត</t>
  </si>
  <si>
    <t>ទីតាំង</t>
  </si>
  <si>
    <t>ឆែកសម្រាប់លក់</t>
  </si>
  <si>
    <t>ផ្នែក ឬជួរឈរ</t>
  </si>
  <si>
    <t>ច្រកផ្លូវ​ ឬតំបន់</t>
  </si>
  <si>
    <t>ប្រលោះ ឬធ្នើរ</t>
  </si>
  <si>
    <t>Is For Sale</t>
  </si>
  <si>
    <t>គោកស្នួល</t>
  </si>
  <si>
    <t>id</t>
  </si>
  <si>
    <t>name</t>
  </si>
  <si>
    <t>Cash and Bank</t>
  </si>
  <si>
    <t>សាច់ប្រាក់ និងធនាគារ</t>
  </si>
  <si>
    <t>Other Current Asset</t>
  </si>
  <si>
    <t>ទ្រព្យសកម្មបច្ចុប្បន្នផ្សេងទៀត</t>
  </si>
  <si>
    <t>ទ្រព្យសកម្មថេរ</t>
  </si>
  <si>
    <t>Other Asset</t>
  </si>
  <si>
    <t>ទ្រព្យសកម្មផ្សេងទៀត</t>
  </si>
  <si>
    <t>គណនីត្រូវបង់</t>
  </si>
  <si>
    <t>Credit Card</t>
  </si>
  <si>
    <t>កាតឥណទាន</t>
  </si>
  <si>
    <t>Other Current Liability</t>
  </si>
  <si>
    <t>បំណុលបច្ចុប្បន្នផ្សេងទៀត</t>
  </si>
  <si>
    <t>Long Term Liability</t>
  </si>
  <si>
    <t>បំណុលរយៈពេលវែង</t>
  </si>
  <si>
    <t>Equity</t>
  </si>
  <si>
    <t>ភាគហ៊ុន</t>
  </si>
  <si>
    <t>Income</t>
  </si>
  <si>
    <t>ចំណូល</t>
  </si>
  <si>
    <t>Cost of Goods Sold</t>
  </si>
  <si>
    <t>ថ្លៃដើមទំនិញដែលបានលក់</t>
  </si>
  <si>
    <t>Expense</t>
  </si>
  <si>
    <t>ចំណាយ</t>
  </si>
  <si>
    <t>Other Income</t>
  </si>
  <si>
    <t>ចំណូលផ្សេងទៀត</t>
  </si>
  <si>
    <t>Other Expense</t>
  </si>
  <si>
    <t>ចំណាយផ្សេងទៀត</t>
  </si>
  <si>
    <t>Cash at Bank</t>
  </si>
  <si>
    <t>សាច់ប្រាក់នៅធនាគារ</t>
  </si>
  <si>
    <t>Cash on hand</t>
  </si>
  <si>
    <t>សាច់ប្រាក់នៅនឹងដៃ</t>
  </si>
  <si>
    <t>Account Receivable</t>
  </si>
  <si>
    <t>Notes Receivable</t>
  </si>
  <si>
    <t>មូលបត្របំណុលទទួល</t>
  </si>
  <si>
    <t>Other current assets</t>
  </si>
  <si>
    <t>Prepaid Expense</t>
  </si>
  <si>
    <t>ការចំណាយបង់ប្រាក់ជាមុន</t>
  </si>
  <si>
    <t>Fixed assets</t>
  </si>
  <si>
    <t>Other asset</t>
  </si>
  <si>
    <t>Account payables</t>
  </si>
  <si>
    <t>បំណុលគណនីទទួល</t>
  </si>
  <si>
    <t>Other Current Liabilities</t>
  </si>
  <si>
    <t>Current liaiblities</t>
  </si>
  <si>
    <t>បំណុលបច្ចុប្បន្ន</t>
  </si>
  <si>
    <t>Long-term liabilities</t>
  </si>
  <si>
    <t>Share Capital</t>
  </si>
  <si>
    <t>ដើមទុនភាគហ៊ុន</t>
  </si>
  <si>
    <t>Retained Earning</t>
  </si>
  <si>
    <t>ប្រាក់ចំណូលរក្សាទុក</t>
  </si>
  <si>
    <t>ប្រាក់ចំណូល</t>
  </si>
  <si>
    <t>Sale Discounts</t>
  </si>
  <si>
    <t>ការបញ្ចុះតម្លៃលក់</t>
  </si>
  <si>
    <t>Cost of Sale</t>
  </si>
  <si>
    <t>ថ្លៃដើមនៃការលក់</t>
  </si>
  <si>
    <t>Operation Expenses</t>
  </si>
  <si>
    <t>ការចំណាយប្រតិបត្តិការ</t>
  </si>
  <si>
    <t>Utilities Expense</t>
  </si>
  <si>
    <t>ការចំណាយលើសេវាប្រើប្រាស់</t>
  </si>
  <si>
    <t>Repairs Expense</t>
  </si>
  <si>
    <t>ការចំណាយលើការជួសជុល</t>
  </si>
  <si>
    <t>Purchase Discounts</t>
  </si>
  <si>
    <t>ការបញ្ចុះតម្លៃទិញ</t>
  </si>
  <si>
    <t>Other income</t>
  </si>
  <si>
    <t>ប្រាក់ចំណូលផ្សេងទៀត</t>
  </si>
  <si>
    <t>Other expenses</t>
  </si>
  <si>
    <t>ការចំណាយផ្សេងទៀត</t>
  </si>
  <si>
    <t>Furniture and Fixtures</t>
  </si>
  <si>
    <t>គ្រឿងសង្ហារឹម និងគ្រឿងបរិក្ខារ</t>
  </si>
  <si>
    <t>Other assets</t>
  </si>
  <si>
    <t>Liability</t>
  </si>
  <si>
    <t>បំណុល</t>
  </si>
  <si>
    <t>Long Term Liabilities</t>
  </si>
  <si>
    <t>Expenses</t>
  </si>
  <si>
    <t>VAT Input</t>
  </si>
  <si>
    <t>ធាតុចូល VAT</t>
  </si>
  <si>
    <t>VAT Output</t>
  </si>
  <si>
    <t>ទិន្នផល VAT</t>
  </si>
  <si>
    <t>Puchase Discount</t>
  </si>
  <si>
    <t>Income Summary</t>
  </si>
  <si>
    <t>សេចក្តីសង្ខេបចំណូល</t>
  </si>
  <si>
    <t>Dividends</t>
  </si>
  <si>
    <t>ភាគលាភ</t>
  </si>
  <si>
    <t>ordering</t>
  </si>
  <si>
    <t>គណនីទ្រព្យស្តុក</t>
  </si>
  <si>
    <t>គណនីកែតម្រូវស្តុក</t>
  </si>
  <si>
    <t>ការបញ្ចុះតម្លៃពីការទិញ</t>
  </si>
  <si>
    <t>វិក្កយបត្របង់ជាសាច់ប្រាក់</t>
  </si>
  <si>
    <t>ការបញ្ចុះតម្លៃវិក្កយបត្រទូទាត់</t>
  </si>
  <si>
    <t>ការចំណាយជាសាច់ប្រាក់</t>
  </si>
  <si>
    <t>ការកើនឡើងតម្លៃលក់</t>
  </si>
  <si>
    <t>ការបញ្ចុះតម្លៃពីការលក់</t>
  </si>
  <si>
    <t>ការទូទាត់ជាសាច់ប្រាក់</t>
  </si>
  <si>
    <t>ការបញ្ចុះតម្លៃការទូទាត់</t>
  </si>
  <si>
    <t>Cash Deposit</t>
  </si>
  <si>
    <t>ប្រាក់កក់ជាសាច់ប្រាក់</t>
  </si>
  <si>
    <t>Account Receivable (Landed Cost)</t>
  </si>
  <si>
    <t>គណនីទទួល (ថ្លៃដើមដឹក)</t>
  </si>
  <si>
    <t>Sales Change</t>
  </si>
  <si>
    <t>ការដូរប្រាក់</t>
  </si>
  <si>
    <t>Miscellaneous Account</t>
  </si>
  <si>
    <t>គណនីផ្សេងៗ</t>
  </si>
  <si>
    <t>Landing Costs</t>
  </si>
  <si>
    <t>ថ្លៃដើមដឹក</t>
  </si>
  <si>
    <t>Unearned Revenue</t>
  </si>
  <si>
    <t>ប្រាក់ចំណូលដែលមិនទាន់រកបាន</t>
  </si>
  <si>
    <t>Unearned Discount</t>
  </si>
  <si>
    <t>ការបញ្ចុះតម្លៃដែលមិនទាន់រកបាន</t>
  </si>
  <si>
    <t>Logout</t>
  </si>
  <si>
    <t>Chart Account Name</t>
  </si>
  <si>
    <t>Module Group ID</t>
  </si>
  <si>
    <t>Chart Account Id</t>
  </si>
  <si>
    <t xml:space="preserve">Sort </t>
  </si>
  <si>
    <t>Parent ID</t>
  </si>
  <si>
    <t>Chart Account Type ID</t>
  </si>
  <si>
    <t>Chart Account Group Id</t>
  </si>
  <si>
    <t>Account Description Kh</t>
  </si>
  <si>
    <t>Is Depreciation</t>
  </si>
  <si>
    <t>លេខប្រភេទគណនី</t>
  </si>
  <si>
    <t>បង់រំលោះ</t>
  </si>
  <si>
    <t>លេខគណនីមេ</t>
  </si>
  <si>
    <t>លេខក្រុមគណនី</t>
  </si>
  <si>
    <t>គណនីកូដ</t>
  </si>
  <si>
    <t>គណនីបរិយាយ</t>
  </si>
  <si>
    <t>គណនីបរិយាយខ្មែរ</t>
  </si>
  <si>
    <t>លេខក្រុមម៉ូឌុល</t>
  </si>
  <si>
    <t>លេខគណនី</t>
  </si>
  <si>
    <t>ឈ្មោះគណនី</t>
  </si>
  <si>
    <t>រៀបតាមលំដាប់</t>
  </si>
  <si>
    <t>តម្រៀប</t>
  </si>
  <si>
    <t>ដាក់ជាក្រុម</t>
  </si>
  <si>
    <t>012.Accounts Receivable</t>
  </si>
  <si>
    <t>សូមជ្រើសរើសទំនិញ ខាងក្រោម</t>
  </si>
  <si>
    <t>Void Paid Vendor</t>
  </si>
  <si>
    <t>21</t>
  </si>
  <si>
    <t>22</t>
  </si>
  <si>
    <t>23</t>
  </si>
  <si>
    <t>24</t>
  </si>
  <si>
    <t>26</t>
  </si>
  <si>
    <t>product id</t>
  </si>
  <si>
    <t>Deposit</t>
  </si>
  <si>
    <t>Small Val UoM</t>
  </si>
  <si>
    <t>Box</t>
  </si>
  <si>
    <t>mm</t>
  </si>
  <si>
    <t>TIN Number</t>
  </si>
  <si>
    <t>E116-2600001271</t>
  </si>
  <si>
    <t>ប្រាក់ទូទាត់ ៖</t>
  </si>
  <si>
    <t>ខ្នាតតូចបំផុត</t>
  </si>
  <si>
    <t>ឆែកស្តុកសរុប</t>
  </si>
  <si>
    <t>ឆែកស្តុកលំអតិ</t>
  </si>
  <si>
    <t>ខ្នាតទំនិញដើម</t>
  </si>
  <si>
    <t>ខ្នាតបំបែកទី១</t>
  </si>
  <si>
    <t>ខ្នាទបំបែកទី២</t>
  </si>
  <si>
    <t>លេខខ្នាតតូច</t>
  </si>
  <si>
    <t>Second UoM Value</t>
  </si>
  <si>
    <t>តម្លៃខ្នាតទី២</t>
  </si>
  <si>
    <t>Small UoM Value</t>
  </si>
  <si>
    <t>Conversion1</t>
  </si>
  <si>
    <t>Conversion2</t>
  </si>
  <si>
    <t>Small UoM ID</t>
  </si>
  <si>
    <t>ថ្លៃដើមលក់</t>
  </si>
  <si>
    <t>កាលបរិច្ឆេទ *</t>
  </si>
  <si>
    <t>អ្នកបញ្ចូលស្តុក *</t>
  </si>
  <si>
    <t>Adjustment Status</t>
  </si>
  <si>
    <t>លេខវិក្ក.ស្តុកយោង</t>
  </si>
  <si>
    <t>pid</t>
  </si>
  <si>
    <t>បរិមាណស្តុក ៖</t>
  </si>
  <si>
    <t>Current Qty</t>
  </si>
  <si>
    <t>ស្តុកបច្ចុប្បន្ន</t>
  </si>
  <si>
    <t>លេខខ្នាតធំ</t>
  </si>
  <si>
    <t>លេខខ្នាតបំបែក</t>
  </si>
  <si>
    <t>តម្លៃខ្នាតបំបែក</t>
  </si>
  <si>
    <t>ឆែកខ្នាតតូច</t>
  </si>
  <si>
    <t>003.Inventory Adjustment Account</t>
  </si>
  <si>
    <t>Default Cost</t>
  </si>
  <si>
    <t>PO/Sale Order/Other Ref#:</t>
  </si>
  <si>
    <t>Item Code</t>
  </si>
  <si>
    <t>Bank name:</t>
  </si>
  <si>
    <t>Account name:</t>
  </si>
  <si>
    <t>Account no:</t>
  </si>
  <si>
    <t>គោកស្នួលខនស្រ្តាក់សិនមេធៀរៀល</t>
  </si>
  <si>
    <t>LOLC</t>
  </si>
  <si>
    <t>Wing Bank</t>
  </si>
  <si>
    <t>Hattha</t>
  </si>
  <si>
    <t>Sathapana </t>
  </si>
  <si>
    <t>Phillip </t>
  </si>
  <si>
    <t>SBI Ly Hour</t>
  </si>
  <si>
    <t>Vattanac</t>
  </si>
  <si>
    <t>Chip Mong</t>
  </si>
  <si>
    <t>Canadia</t>
  </si>
  <si>
    <t>Cambodia Post</t>
  </si>
  <si>
    <t>011 50 2000 / 060 50 2000 / 098 50 2000</t>
  </si>
  <si>
    <t>ភូមិគោកស្នួល ឃុំខ្នាត ស្រុកពួក ខេត្តសៀមរាប</t>
  </si>
  <si>
    <t>boupanha.edu@gmail.com</t>
  </si>
  <si>
    <t>Kork Snuol Village, Khnat Commune, Puok District, Siem Reap Province</t>
  </si>
  <si>
    <t>Other Telephone</t>
  </si>
  <si>
    <t>01.គោកស្នួលខនស្រ្តាក់សិនមេធៀរៀល</t>
  </si>
  <si>
    <t>Name in Khmer</t>
  </si>
  <si>
    <t>Name in ENG</t>
  </si>
  <si>
    <t>លេខអត្តសញ្ញាណកម្មសារពើពន្ធ (TIN)</t>
  </si>
  <si>
    <t>Item Description / Service</t>
  </si>
  <si>
    <t>បរិយាយមុខទំនិញ / សេវា</t>
  </si>
  <si>
    <t>ឈ្មោះអតិថិជន (ភាសាខ្មែរ)</t>
  </si>
  <si>
    <t>Customer name (EN)</t>
  </si>
  <si>
    <t>លេខទូរស័ព្ទ ឬមធ្យោបាយទាក់ទង</t>
  </si>
  <si>
    <t>Phone / Email / Other</t>
  </si>
  <si>
    <r>
      <t xml:space="preserve">លេខវិក្កយបត្រ </t>
    </r>
    <r>
      <rPr>
        <sz val="13"/>
        <color theme="1"/>
        <rFont val="Arial"/>
        <family val="2"/>
      </rPr>
      <t>/ Invoice No ៖</t>
    </r>
  </si>
  <si>
    <r>
      <t>កាលបរិច្ឆេទ</t>
    </r>
    <r>
      <rPr>
        <sz val="13"/>
        <color theme="1"/>
        <rFont val="Arial"/>
        <family val="2"/>
      </rPr>
      <t xml:space="preserve"> / Date ៖</t>
    </r>
  </si>
  <si>
    <r>
      <t xml:space="preserve">កាលបរិច្ឆេទកំណត់ </t>
    </r>
    <r>
      <rPr>
        <sz val="13"/>
        <color theme="1"/>
        <rFont val="Arial"/>
        <family val="2"/>
      </rPr>
      <t>/ Due date ៖</t>
    </r>
  </si>
  <si>
    <r>
      <t xml:space="preserve">អាសយដ្ឋាន </t>
    </r>
    <r>
      <rPr>
        <sz val="11"/>
        <color theme="1"/>
        <rFont val="Khmer OS Siemreap"/>
      </rPr>
      <t>/ Address</t>
    </r>
  </si>
  <si>
    <r>
      <t xml:space="preserve">ធនាគារ </t>
    </r>
    <r>
      <rPr>
        <sz val="12"/>
        <color rgb="FF000000"/>
        <rFont val="Arial"/>
        <family val="2"/>
      </rPr>
      <t xml:space="preserve">/ </t>
    </r>
    <r>
      <rPr>
        <b/>
        <sz val="12"/>
        <color rgb="FF000000"/>
        <rFont val="Arial"/>
        <family val="2"/>
      </rPr>
      <t>​Bank Account of the Company</t>
    </r>
  </si>
  <si>
    <t>Unit Price (USD)</t>
  </si>
  <si>
    <t xml:space="preserve">អាសយដ្ឋាន ៖ </t>
  </si>
  <si>
    <t xml:space="preserve">លេខអត្តសញ្ញាណកម្មសារពើពន្ធ (TIN) ៖ </t>
  </si>
  <si>
    <t xml:space="preserve">លេខទូរស័ព្ទ ៖ </t>
  </si>
  <si>
    <t xml:space="preserve">អ៊ីម៉ែល​ ៖ </t>
  </si>
  <si>
    <t>Advanced Bank of Asia Ltd.,KORK SNUOL CONSTRUCTION MATERIAL,017384326 (USD),017384325 (KHR)</t>
  </si>
  <si>
    <t>លក្ខណទូទាត់ប្រាក់</t>
  </si>
  <si>
    <t>Amount (USD)</t>
  </si>
  <si>
    <t>Amount (KHR)</t>
  </si>
  <si>
    <t>Stock Avariable</t>
  </si>
  <si>
    <t>ស្តុកជាក់ស្តែង</t>
  </si>
  <si>
    <t>ជ្រើសរើសខ្នាត</t>
  </si>
  <si>
    <t>Select UOM</t>
  </si>
  <si>
    <t xml:space="preserve">ប្រាក់កក់ ៖ </t>
  </si>
  <si>
    <t xml:space="preserve">អាករបន្ថែម ៖ </t>
  </si>
  <si>
    <r>
      <t xml:space="preserve">សរុប </t>
    </r>
    <r>
      <rPr>
        <sz val="13"/>
        <color theme="1"/>
        <rFont val="Roboto"/>
      </rPr>
      <t>/ Total</t>
    </r>
    <r>
      <rPr>
        <sz val="13"/>
        <color theme="1"/>
        <rFont val="Khmer OS Battambang"/>
      </rPr>
      <t xml:space="preserve"> ៖</t>
    </r>
  </si>
  <si>
    <r>
      <t xml:space="preserve">សរុបរួម (បូកបញ្ចូលទាំងអាករ) ៖
</t>
    </r>
    <r>
      <rPr>
        <sz val="13"/>
        <color theme="1"/>
        <rFont val="Roboto"/>
      </rPr>
      <t>Grand Total (VAT Included)</t>
    </r>
    <r>
      <rPr>
        <b/>
        <sz val="13"/>
        <color theme="1"/>
        <rFont val="Khmer OS Battambang"/>
      </rPr>
      <t xml:space="preserve">  </t>
    </r>
  </si>
  <si>
    <r>
      <t xml:space="preserve">បញ្ចុះតម្លៃ / </t>
    </r>
    <r>
      <rPr>
        <sz val="13"/>
        <color theme="1"/>
        <rFont val="Roboto"/>
      </rPr>
      <t>Total Discount​</t>
    </r>
    <r>
      <rPr>
        <sz val="13"/>
        <color theme="1"/>
        <rFont val="Khmer OS Battambang"/>
      </rPr>
      <t xml:space="preserve"> ៖</t>
    </r>
  </si>
  <si>
    <r>
      <t>អត្រាប្តូរប្រាក់</t>
    </r>
    <r>
      <rPr>
        <sz val="12"/>
        <color theme="1"/>
        <rFont val="Roboto"/>
      </rPr>
      <t>/NBC Exchange ​</t>
    </r>
    <r>
      <rPr>
        <sz val="12"/>
        <color theme="1"/>
        <rFont val="Khmer OS Battambang"/>
      </rPr>
      <t xml:space="preserve">៖   </t>
    </r>
    <r>
      <rPr>
        <sz val="12"/>
        <color theme="1"/>
        <rFont val="Roboto"/>
      </rPr>
      <t xml:space="preserve"> </t>
    </r>
    <r>
      <rPr>
        <sz val="13"/>
        <color theme="1"/>
        <rFont val="Roboto"/>
      </rPr>
      <t xml:space="preserve">1 USD   = </t>
    </r>
  </si>
  <si>
    <t>ប្រភេទតម្លៃ៖</t>
  </si>
  <si>
    <t>លេខអតបក្រុមហ៊ុន៖</t>
  </si>
  <si>
    <t>លេខអតបអតិថិជន៖</t>
  </si>
  <si>
    <t>លេខលក្ខណ្ឌទូទាត់៖</t>
  </si>
  <si>
    <t>ថ្ងៃទូទាត់បុង៖</t>
  </si>
  <si>
    <t>004.Accounts Payable</t>
  </si>
  <si>
    <t>Purchase Status</t>
  </si>
  <si>
    <t>លេខបញ្ជាទិញ (PO No.)</t>
  </si>
  <si>
    <t>វិក្កយបត្រយោង (Invoice Ref)</t>
  </si>
  <si>
    <t>Total Cost</t>
  </si>
  <si>
    <t>Discount Item</t>
  </si>
  <si>
    <t>stock by date</t>
  </si>
  <si>
    <t>រកស្តុកតាមថ្ងៃ</t>
  </si>
  <si>
    <t>New Unit Cost</t>
  </si>
  <si>
    <t>លេខទិញ</t>
  </si>
  <si>
    <t>01.COD</t>
  </si>
  <si>
    <t>Old Cost</t>
  </si>
  <si>
    <t>New Cost</t>
  </si>
  <si>
    <t>Old Unit Cost</t>
  </si>
  <si>
    <t>Amount Before</t>
  </si>
  <si>
    <t>Percent</t>
  </si>
  <si>
    <t>Add On</t>
  </si>
  <si>
    <t>Set Type</t>
  </si>
  <si>
    <t>Photo</t>
  </si>
  <si>
    <t>Vendor Contact</t>
  </si>
  <si>
    <t>Work Telephone</t>
  </si>
  <si>
    <t>Fax Number</t>
  </si>
  <si>
    <t>Addresss</t>
  </si>
  <si>
    <t>រូបថត</t>
  </si>
  <si>
    <t>លេខទាក់ទង</t>
  </si>
  <si>
    <t>Vendor Name En</t>
  </si>
  <si>
    <t>តំណាងអ្នកផ្គត់ផ្គង់</t>
  </si>
  <si>
    <t>លេខធ្វើការ</t>
  </si>
  <si>
    <t>លេខទូរស័ព្ទផ្សេង</t>
  </si>
  <si>
    <t>លេខហ្វាក់</t>
  </si>
  <si>
    <t>ប្រាក់ជំពាក់អ្នកផ្គត់ផ្គង់</t>
  </si>
  <si>
    <t>Title</t>
  </si>
  <si>
    <t>Contact Name</t>
  </si>
  <si>
    <t>Sex</t>
  </si>
  <si>
    <t>Contact Telephone</t>
  </si>
  <si>
    <t>លេខអតប</t>
  </si>
  <si>
    <t>Accountan</t>
  </si>
  <si>
    <t>HR &amp; Administrator</t>
  </si>
  <si>
    <t>General Manager</t>
  </si>
  <si>
    <t>Sale Manager</t>
  </si>
  <si>
    <t>Stock Controller</t>
  </si>
  <si>
    <t>គណនេយ្យករ</t>
  </si>
  <si>
    <t>រដ្ឋបាល</t>
  </si>
  <si>
    <t>អ្នកគ្រប់គ្រង់ទូទៅ</t>
  </si>
  <si>
    <t>អ្នកគ្រប់គ្រង់ការទិញទូទៅ</t>
  </si>
  <si>
    <t>អ្នកគ្រប់គ្រងស្តុក</t>
  </si>
  <si>
    <t>Contact Position</t>
  </si>
  <si>
    <t>តួនាទី</t>
  </si>
  <si>
    <t>CHIP MONG</t>
  </si>
  <si>
    <t>VKS001</t>
  </si>
  <si>
    <t>ជីប ម៉ុង</t>
  </si>
  <si>
    <t>Stock By Date</t>
  </si>
  <si>
    <t>ស្តុកតាមថ្ងៃ</t>
  </si>
  <si>
    <t>New Unit Price</t>
  </si>
  <si>
    <t>Inv Group Total</t>
  </si>
  <si>
    <t>ឆែកស្តុកក្នុងឃ្លាំង</t>
  </si>
  <si>
    <t>Group Total Detail</t>
  </si>
  <si>
    <t>Cost By UoM</t>
  </si>
  <si>
    <t>Lot No.</t>
  </si>
  <si>
    <t>លេខឡតិ័</t>
  </si>
  <si>
    <t>Lot Number</t>
  </si>
  <si>
    <t>លេខប្រភេទសាខា</t>
  </si>
  <si>
    <t>ឆែកមាន Record ឬអត់</t>
  </si>
  <si>
    <r>
      <t xml:space="preserve">ជ្រើសរើសឃ្លាំង </t>
    </r>
    <r>
      <rPr>
        <sz val="11"/>
        <color rgb="FFFF0000"/>
        <rFont val="Content"/>
      </rPr>
      <t>*</t>
    </r>
  </si>
  <si>
    <t>Purchase VAT</t>
  </si>
  <si>
    <t>Sales VAT</t>
  </si>
  <si>
    <t>គណនីអាករបន្ថែមនៃការទិញ</t>
  </si>
  <si>
    <t>គណនីអាករបន្ថែមនៃការលក់</t>
  </si>
  <si>
    <t>តម្លៃទំនិញតាមប្រភេទតម្លៃ និងខ្នាត</t>
  </si>
  <si>
    <t>លេខទំនិញ</t>
  </si>
  <si>
    <t>ថ្លៃដើមចាស់</t>
  </si>
  <si>
    <t>តម្លៃពីមុន</t>
  </si>
  <si>
    <t>តម្លៃថ្មី</t>
  </si>
  <si>
    <t>បូកបន្ថែម</t>
  </si>
  <si>
    <t>Product Price</t>
  </si>
  <si>
    <t>សាខា ៖</t>
  </si>
  <si>
    <t>ជ្រើសរើសទំនិញ ៖</t>
  </si>
  <si>
    <t>Price Type</t>
  </si>
  <si>
    <t>Last Selling Price</t>
  </si>
  <si>
    <t>តម្លៃចុងក្រោយ</t>
  </si>
  <si>
    <t>កូដទំនិញ</t>
  </si>
  <si>
    <t>ឈ្មោះទំនិញ</t>
  </si>
  <si>
    <t>Group Total</t>
  </si>
  <si>
    <t>Stock Available</t>
  </si>
  <si>
    <t>ថ្លៃដើមថ្មី</t>
  </si>
  <si>
    <t>Barcode/SKU</t>
  </si>
  <si>
    <t xml:space="preserve">Location </t>
  </si>
  <si>
    <t>ស្តុកក្នុងឃ្លាំង</t>
  </si>
  <si>
    <t>ស្តុកក្នុងឃ្លាំងលំអិត</t>
  </si>
  <si>
    <t>ស្តុកតាមទីតាំង</t>
  </si>
  <si>
    <t>ស្តុកតាមទីតាំងលំអិត</t>
  </si>
  <si>
    <t>Conversion 1</t>
  </si>
  <si>
    <t>Small Uom Id</t>
  </si>
  <si>
    <r>
      <t xml:space="preserve">ជ្រើសរើសបញ្ចូលស្តុកថ្មី/តំរឹមស្តុក </t>
    </r>
    <r>
      <rPr>
        <sz val="12"/>
        <color rgb="FFFF0000"/>
        <rFont val="Roboto"/>
      </rPr>
      <t>*</t>
    </r>
  </si>
  <si>
    <t>ខ្នាតទំនិញ ៖</t>
  </si>
  <si>
    <t>price type id</t>
  </si>
  <si>
    <t>Conversion Count</t>
  </si>
  <si>
    <t>Array Uom Id</t>
  </si>
  <si>
    <t xml:space="preserve">Array Price </t>
  </si>
  <si>
    <t>កំណត់ប្រភេទ</t>
  </si>
  <si>
    <t>តម្លៃទាំងអស់</t>
  </si>
  <si>
    <t>លេខខ្នាតទាំងអស់</t>
  </si>
  <si>
    <t>ចំនួនខ្នាតទំនិញ</t>
  </si>
  <si>
    <t>VAT-TIN</t>
  </si>
  <si>
    <t>1.ទឹកប្រាក់</t>
  </si>
  <si>
    <t>2.ភាគរយ</t>
  </si>
  <si>
    <t>3.តំម្លៃបន្ថែម</t>
  </si>
  <si>
    <t>Price Type Name</t>
  </si>
  <si>
    <t>UoM Name</t>
  </si>
  <si>
    <t>Array Uom</t>
  </si>
  <si>
    <t>ឈ្មោះខ្នាតទាំងអស់</t>
  </si>
  <si>
    <t>ប្រភេទតម្លៃ ៖</t>
  </si>
  <si>
    <t>Check Exist Amount</t>
  </si>
  <si>
    <t>បញ្ចូលតម្លៃទំនិញតាមប្រភេទលក់រាយ និងលក់ដុំ តាមខ្នាតនីមួយៗ នៅក្នុងស៊ុមពណ៌ក្រហម</t>
  </si>
  <si>
    <t>កូដប័ណ្ណទិញទំនិញ</t>
  </si>
  <si>
    <t>ប្រភេទប្រតិបត្តិការណ៍</t>
  </si>
  <si>
    <t>ប្រវត្តិប្រតិបត្តិការណ៍បញ្ចូលតម្លៃទំនិញ</t>
  </si>
  <si>
    <t>ប្រវត្តិប្រតិបត្តិការណ៍បញ្ចូលថ្លៃដើមទំនិញ</t>
  </si>
  <si>
    <t>Product Uom</t>
  </si>
  <si>
    <t>ខ្នាតទំនិញ</t>
  </si>
  <si>
    <t>Small Val Uom</t>
  </si>
  <si>
    <t>ទឹកប្រាក់ចុងក្រោយ</t>
  </si>
  <si>
    <t>ទឹកប្រាក់ទាំងអស់</t>
  </si>
  <si>
    <t>ជ្រើសរើសខ្នាតធំ ៖</t>
  </si>
  <si>
    <t>ជ្រើសរើសខ្នាតតូច ៖</t>
  </si>
  <si>
    <t>ជ្រើសរើសខ្នាតកណ្តាល ៖</t>
  </si>
  <si>
    <t>បញ្ចូលតម្លៃខ្នាតតូច ៖</t>
  </si>
  <si>
    <t>បញ្ចូលតម្លៃខ្នាតកណ្តាល ៖</t>
  </si>
  <si>
    <t>ឈ្មោះខ្នាតធំ</t>
  </si>
  <si>
    <t>ឈ្មោះខ្នាតបំបែក</t>
  </si>
  <si>
    <t>Main Uom</t>
  </si>
  <si>
    <t>Uom Conversion</t>
  </si>
  <si>
    <t>បំបែកខ្នាតទំនិញពីធំ ទៅតូច</t>
  </si>
  <si>
    <t>From Uom ID</t>
  </si>
  <si>
    <t>To Uom ID</t>
  </si>
  <si>
    <t>Value</t>
  </si>
  <si>
    <t>Is Small Uom</t>
  </si>
  <si>
    <t>Uom Value</t>
  </si>
  <si>
    <t xml:space="preserve"> ផ្ទះលេខ ២៧E0 (បុរីពិភពថ្មី) ផ្លូវលេខ ០៩ ភូមិក្រុងថ្មី សង្កាត់គោកឃ្លាង ខណ្ឌសែនសុខ រាជធានីភ្នំពេញ</t>
  </si>
  <si>
    <t>អាយមេកស៍ (ខេមបូឌា) ឯ.ក</t>
  </si>
  <si>
    <t xml:space="preserve">Id </t>
  </si>
  <si>
    <t>Parent Id</t>
  </si>
  <si>
    <t>Parent Name</t>
  </si>
  <si>
    <t>លេខគោល</t>
  </si>
  <si>
    <t>ឈ្មោះគោល</t>
  </si>
  <si>
    <t>ឈ្មោះផ្សេងទៀត</t>
  </si>
  <si>
    <t>បញ្ជីក្រុមទំនិញ</t>
  </si>
  <si>
    <t>បញ្ជីម៉ាកទំនិញ</t>
  </si>
  <si>
    <t>គ្រឿងភ្លើង</t>
  </si>
  <si>
    <t>គ្រឿងជាង</t>
  </si>
  <si>
    <t>គ្រឿងសំណង់</t>
  </si>
  <si>
    <t>Steel</t>
  </si>
  <si>
    <t>ECO PIPE</t>
  </si>
  <si>
    <t>China</t>
  </si>
  <si>
    <t>ក្បាលខ្លា</t>
  </si>
  <si>
    <t>អេកូ ផាប</t>
  </si>
  <si>
    <t>អ៊ុយ 90</t>
  </si>
  <si>
    <t>Kbal Kla</t>
  </si>
  <si>
    <t>ទំនិញចិន</t>
  </si>
  <si>
    <t>Paint</t>
  </si>
  <si>
    <t>Pipe Fittings</t>
  </si>
  <si>
    <t>គ្រឿងដំណរទុយោ</t>
  </si>
  <si>
    <t>Electric</t>
  </si>
  <si>
    <t>Demolition &amp; Concrete Tools</t>
  </si>
  <si>
    <t>ឧបករណ៍​រុះរើ និង​បេតុង</t>
  </si>
  <si>
    <t>Sealant &amp; Adhesive Tools</t>
  </si>
  <si>
    <t>ឧបករណ៍សម្រាប់បិទភ្ជាប់ និងស្អិត</t>
  </si>
  <si>
    <t>Garden &amp; Cutting Tools</t>
  </si>
  <si>
    <t>Cleaning &amp; Brushing</t>
  </si>
  <si>
    <t>ឧបករណ៍សួនច្បារ និងឧបករណ៍កាត់</t>
  </si>
  <si>
    <t>ការសម្អាត និងការដុសខាត់</t>
  </si>
  <si>
    <t>Paint &amp; Coatings</t>
  </si>
  <si>
    <t>Paint Application Tools</t>
  </si>
  <si>
    <t>Cement &amp; Concrete</t>
  </si>
  <si>
    <t>Steel Fibers</t>
  </si>
  <si>
    <t>Steel Shapes &amp; Tubing</t>
  </si>
  <si>
    <t>Construction &amp; Raw Materials</t>
  </si>
  <si>
    <t>ថ្នាំលាប និងថ្នាំកូត</t>
  </si>
  <si>
    <t>ឧបករណ៍លាបថ្នាំលាប</t>
  </si>
  <si>
    <t>ស៊ីម៉ង់ត៍ និងបេតុង</t>
  </si>
  <si>
    <t>Pipe PVC</t>
  </si>
  <si>
    <t>ឧបករណ៍ កាត់ សំណឹក…</t>
  </si>
  <si>
    <t>ដែកទីប និងដែកជ្រុង</t>
  </si>
  <si>
    <t>Wrenches &amp; Locking Components</t>
  </si>
  <si>
    <t>Personal Protective Equipment</t>
  </si>
  <si>
    <t>គ្រឿងបរិក្ខាផ្សេងៗ</t>
  </si>
  <si>
    <t>Construction Materials</t>
  </si>
  <si>
    <t>តំរៀបតាមលំដាប់</t>
  </si>
  <si>
    <t>Sort</t>
  </si>
  <si>
    <t>គ្រឿងទឹក</t>
  </si>
  <si>
    <t>Other Equipment</t>
  </si>
  <si>
    <t>គ្រឿងដែក</t>
  </si>
  <si>
    <t>ថ្នាំលាប</t>
  </si>
  <si>
    <t>Hand Tools (Pliers, Screwdriver...)</t>
  </si>
  <si>
    <t>ឧបករណ៍ការពារ PPE</t>
  </si>
  <si>
    <t>Abrasives &amp; Cutting Tools</t>
  </si>
  <si>
    <t>វត្ថុធាតុដើមសំណង់ ខ្សាច់ ថ្ម...</t>
  </si>
  <si>
    <t>ទុយោទឹក</t>
  </si>
  <si>
    <t>Pipe</t>
  </si>
  <si>
    <t>Hardware Tools</t>
  </si>
  <si>
    <t>តំរៀប</t>
  </si>
  <si>
    <t>ទូទៅ</t>
  </si>
  <si>
    <t xml:space="preserve">General </t>
  </si>
  <si>
    <t>កញ្ចប់</t>
  </si>
  <si>
    <t>ដុំ</t>
  </si>
  <si>
    <t>ម៉ែត្រ</t>
  </si>
  <si>
    <t>លីត្រ</t>
  </si>
  <si>
    <t>ប្រអប់</t>
  </si>
  <si>
    <t>Count</t>
  </si>
  <si>
    <t>Weight</t>
  </si>
  <si>
    <t>Length</t>
  </si>
  <si>
    <t>Area</t>
  </si>
  <si>
    <t>Volume</t>
  </si>
  <si>
    <t>Time</t>
  </si>
  <si>
    <t>Name Khmer</t>
  </si>
  <si>
    <t>ទម្ងន់</t>
  </si>
  <si>
    <t>ប្រវែង</t>
  </si>
  <si>
    <t>ផ្ទៃក្រឡា</t>
  </si>
  <si>
    <t>ពេលវេលា</t>
  </si>
  <si>
    <t>ចំនួនរាប់</t>
  </si>
  <si>
    <t>ក្រុមខ្នាតទំនិញ</t>
  </si>
  <si>
    <t>01.ចំនួនរាប់</t>
  </si>
  <si>
    <t>កេស</t>
  </si>
  <si>
    <t>ម៉ែត្រការេ</t>
  </si>
  <si>
    <t>02.ទម្ងន់</t>
  </si>
  <si>
    <t>03.ប្រវែង</t>
  </si>
  <si>
    <t>មាឌ</t>
  </si>
  <si>
    <t>05.មាឌ</t>
  </si>
  <si>
    <t>1ប្រអប់/12ដុំ</t>
  </si>
  <si>
    <t>1ប្រអប់/6ដុំ</t>
  </si>
  <si>
    <t>1កេស/4ដុំ</t>
  </si>
  <si>
    <t>1កេស/12ដុំ</t>
  </si>
  <si>
    <t>គូ</t>
  </si>
  <si>
    <t>Package</t>
  </si>
  <si>
    <t>Case</t>
  </si>
  <si>
    <t>Pair</t>
  </si>
  <si>
    <t>Lots</t>
  </si>
  <si>
    <t>m</t>
  </si>
  <si>
    <t>cm</t>
  </si>
  <si>
    <t>L</t>
  </si>
  <si>
    <t>1Box/12pcs</t>
  </si>
  <si>
    <t>1Box/6pcs</t>
  </si>
  <si>
    <t>1Lots/12pcs</t>
  </si>
  <si>
    <t>1Case/4pcs</t>
  </si>
  <si>
    <t>1Case/12pcs</t>
  </si>
  <si>
    <t>1Ctn/6pcs</t>
  </si>
  <si>
    <t>ដប</t>
  </si>
  <si>
    <t>Btl</t>
  </si>
  <si>
    <t>Can</t>
  </si>
  <si>
    <t>កាតុង</t>
  </si>
  <si>
    <t>Ctn</t>
  </si>
  <si>
    <t>Pack</t>
  </si>
  <si>
    <t>Bottle</t>
  </si>
  <si>
    <t>Pieces</t>
  </si>
  <si>
    <t>Carton</t>
  </si>
  <si>
    <t>Uom Option</t>
  </si>
  <si>
    <t>ខ្នាតសម្រាប់យកទៅប្រើ</t>
  </si>
  <si>
    <t>Bidon</t>
  </si>
  <si>
    <t>Barrel</t>
  </si>
  <si>
    <t>Inv Total 1</t>
  </si>
  <si>
    <t>Inv Total 2</t>
  </si>
  <si>
    <t>Inv total 1</t>
  </si>
  <si>
    <t>ក្រាម</t>
  </si>
  <si>
    <t>g</t>
  </si>
  <si>
    <t>Coil/50m</t>
  </si>
  <si>
    <t>bbl</t>
  </si>
  <si>
    <t>គីឡូក្រាម</t>
  </si>
  <si>
    <t>Box/12pcs</t>
  </si>
  <si>
    <t>Box/6pcs</t>
  </si>
  <si>
    <t>Ctn/6pcs</t>
  </si>
  <si>
    <t>Case/4pcs</t>
  </si>
  <si>
    <t>Case/12pcs</t>
  </si>
  <si>
    <t>Lots/12pcs</t>
  </si>
  <si>
    <t>ដែកសរសៃ</t>
  </si>
  <si>
    <t>បាកូដទំនិញ</t>
  </si>
  <si>
    <t>pcs</t>
  </si>
  <si>
    <t>100 width:4m</t>
  </si>
  <si>
    <t>ផលិតផលប្រទេសកម្ពុជា</t>
  </si>
  <si>
    <t>ទប80(8.5)</t>
  </si>
  <si>
    <t>90 width: 4m</t>
  </si>
  <si>
    <t>ទីប75(8.5)</t>
  </si>
  <si>
    <t>75 width:4m</t>
  </si>
  <si>
    <t>ទីប60(8.5)</t>
  </si>
  <si>
    <t>60 width:4m</t>
  </si>
  <si>
    <t>ទីប49(8.5)</t>
  </si>
  <si>
    <t>49 width:4m</t>
  </si>
  <si>
    <t>ទីប42(8.5)</t>
  </si>
  <si>
    <t>42 width:4m</t>
  </si>
  <si>
    <t>ទីប34(8.5)</t>
  </si>
  <si>
    <t>34 width:4m</t>
  </si>
  <si>
    <t>ទីប27(8.5)</t>
  </si>
  <si>
    <t>27 width:4m</t>
  </si>
  <si>
    <t>ទីប21(8.5)</t>
  </si>
  <si>
    <t xml:space="preserve"> 21 width:4m</t>
  </si>
  <si>
    <t>DKS0010</t>
  </si>
  <si>
    <t>DKS0011</t>
  </si>
  <si>
    <t>ទីប80(8.5)</t>
  </si>
  <si>
    <t>DKS0012</t>
  </si>
  <si>
    <t>DKS0013</t>
  </si>
  <si>
    <t>DKS0014</t>
  </si>
  <si>
    <t>DKS0015</t>
  </si>
  <si>
    <t>DKS0016</t>
  </si>
  <si>
    <t>DKS0017</t>
  </si>
  <si>
    <t>DKS0018</t>
  </si>
  <si>
    <t>21 width:4m</t>
  </si>
  <si>
    <t>DKS0019</t>
  </si>
  <si>
    <t>ទីប100(5.0)</t>
  </si>
  <si>
    <t>DKS0020</t>
  </si>
  <si>
    <t>ទីប80(5.0)</t>
  </si>
  <si>
    <t>DKS0021</t>
  </si>
  <si>
    <t>ទីប75(5.0)</t>
  </si>
  <si>
    <t>DKS0022</t>
  </si>
  <si>
    <t>ទីប60(5.0)</t>
  </si>
  <si>
    <t>DKS0023</t>
  </si>
  <si>
    <t>ទីប49(5.0)</t>
  </si>
  <si>
    <t>DKS0024</t>
  </si>
  <si>
    <t>ទីប42(5.0)</t>
  </si>
  <si>
    <t>DKS0025</t>
  </si>
  <si>
    <t>ទីប34(5.0)</t>
  </si>
  <si>
    <t>កែង100</t>
  </si>
  <si>
    <t>100(4")</t>
  </si>
  <si>
    <t>ដឺមី100</t>
  </si>
  <si>
    <t>DKS0026</t>
  </si>
  <si>
    <t>សុង100</t>
  </si>
  <si>
    <t>DKS0027</t>
  </si>
  <si>
    <t>តេ100</t>
  </si>
  <si>
    <t>DKS0028</t>
  </si>
  <si>
    <t>កែង80</t>
  </si>
  <si>
    <t>80(3")</t>
  </si>
  <si>
    <t>DKS0029</t>
  </si>
  <si>
    <t>ដឺមី80</t>
  </si>
  <si>
    <t>DKS0030</t>
  </si>
  <si>
    <t>សុង80</t>
  </si>
  <si>
    <t>DKS0031</t>
  </si>
  <si>
    <t>តេ80</t>
  </si>
  <si>
    <t>DKS0032</t>
  </si>
  <si>
    <t>កែង60</t>
  </si>
  <si>
    <t>60(2")</t>
  </si>
  <si>
    <t>DKS0033</t>
  </si>
  <si>
    <t>ដឺមី60</t>
  </si>
  <si>
    <t>DKS0034</t>
  </si>
  <si>
    <t>សុង60</t>
  </si>
  <si>
    <t>DKS0035</t>
  </si>
  <si>
    <t>តេ60</t>
  </si>
  <si>
    <t>DKS0036</t>
  </si>
  <si>
    <t>កែង49</t>
  </si>
  <si>
    <t>49(1/2")</t>
  </si>
  <si>
    <t>DKS0037</t>
  </si>
  <si>
    <t>ដឺមី49</t>
  </si>
  <si>
    <t>DKS0038</t>
  </si>
  <si>
    <t>សុង49</t>
  </si>
  <si>
    <t>DKS0039</t>
  </si>
  <si>
    <t>តេ49</t>
  </si>
  <si>
    <t>DKS0040</t>
  </si>
  <si>
    <t>កែង34</t>
  </si>
  <si>
    <t>34(1 1/4")</t>
  </si>
  <si>
    <t>DKS0041</t>
  </si>
  <si>
    <t>ដឺមី34</t>
  </si>
  <si>
    <t>DKS0042</t>
  </si>
  <si>
    <t>សុង34</t>
  </si>
  <si>
    <t>DKS0043</t>
  </si>
  <si>
    <t>តេ34</t>
  </si>
  <si>
    <t>DKS0044</t>
  </si>
  <si>
    <t>កែង27</t>
  </si>
  <si>
    <t>27(3/4")</t>
  </si>
  <si>
    <t>DKS0045</t>
  </si>
  <si>
    <t>ដឺមី27</t>
  </si>
  <si>
    <t>DKS0046</t>
  </si>
  <si>
    <t>សុង27</t>
  </si>
  <si>
    <t>DKS0047</t>
  </si>
  <si>
    <t>តេ27</t>
  </si>
  <si>
    <t>DKS0048</t>
  </si>
  <si>
    <t>កែង21</t>
  </si>
  <si>
    <t>21(1/2")</t>
  </si>
  <si>
    <t>DKS0049</t>
  </si>
  <si>
    <t>តេ100*80</t>
  </si>
  <si>
    <t>100*80(4"3)</t>
  </si>
  <si>
    <t>DKS0050</t>
  </si>
  <si>
    <t>តេ80*60</t>
  </si>
  <si>
    <t>80*60(3"2)</t>
  </si>
  <si>
    <t>DKS0051</t>
  </si>
  <si>
    <t>តេ60*49</t>
  </si>
  <si>
    <t>60*49(2"/1.2)</t>
  </si>
  <si>
    <t>DKS0052</t>
  </si>
  <si>
    <t>ដំណរ100*80</t>
  </si>
  <si>
    <t>100*80(4*3')</t>
  </si>
  <si>
    <t>DKS0053</t>
  </si>
  <si>
    <t>ដំណរ80*60</t>
  </si>
  <si>
    <t>DKS0054</t>
  </si>
  <si>
    <t>ដំណរ60*49</t>
  </si>
  <si>
    <t>DKS0055</t>
  </si>
  <si>
    <t>តេអ៊ីការិច100</t>
  </si>
  <si>
    <t>DKS0056</t>
  </si>
  <si>
    <t>តេអ៊ីការិច80</t>
  </si>
  <si>
    <t>DKS0057</t>
  </si>
  <si>
    <t>តេអ៊ីការិច60</t>
  </si>
  <si>
    <t>DKS0058</t>
  </si>
  <si>
    <t>តេអ៊ីការិច100*80</t>
  </si>
  <si>
    <t>DKS0059</t>
  </si>
  <si>
    <t>តេអ៊ីការិច100*60</t>
  </si>
  <si>
    <t>100*60(2*3")</t>
  </si>
  <si>
    <t>DKS0060</t>
  </si>
  <si>
    <t>តេអ៊ីការិច80*60</t>
  </si>
  <si>
    <t>60*49(2"/1.2'')</t>
  </si>
  <si>
    <t>DKS0061</t>
  </si>
  <si>
    <t>តេអ៊ីការិច80*49</t>
  </si>
  <si>
    <t>80*49(3"/1.2'')</t>
  </si>
  <si>
    <t>DKS0062</t>
  </si>
  <si>
    <t>គំរប100</t>
  </si>
  <si>
    <t>DKS0063</t>
  </si>
  <si>
    <t>គំរប80</t>
  </si>
  <si>
    <t>DKS0064</t>
  </si>
  <si>
    <t>គំរប49</t>
  </si>
  <si>
    <t>49(1.2'')</t>
  </si>
  <si>
    <t>DKS0065</t>
  </si>
  <si>
    <t>សុងធ្មេញក្រៅ60</t>
  </si>
  <si>
    <t>DKS0066</t>
  </si>
  <si>
    <t>សុងធ្មេញក្រៅ49</t>
  </si>
  <si>
    <t>DKS0067</t>
  </si>
  <si>
    <t>សុងធ្មេញក្រៅ34</t>
  </si>
  <si>
    <t>34(1'')</t>
  </si>
  <si>
    <t>DKS0068</t>
  </si>
  <si>
    <t>សុងធ្មេញក្រៅ27</t>
  </si>
  <si>
    <t>27(3.4'')</t>
  </si>
  <si>
    <t>DKS0069</t>
  </si>
  <si>
    <t>សុងធ្មេញក្រៅ21</t>
  </si>
  <si>
    <t>21(1.2'')</t>
  </si>
  <si>
    <t>DKS0070</t>
  </si>
  <si>
    <t>សុងធ្មេញក្នុង80</t>
  </si>
  <si>
    <t>DKS0071</t>
  </si>
  <si>
    <t>សុងធ្មេញក្នុង34</t>
  </si>
  <si>
    <t>DKS0072</t>
  </si>
  <si>
    <t>សុងធ្មេញក្នុង27</t>
  </si>
  <si>
    <t>DKS0073</t>
  </si>
  <si>
    <t>សុងធ្មេញក្នុង21</t>
  </si>
  <si>
    <t>DKS0074</t>
  </si>
  <si>
    <t>ទុយោសកខ្សែភ្លើង 34</t>
  </si>
  <si>
    <t>DKS0075</t>
  </si>
  <si>
    <t>DKS0076</t>
  </si>
  <si>
    <t>DKS0077</t>
  </si>
  <si>
    <t>DKS0078</t>
  </si>
  <si>
    <t>ក្រចាប់លេខ 25</t>
  </si>
  <si>
    <t>DKS0079</t>
  </si>
  <si>
    <t>ព្រីភ្លើង​ 5m រុន6</t>
  </si>
  <si>
    <t>DKS0080</t>
  </si>
  <si>
    <t>ខ្សែរឹត 8*350</t>
  </si>
  <si>
    <t>DKS0081</t>
  </si>
  <si>
    <t>ខ្សែរឹត 8*250</t>
  </si>
  <si>
    <t>DKS0082</t>
  </si>
  <si>
    <t>DKS0083</t>
  </si>
  <si>
    <t>ទុយោសកខ្សែភ្លើង 27</t>
  </si>
  <si>
    <t>DKS0084</t>
  </si>
  <si>
    <t>ប្រអប់បណ្ដាញមុខពី 25</t>
  </si>
  <si>
    <t>DKS0085</t>
  </si>
  <si>
    <t>ប្រអប់បណ្ដាញមុខ 20</t>
  </si>
  <si>
    <t>DKS0086</t>
  </si>
  <si>
    <t>ប្រអប់បណ្ដាញមុខបី 25</t>
  </si>
  <si>
    <t>DKS0087</t>
  </si>
  <si>
    <t>ប្រអប់បណ្ដាញមុខបី 20</t>
  </si>
  <si>
    <t>DKS0088</t>
  </si>
  <si>
    <t>ជើងអំពូល ព្យូរស</t>
  </si>
  <si>
    <t>DKS0089</t>
  </si>
  <si>
    <t>កុងតាក់ខ្សែរ</t>
  </si>
  <si>
    <t>DKS0090</t>
  </si>
  <si>
    <t>ទុយោសកខ្សែភ្លើង 21</t>
  </si>
  <si>
    <t>DKS0091</t>
  </si>
  <si>
    <t>DKS0092</t>
  </si>
  <si>
    <t>ក្រចាប់លេខ 20</t>
  </si>
  <si>
    <t>DKS0093</t>
  </si>
  <si>
    <t>ព្រី(3b)</t>
  </si>
  <si>
    <t>DKS0094</t>
  </si>
  <si>
    <t>ជើងអំពូល ជាប់ជញ្ជាំង</t>
  </si>
  <si>
    <t>DKS0095</t>
  </si>
  <si>
    <t>កុងតាក់ជាប់ជញ្ជាំង</t>
  </si>
  <si>
    <t>DKS0096</t>
  </si>
  <si>
    <t>ឌុយ៣ចេញ២</t>
  </si>
  <si>
    <t>DKS0097</t>
  </si>
  <si>
    <t>ជើងអំពូល ព្យូរខ្មៅ</t>
  </si>
  <si>
    <t>DKS0098</t>
  </si>
  <si>
    <t>ព្រីភ្លើង​ 5m រុន4</t>
  </si>
  <si>
    <t>ដែកគោល 3H 4H 5H 6H…</t>
  </si>
  <si>
    <t>DKS0099</t>
  </si>
  <si>
    <t>វិសខ្មៅ</t>
  </si>
  <si>
    <t>DKS0100</t>
  </si>
  <si>
    <t>ផ្លែស្វានបេតុង 6l</t>
  </si>
  <si>
    <t>DKS0101</t>
  </si>
  <si>
    <t>ផ្លែស្វានបេតុង 8l</t>
  </si>
  <si>
    <t>DKS0102</t>
  </si>
  <si>
    <t>ផ្លែស្វានបេតុង 10l</t>
  </si>
  <si>
    <t>DKS0103</t>
  </si>
  <si>
    <t>ផ្លែស្វានបេតុង 12l</t>
  </si>
  <si>
    <t>DKS0104</t>
  </si>
  <si>
    <t>ក្បាលស្វាន GF-10mm</t>
  </si>
  <si>
    <t>DKS0105</t>
  </si>
  <si>
    <t>ក្បាលស្វាន 13l</t>
  </si>
  <si>
    <t>DKS0106</t>
  </si>
  <si>
    <t>ក្បាលស្វាន 16l</t>
  </si>
  <si>
    <t>DKS0107</t>
  </si>
  <si>
    <t>សោរដោះម៉ូទ័រ 10l</t>
  </si>
  <si>
    <t>DKS0108</t>
  </si>
  <si>
    <t>សោរដោះម៉ូទ័រ 13l</t>
  </si>
  <si>
    <t>DKS0109</t>
  </si>
  <si>
    <t>ញញូលមុខក្រឡា 0.5kg</t>
  </si>
  <si>
    <t>DKS0110</t>
  </si>
  <si>
    <t>កាបចាក់កង 6T</t>
  </si>
  <si>
    <t>DKS0111</t>
  </si>
  <si>
    <t>កាបចាក់កង 8T</t>
  </si>
  <si>
    <t>DKS0112</t>
  </si>
  <si>
    <t>ច្រវ៉ាក់កង 6T</t>
  </si>
  <si>
    <t>DKS0113</t>
  </si>
  <si>
    <t>ច្រវ៉ាក់កង 8T</t>
  </si>
  <si>
    <t>DKS0114</t>
  </si>
  <si>
    <t>ដងឈូស​ 1"</t>
  </si>
  <si>
    <t>DKS0115</t>
  </si>
  <si>
    <t>ដងឈូស​ 2''</t>
  </si>
  <si>
    <t>DKS0116</t>
  </si>
  <si>
    <t>ដងឈូស​ 3"</t>
  </si>
  <si>
    <t>DKS0117</t>
  </si>
  <si>
    <t>ដងឈូស​ 4''</t>
  </si>
  <si>
    <t>DKS0118</t>
  </si>
  <si>
    <t>ដងឈូស​ 5''</t>
  </si>
  <si>
    <t>DKS0119</t>
  </si>
  <si>
    <t>ដងបាញ់កាវកញ្ចក់</t>
  </si>
  <si>
    <t>DKS0120</t>
  </si>
  <si>
    <t>កាវកញ្ចក់</t>
  </si>
  <si>
    <t>DKS0121</t>
  </si>
  <si>
    <t>កាំភ្លើងកាវទៀន</t>
  </si>
  <si>
    <t>DKS0122</t>
  </si>
  <si>
    <t>កាវទៀន</t>
  </si>
  <si>
    <t>DKS0123</t>
  </si>
  <si>
    <t>កន្ត្រៃកាត់មែកឈើ</t>
  </si>
  <si>
    <t>DKS0124</t>
  </si>
  <si>
    <t>ដង្កាប់គៀបគ្រាប់</t>
  </si>
  <si>
    <t>DKS0125</t>
  </si>
  <si>
    <t>ដង្កាប់មាត់សេក 8"</t>
  </si>
  <si>
    <t>DKS0126</t>
  </si>
  <si>
    <t>ដង្កាប់មាត់សេក</t>
  </si>
  <si>
    <t>DKS0127</t>
  </si>
  <si>
    <t>ដង្កាប់បូតខ្សែភ្លើង</t>
  </si>
  <si>
    <t>DKS0128</t>
  </si>
  <si>
    <t>ច្រាស់ជ័រស្ពាន់</t>
  </si>
  <si>
    <t>DKS0129</t>
  </si>
  <si>
    <t>ច្រាស់ជ័រស្ពាន់ឈុត</t>
  </si>
  <si>
    <t>DKS0130</t>
  </si>
  <si>
    <t>សោរសារ៉ែន (70mm)</t>
  </si>
  <si>
    <t>DKS0131</t>
  </si>
  <si>
    <t>សោវ៉ាលីល្អ</t>
  </si>
  <si>
    <t>DKS0132</t>
  </si>
  <si>
    <t>កាំបិតរុញល្អ</t>
  </si>
  <si>
    <t>DKS0133</t>
  </si>
  <si>
    <t>ផ្លែកាំបិត</t>
  </si>
  <si>
    <t>DKS0134</t>
  </si>
  <si>
    <t>ម៉ាឡេតដងក្រហម(10')</t>
  </si>
  <si>
    <t>DKS0135</t>
  </si>
  <si>
    <t>ម៉ាឡេតដងក្រហម12"</t>
  </si>
  <si>
    <t>DKS0136</t>
  </si>
  <si>
    <t>ម៉ាឡេតធ្មេញ12''</t>
  </si>
  <si>
    <t>DKS0137</t>
  </si>
  <si>
    <t>ម៉ាឡេតធ្មេញ24"</t>
  </si>
  <si>
    <t>DKS0138</t>
  </si>
  <si>
    <t>DKS0139</t>
  </si>
  <si>
    <t>ថ្មរឆាប តឹក</t>
  </si>
  <si>
    <t>DKS0140</t>
  </si>
  <si>
    <t>ផ្លែសំលាងថ្ម</t>
  </si>
  <si>
    <t>DKS0141</t>
  </si>
  <si>
    <t>ប៉ុងខាត់</t>
  </si>
  <si>
    <t>DKS0142</t>
  </si>
  <si>
    <t>ផ្លែខាត់ល្អ</t>
  </si>
  <si>
    <t>DKS0143</t>
  </si>
  <si>
    <t>ក្រដាស់ខាត់ p40,p60..</t>
  </si>
  <si>
    <t>DKS0144</t>
  </si>
  <si>
    <t>ស្កុតថ្លា​ 500y</t>
  </si>
  <si>
    <t>DKS0145</t>
  </si>
  <si>
    <t>ដងកាត់ស្កុត</t>
  </si>
  <si>
    <t>DKS0146</t>
  </si>
  <si>
    <t>ស្រោមដៃជ័រខ្លី</t>
  </si>
  <si>
    <t>DKS0147</t>
  </si>
  <si>
    <t>ស្រោមដៃអំបោះ</t>
  </si>
  <si>
    <t>DKS0148</t>
  </si>
  <si>
    <t>ថ្នាំលាបគ្បឿង 18l</t>
  </si>
  <si>
    <t>DKS0149</t>
  </si>
  <si>
    <t>ថ្នាំលាបគ្បឿង 3.5l</t>
  </si>
  <si>
    <t>DKS0150</t>
  </si>
  <si>
    <t>ថ្នាំលាបគ្បឿង 0.9l</t>
  </si>
  <si>
    <t>ថ្នាំប្រេងលាបដែក 17l</t>
  </si>
  <si>
    <t>DKS0152</t>
  </si>
  <si>
    <t>ថ្នាំប្រេងលាបដែក 3.5l</t>
  </si>
  <si>
    <t>DKS0153</t>
  </si>
  <si>
    <t>ថ្នាំប្រេងលាបដែក 0.88l</t>
  </si>
  <si>
    <t>DKS0154</t>
  </si>
  <si>
    <t>ថ្នាំប្រេងលាបដែក 250ml</t>
  </si>
  <si>
    <t>DKS0155</t>
  </si>
  <si>
    <t>ថ្នាំទ្រនាប់លាបឈើ 17l</t>
  </si>
  <si>
    <t>DKS0156</t>
  </si>
  <si>
    <t>ថ្នាំលាបច្រេះក្រហម 17l</t>
  </si>
  <si>
    <t>DKS0157</t>
  </si>
  <si>
    <t>ថ្នាំលាបច្រេះក្រហម 3.5l</t>
  </si>
  <si>
    <t>DKS0158</t>
  </si>
  <si>
    <t>ថ្នាំលាបច្រេះក្រហម 0.88l</t>
  </si>
  <si>
    <t>DKS0159</t>
  </si>
  <si>
    <t>ថ្នាំលាបច្រេះប្រផះ 17l</t>
  </si>
  <si>
    <t>DKS0160</t>
  </si>
  <si>
    <t>ថ្នាំលាបច្រេះប្រផះ 3.5l</t>
  </si>
  <si>
    <t>DKS0161</t>
  </si>
  <si>
    <t>ថ្នាំទ្រនាប់បន្សីដែក 17l</t>
  </si>
  <si>
    <t>DKS0162</t>
  </si>
  <si>
    <t>ថ្នាំទឹកមាសលាយទឹក 3.5l</t>
  </si>
  <si>
    <t>DKS0163</t>
  </si>
  <si>
    <t>DKS0164</t>
  </si>
  <si>
    <t>DKS0165</t>
  </si>
  <si>
    <t>DKS0166</t>
  </si>
  <si>
    <t>DKS0167</t>
  </si>
  <si>
    <t>DKS0168</t>
  </si>
  <si>
    <t>ជក់លាបថ្នាំ 0.5''</t>
  </si>
  <si>
    <t>DKS0169</t>
  </si>
  <si>
    <t>ជក់លាបថ្នាំ 1"</t>
  </si>
  <si>
    <t>DKS0170</t>
  </si>
  <si>
    <t>ជក់លាបថ្នាំ 2"</t>
  </si>
  <si>
    <t>DKS0171</t>
  </si>
  <si>
    <t>ជក់លាបថ្នាំ 3''</t>
  </si>
  <si>
    <t>DKS0172</t>
  </si>
  <si>
    <t>ជក់លាបថ្នាំ 4''</t>
  </si>
  <si>
    <t>DKS0173</t>
  </si>
  <si>
    <t>ស៊ីម៉ង​ V</t>
  </si>
  <si>
    <t>ផលិតផលកម្ពុជា</t>
  </si>
  <si>
    <t>DKS0174</t>
  </si>
  <si>
    <t>ស៊ីម៉ង ខន</t>
  </si>
  <si>
    <t>DKS0175</t>
  </si>
  <si>
    <t>ស៊ីម៉ង អូដ្ធ</t>
  </si>
  <si>
    <t>DKS0176</t>
  </si>
  <si>
    <t>ស៊ីម៉ង K</t>
  </si>
  <si>
    <t>DKS0177</t>
  </si>
  <si>
    <t>ដែកសរសៃ​ 4C</t>
  </si>
  <si>
    <t>DKS0178</t>
  </si>
  <si>
    <t>ដែកសរសៃ​ 6L</t>
  </si>
  <si>
    <t>DKS0179</t>
  </si>
  <si>
    <t>ដែកសរសៃ​ 8L</t>
  </si>
  <si>
    <t>DKS0180</t>
  </si>
  <si>
    <t>ដែកសរសៃ​ 10L</t>
  </si>
  <si>
    <t>DKS0181</t>
  </si>
  <si>
    <t>ដែកសរសៃ​ 12L</t>
  </si>
  <si>
    <t>DKS0182</t>
  </si>
  <si>
    <t>ដែកសរសៃ​ 14L</t>
  </si>
  <si>
    <t>DKS0183</t>
  </si>
  <si>
    <t>ដែកសរសៃ​ 16L</t>
  </si>
  <si>
    <t>DKS0184</t>
  </si>
  <si>
    <t>ដែកជ្រុង 25*25(1.2)</t>
  </si>
  <si>
    <t>DKS0185</t>
  </si>
  <si>
    <t>ដែកជ្រុង25*25(1.5)</t>
  </si>
  <si>
    <t>DKS0186</t>
  </si>
  <si>
    <t>ដែកជ្រុង 30*30(1.2)</t>
  </si>
  <si>
    <t>DKS0187</t>
  </si>
  <si>
    <t>ដែកជ្រុង 30*30(1.5)</t>
  </si>
  <si>
    <t>DKS0188</t>
  </si>
  <si>
    <t>ដែកជ្រុង 40*40(1.2)</t>
  </si>
  <si>
    <t>DKS0189</t>
  </si>
  <si>
    <t>ដែកជ្រុង 40*40(1.5)</t>
  </si>
  <si>
    <t>DKS0190</t>
  </si>
  <si>
    <t>ដែកជ្រុង 20*40(1.2)</t>
  </si>
  <si>
    <t>DKS0191</t>
  </si>
  <si>
    <t>ដែកជ្រុង 20*40(1.5)</t>
  </si>
  <si>
    <t>DKS0192</t>
  </si>
  <si>
    <t>ដែកជ្រុង 30*60(1.2)</t>
  </si>
  <si>
    <t>DKS0193</t>
  </si>
  <si>
    <t>ដែកជ្រុង 30*60(1.5)</t>
  </si>
  <si>
    <t>DKS0194</t>
  </si>
  <si>
    <t>ដែកជ្រុង 40*80(1.2)</t>
  </si>
  <si>
    <t>DKS0195</t>
  </si>
  <si>
    <t>ដែកជ្រុង 50*100(1.1)</t>
  </si>
  <si>
    <t>DKS0196</t>
  </si>
  <si>
    <t>ដែកជ្រុង 50*100(1.2)</t>
  </si>
  <si>
    <t>DKS0197</t>
  </si>
  <si>
    <t>ដែកជ្រុង 50*100(1.5)</t>
  </si>
  <si>
    <t>DKS0001</t>
  </si>
  <si>
    <t>DKS0002</t>
  </si>
  <si>
    <t>DKS0003</t>
  </si>
  <si>
    <t>DKS0004</t>
  </si>
  <si>
    <t>DKS0005</t>
  </si>
  <si>
    <t>DKS0006</t>
  </si>
  <si>
    <t>DKS0007</t>
  </si>
  <si>
    <t>DKS0008</t>
  </si>
  <si>
    <t>DKS0009</t>
  </si>
  <si>
    <t>DKS0198</t>
  </si>
  <si>
    <t>DKS0199</t>
  </si>
  <si>
    <t>DKS0200</t>
  </si>
  <si>
    <t>1Case/24pcs</t>
  </si>
  <si>
    <t>1Case/25pcs</t>
  </si>
  <si>
    <t>1Case/100pcs</t>
  </si>
  <si>
    <t>1Case/24Pack</t>
  </si>
  <si>
    <t>1Coil/50m</t>
  </si>
  <si>
    <t>1Lots/12pair</t>
  </si>
  <si>
    <t>Case/100pcs</t>
  </si>
  <si>
    <t>Case/24Pack</t>
  </si>
  <si>
    <t>Case/24pcs</t>
  </si>
  <si>
    <t>Case/25pcs</t>
  </si>
  <si>
    <t>Lots/12pair</t>
  </si>
  <si>
    <t>1កាតុង/6ដុំ</t>
  </si>
  <si>
    <t>1កេស/100ដុំ</t>
  </si>
  <si>
    <t>1កេស/24កញ្ចប់</t>
  </si>
  <si>
    <t>1កេស/24ដុំ</t>
  </si>
  <si>
    <t>1កេស/25ដុំ</t>
  </si>
  <si>
    <t>1របុំ/50ម៉ែត្រ</t>
  </si>
  <si>
    <t>001.គោកស្នួល</t>
  </si>
  <si>
    <t>1Ctn/4.5Kg</t>
  </si>
  <si>
    <t>Is Lots Number</t>
  </si>
  <si>
    <t>Is Expired Date</t>
  </si>
  <si>
    <t>កំណត់ថ្ងៃផុតកំណត់</t>
  </si>
  <si>
    <t>ឡូត៍</t>
  </si>
  <si>
    <t>1ឡូត៍/12គូ</t>
  </si>
  <si>
    <t>1ឡូត៍/12ដុំ</t>
  </si>
  <si>
    <t>Caisse</t>
  </si>
  <si>
    <t>បេ</t>
  </si>
  <si>
    <t>Be</t>
  </si>
  <si>
    <t>1បេ/50គីឡូ</t>
  </si>
  <si>
    <t>1Be/50kg</t>
  </si>
  <si>
    <t>Be/50kg</t>
  </si>
  <si>
    <t>1Unit/12m</t>
  </si>
  <si>
    <t>1Unit/2.9m</t>
  </si>
  <si>
    <t>1Unit/4m</t>
  </si>
  <si>
    <t>Unit/12m</t>
  </si>
  <si>
    <t>Unit/2.9m</t>
  </si>
  <si>
    <t>Unit/4m</t>
  </si>
  <si>
    <t>កំប៉ុង</t>
  </si>
  <si>
    <t>Name Latin</t>
  </si>
  <si>
    <t>ធុង/បារ៉ែល</t>
  </si>
  <si>
    <t>Bale</t>
  </si>
  <si>
    <t>កាន/ប៊ីដុង</t>
  </si>
  <si>
    <t>ខ្នាតអន្តរជាតិ</t>
  </si>
  <si>
    <t>ខ្នាតបារាំង</t>
  </si>
  <si>
    <t>មីលីម៉ែត្រ</t>
  </si>
  <si>
    <t>សង់ទីម៉ែត្រ</t>
  </si>
  <si>
    <t>ខ្នាតអង់គ្លេស</t>
  </si>
  <si>
    <t>ខ្នាតអង់គ្លេស/បារាំង</t>
  </si>
  <si>
    <r>
      <t>m</t>
    </r>
    <r>
      <rPr>
        <vertAlign val="superscript"/>
        <sz val="12"/>
        <color theme="1"/>
        <rFont val="Roboto"/>
      </rPr>
      <t>2</t>
    </r>
  </si>
  <si>
    <r>
      <t>m</t>
    </r>
    <r>
      <rPr>
        <vertAlign val="superscript"/>
        <sz val="12"/>
        <color theme="1"/>
        <rFont val="Roboto"/>
      </rPr>
      <t>3</t>
    </r>
    <r>
      <rPr>
        <sz val="11"/>
        <color theme="1"/>
        <rFont val="Calibri"/>
        <family val="2"/>
        <scheme val="minor"/>
      </rPr>
      <t/>
    </r>
  </si>
  <si>
    <t>026.Box/12pcs</t>
  </si>
  <si>
    <t>Stock Ending</t>
  </si>
  <si>
    <t>Is Warranty</t>
  </si>
  <si>
    <t>កំណត់ការធានា</t>
  </si>
  <si>
    <t>Is Not For Sale</t>
  </si>
  <si>
    <t>មិនសម្រាប់លក់</t>
  </si>
  <si>
    <t>Photo Path</t>
  </si>
  <si>
    <t>រូបភាព</t>
  </si>
  <si>
    <t>កំណត់ឡូត៍</t>
  </si>
  <si>
    <t>កន្លែងរូបភាព</t>
  </si>
  <si>
    <t>03.តម្លៃបោះដុំពិសេស</t>
  </si>
  <si>
    <t>04.តម្លៃលក់រាយពិសេស</t>
  </si>
  <si>
    <t>Special Retail Price</t>
  </si>
  <si>
    <t>Wholesale</t>
  </si>
  <si>
    <t>Special Wholesale</t>
  </si>
  <si>
    <r>
      <t xml:space="preserve">ជ្រើសរើសឃ្លាំង </t>
    </r>
    <r>
      <rPr>
        <sz val="12"/>
        <color rgb="FFFF0000"/>
        <rFont val="Khmer OS Battambang"/>
      </rPr>
      <t>*</t>
    </r>
  </si>
  <si>
    <r>
      <t>អ្នកផ្គត់ផ្គង់</t>
    </r>
    <r>
      <rPr>
        <sz val="12"/>
        <color rgb="FFFF0000"/>
        <rFont val="Khmer OS Battambang"/>
      </rPr>
      <t xml:space="preserve"> *</t>
    </r>
  </si>
  <si>
    <r>
      <t xml:space="preserve">ថ្ងៃចេញវិក្កយបត្រទិញ </t>
    </r>
    <r>
      <rPr>
        <sz val="12"/>
        <color rgb="FFFF0000"/>
        <rFont val="Khmer OS Battambang"/>
      </rPr>
      <t>*</t>
    </r>
  </si>
  <si>
    <r>
      <t>លេខកូដ</t>
    </r>
    <r>
      <rPr>
        <sz val="12"/>
        <color rgb="FFFF0000"/>
        <rFont val="Khmer OS Battambang"/>
      </rPr>
      <t xml:space="preserve"> *</t>
    </r>
  </si>
  <si>
    <r>
      <t>សាខា</t>
    </r>
    <r>
      <rPr>
        <sz val="12"/>
        <color rgb="FFFF0000"/>
        <rFont val="Khmer OS Battambang"/>
      </rPr>
      <t xml:space="preserve"> *</t>
    </r>
  </si>
  <si>
    <r>
      <t xml:space="preserve">ជ្រើសរើសទីតាំង </t>
    </r>
    <r>
      <rPr>
        <sz val="12"/>
        <color rgb="FFFF0000"/>
        <rFont val="Khmer OS Battambang"/>
      </rPr>
      <t>*</t>
    </r>
  </si>
  <si>
    <r>
      <t xml:space="preserve">ថ្ងៃវិក្កយបត្រយោង </t>
    </r>
    <r>
      <rPr>
        <sz val="10"/>
        <color rgb="FF0070C0"/>
        <rFont val="Khmer OS Battambang"/>
      </rPr>
      <t>(InvDate Ref.)</t>
    </r>
  </si>
  <si>
    <r>
      <t xml:space="preserve">ប្រភេទវិក្កយបត្រ </t>
    </r>
    <r>
      <rPr>
        <sz val="12"/>
        <color rgb="FFFF0000"/>
        <rFont val="Khmer OS Battambang"/>
      </rPr>
      <t>*</t>
    </r>
  </si>
  <si>
    <r>
      <t xml:space="preserve">ថ្ងៃចេញវិក្កយបត្រ </t>
    </r>
    <r>
      <rPr>
        <sz val="12"/>
        <color rgb="FFFF0000"/>
        <rFont val="Khmer OS Battambang"/>
      </rPr>
      <t>*</t>
    </r>
  </si>
  <si>
    <r>
      <t>អតិថិជន</t>
    </r>
    <r>
      <rPr>
        <sz val="12"/>
        <color rgb="FFFF0000"/>
        <rFont val="Khmer OS Battambang"/>
      </rPr>
      <t xml:space="preserve"> *</t>
    </r>
  </si>
  <si>
    <r>
      <t xml:space="preserve">ទីឃ្លាំងលក់ </t>
    </r>
    <r>
      <rPr>
        <sz val="12"/>
        <color rgb="FFFF0000"/>
        <rFont val="Khmer OS Battambang"/>
      </rPr>
      <t>*</t>
    </r>
  </si>
  <si>
    <r>
      <t xml:space="preserve">ទីតាំងលក់ </t>
    </r>
    <r>
      <rPr>
        <sz val="12"/>
        <color rgb="FFFF0000"/>
        <rFont val="Khmer OS Battambang"/>
      </rPr>
      <t>*</t>
    </r>
  </si>
  <si>
    <r>
      <t>អ្នកលក់</t>
    </r>
    <r>
      <rPr>
        <sz val="12"/>
        <color rgb="FFFF0000"/>
        <rFont val="Khmer OS Battambang"/>
      </rPr>
      <t xml:space="preserve"> *</t>
    </r>
  </si>
  <si>
    <t>បញ្ជីអតិថិជន​ និងប្រាក់មិនទាន់ទូទាត់សរុប</t>
  </si>
  <si>
    <t>កន្លែងផ្ទុកទិន្នន័យ</t>
  </si>
  <si>
    <t>គ្រប់គ្រងសន្តិធិ (ស្តុក)</t>
  </si>
  <si>
    <t>Advanced Bank of Asia Ltd.</t>
  </si>
  <si>
    <t>017384326 (USD)</t>
  </si>
  <si>
    <t>025.Box/6pcs</t>
  </si>
  <si>
    <t>KSINV</t>
  </si>
  <si>
    <t>ចំនួនលក់ខ្នាតតូច</t>
  </si>
  <si>
    <t>សមតុល្យ ស្តុក</t>
  </si>
  <si>
    <t>សរុបចំនួនលក់តាមទំនិញ</t>
  </si>
  <si>
    <t>តោន</t>
  </si>
  <si>
    <t>Tonne</t>
  </si>
  <si>
    <t>Lee</t>
  </si>
  <si>
    <t>លី</t>
  </si>
  <si>
    <t>ហ៊ុន</t>
  </si>
  <si>
    <t>Fen/Fun</t>
  </si>
  <si>
    <t>Grams</t>
  </si>
  <si>
    <t>Kilograms</t>
  </si>
  <si>
    <t>Meter</t>
  </si>
  <si>
    <t xml:space="preserve">Millimeter </t>
  </si>
  <si>
    <t xml:space="preserve">Centimeter </t>
  </si>
  <si>
    <t>Square meter</t>
  </si>
  <si>
    <t>Metrum cubicum</t>
  </si>
  <si>
    <t>ម៉ែត្រគីប/គូប</t>
  </si>
  <si>
    <t>Litre</t>
  </si>
  <si>
    <t>kg</t>
  </si>
  <si>
    <t>ton</t>
  </si>
  <si>
    <t>lee</t>
  </si>
  <si>
    <t>ខ្នាតបុរាណខ្មែរខ្ចីពីចិន</t>
  </si>
  <si>
    <t>1Can/17l</t>
  </si>
  <si>
    <t>1Can/18l</t>
  </si>
  <si>
    <t>1Case/12can</t>
  </si>
  <si>
    <t>1Case/150pcs</t>
  </si>
  <si>
    <t>1Case/180pcs</t>
  </si>
  <si>
    <t>1Case/20pcs</t>
  </si>
  <si>
    <t>1Case/216pcs</t>
  </si>
  <si>
    <t>1Case/270pcs</t>
  </si>
  <si>
    <t>1Case/288pcs</t>
  </si>
  <si>
    <t>1Case/378pcs</t>
  </si>
  <si>
    <t>1Case/4can</t>
  </si>
  <si>
    <t>1Case/50pcs</t>
  </si>
  <si>
    <t>1Ton/20Be</t>
  </si>
  <si>
    <t>Can/17l</t>
  </si>
  <si>
    <t>Can/18l</t>
  </si>
  <si>
    <t>Case/20pcs</t>
  </si>
  <si>
    <t>Case/50pcs</t>
  </si>
  <si>
    <t>Case/150pcs</t>
  </si>
  <si>
    <t>Case/180pcs</t>
  </si>
  <si>
    <t>Case/216pcs</t>
  </si>
  <si>
    <t>Case/270pcs</t>
  </si>
  <si>
    <t>Case/288pcs</t>
  </si>
  <si>
    <t>Case/378pcs</t>
  </si>
  <si>
    <t>Case/4can</t>
  </si>
  <si>
    <t>Case/12can</t>
  </si>
  <si>
    <t>Ctn/4.5Kg</t>
  </si>
  <si>
    <t>Ton/20Be</t>
  </si>
  <si>
    <t>04.ផ្ទៃក្រឡា</t>
  </si>
  <si>
    <t>1កំប៉ុង/17លីត្រ</t>
  </si>
  <si>
    <t>1កំប៉ុង/18លីត្រ</t>
  </si>
  <si>
    <t>1កាតុង/4.5គីឡូ</t>
  </si>
  <si>
    <t>1តោន/20បេ</t>
  </si>
  <si>
    <t>1ឯកតា/4ម៉ែត្រ</t>
  </si>
  <si>
    <t>1កេស/20ដុំ</t>
  </si>
  <si>
    <t>1កេស/50ដុំ</t>
  </si>
  <si>
    <t>1កេស/150ដុំ</t>
  </si>
  <si>
    <t>1កេស/180ដុំ</t>
  </si>
  <si>
    <t>1កេស/216ដុំ</t>
  </si>
  <si>
    <t>1កេស/270ដុំ</t>
  </si>
  <si>
    <t>1កេស/288ដុំ</t>
  </si>
  <si>
    <t>1កេស/378ដុំ</t>
  </si>
  <si>
    <t>1កេស/4កំប៉ុង</t>
  </si>
  <si>
    <t>1កេស/12កំប៉ុង</t>
  </si>
  <si>
    <t>1ឯកតា/2.9ម៉ែត្រ</t>
  </si>
  <si>
    <t>1ឯកតា/12ម៉ែត្រ</t>
  </si>
  <si>
    <t>378</t>
  </si>
  <si>
    <t>216</t>
  </si>
  <si>
    <t>270</t>
  </si>
  <si>
    <t>100</t>
  </si>
  <si>
    <t>180</t>
  </si>
  <si>
    <t xml:space="preserve">pcs </t>
  </si>
  <si>
    <t>50</t>
  </si>
  <si>
    <t>ហ្គេនខ្សែភ្លើង​ 34</t>
  </si>
  <si>
    <t>ហ្គេនខ្សែភ្លើង​ 27</t>
  </si>
  <si>
    <t>ហ្គេនខ្សែភ្លើង​ 21</t>
  </si>
  <si>
    <t>សោ និងកូនសោ</t>
  </si>
  <si>
    <t>Fasteners</t>
  </si>
  <si>
    <t>ឧបករណ៍ដៃ ដង្កាប់ ទួណឺវីស…</t>
  </si>
  <si>
    <t>ឧបករណ៍ភ្ជាប់ ដែកគោល វីស...</t>
  </si>
  <si>
    <t>ខ្សែភ្លើង និងខ្សែ</t>
  </si>
  <si>
    <t xml:space="preserve">Wiring Harnesses &amp; Cables </t>
  </si>
  <si>
    <t>ព្រីភ្លើង និងគ្រឿងចែកចាយថាមពល</t>
  </si>
  <si>
    <t xml:space="preserve">Power Outlets &amp; Electrical Distribution </t>
  </si>
  <si>
    <t>គ្រឿងបរិក្ខារ និងឧបករណ៍ភ្ជាប់</t>
  </si>
  <si>
    <t>Hardware, Enclosures &amp; Fasteners</t>
  </si>
  <si>
    <t>គ្រឿងបំភ្លឺ និងគ្រឿងបន្លាស់</t>
  </si>
  <si>
    <t>Lighting Fixtures &amp; Accessories</t>
  </si>
  <si>
    <t>052.Unit/2.9m</t>
  </si>
  <si>
    <t>045.Coil/50m</t>
  </si>
  <si>
    <t>036.Case/150pcs</t>
  </si>
  <si>
    <t>032.Case/24pcs</t>
  </si>
  <si>
    <t>040.Case/288pcs</t>
  </si>
  <si>
    <t>041.Case/378pcs</t>
  </si>
  <si>
    <t>038.Case/216pcs</t>
  </si>
  <si>
    <t>039.Case/270pcs</t>
  </si>
  <si>
    <t>035.Case/100pcs</t>
  </si>
  <si>
    <t>031.Case/20pcs</t>
  </si>
  <si>
    <t>037.Case/180pcs</t>
  </si>
  <si>
    <t>046.Ctn/4.5Kg</t>
  </si>
  <si>
    <t>044.Case/24Pack</t>
  </si>
  <si>
    <t>033.Case/25pcs</t>
  </si>
  <si>
    <t>034.Case/50pcs</t>
  </si>
  <si>
    <t>047.Ctn/6pcs</t>
  </si>
  <si>
    <t>048.Lots/12pair</t>
  </si>
  <si>
    <t>028.Can/18l</t>
  </si>
  <si>
    <t>029.Case/4pcs</t>
  </si>
  <si>
    <t>030.Case/12pcs</t>
  </si>
  <si>
    <t>027.Can/17l</t>
  </si>
  <si>
    <t>042.Case/4can</t>
  </si>
  <si>
    <t>043.Case/12can</t>
  </si>
  <si>
    <t>049.Lots/12pcs</t>
  </si>
  <si>
    <t>051.Ton/20Be</t>
  </si>
  <si>
    <t>054.Unit/12m</t>
  </si>
  <si>
    <t>053.Unit/4m</t>
  </si>
  <si>
    <t>002.pcs</t>
  </si>
  <si>
    <t>បិចភ្លើង</t>
  </si>
  <si>
    <t>រឡូរុញថ្នាំ​ 11cm</t>
  </si>
  <si>
    <t>រឡូរុញថ្នាំ​ 15cm</t>
  </si>
  <si>
    <t>រឡូរុញថ្នាំ​ 23cm</t>
  </si>
  <si>
    <t>រឡូរុញថ្នាំ​ 10cm</t>
  </si>
  <si>
    <t>រឡូរុញថ្នាំ​ 6cm</t>
  </si>
  <si>
    <t>ស្កុតមុខពីរ 3m</t>
  </si>
  <si>
    <t>បិចភ្លើងឆក់លោត</t>
  </si>
  <si>
    <t>DKS0151</t>
  </si>
  <si>
    <t>Product Name Other</t>
  </si>
  <si>
    <t>ឈ្មោះជាភាសាផ្សេង</t>
  </si>
  <si>
    <t>001.គ្រឿងជាង</t>
  </si>
  <si>
    <t>023.ថ្នាំលាប និងថ្នាំកូត</t>
  </si>
  <si>
    <t>002.CHIP MONG</t>
  </si>
  <si>
    <t>003.ECO PIPE</t>
  </si>
  <si>
    <t>004.China</t>
  </si>
  <si>
    <t>005.Kbal Kla</t>
  </si>
  <si>
    <t>006.PL</t>
  </si>
  <si>
    <t>កែង100 CHIP MONG</t>
  </si>
  <si>
    <t>ដឺមី100 CHIP MONG</t>
  </si>
  <si>
    <t>សុង100 CHIP MONG</t>
  </si>
  <si>
    <t>តេ100 CHIP MONG</t>
  </si>
  <si>
    <t>កែង80 CHIP MONG</t>
  </si>
  <si>
    <t>ដឺមី80 CHIP MONG</t>
  </si>
  <si>
    <t>សុង80 CHIP MONG</t>
  </si>
  <si>
    <t>តេ80 CHIP MONG</t>
  </si>
  <si>
    <t>កែង60 CHIP MONG</t>
  </si>
  <si>
    <t>ដឺមី60 CHIP MONG</t>
  </si>
  <si>
    <t>សុង60 CHIP MONG</t>
  </si>
  <si>
    <t>តេ60 CHIP MONG</t>
  </si>
  <si>
    <t>កែង49 CHIP MONG</t>
  </si>
  <si>
    <t>ដឺមី49 CHIP MONG</t>
  </si>
  <si>
    <t>សុង49 CHIP MONG</t>
  </si>
  <si>
    <t>តេ49 CHIP MONG</t>
  </si>
  <si>
    <t>កែង34 CHIP MONG</t>
  </si>
  <si>
    <t>ដឺមី34 CHIP MONG</t>
  </si>
  <si>
    <t>សុង34 CHIP MONG</t>
  </si>
  <si>
    <t>តេ34 CHIP MONG</t>
  </si>
  <si>
    <t>កែង27 CHIP MONG</t>
  </si>
  <si>
    <t>ដឺមី27 CHIP MONG</t>
  </si>
  <si>
    <t>សុង27 CHIP MONG</t>
  </si>
  <si>
    <t>តេ27 CHIP MONG</t>
  </si>
  <si>
    <t>កែង21 CHIP MONG</t>
  </si>
  <si>
    <t>តេ100*80 CHIP MONG</t>
  </si>
  <si>
    <t>តេ80*60 CHIP MONG</t>
  </si>
  <si>
    <t>តេ60*49 CHIP MONG</t>
  </si>
  <si>
    <t>ដំណរ100*80 CHIP MONG</t>
  </si>
  <si>
    <t>ដំណរ80*60 CHIP MONG</t>
  </si>
  <si>
    <t>ដំណរ60*49 CHIP MONG</t>
  </si>
  <si>
    <t>តេអ៊ីការិច100 CHIP MONG</t>
  </si>
  <si>
    <t>តេអ៊ីការិច80 CHIP MONG</t>
  </si>
  <si>
    <t>តេអ៊ីការិច60 CHIP MONG</t>
  </si>
  <si>
    <t>តេអ៊ីការិច100*80 CHIP MONG</t>
  </si>
  <si>
    <t>តេអ៊ីការិច100*60 CHIP MONG</t>
  </si>
  <si>
    <t>តេអ៊ីការិច80*60 CHIP MONG</t>
  </si>
  <si>
    <t>តេអ៊ីការិច80*49 CHIP MONG</t>
  </si>
  <si>
    <t>គំរប100 CHIP MONG</t>
  </si>
  <si>
    <t>គំរប80 CHIP MONG</t>
  </si>
  <si>
    <t>គំរប49 CHIP MONG</t>
  </si>
  <si>
    <t>សុងធ្មេញក្រៅ60 CHIP MONG</t>
  </si>
  <si>
    <t>សុងធ្មេញក្រៅ49 CHIP MONG</t>
  </si>
  <si>
    <t>សុងធ្មេញក្រៅ34 CHIP MONG</t>
  </si>
  <si>
    <t>សុងធ្មេញក្រៅ27 CHIP MONG</t>
  </si>
  <si>
    <t>សុងធ្មេញក្រៅ21 CHIP MONG</t>
  </si>
  <si>
    <t>សុងធ្មេញក្នុង80 CHIP MONG</t>
  </si>
  <si>
    <t>សុងធ្មេញក្នុង34 CHIP MONG</t>
  </si>
  <si>
    <t>សុងធ្មេញក្នុង27 CHIP MONG</t>
  </si>
  <si>
    <t>សុងធ្មេញក្នុង21 CHIP MONG</t>
  </si>
  <si>
    <t>ទុយោសកខ្សែភ្លើង 34 CHIP MONG</t>
  </si>
  <si>
    <t>ហ្គេនខ្សែភ្លើង​ 34 CHIP MONG</t>
  </si>
  <si>
    <t>ហ្គេនខ្សែភ្លើង​ 27 CHIP MONG</t>
  </si>
  <si>
    <t>ហ្គេនខ្សែភ្លើង​ 21 CHIP MONG</t>
  </si>
  <si>
    <t>ក្រចាប់លេខ 25 CHIP MONG</t>
  </si>
  <si>
    <t>ព្រីភ្លើង​ 5m រុន6 China</t>
  </si>
  <si>
    <t>ខ្សែរឹត 8*350 China</t>
  </si>
  <si>
    <t>ខ្សែរឹត 8*250 China</t>
  </si>
  <si>
    <t>បិចភ្លើងឆក់លោត China</t>
  </si>
  <si>
    <t>ទុយោសកខ្សែភ្លើង 27 CHIP MONG</t>
  </si>
  <si>
    <t>ប្រអប់បណ្ដាញមុខពី 25 CHIP MONG</t>
  </si>
  <si>
    <t>ប្រអប់បណ្ដាញមុខ 20 CHIP MONG</t>
  </si>
  <si>
    <t>ប្រអប់បណ្ដាញមុខបី 25 CHIP MONG</t>
  </si>
  <si>
    <t>ប្រអប់បណ្ដាញមុខបី 20 CHIP MONG</t>
  </si>
  <si>
    <t>ជើងអំពូល ព្យូរស China</t>
  </si>
  <si>
    <t>កុងតាក់ខ្សែរ China</t>
  </si>
  <si>
    <t>ទុយោសកខ្សែភ្លើង 21 CHIP MONG</t>
  </si>
  <si>
    <t>បិចភ្លើង China</t>
  </si>
  <si>
    <t>ក្រចាប់លេខ 20 CHIP MONG</t>
  </si>
  <si>
    <t>ព្រី(3b) China</t>
  </si>
  <si>
    <t>ជើងអំពូល ជាប់ជញ្ជាំង China</t>
  </si>
  <si>
    <t>កុងតាក់ជាប់ជញ្ជាំង China</t>
  </si>
  <si>
    <t>ឌុយ៣ចេញ២ China</t>
  </si>
  <si>
    <t>ជើងអំពូល ព្យូរខ្មៅ China</t>
  </si>
  <si>
    <t>ព្រីភ្លើង​ 5m រុន4 China</t>
  </si>
  <si>
    <t>វិសខ្មៅ China</t>
  </si>
  <si>
    <t>ផ្លែស្វានបេតុង 6l PL</t>
  </si>
  <si>
    <t>ផ្លែស្វានបេតុង 8l PL</t>
  </si>
  <si>
    <t>ផ្លែស្វានបេតុង 10l PL</t>
  </si>
  <si>
    <t>ផ្លែស្វានបេតុង 12l PL</t>
  </si>
  <si>
    <t>ក្បាលស្វាន GF-10mm PL</t>
  </si>
  <si>
    <t>ក្បាលស្វាន 13l PL</t>
  </si>
  <si>
    <t>ក្បាលស្វាន 16l PL</t>
  </si>
  <si>
    <t>សោរដោះម៉ូទ័រ 10l PL</t>
  </si>
  <si>
    <t>សោរដោះម៉ូទ័រ 13l PL</t>
  </si>
  <si>
    <t>ញញូលមុខក្រឡា 0.5kg PL</t>
  </si>
  <si>
    <t>កាបចាក់កង 6T PL</t>
  </si>
  <si>
    <t>កាបចាក់កង 8T PL</t>
  </si>
  <si>
    <t>ច្រវ៉ាក់កង 6T PL</t>
  </si>
  <si>
    <t>ច្រវ៉ាក់កង 8T PL</t>
  </si>
  <si>
    <t>ដងឈូស​ 1" PL</t>
  </si>
  <si>
    <t>ដងឈូស​ 2'' PL</t>
  </si>
  <si>
    <t>ដងឈូស​ 3" PL</t>
  </si>
  <si>
    <t>ដងឈូស​ 4'' PL</t>
  </si>
  <si>
    <t>ដងឈូស​ 5'' PL</t>
  </si>
  <si>
    <t>ដងបាញ់កាវកញ្ចក់ PL</t>
  </si>
  <si>
    <t>កាវកញ្ចក់ PL</t>
  </si>
  <si>
    <t>កាំភ្លើងកាវទៀន PL</t>
  </si>
  <si>
    <t>កាវទៀន PL</t>
  </si>
  <si>
    <t>កន្ត្រៃកាត់មែកឈើ PL</t>
  </si>
  <si>
    <t>ដង្កាប់គៀបគ្រាប់ PL</t>
  </si>
  <si>
    <t>ដង្កាប់មាត់សេក 8" PL</t>
  </si>
  <si>
    <t>ដង្កាប់មាត់សេក PL</t>
  </si>
  <si>
    <t>ដង្កាប់បូតខ្សែភ្លើង PL</t>
  </si>
  <si>
    <t>ច្រាស់ជ័រស្ពាន់ PL</t>
  </si>
  <si>
    <t>ច្រាស់ជ័រស្ពាន់ឈុត PL</t>
  </si>
  <si>
    <t>សោរសារ៉ែន (70mm) PL</t>
  </si>
  <si>
    <t>សោវ៉ាលីល្អ PL</t>
  </si>
  <si>
    <t>កាំបិតរុញល្អ PL</t>
  </si>
  <si>
    <t>ផ្លែកាំបិត PL</t>
  </si>
  <si>
    <t>ម៉ាឡេតដងក្រហម(10') PL</t>
  </si>
  <si>
    <t>ម៉ាឡេតដងក្រហម12" PL</t>
  </si>
  <si>
    <t>ម៉ាឡេតធ្មេញ12'' PL</t>
  </si>
  <si>
    <t>ម៉ាឡេតធ្មេញ24" PL</t>
  </si>
  <si>
    <t>ស្កុតមុខពីរ 3m PL</t>
  </si>
  <si>
    <t>ថ្មរឆាប តឹក PL</t>
  </si>
  <si>
    <t>ផ្លែសំលាងថ្ម PL</t>
  </si>
  <si>
    <t>ប៉ុងខាត់ PL</t>
  </si>
  <si>
    <t>ផ្លែខាត់ល្អ PL</t>
  </si>
  <si>
    <t>ក្រដាស់ខាត់ p40,p60.. PL</t>
  </si>
  <si>
    <t>ស្កុតថ្លា​ 500y PL</t>
  </si>
  <si>
    <t>ដងកាត់ស្កុត PL</t>
  </si>
  <si>
    <t>ស្រោមដៃជ័រខ្លី PL</t>
  </si>
  <si>
    <t>ស្រោមដៃអំបោះ PL</t>
  </si>
  <si>
    <t>ថ្នាំលាបគ្បឿង 18l U-91</t>
  </si>
  <si>
    <t>ថ្នាំលាបគ្បឿង 3.5l U-91</t>
  </si>
  <si>
    <t>ថ្នាំលាបគ្បឿង 0.9l U-91</t>
  </si>
  <si>
    <t>ថ្នាំប្រេងលាបដែក 17l U-91</t>
  </si>
  <si>
    <t>ថ្នាំប្រេងលាបដែក 3.5l U-91</t>
  </si>
  <si>
    <t>ថ្នាំប្រេងលាបដែក 250ml U-91</t>
  </si>
  <si>
    <t>ថ្នាំប្រេងលាបដែក 0.88l U-91</t>
  </si>
  <si>
    <t>ថ្នាំទ្រនាប់លាបឈើ 17l U-91</t>
  </si>
  <si>
    <t>ថ្នាំលាបច្រេះក្រហម 17l U-91</t>
  </si>
  <si>
    <t>ថ្នាំលាបច្រេះក្រហម 3.5l U-91</t>
  </si>
  <si>
    <t>ថ្នាំលាបច្រេះក្រហម 0.88l U-91</t>
  </si>
  <si>
    <t>ថ្នាំលាបច្រេះប្រផះ 17l U-91</t>
  </si>
  <si>
    <t>ថ្នាំលាបច្រេះប្រផះ 3.5l U-91</t>
  </si>
  <si>
    <t>ថ្នាំទ្រនាប់បន្សីដែក 17l U-91</t>
  </si>
  <si>
    <t>ថ្នាំទឹកមាសលាយទឹក 3.5l U-91</t>
  </si>
  <si>
    <t>រឡូរុញថ្នាំ​ 11cm PL</t>
  </si>
  <si>
    <t>រឡូរុញថ្នាំ​ 15cm PL</t>
  </si>
  <si>
    <t>រឡូរុញថ្នាំ​ 23cm PL</t>
  </si>
  <si>
    <t>រឡូរុញថ្នាំ​ 10cm PL</t>
  </si>
  <si>
    <t>រឡូរុញថ្នាំ​ 6cm PL</t>
  </si>
  <si>
    <t>ជក់លាបថ្នាំ 0.5'' PL</t>
  </si>
  <si>
    <t>ជក់លាបថ្នាំ 1" PL</t>
  </si>
  <si>
    <t>ជក់លាបថ្នាំ 2" PL</t>
  </si>
  <si>
    <t>ជក់លាបថ្នាំ 3'' PL</t>
  </si>
  <si>
    <t>ជក់លាបថ្នាំ 4'' PL</t>
  </si>
  <si>
    <t>ស៊ីម៉ង​ V CHIP MONG</t>
  </si>
  <si>
    <t>ស៊ីម៉ង ខន CHIP MONG</t>
  </si>
  <si>
    <t>ស៊ីម៉ង អូដ្ធ CHIP MONG</t>
  </si>
  <si>
    <t>ស៊ីម៉ង K CHIP MONG</t>
  </si>
  <si>
    <t>ដែកសរសៃ​ 4C CHIP MONG</t>
  </si>
  <si>
    <t>ដែកសរសៃ​ 6L CHIP MONG</t>
  </si>
  <si>
    <t>ដែកសរសៃ​ 8L CHIP MONG</t>
  </si>
  <si>
    <t>ដែកសរសៃ​ 10L CHIP MONG</t>
  </si>
  <si>
    <t>ដែកសរសៃ​ 12L CHIP MONG</t>
  </si>
  <si>
    <t>ដែកសរសៃ​ 14L CHIP MONG</t>
  </si>
  <si>
    <t>ដែកសរសៃ​ 16L CHIP MONG</t>
  </si>
  <si>
    <t>ដែកជ្រុង 25*25(1.2) CHIP MONG</t>
  </si>
  <si>
    <t>ដែកជ្រុង25*25(1.5) CHIP MONG</t>
  </si>
  <si>
    <t>ដែកជ្រុង 30*30(1.2) CHIP MONG</t>
  </si>
  <si>
    <t>ដែកជ្រុង 30*30(1.5) CHIP MONG</t>
  </si>
  <si>
    <t>ដែកជ្រុង 40*40(1.2) CHIP MONG</t>
  </si>
  <si>
    <t>ដែកជ្រុង 40*40(1.5) CHIP MONG</t>
  </si>
  <si>
    <t>ដែកជ្រុង 20*40(1.2) CHIP MONG</t>
  </si>
  <si>
    <t>ដែកជ្រុង 20*40(1.5) CHIP MONG</t>
  </si>
  <si>
    <t>ដែកជ្រុង 30*60(1.2) CHIP MONG</t>
  </si>
  <si>
    <t>ដែកជ្រុង 30*60(1.5) CHIP MONG</t>
  </si>
  <si>
    <t>ដែកជ្រុង 40*80(1.2) CHIP MONG</t>
  </si>
  <si>
    <t>ដែកជ្រុង 50*100(1.1) CHIP MONG</t>
  </si>
  <si>
    <t>ដែកជ្រុង 50*100(1.2) CHIP MONG</t>
  </si>
  <si>
    <t>ដែកជ្រុង 50*100(1.5) CHIP MONG</t>
  </si>
  <si>
    <t>ថ្លៃដើមសរុប</t>
  </si>
  <si>
    <r>
      <t xml:space="preserve">លេខវិក្កយបត្រ </t>
    </r>
    <r>
      <rPr>
        <sz val="13"/>
        <color theme="1"/>
        <rFont val="Arial"/>
        <family val="2"/>
      </rPr>
      <t>/ Purchase No ៖</t>
    </r>
  </si>
  <si>
    <t>ឈ្មោះអ្នកផ្គត់ផ្គង់ (ភាសាខ្មែរ)</t>
  </si>
  <si>
    <t>Vendor name (EN)</t>
  </si>
  <si>
    <t>YAK THOM</t>
  </si>
  <si>
    <t>VKS002</t>
  </si>
  <si>
    <t>PO/Sale Invoice/Other Ref#:</t>
  </si>
  <si>
    <t>Unit Cost (USD)</t>
  </si>
  <si>
    <t>Total Cost (USD)</t>
  </si>
  <si>
    <t>Total Cost (KHR)</t>
  </si>
  <si>
    <t xml:space="preserve">ស៊ីម៉ង K CHIP MONG </t>
  </si>
  <si>
    <t xml:space="preserve">GAND TOTAL IN WORD (USD) : </t>
  </si>
  <si>
    <r>
      <t xml:space="preserve">ព័ត៌មានអ្នកផ្គត់ផ្គង់ </t>
    </r>
    <r>
      <rPr>
        <sz val="14"/>
        <color rgb="FF0066CC"/>
        <rFont val="Roboto Medium"/>
      </rPr>
      <t>/ VENDOR INFORMATION</t>
    </r>
  </si>
  <si>
    <r>
      <t xml:space="preserve">សរុបរួម / </t>
    </r>
    <r>
      <rPr>
        <sz val="13"/>
        <color theme="1"/>
        <rFont val="Roboto"/>
      </rPr>
      <t xml:space="preserve">Grand Total </t>
    </r>
    <r>
      <rPr>
        <sz val="13"/>
        <color theme="1"/>
        <rFont val="Khmer OS Battambang"/>
      </rPr>
      <t>​៖</t>
    </r>
  </si>
  <si>
    <t>ខ្នាតបំបែក២</t>
  </si>
  <si>
    <t>ខ្នាតបំបែក៣</t>
  </si>
  <si>
    <t>Convertion 2</t>
  </si>
  <si>
    <t>Conversion 3</t>
  </si>
  <si>
    <t>Total Uom</t>
  </si>
  <si>
    <t>ខ្នាតសរុប</t>
  </si>
  <si>
    <t>conversion 2</t>
  </si>
  <si>
    <t>uom1</t>
  </si>
  <si>
    <t>uom2</t>
  </si>
  <si>
    <t>uom3</t>
  </si>
  <si>
    <t>Total Price Type</t>
  </si>
  <si>
    <t>ចំនួនប្រភេទតម្លៃ</t>
  </si>
  <si>
    <t>ខ្នាតបំបែកទី២</t>
  </si>
  <si>
    <t>ខ្នាតទី1</t>
  </si>
  <si>
    <t>ខ្នាតទី2</t>
  </si>
  <si>
    <t>ខ្នាតទី3</t>
  </si>
  <si>
    <t>បញ្ចូលតម្លៃតាមប្រភេទតម្លៃលក់ លក់រាយនីមួយៗ</t>
  </si>
  <si>
    <t>បញ្ចូលទំនិញ និងតម្លៃទិញទាំងអស់តាមខ្នាតនិងប្រភេទតម្លៃ</t>
  </si>
  <si>
    <t>លេខខ្នាតសរុប</t>
  </si>
  <si>
    <t xml:space="preserve">                                        </t>
  </si>
  <si>
    <t xml:space="preserve">                                      </t>
  </si>
  <si>
    <t>value uom conversion2</t>
  </si>
  <si>
    <t>value uom conversion3</t>
  </si>
  <si>
    <t xml:space="preserve">NORMAL INVOICE : </t>
  </si>
  <si>
    <t xml:space="preserve">TAX INVOICE CODE : </t>
  </si>
  <si>
    <t>លេខអតបក្រុមហ៊ុន ៖</t>
  </si>
  <si>
    <t>លេខលក្ខណ្ឌទូទាត់ ៖</t>
  </si>
  <si>
    <t>ថ្ងៃទូទាត់បុង ៖</t>
  </si>
  <si>
    <t>សម្គាល់៖ ច្បាប់ដើមសម្រាប់អតិថិជន និងច្បាប់ថតចម្លងសម្រាប់សហគ្រាសរក្សាទុក ។</t>
  </si>
  <si>
    <t>Note: Orginal invoice is issued for customer, the copied one is kept by the Company.</t>
  </si>
  <si>
    <r>
      <t>អត្រាប្តូរប្រាក់ / Exchange Rate</t>
    </r>
    <r>
      <rPr>
        <u/>
        <sz val="11"/>
        <color theme="1"/>
        <rFont val="Roboto"/>
      </rPr>
      <t xml:space="preserve"> </t>
    </r>
    <r>
      <rPr>
        <u/>
        <sz val="11"/>
        <color theme="1"/>
        <rFont val="Khmer OS Battambang"/>
      </rPr>
      <t>​៖</t>
    </r>
  </si>
  <si>
    <r>
      <t>ឈ្មោះអតិថិជន/</t>
    </r>
    <r>
      <rPr>
        <sz val="11"/>
        <color theme="1"/>
        <rFont val="Roboto"/>
      </rPr>
      <t>Customer Name</t>
    </r>
  </si>
  <si>
    <r>
      <t>អាសយដ្ឋាន/</t>
    </r>
    <r>
      <rPr>
        <sz val="11"/>
        <color theme="1"/>
        <rFont val="Roboto"/>
      </rPr>
      <t>Address</t>
    </r>
  </si>
  <si>
    <r>
      <t>លេខទូរស័ព្ទ/</t>
    </r>
    <r>
      <rPr>
        <sz val="11"/>
        <color theme="1"/>
        <rFont val="Roboto"/>
      </rPr>
      <t>Telephone</t>
    </r>
  </si>
  <si>
    <r>
      <t>កាលបរិច្ឆេទកំណត់/</t>
    </r>
    <r>
      <rPr>
        <sz val="11"/>
        <color theme="1"/>
        <rFont val="Roboto"/>
      </rPr>
      <t>Due Date</t>
    </r>
  </si>
  <si>
    <r>
      <t>លេខវិក្កយបត្រ/</t>
    </r>
    <r>
      <rPr>
        <sz val="11"/>
        <color theme="1"/>
        <rFont val="Roboto"/>
      </rPr>
      <t>Invoice No</t>
    </r>
  </si>
  <si>
    <r>
      <t>កាលបរិច្ឆេទ/</t>
    </r>
    <r>
      <rPr>
        <sz val="11"/>
        <color theme="1"/>
        <rFont val="Roboto"/>
      </rPr>
      <t>Invoice Date</t>
    </r>
  </si>
  <si>
    <r>
      <t xml:space="preserve">លេខអត្តសញ្ញាណកម្ម </t>
    </r>
    <r>
      <rPr>
        <sz val="11"/>
        <color theme="1"/>
        <rFont val="Roboto"/>
      </rPr>
      <t xml:space="preserve">(TID/MOI ID/Other) </t>
    </r>
    <r>
      <rPr>
        <sz val="11"/>
        <color theme="1"/>
        <rFont val="Khmer OS Battambang"/>
      </rPr>
      <t>៖</t>
    </r>
  </si>
  <si>
    <t>01.អាករ ០%</t>
  </si>
  <si>
    <t xml:space="preserve">បញ្ជាក់ ៖ </t>
  </si>
  <si>
    <t>00001.ទីប​100(8.5) CHIP MONG</t>
  </si>
  <si>
    <t>00002.ទីប80(8.5) CHIP MONG</t>
  </si>
  <si>
    <t>00003.ទីប75(8.5) CHIP MONG</t>
  </si>
  <si>
    <t>00004.ទីប60(8.5) CHIP MONG</t>
  </si>
  <si>
    <t>00005.ទីប49(8.5) CHIP MONG</t>
  </si>
  <si>
    <t>00006.ទីប42(8.5) CHIP MONG</t>
  </si>
  <si>
    <t>00007.ទីប34(8.5) CHIP MONG</t>
  </si>
  <si>
    <t>00008.ទីប27(8.5) CHIP MONG</t>
  </si>
  <si>
    <t>00009.ទីប21(8.5) CHIP MONG</t>
  </si>
  <si>
    <t>00010.ទីប​100(8.5) ECO PIPE</t>
  </si>
  <si>
    <t>00011.ទីប80(8.5) ECO PIPE</t>
  </si>
  <si>
    <t>00012.ទីប75(8.5) ECO PIPE</t>
  </si>
  <si>
    <t>00013.ទីប60(8.5) ECO PIPE</t>
  </si>
  <si>
    <t>00014.ទីប49(8.5) ECO PIPE</t>
  </si>
  <si>
    <t>00015.ទីប42(8.5) ECO PIPE</t>
  </si>
  <si>
    <t>00016.ទីប34(8.5) ECO PIPE</t>
  </si>
  <si>
    <t>00017.ទីប27(8.5) ECO PIPE</t>
  </si>
  <si>
    <t>00018.ទីប21(8.5) ECO PIPE</t>
  </si>
  <si>
    <t>00019.ទីប100(5.0) ECO PIPE</t>
  </si>
  <si>
    <t>00020.ទីប80(5.0) ECO PIPE</t>
  </si>
  <si>
    <t>00021.ទីប75(5.0) ECO PIPE</t>
  </si>
  <si>
    <t>00022.ទីប60(5.0) ECO PIPE</t>
  </si>
  <si>
    <t>00023.ទីប49(5.0) ECO PIPE</t>
  </si>
  <si>
    <t>00024.ទីប42(5.0) ECO PIPE</t>
  </si>
  <si>
    <t>00025.ទីប34(5.0) ECO PIPE</t>
  </si>
  <si>
    <t>00026.កែង100 CHIP MONG</t>
  </si>
  <si>
    <t>00027.ដឺមី100 CHIP MONG</t>
  </si>
  <si>
    <t>00028.សុង100 CHIP MONG</t>
  </si>
  <si>
    <t>00029.តេ100 CHIP MONG</t>
  </si>
  <si>
    <t>00030.កែង80 CHIP MONG</t>
  </si>
  <si>
    <t>00031.ដឺមី80 CHIP MONG</t>
  </si>
  <si>
    <t>00032.សុង80 CHIP MONG</t>
  </si>
  <si>
    <t>00033.តេ80 CHIP MONG</t>
  </si>
  <si>
    <t>00034.កែង60 CHIP MONG</t>
  </si>
  <si>
    <t>00035.ដឺមី60 CHIP MONG</t>
  </si>
  <si>
    <t>00036.សុង60 CHIP MONG</t>
  </si>
  <si>
    <t>00037.តេ60 CHIP MONG</t>
  </si>
  <si>
    <t>00038.កែង49 CHIP MONG</t>
  </si>
  <si>
    <t>00039.ដឺមី49 CHIP MONG</t>
  </si>
  <si>
    <t>00040.សុង49 CHIP MONG</t>
  </si>
  <si>
    <t>00041.តេ49 CHIP MONG</t>
  </si>
  <si>
    <t>00042.កែង34 CHIP MONG</t>
  </si>
  <si>
    <t>00043.ដឺមី34 CHIP MONG</t>
  </si>
  <si>
    <t>00044.សុង34 CHIP MONG</t>
  </si>
  <si>
    <t>00045.តេ34 CHIP MONG</t>
  </si>
  <si>
    <t>00046.កែង27 CHIP MONG</t>
  </si>
  <si>
    <t>00047.ដឺមី27 CHIP MONG</t>
  </si>
  <si>
    <t>00048.សុង27 CHIP MONG</t>
  </si>
  <si>
    <t>00049.តេ27 CHIP MONG</t>
  </si>
  <si>
    <t>00050.កែង21 CHIP MONG</t>
  </si>
  <si>
    <t>00051.តេ100*80 CHIP MONG</t>
  </si>
  <si>
    <t>00052.តេ80*60 CHIP MONG</t>
  </si>
  <si>
    <t>00053.តេ60*49 CHIP MONG</t>
  </si>
  <si>
    <t>00054.ដំណរ100*80 CHIP MONG</t>
  </si>
  <si>
    <t>00055.ដំណរ80*60 CHIP MONG</t>
  </si>
  <si>
    <t>00056.ដំណរ60*49 CHIP MONG</t>
  </si>
  <si>
    <t>00057.តេអ៊ីការិច100 CHIP MONG</t>
  </si>
  <si>
    <t>00058.តេអ៊ីការិច80 CHIP MONG</t>
  </si>
  <si>
    <t>00059.តេអ៊ីការិច60 CHIP MONG</t>
  </si>
  <si>
    <t>00060.តេអ៊ីការិច100*80 CHIP MONG</t>
  </si>
  <si>
    <t>00061.តេអ៊ីការិច100*60 CHIP MONG</t>
  </si>
  <si>
    <t>00062.តេអ៊ីការិច80*60 CHIP MONG</t>
  </si>
  <si>
    <t>00063.តេអ៊ីការិច80*49 CHIP MONG</t>
  </si>
  <si>
    <t>00064.គំរប100 CHIP MONG</t>
  </si>
  <si>
    <t>00065.គំរប80 CHIP MONG</t>
  </si>
  <si>
    <t>00066.គំរប49 CHIP MONG</t>
  </si>
  <si>
    <t>00067.សុងធ្មេញក្រៅ60 CHIP MONG</t>
  </si>
  <si>
    <t>00068.សុងធ្មេញក្រៅ49 CHIP MONG</t>
  </si>
  <si>
    <t>00069.សុងធ្មេញក្រៅ34 CHIP MONG</t>
  </si>
  <si>
    <t>00070.សុងធ្មេញក្រៅ27 CHIP MONG</t>
  </si>
  <si>
    <t>00071.សុងធ្មេញក្រៅ21 CHIP MONG</t>
  </si>
  <si>
    <t>00072.សុងធ្មេញក្នុង80 CHIP MONG</t>
  </si>
  <si>
    <t>00073.សុងធ្មេញក្នុង34 CHIP MONG</t>
  </si>
  <si>
    <t>00074.សុងធ្មេញក្នុង27 CHIP MONG</t>
  </si>
  <si>
    <t>00075.សុងធ្មេញក្នុង21 CHIP MONG</t>
  </si>
  <si>
    <t>00076.ទុយោសកខ្សែភ្លើង 34 CHIP MONG</t>
  </si>
  <si>
    <t>00077.ហ្គេនខ្សែភ្លើង​ 34 CHIP MONG</t>
  </si>
  <si>
    <t>00078.ហ្គេនខ្សែភ្លើង​ 27 CHIP MONG</t>
  </si>
  <si>
    <t>00079.ហ្គេនខ្សែភ្លើង​ 21 CHIP MONG</t>
  </si>
  <si>
    <t>00080.ក្រចាប់លេខ 25 CHIP MONG</t>
  </si>
  <si>
    <t>00081.ព្រីភ្លើង​ 5m រុន6 China</t>
  </si>
  <si>
    <t>00082.ខ្សែរឹត 8*350 China</t>
  </si>
  <si>
    <t>00083.ខ្សែរឹត 8*250 China</t>
  </si>
  <si>
    <t>00084.បិចភ្លើងឆក់លោត China</t>
  </si>
  <si>
    <t>00085.ទុយោសកខ្សែភ្លើង 27 CHIP MONG</t>
  </si>
  <si>
    <t>00086.ប្រអប់បណ្ដាញមុខពី 25 CHIP MONG</t>
  </si>
  <si>
    <t>00087.ប្រអប់បណ្ដាញមុខ 20 CHIP MONG</t>
  </si>
  <si>
    <t>00088.ប្រអប់បណ្ដាញមុខបី 25 CHIP MONG</t>
  </si>
  <si>
    <t>00089.ប្រអប់បណ្ដាញមុខបី 20 CHIP MONG</t>
  </si>
  <si>
    <t>00090.ជើងអំពូល ព្យូរស China</t>
  </si>
  <si>
    <t>00091.កុងតាក់ខ្សែរ China</t>
  </si>
  <si>
    <t>00092.ទុយោសកខ្សែភ្លើង 21 CHIP MONG</t>
  </si>
  <si>
    <t>00093.បិចភ្លើង China</t>
  </si>
  <si>
    <t>00094.ក្រចាប់លេខ 20 CHIP MONG</t>
  </si>
  <si>
    <t>00095.ព្រី(3b) China</t>
  </si>
  <si>
    <t>00096.ជើងអំពូល ជាប់ជញ្ជាំង China</t>
  </si>
  <si>
    <t>00097.កុងតាក់ជាប់ជញ្ជាំង China</t>
  </si>
  <si>
    <t>00098.ឌុយ៣ចេញ២ China</t>
  </si>
  <si>
    <t>00099.ជើងអំពូល ព្យូរខ្មៅ China</t>
  </si>
  <si>
    <t>00100.ព្រីភ្លើង​ 5m រុន4 China</t>
  </si>
  <si>
    <t>00101.ដែកគោល 3H 4H 5H 6H… Kbal Kla</t>
  </si>
  <si>
    <t>00102.វិសខ្មៅ China</t>
  </si>
  <si>
    <t>00103.ផ្លែស្វានបេតុង 6l PL</t>
  </si>
  <si>
    <t>00104.ផ្លែស្វានបេតុង 8l PL</t>
  </si>
  <si>
    <t>00105.ផ្លែស្វានបេតុង 10l PL</t>
  </si>
  <si>
    <t>00106.ផ្លែស្វានបេតុង 12l PL</t>
  </si>
  <si>
    <t>00107.ក្បាលស្វាន GF-10mm PL</t>
  </si>
  <si>
    <t>00108.ក្បាលស្វាន 13l PL</t>
  </si>
  <si>
    <t>00109.ក្បាលស្វាន 16l PL</t>
  </si>
  <si>
    <t>00110.សោរដោះម៉ូទ័រ 10l PL</t>
  </si>
  <si>
    <t>00111.សោរដោះម៉ូទ័រ 13l PL</t>
  </si>
  <si>
    <t>00112.ញញូលមុខក្រឡា 0.5kg PL</t>
  </si>
  <si>
    <t>00113.កាបចាក់កង 6T PL</t>
  </si>
  <si>
    <t>00114.កាបចាក់កង 8T PL</t>
  </si>
  <si>
    <t>00115.ច្រវ៉ាក់កង 6T PL</t>
  </si>
  <si>
    <t>00116.ច្រវ៉ាក់កង 8T PL</t>
  </si>
  <si>
    <t>00117.ដងឈូស​ 1" PL</t>
  </si>
  <si>
    <t>00118.ដងឈូស​ 2'' PL</t>
  </si>
  <si>
    <t>00119.ដងឈូស​ 3" PL</t>
  </si>
  <si>
    <t>00120.ដងឈូស​ 4'' PL</t>
  </si>
  <si>
    <t>00121.ដងឈូស​ 5'' PL</t>
  </si>
  <si>
    <t>00122.ដងបាញ់កាវកញ្ចក់ PL</t>
  </si>
  <si>
    <t>00123.កាវកញ្ចក់ PL</t>
  </si>
  <si>
    <t>00124.កាំភ្លើងកាវទៀន PL</t>
  </si>
  <si>
    <t>00125.កាវទៀន PL</t>
  </si>
  <si>
    <t>00126.កន្ត្រៃកាត់មែកឈើ PL</t>
  </si>
  <si>
    <t>00127.ដង្កាប់គៀបគ្រាប់ PL</t>
  </si>
  <si>
    <t>00128.ដង្កាប់មាត់សេក 8" PL</t>
  </si>
  <si>
    <t>00129.ដង្កាប់មាត់សេក PL</t>
  </si>
  <si>
    <t>00130.ដង្កាប់បូតខ្សែភ្លើង PL</t>
  </si>
  <si>
    <t>00131.ច្រាស់ជ័រស្ពាន់ PL</t>
  </si>
  <si>
    <t>00132.ច្រាស់ជ័រស្ពាន់ឈុត PL</t>
  </si>
  <si>
    <t>00133.សោរសារ៉ែន (70mm) PL</t>
  </si>
  <si>
    <t>00134.សោវ៉ាលីល្អ PL</t>
  </si>
  <si>
    <t>00135.កាំបិតរុញល្អ PL</t>
  </si>
  <si>
    <t>00136.ផ្លែកាំបិត PL</t>
  </si>
  <si>
    <t>00137.ម៉ាឡេតដងក្រហម(10') PL</t>
  </si>
  <si>
    <t>00138.ម៉ាឡេតដងក្រហម12" PL</t>
  </si>
  <si>
    <t>00139.ម៉ាឡេតធ្មេញ12'' PL</t>
  </si>
  <si>
    <t>00140.ម៉ាឡេតធ្មេញ24" PL</t>
  </si>
  <si>
    <t>00141.ស្កុតមុខពីរ 3m PL</t>
  </si>
  <si>
    <t>00142.ថ្មរឆាប តឹក PL</t>
  </si>
  <si>
    <t>00143.ផ្លែសំលាងថ្ម PL</t>
  </si>
  <si>
    <t>00144.ប៉ុងខាត់ PL</t>
  </si>
  <si>
    <t>00145.ផ្លែខាត់ល្អ PL</t>
  </si>
  <si>
    <t>00146.ក្រដាស់ខាត់ p40,p60.. PL</t>
  </si>
  <si>
    <t>00147.ស្កុតថ្លា​ 500y PL</t>
  </si>
  <si>
    <t>00148.ដងកាត់ស្កុត PL</t>
  </si>
  <si>
    <t>00149.ស្រោមដៃជ័រខ្លី PL</t>
  </si>
  <si>
    <t>00150.ស្រោមដៃអំបោះ PL</t>
  </si>
  <si>
    <t>00151.ថ្នាំលាបគ្បឿង 18l U-91</t>
  </si>
  <si>
    <t>00152.ថ្នាំលាបគ្បឿង 3.5l U-91</t>
  </si>
  <si>
    <t>00153.ថ្នាំលាបគ្បឿង 0.9l U-91</t>
  </si>
  <si>
    <t>00154.ថ្នាំប្រេងលាបដែក 17l U-91</t>
  </si>
  <si>
    <t>00155.ថ្នាំប្រេងលាបដែក 3.5l U-91</t>
  </si>
  <si>
    <t>00156.ថ្នាំប្រេងលាបដែក 250ml U-91</t>
  </si>
  <si>
    <t>00157.ថ្នាំប្រេងលាបដែក 0.88l U-91</t>
  </si>
  <si>
    <t>00158.ថ្នាំទ្រនាប់លាបឈើ 17l U-91</t>
  </si>
  <si>
    <t>00159.ថ្នាំលាបច្រេះក្រហម 17l U-91</t>
  </si>
  <si>
    <t>00160.ថ្នាំលាបច្រេះក្រហម 3.5l U-91</t>
  </si>
  <si>
    <t>00161.ថ្នាំលាបច្រេះក្រហម 0.88l U-91</t>
  </si>
  <si>
    <t>00162.ថ្នាំលាបច្រេះប្រផះ 17l U-91</t>
  </si>
  <si>
    <t>00163.ថ្នាំលាបច្រេះប្រផះ 3.5l U-91</t>
  </si>
  <si>
    <t>00164.ថ្នាំទ្រនាប់បន្សីដែក 17l U-91</t>
  </si>
  <si>
    <t>00165.ថ្នាំទឹកមាសលាយទឹក 3.5l U-91</t>
  </si>
  <si>
    <t>00166.រឡូរុញថ្នាំ​ 11cm PL</t>
  </si>
  <si>
    <t>00167.រឡូរុញថ្នាំ​ 15cm PL</t>
  </si>
  <si>
    <t>00168.រឡូរុញថ្នាំ​ 23cm PL</t>
  </si>
  <si>
    <t>00169.រឡូរុញថ្នាំ​ 10cm PL</t>
  </si>
  <si>
    <t>00170.រឡូរុញថ្នាំ​ 6cm PL</t>
  </si>
  <si>
    <t>00171.ជក់លាបថ្នាំ 0.5'' PL</t>
  </si>
  <si>
    <t>00172.ជក់លាបថ្នាំ 1" PL</t>
  </si>
  <si>
    <t>00173.ជក់លាបថ្នាំ 2" PL</t>
  </si>
  <si>
    <t>00174.ជក់លាបថ្នាំ 3'' PL</t>
  </si>
  <si>
    <t>00175.ជក់លាបថ្នាំ 4'' PL</t>
  </si>
  <si>
    <t>00176.ស៊ីម៉ង​ V CHIP MONG</t>
  </si>
  <si>
    <t>00177.ស៊ីម៉ង ខន CHIP MONG</t>
  </si>
  <si>
    <t>00178.ស៊ីម៉ង អូដ្ធ CHIP MONG</t>
  </si>
  <si>
    <t>00179.ស៊ីម៉ង K CHIP MONG</t>
  </si>
  <si>
    <t>00180.ដែកសរសៃ​ 4C CHIP MONG</t>
  </si>
  <si>
    <t>00181.ដែកសរសៃ​ 6L CHIP MONG</t>
  </si>
  <si>
    <t>00182.ដែកសរសៃ​ 8L CHIP MONG</t>
  </si>
  <si>
    <t>00183.ដែកសរសៃ​ 10L CHIP MONG</t>
  </si>
  <si>
    <t>00184.ដែកសរសៃ​ 12L CHIP MONG</t>
  </si>
  <si>
    <t>00185.ដែកសរសៃ​ 14L CHIP MONG</t>
  </si>
  <si>
    <t>00186.ដែកសរសៃ​ 16L CHIP MONG</t>
  </si>
  <si>
    <t>00187.ដែកជ្រុង 25*25(1.2) CHIP MONG</t>
  </si>
  <si>
    <t>00188.ដែកជ្រុង25*25(1.5) CHIP MONG</t>
  </si>
  <si>
    <t>00189.ដែកជ្រុង 30*30(1.2) CHIP MONG</t>
  </si>
  <si>
    <t>00190.ដែកជ្រុង 30*30(1.5) CHIP MONG</t>
  </si>
  <si>
    <t>00191.ដែកជ្រុង 40*40(1.2) CHIP MONG</t>
  </si>
  <si>
    <t>00192.ដែកជ្រុង 40*40(1.5) CHIP MONG</t>
  </si>
  <si>
    <t>00193.ដែកជ្រុង 20*40(1.2) CHIP MONG</t>
  </si>
  <si>
    <t>00194.ដែកជ្រុង 20*40(1.5) CHIP MONG</t>
  </si>
  <si>
    <t>00195.ដែកជ្រុង 30*60(1.2) CHIP MONG</t>
  </si>
  <si>
    <t>00196.ដែកជ្រុង 30*60(1.5) CHIP MONG</t>
  </si>
  <si>
    <t>00197.ដែកជ្រុង 40*80(1.2) CHIP MONG</t>
  </si>
  <si>
    <t>00198.ដែកជ្រុង 50*100(1.1) CHIP MONG</t>
  </si>
  <si>
    <t>00199.ដែកជ្រុង 50*100(1.2) CHIP MONG</t>
  </si>
  <si>
    <t>00200.ដែកជ្រុង 50*100(1.5) CHIP MONG</t>
  </si>
  <si>
    <t>CI20        -</t>
  </si>
  <si>
    <r>
      <t>សរុប​/</t>
    </r>
    <r>
      <rPr>
        <sz val="12"/>
        <color theme="1"/>
        <rFont val="Roboto"/>
      </rPr>
      <t>Sub Total (USD)</t>
    </r>
    <r>
      <rPr>
        <sz val="12"/>
        <color theme="1"/>
        <rFont val="Khmer OS Battambang"/>
      </rPr>
      <t xml:space="preserve"> ៖</t>
    </r>
  </si>
  <si>
    <r>
      <t>បញ្ចុះតម្លៃ/</t>
    </r>
    <r>
      <rPr>
        <sz val="12"/>
        <color theme="1"/>
        <rFont val="Roboto"/>
      </rPr>
      <t xml:space="preserve">Discount (USD) </t>
    </r>
    <r>
      <rPr>
        <sz val="12"/>
        <color theme="1"/>
        <rFont val="Khmer OS Battambang"/>
      </rPr>
      <t>៖</t>
    </r>
  </si>
  <si>
    <r>
      <t>ប្រាក់កក់/</t>
    </r>
    <r>
      <rPr>
        <sz val="12"/>
        <color theme="1"/>
        <rFont val="Roboto"/>
      </rPr>
      <t>Deposit (USD)</t>
    </r>
    <r>
      <rPr>
        <sz val="12"/>
        <color theme="1"/>
        <rFont val="Khmer OS Battambang"/>
      </rPr>
      <t xml:space="preserve"> ៖
</t>
    </r>
  </si>
  <si>
    <r>
      <t>សរុបរួម(</t>
    </r>
    <r>
      <rPr>
        <sz val="12"/>
        <color theme="1"/>
        <rFont val="Roboto"/>
      </rPr>
      <t>VAT Included) (USD)</t>
    </r>
    <r>
      <rPr>
        <sz val="12"/>
        <color theme="1"/>
        <rFont val="Khmer OS Battambang"/>
      </rPr>
      <t xml:space="preserve"> ៖
</t>
    </r>
  </si>
  <si>
    <r>
      <t>សរុបរួម(</t>
    </r>
    <r>
      <rPr>
        <sz val="12"/>
        <color theme="1"/>
        <rFont val="Roboto"/>
      </rPr>
      <t>VAT Included) (</t>
    </r>
    <r>
      <rPr>
        <sz val="12"/>
        <color theme="1"/>
        <rFont val="Khmer OS Battambang"/>
      </rPr>
      <t>៛</t>
    </r>
    <r>
      <rPr>
        <sz val="12"/>
        <color theme="1"/>
        <rFont val="Roboto"/>
      </rPr>
      <t>)</t>
    </r>
    <r>
      <rPr>
        <sz val="12"/>
        <color theme="1"/>
        <rFont val="Khmer OS Battambang"/>
      </rPr>
      <t xml:space="preserve"> ៖
</t>
    </r>
  </si>
  <si>
    <t>អតិថិជនទូទៅ</t>
  </si>
  <si>
    <t>General Customer</t>
  </si>
  <si>
    <t>001.ទូទៅ</t>
  </si>
  <si>
    <t>0001.អតិថិជនទូទៅ (General Customer)</t>
  </si>
  <si>
    <t>សម ស៊ីផៃ</t>
  </si>
  <si>
    <t>SAM SIPHAI</t>
  </si>
  <si>
    <t>001.ហឿត ចន្ត្រា (HOEURT CHANTRA)</t>
  </si>
  <si>
    <t xml:space="preserve">អត្រាប្តូរប្រាក់ (NBC) ៖​ </t>
  </si>
  <si>
    <r>
      <t xml:space="preserve">ព័ត៌មានអតិថិជន </t>
    </r>
    <r>
      <rPr>
        <sz val="14"/>
        <color rgb="FF0066CC"/>
        <rFont val="Roboto Medium"/>
      </rPr>
      <t>/ CUSTOMER INFORMATION</t>
    </r>
  </si>
  <si>
    <t>Folder Path</t>
  </si>
  <si>
    <t>Sub Module</t>
  </si>
  <si>
    <t>Main Folder Path</t>
  </si>
  <si>
    <t>database</t>
  </si>
  <si>
    <t>system</t>
  </si>
  <si>
    <t>inventory_adjustment</t>
  </si>
  <si>
    <t>product</t>
  </si>
  <si>
    <t>transfer_order</t>
  </si>
  <si>
    <t>purchase_bill</t>
  </si>
  <si>
    <t>purchase_request</t>
  </si>
  <si>
    <t>other_expense</t>
  </si>
  <si>
    <t>vendor</t>
  </si>
  <si>
    <t>customer</t>
  </si>
  <si>
    <t>quotation</t>
  </si>
  <si>
    <t>sales_order</t>
  </si>
  <si>
    <t>sales_invoice</t>
  </si>
  <si>
    <t>pos</t>
  </si>
  <si>
    <t>other_income</t>
  </si>
  <si>
    <t>employee_and_salary</t>
  </si>
  <si>
    <t>chart_account</t>
  </si>
  <si>
    <t>customer_balance</t>
  </si>
  <si>
    <t>open_invoice</t>
  </si>
  <si>
    <t>customer_statement</t>
  </si>
  <si>
    <t>vendor_balance</t>
  </si>
  <si>
    <t>open_bill</t>
  </si>
  <si>
    <t>vendor_statement</t>
  </si>
  <si>
    <t>sales_by_item</t>
  </si>
  <si>
    <t>sales_by_item_customer</t>
  </si>
  <si>
    <t>total_sale</t>
  </si>
  <si>
    <t>gloable_inventory</t>
  </si>
  <si>
    <t>inventory_activity</t>
  </si>
  <si>
    <t>inventory_valuation</t>
  </si>
  <si>
    <t>journal_entry</t>
  </si>
  <si>
    <t>general_ledger</t>
  </si>
  <si>
    <t>balance_sheet</t>
  </si>
  <si>
    <t>profit_loss</t>
  </si>
  <si>
    <t>purchase_by_invoice</t>
  </si>
  <si>
    <t>purchase_by_item</t>
  </si>
  <si>
    <t xml:space="preserve">pay_bills </t>
  </si>
  <si>
    <t>cash_expenses</t>
  </si>
  <si>
    <t>report</t>
  </si>
  <si>
    <t>Sub Folder 1</t>
  </si>
  <si>
    <t>Sub Folder 2</t>
  </si>
  <si>
    <t>Sub Folder 3</t>
  </si>
  <si>
    <t>inventory</t>
  </si>
  <si>
    <t>purchase</t>
  </si>
  <si>
    <t>sales</t>
  </si>
  <si>
    <t>setting</t>
  </si>
  <si>
    <t>report_sales</t>
  </si>
  <si>
    <t>report_purchase</t>
  </si>
  <si>
    <t>report_inventory</t>
  </si>
  <si>
    <t>report_accounting</t>
  </si>
  <si>
    <t>report_vendor_balance</t>
  </si>
  <si>
    <t>report_customer_balance</t>
  </si>
  <si>
    <t>Main Module</t>
  </si>
  <si>
    <t>not exist</t>
  </si>
  <si>
    <t>Open Folder</t>
  </si>
  <si>
    <t>Sub Folder 4</t>
  </si>
  <si>
    <r>
      <t>លេខអត្តសញ្ញាណកម្ម</t>
    </r>
    <r>
      <rPr>
        <sz val="11"/>
        <color theme="1"/>
        <rFont val="Khmer OS Siemreap"/>
      </rPr>
      <t xml:space="preserve"> </t>
    </r>
    <r>
      <rPr>
        <sz val="11"/>
        <color theme="1"/>
        <rFont val="Roboto"/>
      </rPr>
      <t>(TID/MOI ID/Other)</t>
    </r>
    <r>
      <rPr>
        <sz val="13"/>
        <color theme="1"/>
        <rFont val="Khmer OS Siemreap"/>
      </rPr>
      <t xml:space="preserve"> ៖</t>
    </r>
  </si>
  <si>
    <t>D:\OneDrive\YBA ADVISORY\B-Clients and Services\C024-KOK SNUOL\</t>
  </si>
  <si>
    <t>database backup</t>
  </si>
  <si>
    <t>system backup</t>
  </si>
  <si>
    <t>system file</t>
  </si>
  <si>
    <t>database file</t>
  </si>
  <si>
    <t>database_backup</t>
  </si>
  <si>
    <t>system_backup</t>
  </si>
  <si>
    <t>កំណត់កន្លែងដាក់ឯកសារ សន្និធិ ទិញ​ លក់ គណនេយ្យ និងរបាយការណ៍</t>
  </si>
  <si>
    <t>Item Description​ / Service</t>
  </si>
  <si>
    <t>Location</t>
  </si>
  <si>
    <t>បរិយាយមុខទំនិញ</t>
  </si>
  <si>
    <t>ឃ្លាំង/Warehouse ៖</t>
  </si>
  <si>
    <t>យោង/Reference ៖</t>
  </si>
  <si>
    <r>
      <t>លេខវិក្កយបត្រ</t>
    </r>
    <r>
      <rPr>
        <sz val="13"/>
        <color theme="1"/>
        <rFont val="Arial"/>
        <family val="2"/>
      </rPr>
      <t>/Adjust No ៖</t>
    </r>
  </si>
  <si>
    <r>
      <t>កាលបរិច្ឆេទ</t>
    </r>
    <r>
      <rPr>
        <sz val="13"/>
        <color theme="1"/>
        <rFont val="Arial"/>
        <family val="2"/>
      </rPr>
      <t>/Adjust Date ៖</t>
    </r>
  </si>
  <si>
    <t>WH01</t>
  </si>
  <si>
    <t>ក្រុមហ៊ុនជីប ម៉ុង</t>
  </si>
  <si>
    <t>ដេប៉ូលក់គ្រឿងសំណង់យក្សធំ</t>
  </si>
  <si>
    <t>Channa Harn</t>
  </si>
  <si>
    <t>Sale Rep</t>
  </si>
  <si>
    <t>006.អ្នកលក់</t>
  </si>
  <si>
    <t>070 35 04 72 / 097 43 00 870 / 011 35 04 72</t>
  </si>
  <si>
    <t>ភូមិកន្ត្រក ឃុំស្វាយដង្គុំ ស្រុកសូត្រនិគម ខេត្តសៀមរាប</t>
  </si>
  <si>
    <t>002.ដេប៉ូលក់គ្រឿងសំណង់យក្សធំ (YAK THOM)</t>
  </si>
  <si>
    <t>001.ក្រុមហ៊ុនជីប ម៉ុង (CHIP MONG)</t>
  </si>
  <si>
    <r>
      <t xml:space="preserve">សរុប / </t>
    </r>
    <r>
      <rPr>
        <sz val="12"/>
        <color theme="1"/>
        <rFont val="Roboto"/>
      </rPr>
      <t>Total (USD)</t>
    </r>
    <r>
      <rPr>
        <sz val="12"/>
        <color theme="1"/>
        <rFont val="Khmer OS Battambang"/>
      </rPr>
      <t xml:space="preserve"> ៖  </t>
    </r>
  </si>
  <si>
    <r>
      <t xml:space="preserve">សរុប / </t>
    </r>
    <r>
      <rPr>
        <sz val="12"/>
        <color theme="1"/>
        <rFont val="Roboto"/>
      </rPr>
      <t>Total (KHR)</t>
    </r>
    <r>
      <rPr>
        <sz val="12"/>
        <color theme="1"/>
        <rFont val="Khmer OS Battambang"/>
      </rPr>
      <t xml:space="preserve"> ៖ </t>
    </r>
  </si>
  <si>
    <t>1.Commercial Invoice</t>
  </si>
  <si>
    <t>ឆែកស្តុកតាមទីតាំង</t>
  </si>
  <si>
    <t>ការពារការលុបរូបមន្ត</t>
  </si>
  <si>
    <t xml:space="preserve">អត្រាប្តូរប្រាក់ (NBC) ថ្ងៃទី ៖​​ </t>
  </si>
  <si>
    <t xml:space="preserve">អត្រាប្តូរប្រាក់ ៖ </t>
  </si>
  <si>
    <t xml:space="preserve">Inv Total​ </t>
  </si>
  <si>
    <t xml:space="preserve">GroupTotal​ </t>
  </si>
  <si>
    <t>Lock And Protect Formula</t>
  </si>
  <si>
    <t xml:space="preserve">ទីប​100(8.5) CHIP MONG </t>
  </si>
  <si>
    <t xml:space="preserve">KSADJ26-0001 </t>
  </si>
  <si>
    <t xml:space="preserve">ព្រីភ្លើង​ 5m រុន6 China </t>
  </si>
  <si>
    <t xml:space="preserve">ស៊ីម៉ង​ V CHIP MONG </t>
  </si>
  <si>
    <t>តារាងបញ្ជីទំនិញ</t>
  </si>
  <si>
    <t>Small Unit Value</t>
  </si>
  <si>
    <t>KSPB26-0002</t>
  </si>
  <si>
    <t xml:space="preserve">កែង100 CHIP MONG </t>
  </si>
  <si>
    <t>កំណត់សម្គាល់ *</t>
  </si>
  <si>
    <t>U-9០</t>
  </si>
  <si>
    <t>007.U-9០</t>
  </si>
  <si>
    <r>
      <rPr>
        <b/>
        <i/>
        <sz val="12"/>
        <color theme="1"/>
        <rFont val="Khmer OS Battambang"/>
      </rPr>
      <t>សម្គាល់៖</t>
    </r>
    <r>
      <rPr>
        <i/>
        <sz val="12"/>
        <color theme="1"/>
        <rFont val="Khmer OS Battambang"/>
      </rPr>
      <t xml:space="preserve"> ច្បាប់ដើមសម្រាប់អ្នកផ្គត់ផ្គង់ និងច្បាប់ថតចម្លងសម្រាប់សហគ្រាសរក្សាទុក ។</t>
    </r>
  </si>
  <si>
    <r>
      <rPr>
        <b/>
        <i/>
        <sz val="12"/>
        <color theme="1"/>
        <rFont val="Roboto"/>
      </rPr>
      <t>Note:</t>
    </r>
    <r>
      <rPr>
        <i/>
        <sz val="12"/>
        <color theme="1"/>
        <rFont val="Roboto"/>
      </rPr>
      <t xml:space="preserve"> Orginal invoice is issued for vendor, the copied one is kept by the Company.</t>
    </r>
  </si>
  <si>
    <t>One Month</t>
  </si>
  <si>
    <t>Two Month</t>
  </si>
  <si>
    <t>Four Month</t>
  </si>
  <si>
    <t>Five Month</t>
  </si>
  <si>
    <t>One Week</t>
  </si>
  <si>
    <t>Two Week</t>
  </si>
  <si>
    <t>Three Week</t>
  </si>
  <si>
    <t>ដឹកទៅកាន់</t>
  </si>
  <si>
    <t xml:space="preserve">QUOTATION CODE : </t>
  </si>
  <si>
    <t>លេខអត្តសញ្ញាណកម្ម</t>
  </si>
  <si>
    <t>Unit Price​</t>
  </si>
  <si>
    <r>
      <t xml:space="preserve">លេខសម្រង់ / </t>
    </r>
    <r>
      <rPr>
        <sz val="13"/>
        <color theme="1"/>
        <rFont val="Roboto"/>
      </rPr>
      <t>Quote No</t>
    </r>
  </si>
  <si>
    <r>
      <t xml:space="preserve">កាលបរិច្ឆេទ / </t>
    </r>
    <r>
      <rPr>
        <sz val="13"/>
        <color theme="1"/>
        <rFont val="Roboto"/>
      </rPr>
      <t>Quote Date</t>
    </r>
  </si>
  <si>
    <r>
      <t xml:space="preserve">យោង / </t>
    </r>
    <r>
      <rPr>
        <sz val="13"/>
        <color theme="1"/>
        <rFont val="Roboto"/>
      </rPr>
      <t>Quote Reference</t>
    </r>
  </si>
  <si>
    <r>
      <t>អត្រាប្តូរប្រាក់</t>
    </r>
    <r>
      <rPr>
        <sz val="12"/>
        <color theme="1"/>
        <rFont val="Roboto"/>
      </rPr>
      <t>/NBC Exchange ​</t>
    </r>
    <r>
      <rPr>
        <sz val="12"/>
        <color theme="1"/>
        <rFont val="Khmer OS Battambang"/>
      </rPr>
      <t>៖</t>
    </r>
    <r>
      <rPr>
        <sz val="12"/>
        <color theme="1"/>
        <rFont val="Roboto"/>
      </rPr>
      <t xml:space="preserve"> </t>
    </r>
    <r>
      <rPr>
        <sz val="13"/>
        <color theme="1"/>
        <rFont val="Roboto"/>
      </rPr>
      <t xml:space="preserve">1 USD   = </t>
    </r>
  </si>
  <si>
    <t>product_photo</t>
  </si>
  <si>
    <t>public</t>
  </si>
  <si>
    <t>BOU Panha</t>
  </si>
  <si>
    <r>
      <t xml:space="preserve">សរុប / </t>
    </r>
    <r>
      <rPr>
        <sz val="13"/>
        <color theme="1"/>
        <rFont val="Roboto"/>
      </rPr>
      <t>Total</t>
    </r>
  </si>
  <si>
    <r>
      <t xml:space="preserve">បញ្ចុះតម្លៃ / </t>
    </r>
    <r>
      <rPr>
        <sz val="13"/>
        <color theme="1"/>
        <rFont val="Roboto"/>
      </rPr>
      <t>Discount</t>
    </r>
    <r>
      <rPr>
        <sz val="13"/>
        <color theme="1"/>
        <rFont val="Khmer OS Battambang"/>
      </rPr>
      <t>​</t>
    </r>
  </si>
  <si>
    <r>
      <t xml:space="preserve">អាករលើតម្លៃបន្ថែម / </t>
    </r>
    <r>
      <rPr>
        <sz val="13"/>
        <color theme="1"/>
        <rFont val="Roboto"/>
      </rPr>
      <t>VAT</t>
    </r>
    <r>
      <rPr>
        <sz val="13"/>
        <color theme="1"/>
        <rFont val="Khmer OS Battambang"/>
      </rPr>
      <t>​</t>
    </r>
  </si>
  <si>
    <r>
      <t xml:space="preserve">សរុបរួម / </t>
    </r>
    <r>
      <rPr>
        <sz val="13"/>
        <color theme="1"/>
        <rFont val="Roboto"/>
      </rPr>
      <t>Grand  Total​</t>
    </r>
    <r>
      <rPr>
        <sz val="13"/>
        <color theme="1"/>
        <rFont val="Khmer OS Battambang"/>
      </rPr>
      <t xml:space="preserve"> (USD)</t>
    </r>
  </si>
  <si>
    <r>
      <t xml:space="preserve">សរុបរួម / </t>
    </r>
    <r>
      <rPr>
        <sz val="13"/>
        <color theme="1"/>
        <rFont val="Roboto"/>
      </rPr>
      <t>Grand  Total​</t>
    </r>
    <r>
      <rPr>
        <sz val="13"/>
        <color theme="1"/>
        <rFont val="Khmer OS Battambang"/>
      </rPr>
      <t xml:space="preserve"> (KHR)</t>
    </r>
  </si>
  <si>
    <t>ប្រភេទសេវាកម្ម</t>
  </si>
  <si>
    <t>013.Other Income</t>
  </si>
  <si>
    <t>Invoice No.</t>
  </si>
  <si>
    <t>Prefix</t>
  </si>
  <si>
    <t>Suit Code</t>
  </si>
  <si>
    <t xml:space="preserve">1ដុល្លា = </t>
  </si>
  <si>
    <t xml:space="preserve">  បញ្ចុះតម្លៃ</t>
  </si>
  <si>
    <t xml:space="preserve">  ប្រាក់បានទូទាត់</t>
  </si>
  <si>
    <t xml:space="preserve">  ប្រាក់នៅខ្វះ</t>
  </si>
  <si>
    <t>សប្តាហ៍ទី</t>
  </si>
  <si>
    <t>ម៉ូឌុល *</t>
  </si>
  <si>
    <t>លេខគណនី *</t>
  </si>
  <si>
    <t>ប្រាក់ទូទាត់ជាអក្សរ</t>
  </si>
  <si>
    <t xml:space="preserve"> - ប្រាក់សរុប</t>
  </si>
  <si>
    <t xml:space="preserve"> - ប្រាក់បានទូទាត់</t>
  </si>
  <si>
    <t xml:space="preserve"> - ប្រាក់ជំពាក់</t>
  </si>
  <si>
    <t>​   ***បញ្ចុះតម្លៃសរុប</t>
  </si>
  <si>
    <t>ទូទាត់ប្រាក់ដោយ</t>
  </si>
  <si>
    <t xml:space="preserve">   ***អត្រាប្តូរប្រាក់</t>
  </si>
  <si>
    <t>001.Cash and Bank</t>
  </si>
  <si>
    <t>=</t>
  </si>
  <si>
    <t xml:space="preserve">   1 ដុល្លា</t>
  </si>
  <si>
    <r>
      <t>សាខា</t>
    </r>
    <r>
      <rPr>
        <sz val="14"/>
        <color theme="1"/>
        <rFont val="Roboto"/>
      </rPr>
      <t xml:space="preserve"> *</t>
    </r>
  </si>
  <si>
    <r>
      <t>លេខវិក្កយប័ត្រ</t>
    </r>
    <r>
      <rPr>
        <sz val="13"/>
        <color theme="1"/>
        <rFont val="Roboto"/>
      </rPr>
      <t xml:space="preserve"> *</t>
    </r>
  </si>
  <si>
    <r>
      <t>អ្នកទទួលប្រាក់</t>
    </r>
    <r>
      <rPr>
        <sz val="13"/>
        <color theme="1"/>
        <rFont val="Roboto"/>
      </rPr>
      <t xml:space="preserve"> *</t>
    </r>
  </si>
  <si>
    <t xml:space="preserve"> - បញ្ចុះតម្លៃពីមុន (រៀល)</t>
  </si>
  <si>
    <t xml:space="preserve"> - បញ្ចុះតម្លៃពីមុន (ដុល្លា)</t>
  </si>
  <si>
    <t>ប្រាក់អាប់រៀល</t>
  </si>
  <si>
    <t>ប្រាក់អាប់សរុប</t>
  </si>
  <si>
    <t>ប្រាក់អាប់ដុល្លា</t>
  </si>
  <si>
    <t>ប្រាក់បានទូទាត់សរុប</t>
  </si>
  <si>
    <t xml:space="preserve"> - អាករបន្ថែម</t>
  </si>
  <si>
    <t>receive_payment</t>
  </si>
  <si>
    <t xml:space="preserve">  ប្រាក់ត្រូវទូទាត់សរុប</t>
  </si>
  <si>
    <t>គណនីធនាគារ</t>
  </si>
  <si>
    <r>
      <t>ទឹកប្រាក់ទូទាត់ (រៀល)</t>
    </r>
    <r>
      <rPr>
        <sz val="13"/>
        <color theme="1"/>
        <rFont val="Roboto"/>
      </rPr>
      <t xml:space="preserve"> *</t>
    </r>
  </si>
  <si>
    <t>ទឹកប្រាក់ទូទាត់ (ដុល្លា)*</t>
  </si>
  <si>
    <t>បញ្ចុះតម្លៃ (រៀល)</t>
  </si>
  <si>
    <t>បញ្ចុះតម្លៃ (ដុល្លា)</t>
  </si>
  <si>
    <t>Payment Term Id  :</t>
  </si>
  <si>
    <t>Net days :</t>
  </si>
  <si>
    <t>020.Receive Payments</t>
  </si>
  <si>
    <t>Location Group ID :</t>
  </si>
  <si>
    <t>Location  ID :</t>
  </si>
  <si>
    <t>ks_system</t>
  </si>
  <si>
    <t>src</t>
  </si>
  <si>
    <t>ហឿត ចន្ត្រា</t>
  </si>
  <si>
    <t>អ្នកដឹក</t>
  </si>
  <si>
    <t>ប៉ុន ស្រីអូន</t>
  </si>
  <si>
    <t>KSE001</t>
  </si>
  <si>
    <t>KSE002</t>
  </si>
  <si>
    <t>KSE003</t>
  </si>
  <si>
    <t>បញ្ជីឈ្មោះបុគ្គលិក</t>
  </si>
  <si>
    <t>HOEURT CHANTRA</t>
  </si>
  <si>
    <t>PON SREYOUN</t>
  </si>
  <si>
    <t>@chintra</t>
  </si>
  <si>
    <t>001.ហឿត ចន្ត្រា</t>
  </si>
  <si>
    <t>@Sreyoun_pon</t>
  </si>
  <si>
    <t>002.ប៉ុន ស្រីអូន</t>
  </si>
  <si>
    <t>003.សម ស៊ីផៃ</t>
  </si>
  <si>
    <t>ST00003.ទឹកល្អក់៣ ទួលគោក ភ្នំពេញ</t>
  </si>
  <si>
    <t>Project Folder</t>
  </si>
  <si>
    <t>សុងធ្មេញក្រៅ 21</t>
  </si>
  <si>
    <t>សុងធ្មេញក្នុង 21</t>
  </si>
  <si>
    <t>កែង 21</t>
  </si>
  <si>
    <t>ទីប 21(8.5)</t>
  </si>
  <si>
    <t>ទីប 60(8.5)</t>
  </si>
  <si>
    <t>ទីប 75(8.5)</t>
  </si>
  <si>
    <t>ទីប 80(8.5)</t>
  </si>
  <si>
    <t>ទីប​ 100(8.5)</t>
  </si>
  <si>
    <t>ទីប​ 75(8.5)</t>
  </si>
  <si>
    <t>ទីប 42(8.5)</t>
  </si>
  <si>
    <t>ទីប 27(8.5)</t>
  </si>
  <si>
    <t>ទីប 34(8.5)</t>
  </si>
  <si>
    <t>ទីប 49 (8.5)</t>
  </si>
  <si>
    <t>ទីប 49(13.5)</t>
  </si>
  <si>
    <t>ទីប  60(8.5)</t>
  </si>
  <si>
    <t>ទីប 100(5.0)</t>
  </si>
  <si>
    <t>ទីប 80(5.0)</t>
  </si>
  <si>
    <t>ទីប 75(5.0)</t>
  </si>
  <si>
    <t>ទីប 60(5.0)</t>
  </si>
  <si>
    <t>ទីប 49(5.0)</t>
  </si>
  <si>
    <t>ទីប 42(5.0)</t>
  </si>
  <si>
    <t>ទីប 34(5.0)</t>
  </si>
  <si>
    <t>កែង 100</t>
  </si>
  <si>
    <t>ដឺមី 100</t>
  </si>
  <si>
    <t>សុង 100</t>
  </si>
  <si>
    <t>តេ 100</t>
  </si>
  <si>
    <t>កែង 80</t>
  </si>
  <si>
    <t>ដឺមី 80</t>
  </si>
  <si>
    <t>សុង 80</t>
  </si>
  <si>
    <t>តេ 80</t>
  </si>
  <si>
    <t>កែង 60</t>
  </si>
  <si>
    <t>ដឺមី 60</t>
  </si>
  <si>
    <t>សុង 60</t>
  </si>
  <si>
    <t>តេ 60</t>
  </si>
  <si>
    <t>កែង 49</t>
  </si>
  <si>
    <t>ដឺមី 49</t>
  </si>
  <si>
    <t>សុង 49</t>
  </si>
  <si>
    <t>តេ 49</t>
  </si>
  <si>
    <t>កែង 34</t>
  </si>
  <si>
    <t>តេ 80*60</t>
  </si>
  <si>
    <t>តេ 60*49</t>
  </si>
  <si>
    <t>ដំណរ 80*60</t>
  </si>
  <si>
    <t>ដំណរ 100*80</t>
  </si>
  <si>
    <t>ដំណរ 60*49</t>
  </si>
  <si>
    <t>តេអ៊ីការិច 100</t>
  </si>
  <si>
    <t>តេអ៊ីការិច 80</t>
  </si>
  <si>
    <t>តេអ៊ីការិច 60</t>
  </si>
  <si>
    <t>តេអ៊ីការិច 100*80</t>
  </si>
  <si>
    <t>តេអ៊ីការិច 100*60</t>
  </si>
  <si>
    <t>តេអ៊ីការិច 80*60</t>
  </si>
  <si>
    <t>តេអ៊ីការិច 80*49</t>
  </si>
  <si>
    <t>គំរប 100</t>
  </si>
  <si>
    <t>គំរប 80</t>
  </si>
  <si>
    <t>គំរប 49</t>
  </si>
  <si>
    <t>សុងធ្មេញក្រៅ 60</t>
  </si>
  <si>
    <t>សុងធ្មេញក្រៅ 49</t>
  </si>
  <si>
    <t>សុងធ្មេញក្រៅ 34</t>
  </si>
  <si>
    <t>សុងធ្មេញក្រៅ 27</t>
  </si>
  <si>
    <t>សុងធ្មេញក្នុង 80</t>
  </si>
  <si>
    <t>សុងធ្មេញក្នុង 34</t>
  </si>
  <si>
    <t>សុងធ្មេញក្នុង 27</t>
  </si>
  <si>
    <t>ទីប 21(5.0)</t>
  </si>
  <si>
    <t>ទីប 27(5.0)</t>
  </si>
  <si>
    <t>Number</t>
  </si>
  <si>
    <t>Account type</t>
  </si>
  <si>
    <t>Tax</t>
  </si>
  <si>
    <t>QuickBooks balance</t>
  </si>
  <si>
    <t>Bank balance</t>
  </si>
  <si>
    <t>Cash in Bank</t>
  </si>
  <si>
    <t>Cash and cash equivalents</t>
  </si>
  <si>
    <t>USD</t>
  </si>
  <si>
    <t>ABA Saving Account</t>
  </si>
  <si>
    <t>Cash on Hand</t>
  </si>
  <si>
    <t>Cash in hand</t>
  </si>
  <si>
    <t>Petty cash (float $500)</t>
  </si>
  <si>
    <t>Trade receivable</t>
  </si>
  <si>
    <t>Accounts receivable (A/R)</t>
  </si>
  <si>
    <t>Trade receivable-products</t>
  </si>
  <si>
    <t>Trade receivable-goods</t>
  </si>
  <si>
    <t>Other trade receivable</t>
  </si>
  <si>
    <t>Cash capital receivable</t>
  </si>
  <si>
    <t>Current assets</t>
  </si>
  <si>
    <t>Prepaid expense</t>
  </si>
  <si>
    <t>Prepaid rental</t>
  </si>
  <si>
    <t>Prepaid internet</t>
  </si>
  <si>
    <t>Prepaid advertising</t>
  </si>
  <si>
    <t>Prepaid to supplier</t>
  </si>
  <si>
    <t>Other prepaid expense</t>
  </si>
  <si>
    <t>Inventories</t>
  </si>
  <si>
    <t>Stock of goods</t>
  </si>
  <si>
    <t>Stock of supplies</t>
  </si>
  <si>
    <t>Other Inventory assets</t>
  </si>
  <si>
    <t>Undeposited Funds</t>
  </si>
  <si>
    <t>Prepayment on profit tax credit</t>
  </si>
  <si>
    <t>Monthly Prepayment on TOI</t>
  </si>
  <si>
    <t>Value added tax credit</t>
  </si>
  <si>
    <t>VAT input</t>
  </si>
  <si>
    <t>VAT credit carry forward</t>
  </si>
  <si>
    <t>Withholding credit</t>
  </si>
  <si>
    <t>Other tax credit charged</t>
  </si>
  <si>
    <t>Supplies store</t>
  </si>
  <si>
    <t>Office supplies &amp; stationaries</t>
  </si>
  <si>
    <t>Refundable deposits</t>
  </si>
  <si>
    <t>Rental building guarantee</t>
  </si>
  <si>
    <t>Other guarantee deposit</t>
  </si>
  <si>
    <t>Requisiton of advance</t>
  </si>
  <si>
    <t>Receiption &amp; celebration advance</t>
  </si>
  <si>
    <t>Mission, travel &amp; accom advan</t>
  </si>
  <si>
    <t>Advance for Customs Clearance</t>
  </si>
  <si>
    <t>Advance and loan to employees</t>
  </si>
  <si>
    <t>Other current asset owned</t>
  </si>
  <si>
    <t>Other current asset</t>
  </si>
  <si>
    <t>Loan and Notes receivable</t>
  </si>
  <si>
    <t>Loans to Shareholders</t>
  </si>
  <si>
    <t>Other notes receivable</t>
  </si>
  <si>
    <t>Allowance for doubtful account</t>
  </si>
  <si>
    <t>Gain(loss) on currency tran ass</t>
  </si>
  <si>
    <t>Gain on currency tran. Asset</t>
  </si>
  <si>
    <t>Loss on currency tran. Asset</t>
  </si>
  <si>
    <t>TOI credit carry forward</t>
  </si>
  <si>
    <t>13999*</t>
  </si>
  <si>
    <t>Uncategorised Asset</t>
  </si>
  <si>
    <t>Freehold land</t>
  </si>
  <si>
    <t>Building improvement on leasehold Land</t>
  </si>
  <si>
    <t>Furniture and fixtures</t>
  </si>
  <si>
    <t>Cost of office furniture</t>
  </si>
  <si>
    <t>Acc. depre.of office furniture</t>
  </si>
  <si>
    <t>Motor vehicle</t>
  </si>
  <si>
    <t>Cost of motor vehicle</t>
  </si>
  <si>
    <t>Acc.depre.of motor vehicle</t>
  </si>
  <si>
    <t>Computer &amp; computer equipment</t>
  </si>
  <si>
    <t>Cost of computer</t>
  </si>
  <si>
    <t>Acc.depre. of computer</t>
  </si>
  <si>
    <t>Electronic equipment</t>
  </si>
  <si>
    <t>Cost of electronic equipment</t>
  </si>
  <si>
    <t>Acc.depre.of electronic equipmen</t>
  </si>
  <si>
    <t>Cooler equipment</t>
  </si>
  <si>
    <t>Cost of cooler equipment</t>
  </si>
  <si>
    <t>Acc.depre.of cooler equipment</t>
  </si>
  <si>
    <t>Non-current asset in progress</t>
  </si>
  <si>
    <t>Other PP&amp;E ( Other fixed assets)</t>
  </si>
  <si>
    <t>Property, plant and equipment</t>
  </si>
  <si>
    <t>Preliminary and formation expense</t>
  </si>
  <si>
    <t>Non-current assets</t>
  </si>
  <si>
    <t>Organization cost</t>
  </si>
  <si>
    <t>Accu. Amortization of org. cost</t>
  </si>
  <si>
    <t>Goodwill</t>
  </si>
  <si>
    <t>Copyright</t>
  </si>
  <si>
    <t>Other intangible properties</t>
  </si>
  <si>
    <t>Other non-current assets</t>
  </si>
  <si>
    <t>Deferred tax assets</t>
  </si>
  <si>
    <t>Trade Payable (A/P)</t>
  </si>
  <si>
    <t>Accounts payable (A/P)</t>
  </si>
  <si>
    <t>Accounts Payable (A/P) - KHR</t>
  </si>
  <si>
    <t>KHR</t>
  </si>
  <si>
    <t>Other trade payable</t>
  </si>
  <si>
    <t>Payroll Clearing</t>
  </si>
  <si>
    <t>Current liabilities</t>
  </si>
  <si>
    <t>Salary payable</t>
  </si>
  <si>
    <t>Wage payable</t>
  </si>
  <si>
    <t>Bonus payable</t>
  </si>
  <si>
    <t>Incentive Payable</t>
  </si>
  <si>
    <t>Overtime Payable</t>
  </si>
  <si>
    <t>Unearned revenue</t>
  </si>
  <si>
    <t>Unearned tuition fees</t>
  </si>
  <si>
    <t>Customer deposits</t>
  </si>
  <si>
    <t>Deposit on rental</t>
  </si>
  <si>
    <t>Other unearned revenues</t>
  </si>
  <si>
    <t>Tax on Income (TOI) payable</t>
  </si>
  <si>
    <t>TOI payable</t>
  </si>
  <si>
    <t>Minimuim tax Payable</t>
  </si>
  <si>
    <t>Monthly Tax Liabilities</t>
  </si>
  <si>
    <t>Sale tax payable</t>
  </si>
  <si>
    <t>VAT Payable</t>
  </si>
  <si>
    <t>VAT Reverse Charge payable</t>
  </si>
  <si>
    <t>Withholding Tax (WHT)</t>
  </si>
  <si>
    <t>WHT on property rental</t>
  </si>
  <si>
    <t>WHT on interest</t>
  </si>
  <si>
    <t>WHT on services</t>
  </si>
  <si>
    <t>WHT for non-resident</t>
  </si>
  <si>
    <t>Other WHT</t>
  </si>
  <si>
    <t>Prepayment on TOI payable</t>
  </si>
  <si>
    <t>Tax on Salary (TOS) payable</t>
  </si>
  <si>
    <t>TOS payable</t>
  </si>
  <si>
    <t>FBT payable</t>
  </si>
  <si>
    <t>Other monthly tax payable</t>
  </si>
  <si>
    <t>Short-term Notes payable</t>
  </si>
  <si>
    <t>Loan from shareholder</t>
  </si>
  <si>
    <t>A/P to related parties</t>
  </si>
  <si>
    <t>AP to shareholder</t>
  </si>
  <si>
    <t>Dividends payable</t>
  </si>
  <si>
    <t>Other current liabilities</t>
  </si>
  <si>
    <t>VAT Suspense</t>
  </si>
  <si>
    <t>Loan from related parties</t>
  </si>
  <si>
    <t>Non-current liabilities</t>
  </si>
  <si>
    <t>Long-term loan</t>
  </si>
  <si>
    <t>Long-term borrowing</t>
  </si>
  <si>
    <t>Other long-term loan</t>
  </si>
  <si>
    <t>LT Provision for charge &amp; contingency</t>
  </si>
  <si>
    <t>Long-term provision for staff</t>
  </si>
  <si>
    <t>Deferred Tax Liability</t>
  </si>
  <si>
    <t>Other non-current liability</t>
  </si>
  <si>
    <t>Opening Balance Equity</t>
  </si>
  <si>
    <t>Owner's equity</t>
  </si>
  <si>
    <t>Share capital</t>
  </si>
  <si>
    <t>Legal reserve requirement</t>
  </si>
  <si>
    <t>Reserve at regulatary body</t>
  </si>
  <si>
    <t>Gain on revaluation of assets</t>
  </si>
  <si>
    <t>Other reserve requirement</t>
  </si>
  <si>
    <t>Other capital reserve</t>
  </si>
  <si>
    <t>Shareholder's Dividend</t>
  </si>
  <si>
    <t>Retained Earnings</t>
  </si>
  <si>
    <t>Sale of goods</t>
  </si>
  <si>
    <t>Sale of goods-Wholesales</t>
  </si>
  <si>
    <t>Sale of goods-retail</t>
  </si>
  <si>
    <t>Return outward</t>
  </si>
  <si>
    <t>Othern Revenue - General</t>
  </si>
  <si>
    <t>Gain on disposal PP&amp;E</t>
  </si>
  <si>
    <t>Gain on building&amp;building structure</t>
  </si>
  <si>
    <t>Gain on manchinery and truck</t>
  </si>
  <si>
    <t>Gain on computer&amp;electronic equipment</t>
  </si>
  <si>
    <t>Gain on vehicle,funiture&amp;fuxture</t>
  </si>
  <si>
    <t>Gain on other fixed assets</t>
  </si>
  <si>
    <t>Gain on disposal intangible asset</t>
  </si>
  <si>
    <t>Gain on disposal of securities</t>
  </si>
  <si>
    <t>Share of profit from joint vent</t>
  </si>
  <si>
    <t>Billable Expense Income</t>
  </si>
  <si>
    <t>Sales of Product Income</t>
  </si>
  <si>
    <t>Shipping Income</t>
  </si>
  <si>
    <t>Unapplied Cash Payment Income</t>
  </si>
  <si>
    <t>Uncategorised Income</t>
  </si>
  <si>
    <t>Cost of goods sold</t>
  </si>
  <si>
    <t>Cost of sales</t>
  </si>
  <si>
    <t>COGS-deductible</t>
  </si>
  <si>
    <t>Cost of Import taxes</t>
  </si>
  <si>
    <t>Freight and delivery - COS</t>
  </si>
  <si>
    <t>Cost of customs clearance process</t>
  </si>
  <si>
    <t>Other - COS</t>
  </si>
  <si>
    <t>COGS-non deductible</t>
  </si>
  <si>
    <t>Cost of Services</t>
  </si>
  <si>
    <t>COSs non-deducible</t>
  </si>
  <si>
    <t>COSs-deductible</t>
  </si>
  <si>
    <t>Inventory Shrinkage</t>
  </si>
  <si>
    <t>Advertising and Promotion exp</t>
  </si>
  <si>
    <t>Radio advertising</t>
  </si>
  <si>
    <t>TV advertising</t>
  </si>
  <si>
    <t>Newspaper &amp; magazine adver</t>
  </si>
  <si>
    <t>Banner &amp; leaflet printing</t>
  </si>
  <si>
    <t>Field advertising</t>
  </si>
  <si>
    <t>Advertising spot</t>
  </si>
  <si>
    <t>Commission expense</t>
  </si>
  <si>
    <t>Internet Advertisement</t>
  </si>
  <si>
    <t>Exhibition advertising expense</t>
  </si>
  <si>
    <t>Domain &amp; hosting registration</t>
  </si>
  <si>
    <t>Other advertising expense</t>
  </si>
  <si>
    <t>Advertisting-unrecognized</t>
  </si>
  <si>
    <t>Payroll Expenses</t>
  </si>
  <si>
    <t>Salary Expense</t>
  </si>
  <si>
    <t>Wages expense</t>
  </si>
  <si>
    <t>Overtime expense</t>
  </si>
  <si>
    <t>Gasoline incentive expense</t>
  </si>
  <si>
    <t>Phone incentive expense</t>
  </si>
  <si>
    <t>Performance incentive expense</t>
  </si>
  <si>
    <t>Bonus expense</t>
  </si>
  <si>
    <t>Staff's fringe benefit expense</t>
  </si>
  <si>
    <t>Staff's FB exp. recognize</t>
  </si>
  <si>
    <t>Staff's FB exp. unrecognize</t>
  </si>
  <si>
    <t>Utilities expense</t>
  </si>
  <si>
    <t>Water expense</t>
  </si>
  <si>
    <t>Electricity expense</t>
  </si>
  <si>
    <t>Mr. A's Capital</t>
  </si>
  <si>
    <t>Mr. A's Dividend</t>
  </si>
  <si>
    <t>Price</t>
  </si>
  <si>
    <t>ប្រព័ន្ធគ្រប់គ្រង សន្និធិ ទិញ លក់ និងគណនេយ្យ</t>
  </si>
  <si>
    <t>កែង 27</t>
  </si>
  <si>
    <t>ដឺមី 27</t>
  </si>
  <si>
    <t>សុង 27</t>
  </si>
  <si>
    <t>តេ 27</t>
  </si>
  <si>
    <t>ដឺមី 34</t>
  </si>
  <si>
    <t>សុង 34</t>
  </si>
  <si>
    <t>តេ 34</t>
  </si>
  <si>
    <t>kham</t>
  </si>
  <si>
    <t>1បេ/20គីឡូ</t>
  </si>
  <si>
    <t>1Be/20kg</t>
  </si>
  <si>
    <t>Be/20kg</t>
  </si>
  <si>
    <t>1បេ/50ដុំ</t>
  </si>
  <si>
    <t>1Be/50pcs</t>
  </si>
  <si>
    <t>Be/50pcs</t>
  </si>
  <si>
    <t>1កំប៉ុង/1លីត្រ</t>
  </si>
  <si>
    <t>1Can/1L</t>
  </si>
  <si>
    <t>Can/1L</t>
  </si>
  <si>
    <t>1កំប៉ុង/5លីត្រ</t>
  </si>
  <si>
    <t>1Can/5L</t>
  </si>
  <si>
    <t>Can/5L</t>
  </si>
  <si>
    <t>1កេស/30ដុំ</t>
  </si>
  <si>
    <t>1Case/30pcs</t>
  </si>
  <si>
    <t>Case/30pcs</t>
  </si>
  <si>
    <t>1កេស/6ដុំ</t>
  </si>
  <si>
    <t>1Case/6pcs</t>
  </si>
  <si>
    <t>Case/6pcs</t>
  </si>
  <si>
    <t>1កេស/80ដុំ</t>
  </si>
  <si>
    <t>1Case/80pcs</t>
  </si>
  <si>
    <t>Case/80pcs</t>
  </si>
  <si>
    <t>1កេស/8ដុំ</t>
  </si>
  <si>
    <t>1Case/8pcs</t>
  </si>
  <si>
    <t>Case/8pcs</t>
  </si>
  <si>
    <t>1របុំ/100ម</t>
  </si>
  <si>
    <t>1Coil/100m</t>
  </si>
  <si>
    <t>Coil/100m</t>
  </si>
  <si>
    <t>1របុំ/30ម</t>
  </si>
  <si>
    <t>1Coil/30m</t>
  </si>
  <si>
    <t>Coil/30m</t>
  </si>
  <si>
    <t>1របុំ/80ម</t>
  </si>
  <si>
    <t>1Coil/80m</t>
  </si>
  <si>
    <t>Coil/80m</t>
  </si>
  <si>
    <t>1កាតុង/100ដុំ</t>
  </si>
  <si>
    <t>1Ctn/100pcs</t>
  </si>
  <si>
    <t>Ctn/100pcs</t>
  </si>
  <si>
    <t>1កាតុង/10ដុំ</t>
  </si>
  <si>
    <t>1Ctn/10pcs</t>
  </si>
  <si>
    <t>Ctn/10pcs</t>
  </si>
  <si>
    <t>1កញ្ចប់/1គីឡូ</t>
  </si>
  <si>
    <t>1Pack/1kg</t>
  </si>
  <si>
    <t>Pack/1kg</t>
  </si>
  <si>
    <t>1ឯកតា6ម</t>
  </si>
  <si>
    <t>1Unit/6m</t>
  </si>
  <si>
    <t>Unit/6m</t>
  </si>
  <si>
    <t>ខ្នាតខ្មែរ</t>
  </si>
  <si>
    <t>070.Unit/6m</t>
  </si>
  <si>
    <t>អិល​ ភី</t>
  </si>
  <si>
    <t>L P</t>
  </si>
  <si>
    <t>​ហេង ចំរើន</t>
  </si>
  <si>
    <t>K.S.H  Group</t>
  </si>
  <si>
    <t>SINH</t>
  </si>
  <si>
    <t>ស៊ីង</t>
  </si>
  <si>
    <t>TOB</t>
  </si>
  <si>
    <t>THC</t>
  </si>
  <si>
    <t>កាវ AB</t>
  </si>
  <si>
    <t>កូនប្រយោល</t>
  </si>
  <si>
    <t>ក្តាទ្រ</t>
  </si>
  <si>
    <t>ក្បាលខាត់</t>
  </si>
  <si>
    <t>ក្បាលសំណរ</t>
  </si>
  <si>
    <t>គន្លិះទ្វារ SES</t>
  </si>
  <si>
    <t>ដាមគៀ 1.8m</t>
  </si>
  <si>
    <t>ដុំផ្សារសំណរ</t>
  </si>
  <si>
    <t>តាកេ 6L ជ័រ</t>
  </si>
  <si>
    <t>តាកេដែក 10L</t>
  </si>
  <si>
    <t>តាកេដែក 6L</t>
  </si>
  <si>
    <t>ត្រចៀកទ្វាមេអំបៅ</t>
  </si>
  <si>
    <t>ត្រចៀកទ្វារ លេខ1</t>
  </si>
  <si>
    <t>ត្រចៀកទ្វារ លេខ2</t>
  </si>
  <si>
    <t>ត្រចៀកទ្វារ លេខ3</t>
  </si>
  <si>
    <t>ទុយោថ្លឹងទឹក</t>
  </si>
  <si>
    <t>ធុងកំបោរ</t>
  </si>
  <si>
    <t>ធូកផ្សាដែក</t>
  </si>
  <si>
    <t>ប៉ុងវី</t>
  </si>
  <si>
    <t>ផ្លែកាត់ការ៉ូ ល្អ</t>
  </si>
  <si>
    <t>ផ្លែកាត់ដែក 1T</t>
  </si>
  <si>
    <t>ផ្លែកាត់ធំ</t>
  </si>
  <si>
    <t>ផ្លែកាត់បេតុង 1.5T</t>
  </si>
  <si>
    <t>ម៉ែត្រ 5m ល្អ</t>
  </si>
  <si>
    <t>វីសខ្មៅ​ 2.5H</t>
  </si>
  <si>
    <t>វីសបាញ់ដែក 2H</t>
  </si>
  <si>
    <t>វីសបាញ់ដែក 3H</t>
  </si>
  <si>
    <t>វីសបាញ់ដែក 5H</t>
  </si>
  <si>
    <t>សោខ្មៅ</t>
  </si>
  <si>
    <t>ស្កុតខ្មៅ</t>
  </si>
  <si>
    <t>ស្កុតខ្មៅតូច</t>
  </si>
  <si>
    <t>ស្កុតពិដាន</t>
  </si>
  <si>
    <t>ស្លាបព្រាស៊ីម៉ង់</t>
  </si>
  <si>
    <t>ដែកជ្រុង 20*20 1.2L</t>
  </si>
  <si>
    <t>ដែកជ្រុង 75*75 1.2L</t>
  </si>
  <si>
    <t>ដែកជ្រុង 75*75 1.5L</t>
  </si>
  <si>
    <t>ដែកទីប 49</t>
  </si>
  <si>
    <t>ដែកទីប​ 21</t>
  </si>
  <si>
    <t>ដែករនាប 2H</t>
  </si>
  <si>
    <t>ដែកសរសៃ 10l 390</t>
  </si>
  <si>
    <t>លួសចំណង</t>
  </si>
  <si>
    <t>លួសសំណាញ់ 2m</t>
  </si>
  <si>
    <t>កាវបិតទីប</t>
  </si>
  <si>
    <t>កាវបិតទីប ដបធំ</t>
  </si>
  <si>
    <t>កែង 49 ខ្លី</t>
  </si>
  <si>
    <t>កែង 60 ក្រាស់</t>
  </si>
  <si>
    <t>កែង 60 ខ្លី</t>
  </si>
  <si>
    <t>តេ 21</t>
  </si>
  <si>
    <t>តេ 21 ធ្មេញក្រៅ</t>
  </si>
  <si>
    <t>ទីប 21 (13.5)</t>
  </si>
  <si>
    <t>ទីប 21 (8.5)</t>
  </si>
  <si>
    <t>ទីប 27 (8.5)</t>
  </si>
  <si>
    <t>រ៉ាក់គ័រ 34</t>
  </si>
  <si>
    <t>វ៉ាន 21</t>
  </si>
  <si>
    <t>វ៉ាន 27</t>
  </si>
  <si>
    <t>វ៉ាន 34</t>
  </si>
  <si>
    <t>វ៉ាន 49</t>
  </si>
  <si>
    <t>ស៊ីហ្វុង 49</t>
  </si>
  <si>
    <t>សុង 27-21</t>
  </si>
  <si>
    <t>សុង 34-21</t>
  </si>
  <si>
    <t>សុង 34-27</t>
  </si>
  <si>
    <t>សុង 34-49</t>
  </si>
  <si>
    <t>សុង 49-21</t>
  </si>
  <si>
    <t>សុង 60 ខ្លី</t>
  </si>
  <si>
    <t>សុង 60-49</t>
  </si>
  <si>
    <t>សុង​​ 21</t>
  </si>
  <si>
    <t>ស្កុតទឹក</t>
  </si>
  <si>
    <t>កុងតាក់</t>
  </si>
  <si>
    <t>កុងតាក់+បូកជើង</t>
  </si>
  <si>
    <t>កុងតាក់ចុច​1+ព្រី</t>
  </si>
  <si>
    <t>កុងតាក់ចុច1</t>
  </si>
  <si>
    <t>ខ្សែភ្លើង 2*1</t>
  </si>
  <si>
    <t>ខ្សែភ្លើង 2*1.5</t>
  </si>
  <si>
    <t>ជើងអំពូលមានខ្សែរ</t>
  </si>
  <si>
    <t>ឌុយញី</t>
  </si>
  <si>
    <t>ឌុយភ្លើង</t>
  </si>
  <si>
    <t>ឌុយភ្លើងល្អ</t>
  </si>
  <si>
    <t>ប្រអប់ខ្សែភ្លើង 2</t>
  </si>
  <si>
    <t>ប្រអប់ខ្សែភ្លើង 3</t>
  </si>
  <si>
    <t>អំពូល 30W</t>
  </si>
  <si>
    <t>អំពូល 30W ល្អ</t>
  </si>
  <si>
    <t>អំពូលពិដាន</t>
  </si>
  <si>
    <t>អំពូលភ្លើង 18W</t>
  </si>
  <si>
    <t>ក្រចាប់ 21</t>
  </si>
  <si>
    <t>ក្រចាប់ 34</t>
  </si>
  <si>
    <t>ក្រចាប់ 60</t>
  </si>
  <si>
    <t>កាយ៉េ 12x12</t>
  </si>
  <si>
    <t>ការ៉ូ 30x30</t>
  </si>
  <si>
    <t>ការ៉ូ 30x60</t>
  </si>
  <si>
    <t>ការ៉ូ 60x60</t>
  </si>
  <si>
    <t>កាវបាញ់ស័​ង្គសី​ (ស)</t>
  </si>
  <si>
    <t>កាវបាញ់ស័ង្កសី (ខ្មៅ)</t>
  </si>
  <si>
    <t>ខ្សាច់ស</t>
  </si>
  <si>
    <t>ថ្មតូច</t>
  </si>
  <si>
    <t>ថ្មធំ</t>
  </si>
  <si>
    <t>បង្គោលធំ 2.5m</t>
  </si>
  <si>
    <t>សន្លឹកពិដាន</t>
  </si>
  <si>
    <t>ស៊ីម៉ង់កាវ</t>
  </si>
  <si>
    <t>ស្មាតបត 4l</t>
  </si>
  <si>
    <t>ស្មាតបត 6l</t>
  </si>
  <si>
    <t>ស័ង្កសី 2m</t>
  </si>
  <si>
    <t>ស័ង្កសី 3.6m</t>
  </si>
  <si>
    <t xml:space="preserve">ស័ង្កសីលាត </t>
  </si>
  <si>
    <t>ឥដ្ឋកន្សែង</t>
  </si>
  <si>
    <t>ឥដ្ឋប្រហោង</t>
  </si>
  <si>
    <t>ឥដ្ឋមាត់ចាប</t>
  </si>
  <si>
    <t>ជ័របៀករ៉ង</t>
  </si>
  <si>
    <t xml:space="preserve">ថ្នាំទឹកប្រាក់ </t>
  </si>
  <si>
    <t xml:space="preserve">ថ្នាំទឹកមាស </t>
  </si>
  <si>
    <t>ថ្នាំទ្រនាប់ 5L</t>
  </si>
  <si>
    <t>ថ្នាំពណ៌ U-90 3941 5L</t>
  </si>
  <si>
    <t xml:space="preserve">ថ្នាំពណ៌ U-90 Extrashield 5L </t>
  </si>
  <si>
    <t>ថ្នាំលាប U-90 Classic ពណ៍ស 5kg</t>
  </si>
  <si>
    <t>ថ្នាំលាប U-90 Super Acrylic 5L</t>
  </si>
  <si>
    <t>ម៉្សៅបិតជ្រី</t>
  </si>
  <si>
    <t>ម្សៅបៀកជញ្ជាំង​ វិមានស</t>
  </si>
  <si>
    <t>ម្សៅបៀករ៉ង (ប្រផេះ)</t>
  </si>
  <si>
    <t>ម្សៅបៀករ៉ង (ស)</t>
  </si>
  <si>
    <t>ម្សៅរ៉ង</t>
  </si>
  <si>
    <t>ស្ព្រាយបាញ់ (Spray Paint)</t>
  </si>
  <si>
    <t>កង្ហារទឹក</t>
  </si>
  <si>
    <t>កន្ត្រៃ</t>
  </si>
  <si>
    <t>កែវពន្លឺ</t>
  </si>
  <si>
    <t>ថ្នើដាក់សាប៊ូ</t>
  </si>
  <si>
    <t>ទឹកបាញ់កញ្ចក់</t>
  </si>
  <si>
    <t>ទ្វាបន្ទប់ទឹក ធម្មតា</t>
  </si>
  <si>
    <t>ទ្វាបន្ទប់ទឹក​ ល្អ</t>
  </si>
  <si>
    <t>ព្រំ ត្រឡោក</t>
  </si>
  <si>
    <t>ម៉ូទ័រអូតូ</t>
  </si>
  <si>
    <t>សោចាក់</t>
  </si>
  <si>
    <t>ស្កុតក្រដាស</t>
  </si>
  <si>
    <t>ស្បៃខៀវ</t>
  </si>
  <si>
    <t>ហ្វឺតតូច</t>
  </si>
  <si>
    <t>069.Pack/1kg</t>
  </si>
  <si>
    <t>008.Pair</t>
  </si>
  <si>
    <t>065.Coil/30m</t>
  </si>
  <si>
    <t>057.Be/50pcs</t>
  </si>
  <si>
    <t>062.Case/80pcs</t>
  </si>
  <si>
    <t>060.Case/30pcs</t>
  </si>
  <si>
    <t>068.Ctn/10pcs</t>
  </si>
  <si>
    <t>012.kg</t>
  </si>
  <si>
    <t>066.Coil/80m</t>
  </si>
  <si>
    <t>063.Case/8pcs</t>
  </si>
  <si>
    <t>020.m3</t>
  </si>
  <si>
    <t>056.Be/20kg</t>
  </si>
  <si>
    <t>061.Case/6pcs</t>
  </si>
  <si>
    <t>067.Ctn/100pcs</t>
  </si>
  <si>
    <t>058.Can/1L</t>
  </si>
  <si>
    <t>059.Can/5L</t>
  </si>
  <si>
    <t>064.Coil/100m</t>
  </si>
  <si>
    <t>002.គ្រឿងដែក</t>
  </si>
  <si>
    <t>003.គ្រឿងទឹក</t>
  </si>
  <si>
    <t>004.គ្រឿងភ្លើង</t>
  </si>
  <si>
    <t>005.គ្រឿងទឹក</t>
  </si>
  <si>
    <t>005.គ្រឿងសំណង់</t>
  </si>
  <si>
    <t>007.គ្រឿងបរិក្ខាផ្សេងៗ</t>
  </si>
  <si>
    <t>009.SINH</t>
  </si>
  <si>
    <t>010.TOB</t>
  </si>
  <si>
    <t>011.THC</t>
  </si>
  <si>
    <t>008.K.S.H  Group</t>
  </si>
  <si>
    <t>006.L P</t>
  </si>
  <si>
    <t xml:space="preserve">001.General </t>
  </si>
  <si>
    <t>007.U-90</t>
  </si>
  <si>
    <t>1pcs</t>
  </si>
  <si>
    <t>1Pair</t>
  </si>
  <si>
    <t>1m3</t>
  </si>
  <si>
    <t>120cm*240cm</t>
  </si>
  <si>
    <t>DKS0201</t>
  </si>
  <si>
    <t>DKS0202</t>
  </si>
  <si>
    <t>DKS0203</t>
  </si>
  <si>
    <t>DKS0204</t>
  </si>
  <si>
    <t>DKS0205</t>
  </si>
  <si>
    <t>DKS0206</t>
  </si>
  <si>
    <t>DKS0207</t>
  </si>
  <si>
    <t>DKS0208</t>
  </si>
  <si>
    <t>DKS0209</t>
  </si>
  <si>
    <t>DKS0210</t>
  </si>
  <si>
    <t>DKS0211</t>
  </si>
  <si>
    <t>DKS0212</t>
  </si>
  <si>
    <t>DKS0213</t>
  </si>
  <si>
    <t>DKS0214</t>
  </si>
  <si>
    <t>DKS0215</t>
  </si>
  <si>
    <t>DKS0216</t>
  </si>
  <si>
    <t>DKS0217</t>
  </si>
  <si>
    <t>DKS0218</t>
  </si>
  <si>
    <t>DKS0219</t>
  </si>
  <si>
    <t>DKS0220</t>
  </si>
  <si>
    <t>DKS0221</t>
  </si>
  <si>
    <t>DKS0222</t>
  </si>
  <si>
    <t>DKS0223</t>
  </si>
  <si>
    <t>DKS0224</t>
  </si>
  <si>
    <t>DKS0225</t>
  </si>
  <si>
    <t>DKS0226</t>
  </si>
  <si>
    <t>DKS0227</t>
  </si>
  <si>
    <t>DKS0228</t>
  </si>
  <si>
    <t>DKS0229</t>
  </si>
  <si>
    <t>DKS0230</t>
  </si>
  <si>
    <t>DKS0231</t>
  </si>
  <si>
    <t>DKS0232</t>
  </si>
  <si>
    <t>DKS0233</t>
  </si>
  <si>
    <t>DKS0234</t>
  </si>
  <si>
    <t>DKS0235</t>
  </si>
  <si>
    <t>DKS0236</t>
  </si>
  <si>
    <t>DKS0237</t>
  </si>
  <si>
    <t>DKS0238</t>
  </si>
  <si>
    <t>DKS0239</t>
  </si>
  <si>
    <t>DKS0240</t>
  </si>
  <si>
    <t>DKS0241</t>
  </si>
  <si>
    <t>DKS0242</t>
  </si>
  <si>
    <t>DKS0243</t>
  </si>
  <si>
    <t>DKS0244</t>
  </si>
  <si>
    <t>DKS0245</t>
  </si>
  <si>
    <t>DKS0246</t>
  </si>
  <si>
    <t>DKS0247</t>
  </si>
  <si>
    <t>DKS0248</t>
  </si>
  <si>
    <t>DKS0249</t>
  </si>
  <si>
    <t>DKS0250</t>
  </si>
  <si>
    <t>DKS0251</t>
  </si>
  <si>
    <t>DKS0252</t>
  </si>
  <si>
    <t>DKS0253</t>
  </si>
  <si>
    <t>DKS0254</t>
  </si>
  <si>
    <t>DKS0255</t>
  </si>
  <si>
    <t>DKS0256</t>
  </si>
  <si>
    <t>DKS0257</t>
  </si>
  <si>
    <t>DKS0258</t>
  </si>
  <si>
    <t>DKS0259</t>
  </si>
  <si>
    <t>DKS0260</t>
  </si>
  <si>
    <t>DKS0261</t>
  </si>
  <si>
    <t>DKS0262</t>
  </si>
  <si>
    <t>DKS0263</t>
  </si>
  <si>
    <t>DKS0264</t>
  </si>
  <si>
    <t>DKS0265</t>
  </si>
  <si>
    <t>DKS0266</t>
  </si>
  <si>
    <t>DKS0267</t>
  </si>
  <si>
    <t>DKS0268</t>
  </si>
  <si>
    <t>DKS0269</t>
  </si>
  <si>
    <t>DKS0270</t>
  </si>
  <si>
    <t>DKS0271</t>
  </si>
  <si>
    <t>DKS0272</t>
  </si>
  <si>
    <t>DKS0273</t>
  </si>
  <si>
    <t>DKS0274</t>
  </si>
  <si>
    <t>DKS0275</t>
  </si>
  <si>
    <t>DKS0276</t>
  </si>
  <si>
    <t>DKS0277</t>
  </si>
  <si>
    <t>DKS0278</t>
  </si>
  <si>
    <t>DKS0279</t>
  </si>
  <si>
    <t>DKS0280</t>
  </si>
  <si>
    <t>DKS0281</t>
  </si>
  <si>
    <t>DKS0282</t>
  </si>
  <si>
    <t>DKS0283</t>
  </si>
  <si>
    <t>DKS0284</t>
  </si>
  <si>
    <t>DKS0285</t>
  </si>
  <si>
    <t>DKS0286</t>
  </si>
  <si>
    <t>DKS0287</t>
  </si>
  <si>
    <t>DKS0288</t>
  </si>
  <si>
    <t>DKS0289</t>
  </si>
  <si>
    <t>DKS0290</t>
  </si>
  <si>
    <t>DKS0291</t>
  </si>
  <si>
    <t>DKS0292</t>
  </si>
  <si>
    <t>DKS0293</t>
  </si>
  <si>
    <t>DKS0294</t>
  </si>
  <si>
    <t>DKS0295</t>
  </si>
  <si>
    <t>DKS0296</t>
  </si>
  <si>
    <t>DKS0297</t>
  </si>
  <si>
    <t>DKS0298</t>
  </si>
  <si>
    <t>DKS0299</t>
  </si>
  <si>
    <t>DKS0300</t>
  </si>
  <si>
    <t>DKS0301</t>
  </si>
  <si>
    <t>DKS0302</t>
  </si>
  <si>
    <t>DKS0303</t>
  </si>
  <si>
    <t>DKS0304</t>
  </si>
  <si>
    <t>DKS0305</t>
  </si>
  <si>
    <t>DKS0306</t>
  </si>
  <si>
    <t>DKS0307</t>
  </si>
  <si>
    <t>DKS0308</t>
  </si>
  <si>
    <t>DKS0309</t>
  </si>
  <si>
    <t>DKS0310</t>
  </si>
  <si>
    <t>DKS0311</t>
  </si>
  <si>
    <t>DKS0312</t>
  </si>
  <si>
    <t>DKS0313</t>
  </si>
  <si>
    <t>DKS0314</t>
  </si>
  <si>
    <t>DKS0315</t>
  </si>
  <si>
    <t>DKS0316</t>
  </si>
  <si>
    <t>DKS0317</t>
  </si>
  <si>
    <t>DKS0318</t>
  </si>
  <si>
    <t>DKS0319</t>
  </si>
  <si>
    <t>DKS0320</t>
  </si>
  <si>
    <t>DKS0321</t>
  </si>
  <si>
    <t>DKS0322</t>
  </si>
  <si>
    <t>DKS0323</t>
  </si>
  <si>
    <t>DKS0324</t>
  </si>
  <si>
    <t>DKS0325</t>
  </si>
  <si>
    <t>DKS0326</t>
  </si>
  <si>
    <t>DKS0327</t>
  </si>
  <si>
    <t>DKS0328</t>
  </si>
  <si>
    <t>DKS0329</t>
  </si>
  <si>
    <t>DKS0330</t>
  </si>
  <si>
    <t>DKS0331</t>
  </si>
  <si>
    <t>DKS0332</t>
  </si>
  <si>
    <t>DKS0333</t>
  </si>
  <si>
    <t>1Unit=2.9m</t>
  </si>
  <si>
    <t>1Coil=50m</t>
  </si>
  <si>
    <t>1Case=150pcs</t>
  </si>
  <si>
    <t>1Box=12pcs</t>
  </si>
  <si>
    <t>1Case=24pcs</t>
  </si>
  <si>
    <t>1Case=288pcs</t>
  </si>
  <si>
    <t>1Case=378pcs</t>
  </si>
  <si>
    <t>1Case=216pcs</t>
  </si>
  <si>
    <t>1Case=270pcs</t>
  </si>
  <si>
    <t>1Case=100pcs</t>
  </si>
  <si>
    <t>1Case=20pcs</t>
  </si>
  <si>
    <t>1Case=180pcs</t>
  </si>
  <si>
    <t>1Ctn=4.5Kg</t>
  </si>
  <si>
    <t>1Case=24Pack</t>
  </si>
  <si>
    <t>1Box=6pcs</t>
  </si>
  <si>
    <t>1Case=25pcs</t>
  </si>
  <si>
    <t>1Case=50pcs</t>
  </si>
  <si>
    <t>1Ctn=6pcs</t>
  </si>
  <si>
    <t>1Lots=12pair</t>
  </si>
  <si>
    <t>1Can=18l</t>
  </si>
  <si>
    <t>1Case=4can</t>
  </si>
  <si>
    <t>1Case=12can</t>
  </si>
  <si>
    <t>1Can=17l</t>
  </si>
  <si>
    <t>1Lots=12pcs</t>
  </si>
  <si>
    <t>1Be=50kg</t>
  </si>
  <si>
    <t>1Unit=12m</t>
  </si>
  <si>
    <t>1Unit=4m</t>
  </si>
  <si>
    <t>1Pack=1kg</t>
  </si>
  <si>
    <t>1Coil=30m</t>
  </si>
  <si>
    <t>1Be=50pcs</t>
  </si>
  <si>
    <t>1Case=80pcs</t>
  </si>
  <si>
    <t>1Case=30pcs</t>
  </si>
  <si>
    <t>1Ctn=10pcs</t>
  </si>
  <si>
    <t>1Unit=6m</t>
  </si>
  <si>
    <t>1Ctn=50kg</t>
  </si>
  <si>
    <t>1Coil=40m</t>
  </si>
  <si>
    <t>1Coil=80m</t>
  </si>
  <si>
    <t>1Unit=3m</t>
  </si>
  <si>
    <t>1Case=12pcs</t>
  </si>
  <si>
    <t>1Case=8pcs</t>
  </si>
  <si>
    <t>1Case=4pcs</t>
  </si>
  <si>
    <t>1Unit=2.5m</t>
  </si>
  <si>
    <t>1Be=20kg</t>
  </si>
  <si>
    <t>1Unit=2m</t>
  </si>
  <si>
    <t>1Unit=3.6 m</t>
  </si>
  <si>
    <t>1Case=6pcs</t>
  </si>
  <si>
    <t>1Ctn=100pcs</t>
  </si>
  <si>
    <t>1Can=1L</t>
  </si>
  <si>
    <t>1Can=5L</t>
  </si>
  <si>
    <t>1Coil=100m</t>
  </si>
  <si>
    <t>1ធុងប៉េត្រូ/18L</t>
  </si>
  <si>
    <t>1Petro</t>
  </si>
  <si>
    <t>Petro</t>
  </si>
  <si>
    <t>1m3=35ធុង(18L)</t>
  </si>
  <si>
    <r>
      <t>1m</t>
    </r>
    <r>
      <rPr>
        <vertAlign val="superscript"/>
        <sz val="12"/>
        <color theme="1"/>
        <rFont val="Khmer OS Battambang"/>
      </rPr>
      <t>3</t>
    </r>
    <r>
      <rPr>
        <sz val="12"/>
        <color theme="1"/>
        <rFont val="Khmer OS Battambang"/>
      </rPr>
      <t>/35petro</t>
    </r>
  </si>
  <si>
    <r>
      <t>m</t>
    </r>
    <r>
      <rPr>
        <vertAlign val="superscript"/>
        <sz val="12"/>
        <color theme="1"/>
        <rFont val="Khmer OS Battambang"/>
      </rPr>
      <t>3</t>
    </r>
    <r>
      <rPr>
        <sz val="12"/>
        <color theme="1"/>
        <rFont val="Khmer OS Battambang"/>
      </rPr>
      <t>/35petro</t>
    </r>
  </si>
  <si>
    <t>1ម៉ែត្រគីប/35ធុងប៉េត្រូ</t>
  </si>
  <si>
    <t>072.m3/35petro</t>
  </si>
  <si>
    <t>m3/35petro</t>
  </si>
  <si>
    <t>m3</t>
  </si>
  <si>
    <t>1kg/10kham</t>
  </si>
  <si>
    <t>kg/10kham</t>
  </si>
  <si>
    <t>1គីឡូ/10ខាំ</t>
  </si>
  <si>
    <t>073.kg/10kham</t>
  </si>
  <si>
    <t>1kg=10kham</t>
  </si>
  <si>
    <t xml:space="preserve">កាយ៉េ 12x12 </t>
  </si>
  <si>
    <t>លក់រាយ ទូទៅ</t>
  </si>
  <si>
    <t xml:space="preserve">ថ្មតូច </t>
  </si>
  <si>
    <t>DKS0334</t>
  </si>
  <si>
    <t>1គីឡូ/10០០ក្រាម</t>
  </si>
  <si>
    <t>1kg/1000g</t>
  </si>
  <si>
    <t>kg/1000g</t>
  </si>
  <si>
    <t>1គីឡូ/40ដុំ</t>
  </si>
  <si>
    <t>1kg/40pcs</t>
  </si>
  <si>
    <t>kg/40pcs</t>
  </si>
  <si>
    <t>075.kg/40pcs</t>
  </si>
  <si>
    <t xml:space="preserve">ខ្សែលីឡុងថ្លា </t>
  </si>
  <si>
    <t>ខ្សែលីឡុងថ្លា 40pcs/kg</t>
  </si>
  <si>
    <t>m/10cm</t>
  </si>
  <si>
    <t xml:space="preserve">ស័ង្កសីលាត  </t>
  </si>
  <si>
    <t>DKS0335</t>
  </si>
  <si>
    <t>ដែកជ្រុង 40*80(1.5)</t>
  </si>
  <si>
    <t>1Unit =4m</t>
  </si>
  <si>
    <t>1kg=40pcs</t>
  </si>
  <si>
    <t xml:space="preserve">ដែកជ្រុង 40*80(1.5) </t>
  </si>
  <si>
    <t>DKS0336</t>
  </si>
  <si>
    <t>ក្លាប៉េ 21</t>
  </si>
  <si>
    <t xml:space="preserve">ក្លាប៉េ 21 </t>
  </si>
  <si>
    <t>DKS0337</t>
  </si>
  <si>
    <t>1m/100cm</t>
  </si>
  <si>
    <t>m/100cm</t>
  </si>
  <si>
    <t>1ម៉ែត្រ/100ហ៊ុន</t>
  </si>
  <si>
    <t>076.m/100cm</t>
  </si>
  <si>
    <t>1Unit=100cm</t>
  </si>
  <si>
    <t>CI2026-0298</t>
  </si>
  <si>
    <t>ក្រដាស់ខាត់ធម្មតា 3T</t>
  </si>
  <si>
    <t>ក្រដាស់ខាត់ធម្មតា 5T</t>
  </si>
  <si>
    <t>ក្រដាស់ខាត់ល្អ 3T</t>
  </si>
  <si>
    <t>ក្រដាស់ខាត់ល្អ 5T</t>
  </si>
  <si>
    <t>DKS0338</t>
  </si>
  <si>
    <t>DKS0339</t>
  </si>
  <si>
    <t>DKS0340</t>
  </si>
  <si>
    <t>DKS0341</t>
  </si>
  <si>
    <t>1Box/60pcs</t>
  </si>
  <si>
    <t>1Coil/45m</t>
  </si>
  <si>
    <t>Coil/45m</t>
  </si>
  <si>
    <t>078.Coil/45m</t>
  </si>
  <si>
    <t>T</t>
  </si>
  <si>
    <t>1T(100cm)</t>
  </si>
  <si>
    <t>1តឹក(100cm)</t>
  </si>
  <si>
    <t>1ខាំ (100g)</t>
  </si>
  <si>
    <t>1 Kham (100g)</t>
  </si>
  <si>
    <t>H</t>
  </si>
  <si>
    <t>1Coil=45m(450T)</t>
  </si>
  <si>
    <t xml:space="preserve">ក្រដាស់ខាត់ធម្មតា 3T </t>
  </si>
  <si>
    <t xml:space="preserve">ក្រដាស់ខាត់ធម្មតា 5T </t>
  </si>
  <si>
    <t xml:space="preserve">ក្រដាស់ខាត់ល្អ 3T </t>
  </si>
  <si>
    <t xml:space="preserve">ក្រដាស់ខាត់ល្អ 5T </t>
  </si>
  <si>
    <t>1Box=60pcs</t>
  </si>
  <si>
    <t>ក្រដាស់ខាត់សន្លឹក លេខ 60,100…</t>
  </si>
  <si>
    <t xml:space="preserve">ក្រដាស់ខាត់សន្លឹក លេខ 60,100… </t>
  </si>
  <si>
    <t>DKS0342</t>
  </si>
  <si>
    <t>DKS0343</t>
  </si>
  <si>
    <t>កែងជ័រ 21 ក្រៅ</t>
  </si>
  <si>
    <t>កែងជ័រ 21 ក្នុង</t>
  </si>
  <si>
    <t xml:space="preserve">កែងជ័រ 21 ក្រៅ </t>
  </si>
  <si>
    <t xml:space="preserve">កែងជ័រ 21 ក្នុង </t>
  </si>
  <si>
    <t>DKS0344</t>
  </si>
  <si>
    <t>ក្តាកុងផ្លាកេ 4L</t>
  </si>
  <si>
    <t>DKS0345</t>
  </si>
  <si>
    <t xml:space="preserve">ក្តាកុងផ្លាកេ 4L </t>
  </si>
  <si>
    <t>DKS0346</t>
  </si>
  <si>
    <t>រ៉ាក់គ័រ 49</t>
  </si>
  <si>
    <t xml:space="preserve">រ៉ាក់គ័រ 49 </t>
  </si>
  <si>
    <t>DKS0347</t>
  </si>
  <si>
    <t>DKS0348</t>
  </si>
  <si>
    <t>DKS0349</t>
  </si>
  <si>
    <t>DKS0350</t>
  </si>
  <si>
    <t>DKS0351</t>
  </si>
  <si>
    <t>DKS0352</t>
  </si>
  <si>
    <t>កាវបិតទីប 15g</t>
  </si>
  <si>
    <t>កាវបិតទីប 25g</t>
  </si>
  <si>
    <t>កាវបិតទីប 50g</t>
  </si>
  <si>
    <t>កាវបិតទីប 100g</t>
  </si>
  <si>
    <t>កាវបិតទីប 250g</t>
  </si>
  <si>
    <t>កាវបិតទីប 0.5kg</t>
  </si>
  <si>
    <t>កាវបិតទីប 1kg</t>
  </si>
  <si>
    <t>ក្តាកុងផ្លាកេ 3L</t>
  </si>
  <si>
    <t>DKS0353</t>
  </si>
  <si>
    <t>DKS0354</t>
  </si>
  <si>
    <t>DKS0355</t>
  </si>
  <si>
    <t>DKS0356</t>
  </si>
  <si>
    <t>DKS0357</t>
  </si>
  <si>
    <t>DKS0358</t>
  </si>
  <si>
    <t>DKS0359</t>
  </si>
  <si>
    <t>DKS0360</t>
  </si>
  <si>
    <t>ក្តាកុងផ្លាកេ 6L</t>
  </si>
  <si>
    <t>ក្តាកុងផ្លាកេ 8L</t>
  </si>
  <si>
    <t>ក្តាកុងផ្លាកេ 10L</t>
  </si>
  <si>
    <t>ក្តាកុងផ្លាកេ 12L</t>
  </si>
  <si>
    <t>ក្តាកុងផ្លាកេ 15L</t>
  </si>
  <si>
    <t>ក្តាកុងផ្លាកេ 18L</t>
  </si>
  <si>
    <t>120m*240m</t>
  </si>
  <si>
    <t>1pcs=50g</t>
  </si>
  <si>
    <t>1pcs=15g</t>
  </si>
  <si>
    <t>1pcs=25g</t>
  </si>
  <si>
    <t>1pcs=100g</t>
  </si>
  <si>
    <t>1pcs=1kg</t>
  </si>
  <si>
    <t>1pcs=250g</t>
  </si>
  <si>
    <t>1pcs=0.5kg</t>
  </si>
  <si>
    <t xml:space="preserve">ក្តាកុងផ្លាកេ 3L </t>
  </si>
  <si>
    <t xml:space="preserve">ក្តាកុងផ្លាកេ 6L </t>
  </si>
  <si>
    <t xml:space="preserve">ក្តាកុងផ្លាកេ 8L </t>
  </si>
  <si>
    <t xml:space="preserve">ក្តាកុងផ្លាកេ 10L </t>
  </si>
  <si>
    <t xml:space="preserve">ក្តាកុងផ្លាកេ 12L </t>
  </si>
  <si>
    <t xml:space="preserve">ក្តាកុងផ្លាកេ 15L </t>
  </si>
  <si>
    <t xml:space="preserve">ក្តាកុងផ្លាកេ 18L </t>
  </si>
  <si>
    <t xml:space="preserve">កាវបិតទីប 15g </t>
  </si>
  <si>
    <t xml:space="preserve">កាវបិតទីប 25g </t>
  </si>
  <si>
    <t xml:space="preserve">កាវបិតទីប 50g </t>
  </si>
  <si>
    <t xml:space="preserve">កាវបិតទីប 100g </t>
  </si>
  <si>
    <t xml:space="preserve">កាវបិតទីប 1kg </t>
  </si>
  <si>
    <t>0.5m3</t>
  </si>
  <si>
    <r>
      <t>កន្លះគីប (1/2m</t>
    </r>
    <r>
      <rPr>
        <vertAlign val="superscript"/>
        <sz val="12"/>
        <color theme="1"/>
        <rFont val="Khmer OS Battambang"/>
      </rPr>
      <t>3</t>
    </r>
    <r>
      <rPr>
        <sz val="12"/>
        <color theme="1"/>
        <rFont val="Khmer OS Battambang"/>
      </rPr>
      <t>)</t>
    </r>
  </si>
  <si>
    <t>m3/2x0.5m3</t>
  </si>
  <si>
    <t>ថ្មធំ (ល្អ)</t>
  </si>
  <si>
    <t xml:space="preserve">ថ្មធំ (ល្អ) </t>
  </si>
  <si>
    <t>ឆ្នុក 100</t>
  </si>
  <si>
    <t xml:space="preserve">ឆ្នុក 100 </t>
  </si>
  <si>
    <t>ទីប 27 (13.5)</t>
  </si>
  <si>
    <t>1m3=2x0.5m3</t>
  </si>
  <si>
    <t xml:space="preserve">ទីប 27 (13.5) </t>
  </si>
  <si>
    <t>DKS0361</t>
  </si>
  <si>
    <t>1Ctn/45kham</t>
  </si>
  <si>
    <t>Ctn/45kham</t>
  </si>
  <si>
    <t>1កាតុង/45ខាំ</t>
  </si>
  <si>
    <t>082.Ctn/45kham</t>
  </si>
  <si>
    <t>1Ctn=45kham(4.5kg)</t>
  </si>
  <si>
    <t>ដែកគោល 5H 6H 8H…</t>
  </si>
  <si>
    <t xml:space="preserve">ដែកគោល 5H 6H 8H… </t>
  </si>
  <si>
    <t>ដែកគោល 2H 3H 4H… Kbal Kla</t>
  </si>
  <si>
    <t>DKS0362</t>
  </si>
  <si>
    <t>ឡាំងកំបោ</t>
  </si>
  <si>
    <t xml:space="preserve">ឡាំងកំបោ </t>
  </si>
  <si>
    <t>1Coil/1000T</t>
  </si>
  <si>
    <t>1Coil/800T</t>
  </si>
  <si>
    <t>Coil/1000T</t>
  </si>
  <si>
    <t>Coil/800T</t>
  </si>
  <si>
    <t>1របុំ/1000T</t>
  </si>
  <si>
    <t>1របុំ/300T</t>
  </si>
  <si>
    <t>1Coil/300T</t>
  </si>
  <si>
    <t>Coil/300T</t>
  </si>
  <si>
    <t>1របុំ/800T</t>
  </si>
  <si>
    <t>VKS003</t>
  </si>
  <si>
    <t>ដ៉េប៉ូលក់ ពិដានជ័រ ការ៉ូឈើ និងគ្រឿងដេគ័រ</t>
  </si>
  <si>
    <t>SYL</t>
  </si>
  <si>
    <t>SOEUNG SOPHORN</t>
  </si>
  <si>
    <t>081 66 24 35 / 089 67 89 43</t>
  </si>
  <si>
    <t>ផ្លូវ៣០ម៉ែត្រ ភូមិទក្សិណខាងត្បូង សង្កាត់ គោកចក ក្រុងសៀមរាប</t>
  </si>
  <si>
    <t>003.ដ៉េប៉ូលក់ ពិដានជ័រ ការ៉ូឈើ និងគ្រឿងដេគ័រ (SYL)</t>
  </si>
  <si>
    <t>DKS0363</t>
  </si>
  <si>
    <t>DKS0364</t>
  </si>
  <si>
    <t>DKS0365</t>
  </si>
  <si>
    <t>DKS0366</t>
  </si>
  <si>
    <t>DKS0367</t>
  </si>
  <si>
    <t>DKS0368</t>
  </si>
  <si>
    <t>DKS0369</t>
  </si>
  <si>
    <t>DKS0370</t>
  </si>
  <si>
    <t xml:space="preserve">ពិដានដេគ័រ PVC ភ្លី3 </t>
  </si>
  <si>
    <t xml:space="preserve">ពិដានដេគ័រ PVC ភ្លី4 </t>
  </si>
  <si>
    <t>ពិដានដេគ័រ PVC លាត</t>
  </si>
  <si>
    <t>ក្រចាប់ពិដាន PVC</t>
  </si>
  <si>
    <t>កែងទ្រ 14x16</t>
  </si>
  <si>
    <t>ព្រីពណ៌ 5m (រន្ធ5)</t>
  </si>
  <si>
    <t>កែងដែក 4Fx4Fx2.5F (6)</t>
  </si>
  <si>
    <t>DKS0371</t>
  </si>
  <si>
    <t>DKS0372</t>
  </si>
  <si>
    <t>DKS0373</t>
  </si>
  <si>
    <t>DKS0374</t>
  </si>
  <si>
    <t>DKS0375</t>
  </si>
  <si>
    <t>DKS0376</t>
  </si>
  <si>
    <t>DKS0377</t>
  </si>
  <si>
    <t>DKS0378</t>
  </si>
  <si>
    <t>កែងដែក 5Fx3F (8)</t>
  </si>
  <si>
    <t>រុំប៊ីណេ-វែង</t>
  </si>
  <si>
    <t>ដៃកាត់ស្កុត 5cm</t>
  </si>
  <si>
    <t>ដង្កាប់កាត់លួស (ក្រហម)</t>
  </si>
  <si>
    <t>ម៉ែត្រកែង 3T</t>
  </si>
  <si>
    <t>ដងមិន (ដងទឹកក្រូច)</t>
  </si>
  <si>
    <t>ស្កុតក្រណាត់ថ្មី 6កង (លាយ)</t>
  </si>
  <si>
    <t>ផ្លែស្វានថ្មថ្មីមុខ4 6mm</t>
  </si>
  <si>
    <t>DKS0379</t>
  </si>
  <si>
    <t>DKS0380</t>
  </si>
  <si>
    <t>DKS0381</t>
  </si>
  <si>
    <t>DKS0382</t>
  </si>
  <si>
    <t>DKS0383</t>
  </si>
  <si>
    <t>DKS0384</t>
  </si>
  <si>
    <t>DKS0385</t>
  </si>
  <si>
    <t>ខ្សែភ្លើង 2x2.5</t>
  </si>
  <si>
    <t>ខ្សែភ្លើង 2x1</t>
  </si>
  <si>
    <t>ខ្សែភ្លើង 2x1.5</t>
  </si>
  <si>
    <t>តេ 60-34</t>
  </si>
  <si>
    <t>ជើងឌីសង់ទ័រ</t>
  </si>
  <si>
    <t>កុងតាក់ចុច2ព្រី2</t>
  </si>
  <si>
    <t>ទីប 150</t>
  </si>
  <si>
    <t>DKS0386</t>
  </si>
  <si>
    <t>DKS0387</t>
  </si>
  <si>
    <t>DKS0388</t>
  </si>
  <si>
    <t>DKS0389</t>
  </si>
  <si>
    <t>ខ្សែឡាបូលាងចាន</t>
  </si>
  <si>
    <t>វីសបាញ់ក្បឿង</t>
  </si>
  <si>
    <t>វ៉ាន 60</t>
  </si>
  <si>
    <t>ប៉ោលអូតូ</t>
  </si>
  <si>
    <t>ជ្រីចង្អូរពិដាន PVC (ស)</t>
  </si>
  <si>
    <t>តំណរពិដាន PVC (ស)</t>
  </si>
  <si>
    <t>ថ្មសំលៀងកាំបិត</t>
  </si>
  <si>
    <t>1Unit=2.5T</t>
  </si>
  <si>
    <t>1box=10pcs</t>
  </si>
  <si>
    <t>1Box=24pcs</t>
  </si>
  <si>
    <t>003.Pack</t>
  </si>
  <si>
    <t>1Box/10pcs</t>
  </si>
  <si>
    <t>1Box/24pcs</t>
  </si>
  <si>
    <t>Box/10pcs</t>
  </si>
  <si>
    <t>Box/24pcs</t>
  </si>
  <si>
    <t>1ប្រអប់/10ដុំ</t>
  </si>
  <si>
    <t>1ប្រអប់/24ដុំ</t>
  </si>
  <si>
    <t>087.Box/10pcs</t>
  </si>
  <si>
    <t>088.Box/24pcs</t>
  </si>
  <si>
    <t>001.Unit</t>
  </si>
  <si>
    <t>1Wire=5m</t>
  </si>
  <si>
    <t>1Pack</t>
  </si>
  <si>
    <t>1Unit</t>
  </si>
  <si>
    <t>VKS004</t>
  </si>
  <si>
    <t>អិល.ភី</t>
  </si>
  <si>
    <t>L.P</t>
  </si>
  <si>
    <t>CHEA VOEURN</t>
  </si>
  <si>
    <t>016...</t>
  </si>
  <si>
    <t>ABA No. : 000904971</t>
  </si>
  <si>
    <t>004.អិល.ភី (L.P)</t>
  </si>
  <si>
    <t>VKS005</t>
  </si>
  <si>
    <t>អាន ស្រីលាភ</t>
  </si>
  <si>
    <t>SL</t>
  </si>
  <si>
    <t>017 78 84 17 / 012 40 74 78</t>
  </si>
  <si>
    <t>ភូមិព្រិយ៍ថ្មី សង្កាត់ទឹកវិល ក្រុងសៀមរាប</t>
  </si>
  <si>
    <t>005.អាន ស្រីលាភ (SL)</t>
  </si>
  <si>
    <t>សង្កាត់ទឹកវិល ក្រុងសៀមរាប</t>
  </si>
  <si>
    <t>ទំនិញចងជា Dropdown Select</t>
  </si>
  <si>
    <t>កន្ត្រៃដងក្រហមលឿង (PT)</t>
  </si>
  <si>
    <t>ខ្សែរឹត (ស) 2T</t>
  </si>
  <si>
    <t>ខ្សែរឹត (ស) 3T</t>
  </si>
  <si>
    <t>ខ្សែរឹត (ខ្មៅ) 2T</t>
  </si>
  <si>
    <t>ខ្សែរឹត (ស) 3.5T</t>
  </si>
  <si>
    <t>ខ្សែរឹត (ស) 2.5T</t>
  </si>
  <si>
    <t>ខ្សែរឹត (ខ្មៅ) 2.5T</t>
  </si>
  <si>
    <t>ខ្សែរឹត (ស) 1.5T ក្រាស់</t>
  </si>
  <si>
    <t>ក្បាលផ្សាស្ពាន់ (A)</t>
  </si>
  <si>
    <t>សោតេ លេខ19</t>
  </si>
  <si>
    <t>ពន្លាក 24mm</t>
  </si>
  <si>
    <t>សោខ្មៅលេខ 50 កខ្លី</t>
  </si>
  <si>
    <t>សោខ្មៅលេខ 50 កវែង</t>
  </si>
  <si>
    <t>កែងដែក 5Fx5Fx4.5F (26)</t>
  </si>
  <si>
    <t>រុំប៊ីណេផ្កាឈូក (041)</t>
  </si>
  <si>
    <t>ទុយោក្បាលពីរ 80cm</t>
  </si>
  <si>
    <t>ទុយោក្បាលពីរ 60cm</t>
  </si>
  <si>
    <t>ទុយោក្បាលពីរ 40cm</t>
  </si>
  <si>
    <t>កែវស្ទុងពណ៌ខៀវ 60cm</t>
  </si>
  <si>
    <t>កែវស្ទុងពណ៌ខៀវ 40cm</t>
  </si>
  <si>
    <t>កែវស្ទុងពណ៌ខៀវ 50cm</t>
  </si>
  <si>
    <t>ផ្លែកាត់ការ៉ូធ្មេញញឹក 4*T6</t>
  </si>
  <si>
    <t>1Bucket</t>
  </si>
  <si>
    <t>Orchid Classic-W1-18L C1</t>
  </si>
  <si>
    <t>Orchid Classic-W1-18L C2</t>
  </si>
  <si>
    <t>ផ្លែកាត់ក្រហម 355cm</t>
  </si>
  <si>
    <t>ផ្លែកាត់ក្រហម 1T</t>
  </si>
  <si>
    <t>1Box=20pcs</t>
  </si>
  <si>
    <t>1Case=800pcs</t>
  </si>
  <si>
    <t>ទុយោឡាបូ (ប្រផេះ)</t>
  </si>
  <si>
    <t>ស៊ីហ្វុង 2</t>
  </si>
  <si>
    <t>ស៊ីហ្វុង 3</t>
  </si>
  <si>
    <t>វ៉ានបន្ថយសម្ពាធទឹក អ៊ី.304</t>
  </si>
  <si>
    <t>ផ្លែកាត់បេតុង SIHAN</t>
  </si>
  <si>
    <t>ផ្លែកាត់ការ៉ូ AOHO</t>
  </si>
  <si>
    <t>AOHO</t>
  </si>
  <si>
    <t>SIHAN</t>
  </si>
  <si>
    <t>ស៊ីហាន</t>
  </si>
  <si>
    <t>012.AOHO</t>
  </si>
  <si>
    <t>013.SIHAN</t>
  </si>
  <si>
    <t>កែងស្ពាន់ 21 ក្រៅ</t>
  </si>
  <si>
    <t>គំរប 27</t>
  </si>
  <si>
    <t>គំរប 34</t>
  </si>
  <si>
    <t>ស៊ីហ្វុងស្ពាន់</t>
  </si>
  <si>
    <t>ជើងអំពូល ជាប់ជញ្ជាំង 2</t>
  </si>
  <si>
    <t>ជើងអំពូល ជាប់ជញ្ជាំង 1</t>
  </si>
  <si>
    <t>ថ្នាំបៀក</t>
  </si>
  <si>
    <t>006.ថ្នាំលាប និងថ្នាំកូត</t>
  </si>
  <si>
    <t>ផ្លែកាត់បេតុង 1T</t>
  </si>
  <si>
    <t>DKS0390</t>
  </si>
  <si>
    <t>DKS0391</t>
  </si>
  <si>
    <t>DKS0392</t>
  </si>
  <si>
    <t>DKS0393</t>
  </si>
  <si>
    <t>DKS0394</t>
  </si>
  <si>
    <t>DKS0395</t>
  </si>
  <si>
    <t>DKS0396</t>
  </si>
  <si>
    <t>DKS0397</t>
  </si>
  <si>
    <t>DKS0398</t>
  </si>
  <si>
    <t>DKS0399</t>
  </si>
  <si>
    <t>DKS0400</t>
  </si>
  <si>
    <t>DKS0401</t>
  </si>
  <si>
    <t>DKS0402</t>
  </si>
  <si>
    <t>DKS0403</t>
  </si>
  <si>
    <t>DKS0404</t>
  </si>
  <si>
    <t>DKS0405</t>
  </si>
  <si>
    <t>DKS0406</t>
  </si>
  <si>
    <t>DKS0407</t>
  </si>
  <si>
    <t>DKS0408</t>
  </si>
  <si>
    <t>DKS0409</t>
  </si>
  <si>
    <t>DKS0410</t>
  </si>
  <si>
    <t>DKS0411</t>
  </si>
  <si>
    <t>DKS0412</t>
  </si>
  <si>
    <t>DKS0413</t>
  </si>
  <si>
    <t>DKS0414</t>
  </si>
  <si>
    <t>DKS0415</t>
  </si>
  <si>
    <t>DKS0416</t>
  </si>
  <si>
    <t>DKS0417</t>
  </si>
  <si>
    <t>DKS0418</t>
  </si>
  <si>
    <t>DKS0419</t>
  </si>
  <si>
    <t>DKS0420</t>
  </si>
  <si>
    <t>DKS0421</t>
  </si>
  <si>
    <t>DKS0422</t>
  </si>
  <si>
    <t>DKS0423</t>
  </si>
  <si>
    <t>DKS0424</t>
  </si>
  <si>
    <t>DKS0425</t>
  </si>
  <si>
    <t>1Box/20pcs</t>
  </si>
  <si>
    <t>Box/20pcs</t>
  </si>
  <si>
    <t>Case/800pcs</t>
  </si>
  <si>
    <t>1Case/800pcs</t>
  </si>
  <si>
    <t>1ប្រអប់/20ដុំ</t>
  </si>
  <si>
    <t>1កេស/800ដុំ</t>
  </si>
  <si>
    <t>090.Box/20pcs</t>
  </si>
  <si>
    <t>091.Case/25pcs</t>
  </si>
  <si>
    <t>092.Case/800pcs</t>
  </si>
  <si>
    <t>1Bucket=18L</t>
  </si>
  <si>
    <t>អេ.អូ.អេធ.អូ</t>
  </si>
  <si>
    <t>ធី.អេធ.ស៊ី</t>
  </si>
  <si>
    <t>ធី.អូ.ប៊ី</t>
  </si>
  <si>
    <t>ឈ្មោះខ្នាតដើម</t>
  </si>
  <si>
    <t>ឈ្មោះខ្នាតទី១</t>
  </si>
  <si>
    <t>ឈ្មោះខ្នាទទី២</t>
  </si>
  <si>
    <t>Box/60pcs</t>
  </si>
  <si>
    <t>Bucket</t>
  </si>
  <si>
    <t>077.Box/60pcs</t>
  </si>
  <si>
    <r>
      <t>m</t>
    </r>
    <r>
      <rPr>
        <vertAlign val="superscript"/>
        <sz val="12"/>
        <color theme="1"/>
        <rFont val="Khmer OS Battambang"/>
      </rPr>
      <t>3</t>
    </r>
    <r>
      <rPr>
        <sz val="12"/>
        <color theme="1"/>
        <rFont val="Khmer OS Battambang"/>
      </rPr>
      <t>|2</t>
    </r>
  </si>
  <si>
    <r>
      <t>1m</t>
    </r>
    <r>
      <rPr>
        <vertAlign val="superscript"/>
        <sz val="12"/>
        <color theme="1"/>
        <rFont val="Khmer OS Battambang"/>
      </rPr>
      <t>3</t>
    </r>
    <r>
      <rPr>
        <sz val="12"/>
        <color theme="1"/>
        <rFont val="Khmer OS Battambang"/>
      </rPr>
      <t>/2*m</t>
    </r>
    <r>
      <rPr>
        <vertAlign val="superscript"/>
        <sz val="12"/>
        <color theme="1"/>
        <rFont val="Khmer OS Battambang"/>
      </rPr>
      <t>3</t>
    </r>
    <r>
      <rPr>
        <sz val="12"/>
        <color theme="1"/>
        <rFont val="Khmer OS Battambang"/>
      </rPr>
      <t>|2</t>
    </r>
  </si>
  <si>
    <r>
      <t>m</t>
    </r>
    <r>
      <rPr>
        <vertAlign val="superscript"/>
        <sz val="12"/>
        <color theme="1"/>
        <rFont val="Khmer OS Battambang"/>
      </rPr>
      <t>3</t>
    </r>
    <r>
      <rPr>
        <sz val="12"/>
        <color theme="1"/>
        <rFont val="Khmer OS Battambang"/>
      </rPr>
      <t>/2*m</t>
    </r>
    <r>
      <rPr>
        <vertAlign val="superscript"/>
        <sz val="12"/>
        <color theme="1"/>
        <rFont val="Khmer OS Battambang"/>
      </rPr>
      <t>3</t>
    </r>
    <r>
      <rPr>
        <sz val="12"/>
        <color theme="1"/>
        <rFont val="Khmer OS Battambang"/>
      </rPr>
      <t>|2</t>
    </r>
  </si>
  <si>
    <t>081.m3/2*m3|2</t>
  </si>
  <si>
    <t>Ending Stock</t>
  </si>
  <si>
    <t>ស្តុកតាមខ្នាត</t>
  </si>
  <si>
    <t>ក្រដាស់ខាត់ p40​​(លុបចេញ)</t>
  </si>
  <si>
    <t>ញញួរការ៉ូ (ធំ)</t>
  </si>
  <si>
    <t>1Box=10pcs</t>
  </si>
  <si>
    <t>DKS0426</t>
  </si>
  <si>
    <t>DKS0427</t>
  </si>
  <si>
    <t>DKS0428</t>
  </si>
  <si>
    <t>DKS0429</t>
  </si>
  <si>
    <t>ពិដានដេគ័រ PVC ភ្លី4 ខ្ពស់ A816</t>
  </si>
  <si>
    <t>ពិដានដេគ័រ PVC ភ្លី4 ខ្ពស់ EM91</t>
  </si>
  <si>
    <t>ពិដានដេគ័រ PVC ភ្លី4 ខ្ពស់ HJ</t>
  </si>
  <si>
    <t>DKS0430</t>
  </si>
  <si>
    <t>DKS0431</t>
  </si>
  <si>
    <t>DKS0432</t>
  </si>
  <si>
    <t>អត្រាប្តូរប្រាក់ : ០៨ កញ្ញា ២០២៦</t>
  </si>
  <si>
    <t>អត្រាប្តូរប្រាក់ផ្លូវការ : ៤.០៥០រៀល / ដុល្លារ</t>
  </si>
  <si>
    <t>២.៩២៤</t>
  </si>
  <si>
    <t>២.៩៥៣</t>
  </si>
  <si>
    <t>៦០៤</t>
  </si>
  <si>
    <t>៦១០</t>
  </si>
  <si>
    <t>៤.៧០៩</t>
  </si>
  <si>
    <t>៤.៧៥៦</t>
  </si>
  <si>
    <t>អត្រាប្តូរប្រាក់ធនាគារជាតិ</t>
  </si>
  <si>
    <t>អត្រាប្តូរប្រាក់ថ្ងៃ</t>
  </si>
  <si>
    <t>00001.ទីប​ 100(8.5) | DKS0001 | Cost : 27.34 $ | Price : 28.5 $ | Stock Ending : 2Unit/4m</t>
  </si>
  <si>
    <t>តម្លៃទំនិញតាមខ្នាត</t>
  </si>
  <si>
    <t>Price By Uom</t>
  </si>
  <si>
    <t>00176.ស៊ីម៉ង​ V | DKS0176 | Cost : 85 $ | Price : 90 $ | Stock Ending : 15Be</t>
  </si>
  <si>
    <t>022.Be</t>
  </si>
  <si>
    <t>តម្លៃតាមខ្នាត</t>
  </si>
  <si>
    <t>Small Qty</t>
  </si>
  <si>
    <t>ស្តុកខ្នាតតូច</t>
  </si>
  <si>
    <t>KSPB26-0021</t>
  </si>
  <si>
    <t>Small Unit Cost</t>
  </si>
  <si>
    <t>Small Unit Price</t>
  </si>
  <si>
    <t>ថ្លៃដើមខ្នាតតូច</t>
  </si>
  <si>
    <t>ថ្លៃលក់ខ្នាតតូច</t>
  </si>
  <si>
    <t>ថ្លៃដើមស្តុកសរុប</t>
  </si>
  <si>
    <t>ថ្លៃលក់ស្តុកសរុប</t>
  </si>
  <si>
    <t>ថ្លៃស្តុកលក់លើស</t>
  </si>
  <si>
    <t>ថ្លៃដើមស្តុកលក់លើស</t>
  </si>
  <si>
    <t>រូបិយប័ណ្ណទំនិញ</t>
  </si>
  <si>
    <t>VKS006</t>
  </si>
  <si>
    <t>ហេង ចំរើន ផ្គត់ផ្គង់ឧបករណ៍គ្រឿងជាង</t>
  </si>
  <si>
    <t>K.S.H Group</t>
  </si>
  <si>
    <t>ហេង ចំរើន</t>
  </si>
  <si>
    <t>096 26 76 256 / 097 26 76 256</t>
  </si>
  <si>
    <t>061 26 56 76</t>
  </si>
  <si>
    <t>ស្វាយធំ ក្រុងសៀមរាប ខេត្តសៀមរាប</t>
  </si>
  <si>
    <t>006.ហេង ចំរើន ផ្គត់ផ្គង់ឧបករណ៍គ្រឿងជាង (K.S.H Group)</t>
  </si>
  <si>
    <t>ស៊ីម៉ង់​ V</t>
  </si>
  <si>
    <t>ស៊ីម៉ង់ ខន</t>
  </si>
  <si>
    <t>ស៊ីម៉ង់ អូដ្ធ</t>
  </si>
  <si>
    <t>ស៊ីម៉ង់ K</t>
  </si>
  <si>
    <t>KSPB26-0023</t>
  </si>
  <si>
    <t>DKS0433</t>
  </si>
  <si>
    <t>ផ្លែកាត់បៃតង 1T</t>
  </si>
  <si>
    <t xml:space="preserve">ផ្លែកាត់បៃតង 1T </t>
  </si>
  <si>
    <t>VKS007</t>
  </si>
  <si>
    <t>DaDing បោះដុំសម្ភារៈជាង ម៉ូទ័រ និងបន្ទប់ទឹក</t>
  </si>
  <si>
    <t>DaDing</t>
  </si>
  <si>
    <t>朱涛 (Zhu Tao)</t>
  </si>
  <si>
    <t>096 67 60 998 / 088 63 96 998</t>
  </si>
  <si>
    <t>https://www.facebook.com/dingzhen6566</t>
  </si>
  <si>
    <t>ភ្នំពេញ</t>
  </si>
  <si>
    <t>007.DaDing បោះដុំសម្ភារៈជាង ម៉ូទ័រ និងបន្ទប់ទឹក (DaDing)</t>
  </si>
  <si>
    <t>VKS008</t>
  </si>
  <si>
    <t>ខេ អិន វ៉ាយ ខេមបូឌា</t>
  </si>
  <si>
    <t>KNY</t>
  </si>
  <si>
    <t>010 98 00 56 / 017 98 00 56</t>
  </si>
  <si>
    <t>097 9600056</t>
  </si>
  <si>
    <t>Phum Tapeang Chrey,Sangkat Kakab,Khan Por Senchey,Phnom Penh</t>
  </si>
  <si>
    <t>ABA:001287253_x000D_
Name:KHOM VANNEY AND CHHAY KUNTHEA</t>
  </si>
  <si>
    <t>008.ខេ អិន វ៉ាយ ខេមបូឌា (KNY)</t>
  </si>
  <si>
    <t>05.One Month</t>
  </si>
  <si>
    <t xml:space="preserve">ញញួរការ៉ូ (ធំ) </t>
  </si>
  <si>
    <t>កំបិតឈូស 4''​ box/10pcs</t>
  </si>
  <si>
    <t>កំបិតឈូស 5'' box/10pcs</t>
  </si>
  <si>
    <t>កំបិតឈូស 6'' box/10pcs</t>
  </si>
  <si>
    <t>កាំបិតឈូស 1"</t>
  </si>
  <si>
    <t>កាំបិតឈូស 2''</t>
  </si>
  <si>
    <t>កាំបិតឈូស 3"</t>
  </si>
  <si>
    <t>កាំបិតឈូស 4''</t>
  </si>
  <si>
    <t>កាំបិតឈូស 5''</t>
  </si>
  <si>
    <t xml:space="preserve">កំបិតឈូស 4''​ box/10pcs </t>
  </si>
  <si>
    <t xml:space="preserve">កំបិតឈូស 5'' box/10pcs </t>
  </si>
  <si>
    <t xml:space="preserve">កំបិតឈូស 6'' box/10pcs </t>
  </si>
  <si>
    <t xml:space="preserve">ពិដានដេគ័រ PVC ភ្លី4 ខ្ពស់ A816 </t>
  </si>
  <si>
    <t xml:space="preserve">ពិដានដេគ័រ PVC ភ្លី4 ខ្ពស់ EM91 </t>
  </si>
  <si>
    <t xml:space="preserve">ពិដានដេគ័រ PVC ភ្លី4 ខ្ពស់ HJ </t>
  </si>
  <si>
    <t>D:\Rathana\OneDrive\YBA ADVISORY\B-Clients and Services\C024-KOK SNUOL\</t>
  </si>
  <si>
    <t xml:space="preserve">One Drive : </t>
  </si>
  <si>
    <t>SUY Rathana</t>
  </si>
  <si>
    <t>SAN Theara</t>
  </si>
  <si>
    <t>System , Database and Tax Declaration Path</t>
  </si>
  <si>
    <t>Online Path</t>
  </si>
  <si>
    <t>Off Line Path</t>
  </si>
  <si>
    <t>D:\1_Documents\1_Companies\C009-KOK SNUOL\</t>
  </si>
  <si>
    <t>089.Bucket</t>
  </si>
  <si>
    <t>VKS009</t>
  </si>
  <si>
    <t>អឃីត ផេន ឯ.ក</t>
  </si>
  <si>
    <t>ORCHID PAINT CO., LTD.</t>
  </si>
  <si>
    <t>Mr. Un Chan Sophea</t>
  </si>
  <si>
    <t>L001-901904045</t>
  </si>
  <si>
    <t>https://www.facebook.com/orchidpaint.cambodia</t>
  </si>
  <si>
    <t>ផ្ទះលេខ១១៧ ផ្លូវលេខ ២១៤ ភូមិ៣ សង្កាត់បឹងព្រលិត ខណ្ឌ៧មករា រាជធានីភ្នំពេញ</t>
  </si>
  <si>
    <t>009.អឃីត ផេន ឯ.ក (ORCHID PAINT CO., LTD.)</t>
  </si>
  <si>
    <t>ABA:ORCHID PAINT CO.,LTD, 001 989 993</t>
  </si>
  <si>
    <t xml:space="preserve">KSPB26-0026 </t>
  </si>
  <si>
    <r>
      <t>លេខអត្តសញ្ញាណកម្ម</t>
    </r>
    <r>
      <rPr>
        <sz val="11"/>
        <color theme="1"/>
        <rFont val="Khmer OS Siemreap"/>
      </rPr>
      <t xml:space="preserve"> </t>
    </r>
    <r>
      <rPr>
        <sz val="11"/>
        <color theme="1"/>
        <rFont val="Roboto"/>
      </rPr>
      <t>(TID/MOI ID...)</t>
    </r>
  </si>
  <si>
    <t>1.បញ្ចូលស្តុកថ្មី</t>
  </si>
  <si>
    <t>KSPB26-0027</t>
  </si>
  <si>
    <t>KSINV26-0146</t>
  </si>
  <si>
    <t>DKS0434</t>
  </si>
  <si>
    <t>1កាតុង/50ខាំ</t>
  </si>
  <si>
    <t>1Ctn/50kham</t>
  </si>
  <si>
    <t>Ctn/50kham</t>
  </si>
  <si>
    <t>ដែកគោល 2H 3H 4H (g)</t>
  </si>
  <si>
    <t xml:space="preserve">CI2026-0395 </t>
  </si>
  <si>
    <t>m3|2</t>
  </si>
  <si>
    <t>CKS0000002</t>
  </si>
  <si>
    <t>ប៊ូ​​ បញ្ញា</t>
  </si>
  <si>
    <t>bou panha</t>
  </si>
  <si>
    <t>015434400</t>
  </si>
  <si>
    <t>Phnom Penh</t>
  </si>
  <si>
    <t>0002.ប៊ូ​​ បញ្ញា (bou panha)</t>
  </si>
  <si>
    <t>SFQ26-000002</t>
  </si>
  <si>
    <t xml:space="preserve"> - Item Code :  DKS0001_x000D_
 - Spec : 100 width:4m</t>
  </si>
  <si>
    <t xml:space="preserve">ទប80(8.5) CHIP MONG </t>
  </si>
  <si>
    <t xml:space="preserve"> - Item Code :  DKS0002_x000D_
 - Spec : 90 width: 4m</t>
  </si>
  <si>
    <t xml:space="preserve">ទីប75(8.5) CHIP MONG </t>
  </si>
  <si>
    <t xml:space="preserve"> - Item Code :  DKS0003_x000D_
 - Spec : 75 width:4m</t>
  </si>
  <si>
    <t xml:space="preserve">ទីប60(8.5) CHIP MONG </t>
  </si>
  <si>
    <t xml:space="preserve"> - Item Code :  DKS0004_x000D_
 - Spec : 60 width:4m</t>
  </si>
  <si>
    <t xml:space="preserve">ទីប49(8.5) CHIP MONG </t>
  </si>
  <si>
    <t xml:space="preserve"> - Item Code :  DKS0005_x000D_
 - Spec : 49 width:4m</t>
  </si>
  <si>
    <t xml:space="preserve">ទីប42(8.5) CHIP MONG </t>
  </si>
  <si>
    <t xml:space="preserve"> - Item Code :  DKS0006_x000D_
 - Spec : 42 width:4m</t>
  </si>
  <si>
    <t xml:space="preserve">ទីប34(8.5) CHIP MONG </t>
  </si>
  <si>
    <t xml:space="preserve"> - Item Code :  DKS0007_x000D_
 - Spec : 34 width:4m</t>
  </si>
  <si>
    <t xml:space="preserve">ទីប27(8.5) CHIP MONG </t>
  </si>
  <si>
    <t xml:space="preserve"> - Item Code :  DKS0008_x000D_
 - Spec : 27 width:4m</t>
  </si>
  <si>
    <t xml:space="preserve">ទីប21(8.5) CHIP MONG </t>
  </si>
  <si>
    <t xml:space="preserve"> - Item Code :  DKS0009_x000D_
 - Spec :  21 width:4m</t>
  </si>
  <si>
    <t xml:space="preserve">ទីប​100(8.5) ECO PIPE </t>
  </si>
  <si>
    <t xml:space="preserve"> - Item Code :  DKS0010_x000D_
 - Spec : 100 width:4m</t>
  </si>
  <si>
    <t>អឃីត</t>
  </si>
  <si>
    <t>Orchid</t>
  </si>
  <si>
    <t>014.Orchid</t>
  </si>
  <si>
    <t>នីកាថិច</t>
  </si>
  <si>
    <t>Nikatec</t>
  </si>
  <si>
    <t>1box</t>
  </si>
  <si>
    <t>DKS0435</t>
  </si>
  <si>
    <t>DKS0436</t>
  </si>
  <si>
    <t>DKS0437</t>
  </si>
  <si>
    <t>DKS0438</t>
  </si>
  <si>
    <t>DKS0439</t>
  </si>
  <si>
    <t>DKS0440</t>
  </si>
  <si>
    <t>DKS0441</t>
  </si>
  <si>
    <t>DKS0442</t>
  </si>
  <si>
    <t>DKS0443</t>
  </si>
  <si>
    <t>DKS0444</t>
  </si>
  <si>
    <t>DKS0445</t>
  </si>
  <si>
    <t>DKS0446</t>
  </si>
  <si>
    <t>DKS0447</t>
  </si>
  <si>
    <t>DKS0448</t>
  </si>
  <si>
    <t>DKS0449</t>
  </si>
  <si>
    <t>DKS0450</t>
  </si>
  <si>
    <t>DKS0451</t>
  </si>
  <si>
    <t>DKS0452</t>
  </si>
  <si>
    <t>DKS0453</t>
  </si>
  <si>
    <t>DKS0454</t>
  </si>
  <si>
    <t>DKS0455</t>
  </si>
  <si>
    <t>DKS0456</t>
  </si>
  <si>
    <t>DKS0457</t>
  </si>
  <si>
    <t>DKS0458</t>
  </si>
  <si>
    <t>DKS0459</t>
  </si>
  <si>
    <t>DKS0460</t>
  </si>
  <si>
    <t>DKS0461</t>
  </si>
  <si>
    <t>DKS0462</t>
  </si>
  <si>
    <t>DKS0463</t>
  </si>
  <si>
    <t>DKS0464</t>
  </si>
  <si>
    <t>DKS0465</t>
  </si>
  <si>
    <t>DKS0466</t>
  </si>
  <si>
    <t>ក្បាលបាញ់វីសក្រហម</t>
  </si>
  <si>
    <t>ក្បាលវីសបាញ់ដំបូលខ្មៅ</t>
  </si>
  <si>
    <t>ផ្លែកាត់ឈើ (7#60T)</t>
  </si>
  <si>
    <t>ម៉ែត្រកែង 30cm</t>
  </si>
  <si>
    <t>រណាកោង បៃតង</t>
  </si>
  <si>
    <t>លួស 2L</t>
  </si>
  <si>
    <t>សោខ្សៀខ្លី HC 12mm</t>
  </si>
  <si>
    <t>សោខ្សៀខ្លី HC 8mm</t>
  </si>
  <si>
    <t>ស្កុត 6ខាំ Japan Super</t>
  </si>
  <si>
    <t>ស្កុតក្រដាស (25Y) 6កង</t>
  </si>
  <si>
    <t>ច្រាស់ខាត់ម៉ូទ័រ 3" (ស្ពាន់)</t>
  </si>
  <si>
    <t>គំរប 21 ស្នែរក្នុង</t>
  </si>
  <si>
    <t>គំរប 21 ស្នែរក្រៅ</t>
  </si>
  <si>
    <t>ឈុតអនាម័យក្បាលមាសលិបខ្សែជ័រ</t>
  </si>
  <si>
    <t>ទីប34 (13.5)</t>
  </si>
  <si>
    <t>រ៉ូប៊ីណេក្បាលមេកក្រូ (201)</t>
  </si>
  <si>
    <t>រ៉ូប៊ីណេដៃខ្លី</t>
  </si>
  <si>
    <t>រ៉ូប៊ីណេដៃខ្លីមូលតូច(304)</t>
  </si>
  <si>
    <t>រ៉ូប៊ីណេបញ្ឈរ​​ (304)</t>
  </si>
  <si>
    <t>រ៉ូប៊ីណេលាងចាន (036)</t>
  </si>
  <si>
    <t>រ៉ូប៊ីណេលាងដៃល្អ (045)</t>
  </si>
  <si>
    <t>ខ្សែភ្លើង 2x16</t>
  </si>
  <si>
    <t>ប្រអប់បំបែកខ្សែភ្លើង 1T</t>
  </si>
  <si>
    <t>ជក់ដងជ័រក្រហម 2"</t>
  </si>
  <si>
    <t>ជក់ដងជ័រក្រហម 3"</t>
  </si>
  <si>
    <t>ថ្នាំលាបពិដានស Ceiling Paint-18L</t>
  </si>
  <si>
    <t>កង្ហា 1250</t>
  </si>
  <si>
    <t>កន្ត្រៃកាត់មែកឈើ​ 2</t>
  </si>
  <si>
    <t>តង់​ខៀវ 4x6</t>
  </si>
  <si>
    <t>តង់ខៀវ​ 3x4</t>
  </si>
  <si>
    <t>តង់សថ្លា 2m</t>
  </si>
  <si>
    <t>ម៉ូទ័របូមទឹកអូតូ 1Hp 45m</t>
  </si>
  <si>
    <t>006.ថ្នាំលាប និងថ្នាំកូដ</t>
  </si>
  <si>
    <t>015.Nikatec</t>
  </si>
  <si>
    <t>1Coil=250m</t>
  </si>
  <si>
    <t>005.Box</t>
  </si>
  <si>
    <t>1Coil/250m</t>
  </si>
  <si>
    <t>Coil/250m</t>
  </si>
  <si>
    <t>1របុំ/250ម៉ែត្រ</t>
  </si>
  <si>
    <t>093.Coil/250m</t>
  </si>
  <si>
    <t>016.m</t>
  </si>
  <si>
    <t>ដែកគោលស័ង្កសី 2H 3H 4H…</t>
  </si>
  <si>
    <t>00456.ខ្សែភ្លើង 2x16 | DKS0456 | Cost : 147.5 $ | Price : 175 $ | Stock Ending : 0Coil/250m</t>
  </si>
  <si>
    <t>00071.សុងធ្មេញក្រៅ 21 | DKS0071 | Cost : 0.11 $ | Price : 0.2 $ | Stock Ending : 1pcs</t>
  </si>
  <si>
    <t>Director</t>
  </si>
  <si>
    <t xml:space="preserve"> Year</t>
  </si>
  <si>
    <t>Genre</t>
  </si>
  <si>
    <t>IMDb</t>
  </si>
  <si>
    <t>Duration</t>
  </si>
  <si>
    <t>Budget</t>
  </si>
  <si>
    <t>Box Office</t>
  </si>
  <si>
    <t>The Matrix</t>
  </si>
  <si>
    <t>Lana Wachowski</t>
  </si>
  <si>
    <t>Sci-Fi</t>
  </si>
  <si>
    <t>Inception</t>
  </si>
  <si>
    <t>Christopher Nolan</t>
  </si>
  <si>
    <t>Action/Sci-Fi</t>
  </si>
  <si>
    <t>The Godfather</t>
  </si>
  <si>
    <t>Francis Ford Coppola</t>
  </si>
  <si>
    <t>Crime/Drama</t>
  </si>
  <si>
    <t>Interstellar</t>
  </si>
  <si>
    <t>Sci-Fi/Drama</t>
  </si>
  <si>
    <t>Avengers: Endgame</t>
  </si>
  <si>
    <t>Anthony &amp; Joe Russo</t>
  </si>
  <si>
    <t>Titanic</t>
  </si>
  <si>
    <t>James Cameron</t>
  </si>
  <si>
    <t>Romance/Drama</t>
  </si>
  <si>
    <t>Joker</t>
  </si>
  <si>
    <t>Todd Phillips</t>
  </si>
  <si>
    <t>Pulp Fiction</t>
  </si>
  <si>
    <t>Quentin Tarantino</t>
  </si>
  <si>
    <t>The Dark Knight</t>
  </si>
  <si>
    <t>Action/Crime</t>
  </si>
  <si>
    <t>Parasite</t>
  </si>
  <si>
    <t>Bong Joon-ho</t>
  </si>
  <si>
    <t>Thriller/Drama</t>
  </si>
  <si>
    <t>Forrest Gump</t>
  </si>
  <si>
    <t>Robert Zemeckis</t>
  </si>
  <si>
    <t>Drama</t>
  </si>
  <si>
    <t>The Lion King</t>
  </si>
  <si>
    <t>Roger Allers</t>
  </si>
  <si>
    <t>Animation/Adventure</t>
  </si>
  <si>
    <t>Gladiator</t>
  </si>
  <si>
    <t>Ridley Scott</t>
  </si>
  <si>
    <t>Action/Adventure</t>
  </si>
  <si>
    <t>Schindler's List</t>
  </si>
  <si>
    <t>Steven Spielberg</t>
  </si>
  <si>
    <t>Biography/Drama</t>
  </si>
  <si>
    <t>Fight Club</t>
  </si>
  <si>
    <t>David Fincher</t>
  </si>
  <si>
    <t>The Avengers</t>
  </si>
  <si>
    <t>Joss Whedon</t>
  </si>
  <si>
    <t>Star Wars</t>
  </si>
  <si>
    <t>George Lucas</t>
  </si>
  <si>
    <t>Sci-Fi/Adventure</t>
  </si>
  <si>
    <t>Jurassic Park</t>
  </si>
  <si>
    <t>Adventure/Sci-Fi</t>
  </si>
  <si>
    <t>The Lord of the Rings</t>
  </si>
  <si>
    <t>Peter Jackson</t>
  </si>
  <si>
    <t>Fantasy/Adventure</t>
  </si>
  <si>
    <t>The Silence of the Lambs</t>
  </si>
  <si>
    <t>Jonathan Demme</t>
  </si>
  <si>
    <t>Thriller/Crime</t>
  </si>
  <si>
    <t>Avatar</t>
  </si>
  <si>
    <t>The Social Network</t>
  </si>
  <si>
    <t>Saving Private Ryan</t>
  </si>
  <si>
    <t>War/Drama</t>
  </si>
  <si>
    <t>Braveheart</t>
  </si>
  <si>
    <t>Mel Gibson</t>
  </si>
  <si>
    <t>La La Land</t>
  </si>
  <si>
    <t>Damien Chazelle</t>
  </si>
  <si>
    <t>Romance/Musical</t>
  </si>
  <si>
    <t>Black Panther</t>
  </si>
  <si>
    <t>Ryan Coogler</t>
  </si>
  <si>
    <t>The Shawshank Redemption</t>
  </si>
  <si>
    <t>Frank Darabont</t>
  </si>
  <si>
    <t>Goodfellas</t>
  </si>
  <si>
    <t>Martin Scorsese</t>
  </si>
  <si>
    <t>The Departed</t>
  </si>
  <si>
    <t>Crime/Thriller</t>
  </si>
  <si>
    <t>The Prestige</t>
  </si>
  <si>
    <t>Drama/Thriller</t>
  </si>
  <si>
    <t>Pgroup</t>
  </si>
  <si>
    <t>Product Group Name</t>
  </si>
  <si>
    <t>ឈ្មោះក្រុមទំនិញ</t>
  </si>
  <si>
    <t>Brand Name</t>
  </si>
  <si>
    <t>ឈ្មោះម៉ាក</t>
  </si>
  <si>
    <t>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</si>
</sst>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5">
    <numFmt numFmtId="8" formatCode="&quot;$&quot;#,##0.00_);[Red]\(&quot;$&quot;#,##0.00\)"/>
    <numFmt numFmtId="43" formatCode="_(* #,##0.00_);_(* \(#,##0.00\);_(* &quot;-&quot;??_);_(@_)"/>
    <numFmt numFmtId="164" formatCode="&quot;£&quot;#,##0.00"/>
    <numFmt numFmtId="165" formatCode="_(* #,##0_);_(* \(#,##0\);_(* &quot;-&quot;??_);_(@_)"/>
    <numFmt numFmtId="166" formatCode="00000"/>
    <numFmt numFmtId="167" formatCode="_ [$R-46C]\ * #,##0_ ;_ [$R-46C]\ * \-#,##0_ ;_ [$R-46C]\ * \-_ ;_ @_ "/>
    <numFmt numFmtId="168" formatCode="_-[$$-409]* #,##0.00_ ;_-[$$-409]* \-#,##0.00\ ;_-[$$-409]* &quot;-&quot;??_ ;_-@_ "/>
    <numFmt numFmtId="169" formatCode="yyyy"/>
    <numFmt numFmtId="170" formatCode="_-[$R-46C]\ * #,##0_-;\-[$R-46C]\ * #,##0_-;_-[$R-46C]\ * &quot;-&quot;??_-;_-@_-"/>
    <numFmt numFmtId="171" formatCode="0;[Red]0"/>
    <numFmt numFmtId="172" formatCode="#,##0\ [$៛]\ "/>
    <numFmt numFmtId="173" formatCode="_-[$R-46C]\ * #,##0.00_-;\-[$R-46C]\ * #,##0.00_-;_-[$R-46C]\ * &quot;-&quot;??_-;_-@_-"/>
    <numFmt numFmtId="174" formatCode="[$-12000453]0"/>
    <numFmt numFmtId="175" formatCode="#,##0;[Red]#,##0"/>
    <numFmt numFmtId="176" formatCode="0#"/>
    <numFmt numFmtId="177" formatCode="0.000000000"/>
    <numFmt numFmtId="178" formatCode="\R\ #,##0_);\(\R\ #,##0\)"/>
    <numFmt numFmtId="179" formatCode="dd/mm/yyyy\ h:mm:ss"/>
    <numFmt numFmtId="180" formatCode="_([$$-409]* #,##0.00_);_([$$-409]* \(#,##0.00\);_([$$-409]* &quot;-&quot;??_);_(@_)"/>
    <numFmt numFmtId="181" formatCode="_([$$-409]* #,##0.0000_);_([$$-409]* \(#,##0.0000\);_([$$-409]* &quot;-&quot;??_);_(@_)"/>
    <numFmt numFmtId="182" formatCode="#,##0.000"/>
    <numFmt numFmtId="183" formatCode="0.000"/>
    <numFmt numFmtId="184" formatCode="_-[$៛-46C]\ * #,##0_-;\-[$៛-46C]\ * #,##0_-;_-[$៛-46C]\ * &quot;-&quot;??_-;_-@_-"/>
    <numFmt numFmtId="185" formatCode="_-[$$-409]* #,##0.0000_ ;_-[$$-409]* \-#,##0.0000\ ;_-[$$-409]* &quot;-&quot;??_ ;_-@_ "/>
    <numFmt numFmtId="186" formatCode="#,##0.0000"/>
  </numFmts>
  <fonts count="297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6"/>
      <color theme="1"/>
      <name val="Khmer OS Muol Light"/>
    </font>
    <font>
      <sz val="10"/>
      <color theme="1"/>
      <name val="Calibri"/>
      <family val="2"/>
      <scheme val="minor"/>
    </font>
    <font>
      <sz val="10"/>
      <color theme="1"/>
      <name val="Khmer OS Battambang"/>
    </font>
    <font>
      <b/>
      <sz val="11"/>
      <color theme="1"/>
      <name val="Khmer OS Battambang"/>
    </font>
    <font>
      <sz val="11"/>
      <color theme="1"/>
      <name val="Khmer OS Battambang"/>
    </font>
    <font>
      <sz val="11"/>
      <color theme="1"/>
      <name val="Khmer OS Siemreap"/>
    </font>
    <font>
      <sz val="10"/>
      <color theme="1"/>
      <name val="Khmer OS Siemreap"/>
    </font>
    <font>
      <b/>
      <sz val="11"/>
      <color theme="1"/>
      <name val="Khmer OS Siemreap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0"/>
      <name val="Khmer OS Siemreap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Khmer OS Siemreap"/>
    </font>
    <font>
      <sz val="11"/>
      <name val="Calibri"/>
      <family val="2"/>
      <scheme val="minor"/>
    </font>
    <font>
      <sz val="10"/>
      <name val="Khmer OS Battambang"/>
    </font>
    <font>
      <b/>
      <sz val="12"/>
      <color theme="1"/>
      <name val="Khmer OS Siemreap"/>
    </font>
    <font>
      <sz val="14"/>
      <color theme="1"/>
      <name val="IDAHC39M Code 39 Barcode"/>
      <family val="1"/>
      <charset val="2"/>
    </font>
    <font>
      <b/>
      <sz val="14"/>
      <color theme="1"/>
      <name val="Calibri"/>
      <family val="2"/>
      <scheme val="minor"/>
    </font>
    <font>
      <sz val="10"/>
      <name val="Khmer OS Siemreap"/>
    </font>
    <font>
      <b/>
      <sz val="12"/>
      <color theme="1"/>
      <name val="Calibri"/>
      <family val="2"/>
      <scheme val="minor"/>
    </font>
    <font>
      <sz val="9"/>
      <color theme="1"/>
      <name val="Khmer OS Battambang"/>
    </font>
    <font>
      <sz val="22"/>
      <color rgb="FF0070C0"/>
      <name val="Calibri"/>
      <family val="2"/>
      <scheme val="minor"/>
    </font>
    <font>
      <sz val="12"/>
      <color theme="1"/>
      <name val="!Khmer OS System"/>
    </font>
    <font>
      <sz val="11"/>
      <name val="!Khmer OS System"/>
    </font>
    <font>
      <sz val="12"/>
      <name val="!Khmer OS System"/>
    </font>
    <font>
      <sz val="26"/>
      <color rgb="FF0070C0"/>
      <name val="Khmer OS Muol Light"/>
    </font>
    <font>
      <i/>
      <sz val="10"/>
      <color theme="1"/>
      <name val="Khmer OS Battambang"/>
    </font>
    <font>
      <i/>
      <sz val="11"/>
      <color theme="1"/>
      <name val="Khmer OS Siemreap"/>
    </font>
    <font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Khmer OS Content"/>
    </font>
    <font>
      <sz val="11"/>
      <color theme="1"/>
      <name val="Roboto"/>
    </font>
    <font>
      <b/>
      <sz val="12"/>
      <color theme="1"/>
      <name val="Roboto"/>
    </font>
    <font>
      <sz val="9"/>
      <color theme="1"/>
      <name val="Calibri"/>
      <family val="2"/>
      <scheme val="minor"/>
    </font>
    <font>
      <sz val="11"/>
      <color theme="1"/>
      <name val="Content"/>
    </font>
    <font>
      <sz val="10"/>
      <color theme="1"/>
      <name val="Content"/>
    </font>
    <font>
      <sz val="10"/>
      <color theme="1"/>
      <name val="Roboto"/>
    </font>
    <font>
      <sz val="10"/>
      <name val="Khmer OS"/>
    </font>
    <font>
      <sz val="12"/>
      <name val="Roboto"/>
    </font>
    <font>
      <sz val="12"/>
      <color theme="1"/>
      <name val="Content"/>
    </font>
    <font>
      <sz val="12"/>
      <color theme="1"/>
      <name val="Roboto"/>
    </font>
    <font>
      <b/>
      <sz val="12"/>
      <color theme="1"/>
      <name val="Content"/>
    </font>
    <font>
      <sz val="11"/>
      <color theme="1"/>
      <name val="Khmer OS Freehand"/>
    </font>
    <font>
      <sz val="11"/>
      <color theme="1"/>
      <name val="Khmer OS Freehand-Kh Auto"/>
    </font>
    <font>
      <b/>
      <sz val="12"/>
      <color theme="0"/>
      <name val="Content"/>
    </font>
    <font>
      <b/>
      <sz val="11"/>
      <color theme="1"/>
      <name val="Roboto"/>
    </font>
    <font>
      <sz val="11"/>
      <color theme="1"/>
      <name val="Calibri Light"/>
      <family val="2"/>
      <scheme val="major"/>
    </font>
    <font>
      <sz val="11"/>
      <color theme="0"/>
      <name val="Roboto"/>
    </font>
    <font>
      <sz val="11"/>
      <color rgb="FFFF0000"/>
      <name val="Roboto"/>
    </font>
    <font>
      <sz val="11"/>
      <color theme="0"/>
      <name val="Content"/>
    </font>
    <font>
      <sz val="10"/>
      <color theme="0"/>
      <name val="Roboto"/>
    </font>
    <font>
      <sz val="14"/>
      <color rgb="FFFF0000"/>
      <name val="Roboto Medium"/>
    </font>
    <font>
      <sz val="11"/>
      <color rgb="FFFF0000"/>
      <name val="Content"/>
    </font>
    <font>
      <sz val="10"/>
      <color rgb="FFFF0000"/>
      <name val="Roboto"/>
    </font>
    <font>
      <sz val="11"/>
      <color theme="1"/>
      <name val="Roboto Medium"/>
    </font>
    <font>
      <sz val="12"/>
      <color theme="0"/>
      <name val="Content"/>
    </font>
    <font>
      <sz val="12"/>
      <color theme="1"/>
      <name val="Roboto Medium"/>
    </font>
    <font>
      <b/>
      <sz val="10"/>
      <color rgb="FF003399"/>
      <name val="Content"/>
    </font>
    <font>
      <b/>
      <sz val="11"/>
      <color theme="1"/>
      <name val="Content"/>
    </font>
    <font>
      <b/>
      <sz val="11"/>
      <color rgb="FFFF0000"/>
      <name val="Roboto"/>
    </font>
    <font>
      <sz val="12"/>
      <color rgb="FFFF0000"/>
      <name val="Roboto"/>
    </font>
    <font>
      <sz val="11"/>
      <color rgb="FF002060"/>
      <name val="Content"/>
    </font>
    <font>
      <sz val="10"/>
      <color theme="0"/>
      <name val="Content"/>
    </font>
    <font>
      <b/>
      <sz val="12"/>
      <color theme="0"/>
      <name val="Roboto"/>
    </font>
    <font>
      <sz val="12"/>
      <color theme="0"/>
      <name val="Roboto"/>
    </font>
    <font>
      <sz val="11"/>
      <color rgb="FFFF0000"/>
      <name val="Khmer OS Siemreap"/>
    </font>
    <font>
      <sz val="12"/>
      <color theme="1"/>
      <name val="Khmer OS Siemreap"/>
    </font>
    <font>
      <sz val="14"/>
      <color theme="1"/>
      <name val="Roboto Medium"/>
    </font>
    <font>
      <sz val="12"/>
      <color theme="1"/>
      <name val="Khmer OS Battambang"/>
    </font>
    <font>
      <sz val="12"/>
      <color rgb="FF0066CC"/>
      <name val="Roboto"/>
    </font>
    <font>
      <sz val="20"/>
      <color rgb="FF000099"/>
      <name val="Khmer OS Moul Light"/>
    </font>
    <font>
      <sz val="12"/>
      <color rgb="FF00B050"/>
      <name val="Roboto Medium"/>
    </font>
    <font>
      <sz val="12"/>
      <name val="Khmer OS Battambang"/>
    </font>
    <font>
      <sz val="18"/>
      <color rgb="FF0066CC"/>
      <name val="Roboto"/>
    </font>
    <font>
      <sz val="20"/>
      <color rgb="FF0066CC"/>
      <name val="Khmer OS Moul Light"/>
    </font>
    <font>
      <sz val="18"/>
      <color rgb="FF0066CC"/>
      <name val="Roboto Medium"/>
    </font>
    <font>
      <sz val="14"/>
      <color theme="0"/>
      <name val="Roboto Medium"/>
    </font>
    <font>
      <sz val="11"/>
      <color rgb="FF0066CC"/>
      <name val="Roboto"/>
    </font>
    <font>
      <sz val="14"/>
      <color theme="1"/>
      <name val="Roboto"/>
    </font>
    <font>
      <sz val="11"/>
      <color rgb="FF0070C0"/>
      <name val="Roboto"/>
    </font>
    <font>
      <sz val="18"/>
      <color theme="1"/>
      <name val="Khmer Muol"/>
    </font>
    <font>
      <sz val="11"/>
      <color rgb="FF0070C0"/>
      <name val="Content"/>
    </font>
    <font>
      <sz val="12"/>
      <color rgb="FF0070C0"/>
      <name val="Khmer OS Battambang"/>
    </font>
    <font>
      <sz val="10"/>
      <color rgb="FF0070C0"/>
      <name val="Roboto"/>
    </font>
    <font>
      <sz val="18"/>
      <color theme="1"/>
      <name val="Moul"/>
    </font>
    <font>
      <sz val="14"/>
      <color rgb="FF0070C0"/>
      <name val="Roboto Medium"/>
    </font>
    <font>
      <sz val="12"/>
      <color rgb="FF0070C0"/>
      <name val="Content"/>
    </font>
    <font>
      <sz val="22"/>
      <color rgb="FF0066CC"/>
      <name val="Moul"/>
    </font>
    <font>
      <b/>
      <sz val="14"/>
      <color rgb="FF0066CC"/>
      <name val="Content"/>
    </font>
    <font>
      <sz val="16"/>
      <color rgb="FFFF0000"/>
      <name val="Roboto Medium"/>
    </font>
    <font>
      <sz val="12"/>
      <color rgb="FF0070C0"/>
      <name val="Roboto Medium"/>
    </font>
    <font>
      <sz val="12"/>
      <color rgb="FF0066CC"/>
      <name val="Content"/>
    </font>
    <font>
      <sz val="11"/>
      <color rgb="FF002060"/>
      <name val="Khmer OS Battambang"/>
    </font>
    <font>
      <sz val="14"/>
      <color rgb="FF0066CC"/>
      <name val="Content"/>
    </font>
    <font>
      <sz val="11"/>
      <color rgb="FF0066CC"/>
      <name val="Content"/>
    </font>
    <font>
      <u/>
      <sz val="12"/>
      <color rgb="FF0070C0"/>
      <name val="Roboto"/>
    </font>
    <font>
      <b/>
      <sz val="24"/>
      <color rgb="FF0070C0"/>
      <name val="Roboto"/>
    </font>
    <font>
      <sz val="12"/>
      <color rgb="FF0066CC"/>
      <name val="Roboto Medium"/>
    </font>
    <font>
      <b/>
      <sz val="11"/>
      <color rgb="FF0070C0"/>
      <name val="Content"/>
    </font>
    <font>
      <sz val="18"/>
      <color rgb="FF0070C0"/>
      <name val="Khmer Muol"/>
    </font>
    <font>
      <b/>
      <u/>
      <sz val="11"/>
      <color rgb="FF0070C0"/>
      <name val="Content"/>
    </font>
    <font>
      <sz val="12"/>
      <color rgb="FF0066CC"/>
      <name val="Khmer OS Battambang"/>
    </font>
    <font>
      <sz val="16"/>
      <color theme="1"/>
      <name val="Roboto Medium"/>
    </font>
    <font>
      <sz val="14"/>
      <color rgb="FF0070C0"/>
      <name val="Content"/>
    </font>
    <font>
      <sz val="22"/>
      <color rgb="FF0070C0"/>
      <name val="Khmer Muol"/>
    </font>
    <font>
      <sz val="11"/>
      <color rgb="FF0070C0"/>
      <name val="Calibri"/>
      <family val="2"/>
      <scheme val="minor"/>
    </font>
    <font>
      <u/>
      <sz val="18"/>
      <color rgb="FF0070C0"/>
      <name val="Khmer Muol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6"/>
      <color rgb="FF0070C0"/>
      <name val="Khmer Muol"/>
    </font>
    <font>
      <u/>
      <sz val="11"/>
      <color rgb="FF0070C0"/>
      <name val="Content"/>
    </font>
    <font>
      <b/>
      <sz val="12"/>
      <color rgb="FF0070C0"/>
      <name val="Content"/>
    </font>
    <font>
      <b/>
      <u/>
      <sz val="12"/>
      <color rgb="FF0070C0"/>
      <name val="Content"/>
    </font>
    <font>
      <sz val="20"/>
      <color theme="1"/>
      <name val="Khmer Muol"/>
    </font>
    <font>
      <sz val="12"/>
      <color theme="1"/>
      <name val="Khmer Muol"/>
    </font>
    <font>
      <u/>
      <sz val="12"/>
      <color rgb="FF0070C0"/>
      <name val="Content"/>
    </font>
    <font>
      <sz val="20"/>
      <color theme="1"/>
      <name val="Khmer OS Moul Light"/>
    </font>
    <font>
      <sz val="18"/>
      <color theme="1"/>
      <name val="Roboto"/>
    </font>
    <font>
      <sz val="18"/>
      <color theme="1"/>
      <name val="Roboto Medium"/>
    </font>
    <font>
      <sz val="12"/>
      <color theme="1" tint="0.34998626667073579"/>
      <name val="Content"/>
    </font>
    <font>
      <sz val="14"/>
      <color rgb="FF0066CC"/>
      <name val="Roboto Medium"/>
    </font>
    <font>
      <sz val="10"/>
      <color rgb="FF0066CC"/>
      <name val="Content"/>
    </font>
    <font>
      <sz val="10"/>
      <color rgb="FF0066CC"/>
      <name val="Roboto"/>
    </font>
    <font>
      <sz val="14"/>
      <color theme="0"/>
      <name val="Kh Muol"/>
    </font>
    <font>
      <sz val="11"/>
      <color rgb="FF000000"/>
      <name val="Calibri"/>
      <family val="2"/>
    </font>
    <font>
      <sz val="10"/>
      <color rgb="FFFF0000"/>
      <name val="Content"/>
    </font>
    <font>
      <sz val="12"/>
      <color theme="0" tint="-0.14999847407452621"/>
      <name val="Content"/>
    </font>
    <font>
      <sz val="12"/>
      <color theme="0" tint="-0.14999847407452621"/>
      <name val="Roboto Medium"/>
    </font>
    <font>
      <sz val="12"/>
      <color theme="0" tint="-0.14999847407452621"/>
      <name val="Roboto"/>
    </font>
    <font>
      <sz val="12"/>
      <color theme="0" tint="-0.14999847407452621"/>
      <name val="Khmer OS Battambang"/>
    </font>
    <font>
      <sz val="14"/>
      <color theme="1"/>
      <name val="Khmer OS Battambang"/>
    </font>
    <font>
      <sz val="12"/>
      <color theme="0"/>
      <name val="Roboto Medium"/>
    </font>
    <font>
      <sz val="22"/>
      <color rgb="FF0070C0"/>
      <name val="Moul"/>
    </font>
    <font>
      <sz val="10"/>
      <color theme="1"/>
      <name val="Khmer OS Content"/>
    </font>
    <font>
      <sz val="11"/>
      <color rgb="FF0066CC"/>
      <name val="Khmer OS Content"/>
    </font>
    <font>
      <u/>
      <sz val="18"/>
      <color rgb="FFFF0000"/>
      <name val="Khmer Muol"/>
    </font>
    <font>
      <sz val="10"/>
      <color rgb="FFFF0000"/>
      <name val="Roboto Medium"/>
    </font>
    <font>
      <sz val="16"/>
      <color theme="1"/>
      <name val="Moul"/>
    </font>
    <font>
      <u/>
      <sz val="11"/>
      <color rgb="FF0066CC"/>
      <name val="Content"/>
    </font>
    <font>
      <u/>
      <sz val="12"/>
      <color theme="1"/>
      <name val="Roboto"/>
    </font>
    <font>
      <u/>
      <sz val="12"/>
      <color theme="1"/>
      <name val="Content"/>
    </font>
    <font>
      <b/>
      <sz val="20"/>
      <color rgb="FF0070C0"/>
      <name val="Roboto"/>
    </font>
    <font>
      <sz val="12"/>
      <color rgb="FF000000"/>
      <name val="Roboto"/>
    </font>
    <font>
      <sz val="11"/>
      <color rgb="FF0066CC"/>
      <name val="Roboto "/>
    </font>
    <font>
      <sz val="10"/>
      <color theme="1"/>
      <name val="Arial Unicode MS"/>
    </font>
    <font>
      <b/>
      <sz val="12"/>
      <color theme="1"/>
      <name val="Khmer OS Battambang"/>
    </font>
    <font>
      <u/>
      <sz val="18"/>
      <color rgb="FF0070C0"/>
      <name val="Khmer OS Battambang"/>
    </font>
    <font>
      <u/>
      <sz val="12"/>
      <color rgb="FF0066CC"/>
      <name val="Roboto"/>
    </font>
    <font>
      <b/>
      <sz val="9"/>
      <color indexed="81"/>
      <name val="Roboto"/>
    </font>
    <font>
      <sz val="18"/>
      <color rgb="FF0070C0"/>
      <name val="Khmer OS Muol Light"/>
    </font>
    <font>
      <u/>
      <sz val="11"/>
      <color theme="10"/>
      <name val="Khmer OS Siemreap"/>
    </font>
    <font>
      <sz val="8"/>
      <color theme="1"/>
      <name val="Arial"/>
      <family val="2"/>
    </font>
    <font>
      <sz val="11"/>
      <color theme="1"/>
      <name val="QR"/>
    </font>
    <font>
      <sz val="13"/>
      <color theme="1"/>
      <name val="Khmer OS Siemreap"/>
    </font>
    <font>
      <sz val="13"/>
      <color theme="1"/>
      <name val="Arial"/>
      <family val="2"/>
    </font>
    <font>
      <b/>
      <sz val="13"/>
      <color theme="1"/>
      <name val="Arial"/>
      <family val="2"/>
    </font>
    <font>
      <sz val="13"/>
      <color theme="1"/>
      <name val="Khmer OS Muol Light"/>
    </font>
    <font>
      <sz val="13"/>
      <color theme="1"/>
      <name val="Calibri"/>
      <family val="2"/>
      <scheme val="minor"/>
    </font>
    <font>
      <sz val="13"/>
      <name val="Arial"/>
      <family val="2"/>
    </font>
    <font>
      <b/>
      <sz val="13"/>
      <color theme="1"/>
      <name val="Khmer OS Siemreap"/>
    </font>
    <font>
      <b/>
      <sz val="13"/>
      <color theme="1"/>
      <name val="Calibri"/>
      <family val="2"/>
      <scheme val="minor"/>
    </font>
    <font>
      <sz val="13"/>
      <color theme="1"/>
      <name val="Khmer OS Battambang"/>
    </font>
    <font>
      <b/>
      <sz val="12"/>
      <color theme="1"/>
      <name val="Arial"/>
      <family val="2"/>
    </font>
    <font>
      <b/>
      <sz val="10"/>
      <color theme="1"/>
      <name val="Khmer OS Muol Light"/>
    </font>
    <font>
      <u/>
      <sz val="11"/>
      <color rgb="FF000000"/>
      <name val="Khmer OS Muol Light"/>
    </font>
    <font>
      <sz val="13"/>
      <color theme="1"/>
      <name val="Roboto"/>
    </font>
    <font>
      <sz val="13"/>
      <color rgb="FF0070C0"/>
      <name val="Roboto Medium"/>
    </font>
    <font>
      <i/>
      <sz val="13"/>
      <color rgb="FF0066CC"/>
      <name val="Khmer OS Siemreap"/>
    </font>
    <font>
      <i/>
      <sz val="13"/>
      <color rgb="FF0066CC"/>
      <name val="Arial"/>
      <family val="2"/>
    </font>
    <font>
      <sz val="11"/>
      <color rgb="FF000000"/>
      <name val="Roboto"/>
    </font>
    <font>
      <sz val="13"/>
      <color rgb="FF000000"/>
      <name val="Roboto"/>
    </font>
    <font>
      <sz val="13"/>
      <color theme="1"/>
      <name val="Roboto Medium"/>
    </font>
    <font>
      <sz val="14"/>
      <color rgb="FF0066CC"/>
      <name val="Khmer OS Muol Light"/>
    </font>
    <font>
      <sz val="12"/>
      <color theme="1"/>
      <name val="Khmer OS Muol Light"/>
    </font>
    <font>
      <sz val="12"/>
      <color rgb="FF000000"/>
      <name val="Khmer OS Muol Light"/>
    </font>
    <font>
      <sz val="12"/>
      <color rgb="FF000000"/>
      <name val="Arial"/>
      <family val="2"/>
    </font>
    <font>
      <b/>
      <sz val="12"/>
      <color rgb="FF000000"/>
      <name val="Arial"/>
      <family val="2"/>
    </font>
    <font>
      <i/>
      <sz val="12"/>
      <color theme="1"/>
      <name val="Khmer OS Battambang"/>
    </font>
    <font>
      <b/>
      <i/>
      <sz val="12"/>
      <color theme="1"/>
      <name val="Khmer OS Battambang"/>
    </font>
    <font>
      <i/>
      <sz val="13"/>
      <color theme="1"/>
      <name val="Khmer OS Siemreap"/>
    </font>
    <font>
      <i/>
      <sz val="12"/>
      <color theme="1"/>
      <name val="Roboto"/>
    </font>
    <font>
      <b/>
      <i/>
      <sz val="12"/>
      <color theme="1"/>
      <name val="Roboto"/>
    </font>
    <font>
      <i/>
      <sz val="13"/>
      <color theme="1"/>
      <name val="Arial"/>
      <family val="2"/>
    </font>
    <font>
      <sz val="12"/>
      <color theme="0" tint="-0.249977111117893"/>
      <name val="Roboto"/>
    </font>
    <font>
      <sz val="11"/>
      <color theme="0" tint="-0.249977111117893"/>
      <name val="Content"/>
    </font>
    <font>
      <sz val="12"/>
      <color theme="0" tint="-0.249977111117893"/>
      <name val="Content"/>
    </font>
    <font>
      <sz val="10"/>
      <color theme="0" tint="-0.249977111117893"/>
      <name val="Roboto"/>
    </font>
    <font>
      <sz val="11"/>
      <color theme="0" tint="-0.249977111117893"/>
      <name val="Roboto"/>
    </font>
    <font>
      <b/>
      <sz val="13"/>
      <color theme="1"/>
      <name val="Khmer OS Battambang"/>
    </font>
    <font>
      <u/>
      <sz val="12"/>
      <color theme="1"/>
      <name val="Roboto Medium"/>
    </font>
    <font>
      <b/>
      <u/>
      <sz val="11"/>
      <color theme="1"/>
      <name val="Content"/>
    </font>
    <font>
      <u/>
      <sz val="11"/>
      <color theme="1"/>
      <name val="Content"/>
    </font>
    <font>
      <sz val="12"/>
      <color theme="1"/>
      <name val="Arial"/>
      <family val="2"/>
    </font>
    <font>
      <b/>
      <u/>
      <sz val="12"/>
      <color theme="1"/>
      <name val="Content"/>
    </font>
    <font>
      <u/>
      <sz val="10"/>
      <color theme="0"/>
      <name val="Khmer Muol"/>
    </font>
    <font>
      <sz val="10"/>
      <color theme="0"/>
      <name val="Roboto Medium"/>
    </font>
    <font>
      <u/>
      <sz val="12"/>
      <color rgb="FF0066CC"/>
      <name val="Content"/>
    </font>
    <font>
      <sz val="18"/>
      <color rgb="FF0070C0"/>
      <name val="Moul"/>
    </font>
    <font>
      <sz val="18"/>
      <color theme="1"/>
      <name val="Calibri"/>
      <family val="2"/>
      <scheme val="minor"/>
    </font>
    <font>
      <sz val="22"/>
      <color rgb="FF0066CC"/>
      <name val="Kh Muol"/>
    </font>
    <font>
      <sz val="11"/>
      <color theme="0" tint="-0.249977111117893"/>
      <name val="Khmer OS Battambang"/>
    </font>
    <font>
      <sz val="11"/>
      <color theme="0" tint="-0.14999847407452621"/>
      <name val="Calibri"/>
      <family val="2"/>
      <scheme val="minor"/>
    </font>
    <font>
      <vertAlign val="superscript"/>
      <sz val="12"/>
      <color theme="1"/>
      <name val="Roboto"/>
    </font>
    <font>
      <sz val="12"/>
      <color theme="0" tint="-0.249977111117893"/>
      <name val="Khmer OS Battambang"/>
    </font>
    <font>
      <sz val="12"/>
      <color theme="1"/>
      <name val="Khmer OS Content"/>
    </font>
    <font>
      <sz val="12"/>
      <color rgb="FFFF0000"/>
      <name val="Khmer OS Battambang"/>
    </font>
    <font>
      <sz val="18"/>
      <color rgb="FF0066CC"/>
      <name val="Khmer Muol"/>
    </font>
    <font>
      <sz val="16"/>
      <color rgb="FF0066CC"/>
      <name val="Roboto"/>
    </font>
    <font>
      <sz val="14"/>
      <color rgb="FF0066CC"/>
      <name val="Kh Muol"/>
    </font>
    <font>
      <sz val="13"/>
      <color rgb="FF0066CC"/>
      <name val="Khmer OS Battambang"/>
    </font>
    <font>
      <sz val="20"/>
      <color rgb="FF0066CC"/>
      <name val="Khmer Muol"/>
    </font>
    <font>
      <u/>
      <sz val="18"/>
      <color rgb="FF0066CC"/>
      <name val="Khmer Muol"/>
    </font>
    <font>
      <sz val="10"/>
      <color rgb="FF0070C0"/>
      <name val="Khmer OS Battambang"/>
    </font>
    <font>
      <u/>
      <sz val="18"/>
      <color theme="0"/>
      <name val="Khmer Muol"/>
    </font>
    <font>
      <sz val="13"/>
      <color theme="0"/>
      <name val="Khmer OS Battambang"/>
    </font>
    <font>
      <sz val="18"/>
      <color rgb="FF0066CC"/>
      <name val="Moul"/>
    </font>
    <font>
      <sz val="14"/>
      <color rgb="FF0066CC"/>
      <name val="Moul"/>
    </font>
    <font>
      <sz val="22"/>
      <color rgb="FF0066CC"/>
      <name val="Khmer Muol"/>
    </font>
    <font>
      <sz val="48"/>
      <color rgb="FF0066CC"/>
      <name val="Roboto Medium"/>
    </font>
    <font>
      <sz val="16"/>
      <color rgb="FF0066CC"/>
      <name val="Moul"/>
    </font>
    <font>
      <sz val="11"/>
      <color rgb="FF0066CC"/>
      <name val="Khmer OS Freehand-Kh Auto"/>
    </font>
    <font>
      <sz val="11"/>
      <color rgb="FF0066CC"/>
      <name val="Calibri"/>
      <family val="2"/>
      <scheme val="minor"/>
    </font>
    <font>
      <sz val="12"/>
      <color rgb="FF0066CC"/>
      <name val="Moul"/>
    </font>
    <font>
      <sz val="11"/>
      <color rgb="FF0066CC"/>
      <name val="Khmer OS Battambang"/>
    </font>
    <font>
      <sz val="14"/>
      <color rgb="FF0066CC"/>
      <name val="Khmer OS Battambang"/>
    </font>
    <font>
      <sz val="16"/>
      <color rgb="FF0066CC"/>
      <name val="Khmer OS Battambang"/>
    </font>
    <font>
      <sz val="20"/>
      <color rgb="FF0066CC"/>
      <name val="myicons"/>
      <family val="3"/>
    </font>
    <font>
      <sz val="24"/>
      <color rgb="FF0066CC"/>
      <name val="myicons"/>
      <family val="3"/>
    </font>
    <font>
      <sz val="24"/>
      <color rgb="FF0070C0"/>
      <name val="Moul"/>
    </font>
    <font>
      <sz val="12"/>
      <color rgb="FF0070C0"/>
      <name val="Roboto"/>
    </font>
    <font>
      <sz val="13"/>
      <color theme="0" tint="-0.14999847407452621"/>
      <name val="Khmer OS Battambang"/>
    </font>
    <font>
      <sz val="11"/>
      <color rgb="FF0066CC"/>
      <name val="Khmer OS Siemreap"/>
    </font>
    <font>
      <u/>
      <sz val="12"/>
      <color rgb="FF000000"/>
      <name val="Khmer OS Muol Light"/>
    </font>
    <font>
      <sz val="14"/>
      <color theme="1"/>
      <name val="Moul"/>
    </font>
    <font>
      <b/>
      <sz val="14"/>
      <color rgb="FF0066CC"/>
      <name val="Khmer OS Battambang"/>
    </font>
    <font>
      <sz val="14"/>
      <color theme="1"/>
      <name val="Khmer OS Siemreap"/>
    </font>
    <font>
      <u/>
      <sz val="11"/>
      <color theme="10"/>
      <name val="Khmer OS Battambang"/>
    </font>
    <font>
      <u/>
      <sz val="11"/>
      <color theme="1"/>
      <name val="Khmer OS Battambang"/>
    </font>
    <font>
      <u/>
      <sz val="11"/>
      <color theme="1"/>
      <name val="Roboto"/>
    </font>
    <font>
      <sz val="24"/>
      <color rgb="FF0066CC"/>
      <name val="Moul"/>
    </font>
    <font>
      <sz val="11"/>
      <color theme="0"/>
      <name val="Moul"/>
    </font>
    <font>
      <sz val="12"/>
      <color rgb="FF0066CC"/>
      <name val="Khmer OS Content"/>
    </font>
    <font>
      <u/>
      <sz val="12"/>
      <color theme="10"/>
      <name val="Roboto"/>
    </font>
    <font>
      <sz val="12"/>
      <color theme="0" tint="-0.249977111117893"/>
      <name val="Roboto Medium"/>
    </font>
    <font>
      <u/>
      <sz val="11"/>
      <color theme="10"/>
      <name val="Roboto"/>
    </font>
    <font>
      <sz val="11"/>
      <color rgb="FF0070C0"/>
      <name val="Khmer OS Battambang"/>
    </font>
    <font>
      <sz val="10"/>
      <color theme="0" tint="-0.499984740745262"/>
      <name val="Khmer OS Battambang"/>
    </font>
    <font>
      <sz val="12"/>
      <color theme="1"/>
      <name val=".Mondulkiri U h"/>
    </font>
    <font>
      <sz val="14"/>
      <color theme="1"/>
      <name val="Calibri"/>
      <family val="2"/>
      <scheme val="minor"/>
    </font>
    <font>
      <sz val="12"/>
      <color theme="0" tint="-0.34998626667073579"/>
      <name val="Khmer OS Battambang"/>
    </font>
    <font>
      <sz val="11"/>
      <color theme="0" tint="-0.34998626667073579"/>
      <name val="Roboto"/>
    </font>
    <font>
      <sz val="22"/>
      <color theme="1"/>
      <name val="Moul"/>
    </font>
    <font>
      <sz val="22"/>
      <color theme="1"/>
      <name val="Roboto Medium"/>
    </font>
    <font>
      <sz val="13"/>
      <color theme="8" tint="-0.499984740745262"/>
      <name val="Calibri"/>
      <family val="2"/>
      <scheme val="minor"/>
    </font>
    <font>
      <sz val="13"/>
      <color theme="1"/>
      <name val="Moul"/>
    </font>
    <font>
      <sz val="13"/>
      <color theme="8" tint="-0.499984740745262"/>
      <name val="Moul"/>
    </font>
    <font>
      <b/>
      <sz val="13"/>
      <color theme="8" tint="-0.499984740745262"/>
      <name val="Content"/>
    </font>
    <font>
      <b/>
      <sz val="13"/>
      <color theme="8" tint="-0.499984740745262"/>
      <name val="Roboto"/>
    </font>
    <font>
      <sz val="20"/>
      <color theme="1"/>
      <name val="Khmer OS Battambang"/>
    </font>
    <font>
      <sz val="13"/>
      <color theme="1"/>
      <name val="Content"/>
    </font>
    <font>
      <sz val="13"/>
      <color theme="0" tint="-0.249977111117893"/>
      <name val="Roboto"/>
    </font>
    <font>
      <sz val="10"/>
      <color theme="0" tint="-0.249977111117893"/>
      <name val="Khmer OS Battambang"/>
    </font>
    <font>
      <sz val="13"/>
      <color theme="0" tint="-0.249977111117893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3"/>
      <color theme="0" tint="-0.249977111117893"/>
      <name val="Khmer OS Battambang"/>
    </font>
    <font>
      <b/>
      <sz val="12"/>
      <color theme="1"/>
      <name val="Roboto​ Medium"/>
    </font>
    <font>
      <sz val="15"/>
      <color rgb="FF0070C0"/>
      <name val="Khmer OS Battambang"/>
    </font>
    <font>
      <sz val="16"/>
      <color rgb="FF0070C0"/>
      <name val="Roboto Medium"/>
    </font>
    <font>
      <sz val="13"/>
      <color rgb="FF0070C0"/>
      <name val="Khmer OS Battambang"/>
    </font>
    <font>
      <sz val="15"/>
      <color rgb="FF0066CC"/>
      <name val="Khmer OS Battambang"/>
    </font>
    <font>
      <sz val="16"/>
      <color rgb="FF0066CC"/>
      <name val="Roboto Medium"/>
    </font>
    <font>
      <b/>
      <sz val="12"/>
      <color theme="0"/>
      <name val="Khmer OS Battambang"/>
    </font>
    <font>
      <sz val="13"/>
      <color theme="8" tint="-0.499984740745262"/>
      <name val="Khmer OS Battambang"/>
    </font>
    <font>
      <sz val="14"/>
      <color theme="8" tint="-0.499984740745262"/>
      <name val="Roboto"/>
    </font>
    <font>
      <b/>
      <sz val="12"/>
      <color rgb="FF0066CC"/>
      <name val="Khmer OS Freehand"/>
    </font>
    <font>
      <b/>
      <sz val="12"/>
      <color rgb="FF000000"/>
      <name val="Roboto"/>
    </font>
    <font>
      <b/>
      <sz val="13"/>
      <color rgb="FFFF0000"/>
      <name val="Khmer OS Battambang"/>
    </font>
    <font>
      <vertAlign val="superscript"/>
      <sz val="12"/>
      <color theme="1"/>
      <name val="Khmer OS Battambang"/>
    </font>
    <font>
      <sz val="11"/>
      <color rgb="FFD2A8FF"/>
      <name val="Consolas"/>
      <family val="3"/>
    </font>
    <font>
      <sz val="20"/>
      <color rgb="FF0070C0"/>
      <name val="Moul"/>
    </font>
    <font>
      <sz val="20"/>
      <color theme="1"/>
      <name val="Moul"/>
    </font>
    <font>
      <u/>
      <sz val="14"/>
      <color rgb="FF0070C0"/>
      <name val="Khmer Muol"/>
    </font>
    <font>
      <sz val="12"/>
      <color theme="0"/>
      <name val="Khmer OS Battambang"/>
    </font>
    <font>
      <sz val="16"/>
      <color theme="0"/>
      <name val="Roboto"/>
    </font>
    <font>
      <sz val="48"/>
      <color theme="1"/>
      <name val="Roboto"/>
    </font>
    <font>
      <u val="singleAccounting"/>
      <sz val="12"/>
      <color theme="1"/>
      <name val="Khmer OS Battambang"/>
    </font>
    <font>
      <u val="singleAccounting"/>
      <sz val="12"/>
      <color theme="1"/>
      <name val="Roboto"/>
    </font>
    <font>
      <sz val="14"/>
      <color theme="0" tint="-0.14999847407452621"/>
      <name val="Roboto"/>
    </font>
    <font>
      <sz val="11"/>
      <color theme="0" tint="-0.14999847407452621"/>
      <name val="Khmer OS Battambang"/>
    </font>
    <font>
      <sz val="11"/>
      <color theme="1"/>
      <name val="myicons"/>
      <family val="3"/>
    </font>
  </fonts>
  <fills count="1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EFF6FB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23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/>
      <top/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/>
      <diagonal/>
    </border>
    <border>
      <left style="thin">
        <color theme="4" tint="0.79998168889431442"/>
      </left>
      <right style="thin">
        <color theme="4" tint="0.79998168889431442"/>
      </right>
      <top style="thin">
        <color theme="4" tint="0.79998168889431442"/>
      </top>
      <bottom style="thin">
        <color theme="4" tint="0.79998168889431442"/>
      </bottom>
      <diagonal/>
    </border>
    <border>
      <left style="thin">
        <color theme="4" tint="0.59999389629810485"/>
      </left>
      <right style="thin">
        <color theme="4" tint="0.59999389629810485"/>
      </right>
      <top style="thin">
        <color theme="4" tint="0.59999389629810485"/>
      </top>
      <bottom style="thin">
        <color theme="4" tint="0.59999389629810485"/>
      </bottom>
      <diagonal/>
    </border>
    <border>
      <left style="thin">
        <color theme="4" tint="0.59999389629810485"/>
      </left>
      <right/>
      <top style="thin">
        <color theme="4" tint="0.59999389629810485"/>
      </top>
      <bottom/>
      <diagonal/>
    </border>
    <border>
      <left style="thin">
        <color theme="4" tint="0.59999389629810485"/>
      </left>
      <right/>
      <top/>
      <bottom style="thin">
        <color theme="4" tint="0.59999389629810485"/>
      </bottom>
      <diagonal/>
    </border>
    <border>
      <left style="thin">
        <color theme="4" tint="0.59999389629810485"/>
      </left>
      <right style="thin">
        <color theme="4" tint="0.59999389629810485"/>
      </right>
      <top style="thin">
        <color theme="4" tint="0.59999389629810485"/>
      </top>
      <bottom/>
      <diagonal/>
    </border>
    <border>
      <left style="thin">
        <color theme="4" tint="0.59999389629810485"/>
      </left>
      <right style="thin">
        <color theme="4" tint="0.59999389629810485"/>
      </right>
      <top/>
      <bottom style="thin">
        <color theme="4" tint="0.59999389629810485"/>
      </bottom>
      <diagonal/>
    </border>
    <border>
      <left/>
      <right/>
      <top style="thin">
        <color theme="4" tint="0.59999389629810485"/>
      </top>
      <bottom/>
      <diagonal/>
    </border>
    <border>
      <left/>
      <right style="thin">
        <color theme="4" tint="0.59999389629810485"/>
      </right>
      <top style="thin">
        <color theme="4" tint="0.59999389629810485"/>
      </top>
      <bottom/>
      <diagonal/>
    </border>
    <border>
      <left/>
      <right/>
      <top/>
      <bottom style="thin">
        <color theme="4" tint="0.59999389629810485"/>
      </bottom>
      <diagonal/>
    </border>
    <border>
      <left/>
      <right style="thin">
        <color theme="4" tint="0.59999389629810485"/>
      </right>
      <top/>
      <bottom style="thin">
        <color theme="4" tint="0.59999389629810485"/>
      </bottom>
      <diagonal/>
    </border>
    <border>
      <left/>
      <right/>
      <top style="thin">
        <color theme="4" tint="0.59999389629810485"/>
      </top>
      <bottom style="thin">
        <color theme="4" tint="0.59999389629810485"/>
      </bottom>
      <diagonal/>
    </border>
    <border>
      <left/>
      <right style="thin">
        <color theme="4" tint="0.59999389629810485"/>
      </right>
      <top style="thin">
        <color theme="4" tint="0.59999389629810485"/>
      </top>
      <bottom style="thin">
        <color theme="4" tint="0.59999389629810485"/>
      </bottom>
      <diagonal/>
    </border>
    <border>
      <left style="thin">
        <color theme="4" tint="0.59999389629810485"/>
      </left>
      <right/>
      <top style="thin">
        <color theme="4" tint="0.59999389629810485"/>
      </top>
      <bottom style="thin">
        <color theme="4" tint="0.59999389629810485"/>
      </bottom>
      <diagonal/>
    </border>
    <border>
      <left style="medium">
        <color theme="4" tint="0.59999389629810485"/>
      </left>
      <right/>
      <top/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 style="thin">
        <color theme="4" tint="0.39997558519241921"/>
      </right>
      <top/>
      <bottom style="thin">
        <color theme="4" tint="0.39997558519241921"/>
      </bottom>
      <diagonal/>
    </border>
    <border>
      <left/>
      <right/>
      <top style="thin">
        <color theme="4" tint="0.59999389629810485"/>
      </top>
      <bottom style="thin">
        <color theme="0" tint="-0.14999847407452621"/>
      </bottom>
      <diagonal/>
    </border>
    <border>
      <left style="thin">
        <color theme="4" tint="0.59999389629810485"/>
      </left>
      <right style="thin">
        <color theme="4" tint="0.59999389629810485"/>
      </right>
      <top/>
      <bottom/>
      <diagonal/>
    </border>
    <border>
      <left style="medium">
        <color theme="0" tint="-0.14999847407452621"/>
      </left>
      <right/>
      <top style="medium">
        <color theme="0" tint="-0.14999847407452621"/>
      </top>
      <bottom/>
      <diagonal/>
    </border>
    <border>
      <left/>
      <right/>
      <top style="medium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medium">
        <color theme="0" tint="-0.249977111117893"/>
      </left>
      <right style="medium">
        <color theme="0" tint="-0.249977111117893"/>
      </right>
      <top style="medium">
        <color theme="0" tint="-0.249977111117893"/>
      </top>
      <bottom style="medium">
        <color theme="0" tint="-0.249977111117893"/>
      </bottom>
      <diagonal/>
    </border>
    <border>
      <left/>
      <right/>
      <top/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/>
      <bottom/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/>
      <bottom/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0" tint="-0.249977111117893"/>
      </top>
      <bottom style="thin">
        <color theme="0" tint="-0.14999847407452621"/>
      </bottom>
      <diagonal/>
    </border>
    <border>
      <left style="thin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/>
      <right style="thin">
        <color theme="1"/>
      </right>
      <top/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/>
      <top/>
      <bottom style="medium">
        <color theme="0" tint="-0.499984740745262"/>
      </bottom>
      <diagonal/>
    </border>
    <border>
      <left/>
      <right/>
      <top/>
      <bottom style="dashed">
        <color theme="0" tint="-0.499984740745262"/>
      </bottom>
      <diagonal/>
    </border>
    <border>
      <left/>
      <right/>
      <top style="dashed">
        <color theme="0" tint="-0.499984740745262"/>
      </top>
      <bottom style="dashed">
        <color theme="0" tint="-0.49998474074526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/>
      <right style="thin">
        <color theme="1" tint="0.499984740745262"/>
      </right>
      <top/>
      <bottom/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dashed">
        <color theme="0" tint="-0.499984740745262"/>
      </bottom>
      <diagonal/>
    </border>
    <border>
      <left/>
      <right style="thin">
        <color theme="1" tint="0.499984740745262"/>
      </right>
      <top style="dashed">
        <color theme="0" tint="-0.499984740745262"/>
      </top>
      <bottom style="dashed">
        <color theme="0" tint="-0.499984740745262"/>
      </bottom>
      <diagonal/>
    </border>
    <border>
      <left/>
      <right/>
      <top style="dashed">
        <color theme="0" tint="-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dashed">
        <color theme="0" tint="-0.499984740745262"/>
      </top>
      <bottom style="thin">
        <color theme="1" tint="0.49998474074526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3" tint="0.59999389629810485"/>
      </left>
      <right style="thin">
        <color theme="3" tint="0.59999389629810485"/>
      </right>
      <top style="thin">
        <color theme="3" tint="0.59999389629810485"/>
      </top>
      <bottom style="thin">
        <color theme="3" tint="0.59999389629810485"/>
      </bottom>
      <diagonal/>
    </border>
    <border>
      <left style="thin">
        <color theme="3" tint="0.59999389629810485"/>
      </left>
      <right style="thin">
        <color theme="3" tint="0.59999389629810485"/>
      </right>
      <top/>
      <bottom style="thin">
        <color theme="3" tint="0.59999389629810485"/>
      </bottom>
      <diagonal/>
    </border>
    <border>
      <left style="thin">
        <color theme="3" tint="0.59999389629810485"/>
      </left>
      <right style="thin">
        <color theme="3" tint="0.59999389629810485"/>
      </right>
      <top style="thin">
        <color theme="3" tint="0.59999389629810485"/>
      </top>
      <bottom/>
      <diagonal/>
    </border>
    <border>
      <left/>
      <right/>
      <top/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 style="thin">
        <color theme="0" tint="-0.249977111117893"/>
      </top>
      <bottom/>
      <diagonal/>
    </border>
    <border>
      <left/>
      <right style="thin">
        <color theme="0" tint="-0.34998626667073579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4" tint="0.59999389629810485"/>
      </right>
      <top style="thin">
        <color theme="4" tint="0.59999389629810485"/>
      </top>
      <bottom style="thin">
        <color theme="4" tint="0.59999389629810485"/>
      </bottom>
      <diagonal/>
    </border>
    <border>
      <left style="medium">
        <color theme="4" tint="0.59999389629810485"/>
      </left>
      <right/>
      <top style="medium">
        <color theme="4" tint="0.59999389629810485"/>
      </top>
      <bottom/>
      <diagonal/>
    </border>
    <border>
      <left/>
      <right/>
      <top style="medium">
        <color theme="4" tint="0.59999389629810485"/>
      </top>
      <bottom/>
      <diagonal/>
    </border>
    <border>
      <left/>
      <right style="medium">
        <color theme="4" tint="0.59999389629810485"/>
      </right>
      <top style="medium">
        <color theme="4" tint="0.59999389629810485"/>
      </top>
      <bottom/>
      <diagonal/>
    </border>
    <border>
      <left/>
      <right style="medium">
        <color theme="4" tint="0.59999389629810485"/>
      </right>
      <top/>
      <bottom/>
      <diagonal/>
    </border>
    <border>
      <left style="thin">
        <color theme="4" tint="0.79998168889431442"/>
      </left>
      <right style="thin">
        <color theme="4" tint="0.79998168889431442"/>
      </right>
      <top/>
      <bottom style="thin">
        <color theme="4" tint="0.79998168889431442"/>
      </bottom>
      <diagonal/>
    </border>
    <border>
      <left style="medium">
        <color theme="4" tint="0.59999389629810485"/>
      </left>
      <right style="thin">
        <color theme="4" tint="0.59999389629810485"/>
      </right>
      <top style="medium">
        <color theme="4" tint="0.59999389629810485"/>
      </top>
      <bottom/>
      <diagonal/>
    </border>
    <border>
      <left style="thin">
        <color theme="4" tint="0.59999389629810485"/>
      </left>
      <right style="thin">
        <color theme="4" tint="0.59999389629810485"/>
      </right>
      <top style="medium">
        <color theme="4" tint="0.59999389629810485"/>
      </top>
      <bottom/>
      <diagonal/>
    </border>
    <border>
      <left style="thin">
        <color theme="4" tint="0.59999389629810485"/>
      </left>
      <right style="medium">
        <color theme="4" tint="0.59999389629810485"/>
      </right>
      <top style="medium">
        <color theme="4" tint="0.59999389629810485"/>
      </top>
      <bottom/>
      <diagonal/>
    </border>
    <border>
      <left style="medium">
        <color theme="4" tint="0.59999389629810485"/>
      </left>
      <right style="thin">
        <color theme="4" tint="0.59999389629810485"/>
      </right>
      <top/>
      <bottom style="medium">
        <color theme="4" tint="0.59999389629810485"/>
      </bottom>
      <diagonal/>
    </border>
    <border>
      <left style="thin">
        <color theme="4" tint="0.59999389629810485"/>
      </left>
      <right style="thin">
        <color theme="4" tint="0.59999389629810485"/>
      </right>
      <top/>
      <bottom style="medium">
        <color theme="4" tint="0.59999389629810485"/>
      </bottom>
      <diagonal/>
    </border>
    <border>
      <left style="thin">
        <color theme="4" tint="0.59999389629810485"/>
      </left>
      <right style="medium">
        <color theme="4" tint="0.59999389629810485"/>
      </right>
      <top/>
      <bottom style="medium">
        <color theme="4" tint="0.59999389629810485"/>
      </bottom>
      <diagonal/>
    </border>
    <border>
      <left style="thin">
        <color theme="4" tint="0.39997558519241921"/>
      </left>
      <right style="thin">
        <color theme="4" tint="0.59999389629810485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59999389629810485"/>
      </left>
      <right style="thin">
        <color theme="4" tint="0.59999389629810485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59999389629810485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/>
      <right/>
      <top/>
      <bottom style="dotted">
        <color theme="0" tint="-0.499984740745262"/>
      </bottom>
      <diagonal/>
    </border>
    <border>
      <left/>
      <right/>
      <top style="dotted">
        <color theme="0" tint="-0.499984740745262"/>
      </top>
      <bottom style="dotted">
        <color theme="0" tint="-0.499984740745262"/>
      </bottom>
      <diagonal/>
    </border>
    <border>
      <left/>
      <right/>
      <top style="thin">
        <color theme="0" tint="-0.249977111117893"/>
      </top>
      <bottom style="dotted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dotted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dotted">
        <color theme="0" tint="-0.249977111117893"/>
      </bottom>
      <diagonal/>
    </border>
    <border>
      <left style="medium">
        <color theme="0" tint="-0.14999847407452621"/>
      </left>
      <right style="medium">
        <color theme="0" tint="-0.14999847407452621"/>
      </right>
      <top style="medium">
        <color theme="0" tint="-0.14999847407452621"/>
      </top>
      <bottom style="medium">
        <color theme="0" tint="-0.14999847407452621"/>
      </bottom>
      <diagonal/>
    </border>
    <border>
      <left/>
      <right style="medium">
        <color theme="0" tint="-0.14999847407452621"/>
      </right>
      <top style="medium">
        <color theme="0" tint="-0.14999847407452621"/>
      </top>
      <bottom/>
      <diagonal/>
    </border>
    <border>
      <left style="medium">
        <color theme="0" tint="-0.14999847407452621"/>
      </left>
      <right/>
      <top/>
      <bottom/>
      <diagonal/>
    </border>
    <border>
      <left/>
      <right style="medium">
        <color theme="0" tint="-0.14999847407452621"/>
      </right>
      <top/>
      <bottom/>
      <diagonal/>
    </border>
    <border>
      <left style="medium">
        <color theme="0" tint="-0.14999847407452621"/>
      </left>
      <right/>
      <top style="thin">
        <color theme="0" tint="-0.249977111117893"/>
      </top>
      <bottom/>
      <diagonal/>
    </border>
    <border>
      <left/>
      <right style="medium">
        <color theme="0" tint="-0.14999847407452621"/>
      </right>
      <top style="thin">
        <color theme="0" tint="-0.249977111117893"/>
      </top>
      <bottom/>
      <diagonal/>
    </border>
    <border>
      <left style="medium">
        <color theme="0" tint="-0.14999847407452621"/>
      </left>
      <right/>
      <top/>
      <bottom style="medium">
        <color theme="0" tint="-0.14999847407452621"/>
      </bottom>
      <diagonal/>
    </border>
    <border>
      <left/>
      <right/>
      <top/>
      <bottom style="medium">
        <color theme="0" tint="-0.14999847407452621"/>
      </bottom>
      <diagonal/>
    </border>
    <border>
      <left/>
      <right style="medium">
        <color theme="0" tint="-0.14999847407452621"/>
      </right>
      <top/>
      <bottom style="medium">
        <color theme="0" tint="-0.14999847407452621"/>
      </bottom>
      <diagonal/>
    </border>
    <border>
      <left style="medium">
        <color theme="0" tint="-0.14999847407452621"/>
      </left>
      <right/>
      <top style="medium">
        <color theme="0" tint="-0.14999847407452621"/>
      </top>
      <bottom style="medium">
        <color theme="0" tint="-0.14999847407452621"/>
      </bottom>
      <diagonal/>
    </border>
    <border>
      <left/>
      <right/>
      <top style="medium">
        <color theme="0" tint="-0.14999847407452621"/>
      </top>
      <bottom style="medium">
        <color theme="0" tint="-0.14999847407452621"/>
      </bottom>
      <diagonal/>
    </border>
    <border>
      <left/>
      <right style="medium">
        <color theme="0" tint="-0.14999847407452621"/>
      </right>
      <top style="medium">
        <color theme="0" tint="-0.14999847407452621"/>
      </top>
      <bottom style="medium">
        <color theme="0" tint="-0.14999847407452621"/>
      </bottom>
      <diagonal/>
    </border>
    <border>
      <left style="medium">
        <color theme="0" tint="-0.34998626667073579"/>
      </left>
      <right style="medium">
        <color theme="0" tint="-0.34998626667073579"/>
      </right>
      <top style="medium">
        <color theme="0" tint="-0.34998626667073579"/>
      </top>
      <bottom style="medium">
        <color theme="0" tint="-0.34998626667073579"/>
      </bottom>
      <diagonal/>
    </border>
    <border>
      <left style="medium">
        <color theme="0" tint="-0.34998626667073579"/>
      </left>
      <right/>
      <top style="medium">
        <color theme="0" tint="-0.34998626667073579"/>
      </top>
      <bottom style="medium">
        <color theme="0" tint="-0.34998626667073579"/>
      </bottom>
      <diagonal/>
    </border>
    <border>
      <left/>
      <right/>
      <top style="medium">
        <color theme="0" tint="-0.34998626667073579"/>
      </top>
      <bottom style="medium">
        <color theme="0" tint="-0.34998626667073579"/>
      </bottom>
      <diagonal/>
    </border>
    <border>
      <left/>
      <right style="medium">
        <color theme="0" tint="-0.34998626667073579"/>
      </right>
      <top style="medium">
        <color theme="0" tint="-0.34998626667073579"/>
      </top>
      <bottom style="medium">
        <color theme="0" tint="-0.34998626667073579"/>
      </bottom>
      <diagonal/>
    </border>
    <border>
      <left style="medium">
        <color theme="0" tint="-0.34998626667073579"/>
      </left>
      <right/>
      <top style="medium">
        <color theme="0" tint="-0.34998626667073579"/>
      </top>
      <bottom/>
      <diagonal/>
    </border>
    <border>
      <left/>
      <right/>
      <top style="medium">
        <color theme="0" tint="-0.34998626667073579"/>
      </top>
      <bottom/>
      <diagonal/>
    </border>
    <border>
      <left/>
      <right style="medium">
        <color theme="0" tint="-0.34998626667073579"/>
      </right>
      <top style="medium">
        <color theme="0" tint="-0.34998626667073579"/>
      </top>
      <bottom/>
      <diagonal/>
    </border>
    <border>
      <left style="medium">
        <color theme="0" tint="-0.34998626667073579"/>
      </left>
      <right/>
      <top/>
      <bottom/>
      <diagonal/>
    </border>
    <border>
      <left/>
      <right style="medium">
        <color theme="0" tint="-0.34998626667073579"/>
      </right>
      <top/>
      <bottom/>
      <diagonal/>
    </border>
    <border>
      <left style="medium">
        <color theme="0" tint="-0.34998626667073579"/>
      </left>
      <right/>
      <top/>
      <bottom style="medium">
        <color theme="0" tint="-0.34998626667073579"/>
      </bottom>
      <diagonal/>
    </border>
    <border>
      <left/>
      <right/>
      <top/>
      <bottom style="medium">
        <color theme="0" tint="-0.34998626667073579"/>
      </bottom>
      <diagonal/>
    </border>
    <border>
      <left/>
      <right style="medium">
        <color theme="0" tint="-0.34998626667073579"/>
      </right>
      <top/>
      <bottom style="medium">
        <color theme="0" tint="-0.34998626667073579"/>
      </bottom>
      <diagonal/>
    </border>
    <border>
      <left style="medium">
        <color theme="0" tint="-0.34998626667073579"/>
      </left>
      <right/>
      <top style="thin">
        <color theme="0" tint="-0.249977111117893"/>
      </top>
      <bottom/>
      <diagonal/>
    </border>
    <border>
      <left/>
      <right style="medium">
        <color theme="0" tint="-0.34998626667073579"/>
      </right>
      <top style="thin">
        <color theme="0" tint="-0.249977111117893"/>
      </top>
      <bottom/>
      <diagonal/>
    </border>
    <border>
      <left style="medium">
        <color theme="0" tint="-0.499984740745262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/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/>
      <right/>
      <top/>
      <bottom style="dotted">
        <color theme="0" tint="-0.249977111117893"/>
      </bottom>
      <diagonal/>
    </border>
    <border>
      <left/>
      <right/>
      <top style="dotted">
        <color theme="0" tint="-0.249977111117893"/>
      </top>
      <bottom style="dotted">
        <color theme="0" tint="-0.249977111117893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dotted">
        <color theme="0" tint="-0.499984740745262"/>
      </left>
      <right style="dotted">
        <color theme="0" tint="-0.499984740745262"/>
      </right>
      <top style="dotted">
        <color theme="0" tint="-0.499984740745262"/>
      </top>
      <bottom style="dotted">
        <color theme="0" tint="-0.499984740745262"/>
      </bottom>
      <diagonal/>
    </border>
    <border>
      <left/>
      <right/>
      <top style="thin">
        <color rgb="FF0070C0"/>
      </top>
      <bottom/>
      <diagonal/>
    </border>
    <border>
      <left style="dotted">
        <color theme="0" tint="-0.499984740745262"/>
      </left>
      <right/>
      <top style="dotted">
        <color theme="0" tint="-0.499984740745262"/>
      </top>
      <bottom style="dotted">
        <color theme="0" tint="-0.499984740745262"/>
      </bottom>
      <diagonal/>
    </border>
    <border>
      <left/>
      <right style="dotted">
        <color theme="0" tint="-0.499984740745262"/>
      </right>
      <top style="dotted">
        <color theme="0" tint="-0.499984740745262"/>
      </top>
      <bottom style="dotted">
        <color theme="0" tint="-0.499984740745262"/>
      </bottom>
      <diagonal/>
    </border>
    <border>
      <left style="dotted">
        <color theme="0" tint="-0.499984740745262"/>
      </left>
      <right/>
      <top style="dotted">
        <color theme="0" tint="-0.499984740745262"/>
      </top>
      <bottom/>
      <diagonal/>
    </border>
    <border>
      <left/>
      <right style="dotted">
        <color theme="0" tint="-0.499984740745262"/>
      </right>
      <top style="dotted">
        <color theme="0" tint="-0.499984740745262"/>
      </top>
      <bottom/>
      <diagonal/>
    </border>
    <border>
      <left style="dotted">
        <color theme="0" tint="-0.499984740745262"/>
      </left>
      <right/>
      <top/>
      <bottom style="dotted">
        <color theme="0" tint="-0.499984740745262"/>
      </bottom>
      <diagonal/>
    </border>
    <border>
      <left/>
      <right style="dotted">
        <color theme="0" tint="-0.499984740745262"/>
      </right>
      <top/>
      <bottom style="dotted">
        <color theme="0" tint="-0.499984740745262"/>
      </bottom>
      <diagonal/>
    </border>
    <border>
      <left/>
      <right/>
      <top style="dotted">
        <color theme="0" tint="-0.499984740745262"/>
      </top>
      <bottom/>
      <diagonal/>
    </border>
    <border>
      <left style="medium">
        <color theme="4" tint="0.59999389629810485"/>
      </left>
      <right/>
      <top style="medium">
        <color theme="4" tint="0.59999389629810485"/>
      </top>
      <bottom style="medium">
        <color theme="4" tint="0.59999389629810485"/>
      </bottom>
      <diagonal/>
    </border>
    <border>
      <left/>
      <right/>
      <top style="medium">
        <color theme="4" tint="0.59999389629810485"/>
      </top>
      <bottom style="medium">
        <color theme="4" tint="0.59999389629810485"/>
      </bottom>
      <diagonal/>
    </border>
    <border>
      <left/>
      <right style="medium">
        <color theme="4" tint="0.59999389629810485"/>
      </right>
      <top style="medium">
        <color theme="4" tint="0.59999389629810485"/>
      </top>
      <bottom style="medium">
        <color theme="4" tint="0.59999389629810485"/>
      </bottom>
      <diagonal/>
    </border>
    <border>
      <left style="dotted">
        <color theme="1"/>
      </left>
      <right style="dotted">
        <color theme="1"/>
      </right>
      <top style="dotted">
        <color theme="1"/>
      </top>
      <bottom style="dotted">
        <color theme="1"/>
      </bottom>
      <diagonal/>
    </border>
    <border>
      <left style="dotted">
        <color theme="0"/>
      </left>
      <right/>
      <top style="dotted">
        <color theme="0"/>
      </top>
      <bottom/>
      <diagonal/>
    </border>
    <border>
      <left style="dotted">
        <color theme="0"/>
      </left>
      <right/>
      <top/>
      <bottom/>
      <diagonal/>
    </border>
    <border>
      <left style="dotted">
        <color theme="0"/>
      </left>
      <right/>
      <top/>
      <bottom style="dotted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dotted">
        <color theme="1"/>
      </left>
      <right/>
      <top style="dotted">
        <color theme="1"/>
      </top>
      <bottom style="dotted">
        <color theme="1"/>
      </bottom>
      <diagonal/>
    </border>
    <border>
      <left/>
      <right style="dotted">
        <color theme="1"/>
      </right>
      <top style="dotted">
        <color theme="1"/>
      </top>
      <bottom style="dotted">
        <color theme="1"/>
      </bottom>
      <diagonal/>
    </border>
    <border>
      <left/>
      <right/>
      <top/>
      <bottom style="thin">
        <color theme="0" tint="-0.499984740745262"/>
      </bottom>
      <diagonal/>
    </border>
    <border>
      <left style="thin">
        <color rgb="FF0070C0"/>
      </left>
      <right/>
      <top style="thin">
        <color rgb="FF0070C0"/>
      </top>
      <bottom style="thin">
        <color rgb="FF0070C0"/>
      </bottom>
      <diagonal/>
    </border>
    <border>
      <left/>
      <right/>
      <top style="thin">
        <color rgb="FF0070C0"/>
      </top>
      <bottom style="thin">
        <color rgb="FF0070C0"/>
      </bottom>
      <diagonal/>
    </border>
    <border>
      <left style="medium">
        <color theme="0" tint="-0.14999847407452621"/>
      </left>
      <right/>
      <top style="medium">
        <color theme="0" tint="-0.14999847407452621"/>
      </top>
      <bottom style="thin">
        <color rgb="FF0070C0"/>
      </bottom>
      <diagonal/>
    </border>
    <border>
      <left/>
      <right/>
      <top style="medium">
        <color theme="0" tint="-0.14999847407452621"/>
      </top>
      <bottom style="thin">
        <color rgb="FF0070C0"/>
      </bottom>
      <diagonal/>
    </border>
    <border>
      <left/>
      <right style="medium">
        <color theme="0" tint="-0.14999847407452621"/>
      </right>
      <top style="medium">
        <color theme="0" tint="-0.14999847407452621"/>
      </top>
      <bottom style="thin">
        <color rgb="FF0070C0"/>
      </bottom>
      <diagonal/>
    </border>
    <border>
      <left style="medium">
        <color theme="0" tint="-0.14999847407452621"/>
      </left>
      <right/>
      <top style="thin">
        <color rgb="FF0070C0"/>
      </top>
      <bottom/>
      <diagonal/>
    </border>
    <border>
      <left/>
      <right style="medium">
        <color theme="0" tint="-0.14999847407452621"/>
      </right>
      <top style="thin">
        <color rgb="FF0070C0"/>
      </top>
      <bottom/>
      <diagonal/>
    </border>
    <border>
      <left style="medium">
        <color theme="0" tint="-0.14999847407452621"/>
      </left>
      <right/>
      <top style="medium">
        <color theme="0" tint="-0.14999847407452621"/>
      </top>
      <bottom style="dotted">
        <color theme="0" tint="-0.499984740745262"/>
      </bottom>
      <diagonal/>
    </border>
    <border>
      <left/>
      <right/>
      <top style="medium">
        <color theme="0" tint="-0.14999847407452621"/>
      </top>
      <bottom style="dotted">
        <color theme="0" tint="-0.499984740745262"/>
      </bottom>
      <diagonal/>
    </border>
    <border>
      <left/>
      <right style="medium">
        <color theme="0" tint="-0.14999847407452621"/>
      </right>
      <top style="medium">
        <color theme="0" tint="-0.14999847407452621"/>
      </top>
      <bottom style="dotted">
        <color theme="0" tint="-0.499984740745262"/>
      </bottom>
      <diagonal/>
    </border>
    <border>
      <left style="medium">
        <color theme="0" tint="-0.14999847407452621"/>
      </left>
      <right/>
      <top style="dotted">
        <color theme="0" tint="-0.499984740745262"/>
      </top>
      <bottom style="dotted">
        <color theme="0" tint="-0.499984740745262"/>
      </bottom>
      <diagonal/>
    </border>
    <border>
      <left/>
      <right style="medium">
        <color theme="0" tint="-0.14999847407452621"/>
      </right>
      <top style="dotted">
        <color theme="0" tint="-0.499984740745262"/>
      </top>
      <bottom style="dotted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/>
      <bottom/>
      <diagonal/>
    </border>
    <border>
      <left/>
      <right style="thin">
        <color theme="0" tint="-0.499984740745262"/>
      </right>
      <top/>
      <bottom style="dashed">
        <color theme="0" tint="-0.499984740745262"/>
      </bottom>
      <diagonal/>
    </border>
    <border>
      <left/>
      <right style="thin">
        <color theme="0" tint="-0.499984740745262"/>
      </right>
      <top style="dashed">
        <color theme="0" tint="-0.499984740745262"/>
      </top>
      <bottom style="dashed">
        <color theme="0" tint="-0.499984740745262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/>
      <top style="dashed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dashed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rgb="FF0070C0"/>
      </top>
      <bottom style="dotted">
        <color theme="0" tint="-0.499984740745262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</borders>
  <cellStyleXfs count="6">
    <xf numFmtId="0" fontId="0" fillId="0" borderId="0"/>
    <xf numFmtId="0" fontId="3" fillId="0" borderId="0" applyNumberFormat="0" applyFill="0" applyBorder="0" applyAlignment="0" applyProtection="0"/>
    <xf numFmtId="9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0" fontId="40" fillId="0" borderId="0"/>
    <xf numFmtId="43" fontId="40" fillId="0" borderId="0" applyFont="0" applyFill="0" applyBorder="0" applyAlignment="0" applyProtection="0"/>
  </cellStyleXfs>
  <cellXfs count="2171">
    <xf numFmtId="0" fontId="0" fillId="0" borderId="0" xfId="0"/>
    <xf numFmtId="1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6" fillId="0" borderId="0" xfId="0" applyFont="1"/>
    <xf numFmtId="0" fontId="9" fillId="0" borderId="0" xfId="0" applyFont="1"/>
    <xf numFmtId="1" fontId="9" fillId="0" borderId="0" xfId="0" applyNumberFormat="1" applyFont="1"/>
    <xf numFmtId="0" fontId="9" fillId="0" borderId="5" xfId="0" applyFont="1" applyBorder="1" applyAlignment="1">
      <alignment horizontal="right"/>
    </xf>
    <xf numFmtId="0" fontId="9" fillId="0" borderId="0" xfId="0" applyFont="1" applyAlignment="1">
      <alignment horizontal="center"/>
    </xf>
    <xf numFmtId="0" fontId="5" fillId="0" borderId="0" xfId="0" applyFont="1"/>
    <xf numFmtId="9" fontId="5" fillId="0" borderId="0" xfId="2" applyFont="1" applyAlignment="1">
      <alignment horizontal="center" vertical="center"/>
    </xf>
    <xf numFmtId="0" fontId="13" fillId="0" borderId="0" xfId="0" applyFont="1" applyAlignment="1">
      <alignment horizontal="left" vertical="center"/>
    </xf>
    <xf numFmtId="0" fontId="3" fillId="0" borderId="0" xfId="1" applyFill="1"/>
    <xf numFmtId="0" fontId="0" fillId="0" borderId="0" xfId="0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9" fillId="0" borderId="6" xfId="0" applyFont="1" applyBorder="1"/>
    <xf numFmtId="0" fontId="9" fillId="0" borderId="13" xfId="0" applyFont="1" applyBorder="1"/>
    <xf numFmtId="0" fontId="9" fillId="0" borderId="5" xfId="0" applyFont="1" applyBorder="1"/>
    <xf numFmtId="0" fontId="9" fillId="0" borderId="3" xfId="0" applyFont="1" applyBorder="1"/>
    <xf numFmtId="0" fontId="0" fillId="0" borderId="2" xfId="0" applyBorder="1"/>
    <xf numFmtId="0" fontId="0" fillId="0" borderId="12" xfId="0" applyBorder="1"/>
    <xf numFmtId="0" fontId="0" fillId="0" borderId="13" xfId="0" applyBorder="1"/>
    <xf numFmtId="0" fontId="5" fillId="0" borderId="2" xfId="0" applyFont="1" applyBorder="1" applyAlignment="1">
      <alignment horizontal="center"/>
    </xf>
    <xf numFmtId="0" fontId="9" fillId="0" borderId="2" xfId="0" applyFont="1" applyBorder="1" applyAlignment="1">
      <alignment horizontal="right"/>
    </xf>
    <xf numFmtId="0" fontId="5" fillId="0" borderId="5" xfId="0" applyFont="1" applyBorder="1" applyAlignment="1">
      <alignment horizontal="center"/>
    </xf>
    <xf numFmtId="0" fontId="10" fillId="0" borderId="3" xfId="0" applyFont="1" applyBorder="1"/>
    <xf numFmtId="0" fontId="9" fillId="0" borderId="15" xfId="0" applyFont="1" applyBorder="1"/>
    <xf numFmtId="14" fontId="2" fillId="3" borderId="3" xfId="0" applyNumberFormat="1" applyFont="1" applyFill="1" applyBorder="1" applyAlignment="1" applyProtection="1">
      <alignment vertical="center"/>
      <protection locked="0"/>
    </xf>
    <xf numFmtId="14" fontId="2" fillId="3" borderId="3" xfId="0" applyNumberFormat="1" applyFont="1" applyFill="1" applyBorder="1" applyAlignment="1" applyProtection="1">
      <alignment horizontal="center" vertical="center"/>
      <protection locked="0"/>
    </xf>
    <xf numFmtId="1" fontId="2" fillId="3" borderId="10" xfId="0" applyNumberFormat="1" applyFont="1" applyFill="1" applyBorder="1" applyAlignment="1" applyProtection="1">
      <alignment horizontal="center" vertical="center"/>
      <protection locked="0"/>
    </xf>
    <xf numFmtId="0" fontId="2" fillId="3" borderId="10" xfId="0" applyFont="1" applyFill="1" applyBorder="1" applyAlignment="1" applyProtection="1">
      <alignment horizontal="center" vertical="center"/>
      <protection locked="0"/>
    </xf>
    <xf numFmtId="164" fontId="2" fillId="3" borderId="10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8" xfId="0" applyFont="1" applyBorder="1" applyAlignment="1">
      <alignment horizontal="center"/>
    </xf>
    <xf numFmtId="0" fontId="9" fillId="0" borderId="8" xfId="0" applyFont="1" applyBorder="1"/>
    <xf numFmtId="0" fontId="0" fillId="0" borderId="0" xfId="0" applyAlignment="1">
      <alignment wrapText="1"/>
    </xf>
    <xf numFmtId="0" fontId="9" fillId="0" borderId="15" xfId="0" applyFont="1" applyBorder="1" applyAlignment="1">
      <alignment vertical="center"/>
    </xf>
    <xf numFmtId="0" fontId="3" fillId="0" borderId="0" xfId="1" applyFill="1" applyBorder="1"/>
    <xf numFmtId="0" fontId="20" fillId="0" borderId="0" xfId="0" applyFont="1"/>
    <xf numFmtId="0" fontId="20" fillId="0" borderId="0" xfId="0" applyFont="1" applyAlignment="1">
      <alignment horizontal="right"/>
    </xf>
    <xf numFmtId="166" fontId="20" fillId="0" borderId="0" xfId="0" applyNumberFormat="1" applyFont="1" applyAlignment="1">
      <alignment horizontal="center" vertical="center"/>
    </xf>
    <xf numFmtId="0" fontId="21" fillId="0" borderId="0" xfId="0" applyFont="1"/>
    <xf numFmtId="0" fontId="20" fillId="0" borderId="0" xfId="0" applyFont="1" applyAlignment="1">
      <alignment vertical="center"/>
    </xf>
    <xf numFmtId="0" fontId="20" fillId="0" borderId="0" xfId="0" applyFont="1" applyAlignment="1">
      <alignment wrapText="1"/>
    </xf>
    <xf numFmtId="1" fontId="5" fillId="0" borderId="0" xfId="3" applyNumberFormat="1" applyFont="1" applyFill="1" applyBorder="1" applyAlignment="1">
      <alignment horizontal="left"/>
    </xf>
    <xf numFmtId="0" fontId="9" fillId="0" borderId="15" xfId="0" quotePrefix="1" applyFont="1" applyBorder="1"/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right" vertical="center"/>
    </xf>
    <xf numFmtId="0" fontId="18" fillId="0" borderId="0" xfId="0" applyFont="1"/>
    <xf numFmtId="0" fontId="0" fillId="0" borderId="5" xfId="0" applyBorder="1"/>
    <xf numFmtId="0" fontId="4" fillId="0" borderId="5" xfId="0" applyFont="1" applyBorder="1" applyAlignment="1">
      <alignment horizontal="center" vertical="center"/>
    </xf>
    <xf numFmtId="1" fontId="0" fillId="0" borderId="5" xfId="0" applyNumberFormat="1" applyBorder="1"/>
    <xf numFmtId="0" fontId="17" fillId="0" borderId="5" xfId="0" applyFont="1" applyBorder="1" applyAlignment="1">
      <alignment horizontal="right" vertical="center"/>
    </xf>
    <xf numFmtId="0" fontId="12" fillId="0" borderId="0" xfId="0" applyFont="1"/>
    <xf numFmtId="0" fontId="15" fillId="0" borderId="0" xfId="0" applyFont="1" applyAlignment="1">
      <alignment horizontal="center" vertical="center"/>
    </xf>
    <xf numFmtId="1" fontId="12" fillId="0" borderId="0" xfId="0" applyNumberFormat="1" applyFont="1"/>
    <xf numFmtId="0" fontId="12" fillId="0" borderId="3" xfId="0" applyFont="1" applyBorder="1" applyAlignment="1">
      <alignment horizontal="right" vertical="top" indent="1"/>
    </xf>
    <xf numFmtId="0" fontId="12" fillId="0" borderId="4" xfId="0" applyFont="1" applyBorder="1" applyAlignment="1">
      <alignment horizontal="right" vertical="top" indent="1"/>
    </xf>
    <xf numFmtId="14" fontId="12" fillId="0" borderId="6" xfId="0" applyNumberFormat="1" applyFont="1" applyBorder="1" applyAlignment="1">
      <alignment horizontal="center" vertical="center"/>
    </xf>
    <xf numFmtId="0" fontId="14" fillId="0" borderId="0" xfId="0" applyFont="1" applyAlignment="1">
      <alignment horizontal="right"/>
    </xf>
    <xf numFmtId="0" fontId="11" fillId="0" borderId="1" xfId="0" applyFont="1" applyBorder="1" applyAlignment="1">
      <alignment horizontal="left"/>
    </xf>
    <xf numFmtId="0" fontId="14" fillId="0" borderId="2" xfId="0" applyFont="1" applyBorder="1" applyAlignment="1">
      <alignment horizontal="right"/>
    </xf>
    <xf numFmtId="0" fontId="9" fillId="0" borderId="0" xfId="0" applyFont="1" applyAlignment="1">
      <alignment horizontal="right"/>
    </xf>
    <xf numFmtId="0" fontId="19" fillId="0" borderId="0" xfId="0" applyFont="1" applyAlignment="1">
      <alignment horizontal="right"/>
    </xf>
    <xf numFmtId="0" fontId="19" fillId="0" borderId="0" xfId="0" applyFont="1" applyAlignment="1">
      <alignment horizontal="center"/>
    </xf>
    <xf numFmtId="0" fontId="10" fillId="0" borderId="0" xfId="0" applyFont="1"/>
    <xf numFmtId="0" fontId="11" fillId="0" borderId="0" xfId="0" applyFont="1"/>
    <xf numFmtId="0" fontId="6" fillId="0" borderId="0" xfId="0" applyFont="1" applyAlignment="1">
      <alignment horizontal="center"/>
    </xf>
    <xf numFmtId="1" fontId="6" fillId="0" borderId="0" xfId="0" applyNumberFormat="1" applyFont="1" applyAlignment="1">
      <alignment horizontal="center" vertical="center"/>
    </xf>
    <xf numFmtId="0" fontId="8" fillId="0" borderId="0" xfId="0" applyFont="1"/>
    <xf numFmtId="0" fontId="7" fillId="0" borderId="0" xfId="0" applyFont="1"/>
    <xf numFmtId="0" fontId="2" fillId="3" borderId="10" xfId="0" applyFont="1" applyFill="1" applyBorder="1" applyAlignment="1">
      <alignment horizontal="center" vertical="center"/>
    </xf>
    <xf numFmtId="0" fontId="5" fillId="0" borderId="2" xfId="0" applyFont="1" applyBorder="1"/>
    <xf numFmtId="0" fontId="5" fillId="0" borderId="0" xfId="0" applyFont="1" applyAlignment="1">
      <alignment horizontal="center"/>
    </xf>
    <xf numFmtId="0" fontId="5" fillId="0" borderId="5" xfId="0" applyFont="1" applyBorder="1"/>
    <xf numFmtId="0" fontId="5" fillId="0" borderId="7" xfId="0" applyFont="1" applyBorder="1"/>
    <xf numFmtId="0" fontId="5" fillId="0" borderId="8" xfId="0" applyFont="1" applyBorder="1"/>
    <xf numFmtId="0" fontId="0" fillId="0" borderId="8" xfId="0" applyBorder="1"/>
    <xf numFmtId="0" fontId="0" fillId="0" borderId="9" xfId="0" applyBorder="1"/>
    <xf numFmtId="0" fontId="5" fillId="0" borderId="1" xfId="0" applyFont="1" applyBorder="1"/>
    <xf numFmtId="0" fontId="5" fillId="0" borderId="4" xfId="0" applyFont="1" applyBorder="1"/>
    <xf numFmtId="14" fontId="12" fillId="0" borderId="13" xfId="0" applyNumberFormat="1" applyFont="1" applyBorder="1" applyAlignment="1">
      <alignment horizontal="center" vertical="center"/>
    </xf>
    <xf numFmtId="0" fontId="17" fillId="0" borderId="0" xfId="0" applyFont="1"/>
    <xf numFmtId="0" fontId="12" fillId="0" borderId="0" xfId="0" applyFont="1" applyAlignment="1">
      <alignment vertical="center"/>
    </xf>
    <xf numFmtId="0" fontId="3" fillId="0" borderId="0" xfId="1" applyAlignment="1" applyProtection="1">
      <alignment vertical="top"/>
      <protection locked="0"/>
    </xf>
    <xf numFmtId="0" fontId="3" fillId="0" borderId="0" xfId="1" applyAlignment="1" applyProtection="1">
      <alignment vertical="center"/>
      <protection locked="0"/>
    </xf>
    <xf numFmtId="14" fontId="9" fillId="0" borderId="17" xfId="0" applyNumberFormat="1" applyFont="1" applyBorder="1" applyAlignment="1" applyProtection="1">
      <alignment horizontal="center" vertical="center" wrapText="1"/>
      <protection locked="0"/>
    </xf>
    <xf numFmtId="1" fontId="9" fillId="0" borderId="17" xfId="0" applyNumberFormat="1" applyFont="1" applyBorder="1" applyAlignment="1" applyProtection="1">
      <alignment horizontal="center" vertical="center" wrapText="1"/>
      <protection locked="0"/>
    </xf>
    <xf numFmtId="2" fontId="9" fillId="0" borderId="17" xfId="0" applyNumberFormat="1" applyFont="1" applyBorder="1" applyAlignment="1" applyProtection="1">
      <alignment horizontal="center" vertical="center" wrapText="1"/>
      <protection locked="0"/>
    </xf>
    <xf numFmtId="43" fontId="9" fillId="0" borderId="17" xfId="3" applyFont="1" applyBorder="1" applyAlignment="1" applyProtection="1">
      <alignment horizontal="center" vertical="center"/>
      <protection locked="0"/>
    </xf>
    <xf numFmtId="2" fontId="9" fillId="0" borderId="17" xfId="0" applyNumberFormat="1" applyFont="1" applyBorder="1" applyAlignment="1" applyProtection="1">
      <alignment horizontal="right" vertical="center" wrapText="1"/>
      <protection locked="0"/>
    </xf>
    <xf numFmtId="9" fontId="9" fillId="0" borderId="17" xfId="0" applyNumberFormat="1" applyFont="1" applyBorder="1" applyAlignment="1" applyProtection="1">
      <alignment horizontal="center" wrapText="1"/>
      <protection locked="0"/>
    </xf>
    <xf numFmtId="1" fontId="9" fillId="0" borderId="17" xfId="0" applyNumberFormat="1" applyFont="1" applyBorder="1" applyAlignment="1" applyProtection="1">
      <alignment wrapText="1"/>
      <protection locked="0"/>
    </xf>
    <xf numFmtId="2" fontId="9" fillId="0" borderId="17" xfId="0" applyNumberFormat="1" applyFont="1" applyBorder="1" applyAlignment="1" applyProtection="1">
      <alignment horizontal="right" wrapText="1"/>
      <protection locked="0"/>
    </xf>
    <xf numFmtId="14" fontId="9" fillId="0" borderId="17" xfId="0" applyNumberFormat="1" applyFont="1" applyBorder="1" applyAlignment="1" applyProtection="1">
      <alignment horizontal="center" wrapText="1"/>
      <protection locked="0"/>
    </xf>
    <xf numFmtId="14" fontId="2" fillId="3" borderId="0" xfId="0" applyNumberFormat="1" applyFont="1" applyFill="1" applyAlignment="1" applyProtection="1">
      <alignment vertical="center"/>
      <protection locked="0"/>
    </xf>
    <xf numFmtId="0" fontId="9" fillId="0" borderId="18" xfId="0" applyFont="1" applyBorder="1" applyAlignment="1">
      <alignment horizontal="center" vertical="center" wrapText="1"/>
    </xf>
    <xf numFmtId="165" fontId="9" fillId="0" borderId="19" xfId="3" applyNumberFormat="1" applyFont="1" applyBorder="1" applyAlignment="1" applyProtection="1">
      <alignment horizontal="center" vertical="center" wrapText="1"/>
    </xf>
    <xf numFmtId="165" fontId="9" fillId="0" borderId="19" xfId="3" applyNumberFormat="1" applyFont="1" applyBorder="1" applyAlignment="1" applyProtection="1">
      <alignment horizontal="center" wrapText="1"/>
    </xf>
    <xf numFmtId="0" fontId="9" fillId="0" borderId="20" xfId="0" applyFont="1" applyBorder="1" applyAlignment="1">
      <alignment horizontal="center" wrapText="1"/>
    </xf>
    <xf numFmtId="14" fontId="9" fillId="0" borderId="21" xfId="0" applyNumberFormat="1" applyFont="1" applyBorder="1" applyAlignment="1" applyProtection="1">
      <alignment horizontal="center" wrapText="1"/>
      <protection locked="0"/>
    </xf>
    <xf numFmtId="1" fontId="9" fillId="0" borderId="21" xfId="0" applyNumberFormat="1" applyFont="1" applyBorder="1" applyAlignment="1" applyProtection="1">
      <alignment wrapText="1"/>
      <protection locked="0"/>
    </xf>
    <xf numFmtId="2" fontId="9" fillId="0" borderId="21" xfId="0" applyNumberFormat="1" applyFont="1" applyBorder="1" applyAlignment="1" applyProtection="1">
      <alignment horizontal="right" wrapText="1"/>
      <protection locked="0"/>
    </xf>
    <xf numFmtId="2" fontId="9" fillId="0" borderId="21" xfId="0" applyNumberFormat="1" applyFont="1" applyBorder="1" applyAlignment="1" applyProtection="1">
      <alignment horizontal="center" wrapText="1"/>
      <protection locked="0"/>
    </xf>
    <xf numFmtId="165" fontId="9" fillId="0" borderId="22" xfId="3" applyNumberFormat="1" applyFont="1" applyBorder="1" applyAlignment="1" applyProtection="1">
      <alignment horizontal="center" wrapText="1"/>
    </xf>
    <xf numFmtId="0" fontId="8" fillId="0" borderId="1" xfId="0" applyFont="1" applyBorder="1" applyAlignment="1">
      <alignment horizontal="right" vertical="center"/>
    </xf>
    <xf numFmtId="0" fontId="8" fillId="0" borderId="3" xfId="0" applyFont="1" applyBorder="1" applyAlignment="1">
      <alignment horizontal="right" vertical="center"/>
    </xf>
    <xf numFmtId="0" fontId="8" fillId="0" borderId="3" xfId="0" applyFont="1" applyBorder="1" applyAlignment="1">
      <alignment horizontal="left"/>
    </xf>
    <xf numFmtId="0" fontId="8" fillId="0" borderId="3" xfId="0" applyFont="1" applyBorder="1"/>
    <xf numFmtId="0" fontId="8" fillId="0" borderId="15" xfId="0" applyFont="1" applyBorder="1" applyAlignment="1">
      <alignment vertical="center"/>
    </xf>
    <xf numFmtId="0" fontId="7" fillId="3" borderId="14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vertical="center"/>
    </xf>
    <xf numFmtId="0" fontId="7" fillId="3" borderId="2" xfId="0" applyFont="1" applyFill="1" applyBorder="1" applyAlignment="1">
      <alignment vertical="center"/>
    </xf>
    <xf numFmtId="0" fontId="7" fillId="3" borderId="1" xfId="0" applyFont="1" applyFill="1" applyBorder="1" applyAlignment="1">
      <alignment horizontal="center" vertical="center"/>
    </xf>
    <xf numFmtId="0" fontId="7" fillId="3" borderId="14" xfId="0" applyFont="1" applyFill="1" applyBorder="1" applyAlignment="1">
      <alignment horizontal="center" vertical="center" wrapText="1"/>
    </xf>
    <xf numFmtId="0" fontId="8" fillId="0" borderId="2" xfId="0" applyFont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5" xfId="0" applyFont="1" applyBorder="1" applyAlignment="1">
      <alignment horizontal="right"/>
    </xf>
    <xf numFmtId="0" fontId="6" fillId="0" borderId="3" xfId="0" applyFont="1" applyBorder="1"/>
    <xf numFmtId="0" fontId="19" fillId="0" borderId="0" xfId="0" applyFont="1"/>
    <xf numFmtId="165" fontId="9" fillId="0" borderId="19" xfId="3" applyNumberFormat="1" applyFont="1" applyBorder="1" applyAlignment="1" applyProtection="1">
      <alignment horizontal="center" vertical="center"/>
    </xf>
    <xf numFmtId="0" fontId="11" fillId="0" borderId="18" xfId="0" applyFont="1" applyBorder="1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0" fillId="0" borderId="2" xfId="0" applyBorder="1" applyAlignment="1">
      <alignment horizontal="center" vertical="center"/>
    </xf>
    <xf numFmtId="0" fontId="30" fillId="0" borderId="5" xfId="0" applyFont="1" applyBorder="1" applyAlignment="1">
      <alignment vertical="center"/>
    </xf>
    <xf numFmtId="0" fontId="0" fillId="0" borderId="3" xfId="0" applyBorder="1" applyAlignment="1">
      <alignment horizontal="right" vertical="top" indent="1"/>
    </xf>
    <xf numFmtId="0" fontId="0" fillId="0" borderId="4" xfId="0" applyBorder="1" applyAlignment="1">
      <alignment horizontal="right" vertical="top" indent="1"/>
    </xf>
    <xf numFmtId="0" fontId="38" fillId="0" borderId="0" xfId="0" applyFont="1" applyAlignment="1">
      <alignment horizontal="center" vertical="center"/>
    </xf>
    <xf numFmtId="0" fontId="41" fillId="0" borderId="0" xfId="0" applyFont="1" applyAlignment="1">
      <alignment horizontal="left" vertical="center"/>
    </xf>
    <xf numFmtId="0" fontId="38" fillId="0" borderId="0" xfId="0" applyFont="1" applyAlignment="1">
      <alignment horizontal="left" vertical="center"/>
    </xf>
    <xf numFmtId="0" fontId="41" fillId="0" borderId="0" xfId="0" applyFont="1"/>
    <xf numFmtId="0" fontId="8" fillId="0" borderId="0" xfId="0" applyFont="1" applyAlignment="1">
      <alignment vertical="center"/>
    </xf>
    <xf numFmtId="0" fontId="35" fillId="0" borderId="0" xfId="0" applyFont="1"/>
    <xf numFmtId="0" fontId="35" fillId="0" borderId="0" xfId="0" quotePrefix="1" applyFont="1"/>
    <xf numFmtId="0" fontId="38" fillId="0" borderId="0" xfId="0" applyFont="1"/>
    <xf numFmtId="0" fontId="44" fillId="0" borderId="0" xfId="0" applyFont="1" applyAlignment="1">
      <alignment horizontal="center" vertical="center"/>
    </xf>
    <xf numFmtId="0" fontId="41" fillId="0" borderId="0" xfId="0" applyFont="1" applyAlignment="1">
      <alignment horizontal="center" vertical="center"/>
    </xf>
    <xf numFmtId="49" fontId="50" fillId="0" borderId="0" xfId="0" applyNumberFormat="1" applyFont="1"/>
    <xf numFmtId="0" fontId="50" fillId="0" borderId="0" xfId="0" applyFont="1" applyAlignment="1">
      <alignment horizontal="center" vertical="center"/>
    </xf>
    <xf numFmtId="0" fontId="50" fillId="0" borderId="0" xfId="0" applyFont="1"/>
    <xf numFmtId="0" fontId="0" fillId="0" borderId="0" xfId="0" applyAlignment="1">
      <alignment horizontal="left"/>
    </xf>
    <xf numFmtId="0" fontId="38" fillId="0" borderId="0" xfId="0" applyFont="1" applyAlignment="1">
      <alignment vertical="center"/>
    </xf>
    <xf numFmtId="1" fontId="0" fillId="0" borderId="0" xfId="0" applyNumberFormat="1" applyAlignment="1">
      <alignment horizontal="center" vertical="center"/>
    </xf>
    <xf numFmtId="1" fontId="41" fillId="0" borderId="0" xfId="0" applyNumberFormat="1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37" fillId="0" borderId="0" xfId="0" applyFont="1" applyAlignment="1">
      <alignment horizontal="center" vertical="center"/>
    </xf>
    <xf numFmtId="0" fontId="37" fillId="0" borderId="0" xfId="0" applyFont="1" applyAlignment="1">
      <alignment vertical="center"/>
    </xf>
    <xf numFmtId="0" fontId="0" fillId="0" borderId="0" xfId="0" applyAlignment="1">
      <alignment vertical="top"/>
    </xf>
    <xf numFmtId="0" fontId="0" fillId="0" borderId="0" xfId="0" applyAlignment="1">
      <alignment horizontal="center" vertical="center" wrapText="1"/>
    </xf>
    <xf numFmtId="0" fontId="15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3" fillId="0" borderId="0" xfId="0" applyFont="1"/>
    <xf numFmtId="49" fontId="37" fillId="0" borderId="0" xfId="0" applyNumberFormat="1" applyFont="1" applyAlignment="1">
      <alignment horizontal="left" vertical="center"/>
    </xf>
    <xf numFmtId="49" fontId="0" fillId="0" borderId="0" xfId="0" applyNumberFormat="1"/>
    <xf numFmtId="0" fontId="39" fillId="0" borderId="0" xfId="0" applyFont="1" applyAlignment="1">
      <alignment horizontal="center" vertical="center"/>
    </xf>
    <xf numFmtId="0" fontId="9" fillId="0" borderId="0" xfId="0" applyFont="1" applyAlignment="1">
      <alignment horizontal="left"/>
    </xf>
    <xf numFmtId="0" fontId="41" fillId="0" borderId="0" xfId="0" applyFont="1" applyAlignment="1">
      <alignment vertical="center"/>
    </xf>
    <xf numFmtId="0" fontId="8" fillId="0" borderId="0" xfId="0" applyFont="1" applyAlignment="1">
      <alignment horizontal="left"/>
    </xf>
    <xf numFmtId="0" fontId="41" fillId="0" borderId="0" xfId="0" applyFont="1" applyAlignment="1">
      <alignment horizontal="center" vertical="top"/>
    </xf>
    <xf numFmtId="0" fontId="53" fillId="0" borderId="0" xfId="0" applyFont="1" applyAlignment="1">
      <alignment vertical="center"/>
    </xf>
    <xf numFmtId="0" fontId="55" fillId="0" borderId="0" xfId="0" applyFont="1" applyAlignment="1">
      <alignment horizontal="center" vertical="center"/>
    </xf>
    <xf numFmtId="0" fontId="43" fillId="0" borderId="0" xfId="0" applyFont="1" applyAlignment="1">
      <alignment horizontal="left" vertical="top"/>
    </xf>
    <xf numFmtId="0" fontId="41" fillId="0" borderId="0" xfId="0" applyFont="1" applyAlignment="1">
      <alignment horizontal="center"/>
    </xf>
    <xf numFmtId="49" fontId="38" fillId="0" borderId="0" xfId="0" applyNumberFormat="1" applyFont="1" applyAlignment="1">
      <alignment horizontal="left" vertical="center"/>
    </xf>
    <xf numFmtId="0" fontId="41" fillId="0" borderId="0" xfId="0" applyFont="1" applyAlignment="1">
      <alignment horizontal="center" vertical="center" wrapText="1"/>
    </xf>
    <xf numFmtId="169" fontId="45" fillId="0" borderId="0" xfId="0" applyNumberFormat="1" applyFont="1" applyAlignment="1">
      <alignment horizontal="left" vertical="center"/>
    </xf>
    <xf numFmtId="168" fontId="66" fillId="0" borderId="0" xfId="0" applyNumberFormat="1" applyFont="1" applyAlignment="1">
      <alignment horizontal="center" vertical="center"/>
    </xf>
    <xf numFmtId="0" fontId="55" fillId="0" borderId="0" xfId="0" applyFont="1" applyAlignment="1">
      <alignment horizontal="center"/>
    </xf>
    <xf numFmtId="0" fontId="68" fillId="0" borderId="0" xfId="0" applyFont="1" applyAlignment="1">
      <alignment vertical="center"/>
    </xf>
    <xf numFmtId="0" fontId="47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14" fontId="18" fillId="0" borderId="0" xfId="0" applyNumberFormat="1" applyFont="1" applyAlignment="1">
      <alignment horizontal="center" vertical="center"/>
    </xf>
    <xf numFmtId="0" fontId="54" fillId="0" borderId="0" xfId="0" applyFont="1" applyAlignment="1">
      <alignment vertical="center"/>
    </xf>
    <xf numFmtId="49" fontId="0" fillId="0" borderId="0" xfId="0" applyNumberFormat="1" applyAlignment="1">
      <alignment horizontal="center" vertical="center"/>
    </xf>
    <xf numFmtId="0" fontId="55" fillId="0" borderId="0" xfId="0" applyFont="1"/>
    <xf numFmtId="0" fontId="60" fillId="0" borderId="0" xfId="0" applyFont="1" applyAlignment="1">
      <alignment horizontal="center"/>
    </xf>
    <xf numFmtId="0" fontId="9" fillId="0" borderId="0" xfId="0" applyFont="1" applyAlignment="1">
      <alignment horizontal="center" vertical="center"/>
    </xf>
    <xf numFmtId="0" fontId="46" fillId="0" borderId="0" xfId="0" applyFont="1" applyAlignment="1">
      <alignment horizontal="center" vertical="center"/>
    </xf>
    <xf numFmtId="0" fontId="71" fillId="0" borderId="0" xfId="0" applyFont="1" applyAlignment="1">
      <alignment horizontal="center" vertical="center"/>
    </xf>
    <xf numFmtId="167" fontId="47" fillId="0" borderId="0" xfId="0" applyNumberFormat="1" applyFont="1" applyAlignment="1">
      <alignment vertical="center" wrapText="1"/>
    </xf>
    <xf numFmtId="0" fontId="38" fillId="0" borderId="0" xfId="0" applyFont="1" applyAlignment="1">
      <alignment horizontal="left" vertical="center" wrapText="1"/>
    </xf>
    <xf numFmtId="49" fontId="38" fillId="0" borderId="0" xfId="0" applyNumberFormat="1" applyFont="1" applyAlignment="1">
      <alignment horizontal="center" vertical="center"/>
    </xf>
    <xf numFmtId="0" fontId="43" fillId="0" borderId="0" xfId="0" applyFont="1" applyAlignment="1">
      <alignment horizontal="center" vertical="top"/>
    </xf>
    <xf numFmtId="0" fontId="47" fillId="0" borderId="0" xfId="0" applyFont="1" applyAlignment="1">
      <alignment horizontal="left" vertical="center"/>
    </xf>
    <xf numFmtId="0" fontId="63" fillId="0" borderId="0" xfId="0" applyFont="1" applyAlignment="1">
      <alignment horizontal="left" vertical="center"/>
    </xf>
    <xf numFmtId="1" fontId="79" fillId="0" borderId="0" xfId="0" applyNumberFormat="1" applyFont="1" applyAlignment="1">
      <alignment horizontal="center" vertical="center"/>
    </xf>
    <xf numFmtId="0" fontId="79" fillId="0" borderId="0" xfId="0" applyFont="1" applyAlignment="1">
      <alignment horizontal="left" vertical="center"/>
    </xf>
    <xf numFmtId="0" fontId="47" fillId="0" borderId="0" xfId="0" applyFont="1"/>
    <xf numFmtId="0" fontId="75" fillId="0" borderId="0" xfId="0" applyFont="1" applyAlignment="1">
      <alignment horizontal="left" vertical="center"/>
    </xf>
    <xf numFmtId="0" fontId="80" fillId="0" borderId="0" xfId="0" applyFont="1" applyAlignment="1">
      <alignment vertical="center"/>
    </xf>
    <xf numFmtId="0" fontId="78" fillId="0" borderId="0" xfId="0" applyFont="1" applyAlignment="1">
      <alignment horizontal="left" vertical="center"/>
    </xf>
    <xf numFmtId="0" fontId="81" fillId="0" borderId="0" xfId="0" applyFont="1"/>
    <xf numFmtId="0" fontId="82" fillId="0" borderId="0" xfId="0" applyFont="1" applyAlignment="1">
      <alignment horizontal="center" vertical="center"/>
    </xf>
    <xf numFmtId="0" fontId="61" fillId="0" borderId="0" xfId="0" applyFont="1" applyAlignment="1">
      <alignment horizontal="center" vertical="center"/>
    </xf>
    <xf numFmtId="0" fontId="77" fillId="0" borderId="0" xfId="0" applyFont="1" applyAlignment="1">
      <alignment vertical="center"/>
    </xf>
    <xf numFmtId="0" fontId="46" fillId="0" borderId="0" xfId="0" applyFont="1" applyAlignment="1">
      <alignment horizontal="right" vertical="center"/>
    </xf>
    <xf numFmtId="0" fontId="75" fillId="0" borderId="0" xfId="0" applyFont="1"/>
    <xf numFmtId="0" fontId="47" fillId="0" borderId="31" xfId="0" applyFont="1" applyBorder="1" applyAlignment="1">
      <alignment horizontal="center" vertical="center"/>
    </xf>
    <xf numFmtId="49" fontId="38" fillId="0" borderId="31" xfId="0" applyNumberFormat="1" applyFont="1" applyBorder="1" applyAlignment="1">
      <alignment horizontal="center" vertical="center"/>
    </xf>
    <xf numFmtId="0" fontId="38" fillId="0" borderId="31" xfId="0" applyFont="1" applyBorder="1" applyAlignment="1">
      <alignment horizontal="center" vertical="center"/>
    </xf>
    <xf numFmtId="0" fontId="41" fillId="0" borderId="31" xfId="0" applyFont="1" applyBorder="1" applyAlignment="1">
      <alignment horizontal="left" vertical="center"/>
    </xf>
    <xf numFmtId="0" fontId="38" fillId="0" borderId="31" xfId="0" applyFont="1" applyBorder="1" applyAlignment="1">
      <alignment horizontal="left" vertical="center"/>
    </xf>
    <xf numFmtId="0" fontId="6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46" fillId="0" borderId="0" xfId="0" applyFont="1" applyAlignment="1">
      <alignment horizontal="right"/>
    </xf>
    <xf numFmtId="0" fontId="46" fillId="0" borderId="0" xfId="0" applyFont="1" applyAlignment="1">
      <alignment horizontal="left"/>
    </xf>
    <xf numFmtId="0" fontId="73" fillId="0" borderId="0" xfId="0" applyFont="1"/>
    <xf numFmtId="1" fontId="46" fillId="0" borderId="0" xfId="0" applyNumberFormat="1" applyFont="1"/>
    <xf numFmtId="0" fontId="46" fillId="0" borderId="0" xfId="0" applyFont="1"/>
    <xf numFmtId="0" fontId="46" fillId="0" borderId="0" xfId="0" applyFont="1" applyAlignment="1">
      <alignment horizontal="center"/>
    </xf>
    <xf numFmtId="1" fontId="47" fillId="0" borderId="31" xfId="0" applyNumberFormat="1" applyFont="1" applyBorder="1" applyAlignment="1">
      <alignment horizontal="center" vertical="center"/>
    </xf>
    <xf numFmtId="0" fontId="41" fillId="0" borderId="0" xfId="0" applyFont="1" applyAlignment="1">
      <alignment horizontal="left" vertical="center" wrapText="1"/>
    </xf>
    <xf numFmtId="0" fontId="46" fillId="0" borderId="0" xfId="0" applyFont="1" applyAlignment="1">
      <alignment vertical="center"/>
    </xf>
    <xf numFmtId="0" fontId="47" fillId="0" borderId="0" xfId="0" applyFont="1" applyAlignment="1">
      <alignment horizontal="left" vertical="center" wrapText="1"/>
    </xf>
    <xf numFmtId="0" fontId="0" fillId="6" borderId="0" xfId="0" applyFill="1"/>
    <xf numFmtId="0" fontId="38" fillId="0" borderId="0" xfId="0" applyFont="1" applyAlignment="1">
      <alignment horizontal="center"/>
    </xf>
    <xf numFmtId="0" fontId="37" fillId="0" borderId="0" xfId="0" applyFont="1" applyAlignment="1">
      <alignment horizontal="left" vertical="center"/>
    </xf>
    <xf numFmtId="49" fontId="38" fillId="0" borderId="30" xfId="0" applyNumberFormat="1" applyFont="1" applyBorder="1" applyAlignment="1">
      <alignment horizontal="center" vertical="center"/>
    </xf>
    <xf numFmtId="0" fontId="38" fillId="0" borderId="30" xfId="0" applyFont="1" applyBorder="1" applyAlignment="1">
      <alignment horizontal="center" vertical="center"/>
    </xf>
    <xf numFmtId="0" fontId="38" fillId="0" borderId="30" xfId="0" applyFont="1" applyBorder="1" applyAlignment="1">
      <alignment horizontal="left" vertical="center"/>
    </xf>
    <xf numFmtId="49" fontId="38" fillId="0" borderId="30" xfId="0" applyNumberFormat="1" applyFont="1" applyBorder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75" fillId="0" borderId="30" xfId="0" applyFont="1" applyBorder="1" applyAlignment="1">
      <alignment horizontal="left" vertical="center"/>
    </xf>
    <xf numFmtId="174" fontId="108" fillId="0" borderId="0" xfId="0" applyNumberFormat="1" applyFont="1" applyAlignment="1">
      <alignment horizontal="center" vertical="center"/>
    </xf>
    <xf numFmtId="0" fontId="99" fillId="0" borderId="0" xfId="0" applyFont="1" applyAlignment="1">
      <alignment horizontal="left" vertical="center"/>
    </xf>
    <xf numFmtId="0" fontId="75" fillId="0" borderId="0" xfId="0" applyFont="1" applyAlignment="1">
      <alignment horizontal="right" vertical="center"/>
    </xf>
    <xf numFmtId="174" fontId="8" fillId="0" borderId="0" xfId="0" applyNumberFormat="1" applyFont="1" applyAlignment="1">
      <alignment horizontal="left" vertical="center"/>
    </xf>
    <xf numFmtId="49" fontId="47" fillId="0" borderId="0" xfId="0" applyNumberFormat="1" applyFont="1" applyAlignment="1">
      <alignment horizontal="center" vertical="center"/>
    </xf>
    <xf numFmtId="14" fontId="38" fillId="0" borderId="0" xfId="0" applyNumberFormat="1" applyFont="1" applyAlignment="1">
      <alignment horizontal="center" vertical="center"/>
    </xf>
    <xf numFmtId="14" fontId="38" fillId="0" borderId="0" xfId="0" applyNumberFormat="1" applyFont="1"/>
    <xf numFmtId="49" fontId="38" fillId="0" borderId="0" xfId="0" applyNumberFormat="1" applyFont="1"/>
    <xf numFmtId="0" fontId="38" fillId="0" borderId="0" xfId="0" applyFont="1" applyAlignment="1">
      <alignment horizontal="center" vertical="center" wrapText="1"/>
    </xf>
    <xf numFmtId="0" fontId="42" fillId="0" borderId="0" xfId="0" applyFont="1" applyAlignment="1">
      <alignment horizontal="left" vertical="center"/>
    </xf>
    <xf numFmtId="49" fontId="41" fillId="0" borderId="0" xfId="0" applyNumberFormat="1" applyFont="1" applyAlignment="1">
      <alignment horizontal="left" vertical="center"/>
    </xf>
    <xf numFmtId="0" fontId="41" fillId="0" borderId="31" xfId="0" applyFont="1" applyBorder="1"/>
    <xf numFmtId="171" fontId="0" fillId="0" borderId="31" xfId="0" applyNumberFormat="1" applyBorder="1" applyAlignment="1">
      <alignment horizontal="center" vertical="center"/>
    </xf>
    <xf numFmtId="1" fontId="0" fillId="0" borderId="31" xfId="0" applyNumberFormat="1" applyBorder="1" applyAlignment="1">
      <alignment horizontal="center" vertical="center"/>
    </xf>
    <xf numFmtId="0" fontId="41" fillId="0" borderId="31" xfId="0" applyFon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50" fillId="0" borderId="31" xfId="0" applyFont="1" applyBorder="1"/>
    <xf numFmtId="49" fontId="50" fillId="0" borderId="31" xfId="0" applyNumberFormat="1" applyFont="1" applyBorder="1"/>
    <xf numFmtId="14" fontId="49" fillId="0" borderId="31" xfId="0" applyNumberFormat="1" applyFont="1" applyBorder="1" applyAlignment="1">
      <alignment horizontal="center" vertical="center"/>
    </xf>
    <xf numFmtId="1" fontId="41" fillId="0" borderId="31" xfId="0" applyNumberFormat="1" applyFont="1" applyBorder="1" applyAlignment="1">
      <alignment horizontal="left" vertical="center"/>
    </xf>
    <xf numFmtId="49" fontId="41" fillId="0" borderId="31" xfId="0" applyNumberFormat="1" applyFont="1" applyBorder="1" applyAlignment="1">
      <alignment horizontal="left" vertical="center"/>
    </xf>
    <xf numFmtId="49" fontId="50" fillId="0" borderId="31" xfId="0" applyNumberFormat="1" applyFont="1" applyBorder="1" applyAlignment="1">
      <alignment horizontal="left" vertical="center"/>
    </xf>
    <xf numFmtId="0" fontId="93" fillId="0" borderId="0" xfId="0" applyFont="1" applyAlignment="1">
      <alignment horizontal="center" vertical="center"/>
    </xf>
    <xf numFmtId="49" fontId="93" fillId="0" borderId="0" xfId="0" applyNumberFormat="1" applyFont="1" applyAlignment="1">
      <alignment horizontal="center" vertical="center"/>
    </xf>
    <xf numFmtId="0" fontId="90" fillId="0" borderId="0" xfId="0" applyFont="1" applyAlignment="1">
      <alignment horizontal="center" vertical="top"/>
    </xf>
    <xf numFmtId="49" fontId="90" fillId="0" borderId="0" xfId="0" applyNumberFormat="1" applyFont="1" applyAlignment="1">
      <alignment horizontal="center" vertical="top"/>
    </xf>
    <xf numFmtId="0" fontId="38" fillId="0" borderId="0" xfId="0" applyFont="1" applyAlignment="1">
      <alignment horizontal="center" vertical="top"/>
    </xf>
    <xf numFmtId="0" fontId="38" fillId="0" borderId="31" xfId="0" applyFont="1" applyBorder="1" applyAlignment="1">
      <alignment horizontal="left" vertical="center" wrapText="1"/>
    </xf>
    <xf numFmtId="0" fontId="38" fillId="0" borderId="31" xfId="0" applyFont="1" applyBorder="1"/>
    <xf numFmtId="0" fontId="47" fillId="6" borderId="35" xfId="0" applyFont="1" applyFill="1" applyBorder="1" applyAlignment="1">
      <alignment horizontal="center" vertical="top"/>
    </xf>
    <xf numFmtId="0" fontId="75" fillId="0" borderId="0" xfId="0" applyFont="1" applyAlignment="1">
      <alignment vertical="center"/>
    </xf>
    <xf numFmtId="0" fontId="42" fillId="0" borderId="0" xfId="0" applyFont="1" applyAlignment="1">
      <alignment horizontal="center" vertical="center"/>
    </xf>
    <xf numFmtId="0" fontId="41" fillId="0" borderId="0" xfId="0" applyFont="1" applyAlignment="1">
      <alignment wrapText="1"/>
    </xf>
    <xf numFmtId="0" fontId="38" fillId="0" borderId="0" xfId="0" applyFont="1" applyAlignment="1">
      <alignment horizontal="left"/>
    </xf>
    <xf numFmtId="0" fontId="41" fillId="0" borderId="0" xfId="0" applyFont="1" applyAlignment="1">
      <alignment vertical="top"/>
    </xf>
    <xf numFmtId="0" fontId="47" fillId="0" borderId="0" xfId="0" applyFont="1" applyAlignment="1">
      <alignment horizontal="center"/>
    </xf>
    <xf numFmtId="0" fontId="68" fillId="0" borderId="0" xfId="0" applyFont="1" applyAlignment="1">
      <alignment horizontal="center" vertical="center"/>
    </xf>
    <xf numFmtId="0" fontId="77" fillId="0" borderId="0" xfId="0" applyFont="1" applyAlignment="1">
      <alignment horizontal="center" vertical="center"/>
    </xf>
    <xf numFmtId="0" fontId="47" fillId="0" borderId="31" xfId="0" applyFont="1" applyBorder="1"/>
    <xf numFmtId="0" fontId="46" fillId="0" borderId="31" xfId="0" applyFont="1" applyBorder="1"/>
    <xf numFmtId="0" fontId="41" fillId="0" borderId="31" xfId="0" applyFont="1" applyBorder="1" applyAlignment="1">
      <alignment horizontal="left" vertical="center" wrapText="1"/>
    </xf>
    <xf numFmtId="49" fontId="38" fillId="0" borderId="31" xfId="0" applyNumberFormat="1" applyFont="1" applyBorder="1" applyAlignment="1">
      <alignment horizontal="center" vertical="center" wrapText="1"/>
    </xf>
    <xf numFmtId="0" fontId="38" fillId="0" borderId="31" xfId="0" applyFont="1" applyBorder="1" applyAlignment="1">
      <alignment horizontal="center" vertical="center" wrapText="1"/>
    </xf>
    <xf numFmtId="0" fontId="123" fillId="0" borderId="0" xfId="0" applyFont="1"/>
    <xf numFmtId="0" fontId="124" fillId="0" borderId="0" xfId="0" applyFont="1" applyAlignment="1">
      <alignment vertical="center"/>
    </xf>
    <xf numFmtId="0" fontId="47" fillId="0" borderId="34" xfId="0" applyFont="1" applyBorder="1" applyAlignment="1">
      <alignment horizontal="center" vertical="center"/>
    </xf>
    <xf numFmtId="0" fontId="47" fillId="0" borderId="35" xfId="0" applyFont="1" applyBorder="1" applyAlignment="1">
      <alignment horizontal="center" vertical="center"/>
    </xf>
    <xf numFmtId="0" fontId="47" fillId="0" borderId="52" xfId="0" applyFont="1" applyBorder="1" applyAlignment="1">
      <alignment horizontal="center" vertical="center"/>
    </xf>
    <xf numFmtId="0" fontId="47" fillId="0" borderId="35" xfId="0" applyFont="1" applyBorder="1"/>
    <xf numFmtId="0" fontId="46" fillId="0" borderId="35" xfId="0" applyFont="1" applyBorder="1"/>
    <xf numFmtId="0" fontId="47" fillId="0" borderId="52" xfId="0" applyFont="1" applyBorder="1"/>
    <xf numFmtId="0" fontId="46" fillId="0" borderId="52" xfId="0" applyFont="1" applyBorder="1"/>
    <xf numFmtId="0" fontId="46" fillId="0" borderId="52" xfId="0" applyFont="1" applyBorder="1" applyAlignment="1">
      <alignment horizontal="center"/>
    </xf>
    <xf numFmtId="0" fontId="47" fillId="0" borderId="34" xfId="0" applyFont="1" applyBorder="1"/>
    <xf numFmtId="0" fontId="47" fillId="0" borderId="52" xfId="0" applyFont="1" applyBorder="1" applyAlignment="1">
      <alignment horizontal="left" vertical="center"/>
    </xf>
    <xf numFmtId="0" fontId="46" fillId="0" borderId="52" xfId="0" applyFont="1" applyBorder="1" applyAlignment="1">
      <alignment horizontal="left" vertical="center"/>
    </xf>
    <xf numFmtId="0" fontId="98" fillId="6" borderId="27" xfId="0" applyFont="1" applyFill="1" applyBorder="1" applyAlignment="1">
      <alignment horizontal="center"/>
    </xf>
    <xf numFmtId="0" fontId="84" fillId="6" borderId="28" xfId="0" applyFont="1" applyFill="1" applyBorder="1" applyAlignment="1">
      <alignment horizontal="center" vertical="top"/>
    </xf>
    <xf numFmtId="0" fontId="1" fillId="0" borderId="0" xfId="0" applyFont="1"/>
    <xf numFmtId="0" fontId="0" fillId="0" borderId="29" xfId="0" applyBorder="1"/>
    <xf numFmtId="0" fontId="0" fillId="0" borderId="29" xfId="0" applyBorder="1" applyAlignment="1">
      <alignment horizontal="center" vertical="center"/>
    </xf>
    <xf numFmtId="0" fontId="9" fillId="0" borderId="29" xfId="0" applyFont="1" applyBorder="1"/>
    <xf numFmtId="0" fontId="0" fillId="0" borderId="29" xfId="0" applyBorder="1" applyAlignment="1">
      <alignment horizontal="center"/>
    </xf>
    <xf numFmtId="1" fontId="0" fillId="0" borderId="29" xfId="0" applyNumberFormat="1" applyBorder="1"/>
    <xf numFmtId="0" fontId="55" fillId="0" borderId="29" xfId="0" applyFont="1" applyBorder="1"/>
    <xf numFmtId="0" fontId="16" fillId="0" borderId="0" xfId="0" applyFont="1"/>
    <xf numFmtId="0" fontId="16" fillId="0" borderId="0" xfId="0" applyFont="1" applyAlignment="1">
      <alignment vertical="center"/>
    </xf>
    <xf numFmtId="0" fontId="48" fillId="0" borderId="0" xfId="0" applyFont="1"/>
    <xf numFmtId="0" fontId="46" fillId="0" borderId="0" xfId="0" applyFont="1" applyAlignment="1">
      <alignment horizontal="center" vertical="top"/>
    </xf>
    <xf numFmtId="0" fontId="38" fillId="0" borderId="30" xfId="0" applyFont="1" applyBorder="1" applyAlignment="1">
      <alignment horizontal="center" vertical="center" wrapText="1"/>
    </xf>
    <xf numFmtId="49" fontId="75" fillId="0" borderId="30" xfId="0" applyNumberFormat="1" applyFont="1" applyBorder="1" applyAlignment="1">
      <alignment horizontal="left" vertical="center"/>
    </xf>
    <xf numFmtId="49" fontId="75" fillId="0" borderId="0" xfId="0" applyNumberFormat="1" applyFont="1" applyAlignment="1">
      <alignment horizontal="left" vertical="center"/>
    </xf>
    <xf numFmtId="0" fontId="47" fillId="0" borderId="0" xfId="0" applyFont="1" applyAlignment="1">
      <alignment horizontal="right"/>
    </xf>
    <xf numFmtId="0" fontId="0" fillId="0" borderId="0" xfId="0" applyAlignment="1">
      <alignment horizontal="right"/>
    </xf>
    <xf numFmtId="0" fontId="47" fillId="0" borderId="0" xfId="0" applyFont="1" applyAlignment="1">
      <alignment vertical="center"/>
    </xf>
    <xf numFmtId="0" fontId="129" fillId="0" borderId="0" xfId="0" applyFont="1" applyAlignment="1">
      <alignment horizontal="center" vertical="center"/>
    </xf>
    <xf numFmtId="49" fontId="76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49" fontId="108" fillId="0" borderId="0" xfId="0" applyNumberFormat="1" applyFont="1" applyAlignment="1">
      <alignment horizontal="center" vertical="center"/>
    </xf>
    <xf numFmtId="49" fontId="98" fillId="0" borderId="0" xfId="0" applyNumberFormat="1" applyFont="1" applyAlignment="1">
      <alignment horizontal="center"/>
    </xf>
    <xf numFmtId="49" fontId="84" fillId="0" borderId="0" xfId="0" applyNumberFormat="1" applyFont="1" applyAlignment="1">
      <alignment horizontal="center" vertical="top"/>
    </xf>
    <xf numFmtId="49" fontId="76" fillId="0" borderId="0" xfId="0" applyNumberFormat="1" applyFont="1" applyAlignment="1">
      <alignment vertical="center"/>
    </xf>
    <xf numFmtId="170" fontId="63" fillId="0" borderId="0" xfId="0" applyNumberFormat="1" applyFont="1" applyAlignment="1">
      <alignment vertical="center"/>
    </xf>
    <xf numFmtId="0" fontId="140" fillId="0" borderId="0" xfId="0" applyFont="1" applyAlignment="1">
      <alignment horizontal="center" vertical="center"/>
    </xf>
    <xf numFmtId="0" fontId="141" fillId="0" borderId="0" xfId="0" applyFont="1" applyAlignment="1">
      <alignment vertical="center"/>
    </xf>
    <xf numFmtId="0" fontId="101" fillId="0" borderId="0" xfId="0" applyFont="1" applyAlignment="1">
      <alignment horizontal="center"/>
    </xf>
    <xf numFmtId="49" fontId="50" fillId="0" borderId="0" xfId="0" applyNumberFormat="1" applyFont="1" applyAlignment="1">
      <alignment vertical="center"/>
    </xf>
    <xf numFmtId="0" fontId="47" fillId="0" borderId="17" xfId="0" applyFont="1" applyBorder="1" applyAlignment="1">
      <alignment vertical="center"/>
    </xf>
    <xf numFmtId="0" fontId="47" fillId="0" borderId="17" xfId="0" applyFont="1" applyBorder="1" applyAlignment="1">
      <alignment horizontal="center" vertical="center"/>
    </xf>
    <xf numFmtId="0" fontId="38" fillId="0" borderId="0" xfId="0" applyFont="1" applyAlignment="1">
      <alignment vertical="center" wrapText="1"/>
    </xf>
    <xf numFmtId="49" fontId="38" fillId="0" borderId="0" xfId="0" applyNumberFormat="1" applyFont="1" applyAlignment="1">
      <alignment horizontal="left" vertical="center" wrapText="1"/>
    </xf>
    <xf numFmtId="170" fontId="47" fillId="0" borderId="0" xfId="0" applyNumberFormat="1" applyFont="1" applyAlignment="1">
      <alignment vertical="center" wrapText="1"/>
    </xf>
    <xf numFmtId="0" fontId="8" fillId="0" borderId="31" xfId="0" applyFont="1" applyBorder="1" applyAlignment="1">
      <alignment horizontal="left" vertical="center"/>
    </xf>
    <xf numFmtId="0" fontId="84" fillId="0" borderId="0" xfId="0" applyFont="1" applyAlignment="1">
      <alignment horizontal="center" vertical="center"/>
    </xf>
    <xf numFmtId="0" fontId="74" fillId="0" borderId="66" xfId="0" applyFont="1" applyBorder="1" applyAlignment="1">
      <alignment vertical="center"/>
    </xf>
    <xf numFmtId="0" fontId="1" fillId="0" borderId="68" xfId="0" applyFont="1" applyBorder="1" applyAlignment="1">
      <alignment horizontal="center" vertical="center"/>
    </xf>
    <xf numFmtId="49" fontId="41" fillId="0" borderId="0" xfId="0" applyNumberFormat="1" applyFont="1"/>
    <xf numFmtId="49" fontId="41" fillId="0" borderId="31" xfId="0" applyNumberFormat="1" applyFont="1" applyBorder="1"/>
    <xf numFmtId="49" fontId="116" fillId="0" borderId="0" xfId="0" applyNumberFormat="1" applyFont="1"/>
    <xf numFmtId="0" fontId="149" fillId="0" borderId="31" xfId="0" applyFont="1" applyBorder="1" applyAlignment="1">
      <alignment horizontal="center" vertical="center" wrapText="1"/>
    </xf>
    <xf numFmtId="0" fontId="149" fillId="0" borderId="31" xfId="0" applyFont="1" applyBorder="1" applyAlignment="1">
      <alignment horizontal="left" vertical="center" wrapText="1"/>
    </xf>
    <xf numFmtId="0" fontId="38" fillId="0" borderId="31" xfId="0" applyFont="1" applyBorder="1" applyAlignment="1">
      <alignment horizontal="center"/>
    </xf>
    <xf numFmtId="0" fontId="125" fillId="0" borderId="0" xfId="0" applyFont="1"/>
    <xf numFmtId="0" fontId="116" fillId="0" borderId="0" xfId="0" applyFont="1"/>
    <xf numFmtId="0" fontId="46" fillId="0" borderId="0" xfId="0" applyFont="1" applyAlignment="1">
      <alignment horizontal="left" vertical="center" wrapText="1"/>
    </xf>
    <xf numFmtId="0" fontId="45" fillId="0" borderId="0" xfId="0" applyFont="1" applyAlignment="1">
      <alignment horizontal="left" vertical="center"/>
    </xf>
    <xf numFmtId="0" fontId="50" fillId="0" borderId="0" xfId="0" applyFont="1" applyAlignment="1">
      <alignment vertical="center"/>
    </xf>
    <xf numFmtId="0" fontId="1" fillId="0" borderId="0" xfId="0" applyFont="1" applyAlignment="1">
      <alignment horizontal="left" vertical="center"/>
    </xf>
    <xf numFmtId="0" fontId="130" fillId="0" borderId="0" xfId="0" applyFont="1"/>
    <xf numFmtId="0" fontId="83" fillId="0" borderId="0" xfId="0" applyFont="1" applyAlignment="1">
      <alignment vertical="top"/>
    </xf>
    <xf numFmtId="0" fontId="74" fillId="0" borderId="0" xfId="0" applyFont="1" applyAlignment="1">
      <alignment vertical="center"/>
    </xf>
    <xf numFmtId="0" fontId="1" fillId="0" borderId="31" xfId="0" applyFont="1" applyBorder="1"/>
    <xf numFmtId="0" fontId="75" fillId="0" borderId="52" xfId="0" applyFont="1" applyBorder="1" applyAlignment="1">
      <alignment horizontal="center"/>
    </xf>
    <xf numFmtId="0" fontId="75" fillId="0" borderId="52" xfId="0" applyFont="1" applyBorder="1" applyAlignment="1">
      <alignment horizontal="center" vertical="center"/>
    </xf>
    <xf numFmtId="0" fontId="75" fillId="0" borderId="0" xfId="0" applyFont="1" applyAlignment="1">
      <alignment horizontal="left"/>
    </xf>
    <xf numFmtId="0" fontId="47" fillId="0" borderId="0" xfId="0" applyFont="1" applyAlignment="1">
      <alignment horizontal="left"/>
    </xf>
    <xf numFmtId="0" fontId="46" fillId="6" borderId="34" xfId="0" applyFont="1" applyFill="1" applyBorder="1" applyAlignment="1">
      <alignment horizontal="center" vertical="top"/>
    </xf>
    <xf numFmtId="0" fontId="47" fillId="0" borderId="0" xfId="0" applyFont="1" applyAlignment="1">
      <alignment vertical="top"/>
    </xf>
    <xf numFmtId="14" fontId="38" fillId="0" borderId="31" xfId="0" applyNumberFormat="1" applyFont="1" applyBorder="1" applyAlignment="1">
      <alignment horizontal="center" vertical="center" wrapText="1"/>
    </xf>
    <xf numFmtId="0" fontId="47" fillId="6" borderId="0" xfId="0" applyFont="1" applyFill="1"/>
    <xf numFmtId="0" fontId="76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63" fillId="0" borderId="70" xfId="0" applyFont="1" applyBorder="1" applyAlignment="1">
      <alignment horizontal="center" vertical="center"/>
    </xf>
    <xf numFmtId="0" fontId="63" fillId="0" borderId="71" xfId="0" applyFont="1" applyBorder="1" applyAlignment="1">
      <alignment horizontal="center" vertical="center"/>
    </xf>
    <xf numFmtId="0" fontId="3" fillId="0" borderId="0" xfId="1" applyNumberFormat="1" applyFill="1" applyBorder="1"/>
    <xf numFmtId="0" fontId="157" fillId="0" borderId="0" xfId="1" applyNumberFormat="1" applyFont="1" applyFill="1" applyBorder="1"/>
    <xf numFmtId="0" fontId="9" fillId="0" borderId="0" xfId="0" applyFont="1" applyAlignment="1">
      <alignment vertical="center"/>
    </xf>
    <xf numFmtId="0" fontId="3" fillId="0" borderId="0" xfId="1" applyNumberFormat="1" applyFill="1"/>
    <xf numFmtId="0" fontId="159" fillId="0" borderId="0" xfId="0" applyFont="1" applyAlignment="1">
      <alignment vertical="center"/>
    </xf>
    <xf numFmtId="0" fontId="160" fillId="0" borderId="0" xfId="0" applyFont="1" applyAlignment="1">
      <alignment horizontal="right"/>
    </xf>
    <xf numFmtId="0" fontId="164" fillId="0" borderId="0" xfId="0" applyFont="1"/>
    <xf numFmtId="0" fontId="168" fillId="0" borderId="0" xfId="0" applyFont="1" applyAlignment="1">
      <alignment vertical="center"/>
    </xf>
    <xf numFmtId="0" fontId="163" fillId="0" borderId="0" xfId="0" applyFont="1" applyAlignment="1">
      <alignment vertical="center"/>
    </xf>
    <xf numFmtId="0" fontId="162" fillId="0" borderId="0" xfId="0" applyFont="1"/>
    <xf numFmtId="0" fontId="169" fillId="0" borderId="0" xfId="0" applyFont="1"/>
    <xf numFmtId="0" fontId="5" fillId="0" borderId="0" xfId="2" applyNumberFormat="1" applyFont="1" applyAlignment="1">
      <alignment horizontal="center" vertical="center"/>
    </xf>
    <xf numFmtId="0" fontId="170" fillId="0" borderId="0" xfId="0" applyFont="1" applyAlignment="1">
      <alignment horizontal="left" indent="1"/>
    </xf>
    <xf numFmtId="0" fontId="171" fillId="0" borderId="74" xfId="0" applyFont="1" applyBorder="1" applyAlignment="1">
      <alignment horizontal="left" vertical="center"/>
    </xf>
    <xf numFmtId="0" fontId="5" fillId="0" borderId="74" xfId="0" applyFont="1" applyBorder="1"/>
    <xf numFmtId="0" fontId="5" fillId="0" borderId="74" xfId="0" applyFont="1" applyBorder="1" applyAlignment="1">
      <alignment horizontal="center"/>
    </xf>
    <xf numFmtId="0" fontId="0" fillId="0" borderId="74" xfId="0" applyBorder="1"/>
    <xf numFmtId="0" fontId="9" fillId="0" borderId="74" xfId="0" applyFont="1" applyBorder="1"/>
    <xf numFmtId="0" fontId="0" fillId="0" borderId="75" xfId="0" applyBorder="1"/>
    <xf numFmtId="0" fontId="0" fillId="0" borderId="77" xfId="0" applyBorder="1"/>
    <xf numFmtId="0" fontId="9" fillId="0" borderId="76" xfId="0" applyFont="1" applyBorder="1" applyAlignment="1">
      <alignment horizontal="left"/>
    </xf>
    <xf numFmtId="0" fontId="9" fillId="0" borderId="78" xfId="0" applyFont="1" applyBorder="1"/>
    <xf numFmtId="0" fontId="13" fillId="0" borderId="79" xfId="0" quotePrefix="1" applyFont="1" applyBorder="1" applyAlignment="1">
      <alignment horizontal="left"/>
    </xf>
    <xf numFmtId="0" fontId="0" fillId="0" borderId="79" xfId="0" applyBorder="1"/>
    <xf numFmtId="0" fontId="0" fillId="0" borderId="79" xfId="0" applyBorder="1" applyAlignment="1">
      <alignment horizontal="center"/>
    </xf>
    <xf numFmtId="0" fontId="9" fillId="0" borderId="79" xfId="0" applyFont="1" applyBorder="1"/>
    <xf numFmtId="0" fontId="0" fillId="0" borderId="80" xfId="0" applyBorder="1"/>
    <xf numFmtId="0" fontId="38" fillId="0" borderId="76" xfId="0" applyFont="1" applyBorder="1" applyAlignment="1">
      <alignment horizontal="left" indent="1"/>
    </xf>
    <xf numFmtId="0" fontId="176" fillId="0" borderId="0" xfId="0" applyFont="1" applyAlignment="1">
      <alignment horizontal="left" vertical="center" indent="2"/>
    </xf>
    <xf numFmtId="0" fontId="177" fillId="0" borderId="0" xfId="0" quotePrefix="1" applyFont="1" applyAlignment="1">
      <alignment horizontal="left" vertical="center" indent="2"/>
    </xf>
    <xf numFmtId="0" fontId="8" fillId="0" borderId="83" xfId="0" applyFont="1" applyBorder="1"/>
    <xf numFmtId="0" fontId="158" fillId="0" borderId="83" xfId="0" applyFont="1" applyBorder="1"/>
    <xf numFmtId="0" fontId="175" fillId="0" borderId="79" xfId="0" applyFont="1" applyBorder="1" applyAlignment="1">
      <alignment vertical="top"/>
    </xf>
    <xf numFmtId="0" fontId="175" fillId="0" borderId="80" xfId="0" applyFont="1" applyBorder="1" applyAlignment="1">
      <alignment vertical="top"/>
    </xf>
    <xf numFmtId="0" fontId="174" fillId="0" borderId="74" xfId="0" applyFont="1" applyBorder="1"/>
    <xf numFmtId="0" fontId="174" fillId="0" borderId="75" xfId="0" applyFont="1" applyBorder="1"/>
    <xf numFmtId="0" fontId="14" fillId="0" borderId="0" xfId="0" applyFont="1" applyAlignment="1">
      <alignment horizontal="right" vertical="center"/>
    </xf>
    <xf numFmtId="0" fontId="19" fillId="0" borderId="0" xfId="0" applyFont="1" applyAlignment="1">
      <alignment horizontal="right" vertical="center"/>
    </xf>
    <xf numFmtId="0" fontId="19" fillId="0" borderId="0" xfId="0" applyFont="1" applyAlignment="1">
      <alignment horizontal="center" vertical="center"/>
    </xf>
    <xf numFmtId="0" fontId="47" fillId="0" borderId="84" xfId="0" quotePrefix="1" applyFont="1" applyBorder="1" applyAlignment="1">
      <alignment horizontal="left" vertical="top"/>
    </xf>
    <xf numFmtId="0" fontId="63" fillId="0" borderId="0" xfId="0" applyFont="1" applyAlignment="1">
      <alignment vertical="center"/>
    </xf>
    <xf numFmtId="0" fontId="75" fillId="5" borderId="63" xfId="0" applyFont="1" applyFill="1" applyBorder="1" applyAlignment="1" applyProtection="1">
      <alignment horizontal="left" vertical="center"/>
      <protection locked="0"/>
    </xf>
    <xf numFmtId="0" fontId="75" fillId="5" borderId="55" xfId="0" applyFont="1" applyFill="1" applyBorder="1" applyAlignment="1" applyProtection="1">
      <alignment horizontal="left" vertical="center"/>
      <protection locked="0"/>
    </xf>
    <xf numFmtId="0" fontId="75" fillId="5" borderId="58" xfId="0" applyFont="1" applyFill="1" applyBorder="1" applyAlignment="1" applyProtection="1">
      <alignment horizontal="left" vertical="center"/>
      <protection locked="0"/>
    </xf>
    <xf numFmtId="0" fontId="47" fillId="5" borderId="67" xfId="0" applyFont="1" applyFill="1" applyBorder="1" applyAlignment="1" applyProtection="1">
      <alignment horizontal="center" vertical="center"/>
      <protection locked="0"/>
    </xf>
    <xf numFmtId="0" fontId="181" fillId="0" borderId="73" xfId="0" applyFont="1" applyBorder="1" applyAlignment="1">
      <alignment horizontal="left" vertical="center" indent="1"/>
    </xf>
    <xf numFmtId="0" fontId="47" fillId="5" borderId="63" xfId="0" applyFont="1" applyFill="1" applyBorder="1" applyAlignment="1">
      <alignment horizontal="center" vertical="center"/>
    </xf>
    <xf numFmtId="0" fontId="184" fillId="0" borderId="73" xfId="0" applyFont="1" applyBorder="1"/>
    <xf numFmtId="0" fontId="186" fillId="0" borderId="74" xfId="0" applyFont="1" applyBorder="1"/>
    <xf numFmtId="0" fontId="187" fillId="0" borderId="78" xfId="0" applyFont="1" applyBorder="1" applyAlignment="1">
      <alignment vertical="top"/>
    </xf>
    <xf numFmtId="0" fontId="189" fillId="0" borderId="79" xfId="0" applyFont="1" applyBorder="1" applyAlignment="1">
      <alignment vertical="top"/>
    </xf>
    <xf numFmtId="168" fontId="47" fillId="5" borderId="67" xfId="0" applyNumberFormat="1" applyFont="1" applyFill="1" applyBorder="1" applyAlignment="1" applyProtection="1">
      <alignment horizontal="right" vertical="center"/>
      <protection locked="0"/>
    </xf>
    <xf numFmtId="167" fontId="47" fillId="5" borderId="67" xfId="0" applyNumberFormat="1" applyFont="1" applyFill="1" applyBorder="1" applyAlignment="1" applyProtection="1">
      <alignment horizontal="right" vertical="center"/>
      <protection locked="0"/>
    </xf>
    <xf numFmtId="168" fontId="63" fillId="5" borderId="67" xfId="0" applyNumberFormat="1" applyFont="1" applyFill="1" applyBorder="1" applyAlignment="1" applyProtection="1">
      <alignment horizontal="right" vertical="center"/>
      <protection locked="0"/>
    </xf>
    <xf numFmtId="167" fontId="63" fillId="5" borderId="67" xfId="0" applyNumberFormat="1" applyFont="1" applyFill="1" applyBorder="1" applyAlignment="1" applyProtection="1">
      <alignment horizontal="right" vertical="center"/>
      <protection locked="0"/>
    </xf>
    <xf numFmtId="0" fontId="91" fillId="0" borderId="0" xfId="0" applyFont="1" applyAlignment="1">
      <alignment vertical="top"/>
    </xf>
    <xf numFmtId="0" fontId="75" fillId="0" borderId="83" xfId="0" applyFont="1" applyBorder="1" applyAlignment="1">
      <alignment vertical="center"/>
    </xf>
    <xf numFmtId="0" fontId="75" fillId="0" borderId="66" xfId="0" applyFont="1" applyBorder="1" applyAlignment="1">
      <alignment horizontal="left" vertical="center"/>
    </xf>
    <xf numFmtId="0" fontId="47" fillId="0" borderId="84" xfId="0" applyFont="1" applyBorder="1" applyAlignment="1">
      <alignment horizontal="left" vertical="top"/>
    </xf>
    <xf numFmtId="0" fontId="167" fillId="0" borderId="84" xfId="0" applyFont="1" applyBorder="1" applyAlignment="1">
      <alignment horizontal="left" vertical="center"/>
    </xf>
    <xf numFmtId="0" fontId="160" fillId="0" borderId="85" xfId="0" applyFont="1" applyBorder="1" applyAlignment="1">
      <alignment horizontal="left" vertical="top"/>
    </xf>
    <xf numFmtId="0" fontId="160" fillId="0" borderId="85" xfId="0" applyFont="1" applyBorder="1" applyAlignment="1">
      <alignment horizontal="left" vertical="top" wrapText="1"/>
    </xf>
    <xf numFmtId="49" fontId="3" fillId="0" borderId="31" xfId="1" applyNumberFormat="1" applyBorder="1" applyAlignment="1">
      <alignment horizontal="center" vertical="center" wrapText="1"/>
    </xf>
    <xf numFmtId="0" fontId="75" fillId="0" borderId="66" xfId="0" applyFont="1" applyBorder="1" applyAlignment="1">
      <alignment horizontal="left"/>
    </xf>
    <xf numFmtId="0" fontId="176" fillId="0" borderId="0" xfId="0" quotePrefix="1" applyFont="1" applyAlignment="1">
      <alignment horizontal="left" vertical="center" indent="2"/>
    </xf>
    <xf numFmtId="0" fontId="47" fillId="0" borderId="86" xfId="0" applyFont="1" applyBorder="1" applyAlignment="1">
      <alignment horizontal="left" vertical="center"/>
    </xf>
    <xf numFmtId="0" fontId="47" fillId="0" borderId="86" xfId="0" applyFont="1" applyBorder="1" applyAlignment="1">
      <alignment horizontal="right" vertical="center"/>
    </xf>
    <xf numFmtId="0" fontId="75" fillId="0" borderId="0" xfId="0" applyFont="1" applyAlignment="1">
      <alignment horizontal="center" vertical="center"/>
    </xf>
    <xf numFmtId="0" fontId="75" fillId="0" borderId="86" xfId="0" applyFont="1" applyBorder="1" applyAlignment="1">
      <alignment horizontal="left" vertical="center"/>
    </xf>
    <xf numFmtId="0" fontId="152" fillId="0" borderId="0" xfId="0" applyFont="1" applyAlignment="1">
      <alignment horizontal="right" vertical="top" wrapText="1"/>
    </xf>
    <xf numFmtId="0" fontId="168" fillId="0" borderId="0" xfId="0" applyFont="1" applyAlignment="1">
      <alignment horizontal="right"/>
    </xf>
    <xf numFmtId="0" fontId="43" fillId="0" borderId="0" xfId="0" applyFont="1" applyAlignment="1">
      <alignment vertical="top"/>
    </xf>
    <xf numFmtId="0" fontId="43" fillId="0" borderId="79" xfId="0" applyFont="1" applyBorder="1" applyAlignment="1">
      <alignment vertical="top"/>
    </xf>
    <xf numFmtId="0" fontId="180" fillId="0" borderId="0" xfId="0" applyFont="1" applyAlignment="1">
      <alignment horizontal="left" indent="1"/>
    </xf>
    <xf numFmtId="178" fontId="172" fillId="5" borderId="0" xfId="0" applyNumberFormat="1" applyFont="1" applyFill="1" applyAlignment="1" applyProtection="1">
      <alignment horizontal="left" vertical="center"/>
      <protection locked="0"/>
    </xf>
    <xf numFmtId="0" fontId="196" fillId="0" borderId="0" xfId="0" applyFont="1"/>
    <xf numFmtId="0" fontId="199" fillId="0" borderId="0" xfId="0" applyFont="1" applyAlignment="1">
      <alignment horizontal="center" vertical="center"/>
    </xf>
    <xf numFmtId="168" fontId="109" fillId="0" borderId="66" xfId="0" applyNumberFormat="1" applyFont="1" applyBorder="1"/>
    <xf numFmtId="168" fontId="109" fillId="0" borderId="86" xfId="0" applyNumberFormat="1" applyFont="1" applyBorder="1"/>
    <xf numFmtId="0" fontId="160" fillId="0" borderId="0" xfId="0" applyFont="1" applyAlignment="1">
      <alignment horizontal="right" vertical="center"/>
    </xf>
    <xf numFmtId="0" fontId="179" fillId="0" borderId="87" xfId="0" applyFont="1" applyBorder="1" applyAlignment="1">
      <alignment horizontal="left" indent="1"/>
    </xf>
    <xf numFmtId="0" fontId="160" fillId="0" borderId="88" xfId="0" applyFont="1" applyBorder="1" applyAlignment="1">
      <alignment horizontal="right"/>
    </xf>
    <xf numFmtId="0" fontId="164" fillId="0" borderId="88" xfId="0" applyFont="1" applyBorder="1" applyAlignment="1">
      <alignment horizontal="right"/>
    </xf>
    <xf numFmtId="0" fontId="161" fillId="0" borderId="88" xfId="0" applyFont="1" applyBorder="1" applyAlignment="1">
      <alignment horizontal="right"/>
    </xf>
    <xf numFmtId="0" fontId="165" fillId="0" borderId="88" xfId="0" applyFont="1" applyBorder="1" applyAlignment="1">
      <alignment horizontal="right"/>
    </xf>
    <xf numFmtId="0" fontId="162" fillId="0" borderId="88" xfId="0" applyFont="1" applyBorder="1" applyAlignment="1" applyProtection="1">
      <alignment horizontal="left" vertical="center"/>
      <protection locked="0"/>
    </xf>
    <xf numFmtId="0" fontId="164" fillId="0" borderId="89" xfId="0" applyFont="1" applyBorder="1"/>
    <xf numFmtId="0" fontId="160" fillId="0" borderId="90" xfId="0" applyFont="1" applyBorder="1" applyAlignment="1">
      <alignment horizontal="left" indent="1"/>
    </xf>
    <xf numFmtId="0" fontId="73" fillId="0" borderId="0" xfId="0" applyFont="1" applyAlignment="1">
      <alignment horizontal="center" vertical="center"/>
    </xf>
    <xf numFmtId="0" fontId="163" fillId="0" borderId="0" xfId="0" applyFont="1" applyAlignment="1">
      <alignment horizontal="left"/>
    </xf>
    <xf numFmtId="0" fontId="166" fillId="0" borderId="0" xfId="0" applyFont="1" applyAlignment="1">
      <alignment horizontal="left"/>
    </xf>
    <xf numFmtId="0" fontId="160" fillId="0" borderId="0" xfId="0" applyFont="1" applyAlignment="1">
      <alignment horizontal="left"/>
    </xf>
    <xf numFmtId="0" fontId="164" fillId="0" borderId="0" xfId="0" applyFont="1" applyAlignment="1">
      <alignment horizontal="left"/>
    </xf>
    <xf numFmtId="0" fontId="164" fillId="0" borderId="91" xfId="0" applyFont="1" applyBorder="1" applyAlignment="1">
      <alignment horizontal="left"/>
    </xf>
    <xf numFmtId="0" fontId="38" fillId="0" borderId="90" xfId="0" applyFont="1" applyBorder="1" applyAlignment="1">
      <alignment horizontal="left" vertical="top" indent="1"/>
    </xf>
    <xf numFmtId="0" fontId="164" fillId="0" borderId="95" xfId="0" applyFont="1" applyBorder="1" applyAlignment="1">
      <alignment horizontal="left" vertical="center"/>
    </xf>
    <xf numFmtId="0" fontId="160" fillId="0" borderId="90" xfId="0" applyFont="1" applyBorder="1" applyAlignment="1">
      <alignment horizontal="left" vertical="center" indent="1"/>
    </xf>
    <xf numFmtId="0" fontId="47" fillId="0" borderId="91" xfId="0" applyFont="1" applyBorder="1" applyAlignment="1">
      <alignment horizontal="left" vertical="center"/>
    </xf>
    <xf numFmtId="0" fontId="160" fillId="0" borderId="0" xfId="0" applyFont="1"/>
    <xf numFmtId="0" fontId="47" fillId="0" borderId="95" xfId="0" applyFont="1" applyBorder="1" applyAlignment="1">
      <alignment horizontal="left" vertical="top"/>
    </xf>
    <xf numFmtId="0" fontId="160" fillId="0" borderId="92" xfId="0" applyFont="1" applyBorder="1" applyAlignment="1">
      <alignment horizontal="left" indent="1"/>
    </xf>
    <xf numFmtId="0" fontId="160" fillId="0" borderId="93" xfId="0" applyFont="1" applyBorder="1"/>
    <xf numFmtId="0" fontId="73" fillId="0" borderId="93" xfId="0" applyFont="1" applyBorder="1" applyAlignment="1">
      <alignment horizontal="center" vertical="center"/>
    </xf>
    <xf numFmtId="0" fontId="160" fillId="0" borderId="99" xfId="0" applyFont="1" applyBorder="1"/>
    <xf numFmtId="0" fontId="160" fillId="0" borderId="100" xfId="0" applyFont="1" applyBorder="1" applyAlignment="1">
      <alignment horizontal="right" vertical="center"/>
    </xf>
    <xf numFmtId="0" fontId="173" fillId="0" borderId="101" xfId="0" applyFont="1" applyBorder="1" applyAlignment="1">
      <alignment horizontal="right"/>
    </xf>
    <xf numFmtId="0" fontId="160" fillId="0" borderId="102" xfId="0" applyFont="1" applyBorder="1"/>
    <xf numFmtId="14" fontId="172" fillId="0" borderId="103" xfId="0" applyNumberFormat="1" applyFont="1" applyBorder="1" applyAlignment="1">
      <alignment horizontal="right" vertical="center"/>
    </xf>
    <xf numFmtId="0" fontId="160" fillId="0" borderId="104" xfId="0" applyFont="1" applyBorder="1"/>
    <xf numFmtId="0" fontId="160" fillId="0" borderId="66" xfId="0" applyFont="1" applyBorder="1" applyAlignment="1">
      <alignment horizontal="right"/>
    </xf>
    <xf numFmtId="14" fontId="172" fillId="0" borderId="105" xfId="0" applyNumberFormat="1" applyFont="1" applyBorder="1" applyAlignment="1">
      <alignment horizontal="right" vertical="center"/>
    </xf>
    <xf numFmtId="4" fontId="0" fillId="0" borderId="0" xfId="0" applyNumberFormat="1" applyAlignment="1">
      <alignment horizontal="center" vertical="center"/>
    </xf>
    <xf numFmtId="49" fontId="120" fillId="0" borderId="0" xfId="0" applyNumberFormat="1" applyFont="1" applyAlignment="1">
      <alignment horizontal="center" vertical="center"/>
    </xf>
    <xf numFmtId="0" fontId="38" fillId="0" borderId="106" xfId="0" applyFont="1" applyBorder="1" applyAlignment="1">
      <alignment horizontal="center" vertical="center"/>
    </xf>
    <xf numFmtId="49" fontId="37" fillId="0" borderId="106" xfId="0" applyNumberFormat="1" applyFont="1" applyBorder="1" applyAlignment="1">
      <alignment vertical="center"/>
    </xf>
    <xf numFmtId="0" fontId="37" fillId="0" borderId="106" xfId="0" applyFont="1" applyBorder="1" applyAlignment="1">
      <alignment vertical="center"/>
    </xf>
    <xf numFmtId="0" fontId="3" fillId="0" borderId="106" xfId="1" applyBorder="1" applyAlignment="1">
      <alignment horizontal="left" vertical="center"/>
    </xf>
    <xf numFmtId="0" fontId="37" fillId="0" borderId="106" xfId="0" applyFont="1" applyBorder="1" applyAlignment="1">
      <alignment horizontal="left" vertical="center"/>
    </xf>
    <xf numFmtId="49" fontId="120" fillId="0" borderId="0" xfId="0" applyNumberFormat="1" applyFont="1" applyAlignment="1">
      <alignment vertical="center"/>
    </xf>
    <xf numFmtId="0" fontId="47" fillId="0" borderId="106" xfId="0" applyFont="1" applyBorder="1" applyAlignment="1">
      <alignment horizontal="center" vertical="center"/>
    </xf>
    <xf numFmtId="0" fontId="47" fillId="0" borderId="107" xfId="0" applyFont="1" applyBorder="1" applyAlignment="1">
      <alignment horizontal="center" vertical="center"/>
    </xf>
    <xf numFmtId="0" fontId="75" fillId="0" borderId="107" xfId="0" applyFont="1" applyBorder="1" applyAlignment="1">
      <alignment horizontal="left" vertical="center"/>
    </xf>
    <xf numFmtId="0" fontId="75" fillId="0" borderId="106" xfId="0" applyFont="1" applyBorder="1" applyAlignment="1">
      <alignment horizontal="left" vertical="center"/>
    </xf>
    <xf numFmtId="0" fontId="91" fillId="0" borderId="0" xfId="0" applyFont="1" applyAlignment="1">
      <alignment horizontal="centerContinuous" vertical="center"/>
    </xf>
    <xf numFmtId="0" fontId="139" fillId="0" borderId="0" xfId="0" applyFont="1" applyAlignment="1">
      <alignment horizontal="centerContinuous" vertical="center"/>
    </xf>
    <xf numFmtId="49" fontId="8" fillId="0" borderId="31" xfId="0" applyNumberFormat="1" applyFont="1" applyBorder="1" applyAlignment="1">
      <alignment horizontal="left" vertical="center"/>
    </xf>
    <xf numFmtId="171" fontId="8" fillId="0" borderId="31" xfId="0" applyNumberFormat="1" applyFont="1" applyBorder="1" applyAlignment="1">
      <alignment horizontal="left" vertical="center"/>
    </xf>
    <xf numFmtId="49" fontId="8" fillId="0" borderId="31" xfId="0" applyNumberFormat="1" applyFont="1" applyBorder="1" applyAlignment="1">
      <alignment horizontal="center" vertical="center"/>
    </xf>
    <xf numFmtId="0" fontId="8" fillId="0" borderId="31" xfId="0" applyFont="1" applyBorder="1"/>
    <xf numFmtId="4" fontId="0" fillId="0" borderId="0" xfId="0" applyNumberFormat="1" applyAlignment="1">
      <alignment horizontal="right" vertical="center"/>
    </xf>
    <xf numFmtId="4" fontId="47" fillId="0" borderId="0" xfId="0" applyNumberFormat="1" applyFont="1" applyAlignment="1">
      <alignment horizontal="right" vertical="center"/>
    </xf>
    <xf numFmtId="0" fontId="190" fillId="0" borderId="0" xfId="0" applyFont="1" applyAlignment="1">
      <alignment horizontal="center" vertical="center"/>
    </xf>
    <xf numFmtId="168" fontId="75" fillId="0" borderId="0" xfId="0" applyNumberFormat="1" applyFont="1" applyAlignment="1">
      <alignment vertical="center"/>
    </xf>
    <xf numFmtId="4" fontId="47" fillId="0" borderId="0" xfId="0" applyNumberFormat="1" applyFont="1" applyAlignment="1">
      <alignment horizontal="right"/>
    </xf>
    <xf numFmtId="0" fontId="75" fillId="0" borderId="67" xfId="0" applyFont="1" applyBorder="1" applyAlignment="1">
      <alignment horizontal="center" vertical="center"/>
    </xf>
    <xf numFmtId="168" fontId="47" fillId="0" borderId="55" xfId="0" applyNumberFormat="1" applyFont="1" applyBorder="1" applyAlignment="1">
      <alignment vertical="center"/>
    </xf>
    <xf numFmtId="0" fontId="47" fillId="0" borderId="67" xfId="0" applyFont="1" applyBorder="1" applyAlignment="1">
      <alignment horizontal="center" vertical="center"/>
    </xf>
    <xf numFmtId="0" fontId="71" fillId="0" borderId="0" xfId="0" applyFont="1" applyAlignment="1">
      <alignment horizontal="center"/>
    </xf>
    <xf numFmtId="0" fontId="71" fillId="0" borderId="64" xfId="0" applyFont="1" applyBorder="1" applyAlignment="1">
      <alignment vertical="center" wrapText="1"/>
    </xf>
    <xf numFmtId="179" fontId="75" fillId="0" borderId="0" xfId="0" applyNumberFormat="1" applyFont="1" applyAlignment="1">
      <alignment horizontal="center" vertical="center"/>
    </xf>
    <xf numFmtId="4" fontId="75" fillId="0" borderId="0" xfId="0" applyNumberFormat="1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4" fontId="0" fillId="0" borderId="0" xfId="0" applyNumberFormat="1" applyAlignment="1">
      <alignment horizontal="centerContinuous" vertical="center"/>
    </xf>
    <xf numFmtId="0" fontId="0" fillId="0" borderId="0" xfId="0" applyAlignment="1">
      <alignment horizontal="centerContinuous"/>
    </xf>
    <xf numFmtId="0" fontId="8" fillId="0" borderId="67" xfId="0" applyFont="1" applyBorder="1" applyAlignment="1">
      <alignment horizontal="center" vertical="center"/>
    </xf>
    <xf numFmtId="4" fontId="47" fillId="0" borderId="67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top"/>
    </xf>
    <xf numFmtId="0" fontId="0" fillId="0" borderId="0" xfId="0" applyAlignment="1">
      <alignment horizontal="left" vertical="top"/>
    </xf>
    <xf numFmtId="0" fontId="207" fillId="0" borderId="0" xfId="0" applyFont="1" applyAlignment="1">
      <alignment horizontal="right" vertical="center"/>
    </xf>
    <xf numFmtId="0" fontId="125" fillId="0" borderId="54" xfId="0" applyFont="1" applyBorder="1" applyAlignment="1">
      <alignment horizontal="center" vertical="center"/>
    </xf>
    <xf numFmtId="0" fontId="125" fillId="0" borderId="55" xfId="0" applyFont="1" applyBorder="1" applyAlignment="1">
      <alignment horizontal="center" vertical="center"/>
    </xf>
    <xf numFmtId="0" fontId="47" fillId="0" borderId="0" xfId="0" applyFont="1" applyAlignment="1">
      <alignment horizontal="right" vertical="center"/>
    </xf>
    <xf numFmtId="0" fontId="207" fillId="0" borderId="0" xfId="0" applyFont="1" applyAlignment="1">
      <alignment horizontal="right"/>
    </xf>
    <xf numFmtId="0" fontId="135" fillId="0" borderId="0" xfId="0" applyFont="1" applyAlignment="1">
      <alignment horizontal="right" vertical="center"/>
    </xf>
    <xf numFmtId="0" fontId="208" fillId="0" borderId="0" xfId="0" applyFont="1" applyAlignment="1">
      <alignment horizontal="center" vertical="center"/>
    </xf>
    <xf numFmtId="1" fontId="75" fillId="0" borderId="0" xfId="0" applyNumberFormat="1" applyFont="1" applyAlignment="1">
      <alignment horizontal="left" vertical="center"/>
    </xf>
    <xf numFmtId="0" fontId="106" fillId="0" borderId="0" xfId="0" applyFont="1"/>
    <xf numFmtId="0" fontId="47" fillId="5" borderId="67" xfId="0" applyFont="1" applyFill="1" applyBorder="1" applyAlignment="1" applyProtection="1">
      <alignment horizontal="left" vertical="center"/>
      <protection locked="0"/>
    </xf>
    <xf numFmtId="0" fontId="75" fillId="0" borderId="67" xfId="0" applyFont="1" applyBorder="1" applyAlignment="1">
      <alignment horizontal="left" vertical="center"/>
    </xf>
    <xf numFmtId="49" fontId="47" fillId="0" borderId="67" xfId="0" applyNumberFormat="1" applyFont="1" applyBorder="1" applyAlignment="1">
      <alignment horizontal="left" vertical="center"/>
    </xf>
    <xf numFmtId="0" fontId="47" fillId="0" borderId="67" xfId="0" applyFont="1" applyBorder="1" applyAlignment="1">
      <alignment horizontal="left" vertical="center"/>
    </xf>
    <xf numFmtId="49" fontId="75" fillId="0" borderId="67" xfId="0" applyNumberFormat="1" applyFont="1" applyBorder="1" applyAlignment="1">
      <alignment horizontal="left" vertical="center"/>
    </xf>
    <xf numFmtId="0" fontId="75" fillId="0" borderId="67" xfId="0" applyFont="1" applyBorder="1" applyAlignment="1">
      <alignment vertical="center"/>
    </xf>
    <xf numFmtId="0" fontId="47" fillId="0" borderId="67" xfId="0" applyFont="1" applyBorder="1" applyAlignment="1">
      <alignment vertical="center"/>
    </xf>
    <xf numFmtId="4" fontId="210" fillId="0" borderId="0" xfId="0" applyNumberFormat="1" applyFont="1" applyAlignment="1">
      <alignment horizontal="left" vertical="center"/>
    </xf>
    <xf numFmtId="0" fontId="210" fillId="0" borderId="0" xfId="0" applyFont="1" applyAlignment="1">
      <alignment horizontal="left" vertical="center"/>
    </xf>
    <xf numFmtId="0" fontId="87" fillId="0" borderId="0" xfId="0" applyFont="1" applyAlignment="1">
      <alignment horizontal="centerContinuous" vertical="center"/>
    </xf>
    <xf numFmtId="49" fontId="87" fillId="0" borderId="0" xfId="0" applyNumberFormat="1" applyFont="1" applyAlignment="1">
      <alignment horizontal="centerContinuous" vertical="center"/>
    </xf>
    <xf numFmtId="0" fontId="37" fillId="0" borderId="0" xfId="0" applyFont="1" applyAlignment="1">
      <alignment horizontal="centerContinuous" vertical="center"/>
    </xf>
    <xf numFmtId="168" fontId="37" fillId="0" borderId="0" xfId="0" applyNumberFormat="1" applyFont="1" applyAlignment="1">
      <alignment horizontal="center" vertical="center"/>
    </xf>
    <xf numFmtId="168" fontId="37" fillId="0" borderId="0" xfId="0" applyNumberFormat="1" applyFont="1" applyAlignment="1">
      <alignment horizontal="centerContinuous" vertical="center"/>
    </xf>
    <xf numFmtId="0" fontId="108" fillId="0" borderId="0" xfId="0" applyFont="1" applyAlignment="1">
      <alignment horizontal="left" vertical="center"/>
    </xf>
    <xf numFmtId="168" fontId="47" fillId="0" borderId="67" xfId="0" applyNumberFormat="1" applyFont="1" applyBorder="1" applyAlignment="1">
      <alignment horizontal="right" vertical="center"/>
    </xf>
    <xf numFmtId="168" fontId="47" fillId="0" borderId="67" xfId="0" applyNumberFormat="1" applyFont="1" applyBorder="1" applyAlignment="1">
      <alignment horizontal="center" vertical="center"/>
    </xf>
    <xf numFmtId="0" fontId="75" fillId="0" borderId="31" xfId="0" applyFont="1" applyBorder="1" applyAlignment="1">
      <alignment horizontal="center" vertical="center"/>
    </xf>
    <xf numFmtId="0" fontId="112" fillId="0" borderId="0" xfId="0" applyFont="1" applyAlignment="1">
      <alignment horizontal="center" vertical="center"/>
    </xf>
    <xf numFmtId="0" fontId="84" fillId="4" borderId="35" xfId="0" applyFont="1" applyFill="1" applyBorder="1" applyAlignment="1">
      <alignment horizontal="center" vertical="top"/>
    </xf>
    <xf numFmtId="0" fontId="98" fillId="4" borderId="34" xfId="0" applyFont="1" applyFill="1" applyBorder="1" applyAlignment="1">
      <alignment horizontal="center" vertical="center"/>
    </xf>
    <xf numFmtId="0" fontId="104" fillId="4" borderId="31" xfId="0" applyFont="1" applyFill="1" applyBorder="1" applyAlignment="1">
      <alignment horizontal="center" vertical="center"/>
    </xf>
    <xf numFmtId="0" fontId="108" fillId="4" borderId="34" xfId="0" applyFont="1" applyFill="1" applyBorder="1" applyAlignment="1">
      <alignment horizontal="center" vertical="center"/>
    </xf>
    <xf numFmtId="0" fontId="84" fillId="4" borderId="35" xfId="0" applyFont="1" applyFill="1" applyBorder="1" applyAlignment="1">
      <alignment horizontal="center" vertical="center"/>
    </xf>
    <xf numFmtId="0" fontId="108" fillId="4" borderId="34" xfId="0" applyFont="1" applyFill="1" applyBorder="1" applyAlignment="1">
      <alignment horizontal="center"/>
    </xf>
    <xf numFmtId="0" fontId="206" fillId="0" borderId="0" xfId="0" applyFont="1" applyAlignment="1">
      <alignment horizontal="centerContinuous"/>
    </xf>
    <xf numFmtId="0" fontId="84" fillId="4" borderId="47" xfId="0" applyFont="1" applyFill="1" applyBorder="1" applyAlignment="1">
      <alignment horizontal="center" vertical="top"/>
    </xf>
    <xf numFmtId="0" fontId="101" fillId="4" borderId="34" xfId="0" applyFont="1" applyFill="1" applyBorder="1" applyAlignment="1">
      <alignment horizontal="center"/>
    </xf>
    <xf numFmtId="49" fontId="101" fillId="4" borderId="34" xfId="0" applyNumberFormat="1" applyFont="1" applyFill="1" applyBorder="1" applyAlignment="1">
      <alignment horizontal="center"/>
    </xf>
    <xf numFmtId="49" fontId="217" fillId="0" borderId="0" xfId="0" applyNumberFormat="1" applyFont="1" applyAlignment="1">
      <alignment horizontal="centerContinuous" vertical="center"/>
    </xf>
    <xf numFmtId="49" fontId="120" fillId="0" borderId="0" xfId="0" applyNumberFormat="1" applyFont="1" applyAlignment="1">
      <alignment horizontal="centerContinuous" vertical="center"/>
    </xf>
    <xf numFmtId="0" fontId="129" fillId="4" borderId="35" xfId="0" applyFont="1" applyFill="1" applyBorder="1" applyAlignment="1">
      <alignment horizontal="center" vertical="center"/>
    </xf>
    <xf numFmtId="49" fontId="98" fillId="4" borderId="34" xfId="0" applyNumberFormat="1" applyFont="1" applyFill="1" applyBorder="1" applyAlignment="1">
      <alignment horizontal="center" vertical="center"/>
    </xf>
    <xf numFmtId="49" fontId="98" fillId="4" borderId="34" xfId="0" applyNumberFormat="1" applyFont="1" applyFill="1" applyBorder="1" applyAlignment="1">
      <alignment horizontal="center" vertical="center" wrapText="1"/>
    </xf>
    <xf numFmtId="0" fontId="94" fillId="0" borderId="0" xfId="0" applyFont="1" applyAlignment="1">
      <alignment horizontal="centerContinuous" vertical="center"/>
    </xf>
    <xf numFmtId="0" fontId="38" fillId="0" borderId="0" xfId="0" applyFont="1" applyAlignment="1">
      <alignment horizontal="centerContinuous" vertical="center"/>
    </xf>
    <xf numFmtId="0" fontId="38" fillId="0" borderId="0" xfId="0" applyFont="1" applyAlignment="1">
      <alignment horizontal="centerContinuous" vertical="center" wrapText="1"/>
    </xf>
    <xf numFmtId="170" fontId="47" fillId="0" borderId="0" xfId="0" applyNumberFormat="1" applyFont="1" applyAlignment="1">
      <alignment horizontal="centerContinuous" vertical="center" wrapText="1"/>
    </xf>
    <xf numFmtId="49" fontId="38" fillId="0" borderId="0" xfId="0" applyNumberFormat="1" applyFont="1" applyAlignment="1">
      <alignment horizontal="centerContinuous" vertical="center" wrapText="1"/>
    </xf>
    <xf numFmtId="0" fontId="98" fillId="4" borderId="34" xfId="0" applyFont="1" applyFill="1" applyBorder="1" applyAlignment="1">
      <alignment horizontal="center"/>
    </xf>
    <xf numFmtId="0" fontId="222" fillId="0" borderId="0" xfId="0" applyFont="1" applyAlignment="1">
      <alignment horizontal="left" vertical="center"/>
    </xf>
    <xf numFmtId="0" fontId="213" fillId="0" borderId="0" xfId="0" applyFont="1" applyAlignment="1">
      <alignment horizontal="centerContinuous"/>
    </xf>
    <xf numFmtId="0" fontId="47" fillId="0" borderId="82" xfId="0" applyFont="1" applyBorder="1" applyAlignment="1">
      <alignment horizontal="center" vertical="center"/>
    </xf>
    <xf numFmtId="0" fontId="75" fillId="0" borderId="82" xfId="0" applyFont="1" applyBorder="1" applyAlignment="1">
      <alignment horizontal="left"/>
    </xf>
    <xf numFmtId="49" fontId="75" fillId="0" borderId="82" xfId="0" applyNumberFormat="1" applyFont="1" applyBorder="1" applyAlignment="1">
      <alignment horizontal="left" vertical="center"/>
    </xf>
    <xf numFmtId="49" fontId="47" fillId="0" borderId="82" xfId="0" applyNumberFormat="1" applyFont="1" applyBorder="1" applyAlignment="1">
      <alignment horizontal="left" vertical="center"/>
    </xf>
    <xf numFmtId="0" fontId="98" fillId="4" borderId="31" xfId="0" applyFont="1" applyFill="1" applyBorder="1" applyAlignment="1">
      <alignment horizontal="center"/>
    </xf>
    <xf numFmtId="0" fontId="76" fillId="4" borderId="31" xfId="0" applyFont="1" applyFill="1" applyBorder="1" applyAlignment="1">
      <alignment horizontal="center" vertical="top"/>
    </xf>
    <xf numFmtId="0" fontId="76" fillId="4" borderId="59" xfId="0" applyFont="1" applyFill="1" applyBorder="1" applyAlignment="1">
      <alignment horizontal="centerContinuous" vertical="top"/>
    </xf>
    <xf numFmtId="0" fontId="76" fillId="4" borderId="0" xfId="0" applyFont="1" applyFill="1" applyAlignment="1">
      <alignment horizontal="centerContinuous" vertical="top"/>
    </xf>
    <xf numFmtId="0" fontId="76" fillId="4" borderId="60" xfId="0" applyFont="1" applyFill="1" applyBorder="1" applyAlignment="1">
      <alignment horizontal="centerContinuous" vertical="top"/>
    </xf>
    <xf numFmtId="0" fontId="76" fillId="4" borderId="81" xfId="0" applyFont="1" applyFill="1" applyBorder="1" applyAlignment="1">
      <alignment horizontal="center" vertical="center"/>
    </xf>
    <xf numFmtId="0" fontId="76" fillId="4" borderId="59" xfId="0" applyFont="1" applyFill="1" applyBorder="1" applyAlignment="1">
      <alignment horizontal="center" vertical="center"/>
    </xf>
    <xf numFmtId="0" fontId="76" fillId="4" borderId="67" xfId="0" applyFont="1" applyFill="1" applyBorder="1" applyAlignment="1">
      <alignment horizontal="center" vertical="center"/>
    </xf>
    <xf numFmtId="0" fontId="108" fillId="4" borderId="67" xfId="0" applyFont="1" applyFill="1" applyBorder="1" applyAlignment="1">
      <alignment horizontal="center" vertical="center"/>
    </xf>
    <xf numFmtId="0" fontId="84" fillId="4" borderId="82" xfId="0" applyFont="1" applyFill="1" applyBorder="1" applyAlignment="1">
      <alignment horizontal="center" vertical="top"/>
    </xf>
    <xf numFmtId="0" fontId="84" fillId="4" borderId="124" xfId="0" applyFont="1" applyFill="1" applyBorder="1" applyAlignment="1">
      <alignment horizontal="center" vertical="top"/>
    </xf>
    <xf numFmtId="0" fontId="222" fillId="0" borderId="0" xfId="0" applyFont="1" applyAlignment="1">
      <alignment horizontal="centerContinuous" vertical="center"/>
    </xf>
    <xf numFmtId="0" fontId="94" fillId="0" borderId="0" xfId="0" applyFont="1"/>
    <xf numFmtId="0" fontId="108" fillId="4" borderId="81" xfId="0" applyFont="1" applyFill="1" applyBorder="1" applyAlignment="1">
      <alignment horizontal="center"/>
    </xf>
    <xf numFmtId="0" fontId="94" fillId="0" borderId="0" xfId="0" applyFont="1" applyAlignment="1">
      <alignment horizontal="centerContinuous"/>
    </xf>
    <xf numFmtId="0" fontId="108" fillId="4" borderId="81" xfId="0" applyFont="1" applyFill="1" applyBorder="1" applyAlignment="1">
      <alignment horizontal="center" vertical="top"/>
    </xf>
    <xf numFmtId="0" fontId="101" fillId="4" borderId="34" xfId="0" applyFont="1" applyFill="1" applyBorder="1" applyAlignment="1">
      <alignment horizontal="center" vertical="center"/>
    </xf>
    <xf numFmtId="0" fontId="38" fillId="0" borderId="130" xfId="0" applyFont="1" applyBorder="1" applyAlignment="1">
      <alignment horizontal="center" vertical="center"/>
    </xf>
    <xf numFmtId="0" fontId="88" fillId="0" borderId="65" xfId="0" applyFont="1" applyBorder="1" applyAlignment="1">
      <alignment horizontal="center"/>
    </xf>
    <xf numFmtId="0" fontId="63" fillId="5" borderId="126" xfId="0" applyFont="1" applyFill="1" applyBorder="1" applyAlignment="1">
      <alignment horizontal="left" vertical="center"/>
    </xf>
    <xf numFmtId="0" fontId="63" fillId="5" borderId="127" xfId="0" applyFont="1" applyFill="1" applyBorder="1" applyAlignment="1">
      <alignment horizontal="left" vertical="center"/>
    </xf>
    <xf numFmtId="0" fontId="47" fillId="5" borderId="127" xfId="0" applyFont="1" applyFill="1" applyBorder="1" applyAlignment="1">
      <alignment horizontal="left" vertical="center"/>
    </xf>
    <xf numFmtId="1" fontId="9" fillId="5" borderId="127" xfId="0" applyNumberFormat="1" applyFont="1" applyFill="1" applyBorder="1"/>
    <xf numFmtId="0" fontId="9" fillId="5" borderId="128" xfId="0" applyFont="1" applyFill="1" applyBorder="1"/>
    <xf numFmtId="0" fontId="63" fillId="5" borderId="43" xfId="0" applyFont="1" applyFill="1" applyBorder="1" applyAlignment="1">
      <alignment horizontal="left" vertical="center"/>
    </xf>
    <xf numFmtId="0" fontId="63" fillId="5" borderId="0" xfId="0" applyFont="1" applyFill="1" applyAlignment="1">
      <alignment horizontal="left" vertical="center"/>
    </xf>
    <xf numFmtId="0" fontId="47" fillId="5" borderId="0" xfId="0" applyFont="1" applyFill="1" applyAlignment="1">
      <alignment horizontal="left" vertical="center"/>
    </xf>
    <xf numFmtId="1" fontId="9" fillId="5" borderId="0" xfId="0" applyNumberFormat="1" applyFont="1" applyFill="1"/>
    <xf numFmtId="0" fontId="9" fillId="5" borderId="129" xfId="0" applyFont="1" applyFill="1" applyBorder="1"/>
    <xf numFmtId="0" fontId="0" fillId="5" borderId="0" xfId="0" applyFill="1"/>
    <xf numFmtId="0" fontId="102" fillId="5" borderId="43" xfId="0" applyFont="1" applyFill="1" applyBorder="1" applyAlignment="1">
      <alignment horizontal="center" vertical="center"/>
    </xf>
    <xf numFmtId="0" fontId="103" fillId="5" borderId="43" xfId="0" applyFont="1" applyFill="1" applyBorder="1" applyAlignment="1">
      <alignment horizontal="center" vertical="center"/>
    </xf>
    <xf numFmtId="173" fontId="57" fillId="5" borderId="0" xfId="0" applyNumberFormat="1" applyFont="1" applyFill="1" applyAlignment="1" applyProtection="1">
      <alignment horizontal="left" vertical="center"/>
      <protection locked="0"/>
    </xf>
    <xf numFmtId="0" fontId="151" fillId="5" borderId="0" xfId="0" applyFont="1" applyFill="1"/>
    <xf numFmtId="0" fontId="0" fillId="5" borderId="129" xfId="0" applyFill="1" applyBorder="1"/>
    <xf numFmtId="0" fontId="89" fillId="4" borderId="31" xfId="0" applyFont="1" applyFill="1" applyBorder="1" applyAlignment="1">
      <alignment horizontal="center" vertical="center"/>
    </xf>
    <xf numFmtId="0" fontId="89" fillId="4" borderId="41" xfId="0" applyFont="1" applyFill="1" applyBorder="1" applyAlignment="1">
      <alignment horizontal="center" vertical="center"/>
    </xf>
    <xf numFmtId="0" fontId="108" fillId="4" borderId="57" xfId="0" applyFont="1" applyFill="1" applyBorder="1" applyAlignment="1">
      <alignment horizontal="centerContinuous"/>
    </xf>
    <xf numFmtId="0" fontId="108" fillId="4" borderId="56" xfId="0" applyFont="1" applyFill="1" applyBorder="1" applyAlignment="1">
      <alignment horizontal="centerContinuous"/>
    </xf>
    <xf numFmtId="0" fontId="108" fillId="4" borderId="57" xfId="0" applyFont="1" applyFill="1" applyBorder="1" applyAlignment="1">
      <alignment horizontal="center"/>
    </xf>
    <xf numFmtId="0" fontId="108" fillId="4" borderId="67" xfId="0" applyFont="1" applyFill="1" applyBorder="1" applyAlignment="1">
      <alignment horizontal="centerContinuous"/>
    </xf>
    <xf numFmtId="0" fontId="108" fillId="4" borderId="67" xfId="0" applyFont="1" applyFill="1" applyBorder="1" applyAlignment="1">
      <alignment horizontal="center"/>
    </xf>
    <xf numFmtId="0" fontId="108" fillId="4" borderId="124" xfId="0" applyFont="1" applyFill="1" applyBorder="1" applyAlignment="1">
      <alignment horizontal="center" vertical="top"/>
    </xf>
    <xf numFmtId="0" fontId="204" fillId="0" borderId="0" xfId="0" applyFont="1" applyAlignment="1">
      <alignment horizontal="left" vertical="center"/>
    </xf>
    <xf numFmtId="0" fontId="205" fillId="0" borderId="0" xfId="0" applyFont="1" applyAlignment="1">
      <alignment horizontal="left" vertical="center"/>
    </xf>
    <xf numFmtId="4" fontId="205" fillId="0" borderId="0" xfId="0" applyNumberFormat="1" applyFont="1" applyAlignment="1">
      <alignment horizontal="left" vertical="center"/>
    </xf>
    <xf numFmtId="0" fontId="84" fillId="4" borderId="31" xfId="0" applyFont="1" applyFill="1" applyBorder="1" applyAlignment="1">
      <alignment horizontal="center" vertical="center"/>
    </xf>
    <xf numFmtId="0" fontId="76" fillId="4" borderId="31" xfId="0" applyFont="1" applyFill="1" applyBorder="1" applyAlignment="1">
      <alignment horizontal="center" vertical="center"/>
    </xf>
    <xf numFmtId="49" fontId="84" fillId="4" borderId="31" xfId="0" applyNumberFormat="1" applyFont="1" applyFill="1" applyBorder="1" applyAlignment="1">
      <alignment horizontal="center" vertical="center"/>
    </xf>
    <xf numFmtId="1" fontId="76" fillId="4" borderId="31" xfId="0" applyNumberFormat="1" applyFont="1" applyFill="1" applyBorder="1" applyAlignment="1">
      <alignment horizontal="center" vertical="center"/>
    </xf>
    <xf numFmtId="0" fontId="84" fillId="4" borderId="17" xfId="0" applyFont="1" applyFill="1" applyBorder="1" applyAlignment="1">
      <alignment horizontal="center" vertical="center"/>
    </xf>
    <xf numFmtId="49" fontId="227" fillId="0" borderId="0" xfId="0" applyNumberFormat="1" applyFont="1"/>
    <xf numFmtId="49" fontId="227" fillId="0" borderId="0" xfId="0" applyNumberFormat="1" applyFont="1" applyAlignment="1">
      <alignment horizontal="center" vertical="center"/>
    </xf>
    <xf numFmtId="0" fontId="76" fillId="4" borderId="68" xfId="0" applyFont="1" applyFill="1" applyBorder="1" applyAlignment="1">
      <alignment horizontal="center" vertical="center"/>
    </xf>
    <xf numFmtId="0" fontId="228" fillId="0" borderId="0" xfId="0" applyFont="1" applyAlignment="1">
      <alignment horizontal="centerContinuous" vertical="center"/>
    </xf>
    <xf numFmtId="0" fontId="229" fillId="0" borderId="0" xfId="0" applyFont="1" applyAlignment="1">
      <alignment horizontal="centerContinuous" vertical="center"/>
    </xf>
    <xf numFmtId="0" fontId="98" fillId="4" borderId="108" xfId="0" applyFont="1" applyFill="1" applyBorder="1" applyAlignment="1">
      <alignment horizontal="center" vertical="center"/>
    </xf>
    <xf numFmtId="0" fontId="76" fillId="4" borderId="107" xfId="0" applyFont="1" applyFill="1" applyBorder="1" applyAlignment="1">
      <alignment horizontal="center" vertical="center"/>
    </xf>
    <xf numFmtId="0" fontId="228" fillId="0" borderId="0" xfId="0" applyFont="1"/>
    <xf numFmtId="0" fontId="228" fillId="0" borderId="0" xfId="0" applyFont="1" applyAlignment="1">
      <alignment horizontal="center" vertical="center"/>
    </xf>
    <xf numFmtId="0" fontId="226" fillId="0" borderId="31" xfId="0" applyFont="1" applyBorder="1" applyAlignment="1">
      <alignment horizontal="center" vertical="center"/>
    </xf>
    <xf numFmtId="0" fontId="52" fillId="0" borderId="0" xfId="0" applyFont="1"/>
    <xf numFmtId="0" fontId="230" fillId="4" borderId="44" xfId="0" applyFont="1" applyFill="1" applyBorder="1" applyAlignment="1">
      <alignment horizontal="center"/>
    </xf>
    <xf numFmtId="0" fontId="150" fillId="4" borderId="45" xfId="0" applyFont="1" applyFill="1" applyBorder="1" applyAlignment="1">
      <alignment horizontal="center" vertical="top"/>
    </xf>
    <xf numFmtId="171" fontId="84" fillId="4" borderId="35" xfId="0" applyNumberFormat="1" applyFont="1" applyFill="1" applyBorder="1" applyAlignment="1">
      <alignment horizontal="center" vertical="center"/>
    </xf>
    <xf numFmtId="49" fontId="101" fillId="4" borderId="34" xfId="0" applyNumberFormat="1" applyFont="1" applyFill="1" applyBorder="1" applyAlignment="1">
      <alignment horizontal="center" vertical="center"/>
    </xf>
    <xf numFmtId="0" fontId="84" fillId="4" borderId="47" xfId="0" applyFont="1" applyFill="1" applyBorder="1" applyAlignment="1">
      <alignment horizontal="center" vertical="center"/>
    </xf>
    <xf numFmtId="49" fontId="84" fillId="4" borderId="47" xfId="0" applyNumberFormat="1" applyFont="1" applyFill="1" applyBorder="1" applyAlignment="1">
      <alignment horizontal="center" vertical="center"/>
    </xf>
    <xf numFmtId="0" fontId="101" fillId="4" borderId="37" xfId="0" applyFont="1" applyFill="1" applyBorder="1" applyAlignment="1">
      <alignment horizontal="center" vertical="center"/>
    </xf>
    <xf numFmtId="0" fontId="129" fillId="4" borderId="39" xfId="0" applyFont="1" applyFill="1" applyBorder="1" applyAlignment="1">
      <alignment horizontal="center" vertical="center"/>
    </xf>
    <xf numFmtId="0" fontId="98" fillId="4" borderId="0" xfId="0" applyFont="1" applyFill="1" applyAlignment="1">
      <alignment horizontal="center" vertical="center"/>
    </xf>
    <xf numFmtId="49" fontId="98" fillId="4" borderId="0" xfId="0" applyNumberFormat="1" applyFont="1" applyFill="1" applyAlignment="1">
      <alignment horizontal="center" vertical="center"/>
    </xf>
    <xf numFmtId="0" fontId="84" fillId="4" borderId="0" xfId="0" applyFont="1" applyFill="1" applyAlignment="1">
      <alignment horizontal="center" vertical="center"/>
    </xf>
    <xf numFmtId="49" fontId="84" fillId="4" borderId="0" xfId="0" applyNumberFormat="1" applyFont="1" applyFill="1" applyAlignment="1">
      <alignment horizontal="center" vertical="center"/>
    </xf>
    <xf numFmtId="0" fontId="150" fillId="4" borderId="35" xfId="0" applyFont="1" applyFill="1" applyBorder="1" applyAlignment="1">
      <alignment horizontal="center" vertical="top"/>
    </xf>
    <xf numFmtId="49" fontId="150" fillId="4" borderId="35" xfId="0" applyNumberFormat="1" applyFont="1" applyFill="1" applyBorder="1" applyAlignment="1">
      <alignment horizontal="center" vertical="top"/>
    </xf>
    <xf numFmtId="49" fontId="84" fillId="4" borderId="35" xfId="0" applyNumberFormat="1" applyFont="1" applyFill="1" applyBorder="1" applyAlignment="1">
      <alignment horizontal="center" vertical="center"/>
    </xf>
    <xf numFmtId="0" fontId="149" fillId="0" borderId="35" xfId="0" applyFont="1" applyBorder="1" applyAlignment="1">
      <alignment horizontal="center" vertical="center" wrapText="1"/>
    </xf>
    <xf numFmtId="0" fontId="149" fillId="0" borderId="35" xfId="0" applyFont="1" applyBorder="1" applyAlignment="1">
      <alignment horizontal="left" vertical="center" wrapText="1"/>
    </xf>
    <xf numFmtId="0" fontId="76" fillId="4" borderId="137" xfId="0" applyFont="1" applyFill="1" applyBorder="1" applyAlignment="1">
      <alignment horizontal="center" vertical="center"/>
    </xf>
    <xf numFmtId="0" fontId="76" fillId="4" borderId="138" xfId="0" applyFont="1" applyFill="1" applyBorder="1" applyAlignment="1">
      <alignment horizontal="center" vertical="center"/>
    </xf>
    <xf numFmtId="0" fontId="76" fillId="4" borderId="139" xfId="0" applyFont="1" applyFill="1" applyBorder="1" applyAlignment="1">
      <alignment horizontal="center" vertical="center"/>
    </xf>
    <xf numFmtId="0" fontId="104" fillId="4" borderId="31" xfId="0" applyFont="1" applyFill="1" applyBorder="1"/>
    <xf numFmtId="0" fontId="98" fillId="4" borderId="34" xfId="0" applyFont="1" applyFill="1" applyBorder="1" applyAlignment="1">
      <alignment horizontal="center" vertical="center" wrapText="1"/>
    </xf>
    <xf numFmtId="0" fontId="129" fillId="4" borderId="35" xfId="0" applyFont="1" applyFill="1" applyBorder="1" applyAlignment="1">
      <alignment horizontal="center" vertical="top"/>
    </xf>
    <xf numFmtId="0" fontId="129" fillId="4" borderId="35" xfId="0" applyFont="1" applyFill="1" applyBorder="1" applyAlignment="1">
      <alignment horizontal="center" vertical="top" wrapText="1"/>
    </xf>
    <xf numFmtId="0" fontId="98" fillId="4" borderId="32" xfId="0" applyFont="1" applyFill="1" applyBorder="1" applyAlignment="1">
      <alignment horizontal="center"/>
    </xf>
    <xf numFmtId="0" fontId="98" fillId="4" borderId="42" xfId="0" applyFont="1" applyFill="1" applyBorder="1" applyAlignment="1">
      <alignment horizontal="center" wrapText="1"/>
    </xf>
    <xf numFmtId="0" fontId="98" fillId="4" borderId="40" xfId="0" applyFont="1" applyFill="1" applyBorder="1" applyAlignment="1">
      <alignment wrapText="1"/>
    </xf>
    <xf numFmtId="0" fontId="98" fillId="4" borderId="41" xfId="0" applyFont="1" applyFill="1" applyBorder="1" applyAlignment="1">
      <alignment wrapText="1"/>
    </xf>
    <xf numFmtId="0" fontId="98" fillId="4" borderId="37" xfId="0" applyFont="1" applyFill="1" applyBorder="1" applyAlignment="1">
      <alignment horizontal="center"/>
    </xf>
    <xf numFmtId="0" fontId="98" fillId="4" borderId="37" xfId="0" applyFont="1" applyFill="1" applyBorder="1" applyAlignment="1">
      <alignment horizontal="center" wrapText="1"/>
    </xf>
    <xf numFmtId="0" fontId="84" fillId="4" borderId="35" xfId="0" applyFont="1" applyFill="1" applyBorder="1" applyAlignment="1">
      <alignment horizontal="center" vertical="center" wrapText="1"/>
    </xf>
    <xf numFmtId="0" fontId="215" fillId="8" borderId="131" xfId="0" applyFont="1" applyFill="1" applyBorder="1" applyAlignment="1">
      <alignment horizontal="center"/>
    </xf>
    <xf numFmtId="0" fontId="215" fillId="8" borderId="132" xfId="0" applyFont="1" applyFill="1" applyBorder="1" applyAlignment="1">
      <alignment horizontal="center"/>
    </xf>
    <xf numFmtId="0" fontId="215" fillId="8" borderId="133" xfId="0" applyFont="1" applyFill="1" applyBorder="1" applyAlignment="1">
      <alignment horizontal="center"/>
    </xf>
    <xf numFmtId="0" fontId="127" fillId="8" borderId="134" xfId="0" applyFont="1" applyFill="1" applyBorder="1" applyAlignment="1">
      <alignment horizontal="center" vertical="top"/>
    </xf>
    <xf numFmtId="0" fontId="127" fillId="8" borderId="135" xfId="0" applyFont="1" applyFill="1" applyBorder="1" applyAlignment="1">
      <alignment horizontal="center" vertical="top"/>
    </xf>
    <xf numFmtId="0" fontId="127" fillId="8" borderId="136" xfId="0" applyFont="1" applyFill="1" applyBorder="1" applyAlignment="1">
      <alignment horizontal="center" vertical="top"/>
    </xf>
    <xf numFmtId="168" fontId="47" fillId="0" borderId="0" xfId="0" applyNumberFormat="1" applyFont="1" applyAlignment="1">
      <alignment vertical="center" wrapText="1"/>
    </xf>
    <xf numFmtId="168" fontId="47" fillId="0" borderId="0" xfId="0" applyNumberFormat="1" applyFont="1" applyAlignment="1">
      <alignment horizontal="centerContinuous" vertical="center" wrapText="1"/>
    </xf>
    <xf numFmtId="168" fontId="98" fillId="4" borderId="34" xfId="0" applyNumberFormat="1" applyFont="1" applyFill="1" applyBorder="1" applyAlignment="1">
      <alignment horizontal="center" vertical="center" wrapText="1"/>
    </xf>
    <xf numFmtId="49" fontId="47" fillId="0" borderId="67" xfId="0" applyNumberFormat="1" applyFont="1" applyBorder="1" applyAlignment="1">
      <alignment horizontal="center" vertical="center"/>
    </xf>
    <xf numFmtId="49" fontId="211" fillId="0" borderId="67" xfId="0" applyNumberFormat="1" applyFont="1" applyBorder="1" applyAlignment="1">
      <alignment horizontal="left" vertical="center"/>
    </xf>
    <xf numFmtId="0" fontId="46" fillId="0" borderId="67" xfId="0" applyFont="1" applyBorder="1" applyAlignment="1">
      <alignment horizontal="left" vertical="center"/>
    </xf>
    <xf numFmtId="0" fontId="211" fillId="0" borderId="0" xfId="0" applyFont="1" applyAlignment="1">
      <alignment horizontal="center" vertical="center"/>
    </xf>
    <xf numFmtId="0" fontId="211" fillId="0" borderId="0" xfId="0" applyFont="1" applyAlignment="1">
      <alignment vertical="center"/>
    </xf>
    <xf numFmtId="168" fontId="211" fillId="0" borderId="67" xfId="0" applyNumberFormat="1" applyFont="1" applyBorder="1" applyAlignment="1">
      <alignment horizontal="center" vertical="center"/>
    </xf>
    <xf numFmtId="0" fontId="46" fillId="0" borderId="67" xfId="0" applyFont="1" applyBorder="1" applyAlignment="1">
      <alignment vertical="center"/>
    </xf>
    <xf numFmtId="0" fontId="211" fillId="0" borderId="67" xfId="0" applyFont="1" applyBorder="1" applyAlignment="1">
      <alignment horizontal="center" vertical="center"/>
    </xf>
    <xf numFmtId="49" fontId="211" fillId="0" borderId="0" xfId="0" applyNumberFormat="1" applyFont="1" applyAlignment="1">
      <alignment horizontal="left" vertical="center"/>
    </xf>
    <xf numFmtId="168" fontId="211" fillId="0" borderId="0" xfId="0" applyNumberFormat="1" applyFont="1" applyAlignment="1">
      <alignment horizontal="center" vertical="center"/>
    </xf>
    <xf numFmtId="0" fontId="75" fillId="0" borderId="67" xfId="0" applyFont="1" applyBorder="1" applyAlignment="1">
      <alignment horizontal="left" vertical="center" wrapText="1"/>
    </xf>
    <xf numFmtId="0" fontId="0" fillId="0" borderId="67" xfId="0" applyBorder="1" applyAlignment="1">
      <alignment horizontal="center" vertical="center"/>
    </xf>
    <xf numFmtId="0" fontId="76" fillId="4" borderId="47" xfId="0" applyFont="1" applyFill="1" applyBorder="1" applyAlignment="1">
      <alignment horizontal="center" vertical="center"/>
    </xf>
    <xf numFmtId="22" fontId="47" fillId="0" borderId="67" xfId="0" applyNumberFormat="1" applyFont="1" applyBorder="1" applyAlignment="1">
      <alignment horizontal="center" vertical="center"/>
    </xf>
    <xf numFmtId="179" fontId="47" fillId="0" borderId="67" xfId="0" applyNumberFormat="1" applyFont="1" applyBorder="1" applyAlignment="1">
      <alignment horizontal="center" vertical="center"/>
    </xf>
    <xf numFmtId="0" fontId="211" fillId="0" borderId="0" xfId="0" applyFont="1" applyAlignment="1">
      <alignment horizontal="left" vertical="center"/>
    </xf>
    <xf numFmtId="0" fontId="211" fillId="0" borderId="31" xfId="0" applyFont="1" applyBorder="1" applyAlignment="1">
      <alignment vertical="center"/>
    </xf>
    <xf numFmtId="49" fontId="211" fillId="0" borderId="31" xfId="0" applyNumberFormat="1" applyFont="1" applyBorder="1" applyAlignment="1">
      <alignment horizontal="left" vertical="center"/>
    </xf>
    <xf numFmtId="0" fontId="211" fillId="0" borderId="31" xfId="0" applyFont="1" applyBorder="1" applyAlignment="1">
      <alignment horizontal="center" vertical="center"/>
    </xf>
    <xf numFmtId="49" fontId="37" fillId="0" borderId="0" xfId="0" applyNumberFormat="1" applyFont="1" applyAlignment="1">
      <alignment horizontal="center" vertical="center"/>
    </xf>
    <xf numFmtId="49" fontId="217" fillId="0" borderId="0" xfId="0" applyNumberFormat="1" applyFont="1" applyAlignment="1">
      <alignment horizontal="center" vertical="center"/>
    </xf>
    <xf numFmtId="49" fontId="211" fillId="0" borderId="31" xfId="0" applyNumberFormat="1" applyFont="1" applyBorder="1" applyAlignment="1">
      <alignment horizontal="center" vertical="center"/>
    </xf>
    <xf numFmtId="49" fontId="211" fillId="0" borderId="0" xfId="0" applyNumberFormat="1" applyFont="1" applyAlignment="1">
      <alignment horizontal="center" vertical="center"/>
    </xf>
    <xf numFmtId="179" fontId="37" fillId="0" borderId="0" xfId="0" applyNumberFormat="1" applyFont="1" applyAlignment="1">
      <alignment horizontal="center" vertical="center"/>
    </xf>
    <xf numFmtId="179" fontId="120" fillId="0" borderId="0" xfId="0" applyNumberFormat="1" applyFont="1" applyAlignment="1">
      <alignment horizontal="centerContinuous" vertical="center"/>
    </xf>
    <xf numFmtId="179" fontId="101" fillId="4" borderId="34" xfId="0" applyNumberFormat="1" applyFont="1" applyFill="1" applyBorder="1" applyAlignment="1">
      <alignment horizontal="center"/>
    </xf>
    <xf numFmtId="179" fontId="84" fillId="4" borderId="47" xfId="0" applyNumberFormat="1" applyFont="1" applyFill="1" applyBorder="1" applyAlignment="1">
      <alignment horizontal="center" vertical="top"/>
    </xf>
    <xf numFmtId="179" fontId="211" fillId="0" borderId="31" xfId="0" applyNumberFormat="1" applyFont="1" applyBorder="1" applyAlignment="1">
      <alignment horizontal="center" vertical="center"/>
    </xf>
    <xf numFmtId="179" fontId="211" fillId="0" borderId="0" xfId="0" applyNumberFormat="1" applyFont="1" applyAlignment="1">
      <alignment horizontal="center" vertical="center"/>
    </xf>
    <xf numFmtId="0" fontId="39" fillId="0" borderId="0" xfId="0" applyFont="1" applyAlignment="1">
      <alignment horizontal="left" vertical="center"/>
    </xf>
    <xf numFmtId="0" fontId="38" fillId="0" borderId="0" xfId="0" applyFont="1" applyAlignment="1">
      <alignment horizontal="left" vertical="top"/>
    </xf>
    <xf numFmtId="179" fontId="38" fillId="0" borderId="0" xfId="0" applyNumberFormat="1" applyFont="1" applyAlignment="1">
      <alignment horizontal="left" vertical="top"/>
    </xf>
    <xf numFmtId="168" fontId="211" fillId="0" borderId="0" xfId="0" applyNumberFormat="1" applyFont="1" applyAlignment="1">
      <alignment vertical="center"/>
    </xf>
    <xf numFmtId="0" fontId="235" fillId="0" borderId="0" xfId="0" applyFont="1" applyAlignment="1">
      <alignment horizontal="left" vertical="center" indent="40"/>
    </xf>
    <xf numFmtId="0" fontId="47" fillId="0" borderId="0" xfId="0" applyFont="1" applyAlignment="1">
      <alignment horizontal="left" vertical="center" indent="40"/>
    </xf>
    <xf numFmtId="49" fontId="47" fillId="0" borderId="0" xfId="0" applyNumberFormat="1" applyFont="1" applyAlignment="1">
      <alignment horizontal="left" vertical="center" indent="40"/>
    </xf>
    <xf numFmtId="49" fontId="211" fillId="0" borderId="0" xfId="0" applyNumberFormat="1" applyFont="1" applyAlignment="1">
      <alignment horizontal="left" vertical="center" indent="40"/>
    </xf>
    <xf numFmtId="0" fontId="75" fillId="0" borderId="0" xfId="0" applyFont="1" applyAlignment="1">
      <alignment horizontal="left" vertical="center" indent="40"/>
    </xf>
    <xf numFmtId="0" fontId="46" fillId="0" borderId="0" xfId="0" applyFont="1" applyAlignment="1">
      <alignment horizontal="left" vertical="center" indent="40"/>
    </xf>
    <xf numFmtId="168" fontId="211" fillId="0" borderId="0" xfId="0" applyNumberFormat="1" applyFont="1" applyAlignment="1">
      <alignment horizontal="left" vertical="center" indent="40"/>
    </xf>
    <xf numFmtId="0" fontId="211" fillId="0" borderId="0" xfId="0" applyFont="1" applyAlignment="1">
      <alignment horizontal="left" vertical="center" indent="40"/>
    </xf>
    <xf numFmtId="0" fontId="1" fillId="0" borderId="0" xfId="0" applyFont="1" applyAlignment="1">
      <alignment horizontal="centerContinuous"/>
    </xf>
    <xf numFmtId="0" fontId="137" fillId="0" borderId="0" xfId="0" applyFont="1" applyAlignment="1">
      <alignment horizontal="center" vertical="center"/>
    </xf>
    <xf numFmtId="0" fontId="85" fillId="0" borderId="0" xfId="0" applyFont="1" applyAlignment="1">
      <alignment horizontal="center" vertical="center"/>
    </xf>
    <xf numFmtId="0" fontId="137" fillId="0" borderId="0" xfId="0" applyFont="1" applyAlignment="1">
      <alignment horizontal="right" vertical="center"/>
    </xf>
    <xf numFmtId="0" fontId="98" fillId="4" borderId="47" xfId="0" applyFont="1" applyFill="1" applyBorder="1" applyAlignment="1">
      <alignment horizontal="center" vertical="center"/>
    </xf>
    <xf numFmtId="0" fontId="76" fillId="4" borderId="34" xfId="0" applyFont="1" applyFill="1" applyBorder="1" applyAlignment="1">
      <alignment horizontal="center" vertical="center"/>
    </xf>
    <xf numFmtId="0" fontId="41" fillId="0" borderId="67" xfId="0" applyFont="1" applyBorder="1" applyAlignment="1">
      <alignment horizontal="left" vertical="center"/>
    </xf>
    <xf numFmtId="0" fontId="236" fillId="0" borderId="0" xfId="0" applyFont="1" applyAlignment="1">
      <alignment horizontal="center" vertical="center"/>
    </xf>
    <xf numFmtId="4" fontId="1" fillId="0" borderId="0" xfId="0" applyNumberFormat="1" applyFont="1"/>
    <xf numFmtId="182" fontId="75" fillId="0" borderId="67" xfId="0" applyNumberFormat="1" applyFont="1" applyBorder="1" applyAlignment="1">
      <alignment vertical="center"/>
    </xf>
    <xf numFmtId="168" fontId="75" fillId="0" borderId="67" xfId="0" applyNumberFormat="1" applyFont="1" applyBorder="1" applyAlignment="1">
      <alignment vertical="center"/>
    </xf>
    <xf numFmtId="168" fontId="211" fillId="0" borderId="67" xfId="0" applyNumberFormat="1" applyFont="1" applyBorder="1" applyAlignment="1">
      <alignment vertical="center"/>
    </xf>
    <xf numFmtId="180" fontId="211" fillId="0" borderId="0" xfId="0" applyNumberFormat="1" applyFont="1" applyAlignment="1">
      <alignment vertical="center"/>
    </xf>
    <xf numFmtId="0" fontId="101" fillId="0" borderId="0" xfId="0" applyFont="1" applyAlignment="1">
      <alignment horizontal="center" vertical="center"/>
    </xf>
    <xf numFmtId="4" fontId="75" fillId="0" borderId="67" xfId="0" applyNumberFormat="1" applyFont="1" applyBorder="1" applyAlignment="1">
      <alignment vertical="center"/>
    </xf>
    <xf numFmtId="180" fontId="211" fillId="0" borderId="0" xfId="0" applyNumberFormat="1" applyFont="1" applyAlignment="1">
      <alignment horizontal="center" vertical="center"/>
    </xf>
    <xf numFmtId="181" fontId="211" fillId="0" borderId="0" xfId="0" applyNumberFormat="1" applyFont="1" applyAlignment="1">
      <alignment vertical="center"/>
    </xf>
    <xf numFmtId="168" fontId="75" fillId="0" borderId="0" xfId="0" applyNumberFormat="1" applyFont="1" applyAlignment="1">
      <alignment horizontal="left" vertical="center"/>
    </xf>
    <xf numFmtId="0" fontId="47" fillId="0" borderId="140" xfId="0" applyFont="1" applyBorder="1" applyAlignment="1">
      <alignment horizontal="center" vertical="center"/>
    </xf>
    <xf numFmtId="49" fontId="47" fillId="0" borderId="140" xfId="0" applyNumberFormat="1" applyFont="1" applyBorder="1" applyAlignment="1">
      <alignment horizontal="center" vertical="center"/>
    </xf>
    <xf numFmtId="49" fontId="211" fillId="0" borderId="140" xfId="0" applyNumberFormat="1" applyFont="1" applyBorder="1" applyAlignment="1">
      <alignment horizontal="left" vertical="center"/>
    </xf>
    <xf numFmtId="0" fontId="75" fillId="0" borderId="140" xfId="0" applyFont="1" applyBorder="1" applyAlignment="1">
      <alignment vertical="center"/>
    </xf>
    <xf numFmtId="0" fontId="46" fillId="0" borderId="140" xfId="0" applyFont="1" applyBorder="1" applyAlignment="1">
      <alignment vertical="center"/>
    </xf>
    <xf numFmtId="0" fontId="75" fillId="0" borderId="140" xfId="0" applyFont="1" applyBorder="1" applyAlignment="1">
      <alignment horizontal="left" vertical="center"/>
    </xf>
    <xf numFmtId="168" fontId="211" fillId="0" borderId="140" xfId="0" applyNumberFormat="1" applyFont="1" applyBorder="1" applyAlignment="1">
      <alignment horizontal="center" vertical="center"/>
    </xf>
    <xf numFmtId="0" fontId="211" fillId="0" borderId="140" xfId="0" applyFont="1" applyBorder="1" applyAlignment="1">
      <alignment horizontal="center" vertical="center"/>
    </xf>
    <xf numFmtId="0" fontId="136" fillId="0" borderId="0" xfId="0" applyFont="1" applyAlignment="1">
      <alignment horizontal="center" vertical="center"/>
    </xf>
    <xf numFmtId="0" fontId="133" fillId="0" borderId="0" xfId="0" applyFont="1" applyAlignment="1">
      <alignment horizontal="center" vertical="center"/>
    </xf>
    <xf numFmtId="0" fontId="133" fillId="0" borderId="0" xfId="0" applyFont="1" applyAlignment="1">
      <alignment horizontal="right" vertical="center"/>
    </xf>
    <xf numFmtId="0" fontId="1" fillId="0" borderId="0" xfId="0" applyFont="1" applyAlignment="1">
      <alignment horizontal="center"/>
    </xf>
    <xf numFmtId="182" fontId="1" fillId="0" borderId="0" xfId="0" applyNumberFormat="1" applyFont="1" applyAlignment="1">
      <alignment horizontal="center"/>
    </xf>
    <xf numFmtId="182" fontId="1" fillId="0" borderId="0" xfId="0" applyNumberFormat="1" applyFont="1"/>
    <xf numFmtId="182" fontId="0" fillId="0" borderId="0" xfId="0" applyNumberFormat="1"/>
    <xf numFmtId="168" fontId="37" fillId="0" borderId="0" xfId="0" applyNumberFormat="1" applyFont="1" applyAlignment="1">
      <alignment vertical="center"/>
    </xf>
    <xf numFmtId="0" fontId="106" fillId="0" borderId="0" xfId="0" applyFont="1" applyAlignment="1">
      <alignment horizontal="left" vertical="center"/>
    </xf>
    <xf numFmtId="182" fontId="47" fillId="0" borderId="0" xfId="0" applyNumberFormat="1" applyFont="1" applyAlignment="1">
      <alignment horizontal="center"/>
    </xf>
    <xf numFmtId="168" fontId="47" fillId="0" borderId="0" xfId="0" applyNumberFormat="1" applyFont="1" applyAlignment="1">
      <alignment horizontal="center"/>
    </xf>
    <xf numFmtId="4" fontId="38" fillId="0" borderId="0" xfId="0" applyNumberFormat="1" applyFont="1" applyAlignment="1">
      <alignment horizontal="center" vertical="center"/>
    </xf>
    <xf numFmtId="0" fontId="137" fillId="0" borderId="67" xfId="0" applyFont="1" applyBorder="1" applyAlignment="1">
      <alignment horizontal="center" vertical="center"/>
    </xf>
    <xf numFmtId="0" fontId="236" fillId="0" borderId="0" xfId="0" applyFont="1"/>
    <xf numFmtId="0" fontId="92" fillId="0" borderId="0" xfId="0" applyFont="1"/>
    <xf numFmtId="0" fontId="222" fillId="0" borderId="0" xfId="0" applyFont="1" applyAlignment="1">
      <alignment vertical="top"/>
    </xf>
    <xf numFmtId="0" fontId="238" fillId="0" borderId="0" xfId="0" applyFont="1" applyAlignment="1">
      <alignment vertical="center"/>
    </xf>
    <xf numFmtId="0" fontId="186" fillId="0" borderId="0" xfId="0" applyFont="1"/>
    <xf numFmtId="0" fontId="174" fillId="0" borderId="0" xfId="0" applyFont="1"/>
    <xf numFmtId="0" fontId="38" fillId="0" borderId="0" xfId="0" applyFont="1" applyAlignment="1">
      <alignment horizontal="left" indent="1"/>
    </xf>
    <xf numFmtId="0" fontId="13" fillId="0" borderId="0" xfId="0" quotePrefix="1" applyFont="1" applyAlignment="1">
      <alignment horizontal="left"/>
    </xf>
    <xf numFmtId="0" fontId="184" fillId="0" borderId="0" xfId="0" applyFont="1"/>
    <xf numFmtId="0" fontId="187" fillId="0" borderId="0" xfId="0" applyFont="1" applyAlignment="1">
      <alignment vertical="top"/>
    </xf>
    <xf numFmtId="0" fontId="189" fillId="0" borderId="0" xfId="0" applyFont="1" applyAlignment="1">
      <alignment vertical="top"/>
    </xf>
    <xf numFmtId="0" fontId="175" fillId="0" borderId="0" xfId="0" applyFont="1" applyAlignment="1">
      <alignment vertical="top"/>
    </xf>
    <xf numFmtId="0" fontId="5" fillId="0" borderId="0" xfId="2" applyNumberFormat="1" applyFont="1" applyBorder="1" applyAlignment="1">
      <alignment horizontal="center" vertical="center"/>
    </xf>
    <xf numFmtId="0" fontId="149" fillId="0" borderId="0" xfId="0" applyFont="1" applyAlignment="1">
      <alignment horizontal="left" vertical="center" indent="2"/>
    </xf>
    <xf numFmtId="0" fontId="239" fillId="0" borderId="0" xfId="0" applyFont="1" applyAlignment="1">
      <alignment horizontal="left" vertical="center"/>
    </xf>
    <xf numFmtId="0" fontId="240" fillId="0" borderId="0" xfId="0" applyFont="1" applyAlignment="1">
      <alignment horizontal="left" vertical="center"/>
    </xf>
    <xf numFmtId="0" fontId="73" fillId="0" borderId="0" xfId="0" applyFont="1" applyAlignment="1">
      <alignment horizontal="right"/>
    </xf>
    <xf numFmtId="0" fontId="38" fillId="0" borderId="0" xfId="0" applyFont="1" applyAlignment="1">
      <alignment horizontal="left" vertical="top" indent="1"/>
    </xf>
    <xf numFmtId="0" fontId="47" fillId="0" borderId="0" xfId="0" applyFont="1" applyAlignment="1">
      <alignment horizontal="left" vertical="top"/>
    </xf>
    <xf numFmtId="0" fontId="162" fillId="0" borderId="0" xfId="0" applyFont="1" applyAlignment="1" applyProtection="1">
      <alignment horizontal="left" vertical="center"/>
      <protection locked="0"/>
    </xf>
    <xf numFmtId="0" fontId="167" fillId="0" borderId="0" xfId="0" applyFont="1" applyAlignment="1">
      <alignment horizontal="left" vertical="center"/>
    </xf>
    <xf numFmtId="0" fontId="75" fillId="0" borderId="0" xfId="0" applyFont="1" applyAlignment="1">
      <alignment vertical="top"/>
    </xf>
    <xf numFmtId="0" fontId="1" fillId="0" borderId="0" xfId="0" applyFont="1" applyAlignment="1">
      <alignment vertical="center"/>
    </xf>
    <xf numFmtId="0" fontId="241" fillId="0" borderId="0" xfId="0" applyFont="1" applyAlignment="1">
      <alignment vertical="top"/>
    </xf>
    <xf numFmtId="0" fontId="240" fillId="0" borderId="0" xfId="0" applyFont="1" applyAlignment="1">
      <alignment vertical="top"/>
    </xf>
    <xf numFmtId="0" fontId="242" fillId="0" borderId="0" xfId="0" applyFont="1" applyAlignment="1">
      <alignment vertical="center"/>
    </xf>
    <xf numFmtId="0" fontId="47" fillId="5" borderId="0" xfId="0" applyFont="1" applyFill="1" applyAlignment="1">
      <alignment horizontal="center" vertical="center"/>
    </xf>
    <xf numFmtId="0" fontId="75" fillId="5" borderId="0" xfId="0" applyFont="1" applyFill="1" applyAlignment="1" applyProtection="1">
      <alignment horizontal="left" vertical="center"/>
      <protection locked="0"/>
    </xf>
    <xf numFmtId="0" fontId="47" fillId="5" borderId="0" xfId="0" applyFont="1" applyFill="1" applyAlignment="1" applyProtection="1">
      <alignment horizontal="left" vertical="center"/>
      <protection locked="0"/>
    </xf>
    <xf numFmtId="168" fontId="47" fillId="5" borderId="0" xfId="0" applyNumberFormat="1" applyFont="1" applyFill="1" applyAlignment="1" applyProtection="1">
      <alignment horizontal="right" vertical="center"/>
      <protection locked="0"/>
    </xf>
    <xf numFmtId="0" fontId="75" fillId="0" borderId="0" xfId="0" applyFont="1" applyAlignment="1">
      <alignment horizontal="right" vertical="top" wrapText="1"/>
    </xf>
    <xf numFmtId="168" fontId="63" fillId="5" borderId="0" xfId="0" applyNumberFormat="1" applyFont="1" applyFill="1" applyAlignment="1" applyProtection="1">
      <alignment horizontal="right" vertical="center"/>
      <protection locked="0"/>
    </xf>
    <xf numFmtId="0" fontId="181" fillId="0" borderId="0" xfId="0" applyFont="1" applyAlignment="1">
      <alignment horizontal="left" vertical="center" indent="1"/>
    </xf>
    <xf numFmtId="0" fontId="171" fillId="0" borderId="0" xfId="0" applyFont="1" applyAlignment="1">
      <alignment horizontal="left" vertical="center"/>
    </xf>
    <xf numFmtId="0" fontId="75" fillId="0" borderId="0" xfId="0" applyFont="1" applyAlignment="1">
      <alignment vertical="top" wrapText="1"/>
    </xf>
    <xf numFmtId="0" fontId="243" fillId="0" borderId="0" xfId="1" applyNumberFormat="1" applyFont="1" applyFill="1" applyBorder="1"/>
    <xf numFmtId="0" fontId="38" fillId="5" borderId="0" xfId="0" applyFont="1" applyFill="1" applyAlignment="1" applyProtection="1">
      <alignment horizontal="left"/>
      <protection locked="0"/>
    </xf>
    <xf numFmtId="0" fontId="63" fillId="0" borderId="0" xfId="0" applyFont="1" applyAlignment="1">
      <alignment horizontal="left" vertical="top"/>
    </xf>
    <xf numFmtId="0" fontId="240" fillId="0" borderId="0" xfId="0" applyFont="1" applyAlignment="1">
      <alignment horizontal="left"/>
    </xf>
    <xf numFmtId="0" fontId="6" fillId="0" borderId="0" xfId="0" applyFont="1" applyAlignment="1">
      <alignment vertical="top"/>
    </xf>
    <xf numFmtId="0" fontId="8" fillId="0" borderId="0" xfId="0" applyFont="1" applyAlignment="1">
      <alignment vertical="top"/>
    </xf>
    <xf numFmtId="3" fontId="47" fillId="5" borderId="0" xfId="0" applyNumberFormat="1" applyFont="1" applyFill="1" applyAlignment="1" applyProtection="1">
      <alignment horizontal="right" vertical="center"/>
      <protection locked="0"/>
    </xf>
    <xf numFmtId="0" fontId="244" fillId="5" borderId="0" xfId="0" applyFont="1" applyFill="1" applyAlignment="1">
      <alignment horizontal="left"/>
    </xf>
    <xf numFmtId="0" fontId="9" fillId="5" borderId="0" xfId="0" applyFont="1" applyFill="1"/>
    <xf numFmtId="0" fontId="164" fillId="0" borderId="0" xfId="0" applyFont="1" applyAlignment="1">
      <alignment horizontal="right"/>
    </xf>
    <xf numFmtId="0" fontId="161" fillId="0" borderId="0" xfId="0" applyFont="1" applyAlignment="1">
      <alignment horizontal="right"/>
    </xf>
    <xf numFmtId="0" fontId="165" fillId="0" borderId="0" xfId="0" applyFont="1" applyAlignment="1">
      <alignment horizontal="right"/>
    </xf>
    <xf numFmtId="0" fontId="75" fillId="5" borderId="119" xfId="0" applyFont="1" applyFill="1" applyBorder="1" applyAlignment="1" applyProtection="1">
      <alignment horizontal="center" vertical="center"/>
      <protection locked="0"/>
    </xf>
    <xf numFmtId="0" fontId="75" fillId="5" borderId="0" xfId="0" applyFont="1" applyFill="1" applyAlignment="1" applyProtection="1">
      <alignment horizontal="center" vertical="center"/>
      <protection locked="0"/>
    </xf>
    <xf numFmtId="0" fontId="125" fillId="0" borderId="72" xfId="0" applyFont="1" applyBorder="1" applyAlignment="1">
      <alignment horizontal="center" vertical="center"/>
    </xf>
    <xf numFmtId="0" fontId="125" fillId="0" borderId="0" xfId="0" applyFont="1" applyAlignment="1">
      <alignment horizontal="center" vertical="center"/>
    </xf>
    <xf numFmtId="0" fontId="75" fillId="6" borderId="115" xfId="0" applyFont="1" applyFill="1" applyBorder="1" applyAlignment="1">
      <alignment horizontal="centerContinuous"/>
    </xf>
    <xf numFmtId="0" fontId="75" fillId="6" borderId="116" xfId="0" applyFont="1" applyFill="1" applyBorder="1" applyAlignment="1">
      <alignment horizontal="centerContinuous"/>
    </xf>
    <xf numFmtId="0" fontId="75" fillId="6" borderId="119" xfId="0" applyFont="1" applyFill="1" applyBorder="1" applyAlignment="1">
      <alignment horizontal="centerContinuous"/>
    </xf>
    <xf numFmtId="0" fontId="75" fillId="6" borderId="141" xfId="0" applyFont="1" applyFill="1" applyBorder="1" applyAlignment="1">
      <alignment horizontal="center"/>
    </xf>
    <xf numFmtId="0" fontId="75" fillId="6" borderId="141" xfId="0" applyFont="1" applyFill="1" applyBorder="1" applyAlignment="1">
      <alignment horizontal="centerContinuous"/>
    </xf>
    <xf numFmtId="0" fontId="38" fillId="0" borderId="111" xfId="0" applyFont="1" applyBorder="1" applyAlignment="1">
      <alignment horizontal="center" vertical="center"/>
    </xf>
    <xf numFmtId="0" fontId="38" fillId="0" borderId="112" xfId="0" applyFont="1" applyBorder="1" applyAlignment="1">
      <alignment horizontal="left"/>
    </xf>
    <xf numFmtId="168" fontId="38" fillId="0" borderId="109" xfId="0" applyNumberFormat="1" applyFont="1" applyBorder="1" applyAlignment="1">
      <alignment horizontal="center"/>
    </xf>
    <xf numFmtId="168" fontId="38" fillId="0" borderId="118" xfId="0" applyNumberFormat="1" applyFont="1" applyBorder="1" applyAlignment="1">
      <alignment horizontal="center"/>
    </xf>
    <xf numFmtId="168" fontId="38" fillId="0" borderId="117" xfId="0" applyNumberFormat="1" applyFont="1" applyBorder="1" applyAlignment="1">
      <alignment horizontal="center"/>
    </xf>
    <xf numFmtId="0" fontId="9" fillId="0" borderId="142" xfId="0" applyFont="1" applyBorder="1"/>
    <xf numFmtId="0" fontId="15" fillId="0" borderId="142" xfId="0" applyFont="1" applyBorder="1" applyAlignment="1">
      <alignment vertical="center"/>
    </xf>
    <xf numFmtId="0" fontId="0" fillId="0" borderId="142" xfId="0" applyBorder="1"/>
    <xf numFmtId="0" fontId="9" fillId="0" borderId="143" xfId="0" applyFont="1" applyBorder="1"/>
    <xf numFmtId="0" fontId="73" fillId="0" borderId="142" xfId="0" applyFont="1" applyBorder="1" applyAlignment="1">
      <alignment horizontal="right" vertical="center"/>
    </xf>
    <xf numFmtId="0" fontId="0" fillId="0" borderId="143" xfId="0" applyBorder="1"/>
    <xf numFmtId="0" fontId="73" fillId="0" borderId="143" xfId="0" applyFont="1" applyBorder="1" applyAlignment="1">
      <alignment horizontal="right" vertical="center"/>
    </xf>
    <xf numFmtId="0" fontId="8" fillId="0" borderId="112" xfId="0" applyFont="1" applyBorder="1" applyAlignment="1">
      <alignment horizontal="center"/>
    </xf>
    <xf numFmtId="0" fontId="8" fillId="0" borderId="110" xfId="0" applyFont="1" applyBorder="1" applyAlignment="1">
      <alignment horizontal="center"/>
    </xf>
    <xf numFmtId="0" fontId="8" fillId="0" borderId="113" xfId="0" applyFont="1" applyBorder="1" applyAlignment="1">
      <alignment horizontal="center"/>
    </xf>
    <xf numFmtId="0" fontId="92" fillId="0" borderId="101" xfId="0" applyFont="1" applyBorder="1" applyAlignment="1">
      <alignment horizontal="right"/>
    </xf>
    <xf numFmtId="0" fontId="75" fillId="0" borderId="119" xfId="0" applyFont="1" applyBorder="1" applyAlignment="1">
      <alignment horizontal="right" vertical="center"/>
    </xf>
    <xf numFmtId="0" fontId="6" fillId="5" borderId="0" xfId="0" applyFont="1" applyFill="1" applyAlignment="1">
      <alignment horizontal="left" vertical="center"/>
    </xf>
    <xf numFmtId="0" fontId="43" fillId="6" borderId="117" xfId="0" applyFont="1" applyFill="1" applyBorder="1" applyAlignment="1">
      <alignment horizontal="centerContinuous" vertical="top"/>
    </xf>
    <xf numFmtId="0" fontId="43" fillId="6" borderId="118" xfId="0" applyFont="1" applyFill="1" applyBorder="1" applyAlignment="1">
      <alignment horizontal="centerContinuous" vertical="top"/>
    </xf>
    <xf numFmtId="0" fontId="43" fillId="6" borderId="109" xfId="0" applyFont="1" applyFill="1" applyBorder="1" applyAlignment="1">
      <alignment horizontal="centerContinuous" vertical="top"/>
    </xf>
    <xf numFmtId="0" fontId="43" fillId="6" borderId="114" xfId="0" applyFont="1" applyFill="1" applyBorder="1" applyAlignment="1">
      <alignment horizontal="center" vertical="top"/>
    </xf>
    <xf numFmtId="0" fontId="43" fillId="6" borderId="114" xfId="0" applyFont="1" applyFill="1" applyBorder="1" applyAlignment="1">
      <alignment horizontal="centerContinuous" vertical="top"/>
    </xf>
    <xf numFmtId="0" fontId="178" fillId="0" borderId="142" xfId="0" applyFont="1" applyBorder="1" applyAlignment="1">
      <alignment vertical="center"/>
    </xf>
    <xf numFmtId="0" fontId="75" fillId="5" borderId="119" xfId="0" applyFont="1" applyFill="1" applyBorder="1" applyAlignment="1" applyProtection="1">
      <alignment horizontal="center"/>
      <protection locked="0"/>
    </xf>
    <xf numFmtId="0" fontId="47" fillId="0" borderId="52" xfId="0" applyFont="1" applyBorder="1" applyAlignment="1">
      <alignment vertical="center"/>
    </xf>
    <xf numFmtId="0" fontId="74" fillId="0" borderId="0" xfId="0" applyFont="1" applyAlignment="1">
      <alignment vertical="top"/>
    </xf>
    <xf numFmtId="0" fontId="3" fillId="0" borderId="0" xfId="1" applyNumberFormat="1" applyFill="1" applyBorder="1" applyAlignment="1">
      <alignment horizontal="center"/>
    </xf>
    <xf numFmtId="0" fontId="157" fillId="0" borderId="0" xfId="1" applyNumberFormat="1" applyFont="1" applyFill="1" applyBorder="1" applyAlignment="1">
      <alignment horizontal="center"/>
    </xf>
    <xf numFmtId="0" fontId="3" fillId="0" borderId="0" xfId="1" applyNumberFormat="1" applyFill="1" applyAlignment="1">
      <alignment horizontal="center"/>
    </xf>
    <xf numFmtId="0" fontId="14" fillId="0" borderId="0" xfId="0" applyFont="1" applyAlignment="1">
      <alignment horizontal="center"/>
    </xf>
    <xf numFmtId="0" fontId="14" fillId="0" borderId="0" xfId="0" applyFont="1" applyAlignment="1">
      <alignment horizontal="center" vertical="center"/>
    </xf>
    <xf numFmtId="0" fontId="163" fillId="0" borderId="0" xfId="0" applyFont="1" applyAlignment="1">
      <alignment horizontal="center" vertical="center"/>
    </xf>
    <xf numFmtId="0" fontId="169" fillId="0" borderId="0" xfId="0" applyFont="1" applyAlignment="1">
      <alignment horizontal="center"/>
    </xf>
    <xf numFmtId="0" fontId="47" fillId="0" borderId="52" xfId="0" applyFont="1" applyBorder="1" applyAlignment="1">
      <alignment horizontal="left"/>
    </xf>
    <xf numFmtId="0" fontId="1" fillId="0" borderId="0" xfId="0" applyFont="1" applyAlignment="1">
      <alignment horizontal="left"/>
    </xf>
    <xf numFmtId="0" fontId="161" fillId="0" borderId="97" xfId="0" quotePrefix="1" applyFont="1" applyBorder="1"/>
    <xf numFmtId="0" fontId="161" fillId="0" borderId="98" xfId="0" quotePrefix="1" applyFont="1" applyBorder="1"/>
    <xf numFmtId="0" fontId="47" fillId="0" borderId="0" xfId="0" applyFont="1" applyAlignment="1">
      <alignment horizontal="centerContinuous" vertical="center"/>
    </xf>
    <xf numFmtId="0" fontId="85" fillId="4" borderId="44" xfId="0" applyFont="1" applyFill="1" applyBorder="1" applyAlignment="1">
      <alignment horizontal="center" vertical="center"/>
    </xf>
    <xf numFmtId="0" fontId="75" fillId="0" borderId="31" xfId="0" applyFont="1" applyBorder="1" applyAlignment="1">
      <alignment vertical="center"/>
    </xf>
    <xf numFmtId="0" fontId="179" fillId="0" borderId="0" xfId="0" applyFont="1" applyAlignment="1">
      <alignment horizontal="left" indent="1"/>
    </xf>
    <xf numFmtId="0" fontId="160" fillId="0" borderId="0" xfId="0" applyFont="1" applyAlignment="1">
      <alignment horizontal="left" indent="1"/>
    </xf>
    <xf numFmtId="0" fontId="164" fillId="0" borderId="0" xfId="0" applyFont="1" applyAlignment="1">
      <alignment horizontal="left" vertical="center"/>
    </xf>
    <xf numFmtId="0" fontId="160" fillId="0" borderId="0" xfId="0" applyFont="1" applyAlignment="1">
      <alignment horizontal="left" vertical="top"/>
    </xf>
    <xf numFmtId="0" fontId="160" fillId="0" borderId="0" xfId="0" applyFont="1" applyAlignment="1">
      <alignment horizontal="left" vertical="top" wrapText="1"/>
    </xf>
    <xf numFmtId="0" fontId="160" fillId="0" borderId="0" xfId="0" applyFont="1" applyAlignment="1">
      <alignment horizontal="left" vertical="center" indent="1"/>
    </xf>
    <xf numFmtId="0" fontId="47" fillId="0" borderId="0" xfId="0" quotePrefix="1" applyFont="1" applyAlignment="1">
      <alignment horizontal="left" vertical="top"/>
    </xf>
    <xf numFmtId="0" fontId="161" fillId="0" borderId="0" xfId="0" quotePrefix="1" applyFont="1"/>
    <xf numFmtId="168" fontId="109" fillId="0" borderId="0" xfId="0" applyNumberFormat="1" applyFont="1"/>
    <xf numFmtId="0" fontId="168" fillId="0" borderId="0" xfId="0" applyFont="1" applyAlignment="1">
      <alignment vertical="top"/>
    </xf>
    <xf numFmtId="167" fontId="63" fillId="5" borderId="0" xfId="0" applyNumberFormat="1" applyFont="1" applyFill="1" applyAlignment="1" applyProtection="1">
      <alignment horizontal="right" vertical="center"/>
      <protection locked="0"/>
    </xf>
    <xf numFmtId="0" fontId="168" fillId="0" borderId="0" xfId="0" applyFont="1" applyAlignment="1">
      <alignment vertical="top" wrapText="1"/>
    </xf>
    <xf numFmtId="0" fontId="75" fillId="0" borderId="0" xfId="0" applyFont="1" applyAlignment="1">
      <alignment horizontal="right"/>
    </xf>
    <xf numFmtId="14" fontId="172" fillId="0" borderId="0" xfId="0" applyNumberFormat="1" applyFont="1" applyAlignment="1">
      <alignment horizontal="right" vertical="center"/>
    </xf>
    <xf numFmtId="0" fontId="75" fillId="5" borderId="63" xfId="0" applyFont="1" applyFill="1" applyBorder="1" applyAlignment="1" applyProtection="1">
      <alignment vertical="center"/>
      <protection locked="0"/>
    </xf>
    <xf numFmtId="0" fontId="75" fillId="5" borderId="55" xfId="0" applyFont="1" applyFill="1" applyBorder="1" applyAlignment="1" applyProtection="1">
      <alignment vertical="center"/>
      <protection locked="0"/>
    </xf>
    <xf numFmtId="0" fontId="75" fillId="5" borderId="58" xfId="0" applyFont="1" applyFill="1" applyBorder="1" applyAlignment="1" applyProtection="1">
      <alignment vertical="center"/>
      <protection locked="0"/>
    </xf>
    <xf numFmtId="0" fontId="75" fillId="5" borderId="67" xfId="0" applyFont="1" applyFill="1" applyBorder="1" applyAlignment="1" applyProtection="1">
      <alignment vertical="center"/>
      <protection locked="0"/>
    </xf>
    <xf numFmtId="168" fontId="47" fillId="5" borderId="67" xfId="0" applyNumberFormat="1" applyFont="1" applyFill="1" applyBorder="1" applyAlignment="1" applyProtection="1">
      <alignment horizontal="left" vertical="center"/>
      <protection locked="0"/>
    </xf>
    <xf numFmtId="180" fontId="0" fillId="0" borderId="0" xfId="0" applyNumberFormat="1"/>
    <xf numFmtId="4" fontId="47" fillId="5" borderId="67" xfId="0" applyNumberFormat="1" applyFont="1" applyFill="1" applyBorder="1" applyAlignment="1" applyProtection="1">
      <alignment horizontal="right" vertical="center"/>
      <protection locked="0"/>
    </xf>
    <xf numFmtId="4" fontId="63" fillId="5" borderId="67" xfId="0" applyNumberFormat="1" applyFont="1" applyFill="1" applyBorder="1" applyAlignment="1" applyProtection="1">
      <alignment horizontal="right" vertical="center"/>
      <protection locked="0"/>
    </xf>
    <xf numFmtId="3" fontId="63" fillId="5" borderId="67" xfId="0" applyNumberFormat="1" applyFont="1" applyFill="1" applyBorder="1" applyAlignment="1" applyProtection="1">
      <alignment horizontal="right" vertical="center"/>
      <protection locked="0"/>
    </xf>
    <xf numFmtId="170" fontId="172" fillId="5" borderId="144" xfId="0" applyNumberFormat="1" applyFont="1" applyFill="1" applyBorder="1" applyAlignment="1" applyProtection="1">
      <alignment horizontal="right" vertical="center"/>
      <protection locked="0"/>
    </xf>
    <xf numFmtId="0" fontId="15" fillId="0" borderId="0" xfId="0" applyFont="1"/>
    <xf numFmtId="0" fontId="160" fillId="0" borderId="54" xfId="0" applyFont="1" applyBorder="1" applyAlignment="1">
      <alignment horizontal="right"/>
    </xf>
    <xf numFmtId="0" fontId="17" fillId="0" borderId="0" xfId="0" applyFont="1" applyAlignment="1">
      <alignment horizontal="center"/>
    </xf>
    <xf numFmtId="0" fontId="160" fillId="0" borderId="144" xfId="0" applyFont="1" applyBorder="1" applyAlignment="1">
      <alignment horizontal="right"/>
    </xf>
    <xf numFmtId="0" fontId="160" fillId="0" borderId="145" xfId="0" applyFont="1" applyBorder="1"/>
    <xf numFmtId="0" fontId="173" fillId="0" borderId="146" xfId="0" applyFont="1" applyBorder="1" applyAlignment="1">
      <alignment horizontal="right"/>
    </xf>
    <xf numFmtId="0" fontId="160" fillId="0" borderId="60" xfId="0" applyFont="1" applyBorder="1"/>
    <xf numFmtId="14" fontId="172" fillId="0" borderId="62" xfId="0" applyNumberFormat="1" applyFont="1" applyBorder="1" applyAlignment="1">
      <alignment horizontal="right"/>
    </xf>
    <xf numFmtId="0" fontId="211" fillId="0" borderId="31" xfId="0" applyFont="1" applyBorder="1" applyAlignment="1">
      <alignment horizontal="left" vertical="center" wrapText="1"/>
    </xf>
    <xf numFmtId="0" fontId="247" fillId="9" borderId="81" xfId="0" applyFont="1" applyFill="1" applyBorder="1" applyAlignment="1">
      <alignment horizontal="center"/>
    </xf>
    <xf numFmtId="0" fontId="54" fillId="9" borderId="82" xfId="0" applyFont="1" applyFill="1" applyBorder="1" applyAlignment="1">
      <alignment horizontal="center" vertical="top"/>
    </xf>
    <xf numFmtId="0" fontId="247" fillId="9" borderId="57" xfId="0" applyFont="1" applyFill="1" applyBorder="1" applyAlignment="1">
      <alignment horizontal="centerContinuous"/>
    </xf>
    <xf numFmtId="0" fontId="247" fillId="9" borderId="56" xfId="0" applyFont="1" applyFill="1" applyBorder="1" applyAlignment="1">
      <alignment horizontal="centerContinuous"/>
    </xf>
    <xf numFmtId="0" fontId="247" fillId="9" borderId="61" xfId="0" applyFont="1" applyFill="1" applyBorder="1" applyAlignment="1">
      <alignment horizontal="centerContinuous"/>
    </xf>
    <xf numFmtId="0" fontId="54" fillId="9" borderId="60" xfId="0" applyFont="1" applyFill="1" applyBorder="1" applyAlignment="1">
      <alignment horizontal="centerContinuous" vertical="top"/>
    </xf>
    <xf numFmtId="0" fontId="54" fillId="9" borderId="54" xfId="0" applyFont="1" applyFill="1" applyBorder="1" applyAlignment="1">
      <alignment horizontal="centerContinuous" vertical="top"/>
    </xf>
    <xf numFmtId="0" fontId="54" fillId="9" borderId="62" xfId="0" applyFont="1" applyFill="1" applyBorder="1" applyAlignment="1">
      <alignment horizontal="centerContinuous" vertical="top"/>
    </xf>
    <xf numFmtId="49" fontId="211" fillId="0" borderId="0" xfId="0" applyNumberFormat="1" applyFont="1" applyAlignment="1">
      <alignment vertical="center"/>
    </xf>
    <xf numFmtId="49" fontId="47" fillId="0" borderId="0" xfId="0" applyNumberFormat="1" applyFont="1" applyAlignment="1">
      <alignment horizontal="left" vertical="center" wrapText="1"/>
    </xf>
    <xf numFmtId="0" fontId="47" fillId="0" borderId="0" xfId="0" applyFont="1" applyAlignment="1">
      <alignment vertical="center" wrapText="1"/>
    </xf>
    <xf numFmtId="0" fontId="47" fillId="0" borderId="0" xfId="0" applyFont="1" applyAlignment="1">
      <alignment horizontal="center" vertical="center" wrapText="1"/>
    </xf>
    <xf numFmtId="0" fontId="248" fillId="0" borderId="0" xfId="0" applyFont="1" applyAlignment="1">
      <alignment vertical="center"/>
    </xf>
    <xf numFmtId="0" fontId="249" fillId="0" borderId="0" xfId="1" applyFont="1" applyBorder="1" applyAlignment="1">
      <alignment horizontal="left" vertical="center" wrapText="1"/>
    </xf>
    <xf numFmtId="0" fontId="249" fillId="0" borderId="0" xfId="1" applyFont="1" applyFill="1" applyBorder="1" applyAlignment="1">
      <alignment horizontal="left" vertical="center" wrapText="1"/>
    </xf>
    <xf numFmtId="49" fontId="211" fillId="0" borderId="0" xfId="0" quotePrefix="1" applyNumberFormat="1" applyFont="1" applyAlignment="1">
      <alignment horizontal="left" vertical="center"/>
    </xf>
    <xf numFmtId="0" fontId="71" fillId="9" borderId="82" xfId="0" applyFont="1" applyFill="1" applyBorder="1" applyAlignment="1">
      <alignment horizontal="center" vertical="top"/>
    </xf>
    <xf numFmtId="0" fontId="160" fillId="0" borderId="85" xfId="0" applyFont="1" applyBorder="1" applyAlignment="1">
      <alignment horizontal="left" vertical="center"/>
    </xf>
    <xf numFmtId="0" fontId="160" fillId="0" borderId="85" xfId="0" applyFont="1" applyBorder="1" applyAlignment="1">
      <alignment horizontal="left" vertical="center" wrapText="1"/>
    </xf>
    <xf numFmtId="0" fontId="164" fillId="0" borderId="96" xfId="0" applyFont="1" applyBorder="1" applyAlignment="1">
      <alignment horizontal="left" vertical="center"/>
    </xf>
    <xf numFmtId="0" fontId="43" fillId="0" borderId="0" xfId="0" applyFont="1" applyAlignment="1" applyProtection="1">
      <alignment horizontal="center" vertical="center"/>
      <protection locked="0"/>
    </xf>
    <xf numFmtId="0" fontId="75" fillId="0" borderId="41" xfId="0" applyFont="1" applyBorder="1" applyAlignment="1" applyProtection="1">
      <alignment horizontal="left"/>
      <protection locked="0"/>
    </xf>
    <xf numFmtId="0" fontId="46" fillId="0" borderId="31" xfId="0" applyFont="1" applyBorder="1" applyAlignment="1" applyProtection="1">
      <alignment horizontal="center"/>
      <protection locked="0"/>
    </xf>
    <xf numFmtId="0" fontId="75" fillId="0" borderId="31" xfId="0" applyFont="1" applyBorder="1" applyAlignment="1" applyProtection="1">
      <alignment horizontal="left"/>
      <protection locked="0"/>
    </xf>
    <xf numFmtId="0" fontId="47" fillId="0" borderId="31" xfId="0" applyFont="1" applyBorder="1" applyAlignment="1" applyProtection="1">
      <alignment horizontal="left"/>
      <protection locked="0"/>
    </xf>
    <xf numFmtId="14" fontId="74" fillId="0" borderId="31" xfId="0" applyNumberFormat="1" applyFont="1" applyBorder="1" applyAlignment="1" applyProtection="1">
      <alignment horizontal="left" vertical="center"/>
      <protection locked="0"/>
    </xf>
    <xf numFmtId="182" fontId="75" fillId="0" borderId="41" xfId="0" applyNumberFormat="1" applyFont="1" applyBorder="1" applyAlignment="1" applyProtection="1">
      <alignment horizontal="right"/>
      <protection locked="0"/>
    </xf>
    <xf numFmtId="2" fontId="47" fillId="0" borderId="41" xfId="0" applyNumberFormat="1" applyFont="1" applyBorder="1" applyProtection="1">
      <protection locked="0"/>
    </xf>
    <xf numFmtId="2" fontId="8" fillId="0" borderId="41" xfId="0" applyNumberFormat="1" applyFont="1" applyBorder="1" applyAlignment="1" applyProtection="1">
      <alignment horizontal="right"/>
      <protection locked="0"/>
    </xf>
    <xf numFmtId="14" fontId="75" fillId="0" borderId="42" xfId="0" applyNumberFormat="1" applyFont="1" applyBorder="1" applyAlignment="1" applyProtection="1">
      <alignment horizontal="center"/>
      <protection locked="0"/>
    </xf>
    <xf numFmtId="0" fontId="43" fillId="0" borderId="0" xfId="0" applyFont="1" applyProtection="1">
      <protection locked="0"/>
    </xf>
    <xf numFmtId="0" fontId="43" fillId="0" borderId="48" xfId="0" applyFont="1" applyBorder="1" applyProtection="1">
      <protection locked="0"/>
    </xf>
    <xf numFmtId="0" fontId="43" fillId="0" borderId="49" xfId="0" applyFont="1" applyBorder="1" applyProtection="1">
      <protection locked="0"/>
    </xf>
    <xf numFmtId="0" fontId="57" fillId="0" borderId="49" xfId="0" applyFont="1" applyBorder="1" applyProtection="1">
      <protection locked="0"/>
    </xf>
    <xf numFmtId="0" fontId="60" fillId="0" borderId="0" xfId="0" applyFont="1" applyProtection="1">
      <protection locked="0"/>
    </xf>
    <xf numFmtId="0" fontId="57" fillId="0" borderId="0" xfId="0" applyFont="1" applyProtection="1">
      <protection locked="0"/>
    </xf>
    <xf numFmtId="0" fontId="43" fillId="0" borderId="0" xfId="0" applyFont="1" applyAlignment="1" applyProtection="1">
      <alignment horizontal="left" vertical="center"/>
      <protection locked="0"/>
    </xf>
    <xf numFmtId="0" fontId="42" fillId="0" borderId="0" xfId="0" applyFont="1" applyAlignment="1" applyProtection="1">
      <alignment horizontal="left"/>
      <protection locked="0"/>
    </xf>
    <xf numFmtId="0" fontId="42" fillId="0" borderId="0" xfId="0" applyFont="1" applyAlignment="1" applyProtection="1">
      <alignment horizontal="center"/>
      <protection locked="0"/>
    </xf>
    <xf numFmtId="14" fontId="43" fillId="0" borderId="0" xfId="0" applyNumberFormat="1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2" fontId="43" fillId="0" borderId="0" xfId="0" applyNumberFormat="1" applyFont="1" applyProtection="1">
      <protection locked="0"/>
    </xf>
    <xf numFmtId="167" fontId="6" fillId="0" borderId="0" xfId="0" applyNumberFormat="1" applyFont="1" applyProtection="1">
      <protection locked="0"/>
    </xf>
    <xf numFmtId="0" fontId="6" fillId="0" borderId="0" xfId="0" applyFont="1" applyProtection="1">
      <protection locked="0"/>
    </xf>
    <xf numFmtId="0" fontId="38" fillId="0" borderId="0" xfId="0" applyFont="1" applyAlignment="1" applyProtection="1">
      <alignment horizontal="center"/>
      <protection locked="0"/>
    </xf>
    <xf numFmtId="0" fontId="38" fillId="0" borderId="0" xfId="0" applyFont="1" applyAlignment="1" applyProtection="1">
      <alignment horizontal="center" vertical="center"/>
      <protection locked="0"/>
    </xf>
    <xf numFmtId="0" fontId="47" fillId="0" borderId="0" xfId="0" applyFont="1" applyAlignment="1" applyProtection="1">
      <alignment horizontal="center" vertical="center"/>
      <protection locked="0"/>
    </xf>
    <xf numFmtId="0" fontId="142" fillId="0" borderId="0" xfId="0" applyFont="1" applyAlignment="1" applyProtection="1">
      <alignment vertical="center"/>
      <protection locked="0"/>
    </xf>
    <xf numFmtId="0" fontId="220" fillId="0" borderId="0" xfId="0" applyFont="1" applyAlignment="1" applyProtection="1">
      <alignment vertical="center"/>
      <protection locked="0"/>
    </xf>
    <xf numFmtId="0" fontId="106" fillId="0" borderId="0" xfId="0" applyFont="1" applyAlignment="1" applyProtection="1">
      <alignment vertical="center"/>
      <protection locked="0"/>
    </xf>
    <xf numFmtId="0" fontId="113" fillId="0" borderId="0" xfId="0" applyFont="1" applyAlignment="1" applyProtection="1">
      <alignment vertical="center"/>
      <protection locked="0"/>
    </xf>
    <xf numFmtId="0" fontId="106" fillId="0" borderId="0" xfId="0" applyFont="1" applyAlignment="1" applyProtection="1">
      <alignment horizontal="center" vertical="center"/>
      <protection locked="0"/>
    </xf>
    <xf numFmtId="0" fontId="153" fillId="0" borderId="0" xfId="0" applyFont="1" applyAlignment="1" applyProtection="1">
      <alignment vertical="center"/>
      <protection locked="0"/>
    </xf>
    <xf numFmtId="2" fontId="113" fillId="0" borderId="0" xfId="0" applyNumberFormat="1" applyFont="1" applyAlignment="1" applyProtection="1">
      <alignment vertical="center"/>
      <protection locked="0"/>
    </xf>
    <xf numFmtId="0" fontId="113" fillId="5" borderId="0" xfId="0" applyFont="1" applyFill="1" applyAlignment="1" applyProtection="1">
      <alignment horizontal="center" vertical="center"/>
      <protection locked="0"/>
    </xf>
    <xf numFmtId="0" fontId="142" fillId="0" borderId="0" xfId="0" applyFont="1" applyAlignment="1" applyProtection="1">
      <alignment horizontal="center" vertical="center"/>
      <protection locked="0"/>
    </xf>
    <xf numFmtId="0" fontId="220" fillId="0" borderId="0" xfId="0" applyFont="1" applyAlignment="1" applyProtection="1">
      <alignment horizontal="center" vertical="center"/>
      <protection locked="0"/>
    </xf>
    <xf numFmtId="0" fontId="113" fillId="0" borderId="0" xfId="0" applyFont="1" applyAlignment="1" applyProtection="1">
      <alignment horizontal="center" vertical="center"/>
      <protection locked="0"/>
    </xf>
    <xf numFmtId="14" fontId="113" fillId="0" borderId="0" xfId="0" applyNumberFormat="1" applyFont="1" applyAlignment="1" applyProtection="1">
      <alignment horizontal="center" vertical="center"/>
      <protection locked="0"/>
    </xf>
    <xf numFmtId="0" fontId="153" fillId="0" borderId="0" xfId="0" applyFont="1" applyAlignment="1" applyProtection="1">
      <alignment horizontal="center" vertical="center"/>
      <protection locked="0"/>
    </xf>
    <xf numFmtId="2" fontId="113" fillId="0" borderId="0" xfId="0" applyNumberFormat="1" applyFont="1" applyAlignment="1" applyProtection="1">
      <alignment horizontal="center" vertical="center"/>
      <protection locked="0"/>
    </xf>
    <xf numFmtId="0" fontId="43" fillId="0" borderId="43" xfId="0" applyFont="1" applyBorder="1" applyProtection="1">
      <protection locked="0"/>
    </xf>
    <xf numFmtId="0" fontId="43" fillId="5" borderId="0" xfId="0" applyFont="1" applyFill="1" applyProtection="1">
      <protection locked="0"/>
    </xf>
    <xf numFmtId="0" fontId="168" fillId="0" borderId="0" xfId="0" applyFont="1" applyAlignment="1" applyProtection="1">
      <alignment vertical="center"/>
      <protection locked="0"/>
    </xf>
    <xf numFmtId="0" fontId="168" fillId="0" borderId="0" xfId="0" applyFont="1" applyProtection="1">
      <protection locked="0"/>
    </xf>
    <xf numFmtId="167" fontId="178" fillId="0" borderId="0" xfId="0" applyNumberFormat="1" applyFont="1" applyAlignment="1" applyProtection="1">
      <alignment vertical="center"/>
      <protection locked="0"/>
    </xf>
    <xf numFmtId="0" fontId="43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43" fillId="0" borderId="43" xfId="0" applyFont="1" applyBorder="1" applyAlignment="1" applyProtection="1">
      <alignment horizontal="center" vertical="center"/>
      <protection locked="0"/>
    </xf>
    <xf numFmtId="0" fontId="129" fillId="5" borderId="0" xfId="0" applyFont="1" applyFill="1" applyAlignment="1" applyProtection="1">
      <alignment horizontal="center" vertical="center"/>
      <protection locked="0"/>
    </xf>
    <xf numFmtId="0" fontId="60" fillId="0" borderId="0" xfId="0" applyFont="1" applyAlignment="1" applyProtection="1">
      <alignment horizontal="center" vertical="center"/>
      <protection locked="0"/>
    </xf>
    <xf numFmtId="0" fontId="57" fillId="0" borderId="0" xfId="0" applyFont="1" applyAlignment="1" applyProtection="1">
      <alignment horizontal="center" vertical="center"/>
      <protection locked="0"/>
    </xf>
    <xf numFmtId="2" fontId="43" fillId="0" borderId="0" xfId="0" applyNumberFormat="1" applyFont="1" applyAlignment="1" applyProtection="1">
      <alignment horizontal="center" vertical="center"/>
      <protection locked="0"/>
    </xf>
    <xf numFmtId="167" fontId="6" fillId="0" borderId="0" xfId="0" applyNumberFormat="1" applyFont="1" applyAlignment="1" applyProtection="1">
      <alignment horizontal="center" vertical="center"/>
      <protection locked="0"/>
    </xf>
    <xf numFmtId="0" fontId="47" fillId="0" borderId="0" xfId="0" applyFont="1" applyAlignment="1" applyProtection="1">
      <alignment horizontal="center"/>
      <protection locked="0"/>
    </xf>
    <xf numFmtId="0" fontId="38" fillId="0" borderId="43" xfId="0" applyFont="1" applyBorder="1" applyAlignment="1" applyProtection="1">
      <alignment horizontal="center" vertical="center"/>
      <protection locked="0"/>
    </xf>
    <xf numFmtId="0" fontId="143" fillId="0" borderId="0" xfId="0" applyFont="1" applyAlignment="1" applyProtection="1">
      <alignment horizontal="center" vertical="center"/>
      <protection locked="0"/>
    </xf>
    <xf numFmtId="0" fontId="202" fillId="0" borderId="0" xfId="0" applyFont="1" applyAlignment="1" applyProtection="1">
      <alignment horizontal="center" vertical="center"/>
      <protection locked="0"/>
    </xf>
    <xf numFmtId="0" fontId="86" fillId="5" borderId="0" xfId="0" applyFont="1" applyFill="1" applyAlignment="1" applyProtection="1">
      <alignment horizontal="center" vertical="center"/>
      <protection locked="0"/>
    </xf>
    <xf numFmtId="0" fontId="55" fillId="0" borderId="0" xfId="0" applyFont="1" applyProtection="1">
      <protection locked="0"/>
    </xf>
    <xf numFmtId="0" fontId="89" fillId="5" borderId="56" xfId="0" applyFont="1" applyFill="1" applyBorder="1" applyAlignment="1" applyProtection="1">
      <alignment horizontal="left"/>
      <protection locked="0"/>
    </xf>
    <xf numFmtId="0" fontId="191" fillId="5" borderId="56" xfId="0" applyFont="1" applyFill="1" applyBorder="1" applyAlignment="1" applyProtection="1">
      <alignment horizontal="center" vertical="center"/>
      <protection locked="0"/>
    </xf>
    <xf numFmtId="0" fontId="236" fillId="5" borderId="56" xfId="0" applyFont="1" applyFill="1" applyBorder="1" applyAlignment="1" applyProtection="1">
      <alignment horizontal="center" vertical="center"/>
      <protection locked="0"/>
    </xf>
    <xf numFmtId="0" fontId="132" fillId="0" borderId="0" xfId="0" applyFont="1" applyAlignment="1" applyProtection="1">
      <alignment horizontal="left" vertical="center"/>
      <protection locked="0"/>
    </xf>
    <xf numFmtId="0" fontId="69" fillId="0" borderId="0" xfId="0" applyFont="1" applyAlignment="1" applyProtection="1">
      <alignment horizontal="left" vertical="center"/>
      <protection locked="0"/>
    </xf>
    <xf numFmtId="0" fontId="89" fillId="5" borderId="0" xfId="0" applyFont="1" applyFill="1" applyAlignment="1" applyProtection="1">
      <alignment horizontal="left"/>
      <protection locked="0"/>
    </xf>
    <xf numFmtId="0" fontId="62" fillId="0" borderId="0" xfId="0" applyFont="1" applyAlignment="1" applyProtection="1">
      <alignment horizontal="center" vertical="center" wrapText="1"/>
      <protection locked="0"/>
    </xf>
    <xf numFmtId="49" fontId="192" fillId="5" borderId="0" xfId="0" applyNumberFormat="1" applyFont="1" applyFill="1" applyAlignment="1" applyProtection="1">
      <alignment vertical="top" wrapText="1"/>
      <protection locked="0"/>
    </xf>
    <xf numFmtId="49" fontId="46" fillId="5" borderId="0" xfId="0" applyNumberFormat="1" applyFont="1" applyFill="1" applyAlignment="1" applyProtection="1">
      <alignment vertical="top" wrapText="1"/>
      <protection locked="0"/>
    </xf>
    <xf numFmtId="14" fontId="57" fillId="0" borderId="0" xfId="0" applyNumberFormat="1" applyFont="1" applyProtection="1">
      <protection locked="0"/>
    </xf>
    <xf numFmtId="0" fontId="61" fillId="0" borderId="59" xfId="0" applyFont="1" applyBorder="1" applyAlignment="1" applyProtection="1">
      <alignment horizontal="center" vertical="center"/>
      <protection locked="0"/>
    </xf>
    <xf numFmtId="0" fontId="61" fillId="0" borderId="0" xfId="0" applyFont="1" applyAlignment="1" applyProtection="1">
      <alignment horizontal="center" vertical="center"/>
      <protection locked="0"/>
    </xf>
    <xf numFmtId="0" fontId="38" fillId="0" borderId="0" xfId="0" applyFont="1" applyAlignment="1" applyProtection="1">
      <alignment horizontal="left" vertical="center"/>
      <protection locked="0"/>
    </xf>
    <xf numFmtId="0" fontId="98" fillId="0" borderId="0" xfId="0" applyFont="1" applyAlignment="1" applyProtection="1">
      <alignment horizontal="center"/>
      <protection locked="0"/>
    </xf>
    <xf numFmtId="0" fontId="46" fillId="0" borderId="0" xfId="0" applyFont="1" applyAlignment="1" applyProtection="1">
      <alignment horizontal="center"/>
      <protection locked="0"/>
    </xf>
    <xf numFmtId="0" fontId="203" fillId="0" borderId="0" xfId="0" applyFont="1" applyAlignment="1" applyProtection="1">
      <alignment horizontal="center"/>
      <protection locked="0"/>
    </xf>
    <xf numFmtId="0" fontId="154" fillId="0" borderId="0" xfId="0" applyFont="1" applyAlignment="1" applyProtection="1">
      <alignment horizontal="center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2" fontId="38" fillId="0" borderId="0" xfId="0" applyNumberFormat="1" applyFont="1" applyProtection="1">
      <protection locked="0"/>
    </xf>
    <xf numFmtId="167" fontId="8" fillId="0" borderId="0" xfId="0" applyNumberFormat="1" applyFont="1" applyProtection="1">
      <protection locked="0"/>
    </xf>
    <xf numFmtId="2" fontId="46" fillId="0" borderId="40" xfId="0" applyNumberFormat="1" applyFont="1" applyBorder="1" applyAlignment="1" applyProtection="1">
      <alignment horizontal="right" vertical="center"/>
      <protection locked="0"/>
    </xf>
    <xf numFmtId="2" fontId="74" fillId="0" borderId="0" xfId="0" applyNumberFormat="1" applyFont="1" applyAlignment="1" applyProtection="1">
      <alignment horizontal="right" vertical="center"/>
      <protection locked="0"/>
    </xf>
    <xf numFmtId="3" fontId="74" fillId="0" borderId="0" xfId="0" applyNumberFormat="1" applyFont="1" applyAlignment="1" applyProtection="1">
      <alignment horizontal="center"/>
      <protection locked="0"/>
    </xf>
    <xf numFmtId="0" fontId="46" fillId="0" borderId="0" xfId="0" applyFont="1" applyAlignment="1" applyProtection="1">
      <alignment horizontal="left"/>
      <protection locked="0"/>
    </xf>
    <xf numFmtId="3" fontId="74" fillId="0" borderId="0" xfId="0" applyNumberFormat="1" applyFont="1" applyAlignment="1" applyProtection="1">
      <alignment horizontal="center" vertical="center"/>
      <protection locked="0"/>
    </xf>
    <xf numFmtId="0" fontId="43" fillId="0" borderId="59" xfId="0" applyFont="1" applyBorder="1" applyAlignment="1" applyProtection="1">
      <alignment horizontal="center" vertical="center"/>
      <protection locked="0"/>
    </xf>
    <xf numFmtId="0" fontId="147" fillId="0" borderId="53" xfId="0" applyFont="1" applyBorder="1" applyAlignment="1" applyProtection="1">
      <alignment horizontal="center" vertical="center"/>
      <protection locked="0"/>
    </xf>
    <xf numFmtId="175" fontId="47" fillId="0" borderId="53" xfId="0" applyNumberFormat="1" applyFont="1" applyBorder="1" applyAlignment="1" applyProtection="1">
      <alignment horizontal="center" vertical="center"/>
      <protection locked="0"/>
    </xf>
    <xf numFmtId="0" fontId="146" fillId="0" borderId="53" xfId="0" applyFont="1" applyBorder="1" applyAlignment="1" applyProtection="1">
      <alignment horizontal="center" vertical="center"/>
      <protection locked="0"/>
    </xf>
    <xf numFmtId="0" fontId="146" fillId="0" borderId="0" xfId="0" applyFont="1" applyAlignment="1" applyProtection="1">
      <alignment horizontal="center" vertical="center"/>
      <protection locked="0"/>
    </xf>
    <xf numFmtId="2" fontId="47" fillId="0" borderId="0" xfId="0" applyNumberFormat="1" applyFont="1" applyAlignment="1" applyProtection="1">
      <alignment horizontal="right" vertical="center"/>
      <protection locked="0"/>
    </xf>
    <xf numFmtId="3" fontId="8" fillId="0" borderId="0" xfId="0" applyNumberFormat="1" applyFont="1" applyProtection="1">
      <protection locked="0"/>
    </xf>
    <xf numFmtId="0" fontId="38" fillId="5" borderId="0" xfId="0" applyFont="1" applyFill="1" applyProtection="1">
      <protection locked="0"/>
    </xf>
    <xf numFmtId="0" fontId="128" fillId="0" borderId="0" xfId="0" applyFont="1" applyAlignment="1" applyProtection="1">
      <alignment horizontal="center" vertical="center"/>
      <protection locked="0"/>
    </xf>
    <xf numFmtId="167" fontId="38" fillId="0" borderId="0" xfId="0" applyNumberFormat="1" applyFont="1" applyAlignment="1" applyProtection="1">
      <alignment horizontal="center"/>
      <protection locked="0"/>
    </xf>
    <xf numFmtId="0" fontId="108" fillId="0" borderId="0" xfId="0" applyFont="1" applyAlignment="1" applyProtection="1">
      <alignment horizontal="center" vertical="center"/>
      <protection locked="0"/>
    </xf>
    <xf numFmtId="0" fontId="43" fillId="0" borderId="0" xfId="0" applyFont="1" applyAlignment="1" applyProtection="1">
      <alignment horizontal="right" vertical="center"/>
      <protection locked="0"/>
    </xf>
    <xf numFmtId="0" fontId="117" fillId="0" borderId="0" xfId="0" applyFont="1" applyAlignment="1" applyProtection="1">
      <alignment vertical="center"/>
      <protection locked="0"/>
    </xf>
    <xf numFmtId="0" fontId="41" fillId="0" borderId="0" xfId="0" applyFont="1" applyAlignment="1" applyProtection="1">
      <alignment horizontal="left" vertical="center"/>
      <protection locked="0"/>
    </xf>
    <xf numFmtId="0" fontId="41" fillId="0" borderId="0" xfId="0" applyFont="1" applyAlignment="1" applyProtection="1">
      <alignment horizontal="center" vertical="center"/>
      <protection locked="0"/>
    </xf>
    <xf numFmtId="1" fontId="38" fillId="0" borderId="0" xfId="0" applyNumberFormat="1" applyFont="1" applyAlignment="1" applyProtection="1">
      <alignment horizontal="center" vertical="center"/>
      <protection locked="0"/>
    </xf>
    <xf numFmtId="0" fontId="42" fillId="0" borderId="0" xfId="0" applyFont="1" applyAlignment="1" applyProtection="1">
      <alignment vertical="top"/>
      <protection locked="0"/>
    </xf>
    <xf numFmtId="0" fontId="42" fillId="0" borderId="0" xfId="0" applyFont="1" applyAlignment="1" applyProtection="1">
      <alignment horizontal="center" vertical="top"/>
      <protection locked="0"/>
    </xf>
    <xf numFmtId="0" fontId="201" fillId="0" borderId="0" xfId="0" applyFont="1" applyAlignment="1" applyProtection="1">
      <alignment vertical="center"/>
      <protection locked="0"/>
    </xf>
    <xf numFmtId="0" fontId="201" fillId="0" borderId="0" xfId="0" applyFont="1" applyAlignment="1" applyProtection="1">
      <alignment horizontal="center" vertical="center"/>
      <protection locked="0"/>
    </xf>
    <xf numFmtId="0" fontId="69" fillId="0" borderId="0" xfId="0" applyFont="1" applyAlignment="1" applyProtection="1">
      <alignment horizontal="center" vertical="center"/>
      <protection locked="0"/>
    </xf>
    <xf numFmtId="0" fontId="75" fillId="0" borderId="40" xfId="0" applyFont="1" applyBorder="1" applyAlignment="1" applyProtection="1">
      <alignment horizontal="right" vertical="center"/>
      <protection locked="0"/>
    </xf>
    <xf numFmtId="2" fontId="203" fillId="0" borderId="0" xfId="0" applyNumberFormat="1" applyFont="1" applyAlignment="1" applyProtection="1">
      <alignment horizontal="center" vertical="center"/>
      <protection locked="0"/>
    </xf>
    <xf numFmtId="0" fontId="221" fillId="9" borderId="34" xfId="0" applyFont="1" applyFill="1" applyBorder="1" applyAlignment="1" applyProtection="1">
      <alignment horizontal="center" vertical="center"/>
      <protection locked="0"/>
    </xf>
    <xf numFmtId="0" fontId="221" fillId="9" borderId="34" xfId="0" applyFont="1" applyFill="1" applyBorder="1" applyAlignment="1" applyProtection="1">
      <alignment horizontal="centerContinuous" vertical="center"/>
      <protection locked="0"/>
    </xf>
    <xf numFmtId="0" fontId="221" fillId="9" borderId="31" xfId="0" applyFont="1" applyFill="1" applyBorder="1" applyAlignment="1" applyProtection="1">
      <alignment horizontal="centerContinuous" vertical="center"/>
      <protection locked="0"/>
    </xf>
    <xf numFmtId="0" fontId="54" fillId="9" borderId="35" xfId="0" applyFont="1" applyFill="1" applyBorder="1" applyAlignment="1" applyProtection="1">
      <alignment horizontal="center" vertical="top"/>
      <protection locked="0"/>
    </xf>
    <xf numFmtId="0" fontId="54" fillId="9" borderId="47" xfId="0" applyFont="1" applyFill="1" applyBorder="1" applyAlignment="1" applyProtection="1">
      <alignment horizontal="centerContinuous" vertical="top"/>
      <protection locked="0"/>
    </xf>
    <xf numFmtId="0" fontId="54" fillId="9" borderId="47" xfId="0" applyFont="1" applyFill="1" applyBorder="1" applyAlignment="1" applyProtection="1">
      <alignment horizontal="centerContinuous" vertical="center"/>
      <protection locked="0"/>
    </xf>
    <xf numFmtId="0" fontId="138" fillId="9" borderId="31" xfId="0" applyFont="1" applyFill="1" applyBorder="1" applyAlignment="1" applyProtection="1">
      <alignment horizontal="center" vertical="center"/>
      <protection locked="0"/>
    </xf>
    <xf numFmtId="0" fontId="216" fillId="6" borderId="34" xfId="0" applyFont="1" applyFill="1" applyBorder="1" applyAlignment="1" applyProtection="1">
      <alignment horizontal="center" vertical="center"/>
      <protection locked="0"/>
    </xf>
    <xf numFmtId="0" fontId="84" fillId="6" borderId="35" xfId="0" applyFont="1" applyFill="1" applyBorder="1" applyAlignment="1" applyProtection="1">
      <alignment horizontal="center" vertical="top"/>
      <protection locked="0"/>
    </xf>
    <xf numFmtId="0" fontId="84" fillId="6" borderId="47" xfId="0" applyFont="1" applyFill="1" applyBorder="1" applyAlignment="1" applyProtection="1">
      <alignment horizontal="center" vertical="top"/>
      <protection locked="0"/>
    </xf>
    <xf numFmtId="167" fontId="6" fillId="0" borderId="0" xfId="0" applyNumberFormat="1" applyFont="1" applyAlignment="1" applyProtection="1">
      <alignment horizontal="center"/>
      <protection locked="0"/>
    </xf>
    <xf numFmtId="0" fontId="6" fillId="0" borderId="0" xfId="0" applyFont="1" applyAlignment="1" applyProtection="1">
      <alignment horizontal="center"/>
      <protection locked="0"/>
    </xf>
    <xf numFmtId="0" fontId="43" fillId="0" borderId="0" xfId="0" applyFont="1" applyAlignment="1" applyProtection="1">
      <alignment horizontal="right"/>
      <protection locked="0"/>
    </xf>
    <xf numFmtId="0" fontId="113" fillId="5" borderId="48" xfId="0" applyFont="1" applyFill="1" applyBorder="1" applyAlignment="1" applyProtection="1">
      <alignment vertical="center"/>
      <protection locked="0"/>
    </xf>
    <xf numFmtId="0" fontId="113" fillId="5" borderId="49" xfId="0" applyFont="1" applyFill="1" applyBorder="1" applyAlignment="1" applyProtection="1">
      <alignment vertical="center"/>
      <protection locked="0"/>
    </xf>
    <xf numFmtId="0" fontId="220" fillId="5" borderId="148" xfId="0" applyFont="1" applyFill="1" applyBorder="1" applyAlignment="1" applyProtection="1">
      <alignment vertical="center"/>
      <protection locked="0"/>
    </xf>
    <xf numFmtId="0" fontId="213" fillId="0" borderId="0" xfId="0" applyFont="1" applyAlignment="1" applyProtection="1">
      <alignment vertical="center"/>
      <protection locked="0"/>
    </xf>
    <xf numFmtId="0" fontId="218" fillId="0" borderId="0" xfId="0" applyFont="1" applyAlignment="1" applyProtection="1">
      <alignment vertical="center"/>
      <protection locked="0"/>
    </xf>
    <xf numFmtId="0" fontId="153" fillId="0" borderId="0" xfId="0" applyFont="1" applyAlignment="1" applyProtection="1">
      <alignment horizontal="center"/>
      <protection locked="0"/>
    </xf>
    <xf numFmtId="0" fontId="113" fillId="5" borderId="149" xfId="0" applyFont="1" applyFill="1" applyBorder="1" applyAlignment="1" applyProtection="1">
      <alignment horizontal="center" vertical="center"/>
      <protection locked="0"/>
    </xf>
    <xf numFmtId="0" fontId="220" fillId="5" borderId="150" xfId="0" applyFont="1" applyFill="1" applyBorder="1" applyAlignment="1" applyProtection="1">
      <alignment horizontal="center" vertical="center"/>
      <protection locked="0"/>
    </xf>
    <xf numFmtId="0" fontId="43" fillId="5" borderId="149" xfId="0" applyFont="1" applyFill="1" applyBorder="1" applyProtection="1">
      <protection locked="0"/>
    </xf>
    <xf numFmtId="0" fontId="54" fillId="5" borderId="150" xfId="0" applyFont="1" applyFill="1" applyBorder="1" applyAlignment="1" applyProtection="1">
      <alignment horizontal="center" vertical="center"/>
      <protection locked="0"/>
    </xf>
    <xf numFmtId="1" fontId="57" fillId="0" borderId="0" xfId="0" applyNumberFormat="1" applyFont="1" applyAlignment="1" applyProtection="1">
      <alignment horizontal="center" vertical="center"/>
      <protection locked="0"/>
    </xf>
    <xf numFmtId="0" fontId="168" fillId="0" borderId="0" xfId="0" applyFont="1" applyAlignment="1" applyProtection="1">
      <alignment horizontal="left" vertical="center"/>
      <protection locked="0"/>
    </xf>
    <xf numFmtId="0" fontId="43" fillId="0" borderId="0" xfId="0" applyFont="1" applyAlignment="1" applyProtection="1">
      <alignment horizontal="centerContinuous" vertical="center"/>
      <protection locked="0"/>
    </xf>
    <xf numFmtId="0" fontId="43" fillId="5" borderId="149" xfId="0" applyFont="1" applyFill="1" applyBorder="1" applyAlignment="1" applyProtection="1">
      <alignment horizontal="center" vertical="center"/>
      <protection locked="0"/>
    </xf>
    <xf numFmtId="0" fontId="57" fillId="5" borderId="150" xfId="0" applyFont="1" applyFill="1" applyBorder="1" applyAlignment="1" applyProtection="1">
      <alignment horizontal="center" vertical="center"/>
      <protection locked="0"/>
    </xf>
    <xf numFmtId="0" fontId="38" fillId="5" borderId="149" xfId="0" applyFont="1" applyFill="1" applyBorder="1" applyAlignment="1" applyProtection="1">
      <alignment horizontal="center" vertical="center"/>
      <protection locked="0"/>
    </xf>
    <xf numFmtId="0" fontId="62" fillId="9" borderId="34" xfId="0" applyFont="1" applyFill="1" applyBorder="1" applyAlignment="1" applyProtection="1">
      <alignment horizontal="center" vertical="center"/>
      <protection locked="0"/>
    </xf>
    <xf numFmtId="0" fontId="62" fillId="9" borderId="32" xfId="0" applyFont="1" applyFill="1" applyBorder="1" applyAlignment="1" applyProtection="1">
      <alignment horizontal="center" vertical="center"/>
      <protection locked="0"/>
    </xf>
    <xf numFmtId="0" fontId="62" fillId="9" borderId="37" xfId="0" applyFont="1" applyFill="1" applyBorder="1" applyAlignment="1" applyProtection="1">
      <alignment horizontal="center" vertical="center"/>
      <protection locked="0"/>
    </xf>
    <xf numFmtId="0" fontId="62" fillId="9" borderId="29" xfId="0" applyFont="1" applyFill="1" applyBorder="1" applyAlignment="1" applyProtection="1">
      <alignment horizontal="center" vertical="center"/>
      <protection locked="0"/>
    </xf>
    <xf numFmtId="0" fontId="62" fillId="9" borderId="42" xfId="0" applyFont="1" applyFill="1" applyBorder="1" applyAlignment="1" applyProtection="1">
      <alignment horizontal="centerContinuous" vertical="center"/>
      <protection locked="0"/>
    </xf>
    <xf numFmtId="0" fontId="62" fillId="9" borderId="40" xfId="0" applyFont="1" applyFill="1" applyBorder="1" applyAlignment="1" applyProtection="1">
      <alignment horizontal="centerContinuous" vertical="center"/>
      <protection locked="0"/>
    </xf>
    <xf numFmtId="0" fontId="62" fillId="9" borderId="41" xfId="0" applyFont="1" applyFill="1" applyBorder="1" applyAlignment="1" applyProtection="1">
      <alignment horizontal="centerContinuous" vertical="center"/>
      <protection locked="0"/>
    </xf>
    <xf numFmtId="0" fontId="98" fillId="4" borderId="34" xfId="0" applyFont="1" applyFill="1" applyBorder="1" applyAlignment="1" applyProtection="1">
      <alignment horizontal="center" vertical="center"/>
      <protection locked="0"/>
    </xf>
    <xf numFmtId="0" fontId="38" fillId="0" borderId="0" xfId="0" applyFont="1" applyAlignment="1" applyProtection="1">
      <alignment horizontal="right" vertical="center"/>
      <protection locked="0"/>
    </xf>
    <xf numFmtId="0" fontId="38" fillId="5" borderId="149" xfId="0" applyFont="1" applyFill="1" applyBorder="1" applyProtection="1">
      <protection locked="0"/>
    </xf>
    <xf numFmtId="0" fontId="54" fillId="5" borderId="150" xfId="0" applyFont="1" applyFill="1" applyBorder="1" applyProtection="1">
      <protection locked="0"/>
    </xf>
    <xf numFmtId="0" fontId="54" fillId="9" borderId="33" xfId="0" applyFont="1" applyFill="1" applyBorder="1" applyAlignment="1" applyProtection="1">
      <alignment horizontal="centerContinuous" vertical="top"/>
      <protection locked="0"/>
    </xf>
    <xf numFmtId="0" fontId="54" fillId="9" borderId="39" xfId="0" applyFont="1" applyFill="1" applyBorder="1" applyAlignment="1" applyProtection="1">
      <alignment horizontal="centerContinuous" vertical="top"/>
      <protection locked="0"/>
    </xf>
    <xf numFmtId="0" fontId="54" fillId="9" borderId="0" xfId="0" applyFont="1" applyFill="1" applyAlignment="1" applyProtection="1">
      <alignment horizontal="centerContinuous" vertical="top"/>
      <protection locked="0"/>
    </xf>
    <xf numFmtId="0" fontId="54" fillId="9" borderId="35" xfId="0" applyFont="1" applyFill="1" applyBorder="1" applyAlignment="1" applyProtection="1">
      <alignment horizontal="centerContinuous" vertical="top"/>
      <protection locked="0"/>
    </xf>
    <xf numFmtId="0" fontId="54" fillId="9" borderId="39" xfId="0" applyFont="1" applyFill="1" applyBorder="1" applyAlignment="1" applyProtection="1">
      <alignment horizontal="center" vertical="top"/>
      <protection locked="0"/>
    </xf>
    <xf numFmtId="0" fontId="54" fillId="9" borderId="42" xfId="0" applyFont="1" applyFill="1" applyBorder="1" applyAlignment="1" applyProtection="1">
      <alignment horizontal="centerContinuous" vertical="top"/>
      <protection locked="0"/>
    </xf>
    <xf numFmtId="0" fontId="54" fillId="9" borderId="125" xfId="0" applyFont="1" applyFill="1" applyBorder="1" applyAlignment="1" applyProtection="1">
      <alignment horizontal="centerContinuous" vertical="center"/>
      <protection locked="0"/>
    </xf>
    <xf numFmtId="0" fontId="54" fillId="9" borderId="31" xfId="0" applyFont="1" applyFill="1" applyBorder="1" applyAlignment="1" applyProtection="1">
      <alignment horizontal="centerContinuous" vertical="top"/>
      <protection locked="0"/>
    </xf>
    <xf numFmtId="0" fontId="84" fillId="4" borderId="35" xfId="0" applyFont="1" applyFill="1" applyBorder="1" applyAlignment="1" applyProtection="1">
      <alignment horizontal="center" vertical="top"/>
      <protection locked="0"/>
    </xf>
    <xf numFmtId="0" fontId="38" fillId="5" borderId="151" xfId="0" applyFont="1" applyFill="1" applyBorder="1" applyProtection="1">
      <protection locked="0"/>
    </xf>
    <xf numFmtId="0" fontId="56" fillId="5" borderId="56" xfId="0" applyFont="1" applyFill="1" applyBorder="1" applyAlignment="1" applyProtection="1">
      <alignment horizontal="left"/>
      <protection locked="0"/>
    </xf>
    <xf numFmtId="0" fontId="89" fillId="5" borderId="56" xfId="0" applyFont="1" applyFill="1" applyBorder="1" applyAlignment="1" applyProtection="1">
      <alignment horizontal="center" vertical="center"/>
      <protection locked="0"/>
    </xf>
    <xf numFmtId="0" fontId="135" fillId="5" borderId="152" xfId="0" applyFont="1" applyFill="1" applyBorder="1" applyAlignment="1" applyProtection="1">
      <alignment horizontal="center" vertical="center"/>
      <protection locked="0"/>
    </xf>
    <xf numFmtId="0" fontId="75" fillId="0" borderId="113" xfId="0" applyFont="1" applyBorder="1" applyAlignment="1" applyProtection="1">
      <alignment horizontal="left"/>
      <protection locked="0"/>
    </xf>
    <xf numFmtId="0" fontId="46" fillId="0" borderId="111" xfId="0" applyFont="1" applyBorder="1" applyAlignment="1" applyProtection="1">
      <alignment horizontal="center"/>
      <protection locked="0"/>
    </xf>
    <xf numFmtId="0" fontId="46" fillId="0" borderId="114" xfId="0" applyFont="1" applyBorder="1" applyAlignment="1" applyProtection="1">
      <alignment horizontal="center"/>
      <protection locked="0"/>
    </xf>
    <xf numFmtId="0" fontId="75" fillId="0" borderId="114" xfId="0" applyFont="1" applyBorder="1" applyAlignment="1" applyProtection="1">
      <alignment horizontal="left"/>
      <protection locked="0"/>
    </xf>
    <xf numFmtId="0" fontId="47" fillId="0" borderId="111" xfId="0" applyFont="1" applyBorder="1" applyAlignment="1" applyProtection="1">
      <alignment horizontal="center" vertical="center"/>
      <protection locked="0"/>
    </xf>
    <xf numFmtId="14" fontId="75" fillId="0" borderId="117" xfId="0" applyNumberFormat="1" applyFont="1" applyBorder="1" applyAlignment="1" applyProtection="1">
      <alignment horizontal="center" vertical="center"/>
      <protection locked="0"/>
    </xf>
    <xf numFmtId="2" fontId="75" fillId="0" borderId="118" xfId="0" applyNumberFormat="1" applyFont="1" applyBorder="1" applyAlignment="1" applyProtection="1">
      <alignment horizontal="center"/>
      <protection locked="0"/>
    </xf>
    <xf numFmtId="2" fontId="47" fillId="0" borderId="109" xfId="0" applyNumberFormat="1" applyFont="1" applyBorder="1" applyProtection="1">
      <protection locked="0"/>
    </xf>
    <xf numFmtId="177" fontId="8" fillId="0" borderId="118" xfId="0" applyNumberFormat="1" applyFont="1" applyBorder="1" applyAlignment="1" applyProtection="1">
      <alignment horizontal="left"/>
      <protection locked="0"/>
    </xf>
    <xf numFmtId="14" fontId="74" fillId="5" borderId="147" xfId="0" applyNumberFormat="1" applyFont="1" applyFill="1" applyBorder="1" applyAlignment="1" applyProtection="1">
      <alignment horizontal="left" vertical="center"/>
      <protection locked="0"/>
    </xf>
    <xf numFmtId="14" fontId="75" fillId="0" borderId="111" xfId="0" applyNumberFormat="1" applyFont="1" applyBorder="1" applyAlignment="1" applyProtection="1">
      <alignment horizontal="center" vertical="center"/>
      <protection locked="0"/>
    </xf>
    <xf numFmtId="2" fontId="47" fillId="0" borderId="113" xfId="0" applyNumberFormat="1" applyFont="1" applyBorder="1" applyProtection="1">
      <protection locked="0"/>
    </xf>
    <xf numFmtId="177" fontId="8" fillId="0" borderId="113" xfId="0" applyNumberFormat="1" applyFont="1" applyBorder="1" applyAlignment="1" applyProtection="1">
      <alignment horizontal="left"/>
      <protection locked="0"/>
    </xf>
    <xf numFmtId="0" fontId="56" fillId="5" borderId="0" xfId="0" applyFont="1" applyFill="1" applyAlignment="1" applyProtection="1">
      <alignment horizontal="left" vertical="center"/>
      <protection locked="0"/>
    </xf>
    <xf numFmtId="0" fontId="57" fillId="5" borderId="150" xfId="0" applyFont="1" applyFill="1" applyBorder="1" applyProtection="1">
      <protection locked="0"/>
    </xf>
    <xf numFmtId="0" fontId="46" fillId="5" borderId="147" xfId="0" applyFont="1" applyFill="1" applyBorder="1" applyProtection="1">
      <protection locked="0"/>
    </xf>
    <xf numFmtId="0" fontId="75" fillId="5" borderId="147" xfId="0" applyFont="1" applyFill="1" applyBorder="1" applyAlignment="1" applyProtection="1">
      <alignment horizontal="left"/>
      <protection locked="0"/>
    </xf>
    <xf numFmtId="0" fontId="54" fillId="5" borderId="150" xfId="0" applyFont="1" applyFill="1" applyBorder="1" applyAlignment="1" applyProtection="1">
      <alignment horizontal="center"/>
      <protection locked="0"/>
    </xf>
    <xf numFmtId="0" fontId="56" fillId="0" borderId="0" xfId="0" applyFont="1" applyAlignment="1" applyProtection="1">
      <alignment horizontal="left" vertical="center"/>
      <protection locked="0"/>
    </xf>
    <xf numFmtId="177" fontId="8" fillId="0" borderId="113" xfId="0" applyNumberFormat="1" applyFont="1" applyBorder="1" applyAlignment="1" applyProtection="1">
      <alignment horizontal="right"/>
      <protection locked="0"/>
    </xf>
    <xf numFmtId="0" fontId="75" fillId="5" borderId="147" xfId="0" applyFont="1" applyFill="1" applyBorder="1" applyAlignment="1" applyProtection="1">
      <alignment vertical="center"/>
      <protection locked="0"/>
    </xf>
    <xf numFmtId="0" fontId="62" fillId="0" borderId="0" xfId="0" applyFont="1" applyAlignment="1" applyProtection="1">
      <alignment horizontal="center" wrapText="1"/>
      <protection locked="0"/>
    </xf>
    <xf numFmtId="0" fontId="47" fillId="5" borderId="147" xfId="0" applyFont="1" applyFill="1" applyBorder="1" applyAlignment="1" applyProtection="1">
      <alignment horizontal="left" vertical="center"/>
      <protection locked="0"/>
    </xf>
    <xf numFmtId="0" fontId="62" fillId="0" borderId="0" xfId="0" applyFont="1" applyAlignment="1" applyProtection="1">
      <alignment vertical="top" wrapText="1"/>
      <protection locked="0"/>
    </xf>
    <xf numFmtId="0" fontId="62" fillId="0" borderId="0" xfId="0" applyFont="1" applyAlignment="1" applyProtection="1">
      <alignment horizontal="center"/>
      <protection locked="0"/>
    </xf>
    <xf numFmtId="0" fontId="75" fillId="0" borderId="113" xfId="0" applyFont="1" applyBorder="1" applyAlignment="1" applyProtection="1">
      <alignment horizontal="center"/>
      <protection locked="0"/>
    </xf>
    <xf numFmtId="0" fontId="75" fillId="0" borderId="111" xfId="0" applyFont="1" applyBorder="1" applyAlignment="1" applyProtection="1">
      <alignment horizontal="left"/>
      <protection locked="0"/>
    </xf>
    <xf numFmtId="14" fontId="60" fillId="0" borderId="0" xfId="0" applyNumberFormat="1" applyFont="1" applyProtection="1">
      <protection locked="0"/>
    </xf>
    <xf numFmtId="0" fontId="101" fillId="0" borderId="0" xfId="0" applyFont="1" applyAlignment="1" applyProtection="1">
      <alignment horizontal="center"/>
      <protection locked="0"/>
    </xf>
    <xf numFmtId="0" fontId="41" fillId="0" borderId="0" xfId="0" applyFont="1" applyAlignment="1" applyProtection="1">
      <alignment horizontal="center"/>
      <protection locked="0"/>
    </xf>
    <xf numFmtId="0" fontId="145" fillId="0" borderId="0" xfId="0" applyFont="1" applyAlignment="1" applyProtection="1">
      <alignment horizontal="center"/>
      <protection locked="0"/>
    </xf>
    <xf numFmtId="167" fontId="8" fillId="0" borderId="0" xfId="0" applyNumberFormat="1" applyFont="1" applyAlignment="1" applyProtection="1">
      <alignment horizontal="center"/>
      <protection locked="0"/>
    </xf>
    <xf numFmtId="2" fontId="46" fillId="0" borderId="25" xfId="0" applyNumberFormat="1" applyFont="1" applyBorder="1" applyAlignment="1" applyProtection="1">
      <alignment horizontal="right" vertical="center"/>
      <protection locked="0"/>
    </xf>
    <xf numFmtId="0" fontId="75" fillId="0" borderId="25" xfId="0" applyFont="1" applyBorder="1" applyAlignment="1" applyProtection="1">
      <alignment horizontal="center" vertical="center"/>
      <protection locked="0"/>
    </xf>
    <xf numFmtId="3" fontId="8" fillId="0" borderId="0" xfId="0" applyNumberFormat="1" applyFont="1" applyAlignment="1" applyProtection="1">
      <alignment horizontal="center"/>
      <protection locked="0"/>
    </xf>
    <xf numFmtId="2" fontId="46" fillId="0" borderId="69" xfId="0" applyNumberFormat="1" applyFont="1" applyBorder="1" applyAlignment="1" applyProtection="1">
      <alignment horizontal="right" vertical="center"/>
      <protection locked="0"/>
    </xf>
    <xf numFmtId="0" fontId="75" fillId="0" borderId="69" xfId="0" applyFont="1" applyBorder="1" applyAlignment="1" applyProtection="1">
      <alignment horizontal="center" vertical="center"/>
      <protection locked="0"/>
    </xf>
    <xf numFmtId="0" fontId="43" fillId="7" borderId="0" xfId="0" applyFont="1" applyFill="1" applyAlignment="1" applyProtection="1">
      <alignment horizontal="center" vertical="center"/>
      <protection locked="0"/>
    </xf>
    <xf numFmtId="2" fontId="145" fillId="0" borderId="0" xfId="0" applyNumberFormat="1" applyFont="1" applyAlignment="1" applyProtection="1">
      <alignment horizontal="center" vertical="center"/>
      <protection locked="0"/>
    </xf>
    <xf numFmtId="0" fontId="47" fillId="4" borderId="0" xfId="0" applyFont="1" applyFill="1" applyAlignment="1" applyProtection="1">
      <alignment horizontal="center" vertical="center"/>
      <protection locked="0"/>
    </xf>
    <xf numFmtId="0" fontId="43" fillId="5" borderId="153" xfId="0" applyFont="1" applyFill="1" applyBorder="1" applyProtection="1">
      <protection locked="0"/>
    </xf>
    <xf numFmtId="0" fontId="0" fillId="5" borderId="154" xfId="0" applyFill="1" applyBorder="1" applyProtection="1">
      <protection locked="0"/>
    </xf>
    <xf numFmtId="176" fontId="47" fillId="5" borderId="154" xfId="0" applyNumberFormat="1" applyFont="1" applyFill="1" applyBorder="1" applyAlignment="1" applyProtection="1">
      <alignment horizontal="left" vertical="top"/>
      <protection locked="0"/>
    </xf>
    <xf numFmtId="0" fontId="43" fillId="5" borderId="154" xfId="0" applyFont="1" applyFill="1" applyBorder="1" applyProtection="1">
      <protection locked="0"/>
    </xf>
    <xf numFmtId="0" fontId="57" fillId="5" borderId="155" xfId="0" applyFont="1" applyFill="1" applyBorder="1" applyProtection="1">
      <protection locked="0"/>
    </xf>
    <xf numFmtId="0" fontId="6" fillId="6" borderId="0" xfId="0" applyFont="1" applyFill="1" applyAlignment="1" applyProtection="1">
      <alignment horizontal="center" vertical="center"/>
      <protection locked="0"/>
    </xf>
    <xf numFmtId="1" fontId="38" fillId="6" borderId="0" xfId="0" applyNumberFormat="1" applyFont="1" applyFill="1" applyAlignment="1" applyProtection="1">
      <alignment horizontal="center" vertical="center"/>
      <protection locked="0"/>
    </xf>
    <xf numFmtId="167" fontId="6" fillId="6" borderId="0" xfId="0" applyNumberFormat="1" applyFont="1" applyFill="1" applyAlignment="1" applyProtection="1">
      <alignment horizontal="center"/>
      <protection locked="0"/>
    </xf>
    <xf numFmtId="0" fontId="42" fillId="0" borderId="0" xfId="0" applyFont="1" applyAlignment="1" applyProtection="1">
      <alignment horizontal="center" vertical="center"/>
      <protection locked="0"/>
    </xf>
    <xf numFmtId="0" fontId="42" fillId="0" borderId="0" xfId="0" applyFont="1" applyProtection="1">
      <protection locked="0"/>
    </xf>
    <xf numFmtId="0" fontId="197" fillId="0" borderId="0" xfId="0" applyFont="1" applyAlignment="1" applyProtection="1">
      <alignment horizontal="center" vertical="center"/>
      <protection locked="0"/>
    </xf>
    <xf numFmtId="0" fontId="48" fillId="0" borderId="0" xfId="0" applyFont="1" applyAlignment="1" applyProtection="1">
      <alignment vertical="top"/>
      <protection locked="0"/>
    </xf>
    <xf numFmtId="0" fontId="41" fillId="0" borderId="25" xfId="0" applyFont="1" applyBorder="1" applyAlignment="1" applyProtection="1">
      <alignment horizontal="center" vertical="center"/>
      <protection locked="0"/>
    </xf>
    <xf numFmtId="0" fontId="46" fillId="0" borderId="25" xfId="0" applyFont="1" applyBorder="1" applyAlignment="1" applyProtection="1">
      <alignment horizontal="center" vertical="center"/>
      <protection locked="0"/>
    </xf>
    <xf numFmtId="0" fontId="121" fillId="0" borderId="25" xfId="0" applyFont="1" applyBorder="1" applyAlignment="1" applyProtection="1">
      <alignment horizontal="left" vertical="top"/>
      <protection locked="0"/>
    </xf>
    <xf numFmtId="0" fontId="41" fillId="0" borderId="25" xfId="0" applyFont="1" applyBorder="1" applyProtection="1">
      <protection locked="0"/>
    </xf>
    <xf numFmtId="0" fontId="147" fillId="0" borderId="0" xfId="0" applyFont="1" applyAlignment="1" applyProtection="1">
      <alignment horizontal="left" vertical="center"/>
      <protection locked="0"/>
    </xf>
    <xf numFmtId="0" fontId="46" fillId="0" borderId="0" xfId="0" applyFont="1" applyAlignment="1" applyProtection="1">
      <alignment vertical="top"/>
      <protection locked="0"/>
    </xf>
    <xf numFmtId="0" fontId="41" fillId="0" borderId="0" xfId="0" applyFont="1" applyProtection="1">
      <protection locked="0"/>
    </xf>
    <xf numFmtId="0" fontId="41" fillId="0" borderId="26" xfId="0" applyFont="1" applyBorder="1" applyAlignment="1" applyProtection="1">
      <alignment horizontal="center" vertical="center"/>
      <protection locked="0"/>
    </xf>
    <xf numFmtId="0" fontId="46" fillId="0" borderId="26" xfId="0" applyFont="1" applyBorder="1" applyAlignment="1" applyProtection="1">
      <alignment horizontal="center" vertical="center"/>
      <protection locked="0"/>
    </xf>
    <xf numFmtId="0" fontId="46" fillId="0" borderId="26" xfId="0" applyFont="1" applyBorder="1" applyAlignment="1" applyProtection="1">
      <alignment horizontal="left" vertical="center"/>
      <protection locked="0"/>
    </xf>
    <xf numFmtId="0" fontId="41" fillId="0" borderId="26" xfId="0" applyFont="1" applyBorder="1" applyProtection="1">
      <protection locked="0"/>
    </xf>
    <xf numFmtId="0" fontId="41" fillId="0" borderId="0" xfId="0" applyFont="1" applyAlignment="1" applyProtection="1">
      <alignment horizontal="right" vertical="center"/>
      <protection locked="0"/>
    </xf>
    <xf numFmtId="0" fontId="200" fillId="0" borderId="0" xfId="0" applyFont="1" applyAlignment="1" applyProtection="1">
      <alignment horizontal="left" vertical="center"/>
      <protection locked="0"/>
    </xf>
    <xf numFmtId="0" fontId="43" fillId="0" borderId="0" xfId="0" applyFont="1" applyAlignment="1" applyProtection="1">
      <alignment vertical="center"/>
      <protection locked="0"/>
    </xf>
    <xf numFmtId="0" fontId="46" fillId="0" borderId="0" xfId="0" applyFont="1" applyAlignment="1" applyProtection="1">
      <alignment horizontal="right" vertical="center"/>
      <protection locked="0"/>
    </xf>
    <xf numFmtId="0" fontId="46" fillId="0" borderId="0" xfId="0" applyFont="1" applyAlignment="1" applyProtection="1">
      <alignment horizontal="center" vertical="center"/>
      <protection locked="0"/>
    </xf>
    <xf numFmtId="0" fontId="121" fillId="0" borderId="0" xfId="0" applyFont="1" applyAlignment="1" applyProtection="1">
      <alignment vertical="center"/>
      <protection locked="0"/>
    </xf>
    <xf numFmtId="0" fontId="47" fillId="0" borderId="0" xfId="0" applyFont="1" applyAlignment="1" applyProtection="1">
      <alignment vertical="center"/>
      <protection locked="0"/>
    </xf>
    <xf numFmtId="0" fontId="41" fillId="0" borderId="0" xfId="0" applyFont="1" applyAlignment="1" applyProtection="1">
      <alignment vertical="top"/>
      <protection locked="0"/>
    </xf>
    <xf numFmtId="0" fontId="41" fillId="0" borderId="0" xfId="0" applyFont="1" applyAlignment="1" applyProtection="1">
      <alignment horizontal="right" vertical="top"/>
      <protection locked="0"/>
    </xf>
    <xf numFmtId="0" fontId="46" fillId="0" borderId="0" xfId="0" applyFont="1" applyProtection="1">
      <protection locked="0"/>
    </xf>
    <xf numFmtId="14" fontId="47" fillId="0" borderId="0" xfId="0" applyNumberFormat="1" applyFont="1" applyAlignment="1" applyProtection="1">
      <alignment horizontal="right"/>
      <protection locked="0"/>
    </xf>
    <xf numFmtId="14" fontId="47" fillId="0" borderId="0" xfId="0" applyNumberFormat="1" applyFont="1" applyProtection="1">
      <protection locked="0"/>
    </xf>
    <xf numFmtId="0" fontId="46" fillId="0" borderId="0" xfId="0" applyFont="1" applyAlignment="1" applyProtection="1">
      <alignment horizontal="right"/>
      <protection locked="0"/>
    </xf>
    <xf numFmtId="14" fontId="46" fillId="0" borderId="0" xfId="0" applyNumberFormat="1" applyFont="1" applyAlignment="1" applyProtection="1">
      <alignment horizontal="right"/>
      <protection locked="0"/>
    </xf>
    <xf numFmtId="0" fontId="74" fillId="0" borderId="0" xfId="0" applyFont="1" applyAlignment="1" applyProtection="1">
      <alignment horizontal="right"/>
      <protection locked="0"/>
    </xf>
    <xf numFmtId="0" fontId="65" fillId="0" borderId="34" xfId="0" applyFont="1" applyBorder="1" applyAlignment="1" applyProtection="1">
      <alignment horizontal="center" vertical="center"/>
      <protection locked="0"/>
    </xf>
    <xf numFmtId="0" fontId="48" fillId="0" borderId="32" xfId="0" applyFont="1" applyBorder="1" applyAlignment="1" applyProtection="1">
      <alignment horizontal="center" vertical="top"/>
      <protection locked="0"/>
    </xf>
    <xf numFmtId="0" fontId="48" fillId="0" borderId="34" xfId="0" applyFont="1" applyBorder="1" applyAlignment="1" applyProtection="1">
      <alignment horizontal="center" vertical="top"/>
      <protection locked="0"/>
    </xf>
    <xf numFmtId="0" fontId="38" fillId="0" borderId="35" xfId="0" applyFont="1" applyBorder="1" applyAlignment="1" applyProtection="1">
      <alignment horizontal="center" vertical="center"/>
      <protection locked="0"/>
    </xf>
    <xf numFmtId="0" fontId="38" fillId="0" borderId="33" xfId="0" applyFont="1" applyBorder="1" applyAlignment="1" applyProtection="1">
      <alignment horizontal="center" vertical="center"/>
      <protection locked="0"/>
    </xf>
    <xf numFmtId="0" fontId="38" fillId="0" borderId="46" xfId="0" applyFont="1" applyBorder="1" applyAlignment="1" applyProtection="1">
      <alignment horizontal="center" vertical="center"/>
      <protection locked="0"/>
    </xf>
    <xf numFmtId="0" fontId="47" fillId="0" borderId="46" xfId="0" applyFont="1" applyBorder="1" applyAlignment="1" applyProtection="1">
      <alignment horizontal="center" vertical="center"/>
      <protection locked="0"/>
    </xf>
    <xf numFmtId="0" fontId="47" fillId="0" borderId="46" xfId="0" applyFont="1" applyBorder="1" applyAlignment="1" applyProtection="1">
      <alignment horizontal="left" vertical="center"/>
      <protection locked="0"/>
    </xf>
    <xf numFmtId="0" fontId="46" fillId="0" borderId="46" xfId="0" applyFont="1" applyBorder="1" applyAlignment="1" applyProtection="1">
      <alignment horizontal="left"/>
      <protection locked="0"/>
    </xf>
    <xf numFmtId="0" fontId="46" fillId="0" borderId="46" xfId="0" applyFont="1" applyBorder="1" applyAlignment="1" applyProtection="1">
      <alignment horizontal="left" vertical="center"/>
      <protection locked="0"/>
    </xf>
    <xf numFmtId="0" fontId="46" fillId="0" borderId="46" xfId="0" applyFont="1" applyBorder="1" applyAlignment="1" applyProtection="1">
      <alignment horizontal="center" vertical="center"/>
      <protection locked="0"/>
    </xf>
    <xf numFmtId="0" fontId="46" fillId="0" borderId="46" xfId="0" applyFont="1" applyBorder="1" applyAlignment="1" applyProtection="1">
      <alignment horizontal="left" vertical="top"/>
      <protection locked="0"/>
    </xf>
    <xf numFmtId="0" fontId="46" fillId="0" borderId="46" xfId="0" applyFont="1" applyBorder="1" applyAlignment="1" applyProtection="1">
      <alignment horizontal="right" vertical="top"/>
      <protection locked="0"/>
    </xf>
    <xf numFmtId="3" fontId="46" fillId="0" borderId="25" xfId="0" applyNumberFormat="1" applyFont="1" applyBorder="1" applyAlignment="1" applyProtection="1">
      <alignment horizontal="right" vertical="top"/>
      <protection locked="0"/>
    </xf>
    <xf numFmtId="167" fontId="46" fillId="0" borderId="46" xfId="0" applyNumberFormat="1" applyFont="1" applyBorder="1" applyAlignment="1" applyProtection="1">
      <alignment horizontal="right" vertical="top"/>
      <protection locked="0"/>
    </xf>
    <xf numFmtId="3" fontId="46" fillId="0" borderId="26" xfId="0" applyNumberFormat="1" applyFont="1" applyBorder="1" applyAlignment="1" applyProtection="1">
      <alignment horizontal="right" vertical="top"/>
      <protection locked="0"/>
    </xf>
    <xf numFmtId="3" fontId="46" fillId="0" borderId="46" xfId="0" applyNumberFormat="1" applyFont="1" applyBorder="1" applyAlignment="1" applyProtection="1">
      <alignment horizontal="right" vertical="top"/>
      <protection locked="0"/>
    </xf>
    <xf numFmtId="3" fontId="46" fillId="0" borderId="46" xfId="0" applyNumberFormat="1" applyFont="1" applyBorder="1" applyAlignment="1" applyProtection="1">
      <alignment vertical="center"/>
      <protection locked="0"/>
    </xf>
    <xf numFmtId="3" fontId="46" fillId="0" borderId="46" xfId="0" applyNumberFormat="1" applyFont="1" applyBorder="1" applyAlignment="1" applyProtection="1">
      <alignment horizontal="right" vertical="center"/>
      <protection locked="0"/>
    </xf>
    <xf numFmtId="167" fontId="46" fillId="0" borderId="46" xfId="0" applyNumberFormat="1" applyFont="1" applyBorder="1" applyAlignment="1" applyProtection="1">
      <alignment horizontal="right" vertical="center"/>
      <protection locked="0"/>
    </xf>
    <xf numFmtId="0" fontId="38" fillId="0" borderId="26" xfId="0" applyFont="1" applyBorder="1" applyAlignment="1" applyProtection="1">
      <alignment horizontal="center" vertical="center"/>
      <protection locked="0"/>
    </xf>
    <xf numFmtId="0" fontId="47" fillId="0" borderId="26" xfId="0" applyFont="1" applyBorder="1" applyAlignment="1" applyProtection="1">
      <alignment horizontal="center" vertical="center"/>
      <protection locked="0"/>
    </xf>
    <xf numFmtId="0" fontId="47" fillId="0" borderId="26" xfId="0" applyFont="1" applyBorder="1" applyAlignment="1" applyProtection="1">
      <alignment horizontal="left" vertical="center"/>
      <protection locked="0"/>
    </xf>
    <xf numFmtId="0" fontId="46" fillId="0" borderId="26" xfId="0" applyFont="1" applyBorder="1" applyAlignment="1" applyProtection="1">
      <alignment horizontal="right" vertical="top"/>
      <protection locked="0"/>
    </xf>
    <xf numFmtId="167" fontId="46" fillId="0" borderId="26" xfId="0" applyNumberFormat="1" applyFont="1" applyBorder="1" applyAlignment="1" applyProtection="1">
      <alignment horizontal="right" vertical="top"/>
      <protection locked="0"/>
    </xf>
    <xf numFmtId="3" fontId="46" fillId="0" borderId="26" xfId="0" applyNumberFormat="1" applyFont="1" applyBorder="1" applyAlignment="1" applyProtection="1">
      <alignment vertical="center"/>
      <protection locked="0"/>
    </xf>
    <xf numFmtId="3" fontId="46" fillId="0" borderId="26" xfId="0" applyNumberFormat="1" applyFont="1" applyBorder="1" applyAlignment="1" applyProtection="1">
      <alignment horizontal="right" vertical="center"/>
      <protection locked="0"/>
    </xf>
    <xf numFmtId="167" fontId="46" fillId="0" borderId="26" xfId="0" applyNumberFormat="1" applyFont="1" applyBorder="1" applyAlignment="1" applyProtection="1">
      <alignment horizontal="right" vertical="center"/>
      <protection locked="0"/>
    </xf>
    <xf numFmtId="0" fontId="38" fillId="0" borderId="26" xfId="0" applyFont="1" applyBorder="1" applyAlignment="1" applyProtection="1">
      <alignment horizontal="left" vertical="center"/>
      <protection locked="0"/>
    </xf>
    <xf numFmtId="0" fontId="41" fillId="0" borderId="26" xfId="0" applyFont="1" applyBorder="1" applyAlignment="1" applyProtection="1">
      <alignment horizontal="left" vertical="center"/>
      <protection locked="0"/>
    </xf>
    <xf numFmtId="0" fontId="41" fillId="0" borderId="26" xfId="0" applyFont="1" applyBorder="1" applyAlignment="1" applyProtection="1">
      <alignment horizontal="right" vertical="top"/>
      <protection locked="0"/>
    </xf>
    <xf numFmtId="3" fontId="41" fillId="0" borderId="26" xfId="0" applyNumberFormat="1" applyFont="1" applyBorder="1" applyAlignment="1" applyProtection="1">
      <alignment horizontal="right" vertical="top"/>
      <protection locked="0"/>
    </xf>
    <xf numFmtId="167" fontId="41" fillId="0" borderId="26" xfId="0" applyNumberFormat="1" applyFont="1" applyBorder="1" applyAlignment="1" applyProtection="1">
      <alignment horizontal="right" vertical="top"/>
      <protection locked="0"/>
    </xf>
    <xf numFmtId="0" fontId="41" fillId="0" borderId="26" xfId="0" applyFont="1" applyBorder="1" applyAlignment="1" applyProtection="1">
      <alignment horizontal="left"/>
      <protection locked="0"/>
    </xf>
    <xf numFmtId="0" fontId="41" fillId="0" borderId="26" xfId="0" applyFont="1" applyBorder="1" applyAlignment="1" applyProtection="1">
      <alignment horizontal="left" vertical="top"/>
      <protection locked="0"/>
    </xf>
    <xf numFmtId="0" fontId="48" fillId="0" borderId="25" xfId="0" applyFont="1" applyBorder="1" applyAlignment="1" applyProtection="1">
      <alignment horizontal="right"/>
      <protection locked="0"/>
    </xf>
    <xf numFmtId="0" fontId="48" fillId="0" borderId="25" xfId="0" applyFont="1" applyBorder="1" applyAlignment="1" applyProtection="1">
      <alignment horizontal="right" vertical="top"/>
      <protection locked="0"/>
    </xf>
    <xf numFmtId="3" fontId="48" fillId="0" borderId="25" xfId="0" applyNumberFormat="1" applyFont="1" applyBorder="1" applyAlignment="1" applyProtection="1">
      <alignment horizontal="right" vertical="center"/>
      <protection locked="0"/>
    </xf>
    <xf numFmtId="3" fontId="46" fillId="0" borderId="25" xfId="0" applyNumberFormat="1" applyFont="1" applyBorder="1" applyAlignment="1" applyProtection="1">
      <alignment horizontal="right" vertical="center"/>
      <protection locked="0"/>
    </xf>
    <xf numFmtId="0" fontId="198" fillId="0" borderId="0" xfId="0" applyFont="1" applyAlignment="1" applyProtection="1">
      <alignment horizontal="center" vertical="center"/>
      <protection locked="0"/>
    </xf>
    <xf numFmtId="0" fontId="48" fillId="0" borderId="26" xfId="0" applyFont="1" applyBorder="1" applyAlignment="1" applyProtection="1">
      <alignment horizontal="right"/>
      <protection locked="0"/>
    </xf>
    <xf numFmtId="3" fontId="48" fillId="0" borderId="26" xfId="0" applyNumberFormat="1" applyFont="1" applyBorder="1" applyAlignment="1" applyProtection="1">
      <alignment horizontal="right" vertical="center"/>
      <protection locked="0"/>
    </xf>
    <xf numFmtId="0" fontId="198" fillId="0" borderId="0" xfId="0" applyFont="1" applyAlignment="1" applyProtection="1">
      <alignment horizontal="left" vertical="center"/>
      <protection locked="0"/>
    </xf>
    <xf numFmtId="0" fontId="47" fillId="0" borderId="0" xfId="0" applyFont="1" applyProtection="1">
      <protection locked="0"/>
    </xf>
    <xf numFmtId="0" fontId="38" fillId="0" borderId="0" xfId="0" applyFont="1" applyAlignment="1" applyProtection="1">
      <alignment horizontal="left"/>
      <protection locked="0"/>
    </xf>
    <xf numFmtId="0" fontId="113" fillId="5" borderId="115" xfId="0" applyFont="1" applyFill="1" applyBorder="1" applyAlignment="1" applyProtection="1">
      <alignment vertical="center"/>
      <protection locked="0"/>
    </xf>
    <xf numFmtId="0" fontId="113" fillId="5" borderId="119" xfId="0" applyFont="1" applyFill="1" applyBorder="1" applyAlignment="1" applyProtection="1">
      <alignment vertical="center"/>
      <protection locked="0"/>
    </xf>
    <xf numFmtId="0" fontId="113" fillId="5" borderId="116" xfId="0" applyFont="1" applyFill="1" applyBorder="1" applyAlignment="1" applyProtection="1">
      <alignment vertical="center"/>
      <protection locked="0"/>
    </xf>
    <xf numFmtId="0" fontId="47" fillId="0" borderId="0" xfId="0" applyFont="1" applyAlignment="1" applyProtection="1">
      <alignment vertical="top"/>
      <protection locked="0"/>
    </xf>
    <xf numFmtId="0" fontId="113" fillId="5" borderId="120" xfId="0" applyFont="1" applyFill="1" applyBorder="1" applyAlignment="1" applyProtection="1">
      <alignment horizontal="center" vertical="center"/>
      <protection locked="0"/>
    </xf>
    <xf numFmtId="0" fontId="113" fillId="5" borderId="121" xfId="0" applyFont="1" applyFill="1" applyBorder="1" applyAlignment="1" applyProtection="1">
      <alignment horizontal="center" vertical="center"/>
      <protection locked="0"/>
    </xf>
    <xf numFmtId="0" fontId="43" fillId="5" borderId="120" xfId="0" applyFont="1" applyFill="1" applyBorder="1" applyProtection="1">
      <protection locked="0"/>
    </xf>
    <xf numFmtId="0" fontId="38" fillId="5" borderId="121" xfId="0" applyFont="1" applyFill="1" applyBorder="1" applyAlignment="1" applyProtection="1">
      <alignment horizontal="center" vertical="center"/>
      <protection locked="0"/>
    </xf>
    <xf numFmtId="0" fontId="43" fillId="5" borderId="120" xfId="0" applyFont="1" applyFill="1" applyBorder="1" applyAlignment="1" applyProtection="1">
      <alignment horizontal="center" vertical="center"/>
      <protection locked="0"/>
    </xf>
    <xf numFmtId="0" fontId="129" fillId="5" borderId="121" xfId="0" applyFont="1" applyFill="1" applyBorder="1" applyAlignment="1" applyProtection="1">
      <alignment horizontal="center" vertical="center"/>
      <protection locked="0"/>
    </xf>
    <xf numFmtId="0" fontId="38" fillId="5" borderId="120" xfId="0" applyFont="1" applyFill="1" applyBorder="1" applyAlignment="1" applyProtection="1">
      <alignment horizontal="center" vertical="center"/>
      <protection locked="0"/>
    </xf>
    <xf numFmtId="0" fontId="84" fillId="5" borderId="121" xfId="0" applyFont="1" applyFill="1" applyBorder="1" applyAlignment="1" applyProtection="1">
      <alignment horizontal="center" vertical="center"/>
      <protection locked="0"/>
    </xf>
    <xf numFmtId="0" fontId="38" fillId="5" borderId="120" xfId="0" applyFont="1" applyFill="1" applyBorder="1" applyProtection="1">
      <protection locked="0"/>
    </xf>
    <xf numFmtId="0" fontId="84" fillId="5" borderId="121" xfId="0" applyFont="1" applyFill="1" applyBorder="1" applyProtection="1">
      <protection locked="0"/>
    </xf>
    <xf numFmtId="0" fontId="84" fillId="0" borderId="0" xfId="0" applyFont="1" applyAlignment="1" applyProtection="1">
      <alignment horizontal="center" vertical="center"/>
      <protection locked="0"/>
    </xf>
    <xf numFmtId="0" fontId="38" fillId="5" borderId="122" xfId="0" applyFont="1" applyFill="1" applyBorder="1" applyProtection="1">
      <protection locked="0"/>
    </xf>
    <xf numFmtId="0" fontId="88" fillId="5" borderId="56" xfId="0" applyFont="1" applyFill="1" applyBorder="1" applyAlignment="1" applyProtection="1">
      <alignment horizontal="left"/>
      <protection locked="0"/>
    </xf>
    <xf numFmtId="0" fontId="88" fillId="5" borderId="56" xfId="0" applyFont="1" applyFill="1" applyBorder="1" applyAlignment="1" applyProtection="1">
      <alignment horizontal="center" vertical="center"/>
      <protection locked="0"/>
    </xf>
    <xf numFmtId="0" fontId="75" fillId="0" borderId="52" xfId="0" applyFont="1" applyBorder="1" applyAlignment="1" applyProtection="1">
      <alignment vertical="center"/>
      <protection locked="0"/>
    </xf>
    <xf numFmtId="0" fontId="75" fillId="0" borderId="52" xfId="0" applyFont="1" applyBorder="1" applyAlignment="1" applyProtection="1">
      <alignment horizontal="left" vertical="center"/>
      <protection locked="0"/>
    </xf>
    <xf numFmtId="0" fontId="75" fillId="0" borderId="52" xfId="0" applyFont="1" applyBorder="1" applyAlignment="1" applyProtection="1">
      <alignment horizontal="center" vertical="center"/>
      <protection locked="0"/>
    </xf>
    <xf numFmtId="4" fontId="75" fillId="0" borderId="52" xfId="0" applyNumberFormat="1" applyFont="1" applyBorder="1" applyAlignment="1" applyProtection="1">
      <alignment horizontal="center" vertical="center"/>
      <protection locked="0"/>
    </xf>
    <xf numFmtId="0" fontId="88" fillId="5" borderId="0" xfId="0" applyFont="1" applyFill="1" applyAlignment="1" applyProtection="1">
      <alignment horizontal="left"/>
      <protection locked="0"/>
    </xf>
    <xf numFmtId="0" fontId="191" fillId="5" borderId="121" xfId="0" applyFont="1" applyFill="1" applyBorder="1" applyAlignment="1" applyProtection="1">
      <alignment horizontal="left" vertical="center"/>
      <protection locked="0"/>
    </xf>
    <xf numFmtId="0" fontId="192" fillId="5" borderId="121" xfId="0" applyFont="1" applyFill="1" applyBorder="1" applyAlignment="1" applyProtection="1">
      <alignment horizontal="center" vertical="center"/>
      <protection locked="0"/>
    </xf>
    <xf numFmtId="0" fontId="88" fillId="5" borderId="0" xfId="0" applyFont="1" applyFill="1" applyAlignment="1" applyProtection="1">
      <alignment horizontal="left" vertical="center"/>
      <protection locked="0"/>
    </xf>
    <xf numFmtId="0" fontId="193" fillId="5" borderId="121" xfId="0" applyFont="1" applyFill="1" applyBorder="1" applyProtection="1">
      <protection locked="0"/>
    </xf>
    <xf numFmtId="0" fontId="46" fillId="5" borderId="0" xfId="0" applyFont="1" applyFill="1" applyAlignment="1" applyProtection="1">
      <alignment vertical="top" wrapText="1"/>
      <protection locked="0"/>
    </xf>
    <xf numFmtId="0" fontId="46" fillId="5" borderId="0" xfId="0" applyFont="1" applyFill="1" applyAlignment="1" applyProtection="1">
      <alignment vertical="top"/>
      <protection locked="0"/>
    </xf>
    <xf numFmtId="0" fontId="194" fillId="5" borderId="121" xfId="0" applyFont="1" applyFill="1" applyBorder="1" applyProtection="1">
      <protection locked="0"/>
    </xf>
    <xf numFmtId="0" fontId="46" fillId="5" borderId="0" xfId="0" applyFont="1" applyFill="1" applyAlignment="1" applyProtection="1">
      <alignment horizontal="center" vertical="center" wrapText="1"/>
      <protection locked="0"/>
    </xf>
    <xf numFmtId="0" fontId="43" fillId="5" borderId="121" xfId="0" applyFont="1" applyFill="1" applyBorder="1" applyProtection="1">
      <protection locked="0"/>
    </xf>
    <xf numFmtId="0" fontId="90" fillId="5" borderId="121" xfId="0" applyFont="1" applyFill="1" applyBorder="1" applyProtection="1">
      <protection locked="0"/>
    </xf>
    <xf numFmtId="0" fontId="38" fillId="5" borderId="121" xfId="0" applyFont="1" applyFill="1" applyBorder="1" applyProtection="1">
      <protection locked="0"/>
    </xf>
    <xf numFmtId="0" fontId="38" fillId="0" borderId="120" xfId="0" applyFont="1" applyBorder="1" applyProtection="1">
      <protection locked="0"/>
    </xf>
    <xf numFmtId="49" fontId="46" fillId="0" borderId="0" xfId="0" applyNumberFormat="1" applyFont="1" applyAlignment="1" applyProtection="1">
      <alignment vertical="top" wrapText="1"/>
      <protection locked="0"/>
    </xf>
    <xf numFmtId="0" fontId="38" fillId="0" borderId="121" xfId="0" applyFont="1" applyBorder="1" applyProtection="1">
      <protection locked="0"/>
    </xf>
    <xf numFmtId="0" fontId="101" fillId="0" borderId="0" xfId="0" applyFont="1" applyProtection="1">
      <protection locked="0"/>
    </xf>
    <xf numFmtId="0" fontId="46" fillId="0" borderId="56" xfId="0" applyFont="1" applyBorder="1" applyProtection="1">
      <protection locked="0"/>
    </xf>
    <xf numFmtId="0" fontId="47" fillId="0" borderId="0" xfId="0" applyFont="1" applyAlignment="1" applyProtection="1">
      <alignment horizontal="left"/>
      <protection locked="0"/>
    </xf>
    <xf numFmtId="0" fontId="147" fillId="0" borderId="0" xfId="0" applyFont="1" applyAlignment="1" applyProtection="1">
      <alignment vertical="center"/>
      <protection locked="0"/>
    </xf>
    <xf numFmtId="0" fontId="128" fillId="0" borderId="0" xfId="0" applyFont="1" applyAlignment="1" applyProtection="1">
      <alignment vertical="center"/>
      <protection locked="0"/>
    </xf>
    <xf numFmtId="0" fontId="43" fillId="5" borderId="117" xfId="0" applyFont="1" applyFill="1" applyBorder="1" applyProtection="1">
      <protection locked="0"/>
    </xf>
    <xf numFmtId="0" fontId="0" fillId="5" borderId="109" xfId="0" applyFill="1" applyBorder="1" applyProtection="1">
      <protection locked="0"/>
    </xf>
    <xf numFmtId="176" fontId="47" fillId="5" borderId="109" xfId="0" applyNumberFormat="1" applyFont="1" applyFill="1" applyBorder="1" applyAlignment="1" applyProtection="1">
      <alignment horizontal="left" vertical="top"/>
      <protection locked="0"/>
    </xf>
    <xf numFmtId="0" fontId="43" fillId="5" borderId="109" xfId="0" applyFont="1" applyFill="1" applyBorder="1" applyProtection="1">
      <protection locked="0"/>
    </xf>
    <xf numFmtId="0" fontId="43" fillId="5" borderId="118" xfId="0" applyFont="1" applyFill="1" applyBorder="1" applyProtection="1">
      <protection locked="0"/>
    </xf>
    <xf numFmtId="0" fontId="107" fillId="0" borderId="0" xfId="0" applyFont="1" applyAlignment="1" applyProtection="1">
      <alignment horizontal="center" vertical="center"/>
      <protection locked="0"/>
    </xf>
    <xf numFmtId="0" fontId="118" fillId="0" borderId="0" xfId="0" applyFont="1" applyAlignment="1" applyProtection="1">
      <alignment vertical="top"/>
      <protection locked="0"/>
    </xf>
    <xf numFmtId="0" fontId="122" fillId="0" borderId="0" xfId="0" applyFont="1" applyAlignment="1" applyProtection="1">
      <alignment horizontal="left" vertical="center"/>
      <protection locked="0"/>
    </xf>
    <xf numFmtId="0" fontId="119" fillId="0" borderId="0" xfId="0" applyFont="1" applyAlignment="1" applyProtection="1">
      <alignment horizontal="left" vertical="center"/>
      <protection locked="0"/>
    </xf>
    <xf numFmtId="0" fontId="92" fillId="0" borderId="0" xfId="0" applyFont="1" applyAlignment="1" applyProtection="1">
      <alignment horizontal="right"/>
      <protection locked="0"/>
    </xf>
    <xf numFmtId="0" fontId="105" fillId="0" borderId="34" xfId="0" applyFont="1" applyBorder="1" applyAlignment="1" applyProtection="1">
      <alignment horizontal="center" vertical="center"/>
      <protection locked="0"/>
    </xf>
    <xf numFmtId="0" fontId="118" fillId="0" borderId="32" xfId="0" applyFont="1" applyBorder="1" applyAlignment="1" applyProtection="1">
      <alignment horizontal="center" vertical="top"/>
      <protection locked="0"/>
    </xf>
    <xf numFmtId="0" fontId="118" fillId="0" borderId="34" xfId="0" applyFont="1" applyBorder="1" applyAlignment="1" applyProtection="1">
      <alignment horizontal="center" vertical="top"/>
      <protection locked="0"/>
    </xf>
    <xf numFmtId="0" fontId="88" fillId="0" borderId="0" xfId="0" applyFont="1" applyAlignment="1" applyProtection="1">
      <alignment horizontal="center" vertical="center"/>
      <protection locked="0"/>
    </xf>
    <xf numFmtId="0" fontId="86" fillId="0" borderId="35" xfId="0" applyFont="1" applyBorder="1" applyAlignment="1" applyProtection="1">
      <alignment horizontal="center" vertical="center"/>
      <protection locked="0"/>
    </xf>
    <xf numFmtId="0" fontId="86" fillId="0" borderId="33" xfId="0" applyFont="1" applyBorder="1" applyAlignment="1" applyProtection="1">
      <alignment horizontal="center" vertical="center"/>
      <protection locked="0"/>
    </xf>
    <xf numFmtId="0" fontId="90" fillId="0" borderId="0" xfId="0" applyFont="1" applyProtection="1">
      <protection locked="0"/>
    </xf>
    <xf numFmtId="0" fontId="118" fillId="0" borderId="25" xfId="0" applyFont="1" applyBorder="1" applyAlignment="1" applyProtection="1">
      <alignment horizontal="right"/>
      <protection locked="0"/>
    </xf>
    <xf numFmtId="0" fontId="118" fillId="0" borderId="25" xfId="0" applyFont="1" applyBorder="1" applyAlignment="1" applyProtection="1">
      <alignment horizontal="right" vertical="top"/>
      <protection locked="0"/>
    </xf>
    <xf numFmtId="3" fontId="118" fillId="0" borderId="25" xfId="0" applyNumberFormat="1" applyFont="1" applyBorder="1" applyAlignment="1" applyProtection="1">
      <alignment horizontal="right" vertical="center"/>
      <protection locked="0"/>
    </xf>
    <xf numFmtId="3" fontId="93" fillId="0" borderId="25" xfId="0" applyNumberFormat="1" applyFont="1" applyBorder="1" applyAlignment="1" applyProtection="1">
      <alignment horizontal="right" vertical="center"/>
      <protection locked="0"/>
    </xf>
    <xf numFmtId="0" fontId="117" fillId="0" borderId="0" xfId="0" applyFont="1" applyAlignment="1" applyProtection="1">
      <alignment horizontal="center" vertical="center"/>
      <protection locked="0"/>
    </xf>
    <xf numFmtId="0" fontId="118" fillId="0" borderId="26" xfId="0" applyFont="1" applyBorder="1" applyAlignment="1" applyProtection="1">
      <alignment horizontal="right"/>
      <protection locked="0"/>
    </xf>
    <xf numFmtId="3" fontId="118" fillId="0" borderId="26" xfId="0" applyNumberFormat="1" applyFont="1" applyBorder="1" applyAlignment="1" applyProtection="1">
      <alignment horizontal="right" vertical="center"/>
      <protection locked="0"/>
    </xf>
    <xf numFmtId="0" fontId="117" fillId="0" borderId="0" xfId="0" applyFont="1" applyAlignment="1" applyProtection="1">
      <alignment horizontal="left" vertical="center"/>
      <protection locked="0"/>
    </xf>
    <xf numFmtId="3" fontId="93" fillId="0" borderId="26" xfId="0" applyNumberFormat="1" applyFont="1" applyBorder="1" applyAlignment="1" applyProtection="1">
      <alignment horizontal="right" vertical="center"/>
      <protection locked="0"/>
    </xf>
    <xf numFmtId="0" fontId="54" fillId="9" borderId="47" xfId="0" applyFont="1" applyFill="1" applyBorder="1" applyAlignment="1" applyProtection="1">
      <alignment horizontal="center" vertical="top"/>
      <protection locked="0"/>
    </xf>
    <xf numFmtId="14" fontId="74" fillId="5" borderId="159" xfId="0" applyNumberFormat="1" applyFont="1" applyFill="1" applyBorder="1" applyAlignment="1" applyProtection="1">
      <alignment horizontal="left" vertical="center"/>
      <protection locked="0"/>
    </xf>
    <xf numFmtId="0" fontId="109" fillId="5" borderId="159" xfId="0" applyFont="1" applyFill="1" applyBorder="1" applyAlignment="1" applyProtection="1">
      <alignment horizontal="center" vertical="center"/>
      <protection locked="0"/>
    </xf>
    <xf numFmtId="0" fontId="75" fillId="5" borderId="159" xfId="0" applyFont="1" applyFill="1" applyBorder="1" applyAlignment="1" applyProtection="1">
      <alignment vertical="center"/>
      <protection locked="0"/>
    </xf>
    <xf numFmtId="0" fontId="75" fillId="0" borderId="160" xfId="0" applyFont="1" applyBorder="1" applyAlignment="1" applyProtection="1">
      <alignment horizontal="left" vertical="center"/>
      <protection locked="0"/>
    </xf>
    <xf numFmtId="0" fontId="47" fillId="4" borderId="162" xfId="0" applyFont="1" applyFill="1" applyBorder="1" applyAlignment="1" applyProtection="1">
      <alignment horizontal="center" vertical="center"/>
      <protection locked="0"/>
    </xf>
    <xf numFmtId="0" fontId="126" fillId="0" borderId="0" xfId="0" applyFont="1" applyProtection="1">
      <protection locked="0"/>
    </xf>
    <xf numFmtId="0" fontId="75" fillId="5" borderId="159" xfId="0" applyFont="1" applyFill="1" applyBorder="1" applyAlignment="1" applyProtection="1">
      <alignment horizontal="left" vertical="center"/>
      <protection locked="0"/>
    </xf>
    <xf numFmtId="0" fontId="46" fillId="5" borderId="159" xfId="0" applyFont="1" applyFill="1" applyBorder="1" applyAlignment="1" applyProtection="1">
      <alignment horizontal="left" vertical="center"/>
      <protection locked="0"/>
    </xf>
    <xf numFmtId="0" fontId="46" fillId="5" borderId="159" xfId="0" applyFont="1" applyFill="1" applyBorder="1" applyAlignment="1" applyProtection="1">
      <alignment vertical="center"/>
      <protection locked="0"/>
    </xf>
    <xf numFmtId="3" fontId="168" fillId="0" borderId="162" xfId="0" applyNumberFormat="1" applyFont="1" applyBorder="1" applyAlignment="1" applyProtection="1">
      <alignment horizontal="center" vertical="center"/>
      <protection locked="0"/>
    </xf>
    <xf numFmtId="0" fontId="47" fillId="5" borderId="159" xfId="0" applyFont="1" applyFill="1" applyBorder="1" applyAlignment="1" applyProtection="1">
      <alignment horizontal="left" vertical="center"/>
      <protection locked="0"/>
    </xf>
    <xf numFmtId="0" fontId="113" fillId="5" borderId="163" xfId="0" applyFont="1" applyFill="1" applyBorder="1" applyAlignment="1" applyProtection="1">
      <alignment vertical="center"/>
      <protection locked="0"/>
    </xf>
    <xf numFmtId="0" fontId="113" fillId="5" borderId="164" xfId="0" applyFont="1" applyFill="1" applyBorder="1" applyAlignment="1" applyProtection="1">
      <alignment vertical="center"/>
      <protection locked="0"/>
    </xf>
    <xf numFmtId="0" fontId="220" fillId="5" borderId="165" xfId="0" applyFont="1" applyFill="1" applyBorder="1" applyAlignment="1" applyProtection="1">
      <alignment vertical="center"/>
      <protection locked="0"/>
    </xf>
    <xf numFmtId="0" fontId="113" fillId="5" borderId="166" xfId="0" applyFont="1" applyFill="1" applyBorder="1" applyAlignment="1" applyProtection="1">
      <alignment horizontal="center" vertical="center"/>
      <protection locked="0"/>
    </xf>
    <xf numFmtId="0" fontId="220" fillId="5" borderId="167" xfId="0" applyFont="1" applyFill="1" applyBorder="1" applyAlignment="1" applyProtection="1">
      <alignment horizontal="center" vertical="center"/>
      <protection locked="0"/>
    </xf>
    <xf numFmtId="0" fontId="43" fillId="5" borderId="166" xfId="0" applyFont="1" applyFill="1" applyBorder="1" applyProtection="1">
      <protection locked="0"/>
    </xf>
    <xf numFmtId="0" fontId="54" fillId="5" borderId="167" xfId="0" applyFont="1" applyFill="1" applyBorder="1" applyAlignment="1" applyProtection="1">
      <alignment horizontal="center" vertical="center"/>
      <protection locked="0"/>
    </xf>
    <xf numFmtId="0" fontId="43" fillId="5" borderId="166" xfId="0" applyFont="1" applyFill="1" applyBorder="1" applyAlignment="1" applyProtection="1">
      <alignment horizontal="center" vertical="center"/>
      <protection locked="0"/>
    </xf>
    <xf numFmtId="0" fontId="57" fillId="5" borderId="167" xfId="0" applyFont="1" applyFill="1" applyBorder="1" applyAlignment="1" applyProtection="1">
      <alignment horizontal="center" vertical="center"/>
      <protection locked="0"/>
    </xf>
    <xf numFmtId="0" fontId="38" fillId="5" borderId="166" xfId="0" applyFont="1" applyFill="1" applyBorder="1" applyAlignment="1" applyProtection="1">
      <alignment horizontal="center" vertical="center"/>
      <protection locked="0"/>
    </xf>
    <xf numFmtId="0" fontId="38" fillId="5" borderId="166" xfId="0" applyFont="1" applyFill="1" applyBorder="1" applyProtection="1">
      <protection locked="0"/>
    </xf>
    <xf numFmtId="0" fontId="54" fillId="5" borderId="167" xfId="0" applyFont="1" applyFill="1" applyBorder="1" applyProtection="1">
      <protection locked="0"/>
    </xf>
    <xf numFmtId="0" fontId="38" fillId="5" borderId="171" xfId="0" applyFont="1" applyFill="1" applyBorder="1" applyProtection="1">
      <protection locked="0"/>
    </xf>
    <xf numFmtId="0" fontId="135" fillId="5" borderId="172" xfId="0" applyFont="1" applyFill="1" applyBorder="1" applyAlignment="1" applyProtection="1">
      <alignment horizontal="center" vertical="center"/>
      <protection locked="0"/>
    </xf>
    <xf numFmtId="0" fontId="191" fillId="5" borderId="0" xfId="0" applyFont="1" applyFill="1" applyAlignment="1" applyProtection="1">
      <alignment horizontal="left" vertical="center"/>
      <protection locked="0"/>
    </xf>
    <xf numFmtId="0" fontId="38" fillId="5" borderId="0" xfId="0" applyFont="1" applyFill="1" applyAlignment="1" applyProtection="1">
      <alignment horizontal="center" vertical="top"/>
      <protection locked="0"/>
    </xf>
    <xf numFmtId="0" fontId="57" fillId="5" borderId="167" xfId="0" applyFont="1" applyFill="1" applyBorder="1" applyProtection="1">
      <protection locked="0"/>
    </xf>
    <xf numFmtId="0" fontId="54" fillId="5" borderId="167" xfId="0" applyFont="1" applyFill="1" applyBorder="1" applyAlignment="1" applyProtection="1">
      <alignment horizontal="center"/>
      <protection locked="0"/>
    </xf>
    <xf numFmtId="0" fontId="191" fillId="0" borderId="0" xfId="0" applyFont="1" applyAlignment="1" applyProtection="1">
      <alignment horizontal="left" vertical="center"/>
      <protection locked="0"/>
    </xf>
    <xf numFmtId="0" fontId="192" fillId="0" borderId="0" xfId="0" applyFont="1" applyAlignment="1" applyProtection="1">
      <alignment vertical="top" wrapText="1"/>
      <protection locked="0"/>
    </xf>
    <xf numFmtId="0" fontId="133" fillId="0" borderId="0" xfId="0" applyFont="1" applyAlignment="1" applyProtection="1">
      <alignment horizontal="center"/>
      <protection locked="0"/>
    </xf>
    <xf numFmtId="49" fontId="133" fillId="5" borderId="0" xfId="0" applyNumberFormat="1" applyFont="1" applyFill="1" applyAlignment="1" applyProtection="1">
      <alignment vertical="top" wrapText="1"/>
      <protection locked="0"/>
    </xf>
    <xf numFmtId="49" fontId="46" fillId="5" borderId="0" xfId="0" applyNumberFormat="1" applyFont="1" applyFill="1" applyAlignment="1" applyProtection="1">
      <alignment horizontal="left" vertical="top"/>
      <protection locked="0"/>
    </xf>
    <xf numFmtId="0" fontId="43" fillId="5" borderId="168" xfId="0" applyFont="1" applyFill="1" applyBorder="1" applyProtection="1">
      <protection locked="0"/>
    </xf>
    <xf numFmtId="0" fontId="0" fillId="5" borderId="169" xfId="0" applyFill="1" applyBorder="1" applyProtection="1">
      <protection locked="0"/>
    </xf>
    <xf numFmtId="176" fontId="47" fillId="5" borderId="169" xfId="0" applyNumberFormat="1" applyFont="1" applyFill="1" applyBorder="1" applyAlignment="1" applyProtection="1">
      <alignment horizontal="left" vertical="top"/>
      <protection locked="0"/>
    </xf>
    <xf numFmtId="0" fontId="43" fillId="5" borderId="169" xfId="0" applyFont="1" applyFill="1" applyBorder="1" applyProtection="1">
      <protection locked="0"/>
    </xf>
    <xf numFmtId="0" fontId="57" fillId="5" borderId="170" xfId="0" applyFont="1" applyFill="1" applyBorder="1" applyProtection="1">
      <protection locked="0"/>
    </xf>
    <xf numFmtId="0" fontId="168" fillId="0" borderId="0" xfId="0" applyFont="1" applyAlignment="1" applyProtection="1">
      <alignment horizontal="right" vertical="center"/>
      <protection locked="0"/>
    </xf>
    <xf numFmtId="49" fontId="37" fillId="0" borderId="0" xfId="0" applyNumberFormat="1" applyFont="1" applyAlignment="1">
      <alignment vertical="center"/>
    </xf>
    <xf numFmtId="49" fontId="38" fillId="0" borderId="0" xfId="0" quotePrefix="1" applyNumberFormat="1" applyFont="1" applyAlignment="1">
      <alignment horizontal="left" vertical="center" wrapText="1"/>
    </xf>
    <xf numFmtId="0" fontId="3" fillId="0" borderId="52" xfId="1" applyBorder="1" applyAlignment="1">
      <alignment horizontal="left" vertical="center"/>
    </xf>
    <xf numFmtId="14" fontId="75" fillId="0" borderId="52" xfId="0" applyNumberFormat="1" applyFont="1" applyBorder="1" applyAlignment="1" applyProtection="1">
      <alignment vertical="center"/>
      <protection locked="0"/>
    </xf>
    <xf numFmtId="0" fontId="84" fillId="4" borderId="47" xfId="0" applyFont="1" applyFill="1" applyBorder="1" applyAlignment="1" applyProtection="1">
      <alignment horizontal="center" vertical="top"/>
      <protection locked="0"/>
    </xf>
    <xf numFmtId="0" fontId="252" fillId="0" borderId="0" xfId="0" applyFont="1" applyAlignment="1" applyProtection="1">
      <alignment vertical="center"/>
      <protection locked="0"/>
    </xf>
    <xf numFmtId="0" fontId="38" fillId="0" borderId="67" xfId="0" applyFont="1" applyBorder="1" applyAlignment="1">
      <alignment horizontal="center" vertical="center"/>
    </xf>
    <xf numFmtId="0" fontId="144" fillId="0" borderId="0" xfId="0" applyFont="1"/>
    <xf numFmtId="0" fontId="43" fillId="0" borderId="0" xfId="0" applyFont="1" applyAlignment="1" applyProtection="1">
      <alignment vertical="top"/>
      <protection locked="0"/>
    </xf>
    <xf numFmtId="0" fontId="46" fillId="5" borderId="159" xfId="0" applyFont="1" applyFill="1" applyBorder="1" applyProtection="1">
      <protection locked="0"/>
    </xf>
    <xf numFmtId="49" fontId="230" fillId="4" borderId="44" xfId="0" applyNumberFormat="1" applyFont="1" applyFill="1" applyBorder="1" applyAlignment="1">
      <alignment horizontal="center"/>
    </xf>
    <xf numFmtId="49" fontId="150" fillId="4" borderId="45" xfId="0" applyNumberFormat="1" applyFont="1" applyFill="1" applyBorder="1" applyAlignment="1">
      <alignment horizontal="center" vertical="top"/>
    </xf>
    <xf numFmtId="0" fontId="8" fillId="0" borderId="30" xfId="0" applyFont="1" applyBorder="1" applyAlignment="1">
      <alignment horizontal="left" vertical="center"/>
    </xf>
    <xf numFmtId="0" fontId="41" fillId="0" borderId="30" xfId="0" applyFont="1" applyBorder="1" applyAlignment="1">
      <alignment horizontal="center" vertical="center"/>
    </xf>
    <xf numFmtId="0" fontId="156" fillId="0" borderId="0" xfId="0" applyFont="1"/>
    <xf numFmtId="0" fontId="47" fillId="5" borderId="58" xfId="0" applyFont="1" applyFill="1" applyBorder="1" applyAlignment="1" applyProtection="1">
      <alignment horizontal="center" vertical="center"/>
      <protection locked="0"/>
    </xf>
    <xf numFmtId="0" fontId="8" fillId="0" borderId="0" xfId="0" applyFont="1" applyAlignment="1">
      <alignment vertical="top" wrapText="1"/>
    </xf>
    <xf numFmtId="0" fontId="47" fillId="5" borderId="61" xfId="0" applyFont="1" applyFill="1" applyBorder="1" applyAlignment="1" applyProtection="1">
      <alignment horizontal="center" vertical="center"/>
      <protection locked="0"/>
    </xf>
    <xf numFmtId="0" fontId="168" fillId="0" borderId="0" xfId="0" applyFont="1" applyAlignment="1">
      <alignment horizontal="left" vertical="top" wrapText="1"/>
    </xf>
    <xf numFmtId="0" fontId="196" fillId="0" borderId="0" xfId="0" applyFont="1" applyAlignment="1">
      <alignment horizontal="left"/>
    </xf>
    <xf numFmtId="0" fontId="152" fillId="0" borderId="0" xfId="0" applyFont="1" applyAlignment="1">
      <alignment horizontal="left" vertical="top" wrapText="1"/>
    </xf>
    <xf numFmtId="0" fontId="5" fillId="0" borderId="0" xfId="0" applyFont="1" applyAlignment="1">
      <alignment horizontal="left"/>
    </xf>
    <xf numFmtId="0" fontId="13" fillId="0" borderId="0" xfId="0" applyFont="1" applyAlignment="1">
      <alignment horizontal="left"/>
    </xf>
    <xf numFmtId="0" fontId="184" fillId="0" borderId="0" xfId="0" applyFont="1" applyAlignment="1">
      <alignment horizontal="left"/>
    </xf>
    <xf numFmtId="0" fontId="186" fillId="0" borderId="0" xfId="0" applyFont="1" applyAlignment="1">
      <alignment horizontal="left"/>
    </xf>
    <xf numFmtId="0" fontId="187" fillId="0" borderId="0" xfId="0" applyFont="1" applyAlignment="1">
      <alignment horizontal="left" vertical="top"/>
    </xf>
    <xf numFmtId="0" fontId="189" fillId="0" borderId="0" xfId="0" applyFont="1" applyAlignment="1">
      <alignment horizontal="left" vertical="top"/>
    </xf>
    <xf numFmtId="0" fontId="5" fillId="0" borderId="0" xfId="2" applyNumberFormat="1" applyFont="1" applyAlignment="1">
      <alignment horizontal="left" vertical="center"/>
    </xf>
    <xf numFmtId="0" fontId="254" fillId="0" borderId="0" xfId="0" quotePrefix="1" applyFont="1" applyAlignment="1">
      <alignment horizontal="left" vertical="top"/>
    </xf>
    <xf numFmtId="0" fontId="254" fillId="0" borderId="0" xfId="0" applyFont="1" applyAlignment="1">
      <alignment horizontal="left" vertical="top"/>
    </xf>
    <xf numFmtId="0" fontId="85" fillId="0" borderId="0" xfId="0" applyFont="1" applyAlignment="1">
      <alignment horizontal="left" vertical="top"/>
    </xf>
    <xf numFmtId="0" fontId="24" fillId="0" borderId="0" xfId="0" applyFont="1" applyAlignment="1">
      <alignment horizontal="left" vertical="center"/>
    </xf>
    <xf numFmtId="0" fontId="75" fillId="0" borderId="0" xfId="0" applyFont="1" applyAlignment="1">
      <alignment vertical="center" wrapText="1"/>
    </xf>
    <xf numFmtId="0" fontId="8" fillId="0" borderId="0" xfId="0" applyFont="1" applyAlignment="1">
      <alignment vertical="center" wrapText="1"/>
    </xf>
    <xf numFmtId="180" fontId="156" fillId="0" borderId="0" xfId="0" applyNumberFormat="1" applyFont="1"/>
    <xf numFmtId="180" fontId="91" fillId="0" borderId="0" xfId="0" applyNumberFormat="1" applyFont="1" applyAlignment="1">
      <alignment vertical="top"/>
    </xf>
    <xf numFmtId="180" fontId="9" fillId="0" borderId="0" xfId="0" applyNumberFormat="1" applyFont="1" applyAlignment="1">
      <alignment vertical="center"/>
    </xf>
    <xf numFmtId="180" fontId="158" fillId="0" borderId="0" xfId="0" applyNumberFormat="1" applyFont="1"/>
    <xf numFmtId="180" fontId="159" fillId="0" borderId="0" xfId="0" applyNumberFormat="1" applyFont="1" applyAlignment="1">
      <alignment vertical="center"/>
    </xf>
    <xf numFmtId="180" fontId="8" fillId="0" borderId="0" xfId="0" applyNumberFormat="1" applyFont="1" applyAlignment="1">
      <alignment horizontal="left" vertical="top" wrapText="1"/>
    </xf>
    <xf numFmtId="180" fontId="9" fillId="0" borderId="0" xfId="0" applyNumberFormat="1" applyFont="1"/>
    <xf numFmtId="180" fontId="164" fillId="0" borderId="0" xfId="0" applyNumberFormat="1" applyFont="1"/>
    <xf numFmtId="180" fontId="255" fillId="0" borderId="0" xfId="0" applyNumberFormat="1" applyFont="1" applyAlignment="1">
      <alignment horizontal="left" vertical="center"/>
    </xf>
    <xf numFmtId="180" fontId="254" fillId="0" borderId="0" xfId="0" applyNumberFormat="1" applyFont="1" applyAlignment="1">
      <alignment horizontal="left" vertical="top"/>
    </xf>
    <xf numFmtId="180" fontId="7" fillId="0" borderId="0" xfId="0" applyNumberFormat="1" applyFont="1"/>
    <xf numFmtId="180" fontId="174" fillId="0" borderId="0" xfId="0" applyNumberFormat="1" applyFont="1"/>
    <xf numFmtId="180" fontId="175" fillId="0" borderId="0" xfId="0" applyNumberFormat="1" applyFont="1" applyAlignment="1">
      <alignment vertical="top"/>
    </xf>
    <xf numFmtId="0" fontId="156" fillId="0" borderId="0" xfId="0" applyFont="1" applyAlignment="1">
      <alignment horizontal="center"/>
    </xf>
    <xf numFmtId="0" fontId="91" fillId="0" borderId="0" xfId="0" applyFont="1" applyAlignment="1">
      <alignment horizontal="center" vertical="top"/>
    </xf>
    <xf numFmtId="0" fontId="8" fillId="0" borderId="0" xfId="0" applyFont="1" applyAlignment="1">
      <alignment horizontal="center"/>
    </xf>
    <xf numFmtId="0" fontId="12" fillId="0" borderId="0" xfId="0" applyFont="1" applyAlignment="1">
      <alignment horizontal="center"/>
    </xf>
    <xf numFmtId="0" fontId="165" fillId="0" borderId="0" xfId="0" applyFont="1" applyAlignment="1">
      <alignment horizontal="center"/>
    </xf>
    <xf numFmtId="0" fontId="24" fillId="0" borderId="0" xfId="0" applyFont="1" applyAlignment="1">
      <alignment horizontal="center" vertical="center"/>
    </xf>
    <xf numFmtId="0" fontId="254" fillId="0" borderId="0" xfId="0" applyFont="1" applyAlignment="1">
      <alignment horizontal="center" vertical="top"/>
    </xf>
    <xf numFmtId="0" fontId="160" fillId="0" borderId="0" xfId="0" applyFont="1" applyAlignment="1">
      <alignment horizontal="center"/>
    </xf>
    <xf numFmtId="168" fontId="47" fillId="5" borderId="81" xfId="0" applyNumberFormat="1" applyFont="1" applyFill="1" applyBorder="1" applyAlignment="1" applyProtection="1">
      <alignment horizontal="center" vertical="center"/>
      <protection locked="0"/>
    </xf>
    <xf numFmtId="168" fontId="47" fillId="5" borderId="67" xfId="0" applyNumberFormat="1" applyFont="1" applyFill="1" applyBorder="1" applyAlignment="1" applyProtection="1">
      <alignment horizontal="center" vertical="center"/>
      <protection locked="0"/>
    </xf>
    <xf numFmtId="0" fontId="168" fillId="0" borderId="0" xfId="0" applyFont="1" applyAlignment="1">
      <alignment horizontal="center" vertical="top" wrapText="1"/>
    </xf>
    <xf numFmtId="0" fontId="174" fillId="0" borderId="0" xfId="0" applyFont="1" applyAlignment="1">
      <alignment horizontal="center"/>
    </xf>
    <xf numFmtId="0" fontId="175" fillId="0" borderId="0" xfId="0" applyFont="1" applyAlignment="1">
      <alignment horizontal="center" vertical="top"/>
    </xf>
    <xf numFmtId="0" fontId="8" fillId="0" borderId="0" xfId="0" applyFont="1" applyAlignment="1">
      <alignment horizontal="right" vertical="center" wrapText="1"/>
    </xf>
    <xf numFmtId="170" fontId="75" fillId="5" borderId="0" xfId="0" applyNumberFormat="1" applyFont="1" applyFill="1" applyAlignment="1" applyProtection="1">
      <alignment horizontal="right" vertical="top"/>
      <protection locked="0"/>
    </xf>
    <xf numFmtId="0" fontId="47" fillId="5" borderId="60" xfId="0" applyFont="1" applyFill="1" applyBorder="1" applyAlignment="1">
      <alignment horizontal="center" vertical="center"/>
    </xf>
    <xf numFmtId="0" fontId="47" fillId="5" borderId="57" xfId="0" applyFont="1" applyFill="1" applyBorder="1" applyAlignment="1">
      <alignment horizontal="center" vertical="center"/>
    </xf>
    <xf numFmtId="0" fontId="168" fillId="0" borderId="0" xfId="0" applyFont="1" applyAlignment="1">
      <alignment horizontal="left" vertical="center"/>
    </xf>
    <xf numFmtId="0" fontId="257" fillId="5" borderId="167" xfId="0" applyFont="1" applyFill="1" applyBorder="1" applyAlignment="1" applyProtection="1">
      <alignment horizontal="center" vertical="center"/>
      <protection locked="0"/>
    </xf>
    <xf numFmtId="0" fontId="137" fillId="0" borderId="173" xfId="0" applyFont="1" applyBorder="1" applyAlignment="1" applyProtection="1">
      <alignment horizontal="right"/>
      <protection locked="0"/>
    </xf>
    <xf numFmtId="167" fontId="74" fillId="0" borderId="174" xfId="0" applyNumberFormat="1" applyFont="1" applyBorder="1" applyAlignment="1" applyProtection="1">
      <alignment horizontal="center" vertical="center"/>
      <protection locked="0"/>
    </xf>
    <xf numFmtId="0" fontId="179" fillId="0" borderId="218" xfId="0" applyFont="1" applyBorder="1" applyAlignment="1">
      <alignment horizontal="left" indent="1"/>
    </xf>
    <xf numFmtId="0" fontId="160" fillId="0" borderId="217" xfId="0" applyFont="1" applyBorder="1" applyAlignment="1">
      <alignment horizontal="right"/>
    </xf>
    <xf numFmtId="0" fontId="164" fillId="0" borderId="217" xfId="0" applyFont="1" applyBorder="1" applyAlignment="1">
      <alignment horizontal="right"/>
    </xf>
    <xf numFmtId="0" fontId="161" fillId="0" borderId="217" xfId="0" applyFont="1" applyBorder="1" applyAlignment="1">
      <alignment horizontal="right"/>
    </xf>
    <xf numFmtId="0" fontId="165" fillId="0" borderId="217" xfId="0" applyFont="1" applyBorder="1" applyAlignment="1">
      <alignment horizontal="right"/>
    </xf>
    <xf numFmtId="0" fontId="162" fillId="0" borderId="217" xfId="0" applyFont="1" applyBorder="1" applyAlignment="1" applyProtection="1">
      <alignment horizontal="left" vertical="center"/>
      <protection locked="0"/>
    </xf>
    <xf numFmtId="0" fontId="164" fillId="0" borderId="219" xfId="0" applyFont="1" applyBorder="1"/>
    <xf numFmtId="0" fontId="160" fillId="0" borderId="220" xfId="0" applyFont="1" applyBorder="1" applyAlignment="1">
      <alignment horizontal="left" indent="1"/>
    </xf>
    <xf numFmtId="0" fontId="38" fillId="0" borderId="220" xfId="0" applyFont="1" applyBorder="1" applyAlignment="1">
      <alignment horizontal="left" vertical="top" indent="1"/>
    </xf>
    <xf numFmtId="0" fontId="164" fillId="0" borderId="222" xfId="0" applyFont="1" applyBorder="1" applyAlignment="1">
      <alignment horizontal="left" vertical="center"/>
    </xf>
    <xf numFmtId="0" fontId="164" fillId="0" borderId="223" xfId="0" applyFont="1" applyBorder="1" applyAlignment="1">
      <alignment horizontal="left"/>
    </xf>
    <xf numFmtId="0" fontId="160" fillId="0" borderId="220" xfId="0" applyFont="1" applyBorder="1" applyAlignment="1">
      <alignment horizontal="left" vertical="center" indent="1"/>
    </xf>
    <xf numFmtId="0" fontId="47" fillId="0" borderId="221" xfId="0" applyFont="1" applyBorder="1" applyAlignment="1">
      <alignment horizontal="left" vertical="center"/>
    </xf>
    <xf numFmtId="0" fontId="47" fillId="0" borderId="222" xfId="0" applyFont="1" applyBorder="1" applyAlignment="1">
      <alignment horizontal="left" vertical="top"/>
    </xf>
    <xf numFmtId="0" fontId="160" fillId="0" borderId="224" xfId="0" applyFont="1" applyBorder="1" applyAlignment="1">
      <alignment horizontal="left" indent="1"/>
    </xf>
    <xf numFmtId="0" fontId="160" fillId="0" borderId="203" xfId="0" applyFont="1" applyBorder="1"/>
    <xf numFmtId="0" fontId="73" fillId="0" borderId="203" xfId="0" applyFont="1" applyBorder="1" applyAlignment="1">
      <alignment horizontal="center" vertical="center"/>
    </xf>
    <xf numFmtId="0" fontId="161" fillId="0" borderId="225" xfId="0" quotePrefix="1" applyFont="1" applyBorder="1"/>
    <xf numFmtId="0" fontId="75" fillId="0" borderId="203" xfId="0" applyFont="1" applyBorder="1" applyAlignment="1">
      <alignment horizontal="left" vertical="center"/>
    </xf>
    <xf numFmtId="0" fontId="161" fillId="0" borderId="226" xfId="0" quotePrefix="1" applyFont="1" applyBorder="1"/>
    <xf numFmtId="0" fontId="168" fillId="0" borderId="0" xfId="0" applyFont="1" applyAlignment="1" applyProtection="1">
      <alignment horizontal="left"/>
      <protection locked="0"/>
    </xf>
    <xf numFmtId="0" fontId="18" fillId="0" borderId="0" xfId="0" applyFont="1" applyProtection="1">
      <protection locked="0"/>
    </xf>
    <xf numFmtId="0" fontId="0" fillId="0" borderId="0" xfId="0" applyProtection="1">
      <protection locked="0"/>
    </xf>
    <xf numFmtId="0" fontId="95" fillId="0" borderId="0" xfId="0" applyFont="1" applyAlignment="1" applyProtection="1">
      <alignment horizontal="center" vertical="center"/>
      <protection locked="0"/>
    </xf>
    <xf numFmtId="0" fontId="164" fillId="0" borderId="209" xfId="0" applyFont="1" applyBorder="1" applyProtection="1">
      <protection locked="0"/>
    </xf>
    <xf numFmtId="0" fontId="261" fillId="0" borderId="179" xfId="0" applyFont="1" applyBorder="1" applyAlignment="1" applyProtection="1">
      <alignment horizontal="center" vertical="center"/>
      <protection locked="0"/>
    </xf>
    <xf numFmtId="0" fontId="258" fillId="0" borderId="179" xfId="0" applyFont="1" applyBorder="1" applyAlignment="1" applyProtection="1">
      <alignment horizontal="center" vertical="center"/>
      <protection locked="0"/>
    </xf>
    <xf numFmtId="0" fontId="258" fillId="0" borderId="210" xfId="0" applyFont="1" applyBorder="1" applyAlignment="1" applyProtection="1">
      <alignment horizontal="center" vertical="center"/>
      <protection locked="0"/>
    </xf>
    <xf numFmtId="0" fontId="18" fillId="0" borderId="191" xfId="0" applyFont="1" applyBorder="1" applyProtection="1">
      <protection locked="0"/>
    </xf>
    <xf numFmtId="0" fontId="164" fillId="0" borderId="149" xfId="0" applyFont="1" applyBorder="1" applyProtection="1">
      <protection locked="0"/>
    </xf>
    <xf numFmtId="0" fontId="262" fillId="0" borderId="0" xfId="0" applyFont="1" applyAlignment="1" applyProtection="1">
      <alignment vertical="center"/>
      <protection locked="0"/>
    </xf>
    <xf numFmtId="0" fontId="258" fillId="0" borderId="0" xfId="0" applyFont="1" applyAlignment="1" applyProtection="1">
      <alignment vertical="center"/>
      <protection locked="0"/>
    </xf>
    <xf numFmtId="0" fontId="258" fillId="0" borderId="150" xfId="0" applyFont="1" applyBorder="1" applyAlignment="1" applyProtection="1">
      <alignment vertical="center"/>
      <protection locked="0"/>
    </xf>
    <xf numFmtId="0" fontId="18" fillId="0" borderId="192" xfId="0" applyFont="1" applyBorder="1" applyProtection="1">
      <protection locked="0"/>
    </xf>
    <xf numFmtId="0" fontId="0" fillId="0" borderId="0" xfId="0" applyAlignment="1" applyProtection="1">
      <alignment vertical="center"/>
      <protection locked="0"/>
    </xf>
    <xf numFmtId="0" fontId="18" fillId="0" borderId="0" xfId="0" applyFont="1" applyAlignment="1" applyProtection="1">
      <alignment horizontal="center" vertical="center"/>
      <protection locked="0"/>
    </xf>
    <xf numFmtId="0" fontId="164" fillId="0" borderId="149" xfId="0" applyFont="1" applyBorder="1" applyAlignment="1" applyProtection="1">
      <alignment horizontal="center" vertical="center"/>
      <protection locked="0"/>
    </xf>
    <xf numFmtId="0" fontId="263" fillId="0" borderId="0" xfId="0" applyFont="1" applyAlignment="1" applyProtection="1">
      <alignment horizontal="center" vertical="center"/>
      <protection locked="0"/>
    </xf>
    <xf numFmtId="0" fontId="0" fillId="0" borderId="150" xfId="0" applyBorder="1" applyProtection="1">
      <protection locked="0"/>
    </xf>
    <xf numFmtId="0" fontId="9" fillId="0" borderId="0" xfId="0" applyFont="1" applyProtection="1">
      <protection locked="0"/>
    </xf>
    <xf numFmtId="0" fontId="0" fillId="0" borderId="0" xfId="0" applyAlignment="1" applyProtection="1">
      <alignment horizontal="center"/>
      <protection locked="0"/>
    </xf>
    <xf numFmtId="1" fontId="0" fillId="0" borderId="0" xfId="0" applyNumberFormat="1" applyProtection="1">
      <protection locked="0"/>
    </xf>
    <xf numFmtId="0" fontId="72" fillId="0" borderId="0" xfId="0" applyFont="1" applyAlignment="1" applyProtection="1">
      <alignment horizontal="right"/>
      <protection locked="0"/>
    </xf>
    <xf numFmtId="0" fontId="160" fillId="0" borderId="149" xfId="0" applyFont="1" applyBorder="1" applyAlignment="1" applyProtection="1">
      <alignment horizontal="right"/>
      <protection locked="0"/>
    </xf>
    <xf numFmtId="0" fontId="192" fillId="0" borderId="0" xfId="0" applyFont="1" applyAlignment="1" applyProtection="1">
      <alignment horizontal="center" vertical="center"/>
      <protection locked="0"/>
    </xf>
    <xf numFmtId="14" fontId="194" fillId="0" borderId="0" xfId="0" applyNumberFormat="1" applyFont="1" applyAlignment="1" applyProtection="1">
      <alignment horizontal="center" vertical="center"/>
      <protection locked="0"/>
    </xf>
    <xf numFmtId="14" fontId="39" fillId="0" borderId="0" xfId="0" applyNumberFormat="1" applyFont="1" applyAlignment="1" applyProtection="1">
      <alignment vertical="center"/>
      <protection locked="0"/>
    </xf>
    <xf numFmtId="0" fontId="18" fillId="0" borderId="192" xfId="0" applyFont="1" applyBorder="1" applyAlignment="1" applyProtection="1">
      <alignment vertical="center"/>
      <protection locked="0"/>
    </xf>
    <xf numFmtId="0" fontId="18" fillId="0" borderId="0" xfId="0" applyFont="1" applyAlignment="1" applyProtection="1">
      <alignment vertical="center"/>
      <protection locked="0"/>
    </xf>
    <xf numFmtId="0" fontId="164" fillId="0" borderId="149" xfId="0" applyFont="1" applyBorder="1" applyAlignment="1" applyProtection="1">
      <alignment vertical="center"/>
      <protection locked="0"/>
    </xf>
    <xf numFmtId="0" fontId="0" fillId="0" borderId="150" xfId="0" applyBorder="1" applyAlignment="1" applyProtection="1">
      <alignment vertical="center"/>
      <protection locked="0"/>
    </xf>
    <xf numFmtId="0" fontId="55" fillId="0" borderId="192" xfId="0" applyFont="1" applyBorder="1" applyAlignment="1" applyProtection="1">
      <alignment horizontal="center" vertical="center"/>
      <protection locked="0"/>
    </xf>
    <xf numFmtId="0" fontId="55" fillId="0" borderId="0" xfId="0" applyFont="1" applyAlignment="1" applyProtection="1">
      <alignment horizontal="center" vertical="center"/>
      <protection locked="0"/>
    </xf>
    <xf numFmtId="0" fontId="172" fillId="0" borderId="149" xfId="0" applyFont="1" applyBorder="1" applyAlignment="1" applyProtection="1">
      <alignment horizontal="center" vertical="center"/>
      <protection locked="0"/>
    </xf>
    <xf numFmtId="0" fontId="267" fillId="0" borderId="0" xfId="0" applyFont="1" applyAlignment="1" applyProtection="1">
      <alignment horizontal="center" vertical="center"/>
      <protection locked="0"/>
    </xf>
    <xf numFmtId="0" fontId="194" fillId="0" borderId="0" xfId="0" applyFont="1" applyAlignment="1" applyProtection="1">
      <alignment horizontal="center" vertical="center"/>
      <protection locked="0"/>
    </xf>
    <xf numFmtId="0" fontId="194" fillId="0" borderId="0" xfId="0" applyFont="1" applyAlignment="1" applyProtection="1">
      <alignment horizontal="right" vertical="center"/>
      <protection locked="0"/>
    </xf>
    <xf numFmtId="0" fontId="268" fillId="0" borderId="0" xfId="0" applyFont="1" applyAlignment="1" applyProtection="1">
      <alignment horizontal="left" vertical="center"/>
      <protection locked="0"/>
    </xf>
    <xf numFmtId="0" fontId="38" fillId="0" borderId="150" xfId="0" applyFont="1" applyBorder="1" applyAlignment="1" applyProtection="1">
      <alignment horizontal="center" vertical="center"/>
      <protection locked="0"/>
    </xf>
    <xf numFmtId="14" fontId="18" fillId="0" borderId="192" xfId="0" applyNumberFormat="1" applyFon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18" fillId="0" borderId="0" xfId="0" applyFont="1" applyAlignment="1" applyProtection="1">
      <alignment horizontal="center" vertical="center" wrapText="1"/>
      <protection locked="0"/>
    </xf>
    <xf numFmtId="0" fontId="164" fillId="0" borderId="149" xfId="0" applyFont="1" applyBorder="1" applyAlignment="1" applyProtection="1">
      <alignment horizontal="center" vertical="center" wrapText="1"/>
      <protection locked="0"/>
    </xf>
    <xf numFmtId="0" fontId="269" fillId="0" borderId="0" xfId="0" applyFont="1" applyAlignment="1" applyProtection="1">
      <alignment horizontal="center" vertical="center" wrapText="1"/>
      <protection locked="0"/>
    </xf>
    <xf numFmtId="0" fontId="270" fillId="0" borderId="0" xfId="0" applyFont="1" applyAlignment="1" applyProtection="1">
      <alignment horizontal="center" vertical="center" wrapText="1"/>
      <protection locked="0"/>
    </xf>
    <xf numFmtId="0" fontId="271" fillId="0" borderId="0" xfId="0" applyFont="1" applyAlignment="1" applyProtection="1">
      <alignment horizontal="center" vertical="center" wrapText="1"/>
      <protection locked="0"/>
    </xf>
    <xf numFmtId="0" fontId="0" fillId="0" borderId="150" xfId="0" applyBorder="1" applyAlignment="1" applyProtection="1">
      <alignment horizontal="center" vertical="center" wrapText="1"/>
      <protection locked="0"/>
    </xf>
    <xf numFmtId="0" fontId="47" fillId="0" borderId="0" xfId="0" applyFont="1" applyAlignment="1" applyProtection="1">
      <alignment horizontal="center" vertical="center" wrapText="1"/>
      <protection locked="0"/>
    </xf>
    <xf numFmtId="0" fontId="137" fillId="10" borderId="184" xfId="0" applyFont="1" applyFill="1" applyBorder="1" applyAlignment="1" applyProtection="1">
      <alignment horizontal="left" vertical="center"/>
      <protection locked="0"/>
    </xf>
    <xf numFmtId="0" fontId="137" fillId="10" borderId="142" xfId="0" applyFont="1" applyFill="1" applyBorder="1" applyAlignment="1" applyProtection="1">
      <alignment horizontal="left" vertical="center"/>
      <protection locked="0"/>
    </xf>
    <xf numFmtId="184" fontId="137" fillId="10" borderId="185" xfId="0" applyNumberFormat="1" applyFont="1" applyFill="1" applyBorder="1" applyAlignment="1" applyProtection="1">
      <alignment horizontal="left" vertical="center" wrapText="1"/>
      <protection locked="0"/>
    </xf>
    <xf numFmtId="0" fontId="74" fillId="0" borderId="0" xfId="0" applyFont="1" applyAlignment="1" applyProtection="1">
      <alignment horizontal="center" vertical="center" wrapText="1"/>
      <protection locked="0"/>
    </xf>
    <xf numFmtId="0" fontId="0" fillId="10" borderId="184" xfId="0" applyFill="1" applyBorder="1" applyAlignment="1" applyProtection="1">
      <alignment horizontal="center" vertical="center" wrapText="1"/>
      <protection locked="0"/>
    </xf>
    <xf numFmtId="0" fontId="0" fillId="10" borderId="142" xfId="0" applyFill="1" applyBorder="1" applyAlignment="1" applyProtection="1">
      <alignment horizontal="center" vertical="center" wrapText="1"/>
      <protection locked="0"/>
    </xf>
    <xf numFmtId="0" fontId="0" fillId="10" borderId="185" xfId="0" applyFill="1" applyBorder="1" applyAlignment="1" applyProtection="1">
      <alignment horizontal="center" vertical="center" wrapText="1"/>
      <protection locked="0"/>
    </xf>
    <xf numFmtId="0" fontId="168" fillId="0" borderId="0" xfId="0" applyFont="1" applyAlignment="1" applyProtection="1">
      <alignment horizontal="left" vertical="center" wrapText="1"/>
      <protection locked="0"/>
    </xf>
    <xf numFmtId="0" fontId="264" fillId="0" borderId="0" xfId="0" applyFont="1" applyAlignment="1" applyProtection="1">
      <alignment horizontal="center" vertical="center"/>
      <protection locked="0"/>
    </xf>
    <xf numFmtId="167" fontId="47" fillId="0" borderId="0" xfId="0" applyNumberFormat="1" applyFont="1" applyAlignment="1" applyProtection="1">
      <alignment horizontal="center" vertical="center" wrapText="1"/>
      <protection locked="0"/>
    </xf>
    <xf numFmtId="49" fontId="168" fillId="0" borderId="0" xfId="0" applyNumberFormat="1" applyFont="1" applyAlignment="1" applyProtection="1">
      <alignment horizontal="left" vertical="center"/>
      <protection locked="0"/>
    </xf>
    <xf numFmtId="0" fontId="168" fillId="0" borderId="0" xfId="0" applyFont="1" applyAlignment="1" applyProtection="1">
      <alignment horizontal="center" vertical="center" wrapText="1"/>
      <protection locked="0"/>
    </xf>
    <xf numFmtId="0" fontId="41" fillId="0" borderId="0" xfId="0" applyFont="1" applyAlignment="1" applyProtection="1">
      <alignment vertical="center" wrapText="1"/>
      <protection locked="0"/>
    </xf>
    <xf numFmtId="0" fontId="6" fillId="0" borderId="150" xfId="0" applyFont="1" applyBorder="1" applyAlignment="1" applyProtection="1">
      <alignment vertical="top" wrapText="1"/>
      <protection locked="0"/>
    </xf>
    <xf numFmtId="0" fontId="164" fillId="0" borderId="0" xfId="0" applyFont="1" applyAlignment="1" applyProtection="1">
      <alignment horizontal="center" vertical="center" wrapText="1"/>
      <protection locked="0"/>
    </xf>
    <xf numFmtId="0" fontId="260" fillId="0" borderId="0" xfId="0" applyFont="1" applyAlignment="1" applyProtection="1">
      <alignment horizontal="center" vertical="center" wrapText="1"/>
      <protection locked="0"/>
    </xf>
    <xf numFmtId="14" fontId="18" fillId="0" borderId="193" xfId="0" applyNumberFormat="1" applyFont="1" applyBorder="1" applyAlignment="1" applyProtection="1">
      <alignment horizontal="center" vertical="center"/>
      <protection locked="0"/>
    </xf>
    <xf numFmtId="0" fontId="18" fillId="0" borderId="0" xfId="0" applyFont="1" applyAlignment="1" applyProtection="1">
      <alignment wrapText="1"/>
      <protection locked="0"/>
    </xf>
    <xf numFmtId="0" fontId="0" fillId="0" borderId="153" xfId="0" applyBorder="1" applyAlignment="1" applyProtection="1">
      <alignment wrapText="1"/>
      <protection locked="0"/>
    </xf>
    <xf numFmtId="0" fontId="0" fillId="0" borderId="154" xfId="0" applyBorder="1" applyAlignment="1" applyProtection="1">
      <alignment horizontal="left" wrapText="1"/>
      <protection locked="0"/>
    </xf>
    <xf numFmtId="0" fontId="0" fillId="0" borderId="154" xfId="0" applyBorder="1" applyAlignment="1" applyProtection="1">
      <alignment horizontal="center" vertical="center" wrapText="1"/>
      <protection locked="0"/>
    </xf>
    <xf numFmtId="0" fontId="0" fillId="0" borderId="154" xfId="0" applyBorder="1" applyAlignment="1" applyProtection="1">
      <alignment wrapText="1"/>
      <protection locked="0"/>
    </xf>
    <xf numFmtId="0" fontId="0" fillId="0" borderId="155" xfId="0" applyBorder="1" applyAlignment="1" applyProtection="1">
      <alignment wrapText="1"/>
      <protection locked="0"/>
    </xf>
    <xf numFmtId="0" fontId="0" fillId="0" borderId="0" xfId="0" applyAlignment="1" applyProtection="1">
      <alignment wrapText="1"/>
      <protection locked="0"/>
    </xf>
    <xf numFmtId="14" fontId="18" fillId="0" borderId="0" xfId="0" applyNumberFormat="1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/>
      <protection locked="0"/>
    </xf>
    <xf numFmtId="0" fontId="55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left" vertical="center"/>
      <protection locked="0"/>
    </xf>
    <xf numFmtId="0" fontId="38" fillId="0" borderId="0" xfId="0" applyFont="1" applyProtection="1">
      <protection locked="0"/>
    </xf>
    <xf numFmtId="0" fontId="9" fillId="0" borderId="0" xfId="0" applyFont="1" applyAlignment="1" applyProtection="1">
      <alignment horizontal="center" vertical="center"/>
      <protection locked="0"/>
    </xf>
    <xf numFmtId="0" fontId="9" fillId="0" borderId="0" xfId="0" applyFont="1" applyAlignment="1" applyProtection="1">
      <alignment horizontal="center"/>
      <protection locked="0"/>
    </xf>
    <xf numFmtId="1" fontId="9" fillId="0" borderId="0" xfId="0" applyNumberFormat="1" applyFont="1" applyProtection="1">
      <protection locked="0"/>
    </xf>
    <xf numFmtId="0" fontId="75" fillId="10" borderId="227" xfId="0" applyFont="1" applyFill="1" applyBorder="1" applyProtection="1">
      <protection locked="0"/>
    </xf>
    <xf numFmtId="0" fontId="246" fillId="0" borderId="0" xfId="0" applyFont="1" applyAlignment="1">
      <alignment horizontal="left" indent="20"/>
    </xf>
    <xf numFmtId="0" fontId="230" fillId="0" borderId="0" xfId="0" applyFont="1" applyAlignment="1">
      <alignment horizontal="center" vertical="top"/>
    </xf>
    <xf numFmtId="49" fontId="230" fillId="0" borderId="0" xfId="0" applyNumberFormat="1" applyFont="1" applyAlignment="1">
      <alignment horizontal="center" vertical="top"/>
    </xf>
    <xf numFmtId="0" fontId="47" fillId="2" borderId="67" xfId="0" applyFont="1" applyFill="1" applyBorder="1" applyAlignment="1">
      <alignment horizontal="center" vertical="center"/>
    </xf>
    <xf numFmtId="0" fontId="75" fillId="2" borderId="67" xfId="0" applyFont="1" applyFill="1" applyBorder="1" applyAlignment="1">
      <alignment horizontal="left" vertical="center"/>
    </xf>
    <xf numFmtId="185" fontId="38" fillId="0" borderId="0" xfId="0" applyNumberFormat="1" applyFont="1" applyAlignment="1">
      <alignment horizontal="right" vertical="center"/>
    </xf>
    <xf numFmtId="185" fontId="124" fillId="0" borderId="0" xfId="0" applyNumberFormat="1" applyFont="1" applyAlignment="1">
      <alignment horizontal="centerContinuous" vertical="center"/>
    </xf>
    <xf numFmtId="185" fontId="38" fillId="0" borderId="0" xfId="0" applyNumberFormat="1" applyFont="1" applyAlignment="1">
      <alignment horizontal="center" vertical="center"/>
    </xf>
    <xf numFmtId="185" fontId="84" fillId="4" borderId="47" xfId="0" applyNumberFormat="1" applyFont="1" applyFill="1" applyBorder="1" applyAlignment="1">
      <alignment horizontal="center" vertical="center"/>
    </xf>
    <xf numFmtId="185" fontId="47" fillId="0" borderId="67" xfId="0" applyNumberFormat="1" applyFont="1" applyBorder="1" applyAlignment="1">
      <alignment horizontal="right" vertical="center"/>
    </xf>
    <xf numFmtId="0" fontId="195" fillId="0" borderId="0" xfId="0" applyFont="1" applyAlignment="1">
      <alignment wrapText="1"/>
    </xf>
    <xf numFmtId="14" fontId="195" fillId="0" borderId="175" xfId="0" applyNumberFormat="1" applyFont="1" applyBorder="1" applyAlignment="1">
      <alignment vertical="center" wrapText="1"/>
    </xf>
    <xf numFmtId="0" fontId="282" fillId="0" borderId="0" xfId="0" applyFont="1" applyAlignment="1">
      <alignment vertical="center" wrapText="1"/>
    </xf>
    <xf numFmtId="0" fontId="282" fillId="0" borderId="0" xfId="0" applyFont="1" applyAlignment="1">
      <alignment horizontal="left" vertical="center" wrapText="1"/>
    </xf>
    <xf numFmtId="0" fontId="149" fillId="0" borderId="0" xfId="0" applyFont="1" applyAlignment="1">
      <alignment horizontal="left" vertical="top" wrapText="1"/>
    </xf>
    <xf numFmtId="0" fontId="149" fillId="0" borderId="0" xfId="0" applyFont="1" applyAlignment="1">
      <alignment horizontal="left" vertical="top" wrapText="1" indent="1"/>
    </xf>
    <xf numFmtId="0" fontId="149" fillId="0" borderId="0" xfId="0" applyFont="1" applyAlignment="1">
      <alignment horizontal="left" vertical="center" wrapText="1"/>
    </xf>
    <xf numFmtId="8" fontId="149" fillId="0" borderId="0" xfId="0" applyNumberFormat="1" applyFont="1" applyAlignment="1">
      <alignment horizontal="right" vertical="top" wrapText="1"/>
    </xf>
    <xf numFmtId="0" fontId="149" fillId="0" borderId="0" xfId="0" applyFont="1" applyAlignment="1">
      <alignment horizontal="right" vertical="top" wrapText="1"/>
    </xf>
    <xf numFmtId="0" fontId="149" fillId="0" borderId="0" xfId="0" applyFont="1" applyAlignment="1">
      <alignment horizontal="left" vertical="top" wrapText="1" indent="4"/>
    </xf>
    <xf numFmtId="0" fontId="149" fillId="0" borderId="0" xfId="0" applyFont="1" applyAlignment="1">
      <alignment horizontal="left" vertical="top" wrapText="1" indent="8"/>
    </xf>
    <xf numFmtId="0" fontId="282" fillId="0" borderId="0" xfId="0" applyFont="1" applyAlignment="1">
      <alignment horizontal="left" vertical="top" wrapText="1"/>
    </xf>
    <xf numFmtId="0" fontId="282" fillId="0" borderId="0" xfId="0" applyFont="1" applyAlignment="1">
      <alignment horizontal="left" vertical="top" wrapText="1" indent="1"/>
    </xf>
    <xf numFmtId="0" fontId="282" fillId="0" borderId="0" xfId="0" applyFont="1" applyAlignment="1">
      <alignment horizontal="left" vertical="top" wrapText="1" indent="4"/>
    </xf>
    <xf numFmtId="0" fontId="283" fillId="0" borderId="175" xfId="0" applyFont="1" applyBorder="1" applyAlignment="1">
      <alignment horizontal="right" vertical="center" wrapText="1"/>
    </xf>
    <xf numFmtId="0" fontId="47" fillId="11" borderId="67" xfId="0" applyFont="1" applyFill="1" applyBorder="1" applyAlignment="1">
      <alignment horizontal="center" vertical="center"/>
    </xf>
    <xf numFmtId="0" fontId="75" fillId="11" borderId="67" xfId="0" applyFont="1" applyFill="1" applyBorder="1" applyAlignment="1">
      <alignment horizontal="left" vertical="center"/>
    </xf>
    <xf numFmtId="168" fontId="211" fillId="0" borderId="63" xfId="0" applyNumberFormat="1" applyFont="1" applyBorder="1" applyAlignment="1">
      <alignment vertical="center"/>
    </xf>
    <xf numFmtId="0" fontId="84" fillId="4" borderId="47" xfId="0" applyFont="1" applyFill="1" applyBorder="1" applyAlignment="1">
      <alignment vertical="center" wrapText="1"/>
    </xf>
    <xf numFmtId="180" fontId="47" fillId="0" borderId="0" xfId="0" applyNumberFormat="1" applyFont="1" applyAlignment="1">
      <alignment horizontal="center" vertical="center"/>
    </xf>
    <xf numFmtId="182" fontId="47" fillId="0" borderId="0" xfId="0" applyNumberFormat="1" applyFont="1" applyAlignment="1">
      <alignment horizontal="right" vertical="center"/>
    </xf>
    <xf numFmtId="182" fontId="47" fillId="0" borderId="0" xfId="0" applyNumberFormat="1" applyFont="1" applyAlignment="1">
      <alignment horizontal="right"/>
    </xf>
    <xf numFmtId="182" fontId="190" fillId="0" borderId="0" xfId="0" applyNumberFormat="1" applyFont="1" applyAlignment="1">
      <alignment horizontal="right" vertical="center"/>
    </xf>
    <xf numFmtId="182" fontId="47" fillId="0" borderId="0" xfId="0" applyNumberFormat="1" applyFont="1" applyAlignment="1">
      <alignment horizontal="center" vertical="center"/>
    </xf>
    <xf numFmtId="182" fontId="108" fillId="4" borderId="67" xfId="0" applyNumberFormat="1" applyFont="1" applyFill="1" applyBorder="1" applyAlignment="1">
      <alignment horizontal="center" vertical="center"/>
    </xf>
    <xf numFmtId="182" fontId="76" fillId="4" borderId="81" xfId="0" applyNumberFormat="1" applyFont="1" applyFill="1" applyBorder="1" applyAlignment="1">
      <alignment horizontal="center" vertical="center"/>
    </xf>
    <xf numFmtId="182" fontId="47" fillId="0" borderId="67" xfId="0" applyNumberFormat="1" applyFont="1" applyBorder="1" applyAlignment="1">
      <alignment horizontal="center" vertical="center"/>
    </xf>
    <xf numFmtId="182" fontId="85" fillId="0" borderId="0" xfId="0" applyNumberFormat="1" applyFont="1" applyAlignment="1">
      <alignment horizontal="left" vertical="center"/>
    </xf>
    <xf numFmtId="182" fontId="205" fillId="0" borderId="0" xfId="0" applyNumberFormat="1" applyFont="1" applyAlignment="1">
      <alignment horizontal="left" vertical="center"/>
    </xf>
    <xf numFmtId="182" fontId="108" fillId="4" borderId="81" xfId="0" applyNumberFormat="1" applyFont="1" applyFill="1" applyBorder="1" applyAlignment="1">
      <alignment horizontal="center" vertical="top"/>
    </xf>
    <xf numFmtId="182" fontId="84" fillId="4" borderId="124" xfId="0" applyNumberFormat="1" applyFont="1" applyFill="1" applyBorder="1" applyAlignment="1">
      <alignment horizontal="center" vertical="top"/>
    </xf>
    <xf numFmtId="182" fontId="47" fillId="0" borderId="67" xfId="0" applyNumberFormat="1" applyFont="1" applyBorder="1" applyAlignment="1">
      <alignment horizontal="right" vertical="center"/>
    </xf>
    <xf numFmtId="182" fontId="210" fillId="0" borderId="0" xfId="0" applyNumberFormat="1" applyFont="1" applyAlignment="1">
      <alignment horizontal="left" vertical="center"/>
    </xf>
    <xf numFmtId="182" fontId="75" fillId="0" borderId="0" xfId="0" applyNumberFormat="1" applyFont="1" applyAlignment="1">
      <alignment vertical="center"/>
    </xf>
    <xf numFmtId="182" fontId="108" fillId="4" borderId="67" xfId="0" applyNumberFormat="1" applyFont="1" applyFill="1" applyBorder="1" applyAlignment="1">
      <alignment horizontal="center"/>
    </xf>
    <xf numFmtId="0" fontId="71" fillId="11" borderId="0" xfId="0" applyFont="1" applyFill="1" applyAlignment="1">
      <alignment horizontal="center" vertical="center"/>
    </xf>
    <xf numFmtId="182" fontId="47" fillId="11" borderId="67" xfId="0" applyNumberFormat="1" applyFont="1" applyFill="1" applyBorder="1" applyAlignment="1">
      <alignment horizontal="right" vertical="center"/>
    </xf>
    <xf numFmtId="168" fontId="47" fillId="11" borderId="67" xfId="0" applyNumberFormat="1" applyFont="1" applyFill="1" applyBorder="1" applyAlignment="1">
      <alignment horizontal="right" vertical="center"/>
    </xf>
    <xf numFmtId="179" fontId="47" fillId="11" borderId="67" xfId="0" applyNumberFormat="1" applyFont="1" applyFill="1" applyBorder="1" applyAlignment="1">
      <alignment horizontal="center" vertical="center"/>
    </xf>
    <xf numFmtId="0" fontId="47" fillId="11" borderId="0" xfId="0" applyFont="1" applyFill="1" applyAlignment="1">
      <alignment horizontal="center" vertical="center"/>
    </xf>
    <xf numFmtId="0" fontId="0" fillId="11" borderId="0" xfId="0" applyFill="1"/>
    <xf numFmtId="0" fontId="71" fillId="2" borderId="0" xfId="0" applyFont="1" applyFill="1" applyAlignment="1">
      <alignment horizontal="center" vertical="center"/>
    </xf>
    <xf numFmtId="182" fontId="47" fillId="2" borderId="67" xfId="0" applyNumberFormat="1" applyFont="1" applyFill="1" applyBorder="1" applyAlignment="1">
      <alignment horizontal="right" vertical="center"/>
    </xf>
    <xf numFmtId="168" fontId="47" fillId="2" borderId="67" xfId="0" applyNumberFormat="1" applyFont="1" applyFill="1" applyBorder="1" applyAlignment="1">
      <alignment horizontal="right" vertical="center"/>
    </xf>
    <xf numFmtId="179" fontId="47" fillId="2" borderId="67" xfId="0" applyNumberFormat="1" applyFont="1" applyFill="1" applyBorder="1" applyAlignment="1">
      <alignment horizontal="center" vertical="center"/>
    </xf>
    <xf numFmtId="0" fontId="47" fillId="2" borderId="0" xfId="0" applyFont="1" applyFill="1" applyAlignment="1">
      <alignment horizontal="center" vertical="center"/>
    </xf>
    <xf numFmtId="0" fontId="0" fillId="2" borderId="0" xfId="0" applyFill="1"/>
    <xf numFmtId="3" fontId="76" fillId="4" borderId="67" xfId="0" applyNumberFormat="1" applyFont="1" applyFill="1" applyBorder="1" applyAlignment="1">
      <alignment horizontal="center" vertical="center"/>
    </xf>
    <xf numFmtId="3" fontId="47" fillId="0" borderId="58" xfId="0" applyNumberFormat="1" applyFont="1" applyBorder="1" applyAlignment="1">
      <alignment horizontal="center" vertical="center"/>
    </xf>
    <xf numFmtId="3" fontId="0" fillId="0" borderId="0" xfId="0" applyNumberFormat="1" applyAlignment="1">
      <alignment horizontal="right" vertical="center"/>
    </xf>
    <xf numFmtId="3" fontId="205" fillId="0" borderId="0" xfId="0" applyNumberFormat="1" applyFont="1" applyAlignment="1">
      <alignment horizontal="left" vertical="center"/>
    </xf>
    <xf numFmtId="185" fontId="47" fillId="0" borderId="67" xfId="0" applyNumberFormat="1" applyFont="1" applyBorder="1" applyAlignment="1">
      <alignment horizontal="center" vertical="center"/>
    </xf>
    <xf numFmtId="185" fontId="0" fillId="0" borderId="0" xfId="0" applyNumberFormat="1" applyAlignment="1">
      <alignment horizontal="center" vertical="center"/>
    </xf>
    <xf numFmtId="185" fontId="205" fillId="0" borderId="0" xfId="0" applyNumberFormat="1" applyFont="1" applyAlignment="1">
      <alignment horizontal="left" vertical="center"/>
    </xf>
    <xf numFmtId="0" fontId="71" fillId="12" borderId="0" xfId="0" applyFont="1" applyFill="1" applyAlignment="1">
      <alignment horizontal="center" vertical="center"/>
    </xf>
    <xf numFmtId="0" fontId="47" fillId="12" borderId="0" xfId="0" applyFont="1" applyFill="1" applyAlignment="1">
      <alignment horizontal="center" vertical="center"/>
    </xf>
    <xf numFmtId="0" fontId="0" fillId="12" borderId="0" xfId="0" applyFill="1"/>
    <xf numFmtId="0" fontId="47" fillId="13" borderId="67" xfId="0" applyFont="1" applyFill="1" applyBorder="1" applyAlignment="1">
      <alignment horizontal="center" vertical="center"/>
    </xf>
    <xf numFmtId="0" fontId="75" fillId="13" borderId="67" xfId="0" applyFont="1" applyFill="1" applyBorder="1" applyAlignment="1">
      <alignment horizontal="left" vertical="center"/>
    </xf>
    <xf numFmtId="182" fontId="47" fillId="13" borderId="67" xfId="0" applyNumberFormat="1" applyFont="1" applyFill="1" applyBorder="1" applyAlignment="1">
      <alignment horizontal="right" vertical="center"/>
    </xf>
    <xf numFmtId="168" fontId="47" fillId="13" borderId="67" xfId="0" applyNumberFormat="1" applyFont="1" applyFill="1" applyBorder="1" applyAlignment="1">
      <alignment horizontal="right" vertical="center"/>
    </xf>
    <xf numFmtId="179" fontId="47" fillId="13" borderId="67" xfId="0" applyNumberFormat="1" applyFont="1" applyFill="1" applyBorder="1" applyAlignment="1">
      <alignment horizontal="center" vertical="center"/>
    </xf>
    <xf numFmtId="0" fontId="129" fillId="4" borderId="47" xfId="0" applyFont="1" applyFill="1" applyBorder="1" applyAlignment="1">
      <alignment horizontal="center" vertical="center"/>
    </xf>
    <xf numFmtId="0" fontId="129" fillId="4" borderId="47" xfId="0" applyFont="1" applyFill="1" applyBorder="1" applyAlignment="1">
      <alignment horizontal="center" vertical="center" wrapText="1"/>
    </xf>
    <xf numFmtId="168" fontId="129" fillId="4" borderId="47" xfId="0" applyNumberFormat="1" applyFont="1" applyFill="1" applyBorder="1" applyAlignment="1">
      <alignment horizontal="center" vertical="center" wrapText="1"/>
    </xf>
    <xf numFmtId="0" fontId="75" fillId="0" borderId="67" xfId="0" applyFont="1" applyBorder="1"/>
    <xf numFmtId="0" fontId="46" fillId="0" borderId="67" xfId="0" applyFont="1" applyBorder="1"/>
    <xf numFmtId="49" fontId="211" fillId="0" borderId="67" xfId="0" applyNumberFormat="1" applyFont="1" applyBorder="1" applyAlignment="1">
      <alignment vertical="center"/>
    </xf>
    <xf numFmtId="0" fontId="211" fillId="0" borderId="67" xfId="0" applyFont="1" applyBorder="1" applyAlignment="1">
      <alignment vertical="center"/>
    </xf>
    <xf numFmtId="49" fontId="38" fillId="0" borderId="67" xfId="0" applyNumberFormat="1" applyFont="1" applyBorder="1" applyAlignment="1">
      <alignment horizontal="left" vertical="center" wrapText="1"/>
    </xf>
    <xf numFmtId="0" fontId="251" fillId="0" borderId="67" xfId="1" applyFont="1" applyBorder="1" applyAlignment="1">
      <alignment horizontal="left" vertical="center" wrapText="1"/>
    </xf>
    <xf numFmtId="0" fontId="8" fillId="0" borderId="67" xfId="0" applyFont="1" applyBorder="1" applyAlignment="1">
      <alignment vertical="center" wrapText="1"/>
    </xf>
    <xf numFmtId="0" fontId="38" fillId="0" borderId="67" xfId="0" applyFont="1" applyBorder="1" applyAlignment="1">
      <alignment vertical="center" wrapText="1"/>
    </xf>
    <xf numFmtId="170" fontId="47" fillId="0" borderId="67" xfId="0" applyNumberFormat="1" applyFont="1" applyBorder="1" applyAlignment="1">
      <alignment vertical="center" wrapText="1"/>
    </xf>
    <xf numFmtId="168" fontId="47" fillId="0" borderId="67" xfId="0" applyNumberFormat="1" applyFont="1" applyBorder="1" applyAlignment="1">
      <alignment vertical="center" wrapText="1"/>
    </xf>
    <xf numFmtId="0" fontId="47" fillId="0" borderId="67" xfId="0" applyFont="1" applyBorder="1" applyAlignment="1">
      <alignment horizontal="center" vertical="center" wrapText="1"/>
    </xf>
    <xf numFmtId="0" fontId="37" fillId="0" borderId="67" xfId="0" applyFont="1" applyBorder="1" applyAlignment="1">
      <alignment vertical="center"/>
    </xf>
    <xf numFmtId="49" fontId="37" fillId="0" borderId="67" xfId="0" applyNumberFormat="1" applyFont="1" applyBorder="1" applyAlignment="1">
      <alignment vertical="center"/>
    </xf>
    <xf numFmtId="0" fontId="38" fillId="0" borderId="67" xfId="0" applyFont="1" applyBorder="1" applyAlignment="1">
      <alignment horizontal="center" vertical="center" wrapText="1"/>
    </xf>
    <xf numFmtId="0" fontId="38" fillId="0" borderId="67" xfId="0" applyFont="1" applyBorder="1" applyAlignment="1">
      <alignment horizontal="left" vertical="center" wrapText="1"/>
    </xf>
    <xf numFmtId="0" fontId="47" fillId="0" borderId="52" xfId="0" applyFont="1" applyBorder="1" applyAlignment="1" applyProtection="1">
      <alignment horizontal="center" vertical="center"/>
      <protection locked="0"/>
    </xf>
    <xf numFmtId="0" fontId="75" fillId="0" borderId="56" xfId="0" applyFont="1" applyBorder="1" applyAlignment="1" applyProtection="1">
      <alignment horizontal="right"/>
      <protection locked="0"/>
    </xf>
    <xf numFmtId="186" fontId="75" fillId="0" borderId="41" xfId="0" applyNumberFormat="1" applyFont="1" applyBorder="1" applyAlignment="1" applyProtection="1">
      <alignment horizontal="right"/>
      <protection locked="0"/>
    </xf>
    <xf numFmtId="4" fontId="47" fillId="0" borderId="53" xfId="0" applyNumberFormat="1" applyFont="1" applyBorder="1" applyAlignment="1" applyProtection="1">
      <alignment horizontal="center" vertical="center"/>
      <protection locked="0"/>
    </xf>
    <xf numFmtId="0" fontId="211" fillId="0" borderId="31" xfId="0" applyFont="1" applyBorder="1" applyAlignment="1">
      <alignment horizontal="left" vertical="center"/>
    </xf>
    <xf numFmtId="0" fontId="75" fillId="0" borderId="82" xfId="0" applyFont="1" applyBorder="1" applyAlignment="1">
      <alignment horizontal="left" vertical="center"/>
    </xf>
    <xf numFmtId="0" fontId="255" fillId="0" borderId="0" xfId="0" applyFont="1" applyAlignment="1">
      <alignment horizontal="left" vertical="center"/>
    </xf>
    <xf numFmtId="0" fontId="47" fillId="12" borderId="67" xfId="0" applyFont="1" applyFill="1" applyBorder="1" applyAlignment="1">
      <alignment horizontal="center" vertical="center"/>
    </xf>
    <xf numFmtId="0" fontId="75" fillId="12" borderId="67" xfId="0" applyFont="1" applyFill="1" applyBorder="1" applyAlignment="1">
      <alignment horizontal="left" vertical="center"/>
    </xf>
    <xf numFmtId="182" fontId="47" fillId="12" borderId="67" xfId="0" applyNumberFormat="1" applyFont="1" applyFill="1" applyBorder="1" applyAlignment="1">
      <alignment horizontal="right" vertical="center"/>
    </xf>
    <xf numFmtId="168" fontId="47" fillId="12" borderId="67" xfId="0" applyNumberFormat="1" applyFont="1" applyFill="1" applyBorder="1" applyAlignment="1">
      <alignment horizontal="right" vertical="center"/>
    </xf>
    <xf numFmtId="179" fontId="47" fillId="12" borderId="67" xfId="0" applyNumberFormat="1" applyFont="1" applyFill="1" applyBorder="1" applyAlignment="1">
      <alignment horizontal="center" vertical="center"/>
    </xf>
    <xf numFmtId="182" fontId="63" fillId="0" borderId="67" xfId="0" applyNumberFormat="1" applyFont="1" applyBorder="1" applyAlignment="1">
      <alignment horizontal="right" vertical="center"/>
    </xf>
    <xf numFmtId="182" fontId="63" fillId="11" borderId="67" xfId="0" applyNumberFormat="1" applyFont="1" applyFill="1" applyBorder="1" applyAlignment="1">
      <alignment horizontal="right" vertical="center"/>
    </xf>
    <xf numFmtId="182" fontId="63" fillId="2" borderId="67" xfId="0" applyNumberFormat="1" applyFont="1" applyFill="1" applyBorder="1" applyAlignment="1">
      <alignment horizontal="right" vertical="center"/>
    </xf>
    <xf numFmtId="182" fontId="63" fillId="13" borderId="67" xfId="0" applyNumberFormat="1" applyFont="1" applyFill="1" applyBorder="1" applyAlignment="1">
      <alignment horizontal="right" vertical="center"/>
    </xf>
    <xf numFmtId="182" fontId="63" fillId="12" borderId="67" xfId="0" applyNumberFormat="1" applyFont="1" applyFill="1" applyBorder="1" applyAlignment="1">
      <alignment horizontal="right" vertical="center"/>
    </xf>
    <xf numFmtId="0" fontId="47" fillId="14" borderId="67" xfId="0" applyFont="1" applyFill="1" applyBorder="1" applyAlignment="1">
      <alignment horizontal="center" vertical="center"/>
    </xf>
    <xf numFmtId="0" fontId="75" fillId="14" borderId="67" xfId="0" applyFont="1" applyFill="1" applyBorder="1" applyAlignment="1">
      <alignment horizontal="left" vertical="center"/>
    </xf>
    <xf numFmtId="185" fontId="47" fillId="0" borderId="0" xfId="0" applyNumberFormat="1" applyFont="1" applyAlignment="1">
      <alignment horizontal="left" vertical="center" indent="40"/>
    </xf>
    <xf numFmtId="185" fontId="137" fillId="0" borderId="67" xfId="0" applyNumberFormat="1" applyFont="1" applyBorder="1" applyAlignment="1">
      <alignment horizontal="center" vertical="center"/>
    </xf>
    <xf numFmtId="185" fontId="136" fillId="0" borderId="0" xfId="0" applyNumberFormat="1" applyFont="1" applyAlignment="1">
      <alignment horizontal="center" vertical="center"/>
    </xf>
    <xf numFmtId="185" fontId="75" fillId="0" borderId="0" xfId="0" applyNumberFormat="1" applyFont="1" applyAlignment="1">
      <alignment horizontal="center" vertical="center"/>
    </xf>
    <xf numFmtId="185" fontId="47" fillId="0" borderId="0" xfId="0" applyNumberFormat="1" applyFont="1" applyAlignment="1">
      <alignment horizontal="left" vertical="center"/>
    </xf>
    <xf numFmtId="185" fontId="47" fillId="0" borderId="0" xfId="0" applyNumberFormat="1" applyFont="1" applyAlignment="1">
      <alignment horizontal="right" vertical="center"/>
    </xf>
    <xf numFmtId="185" fontId="38" fillId="0" borderId="0" xfId="0" applyNumberFormat="1" applyFont="1" applyAlignment="1">
      <alignment horizontal="left" vertical="center"/>
    </xf>
    <xf numFmtId="185" fontId="98" fillId="4" borderId="47" xfId="0" applyNumberFormat="1" applyFont="1" applyFill="1" applyBorder="1" applyAlignment="1">
      <alignment horizontal="center" vertical="center"/>
    </xf>
    <xf numFmtId="185" fontId="47" fillId="0" borderId="67" xfId="0" applyNumberFormat="1" applyFont="1" applyBorder="1" applyAlignment="1">
      <alignment horizontal="left" vertical="center"/>
    </xf>
    <xf numFmtId="185" fontId="47" fillId="0" borderId="140" xfId="0" applyNumberFormat="1" applyFont="1" applyBorder="1" applyAlignment="1">
      <alignment horizontal="left" vertical="center"/>
    </xf>
    <xf numFmtId="185" fontId="47" fillId="0" borderId="140" xfId="0" applyNumberFormat="1" applyFont="1" applyBorder="1" applyAlignment="1">
      <alignment horizontal="right" vertical="center"/>
    </xf>
    <xf numFmtId="186" fontId="1" fillId="0" borderId="0" xfId="0" applyNumberFormat="1" applyFont="1"/>
    <xf numFmtId="186" fontId="229" fillId="0" borderId="0" xfId="0" applyNumberFormat="1" applyFont="1" applyAlignment="1">
      <alignment horizontal="left" vertical="center"/>
    </xf>
    <xf numFmtId="186" fontId="1" fillId="0" borderId="0" xfId="0" applyNumberFormat="1" applyFont="1" applyAlignment="1">
      <alignment horizontal="center"/>
    </xf>
    <xf numFmtId="186" fontId="0" fillId="0" borderId="0" xfId="0" applyNumberFormat="1"/>
    <xf numFmtId="186" fontId="47" fillId="0" borderId="0" xfId="0" applyNumberFormat="1" applyFont="1" applyAlignment="1">
      <alignment horizontal="center"/>
    </xf>
    <xf numFmtId="186" fontId="38" fillId="0" borderId="0" xfId="0" applyNumberFormat="1" applyFont="1" applyAlignment="1">
      <alignment horizontal="center" vertical="center"/>
    </xf>
    <xf numFmtId="186" fontId="98" fillId="4" borderId="47" xfId="0" applyNumberFormat="1" applyFont="1" applyFill="1" applyBorder="1" applyAlignment="1">
      <alignment horizontal="center" vertical="center"/>
    </xf>
    <xf numFmtId="186" fontId="75" fillId="0" borderId="67" xfId="0" applyNumberFormat="1" applyFont="1" applyBorder="1" applyAlignment="1">
      <alignment vertical="center"/>
    </xf>
    <xf numFmtId="3" fontId="84" fillId="4" borderId="47" xfId="0" applyNumberFormat="1" applyFont="1" applyFill="1" applyBorder="1" applyAlignment="1">
      <alignment horizontal="center" vertical="center"/>
    </xf>
    <xf numFmtId="182" fontId="47" fillId="14" borderId="67" xfId="0" applyNumberFormat="1" applyFont="1" applyFill="1" applyBorder="1" applyAlignment="1">
      <alignment horizontal="right" vertical="center"/>
    </xf>
    <xf numFmtId="168" fontId="47" fillId="14" borderId="67" xfId="0" applyNumberFormat="1" applyFont="1" applyFill="1" applyBorder="1" applyAlignment="1">
      <alignment horizontal="right" vertical="center"/>
    </xf>
    <xf numFmtId="182" fontId="63" fillId="14" borderId="67" xfId="0" applyNumberFormat="1" applyFont="1" applyFill="1" applyBorder="1" applyAlignment="1">
      <alignment horizontal="right" vertical="center"/>
    </xf>
    <xf numFmtId="179" fontId="47" fillId="14" borderId="67" xfId="0" applyNumberFormat="1" applyFont="1" applyFill="1" applyBorder="1" applyAlignment="1">
      <alignment horizontal="center" vertical="center"/>
    </xf>
    <xf numFmtId="0" fontId="8" fillId="0" borderId="52" xfId="0" applyFont="1" applyBorder="1" applyAlignment="1">
      <alignment horizontal="left" vertical="center"/>
    </xf>
    <xf numFmtId="0" fontId="75" fillId="2" borderId="0" xfId="0" applyFont="1" applyFill="1" applyAlignment="1">
      <alignment horizontal="left" vertical="center"/>
    </xf>
    <xf numFmtId="0" fontId="8" fillId="0" borderId="52" xfId="0" applyFont="1" applyBorder="1" applyAlignment="1">
      <alignment horizontal="center" vertical="center"/>
    </xf>
    <xf numFmtId="0" fontId="8" fillId="0" borderId="28" xfId="0" applyFont="1" applyBorder="1" applyAlignment="1">
      <alignment horizontal="left" vertical="center"/>
    </xf>
    <xf numFmtId="0" fontId="8" fillId="0" borderId="28" xfId="0" applyFont="1" applyBorder="1" applyAlignment="1">
      <alignment horizontal="center" vertical="center"/>
    </xf>
    <xf numFmtId="181" fontId="8" fillId="0" borderId="52" xfId="0" applyNumberFormat="1" applyFont="1" applyBorder="1" applyAlignment="1">
      <alignment horizontal="right" vertical="center"/>
    </xf>
    <xf numFmtId="0" fontId="285" fillId="0" borderId="0" xfId="0" applyFont="1" applyAlignment="1">
      <alignment vertical="top"/>
    </xf>
    <xf numFmtId="14" fontId="46" fillId="0" borderId="31" xfId="0" applyNumberFormat="1" applyFont="1" applyBorder="1" applyAlignment="1" applyProtection="1">
      <alignment horizontal="center"/>
      <protection locked="0"/>
    </xf>
    <xf numFmtId="0" fontId="8" fillId="16" borderId="230" xfId="0" applyFont="1" applyFill="1" applyBorder="1" applyAlignment="1">
      <alignment horizontal="center"/>
    </xf>
    <xf numFmtId="0" fontId="8" fillId="0" borderId="230" xfId="0" applyFont="1" applyBorder="1" applyAlignment="1">
      <alignment horizontal="center"/>
    </xf>
    <xf numFmtId="0" fontId="287" fillId="0" borderId="0" xfId="0" applyFont="1" applyAlignment="1">
      <alignment horizontal="left" vertical="center" indent="18"/>
    </xf>
    <xf numFmtId="0" fontId="54" fillId="15" borderId="230" xfId="0" applyFont="1" applyFill="1" applyBorder="1" applyAlignment="1">
      <alignment horizontal="center" vertical="center"/>
    </xf>
    <xf numFmtId="0" fontId="75" fillId="0" borderId="0" xfId="0" applyFont="1" applyAlignment="1" applyProtection="1">
      <alignment horizontal="right"/>
      <protection locked="0"/>
    </xf>
    <xf numFmtId="14" fontId="47" fillId="0" borderId="0" xfId="0" applyNumberFormat="1" applyFont="1" applyAlignment="1" applyProtection="1">
      <alignment horizontal="center"/>
      <protection locked="0"/>
    </xf>
    <xf numFmtId="14" fontId="75" fillId="0" borderId="0" xfId="0" applyNumberFormat="1" applyFont="1" applyAlignment="1" applyProtection="1">
      <alignment horizontal="center"/>
      <protection locked="0"/>
    </xf>
    <xf numFmtId="0" fontId="288" fillId="0" borderId="0" xfId="0" applyFont="1" applyAlignment="1" applyProtection="1">
      <alignment vertical="center"/>
      <protection locked="0"/>
    </xf>
    <xf numFmtId="14" fontId="109" fillId="4" borderId="0" xfId="0" applyNumberFormat="1" applyFont="1" applyFill="1" applyAlignment="1">
      <alignment horizontal="center" vertical="center"/>
    </xf>
    <xf numFmtId="14" fontId="0" fillId="0" borderId="0" xfId="0" applyNumberFormat="1"/>
    <xf numFmtId="0" fontId="75" fillId="0" borderId="0" xfId="0" applyFont="1" applyAlignment="1">
      <alignment horizontal="left" vertical="center" wrapText="1"/>
    </xf>
    <xf numFmtId="0" fontId="96" fillId="5" borderId="159" xfId="0" applyFont="1" applyFill="1" applyBorder="1" applyAlignment="1">
      <alignment horizontal="center" vertical="center"/>
    </xf>
    <xf numFmtId="0" fontId="134" fillId="5" borderId="167" xfId="0" applyFont="1" applyFill="1" applyBorder="1" applyAlignment="1">
      <alignment horizontal="center" vertical="center"/>
    </xf>
    <xf numFmtId="0" fontId="51" fillId="5" borderId="0" xfId="0" applyFont="1" applyFill="1" applyAlignment="1">
      <alignment horizontal="left" vertical="center"/>
    </xf>
    <xf numFmtId="0" fontId="56" fillId="0" borderId="0" xfId="0" applyFont="1" applyAlignment="1">
      <alignment horizontal="center" vertical="center"/>
    </xf>
    <xf numFmtId="0" fontId="71" fillId="5" borderId="167" xfId="0" applyFont="1" applyFill="1" applyBorder="1" applyAlignment="1">
      <alignment horizontal="center" vertical="center"/>
    </xf>
    <xf numFmtId="1" fontId="237" fillId="0" borderId="0" xfId="0" applyNumberFormat="1" applyFont="1" applyAlignment="1">
      <alignment horizontal="center" vertical="center"/>
    </xf>
    <xf numFmtId="0" fontId="42" fillId="0" borderId="0" xfId="0" applyFont="1" applyAlignment="1">
      <alignment horizontal="center"/>
    </xf>
    <xf numFmtId="0" fontId="192" fillId="0" borderId="0" xfId="0" applyFont="1" applyAlignment="1">
      <alignment horizontal="center" wrapText="1"/>
    </xf>
    <xf numFmtId="0" fontId="135" fillId="5" borderId="0" xfId="0" applyFont="1" applyFill="1" applyAlignment="1">
      <alignment horizontal="center" vertical="center"/>
    </xf>
    <xf numFmtId="0" fontId="190" fillId="5" borderId="0" xfId="0" applyFont="1" applyFill="1" applyAlignment="1">
      <alignment horizontal="center" vertical="center"/>
    </xf>
    <xf numFmtId="3" fontId="108" fillId="0" borderId="0" xfId="0" applyNumberFormat="1" applyFont="1" applyAlignment="1">
      <alignment horizontal="center" vertical="center"/>
    </xf>
    <xf numFmtId="0" fontId="108" fillId="0" borderId="0" xfId="0" applyFont="1" applyAlignment="1">
      <alignment horizontal="center" vertical="center"/>
    </xf>
    <xf numFmtId="2" fontId="74" fillId="0" borderId="40" xfId="0" applyNumberFormat="1" applyFont="1" applyBorder="1" applyAlignment="1">
      <alignment horizontal="right" vertical="center"/>
    </xf>
    <xf numFmtId="0" fontId="138" fillId="9" borderId="31" xfId="0" applyFont="1" applyFill="1" applyBorder="1" applyAlignment="1">
      <alignment horizontal="center" vertical="center"/>
    </xf>
    <xf numFmtId="0" fontId="57" fillId="0" borderId="0" xfId="0" applyFont="1" applyAlignment="1">
      <alignment horizontal="center" vertical="center"/>
    </xf>
    <xf numFmtId="0" fontId="47" fillId="0" borderId="42" xfId="0" applyFont="1" applyBorder="1" applyAlignment="1">
      <alignment horizontal="center"/>
    </xf>
    <xf numFmtId="0" fontId="47" fillId="0" borderId="42" xfId="0" applyFont="1" applyBorder="1" applyAlignment="1">
      <alignment horizontal="left"/>
    </xf>
    <xf numFmtId="0" fontId="47" fillId="0" borderId="41" xfId="0" applyFont="1" applyBorder="1" applyAlignment="1">
      <alignment horizontal="center"/>
    </xf>
    <xf numFmtId="0" fontId="75" fillId="0" borderId="42" xfId="0" applyFont="1" applyBorder="1" applyAlignment="1">
      <alignment horizontal="center"/>
    </xf>
    <xf numFmtId="0" fontId="75" fillId="0" borderId="42" xfId="0" applyFont="1" applyBorder="1" applyAlignment="1">
      <alignment horizontal="right"/>
    </xf>
    <xf numFmtId="2" fontId="46" fillId="0" borderId="41" xfId="0" applyNumberFormat="1" applyFont="1" applyBorder="1" applyAlignment="1">
      <alignment horizontal="right"/>
    </xf>
    <xf numFmtId="0" fontId="250" fillId="5" borderId="150" xfId="0" applyFont="1" applyFill="1" applyBorder="1" applyAlignment="1">
      <alignment horizontal="center" vertical="center"/>
    </xf>
    <xf numFmtId="0" fontId="96" fillId="5" borderId="147" xfId="0" applyFont="1" applyFill="1" applyBorder="1" applyAlignment="1">
      <alignment horizontal="center" vertical="center"/>
    </xf>
    <xf numFmtId="0" fontId="71" fillId="5" borderId="150" xfId="0" applyFont="1" applyFill="1" applyBorder="1" applyAlignment="1">
      <alignment horizontal="center" vertical="center"/>
    </xf>
    <xf numFmtId="0" fontId="54" fillId="5" borderId="150" xfId="0" applyFont="1" applyFill="1" applyBorder="1" applyAlignment="1">
      <alignment horizontal="center" vertical="center"/>
    </xf>
    <xf numFmtId="0" fontId="146" fillId="0" borderId="53" xfId="0" applyFont="1" applyBorder="1" applyAlignment="1">
      <alignment horizontal="center" vertical="center"/>
    </xf>
    <xf numFmtId="0" fontId="71" fillId="5" borderId="0" xfId="0" applyFont="1" applyFill="1" applyAlignment="1">
      <alignment horizontal="center" vertical="center"/>
    </xf>
    <xf numFmtId="0" fontId="57" fillId="5" borderId="150" xfId="0" applyFont="1" applyFill="1" applyBorder="1" applyAlignment="1">
      <alignment horizontal="center" vertical="center"/>
    </xf>
    <xf numFmtId="3" fontId="108" fillId="0" borderId="0" xfId="0" applyNumberFormat="1" applyFont="1" applyAlignment="1">
      <alignment horizontal="center"/>
    </xf>
    <xf numFmtId="2" fontId="74" fillId="0" borderId="69" xfId="0" applyNumberFormat="1" applyFont="1" applyBorder="1" applyAlignment="1">
      <alignment horizontal="right" vertical="center"/>
    </xf>
    <xf numFmtId="2" fontId="74" fillId="0" borderId="25" xfId="0" applyNumberFormat="1" applyFont="1" applyBorder="1" applyAlignment="1">
      <alignment horizontal="right" vertical="center"/>
    </xf>
    <xf numFmtId="0" fontId="47" fillId="0" borderId="117" xfId="0" applyFont="1" applyBorder="1" applyAlignment="1">
      <alignment horizontal="center"/>
    </xf>
    <xf numFmtId="0" fontId="47" fillId="0" borderId="117" xfId="0" applyFont="1" applyBorder="1" applyAlignment="1">
      <alignment horizontal="left"/>
    </xf>
    <xf numFmtId="0" fontId="47" fillId="0" borderId="118" xfId="0" applyFont="1" applyBorder="1" applyAlignment="1">
      <alignment horizontal="center"/>
    </xf>
    <xf numFmtId="0" fontId="47" fillId="0" borderId="112" xfId="0" applyFont="1" applyBorder="1" applyAlignment="1">
      <alignment horizontal="center"/>
    </xf>
    <xf numFmtId="0" fontId="47" fillId="0" borderId="111" xfId="0" applyFont="1" applyBorder="1" applyAlignment="1">
      <alignment horizontal="center"/>
    </xf>
    <xf numFmtId="0" fontId="47" fillId="0" borderId="113" xfId="0" applyFont="1" applyBorder="1" applyAlignment="1">
      <alignment horizontal="center"/>
    </xf>
    <xf numFmtId="0" fontId="75" fillId="0" borderId="117" xfId="0" applyFont="1" applyBorder="1" applyAlignment="1">
      <alignment horizontal="center"/>
    </xf>
    <xf numFmtId="0" fontId="75" fillId="0" borderId="112" xfId="0" applyFont="1" applyBorder="1" applyAlignment="1">
      <alignment horizontal="center"/>
    </xf>
    <xf numFmtId="2" fontId="46" fillId="0" borderId="109" xfId="0" applyNumberFormat="1" applyFont="1" applyBorder="1" applyAlignment="1">
      <alignment horizontal="right"/>
    </xf>
    <xf numFmtId="2" fontId="46" fillId="0" borderId="110" xfId="0" applyNumberFormat="1" applyFont="1" applyBorder="1" applyAlignment="1">
      <alignment horizontal="right"/>
    </xf>
    <xf numFmtId="2" fontId="46" fillId="0" borderId="118" xfId="0" applyNumberFormat="1" applyFont="1" applyBorder="1" applyAlignment="1">
      <alignment horizontal="right"/>
    </xf>
    <xf numFmtId="2" fontId="46" fillId="0" borderId="113" xfId="0" applyNumberFormat="1" applyFont="1" applyBorder="1" applyAlignment="1">
      <alignment horizontal="right"/>
    </xf>
    <xf numFmtId="0" fontId="47" fillId="0" borderId="113" xfId="0" applyFont="1" applyBorder="1" applyAlignment="1">
      <alignment horizontal="center" vertical="center"/>
    </xf>
    <xf numFmtId="0" fontId="47" fillId="0" borderId="111" xfId="0" applyFont="1" applyBorder="1" applyAlignment="1">
      <alignment horizontal="center" vertical="center"/>
    </xf>
    <xf numFmtId="2" fontId="47" fillId="0" borderId="111" xfId="0" applyNumberFormat="1" applyFont="1" applyBorder="1" applyAlignment="1">
      <alignment horizontal="center" vertical="center"/>
    </xf>
    <xf numFmtId="177" fontId="47" fillId="0" borderId="111" xfId="0" applyNumberFormat="1" applyFont="1" applyBorder="1" applyAlignment="1">
      <alignment horizontal="center" vertical="center"/>
    </xf>
    <xf numFmtId="3" fontId="47" fillId="0" borderId="111" xfId="0" applyNumberFormat="1" applyFont="1" applyBorder="1" applyAlignment="1">
      <alignment horizontal="center" vertical="center"/>
    </xf>
    <xf numFmtId="0" fontId="75" fillId="0" borderId="111" xfId="0" applyFont="1" applyBorder="1" applyAlignment="1">
      <alignment horizontal="center" vertical="center"/>
    </xf>
    <xf numFmtId="0" fontId="47" fillId="0" borderId="112" xfId="0" applyFont="1" applyBorder="1" applyAlignment="1">
      <alignment horizontal="center" vertical="center"/>
    </xf>
    <xf numFmtId="0" fontId="133" fillId="0" borderId="0" xfId="0" applyFont="1" applyAlignment="1">
      <alignment horizontal="center"/>
    </xf>
    <xf numFmtId="0" fontId="253" fillId="0" borderId="0" xfId="0" applyFont="1" applyAlignment="1">
      <alignment horizontal="left" vertical="top"/>
    </xf>
    <xf numFmtId="0" fontId="54" fillId="5" borderId="167" xfId="0" applyFont="1" applyFill="1" applyBorder="1" applyAlignment="1">
      <alignment horizontal="center"/>
    </xf>
    <xf numFmtId="0" fontId="256" fillId="0" borderId="0" xfId="0" applyFont="1"/>
    <xf numFmtId="183" fontId="46" fillId="0" borderId="40" xfId="0" applyNumberFormat="1" applyFont="1" applyBorder="1" applyAlignment="1">
      <alignment horizontal="right"/>
    </xf>
    <xf numFmtId="0" fontId="193" fillId="0" borderId="0" xfId="0" applyFont="1" applyAlignment="1">
      <alignment horizontal="left" vertical="center" wrapText="1"/>
    </xf>
    <xf numFmtId="0" fontId="193" fillId="0" borderId="0" xfId="0" applyFont="1" applyAlignment="1">
      <alignment horizontal="left" vertical="center"/>
    </xf>
    <xf numFmtId="14" fontId="76" fillId="6" borderId="215" xfId="0" applyNumberFormat="1" applyFont="1" applyFill="1" applyBorder="1" applyAlignment="1">
      <alignment horizontal="center" vertical="center"/>
    </xf>
    <xf numFmtId="0" fontId="75" fillId="0" borderId="142" xfId="0" applyFont="1" applyBorder="1" applyAlignment="1">
      <alignment horizontal="center" vertical="center"/>
    </xf>
    <xf numFmtId="0" fontId="75" fillId="10" borderId="227" xfId="0" applyFont="1" applyFill="1" applyBorder="1"/>
    <xf numFmtId="0" fontId="190" fillId="0" borderId="150" xfId="0" applyFont="1" applyBorder="1" applyAlignment="1">
      <alignment horizontal="center" vertical="center"/>
    </xf>
    <xf numFmtId="0" fontId="75" fillId="0" borderId="190" xfId="0" applyFont="1" applyBorder="1" applyAlignment="1">
      <alignment horizontal="center" vertical="top"/>
    </xf>
    <xf numFmtId="0" fontId="41" fillId="0" borderId="178" xfId="0" applyFont="1" applyBorder="1" applyAlignment="1">
      <alignment horizontal="center" vertical="center" wrapText="1"/>
    </xf>
    <xf numFmtId="0" fontId="41" fillId="0" borderId="216" xfId="0" applyFont="1" applyBorder="1" applyAlignment="1">
      <alignment horizontal="center" vertical="center" wrapText="1"/>
    </xf>
    <xf numFmtId="0" fontId="194" fillId="0" borderId="0" xfId="0" applyFont="1" applyAlignment="1">
      <alignment horizontal="center" vertical="center"/>
    </xf>
    <xf numFmtId="0" fontId="92" fillId="10" borderId="70" xfId="0" applyFont="1" applyFill="1" applyBorder="1" applyAlignment="1">
      <alignment horizontal="center" vertical="center"/>
    </xf>
    <xf numFmtId="0" fontId="168" fillId="6" borderId="211" xfId="0" applyFont="1" applyFill="1" applyBorder="1" applyAlignment="1">
      <alignment horizontal="left"/>
    </xf>
    <xf numFmtId="0" fontId="168" fillId="6" borderId="212" xfId="0" applyFont="1" applyFill="1" applyBorder="1" applyAlignment="1">
      <alignment wrapText="1"/>
    </xf>
    <xf numFmtId="0" fontId="279" fillId="6" borderId="212" xfId="0" applyFont="1" applyFill="1" applyBorder="1" applyAlignment="1">
      <alignment horizontal="center" vertical="center"/>
    </xf>
    <xf numFmtId="4" fontId="280" fillId="6" borderId="212" xfId="0" applyNumberFormat="1" applyFont="1" applyFill="1" applyBorder="1" applyAlignment="1">
      <alignment horizontal="right" vertical="center" wrapText="1"/>
    </xf>
    <xf numFmtId="0" fontId="187" fillId="6" borderId="213" xfId="0" applyFont="1" applyFill="1" applyBorder="1" applyAlignment="1">
      <alignment horizontal="center" vertical="center"/>
    </xf>
    <xf numFmtId="0" fontId="168" fillId="0" borderId="0" xfId="0" applyFont="1"/>
    <xf numFmtId="0" fontId="168" fillId="6" borderId="180" xfId="0" applyFont="1" applyFill="1" applyBorder="1" applyAlignment="1">
      <alignment horizontal="center"/>
    </xf>
    <xf numFmtId="0" fontId="168" fillId="6" borderId="214" xfId="0" applyFont="1" applyFill="1" applyBorder="1" applyAlignment="1">
      <alignment horizontal="left"/>
    </xf>
    <xf numFmtId="0" fontId="168" fillId="6" borderId="143" xfId="0" applyFont="1" applyFill="1" applyBorder="1" applyAlignment="1">
      <alignment wrapText="1"/>
    </xf>
    <xf numFmtId="0" fontId="279" fillId="6" borderId="143" xfId="0" applyFont="1" applyFill="1" applyBorder="1" applyAlignment="1">
      <alignment horizontal="center" vertical="center"/>
    </xf>
    <xf numFmtId="4" fontId="280" fillId="6" borderId="143" xfId="0" applyNumberFormat="1" applyFont="1" applyFill="1" applyBorder="1" applyAlignment="1">
      <alignment horizontal="right" vertical="center" wrapText="1"/>
    </xf>
    <xf numFmtId="0" fontId="85" fillId="6" borderId="215" xfId="0" applyFont="1" applyFill="1" applyBorder="1" applyAlignment="1">
      <alignment horizontal="left" vertical="center"/>
    </xf>
    <xf numFmtId="3" fontId="280" fillId="6" borderId="143" xfId="0" applyNumberFormat="1" applyFont="1" applyFill="1" applyBorder="1" applyAlignment="1">
      <alignment horizontal="right" vertical="center"/>
    </xf>
    <xf numFmtId="0" fontId="0" fillId="6" borderId="215" xfId="0" applyFill="1" applyBorder="1"/>
    <xf numFmtId="0" fontId="266" fillId="0" borderId="0" xfId="0" applyFont="1" applyAlignment="1">
      <alignment vertical="center"/>
    </xf>
    <xf numFmtId="0" fontId="168" fillId="6" borderId="180" xfId="0" applyFont="1" applyFill="1" applyBorder="1" applyAlignment="1">
      <alignment horizontal="center" vertical="center"/>
    </xf>
    <xf numFmtId="0" fontId="168" fillId="6" borderId="184" xfId="0" applyFont="1" applyFill="1" applyBorder="1" applyAlignment="1">
      <alignment horizontal="center" vertical="center"/>
    </xf>
    <xf numFmtId="0" fontId="281" fillId="6" borderId="0" xfId="0" applyFont="1" applyFill="1" applyAlignment="1">
      <alignment horizontal="right" vertical="top"/>
    </xf>
    <xf numFmtId="0" fontId="281" fillId="6" borderId="0" xfId="0" applyFont="1" applyFill="1" applyAlignment="1">
      <alignment vertical="top"/>
    </xf>
    <xf numFmtId="3" fontId="280" fillId="6" borderId="143" xfId="0" applyNumberFormat="1" applyFont="1" applyFill="1" applyBorder="1" applyAlignment="1">
      <alignment horizontal="right" vertical="center" wrapText="1"/>
    </xf>
    <xf numFmtId="0" fontId="18" fillId="0" borderId="194" xfId="0" applyFont="1" applyBorder="1"/>
    <xf numFmtId="0" fontId="65" fillId="0" borderId="195" xfId="0" applyFont="1" applyBorder="1" applyAlignment="1">
      <alignment horizontal="left"/>
    </xf>
    <xf numFmtId="0" fontId="65" fillId="0" borderId="195" xfId="0" applyFont="1" applyBorder="1" applyAlignment="1">
      <alignment horizontal="center" vertical="center"/>
    </xf>
    <xf numFmtId="0" fontId="0" fillId="0" borderId="195" xfId="0" applyBorder="1" applyAlignment="1">
      <alignment vertical="center"/>
    </xf>
    <xf numFmtId="0" fontId="12" fillId="0" borderId="195" xfId="0" applyFont="1" applyBorder="1"/>
    <xf numFmtId="0" fontId="15" fillId="0" borderId="195" xfId="0" applyFont="1" applyBorder="1" applyAlignment="1">
      <alignment vertical="center"/>
    </xf>
    <xf numFmtId="0" fontId="41" fillId="0" borderId="195" xfId="0" applyFont="1" applyBorder="1" applyAlignment="1">
      <alignment horizontal="center" vertical="top"/>
    </xf>
    <xf numFmtId="0" fontId="55" fillId="0" borderId="195" xfId="0" applyFont="1" applyBorder="1"/>
    <xf numFmtId="0" fontId="55" fillId="0" borderId="196" xfId="0" applyFont="1" applyBorder="1" applyAlignment="1">
      <alignment horizontal="center"/>
    </xf>
    <xf numFmtId="0" fontId="18" fillId="0" borderId="197" xfId="0" applyFont="1" applyBorder="1"/>
    <xf numFmtId="0" fontId="55" fillId="0" borderId="198" xfId="0" applyFont="1" applyBorder="1" applyAlignment="1">
      <alignment horizontal="center"/>
    </xf>
    <xf numFmtId="0" fontId="18" fillId="0" borderId="197" xfId="0" applyFont="1" applyBorder="1" applyAlignment="1">
      <alignment vertical="center"/>
    </xf>
    <xf numFmtId="14" fontId="85" fillId="6" borderId="178" xfId="0" applyNumberFormat="1" applyFont="1" applyFill="1" applyBorder="1" applyAlignment="1">
      <alignment horizontal="center" vertical="center"/>
    </xf>
    <xf numFmtId="0" fontId="48" fillId="0" borderId="0" xfId="0" applyFont="1" applyAlignment="1">
      <alignment horizontal="left" vertical="center"/>
    </xf>
    <xf numFmtId="0" fontId="55" fillId="0" borderId="198" xfId="0" applyFont="1" applyBorder="1" applyAlignment="1">
      <alignment horizontal="center" vertical="center"/>
    </xf>
    <xf numFmtId="0" fontId="55" fillId="0" borderId="197" xfId="0" applyFont="1" applyBorder="1" applyAlignment="1">
      <alignment horizontal="center" vertical="center"/>
    </xf>
    <xf numFmtId="0" fontId="273" fillId="6" borderId="180" xfId="0" applyFont="1" applyFill="1" applyBorder="1" applyAlignment="1">
      <alignment horizontal="right" vertical="center"/>
    </xf>
    <xf numFmtId="4" fontId="274" fillId="6" borderId="181" xfId="0" applyNumberFormat="1" applyFont="1" applyFill="1" applyBorder="1" applyAlignment="1">
      <alignment horizontal="right" vertical="center"/>
    </xf>
    <xf numFmtId="14" fontId="18" fillId="0" borderId="197" xfId="0" applyNumberFormat="1" applyFont="1" applyBorder="1" applyAlignment="1">
      <alignment horizontal="center" vertical="center"/>
    </xf>
    <xf numFmtId="0" fontId="152" fillId="0" borderId="142" xfId="0" applyFont="1" applyBorder="1"/>
    <xf numFmtId="0" fontId="48" fillId="0" borderId="142" xfId="0" applyFont="1" applyBorder="1"/>
    <xf numFmtId="0" fontId="51" fillId="0" borderId="142" xfId="0" applyFont="1" applyBorder="1" applyAlignment="1">
      <alignment wrapText="1"/>
    </xf>
    <xf numFmtId="0" fontId="67" fillId="0" borderId="142" xfId="0" applyFont="1" applyBorder="1" applyAlignment="1">
      <alignment vertical="center"/>
    </xf>
    <xf numFmtId="0" fontId="8" fillId="0" borderId="143" xfId="0" applyFont="1" applyBorder="1" applyAlignment="1">
      <alignment vertical="center"/>
    </xf>
    <xf numFmtId="0" fontId="46" fillId="0" borderId="143" xfId="0" applyFont="1" applyBorder="1"/>
    <xf numFmtId="0" fontId="51" fillId="0" borderId="143" xfId="0" applyFont="1" applyBorder="1" applyAlignment="1">
      <alignment horizontal="center"/>
    </xf>
    <xf numFmtId="0" fontId="70" fillId="0" borderId="143" xfId="0" applyFont="1" applyBorder="1" applyAlignment="1">
      <alignment wrapText="1"/>
    </xf>
    <xf numFmtId="0" fontId="67" fillId="0" borderId="143" xfId="0" applyFont="1" applyBorder="1" applyAlignment="1">
      <alignment vertical="center"/>
    </xf>
    <xf numFmtId="0" fontId="47" fillId="0" borderId="143" xfId="0" applyFont="1" applyBorder="1" applyAlignment="1">
      <alignment vertical="center"/>
    </xf>
    <xf numFmtId="0" fontId="47" fillId="0" borderId="143" xfId="0" applyFont="1" applyBorder="1"/>
    <xf numFmtId="0" fontId="70" fillId="0" borderId="143" xfId="0" applyFont="1" applyBorder="1" applyAlignment="1">
      <alignment horizontal="center"/>
    </xf>
    <xf numFmtId="0" fontId="0" fillId="0" borderId="143" xfId="0" applyBorder="1" applyAlignment="1">
      <alignment horizontal="center" vertical="center" wrapText="1"/>
    </xf>
    <xf numFmtId="0" fontId="272" fillId="0" borderId="143" xfId="0" applyFont="1" applyBorder="1" applyAlignment="1">
      <alignment horizontal="left" vertical="center"/>
    </xf>
    <xf numFmtId="167" fontId="152" fillId="0" borderId="0" xfId="0" applyNumberFormat="1" applyFont="1" applyAlignment="1">
      <alignment vertical="center" wrapText="1"/>
    </xf>
    <xf numFmtId="0" fontId="75" fillId="0" borderId="0" xfId="0" applyFont="1" applyAlignment="1">
      <alignment horizontal="left" vertical="top"/>
    </xf>
    <xf numFmtId="0" fontId="75" fillId="6" borderId="142" xfId="0" applyFont="1" applyFill="1" applyBorder="1" applyAlignment="1">
      <alignment horizontal="left" vertical="center"/>
    </xf>
    <xf numFmtId="0" fontId="275" fillId="6" borderId="142" xfId="0" applyFont="1" applyFill="1" applyBorder="1" applyAlignment="1">
      <alignment horizontal="center" vertical="center"/>
    </xf>
    <xf numFmtId="4" fontId="92" fillId="6" borderId="142" xfId="0" applyNumberFormat="1" applyFont="1" applyFill="1" applyBorder="1" applyAlignment="1">
      <alignment horizontal="right" vertical="center" wrapText="1"/>
    </xf>
    <xf numFmtId="0" fontId="75" fillId="6" borderId="143" xfId="0" applyFont="1" applyFill="1" applyBorder="1" applyAlignment="1">
      <alignment horizontal="left" vertical="center"/>
    </xf>
    <xf numFmtId="4" fontId="92" fillId="6" borderId="143" xfId="0" applyNumberFormat="1" applyFont="1" applyFill="1" applyBorder="1" applyAlignment="1">
      <alignment horizontal="right" vertical="center" wrapText="1"/>
    </xf>
    <xf numFmtId="14" fontId="18" fillId="0" borderId="199" xfId="0" applyNumberFormat="1" applyFont="1" applyBorder="1" applyAlignment="1">
      <alignment horizontal="center" vertical="center"/>
    </xf>
    <xf numFmtId="0" fontId="75" fillId="0" borderId="203" xfId="0" applyFont="1" applyBorder="1" applyAlignment="1">
      <alignment vertical="top" wrapText="1"/>
    </xf>
    <xf numFmtId="0" fontId="75" fillId="6" borderId="0" xfId="0" applyFont="1" applyFill="1" applyAlignment="1">
      <alignment horizontal="left" vertical="center"/>
    </xf>
    <xf numFmtId="0" fontId="275" fillId="6" borderId="0" xfId="0" applyFont="1" applyFill="1" applyAlignment="1">
      <alignment horizontal="center" vertical="center"/>
    </xf>
    <xf numFmtId="4" fontId="92" fillId="6" borderId="0" xfId="0" applyNumberFormat="1" applyFont="1" applyFill="1" applyAlignment="1">
      <alignment horizontal="right" vertical="center" wrapText="1"/>
    </xf>
    <xf numFmtId="0" fontId="55" fillId="0" borderId="200" xfId="0" applyFont="1" applyBorder="1" applyAlignment="1">
      <alignment horizontal="center" vertical="center"/>
    </xf>
    <xf numFmtId="0" fontId="47" fillId="0" borderId="175" xfId="0" applyFont="1" applyBorder="1" applyAlignment="1">
      <alignment horizontal="center" vertical="center"/>
    </xf>
    <xf numFmtId="172" fontId="41" fillId="0" borderId="175" xfId="0" applyNumberFormat="1" applyFont="1" applyBorder="1" applyAlignment="1">
      <alignment horizontal="left"/>
    </xf>
    <xf numFmtId="172" fontId="64" fillId="0" borderId="175" xfId="0" applyNumberFormat="1" applyFont="1" applyBorder="1" applyAlignment="1">
      <alignment horizontal="left"/>
    </xf>
    <xf numFmtId="1" fontId="56" fillId="0" borderId="175" xfId="0" applyNumberFormat="1" applyFont="1" applyBorder="1" applyAlignment="1">
      <alignment horizontal="center"/>
    </xf>
    <xf numFmtId="0" fontId="41" fillId="0" borderId="175" xfId="0" applyFont="1" applyBorder="1" applyAlignment="1">
      <alignment horizontal="center"/>
    </xf>
    <xf numFmtId="0" fontId="55" fillId="0" borderId="175" xfId="0" applyFont="1" applyBorder="1" applyAlignment="1">
      <alignment horizontal="center" vertical="center" wrapText="1"/>
    </xf>
    <xf numFmtId="183" fontId="55" fillId="0" borderId="0" xfId="0" applyNumberFormat="1" applyFont="1"/>
    <xf numFmtId="0" fontId="152" fillId="0" borderId="0" xfId="0" applyFont="1"/>
    <xf numFmtId="0" fontId="276" fillId="6" borderId="180" xfId="0" applyFont="1" applyFill="1" applyBorder="1" applyAlignment="1">
      <alignment horizontal="right" vertical="center"/>
    </xf>
    <xf numFmtId="4" fontId="277" fillId="6" borderId="181" xfId="0" applyNumberFormat="1" applyFont="1" applyFill="1" applyBorder="1" applyAlignment="1">
      <alignment horizontal="right" vertical="center"/>
    </xf>
    <xf numFmtId="0" fontId="152" fillId="0" borderId="142" xfId="0" applyFont="1" applyBorder="1" applyAlignment="1">
      <alignment vertical="center"/>
    </xf>
    <xf numFmtId="0" fontId="46" fillId="0" borderId="142" xfId="0" applyFont="1" applyBorder="1" applyAlignment="1">
      <alignment vertical="center"/>
    </xf>
    <xf numFmtId="0" fontId="51" fillId="0" borderId="142" xfId="0" applyFont="1" applyBorder="1" applyAlignment="1">
      <alignment horizontal="center" vertical="center"/>
    </xf>
    <xf numFmtId="0" fontId="51" fillId="0" borderId="142" xfId="0" applyFont="1" applyBorder="1" applyAlignment="1">
      <alignment vertical="center" wrapText="1"/>
    </xf>
    <xf numFmtId="0" fontId="75" fillId="0" borderId="143" xfId="0" applyFont="1" applyBorder="1" applyAlignment="1">
      <alignment vertical="center"/>
    </xf>
    <xf numFmtId="0" fontId="75" fillId="0" borderId="143" xfId="0" applyFont="1" applyBorder="1" applyAlignment="1">
      <alignment horizontal="center" vertical="center"/>
    </xf>
    <xf numFmtId="1" fontId="0" fillId="0" borderId="143" xfId="0" applyNumberFormat="1" applyBorder="1" applyAlignment="1">
      <alignment vertical="center"/>
    </xf>
    <xf numFmtId="0" fontId="55" fillId="0" borderId="143" xfId="0" applyFont="1" applyBorder="1" applyAlignment="1">
      <alignment vertical="center"/>
    </xf>
    <xf numFmtId="0" fontId="278" fillId="0" borderId="143" xfId="0" applyFont="1" applyBorder="1" applyAlignment="1">
      <alignment horizontal="center" vertical="center"/>
    </xf>
    <xf numFmtId="0" fontId="70" fillId="0" borderId="143" xfId="0" applyFont="1" applyBorder="1" applyAlignment="1">
      <alignment vertical="center" wrapText="1"/>
    </xf>
    <xf numFmtId="0" fontId="39" fillId="0" borderId="143" xfId="0" applyFont="1" applyBorder="1" applyAlignment="1">
      <alignment horizontal="left" vertical="center"/>
    </xf>
    <xf numFmtId="0" fontId="152" fillId="0" borderId="143" xfId="0" applyFont="1" applyBorder="1" applyAlignment="1">
      <alignment horizontal="left" vertical="center"/>
    </xf>
    <xf numFmtId="0" fontId="75" fillId="0" borderId="0" xfId="0" applyFont="1" applyAlignment="1">
      <alignment horizontal="center" vertical="center" wrapText="1"/>
    </xf>
    <xf numFmtId="0" fontId="216" fillId="6" borderId="142" xfId="0" applyFont="1" applyFill="1" applyBorder="1" applyAlignment="1">
      <alignment horizontal="center" vertical="center"/>
    </xf>
    <xf numFmtId="4" fontId="127" fillId="6" borderId="142" xfId="0" applyNumberFormat="1" applyFont="1" applyFill="1" applyBorder="1" applyAlignment="1">
      <alignment horizontal="right" vertical="center" wrapText="1"/>
    </xf>
    <xf numFmtId="4" fontId="127" fillId="6" borderId="143" xfId="0" applyNumberFormat="1" applyFont="1" applyFill="1" applyBorder="1" applyAlignment="1">
      <alignment horizontal="right" vertical="center" wrapText="1"/>
    </xf>
    <xf numFmtId="0" fontId="216" fillId="6" borderId="0" xfId="0" applyFont="1" applyFill="1" applyAlignment="1">
      <alignment horizontal="center" vertical="center"/>
    </xf>
    <xf numFmtId="4" fontId="127" fillId="6" borderId="0" xfId="0" applyNumberFormat="1" applyFont="1" applyFill="1" applyAlignment="1">
      <alignment horizontal="right" vertical="center" wrapText="1"/>
    </xf>
    <xf numFmtId="0" fontId="97" fillId="0" borderId="177" xfId="0" applyFont="1" applyBorder="1" applyAlignment="1">
      <alignment horizontal="center" vertical="center"/>
    </xf>
    <xf numFmtId="0" fontId="54" fillId="0" borderId="142" xfId="0" applyFont="1" applyBorder="1" applyAlignment="1">
      <alignment vertical="center"/>
    </xf>
    <xf numFmtId="0" fontId="75" fillId="0" borderId="142" xfId="0" applyFont="1" applyBorder="1" applyAlignment="1">
      <alignment horizontal="center" vertical="center" wrapText="1"/>
    </xf>
    <xf numFmtId="0" fontId="75" fillId="0" borderId="201" xfId="0" applyFont="1" applyBorder="1" applyAlignment="1">
      <alignment horizontal="center" vertical="center" wrapText="1"/>
    </xf>
    <xf numFmtId="0" fontId="47" fillId="0" borderId="202" xfId="0" applyFont="1" applyBorder="1" applyAlignment="1">
      <alignment horizontal="center" vertical="center"/>
    </xf>
    <xf numFmtId="0" fontId="41" fillId="0" borderId="203" xfId="0" applyFont="1" applyBorder="1" applyAlignment="1">
      <alignment horizontal="center" vertical="center" wrapText="1"/>
    </xf>
    <xf numFmtId="0" fontId="47" fillId="0" borderId="0" xfId="0" applyFont="1" applyAlignment="1">
      <alignment horizontal="right" vertical="center" wrapText="1"/>
    </xf>
    <xf numFmtId="0" fontId="47" fillId="0" borderId="216" xfId="0" applyFont="1" applyBorder="1" applyAlignment="1">
      <alignment horizontal="center" vertical="center" wrapText="1"/>
    </xf>
    <xf numFmtId="4" fontId="168" fillId="0" borderId="0" xfId="0" applyNumberFormat="1" applyFont="1" applyAlignment="1">
      <alignment horizontal="right" vertical="center"/>
    </xf>
    <xf numFmtId="168" fontId="85" fillId="0" borderId="0" xfId="0" applyNumberFormat="1" applyFont="1" applyAlignment="1">
      <alignment horizontal="left" vertical="center"/>
    </xf>
    <xf numFmtId="0" fontId="289" fillId="9" borderId="228" xfId="0" applyFont="1" applyFill="1" applyBorder="1" applyAlignment="1">
      <alignment horizontal="center"/>
    </xf>
    <xf numFmtId="0" fontId="289" fillId="9" borderId="0" xfId="0" applyFont="1" applyFill="1" applyAlignment="1">
      <alignment horizontal="center"/>
    </xf>
    <xf numFmtId="0" fontId="8" fillId="0" borderId="50" xfId="0" applyFont="1" applyBorder="1" applyAlignment="1">
      <alignment horizontal="left" vertical="center"/>
    </xf>
    <xf numFmtId="180" fontId="47" fillId="0" borderId="52" xfId="0" applyNumberFormat="1" applyFont="1" applyBorder="1" applyAlignment="1">
      <alignment vertical="center"/>
    </xf>
    <xf numFmtId="0" fontId="54" fillId="9" borderId="0" xfId="0" applyFont="1" applyFill="1" applyAlignment="1">
      <alignment horizontal="center" vertical="top"/>
    </xf>
    <xf numFmtId="180" fontId="289" fillId="9" borderId="228" xfId="0" applyNumberFormat="1" applyFont="1" applyFill="1" applyBorder="1" applyAlignment="1">
      <alignment horizontal="center"/>
    </xf>
    <xf numFmtId="180" fontId="290" fillId="9" borderId="229" xfId="0" applyNumberFormat="1" applyFont="1" applyFill="1" applyBorder="1" applyAlignment="1">
      <alignment horizontal="center" vertical="top"/>
    </xf>
    <xf numFmtId="0" fontId="8" fillId="0" borderId="51" xfId="0" applyFont="1" applyBorder="1" applyAlignment="1">
      <alignment horizontal="left" vertical="center"/>
    </xf>
    <xf numFmtId="0" fontId="8" fillId="0" borderId="26" xfId="0" applyFont="1" applyBorder="1" applyAlignment="1">
      <alignment horizontal="left" vertical="center"/>
    </xf>
    <xf numFmtId="0" fontId="8" fillId="0" borderId="27" xfId="0" applyFont="1" applyBorder="1" applyAlignment="1">
      <alignment horizontal="center" vertical="center"/>
    </xf>
    <xf numFmtId="0" fontId="8" fillId="0" borderId="27" xfId="0" applyFont="1" applyBorder="1" applyAlignment="1">
      <alignment horizontal="left" vertical="center"/>
    </xf>
    <xf numFmtId="180" fontId="47" fillId="0" borderId="27" xfId="0" applyNumberFormat="1" applyFont="1" applyBorder="1" applyAlignment="1">
      <alignment vertical="center"/>
    </xf>
    <xf numFmtId="180" fontId="47" fillId="0" borderId="28" xfId="0" applyNumberFormat="1" applyFont="1" applyBorder="1" applyAlignment="1">
      <alignment vertical="center"/>
    </xf>
    <xf numFmtId="180" fontId="0" fillId="0" borderId="52" xfId="0" applyNumberFormat="1" applyBorder="1"/>
    <xf numFmtId="0" fontId="211" fillId="0" borderId="31" xfId="0" applyFont="1" applyBorder="1" applyAlignment="1">
      <alignment vertical="center" wrapText="1"/>
    </xf>
    <xf numFmtId="0" fontId="47" fillId="4" borderId="66" xfId="0" applyFont="1" applyFill="1" applyBorder="1" applyAlignment="1">
      <alignment vertical="center"/>
    </xf>
    <xf numFmtId="0" fontId="71" fillId="9" borderId="67" xfId="0" applyFont="1" applyFill="1" applyBorder="1" applyAlignment="1">
      <alignment horizontal="center" vertical="center"/>
    </xf>
    <xf numFmtId="0" fontId="38" fillId="0" borderId="67" xfId="0" applyFont="1" applyBorder="1" applyAlignment="1">
      <alignment horizontal="left" vertical="center"/>
    </xf>
    <xf numFmtId="0" fontId="0" fillId="0" borderId="67" xfId="0" applyBorder="1"/>
    <xf numFmtId="0" fontId="85" fillId="0" borderId="0" xfId="0" applyFont="1" applyAlignment="1">
      <alignment horizontal="centerContinuous" vertical="center"/>
    </xf>
    <xf numFmtId="0" fontId="0" fillId="0" borderId="67" xfId="0" applyBorder="1" applyAlignment="1">
      <alignment horizontal="left"/>
    </xf>
    <xf numFmtId="49" fontId="217" fillId="0" borderId="0" xfId="0" applyNumberFormat="1" applyFont="1" applyAlignment="1">
      <alignment horizontal="left" vertical="center"/>
    </xf>
    <xf numFmtId="22" fontId="75" fillId="0" borderId="0" xfId="0" applyNumberFormat="1" applyFont="1" applyAlignment="1">
      <alignment horizontal="left" vertical="center"/>
    </xf>
    <xf numFmtId="0" fontId="94" fillId="0" borderId="0" xfId="0" applyFont="1" applyAlignment="1">
      <alignment horizontal="left" vertical="center" indent="15"/>
    </xf>
    <xf numFmtId="0" fontId="58" fillId="5" borderId="159" xfId="0" applyFont="1" applyFill="1" applyBorder="1" applyAlignment="1">
      <alignment horizontal="center" vertical="center"/>
    </xf>
    <xf numFmtId="0" fontId="190" fillId="5" borderId="121" xfId="0" applyFont="1" applyFill="1" applyBorder="1" applyAlignment="1">
      <alignment horizontal="center" vertical="center"/>
    </xf>
    <xf numFmtId="0" fontId="190" fillId="5" borderId="121" xfId="0" applyFont="1" applyFill="1" applyBorder="1" applyAlignment="1">
      <alignment horizontal="center" vertical="center" wrapText="1"/>
    </xf>
    <xf numFmtId="0" fontId="137" fillId="0" borderId="0" xfId="0" applyFont="1" applyAlignment="1">
      <alignment horizontal="centerContinuous" vertical="top"/>
    </xf>
    <xf numFmtId="0" fontId="190" fillId="5" borderId="123" xfId="0" applyFont="1" applyFill="1" applyBorder="1" applyAlignment="1">
      <alignment horizontal="center" vertical="center"/>
    </xf>
    <xf numFmtId="2" fontId="47" fillId="0" borderId="52" xfId="0" applyNumberFormat="1" applyFont="1" applyBorder="1" applyAlignment="1">
      <alignment horizontal="center" vertical="center"/>
    </xf>
    <xf numFmtId="0" fontId="75" fillId="0" borderId="51" xfId="0" applyFont="1" applyBorder="1" applyAlignment="1">
      <alignment horizontal="left" vertical="center"/>
    </xf>
    <xf numFmtId="0" fontId="75" fillId="0" borderId="52" xfId="0" applyFont="1" applyBorder="1" applyAlignment="1">
      <alignment horizontal="left" vertical="center"/>
    </xf>
    <xf numFmtId="182" fontId="43" fillId="0" borderId="0" xfId="0" applyNumberFormat="1" applyFont="1" applyProtection="1">
      <protection locked="0"/>
    </xf>
    <xf numFmtId="182" fontId="113" fillId="0" borderId="0" xfId="0" applyNumberFormat="1" applyFont="1" applyAlignment="1" applyProtection="1">
      <alignment vertical="center"/>
      <protection locked="0"/>
    </xf>
    <xf numFmtId="182" fontId="113" fillId="0" borderId="0" xfId="0" applyNumberFormat="1" applyFont="1" applyAlignment="1" applyProtection="1">
      <alignment horizontal="center" vertical="center"/>
      <protection locked="0"/>
    </xf>
    <xf numFmtId="182" fontId="43" fillId="0" borderId="0" xfId="0" applyNumberFormat="1" applyFont="1" applyAlignment="1" applyProtection="1">
      <alignment horizontal="center" vertical="center"/>
      <protection locked="0"/>
    </xf>
    <xf numFmtId="182" fontId="221" fillId="9" borderId="34" xfId="0" applyNumberFormat="1" applyFont="1" applyFill="1" applyBorder="1" applyAlignment="1" applyProtection="1">
      <alignment horizontal="centerContinuous" vertical="center"/>
      <protection locked="0"/>
    </xf>
    <xf numFmtId="182" fontId="54" fillId="9" borderId="47" xfId="0" applyNumberFormat="1" applyFont="1" applyFill="1" applyBorder="1" applyAlignment="1" applyProtection="1">
      <alignment horizontal="centerContinuous" vertical="center"/>
      <protection locked="0"/>
    </xf>
    <xf numFmtId="186" fontId="43" fillId="0" borderId="0" xfId="0" applyNumberFormat="1" applyFont="1" applyProtection="1">
      <protection locked="0"/>
    </xf>
    <xf numFmtId="186" fontId="43" fillId="0" borderId="0" xfId="0" applyNumberFormat="1" applyFont="1" applyAlignment="1" applyProtection="1">
      <alignment horizontal="center" vertical="center"/>
      <protection locked="0"/>
    </xf>
    <xf numFmtId="186" fontId="216" fillId="6" borderId="34" xfId="0" applyNumberFormat="1" applyFont="1" applyFill="1" applyBorder="1" applyAlignment="1" applyProtection="1">
      <alignment horizontal="center" vertical="center"/>
      <protection locked="0"/>
    </xf>
    <xf numFmtId="186" fontId="84" fillId="6" borderId="35" xfId="0" applyNumberFormat="1" applyFont="1" applyFill="1" applyBorder="1" applyAlignment="1" applyProtection="1">
      <alignment horizontal="center" vertical="top"/>
      <protection locked="0"/>
    </xf>
    <xf numFmtId="186" fontId="38" fillId="0" borderId="0" xfId="0" applyNumberFormat="1" applyFont="1" applyAlignment="1" applyProtection="1">
      <alignment horizontal="center" vertical="center"/>
      <protection locked="0"/>
    </xf>
    <xf numFmtId="186" fontId="43" fillId="0" borderId="0" xfId="0" applyNumberFormat="1" applyFont="1" applyAlignment="1" applyProtection="1">
      <alignment horizontal="center"/>
      <protection locked="0"/>
    </xf>
    <xf numFmtId="186" fontId="38" fillId="0" borderId="0" xfId="0" applyNumberFormat="1" applyFont="1" applyAlignment="1" applyProtection="1">
      <alignment horizontal="center"/>
      <protection locked="0"/>
    </xf>
    <xf numFmtId="0" fontId="47" fillId="12" borderId="82" xfId="0" applyFont="1" applyFill="1" applyBorder="1" applyAlignment="1">
      <alignment horizontal="center" vertical="center"/>
    </xf>
    <xf numFmtId="0" fontId="75" fillId="12" borderId="82" xfId="0" applyFont="1" applyFill="1" applyBorder="1" applyAlignment="1">
      <alignment horizontal="left" vertical="center"/>
    </xf>
    <xf numFmtId="0" fontId="75" fillId="12" borderId="67" xfId="0" applyFont="1" applyFill="1" applyBorder="1" applyAlignment="1">
      <alignment vertical="center"/>
    </xf>
    <xf numFmtId="49" fontId="75" fillId="12" borderId="67" xfId="0" applyNumberFormat="1" applyFont="1" applyFill="1" applyBorder="1" applyAlignment="1">
      <alignment horizontal="left" vertical="center"/>
    </xf>
    <xf numFmtId="168" fontId="0" fillId="0" borderId="0" xfId="0" applyNumberFormat="1"/>
    <xf numFmtId="180" fontId="292" fillId="0" borderId="0" xfId="0" applyNumberFormat="1" applyFont="1" applyAlignment="1">
      <alignment horizontal="center" vertical="center"/>
    </xf>
    <xf numFmtId="180" fontId="293" fillId="0" borderId="0" xfId="0" applyNumberFormat="1" applyFont="1" applyAlignment="1">
      <alignment horizontal="center" vertical="center"/>
    </xf>
    <xf numFmtId="0" fontId="208" fillId="0" borderId="0" xfId="0" applyFont="1"/>
    <xf numFmtId="0" fontId="133" fillId="0" borderId="0" xfId="0" applyFont="1" applyAlignment="1">
      <alignment horizontal="left"/>
    </xf>
    <xf numFmtId="0" fontId="294" fillId="0" borderId="0" xfId="0" applyFont="1" applyAlignment="1">
      <alignment horizontal="left"/>
    </xf>
    <xf numFmtId="0" fontId="136" fillId="0" borderId="0" xfId="0" applyFont="1"/>
    <xf numFmtId="0" fontId="295" fillId="0" borderId="0" xfId="0" applyFont="1" applyAlignment="1">
      <alignment horizontal="center" vertical="center"/>
    </xf>
    <xf numFmtId="180" fontId="47" fillId="0" borderId="51" xfId="0" applyNumberFormat="1" applyFont="1" applyBorder="1" applyAlignment="1">
      <alignment vertical="center"/>
    </xf>
    <xf numFmtId="0" fontId="47" fillId="3" borderId="67" xfId="0" applyFont="1" applyFill="1" applyBorder="1" applyAlignment="1">
      <alignment horizontal="center" vertical="center"/>
    </xf>
    <xf numFmtId="0" fontId="47" fillId="3" borderId="0" xfId="0" applyFont="1" applyFill="1" applyAlignment="1">
      <alignment horizontal="center" vertical="center"/>
    </xf>
    <xf numFmtId="0" fontId="47" fillId="3" borderId="140" xfId="0" applyFont="1" applyFill="1" applyBorder="1" applyAlignment="1">
      <alignment horizontal="center" vertical="center"/>
    </xf>
    <xf numFmtId="0" fontId="75" fillId="3" borderId="0" xfId="0" applyFont="1" applyFill="1" applyAlignment="1">
      <alignment horizontal="left" vertical="center"/>
    </xf>
    <xf numFmtId="0" fontId="211" fillId="3" borderId="0" xfId="0" applyFont="1" applyFill="1" applyAlignment="1">
      <alignment horizontal="left" vertical="center"/>
    </xf>
    <xf numFmtId="0" fontId="211" fillId="3" borderId="0" xfId="0" applyFont="1" applyFill="1" applyAlignment="1">
      <alignment horizontal="center" vertical="center"/>
    </xf>
    <xf numFmtId="0" fontId="211" fillId="3" borderId="67" xfId="0" applyFont="1" applyFill="1" applyBorder="1" applyAlignment="1">
      <alignment horizontal="center" vertical="center"/>
    </xf>
    <xf numFmtId="0" fontId="75" fillId="3" borderId="67" xfId="0" applyFont="1" applyFill="1" applyBorder="1" applyAlignment="1">
      <alignment vertical="center"/>
    </xf>
    <xf numFmtId="0" fontId="75" fillId="3" borderId="67" xfId="0" applyFont="1" applyFill="1" applyBorder="1" applyAlignment="1">
      <alignment horizontal="center" vertical="center"/>
    </xf>
    <xf numFmtId="0" fontId="75" fillId="3" borderId="0" xfId="0" applyFont="1" applyFill="1" applyAlignment="1">
      <alignment vertical="center"/>
    </xf>
    <xf numFmtId="0" fontId="75" fillId="3" borderId="0" xfId="0" applyFont="1" applyFill="1" applyAlignment="1">
      <alignment horizontal="center" vertical="center"/>
    </xf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180" fontId="47" fillId="0" borderId="231" xfId="0" applyNumberFormat="1" applyFont="1" applyBorder="1" applyAlignment="1">
      <alignment vertical="center"/>
    </xf>
    <xf numFmtId="180" fontId="47" fillId="0" borderId="232" xfId="0" applyNumberFormat="1" applyFont="1" applyBorder="1" applyAlignment="1">
      <alignment vertical="center"/>
    </xf>
    <xf numFmtId="180" fontId="0" fillId="0" borderId="51" xfId="0" applyNumberFormat="1" applyBorder="1"/>
    <xf numFmtId="0" fontId="54" fillId="9" borderId="233" xfId="0" applyFont="1" applyFill="1" applyBorder="1" applyAlignment="1">
      <alignment horizontal="center" vertical="top"/>
    </xf>
    <xf numFmtId="180" fontId="54" fillId="9" borderId="233" xfId="0" applyNumberFormat="1" applyFont="1" applyFill="1" applyBorder="1" applyAlignment="1">
      <alignment horizontal="center" vertical="top"/>
    </xf>
    <xf numFmtId="0" fontId="8" fillId="0" borderId="25" xfId="0" applyFont="1" applyBorder="1" applyAlignment="1">
      <alignment horizontal="left" vertical="center"/>
    </xf>
    <xf numFmtId="0" fontId="8" fillId="0" borderId="65" xfId="0" applyFont="1" applyBorder="1" applyAlignment="1">
      <alignment horizontal="left" vertical="center"/>
    </xf>
    <xf numFmtId="0" fontId="8" fillId="0" borderId="232" xfId="0" applyFont="1" applyBorder="1" applyAlignment="1">
      <alignment horizontal="left" vertical="center"/>
    </xf>
    <xf numFmtId="0" fontId="8" fillId="0" borderId="234" xfId="0" applyFont="1" applyBorder="1" applyAlignment="1">
      <alignment horizontal="left" vertical="center"/>
    </xf>
    <xf numFmtId="180" fontId="0" fillId="0" borderId="28" xfId="0" applyNumberFormat="1" applyBorder="1"/>
    <xf numFmtId="0" fontId="8" fillId="0" borderId="67" xfId="0" applyFont="1" applyBorder="1" applyAlignment="1">
      <alignment vertical="center"/>
    </xf>
    <xf numFmtId="0" fontId="286" fillId="0" borderId="0" xfId="0" applyFont="1" applyAlignment="1">
      <alignment horizontal="left" indent="18"/>
    </xf>
    <xf numFmtId="181" fontId="47" fillId="0" borderId="52" xfId="0" applyNumberFormat="1" applyFont="1" applyBorder="1" applyAlignment="1">
      <alignment horizontal="right" vertical="center"/>
    </xf>
    <xf numFmtId="181" fontId="47" fillId="0" borderId="0" xfId="0" applyNumberFormat="1" applyFont="1" applyAlignment="1">
      <alignment horizontal="right" vertical="center"/>
    </xf>
    <xf numFmtId="181" fontId="47" fillId="0" borderId="28" xfId="0" applyNumberFormat="1" applyFont="1" applyBorder="1" applyAlignment="1">
      <alignment horizontal="right" vertical="center"/>
    </xf>
    <xf numFmtId="181" fontId="47" fillId="0" borderId="67" xfId="0" applyNumberFormat="1" applyFont="1" applyBorder="1" applyAlignment="1">
      <alignment vertical="center"/>
    </xf>
    <xf numFmtId="0" fontId="47" fillId="0" borderId="65" xfId="0" applyFont="1" applyBorder="1" applyAlignment="1">
      <alignment horizontal="center" vertical="center"/>
    </xf>
    <xf numFmtId="0" fontId="47" fillId="0" borderId="28" xfId="0" applyFont="1" applyBorder="1" applyAlignment="1">
      <alignment horizontal="center" vertical="center"/>
    </xf>
    <xf numFmtId="0" fontId="47" fillId="0" borderId="27" xfId="0" applyFont="1" applyBorder="1" applyAlignment="1">
      <alignment horizontal="center" vertical="center"/>
    </xf>
    <xf numFmtId="0" fontId="47" fillId="0" borderId="234" xfId="0" applyFont="1" applyBorder="1" applyAlignment="1">
      <alignment horizontal="center" vertical="center"/>
    </xf>
    <xf numFmtId="0" fontId="47" fillId="0" borderId="50" xfId="0" applyFont="1" applyBorder="1" applyAlignment="1">
      <alignment horizontal="center" vertical="center"/>
    </xf>
    <xf numFmtId="0" fontId="47" fillId="0" borderId="28" xfId="0" applyFont="1" applyBorder="1" applyAlignment="1">
      <alignment horizontal="left" vertical="center"/>
    </xf>
    <xf numFmtId="0" fontId="47" fillId="0" borderId="232" xfId="0" applyFont="1" applyBorder="1" applyAlignment="1">
      <alignment horizontal="left" vertical="center"/>
    </xf>
    <xf numFmtId="0" fontId="47" fillId="0" borderId="51" xfId="0" applyFont="1" applyBorder="1" applyAlignment="1">
      <alignment horizontal="left" vertical="center"/>
    </xf>
    <xf numFmtId="0" fontId="296" fillId="0" borderId="0" xfId="0" applyFont="1"/>
    <xf numFmtId="0" fontId="54" fillId="5" borderId="167" xfId="0" applyFont="1" applyFill="1" applyBorder="1" applyAlignment="1">
      <alignment horizontal="center" vertical="center"/>
    </xf>
    <xf numFmtId="182" fontId="74" fillId="0" borderId="40" xfId="0" applyNumberFormat="1" applyFont="1" applyBorder="1" applyAlignment="1">
      <alignment horizontal="right" vertical="center"/>
    </xf>
    <xf numFmtId="186" fontId="46" fillId="0" borderId="40" xfId="0" applyNumberFormat="1" applyFont="1" applyBorder="1" applyAlignment="1">
      <alignment horizontal="right"/>
    </xf>
    <xf numFmtId="182" fontId="46" fillId="0" borderId="41" xfId="0" applyNumberFormat="1" applyFont="1" applyBorder="1" applyAlignment="1">
      <alignment horizontal="right"/>
    </xf>
    <xf numFmtId="186" fontId="47" fillId="0" borderId="31" xfId="0" applyNumberFormat="1" applyFont="1" applyBorder="1" applyAlignment="1">
      <alignment horizontal="center" vertical="center"/>
    </xf>
    <xf numFmtId="0" fontId="148" fillId="0" borderId="0" xfId="0" applyFont="1" applyAlignment="1">
      <alignment horizontal="center"/>
    </xf>
    <xf numFmtId="0" fontId="224" fillId="0" borderId="0" xfId="0" applyFont="1" applyAlignment="1">
      <alignment horizontal="center" vertical="top"/>
    </xf>
    <xf numFmtId="0" fontId="110" fillId="0" borderId="0" xfId="0" applyFont="1" applyAlignment="1">
      <alignment horizontal="center" vertical="top"/>
    </xf>
    <xf numFmtId="0" fontId="100" fillId="0" borderId="0" xfId="0" applyFont="1" applyAlignment="1">
      <alignment horizontal="center" vertical="top"/>
    </xf>
    <xf numFmtId="0" fontId="224" fillId="0" borderId="0" xfId="0" applyFont="1" applyAlignment="1">
      <alignment horizontal="center"/>
    </xf>
    <xf numFmtId="0" fontId="111" fillId="0" borderId="0" xfId="0" applyFont="1" applyAlignment="1">
      <alignment horizontal="center"/>
    </xf>
    <xf numFmtId="0" fontId="86" fillId="0" borderId="33" xfId="0" applyFont="1" applyBorder="1" applyAlignment="1" applyProtection="1">
      <alignment horizontal="center" vertical="center"/>
      <protection locked="0"/>
    </xf>
    <xf numFmtId="0" fontId="86" fillId="0" borderId="38" xfId="0" applyFont="1" applyBorder="1" applyAlignment="1" applyProtection="1">
      <alignment horizontal="center" vertical="center"/>
      <protection locked="0"/>
    </xf>
    <xf numFmtId="0" fontId="118" fillId="0" borderId="32" xfId="0" applyFont="1" applyBorder="1" applyAlignment="1" applyProtection="1">
      <alignment horizontal="center" vertical="top"/>
      <protection locked="0"/>
    </xf>
    <xf numFmtId="0" fontId="118" fillId="0" borderId="36" xfId="0" applyFont="1" applyBorder="1" applyAlignment="1" applyProtection="1">
      <alignment horizontal="center" vertical="top"/>
      <protection locked="0"/>
    </xf>
    <xf numFmtId="0" fontId="118" fillId="0" borderId="37" xfId="0" applyFont="1" applyBorder="1" applyAlignment="1" applyProtection="1">
      <alignment horizontal="center" vertical="top"/>
      <protection locked="0"/>
    </xf>
    <xf numFmtId="0" fontId="86" fillId="0" borderId="39" xfId="0" applyFont="1" applyBorder="1" applyAlignment="1" applyProtection="1">
      <alignment horizontal="center" vertical="center"/>
      <protection locked="0"/>
    </xf>
    <xf numFmtId="0" fontId="43" fillId="0" borderId="0" xfId="0" applyFont="1" applyAlignment="1" applyProtection="1">
      <alignment horizontal="center"/>
      <protection locked="0"/>
    </xf>
    <xf numFmtId="0" fontId="46" fillId="0" borderId="0" xfId="0" applyFont="1" applyAlignment="1" applyProtection="1">
      <alignment horizontal="right" vertical="center"/>
      <protection locked="0"/>
    </xf>
    <xf numFmtId="0" fontId="41" fillId="0" borderId="0" xfId="0" applyFont="1" applyAlignment="1" applyProtection="1">
      <alignment horizontal="left" vertical="top"/>
      <protection locked="0"/>
    </xf>
    <xf numFmtId="49" fontId="46" fillId="5" borderId="163" xfId="0" applyNumberFormat="1" applyFont="1" applyFill="1" applyBorder="1" applyAlignment="1" applyProtection="1">
      <alignment horizontal="left" vertical="top" wrapText="1"/>
      <protection locked="0"/>
    </xf>
    <xf numFmtId="49" fontId="46" fillId="5" borderId="164" xfId="0" applyNumberFormat="1" applyFont="1" applyFill="1" applyBorder="1" applyAlignment="1" applyProtection="1">
      <alignment horizontal="left" vertical="top" wrapText="1"/>
      <protection locked="0"/>
    </xf>
    <xf numFmtId="49" fontId="46" fillId="5" borderId="165" xfId="0" applyNumberFormat="1" applyFont="1" applyFill="1" applyBorder="1" applyAlignment="1" applyProtection="1">
      <alignment horizontal="left" vertical="top" wrapText="1"/>
      <protection locked="0"/>
    </xf>
    <xf numFmtId="49" fontId="46" fillId="5" borderId="166" xfId="0" applyNumberFormat="1" applyFont="1" applyFill="1" applyBorder="1" applyAlignment="1" applyProtection="1">
      <alignment horizontal="left" vertical="top" wrapText="1"/>
      <protection locked="0"/>
    </xf>
    <xf numFmtId="49" fontId="46" fillId="5" borderId="0" xfId="0" applyNumberFormat="1" applyFont="1" applyFill="1" applyAlignment="1" applyProtection="1">
      <alignment horizontal="left" vertical="top" wrapText="1"/>
      <protection locked="0"/>
    </xf>
    <xf numFmtId="49" fontId="46" fillId="5" borderId="167" xfId="0" applyNumberFormat="1" applyFont="1" applyFill="1" applyBorder="1" applyAlignment="1" applyProtection="1">
      <alignment horizontal="left" vertical="top" wrapText="1"/>
      <protection locked="0"/>
    </xf>
    <xf numFmtId="49" fontId="46" fillId="5" borderId="168" xfId="0" applyNumberFormat="1" applyFont="1" applyFill="1" applyBorder="1" applyAlignment="1" applyProtection="1">
      <alignment horizontal="left" vertical="top" wrapText="1"/>
      <protection locked="0"/>
    </xf>
    <xf numFmtId="49" fontId="46" fillId="5" borderId="169" xfId="0" applyNumberFormat="1" applyFont="1" applyFill="1" applyBorder="1" applyAlignment="1" applyProtection="1">
      <alignment horizontal="left" vertical="top" wrapText="1"/>
      <protection locked="0"/>
    </xf>
    <xf numFmtId="49" fontId="46" fillId="5" borderId="170" xfId="0" applyNumberFormat="1" applyFont="1" applyFill="1" applyBorder="1" applyAlignment="1" applyProtection="1">
      <alignment horizontal="left" vertical="top" wrapText="1"/>
      <protection locked="0"/>
    </xf>
    <xf numFmtId="0" fontId="46" fillId="0" borderId="0" xfId="0" applyFont="1" applyAlignment="1" applyProtection="1">
      <alignment horizontal="left" vertical="top"/>
      <protection locked="0"/>
    </xf>
    <xf numFmtId="0" fontId="41" fillId="0" borderId="0" xfId="0" applyFont="1" applyAlignment="1" applyProtection="1">
      <alignment horizontal="left" vertical="center"/>
      <protection locked="0"/>
    </xf>
    <xf numFmtId="0" fontId="46" fillId="5" borderId="160" xfId="0" applyFont="1" applyFill="1" applyBorder="1" applyAlignment="1" applyProtection="1">
      <alignment horizontal="left" vertical="center"/>
      <protection locked="0"/>
    </xf>
    <xf numFmtId="0" fontId="46" fillId="5" borderId="161" xfId="0" applyFont="1" applyFill="1" applyBorder="1" applyAlignment="1" applyProtection="1">
      <alignment horizontal="left" vertical="center"/>
      <protection locked="0"/>
    </xf>
    <xf numFmtId="0" fontId="46" fillId="5" borderId="162" xfId="0" applyFont="1" applyFill="1" applyBorder="1" applyAlignment="1" applyProtection="1">
      <alignment horizontal="left" vertical="center"/>
      <protection locked="0"/>
    </xf>
    <xf numFmtId="0" fontId="75" fillId="0" borderId="160" xfId="0" applyFont="1" applyBorder="1" applyAlignment="1" applyProtection="1">
      <alignment horizontal="left" vertical="center"/>
      <protection locked="0"/>
    </xf>
    <xf numFmtId="0" fontId="75" fillId="0" borderId="161" xfId="0" applyFont="1" applyBorder="1" applyAlignment="1" applyProtection="1">
      <alignment horizontal="left" vertical="center"/>
      <protection locked="0"/>
    </xf>
    <xf numFmtId="0" fontId="75" fillId="0" borderId="162" xfId="0" applyFont="1" applyBorder="1" applyAlignment="1" applyProtection="1">
      <alignment horizontal="left" vertical="center"/>
      <protection locked="0"/>
    </xf>
    <xf numFmtId="0" fontId="47" fillId="0" borderId="160" xfId="0" applyFont="1" applyBorder="1" applyAlignment="1" applyProtection="1">
      <alignment horizontal="left" vertical="center"/>
      <protection locked="0"/>
    </xf>
    <xf numFmtId="0" fontId="47" fillId="0" borderId="161" xfId="0" applyFont="1" applyBorder="1" applyAlignment="1" applyProtection="1">
      <alignment horizontal="left" vertical="center"/>
      <protection locked="0"/>
    </xf>
    <xf numFmtId="0" fontId="156" fillId="0" borderId="0" xfId="0" applyFont="1"/>
    <xf numFmtId="0" fontId="168" fillId="0" borderId="0" xfId="0" applyFont="1" applyAlignment="1">
      <alignment horizontal="right"/>
    </xf>
    <xf numFmtId="0" fontId="10" fillId="0" borderId="0" xfId="0" applyFont="1" applyAlignment="1">
      <alignment horizontal="center"/>
    </xf>
    <xf numFmtId="0" fontId="160" fillId="0" borderId="0" xfId="0" applyFont="1" applyAlignment="1">
      <alignment horizontal="left" vertical="center"/>
    </xf>
    <xf numFmtId="0" fontId="75" fillId="0" borderId="0" xfId="0" applyFont="1" applyAlignment="1">
      <alignment horizontal="left"/>
    </xf>
    <xf numFmtId="180" fontId="38" fillId="0" borderId="112" xfId="0" applyNumberFormat="1" applyFont="1" applyBorder="1" applyAlignment="1">
      <alignment horizontal="center" vertical="center"/>
    </xf>
    <xf numFmtId="180" fontId="38" fillId="0" borderId="113" xfId="0" applyNumberFormat="1" applyFont="1" applyBorder="1" applyAlignment="1">
      <alignment horizontal="center" vertical="center"/>
    </xf>
    <xf numFmtId="168" fontId="38" fillId="0" borderId="117" xfId="0" applyNumberFormat="1" applyFont="1" applyBorder="1" applyAlignment="1">
      <alignment horizontal="center"/>
    </xf>
    <xf numFmtId="168" fontId="38" fillId="0" borderId="118" xfId="0" applyNumberFormat="1" applyFont="1" applyBorder="1" applyAlignment="1">
      <alignment horizontal="center"/>
    </xf>
    <xf numFmtId="0" fontId="38" fillId="0" borderId="112" xfId="0" applyFont="1" applyBorder="1" applyAlignment="1">
      <alignment horizontal="center"/>
    </xf>
    <xf numFmtId="0" fontId="38" fillId="0" borderId="113" xfId="0" applyFont="1" applyBorder="1" applyAlignment="1">
      <alignment horizontal="center"/>
    </xf>
    <xf numFmtId="0" fontId="47" fillId="0" borderId="0" xfId="0" applyFont="1" applyAlignment="1">
      <alignment horizontal="left" vertical="top" wrapText="1"/>
    </xf>
    <xf numFmtId="168" fontId="38" fillId="0" borderId="109" xfId="0" applyNumberFormat="1" applyFont="1" applyBorder="1" applyAlignment="1">
      <alignment horizontal="center"/>
    </xf>
    <xf numFmtId="0" fontId="8" fillId="0" borderId="112" xfId="0" applyFont="1" applyBorder="1" applyAlignment="1">
      <alignment horizontal="center"/>
    </xf>
    <xf numFmtId="0" fontId="8" fillId="0" borderId="110" xfId="0" applyFont="1" applyBorder="1" applyAlignment="1">
      <alignment horizontal="center"/>
    </xf>
    <xf numFmtId="0" fontId="8" fillId="0" borderId="113" xfId="0" applyFont="1" applyBorder="1" applyAlignment="1">
      <alignment horizontal="center"/>
    </xf>
    <xf numFmtId="0" fontId="75" fillId="5" borderId="63" xfId="0" applyFont="1" applyFill="1" applyBorder="1" applyAlignment="1" applyProtection="1">
      <alignment horizontal="left" vertical="center"/>
      <protection locked="0"/>
    </xf>
    <xf numFmtId="0" fontId="75" fillId="5" borderId="55" xfId="0" applyFont="1" applyFill="1" applyBorder="1" applyAlignment="1" applyProtection="1">
      <alignment horizontal="left" vertical="center"/>
      <protection locked="0"/>
    </xf>
    <xf numFmtId="0" fontId="75" fillId="5" borderId="58" xfId="0" applyFont="1" applyFill="1" applyBorder="1" applyAlignment="1" applyProtection="1">
      <alignment horizontal="left" vertical="center"/>
      <protection locked="0"/>
    </xf>
    <xf numFmtId="168" fontId="47" fillId="5" borderId="63" xfId="0" applyNumberFormat="1" applyFont="1" applyFill="1" applyBorder="1" applyAlignment="1" applyProtection="1">
      <alignment horizontal="center" vertical="center"/>
      <protection locked="0"/>
    </xf>
    <xf numFmtId="168" fontId="47" fillId="5" borderId="58" xfId="0" applyNumberFormat="1" applyFont="1" applyFill="1" applyBorder="1" applyAlignment="1" applyProtection="1">
      <alignment horizontal="center" vertical="center"/>
      <protection locked="0"/>
    </xf>
    <xf numFmtId="180" fontId="47" fillId="5" borderId="63" xfId="0" applyNumberFormat="1" applyFont="1" applyFill="1" applyBorder="1" applyAlignment="1" applyProtection="1">
      <alignment horizontal="center" vertical="center"/>
      <protection locked="0"/>
    </xf>
    <xf numFmtId="180" fontId="47" fillId="5" borderId="58" xfId="0" applyNumberFormat="1" applyFont="1" applyFill="1" applyBorder="1" applyAlignment="1" applyProtection="1">
      <alignment horizontal="center" vertical="center"/>
      <protection locked="0"/>
    </xf>
    <xf numFmtId="0" fontId="75" fillId="5" borderId="63" xfId="0" applyFont="1" applyFill="1" applyBorder="1" applyAlignment="1" applyProtection="1">
      <alignment horizontal="center" vertical="center"/>
      <protection locked="0"/>
    </xf>
    <xf numFmtId="0" fontId="75" fillId="5" borderId="55" xfId="0" applyFont="1" applyFill="1" applyBorder="1" applyAlignment="1" applyProtection="1">
      <alignment horizontal="center" vertical="center"/>
      <protection locked="0"/>
    </xf>
    <xf numFmtId="0" fontId="75" fillId="5" borderId="58" xfId="0" applyFont="1" applyFill="1" applyBorder="1" applyAlignment="1" applyProtection="1">
      <alignment horizontal="center" vertical="center"/>
      <protection locked="0"/>
    </xf>
    <xf numFmtId="0" fontId="75" fillId="5" borderId="56" xfId="0" applyFont="1" applyFill="1" applyBorder="1" applyAlignment="1" applyProtection="1">
      <alignment horizontal="left" vertical="center"/>
      <protection locked="0"/>
    </xf>
    <xf numFmtId="0" fontId="75" fillId="5" borderId="61" xfId="0" applyFont="1" applyFill="1" applyBorder="1" applyAlignment="1" applyProtection="1">
      <alignment horizontal="left" vertical="center"/>
      <protection locked="0"/>
    </xf>
    <xf numFmtId="168" fontId="178" fillId="5" borderId="60" xfId="0" applyNumberFormat="1" applyFont="1" applyFill="1" applyBorder="1" applyAlignment="1" applyProtection="1">
      <alignment horizontal="left" vertical="center"/>
      <protection locked="0"/>
    </xf>
    <xf numFmtId="168" fontId="178" fillId="5" borderId="62" xfId="0" applyNumberFormat="1" applyFont="1" applyFill="1" applyBorder="1" applyAlignment="1" applyProtection="1">
      <alignment horizontal="left" vertical="center"/>
      <protection locked="0"/>
    </xf>
    <xf numFmtId="168" fontId="178" fillId="5" borderId="63" xfId="0" applyNumberFormat="1" applyFont="1" applyFill="1" applyBorder="1" applyAlignment="1" applyProtection="1">
      <alignment horizontal="left" vertical="center"/>
      <protection locked="0"/>
    </xf>
    <xf numFmtId="168" fontId="178" fillId="5" borderId="58" xfId="0" applyNumberFormat="1" applyFont="1" applyFill="1" applyBorder="1" applyAlignment="1" applyProtection="1">
      <alignment horizontal="left" vertical="center"/>
      <protection locked="0"/>
    </xf>
    <xf numFmtId="0" fontId="75" fillId="5" borderId="63" xfId="0" applyFont="1" applyFill="1" applyBorder="1" applyAlignment="1" applyProtection="1">
      <alignment horizontal="left" vertical="center" wrapText="1"/>
      <protection locked="0"/>
    </xf>
    <xf numFmtId="0" fontId="75" fillId="5" borderId="60" xfId="0" applyFont="1" applyFill="1" applyBorder="1" applyAlignment="1" applyProtection="1">
      <alignment horizontal="left" vertical="center" wrapText="1"/>
      <protection locked="0"/>
    </xf>
    <xf numFmtId="0" fontId="75" fillId="5" borderId="54" xfId="0" applyFont="1" applyFill="1" applyBorder="1" applyAlignment="1" applyProtection="1">
      <alignment horizontal="left" vertical="center"/>
      <protection locked="0"/>
    </xf>
    <xf numFmtId="0" fontId="75" fillId="5" borderId="60" xfId="0" applyFont="1" applyFill="1" applyBorder="1" applyAlignment="1" applyProtection="1">
      <alignment horizontal="center" vertical="center"/>
      <protection locked="0"/>
    </xf>
    <xf numFmtId="0" fontId="75" fillId="5" borderId="54" xfId="0" applyFont="1" applyFill="1" applyBorder="1" applyAlignment="1" applyProtection="1">
      <alignment horizontal="center" vertical="center"/>
      <protection locked="0"/>
    </xf>
    <xf numFmtId="0" fontId="75" fillId="5" borderId="62" xfId="0" applyFont="1" applyFill="1" applyBorder="1" applyAlignment="1" applyProtection="1">
      <alignment horizontal="center" vertical="center"/>
      <protection locked="0"/>
    </xf>
    <xf numFmtId="0" fontId="75" fillId="5" borderId="57" xfId="0" applyFont="1" applyFill="1" applyBorder="1" applyAlignment="1" applyProtection="1">
      <alignment horizontal="left" vertical="center" wrapText="1"/>
      <protection locked="0"/>
    </xf>
    <xf numFmtId="0" fontId="75" fillId="5" borderId="57" xfId="0" applyFont="1" applyFill="1" applyBorder="1" applyAlignment="1" applyProtection="1">
      <alignment horizontal="center" vertical="center"/>
      <protection locked="0"/>
    </xf>
    <xf numFmtId="0" fontId="75" fillId="5" borderId="56" xfId="0" applyFont="1" applyFill="1" applyBorder="1" applyAlignment="1" applyProtection="1">
      <alignment horizontal="center" vertical="center"/>
      <protection locked="0"/>
    </xf>
    <xf numFmtId="0" fontId="75" fillId="5" borderId="61" xfId="0" applyFont="1" applyFill="1" applyBorder="1" applyAlignment="1" applyProtection="1">
      <alignment horizontal="center" vertical="center"/>
      <protection locked="0"/>
    </xf>
    <xf numFmtId="0" fontId="47" fillId="0" borderId="0" xfId="0" applyFont="1" applyAlignment="1">
      <alignment horizontal="center" vertical="center"/>
    </xf>
    <xf numFmtId="0" fontId="195" fillId="0" borderId="175" xfId="0" applyFont="1" applyBorder="1" applyAlignment="1">
      <alignment horizontal="left" wrapText="1"/>
    </xf>
    <xf numFmtId="0" fontId="247" fillId="9" borderId="57" xfId="0" applyFont="1" applyFill="1" applyBorder="1" applyAlignment="1">
      <alignment horizontal="center"/>
    </xf>
    <xf numFmtId="0" fontId="247" fillId="9" borderId="61" xfId="0" applyFont="1" applyFill="1" applyBorder="1" applyAlignment="1">
      <alignment horizontal="center"/>
    </xf>
    <xf numFmtId="0" fontId="71" fillId="9" borderId="60" xfId="0" applyFont="1" applyFill="1" applyBorder="1" applyAlignment="1">
      <alignment horizontal="center" vertical="top"/>
    </xf>
    <xf numFmtId="0" fontId="71" fillId="9" borderId="62" xfId="0" applyFont="1" applyFill="1" applyBorder="1" applyAlignment="1">
      <alignment horizontal="center" vertical="top"/>
    </xf>
    <xf numFmtId="0" fontId="47" fillId="0" borderId="0" xfId="0" applyFont="1" applyAlignment="1">
      <alignment horizontal="left" vertical="center"/>
    </xf>
    <xf numFmtId="0" fontId="75" fillId="0" borderId="175" xfId="0" applyFont="1" applyBorder="1" applyAlignment="1">
      <alignment horizontal="left" vertical="center"/>
    </xf>
    <xf numFmtId="49" fontId="47" fillId="0" borderId="176" xfId="0" applyNumberFormat="1" applyFont="1" applyBorder="1" applyAlignment="1">
      <alignment horizontal="left" vertical="center"/>
    </xf>
    <xf numFmtId="0" fontId="10" fillId="0" borderId="0" xfId="0" applyFont="1" applyAlignment="1">
      <alignment horizontal="left"/>
    </xf>
    <xf numFmtId="167" fontId="178" fillId="5" borderId="63" xfId="0" applyNumberFormat="1" applyFont="1" applyFill="1" applyBorder="1" applyAlignment="1" applyProtection="1">
      <alignment horizontal="left" vertical="center"/>
      <protection locked="0"/>
    </xf>
    <xf numFmtId="167" fontId="178" fillId="5" borderId="58" xfId="0" applyNumberFormat="1" applyFont="1" applyFill="1" applyBorder="1" applyAlignment="1" applyProtection="1">
      <alignment horizontal="left" vertical="center"/>
      <protection locked="0"/>
    </xf>
    <xf numFmtId="0" fontId="247" fillId="9" borderId="56" xfId="0" applyFont="1" applyFill="1" applyBorder="1" applyAlignment="1">
      <alignment horizontal="center"/>
    </xf>
    <xf numFmtId="0" fontId="71" fillId="9" borderId="54" xfId="0" applyFont="1" applyFill="1" applyBorder="1" applyAlignment="1">
      <alignment horizontal="center" vertical="top"/>
    </xf>
    <xf numFmtId="0" fontId="168" fillId="0" borderId="0" xfId="0" applyFont="1" applyAlignment="1">
      <alignment horizontal="left" wrapText="1"/>
    </xf>
    <xf numFmtId="0" fontId="168" fillId="0" borderId="221" xfId="0" applyFont="1" applyBorder="1" applyAlignment="1">
      <alignment horizontal="left" wrapText="1"/>
    </xf>
    <xf numFmtId="0" fontId="47" fillId="0" borderId="66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15" fillId="0" borderId="0" xfId="0" applyFont="1" applyAlignment="1">
      <alignment horizontal="center" vertical="center"/>
    </xf>
    <xf numFmtId="0" fontId="8" fillId="0" borderId="87" xfId="0" applyFont="1" applyBorder="1" applyAlignment="1">
      <alignment horizontal="left" vertical="top" wrapText="1"/>
    </xf>
    <xf numFmtId="0" fontId="8" fillId="0" borderId="88" xfId="0" applyFont="1" applyBorder="1" applyAlignment="1">
      <alignment horizontal="left" vertical="top" wrapText="1"/>
    </xf>
    <xf numFmtId="0" fontId="8" fillId="0" borderId="89" xfId="0" applyFont="1" applyBorder="1" applyAlignment="1">
      <alignment horizontal="left" vertical="top" wrapText="1"/>
    </xf>
    <xf numFmtId="0" fontId="8" fillId="0" borderId="92" xfId="0" applyFont="1" applyBorder="1" applyAlignment="1">
      <alignment horizontal="left" vertical="top" wrapText="1"/>
    </xf>
    <xf numFmtId="0" fontId="8" fillId="0" borderId="93" xfId="0" applyFont="1" applyBorder="1" applyAlignment="1">
      <alignment horizontal="left" vertical="top" wrapText="1"/>
    </xf>
    <xf numFmtId="0" fontId="8" fillId="0" borderId="94" xfId="0" applyFont="1" applyBorder="1" applyAlignment="1">
      <alignment horizontal="left" vertical="top" wrapText="1"/>
    </xf>
    <xf numFmtId="0" fontId="168" fillId="0" borderId="0" xfId="0" applyFont="1" applyAlignment="1">
      <alignment horizontal="right" vertical="top" wrapText="1"/>
    </xf>
    <xf numFmtId="0" fontId="168" fillId="0" borderId="64" xfId="0" applyFont="1" applyBorder="1" applyAlignment="1">
      <alignment horizontal="right" vertical="top" wrapText="1"/>
    </xf>
    <xf numFmtId="0" fontId="168" fillId="0" borderId="56" xfId="0" applyFont="1" applyBorder="1" applyAlignment="1">
      <alignment horizontal="right" vertical="top" wrapText="1"/>
    </xf>
    <xf numFmtId="0" fontId="168" fillId="0" borderId="61" xfId="0" applyFont="1" applyBorder="1" applyAlignment="1">
      <alignment horizontal="right" vertical="top" wrapText="1"/>
    </xf>
    <xf numFmtId="0" fontId="195" fillId="0" borderId="0" xfId="0" applyFont="1" applyAlignment="1">
      <alignment horizontal="right" vertical="top" wrapText="1"/>
    </xf>
    <xf numFmtId="0" fontId="195" fillId="0" borderId="64" xfId="0" applyFont="1" applyBorder="1" applyAlignment="1">
      <alignment horizontal="right" vertical="top" wrapText="1"/>
    </xf>
    <xf numFmtId="49" fontId="75" fillId="0" borderId="160" xfId="0" applyNumberFormat="1" applyFont="1" applyBorder="1" applyAlignment="1" applyProtection="1">
      <alignment horizontal="left" vertical="center"/>
      <protection locked="0"/>
    </xf>
    <xf numFmtId="49" fontId="75" fillId="0" borderId="161" xfId="0" applyNumberFormat="1" applyFont="1" applyBorder="1" applyAlignment="1" applyProtection="1">
      <alignment horizontal="left" vertical="center"/>
      <protection locked="0"/>
    </xf>
    <xf numFmtId="49" fontId="75" fillId="0" borderId="162" xfId="0" applyNumberFormat="1" applyFont="1" applyBorder="1" applyAlignment="1" applyProtection="1">
      <alignment horizontal="left" vertical="center"/>
      <protection locked="0"/>
    </xf>
    <xf numFmtId="0" fontId="230" fillId="6" borderId="34" xfId="0" applyFont="1" applyFill="1" applyBorder="1" applyAlignment="1" applyProtection="1">
      <alignment horizontal="center" vertical="center" wrapText="1"/>
      <protection locked="0"/>
    </xf>
    <xf numFmtId="0" fontId="230" fillId="6" borderId="35" xfId="0" applyFont="1" applyFill="1" applyBorder="1" applyAlignment="1" applyProtection="1">
      <alignment horizontal="center" vertical="center" wrapText="1"/>
      <protection locked="0"/>
    </xf>
    <xf numFmtId="0" fontId="168" fillId="5" borderId="173" xfId="0" applyFont="1" applyFill="1" applyBorder="1" applyAlignment="1" applyProtection="1">
      <alignment horizontal="left" vertical="center"/>
      <protection locked="0"/>
    </xf>
    <xf numFmtId="0" fontId="168" fillId="5" borderId="174" xfId="0" applyFont="1" applyFill="1" applyBorder="1" applyAlignment="1" applyProtection="1">
      <alignment horizontal="left" vertical="center"/>
      <protection locked="0"/>
    </xf>
    <xf numFmtId="0" fontId="75" fillId="5" borderId="163" xfId="0" applyFont="1" applyFill="1" applyBorder="1" applyAlignment="1" applyProtection="1">
      <alignment horizontal="left" vertical="top"/>
      <protection locked="0"/>
    </xf>
    <xf numFmtId="0" fontId="75" fillId="5" borderId="164" xfId="0" applyFont="1" applyFill="1" applyBorder="1" applyAlignment="1" applyProtection="1">
      <alignment horizontal="left" vertical="top"/>
      <protection locked="0"/>
    </xf>
    <xf numFmtId="0" fontId="75" fillId="5" borderId="165" xfId="0" applyFont="1" applyFill="1" applyBorder="1" applyAlignment="1" applyProtection="1">
      <alignment horizontal="left" vertical="top"/>
      <protection locked="0"/>
    </xf>
    <xf numFmtId="0" fontId="75" fillId="5" borderId="168" xfId="0" applyFont="1" applyFill="1" applyBorder="1" applyAlignment="1" applyProtection="1">
      <alignment horizontal="left" vertical="top"/>
      <protection locked="0"/>
    </xf>
    <xf numFmtId="0" fontId="75" fillId="5" borderId="169" xfId="0" applyFont="1" applyFill="1" applyBorder="1" applyAlignment="1" applyProtection="1">
      <alignment horizontal="left" vertical="top"/>
      <protection locked="0"/>
    </xf>
    <xf numFmtId="0" fontId="75" fillId="5" borderId="170" xfId="0" applyFont="1" applyFill="1" applyBorder="1" applyAlignment="1" applyProtection="1">
      <alignment horizontal="left" vertical="top"/>
      <protection locked="0"/>
    </xf>
    <xf numFmtId="49" fontId="8" fillId="0" borderId="87" xfId="0" applyNumberFormat="1" applyFont="1" applyBorder="1" applyAlignment="1">
      <alignment horizontal="left" vertical="top"/>
    </xf>
    <xf numFmtId="49" fontId="8" fillId="0" borderId="88" xfId="0" applyNumberFormat="1" applyFont="1" applyBorder="1" applyAlignment="1">
      <alignment horizontal="left" vertical="top"/>
    </xf>
    <xf numFmtId="49" fontId="8" fillId="0" borderId="89" xfId="0" applyNumberFormat="1" applyFont="1" applyBorder="1" applyAlignment="1">
      <alignment horizontal="left" vertical="top"/>
    </xf>
    <xf numFmtId="49" fontId="8" fillId="0" borderId="92" xfId="0" applyNumberFormat="1" applyFont="1" applyBorder="1" applyAlignment="1">
      <alignment horizontal="left" vertical="top"/>
    </xf>
    <xf numFmtId="49" fontId="8" fillId="0" borderId="93" xfId="0" applyNumberFormat="1" applyFont="1" applyBorder="1" applyAlignment="1">
      <alignment horizontal="left" vertical="top"/>
    </xf>
    <xf numFmtId="49" fontId="8" fillId="0" borderId="94" xfId="0" applyNumberFormat="1" applyFont="1" applyBorder="1" applyAlignment="1">
      <alignment horizontal="left" vertical="top"/>
    </xf>
    <xf numFmtId="0" fontId="54" fillId="9" borderId="60" xfId="0" applyFont="1" applyFill="1" applyBorder="1" applyAlignment="1">
      <alignment horizontal="center" vertical="top"/>
    </xf>
    <xf numFmtId="0" fontId="54" fillId="9" borderId="54" xfId="0" applyFont="1" applyFill="1" applyBorder="1" applyAlignment="1">
      <alignment horizontal="center" vertical="top"/>
    </xf>
    <xf numFmtId="0" fontId="54" fillId="9" borderId="62" xfId="0" applyFont="1" applyFill="1" applyBorder="1" applyAlignment="1">
      <alignment horizontal="center" vertical="top"/>
    </xf>
    <xf numFmtId="0" fontId="168" fillId="0" borderId="0" xfId="0" applyFont="1" applyAlignment="1">
      <alignment horizontal="right" vertical="top"/>
    </xf>
    <xf numFmtId="0" fontId="168" fillId="0" borderId="64" xfId="0" applyFont="1" applyBorder="1" applyAlignment="1">
      <alignment horizontal="right" vertical="top"/>
    </xf>
    <xf numFmtId="49" fontId="46" fillId="5" borderId="48" xfId="0" applyNumberFormat="1" applyFont="1" applyFill="1" applyBorder="1" applyAlignment="1" applyProtection="1">
      <alignment horizontal="left" vertical="top" wrapText="1"/>
      <protection locked="0"/>
    </xf>
    <xf numFmtId="49" fontId="46" fillId="5" borderId="49" xfId="0" applyNumberFormat="1" applyFont="1" applyFill="1" applyBorder="1" applyAlignment="1" applyProtection="1">
      <alignment horizontal="left" vertical="top" wrapText="1"/>
      <protection locked="0"/>
    </xf>
    <xf numFmtId="49" fontId="46" fillId="5" borderId="148" xfId="0" applyNumberFormat="1" applyFont="1" applyFill="1" applyBorder="1" applyAlignment="1" applyProtection="1">
      <alignment horizontal="left" vertical="top" wrapText="1"/>
      <protection locked="0"/>
    </xf>
    <xf numFmtId="49" fontId="46" fillId="5" borderId="149" xfId="0" applyNumberFormat="1" applyFont="1" applyFill="1" applyBorder="1" applyAlignment="1" applyProtection="1">
      <alignment horizontal="left" vertical="top" wrapText="1"/>
      <protection locked="0"/>
    </xf>
    <xf numFmtId="49" fontId="46" fillId="5" borderId="150" xfId="0" applyNumberFormat="1" applyFont="1" applyFill="1" applyBorder="1" applyAlignment="1" applyProtection="1">
      <alignment horizontal="left" vertical="top" wrapText="1"/>
      <protection locked="0"/>
    </xf>
    <xf numFmtId="49" fontId="46" fillId="5" borderId="153" xfId="0" applyNumberFormat="1" applyFont="1" applyFill="1" applyBorder="1" applyAlignment="1" applyProtection="1">
      <alignment horizontal="left" vertical="top" wrapText="1"/>
      <protection locked="0"/>
    </xf>
    <xf numFmtId="49" fontId="46" fillId="5" borderId="154" xfId="0" applyNumberFormat="1" applyFont="1" applyFill="1" applyBorder="1" applyAlignment="1" applyProtection="1">
      <alignment horizontal="left" vertical="top" wrapText="1"/>
      <protection locked="0"/>
    </xf>
    <xf numFmtId="49" fontId="46" fillId="5" borderId="155" xfId="0" applyNumberFormat="1" applyFont="1" applyFill="1" applyBorder="1" applyAlignment="1" applyProtection="1">
      <alignment horizontal="left" vertical="top" wrapText="1"/>
      <protection locked="0"/>
    </xf>
    <xf numFmtId="167" fontId="178" fillId="0" borderId="156" xfId="0" applyNumberFormat="1" applyFont="1" applyBorder="1" applyAlignment="1" applyProtection="1">
      <alignment horizontal="center" vertical="center"/>
      <protection locked="0"/>
    </xf>
    <xf numFmtId="167" fontId="178" fillId="0" borderId="157" xfId="0" applyNumberFormat="1" applyFont="1" applyBorder="1" applyAlignment="1" applyProtection="1">
      <alignment horizontal="center" vertical="center"/>
      <protection locked="0"/>
    </xf>
    <xf numFmtId="167" fontId="178" fillId="0" borderId="158" xfId="0" applyNumberFormat="1" applyFont="1" applyBorder="1" applyAlignment="1" applyProtection="1">
      <alignment horizontal="center" vertical="center"/>
      <protection locked="0"/>
    </xf>
    <xf numFmtId="0" fontId="62" fillId="9" borderId="32" xfId="0" applyFont="1" applyFill="1" applyBorder="1" applyAlignment="1" applyProtection="1">
      <alignment horizontal="center" vertical="center"/>
      <protection locked="0"/>
    </xf>
    <xf numFmtId="0" fontId="62" fillId="9" borderId="37" xfId="0" applyFont="1" applyFill="1" applyBorder="1" applyAlignment="1" applyProtection="1">
      <alignment horizontal="center" vertical="center"/>
      <protection locked="0"/>
    </xf>
    <xf numFmtId="0" fontId="137" fillId="0" borderId="156" xfId="0" applyFont="1" applyBorder="1" applyAlignment="1" applyProtection="1">
      <alignment horizontal="right" vertical="center"/>
      <protection locked="0"/>
    </xf>
    <xf numFmtId="0" fontId="137" fillId="0" borderId="157" xfId="0" applyFont="1" applyBorder="1" applyAlignment="1" applyProtection="1">
      <alignment horizontal="right" vertical="center"/>
      <protection locked="0"/>
    </xf>
    <xf numFmtId="0" fontId="137" fillId="0" borderId="158" xfId="0" applyFont="1" applyBorder="1" applyAlignment="1" applyProtection="1">
      <alignment horizontal="right" vertical="center"/>
      <protection locked="0"/>
    </xf>
    <xf numFmtId="14" fontId="47" fillId="0" borderId="0" xfId="0" applyNumberFormat="1" applyFont="1" applyAlignment="1" applyProtection="1">
      <alignment horizontal="left"/>
      <protection locked="0"/>
    </xf>
    <xf numFmtId="0" fontId="54" fillId="9" borderId="33" xfId="0" applyFont="1" applyFill="1" applyBorder="1" applyAlignment="1" applyProtection="1">
      <alignment horizontal="center" vertical="top"/>
      <protection locked="0"/>
    </xf>
    <xf numFmtId="0" fontId="54" fillId="9" borderId="39" xfId="0" applyFont="1" applyFill="1" applyBorder="1" applyAlignment="1" applyProtection="1">
      <alignment horizontal="center" vertical="top"/>
      <protection locked="0"/>
    </xf>
    <xf numFmtId="0" fontId="38" fillId="0" borderId="33" xfId="0" applyFont="1" applyBorder="1" applyAlignment="1" applyProtection="1">
      <alignment horizontal="center" vertical="center"/>
      <protection locked="0"/>
    </xf>
    <xf numFmtId="0" fontId="38" fillId="0" borderId="38" xfId="0" applyFont="1" applyBorder="1" applyAlignment="1" applyProtection="1">
      <alignment horizontal="center" vertical="center"/>
      <protection locked="0"/>
    </xf>
    <xf numFmtId="0" fontId="48" fillId="0" borderId="32" xfId="0" applyFont="1" applyBorder="1" applyAlignment="1" applyProtection="1">
      <alignment horizontal="center" vertical="top"/>
      <protection locked="0"/>
    </xf>
    <xf numFmtId="0" fontId="48" fillId="0" borderId="36" xfId="0" applyFont="1" applyBorder="1" applyAlignment="1" applyProtection="1">
      <alignment horizontal="center" vertical="top"/>
      <protection locked="0"/>
    </xf>
    <xf numFmtId="0" fontId="48" fillId="0" borderId="37" xfId="0" applyFont="1" applyBorder="1" applyAlignment="1" applyProtection="1">
      <alignment horizontal="center" vertical="top"/>
      <protection locked="0"/>
    </xf>
    <xf numFmtId="0" fontId="38" fillId="0" borderId="39" xfId="0" applyFont="1" applyBorder="1" applyAlignment="1" applyProtection="1">
      <alignment horizontal="center" vertical="center"/>
      <protection locked="0"/>
    </xf>
    <xf numFmtId="0" fontId="168" fillId="5" borderId="160" xfId="0" applyFont="1" applyFill="1" applyBorder="1" applyAlignment="1" applyProtection="1">
      <alignment horizontal="left" vertical="center"/>
      <protection locked="0"/>
    </xf>
    <xf numFmtId="0" fontId="168" fillId="5" borderId="162" xfId="0" applyFont="1" applyFill="1" applyBorder="1" applyAlignment="1" applyProtection="1">
      <alignment horizontal="left" vertical="center"/>
      <protection locked="0"/>
    </xf>
    <xf numFmtId="4" fontId="85" fillId="6" borderId="143" xfId="0" applyNumberFormat="1" applyFont="1" applyFill="1" applyBorder="1" applyAlignment="1">
      <alignment horizontal="right" vertical="center"/>
    </xf>
    <xf numFmtId="4" fontId="85" fillId="6" borderId="181" xfId="0" applyNumberFormat="1" applyFont="1" applyFill="1" applyBorder="1" applyAlignment="1">
      <alignment horizontal="right" vertical="center"/>
    </xf>
    <xf numFmtId="168" fontId="265" fillId="10" borderId="182" xfId="0" applyNumberFormat="1" applyFont="1" applyFill="1" applyBorder="1" applyAlignment="1" applyProtection="1">
      <alignment horizontal="left" vertical="center" wrapText="1"/>
      <protection locked="0"/>
    </xf>
    <xf numFmtId="168" fontId="265" fillId="10" borderId="183" xfId="0" applyNumberFormat="1" applyFont="1" applyFill="1" applyBorder="1" applyAlignment="1" applyProtection="1">
      <alignment horizontal="left" vertical="center" wrapText="1"/>
      <protection locked="0"/>
    </xf>
    <xf numFmtId="168" fontId="265" fillId="10" borderId="184" xfId="0" applyNumberFormat="1" applyFont="1" applyFill="1" applyBorder="1" applyAlignment="1" applyProtection="1">
      <alignment horizontal="left" vertical="center" wrapText="1"/>
      <protection locked="0"/>
    </xf>
    <xf numFmtId="168" fontId="265" fillId="10" borderId="185" xfId="0" applyNumberFormat="1" applyFont="1" applyFill="1" applyBorder="1" applyAlignment="1" applyProtection="1">
      <alignment horizontal="left" vertical="center" wrapText="1"/>
      <protection locked="0"/>
    </xf>
    <xf numFmtId="0" fontId="281" fillId="6" borderId="0" xfId="0" applyFont="1" applyFill="1" applyAlignment="1">
      <alignment horizontal="center" vertical="top"/>
    </xf>
    <xf numFmtId="0" fontId="46" fillId="0" borderId="0" xfId="0" applyFont="1" applyAlignment="1">
      <alignment horizontal="center"/>
    </xf>
    <xf numFmtId="184" fontId="265" fillId="10" borderId="180" xfId="0" applyNumberFormat="1" applyFont="1" applyFill="1" applyBorder="1" applyAlignment="1" applyProtection="1">
      <alignment horizontal="left" vertical="center"/>
      <protection locked="0"/>
    </xf>
    <xf numFmtId="184" fontId="265" fillId="10" borderId="181" xfId="0" applyNumberFormat="1" applyFont="1" applyFill="1" applyBorder="1" applyAlignment="1" applyProtection="1">
      <alignment horizontal="left" vertical="center"/>
      <protection locked="0"/>
    </xf>
    <xf numFmtId="0" fontId="75" fillId="10" borderId="182" xfId="0" applyFont="1" applyFill="1" applyBorder="1" applyAlignment="1" applyProtection="1">
      <alignment horizontal="left" vertical="top" wrapText="1"/>
      <protection locked="0"/>
    </xf>
    <xf numFmtId="0" fontId="75" fillId="10" borderId="186" xfId="0" applyFont="1" applyFill="1" applyBorder="1" applyAlignment="1" applyProtection="1">
      <alignment horizontal="left" vertical="top" wrapText="1"/>
      <protection locked="0"/>
    </xf>
    <xf numFmtId="0" fontId="75" fillId="10" borderId="183" xfId="0" applyFont="1" applyFill="1" applyBorder="1" applyAlignment="1" applyProtection="1">
      <alignment horizontal="left" vertical="top" wrapText="1"/>
      <protection locked="0"/>
    </xf>
    <xf numFmtId="0" fontId="75" fillId="10" borderId="184" xfId="0" applyFont="1" applyFill="1" applyBorder="1" applyAlignment="1" applyProtection="1">
      <alignment horizontal="left" vertical="top" wrapText="1"/>
      <protection locked="0"/>
    </xf>
    <xf numFmtId="0" fontId="75" fillId="10" borderId="142" xfId="0" applyFont="1" applyFill="1" applyBorder="1" applyAlignment="1" applyProtection="1">
      <alignment horizontal="left" vertical="top" wrapText="1"/>
      <protection locked="0"/>
    </xf>
    <xf numFmtId="0" fontId="75" fillId="10" borderId="185" xfId="0" applyFont="1" applyFill="1" applyBorder="1" applyAlignment="1" applyProtection="1">
      <alignment horizontal="left" vertical="top" wrapText="1"/>
      <protection locked="0"/>
    </xf>
    <xf numFmtId="0" fontId="47" fillId="10" borderId="142" xfId="0" applyFont="1" applyFill="1" applyBorder="1" applyAlignment="1" applyProtection="1">
      <alignment horizontal="left" vertical="center" wrapText="1"/>
      <protection locked="0"/>
    </xf>
    <xf numFmtId="3" fontId="85" fillId="6" borderId="142" xfId="0" applyNumberFormat="1" applyFont="1" applyFill="1" applyBorder="1" applyAlignment="1">
      <alignment horizontal="right" vertical="center"/>
    </xf>
    <xf numFmtId="3" fontId="85" fillId="6" borderId="185" xfId="0" applyNumberFormat="1" applyFont="1" applyFill="1" applyBorder="1" applyAlignment="1">
      <alignment horizontal="right" vertical="center"/>
    </xf>
    <xf numFmtId="0" fontId="75" fillId="0" borderId="186" xfId="0" applyFont="1" applyBorder="1" applyAlignment="1">
      <alignment horizontal="left" vertical="top" wrapText="1"/>
    </xf>
    <xf numFmtId="0" fontId="75" fillId="0" borderId="0" xfId="0" applyFont="1" applyAlignment="1">
      <alignment horizontal="left" vertical="top" wrapText="1"/>
    </xf>
    <xf numFmtId="0" fontId="168" fillId="0" borderId="0" xfId="0" applyFont="1" applyAlignment="1" applyProtection="1">
      <alignment horizontal="left" vertical="center"/>
      <protection locked="0"/>
    </xf>
    <xf numFmtId="0" fontId="46" fillId="0" borderId="0" xfId="0" applyFont="1" applyAlignment="1" applyProtection="1">
      <alignment horizontal="center" vertical="center"/>
      <protection locked="0"/>
    </xf>
    <xf numFmtId="0" fontId="96" fillId="6" borderId="180" xfId="0" applyFont="1" applyFill="1" applyBorder="1" applyAlignment="1">
      <alignment horizontal="right" vertical="center"/>
    </xf>
    <xf numFmtId="0" fontId="96" fillId="6" borderId="181" xfId="0" applyFont="1" applyFill="1" applyBorder="1" applyAlignment="1">
      <alignment horizontal="right" vertical="center"/>
    </xf>
    <xf numFmtId="168" fontId="265" fillId="10" borderId="180" xfId="0" applyNumberFormat="1" applyFont="1" applyFill="1" applyBorder="1" applyAlignment="1" applyProtection="1">
      <alignment horizontal="left" vertical="center"/>
      <protection locked="0"/>
    </xf>
    <xf numFmtId="168" fontId="265" fillId="10" borderId="181" xfId="0" applyNumberFormat="1" applyFont="1" applyFill="1" applyBorder="1" applyAlignment="1" applyProtection="1">
      <alignment horizontal="left" vertical="center"/>
      <protection locked="0"/>
    </xf>
    <xf numFmtId="0" fontId="46" fillId="10" borderId="180" xfId="0" applyFont="1" applyFill="1" applyBorder="1" applyAlignment="1" applyProtection="1">
      <alignment horizontal="left"/>
      <protection locked="0"/>
    </xf>
    <xf numFmtId="0" fontId="46" fillId="10" borderId="181" xfId="0" applyFont="1" applyFill="1" applyBorder="1" applyAlignment="1" applyProtection="1">
      <alignment horizontal="left"/>
      <protection locked="0"/>
    </xf>
    <xf numFmtId="0" fontId="46" fillId="0" borderId="186" xfId="0" applyFont="1" applyBorder="1" applyAlignment="1">
      <alignment horizontal="left" vertical="top"/>
    </xf>
    <xf numFmtId="0" fontId="46" fillId="0" borderId="0" xfId="0" applyFont="1" applyAlignment="1">
      <alignment horizontal="left" vertical="top"/>
    </xf>
    <xf numFmtId="0" fontId="91" fillId="6" borderId="187" xfId="0" applyFont="1" applyFill="1" applyBorder="1" applyAlignment="1" applyProtection="1">
      <alignment horizontal="center" vertical="center"/>
      <protection locked="0"/>
    </xf>
    <xf numFmtId="0" fontId="91" fillId="6" borderId="188" xfId="0" applyFont="1" applyFill="1" applyBorder="1" applyAlignment="1" applyProtection="1">
      <alignment horizontal="center" vertical="center"/>
      <protection locked="0"/>
    </xf>
    <xf numFmtId="0" fontId="91" fillId="6" borderId="189" xfId="0" applyFont="1" applyFill="1" applyBorder="1" applyAlignment="1" applyProtection="1">
      <alignment horizontal="center" vertical="center"/>
      <protection locked="0"/>
    </xf>
    <xf numFmtId="167" fontId="265" fillId="10" borderId="182" xfId="0" applyNumberFormat="1" applyFont="1" applyFill="1" applyBorder="1" applyAlignment="1" applyProtection="1">
      <alignment horizontal="left" vertical="center" wrapText="1"/>
      <protection locked="0"/>
    </xf>
    <xf numFmtId="167" fontId="265" fillId="10" borderId="183" xfId="0" applyNumberFormat="1" applyFont="1" applyFill="1" applyBorder="1" applyAlignment="1" applyProtection="1">
      <alignment horizontal="left" vertical="center" wrapText="1"/>
      <protection locked="0"/>
    </xf>
    <xf numFmtId="167" fontId="265" fillId="10" borderId="184" xfId="0" applyNumberFormat="1" applyFont="1" applyFill="1" applyBorder="1" applyAlignment="1" applyProtection="1">
      <alignment horizontal="left" vertical="center" wrapText="1"/>
      <protection locked="0"/>
    </xf>
    <xf numFmtId="167" fontId="265" fillId="10" borderId="185" xfId="0" applyNumberFormat="1" applyFont="1" applyFill="1" applyBorder="1" applyAlignment="1" applyProtection="1">
      <alignment horizontal="left" vertical="center" wrapText="1"/>
      <protection locked="0"/>
    </xf>
    <xf numFmtId="0" fontId="263" fillId="0" borderId="0" xfId="0" applyFont="1" applyAlignment="1" applyProtection="1">
      <alignment horizontal="center" vertical="center"/>
      <protection locked="0"/>
    </xf>
    <xf numFmtId="0" fontId="94" fillId="6" borderId="206" xfId="0" applyFont="1" applyFill="1" applyBorder="1" applyAlignment="1" applyProtection="1">
      <alignment horizontal="center" vertical="center"/>
      <protection locked="0"/>
    </xf>
    <xf numFmtId="0" fontId="94" fillId="6" borderId="207" xfId="0" applyFont="1" applyFill="1" applyBorder="1" applyAlignment="1" applyProtection="1">
      <alignment horizontal="center" vertical="center"/>
      <protection locked="0"/>
    </xf>
    <xf numFmtId="0" fontId="94" fillId="6" borderId="208" xfId="0" applyFont="1" applyFill="1" applyBorder="1" applyAlignment="1" applyProtection="1">
      <alignment horizontal="center" vertical="center"/>
      <protection locked="0"/>
    </xf>
    <xf numFmtId="0" fontId="259" fillId="10" borderId="182" xfId="0" applyFont="1" applyFill="1" applyBorder="1" applyAlignment="1" applyProtection="1">
      <alignment horizontal="center" vertical="center"/>
      <protection locked="0"/>
    </xf>
    <xf numFmtId="0" fontId="259" fillId="10" borderId="183" xfId="0" applyFont="1" applyFill="1" applyBorder="1" applyAlignment="1" applyProtection="1">
      <alignment horizontal="center" vertical="center"/>
      <protection locked="0"/>
    </xf>
    <xf numFmtId="0" fontId="259" fillId="10" borderId="184" xfId="0" applyFont="1" applyFill="1" applyBorder="1" applyAlignment="1" applyProtection="1">
      <alignment horizontal="center" vertical="center"/>
      <protection locked="0"/>
    </xf>
    <xf numFmtId="0" fontId="259" fillId="10" borderId="185" xfId="0" applyFont="1" applyFill="1" applyBorder="1" applyAlignment="1" applyProtection="1">
      <alignment horizontal="center" vertical="center"/>
      <protection locked="0"/>
    </xf>
    <xf numFmtId="0" fontId="125" fillId="10" borderId="180" xfId="0" applyFont="1" applyFill="1" applyBorder="1" applyAlignment="1" applyProtection="1">
      <alignment horizontal="center" vertical="center"/>
      <protection locked="0"/>
    </xf>
    <xf numFmtId="0" fontId="125" fillId="10" borderId="181" xfId="0" applyFont="1" applyFill="1" applyBorder="1" applyAlignment="1" applyProtection="1">
      <alignment horizontal="center" vertical="center"/>
      <protection locked="0"/>
    </xf>
    <xf numFmtId="0" fontId="71" fillId="9" borderId="204" xfId="0" applyFont="1" applyFill="1" applyBorder="1" applyAlignment="1">
      <alignment horizontal="center" vertical="center"/>
    </xf>
    <xf numFmtId="0" fontId="71" fillId="9" borderId="205" xfId="0" applyFont="1" applyFill="1" applyBorder="1" applyAlignment="1">
      <alignment horizontal="center" vertical="center"/>
    </xf>
    <xf numFmtId="14" fontId="74" fillId="10" borderId="182" xfId="0" applyNumberFormat="1" applyFont="1" applyFill="1" applyBorder="1" applyAlignment="1" applyProtection="1">
      <alignment horizontal="center" vertical="center"/>
      <protection locked="0"/>
    </xf>
    <xf numFmtId="14" fontId="74" fillId="10" borderId="183" xfId="0" applyNumberFormat="1" applyFont="1" applyFill="1" applyBorder="1" applyAlignment="1" applyProtection="1">
      <alignment horizontal="center" vertical="center"/>
      <protection locked="0"/>
    </xf>
    <xf numFmtId="14" fontId="74" fillId="10" borderId="184" xfId="0" applyNumberFormat="1" applyFont="1" applyFill="1" applyBorder="1" applyAlignment="1" applyProtection="1">
      <alignment horizontal="center" vertical="center"/>
      <protection locked="0"/>
    </xf>
    <xf numFmtId="14" fontId="74" fillId="10" borderId="185" xfId="0" applyNumberFormat="1" applyFont="1" applyFill="1" applyBorder="1" applyAlignment="1" applyProtection="1">
      <alignment horizontal="center" vertical="center"/>
      <protection locked="0"/>
    </xf>
    <xf numFmtId="0" fontId="75" fillId="10" borderId="143" xfId="0" applyFont="1" applyFill="1" applyBorder="1" applyAlignment="1" applyProtection="1">
      <alignment horizontal="left"/>
      <protection locked="0"/>
    </xf>
    <xf numFmtId="0" fontId="75" fillId="10" borderId="182" xfId="0" applyFont="1" applyFill="1" applyBorder="1" applyAlignment="1" applyProtection="1">
      <alignment horizontal="center"/>
      <protection locked="0"/>
    </xf>
    <xf numFmtId="0" fontId="75" fillId="10" borderId="186" xfId="0" applyFont="1" applyFill="1" applyBorder="1" applyAlignment="1" applyProtection="1">
      <alignment horizontal="center"/>
      <protection locked="0"/>
    </xf>
    <xf numFmtId="0" fontId="75" fillId="10" borderId="183" xfId="0" applyFont="1" applyFill="1" applyBorder="1" applyAlignment="1" applyProtection="1">
      <alignment horizontal="center"/>
      <protection locked="0"/>
    </xf>
    <xf numFmtId="49" fontId="223" fillId="0" borderId="0" xfId="0" applyNumberFormat="1" applyFont="1" applyAlignment="1">
      <alignment horizontal="center"/>
    </xf>
    <xf numFmtId="49" fontId="213" fillId="0" borderId="0" xfId="0" applyNumberFormat="1" applyFont="1" applyAlignment="1">
      <alignment horizontal="center" vertical="center"/>
    </xf>
    <xf numFmtId="0" fontId="225" fillId="6" borderId="0" xfId="0" applyFont="1" applyFill="1" applyAlignment="1">
      <alignment horizontal="center" vertical="center"/>
    </xf>
    <xf numFmtId="0" fontId="144" fillId="0" borderId="0" xfId="0" applyFont="1" applyAlignment="1">
      <alignment horizontal="center" vertical="center"/>
    </xf>
    <xf numFmtId="0" fontId="226" fillId="0" borderId="42" xfId="0" applyFont="1" applyBorder="1" applyAlignment="1">
      <alignment horizontal="center" vertical="center"/>
    </xf>
    <xf numFmtId="0" fontId="226" fillId="0" borderId="40" xfId="0" applyFont="1" applyBorder="1" applyAlignment="1">
      <alignment horizontal="center" vertical="center"/>
    </xf>
    <xf numFmtId="0" fontId="226" fillId="0" borderId="41" xfId="0" applyFont="1" applyBorder="1" applyAlignment="1">
      <alignment horizontal="center" vertical="center"/>
    </xf>
    <xf numFmtId="0" fontId="144" fillId="0" borderId="38" xfId="0" applyFont="1" applyBorder="1" applyAlignment="1">
      <alignment horizontal="center" vertical="center"/>
    </xf>
    <xf numFmtId="0" fontId="223" fillId="0" borderId="0" xfId="0" applyFont="1" applyAlignment="1">
      <alignment horizontal="center" vertical="center"/>
    </xf>
    <xf numFmtId="49" fontId="104" fillId="0" borderId="0" xfId="0" applyNumberFormat="1" applyFont="1" applyAlignment="1">
      <alignment horizontal="center" vertical="center"/>
    </xf>
    <xf numFmtId="0" fontId="104" fillId="0" borderId="0" xfId="0" applyFont="1" applyAlignment="1">
      <alignment horizontal="center" vertical="center"/>
    </xf>
    <xf numFmtId="0" fontId="91" fillId="0" borderId="42" xfId="0" applyFont="1" applyBorder="1" applyAlignment="1">
      <alignment horizontal="center" vertical="center"/>
    </xf>
    <xf numFmtId="0" fontId="91" fillId="0" borderId="40" xfId="0" applyFont="1" applyBorder="1" applyAlignment="1">
      <alignment horizontal="center" vertical="center"/>
    </xf>
    <xf numFmtId="0" fontId="91" fillId="0" borderId="41" xfId="0" applyFont="1" applyBorder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223" fillId="0" borderId="0" xfId="0" applyFont="1" applyAlignment="1">
      <alignment horizontal="center"/>
    </xf>
    <xf numFmtId="0" fontId="213" fillId="0" borderId="0" xfId="0" applyFont="1" applyAlignment="1">
      <alignment horizontal="center"/>
    </xf>
    <xf numFmtId="0" fontId="8" fillId="0" borderId="54" xfId="0" applyFont="1" applyBorder="1" applyAlignment="1">
      <alignment horizontal="left"/>
    </xf>
    <xf numFmtId="0" fontId="8" fillId="0" borderId="55" xfId="0" applyFont="1" applyBorder="1" applyAlignment="1">
      <alignment horizontal="left" vertical="center"/>
    </xf>
    <xf numFmtId="0" fontId="214" fillId="0" borderId="0" xfId="0" applyFont="1" applyAlignment="1">
      <alignment horizontal="right"/>
    </xf>
    <xf numFmtId="0" fontId="217" fillId="0" borderId="0" xfId="0" applyFont="1" applyAlignment="1">
      <alignment horizontal="center"/>
    </xf>
    <xf numFmtId="0" fontId="9" fillId="0" borderId="17" xfId="0" applyFont="1" applyBorder="1" applyAlignment="1" applyProtection="1">
      <alignment horizontal="left" vertical="center" wrapText="1" indent="1"/>
      <protection locked="0"/>
    </xf>
    <xf numFmtId="0" fontId="9" fillId="0" borderId="17" xfId="0" applyFont="1" applyBorder="1" applyAlignment="1" applyProtection="1">
      <alignment vertical="center" wrapText="1"/>
      <protection locked="0"/>
    </xf>
    <xf numFmtId="0" fontId="9" fillId="0" borderId="17" xfId="0" applyFont="1" applyBorder="1" applyAlignment="1" applyProtection="1">
      <alignment horizontal="center" wrapText="1"/>
      <protection locked="0"/>
    </xf>
    <xf numFmtId="0" fontId="16" fillId="0" borderId="7" xfId="0" applyFont="1" applyBorder="1" applyAlignment="1">
      <alignment horizontal="left" vertical="center"/>
    </xf>
    <xf numFmtId="0" fontId="16" fillId="0" borderId="8" xfId="0" applyFont="1" applyBorder="1" applyAlignment="1">
      <alignment horizontal="left" vertical="center"/>
    </xf>
    <xf numFmtId="0" fontId="16" fillId="0" borderId="9" xfId="0" applyFont="1" applyBorder="1" applyAlignment="1">
      <alignment horizontal="left" vertical="center"/>
    </xf>
    <xf numFmtId="0" fontId="25" fillId="2" borderId="0" xfId="0" applyFont="1" applyFill="1" applyAlignment="1">
      <alignment horizontal="left"/>
    </xf>
    <xf numFmtId="0" fontId="33" fillId="0" borderId="3" xfId="0" applyFont="1" applyBorder="1" applyAlignment="1">
      <alignment horizontal="center"/>
    </xf>
    <xf numFmtId="0" fontId="33" fillId="0" borderId="0" xfId="0" applyFont="1" applyAlignment="1">
      <alignment horizontal="center"/>
    </xf>
    <xf numFmtId="0" fontId="33" fillId="0" borderId="13" xfId="0" applyFont="1" applyBorder="1" applyAlignment="1">
      <alignment horizontal="center"/>
    </xf>
    <xf numFmtId="0" fontId="34" fillId="0" borderId="4" xfId="0" applyFont="1" applyBorder="1" applyAlignment="1">
      <alignment horizontal="center"/>
    </xf>
    <xf numFmtId="0" fontId="34" fillId="0" borderId="5" xfId="0" applyFont="1" applyBorder="1" applyAlignment="1">
      <alignment horizontal="center"/>
    </xf>
    <xf numFmtId="0" fontId="34" fillId="0" borderId="6" xfId="0" applyFont="1" applyBorder="1" applyAlignment="1">
      <alignment horizontal="center"/>
    </xf>
    <xf numFmtId="43" fontId="26" fillId="0" borderId="14" xfId="3" applyFont="1" applyBorder="1" applyAlignment="1">
      <alignment horizontal="center" vertical="center"/>
    </xf>
    <xf numFmtId="43" fontId="26" fillId="0" borderId="23" xfId="3" applyFont="1" applyBorder="1" applyAlignment="1">
      <alignment horizontal="center" vertical="center"/>
    </xf>
    <xf numFmtId="165" fontId="26" fillId="0" borderId="14" xfId="0" applyNumberFormat="1" applyFont="1" applyBorder="1" applyAlignment="1">
      <alignment horizontal="center" vertical="center"/>
    </xf>
    <xf numFmtId="165" fontId="26" fillId="0" borderId="23" xfId="0" applyNumberFormat="1" applyFont="1" applyBorder="1" applyAlignment="1">
      <alignment horizontal="center" vertical="center"/>
    </xf>
    <xf numFmtId="0" fontId="9" fillId="0" borderId="21" xfId="0" applyFont="1" applyBorder="1" applyAlignment="1" applyProtection="1">
      <alignment horizontal="center" wrapText="1"/>
      <protection locked="0"/>
    </xf>
    <xf numFmtId="0" fontId="5" fillId="0" borderId="1" xfId="0" applyFont="1" applyBorder="1" applyAlignment="1">
      <alignment horizontal="left"/>
    </xf>
    <xf numFmtId="0" fontId="5" fillId="0" borderId="2" xfId="0" applyFont="1" applyBorder="1" applyAlignment="1">
      <alignment horizontal="left"/>
    </xf>
    <xf numFmtId="0" fontId="27" fillId="0" borderId="4" xfId="0" applyFont="1" applyBorder="1" applyAlignment="1">
      <alignment horizontal="left" vertical="center" wrapText="1"/>
    </xf>
    <xf numFmtId="0" fontId="27" fillId="0" borderId="5" xfId="0" applyFont="1" applyBorder="1" applyAlignment="1">
      <alignment horizontal="left" vertical="center" wrapText="1"/>
    </xf>
    <xf numFmtId="0" fontId="11" fillId="0" borderId="17" xfId="0" applyFont="1" applyBorder="1" applyAlignment="1" applyProtection="1">
      <alignment horizontal="left" vertical="center" wrapText="1"/>
      <protection locked="0"/>
    </xf>
    <xf numFmtId="0" fontId="24" fillId="0" borderId="12" xfId="0" applyFont="1" applyBorder="1" applyAlignment="1">
      <alignment horizontal="center" vertical="top"/>
    </xf>
    <xf numFmtId="0" fontId="24" fillId="0" borderId="13" xfId="0" applyFont="1" applyBorder="1" applyAlignment="1">
      <alignment horizontal="center" vertical="top"/>
    </xf>
    <xf numFmtId="0" fontId="0" fillId="0" borderId="0" xfId="0" applyAlignment="1">
      <alignment vertical="center"/>
    </xf>
    <xf numFmtId="0" fontId="22" fillId="0" borderId="16" xfId="0" applyFont="1" applyBorder="1" applyAlignment="1">
      <alignment horizontal="left"/>
    </xf>
    <xf numFmtId="0" fontId="2" fillId="0" borderId="15" xfId="0" applyFont="1" applyBorder="1" applyAlignment="1">
      <alignment horizontal="left"/>
    </xf>
    <xf numFmtId="0" fontId="9" fillId="0" borderId="15" xfId="0" applyFont="1" applyBorder="1" applyAlignment="1">
      <alignment horizontal="left" wrapText="1"/>
    </xf>
    <xf numFmtId="0" fontId="9" fillId="0" borderId="15" xfId="0" applyFont="1" applyBorder="1" applyAlignment="1">
      <alignment horizontal="left"/>
    </xf>
    <xf numFmtId="0" fontId="10" fillId="0" borderId="15" xfId="0" applyFont="1" applyBorder="1" applyAlignment="1">
      <alignment horizontal="left"/>
    </xf>
    <xf numFmtId="0" fontId="3" fillId="0" borderId="15" xfId="1" applyBorder="1" applyAlignment="1">
      <alignment horizontal="left"/>
    </xf>
    <xf numFmtId="0" fontId="9" fillId="0" borderId="24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23" fillId="0" borderId="0" xfId="0" applyFont="1" applyAlignment="1">
      <alignment horizontal="center" vertical="top"/>
    </xf>
    <xf numFmtId="14" fontId="12" fillId="2" borderId="0" xfId="0" applyNumberFormat="1" applyFont="1" applyFill="1" applyAlignment="1">
      <alignment horizontal="right" vertical="center"/>
    </xf>
    <xf numFmtId="165" fontId="12" fillId="2" borderId="0" xfId="3" applyNumberFormat="1" applyFont="1" applyFill="1" applyAlignment="1">
      <alignment horizontal="right"/>
    </xf>
    <xf numFmtId="0" fontId="31" fillId="0" borderId="5" xfId="0" applyFont="1" applyBorder="1" applyAlignment="1">
      <alignment horizontal="right" vertical="center"/>
    </xf>
    <xf numFmtId="0" fontId="6" fillId="0" borderId="3" xfId="0" applyFont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1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9" fillId="0" borderId="6" xfId="0" applyFont="1" applyBorder="1" applyAlignment="1">
      <alignment horizontal="center"/>
    </xf>
    <xf numFmtId="0" fontId="11" fillId="0" borderId="17" xfId="0" applyFont="1" applyBorder="1" applyAlignment="1" applyProtection="1">
      <alignment vertical="center" wrapText="1"/>
      <protection locked="0"/>
    </xf>
    <xf numFmtId="0" fontId="32" fillId="0" borderId="0" xfId="0" applyFont="1" applyAlignment="1">
      <alignment horizontal="center"/>
    </xf>
    <xf numFmtId="0" fontId="28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291" fillId="0" borderId="0" xfId="0" applyFont="1" applyAlignment="1">
      <alignment horizontal="center" vertical="center"/>
    </xf>
    <xf numFmtId="4" fontId="75" fillId="0" borderId="42" xfId="0" applyNumberFormat="1" applyFont="1" applyBorder="1" applyAlignment="1">
      <alignment horizontal="left" vertical="center"/>
    </xf>
    <xf numFmtId="4" fontId="75" fillId="0" borderId="40" xfId="0" applyNumberFormat="1" applyFont="1" applyBorder="1" applyAlignment="1">
      <alignment horizontal="left" vertical="center"/>
    </xf>
    <xf numFmtId="4" fontId="75" fillId="0" borderId="41" xfId="0" applyNumberFormat="1" applyFont="1" applyBorder="1" applyAlignment="1">
      <alignment horizontal="left" vertical="center"/>
    </xf>
    <xf numFmtId="0" fontId="75" fillId="0" borderId="55" xfId="0" applyFont="1" applyBorder="1" applyAlignment="1">
      <alignment horizontal="left" vertical="center"/>
    </xf>
    <xf numFmtId="0" fontId="75" fillId="0" borderId="58" xfId="0" applyFont="1" applyBorder="1" applyAlignment="1">
      <alignment horizontal="left" vertical="center"/>
    </xf>
    <xf numFmtId="168" fontId="47" fillId="0" borderId="63" xfId="0" applyNumberFormat="1" applyFont="1" applyBorder="1" applyAlignment="1">
      <alignment horizontal="center" vertical="center"/>
    </xf>
    <xf numFmtId="168" fontId="47" fillId="0" borderId="55" xfId="0" applyNumberFormat="1" applyFont="1" applyBorder="1" applyAlignment="1">
      <alignment horizontal="center" vertical="center"/>
    </xf>
    <xf numFmtId="0" fontId="75" fillId="0" borderId="42" xfId="0" applyFont="1" applyBorder="1" applyAlignment="1">
      <alignment horizontal="left" vertical="center"/>
    </xf>
    <xf numFmtId="0" fontId="75" fillId="0" borderId="40" xfId="0" applyFont="1" applyBorder="1" applyAlignment="1">
      <alignment horizontal="left" vertical="center"/>
    </xf>
    <xf numFmtId="0" fontId="75" fillId="0" borderId="41" xfId="0" applyFont="1" applyBorder="1" applyAlignment="1">
      <alignment horizontal="left" vertical="center"/>
    </xf>
    <xf numFmtId="0" fontId="75" fillId="0" borderId="0" xfId="0" applyFont="1" applyAlignment="1">
      <alignment horizontal="left" vertical="center"/>
    </xf>
    <xf numFmtId="0" fontId="75" fillId="0" borderId="0" xfId="0" applyFont="1" applyAlignment="1">
      <alignment horizontal="center" vertical="center"/>
    </xf>
    <xf numFmtId="4" fontId="137" fillId="0" borderId="63" xfId="0" applyNumberFormat="1" applyFont="1" applyBorder="1" applyAlignment="1">
      <alignment horizontal="left" vertical="center"/>
    </xf>
    <xf numFmtId="4" fontId="137" fillId="0" borderId="55" xfId="0" applyNumberFormat="1" applyFont="1" applyBorder="1" applyAlignment="1">
      <alignment horizontal="left" vertical="center"/>
    </xf>
    <xf numFmtId="4" fontId="137" fillId="0" borderId="58" xfId="0" applyNumberFormat="1" applyFont="1" applyBorder="1" applyAlignment="1">
      <alignment horizontal="left" vertical="center"/>
    </xf>
  </cellXfs>
  <cellStyles count="6">
    <cellStyle name="Comma" xfId="3" builtinId="3"/>
    <cellStyle name="Comma 2 2" xfId="5" xr:uid="{00000000-0005-0000-0000-000001000000}"/>
    <cellStyle name="Hyperlink" xfId="1" builtinId="8"/>
    <cellStyle name="Normal" xfId="0" builtinId="0"/>
    <cellStyle name="Normal 3" xfId="4" xr:uid="{00000000-0005-0000-0000-000005000000}"/>
    <cellStyle name="Percent" xfId="2" builtinId="5"/>
  </cellStyles>
  <dxfs count="6">
    <dxf>
      <font>
        <strike val="0"/>
        <outline val="0"/>
        <shadow val="0"/>
        <u val="none"/>
        <vertAlign val="baseline"/>
        <sz val="11"/>
        <color theme="1"/>
        <name val="Khmer OS Battambang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Khmer OS Battambang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Khmer OS Battambang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Khmer OS Battambang"/>
        <scheme val="none"/>
      </font>
    </dxf>
    <dxf>
      <font>
        <b val="0"/>
        <strike val="0"/>
        <outline val="0"/>
        <shadow val="0"/>
        <u val="none"/>
        <vertAlign val="baseline"/>
        <sz val="11"/>
        <color theme="0"/>
        <name val="Roboto"/>
        <scheme val="none"/>
      </font>
      <alignment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 xr9:uid="{4F93897E-7DF7-4413-9216-EDCF6627E986}"/>
  </tableStyles>
  <colors>
    <mruColors>
      <color rgb="FFFF6600"/>
      <color rgb="FF0066CC"/>
      <color rgb="FFF9F9F9"/>
      <color rgb="FF003399"/>
      <color rgb="FFEAF3FA"/>
      <color rgb="FFEAF2FA"/>
      <color rgb="FFDECDFF"/>
      <color rgb="FF000099"/>
      <color rgb="FFF3FAFF"/>
      <color rgb="FFCBEC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connections" Target="connections.xml"/><Relationship Id="rId63" Type="http://schemas.openxmlformats.org/officeDocument/2006/relationships/customXml" Target="../customXml/item4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externalLink" Target="externalLinks/externalLink1.xml"/><Relationship Id="rId58" Type="http://schemas.openxmlformats.org/officeDocument/2006/relationships/sheetMetadata" Target="metadata.xml"/><Relationship Id="rId66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customXml" Target="../customXml/item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styles" Target="styles.xml"/><Relationship Id="rId64" Type="http://schemas.openxmlformats.org/officeDocument/2006/relationships/customXml" Target="../customXml/item5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theme" Target="theme/theme1.xml"/><Relationship Id="rId62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customXml" Target="../customXml/item1.xml"/><Relationship Id="rId65" Type="http://schemas.microsoft.com/office/2023/09/relationships/Python" Target="pyth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CheckBox" noThreeD="1"/>
</file>

<file path=xl/ctrlProps/ctrlProp22.xml><?xml version="1.0" encoding="utf-8"?>
<formControlPr xmlns="http://schemas.microsoft.com/office/spreadsheetml/2009/9/main" objectType="CheckBox" noThreeD="1"/>
</file>

<file path=xl/ctrlProps/ctrlProp23.xml><?xml version="1.0" encoding="utf-8"?>
<formControlPr xmlns="http://schemas.microsoft.com/office/spreadsheetml/2009/9/main" objectType="CheckBox" noThreeD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CheckBox" noThreeD="1"/>
</file>

<file path=xl/ctrlProps/ctrlProp26.xml><?xml version="1.0" encoding="utf-8"?>
<formControlPr xmlns="http://schemas.microsoft.com/office/spreadsheetml/2009/9/main" objectType="CheckBox" noThreeD="1"/>
</file>

<file path=xl/ctrlProps/ctrlProp27.xml><?xml version="1.0" encoding="utf-8"?>
<formControlPr xmlns="http://schemas.microsoft.com/office/spreadsheetml/2009/9/main" objectType="CheckBox" noThreeD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9.png"/><Relationship Id="rId12" Type="http://schemas.openxmlformats.org/officeDocument/2006/relationships/image" Target="../media/image14.png"/><Relationship Id="rId2" Type="http://schemas.openxmlformats.org/officeDocument/2006/relationships/image" Target="../media/image4.png"/><Relationship Id="rId1" Type="http://schemas.openxmlformats.org/officeDocument/2006/relationships/image" Target="../media/image2.emf"/><Relationship Id="rId6" Type="http://schemas.openxmlformats.org/officeDocument/2006/relationships/image" Target="../media/image8.png"/><Relationship Id="rId11" Type="http://schemas.openxmlformats.org/officeDocument/2006/relationships/image" Target="../media/image13.png"/><Relationship Id="rId5" Type="http://schemas.openxmlformats.org/officeDocument/2006/relationships/image" Target="../media/image7.png"/><Relationship Id="rId10" Type="http://schemas.openxmlformats.org/officeDocument/2006/relationships/image" Target="../media/image12.png"/><Relationship Id="rId4" Type="http://schemas.openxmlformats.org/officeDocument/2006/relationships/image" Target="../media/image6.png"/><Relationship Id="rId9" Type="http://schemas.openxmlformats.org/officeDocument/2006/relationships/image" Target="../media/image11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3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1.jpeg"/><Relationship Id="rId1" Type="http://schemas.openxmlformats.org/officeDocument/2006/relationships/image" Target="../media/image20.emf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4.jpeg"/><Relationship Id="rId1" Type="http://schemas.openxmlformats.org/officeDocument/2006/relationships/image" Target="../media/image2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6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5.emf"/></Relationships>
</file>

<file path=xl/drawings/_rels/vmlDrawing1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64770</xdr:colOff>
      <xdr:row>31</xdr:row>
      <xdr:rowOff>92075</xdr:rowOff>
    </xdr:from>
    <xdr:to>
      <xdr:col>3</xdr:col>
      <xdr:colOff>601980</xdr:colOff>
      <xdr:row>31</xdr:row>
      <xdr:rowOff>92075</xdr:rowOff>
    </xdr:to>
    <xdr:cxnSp macro="">
      <xdr:nvCxnSpPr>
        <xdr:cNvPr id="75" name="Straight Arrow Connector 74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CxnSpPr>
          <a:cxnSpLocks noChangeShapeType="1"/>
        </xdr:cNvCxnSpPr>
      </xdr:nvCxnSpPr>
      <xdr:spPr bwMode="auto">
        <a:xfrm>
          <a:off x="659130" y="3254375"/>
          <a:ext cx="1756410" cy="0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32385</xdr:colOff>
      <xdr:row>31</xdr:row>
      <xdr:rowOff>91440</xdr:rowOff>
    </xdr:from>
    <xdr:to>
      <xdr:col>7</xdr:col>
      <xdr:colOff>465455</xdr:colOff>
      <xdr:row>31</xdr:row>
      <xdr:rowOff>91440</xdr:rowOff>
    </xdr:to>
    <xdr:cxnSp macro="">
      <xdr:nvCxnSpPr>
        <xdr:cNvPr id="76" name="Straight Arrow Connector 75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CxnSpPr>
          <a:cxnSpLocks noChangeShapeType="1"/>
        </xdr:cNvCxnSpPr>
      </xdr:nvCxnSpPr>
      <xdr:spPr bwMode="auto">
        <a:xfrm>
          <a:off x="3080385" y="3253740"/>
          <a:ext cx="1652270" cy="0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8</xdr:col>
      <xdr:colOff>217805</xdr:colOff>
      <xdr:row>31</xdr:row>
      <xdr:rowOff>92075</xdr:rowOff>
    </xdr:from>
    <xdr:to>
      <xdr:col>11</xdr:col>
      <xdr:colOff>145415</xdr:colOff>
      <xdr:row>31</xdr:row>
      <xdr:rowOff>92075</xdr:rowOff>
    </xdr:to>
    <xdr:cxnSp macro="">
      <xdr:nvCxnSpPr>
        <xdr:cNvPr id="77" name="Straight Arrow Connector 76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CxnSpPr>
          <a:cxnSpLocks noChangeShapeType="1"/>
        </xdr:cNvCxnSpPr>
      </xdr:nvCxnSpPr>
      <xdr:spPr bwMode="auto">
        <a:xfrm>
          <a:off x="5094605" y="3254375"/>
          <a:ext cx="1756410" cy="0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2019299</xdr:colOff>
      <xdr:row>1</xdr:row>
      <xdr:rowOff>0</xdr:rowOff>
    </xdr:from>
    <xdr:to>
      <xdr:col>3</xdr:col>
      <xdr:colOff>1457325</xdr:colOff>
      <xdr:row>1</xdr:row>
      <xdr:rowOff>501355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pSpPr/>
      </xdr:nvGrpSpPr>
      <xdr:grpSpPr>
        <a:xfrm>
          <a:off x="2209799" y="130969"/>
          <a:ext cx="2021682" cy="501355"/>
          <a:chOff x="19188906" y="645582"/>
          <a:chExt cx="1163973" cy="499371"/>
        </a:xfrm>
      </xdr:grpSpPr>
      <xdr:sp macro="[0]!goToLastSheet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បើកទំព័រចុងក្រោយ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LastSheet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SpPr/>
        </xdr:nvSpPr>
        <xdr:spPr>
          <a:xfrm>
            <a:off x="19199865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'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0</xdr:colOff>
      <xdr:row>1</xdr:row>
      <xdr:rowOff>0</xdr:rowOff>
    </xdr:from>
    <xdr:to>
      <xdr:col>2</xdr:col>
      <xdr:colOff>1924051</xdr:colOff>
      <xdr:row>1</xdr:row>
      <xdr:rowOff>501355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pSpPr/>
      </xdr:nvGrpSpPr>
      <xdr:grpSpPr>
        <a:xfrm>
          <a:off x="190500" y="130969"/>
          <a:ext cx="1924051" cy="501355"/>
          <a:chOff x="19188906" y="645582"/>
          <a:chExt cx="1163973" cy="499371"/>
        </a:xfrm>
      </xdr:grpSpPr>
      <xdr:sp macro="[0]!ResetFilters" textlink="">
        <xdr:nvSpPr>
          <xdr:cNvPr id="12" name="Rectangle: Rounded Corners 11">
            <a:extLst>
              <a:ext uri="{FF2B5EF4-FFF2-40B4-BE49-F238E27FC236}">
                <a16:creationId xmlns:a16="http://schemas.microsoft.com/office/drawing/2014/main" id="{00000000-0008-0000-0100-00000C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លុបតម្រងទិន្នន័យ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LastSheet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SpPr/>
        </xdr:nvSpPr>
        <xdr:spPr>
          <a:xfrm>
            <a:off x="19199865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9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92072</xdr:colOff>
      <xdr:row>5</xdr:row>
      <xdr:rowOff>95250</xdr:rowOff>
    </xdr:from>
    <xdr:to>
      <xdr:col>2</xdr:col>
      <xdr:colOff>2473323</xdr:colOff>
      <xdr:row>6</xdr:row>
      <xdr:rowOff>215605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282572" y="1512094"/>
          <a:ext cx="2381251" cy="501355"/>
          <a:chOff x="19188906" y="645582"/>
          <a:chExt cx="1163973" cy="499371"/>
        </a:xfrm>
      </xdr:grpSpPr>
      <xdr:sp macro="[0]!goToProductList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បញ្ជីទំនិញ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ProductList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SpPr/>
        </xdr:nvSpPr>
        <xdr:spPr>
          <a:xfrm>
            <a:off x="19376107" y="786247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U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92072</xdr:colOff>
      <xdr:row>6</xdr:row>
      <xdr:rowOff>304800</xdr:rowOff>
    </xdr:from>
    <xdr:to>
      <xdr:col>2</xdr:col>
      <xdr:colOff>2473323</xdr:colOff>
      <xdr:row>8</xdr:row>
      <xdr:rowOff>44155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pSpPr/>
      </xdr:nvGrpSpPr>
      <xdr:grpSpPr>
        <a:xfrm>
          <a:off x="282572" y="2102644"/>
          <a:ext cx="2381251" cy="501355"/>
          <a:chOff x="19188906" y="645582"/>
          <a:chExt cx="1163973" cy="499371"/>
        </a:xfrm>
      </xdr:grpSpPr>
      <xdr:sp macro="[0]!goUoM" textlink="">
        <xdr:nvSpPr>
          <xdr:cNvPr id="15" name="Rectangle: Rounded Corners 14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ខ្នាតទំនិញ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UoM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100-000010000000}"/>
              </a:ext>
            </a:extLst>
          </xdr:cNvPr>
          <xdr:cNvSpPr/>
        </xdr:nvSpPr>
        <xdr:spPr>
          <a:xfrm>
            <a:off x="19407145" y="763646"/>
            <a:ext cx="261937" cy="33997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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92072</xdr:colOff>
      <xdr:row>8</xdr:row>
      <xdr:rowOff>112184</xdr:rowOff>
    </xdr:from>
    <xdr:to>
      <xdr:col>2</xdr:col>
      <xdr:colOff>2473323</xdr:colOff>
      <xdr:row>9</xdr:row>
      <xdr:rowOff>232539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pSpPr/>
      </xdr:nvGrpSpPr>
      <xdr:grpSpPr>
        <a:xfrm>
          <a:off x="282572" y="2672028"/>
          <a:ext cx="2381251" cy="501355"/>
          <a:chOff x="19188906" y="645582"/>
          <a:chExt cx="1163973" cy="499371"/>
        </a:xfrm>
      </xdr:grpSpPr>
      <xdr:sp macro="[0]!goUomConversion" textlink="">
        <xdr:nvSpPr>
          <xdr:cNvPr id="18" name="Rectangle: Rounded Corners 17">
            <a:extLst>
              <a:ext uri="{FF2B5EF4-FFF2-40B4-BE49-F238E27FC236}">
                <a16:creationId xmlns:a16="http://schemas.microsoft.com/office/drawing/2014/main" id="{00000000-0008-0000-0100-000012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បំបែកខ្នាតទំនិញ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UomConversion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100-000013000000}"/>
              </a:ext>
            </a:extLst>
          </xdr:cNvPr>
          <xdr:cNvSpPr/>
        </xdr:nvSpPr>
        <xdr:spPr>
          <a:xfrm>
            <a:off x="19305751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s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92072</xdr:colOff>
      <xdr:row>9</xdr:row>
      <xdr:rowOff>323850</xdr:rowOff>
    </xdr:from>
    <xdr:to>
      <xdr:col>2</xdr:col>
      <xdr:colOff>2473323</xdr:colOff>
      <xdr:row>11</xdr:row>
      <xdr:rowOff>63205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pSpPr/>
      </xdr:nvGrpSpPr>
      <xdr:grpSpPr>
        <a:xfrm>
          <a:off x="282572" y="3264694"/>
          <a:ext cx="2381251" cy="501355"/>
          <a:chOff x="19188906" y="645582"/>
          <a:chExt cx="1163973" cy="499371"/>
        </a:xfrm>
      </xdr:grpSpPr>
      <xdr:sp macro="[0]!goLocation" textlink="">
        <xdr:nvSpPr>
          <xdr:cNvPr id="21" name="Rectangle: Rounded Corners 20">
            <a:extLst>
              <a:ext uri="{FF2B5EF4-FFF2-40B4-BE49-F238E27FC236}">
                <a16:creationId xmlns:a16="http://schemas.microsoft.com/office/drawing/2014/main" id="{00000000-0008-0000-0100-000015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ទីតាំងស្តុកទំនិញ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Location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0100-000016000000}"/>
              </a:ext>
            </a:extLst>
          </xdr:cNvPr>
          <xdr:cNvSpPr/>
        </xdr:nvSpPr>
        <xdr:spPr>
          <a:xfrm>
            <a:off x="19305751" y="746190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600">
                <a:solidFill>
                  <a:srgbClr val="0066CC"/>
                </a:solidFill>
                <a:latin typeface="myicons" panose="02000509000000000000" pitchFamily="49" charset="0"/>
              </a:rPr>
              <a:t></a:t>
            </a:r>
            <a:endParaRPr lang="en-US" sz="16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92072</xdr:colOff>
      <xdr:row>11</xdr:row>
      <xdr:rowOff>136820</xdr:rowOff>
    </xdr:from>
    <xdr:to>
      <xdr:col>2</xdr:col>
      <xdr:colOff>2473323</xdr:colOff>
      <xdr:row>12</xdr:row>
      <xdr:rowOff>257175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GrpSpPr/>
      </xdr:nvGrpSpPr>
      <xdr:grpSpPr>
        <a:xfrm>
          <a:off x="282572" y="3839664"/>
          <a:ext cx="2381251" cy="501355"/>
          <a:chOff x="19188906" y="645582"/>
          <a:chExt cx="1163973" cy="499371"/>
        </a:xfrm>
      </xdr:grpSpPr>
      <xdr:sp macro="[0]!goInventoryAdj" textlink="">
        <xdr:nvSpPr>
          <xdr:cNvPr id="24" name="Rectangle: Rounded Corners 23">
            <a:extLst>
              <a:ext uri="{FF2B5EF4-FFF2-40B4-BE49-F238E27FC236}">
                <a16:creationId xmlns:a16="http://schemas.microsoft.com/office/drawing/2014/main" id="{00000000-0008-0000-0100-000018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បញ្ចូលសន្និធិ (ស្តុក)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InventoryAdj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100-000019000000}"/>
              </a:ext>
            </a:extLst>
          </xdr:cNvPr>
          <xdr:cNvSpPr/>
        </xdr:nvSpPr>
        <xdr:spPr>
          <a:xfrm>
            <a:off x="19273159" y="755678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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92072</xdr:colOff>
      <xdr:row>12</xdr:row>
      <xdr:rowOff>336845</xdr:rowOff>
    </xdr:from>
    <xdr:to>
      <xdr:col>2</xdr:col>
      <xdr:colOff>2473323</xdr:colOff>
      <xdr:row>14</xdr:row>
      <xdr:rowOff>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GrpSpPr/>
      </xdr:nvGrpSpPr>
      <xdr:grpSpPr>
        <a:xfrm>
          <a:off x="282572" y="4420689"/>
          <a:ext cx="2381251" cy="496592"/>
          <a:chOff x="19188906" y="645582"/>
          <a:chExt cx="1163973" cy="499371"/>
        </a:xfrm>
      </xdr:grpSpPr>
      <xdr:sp macro="" textlink="">
        <xdr:nvSpPr>
          <xdr:cNvPr id="27" name="Rectangle: Rounded Corners 26">
            <a:extLst>
              <a:ext uri="{FF2B5EF4-FFF2-40B4-BE49-F238E27FC236}">
                <a16:creationId xmlns:a16="http://schemas.microsoft.com/office/drawing/2014/main" id="{00000000-0008-0000-0100-00001B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chemeClr val="bg1">
                    <a:lumMod val="65000"/>
                  </a:schemeClr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chemeClr val="bg1">
                    <a:lumMod val="65000"/>
                  </a:schemeClr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រាប់សន្និធិ (ស្តុក)</a:t>
            </a:r>
            <a:endParaRPr lang="en-US" sz="1400">
              <a:solidFill>
                <a:schemeClr val="bg1">
                  <a:lumMod val="65000"/>
                </a:schemeClr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CountStock" textlink="">
        <xdr:nvSpPr>
          <xdr:cNvPr id="28" name="Rectangle 27">
            <a:extLst>
              <a:ext uri="{FF2B5EF4-FFF2-40B4-BE49-F238E27FC236}">
                <a16:creationId xmlns:a16="http://schemas.microsoft.com/office/drawing/2014/main" id="{00000000-0008-0000-0100-00001C000000}"/>
              </a:ext>
            </a:extLst>
          </xdr:cNvPr>
          <xdr:cNvSpPr/>
        </xdr:nvSpPr>
        <xdr:spPr>
          <a:xfrm>
            <a:off x="19282471" y="746190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chemeClr val="bg1">
                    <a:lumMod val="65000"/>
                  </a:schemeClr>
                </a:solidFill>
                <a:latin typeface="myicons" panose="02000509000000000000" pitchFamily="49" charset="0"/>
              </a:rPr>
              <a:t>W</a:t>
            </a:r>
            <a:endParaRPr lang="en-US" sz="2000">
              <a:solidFill>
                <a:schemeClr val="bg1">
                  <a:lumMod val="65000"/>
                </a:schemeClr>
              </a:solidFill>
            </a:endParaRPr>
          </a:p>
        </xdr:txBody>
      </xdr:sp>
    </xdr:grpSp>
    <xdr:clientData/>
  </xdr:twoCellAnchor>
  <xdr:twoCellAnchor>
    <xdr:from>
      <xdr:col>4</xdr:col>
      <xdr:colOff>123821</xdr:colOff>
      <xdr:row>18</xdr:row>
      <xdr:rowOff>347164</xdr:rowOff>
    </xdr:from>
    <xdr:to>
      <xdr:col>4</xdr:col>
      <xdr:colOff>2654010</xdr:colOff>
      <xdr:row>20</xdr:row>
      <xdr:rowOff>84403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GrpSpPr/>
      </xdr:nvGrpSpPr>
      <xdr:grpSpPr>
        <a:xfrm>
          <a:off x="5481634" y="6764633"/>
          <a:ext cx="2530189" cy="499239"/>
          <a:chOff x="19188906" y="645582"/>
          <a:chExt cx="1163973" cy="499371"/>
        </a:xfrm>
      </xdr:grpSpPr>
      <xdr:sp macro="[0]!goProductPrice" textlink="">
        <xdr:nvSpPr>
          <xdr:cNvPr id="30" name="Rectangle: Rounded Corners 29">
            <a:extLst>
              <a:ext uri="{FF2B5EF4-FFF2-40B4-BE49-F238E27FC236}">
                <a16:creationId xmlns:a16="http://schemas.microsoft.com/office/drawing/2014/main" id="{00000000-0008-0000-0100-00001E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បញ្ចូលតម្លៃទំនិញនីមួយៗ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ProductPrice" textlink="">
        <xdr:nvSpPr>
          <xdr:cNvPr id="31" name="Rectangle 30">
            <a:extLst>
              <a:ext uri="{FF2B5EF4-FFF2-40B4-BE49-F238E27FC236}">
                <a16:creationId xmlns:a16="http://schemas.microsoft.com/office/drawing/2014/main" id="{00000000-0008-0000-0100-00001F000000}"/>
              </a:ext>
            </a:extLst>
          </xdr:cNvPr>
          <xdr:cNvSpPr/>
        </xdr:nvSpPr>
        <xdr:spPr>
          <a:xfrm>
            <a:off x="19218965" y="767361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.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3</xdr:col>
      <xdr:colOff>134405</xdr:colOff>
      <xdr:row>11</xdr:row>
      <xdr:rowOff>139995</xdr:rowOff>
    </xdr:from>
    <xdr:to>
      <xdr:col>3</xdr:col>
      <xdr:colOff>2515656</xdr:colOff>
      <xdr:row>12</xdr:row>
      <xdr:rowOff>260350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GrpSpPr/>
      </xdr:nvGrpSpPr>
      <xdr:grpSpPr>
        <a:xfrm>
          <a:off x="2908561" y="3842839"/>
          <a:ext cx="2381251" cy="501355"/>
          <a:chOff x="19188906" y="645582"/>
          <a:chExt cx="1163973" cy="499371"/>
        </a:xfrm>
      </xdr:grpSpPr>
      <xdr:sp macro="[0]!goProductCostHistory" textlink="">
        <xdr:nvSpPr>
          <xdr:cNvPr id="33" name="Rectangle: Rounded Corners 32">
            <a:extLst>
              <a:ext uri="{FF2B5EF4-FFF2-40B4-BE49-F238E27FC236}">
                <a16:creationId xmlns:a16="http://schemas.microsoft.com/office/drawing/2014/main" id="{00000000-0008-0000-0100-000021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ប្រវត្តិតម្លៃដើមទំនិញ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ProductCostHistory" textlink="">
        <xdr:nvSpPr>
          <xdr:cNvPr id="34" name="Rectangle 33">
            <a:extLst>
              <a:ext uri="{FF2B5EF4-FFF2-40B4-BE49-F238E27FC236}">
                <a16:creationId xmlns:a16="http://schemas.microsoft.com/office/drawing/2014/main" id="{00000000-0008-0000-0100-000022000000}"/>
              </a:ext>
            </a:extLst>
          </xdr:cNvPr>
          <xdr:cNvSpPr/>
        </xdr:nvSpPr>
        <xdr:spPr>
          <a:xfrm>
            <a:off x="19254536" y="746190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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4</xdr:col>
      <xdr:colOff>123821</xdr:colOff>
      <xdr:row>22</xdr:row>
      <xdr:rowOff>139202</xdr:rowOff>
    </xdr:from>
    <xdr:to>
      <xdr:col>4</xdr:col>
      <xdr:colOff>2654010</xdr:colOff>
      <xdr:row>23</xdr:row>
      <xdr:rowOff>251619</xdr:rowOff>
    </xdr:to>
    <xdr:grpSp>
      <xdr:nvGrpSpPr>
        <xdr:cNvPr id="35" name="Group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GrpSpPr/>
      </xdr:nvGrpSpPr>
      <xdr:grpSpPr>
        <a:xfrm>
          <a:off x="5481634" y="7913983"/>
          <a:ext cx="2530189" cy="493417"/>
          <a:chOff x="19188906" y="645582"/>
          <a:chExt cx="1163973" cy="499371"/>
        </a:xfrm>
      </xdr:grpSpPr>
      <xdr:sp macro="[0]!goProductPriceHistory" textlink="">
        <xdr:nvSpPr>
          <xdr:cNvPr id="36" name="Rectangle: Rounded Corners 35">
            <a:extLst>
              <a:ext uri="{FF2B5EF4-FFF2-40B4-BE49-F238E27FC236}">
                <a16:creationId xmlns:a16="http://schemas.microsoft.com/office/drawing/2014/main" id="{00000000-0008-0000-0100-000024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ប្រវត្តិតម្លៃលក់ទំនិញ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ProductPriceHistory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0100-000025000000}"/>
              </a:ext>
            </a:extLst>
          </xdr:cNvPr>
          <xdr:cNvSpPr/>
        </xdr:nvSpPr>
        <xdr:spPr>
          <a:xfrm>
            <a:off x="19299096" y="767273"/>
            <a:ext cx="212203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>
                <a:solidFill>
                  <a:srgbClr val="0066CC"/>
                </a:solidFill>
                <a:latin typeface="myicons" panose="02000509000000000000" pitchFamily="49" charset="0"/>
              </a:rPr>
              <a:t></a:t>
            </a:r>
            <a:endParaRPr lang="en-US" sz="24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92072</xdr:colOff>
      <xdr:row>14</xdr:row>
      <xdr:rowOff>88901</xdr:rowOff>
    </xdr:from>
    <xdr:to>
      <xdr:col>2</xdr:col>
      <xdr:colOff>2473323</xdr:colOff>
      <xdr:row>15</xdr:row>
      <xdr:rowOff>230422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GrpSpPr/>
      </xdr:nvGrpSpPr>
      <xdr:grpSpPr>
        <a:xfrm>
          <a:off x="282572" y="5006182"/>
          <a:ext cx="2381251" cy="498709"/>
          <a:chOff x="19188906" y="645582"/>
          <a:chExt cx="1163973" cy="499371"/>
        </a:xfrm>
      </xdr:grpSpPr>
      <xdr:sp macro="[0]!goProductGroup" textlink="">
        <xdr:nvSpPr>
          <xdr:cNvPr id="39" name="Rectangle: Rounded Corners 38">
            <a:extLst>
              <a:ext uri="{FF2B5EF4-FFF2-40B4-BE49-F238E27FC236}">
                <a16:creationId xmlns:a16="http://schemas.microsoft.com/office/drawing/2014/main" id="{00000000-0008-0000-0100-000027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ក្រុមទំនិញ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ProductGroup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0100-000028000000}"/>
              </a:ext>
            </a:extLst>
          </xdr:cNvPr>
          <xdr:cNvSpPr/>
        </xdr:nvSpPr>
        <xdr:spPr>
          <a:xfrm>
            <a:off x="19417492" y="784140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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92072</xdr:colOff>
      <xdr:row>15</xdr:row>
      <xdr:rowOff>313562</xdr:rowOff>
    </xdr:from>
    <xdr:to>
      <xdr:col>2</xdr:col>
      <xdr:colOff>2473323</xdr:colOff>
      <xdr:row>17</xdr:row>
      <xdr:rowOff>56092</xdr:rowOff>
    </xdr:to>
    <xdr:grpSp>
      <xdr:nvGrpSpPr>
        <xdr:cNvPr id="44" name="Group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GrpSpPr/>
      </xdr:nvGrpSpPr>
      <xdr:grpSpPr>
        <a:xfrm>
          <a:off x="282572" y="5588031"/>
          <a:ext cx="2381251" cy="504530"/>
          <a:chOff x="19188906" y="645582"/>
          <a:chExt cx="1163973" cy="499371"/>
        </a:xfrm>
      </xdr:grpSpPr>
      <xdr:sp macro="[0]!goBrand" textlink="">
        <xdr:nvSpPr>
          <xdr:cNvPr id="45" name="Rectangle: Rounded Corners 44">
            <a:extLst>
              <a:ext uri="{FF2B5EF4-FFF2-40B4-BE49-F238E27FC236}">
                <a16:creationId xmlns:a16="http://schemas.microsoft.com/office/drawing/2014/main" id="{00000000-0008-0000-0100-00002D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ម៉ាកទំនិញ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Brand" textlink="">
        <xdr:nvSpPr>
          <xdr:cNvPr id="46" name="Rectangle 45">
            <a:extLst>
              <a:ext uri="{FF2B5EF4-FFF2-40B4-BE49-F238E27FC236}">
                <a16:creationId xmlns:a16="http://schemas.microsoft.com/office/drawing/2014/main" id="{00000000-0008-0000-0100-00002E000000}"/>
              </a:ext>
            </a:extLst>
          </xdr:cNvPr>
          <xdr:cNvSpPr/>
        </xdr:nvSpPr>
        <xdr:spPr>
          <a:xfrm>
            <a:off x="19417492" y="756664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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3</xdr:col>
      <xdr:colOff>133350</xdr:colOff>
      <xdr:row>5</xdr:row>
      <xdr:rowOff>95250</xdr:rowOff>
    </xdr:from>
    <xdr:to>
      <xdr:col>3</xdr:col>
      <xdr:colOff>2514601</xdr:colOff>
      <xdr:row>6</xdr:row>
      <xdr:rowOff>215605</xdr:rowOff>
    </xdr:to>
    <xdr:grpSp>
      <xdr:nvGrpSpPr>
        <xdr:cNvPr id="47" name="Group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GrpSpPr/>
      </xdr:nvGrpSpPr>
      <xdr:grpSpPr>
        <a:xfrm>
          <a:off x="2907506" y="1512094"/>
          <a:ext cx="2381251" cy="501355"/>
          <a:chOff x="19188906" y="645582"/>
          <a:chExt cx="1163973" cy="499371"/>
        </a:xfrm>
      </xdr:grpSpPr>
      <xdr:sp macro="[0]!goToVendorList" textlink="">
        <xdr:nvSpPr>
          <xdr:cNvPr id="48" name="Rectangle: Rounded Corners 47">
            <a:extLst>
              <a:ext uri="{FF2B5EF4-FFF2-40B4-BE49-F238E27FC236}">
                <a16:creationId xmlns:a16="http://schemas.microsoft.com/office/drawing/2014/main" id="{00000000-0008-0000-0100-000030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បញ្ជីអ្នកផ្គត់ផ្គង់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VendorList" textlink="">
        <xdr:nvSpPr>
          <xdr:cNvPr id="49" name="Rectangle 48">
            <a:extLst>
              <a:ext uri="{FF2B5EF4-FFF2-40B4-BE49-F238E27FC236}">
                <a16:creationId xmlns:a16="http://schemas.microsoft.com/office/drawing/2014/main" id="{00000000-0008-0000-0100-000031000000}"/>
              </a:ext>
            </a:extLst>
          </xdr:cNvPr>
          <xdr:cNvSpPr/>
        </xdr:nvSpPr>
        <xdr:spPr>
          <a:xfrm>
            <a:off x="19338342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~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3</xdr:col>
      <xdr:colOff>133350</xdr:colOff>
      <xdr:row>6</xdr:row>
      <xdr:rowOff>304800</xdr:rowOff>
    </xdr:from>
    <xdr:to>
      <xdr:col>3</xdr:col>
      <xdr:colOff>2514601</xdr:colOff>
      <xdr:row>8</xdr:row>
      <xdr:rowOff>44155</xdr:rowOff>
    </xdr:to>
    <xdr:grpSp>
      <xdr:nvGrpSpPr>
        <xdr:cNvPr id="50" name="Group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GrpSpPr/>
      </xdr:nvGrpSpPr>
      <xdr:grpSpPr>
        <a:xfrm>
          <a:off x="2907506" y="2102644"/>
          <a:ext cx="2381251" cy="501355"/>
          <a:chOff x="19188906" y="645582"/>
          <a:chExt cx="1163973" cy="499371"/>
        </a:xfrm>
      </xdr:grpSpPr>
      <xdr:sp macro="" textlink="">
        <xdr:nvSpPr>
          <xdr:cNvPr id="51" name="Rectangle: Rounded Corners 50">
            <a:extLst>
              <a:ext uri="{FF2B5EF4-FFF2-40B4-BE49-F238E27FC236}">
                <a16:creationId xmlns:a16="http://schemas.microsoft.com/office/drawing/2014/main" id="{00000000-0008-0000-0100-00003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chemeClr val="bg1">
                    <a:lumMod val="65000"/>
                  </a:schemeClr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chemeClr val="bg1">
                    <a:lumMod val="65000"/>
                  </a:schemeClr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បញ្ចូលចំណាយផ្សេងៗ</a:t>
            </a:r>
            <a:endParaRPr lang="en-US" sz="1400">
              <a:solidFill>
                <a:schemeClr val="bg1">
                  <a:lumMod val="65000"/>
                </a:schemeClr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OtherExpense" textlink="">
        <xdr:nvSpPr>
          <xdr:cNvPr id="52" name="Rectangle 51">
            <a:extLst>
              <a:ext uri="{FF2B5EF4-FFF2-40B4-BE49-F238E27FC236}">
                <a16:creationId xmlns:a16="http://schemas.microsoft.com/office/drawing/2014/main" id="{00000000-0008-0000-0100-000034000000}"/>
              </a:ext>
            </a:extLst>
          </xdr:cNvPr>
          <xdr:cNvSpPr/>
        </xdr:nvSpPr>
        <xdr:spPr>
          <a:xfrm>
            <a:off x="19221945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chemeClr val="bg1">
                    <a:lumMod val="65000"/>
                  </a:schemeClr>
                </a:solidFill>
                <a:latin typeface="myicons" panose="02000509000000000000" pitchFamily="49" charset="0"/>
              </a:rPr>
              <a:t></a:t>
            </a:r>
            <a:endParaRPr lang="en-US" sz="2000">
              <a:solidFill>
                <a:schemeClr val="bg1">
                  <a:lumMod val="65000"/>
                </a:schemeClr>
              </a:solidFill>
            </a:endParaRPr>
          </a:p>
        </xdr:txBody>
      </xdr:sp>
    </xdr:grpSp>
    <xdr:clientData/>
  </xdr:twoCellAnchor>
  <xdr:twoCellAnchor>
    <xdr:from>
      <xdr:col>3</xdr:col>
      <xdr:colOff>133350</xdr:colOff>
      <xdr:row>8</xdr:row>
      <xdr:rowOff>133350</xdr:rowOff>
    </xdr:from>
    <xdr:to>
      <xdr:col>3</xdr:col>
      <xdr:colOff>2514601</xdr:colOff>
      <xdr:row>9</xdr:row>
      <xdr:rowOff>253705</xdr:rowOff>
    </xdr:to>
    <xdr:grpSp>
      <xdr:nvGrpSpPr>
        <xdr:cNvPr id="53" name="Group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GrpSpPr/>
      </xdr:nvGrpSpPr>
      <xdr:grpSpPr>
        <a:xfrm>
          <a:off x="2907506" y="2693194"/>
          <a:ext cx="2381251" cy="501355"/>
          <a:chOff x="19188906" y="645582"/>
          <a:chExt cx="1163973" cy="499371"/>
        </a:xfrm>
      </xdr:grpSpPr>
      <xdr:sp macro="[0]!goAddPurchaseBill" textlink="">
        <xdr:nvSpPr>
          <xdr:cNvPr id="54" name="Rectangle: Rounded Corners 53">
            <a:extLst>
              <a:ext uri="{FF2B5EF4-FFF2-40B4-BE49-F238E27FC236}">
                <a16:creationId xmlns:a16="http://schemas.microsoft.com/office/drawing/2014/main" id="{00000000-0008-0000-0100-000036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បញ្ចូលប្រតិបត្តិការទិញ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AddPurchaseBill" textlink="">
        <xdr:nvSpPr>
          <xdr:cNvPr id="55" name="Rectangle 54">
            <a:extLst>
              <a:ext uri="{FF2B5EF4-FFF2-40B4-BE49-F238E27FC236}">
                <a16:creationId xmlns:a16="http://schemas.microsoft.com/office/drawing/2014/main" id="{00000000-0008-0000-0100-000037000000}"/>
              </a:ext>
            </a:extLst>
          </xdr:cNvPr>
          <xdr:cNvSpPr/>
        </xdr:nvSpPr>
        <xdr:spPr>
          <a:xfrm>
            <a:off x="19212634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>
                <a:solidFill>
                  <a:srgbClr val="0066CC"/>
                </a:solidFill>
                <a:latin typeface="myicons" panose="02000509000000000000" pitchFamily="49" charset="0"/>
              </a:rPr>
              <a:t>)</a:t>
            </a:r>
            <a:endParaRPr lang="en-US" sz="24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3</xdr:col>
      <xdr:colOff>133350</xdr:colOff>
      <xdr:row>9</xdr:row>
      <xdr:rowOff>323850</xdr:rowOff>
    </xdr:from>
    <xdr:to>
      <xdr:col>3</xdr:col>
      <xdr:colOff>2514601</xdr:colOff>
      <xdr:row>11</xdr:row>
      <xdr:rowOff>63205</xdr:rowOff>
    </xdr:to>
    <xdr:grpSp>
      <xdr:nvGrpSpPr>
        <xdr:cNvPr id="56" name="Group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GrpSpPr/>
      </xdr:nvGrpSpPr>
      <xdr:grpSpPr>
        <a:xfrm>
          <a:off x="2907506" y="3264694"/>
          <a:ext cx="2381251" cy="501355"/>
          <a:chOff x="19188906" y="645582"/>
          <a:chExt cx="1163973" cy="499371"/>
        </a:xfrm>
      </xdr:grpSpPr>
      <xdr:sp macro="" textlink="">
        <xdr:nvSpPr>
          <xdr:cNvPr id="57" name="Rectangle: Rounded Corners 56">
            <a:extLst>
              <a:ext uri="{FF2B5EF4-FFF2-40B4-BE49-F238E27FC236}">
                <a16:creationId xmlns:a16="http://schemas.microsoft.com/office/drawing/2014/main" id="{00000000-0008-0000-0100-000039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chemeClr val="bg1">
                    <a:lumMod val="65000"/>
                  </a:schemeClr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chemeClr val="bg1">
                    <a:lumMod val="65000"/>
                  </a:schemeClr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ទូទាត់ប្រាក់ទៅអ្នកផ្គត់ផ្គង់</a:t>
            </a:r>
            <a:endParaRPr lang="en-US" sz="1400">
              <a:solidFill>
                <a:schemeClr val="bg1">
                  <a:lumMod val="65000"/>
                </a:schemeClr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AddPurchaseBill" textlink="">
        <xdr:nvSpPr>
          <xdr:cNvPr id="58" name="Rectangle 57">
            <a:extLst>
              <a:ext uri="{FF2B5EF4-FFF2-40B4-BE49-F238E27FC236}">
                <a16:creationId xmlns:a16="http://schemas.microsoft.com/office/drawing/2014/main" id="{00000000-0008-0000-0100-00003A000000}"/>
              </a:ext>
            </a:extLst>
          </xdr:cNvPr>
          <xdr:cNvSpPr/>
        </xdr:nvSpPr>
        <xdr:spPr>
          <a:xfrm>
            <a:off x="19189354" y="786247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chemeClr val="bg1">
                    <a:lumMod val="65000"/>
                  </a:schemeClr>
                </a:solidFill>
                <a:latin typeface="myicons" panose="02000509000000000000" pitchFamily="49" charset="0"/>
              </a:rPr>
              <a:t></a:t>
            </a:r>
            <a:endParaRPr lang="en-US" sz="2000">
              <a:solidFill>
                <a:schemeClr val="bg1">
                  <a:lumMod val="65000"/>
                </a:schemeClr>
              </a:solidFill>
            </a:endParaRPr>
          </a:p>
        </xdr:txBody>
      </xdr:sp>
    </xdr:grpSp>
    <xdr:clientData/>
  </xdr:twoCellAnchor>
  <xdr:twoCellAnchor>
    <xdr:from>
      <xdr:col>4</xdr:col>
      <xdr:colOff>114300</xdr:colOff>
      <xdr:row>5</xdr:row>
      <xdr:rowOff>95250</xdr:rowOff>
    </xdr:from>
    <xdr:to>
      <xdr:col>4</xdr:col>
      <xdr:colOff>2647950</xdr:colOff>
      <xdr:row>6</xdr:row>
      <xdr:rowOff>215605</xdr:rowOff>
    </xdr:to>
    <xdr:grpSp>
      <xdr:nvGrpSpPr>
        <xdr:cNvPr id="59" name="Group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GrpSpPr/>
      </xdr:nvGrpSpPr>
      <xdr:grpSpPr>
        <a:xfrm>
          <a:off x="5472113" y="1512094"/>
          <a:ext cx="2533650" cy="501355"/>
          <a:chOff x="19188906" y="645582"/>
          <a:chExt cx="1163973" cy="499371"/>
        </a:xfrm>
      </xdr:grpSpPr>
      <xdr:sp macro="[0]!goToCustomerList" textlink="">
        <xdr:nvSpPr>
          <xdr:cNvPr id="60" name="Rectangle: Rounded Corners 59">
            <a:extLst>
              <a:ext uri="{FF2B5EF4-FFF2-40B4-BE49-F238E27FC236}">
                <a16:creationId xmlns:a16="http://schemas.microsoft.com/office/drawing/2014/main" id="{00000000-0008-0000-0100-00003C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បញ្ជីអតិថិជន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CustomerList" textlink="">
        <xdr:nvSpPr>
          <xdr:cNvPr id="61" name="Rectangle 60">
            <a:extLst>
              <a:ext uri="{FF2B5EF4-FFF2-40B4-BE49-F238E27FC236}">
                <a16:creationId xmlns:a16="http://schemas.microsoft.com/office/drawing/2014/main" id="{00000000-0008-0000-0100-00003D000000}"/>
              </a:ext>
            </a:extLst>
          </xdr:cNvPr>
          <xdr:cNvSpPr/>
        </xdr:nvSpPr>
        <xdr:spPr>
          <a:xfrm>
            <a:off x="19370934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>
                <a:solidFill>
                  <a:srgbClr val="0066CC"/>
                </a:solidFill>
                <a:latin typeface="myicons" panose="02000509000000000000" pitchFamily="49" charset="0"/>
              </a:rPr>
              <a:t></a:t>
            </a:r>
            <a:endParaRPr lang="en-US" sz="24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4</xdr:col>
      <xdr:colOff>114300</xdr:colOff>
      <xdr:row>6</xdr:row>
      <xdr:rowOff>298745</xdr:rowOff>
    </xdr:from>
    <xdr:to>
      <xdr:col>4</xdr:col>
      <xdr:colOff>2656417</xdr:colOff>
      <xdr:row>8</xdr:row>
      <xdr:rowOff>38100</xdr:rowOff>
    </xdr:to>
    <xdr:grpSp>
      <xdr:nvGrpSpPr>
        <xdr:cNvPr id="62" name="Group 61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GrpSpPr/>
      </xdr:nvGrpSpPr>
      <xdr:grpSpPr>
        <a:xfrm>
          <a:off x="5472113" y="2096589"/>
          <a:ext cx="2542117" cy="501355"/>
          <a:chOff x="19188906" y="645582"/>
          <a:chExt cx="1163973" cy="499371"/>
        </a:xfrm>
      </xdr:grpSpPr>
      <xdr:sp macro="[0]!goShipTo" textlink="">
        <xdr:nvSpPr>
          <xdr:cNvPr id="63" name="Rectangle: Rounded Corners 62">
            <a:extLst>
              <a:ext uri="{FF2B5EF4-FFF2-40B4-BE49-F238E27FC236}">
                <a16:creationId xmlns:a16="http://schemas.microsoft.com/office/drawing/2014/main" id="{00000000-0008-0000-0100-00003F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កន្លែងដឹកទៅ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ShipTo" textlink="">
        <xdr:nvSpPr>
          <xdr:cNvPr id="2084864" name="Rectangle 2084863">
            <a:extLst>
              <a:ext uri="{FF2B5EF4-FFF2-40B4-BE49-F238E27FC236}">
                <a16:creationId xmlns:a16="http://schemas.microsoft.com/office/drawing/2014/main" id="{00000000-0008-0000-0100-000000D01F00}"/>
              </a:ext>
            </a:extLst>
          </xdr:cNvPr>
          <xdr:cNvSpPr/>
        </xdr:nvSpPr>
        <xdr:spPr>
          <a:xfrm>
            <a:off x="19370934" y="754624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>
                <a:solidFill>
                  <a:srgbClr val="0066CC"/>
                </a:solidFill>
                <a:latin typeface="myicons" panose="02000509000000000000" pitchFamily="49" charset="0"/>
              </a:rPr>
              <a:t>|</a:t>
            </a:r>
            <a:endParaRPr lang="en-US" sz="18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4</xdr:col>
      <xdr:colOff>118533</xdr:colOff>
      <xdr:row>8</xdr:row>
      <xdr:rowOff>117770</xdr:rowOff>
    </xdr:from>
    <xdr:to>
      <xdr:col>4</xdr:col>
      <xdr:colOff>2652184</xdr:colOff>
      <xdr:row>9</xdr:row>
      <xdr:rowOff>238125</xdr:rowOff>
    </xdr:to>
    <xdr:grpSp>
      <xdr:nvGrpSpPr>
        <xdr:cNvPr id="2084865" name="Group 2084864">
          <a:extLst>
            <a:ext uri="{FF2B5EF4-FFF2-40B4-BE49-F238E27FC236}">
              <a16:creationId xmlns:a16="http://schemas.microsoft.com/office/drawing/2014/main" id="{00000000-0008-0000-0100-000001D01F00}"/>
            </a:ext>
          </a:extLst>
        </xdr:cNvPr>
        <xdr:cNvGrpSpPr/>
      </xdr:nvGrpSpPr>
      <xdr:grpSpPr>
        <a:xfrm>
          <a:off x="5476346" y="2677614"/>
          <a:ext cx="2533651" cy="501355"/>
          <a:chOff x="19188906" y="645582"/>
          <a:chExt cx="1163973" cy="499371"/>
        </a:xfrm>
      </xdr:grpSpPr>
      <xdr:sp macro="[0]!goAddQuotation" textlink="">
        <xdr:nvSpPr>
          <xdr:cNvPr id="2084870" name="Rectangle: Rounded Corners 2084869">
            <a:extLst>
              <a:ext uri="{FF2B5EF4-FFF2-40B4-BE49-F238E27FC236}">
                <a16:creationId xmlns:a16="http://schemas.microsoft.com/office/drawing/2014/main" id="{00000000-0008-0000-0100-000006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បញ្ចូលសម្រង់តម្លៃ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AddQuotation" textlink="">
        <xdr:nvSpPr>
          <xdr:cNvPr id="2084871" name="Rectangle 2084870">
            <a:extLst>
              <a:ext uri="{FF2B5EF4-FFF2-40B4-BE49-F238E27FC236}">
                <a16:creationId xmlns:a16="http://schemas.microsoft.com/office/drawing/2014/main" id="{00000000-0008-0000-0100-000007D01F00}"/>
              </a:ext>
            </a:extLst>
          </xdr:cNvPr>
          <xdr:cNvSpPr/>
        </xdr:nvSpPr>
        <xdr:spPr>
          <a:xfrm>
            <a:off x="19290226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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4</xdr:col>
      <xdr:colOff>114300</xdr:colOff>
      <xdr:row>9</xdr:row>
      <xdr:rowOff>314325</xdr:rowOff>
    </xdr:from>
    <xdr:to>
      <xdr:col>4</xdr:col>
      <xdr:colOff>2647950</xdr:colOff>
      <xdr:row>11</xdr:row>
      <xdr:rowOff>53680</xdr:rowOff>
    </xdr:to>
    <xdr:grpSp>
      <xdr:nvGrpSpPr>
        <xdr:cNvPr id="2084876" name="Group 2084875">
          <a:extLst>
            <a:ext uri="{FF2B5EF4-FFF2-40B4-BE49-F238E27FC236}">
              <a16:creationId xmlns:a16="http://schemas.microsoft.com/office/drawing/2014/main" id="{00000000-0008-0000-0100-00000CD01F00}"/>
            </a:ext>
          </a:extLst>
        </xdr:cNvPr>
        <xdr:cNvGrpSpPr/>
      </xdr:nvGrpSpPr>
      <xdr:grpSpPr>
        <a:xfrm>
          <a:off x="5472113" y="3255169"/>
          <a:ext cx="2533650" cy="501355"/>
          <a:chOff x="19188906" y="645582"/>
          <a:chExt cx="1163973" cy="499371"/>
        </a:xfrm>
      </xdr:grpSpPr>
      <xdr:sp macro="[0]!goAddInvoice" textlink="">
        <xdr:nvSpPr>
          <xdr:cNvPr id="2084878" name="Rectangle: Rounded Corners 2084877">
            <a:extLst>
              <a:ext uri="{FF2B5EF4-FFF2-40B4-BE49-F238E27FC236}">
                <a16:creationId xmlns:a16="http://schemas.microsoft.com/office/drawing/2014/main" id="{00000000-0008-0000-0100-00000E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បញ្ចូលវិក្កយបត្រ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AddInvoice" textlink="">
        <xdr:nvSpPr>
          <xdr:cNvPr id="2084881" name="Rectangle 2084880">
            <a:extLst>
              <a:ext uri="{FF2B5EF4-FFF2-40B4-BE49-F238E27FC236}">
                <a16:creationId xmlns:a16="http://schemas.microsoft.com/office/drawing/2014/main" id="{00000000-0008-0000-0100-000011D01F00}"/>
              </a:ext>
            </a:extLst>
          </xdr:cNvPr>
          <xdr:cNvSpPr/>
        </xdr:nvSpPr>
        <xdr:spPr>
          <a:xfrm>
            <a:off x="19333687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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4</xdr:col>
      <xdr:colOff>116070</xdr:colOff>
      <xdr:row>11</xdr:row>
      <xdr:rowOff>133350</xdr:rowOff>
    </xdr:from>
    <xdr:to>
      <xdr:col>4</xdr:col>
      <xdr:colOff>2649720</xdr:colOff>
      <xdr:row>12</xdr:row>
      <xdr:rowOff>253705</xdr:rowOff>
    </xdr:to>
    <xdr:grpSp>
      <xdr:nvGrpSpPr>
        <xdr:cNvPr id="2084883" name="Group 2084882">
          <a:extLst>
            <a:ext uri="{FF2B5EF4-FFF2-40B4-BE49-F238E27FC236}">
              <a16:creationId xmlns:a16="http://schemas.microsoft.com/office/drawing/2014/main" id="{00000000-0008-0000-0100-000013D01F00}"/>
            </a:ext>
          </a:extLst>
        </xdr:cNvPr>
        <xdr:cNvGrpSpPr/>
      </xdr:nvGrpSpPr>
      <xdr:grpSpPr>
        <a:xfrm>
          <a:off x="5473883" y="3836194"/>
          <a:ext cx="2533650" cy="501355"/>
          <a:chOff x="19188906" y="645582"/>
          <a:chExt cx="1163973" cy="499371"/>
        </a:xfrm>
      </xdr:grpSpPr>
      <xdr:sp macro="[0]!goToAddReceivePayment" textlink="">
        <xdr:nvSpPr>
          <xdr:cNvPr id="2084892" name="Rectangle: Rounded Corners 2084891">
            <a:extLst>
              <a:ext uri="{FF2B5EF4-FFF2-40B4-BE49-F238E27FC236}">
                <a16:creationId xmlns:a16="http://schemas.microsoft.com/office/drawing/2014/main" id="{00000000-0008-0000-0100-00001C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ប្រាក់ទូទាត់ពីអតិថិជន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AddReceivePayment" textlink="">
        <xdr:nvSpPr>
          <xdr:cNvPr id="2084893" name="Rectangle 2084892">
            <a:extLst>
              <a:ext uri="{FF2B5EF4-FFF2-40B4-BE49-F238E27FC236}">
                <a16:creationId xmlns:a16="http://schemas.microsoft.com/office/drawing/2014/main" id="{00000000-0008-0000-0100-00001DD01F00}"/>
              </a:ext>
            </a:extLst>
          </xdr:cNvPr>
          <xdr:cNvSpPr/>
        </xdr:nvSpPr>
        <xdr:spPr>
          <a:xfrm>
            <a:off x="19253787" y="754360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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4</xdr:col>
      <xdr:colOff>114300</xdr:colOff>
      <xdr:row>12</xdr:row>
      <xdr:rowOff>336845</xdr:rowOff>
    </xdr:from>
    <xdr:to>
      <xdr:col>4</xdr:col>
      <xdr:colOff>2647950</xdr:colOff>
      <xdr:row>14</xdr:row>
      <xdr:rowOff>0</xdr:rowOff>
    </xdr:to>
    <xdr:grpSp>
      <xdr:nvGrpSpPr>
        <xdr:cNvPr id="2084894" name="Group 2084893">
          <a:extLst>
            <a:ext uri="{FF2B5EF4-FFF2-40B4-BE49-F238E27FC236}">
              <a16:creationId xmlns:a16="http://schemas.microsoft.com/office/drawing/2014/main" id="{00000000-0008-0000-0100-00001ED01F00}"/>
            </a:ext>
          </a:extLst>
        </xdr:cNvPr>
        <xdr:cNvGrpSpPr/>
      </xdr:nvGrpSpPr>
      <xdr:grpSpPr>
        <a:xfrm>
          <a:off x="5472113" y="4420689"/>
          <a:ext cx="2533650" cy="496592"/>
          <a:chOff x="19188906" y="645582"/>
          <a:chExt cx="1163973" cy="499371"/>
        </a:xfrm>
      </xdr:grpSpPr>
      <xdr:sp macro="" textlink="">
        <xdr:nvSpPr>
          <xdr:cNvPr id="2084896" name="Rectangle: Rounded Corners 2084895">
            <a:extLst>
              <a:ext uri="{FF2B5EF4-FFF2-40B4-BE49-F238E27FC236}">
                <a16:creationId xmlns:a16="http://schemas.microsoft.com/office/drawing/2014/main" id="{00000000-0008-0000-0100-000020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chemeClr val="bg1">
                    <a:lumMod val="65000"/>
                  </a:schemeClr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chemeClr val="bg1">
                    <a:lumMod val="65000"/>
                  </a:schemeClr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បញ្ចូលចំណូលផ្សេងៗ</a:t>
            </a:r>
            <a:endParaRPr lang="en-US" sz="1400">
              <a:solidFill>
                <a:schemeClr val="bg1">
                  <a:lumMod val="65000"/>
                </a:schemeClr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OtherIncome" textlink="">
        <xdr:nvSpPr>
          <xdr:cNvPr id="2084898" name="Rectangle 2084897">
            <a:extLst>
              <a:ext uri="{FF2B5EF4-FFF2-40B4-BE49-F238E27FC236}">
                <a16:creationId xmlns:a16="http://schemas.microsoft.com/office/drawing/2014/main" id="{00000000-0008-0000-0100-000022D01F00}"/>
              </a:ext>
            </a:extLst>
          </xdr:cNvPr>
          <xdr:cNvSpPr/>
        </xdr:nvSpPr>
        <xdr:spPr>
          <a:xfrm>
            <a:off x="19261538" y="755678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chemeClr val="bg1">
                    <a:lumMod val="65000"/>
                  </a:schemeClr>
                </a:solidFill>
                <a:latin typeface="myicons" panose="02000509000000000000" pitchFamily="49" charset="0"/>
              </a:rPr>
              <a:t></a:t>
            </a:r>
            <a:endParaRPr lang="en-US" sz="2000">
              <a:solidFill>
                <a:schemeClr val="bg1">
                  <a:lumMod val="65000"/>
                </a:schemeClr>
              </a:solidFill>
            </a:endParaRPr>
          </a:p>
        </xdr:txBody>
      </xdr:sp>
    </xdr:grpSp>
    <xdr:clientData/>
  </xdr:twoCellAnchor>
  <xdr:twoCellAnchor>
    <xdr:from>
      <xdr:col>4</xdr:col>
      <xdr:colOff>114300</xdr:colOff>
      <xdr:row>14</xdr:row>
      <xdr:rowOff>89195</xdr:rowOff>
    </xdr:from>
    <xdr:to>
      <xdr:col>4</xdr:col>
      <xdr:colOff>2647950</xdr:colOff>
      <xdr:row>15</xdr:row>
      <xdr:rowOff>228600</xdr:rowOff>
    </xdr:to>
    <xdr:grpSp>
      <xdr:nvGrpSpPr>
        <xdr:cNvPr id="2084899" name="Group 2084898">
          <a:extLst>
            <a:ext uri="{FF2B5EF4-FFF2-40B4-BE49-F238E27FC236}">
              <a16:creationId xmlns:a16="http://schemas.microsoft.com/office/drawing/2014/main" id="{00000000-0008-0000-0100-000023D01F00}"/>
            </a:ext>
          </a:extLst>
        </xdr:cNvPr>
        <xdr:cNvGrpSpPr/>
      </xdr:nvGrpSpPr>
      <xdr:grpSpPr>
        <a:xfrm>
          <a:off x="5472113" y="5006476"/>
          <a:ext cx="2533650" cy="496593"/>
          <a:chOff x="19188906" y="645582"/>
          <a:chExt cx="1163973" cy="499371"/>
        </a:xfrm>
      </xdr:grpSpPr>
      <xdr:sp macro="[0]!goCgroup" textlink="">
        <xdr:nvSpPr>
          <xdr:cNvPr id="2084900" name="Rectangle: Rounded Corners 2084899">
            <a:extLst>
              <a:ext uri="{FF2B5EF4-FFF2-40B4-BE49-F238E27FC236}">
                <a16:creationId xmlns:a16="http://schemas.microsoft.com/office/drawing/2014/main" id="{00000000-0008-0000-0100-000024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បញ្ជើក្រុមអតិថិជន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Cgroup" textlink="">
        <xdr:nvSpPr>
          <xdr:cNvPr id="2084902" name="Rectangle 2084901">
            <a:extLst>
              <a:ext uri="{FF2B5EF4-FFF2-40B4-BE49-F238E27FC236}">
                <a16:creationId xmlns:a16="http://schemas.microsoft.com/office/drawing/2014/main" id="{00000000-0008-0000-0100-000026D01F00}"/>
              </a:ext>
            </a:extLst>
          </xdr:cNvPr>
          <xdr:cNvSpPr/>
        </xdr:nvSpPr>
        <xdr:spPr>
          <a:xfrm>
            <a:off x="19296545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>
                <a:solidFill>
                  <a:srgbClr val="0066CC"/>
                </a:solidFill>
                <a:latin typeface="myicons" panose="02000509000000000000" pitchFamily="49" charset="0"/>
              </a:rPr>
              <a:t>t</a:t>
            </a:r>
            <a:endParaRPr lang="en-US" sz="18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4</xdr:col>
      <xdr:colOff>114300</xdr:colOff>
      <xdr:row>15</xdr:row>
      <xdr:rowOff>317795</xdr:rowOff>
    </xdr:from>
    <xdr:to>
      <xdr:col>4</xdr:col>
      <xdr:colOff>2647950</xdr:colOff>
      <xdr:row>17</xdr:row>
      <xdr:rowOff>57150</xdr:rowOff>
    </xdr:to>
    <xdr:grpSp>
      <xdr:nvGrpSpPr>
        <xdr:cNvPr id="2084927" name="Group 2084926">
          <a:extLst>
            <a:ext uri="{FF2B5EF4-FFF2-40B4-BE49-F238E27FC236}">
              <a16:creationId xmlns:a16="http://schemas.microsoft.com/office/drawing/2014/main" id="{00000000-0008-0000-0100-00003FD01F00}"/>
            </a:ext>
          </a:extLst>
        </xdr:cNvPr>
        <xdr:cNvGrpSpPr/>
      </xdr:nvGrpSpPr>
      <xdr:grpSpPr>
        <a:xfrm>
          <a:off x="5472113" y="5592264"/>
          <a:ext cx="2533650" cy="501355"/>
          <a:chOff x="19188906" y="645582"/>
          <a:chExt cx="1163973" cy="499371"/>
        </a:xfrm>
      </xdr:grpSpPr>
      <xdr:sp macro="[0]!goPrintInvoice" textlink="">
        <xdr:nvSpPr>
          <xdr:cNvPr id="2084928" name="Rectangle: Rounded Corners 2084927">
            <a:extLst>
              <a:ext uri="{FF2B5EF4-FFF2-40B4-BE49-F238E27FC236}">
                <a16:creationId xmlns:a16="http://schemas.microsoft.com/office/drawing/2014/main" id="{00000000-0008-0000-0100-000040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ព្រីនវិក្កយបត្រលក់</a:t>
            </a:r>
            <a:r>
              <a:rPr lang="en-US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A4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PrintInvoice" textlink="">
        <xdr:nvSpPr>
          <xdr:cNvPr id="2084929" name="Rectangle 2084928">
            <a:extLst>
              <a:ext uri="{FF2B5EF4-FFF2-40B4-BE49-F238E27FC236}">
                <a16:creationId xmlns:a16="http://schemas.microsoft.com/office/drawing/2014/main" id="{00000000-0008-0000-0100-000041D01F00}"/>
              </a:ext>
            </a:extLst>
          </xdr:cNvPr>
          <xdr:cNvSpPr/>
        </xdr:nvSpPr>
        <xdr:spPr>
          <a:xfrm>
            <a:off x="19270895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>
                <a:solidFill>
                  <a:srgbClr val="0066CC"/>
                </a:solidFill>
                <a:latin typeface="myicons" panose="02000509000000000000" pitchFamily="49" charset="0"/>
              </a:rPr>
              <a:t></a:t>
            </a:r>
            <a:endParaRPr lang="en-US" sz="18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6</xdr:col>
      <xdr:colOff>85724</xdr:colOff>
      <xdr:row>5</xdr:row>
      <xdr:rowOff>95250</xdr:rowOff>
    </xdr:from>
    <xdr:to>
      <xdr:col>6</xdr:col>
      <xdr:colOff>2895599</xdr:colOff>
      <xdr:row>6</xdr:row>
      <xdr:rowOff>215605</xdr:rowOff>
    </xdr:to>
    <xdr:grpSp>
      <xdr:nvGrpSpPr>
        <xdr:cNvPr id="2084966" name="Group 2084965">
          <a:extLst>
            <a:ext uri="{FF2B5EF4-FFF2-40B4-BE49-F238E27FC236}">
              <a16:creationId xmlns:a16="http://schemas.microsoft.com/office/drawing/2014/main" id="{00000000-0008-0000-0100-000066D01F00}"/>
            </a:ext>
          </a:extLst>
        </xdr:cNvPr>
        <xdr:cNvGrpSpPr/>
      </xdr:nvGrpSpPr>
      <xdr:grpSpPr>
        <a:xfrm>
          <a:off x="10968037" y="1512094"/>
          <a:ext cx="2809875" cy="501355"/>
          <a:chOff x="19188906" y="645582"/>
          <a:chExt cx="1163973" cy="499371"/>
        </a:xfrm>
      </xdr:grpSpPr>
      <xdr:sp macro="[0]!goToReportInv_ActivitySummary" textlink="">
        <xdr:nvSpPr>
          <xdr:cNvPr id="2084967" name="Rectangle: Rounded Corners 2084966">
            <a:extLst>
              <a:ext uri="{FF2B5EF4-FFF2-40B4-BE49-F238E27FC236}">
                <a16:creationId xmlns:a16="http://schemas.microsoft.com/office/drawing/2014/main" id="{00000000-0008-0000-0100-000067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chemeClr val="bg1">
                    <a:lumMod val="65000"/>
                  </a:schemeClr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chemeClr val="bg1">
                    <a:lumMod val="65000"/>
                  </a:schemeClr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របាយការណ៍សន្និធិសរុប</a:t>
            </a:r>
            <a:endParaRPr lang="en-US" sz="1400">
              <a:solidFill>
                <a:schemeClr val="bg1">
                  <a:lumMod val="65000"/>
                </a:schemeClr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ReportInv_ActivitySummary" textlink="">
        <xdr:nvSpPr>
          <xdr:cNvPr id="2084968" name="Rectangle 2084967">
            <a:extLst>
              <a:ext uri="{FF2B5EF4-FFF2-40B4-BE49-F238E27FC236}">
                <a16:creationId xmlns:a16="http://schemas.microsoft.com/office/drawing/2014/main" id="{00000000-0008-0000-0100-000068D01F00}"/>
              </a:ext>
            </a:extLst>
          </xdr:cNvPr>
          <xdr:cNvSpPr/>
        </xdr:nvSpPr>
        <xdr:spPr>
          <a:xfrm>
            <a:off x="19268347" y="776760"/>
            <a:ext cx="165191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chemeClr val="bg1">
                    <a:lumMod val="65000"/>
                  </a:schemeClr>
                </a:solidFill>
                <a:latin typeface="myicons" panose="02000509000000000000" pitchFamily="49" charset="0"/>
              </a:rPr>
              <a:t>/</a:t>
            </a:r>
            <a:endParaRPr lang="en-US" sz="2000">
              <a:solidFill>
                <a:schemeClr val="bg1">
                  <a:lumMod val="65000"/>
                </a:schemeClr>
              </a:solidFill>
            </a:endParaRPr>
          </a:p>
        </xdr:txBody>
      </xdr:sp>
    </xdr:grpSp>
    <xdr:clientData/>
  </xdr:twoCellAnchor>
  <xdr:twoCellAnchor>
    <xdr:from>
      <xdr:col>6</xdr:col>
      <xdr:colOff>85724</xdr:colOff>
      <xdr:row>6</xdr:row>
      <xdr:rowOff>289220</xdr:rowOff>
    </xdr:from>
    <xdr:to>
      <xdr:col>6</xdr:col>
      <xdr:colOff>2895599</xdr:colOff>
      <xdr:row>8</xdr:row>
      <xdr:rowOff>28575</xdr:rowOff>
    </xdr:to>
    <xdr:grpSp>
      <xdr:nvGrpSpPr>
        <xdr:cNvPr id="2084969" name="Group 2084968">
          <a:extLst>
            <a:ext uri="{FF2B5EF4-FFF2-40B4-BE49-F238E27FC236}">
              <a16:creationId xmlns:a16="http://schemas.microsoft.com/office/drawing/2014/main" id="{00000000-0008-0000-0100-000069D01F00}"/>
            </a:ext>
          </a:extLst>
        </xdr:cNvPr>
        <xdr:cNvGrpSpPr/>
      </xdr:nvGrpSpPr>
      <xdr:grpSpPr>
        <a:xfrm>
          <a:off x="10968037" y="2087064"/>
          <a:ext cx="2809875" cy="501355"/>
          <a:chOff x="19188906" y="645582"/>
          <a:chExt cx="1163973" cy="499371"/>
        </a:xfrm>
      </xdr:grpSpPr>
      <xdr:sp macro="[0]!goToReportFinancialDetial" textlink="">
        <xdr:nvSpPr>
          <xdr:cNvPr id="2084970" name="Rectangle: Rounded Corners 2084969">
            <a:extLst>
              <a:ext uri="{FF2B5EF4-FFF2-40B4-BE49-F238E27FC236}">
                <a16:creationId xmlns:a16="http://schemas.microsoft.com/office/drawing/2014/main" id="{00000000-0008-0000-0100-00006A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chemeClr val="bg1">
                    <a:lumMod val="65000"/>
                  </a:schemeClr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chemeClr val="bg1">
                    <a:lumMod val="65000"/>
                  </a:schemeClr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របាយការណ៍ហិរញវត្ថុលំអិត</a:t>
            </a:r>
            <a:endParaRPr lang="en-US" sz="1400">
              <a:solidFill>
                <a:schemeClr val="bg1">
                  <a:lumMod val="65000"/>
                </a:schemeClr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ReportFinancialDetial" textlink="">
        <xdr:nvSpPr>
          <xdr:cNvPr id="2084971" name="Rectangle 2084970">
            <a:extLst>
              <a:ext uri="{FF2B5EF4-FFF2-40B4-BE49-F238E27FC236}">
                <a16:creationId xmlns:a16="http://schemas.microsoft.com/office/drawing/2014/main" id="{00000000-0008-0000-0100-00006BD01F00}"/>
              </a:ext>
            </a:extLst>
          </xdr:cNvPr>
          <xdr:cNvSpPr/>
        </xdr:nvSpPr>
        <xdr:spPr>
          <a:xfrm>
            <a:off x="19256510" y="755678"/>
            <a:ext cx="129680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chemeClr val="bg1">
                    <a:lumMod val="65000"/>
                  </a:schemeClr>
                </a:solidFill>
                <a:latin typeface="myicons" panose="02000509000000000000" pitchFamily="49" charset="0"/>
              </a:rPr>
              <a:t></a:t>
            </a:r>
            <a:endParaRPr lang="en-US" sz="2000">
              <a:solidFill>
                <a:schemeClr val="bg1">
                  <a:lumMod val="65000"/>
                </a:schemeClr>
              </a:solidFill>
            </a:endParaRPr>
          </a:p>
        </xdr:txBody>
      </xdr:sp>
    </xdr:grpSp>
    <xdr:clientData/>
  </xdr:twoCellAnchor>
  <xdr:twoCellAnchor>
    <xdr:from>
      <xdr:col>6</xdr:col>
      <xdr:colOff>85724</xdr:colOff>
      <xdr:row>8</xdr:row>
      <xdr:rowOff>117770</xdr:rowOff>
    </xdr:from>
    <xdr:to>
      <xdr:col>6</xdr:col>
      <xdr:colOff>2895599</xdr:colOff>
      <xdr:row>9</xdr:row>
      <xdr:rowOff>238125</xdr:rowOff>
    </xdr:to>
    <xdr:grpSp>
      <xdr:nvGrpSpPr>
        <xdr:cNvPr id="2084972" name="Group 2084971">
          <a:extLst>
            <a:ext uri="{FF2B5EF4-FFF2-40B4-BE49-F238E27FC236}">
              <a16:creationId xmlns:a16="http://schemas.microsoft.com/office/drawing/2014/main" id="{00000000-0008-0000-0100-00006CD01F00}"/>
            </a:ext>
          </a:extLst>
        </xdr:cNvPr>
        <xdr:cNvGrpSpPr/>
      </xdr:nvGrpSpPr>
      <xdr:grpSpPr>
        <a:xfrm>
          <a:off x="10968037" y="2677614"/>
          <a:ext cx="2809875" cy="501355"/>
          <a:chOff x="19188906" y="645582"/>
          <a:chExt cx="1163973" cy="499371"/>
        </a:xfrm>
      </xdr:grpSpPr>
      <xdr:sp macro="[0]!goToReportFinancialDetial" textlink="">
        <xdr:nvSpPr>
          <xdr:cNvPr id="2084973" name="Rectangle: Rounded Corners 2084972">
            <a:extLst>
              <a:ext uri="{FF2B5EF4-FFF2-40B4-BE49-F238E27FC236}">
                <a16:creationId xmlns:a16="http://schemas.microsoft.com/office/drawing/2014/main" id="{00000000-0008-0000-0100-00006D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chemeClr val="bg1">
                    <a:lumMod val="65000"/>
                  </a:schemeClr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chemeClr val="bg1">
                    <a:lumMod val="65000"/>
                  </a:schemeClr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របាយការណ៍ចំនេញ</a:t>
            </a:r>
            <a:r>
              <a:rPr lang="en-US" sz="1400" baseline="0">
                <a:solidFill>
                  <a:schemeClr val="bg1">
                    <a:lumMod val="65000"/>
                  </a:schemeClr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-</a:t>
            </a:r>
            <a:r>
              <a:rPr lang="km-KH" sz="1400" baseline="0">
                <a:solidFill>
                  <a:schemeClr val="bg1">
                    <a:lumMod val="65000"/>
                  </a:schemeClr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ខាត</a:t>
            </a:r>
            <a:endParaRPr lang="en-US" sz="1400">
              <a:solidFill>
                <a:schemeClr val="bg1">
                  <a:lumMod val="65000"/>
                </a:schemeClr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ReportFinancialDetial" textlink="">
        <xdr:nvSpPr>
          <xdr:cNvPr id="2084974" name="Rectangle 2084973">
            <a:extLst>
              <a:ext uri="{FF2B5EF4-FFF2-40B4-BE49-F238E27FC236}">
                <a16:creationId xmlns:a16="http://schemas.microsoft.com/office/drawing/2014/main" id="{00000000-0008-0000-0100-00006ED01F00}"/>
              </a:ext>
            </a:extLst>
          </xdr:cNvPr>
          <xdr:cNvSpPr/>
        </xdr:nvSpPr>
        <xdr:spPr>
          <a:xfrm>
            <a:off x="19256510" y="755678"/>
            <a:ext cx="180974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chemeClr val="bg1">
                    <a:lumMod val="65000"/>
                  </a:schemeClr>
                </a:solidFill>
                <a:latin typeface="myicons" panose="02000509000000000000" pitchFamily="49" charset="0"/>
              </a:rPr>
              <a:t>j</a:t>
            </a:r>
            <a:endParaRPr lang="en-US" sz="2000">
              <a:solidFill>
                <a:schemeClr val="bg1">
                  <a:lumMod val="65000"/>
                </a:schemeClr>
              </a:solidFill>
            </a:endParaRPr>
          </a:p>
        </xdr:txBody>
      </xdr:sp>
    </xdr:grpSp>
    <xdr:clientData/>
  </xdr:twoCellAnchor>
  <xdr:twoCellAnchor>
    <xdr:from>
      <xdr:col>7</xdr:col>
      <xdr:colOff>152400</xdr:colOff>
      <xdr:row>5</xdr:row>
      <xdr:rowOff>95250</xdr:rowOff>
    </xdr:from>
    <xdr:to>
      <xdr:col>7</xdr:col>
      <xdr:colOff>2781300</xdr:colOff>
      <xdr:row>6</xdr:row>
      <xdr:rowOff>215605</xdr:rowOff>
    </xdr:to>
    <xdr:grpSp>
      <xdr:nvGrpSpPr>
        <xdr:cNvPr id="2084975" name="Group 2084974">
          <a:extLst>
            <a:ext uri="{FF2B5EF4-FFF2-40B4-BE49-F238E27FC236}">
              <a16:creationId xmlns:a16="http://schemas.microsoft.com/office/drawing/2014/main" id="{00000000-0008-0000-0100-00006FD01F00}"/>
            </a:ext>
          </a:extLst>
        </xdr:cNvPr>
        <xdr:cNvGrpSpPr/>
      </xdr:nvGrpSpPr>
      <xdr:grpSpPr>
        <a:xfrm>
          <a:off x="14011275" y="1512094"/>
          <a:ext cx="2628900" cy="501355"/>
          <a:chOff x="19188906" y="645582"/>
          <a:chExt cx="1163973" cy="499371"/>
        </a:xfrm>
      </xdr:grpSpPr>
      <xdr:sp macro="[0]!goToSetting" textlink="">
        <xdr:nvSpPr>
          <xdr:cNvPr id="2084976" name="Rectangle: Rounded Corners 2084975">
            <a:extLst>
              <a:ext uri="{FF2B5EF4-FFF2-40B4-BE49-F238E27FC236}">
                <a16:creationId xmlns:a16="http://schemas.microsoft.com/office/drawing/2014/main" id="{00000000-0008-0000-0100-000070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កំណត់ប្រព័ន្ធទិន្នន័យ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Setting" textlink="">
        <xdr:nvSpPr>
          <xdr:cNvPr id="2084977" name="Rectangle 2084976">
            <a:extLst>
              <a:ext uri="{FF2B5EF4-FFF2-40B4-BE49-F238E27FC236}">
                <a16:creationId xmlns:a16="http://schemas.microsoft.com/office/drawing/2014/main" id="{00000000-0008-0000-0100-000071D01F00}"/>
              </a:ext>
            </a:extLst>
          </xdr:cNvPr>
          <xdr:cNvSpPr/>
        </xdr:nvSpPr>
        <xdr:spPr>
          <a:xfrm>
            <a:off x="19316791" y="775706"/>
            <a:ext cx="165453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l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7</xdr:col>
      <xdr:colOff>152400</xdr:colOff>
      <xdr:row>6</xdr:row>
      <xdr:rowOff>291336</xdr:rowOff>
    </xdr:from>
    <xdr:to>
      <xdr:col>7</xdr:col>
      <xdr:colOff>2781300</xdr:colOff>
      <xdr:row>8</xdr:row>
      <xdr:rowOff>30691</xdr:rowOff>
    </xdr:to>
    <xdr:grpSp>
      <xdr:nvGrpSpPr>
        <xdr:cNvPr id="2084978" name="Group 2084977">
          <a:extLst>
            <a:ext uri="{FF2B5EF4-FFF2-40B4-BE49-F238E27FC236}">
              <a16:creationId xmlns:a16="http://schemas.microsoft.com/office/drawing/2014/main" id="{00000000-0008-0000-0100-000072D01F00}"/>
            </a:ext>
          </a:extLst>
        </xdr:cNvPr>
        <xdr:cNvGrpSpPr/>
      </xdr:nvGrpSpPr>
      <xdr:grpSpPr>
        <a:xfrm>
          <a:off x="14011275" y="2089180"/>
          <a:ext cx="2628900" cy="501355"/>
          <a:chOff x="19188906" y="645582"/>
          <a:chExt cx="1163973" cy="499371"/>
        </a:xfrm>
      </xdr:grpSpPr>
      <xdr:sp macro="[0]!goToNBC_ExchangeRate" textlink="">
        <xdr:nvSpPr>
          <xdr:cNvPr id="2084979" name="Rectangle: Rounded Corners 2084978">
            <a:extLst>
              <a:ext uri="{FF2B5EF4-FFF2-40B4-BE49-F238E27FC236}">
                <a16:creationId xmlns:a16="http://schemas.microsoft.com/office/drawing/2014/main" id="{00000000-0008-0000-0100-000073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អត្រាប្តូរប្រាក់ធនាគារជាតិ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NBC_ExchangeRate" textlink="">
        <xdr:nvSpPr>
          <xdr:cNvPr id="2084980" name="Rectangle 2084979">
            <a:extLst>
              <a:ext uri="{FF2B5EF4-FFF2-40B4-BE49-F238E27FC236}">
                <a16:creationId xmlns:a16="http://schemas.microsoft.com/office/drawing/2014/main" id="{00000000-0008-0000-0100-000074D01F00}"/>
              </a:ext>
            </a:extLst>
          </xdr:cNvPr>
          <xdr:cNvSpPr/>
        </xdr:nvSpPr>
        <xdr:spPr>
          <a:xfrm>
            <a:off x="19243263" y="786247"/>
            <a:ext cx="187435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800">
                <a:solidFill>
                  <a:srgbClr val="0066CC"/>
                </a:solidFill>
                <a:latin typeface="myicons" panose="02000509000000000000" pitchFamily="49" charset="0"/>
              </a:rPr>
              <a:t></a:t>
            </a:r>
            <a:endParaRPr lang="en-US" sz="28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7</xdr:col>
      <xdr:colOff>152400</xdr:colOff>
      <xdr:row>8</xdr:row>
      <xdr:rowOff>109305</xdr:rowOff>
    </xdr:from>
    <xdr:to>
      <xdr:col>7</xdr:col>
      <xdr:colOff>2781300</xdr:colOff>
      <xdr:row>9</xdr:row>
      <xdr:rowOff>229660</xdr:rowOff>
    </xdr:to>
    <xdr:grpSp>
      <xdr:nvGrpSpPr>
        <xdr:cNvPr id="2084981" name="Group 2084980">
          <a:extLst>
            <a:ext uri="{FF2B5EF4-FFF2-40B4-BE49-F238E27FC236}">
              <a16:creationId xmlns:a16="http://schemas.microsoft.com/office/drawing/2014/main" id="{00000000-0008-0000-0100-000075D01F00}"/>
            </a:ext>
          </a:extLst>
        </xdr:cNvPr>
        <xdr:cNvGrpSpPr/>
      </xdr:nvGrpSpPr>
      <xdr:grpSpPr>
        <a:xfrm>
          <a:off x="14011275" y="2669149"/>
          <a:ext cx="2628900" cy="501355"/>
          <a:chOff x="19188906" y="645582"/>
          <a:chExt cx="1163973" cy="499371"/>
        </a:xfrm>
      </xdr:grpSpPr>
      <xdr:sp macro="[0]!goToSeller" textlink="">
        <xdr:nvSpPr>
          <xdr:cNvPr id="2084982" name="Rectangle: Rounded Corners 2084981">
            <a:extLst>
              <a:ext uri="{FF2B5EF4-FFF2-40B4-BE49-F238E27FC236}">
                <a16:creationId xmlns:a16="http://schemas.microsoft.com/office/drawing/2014/main" id="{00000000-0008-0000-0100-000076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បញ្ជីអ្នកលក់ទំនិញ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Seller" textlink="">
        <xdr:nvSpPr>
          <xdr:cNvPr id="2084983" name="Rectangle 2084982">
            <a:extLst>
              <a:ext uri="{FF2B5EF4-FFF2-40B4-BE49-F238E27FC236}">
                <a16:creationId xmlns:a16="http://schemas.microsoft.com/office/drawing/2014/main" id="{00000000-0008-0000-0100-000077D01F00}"/>
              </a:ext>
            </a:extLst>
          </xdr:cNvPr>
          <xdr:cNvSpPr/>
        </xdr:nvSpPr>
        <xdr:spPr>
          <a:xfrm>
            <a:off x="19349591" y="765165"/>
            <a:ext cx="179510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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7</xdr:col>
      <xdr:colOff>152400</xdr:colOff>
      <xdr:row>9</xdr:row>
      <xdr:rowOff>317795</xdr:rowOff>
    </xdr:from>
    <xdr:to>
      <xdr:col>7</xdr:col>
      <xdr:colOff>2781300</xdr:colOff>
      <xdr:row>11</xdr:row>
      <xdr:rowOff>57150</xdr:rowOff>
    </xdr:to>
    <xdr:grpSp>
      <xdr:nvGrpSpPr>
        <xdr:cNvPr id="2084984" name="Group 2084983">
          <a:extLst>
            <a:ext uri="{FF2B5EF4-FFF2-40B4-BE49-F238E27FC236}">
              <a16:creationId xmlns:a16="http://schemas.microsoft.com/office/drawing/2014/main" id="{00000000-0008-0000-0100-000078D01F00}"/>
            </a:ext>
          </a:extLst>
        </xdr:cNvPr>
        <xdr:cNvGrpSpPr/>
      </xdr:nvGrpSpPr>
      <xdr:grpSpPr>
        <a:xfrm>
          <a:off x="14011275" y="3258639"/>
          <a:ext cx="2628900" cy="501355"/>
          <a:chOff x="19188906" y="645582"/>
          <a:chExt cx="1163973" cy="499371"/>
        </a:xfrm>
      </xdr:grpSpPr>
      <xdr:sp macro="[0]!goCurrency" textlink="">
        <xdr:nvSpPr>
          <xdr:cNvPr id="2084985" name="Rectangle: Rounded Corners 2084984">
            <a:extLst>
              <a:ext uri="{FF2B5EF4-FFF2-40B4-BE49-F238E27FC236}">
                <a16:creationId xmlns:a16="http://schemas.microsoft.com/office/drawing/2014/main" id="{00000000-0008-0000-0100-000079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បញ្ជីរូបិយប័ណ្ណ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Currency" textlink="">
        <xdr:nvSpPr>
          <xdr:cNvPr id="2084986" name="Rectangle 2084985">
            <a:extLst>
              <a:ext uri="{FF2B5EF4-FFF2-40B4-BE49-F238E27FC236}">
                <a16:creationId xmlns:a16="http://schemas.microsoft.com/office/drawing/2014/main" id="{00000000-0008-0000-0100-00007AD01F00}"/>
              </a:ext>
            </a:extLst>
          </xdr:cNvPr>
          <xdr:cNvSpPr/>
        </xdr:nvSpPr>
        <xdr:spPr>
          <a:xfrm>
            <a:off x="19379153" y="775706"/>
            <a:ext cx="18551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7</xdr:col>
      <xdr:colOff>152400</xdr:colOff>
      <xdr:row>11</xdr:row>
      <xdr:rowOff>131233</xdr:rowOff>
    </xdr:from>
    <xdr:to>
      <xdr:col>7</xdr:col>
      <xdr:colOff>2781300</xdr:colOff>
      <xdr:row>12</xdr:row>
      <xdr:rowOff>251588</xdr:rowOff>
    </xdr:to>
    <xdr:grpSp>
      <xdr:nvGrpSpPr>
        <xdr:cNvPr id="2084987" name="Group 2084986">
          <a:extLst>
            <a:ext uri="{FF2B5EF4-FFF2-40B4-BE49-F238E27FC236}">
              <a16:creationId xmlns:a16="http://schemas.microsoft.com/office/drawing/2014/main" id="{00000000-0008-0000-0100-00007BD01F00}"/>
            </a:ext>
          </a:extLst>
        </xdr:cNvPr>
        <xdr:cNvGrpSpPr/>
      </xdr:nvGrpSpPr>
      <xdr:grpSpPr>
        <a:xfrm>
          <a:off x="14011275" y="3834077"/>
          <a:ext cx="2628900" cy="501355"/>
          <a:chOff x="19188906" y="645582"/>
          <a:chExt cx="1163973" cy="499371"/>
        </a:xfrm>
      </xdr:grpSpPr>
      <xdr:sp macro="[0]!goBranch" textlink="">
        <xdr:nvSpPr>
          <xdr:cNvPr id="2084988" name="Rectangle: Rounded Corners 2084987">
            <a:extLst>
              <a:ext uri="{FF2B5EF4-FFF2-40B4-BE49-F238E27FC236}">
                <a16:creationId xmlns:a16="http://schemas.microsoft.com/office/drawing/2014/main" id="{00000000-0008-0000-0100-00007C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បញ្ជីសាខា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Branch" textlink="">
        <xdr:nvSpPr>
          <xdr:cNvPr id="2084989" name="Rectangle 2084988">
            <a:extLst>
              <a:ext uri="{FF2B5EF4-FFF2-40B4-BE49-F238E27FC236}">
                <a16:creationId xmlns:a16="http://schemas.microsoft.com/office/drawing/2014/main" id="{00000000-0008-0000-0100-00007DD01F00}"/>
              </a:ext>
            </a:extLst>
          </xdr:cNvPr>
          <xdr:cNvSpPr/>
        </xdr:nvSpPr>
        <xdr:spPr>
          <a:xfrm>
            <a:off x="19419879" y="765166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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7</xdr:col>
      <xdr:colOff>152400</xdr:colOff>
      <xdr:row>12</xdr:row>
      <xdr:rowOff>332317</xdr:rowOff>
    </xdr:from>
    <xdr:to>
      <xdr:col>7</xdr:col>
      <xdr:colOff>2781300</xdr:colOff>
      <xdr:row>13</xdr:row>
      <xdr:rowOff>378589</xdr:rowOff>
    </xdr:to>
    <xdr:grpSp>
      <xdr:nvGrpSpPr>
        <xdr:cNvPr id="2084990" name="Group 2084989">
          <a:extLst>
            <a:ext uri="{FF2B5EF4-FFF2-40B4-BE49-F238E27FC236}">
              <a16:creationId xmlns:a16="http://schemas.microsoft.com/office/drawing/2014/main" id="{00000000-0008-0000-0100-00007ED01F00}"/>
            </a:ext>
          </a:extLst>
        </xdr:cNvPr>
        <xdr:cNvGrpSpPr/>
      </xdr:nvGrpSpPr>
      <xdr:grpSpPr>
        <a:xfrm>
          <a:off x="14011275" y="4416161"/>
          <a:ext cx="2628900" cy="498709"/>
          <a:chOff x="19188906" y="645582"/>
          <a:chExt cx="1163973" cy="499371"/>
        </a:xfrm>
      </xdr:grpSpPr>
      <xdr:sp macro="[0]!goModuleType" textlink="">
        <xdr:nvSpPr>
          <xdr:cNvPr id="2084991" name="Rectangle: Rounded Corners 2084990">
            <a:extLst>
              <a:ext uri="{FF2B5EF4-FFF2-40B4-BE49-F238E27FC236}">
                <a16:creationId xmlns:a16="http://schemas.microsoft.com/office/drawing/2014/main" id="{00000000-0008-0000-0100-00007F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ប្រភេទម៉ូឌុល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ModuleType" textlink="">
        <xdr:nvSpPr>
          <xdr:cNvPr id="2084992" name="Rectangle 2084991">
            <a:extLst>
              <a:ext uri="{FF2B5EF4-FFF2-40B4-BE49-F238E27FC236}">
                <a16:creationId xmlns:a16="http://schemas.microsoft.com/office/drawing/2014/main" id="{00000000-0008-0000-0100-000080D01F00}"/>
              </a:ext>
            </a:extLst>
          </xdr:cNvPr>
          <xdr:cNvSpPr/>
        </xdr:nvSpPr>
        <xdr:spPr>
          <a:xfrm>
            <a:off x="19377707" y="775706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y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8</xdr:col>
      <xdr:colOff>138642</xdr:colOff>
      <xdr:row>5</xdr:row>
      <xdr:rowOff>84667</xdr:rowOff>
    </xdr:from>
    <xdr:to>
      <xdr:col>8</xdr:col>
      <xdr:colOff>2196042</xdr:colOff>
      <xdr:row>10</xdr:row>
      <xdr:rowOff>243417</xdr:rowOff>
    </xdr:to>
    <xdr:grpSp>
      <xdr:nvGrpSpPr>
        <xdr:cNvPr id="2084993" name="Group 2084992">
          <a:extLst>
            <a:ext uri="{FF2B5EF4-FFF2-40B4-BE49-F238E27FC236}">
              <a16:creationId xmlns:a16="http://schemas.microsoft.com/office/drawing/2014/main" id="{00000000-0008-0000-0100-000081D01F00}"/>
            </a:ext>
          </a:extLst>
        </xdr:cNvPr>
        <xdr:cNvGrpSpPr/>
      </xdr:nvGrpSpPr>
      <xdr:grpSpPr>
        <a:xfrm>
          <a:off x="16902642" y="1501511"/>
          <a:ext cx="2057400" cy="2063750"/>
          <a:chOff x="19188906" y="645582"/>
          <a:chExt cx="1163973" cy="499371"/>
        </a:xfrm>
      </xdr:grpSpPr>
      <xdr:sp macro="[0]!goDatabaseWorkbook" textlink="">
        <xdr:nvSpPr>
          <xdr:cNvPr id="2084994" name="Rectangle: Rounded Corners 2084993">
            <a:extLst>
              <a:ext uri="{FF2B5EF4-FFF2-40B4-BE49-F238E27FC236}">
                <a16:creationId xmlns:a16="http://schemas.microsoft.com/office/drawing/2014/main" id="{00000000-0008-0000-0100-000082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កន្លែងផ្ទុកទិន្នន័យ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DatabaseWorkbook" textlink="">
        <xdr:nvSpPr>
          <xdr:cNvPr id="2084995" name="Rectangle 2084994">
            <a:extLst>
              <a:ext uri="{FF2B5EF4-FFF2-40B4-BE49-F238E27FC236}">
                <a16:creationId xmlns:a16="http://schemas.microsoft.com/office/drawing/2014/main" id="{00000000-0008-0000-0100-000083D01F00}"/>
              </a:ext>
            </a:extLst>
          </xdr:cNvPr>
          <xdr:cNvSpPr/>
        </xdr:nvSpPr>
        <xdr:spPr>
          <a:xfrm>
            <a:off x="19472176" y="691678"/>
            <a:ext cx="614256" cy="39693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en-US" sz="9600">
                <a:solidFill>
                  <a:srgbClr val="0066CC"/>
                </a:solidFill>
                <a:latin typeface="myicons" panose="02000509000000000000" pitchFamily="49" charset="0"/>
              </a:rPr>
              <a:t>A</a:t>
            </a:r>
            <a:endParaRPr lang="en-US" sz="96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7</xdr:col>
      <xdr:colOff>152400</xdr:colOff>
      <xdr:row>14</xdr:row>
      <xdr:rowOff>95250</xdr:rowOff>
    </xdr:from>
    <xdr:to>
      <xdr:col>7</xdr:col>
      <xdr:colOff>2781300</xdr:colOff>
      <xdr:row>15</xdr:row>
      <xdr:rowOff>236771</xdr:rowOff>
    </xdr:to>
    <xdr:grpSp>
      <xdr:nvGrpSpPr>
        <xdr:cNvPr id="2084996" name="Group 2084995">
          <a:extLst>
            <a:ext uri="{FF2B5EF4-FFF2-40B4-BE49-F238E27FC236}">
              <a16:creationId xmlns:a16="http://schemas.microsoft.com/office/drawing/2014/main" id="{00000000-0008-0000-0100-000084D01F00}"/>
            </a:ext>
          </a:extLst>
        </xdr:cNvPr>
        <xdr:cNvGrpSpPr/>
      </xdr:nvGrpSpPr>
      <xdr:grpSpPr>
        <a:xfrm>
          <a:off x="14011275" y="5012531"/>
          <a:ext cx="2628900" cy="498709"/>
          <a:chOff x="19188906" y="645582"/>
          <a:chExt cx="1163973" cy="499371"/>
        </a:xfrm>
      </xdr:grpSpPr>
      <xdr:sp macro="[0]!goLang" textlink="">
        <xdr:nvSpPr>
          <xdr:cNvPr id="2084997" name="Rectangle: Rounded Corners 2084996">
            <a:extLst>
              <a:ext uri="{FF2B5EF4-FFF2-40B4-BE49-F238E27FC236}">
                <a16:creationId xmlns:a16="http://schemas.microsoft.com/office/drawing/2014/main" id="{00000000-0008-0000-0100-000085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កំណត់ភាសាប្រព័ន្ធ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Lang" textlink="">
        <xdr:nvSpPr>
          <xdr:cNvPr id="2084998" name="Rectangle 2084997">
            <a:extLst>
              <a:ext uri="{FF2B5EF4-FFF2-40B4-BE49-F238E27FC236}">
                <a16:creationId xmlns:a16="http://schemas.microsoft.com/office/drawing/2014/main" id="{00000000-0008-0000-0100-000086D01F00}"/>
              </a:ext>
            </a:extLst>
          </xdr:cNvPr>
          <xdr:cNvSpPr/>
        </xdr:nvSpPr>
        <xdr:spPr>
          <a:xfrm>
            <a:off x="19321476" y="796789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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5</xdr:col>
      <xdr:colOff>131235</xdr:colOff>
      <xdr:row>5</xdr:row>
      <xdr:rowOff>79669</xdr:rowOff>
    </xdr:from>
    <xdr:to>
      <xdr:col>5</xdr:col>
      <xdr:colOff>2645835</xdr:colOff>
      <xdr:row>6</xdr:row>
      <xdr:rowOff>200024</xdr:rowOff>
    </xdr:to>
    <xdr:grpSp>
      <xdr:nvGrpSpPr>
        <xdr:cNvPr id="2084999" name="Group 2084998">
          <a:extLst>
            <a:ext uri="{FF2B5EF4-FFF2-40B4-BE49-F238E27FC236}">
              <a16:creationId xmlns:a16="http://schemas.microsoft.com/office/drawing/2014/main" id="{00000000-0008-0000-0100-000087D01F00}"/>
            </a:ext>
          </a:extLst>
        </xdr:cNvPr>
        <xdr:cNvGrpSpPr/>
      </xdr:nvGrpSpPr>
      <xdr:grpSpPr>
        <a:xfrm>
          <a:off x="8227485" y="1496513"/>
          <a:ext cx="2514600" cy="501355"/>
          <a:chOff x="19188906" y="645582"/>
          <a:chExt cx="1163973" cy="499371"/>
        </a:xfrm>
      </xdr:grpSpPr>
      <xdr:sp macro="[0]!goChartAccountGroup" textlink="">
        <xdr:nvSpPr>
          <xdr:cNvPr id="2085000" name="Rectangle: Rounded Corners 2084999">
            <a:extLst>
              <a:ext uri="{FF2B5EF4-FFF2-40B4-BE49-F238E27FC236}">
                <a16:creationId xmlns:a16="http://schemas.microsoft.com/office/drawing/2014/main" id="{00000000-0008-0000-0100-000088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បញ្ជីក្រុមគណនី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ChartAccountGroup" textlink="">
        <xdr:nvSpPr>
          <xdr:cNvPr id="2085001" name="Rectangle 2085000">
            <a:extLst>
              <a:ext uri="{FF2B5EF4-FFF2-40B4-BE49-F238E27FC236}">
                <a16:creationId xmlns:a16="http://schemas.microsoft.com/office/drawing/2014/main" id="{00000000-0008-0000-0100-000089D01F00}"/>
              </a:ext>
            </a:extLst>
          </xdr:cNvPr>
          <xdr:cNvSpPr/>
        </xdr:nvSpPr>
        <xdr:spPr>
          <a:xfrm>
            <a:off x="19344905" y="796789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W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5</xdr:col>
      <xdr:colOff>131235</xdr:colOff>
      <xdr:row>6</xdr:row>
      <xdr:rowOff>281816</xdr:rowOff>
    </xdr:from>
    <xdr:to>
      <xdr:col>5</xdr:col>
      <xdr:colOff>2645835</xdr:colOff>
      <xdr:row>8</xdr:row>
      <xdr:rowOff>21171</xdr:rowOff>
    </xdr:to>
    <xdr:grpSp>
      <xdr:nvGrpSpPr>
        <xdr:cNvPr id="2085015" name="Group 2085014">
          <a:extLst>
            <a:ext uri="{FF2B5EF4-FFF2-40B4-BE49-F238E27FC236}">
              <a16:creationId xmlns:a16="http://schemas.microsoft.com/office/drawing/2014/main" id="{00000000-0008-0000-0100-000097D01F00}"/>
            </a:ext>
          </a:extLst>
        </xdr:cNvPr>
        <xdr:cNvGrpSpPr/>
      </xdr:nvGrpSpPr>
      <xdr:grpSpPr>
        <a:xfrm>
          <a:off x="8227485" y="2079660"/>
          <a:ext cx="2514600" cy="501355"/>
          <a:chOff x="19188906" y="645582"/>
          <a:chExt cx="1163973" cy="499371"/>
        </a:xfrm>
      </xdr:grpSpPr>
      <xdr:sp macro="[0]!goChartAccountType" textlink="">
        <xdr:nvSpPr>
          <xdr:cNvPr id="2085016" name="Rectangle: Rounded Corners 2085015">
            <a:extLst>
              <a:ext uri="{FF2B5EF4-FFF2-40B4-BE49-F238E27FC236}">
                <a16:creationId xmlns:a16="http://schemas.microsoft.com/office/drawing/2014/main" id="{00000000-0008-0000-0100-000098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បញ្ជីប្រភេទគណនី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ChartAccountType" textlink="">
        <xdr:nvSpPr>
          <xdr:cNvPr id="2085017" name="Rectangle 2085016">
            <a:extLst>
              <a:ext uri="{FF2B5EF4-FFF2-40B4-BE49-F238E27FC236}">
                <a16:creationId xmlns:a16="http://schemas.microsoft.com/office/drawing/2014/main" id="{00000000-0008-0000-0100-000099D01F00}"/>
              </a:ext>
            </a:extLst>
          </xdr:cNvPr>
          <xdr:cNvSpPr/>
        </xdr:nvSpPr>
        <xdr:spPr>
          <a:xfrm>
            <a:off x="19312104" y="786248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X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5</xdr:col>
      <xdr:colOff>131235</xdr:colOff>
      <xdr:row>8</xdr:row>
      <xdr:rowOff>101897</xdr:rowOff>
    </xdr:from>
    <xdr:to>
      <xdr:col>5</xdr:col>
      <xdr:colOff>2645835</xdr:colOff>
      <xdr:row>9</xdr:row>
      <xdr:rowOff>222252</xdr:rowOff>
    </xdr:to>
    <xdr:grpSp>
      <xdr:nvGrpSpPr>
        <xdr:cNvPr id="2085018" name="Group 2085017">
          <a:extLst>
            <a:ext uri="{FF2B5EF4-FFF2-40B4-BE49-F238E27FC236}">
              <a16:creationId xmlns:a16="http://schemas.microsoft.com/office/drawing/2014/main" id="{00000000-0008-0000-0100-00009AD01F00}"/>
            </a:ext>
          </a:extLst>
        </xdr:cNvPr>
        <xdr:cNvGrpSpPr/>
      </xdr:nvGrpSpPr>
      <xdr:grpSpPr>
        <a:xfrm>
          <a:off x="8227485" y="2661741"/>
          <a:ext cx="2514600" cy="501355"/>
          <a:chOff x="19188906" y="645582"/>
          <a:chExt cx="1163973" cy="499371"/>
        </a:xfrm>
      </xdr:grpSpPr>
      <xdr:sp macro="[0]!goChartAccount" textlink="">
        <xdr:nvSpPr>
          <xdr:cNvPr id="2085019" name="Rectangle: Rounded Corners 2085018">
            <a:extLst>
              <a:ext uri="{FF2B5EF4-FFF2-40B4-BE49-F238E27FC236}">
                <a16:creationId xmlns:a16="http://schemas.microsoft.com/office/drawing/2014/main" id="{00000000-0008-0000-0100-00009B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បញ្ជីគណនី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ChartAccount" textlink="">
        <xdr:nvSpPr>
          <xdr:cNvPr id="2085020" name="Rectangle 2085019">
            <a:extLst>
              <a:ext uri="{FF2B5EF4-FFF2-40B4-BE49-F238E27FC236}">
                <a16:creationId xmlns:a16="http://schemas.microsoft.com/office/drawing/2014/main" id="{00000000-0008-0000-0100-00009CD01F00}"/>
              </a:ext>
            </a:extLst>
          </xdr:cNvPr>
          <xdr:cNvSpPr/>
        </xdr:nvSpPr>
        <xdr:spPr>
          <a:xfrm>
            <a:off x="19429251" y="775707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>
                <a:solidFill>
                  <a:srgbClr val="0066CC"/>
                </a:solidFill>
                <a:latin typeface="myicons" panose="02000509000000000000" pitchFamily="49" charset="0"/>
              </a:rPr>
              <a:t>U</a:t>
            </a:r>
            <a:endParaRPr lang="en-US" sz="24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5</xdr:col>
      <xdr:colOff>131235</xdr:colOff>
      <xdr:row>9</xdr:row>
      <xdr:rowOff>285754</xdr:rowOff>
    </xdr:from>
    <xdr:to>
      <xdr:col>5</xdr:col>
      <xdr:colOff>2645835</xdr:colOff>
      <xdr:row>11</xdr:row>
      <xdr:rowOff>25109</xdr:rowOff>
    </xdr:to>
    <xdr:grpSp>
      <xdr:nvGrpSpPr>
        <xdr:cNvPr id="2085021" name="Group 2085020">
          <a:extLst>
            <a:ext uri="{FF2B5EF4-FFF2-40B4-BE49-F238E27FC236}">
              <a16:creationId xmlns:a16="http://schemas.microsoft.com/office/drawing/2014/main" id="{00000000-0008-0000-0100-00009DD01F00}"/>
            </a:ext>
          </a:extLst>
        </xdr:cNvPr>
        <xdr:cNvGrpSpPr/>
      </xdr:nvGrpSpPr>
      <xdr:grpSpPr>
        <a:xfrm>
          <a:off x="8227485" y="3226598"/>
          <a:ext cx="2514600" cy="501355"/>
          <a:chOff x="19188906" y="645582"/>
          <a:chExt cx="1163973" cy="499371"/>
        </a:xfrm>
      </xdr:grpSpPr>
      <xdr:sp macro="[0]!goChartAccountDefault" textlink="">
        <xdr:nvSpPr>
          <xdr:cNvPr id="2085022" name="Rectangle: Rounded Corners 2085021">
            <a:extLst>
              <a:ext uri="{FF2B5EF4-FFF2-40B4-BE49-F238E27FC236}">
                <a16:creationId xmlns:a16="http://schemas.microsoft.com/office/drawing/2014/main" id="{00000000-0008-0000-0100-00009E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បញ្ជីគណនីសម្រាប់ប្រព័ន្ធ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ChartAccountDefault" textlink="">
        <xdr:nvSpPr>
          <xdr:cNvPr id="2085023" name="Rectangle 2085022">
            <a:extLst>
              <a:ext uri="{FF2B5EF4-FFF2-40B4-BE49-F238E27FC236}">
                <a16:creationId xmlns:a16="http://schemas.microsoft.com/office/drawing/2014/main" id="{00000000-0008-0000-0100-00009FD01F00}"/>
              </a:ext>
            </a:extLst>
          </xdr:cNvPr>
          <xdr:cNvSpPr/>
        </xdr:nvSpPr>
        <xdr:spPr>
          <a:xfrm>
            <a:off x="19302732" y="765165"/>
            <a:ext cx="104536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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3</xdr:col>
      <xdr:colOff>143932</xdr:colOff>
      <xdr:row>12</xdr:row>
      <xdr:rowOff>338962</xdr:rowOff>
    </xdr:from>
    <xdr:to>
      <xdr:col>3</xdr:col>
      <xdr:colOff>2508249</xdr:colOff>
      <xdr:row>14</xdr:row>
      <xdr:rowOff>4234</xdr:rowOff>
    </xdr:to>
    <xdr:grpSp>
      <xdr:nvGrpSpPr>
        <xdr:cNvPr id="41" name="Group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GrpSpPr/>
      </xdr:nvGrpSpPr>
      <xdr:grpSpPr>
        <a:xfrm>
          <a:off x="2918088" y="4422806"/>
          <a:ext cx="2364317" cy="498709"/>
          <a:chOff x="19188906" y="645582"/>
          <a:chExt cx="1163973" cy="499371"/>
        </a:xfrm>
      </xdr:grpSpPr>
      <xdr:sp macro="[0]!goPrintPurchaseBill" textlink="">
        <xdr:nvSpPr>
          <xdr:cNvPr id="42" name="Rectangle: Rounded Corners 41">
            <a:extLst>
              <a:ext uri="{FF2B5EF4-FFF2-40B4-BE49-F238E27FC236}">
                <a16:creationId xmlns:a16="http://schemas.microsoft.com/office/drawing/2014/main" id="{00000000-0008-0000-0100-00002A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ព្រីនវិក្កយបត្រទិញ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PrintPurchaseBill" textlink="">
        <xdr:nvSpPr>
          <xdr:cNvPr id="43" name="Rectangle 42">
            <a:extLst>
              <a:ext uri="{FF2B5EF4-FFF2-40B4-BE49-F238E27FC236}">
                <a16:creationId xmlns:a16="http://schemas.microsoft.com/office/drawing/2014/main" id="{00000000-0008-0000-0100-00002B000000}"/>
              </a:ext>
            </a:extLst>
          </xdr:cNvPr>
          <xdr:cNvSpPr/>
        </xdr:nvSpPr>
        <xdr:spPr>
          <a:xfrm>
            <a:off x="19300493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>
                <a:solidFill>
                  <a:srgbClr val="0066CC"/>
                </a:solidFill>
                <a:latin typeface="myicons" panose="02000509000000000000" pitchFamily="49" charset="0"/>
              </a:rPr>
              <a:t></a:t>
            </a:r>
            <a:endParaRPr lang="en-US" sz="18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4</xdr:col>
      <xdr:colOff>123821</xdr:colOff>
      <xdr:row>20</xdr:row>
      <xdr:rowOff>160895</xdr:rowOff>
    </xdr:from>
    <xdr:to>
      <xdr:col>4</xdr:col>
      <xdr:colOff>2654010</xdr:colOff>
      <xdr:row>22</xdr:row>
      <xdr:rowOff>64822</xdr:rowOff>
    </xdr:to>
    <xdr:grpSp>
      <xdr:nvGrpSpPr>
        <xdr:cNvPr id="2085005" name="Group 2085004">
          <a:extLst>
            <a:ext uri="{FF2B5EF4-FFF2-40B4-BE49-F238E27FC236}">
              <a16:creationId xmlns:a16="http://schemas.microsoft.com/office/drawing/2014/main" id="{00000000-0008-0000-0100-00008DD01F00}"/>
            </a:ext>
          </a:extLst>
        </xdr:cNvPr>
        <xdr:cNvGrpSpPr/>
      </xdr:nvGrpSpPr>
      <xdr:grpSpPr>
        <a:xfrm>
          <a:off x="5481634" y="7340364"/>
          <a:ext cx="2530189" cy="499239"/>
          <a:chOff x="19188906" y="645582"/>
          <a:chExt cx="1163973" cy="499371"/>
        </a:xfrm>
      </xdr:grpSpPr>
      <xdr:sp macro="[0]!goImportProductPrice" textlink="">
        <xdr:nvSpPr>
          <xdr:cNvPr id="2085006" name="Rectangle: Rounded Corners 2085005">
            <a:extLst>
              <a:ext uri="{FF2B5EF4-FFF2-40B4-BE49-F238E27FC236}">
                <a16:creationId xmlns:a16="http://schemas.microsoft.com/office/drawing/2014/main" id="{00000000-0008-0000-0100-00008E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បញ្ចូលតម្លៃទំនិញទាំងអស់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ProductPrice" textlink="">
        <xdr:nvSpPr>
          <xdr:cNvPr id="2085007" name="Rectangle 2085006">
            <a:extLst>
              <a:ext uri="{FF2B5EF4-FFF2-40B4-BE49-F238E27FC236}">
                <a16:creationId xmlns:a16="http://schemas.microsoft.com/office/drawing/2014/main" id="{00000000-0008-0000-0100-00008FD01F00}"/>
              </a:ext>
            </a:extLst>
          </xdr:cNvPr>
          <xdr:cNvSpPr/>
        </xdr:nvSpPr>
        <xdr:spPr>
          <a:xfrm>
            <a:off x="19236012" y="758561"/>
            <a:ext cx="215677" cy="26200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W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4</xdr:col>
      <xdr:colOff>114300</xdr:colOff>
      <xdr:row>17</xdr:row>
      <xdr:rowOff>142875</xdr:rowOff>
    </xdr:from>
    <xdr:to>
      <xdr:col>4</xdr:col>
      <xdr:colOff>2647950</xdr:colOff>
      <xdr:row>18</xdr:row>
      <xdr:rowOff>263230</xdr:rowOff>
    </xdr:to>
    <xdr:grpSp>
      <xdr:nvGrpSpPr>
        <xdr:cNvPr id="2085002" name="Group 2085001">
          <a:extLst>
            <a:ext uri="{FF2B5EF4-FFF2-40B4-BE49-F238E27FC236}">
              <a16:creationId xmlns:a16="http://schemas.microsoft.com/office/drawing/2014/main" id="{00000000-0008-0000-0100-00008AD01F00}"/>
            </a:ext>
          </a:extLst>
        </xdr:cNvPr>
        <xdr:cNvGrpSpPr/>
      </xdr:nvGrpSpPr>
      <xdr:grpSpPr>
        <a:xfrm>
          <a:off x="5472113" y="6179344"/>
          <a:ext cx="2533650" cy="501355"/>
          <a:chOff x="19188906" y="645582"/>
          <a:chExt cx="1163973" cy="499371"/>
        </a:xfrm>
      </xdr:grpSpPr>
      <xdr:sp macro="[0]!goPrintInvoiceA5" textlink="">
        <xdr:nvSpPr>
          <xdr:cNvPr id="2085003" name="Rectangle: Rounded Corners 2085002">
            <a:extLst>
              <a:ext uri="{FF2B5EF4-FFF2-40B4-BE49-F238E27FC236}">
                <a16:creationId xmlns:a16="http://schemas.microsoft.com/office/drawing/2014/main" id="{00000000-0008-0000-0100-00008B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ព្រីនវិក្កយបត្រលក់</a:t>
            </a:r>
            <a:r>
              <a:rPr lang="en-US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A5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PrintInvoice" textlink="">
        <xdr:nvSpPr>
          <xdr:cNvPr id="2085004" name="Rectangle 2085003">
            <a:extLst>
              <a:ext uri="{FF2B5EF4-FFF2-40B4-BE49-F238E27FC236}">
                <a16:creationId xmlns:a16="http://schemas.microsoft.com/office/drawing/2014/main" id="{00000000-0008-0000-0100-00008CD01F00}"/>
              </a:ext>
            </a:extLst>
          </xdr:cNvPr>
          <xdr:cNvSpPr/>
        </xdr:nvSpPr>
        <xdr:spPr>
          <a:xfrm>
            <a:off x="19270896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>
                <a:solidFill>
                  <a:srgbClr val="0066CC"/>
                </a:solidFill>
                <a:latin typeface="myicons" panose="02000509000000000000" pitchFamily="49" charset="0"/>
              </a:rPr>
              <a:t></a:t>
            </a:r>
            <a:endParaRPr lang="en-US" sz="18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112182</xdr:colOff>
      <xdr:row>17</xdr:row>
      <xdr:rowOff>148461</xdr:rowOff>
    </xdr:from>
    <xdr:to>
      <xdr:col>2</xdr:col>
      <xdr:colOff>2476499</xdr:colOff>
      <xdr:row>18</xdr:row>
      <xdr:rowOff>266170</xdr:rowOff>
    </xdr:to>
    <xdr:grpSp>
      <xdr:nvGrpSpPr>
        <xdr:cNvPr id="2085008" name="Group 2085007">
          <a:extLst>
            <a:ext uri="{FF2B5EF4-FFF2-40B4-BE49-F238E27FC236}">
              <a16:creationId xmlns:a16="http://schemas.microsoft.com/office/drawing/2014/main" id="{00000000-0008-0000-0100-000090D01F00}"/>
            </a:ext>
          </a:extLst>
        </xdr:cNvPr>
        <xdr:cNvGrpSpPr/>
      </xdr:nvGrpSpPr>
      <xdr:grpSpPr>
        <a:xfrm>
          <a:off x="302682" y="6184930"/>
          <a:ext cx="2364317" cy="498709"/>
          <a:chOff x="19188906" y="645582"/>
          <a:chExt cx="1163973" cy="499371"/>
        </a:xfrm>
      </xdr:grpSpPr>
      <xdr:sp macro="[0]!goPrintInvAdjustment" textlink="">
        <xdr:nvSpPr>
          <xdr:cNvPr id="2085009" name="Rectangle: Rounded Corners 2085008">
            <a:extLst>
              <a:ext uri="{FF2B5EF4-FFF2-40B4-BE49-F238E27FC236}">
                <a16:creationId xmlns:a16="http://schemas.microsoft.com/office/drawing/2014/main" id="{00000000-0008-0000-0100-000091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ព្រីនវិក្កយបត្រស្តុក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PrintPurchaseBill" textlink="">
        <xdr:nvSpPr>
          <xdr:cNvPr id="2085010" name="Rectangle 2085009">
            <a:extLst>
              <a:ext uri="{FF2B5EF4-FFF2-40B4-BE49-F238E27FC236}">
                <a16:creationId xmlns:a16="http://schemas.microsoft.com/office/drawing/2014/main" id="{00000000-0008-0000-0100-000092D01F00}"/>
              </a:ext>
            </a:extLst>
          </xdr:cNvPr>
          <xdr:cNvSpPr/>
        </xdr:nvSpPr>
        <xdr:spPr>
          <a:xfrm>
            <a:off x="19300493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>
                <a:solidFill>
                  <a:srgbClr val="0066CC"/>
                </a:solidFill>
                <a:latin typeface="myicons" panose="02000509000000000000" pitchFamily="49" charset="0"/>
              </a:rPr>
              <a:t></a:t>
            </a:r>
            <a:endParaRPr lang="en-US" sz="18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7</xdr:col>
      <xdr:colOff>152400</xdr:colOff>
      <xdr:row>15</xdr:row>
      <xdr:rowOff>299009</xdr:rowOff>
    </xdr:from>
    <xdr:to>
      <xdr:col>7</xdr:col>
      <xdr:colOff>2781300</xdr:colOff>
      <xdr:row>17</xdr:row>
      <xdr:rowOff>35718</xdr:rowOff>
    </xdr:to>
    <xdr:grpSp>
      <xdr:nvGrpSpPr>
        <xdr:cNvPr id="2085011" name="Group 2085010">
          <a:extLst>
            <a:ext uri="{FF2B5EF4-FFF2-40B4-BE49-F238E27FC236}">
              <a16:creationId xmlns:a16="http://schemas.microsoft.com/office/drawing/2014/main" id="{00000000-0008-0000-0100-000093D01F00}"/>
            </a:ext>
          </a:extLst>
        </xdr:cNvPr>
        <xdr:cNvGrpSpPr/>
      </xdr:nvGrpSpPr>
      <xdr:grpSpPr>
        <a:xfrm>
          <a:off x="14011275" y="5573478"/>
          <a:ext cx="2628900" cy="498709"/>
          <a:chOff x="19188906" y="645582"/>
          <a:chExt cx="1163973" cy="499371"/>
        </a:xfrm>
      </xdr:grpSpPr>
      <xdr:sp macro="[0]!goFilesSetting" textlink="">
        <xdr:nvSpPr>
          <xdr:cNvPr id="2085012" name="Rectangle: Rounded Corners 2085011">
            <a:extLst>
              <a:ext uri="{FF2B5EF4-FFF2-40B4-BE49-F238E27FC236}">
                <a16:creationId xmlns:a16="http://schemas.microsoft.com/office/drawing/2014/main" id="{00000000-0008-0000-0100-000094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4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កំណត់កន្លែងដាក់ឯកសារ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Lang" textlink="">
        <xdr:nvSpPr>
          <xdr:cNvPr id="2085013" name="Rectangle 2085012">
            <a:extLst>
              <a:ext uri="{FF2B5EF4-FFF2-40B4-BE49-F238E27FC236}">
                <a16:creationId xmlns:a16="http://schemas.microsoft.com/office/drawing/2014/main" id="{00000000-0008-0000-0100-000095D01F00}"/>
              </a:ext>
            </a:extLst>
          </xdr:cNvPr>
          <xdr:cNvSpPr/>
        </xdr:nvSpPr>
        <xdr:spPr>
          <a:xfrm>
            <a:off x="19231858" y="761024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O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9</xdr:col>
      <xdr:colOff>130969</xdr:colOff>
      <xdr:row>5</xdr:row>
      <xdr:rowOff>147637</xdr:rowOff>
    </xdr:from>
    <xdr:to>
      <xdr:col>9</xdr:col>
      <xdr:colOff>3238500</xdr:colOff>
      <xdr:row>6</xdr:row>
      <xdr:rowOff>321468</xdr:rowOff>
    </xdr:to>
    <xdr:grpSp>
      <xdr:nvGrpSpPr>
        <xdr:cNvPr id="2085041" name="Group 2085040">
          <a:extLst>
            <a:ext uri="{FF2B5EF4-FFF2-40B4-BE49-F238E27FC236}">
              <a16:creationId xmlns:a16="http://schemas.microsoft.com/office/drawing/2014/main" id="{00000000-0008-0000-0100-0000B1D01F00}"/>
            </a:ext>
          </a:extLst>
        </xdr:cNvPr>
        <xdr:cNvGrpSpPr/>
      </xdr:nvGrpSpPr>
      <xdr:grpSpPr>
        <a:xfrm>
          <a:off x="19288125" y="1564481"/>
          <a:ext cx="3107531" cy="554831"/>
          <a:chOff x="19395606" y="3445672"/>
          <a:chExt cx="2857497" cy="554831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5" name="Button 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100-000001040000}"/>
                  </a:ext>
                </a:extLst>
              </xdr:cNvPr>
              <xdr:cNvSpPr/>
            </xdr:nvSpPr>
            <xdr:spPr bwMode="auto">
              <a:xfrm>
                <a:off x="19395606" y="3445672"/>
                <a:ext cx="2857497" cy="55483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400" b="0" i="0" u="none" strike="noStrike" baseline="0">
                    <a:solidFill>
                      <a:srgbClr val="0066CC"/>
                    </a:solidFill>
                    <a:latin typeface="Roboto Medium"/>
                    <a:ea typeface="Roboto Medium"/>
                    <a:cs typeface="Roboto Medium"/>
                  </a:rPr>
                  <a:t>         Lock Add Invoice Formula</a:t>
                </a:r>
              </a:p>
            </xdr:txBody>
          </xdr:sp>
        </mc:Choice>
        <mc:Fallback/>
      </mc:AlternateContent>
      <xdr:sp macro="" textlink="">
        <xdr:nvSpPr>
          <xdr:cNvPr id="2085025" name="Rectangle: Rounded Corners 2085024">
            <a:extLst>
              <a:ext uri="{FF2B5EF4-FFF2-40B4-BE49-F238E27FC236}">
                <a16:creationId xmlns:a16="http://schemas.microsoft.com/office/drawing/2014/main" id="{00000000-0008-0000-0100-0000A1D01F00}"/>
              </a:ext>
            </a:extLst>
          </xdr:cNvPr>
          <xdr:cNvSpPr/>
        </xdr:nvSpPr>
        <xdr:spPr>
          <a:xfrm>
            <a:off x="19428676" y="3569231"/>
            <a:ext cx="369093" cy="416717"/>
          </a:xfrm>
          <a:prstGeom prst="round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 baseline="0">
                <a:solidFill>
                  <a:srgbClr val="0066CC"/>
                </a:solidFill>
                <a:latin typeface="myicons" panose="02000509000000000000" pitchFamily="49" charset="0"/>
              </a:rPr>
              <a:t></a:t>
            </a:r>
            <a:endParaRPr lang="en-US" sz="10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</xdr:grpSp>
    <xdr:clientData/>
  </xdr:twoCellAnchor>
  <xdr:twoCellAnchor>
    <xdr:from>
      <xdr:col>9</xdr:col>
      <xdr:colOff>130969</xdr:colOff>
      <xdr:row>7</xdr:row>
      <xdr:rowOff>76203</xdr:rowOff>
    </xdr:from>
    <xdr:to>
      <xdr:col>9</xdr:col>
      <xdr:colOff>3238500</xdr:colOff>
      <xdr:row>8</xdr:row>
      <xdr:rowOff>250034</xdr:rowOff>
    </xdr:to>
    <xdr:grpSp>
      <xdr:nvGrpSpPr>
        <xdr:cNvPr id="2085044" name="Group 2085043">
          <a:extLst>
            <a:ext uri="{FF2B5EF4-FFF2-40B4-BE49-F238E27FC236}">
              <a16:creationId xmlns:a16="http://schemas.microsoft.com/office/drawing/2014/main" id="{00000000-0008-0000-0100-0000B4D01F00}"/>
            </a:ext>
          </a:extLst>
        </xdr:cNvPr>
        <xdr:cNvGrpSpPr/>
      </xdr:nvGrpSpPr>
      <xdr:grpSpPr>
        <a:xfrm>
          <a:off x="19288125" y="2255047"/>
          <a:ext cx="3107531" cy="554831"/>
          <a:chOff x="19395607" y="3445812"/>
          <a:chExt cx="2857497" cy="554832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7" name="Button 3" hidden="1">
                <a:extLst>
                  <a:ext uri="{63B3BB69-23CF-44E3-9099-C40C66FF867C}">
                    <a14:compatExt spid="_x0000_s1027"/>
                  </a:ext>
                  <a:ext uri="{FF2B5EF4-FFF2-40B4-BE49-F238E27FC236}">
                    <a16:creationId xmlns:a16="http://schemas.microsoft.com/office/drawing/2014/main" id="{00000000-0008-0000-0100-000003040000}"/>
                  </a:ext>
                </a:extLst>
              </xdr:cNvPr>
              <xdr:cNvSpPr/>
            </xdr:nvSpPr>
            <xdr:spPr bwMode="auto">
              <a:xfrm>
                <a:off x="19395607" y="3445812"/>
                <a:ext cx="2857497" cy="55483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400" b="0" i="0" u="none" strike="noStrike" baseline="0">
                    <a:solidFill>
                      <a:srgbClr val="0066CC"/>
                    </a:solidFill>
                    <a:latin typeface="Roboto Medium"/>
                    <a:ea typeface="Roboto Medium"/>
                    <a:cs typeface="Roboto Medium"/>
                  </a:rPr>
                  <a:t>      Lock Add Adjustment Formula</a:t>
                </a:r>
              </a:p>
            </xdr:txBody>
          </xdr:sp>
        </mc:Choice>
        <mc:Fallback/>
      </mc:AlternateContent>
      <xdr:sp macro="[0]!LockAddAdjustmentSheet" textlink="">
        <xdr:nvSpPr>
          <xdr:cNvPr id="2085045" name="Rectangle: Rounded Corners 2085044">
            <a:extLst>
              <a:ext uri="{FF2B5EF4-FFF2-40B4-BE49-F238E27FC236}">
                <a16:creationId xmlns:a16="http://schemas.microsoft.com/office/drawing/2014/main" id="{00000000-0008-0000-0100-0000B5D01F00}"/>
              </a:ext>
            </a:extLst>
          </xdr:cNvPr>
          <xdr:cNvSpPr/>
        </xdr:nvSpPr>
        <xdr:spPr>
          <a:xfrm>
            <a:off x="19423885" y="3557325"/>
            <a:ext cx="369093" cy="416717"/>
          </a:xfrm>
          <a:prstGeom prst="round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 baseline="0">
                <a:solidFill>
                  <a:srgbClr val="0066CC"/>
                </a:solidFill>
                <a:latin typeface="myicons" panose="02000509000000000000" pitchFamily="49" charset="0"/>
              </a:rPr>
              <a:t></a:t>
            </a:r>
            <a:endParaRPr lang="en-US" sz="10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</xdr:grpSp>
    <xdr:clientData/>
  </xdr:twoCellAnchor>
  <xdr:twoCellAnchor>
    <xdr:from>
      <xdr:col>9</xdr:col>
      <xdr:colOff>130969</xdr:colOff>
      <xdr:row>9</xdr:row>
      <xdr:rowOff>0</xdr:rowOff>
    </xdr:from>
    <xdr:to>
      <xdr:col>9</xdr:col>
      <xdr:colOff>3238500</xdr:colOff>
      <xdr:row>10</xdr:row>
      <xdr:rowOff>173831</xdr:rowOff>
    </xdr:to>
    <xdr:grpSp>
      <xdr:nvGrpSpPr>
        <xdr:cNvPr id="2085048" name="Group 2085047">
          <a:extLst>
            <a:ext uri="{FF2B5EF4-FFF2-40B4-BE49-F238E27FC236}">
              <a16:creationId xmlns:a16="http://schemas.microsoft.com/office/drawing/2014/main" id="{00000000-0008-0000-0100-0000B8D01F00}"/>
            </a:ext>
          </a:extLst>
        </xdr:cNvPr>
        <xdr:cNvGrpSpPr/>
      </xdr:nvGrpSpPr>
      <xdr:grpSpPr>
        <a:xfrm>
          <a:off x="19288125" y="2940844"/>
          <a:ext cx="3107531" cy="554831"/>
          <a:chOff x="19395608" y="3445813"/>
          <a:chExt cx="2857497" cy="554832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9" name="Button 5" hidden="1">
                <a:extLst>
                  <a:ext uri="{63B3BB69-23CF-44E3-9099-C40C66FF867C}">
                    <a14:compatExt spid="_x0000_s1029"/>
                  </a:ext>
                  <a:ext uri="{FF2B5EF4-FFF2-40B4-BE49-F238E27FC236}">
                    <a16:creationId xmlns:a16="http://schemas.microsoft.com/office/drawing/2014/main" id="{00000000-0008-0000-0100-000005040000}"/>
                  </a:ext>
                </a:extLst>
              </xdr:cNvPr>
              <xdr:cNvSpPr/>
            </xdr:nvSpPr>
            <xdr:spPr bwMode="auto">
              <a:xfrm>
                <a:off x="19395608" y="3445813"/>
                <a:ext cx="2857497" cy="55483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400" b="0" i="0" u="none" strike="noStrike" baseline="0">
                    <a:solidFill>
                      <a:srgbClr val="0066CC"/>
                    </a:solidFill>
                    <a:latin typeface="Roboto Medium"/>
                    <a:ea typeface="Roboto Medium"/>
                    <a:cs typeface="Roboto Medium"/>
                  </a:rPr>
                  <a:t>         Lock Add Purchase Bill Formula</a:t>
                </a:r>
              </a:p>
            </xdr:txBody>
          </xdr:sp>
        </mc:Choice>
        <mc:Fallback/>
      </mc:AlternateContent>
      <xdr:sp macro="[0]!LockAddPurchaseBillSheet" textlink="">
        <xdr:nvSpPr>
          <xdr:cNvPr id="2085049" name="Rectangle: Rounded Corners 2085048">
            <a:extLst>
              <a:ext uri="{FF2B5EF4-FFF2-40B4-BE49-F238E27FC236}">
                <a16:creationId xmlns:a16="http://schemas.microsoft.com/office/drawing/2014/main" id="{00000000-0008-0000-0100-0000B9D01F00}"/>
              </a:ext>
            </a:extLst>
          </xdr:cNvPr>
          <xdr:cNvSpPr/>
        </xdr:nvSpPr>
        <xdr:spPr>
          <a:xfrm>
            <a:off x="19439623" y="3545419"/>
            <a:ext cx="369093" cy="416717"/>
          </a:xfrm>
          <a:prstGeom prst="round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 baseline="0">
                <a:solidFill>
                  <a:srgbClr val="0066CC"/>
                </a:solidFill>
                <a:latin typeface="myicons" panose="02000509000000000000" pitchFamily="49" charset="0"/>
              </a:rPr>
              <a:t></a:t>
            </a:r>
            <a:endParaRPr lang="en-US" sz="10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</xdr:grpSp>
    <xdr:clientData/>
  </xdr:twoCellAnchor>
  <xdr:twoCellAnchor>
    <xdr:from>
      <xdr:col>9</xdr:col>
      <xdr:colOff>3381375</xdr:colOff>
      <xdr:row>5</xdr:row>
      <xdr:rowOff>147637</xdr:rowOff>
    </xdr:from>
    <xdr:to>
      <xdr:col>9</xdr:col>
      <xdr:colOff>6762750</xdr:colOff>
      <xdr:row>6</xdr:row>
      <xdr:rowOff>321468</xdr:rowOff>
    </xdr:to>
    <xdr:grpSp>
      <xdr:nvGrpSpPr>
        <xdr:cNvPr id="2085052" name="Group 2085051">
          <a:extLst>
            <a:ext uri="{FF2B5EF4-FFF2-40B4-BE49-F238E27FC236}">
              <a16:creationId xmlns:a16="http://schemas.microsoft.com/office/drawing/2014/main" id="{00000000-0008-0000-0100-0000BCD01F00}"/>
            </a:ext>
          </a:extLst>
        </xdr:cNvPr>
        <xdr:cNvGrpSpPr/>
      </xdr:nvGrpSpPr>
      <xdr:grpSpPr>
        <a:xfrm>
          <a:off x="22538531" y="1564481"/>
          <a:ext cx="3381375" cy="554831"/>
          <a:chOff x="19395915" y="3445672"/>
          <a:chExt cx="2857500" cy="554831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1" name="Button 7" hidden="1">
                <a:extLst>
                  <a:ext uri="{63B3BB69-23CF-44E3-9099-C40C66FF867C}">
                    <a14:compatExt spid="_x0000_s1031"/>
                  </a:ext>
                  <a:ext uri="{FF2B5EF4-FFF2-40B4-BE49-F238E27FC236}">
                    <a16:creationId xmlns:a16="http://schemas.microsoft.com/office/drawing/2014/main" id="{00000000-0008-0000-0100-000007040000}"/>
                  </a:ext>
                </a:extLst>
              </xdr:cNvPr>
              <xdr:cNvSpPr/>
            </xdr:nvSpPr>
            <xdr:spPr bwMode="auto">
              <a:xfrm>
                <a:off x="19395915" y="3445672"/>
                <a:ext cx="2857500" cy="55483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400" b="0" i="0" u="none" strike="noStrike" baseline="0">
                    <a:solidFill>
                      <a:srgbClr val="0066CC"/>
                    </a:solidFill>
                    <a:latin typeface="Roboto Medium"/>
                    <a:ea typeface="Roboto Medium"/>
                    <a:cs typeface="Roboto Medium"/>
                  </a:rPr>
                  <a:t>         Unlock Add Invoice Formula</a:t>
                </a:r>
              </a:p>
            </xdr:txBody>
          </xdr:sp>
        </mc:Choice>
        <mc:Fallback/>
      </mc:AlternateContent>
      <xdr:sp macro="" textlink="">
        <xdr:nvSpPr>
          <xdr:cNvPr id="2085053" name="Rectangle: Rounded Corners 2085052">
            <a:extLst>
              <a:ext uri="{FF2B5EF4-FFF2-40B4-BE49-F238E27FC236}">
                <a16:creationId xmlns:a16="http://schemas.microsoft.com/office/drawing/2014/main" id="{00000000-0008-0000-0100-0000BDD01F00}"/>
              </a:ext>
            </a:extLst>
          </xdr:cNvPr>
          <xdr:cNvSpPr/>
        </xdr:nvSpPr>
        <xdr:spPr>
          <a:xfrm>
            <a:off x="19614796" y="3545419"/>
            <a:ext cx="369093" cy="416717"/>
          </a:xfrm>
          <a:prstGeom prst="round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 baseline="0">
                <a:solidFill>
                  <a:srgbClr val="0066CC"/>
                </a:solidFill>
                <a:latin typeface="myicons" panose="02000509000000000000" pitchFamily="49" charset="0"/>
              </a:rPr>
              <a:t></a:t>
            </a:r>
            <a:endParaRPr lang="en-US" sz="10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</xdr:grpSp>
    <xdr:clientData/>
  </xdr:twoCellAnchor>
  <xdr:twoCellAnchor>
    <xdr:from>
      <xdr:col>9</xdr:col>
      <xdr:colOff>3381375</xdr:colOff>
      <xdr:row>7</xdr:row>
      <xdr:rowOff>76203</xdr:rowOff>
    </xdr:from>
    <xdr:to>
      <xdr:col>9</xdr:col>
      <xdr:colOff>6762750</xdr:colOff>
      <xdr:row>8</xdr:row>
      <xdr:rowOff>250034</xdr:rowOff>
    </xdr:to>
    <xdr:grpSp>
      <xdr:nvGrpSpPr>
        <xdr:cNvPr id="2085054" name="Group 2085053">
          <a:extLst>
            <a:ext uri="{FF2B5EF4-FFF2-40B4-BE49-F238E27FC236}">
              <a16:creationId xmlns:a16="http://schemas.microsoft.com/office/drawing/2014/main" id="{00000000-0008-0000-0100-0000BED01F00}"/>
            </a:ext>
          </a:extLst>
        </xdr:cNvPr>
        <xdr:cNvGrpSpPr/>
      </xdr:nvGrpSpPr>
      <xdr:grpSpPr>
        <a:xfrm>
          <a:off x="22538531" y="2255047"/>
          <a:ext cx="3381375" cy="554831"/>
          <a:chOff x="19395915" y="3445812"/>
          <a:chExt cx="2857500" cy="554832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2" name="Button 8" hidden="1">
                <a:extLst>
                  <a:ext uri="{63B3BB69-23CF-44E3-9099-C40C66FF867C}">
                    <a14:compatExt spid="_x0000_s1032"/>
                  </a:ext>
                  <a:ext uri="{FF2B5EF4-FFF2-40B4-BE49-F238E27FC236}">
                    <a16:creationId xmlns:a16="http://schemas.microsoft.com/office/drawing/2014/main" id="{00000000-0008-0000-0100-000008040000}"/>
                  </a:ext>
                </a:extLst>
              </xdr:cNvPr>
              <xdr:cNvSpPr/>
            </xdr:nvSpPr>
            <xdr:spPr bwMode="auto">
              <a:xfrm>
                <a:off x="19395915" y="3445812"/>
                <a:ext cx="2857500" cy="55483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400" b="0" i="0" u="none" strike="noStrike" baseline="0">
                    <a:solidFill>
                      <a:srgbClr val="0066CC"/>
                    </a:solidFill>
                    <a:latin typeface="Roboto Medium"/>
                    <a:ea typeface="Roboto Medium"/>
                    <a:cs typeface="Roboto Medium"/>
                  </a:rPr>
                  <a:t>      Unlock Add Adjustment Formula</a:t>
                </a:r>
              </a:p>
            </xdr:txBody>
          </xdr:sp>
        </mc:Choice>
        <mc:Fallback/>
      </mc:AlternateContent>
      <xdr:sp macro="" textlink="">
        <xdr:nvSpPr>
          <xdr:cNvPr id="2085055" name="Rectangle: Rounded Corners 2085054">
            <a:extLst>
              <a:ext uri="{FF2B5EF4-FFF2-40B4-BE49-F238E27FC236}">
                <a16:creationId xmlns:a16="http://schemas.microsoft.com/office/drawing/2014/main" id="{00000000-0008-0000-0100-0000BFD01F00}"/>
              </a:ext>
            </a:extLst>
          </xdr:cNvPr>
          <xdr:cNvSpPr/>
        </xdr:nvSpPr>
        <xdr:spPr>
          <a:xfrm>
            <a:off x="19423885" y="3557325"/>
            <a:ext cx="369093" cy="416717"/>
          </a:xfrm>
          <a:prstGeom prst="round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 baseline="0">
                <a:solidFill>
                  <a:srgbClr val="0066CC"/>
                </a:solidFill>
                <a:latin typeface="myicons" panose="02000509000000000000" pitchFamily="49" charset="0"/>
              </a:rPr>
              <a:t></a:t>
            </a:r>
            <a:endParaRPr lang="en-US" sz="10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</xdr:grpSp>
    <xdr:clientData/>
  </xdr:twoCellAnchor>
  <xdr:twoCellAnchor>
    <xdr:from>
      <xdr:col>9</xdr:col>
      <xdr:colOff>3381375</xdr:colOff>
      <xdr:row>9</xdr:row>
      <xdr:rowOff>0</xdr:rowOff>
    </xdr:from>
    <xdr:to>
      <xdr:col>9</xdr:col>
      <xdr:colOff>6762750</xdr:colOff>
      <xdr:row>10</xdr:row>
      <xdr:rowOff>173831</xdr:rowOff>
    </xdr:to>
    <xdr:grpSp>
      <xdr:nvGrpSpPr>
        <xdr:cNvPr id="1024" name="Group 1023">
          <a:extLst>
            <a:ext uri="{FF2B5EF4-FFF2-40B4-BE49-F238E27FC236}">
              <a16:creationId xmlns:a16="http://schemas.microsoft.com/office/drawing/2014/main" id="{00000000-0008-0000-0100-000000040000}"/>
            </a:ext>
          </a:extLst>
        </xdr:cNvPr>
        <xdr:cNvGrpSpPr/>
      </xdr:nvGrpSpPr>
      <xdr:grpSpPr>
        <a:xfrm>
          <a:off x="22538531" y="2940844"/>
          <a:ext cx="3381375" cy="554831"/>
          <a:chOff x="19395915" y="3445813"/>
          <a:chExt cx="2857500" cy="554832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3" name="Button 9" hidden="1">
                <a:extLst>
                  <a:ext uri="{63B3BB69-23CF-44E3-9099-C40C66FF867C}">
                    <a14:compatExt spid="_x0000_s1033"/>
                  </a:ext>
                  <a:ext uri="{FF2B5EF4-FFF2-40B4-BE49-F238E27FC236}">
                    <a16:creationId xmlns:a16="http://schemas.microsoft.com/office/drawing/2014/main" id="{00000000-0008-0000-0100-000009040000}"/>
                  </a:ext>
                </a:extLst>
              </xdr:cNvPr>
              <xdr:cNvSpPr/>
            </xdr:nvSpPr>
            <xdr:spPr bwMode="auto">
              <a:xfrm>
                <a:off x="19395915" y="3445813"/>
                <a:ext cx="2857500" cy="55483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400" b="0" i="0" u="none" strike="noStrike" baseline="0">
                    <a:solidFill>
                      <a:srgbClr val="0066CC"/>
                    </a:solidFill>
                    <a:latin typeface="Roboto Medium"/>
                    <a:ea typeface="Roboto Medium"/>
                    <a:cs typeface="Roboto Medium"/>
                  </a:rPr>
                  <a:t>         Unlock Add Purchase Bill Formula</a:t>
                </a:r>
              </a:p>
            </xdr:txBody>
          </xdr:sp>
        </mc:Choice>
        <mc:Fallback/>
      </mc:AlternateContent>
      <xdr:sp macro="" textlink="">
        <xdr:nvSpPr>
          <xdr:cNvPr id="1034" name="Rectangle: Rounded Corners 1033">
            <a:extLst>
              <a:ext uri="{FF2B5EF4-FFF2-40B4-BE49-F238E27FC236}">
                <a16:creationId xmlns:a16="http://schemas.microsoft.com/office/drawing/2014/main" id="{00000000-0008-0000-0100-00000A040000}"/>
              </a:ext>
            </a:extLst>
          </xdr:cNvPr>
          <xdr:cNvSpPr/>
        </xdr:nvSpPr>
        <xdr:spPr>
          <a:xfrm>
            <a:off x="19439623" y="3545419"/>
            <a:ext cx="369093" cy="416717"/>
          </a:xfrm>
          <a:prstGeom prst="round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 baseline="0">
                <a:solidFill>
                  <a:srgbClr val="0066CC"/>
                </a:solidFill>
                <a:latin typeface="myicons" panose="02000509000000000000" pitchFamily="49" charset="0"/>
              </a:rPr>
              <a:t></a:t>
            </a:r>
            <a:endParaRPr lang="en-US" sz="10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</xdr:grpSp>
    <xdr:clientData/>
  </xdr:twoCellAnchor>
  <xdr:twoCellAnchor>
    <xdr:from>
      <xdr:col>4</xdr:col>
      <xdr:colOff>119063</xdr:colOff>
      <xdr:row>23</xdr:row>
      <xdr:rowOff>345281</xdr:rowOff>
    </xdr:from>
    <xdr:to>
      <xdr:col>4</xdr:col>
      <xdr:colOff>2652713</xdr:colOff>
      <xdr:row>25</xdr:row>
      <xdr:rowOff>84636</xdr:rowOff>
    </xdr:to>
    <xdr:grpSp>
      <xdr:nvGrpSpPr>
        <xdr:cNvPr id="2085014" name="Group 2085013">
          <a:extLst>
            <a:ext uri="{FF2B5EF4-FFF2-40B4-BE49-F238E27FC236}">
              <a16:creationId xmlns:a16="http://schemas.microsoft.com/office/drawing/2014/main" id="{00000000-0008-0000-0100-000096D01F00}"/>
            </a:ext>
          </a:extLst>
        </xdr:cNvPr>
        <xdr:cNvGrpSpPr/>
      </xdr:nvGrpSpPr>
      <xdr:grpSpPr>
        <a:xfrm>
          <a:off x="5476876" y="8501062"/>
          <a:ext cx="2533650" cy="501355"/>
          <a:chOff x="19188906" y="645582"/>
          <a:chExt cx="1163973" cy="499371"/>
        </a:xfrm>
      </xdr:grpSpPr>
      <xdr:sp macro="[0]!goPrintQuotation" textlink="">
        <xdr:nvSpPr>
          <xdr:cNvPr id="2085024" name="Rectangle: Rounded Corners 2085023">
            <a:extLst>
              <a:ext uri="{FF2B5EF4-FFF2-40B4-BE49-F238E27FC236}">
                <a16:creationId xmlns:a16="http://schemas.microsoft.com/office/drawing/2014/main" id="{00000000-0008-0000-0100-0000A0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ព្រីនសម្រង់តម្លៃ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PrintInvoice" textlink="">
        <xdr:nvSpPr>
          <xdr:cNvPr id="2085026" name="Rectangle 2085025">
            <a:extLst>
              <a:ext uri="{FF2B5EF4-FFF2-40B4-BE49-F238E27FC236}">
                <a16:creationId xmlns:a16="http://schemas.microsoft.com/office/drawing/2014/main" id="{00000000-0008-0000-0100-0000A2D01F00}"/>
              </a:ext>
            </a:extLst>
          </xdr:cNvPr>
          <xdr:cNvSpPr/>
        </xdr:nvSpPr>
        <xdr:spPr>
          <a:xfrm>
            <a:off x="19391288" y="765165"/>
            <a:ext cx="168893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>
                <a:solidFill>
                  <a:srgbClr val="0066CC"/>
                </a:solidFill>
                <a:latin typeface="myicons" panose="02000509000000000000" pitchFamily="49" charset="0"/>
              </a:rPr>
              <a:t></a:t>
            </a:r>
            <a:endParaRPr lang="en-US" sz="18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9</xdr:col>
      <xdr:colOff>130969</xdr:colOff>
      <xdr:row>10</xdr:row>
      <xdr:rowOff>290513</xdr:rowOff>
    </xdr:from>
    <xdr:to>
      <xdr:col>9</xdr:col>
      <xdr:colOff>3238500</xdr:colOff>
      <xdr:row>12</xdr:row>
      <xdr:rowOff>83344</xdr:rowOff>
    </xdr:to>
    <xdr:grpSp>
      <xdr:nvGrpSpPr>
        <xdr:cNvPr id="2085027" name="Group 2085026">
          <a:extLst>
            <a:ext uri="{FF2B5EF4-FFF2-40B4-BE49-F238E27FC236}">
              <a16:creationId xmlns:a16="http://schemas.microsoft.com/office/drawing/2014/main" id="{00000000-0008-0000-0100-0000A3D01F00}"/>
            </a:ext>
          </a:extLst>
        </xdr:cNvPr>
        <xdr:cNvGrpSpPr/>
      </xdr:nvGrpSpPr>
      <xdr:grpSpPr>
        <a:xfrm>
          <a:off x="19288125" y="3612357"/>
          <a:ext cx="3107531" cy="554831"/>
          <a:chOff x="19395608" y="3445672"/>
          <a:chExt cx="2857497" cy="554831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" name="Button 10" hidden="1">
                <a:extLst>
                  <a:ext uri="{63B3BB69-23CF-44E3-9099-C40C66FF867C}">
                    <a14:compatExt spid="_x0000_s1034"/>
                  </a:ext>
                  <a:ext uri="{FF2B5EF4-FFF2-40B4-BE49-F238E27FC236}">
                    <a16:creationId xmlns:a16="http://schemas.microsoft.com/office/drawing/2014/main" id="{00000000-0008-0000-0100-000002000000}"/>
                  </a:ext>
                </a:extLst>
              </xdr:cNvPr>
              <xdr:cNvSpPr/>
            </xdr:nvSpPr>
            <xdr:spPr bwMode="auto">
              <a:xfrm>
                <a:off x="19395608" y="3445672"/>
                <a:ext cx="2857497" cy="55483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400" b="0" i="0" u="none" strike="noStrike" baseline="0">
                    <a:solidFill>
                      <a:srgbClr val="0066CC"/>
                    </a:solidFill>
                    <a:latin typeface="Roboto Medium"/>
                    <a:ea typeface="Roboto Medium"/>
                    <a:cs typeface="Roboto Medium"/>
                  </a:rPr>
                  <a:t>         Lock Add Quotation Formula</a:t>
                </a:r>
              </a:p>
            </xdr:txBody>
          </xdr:sp>
        </mc:Choice>
        <mc:Fallback/>
      </mc:AlternateContent>
      <xdr:sp macro="[0]!LockAddPurchaseBillSheet" textlink="">
        <xdr:nvSpPr>
          <xdr:cNvPr id="2085029" name="Rectangle: Rounded Corners 2085028">
            <a:extLst>
              <a:ext uri="{FF2B5EF4-FFF2-40B4-BE49-F238E27FC236}">
                <a16:creationId xmlns:a16="http://schemas.microsoft.com/office/drawing/2014/main" id="{00000000-0008-0000-0100-0000A5D01F00}"/>
              </a:ext>
            </a:extLst>
          </xdr:cNvPr>
          <xdr:cNvSpPr/>
        </xdr:nvSpPr>
        <xdr:spPr>
          <a:xfrm>
            <a:off x="19450572" y="3557325"/>
            <a:ext cx="369093" cy="416717"/>
          </a:xfrm>
          <a:prstGeom prst="round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 baseline="0">
                <a:solidFill>
                  <a:srgbClr val="0066CC"/>
                </a:solidFill>
                <a:latin typeface="myicons" panose="02000509000000000000" pitchFamily="49" charset="0"/>
              </a:rPr>
              <a:t></a:t>
            </a:r>
            <a:endParaRPr lang="en-US" sz="10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</xdr:grpSp>
    <xdr:clientData/>
  </xdr:twoCellAnchor>
  <xdr:twoCellAnchor>
    <xdr:from>
      <xdr:col>9</xdr:col>
      <xdr:colOff>3381375</xdr:colOff>
      <xdr:row>10</xdr:row>
      <xdr:rowOff>290513</xdr:rowOff>
    </xdr:from>
    <xdr:to>
      <xdr:col>9</xdr:col>
      <xdr:colOff>6762750</xdr:colOff>
      <xdr:row>12</xdr:row>
      <xdr:rowOff>83344</xdr:rowOff>
    </xdr:to>
    <xdr:grpSp>
      <xdr:nvGrpSpPr>
        <xdr:cNvPr id="2085030" name="Group 2085029">
          <a:extLst>
            <a:ext uri="{FF2B5EF4-FFF2-40B4-BE49-F238E27FC236}">
              <a16:creationId xmlns:a16="http://schemas.microsoft.com/office/drawing/2014/main" id="{00000000-0008-0000-0100-0000A6D01F00}"/>
            </a:ext>
          </a:extLst>
        </xdr:cNvPr>
        <xdr:cNvGrpSpPr/>
      </xdr:nvGrpSpPr>
      <xdr:grpSpPr>
        <a:xfrm>
          <a:off x="22538531" y="3612357"/>
          <a:ext cx="3381375" cy="554831"/>
          <a:chOff x="19395915" y="3445672"/>
          <a:chExt cx="2857500" cy="554831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5" name="Button 11" hidden="1">
                <a:extLst>
                  <a:ext uri="{63B3BB69-23CF-44E3-9099-C40C66FF867C}">
                    <a14:compatExt spid="_x0000_s1035"/>
                  </a:ext>
                  <a:ext uri="{FF2B5EF4-FFF2-40B4-BE49-F238E27FC236}">
                    <a16:creationId xmlns:a16="http://schemas.microsoft.com/office/drawing/2014/main" id="{00000000-0008-0000-0100-00000B040000}"/>
                  </a:ext>
                </a:extLst>
              </xdr:cNvPr>
              <xdr:cNvSpPr/>
            </xdr:nvSpPr>
            <xdr:spPr bwMode="auto">
              <a:xfrm>
                <a:off x="19395915" y="3445672"/>
                <a:ext cx="2857500" cy="55483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400" b="0" i="0" u="none" strike="noStrike" baseline="0">
                    <a:solidFill>
                      <a:srgbClr val="0066CC"/>
                    </a:solidFill>
                    <a:latin typeface="Roboto Medium"/>
                    <a:ea typeface="Roboto Medium"/>
                    <a:cs typeface="Roboto Medium"/>
                  </a:rPr>
                  <a:t>         Unlock Add Quotation Formula</a:t>
                </a:r>
              </a:p>
            </xdr:txBody>
          </xdr:sp>
        </mc:Choice>
        <mc:Fallback/>
      </mc:AlternateContent>
      <xdr:sp macro="" textlink="">
        <xdr:nvSpPr>
          <xdr:cNvPr id="2085031" name="Rectangle: Rounded Corners 2085030">
            <a:extLst>
              <a:ext uri="{FF2B5EF4-FFF2-40B4-BE49-F238E27FC236}">
                <a16:creationId xmlns:a16="http://schemas.microsoft.com/office/drawing/2014/main" id="{00000000-0008-0000-0100-0000A7D01F00}"/>
              </a:ext>
            </a:extLst>
          </xdr:cNvPr>
          <xdr:cNvSpPr/>
        </xdr:nvSpPr>
        <xdr:spPr>
          <a:xfrm>
            <a:off x="19439623" y="3545419"/>
            <a:ext cx="369093" cy="416717"/>
          </a:xfrm>
          <a:prstGeom prst="round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 baseline="0">
                <a:solidFill>
                  <a:srgbClr val="0066CC"/>
                </a:solidFill>
                <a:latin typeface="myicons" panose="02000509000000000000" pitchFamily="49" charset="0"/>
              </a:rPr>
              <a:t></a:t>
            </a:r>
            <a:endParaRPr lang="en-US" sz="10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</xdr:grpSp>
    <xdr:clientData/>
  </xdr:twoCellAnchor>
  <xdr:twoCellAnchor>
    <xdr:from>
      <xdr:col>9</xdr:col>
      <xdr:colOff>130969</xdr:colOff>
      <xdr:row>12</xdr:row>
      <xdr:rowOff>214313</xdr:rowOff>
    </xdr:from>
    <xdr:to>
      <xdr:col>9</xdr:col>
      <xdr:colOff>3238500</xdr:colOff>
      <xdr:row>13</xdr:row>
      <xdr:rowOff>316707</xdr:rowOff>
    </xdr:to>
    <xdr:grpSp>
      <xdr:nvGrpSpPr>
        <xdr:cNvPr id="2085032" name="Group 2085031">
          <a:extLst>
            <a:ext uri="{FF2B5EF4-FFF2-40B4-BE49-F238E27FC236}">
              <a16:creationId xmlns:a16="http://schemas.microsoft.com/office/drawing/2014/main" id="{00000000-0008-0000-0100-0000A8D01F00}"/>
            </a:ext>
          </a:extLst>
        </xdr:cNvPr>
        <xdr:cNvGrpSpPr/>
      </xdr:nvGrpSpPr>
      <xdr:grpSpPr>
        <a:xfrm>
          <a:off x="19288125" y="4298157"/>
          <a:ext cx="3107531" cy="554831"/>
          <a:chOff x="19395608" y="3445680"/>
          <a:chExt cx="2857497" cy="554831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6" name="Button 12" hidden="1">
                <a:extLst>
                  <a:ext uri="{63B3BB69-23CF-44E3-9099-C40C66FF867C}">
                    <a14:compatExt spid="_x0000_s1036"/>
                  </a:ext>
                  <a:ext uri="{FF2B5EF4-FFF2-40B4-BE49-F238E27FC236}">
                    <a16:creationId xmlns:a16="http://schemas.microsoft.com/office/drawing/2014/main" id="{00000000-0008-0000-0100-00000C040000}"/>
                  </a:ext>
                </a:extLst>
              </xdr:cNvPr>
              <xdr:cNvSpPr/>
            </xdr:nvSpPr>
            <xdr:spPr bwMode="auto">
              <a:xfrm>
                <a:off x="19395608" y="3445680"/>
                <a:ext cx="2857497" cy="55483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400" b="0" i="0" u="none" strike="noStrike" baseline="0">
                    <a:solidFill>
                      <a:srgbClr val="0066CC"/>
                    </a:solidFill>
                    <a:latin typeface="Roboto Medium"/>
                    <a:ea typeface="Roboto Medium"/>
                    <a:cs typeface="Roboto Medium"/>
                  </a:rPr>
                  <a:t>         Lock Add Receive Payment Formula</a:t>
                </a:r>
              </a:p>
            </xdr:txBody>
          </xdr:sp>
        </mc:Choice>
        <mc:Fallback/>
      </mc:AlternateContent>
      <xdr:sp macro="" textlink="">
        <xdr:nvSpPr>
          <xdr:cNvPr id="2085033" name="Rectangle: Rounded Corners 2085032">
            <a:extLst>
              <a:ext uri="{FF2B5EF4-FFF2-40B4-BE49-F238E27FC236}">
                <a16:creationId xmlns:a16="http://schemas.microsoft.com/office/drawing/2014/main" id="{00000000-0008-0000-0100-0000A9D01F00}"/>
              </a:ext>
            </a:extLst>
          </xdr:cNvPr>
          <xdr:cNvSpPr/>
        </xdr:nvSpPr>
        <xdr:spPr>
          <a:xfrm>
            <a:off x="19450572" y="3557325"/>
            <a:ext cx="369093" cy="416717"/>
          </a:xfrm>
          <a:prstGeom prst="round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 baseline="0">
                <a:solidFill>
                  <a:srgbClr val="0066CC"/>
                </a:solidFill>
                <a:latin typeface="myicons" panose="02000509000000000000" pitchFamily="49" charset="0"/>
              </a:rPr>
              <a:t></a:t>
            </a:r>
            <a:endParaRPr lang="en-US" sz="10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</xdr:grpSp>
    <xdr:clientData/>
  </xdr:twoCellAnchor>
  <xdr:twoCellAnchor>
    <xdr:from>
      <xdr:col>9</xdr:col>
      <xdr:colOff>3381375</xdr:colOff>
      <xdr:row>12</xdr:row>
      <xdr:rowOff>214313</xdr:rowOff>
    </xdr:from>
    <xdr:to>
      <xdr:col>9</xdr:col>
      <xdr:colOff>6762750</xdr:colOff>
      <xdr:row>13</xdr:row>
      <xdr:rowOff>316707</xdr:rowOff>
    </xdr:to>
    <xdr:grpSp>
      <xdr:nvGrpSpPr>
        <xdr:cNvPr id="2085034" name="Group 2085033">
          <a:extLst>
            <a:ext uri="{FF2B5EF4-FFF2-40B4-BE49-F238E27FC236}">
              <a16:creationId xmlns:a16="http://schemas.microsoft.com/office/drawing/2014/main" id="{00000000-0008-0000-0100-0000AAD01F00}"/>
            </a:ext>
          </a:extLst>
        </xdr:cNvPr>
        <xdr:cNvGrpSpPr/>
      </xdr:nvGrpSpPr>
      <xdr:grpSpPr>
        <a:xfrm>
          <a:off x="22538531" y="4298157"/>
          <a:ext cx="3381375" cy="554831"/>
          <a:chOff x="19395915" y="3445682"/>
          <a:chExt cx="2857500" cy="554831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7" name="Button 13" hidden="1">
                <a:extLst>
                  <a:ext uri="{63B3BB69-23CF-44E3-9099-C40C66FF867C}">
                    <a14:compatExt spid="_x0000_s1037"/>
                  </a:ext>
                  <a:ext uri="{FF2B5EF4-FFF2-40B4-BE49-F238E27FC236}">
                    <a16:creationId xmlns:a16="http://schemas.microsoft.com/office/drawing/2014/main" id="{00000000-0008-0000-0100-00000D040000}"/>
                  </a:ext>
                </a:extLst>
              </xdr:cNvPr>
              <xdr:cNvSpPr/>
            </xdr:nvSpPr>
            <xdr:spPr bwMode="auto">
              <a:xfrm>
                <a:off x="19395915" y="3445682"/>
                <a:ext cx="2857500" cy="55483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400" b="0" i="0" u="none" strike="noStrike" baseline="0">
                    <a:solidFill>
                      <a:srgbClr val="0066CC"/>
                    </a:solidFill>
                    <a:latin typeface="Roboto Medium"/>
                    <a:ea typeface="Roboto Medium"/>
                    <a:cs typeface="Roboto Medium"/>
                  </a:rPr>
                  <a:t>         Unlock Add Receive Payment Formula</a:t>
                </a:r>
              </a:p>
            </xdr:txBody>
          </xdr:sp>
        </mc:Choice>
        <mc:Fallback/>
      </mc:AlternateContent>
      <xdr:sp macro="" textlink="">
        <xdr:nvSpPr>
          <xdr:cNvPr id="2085035" name="Rectangle: Rounded Corners 2085034">
            <a:extLst>
              <a:ext uri="{FF2B5EF4-FFF2-40B4-BE49-F238E27FC236}">
                <a16:creationId xmlns:a16="http://schemas.microsoft.com/office/drawing/2014/main" id="{00000000-0008-0000-0100-0000ABD01F00}"/>
              </a:ext>
            </a:extLst>
          </xdr:cNvPr>
          <xdr:cNvSpPr/>
        </xdr:nvSpPr>
        <xdr:spPr>
          <a:xfrm>
            <a:off x="19439623" y="3545419"/>
            <a:ext cx="369093" cy="416717"/>
          </a:xfrm>
          <a:prstGeom prst="round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 baseline="0">
                <a:solidFill>
                  <a:srgbClr val="0066CC"/>
                </a:solidFill>
                <a:latin typeface="myicons" panose="02000509000000000000" pitchFamily="49" charset="0"/>
              </a:rPr>
              <a:t></a:t>
            </a:r>
            <a:endParaRPr lang="en-US" sz="10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12436</xdr:colOff>
      <xdr:row>2</xdr:row>
      <xdr:rowOff>166688</xdr:rowOff>
    </xdr:from>
    <xdr:to>
      <xdr:col>3</xdr:col>
      <xdr:colOff>762002</xdr:colOff>
      <xdr:row>3</xdr:row>
      <xdr:rowOff>535782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464874" y="166688"/>
          <a:ext cx="1428222" cy="571500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523875</xdr:colOff>
      <xdr:row>3</xdr:row>
      <xdr:rowOff>123825</xdr:rowOff>
    </xdr:from>
    <xdr:to>
      <xdr:col>5</xdr:col>
      <xdr:colOff>276225</xdr:colOff>
      <xdr:row>4</xdr:row>
      <xdr:rowOff>514350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2171700" y="123825"/>
          <a:ext cx="3524250" cy="5810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  <a:cs typeface="Roboto Medium" panose="02000000000000000000" pitchFamily="2" charset="0"/>
            </a:rPr>
            <a:t>Chart Account Type</a:t>
          </a:r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465737</xdr:colOff>
      <xdr:row>4</xdr:row>
      <xdr:rowOff>501355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pSpPr/>
      </xdr:nvGrpSpPr>
      <xdr:grpSpPr>
        <a:xfrm>
          <a:off x="876300" y="190500"/>
          <a:ext cx="1237262" cy="501355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528637</xdr:colOff>
      <xdr:row>2</xdr:row>
      <xdr:rowOff>126206</xdr:rowOff>
    </xdr:from>
    <xdr:to>
      <xdr:col>5</xdr:col>
      <xdr:colOff>690562</xdr:colOff>
      <xdr:row>4</xdr:row>
      <xdr:rowOff>183356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457325" y="126206"/>
          <a:ext cx="3257550" cy="6762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  <a:cs typeface="Roboto Medium" panose="02000000000000000000" pitchFamily="2" charset="0"/>
            </a:rPr>
            <a:t>Chart Account Group</a:t>
          </a:r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3</xdr:col>
      <xdr:colOff>534793</xdr:colOff>
      <xdr:row>4</xdr:row>
      <xdr:rowOff>72730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pSpPr/>
      </xdr:nvGrpSpPr>
      <xdr:grpSpPr>
        <a:xfrm>
          <a:off x="222250" y="190500"/>
          <a:ext cx="1243876" cy="506647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00000000-0008-0000-0400-000004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400-000005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603252</xdr:colOff>
      <xdr:row>1</xdr:row>
      <xdr:rowOff>106097</xdr:rowOff>
    </xdr:from>
    <xdr:to>
      <xdr:col>5</xdr:col>
      <xdr:colOff>631827</xdr:colOff>
      <xdr:row>3</xdr:row>
      <xdr:rowOff>163247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788585" y="296597"/>
          <a:ext cx="2684992" cy="4381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  <a:cs typeface="Roboto Medium" panose="02000000000000000000" pitchFamily="2" charset="0"/>
            </a:rPr>
            <a:t>Chart Account</a:t>
          </a:r>
        </a:p>
      </xdr:txBody>
    </xdr:sp>
    <xdr:clientData/>
  </xdr:twoCellAnchor>
  <xdr:twoCellAnchor>
    <xdr:from>
      <xdr:col>2</xdr:col>
      <xdr:colOff>0</xdr:colOff>
      <xdr:row>1</xdr:row>
      <xdr:rowOff>59531</xdr:rowOff>
    </xdr:from>
    <xdr:to>
      <xdr:col>3</xdr:col>
      <xdr:colOff>606231</xdr:colOff>
      <xdr:row>3</xdr:row>
      <xdr:rowOff>179886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pSpPr/>
      </xdr:nvGrpSpPr>
      <xdr:grpSpPr>
        <a:xfrm>
          <a:off x="560917" y="250031"/>
          <a:ext cx="1230647" cy="501355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00000000-0008-0000-0500-000004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500-000005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583407</xdr:colOff>
      <xdr:row>3</xdr:row>
      <xdr:rowOff>0</xdr:rowOff>
    </xdr:from>
    <xdr:to>
      <xdr:col>2</xdr:col>
      <xdr:colOff>638968</xdr:colOff>
      <xdr:row>5</xdr:row>
      <xdr:rowOff>82021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GrpSpPr/>
      </xdr:nvGrpSpPr>
      <xdr:grpSpPr>
        <a:xfrm>
          <a:off x="583407" y="607219"/>
          <a:ext cx="1460499" cy="486833"/>
          <a:chOff x="19188906" y="645582"/>
          <a:chExt cx="1163973" cy="499371"/>
        </a:xfrm>
      </xdr:grpSpPr>
      <xdr:sp macro="[0]!goToHome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00000000-0008-0000-0600-000008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600-000009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2238375</xdr:colOff>
      <xdr:row>2</xdr:row>
      <xdr:rowOff>114300</xdr:rowOff>
    </xdr:from>
    <xdr:to>
      <xdr:col>7</xdr:col>
      <xdr:colOff>1133475</xdr:colOff>
      <xdr:row>4</xdr:row>
      <xdr:rowOff>171450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4371975" y="495300"/>
          <a:ext cx="4876800" cy="4381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  <a:cs typeface="Roboto Medium" panose="02000000000000000000" pitchFamily="2" charset="0"/>
            </a:rPr>
            <a:t>Chart Account Default</a:t>
          </a:r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3</xdr:col>
      <xdr:colOff>653856</xdr:colOff>
      <xdr:row>4</xdr:row>
      <xdr:rowOff>25105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pSpPr/>
      </xdr:nvGrpSpPr>
      <xdr:grpSpPr>
        <a:xfrm>
          <a:off x="381000" y="243417"/>
          <a:ext cx="1235939" cy="501355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00000000-0008-0000-0700-000004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800100</xdr:colOff>
      <xdr:row>3</xdr:row>
      <xdr:rowOff>114301</xdr:rowOff>
    </xdr:from>
    <xdr:to>
      <xdr:col>5</xdr:col>
      <xdr:colOff>438150</xdr:colOff>
      <xdr:row>5</xdr:row>
      <xdr:rowOff>171451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2019300" y="685801"/>
          <a:ext cx="2828925" cy="5429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  <a:cs typeface="Roboto Medium" panose="02000000000000000000" pitchFamily="2" charset="0"/>
            </a:rPr>
            <a:t>Module Group</a:t>
          </a:r>
        </a:p>
      </xdr:txBody>
    </xdr:sp>
    <xdr:clientData/>
  </xdr:twoCellAnchor>
  <xdr:twoCellAnchor>
    <xdr:from>
      <xdr:col>1</xdr:col>
      <xdr:colOff>571500</xdr:colOff>
      <xdr:row>3</xdr:row>
      <xdr:rowOff>104775</xdr:rowOff>
    </xdr:from>
    <xdr:to>
      <xdr:col>3</xdr:col>
      <xdr:colOff>388214</xdr:colOff>
      <xdr:row>5</xdr:row>
      <xdr:rowOff>120355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pSpPr/>
      </xdr:nvGrpSpPr>
      <xdr:grpSpPr>
        <a:xfrm>
          <a:off x="1181100" y="104775"/>
          <a:ext cx="1235939" cy="501355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800-000005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66675</xdr:colOff>
      <xdr:row>1</xdr:row>
      <xdr:rowOff>66675</xdr:rowOff>
    </xdr:from>
    <xdr:to>
      <xdr:col>3</xdr:col>
      <xdr:colOff>694337</xdr:colOff>
      <xdr:row>3</xdr:row>
      <xdr:rowOff>44155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pSpPr/>
      </xdr:nvGrpSpPr>
      <xdr:grpSpPr>
        <a:xfrm>
          <a:off x="66675" y="257175"/>
          <a:ext cx="1237262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09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9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3</xdr:col>
      <xdr:colOff>627662</xdr:colOff>
      <xdr:row>2</xdr:row>
      <xdr:rowOff>501355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pSpPr/>
      </xdr:nvGrpSpPr>
      <xdr:grpSpPr>
        <a:xfrm>
          <a:off x="1219200" y="161925"/>
          <a:ext cx="1237262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0A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A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11907</xdr:colOff>
      <xdr:row>1</xdr:row>
      <xdr:rowOff>154781</xdr:rowOff>
    </xdr:from>
    <xdr:to>
      <xdr:col>2</xdr:col>
      <xdr:colOff>783767</xdr:colOff>
      <xdr:row>2</xdr:row>
      <xdr:rowOff>60823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pSpPr/>
      </xdr:nvGrpSpPr>
      <xdr:grpSpPr>
        <a:xfrm>
          <a:off x="333376" y="202406"/>
          <a:ext cx="1283829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0B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B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42</xdr:col>
      <xdr:colOff>43207</xdr:colOff>
      <xdr:row>117</xdr:row>
      <xdr:rowOff>192201</xdr:rowOff>
    </xdr:from>
    <xdr:to>
      <xdr:col>49</xdr:col>
      <xdr:colOff>44930</xdr:colOff>
      <xdr:row>121</xdr:row>
      <xdr:rowOff>59531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41800807" y="17394351"/>
          <a:ext cx="6145348" cy="1124630"/>
        </a:xfrm>
        <a:prstGeom prst="roundRect">
          <a:avLst/>
        </a:prstGeom>
        <a:noFill/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50</xdr:col>
      <xdr:colOff>190500</xdr:colOff>
      <xdr:row>110</xdr:row>
      <xdr:rowOff>10584</xdr:rowOff>
    </xdr:from>
    <xdr:to>
      <xdr:col>58</xdr:col>
      <xdr:colOff>40372</xdr:colOff>
      <xdr:row>114</xdr:row>
      <xdr:rowOff>7923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48501300" y="15231534"/>
          <a:ext cx="3697972" cy="103556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2800">
              <a:solidFill>
                <a:srgbClr val="0070C0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Muol" panose="02000500000000020004" pitchFamily="2" charset="0"/>
            </a:rPr>
            <a:t>INVOICE</a:t>
          </a:r>
          <a:r>
            <a:rPr lang="en-US" sz="2800" baseline="0">
              <a:solidFill>
                <a:srgbClr val="0070C0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Muol" panose="02000500000000020004" pitchFamily="2" charset="0"/>
            </a:rPr>
            <a:t> COMMERCIAL</a:t>
          </a:r>
          <a:endParaRPr lang="en-US" sz="2800">
            <a:solidFill>
              <a:srgbClr val="0070C0"/>
            </a:solidFill>
            <a:latin typeface="Roboto Medium" panose="02000000000000000000" pitchFamily="2" charset="0"/>
            <a:ea typeface="Roboto Medium" panose="02000000000000000000" pitchFamily="2" charset="0"/>
            <a:cs typeface="Khmer Muol" panose="02000500000000020004" pitchFamily="2" charset="0"/>
          </a:endParaRPr>
        </a:p>
      </xdr:txBody>
    </xdr:sp>
    <xdr:clientData/>
  </xdr:twoCellAnchor>
  <xdr:twoCellAnchor>
    <xdr:from>
      <xdr:col>43</xdr:col>
      <xdr:colOff>321470</xdr:colOff>
      <xdr:row>205</xdr:row>
      <xdr:rowOff>107157</xdr:rowOff>
    </xdr:from>
    <xdr:to>
      <xdr:col>52</xdr:col>
      <xdr:colOff>107157</xdr:colOff>
      <xdr:row>208</xdr:row>
      <xdr:rowOff>0</xdr:rowOff>
    </xdr:to>
    <xdr:sp macro="" textlink="$C$22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/>
      </xdr:nvSpPr>
      <xdr:spPr>
        <a:xfrm>
          <a:off x="43126820" y="24062532"/>
          <a:ext cx="6081712" cy="835818"/>
        </a:xfrm>
        <a:prstGeom prst="round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fld id="{4A850E5B-E348-4DA8-99F7-2D35801F9CA0}" type="TxLink">
            <a:rPr lang="en-US" sz="1100" b="0" i="0" u="none" strike="noStrike">
              <a:solidFill>
                <a:srgbClr val="000000"/>
              </a:solidFill>
              <a:latin typeface="Content"/>
              <a:ea typeface="Calibri"/>
              <a:cs typeface="Content"/>
            </a:rPr>
            <a:pPr algn="l"/>
            <a:t> </a:t>
          </a:fld>
          <a:endParaRPr lang="en-US" sz="1100"/>
        </a:p>
      </xdr:txBody>
    </xdr:sp>
    <xdr:clientData/>
  </xdr:twoCellAnchor>
  <xdr:twoCellAnchor>
    <xdr:from>
      <xdr:col>42</xdr:col>
      <xdr:colOff>35847</xdr:colOff>
      <xdr:row>116</xdr:row>
      <xdr:rowOff>285749</xdr:rowOff>
    </xdr:from>
    <xdr:to>
      <xdr:col>45</xdr:col>
      <xdr:colOff>226217</xdr:colOff>
      <xdr:row>118</xdr:row>
      <xdr:rowOff>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SpPr/>
      </xdr:nvSpPr>
      <xdr:spPr>
        <a:xfrm>
          <a:off x="41793447" y="17173574"/>
          <a:ext cx="3314570" cy="342901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accent1">
              <a:lumMod val="40000"/>
              <a:lumOff val="6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m-KH" sz="1200" u="sng">
              <a:solidFill>
                <a:srgbClr val="0070C0"/>
              </a:solidFill>
              <a:latin typeface="Content" panose="02000500000000000000" pitchFamily="2" charset="0"/>
              <a:cs typeface="Content" panose="02000500000000000000" pitchFamily="2" charset="0"/>
            </a:rPr>
            <a:t>ពត៌មានអតិថិជន</a:t>
          </a:r>
          <a:endParaRPr lang="en-US" sz="1200" u="sng">
            <a:solidFill>
              <a:srgbClr val="0070C0"/>
            </a:solidFill>
            <a:latin typeface="Content" panose="02000500000000000000" pitchFamily="2" charset="0"/>
            <a:cs typeface="Content" panose="02000500000000000000" pitchFamily="2" charset="0"/>
          </a:endParaRPr>
        </a:p>
      </xdr:txBody>
    </xdr:sp>
    <xdr:clientData/>
  </xdr:twoCellAnchor>
  <xdr:twoCellAnchor>
    <xdr:from>
      <xdr:col>43</xdr:col>
      <xdr:colOff>71438</xdr:colOff>
      <xdr:row>210</xdr:row>
      <xdr:rowOff>0</xdr:rowOff>
    </xdr:from>
    <xdr:to>
      <xdr:col>47</xdr:col>
      <xdr:colOff>5794</xdr:colOff>
      <xdr:row>214</xdr:row>
      <xdr:rowOff>7142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GrpSpPr/>
      </xdr:nvGrpSpPr>
      <xdr:grpSpPr>
        <a:xfrm>
          <a:off x="32396907" y="47184469"/>
          <a:ext cx="4363481" cy="1245392"/>
          <a:chOff x="168084" y="8386956"/>
          <a:chExt cx="2596062" cy="800467"/>
        </a:xfrm>
      </xdr:grpSpPr>
      <xdr:sp macro="" textlink="">
        <xdr:nvSpPr>
          <xdr:cNvPr id="7" name="TextBox 6">
            <a:extLst>
              <a:ext uri="{FF2B5EF4-FFF2-40B4-BE49-F238E27FC236}">
                <a16:creationId xmlns:a16="http://schemas.microsoft.com/office/drawing/2014/main" id="{00000000-0008-0000-0C00-000007000000}"/>
              </a:ext>
            </a:extLst>
          </xdr:cNvPr>
          <xdr:cNvSpPr txBox="1"/>
        </xdr:nvSpPr>
        <xdr:spPr>
          <a:xfrm>
            <a:off x="265315" y="8386956"/>
            <a:ext cx="2411324" cy="275988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100" b="0" i="0" u="none" strike="noStrike">
                <a:solidFill>
                  <a:sysClr val="windowText" lastClr="000000"/>
                </a:solidFill>
                <a:effectLst/>
                <a:latin typeface="Content" panose="02000500000000000000" pitchFamily="2" charset="0"/>
                <a:ea typeface="+mn-ea"/>
                <a:cs typeface="Content" panose="02000500000000000000" pitchFamily="2" charset="0"/>
              </a:rPr>
              <a:t>ហត្ថលេខាអ្នកអនុម័ត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8" name="TextBox 7">
            <a:extLst>
              <a:ext uri="{FF2B5EF4-FFF2-40B4-BE49-F238E27FC236}">
                <a16:creationId xmlns:a16="http://schemas.microsoft.com/office/drawing/2014/main" id="{00000000-0008-0000-0C00-000008000000}"/>
              </a:ext>
            </a:extLst>
          </xdr:cNvPr>
          <xdr:cNvSpPr txBox="1"/>
        </xdr:nvSpPr>
        <xdr:spPr>
          <a:xfrm>
            <a:off x="168084" y="9048132"/>
            <a:ext cx="2596062" cy="139291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en-US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_______________________________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</xdr:grpSp>
    <xdr:clientData/>
  </xdr:twoCellAnchor>
  <xdr:twoCellAnchor>
    <xdr:from>
      <xdr:col>50</xdr:col>
      <xdr:colOff>317500</xdr:colOff>
      <xdr:row>210</xdr:row>
      <xdr:rowOff>0</xdr:rowOff>
    </xdr:from>
    <xdr:to>
      <xdr:col>56</xdr:col>
      <xdr:colOff>569356</xdr:colOff>
      <xdr:row>214</xdr:row>
      <xdr:rowOff>7142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GrpSpPr/>
      </xdr:nvGrpSpPr>
      <xdr:grpSpPr>
        <a:xfrm>
          <a:off x="38441313" y="47184469"/>
          <a:ext cx="2823606" cy="1245392"/>
          <a:chOff x="168084" y="8386956"/>
          <a:chExt cx="2596062" cy="800467"/>
        </a:xfrm>
      </xdr:grpSpPr>
      <xdr:sp macro="" textlink="">
        <xdr:nvSpPr>
          <xdr:cNvPr id="10" name="TextBox 9">
            <a:extLst>
              <a:ext uri="{FF2B5EF4-FFF2-40B4-BE49-F238E27FC236}">
                <a16:creationId xmlns:a16="http://schemas.microsoft.com/office/drawing/2014/main" id="{00000000-0008-0000-0C00-00000A000000}"/>
              </a:ext>
            </a:extLst>
          </xdr:cNvPr>
          <xdr:cNvSpPr txBox="1"/>
        </xdr:nvSpPr>
        <xdr:spPr>
          <a:xfrm>
            <a:off x="265315" y="8386956"/>
            <a:ext cx="2411324" cy="275988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100" b="0" i="0" u="none" strike="noStrike">
                <a:solidFill>
                  <a:sysClr val="windowText" lastClr="000000"/>
                </a:solidFill>
                <a:effectLst/>
                <a:latin typeface="Content" panose="02000500000000000000" pitchFamily="2" charset="0"/>
                <a:ea typeface="+mn-ea"/>
                <a:cs typeface="Content" panose="02000500000000000000" pitchFamily="2" charset="0"/>
              </a:rPr>
              <a:t>ហត្ថលេខាអ្នកចេញ</a:t>
            </a:r>
            <a:r>
              <a:rPr lang="en-US" sz="1200" b="0" i="0" u="none" strike="noStrike">
                <a:solidFill>
                  <a:sysClr val="windowText" lastClr="000000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Content" panose="02000500000000000000" pitchFamily="2" charset="0"/>
              </a:rPr>
              <a:t>quote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00000000-0008-0000-0C00-00000B000000}"/>
              </a:ext>
            </a:extLst>
          </xdr:cNvPr>
          <xdr:cNvSpPr txBox="1"/>
        </xdr:nvSpPr>
        <xdr:spPr>
          <a:xfrm>
            <a:off x="168084" y="9048132"/>
            <a:ext cx="2596062" cy="139291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en-US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_______________________________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</xdr:grpSp>
    <xdr:clientData/>
  </xdr:twoCellAnchor>
  <xdr:twoCellAnchor>
    <xdr:from>
      <xdr:col>60</xdr:col>
      <xdr:colOff>43207</xdr:colOff>
      <xdr:row>117</xdr:row>
      <xdr:rowOff>52917</xdr:rowOff>
    </xdr:from>
    <xdr:to>
      <xdr:col>67</xdr:col>
      <xdr:colOff>44930</xdr:colOff>
      <xdr:row>121</xdr:row>
      <xdr:rowOff>59531</xdr:rowOff>
    </xdr:to>
    <xdr:sp macro="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00000000-0008-0000-0C00-00000C000000}"/>
            </a:ext>
          </a:extLst>
        </xdr:cNvPr>
        <xdr:cNvSpPr/>
      </xdr:nvSpPr>
      <xdr:spPr>
        <a:xfrm>
          <a:off x="52668832" y="17255067"/>
          <a:ext cx="3983173" cy="1263914"/>
        </a:xfrm>
        <a:prstGeom prst="roundRect">
          <a:avLst/>
        </a:prstGeom>
        <a:noFill/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70</xdr:col>
      <xdr:colOff>246253</xdr:colOff>
      <xdr:row>112</xdr:row>
      <xdr:rowOff>83844</xdr:rowOff>
    </xdr:from>
    <xdr:to>
      <xdr:col>76</xdr:col>
      <xdr:colOff>162870</xdr:colOff>
      <xdr:row>113</xdr:row>
      <xdr:rowOff>281386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C00-00000D000000}"/>
            </a:ext>
          </a:extLst>
        </xdr:cNvPr>
        <xdr:cNvSpPr/>
      </xdr:nvSpPr>
      <xdr:spPr>
        <a:xfrm>
          <a:off x="58101103" y="15714369"/>
          <a:ext cx="2897942" cy="51186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600">
              <a:solidFill>
                <a:srgbClr val="0070C0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Muol" panose="02000500000000020004" pitchFamily="2" charset="0"/>
            </a:rPr>
            <a:t>QUOTATION</a:t>
          </a:r>
        </a:p>
      </xdr:txBody>
    </xdr:sp>
    <xdr:clientData/>
  </xdr:twoCellAnchor>
  <xdr:twoCellAnchor>
    <xdr:from>
      <xdr:col>61</xdr:col>
      <xdr:colOff>321470</xdr:colOff>
      <xdr:row>204</xdr:row>
      <xdr:rowOff>338667</xdr:rowOff>
    </xdr:from>
    <xdr:to>
      <xdr:col>70</xdr:col>
      <xdr:colOff>107157</xdr:colOff>
      <xdr:row>208</xdr:row>
      <xdr:rowOff>0</xdr:rowOff>
    </xdr:to>
    <xdr:sp macro="" textlink="$C$22">
      <xdr:nvSpPr>
        <xdr:cNvPr id="14" name="Rectangle: Rounded Corners 13">
          <a:extLst>
            <a:ext uri="{FF2B5EF4-FFF2-40B4-BE49-F238E27FC236}">
              <a16:creationId xmlns:a16="http://schemas.microsoft.com/office/drawing/2014/main" id="{00000000-0008-0000-0C00-00000E000000}"/>
            </a:ext>
          </a:extLst>
        </xdr:cNvPr>
        <xdr:cNvSpPr/>
      </xdr:nvSpPr>
      <xdr:spPr>
        <a:xfrm>
          <a:off x="53337620" y="23951142"/>
          <a:ext cx="4624387" cy="947208"/>
        </a:xfrm>
        <a:prstGeom prst="roundRect">
          <a:avLst/>
        </a:prstGeom>
        <a:ln>
          <a:solidFill>
            <a:schemeClr val="bg1">
              <a:lumMod val="65000"/>
            </a:schemeClr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fld id="{4A850E5B-E348-4DA8-99F7-2D35801F9CA0}" type="TxLink">
            <a:rPr lang="en-US" sz="1100" b="0" i="0" u="none" strike="noStrike">
              <a:solidFill>
                <a:srgbClr val="000000"/>
              </a:solidFill>
              <a:latin typeface="Content"/>
              <a:ea typeface="Calibri"/>
              <a:cs typeface="Content"/>
            </a:rPr>
            <a:pPr algn="l"/>
            <a:t> </a:t>
          </a:fld>
          <a:endParaRPr lang="en-US" sz="1100"/>
        </a:p>
      </xdr:txBody>
    </xdr:sp>
    <xdr:clientData/>
  </xdr:twoCellAnchor>
  <xdr:twoCellAnchor>
    <xdr:from>
      <xdr:col>60</xdr:col>
      <xdr:colOff>46430</xdr:colOff>
      <xdr:row>116</xdr:row>
      <xdr:rowOff>211666</xdr:rowOff>
    </xdr:from>
    <xdr:to>
      <xdr:col>63</xdr:col>
      <xdr:colOff>392905</xdr:colOff>
      <xdr:row>117</xdr:row>
      <xdr:rowOff>243417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C00-00000F000000}"/>
            </a:ext>
          </a:extLst>
        </xdr:cNvPr>
        <xdr:cNvSpPr/>
      </xdr:nvSpPr>
      <xdr:spPr>
        <a:xfrm>
          <a:off x="52672055" y="17099491"/>
          <a:ext cx="1308500" cy="346076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accent1">
              <a:lumMod val="40000"/>
              <a:lumOff val="6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m-KH" sz="1200" u="sng">
              <a:solidFill>
                <a:srgbClr val="0070C0"/>
              </a:solidFill>
              <a:latin typeface="Content" panose="02000500000000000000" pitchFamily="2" charset="0"/>
              <a:cs typeface="Content" panose="02000500000000000000" pitchFamily="2" charset="0"/>
            </a:rPr>
            <a:t>ពត៌មានអតិថិជន</a:t>
          </a:r>
          <a:endParaRPr lang="en-US" sz="1200" u="sng">
            <a:solidFill>
              <a:srgbClr val="0070C0"/>
            </a:solidFill>
            <a:latin typeface="Content" panose="02000500000000000000" pitchFamily="2" charset="0"/>
            <a:cs typeface="Content" panose="02000500000000000000" pitchFamily="2" charset="0"/>
          </a:endParaRPr>
        </a:p>
      </xdr:txBody>
    </xdr:sp>
    <xdr:clientData/>
  </xdr:twoCellAnchor>
  <xdr:twoCellAnchor>
    <xdr:from>
      <xdr:col>61</xdr:col>
      <xdr:colOff>71438</xdr:colOff>
      <xdr:row>210</xdr:row>
      <xdr:rowOff>0</xdr:rowOff>
    </xdr:from>
    <xdr:to>
      <xdr:col>65</xdr:col>
      <xdr:colOff>5794</xdr:colOff>
      <xdr:row>214</xdr:row>
      <xdr:rowOff>7142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0C00-000010000000}"/>
            </a:ext>
          </a:extLst>
        </xdr:cNvPr>
        <xdr:cNvGrpSpPr/>
      </xdr:nvGrpSpPr>
      <xdr:grpSpPr>
        <a:xfrm>
          <a:off x="42886313" y="47184469"/>
          <a:ext cx="2565637" cy="1245392"/>
          <a:chOff x="168084" y="8386956"/>
          <a:chExt cx="2596062" cy="800467"/>
        </a:xfrm>
      </xdr:grpSpPr>
      <xdr:sp macro="" textlink="">
        <xdr:nvSpPr>
          <xdr:cNvPr id="17" name="TextBox 16">
            <a:extLst>
              <a:ext uri="{FF2B5EF4-FFF2-40B4-BE49-F238E27FC236}">
                <a16:creationId xmlns:a16="http://schemas.microsoft.com/office/drawing/2014/main" id="{00000000-0008-0000-0C00-000011000000}"/>
              </a:ext>
            </a:extLst>
          </xdr:cNvPr>
          <xdr:cNvSpPr txBox="1"/>
        </xdr:nvSpPr>
        <xdr:spPr>
          <a:xfrm>
            <a:off x="265315" y="8386956"/>
            <a:ext cx="2411324" cy="275988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100" b="0" i="0" u="none" strike="noStrike">
                <a:solidFill>
                  <a:sysClr val="windowText" lastClr="000000"/>
                </a:solidFill>
                <a:effectLst/>
                <a:latin typeface="Content" panose="02000500000000000000" pitchFamily="2" charset="0"/>
                <a:ea typeface="+mn-ea"/>
                <a:cs typeface="Content" panose="02000500000000000000" pitchFamily="2" charset="0"/>
              </a:rPr>
              <a:t>ហត្ថលេខាអ្នកអនុម័ត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18" name="TextBox 17">
            <a:extLst>
              <a:ext uri="{FF2B5EF4-FFF2-40B4-BE49-F238E27FC236}">
                <a16:creationId xmlns:a16="http://schemas.microsoft.com/office/drawing/2014/main" id="{00000000-0008-0000-0C00-000012000000}"/>
              </a:ext>
            </a:extLst>
          </xdr:cNvPr>
          <xdr:cNvSpPr txBox="1"/>
        </xdr:nvSpPr>
        <xdr:spPr>
          <a:xfrm>
            <a:off x="168084" y="9048132"/>
            <a:ext cx="2596062" cy="139291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en-US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_______________________________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</xdr:grpSp>
    <xdr:clientData/>
  </xdr:twoCellAnchor>
  <xdr:twoCellAnchor>
    <xdr:from>
      <xdr:col>68</xdr:col>
      <xdr:colOff>317500</xdr:colOff>
      <xdr:row>210</xdr:row>
      <xdr:rowOff>0</xdr:rowOff>
    </xdr:from>
    <xdr:to>
      <xdr:col>74</xdr:col>
      <xdr:colOff>569356</xdr:colOff>
      <xdr:row>214</xdr:row>
      <xdr:rowOff>7142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C00-000013000000}"/>
            </a:ext>
          </a:extLst>
        </xdr:cNvPr>
        <xdr:cNvGrpSpPr/>
      </xdr:nvGrpSpPr>
      <xdr:grpSpPr>
        <a:xfrm>
          <a:off x="47180500" y="47184469"/>
          <a:ext cx="2835512" cy="1245392"/>
          <a:chOff x="168084" y="8386956"/>
          <a:chExt cx="2596062" cy="800467"/>
        </a:xfrm>
      </xdr:grpSpPr>
      <xdr:sp macro="" textlink="">
        <xdr:nvSpPr>
          <xdr:cNvPr id="20" name="TextBox 19">
            <a:extLst>
              <a:ext uri="{FF2B5EF4-FFF2-40B4-BE49-F238E27FC236}">
                <a16:creationId xmlns:a16="http://schemas.microsoft.com/office/drawing/2014/main" id="{00000000-0008-0000-0C00-000014000000}"/>
              </a:ext>
            </a:extLst>
          </xdr:cNvPr>
          <xdr:cNvSpPr txBox="1"/>
        </xdr:nvSpPr>
        <xdr:spPr>
          <a:xfrm>
            <a:off x="265315" y="8386956"/>
            <a:ext cx="2411324" cy="275988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100" b="0" i="0" u="none" strike="noStrike">
                <a:solidFill>
                  <a:sysClr val="windowText" lastClr="000000"/>
                </a:solidFill>
                <a:effectLst/>
                <a:latin typeface="Content" panose="02000500000000000000" pitchFamily="2" charset="0"/>
                <a:ea typeface="+mn-ea"/>
                <a:cs typeface="Content" panose="02000500000000000000" pitchFamily="2" charset="0"/>
              </a:rPr>
              <a:t>ហត្ថលេខាអ្នកចេញ</a:t>
            </a:r>
            <a:r>
              <a:rPr lang="en-US" sz="1200" b="0" i="0" u="none" strike="noStrike">
                <a:solidFill>
                  <a:sysClr val="windowText" lastClr="000000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Content" panose="02000500000000000000" pitchFamily="2" charset="0"/>
              </a:rPr>
              <a:t>quote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21" name="TextBox 20">
            <a:extLst>
              <a:ext uri="{FF2B5EF4-FFF2-40B4-BE49-F238E27FC236}">
                <a16:creationId xmlns:a16="http://schemas.microsoft.com/office/drawing/2014/main" id="{00000000-0008-0000-0C00-000015000000}"/>
              </a:ext>
            </a:extLst>
          </xdr:cNvPr>
          <xdr:cNvSpPr txBox="1"/>
        </xdr:nvSpPr>
        <xdr:spPr>
          <a:xfrm>
            <a:off x="168084" y="9048132"/>
            <a:ext cx="2596062" cy="139291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en-US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_______________________________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</xdr:grpSp>
    <xdr:clientData/>
  </xdr:twoCellAnchor>
  <xdr:twoCellAnchor>
    <xdr:from>
      <xdr:col>2</xdr:col>
      <xdr:colOff>780907</xdr:colOff>
      <xdr:row>1</xdr:row>
      <xdr:rowOff>28575</xdr:rowOff>
    </xdr:from>
    <xdr:to>
      <xdr:col>4</xdr:col>
      <xdr:colOff>1375690</xdr:colOff>
      <xdr:row>4</xdr:row>
      <xdr:rowOff>43006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00000000-0008-0000-0C00-00001A000000}"/>
            </a:ext>
          </a:extLst>
        </xdr:cNvPr>
        <xdr:cNvGrpSpPr/>
      </xdr:nvGrpSpPr>
      <xdr:grpSpPr>
        <a:xfrm>
          <a:off x="1054751" y="135731"/>
          <a:ext cx="3309408" cy="1026463"/>
          <a:chOff x="1651000" y="102658"/>
          <a:chExt cx="2935025" cy="943119"/>
        </a:xfrm>
      </xdr:grpSpPr>
      <xdr:sp macro="" textlink="">
        <xdr:nvSpPr>
          <xdr:cNvPr id="27" name="Rectangle 26">
            <a:extLst>
              <a:ext uri="{FF2B5EF4-FFF2-40B4-BE49-F238E27FC236}">
                <a16:creationId xmlns:a16="http://schemas.microsoft.com/office/drawing/2014/main" id="{00000000-0008-0000-0C00-00001B000000}"/>
              </a:ext>
            </a:extLst>
          </xdr:cNvPr>
          <xdr:cNvSpPr/>
        </xdr:nvSpPr>
        <xdr:spPr>
          <a:xfrm>
            <a:off x="1919334" y="671678"/>
            <a:ext cx="2312493" cy="37409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aseline="0">
                <a:solidFill>
                  <a:srgbClr val="0066CC"/>
                </a:solidFill>
                <a:latin typeface="Roboto Medium" panose="02000000000000000000" pitchFamily="2" charset="0"/>
                <a:ea typeface="Roboto Medium" panose="02000000000000000000" pitchFamily="2" charset="0"/>
                <a:cs typeface="Khmer Muol" panose="02000500000000020004" pitchFamily="2" charset="0"/>
              </a:rPr>
              <a:t>INVENTORY ADJUSTMENT</a:t>
            </a:r>
            <a:endParaRPr lang="en-US" sz="14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Muol" panose="02000500000000020004" pitchFamily="2" charset="0"/>
            </a:endParaRPr>
          </a:p>
        </xdr:txBody>
      </xdr:sp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id="{00000000-0008-0000-0C00-00001C000000}"/>
              </a:ext>
            </a:extLst>
          </xdr:cNvPr>
          <xdr:cNvSpPr/>
        </xdr:nvSpPr>
        <xdr:spPr>
          <a:xfrm>
            <a:off x="1651000" y="102658"/>
            <a:ext cx="2935025" cy="5429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m-KH" sz="2000">
                <a:solidFill>
                  <a:srgbClr val="0066CC"/>
                </a:solidFill>
                <a:latin typeface="Roboto Medium" panose="02000000000000000000" pitchFamily="2" charset="0"/>
                <a:ea typeface="Roboto Medium" panose="02000000000000000000" pitchFamily="2" charset="0"/>
                <a:cs typeface="Khmer Muol" panose="02000500000000020004" pitchFamily="2" charset="0"/>
              </a:rPr>
              <a:t>បញ្ចូលសន្និធិ</a:t>
            </a:r>
            <a:r>
              <a:rPr lang="en-US" sz="2000">
                <a:solidFill>
                  <a:srgbClr val="0066CC"/>
                </a:solidFill>
                <a:latin typeface="Roboto Medium" panose="02000000000000000000" pitchFamily="2" charset="0"/>
                <a:ea typeface="Roboto Medium" panose="02000000000000000000" pitchFamily="2" charset="0"/>
                <a:cs typeface="Khmer Muol" panose="02000500000000020004" pitchFamily="2" charset="0"/>
              </a:rPr>
              <a:t>(</a:t>
            </a:r>
            <a:r>
              <a:rPr lang="km-KH" sz="2000">
                <a:solidFill>
                  <a:srgbClr val="0066CC"/>
                </a:solidFill>
                <a:latin typeface="Roboto Medium" panose="02000000000000000000" pitchFamily="2" charset="0"/>
                <a:ea typeface="Roboto Medium" panose="02000000000000000000" pitchFamily="2" charset="0"/>
                <a:cs typeface="Khmer Muol" panose="02000500000000020004" pitchFamily="2" charset="0"/>
              </a:rPr>
              <a:t>ស្តុក)</a:t>
            </a:r>
            <a:endParaRPr lang="en-US" sz="20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Muol" panose="02000500000000020004" pitchFamily="2" charset="0"/>
            </a:endParaRPr>
          </a:p>
        </xdr:txBody>
      </xdr:sp>
    </xdr:grpSp>
    <xdr:clientData/>
  </xdr:twoCellAnchor>
  <xdr:twoCellAnchor>
    <xdr:from>
      <xdr:col>50</xdr:col>
      <xdr:colOff>1060</xdr:colOff>
      <xdr:row>114</xdr:row>
      <xdr:rowOff>148167</xdr:rowOff>
    </xdr:from>
    <xdr:to>
      <xdr:col>54</xdr:col>
      <xdr:colOff>740833</xdr:colOff>
      <xdr:row>117</xdr:row>
      <xdr:rowOff>232832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C00-00001D000000}"/>
            </a:ext>
          </a:extLst>
        </xdr:cNvPr>
        <xdr:cNvGrpSpPr/>
      </xdr:nvGrpSpPr>
      <xdr:grpSpPr>
        <a:xfrm>
          <a:off x="38124873" y="38200542"/>
          <a:ext cx="2347116" cy="1013353"/>
          <a:chOff x="26562844" y="10606560"/>
          <a:chExt cx="2873509" cy="1147289"/>
        </a:xfrm>
      </xdr:grpSpPr>
      <xdr:sp macro="" textlink="">
        <xdr:nvSpPr>
          <xdr:cNvPr id="30" name="Rectangle: Rounded Corners 29">
            <a:extLst>
              <a:ext uri="{FF2B5EF4-FFF2-40B4-BE49-F238E27FC236}">
                <a16:creationId xmlns:a16="http://schemas.microsoft.com/office/drawing/2014/main" id="{00000000-0008-0000-0C00-00001E000000}"/>
              </a:ext>
            </a:extLst>
          </xdr:cNvPr>
          <xdr:cNvSpPr/>
        </xdr:nvSpPr>
        <xdr:spPr>
          <a:xfrm>
            <a:off x="26574749" y="10724470"/>
            <a:ext cx="2861604" cy="1029379"/>
          </a:xfrm>
          <a:prstGeom prst="roundRect">
            <a:avLst/>
          </a:prstGeom>
          <a:noFill/>
          <a:ln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00000000-0008-0000-0C00-00001F000000}"/>
              </a:ext>
            </a:extLst>
          </xdr:cNvPr>
          <xdr:cNvSpPr/>
        </xdr:nvSpPr>
        <xdr:spPr>
          <a:xfrm>
            <a:off x="26562844" y="10606560"/>
            <a:ext cx="1285875" cy="374625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solidFill>
              <a:schemeClr val="accent1">
                <a:lumMod val="40000"/>
                <a:lumOff val="6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m-KH" sz="1200" u="sng">
                <a:solidFill>
                  <a:srgbClr val="0070C0"/>
                </a:solidFill>
                <a:latin typeface="Content" panose="02000500000000000000" pitchFamily="2" charset="0"/>
                <a:cs typeface="Content" panose="02000500000000000000" pitchFamily="2" charset="0"/>
              </a:rPr>
              <a:t>ប្រភេទសេវាកម្ម</a:t>
            </a:r>
            <a:endParaRPr lang="en-US" sz="1200" u="sng">
              <a:solidFill>
                <a:srgbClr val="0070C0"/>
              </a:solidFill>
              <a:latin typeface="Content" panose="02000500000000000000" pitchFamily="2" charset="0"/>
              <a:cs typeface="Content" panose="02000500000000000000" pitchFamily="2" charset="0"/>
            </a:endParaRPr>
          </a:p>
        </xdr:txBody>
      </xdr:sp>
    </xdr:grpSp>
    <xdr:clientData/>
  </xdr:twoCellAnchor>
  <xdr:twoCellAnchor>
    <xdr:from>
      <xdr:col>67</xdr:col>
      <xdr:colOff>384973</xdr:colOff>
      <xdr:row>114</xdr:row>
      <xdr:rowOff>288399</xdr:rowOff>
    </xdr:from>
    <xdr:to>
      <xdr:col>72</xdr:col>
      <xdr:colOff>698502</xdr:colOff>
      <xdr:row>118</xdr:row>
      <xdr:rowOff>55565</xdr:rowOff>
    </xdr:to>
    <xdr:grpSp>
      <xdr:nvGrpSpPr>
        <xdr:cNvPr id="44" name="Group 43">
          <a:extLst>
            <a:ext uri="{FF2B5EF4-FFF2-40B4-BE49-F238E27FC236}">
              <a16:creationId xmlns:a16="http://schemas.microsoft.com/office/drawing/2014/main" id="{00000000-0008-0000-0C00-00002C000000}"/>
            </a:ext>
          </a:extLst>
        </xdr:cNvPr>
        <xdr:cNvGrpSpPr/>
      </xdr:nvGrpSpPr>
      <xdr:grpSpPr>
        <a:xfrm>
          <a:off x="46795536" y="38340774"/>
          <a:ext cx="2385216" cy="1005416"/>
          <a:chOff x="26562844" y="10606560"/>
          <a:chExt cx="2873509" cy="1147289"/>
        </a:xfrm>
      </xdr:grpSpPr>
      <xdr:sp macro="" textlink="">
        <xdr:nvSpPr>
          <xdr:cNvPr id="45" name="Rectangle: Rounded Corners 44">
            <a:extLst>
              <a:ext uri="{FF2B5EF4-FFF2-40B4-BE49-F238E27FC236}">
                <a16:creationId xmlns:a16="http://schemas.microsoft.com/office/drawing/2014/main" id="{00000000-0008-0000-0C00-00002D000000}"/>
              </a:ext>
            </a:extLst>
          </xdr:cNvPr>
          <xdr:cNvSpPr/>
        </xdr:nvSpPr>
        <xdr:spPr>
          <a:xfrm>
            <a:off x="26574749" y="10724470"/>
            <a:ext cx="2861604" cy="1029379"/>
          </a:xfrm>
          <a:prstGeom prst="roundRect">
            <a:avLst/>
          </a:prstGeom>
          <a:noFill/>
          <a:ln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6" name="Rectangle 45">
            <a:extLst>
              <a:ext uri="{FF2B5EF4-FFF2-40B4-BE49-F238E27FC236}">
                <a16:creationId xmlns:a16="http://schemas.microsoft.com/office/drawing/2014/main" id="{00000000-0008-0000-0C00-00002E000000}"/>
              </a:ext>
            </a:extLst>
          </xdr:cNvPr>
          <xdr:cNvSpPr/>
        </xdr:nvSpPr>
        <xdr:spPr>
          <a:xfrm>
            <a:off x="26562844" y="10606560"/>
            <a:ext cx="1285875" cy="374625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solidFill>
              <a:schemeClr val="accent1">
                <a:lumMod val="40000"/>
                <a:lumOff val="6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m-KH" sz="1200" u="sng">
                <a:solidFill>
                  <a:srgbClr val="0070C0"/>
                </a:solidFill>
                <a:latin typeface="Content" panose="02000500000000000000" pitchFamily="2" charset="0"/>
                <a:cs typeface="Content" panose="02000500000000000000" pitchFamily="2" charset="0"/>
              </a:rPr>
              <a:t>ប្រភេទសេវាកម្ម</a:t>
            </a:r>
            <a:endParaRPr lang="en-US" sz="1200" u="sng">
              <a:solidFill>
                <a:srgbClr val="0070C0"/>
              </a:solidFill>
              <a:latin typeface="Content" panose="02000500000000000000" pitchFamily="2" charset="0"/>
              <a:cs typeface="Content" panose="02000500000000000000" pitchFamily="2" charset="0"/>
            </a:endParaRPr>
          </a:p>
        </xdr:txBody>
      </xdr:sp>
    </xdr:grpSp>
    <xdr:clientData/>
  </xdr:twoCellAnchor>
  <xdr:twoCellAnchor editAs="oneCell">
    <xdr:from>
      <xdr:col>74</xdr:col>
      <xdr:colOff>103343</xdr:colOff>
      <xdr:row>115</xdr:row>
      <xdr:rowOff>105721</xdr:rowOff>
    </xdr:from>
    <xdr:to>
      <xdr:col>74</xdr:col>
      <xdr:colOff>982511</xdr:colOff>
      <xdr:row>118</xdr:row>
      <xdr:rowOff>56202</xdr:rowOff>
    </xdr:to>
    <xdr:grpSp>
      <xdr:nvGrpSpPr>
        <xdr:cNvPr id="47" name="$BK$117" descr="QuickResponse barcode, level M, version 3, mode binary, 29x29 cells" title=":,អតិថិជនទូទៅ,0">
          <a:extLst>
            <a:ext uri="{FF2B5EF4-FFF2-40B4-BE49-F238E27FC236}">
              <a16:creationId xmlns:a16="http://schemas.microsoft.com/office/drawing/2014/main" id="{00000000-0008-0000-0C00-00002F000000}"/>
            </a:ext>
          </a:extLst>
        </xdr:cNvPr>
        <xdr:cNvGrpSpPr>
          <a:grpSpLocks noChangeAspect="1"/>
        </xdr:cNvGrpSpPr>
      </xdr:nvGrpSpPr>
      <xdr:grpSpPr>
        <a:xfrm>
          <a:off x="49549999" y="38467659"/>
          <a:ext cx="879168" cy="879168"/>
          <a:chOff x="0" y="0"/>
          <a:chExt cx="368300" cy="368300"/>
        </a:xfrm>
        <a:solidFill>
          <a:srgbClr val="000000"/>
        </a:solidFill>
      </xdr:grpSpPr>
      <xdr:sp macro="" textlink="">
        <xdr:nvSpPr>
          <xdr:cNvPr id="48" name="$BK$117">
            <a:extLst>
              <a:ext uri="{FF2B5EF4-FFF2-40B4-BE49-F238E27FC236}">
                <a16:creationId xmlns:a16="http://schemas.microsoft.com/office/drawing/2014/main" id="{00000000-0008-0000-0C00-000030000000}"/>
              </a:ext>
            </a:extLst>
          </xdr:cNvPr>
          <xdr:cNvSpPr/>
        </xdr:nvSpPr>
        <xdr:spPr>
          <a:xfrm>
            <a:off x="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9" name="$BK$117">
            <a:extLst>
              <a:ext uri="{FF2B5EF4-FFF2-40B4-BE49-F238E27FC236}">
                <a16:creationId xmlns:a16="http://schemas.microsoft.com/office/drawing/2014/main" id="{00000000-0008-0000-0C00-000031000000}"/>
              </a:ext>
            </a:extLst>
          </xdr:cNvPr>
          <xdr:cNvSpPr/>
        </xdr:nvSpPr>
        <xdr:spPr>
          <a:xfrm>
            <a:off x="127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0" name="$BK$117">
            <a:extLst>
              <a:ext uri="{FF2B5EF4-FFF2-40B4-BE49-F238E27FC236}">
                <a16:creationId xmlns:a16="http://schemas.microsoft.com/office/drawing/2014/main" id="{00000000-0008-0000-0C00-000032000000}"/>
              </a:ext>
            </a:extLst>
          </xdr:cNvPr>
          <xdr:cNvSpPr/>
        </xdr:nvSpPr>
        <xdr:spPr>
          <a:xfrm>
            <a:off x="25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1" name="$BK$117">
            <a:extLst>
              <a:ext uri="{FF2B5EF4-FFF2-40B4-BE49-F238E27FC236}">
                <a16:creationId xmlns:a16="http://schemas.microsoft.com/office/drawing/2014/main" id="{00000000-0008-0000-0C00-000033000000}"/>
              </a:ext>
            </a:extLst>
          </xdr:cNvPr>
          <xdr:cNvSpPr/>
        </xdr:nvSpPr>
        <xdr:spPr>
          <a:xfrm>
            <a:off x="381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2" name="$BK$117">
            <a:extLst>
              <a:ext uri="{FF2B5EF4-FFF2-40B4-BE49-F238E27FC236}">
                <a16:creationId xmlns:a16="http://schemas.microsoft.com/office/drawing/2014/main" id="{00000000-0008-0000-0C00-000034000000}"/>
              </a:ext>
            </a:extLst>
          </xdr:cNvPr>
          <xdr:cNvSpPr/>
        </xdr:nvSpPr>
        <xdr:spPr>
          <a:xfrm>
            <a:off x="508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3" name="$BK$117">
            <a:extLst>
              <a:ext uri="{FF2B5EF4-FFF2-40B4-BE49-F238E27FC236}">
                <a16:creationId xmlns:a16="http://schemas.microsoft.com/office/drawing/2014/main" id="{00000000-0008-0000-0C00-000035000000}"/>
              </a:ext>
            </a:extLst>
          </xdr:cNvPr>
          <xdr:cNvSpPr/>
        </xdr:nvSpPr>
        <xdr:spPr>
          <a:xfrm>
            <a:off x="635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4" name="$BK$117">
            <a:extLst>
              <a:ext uri="{FF2B5EF4-FFF2-40B4-BE49-F238E27FC236}">
                <a16:creationId xmlns:a16="http://schemas.microsoft.com/office/drawing/2014/main" id="{00000000-0008-0000-0C00-000036000000}"/>
              </a:ext>
            </a:extLst>
          </xdr:cNvPr>
          <xdr:cNvSpPr/>
        </xdr:nvSpPr>
        <xdr:spPr>
          <a:xfrm>
            <a:off x="762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5" name="$BK$117">
            <a:extLst>
              <a:ext uri="{FF2B5EF4-FFF2-40B4-BE49-F238E27FC236}">
                <a16:creationId xmlns:a16="http://schemas.microsoft.com/office/drawing/2014/main" id="{00000000-0008-0000-0C00-000037000000}"/>
              </a:ext>
            </a:extLst>
          </xdr:cNvPr>
          <xdr:cNvSpPr/>
        </xdr:nvSpPr>
        <xdr:spPr>
          <a:xfrm>
            <a:off x="1143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6" name="$BK$117">
            <a:extLst>
              <a:ext uri="{FF2B5EF4-FFF2-40B4-BE49-F238E27FC236}">
                <a16:creationId xmlns:a16="http://schemas.microsoft.com/office/drawing/2014/main" id="{00000000-0008-0000-0C00-000038000000}"/>
              </a:ext>
            </a:extLst>
          </xdr:cNvPr>
          <xdr:cNvSpPr/>
        </xdr:nvSpPr>
        <xdr:spPr>
          <a:xfrm>
            <a:off x="1270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7" name="$BK$117">
            <a:extLst>
              <a:ext uri="{FF2B5EF4-FFF2-40B4-BE49-F238E27FC236}">
                <a16:creationId xmlns:a16="http://schemas.microsoft.com/office/drawing/2014/main" id="{00000000-0008-0000-0C00-000039000000}"/>
              </a:ext>
            </a:extLst>
          </xdr:cNvPr>
          <xdr:cNvSpPr/>
        </xdr:nvSpPr>
        <xdr:spPr>
          <a:xfrm>
            <a:off x="1397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8" name="$BK$117">
            <a:extLst>
              <a:ext uri="{FF2B5EF4-FFF2-40B4-BE49-F238E27FC236}">
                <a16:creationId xmlns:a16="http://schemas.microsoft.com/office/drawing/2014/main" id="{00000000-0008-0000-0C00-00003A000000}"/>
              </a:ext>
            </a:extLst>
          </xdr:cNvPr>
          <xdr:cNvSpPr/>
        </xdr:nvSpPr>
        <xdr:spPr>
          <a:xfrm>
            <a:off x="152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9" name="$BK$117">
            <a:extLst>
              <a:ext uri="{FF2B5EF4-FFF2-40B4-BE49-F238E27FC236}">
                <a16:creationId xmlns:a16="http://schemas.microsoft.com/office/drawing/2014/main" id="{00000000-0008-0000-0C00-00003B000000}"/>
              </a:ext>
            </a:extLst>
          </xdr:cNvPr>
          <xdr:cNvSpPr/>
        </xdr:nvSpPr>
        <xdr:spPr>
          <a:xfrm>
            <a:off x="1905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$BK$117">
            <a:extLst>
              <a:ext uri="{FF2B5EF4-FFF2-40B4-BE49-F238E27FC236}">
                <a16:creationId xmlns:a16="http://schemas.microsoft.com/office/drawing/2014/main" id="{00000000-0008-0000-0C00-00003C000000}"/>
              </a:ext>
            </a:extLst>
          </xdr:cNvPr>
          <xdr:cNvSpPr/>
        </xdr:nvSpPr>
        <xdr:spPr>
          <a:xfrm>
            <a:off x="2032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1" name="$BK$117">
            <a:extLst>
              <a:ext uri="{FF2B5EF4-FFF2-40B4-BE49-F238E27FC236}">
                <a16:creationId xmlns:a16="http://schemas.microsoft.com/office/drawing/2014/main" id="{00000000-0008-0000-0C00-00003D000000}"/>
              </a:ext>
            </a:extLst>
          </xdr:cNvPr>
          <xdr:cNvSpPr/>
        </xdr:nvSpPr>
        <xdr:spPr>
          <a:xfrm>
            <a:off x="2540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2" name="$BK$117">
            <a:extLst>
              <a:ext uri="{FF2B5EF4-FFF2-40B4-BE49-F238E27FC236}">
                <a16:creationId xmlns:a16="http://schemas.microsoft.com/office/drawing/2014/main" id="{00000000-0008-0000-0C00-00003E000000}"/>
              </a:ext>
            </a:extLst>
          </xdr:cNvPr>
          <xdr:cNvSpPr/>
        </xdr:nvSpPr>
        <xdr:spPr>
          <a:xfrm>
            <a:off x="279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3" name="$BK$117">
            <a:extLst>
              <a:ext uri="{FF2B5EF4-FFF2-40B4-BE49-F238E27FC236}">
                <a16:creationId xmlns:a16="http://schemas.microsoft.com/office/drawing/2014/main" id="{00000000-0008-0000-0C00-00003F000000}"/>
              </a:ext>
            </a:extLst>
          </xdr:cNvPr>
          <xdr:cNvSpPr/>
        </xdr:nvSpPr>
        <xdr:spPr>
          <a:xfrm>
            <a:off x="2921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584" name="$BK$117">
            <a:extLst>
              <a:ext uri="{FF2B5EF4-FFF2-40B4-BE49-F238E27FC236}">
                <a16:creationId xmlns:a16="http://schemas.microsoft.com/office/drawing/2014/main" id="{00000000-0008-0000-0C00-0000007C4100}"/>
              </a:ext>
            </a:extLst>
          </xdr:cNvPr>
          <xdr:cNvSpPr/>
        </xdr:nvSpPr>
        <xdr:spPr>
          <a:xfrm>
            <a:off x="3048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592" name="$BK$117">
            <a:extLst>
              <a:ext uri="{FF2B5EF4-FFF2-40B4-BE49-F238E27FC236}">
                <a16:creationId xmlns:a16="http://schemas.microsoft.com/office/drawing/2014/main" id="{00000000-0008-0000-0C00-0000087C4100}"/>
              </a:ext>
            </a:extLst>
          </xdr:cNvPr>
          <xdr:cNvSpPr/>
        </xdr:nvSpPr>
        <xdr:spPr>
          <a:xfrm>
            <a:off x="3175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593" name="$BK$117">
            <a:extLst>
              <a:ext uri="{FF2B5EF4-FFF2-40B4-BE49-F238E27FC236}">
                <a16:creationId xmlns:a16="http://schemas.microsoft.com/office/drawing/2014/main" id="{00000000-0008-0000-0C00-0000097C4100}"/>
              </a:ext>
            </a:extLst>
          </xdr:cNvPr>
          <xdr:cNvSpPr/>
        </xdr:nvSpPr>
        <xdr:spPr>
          <a:xfrm>
            <a:off x="3302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594" name="$BK$117">
            <a:extLst>
              <a:ext uri="{FF2B5EF4-FFF2-40B4-BE49-F238E27FC236}">
                <a16:creationId xmlns:a16="http://schemas.microsoft.com/office/drawing/2014/main" id="{00000000-0008-0000-0C00-00000A7C4100}"/>
              </a:ext>
            </a:extLst>
          </xdr:cNvPr>
          <xdr:cNvSpPr/>
        </xdr:nvSpPr>
        <xdr:spPr>
          <a:xfrm>
            <a:off x="3429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595" name="$BK$117">
            <a:extLst>
              <a:ext uri="{FF2B5EF4-FFF2-40B4-BE49-F238E27FC236}">
                <a16:creationId xmlns:a16="http://schemas.microsoft.com/office/drawing/2014/main" id="{00000000-0008-0000-0C00-00000B7C4100}"/>
              </a:ext>
            </a:extLst>
          </xdr:cNvPr>
          <xdr:cNvSpPr/>
        </xdr:nvSpPr>
        <xdr:spPr>
          <a:xfrm>
            <a:off x="3556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596" name="$BK$117">
            <a:extLst>
              <a:ext uri="{FF2B5EF4-FFF2-40B4-BE49-F238E27FC236}">
                <a16:creationId xmlns:a16="http://schemas.microsoft.com/office/drawing/2014/main" id="{00000000-0008-0000-0C00-00000C7C4100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597" name="$BK$117">
            <a:extLst>
              <a:ext uri="{FF2B5EF4-FFF2-40B4-BE49-F238E27FC236}">
                <a16:creationId xmlns:a16="http://schemas.microsoft.com/office/drawing/2014/main" id="{00000000-0008-0000-0C00-00000D7C4100}"/>
              </a:ext>
            </a:extLst>
          </xdr:cNvPr>
          <xdr:cNvSpPr/>
        </xdr:nvSpPr>
        <xdr:spPr>
          <a:xfrm>
            <a:off x="762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598" name="$BK$117">
            <a:extLst>
              <a:ext uri="{FF2B5EF4-FFF2-40B4-BE49-F238E27FC236}">
                <a16:creationId xmlns:a16="http://schemas.microsoft.com/office/drawing/2014/main" id="{00000000-0008-0000-0C00-00000E7C4100}"/>
              </a:ext>
            </a:extLst>
          </xdr:cNvPr>
          <xdr:cNvSpPr/>
        </xdr:nvSpPr>
        <xdr:spPr>
          <a:xfrm>
            <a:off x="1143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599" name="$BK$117">
            <a:extLst>
              <a:ext uri="{FF2B5EF4-FFF2-40B4-BE49-F238E27FC236}">
                <a16:creationId xmlns:a16="http://schemas.microsoft.com/office/drawing/2014/main" id="{00000000-0008-0000-0C00-00000F7C4100}"/>
              </a:ext>
            </a:extLst>
          </xdr:cNvPr>
          <xdr:cNvSpPr/>
        </xdr:nvSpPr>
        <xdr:spPr>
          <a:xfrm>
            <a:off x="1524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00" name="$BK$117">
            <a:extLst>
              <a:ext uri="{FF2B5EF4-FFF2-40B4-BE49-F238E27FC236}">
                <a16:creationId xmlns:a16="http://schemas.microsoft.com/office/drawing/2014/main" id="{00000000-0008-0000-0C00-0000107C4100}"/>
              </a:ext>
            </a:extLst>
          </xdr:cNvPr>
          <xdr:cNvSpPr/>
        </xdr:nvSpPr>
        <xdr:spPr>
          <a:xfrm>
            <a:off x="1905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01" name="$BK$117">
            <a:extLst>
              <a:ext uri="{FF2B5EF4-FFF2-40B4-BE49-F238E27FC236}">
                <a16:creationId xmlns:a16="http://schemas.microsoft.com/office/drawing/2014/main" id="{00000000-0008-0000-0C00-0000117C4100}"/>
              </a:ext>
            </a:extLst>
          </xdr:cNvPr>
          <xdr:cNvSpPr/>
        </xdr:nvSpPr>
        <xdr:spPr>
          <a:xfrm>
            <a:off x="2032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02" name="$BK$117">
            <a:extLst>
              <a:ext uri="{FF2B5EF4-FFF2-40B4-BE49-F238E27FC236}">
                <a16:creationId xmlns:a16="http://schemas.microsoft.com/office/drawing/2014/main" id="{00000000-0008-0000-0C00-0000127C4100}"/>
              </a:ext>
            </a:extLst>
          </xdr:cNvPr>
          <xdr:cNvSpPr/>
        </xdr:nvSpPr>
        <xdr:spPr>
          <a:xfrm>
            <a:off x="2413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03" name="$BK$117">
            <a:extLst>
              <a:ext uri="{FF2B5EF4-FFF2-40B4-BE49-F238E27FC236}">
                <a16:creationId xmlns:a16="http://schemas.microsoft.com/office/drawing/2014/main" id="{00000000-0008-0000-0C00-0000137C4100}"/>
              </a:ext>
            </a:extLst>
          </xdr:cNvPr>
          <xdr:cNvSpPr/>
        </xdr:nvSpPr>
        <xdr:spPr>
          <a:xfrm>
            <a:off x="2794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04" name="$BK$117">
            <a:extLst>
              <a:ext uri="{FF2B5EF4-FFF2-40B4-BE49-F238E27FC236}">
                <a16:creationId xmlns:a16="http://schemas.microsoft.com/office/drawing/2014/main" id="{00000000-0008-0000-0C00-0000147C4100}"/>
              </a:ext>
            </a:extLst>
          </xdr:cNvPr>
          <xdr:cNvSpPr/>
        </xdr:nvSpPr>
        <xdr:spPr>
          <a:xfrm>
            <a:off x="3556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05" name="$BK$117">
            <a:extLst>
              <a:ext uri="{FF2B5EF4-FFF2-40B4-BE49-F238E27FC236}">
                <a16:creationId xmlns:a16="http://schemas.microsoft.com/office/drawing/2014/main" id="{00000000-0008-0000-0C00-0000157C4100}"/>
              </a:ext>
            </a:extLst>
          </xdr:cNvPr>
          <xdr:cNvSpPr/>
        </xdr:nvSpPr>
        <xdr:spPr>
          <a:xfrm>
            <a:off x="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06" name="$BK$117">
            <a:extLst>
              <a:ext uri="{FF2B5EF4-FFF2-40B4-BE49-F238E27FC236}">
                <a16:creationId xmlns:a16="http://schemas.microsoft.com/office/drawing/2014/main" id="{00000000-0008-0000-0C00-0000167C4100}"/>
              </a:ext>
            </a:extLst>
          </xdr:cNvPr>
          <xdr:cNvSpPr/>
        </xdr:nvSpPr>
        <xdr:spPr>
          <a:xfrm>
            <a:off x="254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07" name="$BK$117">
            <a:extLst>
              <a:ext uri="{FF2B5EF4-FFF2-40B4-BE49-F238E27FC236}">
                <a16:creationId xmlns:a16="http://schemas.microsoft.com/office/drawing/2014/main" id="{00000000-0008-0000-0C00-0000177C4100}"/>
              </a:ext>
            </a:extLst>
          </xdr:cNvPr>
          <xdr:cNvSpPr/>
        </xdr:nvSpPr>
        <xdr:spPr>
          <a:xfrm>
            <a:off x="381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08" name="$BK$117">
            <a:extLst>
              <a:ext uri="{FF2B5EF4-FFF2-40B4-BE49-F238E27FC236}">
                <a16:creationId xmlns:a16="http://schemas.microsoft.com/office/drawing/2014/main" id="{00000000-0008-0000-0C00-0000187C4100}"/>
              </a:ext>
            </a:extLst>
          </xdr:cNvPr>
          <xdr:cNvSpPr/>
        </xdr:nvSpPr>
        <xdr:spPr>
          <a:xfrm>
            <a:off x="508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09" name="$BK$117">
            <a:extLst>
              <a:ext uri="{FF2B5EF4-FFF2-40B4-BE49-F238E27FC236}">
                <a16:creationId xmlns:a16="http://schemas.microsoft.com/office/drawing/2014/main" id="{00000000-0008-0000-0C00-0000197C4100}"/>
              </a:ext>
            </a:extLst>
          </xdr:cNvPr>
          <xdr:cNvSpPr/>
        </xdr:nvSpPr>
        <xdr:spPr>
          <a:xfrm>
            <a:off x="762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10" name="$BK$117">
            <a:extLst>
              <a:ext uri="{FF2B5EF4-FFF2-40B4-BE49-F238E27FC236}">
                <a16:creationId xmlns:a16="http://schemas.microsoft.com/office/drawing/2014/main" id="{00000000-0008-0000-0C00-00001A7C4100}"/>
              </a:ext>
            </a:extLst>
          </xdr:cNvPr>
          <xdr:cNvSpPr/>
        </xdr:nvSpPr>
        <xdr:spPr>
          <a:xfrm>
            <a:off x="1143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11" name="$BK$117">
            <a:extLst>
              <a:ext uri="{FF2B5EF4-FFF2-40B4-BE49-F238E27FC236}">
                <a16:creationId xmlns:a16="http://schemas.microsoft.com/office/drawing/2014/main" id="{00000000-0008-0000-0C00-00001B7C4100}"/>
              </a:ext>
            </a:extLst>
          </xdr:cNvPr>
          <xdr:cNvSpPr/>
        </xdr:nvSpPr>
        <xdr:spPr>
          <a:xfrm>
            <a:off x="1524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12" name="$BK$117">
            <a:extLst>
              <a:ext uri="{FF2B5EF4-FFF2-40B4-BE49-F238E27FC236}">
                <a16:creationId xmlns:a16="http://schemas.microsoft.com/office/drawing/2014/main" id="{00000000-0008-0000-0C00-00001C7C4100}"/>
              </a:ext>
            </a:extLst>
          </xdr:cNvPr>
          <xdr:cNvSpPr/>
        </xdr:nvSpPr>
        <xdr:spPr>
          <a:xfrm>
            <a:off x="2413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13" name="$BK$117">
            <a:extLst>
              <a:ext uri="{FF2B5EF4-FFF2-40B4-BE49-F238E27FC236}">
                <a16:creationId xmlns:a16="http://schemas.microsoft.com/office/drawing/2014/main" id="{00000000-0008-0000-0C00-00001D7C4100}"/>
              </a:ext>
            </a:extLst>
          </xdr:cNvPr>
          <xdr:cNvSpPr/>
        </xdr:nvSpPr>
        <xdr:spPr>
          <a:xfrm>
            <a:off x="2540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14" name="$BK$117">
            <a:extLst>
              <a:ext uri="{FF2B5EF4-FFF2-40B4-BE49-F238E27FC236}">
                <a16:creationId xmlns:a16="http://schemas.microsoft.com/office/drawing/2014/main" id="{00000000-0008-0000-0C00-00001E7C4100}"/>
              </a:ext>
            </a:extLst>
          </xdr:cNvPr>
          <xdr:cNvSpPr/>
        </xdr:nvSpPr>
        <xdr:spPr>
          <a:xfrm>
            <a:off x="2794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15" name="$BK$117">
            <a:extLst>
              <a:ext uri="{FF2B5EF4-FFF2-40B4-BE49-F238E27FC236}">
                <a16:creationId xmlns:a16="http://schemas.microsoft.com/office/drawing/2014/main" id="{00000000-0008-0000-0C00-00001F7C4100}"/>
              </a:ext>
            </a:extLst>
          </xdr:cNvPr>
          <xdr:cNvSpPr/>
        </xdr:nvSpPr>
        <xdr:spPr>
          <a:xfrm>
            <a:off x="3048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16" name="$BK$117">
            <a:extLst>
              <a:ext uri="{FF2B5EF4-FFF2-40B4-BE49-F238E27FC236}">
                <a16:creationId xmlns:a16="http://schemas.microsoft.com/office/drawing/2014/main" id="{00000000-0008-0000-0C00-0000207C4100}"/>
              </a:ext>
            </a:extLst>
          </xdr:cNvPr>
          <xdr:cNvSpPr/>
        </xdr:nvSpPr>
        <xdr:spPr>
          <a:xfrm>
            <a:off x="3175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17" name="$BK$117">
            <a:extLst>
              <a:ext uri="{FF2B5EF4-FFF2-40B4-BE49-F238E27FC236}">
                <a16:creationId xmlns:a16="http://schemas.microsoft.com/office/drawing/2014/main" id="{00000000-0008-0000-0C00-0000217C4100}"/>
              </a:ext>
            </a:extLst>
          </xdr:cNvPr>
          <xdr:cNvSpPr/>
        </xdr:nvSpPr>
        <xdr:spPr>
          <a:xfrm>
            <a:off x="3302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18" name="$BK$117">
            <a:extLst>
              <a:ext uri="{FF2B5EF4-FFF2-40B4-BE49-F238E27FC236}">
                <a16:creationId xmlns:a16="http://schemas.microsoft.com/office/drawing/2014/main" id="{00000000-0008-0000-0C00-0000227C4100}"/>
              </a:ext>
            </a:extLst>
          </xdr:cNvPr>
          <xdr:cNvSpPr/>
        </xdr:nvSpPr>
        <xdr:spPr>
          <a:xfrm>
            <a:off x="3556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19" name="$BK$117">
            <a:extLst>
              <a:ext uri="{FF2B5EF4-FFF2-40B4-BE49-F238E27FC236}">
                <a16:creationId xmlns:a16="http://schemas.microsoft.com/office/drawing/2014/main" id="{00000000-0008-0000-0C00-0000237C4100}"/>
              </a:ext>
            </a:extLst>
          </xdr:cNvPr>
          <xdr:cNvSpPr/>
        </xdr:nvSpPr>
        <xdr:spPr>
          <a:xfrm>
            <a:off x="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20" name="$BK$117">
            <a:extLst>
              <a:ext uri="{FF2B5EF4-FFF2-40B4-BE49-F238E27FC236}">
                <a16:creationId xmlns:a16="http://schemas.microsoft.com/office/drawing/2014/main" id="{00000000-0008-0000-0C00-0000247C4100}"/>
              </a:ext>
            </a:extLst>
          </xdr:cNvPr>
          <xdr:cNvSpPr/>
        </xdr:nvSpPr>
        <xdr:spPr>
          <a:xfrm>
            <a:off x="25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21" name="$BK$117">
            <a:extLst>
              <a:ext uri="{FF2B5EF4-FFF2-40B4-BE49-F238E27FC236}">
                <a16:creationId xmlns:a16="http://schemas.microsoft.com/office/drawing/2014/main" id="{00000000-0008-0000-0C00-0000257C4100}"/>
              </a:ext>
            </a:extLst>
          </xdr:cNvPr>
          <xdr:cNvSpPr/>
        </xdr:nvSpPr>
        <xdr:spPr>
          <a:xfrm>
            <a:off x="381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22" name="$BK$117">
            <a:extLst>
              <a:ext uri="{FF2B5EF4-FFF2-40B4-BE49-F238E27FC236}">
                <a16:creationId xmlns:a16="http://schemas.microsoft.com/office/drawing/2014/main" id="{00000000-0008-0000-0C00-0000267C4100}"/>
              </a:ext>
            </a:extLst>
          </xdr:cNvPr>
          <xdr:cNvSpPr/>
        </xdr:nvSpPr>
        <xdr:spPr>
          <a:xfrm>
            <a:off x="508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23" name="$BK$117">
            <a:extLst>
              <a:ext uri="{FF2B5EF4-FFF2-40B4-BE49-F238E27FC236}">
                <a16:creationId xmlns:a16="http://schemas.microsoft.com/office/drawing/2014/main" id="{00000000-0008-0000-0C00-0000277C4100}"/>
              </a:ext>
            </a:extLst>
          </xdr:cNvPr>
          <xdr:cNvSpPr/>
        </xdr:nvSpPr>
        <xdr:spPr>
          <a:xfrm>
            <a:off x="762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24" name="$BK$117">
            <a:extLst>
              <a:ext uri="{FF2B5EF4-FFF2-40B4-BE49-F238E27FC236}">
                <a16:creationId xmlns:a16="http://schemas.microsoft.com/office/drawing/2014/main" id="{00000000-0008-0000-0C00-0000287C4100}"/>
              </a:ext>
            </a:extLst>
          </xdr:cNvPr>
          <xdr:cNvSpPr/>
        </xdr:nvSpPr>
        <xdr:spPr>
          <a:xfrm>
            <a:off x="152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25" name="$BK$117">
            <a:extLst>
              <a:ext uri="{FF2B5EF4-FFF2-40B4-BE49-F238E27FC236}">
                <a16:creationId xmlns:a16="http://schemas.microsoft.com/office/drawing/2014/main" id="{00000000-0008-0000-0C00-0000297C4100}"/>
              </a:ext>
            </a:extLst>
          </xdr:cNvPr>
          <xdr:cNvSpPr/>
        </xdr:nvSpPr>
        <xdr:spPr>
          <a:xfrm>
            <a:off x="1651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26" name="$BK$117">
            <a:extLst>
              <a:ext uri="{FF2B5EF4-FFF2-40B4-BE49-F238E27FC236}">
                <a16:creationId xmlns:a16="http://schemas.microsoft.com/office/drawing/2014/main" id="{00000000-0008-0000-0C00-00002A7C4100}"/>
              </a:ext>
            </a:extLst>
          </xdr:cNvPr>
          <xdr:cNvSpPr/>
        </xdr:nvSpPr>
        <xdr:spPr>
          <a:xfrm>
            <a:off x="2286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27" name="$BK$117">
            <a:extLst>
              <a:ext uri="{FF2B5EF4-FFF2-40B4-BE49-F238E27FC236}">
                <a16:creationId xmlns:a16="http://schemas.microsoft.com/office/drawing/2014/main" id="{00000000-0008-0000-0C00-00002B7C4100}"/>
              </a:ext>
            </a:extLst>
          </xdr:cNvPr>
          <xdr:cNvSpPr/>
        </xdr:nvSpPr>
        <xdr:spPr>
          <a:xfrm>
            <a:off x="2540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28" name="$BK$117">
            <a:extLst>
              <a:ext uri="{FF2B5EF4-FFF2-40B4-BE49-F238E27FC236}">
                <a16:creationId xmlns:a16="http://schemas.microsoft.com/office/drawing/2014/main" id="{00000000-0008-0000-0C00-00002C7C4100}"/>
              </a:ext>
            </a:extLst>
          </xdr:cNvPr>
          <xdr:cNvSpPr/>
        </xdr:nvSpPr>
        <xdr:spPr>
          <a:xfrm>
            <a:off x="279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29" name="$BK$117">
            <a:extLst>
              <a:ext uri="{FF2B5EF4-FFF2-40B4-BE49-F238E27FC236}">
                <a16:creationId xmlns:a16="http://schemas.microsoft.com/office/drawing/2014/main" id="{00000000-0008-0000-0C00-00002D7C4100}"/>
              </a:ext>
            </a:extLst>
          </xdr:cNvPr>
          <xdr:cNvSpPr/>
        </xdr:nvSpPr>
        <xdr:spPr>
          <a:xfrm>
            <a:off x="3048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30" name="$BK$117">
            <a:extLst>
              <a:ext uri="{FF2B5EF4-FFF2-40B4-BE49-F238E27FC236}">
                <a16:creationId xmlns:a16="http://schemas.microsoft.com/office/drawing/2014/main" id="{00000000-0008-0000-0C00-00002E7C4100}"/>
              </a:ext>
            </a:extLst>
          </xdr:cNvPr>
          <xdr:cNvSpPr/>
        </xdr:nvSpPr>
        <xdr:spPr>
          <a:xfrm>
            <a:off x="3175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31" name="$BK$117">
            <a:extLst>
              <a:ext uri="{FF2B5EF4-FFF2-40B4-BE49-F238E27FC236}">
                <a16:creationId xmlns:a16="http://schemas.microsoft.com/office/drawing/2014/main" id="{00000000-0008-0000-0C00-00002F7C4100}"/>
              </a:ext>
            </a:extLst>
          </xdr:cNvPr>
          <xdr:cNvSpPr/>
        </xdr:nvSpPr>
        <xdr:spPr>
          <a:xfrm>
            <a:off x="3302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32" name="$BK$117">
            <a:extLst>
              <a:ext uri="{FF2B5EF4-FFF2-40B4-BE49-F238E27FC236}">
                <a16:creationId xmlns:a16="http://schemas.microsoft.com/office/drawing/2014/main" id="{00000000-0008-0000-0C00-0000307C4100}"/>
              </a:ext>
            </a:extLst>
          </xdr:cNvPr>
          <xdr:cNvSpPr/>
        </xdr:nvSpPr>
        <xdr:spPr>
          <a:xfrm>
            <a:off x="3556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33" name="$BK$117">
            <a:extLst>
              <a:ext uri="{FF2B5EF4-FFF2-40B4-BE49-F238E27FC236}">
                <a16:creationId xmlns:a16="http://schemas.microsoft.com/office/drawing/2014/main" id="{00000000-0008-0000-0C00-0000317C4100}"/>
              </a:ext>
            </a:extLst>
          </xdr:cNvPr>
          <xdr:cNvSpPr/>
        </xdr:nvSpPr>
        <xdr:spPr>
          <a:xfrm>
            <a:off x="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34" name="$BK$117">
            <a:extLst>
              <a:ext uri="{FF2B5EF4-FFF2-40B4-BE49-F238E27FC236}">
                <a16:creationId xmlns:a16="http://schemas.microsoft.com/office/drawing/2014/main" id="{00000000-0008-0000-0C00-0000327C4100}"/>
              </a:ext>
            </a:extLst>
          </xdr:cNvPr>
          <xdr:cNvSpPr/>
        </xdr:nvSpPr>
        <xdr:spPr>
          <a:xfrm>
            <a:off x="254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35" name="$BK$117">
            <a:extLst>
              <a:ext uri="{FF2B5EF4-FFF2-40B4-BE49-F238E27FC236}">
                <a16:creationId xmlns:a16="http://schemas.microsoft.com/office/drawing/2014/main" id="{00000000-0008-0000-0C00-0000337C4100}"/>
              </a:ext>
            </a:extLst>
          </xdr:cNvPr>
          <xdr:cNvSpPr/>
        </xdr:nvSpPr>
        <xdr:spPr>
          <a:xfrm>
            <a:off x="381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36" name="$BK$117">
            <a:extLst>
              <a:ext uri="{FF2B5EF4-FFF2-40B4-BE49-F238E27FC236}">
                <a16:creationId xmlns:a16="http://schemas.microsoft.com/office/drawing/2014/main" id="{00000000-0008-0000-0C00-0000347C4100}"/>
              </a:ext>
            </a:extLst>
          </xdr:cNvPr>
          <xdr:cNvSpPr/>
        </xdr:nvSpPr>
        <xdr:spPr>
          <a:xfrm>
            <a:off x="508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37" name="$BK$117">
            <a:extLst>
              <a:ext uri="{FF2B5EF4-FFF2-40B4-BE49-F238E27FC236}">
                <a16:creationId xmlns:a16="http://schemas.microsoft.com/office/drawing/2014/main" id="{00000000-0008-0000-0C00-0000357C4100}"/>
              </a:ext>
            </a:extLst>
          </xdr:cNvPr>
          <xdr:cNvSpPr/>
        </xdr:nvSpPr>
        <xdr:spPr>
          <a:xfrm>
            <a:off x="762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38" name="$BK$117">
            <a:extLst>
              <a:ext uri="{FF2B5EF4-FFF2-40B4-BE49-F238E27FC236}">
                <a16:creationId xmlns:a16="http://schemas.microsoft.com/office/drawing/2014/main" id="{00000000-0008-0000-0C00-0000367C4100}"/>
              </a:ext>
            </a:extLst>
          </xdr:cNvPr>
          <xdr:cNvSpPr/>
        </xdr:nvSpPr>
        <xdr:spPr>
          <a:xfrm>
            <a:off x="1270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39" name="$BK$117">
            <a:extLst>
              <a:ext uri="{FF2B5EF4-FFF2-40B4-BE49-F238E27FC236}">
                <a16:creationId xmlns:a16="http://schemas.microsoft.com/office/drawing/2014/main" id="{00000000-0008-0000-0C00-0000377C4100}"/>
              </a:ext>
            </a:extLst>
          </xdr:cNvPr>
          <xdr:cNvSpPr/>
        </xdr:nvSpPr>
        <xdr:spPr>
          <a:xfrm>
            <a:off x="1524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40" name="$BK$117">
            <a:extLst>
              <a:ext uri="{FF2B5EF4-FFF2-40B4-BE49-F238E27FC236}">
                <a16:creationId xmlns:a16="http://schemas.microsoft.com/office/drawing/2014/main" id="{00000000-0008-0000-0C00-0000387C4100}"/>
              </a:ext>
            </a:extLst>
          </xdr:cNvPr>
          <xdr:cNvSpPr/>
        </xdr:nvSpPr>
        <xdr:spPr>
          <a:xfrm>
            <a:off x="1778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41" name="$BK$117">
            <a:extLst>
              <a:ext uri="{FF2B5EF4-FFF2-40B4-BE49-F238E27FC236}">
                <a16:creationId xmlns:a16="http://schemas.microsoft.com/office/drawing/2014/main" id="{00000000-0008-0000-0C00-0000397C4100}"/>
              </a:ext>
            </a:extLst>
          </xdr:cNvPr>
          <xdr:cNvSpPr/>
        </xdr:nvSpPr>
        <xdr:spPr>
          <a:xfrm>
            <a:off x="1905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42" name="$BK$117">
            <a:extLst>
              <a:ext uri="{FF2B5EF4-FFF2-40B4-BE49-F238E27FC236}">
                <a16:creationId xmlns:a16="http://schemas.microsoft.com/office/drawing/2014/main" id="{00000000-0008-0000-0C00-00003A7C4100}"/>
              </a:ext>
            </a:extLst>
          </xdr:cNvPr>
          <xdr:cNvSpPr/>
        </xdr:nvSpPr>
        <xdr:spPr>
          <a:xfrm>
            <a:off x="2286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43" name="$BK$117">
            <a:extLst>
              <a:ext uri="{FF2B5EF4-FFF2-40B4-BE49-F238E27FC236}">
                <a16:creationId xmlns:a16="http://schemas.microsoft.com/office/drawing/2014/main" id="{00000000-0008-0000-0C00-00003B7C4100}"/>
              </a:ext>
            </a:extLst>
          </xdr:cNvPr>
          <xdr:cNvSpPr/>
        </xdr:nvSpPr>
        <xdr:spPr>
          <a:xfrm>
            <a:off x="2413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44" name="$BK$117">
            <a:extLst>
              <a:ext uri="{FF2B5EF4-FFF2-40B4-BE49-F238E27FC236}">
                <a16:creationId xmlns:a16="http://schemas.microsoft.com/office/drawing/2014/main" id="{00000000-0008-0000-0C00-00003C7C4100}"/>
              </a:ext>
            </a:extLst>
          </xdr:cNvPr>
          <xdr:cNvSpPr/>
        </xdr:nvSpPr>
        <xdr:spPr>
          <a:xfrm>
            <a:off x="2540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45" name="$BK$117">
            <a:extLst>
              <a:ext uri="{FF2B5EF4-FFF2-40B4-BE49-F238E27FC236}">
                <a16:creationId xmlns:a16="http://schemas.microsoft.com/office/drawing/2014/main" id="{00000000-0008-0000-0C00-00003D7C4100}"/>
              </a:ext>
            </a:extLst>
          </xdr:cNvPr>
          <xdr:cNvSpPr/>
        </xdr:nvSpPr>
        <xdr:spPr>
          <a:xfrm>
            <a:off x="2794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46" name="$BK$117">
            <a:extLst>
              <a:ext uri="{FF2B5EF4-FFF2-40B4-BE49-F238E27FC236}">
                <a16:creationId xmlns:a16="http://schemas.microsoft.com/office/drawing/2014/main" id="{00000000-0008-0000-0C00-00003E7C4100}"/>
              </a:ext>
            </a:extLst>
          </xdr:cNvPr>
          <xdr:cNvSpPr/>
        </xdr:nvSpPr>
        <xdr:spPr>
          <a:xfrm>
            <a:off x="3048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47" name="$BK$117">
            <a:extLst>
              <a:ext uri="{FF2B5EF4-FFF2-40B4-BE49-F238E27FC236}">
                <a16:creationId xmlns:a16="http://schemas.microsoft.com/office/drawing/2014/main" id="{00000000-0008-0000-0C00-00003F7C4100}"/>
              </a:ext>
            </a:extLst>
          </xdr:cNvPr>
          <xdr:cNvSpPr/>
        </xdr:nvSpPr>
        <xdr:spPr>
          <a:xfrm>
            <a:off x="3175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48" name="$BK$117">
            <a:extLst>
              <a:ext uri="{FF2B5EF4-FFF2-40B4-BE49-F238E27FC236}">
                <a16:creationId xmlns:a16="http://schemas.microsoft.com/office/drawing/2014/main" id="{00000000-0008-0000-0C00-0000407C4100}"/>
              </a:ext>
            </a:extLst>
          </xdr:cNvPr>
          <xdr:cNvSpPr/>
        </xdr:nvSpPr>
        <xdr:spPr>
          <a:xfrm>
            <a:off x="3302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49" name="$BK$117">
            <a:extLst>
              <a:ext uri="{FF2B5EF4-FFF2-40B4-BE49-F238E27FC236}">
                <a16:creationId xmlns:a16="http://schemas.microsoft.com/office/drawing/2014/main" id="{00000000-0008-0000-0C00-0000417C4100}"/>
              </a:ext>
            </a:extLst>
          </xdr:cNvPr>
          <xdr:cNvSpPr/>
        </xdr:nvSpPr>
        <xdr:spPr>
          <a:xfrm>
            <a:off x="3556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50" name="$BK$117">
            <a:extLst>
              <a:ext uri="{FF2B5EF4-FFF2-40B4-BE49-F238E27FC236}">
                <a16:creationId xmlns:a16="http://schemas.microsoft.com/office/drawing/2014/main" id="{00000000-0008-0000-0C00-0000427C4100}"/>
              </a:ext>
            </a:extLst>
          </xdr:cNvPr>
          <xdr:cNvSpPr/>
        </xdr:nvSpPr>
        <xdr:spPr>
          <a:xfrm>
            <a:off x="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51" name="$BK$117">
            <a:extLst>
              <a:ext uri="{FF2B5EF4-FFF2-40B4-BE49-F238E27FC236}">
                <a16:creationId xmlns:a16="http://schemas.microsoft.com/office/drawing/2014/main" id="{00000000-0008-0000-0C00-0000437C4100}"/>
              </a:ext>
            </a:extLst>
          </xdr:cNvPr>
          <xdr:cNvSpPr/>
        </xdr:nvSpPr>
        <xdr:spPr>
          <a:xfrm>
            <a:off x="762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52" name="$BK$117">
            <a:extLst>
              <a:ext uri="{FF2B5EF4-FFF2-40B4-BE49-F238E27FC236}">
                <a16:creationId xmlns:a16="http://schemas.microsoft.com/office/drawing/2014/main" id="{00000000-0008-0000-0C00-0000447C4100}"/>
              </a:ext>
            </a:extLst>
          </xdr:cNvPr>
          <xdr:cNvSpPr/>
        </xdr:nvSpPr>
        <xdr:spPr>
          <a:xfrm>
            <a:off x="1016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53" name="$BK$117">
            <a:extLst>
              <a:ext uri="{FF2B5EF4-FFF2-40B4-BE49-F238E27FC236}">
                <a16:creationId xmlns:a16="http://schemas.microsoft.com/office/drawing/2014/main" id="{00000000-0008-0000-0C00-0000457C4100}"/>
              </a:ext>
            </a:extLst>
          </xdr:cNvPr>
          <xdr:cNvSpPr/>
        </xdr:nvSpPr>
        <xdr:spPr>
          <a:xfrm>
            <a:off x="1905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54" name="$BK$117">
            <a:extLst>
              <a:ext uri="{FF2B5EF4-FFF2-40B4-BE49-F238E27FC236}">
                <a16:creationId xmlns:a16="http://schemas.microsoft.com/office/drawing/2014/main" id="{00000000-0008-0000-0C00-0000467C4100}"/>
              </a:ext>
            </a:extLst>
          </xdr:cNvPr>
          <xdr:cNvSpPr/>
        </xdr:nvSpPr>
        <xdr:spPr>
          <a:xfrm>
            <a:off x="2032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55" name="$BK$117">
            <a:extLst>
              <a:ext uri="{FF2B5EF4-FFF2-40B4-BE49-F238E27FC236}">
                <a16:creationId xmlns:a16="http://schemas.microsoft.com/office/drawing/2014/main" id="{00000000-0008-0000-0C00-0000477C4100}"/>
              </a:ext>
            </a:extLst>
          </xdr:cNvPr>
          <xdr:cNvSpPr/>
        </xdr:nvSpPr>
        <xdr:spPr>
          <a:xfrm>
            <a:off x="2794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56" name="$BK$117">
            <a:extLst>
              <a:ext uri="{FF2B5EF4-FFF2-40B4-BE49-F238E27FC236}">
                <a16:creationId xmlns:a16="http://schemas.microsoft.com/office/drawing/2014/main" id="{00000000-0008-0000-0C00-0000487C4100}"/>
              </a:ext>
            </a:extLst>
          </xdr:cNvPr>
          <xdr:cNvSpPr/>
        </xdr:nvSpPr>
        <xdr:spPr>
          <a:xfrm>
            <a:off x="3556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57" name="$BK$117">
            <a:extLst>
              <a:ext uri="{FF2B5EF4-FFF2-40B4-BE49-F238E27FC236}">
                <a16:creationId xmlns:a16="http://schemas.microsoft.com/office/drawing/2014/main" id="{00000000-0008-0000-0C00-0000497C4100}"/>
              </a:ext>
            </a:extLst>
          </xdr:cNvPr>
          <xdr:cNvSpPr/>
        </xdr:nvSpPr>
        <xdr:spPr>
          <a:xfrm>
            <a:off x="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58" name="$BK$117">
            <a:extLst>
              <a:ext uri="{FF2B5EF4-FFF2-40B4-BE49-F238E27FC236}">
                <a16:creationId xmlns:a16="http://schemas.microsoft.com/office/drawing/2014/main" id="{00000000-0008-0000-0C00-00004A7C4100}"/>
              </a:ext>
            </a:extLst>
          </xdr:cNvPr>
          <xdr:cNvSpPr/>
        </xdr:nvSpPr>
        <xdr:spPr>
          <a:xfrm>
            <a:off x="127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59" name="$BK$117">
            <a:extLst>
              <a:ext uri="{FF2B5EF4-FFF2-40B4-BE49-F238E27FC236}">
                <a16:creationId xmlns:a16="http://schemas.microsoft.com/office/drawing/2014/main" id="{00000000-0008-0000-0C00-00004B7C4100}"/>
              </a:ext>
            </a:extLst>
          </xdr:cNvPr>
          <xdr:cNvSpPr/>
        </xdr:nvSpPr>
        <xdr:spPr>
          <a:xfrm>
            <a:off x="25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60" name="$BK$117">
            <a:extLst>
              <a:ext uri="{FF2B5EF4-FFF2-40B4-BE49-F238E27FC236}">
                <a16:creationId xmlns:a16="http://schemas.microsoft.com/office/drawing/2014/main" id="{00000000-0008-0000-0C00-00004C7C4100}"/>
              </a:ext>
            </a:extLst>
          </xdr:cNvPr>
          <xdr:cNvSpPr/>
        </xdr:nvSpPr>
        <xdr:spPr>
          <a:xfrm>
            <a:off x="381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61" name="$BK$117">
            <a:extLst>
              <a:ext uri="{FF2B5EF4-FFF2-40B4-BE49-F238E27FC236}">
                <a16:creationId xmlns:a16="http://schemas.microsoft.com/office/drawing/2014/main" id="{00000000-0008-0000-0C00-00004D7C4100}"/>
              </a:ext>
            </a:extLst>
          </xdr:cNvPr>
          <xdr:cNvSpPr/>
        </xdr:nvSpPr>
        <xdr:spPr>
          <a:xfrm>
            <a:off x="508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62" name="$BK$117">
            <a:extLst>
              <a:ext uri="{FF2B5EF4-FFF2-40B4-BE49-F238E27FC236}">
                <a16:creationId xmlns:a16="http://schemas.microsoft.com/office/drawing/2014/main" id="{00000000-0008-0000-0C00-00004E7C4100}"/>
              </a:ext>
            </a:extLst>
          </xdr:cNvPr>
          <xdr:cNvSpPr/>
        </xdr:nvSpPr>
        <xdr:spPr>
          <a:xfrm>
            <a:off x="635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63" name="$BK$117">
            <a:extLst>
              <a:ext uri="{FF2B5EF4-FFF2-40B4-BE49-F238E27FC236}">
                <a16:creationId xmlns:a16="http://schemas.microsoft.com/office/drawing/2014/main" id="{00000000-0008-0000-0C00-00004F7C4100}"/>
              </a:ext>
            </a:extLst>
          </xdr:cNvPr>
          <xdr:cNvSpPr/>
        </xdr:nvSpPr>
        <xdr:spPr>
          <a:xfrm>
            <a:off x="762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64" name="$BK$117">
            <a:extLst>
              <a:ext uri="{FF2B5EF4-FFF2-40B4-BE49-F238E27FC236}">
                <a16:creationId xmlns:a16="http://schemas.microsoft.com/office/drawing/2014/main" id="{00000000-0008-0000-0C00-0000507C4100}"/>
              </a:ext>
            </a:extLst>
          </xdr:cNvPr>
          <xdr:cNvSpPr/>
        </xdr:nvSpPr>
        <xdr:spPr>
          <a:xfrm>
            <a:off x="1016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65" name="$BK$117">
            <a:extLst>
              <a:ext uri="{FF2B5EF4-FFF2-40B4-BE49-F238E27FC236}">
                <a16:creationId xmlns:a16="http://schemas.microsoft.com/office/drawing/2014/main" id="{00000000-0008-0000-0C00-0000517C4100}"/>
              </a:ext>
            </a:extLst>
          </xdr:cNvPr>
          <xdr:cNvSpPr/>
        </xdr:nvSpPr>
        <xdr:spPr>
          <a:xfrm>
            <a:off x="1270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66" name="$BK$117">
            <a:extLst>
              <a:ext uri="{FF2B5EF4-FFF2-40B4-BE49-F238E27FC236}">
                <a16:creationId xmlns:a16="http://schemas.microsoft.com/office/drawing/2014/main" id="{00000000-0008-0000-0C00-0000527C4100}"/>
              </a:ext>
            </a:extLst>
          </xdr:cNvPr>
          <xdr:cNvSpPr/>
        </xdr:nvSpPr>
        <xdr:spPr>
          <a:xfrm>
            <a:off x="152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67" name="$BK$117">
            <a:extLst>
              <a:ext uri="{FF2B5EF4-FFF2-40B4-BE49-F238E27FC236}">
                <a16:creationId xmlns:a16="http://schemas.microsoft.com/office/drawing/2014/main" id="{00000000-0008-0000-0C00-0000537C4100}"/>
              </a:ext>
            </a:extLst>
          </xdr:cNvPr>
          <xdr:cNvSpPr/>
        </xdr:nvSpPr>
        <xdr:spPr>
          <a:xfrm>
            <a:off x="1778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68" name="$BK$117">
            <a:extLst>
              <a:ext uri="{FF2B5EF4-FFF2-40B4-BE49-F238E27FC236}">
                <a16:creationId xmlns:a16="http://schemas.microsoft.com/office/drawing/2014/main" id="{00000000-0008-0000-0C00-0000547C4100}"/>
              </a:ext>
            </a:extLst>
          </xdr:cNvPr>
          <xdr:cNvSpPr/>
        </xdr:nvSpPr>
        <xdr:spPr>
          <a:xfrm>
            <a:off x="2032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69" name="$BK$117">
            <a:extLst>
              <a:ext uri="{FF2B5EF4-FFF2-40B4-BE49-F238E27FC236}">
                <a16:creationId xmlns:a16="http://schemas.microsoft.com/office/drawing/2014/main" id="{00000000-0008-0000-0C00-0000557C4100}"/>
              </a:ext>
            </a:extLst>
          </xdr:cNvPr>
          <xdr:cNvSpPr/>
        </xdr:nvSpPr>
        <xdr:spPr>
          <a:xfrm>
            <a:off x="2286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70" name="$BK$117">
            <a:extLst>
              <a:ext uri="{FF2B5EF4-FFF2-40B4-BE49-F238E27FC236}">
                <a16:creationId xmlns:a16="http://schemas.microsoft.com/office/drawing/2014/main" id="{00000000-0008-0000-0C00-0000567C4100}"/>
              </a:ext>
            </a:extLst>
          </xdr:cNvPr>
          <xdr:cNvSpPr/>
        </xdr:nvSpPr>
        <xdr:spPr>
          <a:xfrm>
            <a:off x="2540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71" name="$BK$117">
            <a:extLst>
              <a:ext uri="{FF2B5EF4-FFF2-40B4-BE49-F238E27FC236}">
                <a16:creationId xmlns:a16="http://schemas.microsoft.com/office/drawing/2014/main" id="{00000000-0008-0000-0C00-0000577C4100}"/>
              </a:ext>
            </a:extLst>
          </xdr:cNvPr>
          <xdr:cNvSpPr/>
        </xdr:nvSpPr>
        <xdr:spPr>
          <a:xfrm>
            <a:off x="279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72" name="$BK$117">
            <a:extLst>
              <a:ext uri="{FF2B5EF4-FFF2-40B4-BE49-F238E27FC236}">
                <a16:creationId xmlns:a16="http://schemas.microsoft.com/office/drawing/2014/main" id="{00000000-0008-0000-0C00-0000587C4100}"/>
              </a:ext>
            </a:extLst>
          </xdr:cNvPr>
          <xdr:cNvSpPr/>
        </xdr:nvSpPr>
        <xdr:spPr>
          <a:xfrm>
            <a:off x="2921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73" name="$BK$117">
            <a:extLst>
              <a:ext uri="{FF2B5EF4-FFF2-40B4-BE49-F238E27FC236}">
                <a16:creationId xmlns:a16="http://schemas.microsoft.com/office/drawing/2014/main" id="{00000000-0008-0000-0C00-0000597C4100}"/>
              </a:ext>
            </a:extLst>
          </xdr:cNvPr>
          <xdr:cNvSpPr/>
        </xdr:nvSpPr>
        <xdr:spPr>
          <a:xfrm>
            <a:off x="3048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74" name="$BK$117">
            <a:extLst>
              <a:ext uri="{FF2B5EF4-FFF2-40B4-BE49-F238E27FC236}">
                <a16:creationId xmlns:a16="http://schemas.microsoft.com/office/drawing/2014/main" id="{00000000-0008-0000-0C00-00005A7C4100}"/>
              </a:ext>
            </a:extLst>
          </xdr:cNvPr>
          <xdr:cNvSpPr/>
        </xdr:nvSpPr>
        <xdr:spPr>
          <a:xfrm>
            <a:off x="3175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75" name="$BK$117">
            <a:extLst>
              <a:ext uri="{FF2B5EF4-FFF2-40B4-BE49-F238E27FC236}">
                <a16:creationId xmlns:a16="http://schemas.microsoft.com/office/drawing/2014/main" id="{00000000-0008-0000-0C00-00005B7C4100}"/>
              </a:ext>
            </a:extLst>
          </xdr:cNvPr>
          <xdr:cNvSpPr/>
        </xdr:nvSpPr>
        <xdr:spPr>
          <a:xfrm>
            <a:off x="3302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76" name="$BK$117">
            <a:extLst>
              <a:ext uri="{FF2B5EF4-FFF2-40B4-BE49-F238E27FC236}">
                <a16:creationId xmlns:a16="http://schemas.microsoft.com/office/drawing/2014/main" id="{00000000-0008-0000-0C00-00005C7C4100}"/>
              </a:ext>
            </a:extLst>
          </xdr:cNvPr>
          <xdr:cNvSpPr/>
        </xdr:nvSpPr>
        <xdr:spPr>
          <a:xfrm>
            <a:off x="3429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77" name="$BK$117">
            <a:extLst>
              <a:ext uri="{FF2B5EF4-FFF2-40B4-BE49-F238E27FC236}">
                <a16:creationId xmlns:a16="http://schemas.microsoft.com/office/drawing/2014/main" id="{00000000-0008-0000-0C00-00005D7C4100}"/>
              </a:ext>
            </a:extLst>
          </xdr:cNvPr>
          <xdr:cNvSpPr/>
        </xdr:nvSpPr>
        <xdr:spPr>
          <a:xfrm>
            <a:off x="3556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78" name="$BK$117">
            <a:extLst>
              <a:ext uri="{FF2B5EF4-FFF2-40B4-BE49-F238E27FC236}">
                <a16:creationId xmlns:a16="http://schemas.microsoft.com/office/drawing/2014/main" id="{00000000-0008-0000-0C00-00005E7C4100}"/>
              </a:ext>
            </a:extLst>
          </xdr:cNvPr>
          <xdr:cNvSpPr/>
        </xdr:nvSpPr>
        <xdr:spPr>
          <a:xfrm>
            <a:off x="1143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79" name="$BK$117">
            <a:extLst>
              <a:ext uri="{FF2B5EF4-FFF2-40B4-BE49-F238E27FC236}">
                <a16:creationId xmlns:a16="http://schemas.microsoft.com/office/drawing/2014/main" id="{00000000-0008-0000-0C00-00005F7C4100}"/>
              </a:ext>
            </a:extLst>
          </xdr:cNvPr>
          <xdr:cNvSpPr/>
        </xdr:nvSpPr>
        <xdr:spPr>
          <a:xfrm>
            <a:off x="1270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80" name="$BK$117">
            <a:extLst>
              <a:ext uri="{FF2B5EF4-FFF2-40B4-BE49-F238E27FC236}">
                <a16:creationId xmlns:a16="http://schemas.microsoft.com/office/drawing/2014/main" id="{00000000-0008-0000-0C00-0000607C4100}"/>
              </a:ext>
            </a:extLst>
          </xdr:cNvPr>
          <xdr:cNvSpPr/>
        </xdr:nvSpPr>
        <xdr:spPr>
          <a:xfrm>
            <a:off x="1524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81" name="$BK$117">
            <a:extLst>
              <a:ext uri="{FF2B5EF4-FFF2-40B4-BE49-F238E27FC236}">
                <a16:creationId xmlns:a16="http://schemas.microsoft.com/office/drawing/2014/main" id="{00000000-0008-0000-0C00-0000617C4100}"/>
              </a:ext>
            </a:extLst>
          </xdr:cNvPr>
          <xdr:cNvSpPr/>
        </xdr:nvSpPr>
        <xdr:spPr>
          <a:xfrm>
            <a:off x="1651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82" name="$BK$117">
            <a:extLst>
              <a:ext uri="{FF2B5EF4-FFF2-40B4-BE49-F238E27FC236}">
                <a16:creationId xmlns:a16="http://schemas.microsoft.com/office/drawing/2014/main" id="{00000000-0008-0000-0C00-0000627C4100}"/>
              </a:ext>
            </a:extLst>
          </xdr:cNvPr>
          <xdr:cNvSpPr/>
        </xdr:nvSpPr>
        <xdr:spPr>
          <a:xfrm>
            <a:off x="1905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83" name="$BK$117">
            <a:extLst>
              <a:ext uri="{FF2B5EF4-FFF2-40B4-BE49-F238E27FC236}">
                <a16:creationId xmlns:a16="http://schemas.microsoft.com/office/drawing/2014/main" id="{00000000-0008-0000-0C00-0000637C4100}"/>
              </a:ext>
            </a:extLst>
          </xdr:cNvPr>
          <xdr:cNvSpPr/>
        </xdr:nvSpPr>
        <xdr:spPr>
          <a:xfrm>
            <a:off x="2286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84" name="$BK$117">
            <a:extLst>
              <a:ext uri="{FF2B5EF4-FFF2-40B4-BE49-F238E27FC236}">
                <a16:creationId xmlns:a16="http://schemas.microsoft.com/office/drawing/2014/main" id="{00000000-0008-0000-0C00-0000647C4100}"/>
              </a:ext>
            </a:extLst>
          </xdr:cNvPr>
          <xdr:cNvSpPr/>
        </xdr:nvSpPr>
        <xdr:spPr>
          <a:xfrm>
            <a:off x="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85" name="$BK$117">
            <a:extLst>
              <a:ext uri="{FF2B5EF4-FFF2-40B4-BE49-F238E27FC236}">
                <a16:creationId xmlns:a16="http://schemas.microsoft.com/office/drawing/2014/main" id="{00000000-0008-0000-0C00-0000657C4100}"/>
              </a:ext>
            </a:extLst>
          </xdr:cNvPr>
          <xdr:cNvSpPr/>
        </xdr:nvSpPr>
        <xdr:spPr>
          <a:xfrm>
            <a:off x="381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86" name="$BK$117">
            <a:extLst>
              <a:ext uri="{FF2B5EF4-FFF2-40B4-BE49-F238E27FC236}">
                <a16:creationId xmlns:a16="http://schemas.microsoft.com/office/drawing/2014/main" id="{00000000-0008-0000-0C00-0000667C4100}"/>
              </a:ext>
            </a:extLst>
          </xdr:cNvPr>
          <xdr:cNvSpPr/>
        </xdr:nvSpPr>
        <xdr:spPr>
          <a:xfrm>
            <a:off x="635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87" name="$BK$117">
            <a:extLst>
              <a:ext uri="{FF2B5EF4-FFF2-40B4-BE49-F238E27FC236}">
                <a16:creationId xmlns:a16="http://schemas.microsoft.com/office/drawing/2014/main" id="{00000000-0008-0000-0C00-0000677C4100}"/>
              </a:ext>
            </a:extLst>
          </xdr:cNvPr>
          <xdr:cNvSpPr/>
        </xdr:nvSpPr>
        <xdr:spPr>
          <a:xfrm>
            <a:off x="762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88" name="$BK$117">
            <a:extLst>
              <a:ext uri="{FF2B5EF4-FFF2-40B4-BE49-F238E27FC236}">
                <a16:creationId xmlns:a16="http://schemas.microsoft.com/office/drawing/2014/main" id="{00000000-0008-0000-0C00-0000687C4100}"/>
              </a:ext>
            </a:extLst>
          </xdr:cNvPr>
          <xdr:cNvSpPr/>
        </xdr:nvSpPr>
        <xdr:spPr>
          <a:xfrm>
            <a:off x="1016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89" name="$BK$117">
            <a:extLst>
              <a:ext uri="{FF2B5EF4-FFF2-40B4-BE49-F238E27FC236}">
                <a16:creationId xmlns:a16="http://schemas.microsoft.com/office/drawing/2014/main" id="{00000000-0008-0000-0C00-0000697C4100}"/>
              </a:ext>
            </a:extLst>
          </xdr:cNvPr>
          <xdr:cNvSpPr/>
        </xdr:nvSpPr>
        <xdr:spPr>
          <a:xfrm>
            <a:off x="1143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90" name="$BK$117">
            <a:extLst>
              <a:ext uri="{FF2B5EF4-FFF2-40B4-BE49-F238E27FC236}">
                <a16:creationId xmlns:a16="http://schemas.microsoft.com/office/drawing/2014/main" id="{00000000-0008-0000-0C00-00006A7C4100}"/>
              </a:ext>
            </a:extLst>
          </xdr:cNvPr>
          <xdr:cNvSpPr/>
        </xdr:nvSpPr>
        <xdr:spPr>
          <a:xfrm>
            <a:off x="1270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91" name="$BK$117">
            <a:extLst>
              <a:ext uri="{FF2B5EF4-FFF2-40B4-BE49-F238E27FC236}">
                <a16:creationId xmlns:a16="http://schemas.microsoft.com/office/drawing/2014/main" id="{00000000-0008-0000-0C00-00006B7C4100}"/>
              </a:ext>
            </a:extLst>
          </xdr:cNvPr>
          <xdr:cNvSpPr/>
        </xdr:nvSpPr>
        <xdr:spPr>
          <a:xfrm>
            <a:off x="1524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92" name="$BK$117">
            <a:extLst>
              <a:ext uri="{FF2B5EF4-FFF2-40B4-BE49-F238E27FC236}">
                <a16:creationId xmlns:a16="http://schemas.microsoft.com/office/drawing/2014/main" id="{00000000-0008-0000-0C00-00006C7C4100}"/>
              </a:ext>
            </a:extLst>
          </xdr:cNvPr>
          <xdr:cNvSpPr/>
        </xdr:nvSpPr>
        <xdr:spPr>
          <a:xfrm>
            <a:off x="1778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93" name="$BK$117">
            <a:extLst>
              <a:ext uri="{FF2B5EF4-FFF2-40B4-BE49-F238E27FC236}">
                <a16:creationId xmlns:a16="http://schemas.microsoft.com/office/drawing/2014/main" id="{00000000-0008-0000-0C00-00006D7C4100}"/>
              </a:ext>
            </a:extLst>
          </xdr:cNvPr>
          <xdr:cNvSpPr/>
        </xdr:nvSpPr>
        <xdr:spPr>
          <a:xfrm>
            <a:off x="2032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94" name="$BK$117">
            <a:extLst>
              <a:ext uri="{FF2B5EF4-FFF2-40B4-BE49-F238E27FC236}">
                <a16:creationId xmlns:a16="http://schemas.microsoft.com/office/drawing/2014/main" id="{00000000-0008-0000-0C00-00006E7C4100}"/>
              </a:ext>
            </a:extLst>
          </xdr:cNvPr>
          <xdr:cNvSpPr/>
        </xdr:nvSpPr>
        <xdr:spPr>
          <a:xfrm>
            <a:off x="2159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95" name="$BK$117">
            <a:extLst>
              <a:ext uri="{FF2B5EF4-FFF2-40B4-BE49-F238E27FC236}">
                <a16:creationId xmlns:a16="http://schemas.microsoft.com/office/drawing/2014/main" id="{00000000-0008-0000-0C00-00006F7C4100}"/>
              </a:ext>
            </a:extLst>
          </xdr:cNvPr>
          <xdr:cNvSpPr/>
        </xdr:nvSpPr>
        <xdr:spPr>
          <a:xfrm>
            <a:off x="2286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96" name="$BK$117">
            <a:extLst>
              <a:ext uri="{FF2B5EF4-FFF2-40B4-BE49-F238E27FC236}">
                <a16:creationId xmlns:a16="http://schemas.microsoft.com/office/drawing/2014/main" id="{00000000-0008-0000-0C00-0000707C4100}"/>
              </a:ext>
            </a:extLst>
          </xdr:cNvPr>
          <xdr:cNvSpPr/>
        </xdr:nvSpPr>
        <xdr:spPr>
          <a:xfrm>
            <a:off x="2667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97" name="$BK$117">
            <a:extLst>
              <a:ext uri="{FF2B5EF4-FFF2-40B4-BE49-F238E27FC236}">
                <a16:creationId xmlns:a16="http://schemas.microsoft.com/office/drawing/2014/main" id="{00000000-0008-0000-0C00-0000717C4100}"/>
              </a:ext>
            </a:extLst>
          </xdr:cNvPr>
          <xdr:cNvSpPr/>
        </xdr:nvSpPr>
        <xdr:spPr>
          <a:xfrm>
            <a:off x="2921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98" name="$BK$117">
            <a:extLst>
              <a:ext uri="{FF2B5EF4-FFF2-40B4-BE49-F238E27FC236}">
                <a16:creationId xmlns:a16="http://schemas.microsoft.com/office/drawing/2014/main" id="{00000000-0008-0000-0C00-0000727C4100}"/>
              </a:ext>
            </a:extLst>
          </xdr:cNvPr>
          <xdr:cNvSpPr/>
        </xdr:nvSpPr>
        <xdr:spPr>
          <a:xfrm>
            <a:off x="127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99" name="$BK$117">
            <a:extLst>
              <a:ext uri="{FF2B5EF4-FFF2-40B4-BE49-F238E27FC236}">
                <a16:creationId xmlns:a16="http://schemas.microsoft.com/office/drawing/2014/main" id="{00000000-0008-0000-0C00-0000737C4100}"/>
              </a:ext>
            </a:extLst>
          </xdr:cNvPr>
          <xdr:cNvSpPr/>
        </xdr:nvSpPr>
        <xdr:spPr>
          <a:xfrm>
            <a:off x="254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00" name="$BK$117">
            <a:extLst>
              <a:ext uri="{FF2B5EF4-FFF2-40B4-BE49-F238E27FC236}">
                <a16:creationId xmlns:a16="http://schemas.microsoft.com/office/drawing/2014/main" id="{00000000-0008-0000-0C00-0000747C4100}"/>
              </a:ext>
            </a:extLst>
          </xdr:cNvPr>
          <xdr:cNvSpPr/>
        </xdr:nvSpPr>
        <xdr:spPr>
          <a:xfrm>
            <a:off x="508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01" name="$BK$117">
            <a:extLst>
              <a:ext uri="{FF2B5EF4-FFF2-40B4-BE49-F238E27FC236}">
                <a16:creationId xmlns:a16="http://schemas.microsoft.com/office/drawing/2014/main" id="{00000000-0008-0000-0C00-0000757C4100}"/>
              </a:ext>
            </a:extLst>
          </xdr:cNvPr>
          <xdr:cNvSpPr/>
        </xdr:nvSpPr>
        <xdr:spPr>
          <a:xfrm>
            <a:off x="889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02" name="$BK$117">
            <a:extLst>
              <a:ext uri="{FF2B5EF4-FFF2-40B4-BE49-F238E27FC236}">
                <a16:creationId xmlns:a16="http://schemas.microsoft.com/office/drawing/2014/main" id="{00000000-0008-0000-0C00-0000767C4100}"/>
              </a:ext>
            </a:extLst>
          </xdr:cNvPr>
          <xdr:cNvSpPr/>
        </xdr:nvSpPr>
        <xdr:spPr>
          <a:xfrm>
            <a:off x="1143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03" name="$BK$117">
            <a:extLst>
              <a:ext uri="{FF2B5EF4-FFF2-40B4-BE49-F238E27FC236}">
                <a16:creationId xmlns:a16="http://schemas.microsoft.com/office/drawing/2014/main" id="{00000000-0008-0000-0C00-0000777C4100}"/>
              </a:ext>
            </a:extLst>
          </xdr:cNvPr>
          <xdr:cNvSpPr/>
        </xdr:nvSpPr>
        <xdr:spPr>
          <a:xfrm>
            <a:off x="1651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04" name="$BK$117">
            <a:extLst>
              <a:ext uri="{FF2B5EF4-FFF2-40B4-BE49-F238E27FC236}">
                <a16:creationId xmlns:a16="http://schemas.microsoft.com/office/drawing/2014/main" id="{00000000-0008-0000-0C00-0000787C4100}"/>
              </a:ext>
            </a:extLst>
          </xdr:cNvPr>
          <xdr:cNvSpPr/>
        </xdr:nvSpPr>
        <xdr:spPr>
          <a:xfrm>
            <a:off x="1905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05" name="$BK$117">
            <a:extLst>
              <a:ext uri="{FF2B5EF4-FFF2-40B4-BE49-F238E27FC236}">
                <a16:creationId xmlns:a16="http://schemas.microsoft.com/office/drawing/2014/main" id="{00000000-0008-0000-0C00-0000797C4100}"/>
              </a:ext>
            </a:extLst>
          </xdr:cNvPr>
          <xdr:cNvSpPr/>
        </xdr:nvSpPr>
        <xdr:spPr>
          <a:xfrm>
            <a:off x="2286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06" name="$BK$117">
            <a:extLst>
              <a:ext uri="{FF2B5EF4-FFF2-40B4-BE49-F238E27FC236}">
                <a16:creationId xmlns:a16="http://schemas.microsoft.com/office/drawing/2014/main" id="{00000000-0008-0000-0C00-00007A7C4100}"/>
              </a:ext>
            </a:extLst>
          </xdr:cNvPr>
          <xdr:cNvSpPr/>
        </xdr:nvSpPr>
        <xdr:spPr>
          <a:xfrm>
            <a:off x="2540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07" name="$BK$117">
            <a:extLst>
              <a:ext uri="{FF2B5EF4-FFF2-40B4-BE49-F238E27FC236}">
                <a16:creationId xmlns:a16="http://schemas.microsoft.com/office/drawing/2014/main" id="{00000000-0008-0000-0C00-00007B7C4100}"/>
              </a:ext>
            </a:extLst>
          </xdr:cNvPr>
          <xdr:cNvSpPr/>
        </xdr:nvSpPr>
        <xdr:spPr>
          <a:xfrm>
            <a:off x="2921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08" name="$BK$117">
            <a:extLst>
              <a:ext uri="{FF2B5EF4-FFF2-40B4-BE49-F238E27FC236}">
                <a16:creationId xmlns:a16="http://schemas.microsoft.com/office/drawing/2014/main" id="{00000000-0008-0000-0C00-00007C7C4100}"/>
              </a:ext>
            </a:extLst>
          </xdr:cNvPr>
          <xdr:cNvSpPr/>
        </xdr:nvSpPr>
        <xdr:spPr>
          <a:xfrm>
            <a:off x="3048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09" name="$BK$117">
            <a:extLst>
              <a:ext uri="{FF2B5EF4-FFF2-40B4-BE49-F238E27FC236}">
                <a16:creationId xmlns:a16="http://schemas.microsoft.com/office/drawing/2014/main" id="{00000000-0008-0000-0C00-00007D7C4100}"/>
              </a:ext>
            </a:extLst>
          </xdr:cNvPr>
          <xdr:cNvSpPr/>
        </xdr:nvSpPr>
        <xdr:spPr>
          <a:xfrm>
            <a:off x="3302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10" name="$BK$117">
            <a:extLst>
              <a:ext uri="{FF2B5EF4-FFF2-40B4-BE49-F238E27FC236}">
                <a16:creationId xmlns:a16="http://schemas.microsoft.com/office/drawing/2014/main" id="{00000000-0008-0000-0C00-00007E7C4100}"/>
              </a:ext>
            </a:extLst>
          </xdr:cNvPr>
          <xdr:cNvSpPr/>
        </xdr:nvSpPr>
        <xdr:spPr>
          <a:xfrm>
            <a:off x="508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11" name="$BK$117">
            <a:extLst>
              <a:ext uri="{FF2B5EF4-FFF2-40B4-BE49-F238E27FC236}">
                <a16:creationId xmlns:a16="http://schemas.microsoft.com/office/drawing/2014/main" id="{00000000-0008-0000-0C00-00007F7C4100}"/>
              </a:ext>
            </a:extLst>
          </xdr:cNvPr>
          <xdr:cNvSpPr/>
        </xdr:nvSpPr>
        <xdr:spPr>
          <a:xfrm>
            <a:off x="762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12" name="$BK$117">
            <a:extLst>
              <a:ext uri="{FF2B5EF4-FFF2-40B4-BE49-F238E27FC236}">
                <a16:creationId xmlns:a16="http://schemas.microsoft.com/office/drawing/2014/main" id="{00000000-0008-0000-0C00-0000807C4100}"/>
              </a:ext>
            </a:extLst>
          </xdr:cNvPr>
          <xdr:cNvSpPr/>
        </xdr:nvSpPr>
        <xdr:spPr>
          <a:xfrm>
            <a:off x="889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13" name="$BK$117">
            <a:extLst>
              <a:ext uri="{FF2B5EF4-FFF2-40B4-BE49-F238E27FC236}">
                <a16:creationId xmlns:a16="http://schemas.microsoft.com/office/drawing/2014/main" id="{00000000-0008-0000-0C00-0000817C4100}"/>
              </a:ext>
            </a:extLst>
          </xdr:cNvPr>
          <xdr:cNvSpPr/>
        </xdr:nvSpPr>
        <xdr:spPr>
          <a:xfrm>
            <a:off x="1143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14" name="$BK$117">
            <a:extLst>
              <a:ext uri="{FF2B5EF4-FFF2-40B4-BE49-F238E27FC236}">
                <a16:creationId xmlns:a16="http://schemas.microsoft.com/office/drawing/2014/main" id="{00000000-0008-0000-0C00-0000827C4100}"/>
              </a:ext>
            </a:extLst>
          </xdr:cNvPr>
          <xdr:cNvSpPr/>
        </xdr:nvSpPr>
        <xdr:spPr>
          <a:xfrm>
            <a:off x="1270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15" name="$BK$117">
            <a:extLst>
              <a:ext uri="{FF2B5EF4-FFF2-40B4-BE49-F238E27FC236}">
                <a16:creationId xmlns:a16="http://schemas.microsoft.com/office/drawing/2014/main" id="{00000000-0008-0000-0C00-0000837C4100}"/>
              </a:ext>
            </a:extLst>
          </xdr:cNvPr>
          <xdr:cNvSpPr/>
        </xdr:nvSpPr>
        <xdr:spPr>
          <a:xfrm>
            <a:off x="1397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16" name="$BK$117">
            <a:extLst>
              <a:ext uri="{FF2B5EF4-FFF2-40B4-BE49-F238E27FC236}">
                <a16:creationId xmlns:a16="http://schemas.microsoft.com/office/drawing/2014/main" id="{00000000-0008-0000-0C00-0000847C4100}"/>
              </a:ext>
            </a:extLst>
          </xdr:cNvPr>
          <xdr:cNvSpPr/>
        </xdr:nvSpPr>
        <xdr:spPr>
          <a:xfrm>
            <a:off x="1651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17" name="$BK$117">
            <a:extLst>
              <a:ext uri="{FF2B5EF4-FFF2-40B4-BE49-F238E27FC236}">
                <a16:creationId xmlns:a16="http://schemas.microsoft.com/office/drawing/2014/main" id="{00000000-0008-0000-0C00-0000857C4100}"/>
              </a:ext>
            </a:extLst>
          </xdr:cNvPr>
          <xdr:cNvSpPr/>
        </xdr:nvSpPr>
        <xdr:spPr>
          <a:xfrm>
            <a:off x="1778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18" name="$BK$117">
            <a:extLst>
              <a:ext uri="{FF2B5EF4-FFF2-40B4-BE49-F238E27FC236}">
                <a16:creationId xmlns:a16="http://schemas.microsoft.com/office/drawing/2014/main" id="{00000000-0008-0000-0C00-0000867C4100}"/>
              </a:ext>
            </a:extLst>
          </xdr:cNvPr>
          <xdr:cNvSpPr/>
        </xdr:nvSpPr>
        <xdr:spPr>
          <a:xfrm>
            <a:off x="1905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19" name="$BK$117">
            <a:extLst>
              <a:ext uri="{FF2B5EF4-FFF2-40B4-BE49-F238E27FC236}">
                <a16:creationId xmlns:a16="http://schemas.microsoft.com/office/drawing/2014/main" id="{00000000-0008-0000-0C00-0000877C4100}"/>
              </a:ext>
            </a:extLst>
          </xdr:cNvPr>
          <xdr:cNvSpPr/>
        </xdr:nvSpPr>
        <xdr:spPr>
          <a:xfrm>
            <a:off x="2032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20" name="$BK$117">
            <a:extLst>
              <a:ext uri="{FF2B5EF4-FFF2-40B4-BE49-F238E27FC236}">
                <a16:creationId xmlns:a16="http://schemas.microsoft.com/office/drawing/2014/main" id="{00000000-0008-0000-0C00-0000887C4100}"/>
              </a:ext>
            </a:extLst>
          </xdr:cNvPr>
          <xdr:cNvSpPr/>
        </xdr:nvSpPr>
        <xdr:spPr>
          <a:xfrm>
            <a:off x="2159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21" name="$BK$117">
            <a:extLst>
              <a:ext uri="{FF2B5EF4-FFF2-40B4-BE49-F238E27FC236}">
                <a16:creationId xmlns:a16="http://schemas.microsoft.com/office/drawing/2014/main" id="{00000000-0008-0000-0C00-0000897C4100}"/>
              </a:ext>
            </a:extLst>
          </xdr:cNvPr>
          <xdr:cNvSpPr/>
        </xdr:nvSpPr>
        <xdr:spPr>
          <a:xfrm>
            <a:off x="2667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22" name="$BK$117">
            <a:extLst>
              <a:ext uri="{FF2B5EF4-FFF2-40B4-BE49-F238E27FC236}">
                <a16:creationId xmlns:a16="http://schemas.microsoft.com/office/drawing/2014/main" id="{00000000-0008-0000-0C00-00008A7C4100}"/>
              </a:ext>
            </a:extLst>
          </xdr:cNvPr>
          <xdr:cNvSpPr/>
        </xdr:nvSpPr>
        <xdr:spPr>
          <a:xfrm>
            <a:off x="2794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23" name="$BK$117">
            <a:extLst>
              <a:ext uri="{FF2B5EF4-FFF2-40B4-BE49-F238E27FC236}">
                <a16:creationId xmlns:a16="http://schemas.microsoft.com/office/drawing/2014/main" id="{00000000-0008-0000-0C00-00008B7C4100}"/>
              </a:ext>
            </a:extLst>
          </xdr:cNvPr>
          <xdr:cNvSpPr/>
        </xdr:nvSpPr>
        <xdr:spPr>
          <a:xfrm>
            <a:off x="2921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24" name="$BK$117">
            <a:extLst>
              <a:ext uri="{FF2B5EF4-FFF2-40B4-BE49-F238E27FC236}">
                <a16:creationId xmlns:a16="http://schemas.microsoft.com/office/drawing/2014/main" id="{00000000-0008-0000-0C00-00008C7C4100}"/>
              </a:ext>
            </a:extLst>
          </xdr:cNvPr>
          <xdr:cNvSpPr/>
        </xdr:nvSpPr>
        <xdr:spPr>
          <a:xfrm>
            <a:off x="3048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25" name="$BK$117">
            <a:extLst>
              <a:ext uri="{FF2B5EF4-FFF2-40B4-BE49-F238E27FC236}">
                <a16:creationId xmlns:a16="http://schemas.microsoft.com/office/drawing/2014/main" id="{00000000-0008-0000-0C00-00008D7C4100}"/>
              </a:ext>
            </a:extLst>
          </xdr:cNvPr>
          <xdr:cNvSpPr/>
        </xdr:nvSpPr>
        <xdr:spPr>
          <a:xfrm>
            <a:off x="3175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26" name="$BK$117">
            <a:extLst>
              <a:ext uri="{FF2B5EF4-FFF2-40B4-BE49-F238E27FC236}">
                <a16:creationId xmlns:a16="http://schemas.microsoft.com/office/drawing/2014/main" id="{00000000-0008-0000-0C00-00008E7C4100}"/>
              </a:ext>
            </a:extLst>
          </xdr:cNvPr>
          <xdr:cNvSpPr/>
        </xdr:nvSpPr>
        <xdr:spPr>
          <a:xfrm>
            <a:off x="3556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27" name="$BK$117">
            <a:extLst>
              <a:ext uri="{FF2B5EF4-FFF2-40B4-BE49-F238E27FC236}">
                <a16:creationId xmlns:a16="http://schemas.microsoft.com/office/drawing/2014/main" id="{00000000-0008-0000-0C00-00008F7C4100}"/>
              </a:ext>
            </a:extLst>
          </xdr:cNvPr>
          <xdr:cNvSpPr/>
        </xdr:nvSpPr>
        <xdr:spPr>
          <a:xfrm>
            <a:off x="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28" name="$BK$117">
            <a:extLst>
              <a:ext uri="{FF2B5EF4-FFF2-40B4-BE49-F238E27FC236}">
                <a16:creationId xmlns:a16="http://schemas.microsoft.com/office/drawing/2014/main" id="{00000000-0008-0000-0C00-0000907C4100}"/>
              </a:ext>
            </a:extLst>
          </xdr:cNvPr>
          <xdr:cNvSpPr/>
        </xdr:nvSpPr>
        <xdr:spPr>
          <a:xfrm>
            <a:off x="508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29" name="$BK$117">
            <a:extLst>
              <a:ext uri="{FF2B5EF4-FFF2-40B4-BE49-F238E27FC236}">
                <a16:creationId xmlns:a16="http://schemas.microsoft.com/office/drawing/2014/main" id="{00000000-0008-0000-0C00-0000917C4100}"/>
              </a:ext>
            </a:extLst>
          </xdr:cNvPr>
          <xdr:cNvSpPr/>
        </xdr:nvSpPr>
        <xdr:spPr>
          <a:xfrm>
            <a:off x="889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30" name="$BK$117">
            <a:extLst>
              <a:ext uri="{FF2B5EF4-FFF2-40B4-BE49-F238E27FC236}">
                <a16:creationId xmlns:a16="http://schemas.microsoft.com/office/drawing/2014/main" id="{00000000-0008-0000-0C00-0000927C4100}"/>
              </a:ext>
            </a:extLst>
          </xdr:cNvPr>
          <xdr:cNvSpPr/>
        </xdr:nvSpPr>
        <xdr:spPr>
          <a:xfrm>
            <a:off x="1143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31" name="$BK$117">
            <a:extLst>
              <a:ext uri="{FF2B5EF4-FFF2-40B4-BE49-F238E27FC236}">
                <a16:creationId xmlns:a16="http://schemas.microsoft.com/office/drawing/2014/main" id="{00000000-0008-0000-0C00-0000937C4100}"/>
              </a:ext>
            </a:extLst>
          </xdr:cNvPr>
          <xdr:cNvSpPr/>
        </xdr:nvSpPr>
        <xdr:spPr>
          <a:xfrm>
            <a:off x="1270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32" name="$BK$117">
            <a:extLst>
              <a:ext uri="{FF2B5EF4-FFF2-40B4-BE49-F238E27FC236}">
                <a16:creationId xmlns:a16="http://schemas.microsoft.com/office/drawing/2014/main" id="{00000000-0008-0000-0C00-0000947C4100}"/>
              </a:ext>
            </a:extLst>
          </xdr:cNvPr>
          <xdr:cNvSpPr/>
        </xdr:nvSpPr>
        <xdr:spPr>
          <a:xfrm>
            <a:off x="1524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33" name="$BK$117">
            <a:extLst>
              <a:ext uri="{FF2B5EF4-FFF2-40B4-BE49-F238E27FC236}">
                <a16:creationId xmlns:a16="http://schemas.microsoft.com/office/drawing/2014/main" id="{00000000-0008-0000-0C00-0000957C4100}"/>
              </a:ext>
            </a:extLst>
          </xdr:cNvPr>
          <xdr:cNvSpPr/>
        </xdr:nvSpPr>
        <xdr:spPr>
          <a:xfrm>
            <a:off x="1651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34" name="$BK$117">
            <a:extLst>
              <a:ext uri="{FF2B5EF4-FFF2-40B4-BE49-F238E27FC236}">
                <a16:creationId xmlns:a16="http://schemas.microsoft.com/office/drawing/2014/main" id="{00000000-0008-0000-0C00-0000967C4100}"/>
              </a:ext>
            </a:extLst>
          </xdr:cNvPr>
          <xdr:cNvSpPr/>
        </xdr:nvSpPr>
        <xdr:spPr>
          <a:xfrm>
            <a:off x="2032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35" name="$BK$117">
            <a:extLst>
              <a:ext uri="{FF2B5EF4-FFF2-40B4-BE49-F238E27FC236}">
                <a16:creationId xmlns:a16="http://schemas.microsoft.com/office/drawing/2014/main" id="{00000000-0008-0000-0C00-0000977C4100}"/>
              </a:ext>
            </a:extLst>
          </xdr:cNvPr>
          <xdr:cNvSpPr/>
        </xdr:nvSpPr>
        <xdr:spPr>
          <a:xfrm>
            <a:off x="2159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36" name="$BK$117">
            <a:extLst>
              <a:ext uri="{FF2B5EF4-FFF2-40B4-BE49-F238E27FC236}">
                <a16:creationId xmlns:a16="http://schemas.microsoft.com/office/drawing/2014/main" id="{00000000-0008-0000-0C00-0000987C4100}"/>
              </a:ext>
            </a:extLst>
          </xdr:cNvPr>
          <xdr:cNvSpPr/>
        </xdr:nvSpPr>
        <xdr:spPr>
          <a:xfrm>
            <a:off x="2667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37" name="$BK$117">
            <a:extLst>
              <a:ext uri="{FF2B5EF4-FFF2-40B4-BE49-F238E27FC236}">
                <a16:creationId xmlns:a16="http://schemas.microsoft.com/office/drawing/2014/main" id="{00000000-0008-0000-0C00-0000997C4100}"/>
              </a:ext>
            </a:extLst>
          </xdr:cNvPr>
          <xdr:cNvSpPr/>
        </xdr:nvSpPr>
        <xdr:spPr>
          <a:xfrm>
            <a:off x="2794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38" name="$BK$117">
            <a:extLst>
              <a:ext uri="{FF2B5EF4-FFF2-40B4-BE49-F238E27FC236}">
                <a16:creationId xmlns:a16="http://schemas.microsoft.com/office/drawing/2014/main" id="{00000000-0008-0000-0C00-00009A7C4100}"/>
              </a:ext>
            </a:extLst>
          </xdr:cNvPr>
          <xdr:cNvSpPr/>
        </xdr:nvSpPr>
        <xdr:spPr>
          <a:xfrm>
            <a:off x="3175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39" name="$BK$117">
            <a:extLst>
              <a:ext uri="{FF2B5EF4-FFF2-40B4-BE49-F238E27FC236}">
                <a16:creationId xmlns:a16="http://schemas.microsoft.com/office/drawing/2014/main" id="{00000000-0008-0000-0C00-00009B7C4100}"/>
              </a:ext>
            </a:extLst>
          </xdr:cNvPr>
          <xdr:cNvSpPr/>
        </xdr:nvSpPr>
        <xdr:spPr>
          <a:xfrm>
            <a:off x="254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40" name="$BK$117">
            <a:extLst>
              <a:ext uri="{FF2B5EF4-FFF2-40B4-BE49-F238E27FC236}">
                <a16:creationId xmlns:a16="http://schemas.microsoft.com/office/drawing/2014/main" id="{00000000-0008-0000-0C00-00009C7C4100}"/>
              </a:ext>
            </a:extLst>
          </xdr:cNvPr>
          <xdr:cNvSpPr/>
        </xdr:nvSpPr>
        <xdr:spPr>
          <a:xfrm>
            <a:off x="635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41" name="$BK$117">
            <a:extLst>
              <a:ext uri="{FF2B5EF4-FFF2-40B4-BE49-F238E27FC236}">
                <a16:creationId xmlns:a16="http://schemas.microsoft.com/office/drawing/2014/main" id="{00000000-0008-0000-0C00-00009D7C4100}"/>
              </a:ext>
            </a:extLst>
          </xdr:cNvPr>
          <xdr:cNvSpPr/>
        </xdr:nvSpPr>
        <xdr:spPr>
          <a:xfrm>
            <a:off x="762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42" name="$BK$117">
            <a:extLst>
              <a:ext uri="{FF2B5EF4-FFF2-40B4-BE49-F238E27FC236}">
                <a16:creationId xmlns:a16="http://schemas.microsoft.com/office/drawing/2014/main" id="{00000000-0008-0000-0C00-00009E7C4100}"/>
              </a:ext>
            </a:extLst>
          </xdr:cNvPr>
          <xdr:cNvSpPr/>
        </xdr:nvSpPr>
        <xdr:spPr>
          <a:xfrm>
            <a:off x="889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43" name="$BK$117">
            <a:extLst>
              <a:ext uri="{FF2B5EF4-FFF2-40B4-BE49-F238E27FC236}">
                <a16:creationId xmlns:a16="http://schemas.microsoft.com/office/drawing/2014/main" id="{00000000-0008-0000-0C00-00009F7C4100}"/>
              </a:ext>
            </a:extLst>
          </xdr:cNvPr>
          <xdr:cNvSpPr/>
        </xdr:nvSpPr>
        <xdr:spPr>
          <a:xfrm>
            <a:off x="1016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44" name="$BK$117">
            <a:extLst>
              <a:ext uri="{FF2B5EF4-FFF2-40B4-BE49-F238E27FC236}">
                <a16:creationId xmlns:a16="http://schemas.microsoft.com/office/drawing/2014/main" id="{00000000-0008-0000-0C00-0000A07C4100}"/>
              </a:ext>
            </a:extLst>
          </xdr:cNvPr>
          <xdr:cNvSpPr/>
        </xdr:nvSpPr>
        <xdr:spPr>
          <a:xfrm>
            <a:off x="1143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45" name="$BK$117">
            <a:extLst>
              <a:ext uri="{FF2B5EF4-FFF2-40B4-BE49-F238E27FC236}">
                <a16:creationId xmlns:a16="http://schemas.microsoft.com/office/drawing/2014/main" id="{00000000-0008-0000-0C00-0000A17C4100}"/>
              </a:ext>
            </a:extLst>
          </xdr:cNvPr>
          <xdr:cNvSpPr/>
        </xdr:nvSpPr>
        <xdr:spPr>
          <a:xfrm>
            <a:off x="1270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46" name="$BK$117">
            <a:extLst>
              <a:ext uri="{FF2B5EF4-FFF2-40B4-BE49-F238E27FC236}">
                <a16:creationId xmlns:a16="http://schemas.microsoft.com/office/drawing/2014/main" id="{00000000-0008-0000-0C00-0000A27C4100}"/>
              </a:ext>
            </a:extLst>
          </xdr:cNvPr>
          <xdr:cNvSpPr/>
        </xdr:nvSpPr>
        <xdr:spPr>
          <a:xfrm>
            <a:off x="1778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47" name="$BK$117">
            <a:extLst>
              <a:ext uri="{FF2B5EF4-FFF2-40B4-BE49-F238E27FC236}">
                <a16:creationId xmlns:a16="http://schemas.microsoft.com/office/drawing/2014/main" id="{00000000-0008-0000-0C00-0000A37C4100}"/>
              </a:ext>
            </a:extLst>
          </xdr:cNvPr>
          <xdr:cNvSpPr/>
        </xdr:nvSpPr>
        <xdr:spPr>
          <a:xfrm>
            <a:off x="1905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48" name="$BK$117">
            <a:extLst>
              <a:ext uri="{FF2B5EF4-FFF2-40B4-BE49-F238E27FC236}">
                <a16:creationId xmlns:a16="http://schemas.microsoft.com/office/drawing/2014/main" id="{00000000-0008-0000-0C00-0000A47C4100}"/>
              </a:ext>
            </a:extLst>
          </xdr:cNvPr>
          <xdr:cNvSpPr/>
        </xdr:nvSpPr>
        <xdr:spPr>
          <a:xfrm>
            <a:off x="2286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49" name="$BK$117">
            <a:extLst>
              <a:ext uri="{FF2B5EF4-FFF2-40B4-BE49-F238E27FC236}">
                <a16:creationId xmlns:a16="http://schemas.microsoft.com/office/drawing/2014/main" id="{00000000-0008-0000-0C00-0000A57C4100}"/>
              </a:ext>
            </a:extLst>
          </xdr:cNvPr>
          <xdr:cNvSpPr/>
        </xdr:nvSpPr>
        <xdr:spPr>
          <a:xfrm>
            <a:off x="2540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50" name="$BK$117">
            <a:extLst>
              <a:ext uri="{FF2B5EF4-FFF2-40B4-BE49-F238E27FC236}">
                <a16:creationId xmlns:a16="http://schemas.microsoft.com/office/drawing/2014/main" id="{00000000-0008-0000-0C00-0000A67C4100}"/>
              </a:ext>
            </a:extLst>
          </xdr:cNvPr>
          <xdr:cNvSpPr/>
        </xdr:nvSpPr>
        <xdr:spPr>
          <a:xfrm>
            <a:off x="3556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51" name="$BK$117">
            <a:extLst>
              <a:ext uri="{FF2B5EF4-FFF2-40B4-BE49-F238E27FC236}">
                <a16:creationId xmlns:a16="http://schemas.microsoft.com/office/drawing/2014/main" id="{00000000-0008-0000-0C00-0000A77C4100}"/>
              </a:ext>
            </a:extLst>
          </xdr:cNvPr>
          <xdr:cNvSpPr/>
        </xdr:nvSpPr>
        <xdr:spPr>
          <a:xfrm>
            <a:off x="127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52" name="$BK$117">
            <a:extLst>
              <a:ext uri="{FF2B5EF4-FFF2-40B4-BE49-F238E27FC236}">
                <a16:creationId xmlns:a16="http://schemas.microsoft.com/office/drawing/2014/main" id="{00000000-0008-0000-0C00-0000A87C4100}"/>
              </a:ext>
            </a:extLst>
          </xdr:cNvPr>
          <xdr:cNvSpPr/>
        </xdr:nvSpPr>
        <xdr:spPr>
          <a:xfrm>
            <a:off x="381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53" name="$BK$117">
            <a:extLst>
              <a:ext uri="{FF2B5EF4-FFF2-40B4-BE49-F238E27FC236}">
                <a16:creationId xmlns:a16="http://schemas.microsoft.com/office/drawing/2014/main" id="{00000000-0008-0000-0C00-0000A97C4100}"/>
              </a:ext>
            </a:extLst>
          </xdr:cNvPr>
          <xdr:cNvSpPr/>
        </xdr:nvSpPr>
        <xdr:spPr>
          <a:xfrm>
            <a:off x="508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54" name="$BK$117">
            <a:extLst>
              <a:ext uri="{FF2B5EF4-FFF2-40B4-BE49-F238E27FC236}">
                <a16:creationId xmlns:a16="http://schemas.microsoft.com/office/drawing/2014/main" id="{00000000-0008-0000-0C00-0000AA7C4100}"/>
              </a:ext>
            </a:extLst>
          </xdr:cNvPr>
          <xdr:cNvSpPr/>
        </xdr:nvSpPr>
        <xdr:spPr>
          <a:xfrm>
            <a:off x="1270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55" name="$BK$117">
            <a:extLst>
              <a:ext uri="{FF2B5EF4-FFF2-40B4-BE49-F238E27FC236}">
                <a16:creationId xmlns:a16="http://schemas.microsoft.com/office/drawing/2014/main" id="{00000000-0008-0000-0C00-0000AB7C4100}"/>
              </a:ext>
            </a:extLst>
          </xdr:cNvPr>
          <xdr:cNvSpPr/>
        </xdr:nvSpPr>
        <xdr:spPr>
          <a:xfrm>
            <a:off x="1397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56" name="$BK$117">
            <a:extLst>
              <a:ext uri="{FF2B5EF4-FFF2-40B4-BE49-F238E27FC236}">
                <a16:creationId xmlns:a16="http://schemas.microsoft.com/office/drawing/2014/main" id="{00000000-0008-0000-0C00-0000AC7C4100}"/>
              </a:ext>
            </a:extLst>
          </xdr:cNvPr>
          <xdr:cNvSpPr/>
        </xdr:nvSpPr>
        <xdr:spPr>
          <a:xfrm>
            <a:off x="1524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57" name="$BK$117">
            <a:extLst>
              <a:ext uri="{FF2B5EF4-FFF2-40B4-BE49-F238E27FC236}">
                <a16:creationId xmlns:a16="http://schemas.microsoft.com/office/drawing/2014/main" id="{00000000-0008-0000-0C00-0000AD7C4100}"/>
              </a:ext>
            </a:extLst>
          </xdr:cNvPr>
          <xdr:cNvSpPr/>
        </xdr:nvSpPr>
        <xdr:spPr>
          <a:xfrm>
            <a:off x="1651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58" name="$BK$117">
            <a:extLst>
              <a:ext uri="{FF2B5EF4-FFF2-40B4-BE49-F238E27FC236}">
                <a16:creationId xmlns:a16="http://schemas.microsoft.com/office/drawing/2014/main" id="{00000000-0008-0000-0C00-0000AE7C4100}"/>
              </a:ext>
            </a:extLst>
          </xdr:cNvPr>
          <xdr:cNvSpPr/>
        </xdr:nvSpPr>
        <xdr:spPr>
          <a:xfrm>
            <a:off x="1778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59" name="$BK$117">
            <a:extLst>
              <a:ext uri="{FF2B5EF4-FFF2-40B4-BE49-F238E27FC236}">
                <a16:creationId xmlns:a16="http://schemas.microsoft.com/office/drawing/2014/main" id="{00000000-0008-0000-0C00-0000AF7C4100}"/>
              </a:ext>
            </a:extLst>
          </xdr:cNvPr>
          <xdr:cNvSpPr/>
        </xdr:nvSpPr>
        <xdr:spPr>
          <a:xfrm>
            <a:off x="1905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60" name="$BK$117">
            <a:extLst>
              <a:ext uri="{FF2B5EF4-FFF2-40B4-BE49-F238E27FC236}">
                <a16:creationId xmlns:a16="http://schemas.microsoft.com/office/drawing/2014/main" id="{00000000-0008-0000-0C00-0000B07C4100}"/>
              </a:ext>
            </a:extLst>
          </xdr:cNvPr>
          <xdr:cNvSpPr/>
        </xdr:nvSpPr>
        <xdr:spPr>
          <a:xfrm>
            <a:off x="2032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61" name="$BK$117">
            <a:extLst>
              <a:ext uri="{FF2B5EF4-FFF2-40B4-BE49-F238E27FC236}">
                <a16:creationId xmlns:a16="http://schemas.microsoft.com/office/drawing/2014/main" id="{00000000-0008-0000-0C00-0000B17C4100}"/>
              </a:ext>
            </a:extLst>
          </xdr:cNvPr>
          <xdr:cNvSpPr/>
        </xdr:nvSpPr>
        <xdr:spPr>
          <a:xfrm>
            <a:off x="2159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62" name="$BK$117">
            <a:extLst>
              <a:ext uri="{FF2B5EF4-FFF2-40B4-BE49-F238E27FC236}">
                <a16:creationId xmlns:a16="http://schemas.microsoft.com/office/drawing/2014/main" id="{00000000-0008-0000-0C00-0000B27C4100}"/>
              </a:ext>
            </a:extLst>
          </xdr:cNvPr>
          <xdr:cNvSpPr/>
        </xdr:nvSpPr>
        <xdr:spPr>
          <a:xfrm>
            <a:off x="2286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63" name="$BK$117">
            <a:extLst>
              <a:ext uri="{FF2B5EF4-FFF2-40B4-BE49-F238E27FC236}">
                <a16:creationId xmlns:a16="http://schemas.microsoft.com/office/drawing/2014/main" id="{00000000-0008-0000-0C00-0000B37C4100}"/>
              </a:ext>
            </a:extLst>
          </xdr:cNvPr>
          <xdr:cNvSpPr/>
        </xdr:nvSpPr>
        <xdr:spPr>
          <a:xfrm>
            <a:off x="2794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64" name="$BK$117">
            <a:extLst>
              <a:ext uri="{FF2B5EF4-FFF2-40B4-BE49-F238E27FC236}">
                <a16:creationId xmlns:a16="http://schemas.microsoft.com/office/drawing/2014/main" id="{00000000-0008-0000-0C00-0000B47C4100}"/>
              </a:ext>
            </a:extLst>
          </xdr:cNvPr>
          <xdr:cNvSpPr/>
        </xdr:nvSpPr>
        <xdr:spPr>
          <a:xfrm>
            <a:off x="3048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65" name="$BK$117">
            <a:extLst>
              <a:ext uri="{FF2B5EF4-FFF2-40B4-BE49-F238E27FC236}">
                <a16:creationId xmlns:a16="http://schemas.microsoft.com/office/drawing/2014/main" id="{00000000-0008-0000-0C00-0000B57C4100}"/>
              </a:ext>
            </a:extLst>
          </xdr:cNvPr>
          <xdr:cNvSpPr/>
        </xdr:nvSpPr>
        <xdr:spPr>
          <a:xfrm>
            <a:off x="3429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66" name="$BK$117">
            <a:extLst>
              <a:ext uri="{FF2B5EF4-FFF2-40B4-BE49-F238E27FC236}">
                <a16:creationId xmlns:a16="http://schemas.microsoft.com/office/drawing/2014/main" id="{00000000-0008-0000-0C00-0000B67C4100}"/>
              </a:ext>
            </a:extLst>
          </xdr:cNvPr>
          <xdr:cNvSpPr/>
        </xdr:nvSpPr>
        <xdr:spPr>
          <a:xfrm>
            <a:off x="127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67" name="$BK$117">
            <a:extLst>
              <a:ext uri="{FF2B5EF4-FFF2-40B4-BE49-F238E27FC236}">
                <a16:creationId xmlns:a16="http://schemas.microsoft.com/office/drawing/2014/main" id="{00000000-0008-0000-0C00-0000B77C4100}"/>
              </a:ext>
            </a:extLst>
          </xdr:cNvPr>
          <xdr:cNvSpPr/>
        </xdr:nvSpPr>
        <xdr:spPr>
          <a:xfrm>
            <a:off x="635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68" name="$BK$117">
            <a:extLst>
              <a:ext uri="{FF2B5EF4-FFF2-40B4-BE49-F238E27FC236}">
                <a16:creationId xmlns:a16="http://schemas.microsoft.com/office/drawing/2014/main" id="{00000000-0008-0000-0C00-0000B87C4100}"/>
              </a:ext>
            </a:extLst>
          </xdr:cNvPr>
          <xdr:cNvSpPr/>
        </xdr:nvSpPr>
        <xdr:spPr>
          <a:xfrm>
            <a:off x="762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69" name="$BK$117">
            <a:extLst>
              <a:ext uri="{FF2B5EF4-FFF2-40B4-BE49-F238E27FC236}">
                <a16:creationId xmlns:a16="http://schemas.microsoft.com/office/drawing/2014/main" id="{00000000-0008-0000-0C00-0000B97C4100}"/>
              </a:ext>
            </a:extLst>
          </xdr:cNvPr>
          <xdr:cNvSpPr/>
        </xdr:nvSpPr>
        <xdr:spPr>
          <a:xfrm>
            <a:off x="1016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70" name="$BK$117">
            <a:extLst>
              <a:ext uri="{FF2B5EF4-FFF2-40B4-BE49-F238E27FC236}">
                <a16:creationId xmlns:a16="http://schemas.microsoft.com/office/drawing/2014/main" id="{00000000-0008-0000-0C00-0000BA7C4100}"/>
              </a:ext>
            </a:extLst>
          </xdr:cNvPr>
          <xdr:cNvSpPr/>
        </xdr:nvSpPr>
        <xdr:spPr>
          <a:xfrm>
            <a:off x="1143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71" name="$BK$117">
            <a:extLst>
              <a:ext uri="{FF2B5EF4-FFF2-40B4-BE49-F238E27FC236}">
                <a16:creationId xmlns:a16="http://schemas.microsoft.com/office/drawing/2014/main" id="{00000000-0008-0000-0C00-0000BB7C4100}"/>
              </a:ext>
            </a:extLst>
          </xdr:cNvPr>
          <xdr:cNvSpPr/>
        </xdr:nvSpPr>
        <xdr:spPr>
          <a:xfrm>
            <a:off x="1524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72" name="$BK$117">
            <a:extLst>
              <a:ext uri="{FF2B5EF4-FFF2-40B4-BE49-F238E27FC236}">
                <a16:creationId xmlns:a16="http://schemas.microsoft.com/office/drawing/2014/main" id="{00000000-0008-0000-0C00-0000BC7C4100}"/>
              </a:ext>
            </a:extLst>
          </xdr:cNvPr>
          <xdr:cNvSpPr/>
        </xdr:nvSpPr>
        <xdr:spPr>
          <a:xfrm>
            <a:off x="1651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73" name="$BK$117">
            <a:extLst>
              <a:ext uri="{FF2B5EF4-FFF2-40B4-BE49-F238E27FC236}">
                <a16:creationId xmlns:a16="http://schemas.microsoft.com/office/drawing/2014/main" id="{00000000-0008-0000-0C00-0000BD7C4100}"/>
              </a:ext>
            </a:extLst>
          </xdr:cNvPr>
          <xdr:cNvSpPr/>
        </xdr:nvSpPr>
        <xdr:spPr>
          <a:xfrm>
            <a:off x="1778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74" name="$BK$117">
            <a:extLst>
              <a:ext uri="{FF2B5EF4-FFF2-40B4-BE49-F238E27FC236}">
                <a16:creationId xmlns:a16="http://schemas.microsoft.com/office/drawing/2014/main" id="{00000000-0008-0000-0C00-0000BE7C4100}"/>
              </a:ext>
            </a:extLst>
          </xdr:cNvPr>
          <xdr:cNvSpPr/>
        </xdr:nvSpPr>
        <xdr:spPr>
          <a:xfrm>
            <a:off x="1905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75" name="$BK$117">
            <a:extLst>
              <a:ext uri="{FF2B5EF4-FFF2-40B4-BE49-F238E27FC236}">
                <a16:creationId xmlns:a16="http://schemas.microsoft.com/office/drawing/2014/main" id="{00000000-0008-0000-0C00-0000BF7C4100}"/>
              </a:ext>
            </a:extLst>
          </xdr:cNvPr>
          <xdr:cNvSpPr/>
        </xdr:nvSpPr>
        <xdr:spPr>
          <a:xfrm>
            <a:off x="2159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76" name="$BK$117">
            <a:extLst>
              <a:ext uri="{FF2B5EF4-FFF2-40B4-BE49-F238E27FC236}">
                <a16:creationId xmlns:a16="http://schemas.microsoft.com/office/drawing/2014/main" id="{00000000-0008-0000-0C00-0000C07C4100}"/>
              </a:ext>
            </a:extLst>
          </xdr:cNvPr>
          <xdr:cNvSpPr/>
        </xdr:nvSpPr>
        <xdr:spPr>
          <a:xfrm>
            <a:off x="2286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77" name="$BK$117">
            <a:extLst>
              <a:ext uri="{FF2B5EF4-FFF2-40B4-BE49-F238E27FC236}">
                <a16:creationId xmlns:a16="http://schemas.microsoft.com/office/drawing/2014/main" id="{00000000-0008-0000-0C00-0000C17C4100}"/>
              </a:ext>
            </a:extLst>
          </xdr:cNvPr>
          <xdr:cNvSpPr/>
        </xdr:nvSpPr>
        <xdr:spPr>
          <a:xfrm>
            <a:off x="2413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78" name="$BK$117">
            <a:extLst>
              <a:ext uri="{FF2B5EF4-FFF2-40B4-BE49-F238E27FC236}">
                <a16:creationId xmlns:a16="http://schemas.microsoft.com/office/drawing/2014/main" id="{00000000-0008-0000-0C00-0000C27C4100}"/>
              </a:ext>
            </a:extLst>
          </xdr:cNvPr>
          <xdr:cNvSpPr/>
        </xdr:nvSpPr>
        <xdr:spPr>
          <a:xfrm>
            <a:off x="2794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79" name="$BK$117">
            <a:extLst>
              <a:ext uri="{FF2B5EF4-FFF2-40B4-BE49-F238E27FC236}">
                <a16:creationId xmlns:a16="http://schemas.microsoft.com/office/drawing/2014/main" id="{00000000-0008-0000-0C00-0000C37C4100}"/>
              </a:ext>
            </a:extLst>
          </xdr:cNvPr>
          <xdr:cNvSpPr/>
        </xdr:nvSpPr>
        <xdr:spPr>
          <a:xfrm>
            <a:off x="3302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80" name="$BK$117">
            <a:extLst>
              <a:ext uri="{FF2B5EF4-FFF2-40B4-BE49-F238E27FC236}">
                <a16:creationId xmlns:a16="http://schemas.microsoft.com/office/drawing/2014/main" id="{00000000-0008-0000-0C00-0000C47C4100}"/>
              </a:ext>
            </a:extLst>
          </xdr:cNvPr>
          <xdr:cNvSpPr/>
        </xdr:nvSpPr>
        <xdr:spPr>
          <a:xfrm>
            <a:off x="3429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81" name="$BK$117">
            <a:extLst>
              <a:ext uri="{FF2B5EF4-FFF2-40B4-BE49-F238E27FC236}">
                <a16:creationId xmlns:a16="http://schemas.microsoft.com/office/drawing/2014/main" id="{00000000-0008-0000-0C00-0000C57C4100}"/>
              </a:ext>
            </a:extLst>
          </xdr:cNvPr>
          <xdr:cNvSpPr/>
        </xdr:nvSpPr>
        <xdr:spPr>
          <a:xfrm>
            <a:off x="254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82" name="$BK$117">
            <a:extLst>
              <a:ext uri="{FF2B5EF4-FFF2-40B4-BE49-F238E27FC236}">
                <a16:creationId xmlns:a16="http://schemas.microsoft.com/office/drawing/2014/main" id="{00000000-0008-0000-0C00-0000C67C4100}"/>
              </a:ext>
            </a:extLst>
          </xdr:cNvPr>
          <xdr:cNvSpPr/>
        </xdr:nvSpPr>
        <xdr:spPr>
          <a:xfrm>
            <a:off x="381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83" name="$BK$117">
            <a:extLst>
              <a:ext uri="{FF2B5EF4-FFF2-40B4-BE49-F238E27FC236}">
                <a16:creationId xmlns:a16="http://schemas.microsoft.com/office/drawing/2014/main" id="{00000000-0008-0000-0C00-0000C77C4100}"/>
              </a:ext>
            </a:extLst>
          </xdr:cNvPr>
          <xdr:cNvSpPr/>
        </xdr:nvSpPr>
        <xdr:spPr>
          <a:xfrm>
            <a:off x="508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84" name="$BK$117">
            <a:extLst>
              <a:ext uri="{FF2B5EF4-FFF2-40B4-BE49-F238E27FC236}">
                <a16:creationId xmlns:a16="http://schemas.microsoft.com/office/drawing/2014/main" id="{00000000-0008-0000-0C00-0000C87C4100}"/>
              </a:ext>
            </a:extLst>
          </xdr:cNvPr>
          <xdr:cNvSpPr/>
        </xdr:nvSpPr>
        <xdr:spPr>
          <a:xfrm>
            <a:off x="635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85" name="$BK$117">
            <a:extLst>
              <a:ext uri="{FF2B5EF4-FFF2-40B4-BE49-F238E27FC236}">
                <a16:creationId xmlns:a16="http://schemas.microsoft.com/office/drawing/2014/main" id="{00000000-0008-0000-0C00-0000C97C4100}"/>
              </a:ext>
            </a:extLst>
          </xdr:cNvPr>
          <xdr:cNvSpPr/>
        </xdr:nvSpPr>
        <xdr:spPr>
          <a:xfrm>
            <a:off x="889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86" name="$BK$117">
            <a:extLst>
              <a:ext uri="{FF2B5EF4-FFF2-40B4-BE49-F238E27FC236}">
                <a16:creationId xmlns:a16="http://schemas.microsoft.com/office/drawing/2014/main" id="{00000000-0008-0000-0C00-0000CA7C4100}"/>
              </a:ext>
            </a:extLst>
          </xdr:cNvPr>
          <xdr:cNvSpPr/>
        </xdr:nvSpPr>
        <xdr:spPr>
          <a:xfrm>
            <a:off x="1016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87" name="$BK$117">
            <a:extLst>
              <a:ext uri="{FF2B5EF4-FFF2-40B4-BE49-F238E27FC236}">
                <a16:creationId xmlns:a16="http://schemas.microsoft.com/office/drawing/2014/main" id="{00000000-0008-0000-0C00-0000CB7C4100}"/>
              </a:ext>
            </a:extLst>
          </xdr:cNvPr>
          <xdr:cNvSpPr/>
        </xdr:nvSpPr>
        <xdr:spPr>
          <a:xfrm>
            <a:off x="1397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88" name="$BK$117">
            <a:extLst>
              <a:ext uri="{FF2B5EF4-FFF2-40B4-BE49-F238E27FC236}">
                <a16:creationId xmlns:a16="http://schemas.microsoft.com/office/drawing/2014/main" id="{00000000-0008-0000-0C00-0000CC7C4100}"/>
              </a:ext>
            </a:extLst>
          </xdr:cNvPr>
          <xdr:cNvSpPr/>
        </xdr:nvSpPr>
        <xdr:spPr>
          <a:xfrm>
            <a:off x="1524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89" name="$BK$117">
            <a:extLst>
              <a:ext uri="{FF2B5EF4-FFF2-40B4-BE49-F238E27FC236}">
                <a16:creationId xmlns:a16="http://schemas.microsoft.com/office/drawing/2014/main" id="{00000000-0008-0000-0C00-0000CD7C4100}"/>
              </a:ext>
            </a:extLst>
          </xdr:cNvPr>
          <xdr:cNvSpPr/>
        </xdr:nvSpPr>
        <xdr:spPr>
          <a:xfrm>
            <a:off x="1905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90" name="$BK$117">
            <a:extLst>
              <a:ext uri="{FF2B5EF4-FFF2-40B4-BE49-F238E27FC236}">
                <a16:creationId xmlns:a16="http://schemas.microsoft.com/office/drawing/2014/main" id="{00000000-0008-0000-0C00-0000CE7C4100}"/>
              </a:ext>
            </a:extLst>
          </xdr:cNvPr>
          <xdr:cNvSpPr/>
        </xdr:nvSpPr>
        <xdr:spPr>
          <a:xfrm>
            <a:off x="2286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91" name="$BK$117">
            <a:extLst>
              <a:ext uri="{FF2B5EF4-FFF2-40B4-BE49-F238E27FC236}">
                <a16:creationId xmlns:a16="http://schemas.microsoft.com/office/drawing/2014/main" id="{00000000-0008-0000-0C00-0000CF7C4100}"/>
              </a:ext>
            </a:extLst>
          </xdr:cNvPr>
          <xdr:cNvSpPr/>
        </xdr:nvSpPr>
        <xdr:spPr>
          <a:xfrm>
            <a:off x="2540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92" name="$BK$117">
            <a:extLst>
              <a:ext uri="{FF2B5EF4-FFF2-40B4-BE49-F238E27FC236}">
                <a16:creationId xmlns:a16="http://schemas.microsoft.com/office/drawing/2014/main" id="{00000000-0008-0000-0C00-0000D07C4100}"/>
              </a:ext>
            </a:extLst>
          </xdr:cNvPr>
          <xdr:cNvSpPr/>
        </xdr:nvSpPr>
        <xdr:spPr>
          <a:xfrm>
            <a:off x="2667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93" name="$BK$117">
            <a:extLst>
              <a:ext uri="{FF2B5EF4-FFF2-40B4-BE49-F238E27FC236}">
                <a16:creationId xmlns:a16="http://schemas.microsoft.com/office/drawing/2014/main" id="{00000000-0008-0000-0C00-0000D17C4100}"/>
              </a:ext>
            </a:extLst>
          </xdr:cNvPr>
          <xdr:cNvSpPr/>
        </xdr:nvSpPr>
        <xdr:spPr>
          <a:xfrm>
            <a:off x="3302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94" name="$BK$117">
            <a:extLst>
              <a:ext uri="{FF2B5EF4-FFF2-40B4-BE49-F238E27FC236}">
                <a16:creationId xmlns:a16="http://schemas.microsoft.com/office/drawing/2014/main" id="{00000000-0008-0000-0C00-0000D27C4100}"/>
              </a:ext>
            </a:extLst>
          </xdr:cNvPr>
          <xdr:cNvSpPr/>
        </xdr:nvSpPr>
        <xdr:spPr>
          <a:xfrm>
            <a:off x="3429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95" name="$BK$117">
            <a:extLst>
              <a:ext uri="{FF2B5EF4-FFF2-40B4-BE49-F238E27FC236}">
                <a16:creationId xmlns:a16="http://schemas.microsoft.com/office/drawing/2014/main" id="{00000000-0008-0000-0C00-0000D37C4100}"/>
              </a:ext>
            </a:extLst>
          </xdr:cNvPr>
          <xdr:cNvSpPr/>
        </xdr:nvSpPr>
        <xdr:spPr>
          <a:xfrm>
            <a:off x="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96" name="$BK$117">
            <a:extLst>
              <a:ext uri="{FF2B5EF4-FFF2-40B4-BE49-F238E27FC236}">
                <a16:creationId xmlns:a16="http://schemas.microsoft.com/office/drawing/2014/main" id="{00000000-0008-0000-0C00-0000D47C4100}"/>
              </a:ext>
            </a:extLst>
          </xdr:cNvPr>
          <xdr:cNvSpPr/>
        </xdr:nvSpPr>
        <xdr:spPr>
          <a:xfrm>
            <a:off x="127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97" name="$BK$117">
            <a:extLst>
              <a:ext uri="{FF2B5EF4-FFF2-40B4-BE49-F238E27FC236}">
                <a16:creationId xmlns:a16="http://schemas.microsoft.com/office/drawing/2014/main" id="{00000000-0008-0000-0C00-0000D57C4100}"/>
              </a:ext>
            </a:extLst>
          </xdr:cNvPr>
          <xdr:cNvSpPr/>
        </xdr:nvSpPr>
        <xdr:spPr>
          <a:xfrm>
            <a:off x="381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98" name="$BK$117">
            <a:extLst>
              <a:ext uri="{FF2B5EF4-FFF2-40B4-BE49-F238E27FC236}">
                <a16:creationId xmlns:a16="http://schemas.microsoft.com/office/drawing/2014/main" id="{00000000-0008-0000-0C00-0000D67C4100}"/>
              </a:ext>
            </a:extLst>
          </xdr:cNvPr>
          <xdr:cNvSpPr/>
        </xdr:nvSpPr>
        <xdr:spPr>
          <a:xfrm>
            <a:off x="508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99" name="$BK$117">
            <a:extLst>
              <a:ext uri="{FF2B5EF4-FFF2-40B4-BE49-F238E27FC236}">
                <a16:creationId xmlns:a16="http://schemas.microsoft.com/office/drawing/2014/main" id="{00000000-0008-0000-0C00-0000D77C4100}"/>
              </a:ext>
            </a:extLst>
          </xdr:cNvPr>
          <xdr:cNvSpPr/>
        </xdr:nvSpPr>
        <xdr:spPr>
          <a:xfrm>
            <a:off x="635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00" name="$BK$117">
            <a:extLst>
              <a:ext uri="{FF2B5EF4-FFF2-40B4-BE49-F238E27FC236}">
                <a16:creationId xmlns:a16="http://schemas.microsoft.com/office/drawing/2014/main" id="{00000000-0008-0000-0C00-0000D87C4100}"/>
              </a:ext>
            </a:extLst>
          </xdr:cNvPr>
          <xdr:cNvSpPr/>
        </xdr:nvSpPr>
        <xdr:spPr>
          <a:xfrm>
            <a:off x="762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01" name="$BK$117">
            <a:extLst>
              <a:ext uri="{FF2B5EF4-FFF2-40B4-BE49-F238E27FC236}">
                <a16:creationId xmlns:a16="http://schemas.microsoft.com/office/drawing/2014/main" id="{00000000-0008-0000-0C00-0000D97C4100}"/>
              </a:ext>
            </a:extLst>
          </xdr:cNvPr>
          <xdr:cNvSpPr/>
        </xdr:nvSpPr>
        <xdr:spPr>
          <a:xfrm>
            <a:off x="1397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02" name="$BK$117">
            <a:extLst>
              <a:ext uri="{FF2B5EF4-FFF2-40B4-BE49-F238E27FC236}">
                <a16:creationId xmlns:a16="http://schemas.microsoft.com/office/drawing/2014/main" id="{00000000-0008-0000-0C00-0000DA7C4100}"/>
              </a:ext>
            </a:extLst>
          </xdr:cNvPr>
          <xdr:cNvSpPr/>
        </xdr:nvSpPr>
        <xdr:spPr>
          <a:xfrm>
            <a:off x="1524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03" name="$BK$117">
            <a:extLst>
              <a:ext uri="{FF2B5EF4-FFF2-40B4-BE49-F238E27FC236}">
                <a16:creationId xmlns:a16="http://schemas.microsoft.com/office/drawing/2014/main" id="{00000000-0008-0000-0C00-0000DB7C4100}"/>
              </a:ext>
            </a:extLst>
          </xdr:cNvPr>
          <xdr:cNvSpPr/>
        </xdr:nvSpPr>
        <xdr:spPr>
          <a:xfrm>
            <a:off x="1651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04" name="$BK$117">
            <a:extLst>
              <a:ext uri="{FF2B5EF4-FFF2-40B4-BE49-F238E27FC236}">
                <a16:creationId xmlns:a16="http://schemas.microsoft.com/office/drawing/2014/main" id="{00000000-0008-0000-0C00-0000DC7C4100}"/>
              </a:ext>
            </a:extLst>
          </xdr:cNvPr>
          <xdr:cNvSpPr/>
        </xdr:nvSpPr>
        <xdr:spPr>
          <a:xfrm>
            <a:off x="2159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05" name="$BK$117">
            <a:extLst>
              <a:ext uri="{FF2B5EF4-FFF2-40B4-BE49-F238E27FC236}">
                <a16:creationId xmlns:a16="http://schemas.microsoft.com/office/drawing/2014/main" id="{00000000-0008-0000-0C00-0000DD7C4100}"/>
              </a:ext>
            </a:extLst>
          </xdr:cNvPr>
          <xdr:cNvSpPr/>
        </xdr:nvSpPr>
        <xdr:spPr>
          <a:xfrm>
            <a:off x="2667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06" name="$BK$117">
            <a:extLst>
              <a:ext uri="{FF2B5EF4-FFF2-40B4-BE49-F238E27FC236}">
                <a16:creationId xmlns:a16="http://schemas.microsoft.com/office/drawing/2014/main" id="{00000000-0008-0000-0C00-0000DE7C4100}"/>
              </a:ext>
            </a:extLst>
          </xdr:cNvPr>
          <xdr:cNvSpPr/>
        </xdr:nvSpPr>
        <xdr:spPr>
          <a:xfrm>
            <a:off x="2794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07" name="$BK$117">
            <a:extLst>
              <a:ext uri="{FF2B5EF4-FFF2-40B4-BE49-F238E27FC236}">
                <a16:creationId xmlns:a16="http://schemas.microsoft.com/office/drawing/2014/main" id="{00000000-0008-0000-0C00-0000DF7C4100}"/>
              </a:ext>
            </a:extLst>
          </xdr:cNvPr>
          <xdr:cNvSpPr/>
        </xdr:nvSpPr>
        <xdr:spPr>
          <a:xfrm>
            <a:off x="2921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08" name="$BK$117">
            <a:extLst>
              <a:ext uri="{FF2B5EF4-FFF2-40B4-BE49-F238E27FC236}">
                <a16:creationId xmlns:a16="http://schemas.microsoft.com/office/drawing/2014/main" id="{00000000-0008-0000-0C00-0000E07C4100}"/>
              </a:ext>
            </a:extLst>
          </xdr:cNvPr>
          <xdr:cNvSpPr/>
        </xdr:nvSpPr>
        <xdr:spPr>
          <a:xfrm>
            <a:off x="3175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09" name="$BK$117">
            <a:extLst>
              <a:ext uri="{FF2B5EF4-FFF2-40B4-BE49-F238E27FC236}">
                <a16:creationId xmlns:a16="http://schemas.microsoft.com/office/drawing/2014/main" id="{00000000-0008-0000-0C00-0000E17C4100}"/>
              </a:ext>
            </a:extLst>
          </xdr:cNvPr>
          <xdr:cNvSpPr/>
        </xdr:nvSpPr>
        <xdr:spPr>
          <a:xfrm>
            <a:off x="3429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10" name="$BK$117">
            <a:extLst>
              <a:ext uri="{FF2B5EF4-FFF2-40B4-BE49-F238E27FC236}">
                <a16:creationId xmlns:a16="http://schemas.microsoft.com/office/drawing/2014/main" id="{00000000-0008-0000-0C00-0000E27C4100}"/>
              </a:ext>
            </a:extLst>
          </xdr:cNvPr>
          <xdr:cNvSpPr/>
        </xdr:nvSpPr>
        <xdr:spPr>
          <a:xfrm>
            <a:off x="3556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11" name="$BK$117">
            <a:extLst>
              <a:ext uri="{FF2B5EF4-FFF2-40B4-BE49-F238E27FC236}">
                <a16:creationId xmlns:a16="http://schemas.microsoft.com/office/drawing/2014/main" id="{00000000-0008-0000-0C00-0000E37C4100}"/>
              </a:ext>
            </a:extLst>
          </xdr:cNvPr>
          <xdr:cNvSpPr/>
        </xdr:nvSpPr>
        <xdr:spPr>
          <a:xfrm>
            <a:off x="254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12" name="$BK$117">
            <a:extLst>
              <a:ext uri="{FF2B5EF4-FFF2-40B4-BE49-F238E27FC236}">
                <a16:creationId xmlns:a16="http://schemas.microsoft.com/office/drawing/2014/main" id="{00000000-0008-0000-0C00-0000E47C4100}"/>
              </a:ext>
            </a:extLst>
          </xdr:cNvPr>
          <xdr:cNvSpPr/>
        </xdr:nvSpPr>
        <xdr:spPr>
          <a:xfrm>
            <a:off x="635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13" name="$BK$117">
            <a:extLst>
              <a:ext uri="{FF2B5EF4-FFF2-40B4-BE49-F238E27FC236}">
                <a16:creationId xmlns:a16="http://schemas.microsoft.com/office/drawing/2014/main" id="{00000000-0008-0000-0C00-0000E57C4100}"/>
              </a:ext>
            </a:extLst>
          </xdr:cNvPr>
          <xdr:cNvSpPr/>
        </xdr:nvSpPr>
        <xdr:spPr>
          <a:xfrm>
            <a:off x="889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14" name="$BK$117">
            <a:extLst>
              <a:ext uri="{FF2B5EF4-FFF2-40B4-BE49-F238E27FC236}">
                <a16:creationId xmlns:a16="http://schemas.microsoft.com/office/drawing/2014/main" id="{00000000-0008-0000-0C00-0000E67C4100}"/>
              </a:ext>
            </a:extLst>
          </xdr:cNvPr>
          <xdr:cNvSpPr/>
        </xdr:nvSpPr>
        <xdr:spPr>
          <a:xfrm>
            <a:off x="1016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15" name="$BK$117">
            <a:extLst>
              <a:ext uri="{FF2B5EF4-FFF2-40B4-BE49-F238E27FC236}">
                <a16:creationId xmlns:a16="http://schemas.microsoft.com/office/drawing/2014/main" id="{00000000-0008-0000-0C00-0000E77C4100}"/>
              </a:ext>
            </a:extLst>
          </xdr:cNvPr>
          <xdr:cNvSpPr/>
        </xdr:nvSpPr>
        <xdr:spPr>
          <a:xfrm>
            <a:off x="1524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16" name="$BK$117">
            <a:extLst>
              <a:ext uri="{FF2B5EF4-FFF2-40B4-BE49-F238E27FC236}">
                <a16:creationId xmlns:a16="http://schemas.microsoft.com/office/drawing/2014/main" id="{00000000-0008-0000-0C00-0000E87C4100}"/>
              </a:ext>
            </a:extLst>
          </xdr:cNvPr>
          <xdr:cNvSpPr/>
        </xdr:nvSpPr>
        <xdr:spPr>
          <a:xfrm>
            <a:off x="1651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17" name="$BK$117">
            <a:extLst>
              <a:ext uri="{FF2B5EF4-FFF2-40B4-BE49-F238E27FC236}">
                <a16:creationId xmlns:a16="http://schemas.microsoft.com/office/drawing/2014/main" id="{00000000-0008-0000-0C00-0000E97C4100}"/>
              </a:ext>
            </a:extLst>
          </xdr:cNvPr>
          <xdr:cNvSpPr/>
        </xdr:nvSpPr>
        <xdr:spPr>
          <a:xfrm>
            <a:off x="1778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18" name="$BK$117">
            <a:extLst>
              <a:ext uri="{FF2B5EF4-FFF2-40B4-BE49-F238E27FC236}">
                <a16:creationId xmlns:a16="http://schemas.microsoft.com/office/drawing/2014/main" id="{00000000-0008-0000-0C00-0000EA7C4100}"/>
              </a:ext>
            </a:extLst>
          </xdr:cNvPr>
          <xdr:cNvSpPr/>
        </xdr:nvSpPr>
        <xdr:spPr>
          <a:xfrm>
            <a:off x="2032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19" name="$BK$117">
            <a:extLst>
              <a:ext uri="{FF2B5EF4-FFF2-40B4-BE49-F238E27FC236}">
                <a16:creationId xmlns:a16="http://schemas.microsoft.com/office/drawing/2014/main" id="{00000000-0008-0000-0C00-0000EB7C4100}"/>
              </a:ext>
            </a:extLst>
          </xdr:cNvPr>
          <xdr:cNvSpPr/>
        </xdr:nvSpPr>
        <xdr:spPr>
          <a:xfrm>
            <a:off x="2413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20" name="$BK$117">
            <a:extLst>
              <a:ext uri="{FF2B5EF4-FFF2-40B4-BE49-F238E27FC236}">
                <a16:creationId xmlns:a16="http://schemas.microsoft.com/office/drawing/2014/main" id="{00000000-0008-0000-0C00-0000EC7C4100}"/>
              </a:ext>
            </a:extLst>
          </xdr:cNvPr>
          <xdr:cNvSpPr/>
        </xdr:nvSpPr>
        <xdr:spPr>
          <a:xfrm>
            <a:off x="2540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21" name="$BK$117">
            <a:extLst>
              <a:ext uri="{FF2B5EF4-FFF2-40B4-BE49-F238E27FC236}">
                <a16:creationId xmlns:a16="http://schemas.microsoft.com/office/drawing/2014/main" id="{00000000-0008-0000-0C00-0000ED7C4100}"/>
              </a:ext>
            </a:extLst>
          </xdr:cNvPr>
          <xdr:cNvSpPr/>
        </xdr:nvSpPr>
        <xdr:spPr>
          <a:xfrm>
            <a:off x="2667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22" name="$BK$117">
            <a:extLst>
              <a:ext uri="{FF2B5EF4-FFF2-40B4-BE49-F238E27FC236}">
                <a16:creationId xmlns:a16="http://schemas.microsoft.com/office/drawing/2014/main" id="{00000000-0008-0000-0C00-0000EE7C4100}"/>
              </a:ext>
            </a:extLst>
          </xdr:cNvPr>
          <xdr:cNvSpPr/>
        </xdr:nvSpPr>
        <xdr:spPr>
          <a:xfrm>
            <a:off x="2794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23" name="$BK$117">
            <a:extLst>
              <a:ext uri="{FF2B5EF4-FFF2-40B4-BE49-F238E27FC236}">
                <a16:creationId xmlns:a16="http://schemas.microsoft.com/office/drawing/2014/main" id="{00000000-0008-0000-0C00-0000EF7C4100}"/>
              </a:ext>
            </a:extLst>
          </xdr:cNvPr>
          <xdr:cNvSpPr/>
        </xdr:nvSpPr>
        <xdr:spPr>
          <a:xfrm>
            <a:off x="3048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24" name="$BK$117">
            <a:extLst>
              <a:ext uri="{FF2B5EF4-FFF2-40B4-BE49-F238E27FC236}">
                <a16:creationId xmlns:a16="http://schemas.microsoft.com/office/drawing/2014/main" id="{00000000-0008-0000-0C00-0000F07C4100}"/>
              </a:ext>
            </a:extLst>
          </xdr:cNvPr>
          <xdr:cNvSpPr/>
        </xdr:nvSpPr>
        <xdr:spPr>
          <a:xfrm>
            <a:off x="3175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25" name="$BK$117">
            <a:extLst>
              <a:ext uri="{FF2B5EF4-FFF2-40B4-BE49-F238E27FC236}">
                <a16:creationId xmlns:a16="http://schemas.microsoft.com/office/drawing/2014/main" id="{00000000-0008-0000-0C00-0000F17C4100}"/>
              </a:ext>
            </a:extLst>
          </xdr:cNvPr>
          <xdr:cNvSpPr/>
        </xdr:nvSpPr>
        <xdr:spPr>
          <a:xfrm>
            <a:off x="3302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26" name="$BK$117">
            <a:extLst>
              <a:ext uri="{FF2B5EF4-FFF2-40B4-BE49-F238E27FC236}">
                <a16:creationId xmlns:a16="http://schemas.microsoft.com/office/drawing/2014/main" id="{00000000-0008-0000-0C00-0000F27C4100}"/>
              </a:ext>
            </a:extLst>
          </xdr:cNvPr>
          <xdr:cNvSpPr/>
        </xdr:nvSpPr>
        <xdr:spPr>
          <a:xfrm>
            <a:off x="3429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27" name="$BK$117">
            <a:extLst>
              <a:ext uri="{FF2B5EF4-FFF2-40B4-BE49-F238E27FC236}">
                <a16:creationId xmlns:a16="http://schemas.microsoft.com/office/drawing/2014/main" id="{00000000-0008-0000-0C00-0000F37C4100}"/>
              </a:ext>
            </a:extLst>
          </xdr:cNvPr>
          <xdr:cNvSpPr/>
        </xdr:nvSpPr>
        <xdr:spPr>
          <a:xfrm>
            <a:off x="3556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28" name="$BK$117">
            <a:extLst>
              <a:ext uri="{FF2B5EF4-FFF2-40B4-BE49-F238E27FC236}">
                <a16:creationId xmlns:a16="http://schemas.microsoft.com/office/drawing/2014/main" id="{00000000-0008-0000-0C00-0000F47C4100}"/>
              </a:ext>
            </a:extLst>
          </xdr:cNvPr>
          <xdr:cNvSpPr/>
        </xdr:nvSpPr>
        <xdr:spPr>
          <a:xfrm>
            <a:off x="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29" name="$BK$117">
            <a:extLst>
              <a:ext uri="{FF2B5EF4-FFF2-40B4-BE49-F238E27FC236}">
                <a16:creationId xmlns:a16="http://schemas.microsoft.com/office/drawing/2014/main" id="{00000000-0008-0000-0C00-0000F57C4100}"/>
              </a:ext>
            </a:extLst>
          </xdr:cNvPr>
          <xdr:cNvSpPr/>
        </xdr:nvSpPr>
        <xdr:spPr>
          <a:xfrm>
            <a:off x="254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30" name="$BK$117">
            <a:extLst>
              <a:ext uri="{FF2B5EF4-FFF2-40B4-BE49-F238E27FC236}">
                <a16:creationId xmlns:a16="http://schemas.microsoft.com/office/drawing/2014/main" id="{00000000-0008-0000-0C00-0000F67C4100}"/>
              </a:ext>
            </a:extLst>
          </xdr:cNvPr>
          <xdr:cNvSpPr/>
        </xdr:nvSpPr>
        <xdr:spPr>
          <a:xfrm>
            <a:off x="381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31" name="$BK$117">
            <a:extLst>
              <a:ext uri="{FF2B5EF4-FFF2-40B4-BE49-F238E27FC236}">
                <a16:creationId xmlns:a16="http://schemas.microsoft.com/office/drawing/2014/main" id="{00000000-0008-0000-0C00-0000F77C4100}"/>
              </a:ext>
            </a:extLst>
          </xdr:cNvPr>
          <xdr:cNvSpPr/>
        </xdr:nvSpPr>
        <xdr:spPr>
          <a:xfrm>
            <a:off x="762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32" name="$BK$117">
            <a:extLst>
              <a:ext uri="{FF2B5EF4-FFF2-40B4-BE49-F238E27FC236}">
                <a16:creationId xmlns:a16="http://schemas.microsoft.com/office/drawing/2014/main" id="{00000000-0008-0000-0C00-0000F87C4100}"/>
              </a:ext>
            </a:extLst>
          </xdr:cNvPr>
          <xdr:cNvSpPr/>
        </xdr:nvSpPr>
        <xdr:spPr>
          <a:xfrm>
            <a:off x="1143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33" name="$BK$117">
            <a:extLst>
              <a:ext uri="{FF2B5EF4-FFF2-40B4-BE49-F238E27FC236}">
                <a16:creationId xmlns:a16="http://schemas.microsoft.com/office/drawing/2014/main" id="{00000000-0008-0000-0C00-0000F97C4100}"/>
              </a:ext>
            </a:extLst>
          </xdr:cNvPr>
          <xdr:cNvSpPr/>
        </xdr:nvSpPr>
        <xdr:spPr>
          <a:xfrm>
            <a:off x="1397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34" name="$BK$117">
            <a:extLst>
              <a:ext uri="{FF2B5EF4-FFF2-40B4-BE49-F238E27FC236}">
                <a16:creationId xmlns:a16="http://schemas.microsoft.com/office/drawing/2014/main" id="{00000000-0008-0000-0C00-0000FA7C4100}"/>
              </a:ext>
            </a:extLst>
          </xdr:cNvPr>
          <xdr:cNvSpPr/>
        </xdr:nvSpPr>
        <xdr:spPr>
          <a:xfrm>
            <a:off x="1778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35" name="$BK$117">
            <a:extLst>
              <a:ext uri="{FF2B5EF4-FFF2-40B4-BE49-F238E27FC236}">
                <a16:creationId xmlns:a16="http://schemas.microsoft.com/office/drawing/2014/main" id="{00000000-0008-0000-0C00-0000FB7C4100}"/>
              </a:ext>
            </a:extLst>
          </xdr:cNvPr>
          <xdr:cNvSpPr/>
        </xdr:nvSpPr>
        <xdr:spPr>
          <a:xfrm>
            <a:off x="1905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36" name="$BK$117">
            <a:extLst>
              <a:ext uri="{FF2B5EF4-FFF2-40B4-BE49-F238E27FC236}">
                <a16:creationId xmlns:a16="http://schemas.microsoft.com/office/drawing/2014/main" id="{00000000-0008-0000-0C00-0000FC7C4100}"/>
              </a:ext>
            </a:extLst>
          </xdr:cNvPr>
          <xdr:cNvSpPr/>
        </xdr:nvSpPr>
        <xdr:spPr>
          <a:xfrm>
            <a:off x="2286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37" name="$BK$117">
            <a:extLst>
              <a:ext uri="{FF2B5EF4-FFF2-40B4-BE49-F238E27FC236}">
                <a16:creationId xmlns:a16="http://schemas.microsoft.com/office/drawing/2014/main" id="{00000000-0008-0000-0C00-0000FD7C4100}"/>
              </a:ext>
            </a:extLst>
          </xdr:cNvPr>
          <xdr:cNvSpPr/>
        </xdr:nvSpPr>
        <xdr:spPr>
          <a:xfrm>
            <a:off x="2413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38" name="$BK$117">
            <a:extLst>
              <a:ext uri="{FF2B5EF4-FFF2-40B4-BE49-F238E27FC236}">
                <a16:creationId xmlns:a16="http://schemas.microsoft.com/office/drawing/2014/main" id="{00000000-0008-0000-0C00-0000FE7C4100}"/>
              </a:ext>
            </a:extLst>
          </xdr:cNvPr>
          <xdr:cNvSpPr/>
        </xdr:nvSpPr>
        <xdr:spPr>
          <a:xfrm>
            <a:off x="2794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39" name="$BK$117">
            <a:extLst>
              <a:ext uri="{FF2B5EF4-FFF2-40B4-BE49-F238E27FC236}">
                <a16:creationId xmlns:a16="http://schemas.microsoft.com/office/drawing/2014/main" id="{00000000-0008-0000-0C00-0000FF7C4100}"/>
              </a:ext>
            </a:extLst>
          </xdr:cNvPr>
          <xdr:cNvSpPr/>
        </xdr:nvSpPr>
        <xdr:spPr>
          <a:xfrm>
            <a:off x="3175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40" name="$BK$117">
            <a:extLst>
              <a:ext uri="{FF2B5EF4-FFF2-40B4-BE49-F238E27FC236}">
                <a16:creationId xmlns:a16="http://schemas.microsoft.com/office/drawing/2014/main" id="{00000000-0008-0000-0C00-0000007D4100}"/>
              </a:ext>
            </a:extLst>
          </xdr:cNvPr>
          <xdr:cNvSpPr/>
        </xdr:nvSpPr>
        <xdr:spPr>
          <a:xfrm>
            <a:off x="3302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41" name="$BK$117">
            <a:extLst>
              <a:ext uri="{FF2B5EF4-FFF2-40B4-BE49-F238E27FC236}">
                <a16:creationId xmlns:a16="http://schemas.microsoft.com/office/drawing/2014/main" id="{00000000-0008-0000-0C00-0000017D4100}"/>
              </a:ext>
            </a:extLst>
          </xdr:cNvPr>
          <xdr:cNvSpPr/>
        </xdr:nvSpPr>
        <xdr:spPr>
          <a:xfrm>
            <a:off x="3556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42" name="$BK$117">
            <a:extLst>
              <a:ext uri="{FF2B5EF4-FFF2-40B4-BE49-F238E27FC236}">
                <a16:creationId xmlns:a16="http://schemas.microsoft.com/office/drawing/2014/main" id="{00000000-0008-0000-0C00-0000027D4100}"/>
              </a:ext>
            </a:extLst>
          </xdr:cNvPr>
          <xdr:cNvSpPr/>
        </xdr:nvSpPr>
        <xdr:spPr>
          <a:xfrm>
            <a:off x="254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43" name="$BK$117">
            <a:extLst>
              <a:ext uri="{FF2B5EF4-FFF2-40B4-BE49-F238E27FC236}">
                <a16:creationId xmlns:a16="http://schemas.microsoft.com/office/drawing/2014/main" id="{00000000-0008-0000-0C00-0000037D4100}"/>
              </a:ext>
            </a:extLst>
          </xdr:cNvPr>
          <xdr:cNvSpPr/>
        </xdr:nvSpPr>
        <xdr:spPr>
          <a:xfrm>
            <a:off x="381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44" name="$BK$117">
            <a:extLst>
              <a:ext uri="{FF2B5EF4-FFF2-40B4-BE49-F238E27FC236}">
                <a16:creationId xmlns:a16="http://schemas.microsoft.com/office/drawing/2014/main" id="{00000000-0008-0000-0C00-0000047D4100}"/>
              </a:ext>
            </a:extLst>
          </xdr:cNvPr>
          <xdr:cNvSpPr/>
        </xdr:nvSpPr>
        <xdr:spPr>
          <a:xfrm>
            <a:off x="889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45" name="$BK$117">
            <a:extLst>
              <a:ext uri="{FF2B5EF4-FFF2-40B4-BE49-F238E27FC236}">
                <a16:creationId xmlns:a16="http://schemas.microsoft.com/office/drawing/2014/main" id="{00000000-0008-0000-0C00-0000057D4100}"/>
              </a:ext>
            </a:extLst>
          </xdr:cNvPr>
          <xdr:cNvSpPr/>
        </xdr:nvSpPr>
        <xdr:spPr>
          <a:xfrm>
            <a:off x="1016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46" name="$BK$117">
            <a:extLst>
              <a:ext uri="{FF2B5EF4-FFF2-40B4-BE49-F238E27FC236}">
                <a16:creationId xmlns:a16="http://schemas.microsoft.com/office/drawing/2014/main" id="{00000000-0008-0000-0C00-0000067D4100}"/>
              </a:ext>
            </a:extLst>
          </xdr:cNvPr>
          <xdr:cNvSpPr/>
        </xdr:nvSpPr>
        <xdr:spPr>
          <a:xfrm>
            <a:off x="1397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47" name="$BK$117">
            <a:extLst>
              <a:ext uri="{FF2B5EF4-FFF2-40B4-BE49-F238E27FC236}">
                <a16:creationId xmlns:a16="http://schemas.microsoft.com/office/drawing/2014/main" id="{00000000-0008-0000-0C00-0000077D4100}"/>
              </a:ext>
            </a:extLst>
          </xdr:cNvPr>
          <xdr:cNvSpPr/>
        </xdr:nvSpPr>
        <xdr:spPr>
          <a:xfrm>
            <a:off x="1778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48" name="$BK$117">
            <a:extLst>
              <a:ext uri="{FF2B5EF4-FFF2-40B4-BE49-F238E27FC236}">
                <a16:creationId xmlns:a16="http://schemas.microsoft.com/office/drawing/2014/main" id="{00000000-0008-0000-0C00-0000087D4100}"/>
              </a:ext>
            </a:extLst>
          </xdr:cNvPr>
          <xdr:cNvSpPr/>
        </xdr:nvSpPr>
        <xdr:spPr>
          <a:xfrm>
            <a:off x="1905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49" name="$BK$117">
            <a:extLst>
              <a:ext uri="{FF2B5EF4-FFF2-40B4-BE49-F238E27FC236}">
                <a16:creationId xmlns:a16="http://schemas.microsoft.com/office/drawing/2014/main" id="{00000000-0008-0000-0C00-0000097D4100}"/>
              </a:ext>
            </a:extLst>
          </xdr:cNvPr>
          <xdr:cNvSpPr/>
        </xdr:nvSpPr>
        <xdr:spPr>
          <a:xfrm>
            <a:off x="2032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50" name="$BK$117">
            <a:extLst>
              <a:ext uri="{FF2B5EF4-FFF2-40B4-BE49-F238E27FC236}">
                <a16:creationId xmlns:a16="http://schemas.microsoft.com/office/drawing/2014/main" id="{00000000-0008-0000-0C00-00000A7D4100}"/>
              </a:ext>
            </a:extLst>
          </xdr:cNvPr>
          <xdr:cNvSpPr/>
        </xdr:nvSpPr>
        <xdr:spPr>
          <a:xfrm>
            <a:off x="2286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51" name="$BK$117">
            <a:extLst>
              <a:ext uri="{FF2B5EF4-FFF2-40B4-BE49-F238E27FC236}">
                <a16:creationId xmlns:a16="http://schemas.microsoft.com/office/drawing/2014/main" id="{00000000-0008-0000-0C00-00000B7D4100}"/>
              </a:ext>
            </a:extLst>
          </xdr:cNvPr>
          <xdr:cNvSpPr/>
        </xdr:nvSpPr>
        <xdr:spPr>
          <a:xfrm>
            <a:off x="2794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52" name="$BK$117">
            <a:extLst>
              <a:ext uri="{FF2B5EF4-FFF2-40B4-BE49-F238E27FC236}">
                <a16:creationId xmlns:a16="http://schemas.microsoft.com/office/drawing/2014/main" id="{00000000-0008-0000-0C00-00000C7D4100}"/>
              </a:ext>
            </a:extLst>
          </xdr:cNvPr>
          <xdr:cNvSpPr/>
        </xdr:nvSpPr>
        <xdr:spPr>
          <a:xfrm>
            <a:off x="3048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53" name="$BK$117">
            <a:extLst>
              <a:ext uri="{FF2B5EF4-FFF2-40B4-BE49-F238E27FC236}">
                <a16:creationId xmlns:a16="http://schemas.microsoft.com/office/drawing/2014/main" id="{00000000-0008-0000-0C00-00000D7D4100}"/>
              </a:ext>
            </a:extLst>
          </xdr:cNvPr>
          <xdr:cNvSpPr/>
        </xdr:nvSpPr>
        <xdr:spPr>
          <a:xfrm>
            <a:off x="3302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54" name="$BK$117">
            <a:extLst>
              <a:ext uri="{FF2B5EF4-FFF2-40B4-BE49-F238E27FC236}">
                <a16:creationId xmlns:a16="http://schemas.microsoft.com/office/drawing/2014/main" id="{00000000-0008-0000-0C00-00000E7D4100}"/>
              </a:ext>
            </a:extLst>
          </xdr:cNvPr>
          <xdr:cNvSpPr/>
        </xdr:nvSpPr>
        <xdr:spPr>
          <a:xfrm>
            <a:off x="3429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55" name="$BK$117">
            <a:extLst>
              <a:ext uri="{FF2B5EF4-FFF2-40B4-BE49-F238E27FC236}">
                <a16:creationId xmlns:a16="http://schemas.microsoft.com/office/drawing/2014/main" id="{00000000-0008-0000-0C00-00000F7D4100}"/>
              </a:ext>
            </a:extLst>
          </xdr:cNvPr>
          <xdr:cNvSpPr/>
        </xdr:nvSpPr>
        <xdr:spPr>
          <a:xfrm>
            <a:off x="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56" name="$BK$117">
            <a:extLst>
              <a:ext uri="{FF2B5EF4-FFF2-40B4-BE49-F238E27FC236}">
                <a16:creationId xmlns:a16="http://schemas.microsoft.com/office/drawing/2014/main" id="{00000000-0008-0000-0C00-0000107D4100}"/>
              </a:ext>
            </a:extLst>
          </xdr:cNvPr>
          <xdr:cNvSpPr/>
        </xdr:nvSpPr>
        <xdr:spPr>
          <a:xfrm>
            <a:off x="381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57" name="$BK$117">
            <a:extLst>
              <a:ext uri="{FF2B5EF4-FFF2-40B4-BE49-F238E27FC236}">
                <a16:creationId xmlns:a16="http://schemas.microsoft.com/office/drawing/2014/main" id="{00000000-0008-0000-0C00-0000117D4100}"/>
              </a:ext>
            </a:extLst>
          </xdr:cNvPr>
          <xdr:cNvSpPr/>
        </xdr:nvSpPr>
        <xdr:spPr>
          <a:xfrm>
            <a:off x="508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58" name="$BK$117">
            <a:extLst>
              <a:ext uri="{FF2B5EF4-FFF2-40B4-BE49-F238E27FC236}">
                <a16:creationId xmlns:a16="http://schemas.microsoft.com/office/drawing/2014/main" id="{00000000-0008-0000-0C00-0000127D4100}"/>
              </a:ext>
            </a:extLst>
          </xdr:cNvPr>
          <xdr:cNvSpPr/>
        </xdr:nvSpPr>
        <xdr:spPr>
          <a:xfrm>
            <a:off x="762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59" name="$BK$117">
            <a:extLst>
              <a:ext uri="{FF2B5EF4-FFF2-40B4-BE49-F238E27FC236}">
                <a16:creationId xmlns:a16="http://schemas.microsoft.com/office/drawing/2014/main" id="{00000000-0008-0000-0C00-0000137D4100}"/>
              </a:ext>
            </a:extLst>
          </xdr:cNvPr>
          <xdr:cNvSpPr/>
        </xdr:nvSpPr>
        <xdr:spPr>
          <a:xfrm>
            <a:off x="2159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60" name="$BK$117">
            <a:extLst>
              <a:ext uri="{FF2B5EF4-FFF2-40B4-BE49-F238E27FC236}">
                <a16:creationId xmlns:a16="http://schemas.microsoft.com/office/drawing/2014/main" id="{00000000-0008-0000-0C00-0000147D4100}"/>
              </a:ext>
            </a:extLst>
          </xdr:cNvPr>
          <xdr:cNvSpPr/>
        </xdr:nvSpPr>
        <xdr:spPr>
          <a:xfrm>
            <a:off x="2286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61" name="$BK$117">
            <a:extLst>
              <a:ext uri="{FF2B5EF4-FFF2-40B4-BE49-F238E27FC236}">
                <a16:creationId xmlns:a16="http://schemas.microsoft.com/office/drawing/2014/main" id="{00000000-0008-0000-0C00-0000157D4100}"/>
              </a:ext>
            </a:extLst>
          </xdr:cNvPr>
          <xdr:cNvSpPr/>
        </xdr:nvSpPr>
        <xdr:spPr>
          <a:xfrm>
            <a:off x="2540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62" name="$BK$117">
            <a:extLst>
              <a:ext uri="{FF2B5EF4-FFF2-40B4-BE49-F238E27FC236}">
                <a16:creationId xmlns:a16="http://schemas.microsoft.com/office/drawing/2014/main" id="{00000000-0008-0000-0C00-0000167D4100}"/>
              </a:ext>
            </a:extLst>
          </xdr:cNvPr>
          <xdr:cNvSpPr/>
        </xdr:nvSpPr>
        <xdr:spPr>
          <a:xfrm>
            <a:off x="2667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63" name="$BK$117">
            <a:extLst>
              <a:ext uri="{FF2B5EF4-FFF2-40B4-BE49-F238E27FC236}">
                <a16:creationId xmlns:a16="http://schemas.microsoft.com/office/drawing/2014/main" id="{00000000-0008-0000-0C00-0000177D4100}"/>
              </a:ext>
            </a:extLst>
          </xdr:cNvPr>
          <xdr:cNvSpPr/>
        </xdr:nvSpPr>
        <xdr:spPr>
          <a:xfrm>
            <a:off x="2794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64" name="$BK$117">
            <a:extLst>
              <a:ext uri="{FF2B5EF4-FFF2-40B4-BE49-F238E27FC236}">
                <a16:creationId xmlns:a16="http://schemas.microsoft.com/office/drawing/2014/main" id="{00000000-0008-0000-0C00-0000187D4100}"/>
              </a:ext>
            </a:extLst>
          </xdr:cNvPr>
          <xdr:cNvSpPr/>
        </xdr:nvSpPr>
        <xdr:spPr>
          <a:xfrm>
            <a:off x="2921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65" name="$BK$117">
            <a:extLst>
              <a:ext uri="{FF2B5EF4-FFF2-40B4-BE49-F238E27FC236}">
                <a16:creationId xmlns:a16="http://schemas.microsoft.com/office/drawing/2014/main" id="{00000000-0008-0000-0C00-0000197D4100}"/>
              </a:ext>
            </a:extLst>
          </xdr:cNvPr>
          <xdr:cNvSpPr/>
        </xdr:nvSpPr>
        <xdr:spPr>
          <a:xfrm>
            <a:off x="3048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66" name="$BK$117">
            <a:extLst>
              <a:ext uri="{FF2B5EF4-FFF2-40B4-BE49-F238E27FC236}">
                <a16:creationId xmlns:a16="http://schemas.microsoft.com/office/drawing/2014/main" id="{00000000-0008-0000-0C00-00001A7D4100}"/>
              </a:ext>
            </a:extLst>
          </xdr:cNvPr>
          <xdr:cNvSpPr/>
        </xdr:nvSpPr>
        <xdr:spPr>
          <a:xfrm>
            <a:off x="3175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67" name="$BK$117">
            <a:extLst>
              <a:ext uri="{FF2B5EF4-FFF2-40B4-BE49-F238E27FC236}">
                <a16:creationId xmlns:a16="http://schemas.microsoft.com/office/drawing/2014/main" id="{00000000-0008-0000-0C00-00001B7D4100}"/>
              </a:ext>
            </a:extLst>
          </xdr:cNvPr>
          <xdr:cNvSpPr/>
        </xdr:nvSpPr>
        <xdr:spPr>
          <a:xfrm>
            <a:off x="1016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68" name="$BK$117">
            <a:extLst>
              <a:ext uri="{FF2B5EF4-FFF2-40B4-BE49-F238E27FC236}">
                <a16:creationId xmlns:a16="http://schemas.microsoft.com/office/drawing/2014/main" id="{00000000-0008-0000-0C00-00001C7D4100}"/>
              </a:ext>
            </a:extLst>
          </xdr:cNvPr>
          <xdr:cNvSpPr/>
        </xdr:nvSpPr>
        <xdr:spPr>
          <a:xfrm>
            <a:off x="1143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69" name="$BK$117">
            <a:extLst>
              <a:ext uri="{FF2B5EF4-FFF2-40B4-BE49-F238E27FC236}">
                <a16:creationId xmlns:a16="http://schemas.microsoft.com/office/drawing/2014/main" id="{00000000-0008-0000-0C00-00001D7D4100}"/>
              </a:ext>
            </a:extLst>
          </xdr:cNvPr>
          <xdr:cNvSpPr/>
        </xdr:nvSpPr>
        <xdr:spPr>
          <a:xfrm>
            <a:off x="1778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70" name="$BK$117">
            <a:extLst>
              <a:ext uri="{FF2B5EF4-FFF2-40B4-BE49-F238E27FC236}">
                <a16:creationId xmlns:a16="http://schemas.microsoft.com/office/drawing/2014/main" id="{00000000-0008-0000-0C00-00001E7D4100}"/>
              </a:ext>
            </a:extLst>
          </xdr:cNvPr>
          <xdr:cNvSpPr/>
        </xdr:nvSpPr>
        <xdr:spPr>
          <a:xfrm>
            <a:off x="1905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71" name="$BK$117">
            <a:extLst>
              <a:ext uri="{FF2B5EF4-FFF2-40B4-BE49-F238E27FC236}">
                <a16:creationId xmlns:a16="http://schemas.microsoft.com/office/drawing/2014/main" id="{00000000-0008-0000-0C00-00001F7D4100}"/>
              </a:ext>
            </a:extLst>
          </xdr:cNvPr>
          <xdr:cNvSpPr/>
        </xdr:nvSpPr>
        <xdr:spPr>
          <a:xfrm>
            <a:off x="2286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72" name="$BK$117">
            <a:extLst>
              <a:ext uri="{FF2B5EF4-FFF2-40B4-BE49-F238E27FC236}">
                <a16:creationId xmlns:a16="http://schemas.microsoft.com/office/drawing/2014/main" id="{00000000-0008-0000-0C00-0000207D4100}"/>
              </a:ext>
            </a:extLst>
          </xdr:cNvPr>
          <xdr:cNvSpPr/>
        </xdr:nvSpPr>
        <xdr:spPr>
          <a:xfrm>
            <a:off x="2413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73" name="$BK$117">
            <a:extLst>
              <a:ext uri="{FF2B5EF4-FFF2-40B4-BE49-F238E27FC236}">
                <a16:creationId xmlns:a16="http://schemas.microsoft.com/office/drawing/2014/main" id="{00000000-0008-0000-0C00-0000217D4100}"/>
              </a:ext>
            </a:extLst>
          </xdr:cNvPr>
          <xdr:cNvSpPr/>
        </xdr:nvSpPr>
        <xdr:spPr>
          <a:xfrm>
            <a:off x="2540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74" name="$BK$117">
            <a:extLst>
              <a:ext uri="{FF2B5EF4-FFF2-40B4-BE49-F238E27FC236}">
                <a16:creationId xmlns:a16="http://schemas.microsoft.com/office/drawing/2014/main" id="{00000000-0008-0000-0C00-0000227D4100}"/>
              </a:ext>
            </a:extLst>
          </xdr:cNvPr>
          <xdr:cNvSpPr/>
        </xdr:nvSpPr>
        <xdr:spPr>
          <a:xfrm>
            <a:off x="3048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75" name="$BK$117">
            <a:extLst>
              <a:ext uri="{FF2B5EF4-FFF2-40B4-BE49-F238E27FC236}">
                <a16:creationId xmlns:a16="http://schemas.microsoft.com/office/drawing/2014/main" id="{00000000-0008-0000-0C00-0000237D4100}"/>
              </a:ext>
            </a:extLst>
          </xdr:cNvPr>
          <xdr:cNvSpPr/>
        </xdr:nvSpPr>
        <xdr:spPr>
          <a:xfrm>
            <a:off x="3302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76" name="$BK$117">
            <a:extLst>
              <a:ext uri="{FF2B5EF4-FFF2-40B4-BE49-F238E27FC236}">
                <a16:creationId xmlns:a16="http://schemas.microsoft.com/office/drawing/2014/main" id="{00000000-0008-0000-0C00-0000247D4100}"/>
              </a:ext>
            </a:extLst>
          </xdr:cNvPr>
          <xdr:cNvSpPr/>
        </xdr:nvSpPr>
        <xdr:spPr>
          <a:xfrm>
            <a:off x="3556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77" name="$BK$117">
            <a:extLst>
              <a:ext uri="{FF2B5EF4-FFF2-40B4-BE49-F238E27FC236}">
                <a16:creationId xmlns:a16="http://schemas.microsoft.com/office/drawing/2014/main" id="{00000000-0008-0000-0C00-0000257D4100}"/>
              </a:ext>
            </a:extLst>
          </xdr:cNvPr>
          <xdr:cNvSpPr/>
        </xdr:nvSpPr>
        <xdr:spPr>
          <a:xfrm>
            <a:off x="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78" name="$BK$117">
            <a:extLst>
              <a:ext uri="{FF2B5EF4-FFF2-40B4-BE49-F238E27FC236}">
                <a16:creationId xmlns:a16="http://schemas.microsoft.com/office/drawing/2014/main" id="{00000000-0008-0000-0C00-0000267D4100}"/>
              </a:ext>
            </a:extLst>
          </xdr:cNvPr>
          <xdr:cNvSpPr/>
        </xdr:nvSpPr>
        <xdr:spPr>
          <a:xfrm>
            <a:off x="127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79" name="$BK$117">
            <a:extLst>
              <a:ext uri="{FF2B5EF4-FFF2-40B4-BE49-F238E27FC236}">
                <a16:creationId xmlns:a16="http://schemas.microsoft.com/office/drawing/2014/main" id="{00000000-0008-0000-0C00-0000277D4100}"/>
              </a:ext>
            </a:extLst>
          </xdr:cNvPr>
          <xdr:cNvSpPr/>
        </xdr:nvSpPr>
        <xdr:spPr>
          <a:xfrm>
            <a:off x="254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80" name="$BK$117">
            <a:extLst>
              <a:ext uri="{FF2B5EF4-FFF2-40B4-BE49-F238E27FC236}">
                <a16:creationId xmlns:a16="http://schemas.microsoft.com/office/drawing/2014/main" id="{00000000-0008-0000-0C00-0000287D4100}"/>
              </a:ext>
            </a:extLst>
          </xdr:cNvPr>
          <xdr:cNvSpPr/>
        </xdr:nvSpPr>
        <xdr:spPr>
          <a:xfrm>
            <a:off x="381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81" name="$BK$117">
            <a:extLst>
              <a:ext uri="{FF2B5EF4-FFF2-40B4-BE49-F238E27FC236}">
                <a16:creationId xmlns:a16="http://schemas.microsoft.com/office/drawing/2014/main" id="{00000000-0008-0000-0C00-0000297D4100}"/>
              </a:ext>
            </a:extLst>
          </xdr:cNvPr>
          <xdr:cNvSpPr/>
        </xdr:nvSpPr>
        <xdr:spPr>
          <a:xfrm>
            <a:off x="508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82" name="$BK$117">
            <a:extLst>
              <a:ext uri="{FF2B5EF4-FFF2-40B4-BE49-F238E27FC236}">
                <a16:creationId xmlns:a16="http://schemas.microsoft.com/office/drawing/2014/main" id="{00000000-0008-0000-0C00-00002A7D4100}"/>
              </a:ext>
            </a:extLst>
          </xdr:cNvPr>
          <xdr:cNvSpPr/>
        </xdr:nvSpPr>
        <xdr:spPr>
          <a:xfrm>
            <a:off x="635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83" name="$BK$117">
            <a:extLst>
              <a:ext uri="{FF2B5EF4-FFF2-40B4-BE49-F238E27FC236}">
                <a16:creationId xmlns:a16="http://schemas.microsoft.com/office/drawing/2014/main" id="{00000000-0008-0000-0C00-00002B7D4100}"/>
              </a:ext>
            </a:extLst>
          </xdr:cNvPr>
          <xdr:cNvSpPr/>
        </xdr:nvSpPr>
        <xdr:spPr>
          <a:xfrm>
            <a:off x="762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84" name="$BK$117">
            <a:extLst>
              <a:ext uri="{FF2B5EF4-FFF2-40B4-BE49-F238E27FC236}">
                <a16:creationId xmlns:a16="http://schemas.microsoft.com/office/drawing/2014/main" id="{00000000-0008-0000-0C00-00002C7D4100}"/>
              </a:ext>
            </a:extLst>
          </xdr:cNvPr>
          <xdr:cNvSpPr/>
        </xdr:nvSpPr>
        <xdr:spPr>
          <a:xfrm>
            <a:off x="1270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85" name="$BK$117">
            <a:extLst>
              <a:ext uri="{FF2B5EF4-FFF2-40B4-BE49-F238E27FC236}">
                <a16:creationId xmlns:a16="http://schemas.microsoft.com/office/drawing/2014/main" id="{00000000-0008-0000-0C00-00002D7D4100}"/>
              </a:ext>
            </a:extLst>
          </xdr:cNvPr>
          <xdr:cNvSpPr/>
        </xdr:nvSpPr>
        <xdr:spPr>
          <a:xfrm>
            <a:off x="1524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86" name="$BK$117">
            <a:extLst>
              <a:ext uri="{FF2B5EF4-FFF2-40B4-BE49-F238E27FC236}">
                <a16:creationId xmlns:a16="http://schemas.microsoft.com/office/drawing/2014/main" id="{00000000-0008-0000-0C00-00002E7D4100}"/>
              </a:ext>
            </a:extLst>
          </xdr:cNvPr>
          <xdr:cNvSpPr/>
        </xdr:nvSpPr>
        <xdr:spPr>
          <a:xfrm>
            <a:off x="1905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87" name="$BK$117">
            <a:extLst>
              <a:ext uri="{FF2B5EF4-FFF2-40B4-BE49-F238E27FC236}">
                <a16:creationId xmlns:a16="http://schemas.microsoft.com/office/drawing/2014/main" id="{00000000-0008-0000-0C00-00002F7D4100}"/>
              </a:ext>
            </a:extLst>
          </xdr:cNvPr>
          <xdr:cNvSpPr/>
        </xdr:nvSpPr>
        <xdr:spPr>
          <a:xfrm>
            <a:off x="2159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88" name="$BK$117">
            <a:extLst>
              <a:ext uri="{FF2B5EF4-FFF2-40B4-BE49-F238E27FC236}">
                <a16:creationId xmlns:a16="http://schemas.microsoft.com/office/drawing/2014/main" id="{00000000-0008-0000-0C00-0000307D4100}"/>
              </a:ext>
            </a:extLst>
          </xdr:cNvPr>
          <xdr:cNvSpPr/>
        </xdr:nvSpPr>
        <xdr:spPr>
          <a:xfrm>
            <a:off x="2540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89" name="$BK$117">
            <a:extLst>
              <a:ext uri="{FF2B5EF4-FFF2-40B4-BE49-F238E27FC236}">
                <a16:creationId xmlns:a16="http://schemas.microsoft.com/office/drawing/2014/main" id="{00000000-0008-0000-0C00-0000317D4100}"/>
              </a:ext>
            </a:extLst>
          </xdr:cNvPr>
          <xdr:cNvSpPr/>
        </xdr:nvSpPr>
        <xdr:spPr>
          <a:xfrm>
            <a:off x="2794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90" name="$BK$117">
            <a:extLst>
              <a:ext uri="{FF2B5EF4-FFF2-40B4-BE49-F238E27FC236}">
                <a16:creationId xmlns:a16="http://schemas.microsoft.com/office/drawing/2014/main" id="{00000000-0008-0000-0C00-0000327D4100}"/>
              </a:ext>
            </a:extLst>
          </xdr:cNvPr>
          <xdr:cNvSpPr/>
        </xdr:nvSpPr>
        <xdr:spPr>
          <a:xfrm>
            <a:off x="3048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91" name="$BK$117">
            <a:extLst>
              <a:ext uri="{FF2B5EF4-FFF2-40B4-BE49-F238E27FC236}">
                <a16:creationId xmlns:a16="http://schemas.microsoft.com/office/drawing/2014/main" id="{00000000-0008-0000-0C00-0000337D4100}"/>
              </a:ext>
            </a:extLst>
          </xdr:cNvPr>
          <xdr:cNvSpPr/>
        </xdr:nvSpPr>
        <xdr:spPr>
          <a:xfrm>
            <a:off x="3175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92" name="$BK$117">
            <a:extLst>
              <a:ext uri="{FF2B5EF4-FFF2-40B4-BE49-F238E27FC236}">
                <a16:creationId xmlns:a16="http://schemas.microsoft.com/office/drawing/2014/main" id="{00000000-0008-0000-0C00-0000347D4100}"/>
              </a:ext>
            </a:extLst>
          </xdr:cNvPr>
          <xdr:cNvSpPr/>
        </xdr:nvSpPr>
        <xdr:spPr>
          <a:xfrm>
            <a:off x="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93" name="$BK$117">
            <a:extLst>
              <a:ext uri="{FF2B5EF4-FFF2-40B4-BE49-F238E27FC236}">
                <a16:creationId xmlns:a16="http://schemas.microsoft.com/office/drawing/2014/main" id="{00000000-0008-0000-0C00-0000357D4100}"/>
              </a:ext>
            </a:extLst>
          </xdr:cNvPr>
          <xdr:cNvSpPr/>
        </xdr:nvSpPr>
        <xdr:spPr>
          <a:xfrm>
            <a:off x="762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94" name="$BK$117">
            <a:extLst>
              <a:ext uri="{FF2B5EF4-FFF2-40B4-BE49-F238E27FC236}">
                <a16:creationId xmlns:a16="http://schemas.microsoft.com/office/drawing/2014/main" id="{00000000-0008-0000-0C00-0000367D4100}"/>
              </a:ext>
            </a:extLst>
          </xdr:cNvPr>
          <xdr:cNvSpPr/>
        </xdr:nvSpPr>
        <xdr:spPr>
          <a:xfrm>
            <a:off x="1016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95" name="$BK$117">
            <a:extLst>
              <a:ext uri="{FF2B5EF4-FFF2-40B4-BE49-F238E27FC236}">
                <a16:creationId xmlns:a16="http://schemas.microsoft.com/office/drawing/2014/main" id="{00000000-0008-0000-0C00-0000377D4100}"/>
              </a:ext>
            </a:extLst>
          </xdr:cNvPr>
          <xdr:cNvSpPr/>
        </xdr:nvSpPr>
        <xdr:spPr>
          <a:xfrm>
            <a:off x="1524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96" name="$BK$117">
            <a:extLst>
              <a:ext uri="{FF2B5EF4-FFF2-40B4-BE49-F238E27FC236}">
                <a16:creationId xmlns:a16="http://schemas.microsoft.com/office/drawing/2014/main" id="{00000000-0008-0000-0C00-0000387D4100}"/>
              </a:ext>
            </a:extLst>
          </xdr:cNvPr>
          <xdr:cNvSpPr/>
        </xdr:nvSpPr>
        <xdr:spPr>
          <a:xfrm>
            <a:off x="1778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97" name="$BK$117">
            <a:extLst>
              <a:ext uri="{FF2B5EF4-FFF2-40B4-BE49-F238E27FC236}">
                <a16:creationId xmlns:a16="http://schemas.microsoft.com/office/drawing/2014/main" id="{00000000-0008-0000-0C00-0000397D4100}"/>
              </a:ext>
            </a:extLst>
          </xdr:cNvPr>
          <xdr:cNvSpPr/>
        </xdr:nvSpPr>
        <xdr:spPr>
          <a:xfrm>
            <a:off x="2032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98" name="$BK$117">
            <a:extLst>
              <a:ext uri="{FF2B5EF4-FFF2-40B4-BE49-F238E27FC236}">
                <a16:creationId xmlns:a16="http://schemas.microsoft.com/office/drawing/2014/main" id="{00000000-0008-0000-0C00-00003A7D4100}"/>
              </a:ext>
            </a:extLst>
          </xdr:cNvPr>
          <xdr:cNvSpPr/>
        </xdr:nvSpPr>
        <xdr:spPr>
          <a:xfrm>
            <a:off x="2159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99" name="$BK$117">
            <a:extLst>
              <a:ext uri="{FF2B5EF4-FFF2-40B4-BE49-F238E27FC236}">
                <a16:creationId xmlns:a16="http://schemas.microsoft.com/office/drawing/2014/main" id="{00000000-0008-0000-0C00-00003B7D4100}"/>
              </a:ext>
            </a:extLst>
          </xdr:cNvPr>
          <xdr:cNvSpPr/>
        </xdr:nvSpPr>
        <xdr:spPr>
          <a:xfrm>
            <a:off x="2540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00" name="$BK$117">
            <a:extLst>
              <a:ext uri="{FF2B5EF4-FFF2-40B4-BE49-F238E27FC236}">
                <a16:creationId xmlns:a16="http://schemas.microsoft.com/office/drawing/2014/main" id="{00000000-0008-0000-0C00-00003C7D4100}"/>
              </a:ext>
            </a:extLst>
          </xdr:cNvPr>
          <xdr:cNvSpPr/>
        </xdr:nvSpPr>
        <xdr:spPr>
          <a:xfrm>
            <a:off x="3048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01" name="$BK$117">
            <a:extLst>
              <a:ext uri="{FF2B5EF4-FFF2-40B4-BE49-F238E27FC236}">
                <a16:creationId xmlns:a16="http://schemas.microsoft.com/office/drawing/2014/main" id="{00000000-0008-0000-0C00-00003D7D4100}"/>
              </a:ext>
            </a:extLst>
          </xdr:cNvPr>
          <xdr:cNvSpPr/>
        </xdr:nvSpPr>
        <xdr:spPr>
          <a:xfrm>
            <a:off x="3175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02" name="$BK$117">
            <a:extLst>
              <a:ext uri="{FF2B5EF4-FFF2-40B4-BE49-F238E27FC236}">
                <a16:creationId xmlns:a16="http://schemas.microsoft.com/office/drawing/2014/main" id="{00000000-0008-0000-0C00-00003E7D4100}"/>
              </a:ext>
            </a:extLst>
          </xdr:cNvPr>
          <xdr:cNvSpPr/>
        </xdr:nvSpPr>
        <xdr:spPr>
          <a:xfrm>
            <a:off x="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03" name="$BK$117">
            <a:extLst>
              <a:ext uri="{FF2B5EF4-FFF2-40B4-BE49-F238E27FC236}">
                <a16:creationId xmlns:a16="http://schemas.microsoft.com/office/drawing/2014/main" id="{00000000-0008-0000-0C00-00003F7D4100}"/>
              </a:ext>
            </a:extLst>
          </xdr:cNvPr>
          <xdr:cNvSpPr/>
        </xdr:nvSpPr>
        <xdr:spPr>
          <a:xfrm>
            <a:off x="254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04" name="$BK$117">
            <a:extLst>
              <a:ext uri="{FF2B5EF4-FFF2-40B4-BE49-F238E27FC236}">
                <a16:creationId xmlns:a16="http://schemas.microsoft.com/office/drawing/2014/main" id="{00000000-0008-0000-0C00-0000407D4100}"/>
              </a:ext>
            </a:extLst>
          </xdr:cNvPr>
          <xdr:cNvSpPr/>
        </xdr:nvSpPr>
        <xdr:spPr>
          <a:xfrm>
            <a:off x="381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05" name="$BK$117">
            <a:extLst>
              <a:ext uri="{FF2B5EF4-FFF2-40B4-BE49-F238E27FC236}">
                <a16:creationId xmlns:a16="http://schemas.microsoft.com/office/drawing/2014/main" id="{00000000-0008-0000-0C00-0000417D4100}"/>
              </a:ext>
            </a:extLst>
          </xdr:cNvPr>
          <xdr:cNvSpPr/>
        </xdr:nvSpPr>
        <xdr:spPr>
          <a:xfrm>
            <a:off x="508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06" name="$BK$117">
            <a:extLst>
              <a:ext uri="{FF2B5EF4-FFF2-40B4-BE49-F238E27FC236}">
                <a16:creationId xmlns:a16="http://schemas.microsoft.com/office/drawing/2014/main" id="{00000000-0008-0000-0C00-0000427D4100}"/>
              </a:ext>
            </a:extLst>
          </xdr:cNvPr>
          <xdr:cNvSpPr/>
        </xdr:nvSpPr>
        <xdr:spPr>
          <a:xfrm>
            <a:off x="762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07" name="$BK$117">
            <a:extLst>
              <a:ext uri="{FF2B5EF4-FFF2-40B4-BE49-F238E27FC236}">
                <a16:creationId xmlns:a16="http://schemas.microsoft.com/office/drawing/2014/main" id="{00000000-0008-0000-0C00-0000437D4100}"/>
              </a:ext>
            </a:extLst>
          </xdr:cNvPr>
          <xdr:cNvSpPr/>
        </xdr:nvSpPr>
        <xdr:spPr>
          <a:xfrm>
            <a:off x="1143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08" name="$BK$117">
            <a:extLst>
              <a:ext uri="{FF2B5EF4-FFF2-40B4-BE49-F238E27FC236}">
                <a16:creationId xmlns:a16="http://schemas.microsoft.com/office/drawing/2014/main" id="{00000000-0008-0000-0C00-0000447D4100}"/>
              </a:ext>
            </a:extLst>
          </xdr:cNvPr>
          <xdr:cNvSpPr/>
        </xdr:nvSpPr>
        <xdr:spPr>
          <a:xfrm>
            <a:off x="1270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09" name="$BK$117">
            <a:extLst>
              <a:ext uri="{FF2B5EF4-FFF2-40B4-BE49-F238E27FC236}">
                <a16:creationId xmlns:a16="http://schemas.microsoft.com/office/drawing/2014/main" id="{00000000-0008-0000-0C00-0000457D4100}"/>
              </a:ext>
            </a:extLst>
          </xdr:cNvPr>
          <xdr:cNvSpPr/>
        </xdr:nvSpPr>
        <xdr:spPr>
          <a:xfrm>
            <a:off x="1397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10" name="$BK$117">
            <a:extLst>
              <a:ext uri="{FF2B5EF4-FFF2-40B4-BE49-F238E27FC236}">
                <a16:creationId xmlns:a16="http://schemas.microsoft.com/office/drawing/2014/main" id="{00000000-0008-0000-0C00-0000467D4100}"/>
              </a:ext>
            </a:extLst>
          </xdr:cNvPr>
          <xdr:cNvSpPr/>
        </xdr:nvSpPr>
        <xdr:spPr>
          <a:xfrm>
            <a:off x="1905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11" name="$BK$117">
            <a:extLst>
              <a:ext uri="{FF2B5EF4-FFF2-40B4-BE49-F238E27FC236}">
                <a16:creationId xmlns:a16="http://schemas.microsoft.com/office/drawing/2014/main" id="{00000000-0008-0000-0C00-0000477D4100}"/>
              </a:ext>
            </a:extLst>
          </xdr:cNvPr>
          <xdr:cNvSpPr/>
        </xdr:nvSpPr>
        <xdr:spPr>
          <a:xfrm>
            <a:off x="2159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12" name="$BK$117">
            <a:extLst>
              <a:ext uri="{FF2B5EF4-FFF2-40B4-BE49-F238E27FC236}">
                <a16:creationId xmlns:a16="http://schemas.microsoft.com/office/drawing/2014/main" id="{00000000-0008-0000-0C00-0000487D4100}"/>
              </a:ext>
            </a:extLst>
          </xdr:cNvPr>
          <xdr:cNvSpPr/>
        </xdr:nvSpPr>
        <xdr:spPr>
          <a:xfrm>
            <a:off x="2286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13" name="$BK$117">
            <a:extLst>
              <a:ext uri="{FF2B5EF4-FFF2-40B4-BE49-F238E27FC236}">
                <a16:creationId xmlns:a16="http://schemas.microsoft.com/office/drawing/2014/main" id="{00000000-0008-0000-0C00-0000497D4100}"/>
              </a:ext>
            </a:extLst>
          </xdr:cNvPr>
          <xdr:cNvSpPr/>
        </xdr:nvSpPr>
        <xdr:spPr>
          <a:xfrm>
            <a:off x="2413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14" name="$BK$117">
            <a:extLst>
              <a:ext uri="{FF2B5EF4-FFF2-40B4-BE49-F238E27FC236}">
                <a16:creationId xmlns:a16="http://schemas.microsoft.com/office/drawing/2014/main" id="{00000000-0008-0000-0C00-00004A7D4100}"/>
              </a:ext>
            </a:extLst>
          </xdr:cNvPr>
          <xdr:cNvSpPr/>
        </xdr:nvSpPr>
        <xdr:spPr>
          <a:xfrm>
            <a:off x="2540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15" name="$BK$117">
            <a:extLst>
              <a:ext uri="{FF2B5EF4-FFF2-40B4-BE49-F238E27FC236}">
                <a16:creationId xmlns:a16="http://schemas.microsoft.com/office/drawing/2014/main" id="{00000000-0008-0000-0C00-00004B7D4100}"/>
              </a:ext>
            </a:extLst>
          </xdr:cNvPr>
          <xdr:cNvSpPr/>
        </xdr:nvSpPr>
        <xdr:spPr>
          <a:xfrm>
            <a:off x="2667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16" name="$BK$117">
            <a:extLst>
              <a:ext uri="{FF2B5EF4-FFF2-40B4-BE49-F238E27FC236}">
                <a16:creationId xmlns:a16="http://schemas.microsoft.com/office/drawing/2014/main" id="{00000000-0008-0000-0C00-00004C7D4100}"/>
              </a:ext>
            </a:extLst>
          </xdr:cNvPr>
          <xdr:cNvSpPr/>
        </xdr:nvSpPr>
        <xdr:spPr>
          <a:xfrm>
            <a:off x="2794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17" name="$BK$117">
            <a:extLst>
              <a:ext uri="{FF2B5EF4-FFF2-40B4-BE49-F238E27FC236}">
                <a16:creationId xmlns:a16="http://schemas.microsoft.com/office/drawing/2014/main" id="{00000000-0008-0000-0C00-00004D7D4100}"/>
              </a:ext>
            </a:extLst>
          </xdr:cNvPr>
          <xdr:cNvSpPr/>
        </xdr:nvSpPr>
        <xdr:spPr>
          <a:xfrm>
            <a:off x="2921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18" name="$BK$117">
            <a:extLst>
              <a:ext uri="{FF2B5EF4-FFF2-40B4-BE49-F238E27FC236}">
                <a16:creationId xmlns:a16="http://schemas.microsoft.com/office/drawing/2014/main" id="{00000000-0008-0000-0C00-00004E7D4100}"/>
              </a:ext>
            </a:extLst>
          </xdr:cNvPr>
          <xdr:cNvSpPr/>
        </xdr:nvSpPr>
        <xdr:spPr>
          <a:xfrm>
            <a:off x="3048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19" name="$BK$117">
            <a:extLst>
              <a:ext uri="{FF2B5EF4-FFF2-40B4-BE49-F238E27FC236}">
                <a16:creationId xmlns:a16="http://schemas.microsoft.com/office/drawing/2014/main" id="{00000000-0008-0000-0C00-00004F7D4100}"/>
              </a:ext>
            </a:extLst>
          </xdr:cNvPr>
          <xdr:cNvSpPr/>
        </xdr:nvSpPr>
        <xdr:spPr>
          <a:xfrm>
            <a:off x="3302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20" name="$BK$117">
            <a:extLst>
              <a:ext uri="{FF2B5EF4-FFF2-40B4-BE49-F238E27FC236}">
                <a16:creationId xmlns:a16="http://schemas.microsoft.com/office/drawing/2014/main" id="{00000000-0008-0000-0C00-0000507D4100}"/>
              </a:ext>
            </a:extLst>
          </xdr:cNvPr>
          <xdr:cNvSpPr/>
        </xdr:nvSpPr>
        <xdr:spPr>
          <a:xfrm>
            <a:off x="3429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21" name="$BK$117">
            <a:extLst>
              <a:ext uri="{FF2B5EF4-FFF2-40B4-BE49-F238E27FC236}">
                <a16:creationId xmlns:a16="http://schemas.microsoft.com/office/drawing/2014/main" id="{00000000-0008-0000-0C00-0000517D4100}"/>
              </a:ext>
            </a:extLst>
          </xdr:cNvPr>
          <xdr:cNvSpPr/>
        </xdr:nvSpPr>
        <xdr:spPr>
          <a:xfrm>
            <a:off x="3556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22" name="$BK$117">
            <a:extLst>
              <a:ext uri="{FF2B5EF4-FFF2-40B4-BE49-F238E27FC236}">
                <a16:creationId xmlns:a16="http://schemas.microsoft.com/office/drawing/2014/main" id="{00000000-0008-0000-0C00-0000527D4100}"/>
              </a:ext>
            </a:extLst>
          </xdr:cNvPr>
          <xdr:cNvSpPr/>
        </xdr:nvSpPr>
        <xdr:spPr>
          <a:xfrm>
            <a:off x="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23" name="$BK$117">
            <a:extLst>
              <a:ext uri="{FF2B5EF4-FFF2-40B4-BE49-F238E27FC236}">
                <a16:creationId xmlns:a16="http://schemas.microsoft.com/office/drawing/2014/main" id="{00000000-0008-0000-0C00-0000537D4100}"/>
              </a:ext>
            </a:extLst>
          </xdr:cNvPr>
          <xdr:cNvSpPr/>
        </xdr:nvSpPr>
        <xdr:spPr>
          <a:xfrm>
            <a:off x="254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24" name="$BK$117">
            <a:extLst>
              <a:ext uri="{FF2B5EF4-FFF2-40B4-BE49-F238E27FC236}">
                <a16:creationId xmlns:a16="http://schemas.microsoft.com/office/drawing/2014/main" id="{00000000-0008-0000-0C00-0000547D4100}"/>
              </a:ext>
            </a:extLst>
          </xdr:cNvPr>
          <xdr:cNvSpPr/>
        </xdr:nvSpPr>
        <xdr:spPr>
          <a:xfrm>
            <a:off x="381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25" name="$BK$117">
            <a:extLst>
              <a:ext uri="{FF2B5EF4-FFF2-40B4-BE49-F238E27FC236}">
                <a16:creationId xmlns:a16="http://schemas.microsoft.com/office/drawing/2014/main" id="{00000000-0008-0000-0C00-0000557D4100}"/>
              </a:ext>
            </a:extLst>
          </xdr:cNvPr>
          <xdr:cNvSpPr/>
        </xdr:nvSpPr>
        <xdr:spPr>
          <a:xfrm>
            <a:off x="508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26" name="$BK$117">
            <a:extLst>
              <a:ext uri="{FF2B5EF4-FFF2-40B4-BE49-F238E27FC236}">
                <a16:creationId xmlns:a16="http://schemas.microsoft.com/office/drawing/2014/main" id="{00000000-0008-0000-0C00-0000567D4100}"/>
              </a:ext>
            </a:extLst>
          </xdr:cNvPr>
          <xdr:cNvSpPr/>
        </xdr:nvSpPr>
        <xdr:spPr>
          <a:xfrm>
            <a:off x="762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27" name="$BK$117">
            <a:extLst>
              <a:ext uri="{FF2B5EF4-FFF2-40B4-BE49-F238E27FC236}">
                <a16:creationId xmlns:a16="http://schemas.microsoft.com/office/drawing/2014/main" id="{00000000-0008-0000-0C00-0000577D4100}"/>
              </a:ext>
            </a:extLst>
          </xdr:cNvPr>
          <xdr:cNvSpPr/>
        </xdr:nvSpPr>
        <xdr:spPr>
          <a:xfrm>
            <a:off x="1016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28" name="$BK$117">
            <a:extLst>
              <a:ext uri="{FF2B5EF4-FFF2-40B4-BE49-F238E27FC236}">
                <a16:creationId xmlns:a16="http://schemas.microsoft.com/office/drawing/2014/main" id="{00000000-0008-0000-0C00-0000587D4100}"/>
              </a:ext>
            </a:extLst>
          </xdr:cNvPr>
          <xdr:cNvSpPr/>
        </xdr:nvSpPr>
        <xdr:spPr>
          <a:xfrm>
            <a:off x="1397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29" name="$BK$117">
            <a:extLst>
              <a:ext uri="{FF2B5EF4-FFF2-40B4-BE49-F238E27FC236}">
                <a16:creationId xmlns:a16="http://schemas.microsoft.com/office/drawing/2014/main" id="{00000000-0008-0000-0C00-0000597D4100}"/>
              </a:ext>
            </a:extLst>
          </xdr:cNvPr>
          <xdr:cNvSpPr/>
        </xdr:nvSpPr>
        <xdr:spPr>
          <a:xfrm>
            <a:off x="1651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30" name="$BK$117">
            <a:extLst>
              <a:ext uri="{FF2B5EF4-FFF2-40B4-BE49-F238E27FC236}">
                <a16:creationId xmlns:a16="http://schemas.microsoft.com/office/drawing/2014/main" id="{00000000-0008-0000-0C00-00005A7D4100}"/>
              </a:ext>
            </a:extLst>
          </xdr:cNvPr>
          <xdr:cNvSpPr/>
        </xdr:nvSpPr>
        <xdr:spPr>
          <a:xfrm>
            <a:off x="1905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31" name="$BK$117">
            <a:extLst>
              <a:ext uri="{FF2B5EF4-FFF2-40B4-BE49-F238E27FC236}">
                <a16:creationId xmlns:a16="http://schemas.microsoft.com/office/drawing/2014/main" id="{00000000-0008-0000-0C00-00005B7D4100}"/>
              </a:ext>
            </a:extLst>
          </xdr:cNvPr>
          <xdr:cNvSpPr/>
        </xdr:nvSpPr>
        <xdr:spPr>
          <a:xfrm>
            <a:off x="2032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32" name="$BK$117">
            <a:extLst>
              <a:ext uri="{FF2B5EF4-FFF2-40B4-BE49-F238E27FC236}">
                <a16:creationId xmlns:a16="http://schemas.microsoft.com/office/drawing/2014/main" id="{00000000-0008-0000-0C00-00005C7D4100}"/>
              </a:ext>
            </a:extLst>
          </xdr:cNvPr>
          <xdr:cNvSpPr/>
        </xdr:nvSpPr>
        <xdr:spPr>
          <a:xfrm>
            <a:off x="2286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33" name="$BK$117">
            <a:extLst>
              <a:ext uri="{FF2B5EF4-FFF2-40B4-BE49-F238E27FC236}">
                <a16:creationId xmlns:a16="http://schemas.microsoft.com/office/drawing/2014/main" id="{00000000-0008-0000-0C00-00005D7D4100}"/>
              </a:ext>
            </a:extLst>
          </xdr:cNvPr>
          <xdr:cNvSpPr/>
        </xdr:nvSpPr>
        <xdr:spPr>
          <a:xfrm>
            <a:off x="2413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34" name="$BK$117">
            <a:extLst>
              <a:ext uri="{FF2B5EF4-FFF2-40B4-BE49-F238E27FC236}">
                <a16:creationId xmlns:a16="http://schemas.microsoft.com/office/drawing/2014/main" id="{00000000-0008-0000-0C00-00005E7D4100}"/>
              </a:ext>
            </a:extLst>
          </xdr:cNvPr>
          <xdr:cNvSpPr/>
        </xdr:nvSpPr>
        <xdr:spPr>
          <a:xfrm>
            <a:off x="2540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35" name="$BK$117">
            <a:extLst>
              <a:ext uri="{FF2B5EF4-FFF2-40B4-BE49-F238E27FC236}">
                <a16:creationId xmlns:a16="http://schemas.microsoft.com/office/drawing/2014/main" id="{00000000-0008-0000-0C00-00005F7D4100}"/>
              </a:ext>
            </a:extLst>
          </xdr:cNvPr>
          <xdr:cNvSpPr/>
        </xdr:nvSpPr>
        <xdr:spPr>
          <a:xfrm>
            <a:off x="2667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36" name="$BK$117">
            <a:extLst>
              <a:ext uri="{FF2B5EF4-FFF2-40B4-BE49-F238E27FC236}">
                <a16:creationId xmlns:a16="http://schemas.microsoft.com/office/drawing/2014/main" id="{00000000-0008-0000-0C00-0000607D4100}"/>
              </a:ext>
            </a:extLst>
          </xdr:cNvPr>
          <xdr:cNvSpPr/>
        </xdr:nvSpPr>
        <xdr:spPr>
          <a:xfrm>
            <a:off x="3175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37" name="$BK$117">
            <a:extLst>
              <a:ext uri="{FF2B5EF4-FFF2-40B4-BE49-F238E27FC236}">
                <a16:creationId xmlns:a16="http://schemas.microsoft.com/office/drawing/2014/main" id="{00000000-0008-0000-0C00-0000617D4100}"/>
              </a:ext>
            </a:extLst>
          </xdr:cNvPr>
          <xdr:cNvSpPr/>
        </xdr:nvSpPr>
        <xdr:spPr>
          <a:xfrm>
            <a:off x="3302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38" name="$BK$117">
            <a:extLst>
              <a:ext uri="{FF2B5EF4-FFF2-40B4-BE49-F238E27FC236}">
                <a16:creationId xmlns:a16="http://schemas.microsoft.com/office/drawing/2014/main" id="{00000000-0008-0000-0C00-0000627D4100}"/>
              </a:ext>
            </a:extLst>
          </xdr:cNvPr>
          <xdr:cNvSpPr/>
        </xdr:nvSpPr>
        <xdr:spPr>
          <a:xfrm>
            <a:off x="3429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39" name="$BK$117">
            <a:extLst>
              <a:ext uri="{FF2B5EF4-FFF2-40B4-BE49-F238E27FC236}">
                <a16:creationId xmlns:a16="http://schemas.microsoft.com/office/drawing/2014/main" id="{00000000-0008-0000-0C00-0000637D4100}"/>
              </a:ext>
            </a:extLst>
          </xdr:cNvPr>
          <xdr:cNvSpPr/>
        </xdr:nvSpPr>
        <xdr:spPr>
          <a:xfrm>
            <a:off x="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40" name="$BK$117">
            <a:extLst>
              <a:ext uri="{FF2B5EF4-FFF2-40B4-BE49-F238E27FC236}">
                <a16:creationId xmlns:a16="http://schemas.microsoft.com/office/drawing/2014/main" id="{00000000-0008-0000-0C00-0000647D4100}"/>
              </a:ext>
            </a:extLst>
          </xdr:cNvPr>
          <xdr:cNvSpPr/>
        </xdr:nvSpPr>
        <xdr:spPr>
          <a:xfrm>
            <a:off x="254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41" name="$BK$117">
            <a:extLst>
              <a:ext uri="{FF2B5EF4-FFF2-40B4-BE49-F238E27FC236}">
                <a16:creationId xmlns:a16="http://schemas.microsoft.com/office/drawing/2014/main" id="{00000000-0008-0000-0C00-0000657D4100}"/>
              </a:ext>
            </a:extLst>
          </xdr:cNvPr>
          <xdr:cNvSpPr/>
        </xdr:nvSpPr>
        <xdr:spPr>
          <a:xfrm>
            <a:off x="381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42" name="$BK$117">
            <a:extLst>
              <a:ext uri="{FF2B5EF4-FFF2-40B4-BE49-F238E27FC236}">
                <a16:creationId xmlns:a16="http://schemas.microsoft.com/office/drawing/2014/main" id="{00000000-0008-0000-0C00-0000667D4100}"/>
              </a:ext>
            </a:extLst>
          </xdr:cNvPr>
          <xdr:cNvSpPr/>
        </xdr:nvSpPr>
        <xdr:spPr>
          <a:xfrm>
            <a:off x="508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43" name="$BK$117">
            <a:extLst>
              <a:ext uri="{FF2B5EF4-FFF2-40B4-BE49-F238E27FC236}">
                <a16:creationId xmlns:a16="http://schemas.microsoft.com/office/drawing/2014/main" id="{00000000-0008-0000-0C00-0000677D4100}"/>
              </a:ext>
            </a:extLst>
          </xdr:cNvPr>
          <xdr:cNvSpPr/>
        </xdr:nvSpPr>
        <xdr:spPr>
          <a:xfrm>
            <a:off x="762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44" name="$BK$117">
            <a:extLst>
              <a:ext uri="{FF2B5EF4-FFF2-40B4-BE49-F238E27FC236}">
                <a16:creationId xmlns:a16="http://schemas.microsoft.com/office/drawing/2014/main" id="{00000000-0008-0000-0C00-0000687D4100}"/>
              </a:ext>
            </a:extLst>
          </xdr:cNvPr>
          <xdr:cNvSpPr/>
        </xdr:nvSpPr>
        <xdr:spPr>
          <a:xfrm>
            <a:off x="1270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45" name="$BK$117">
            <a:extLst>
              <a:ext uri="{FF2B5EF4-FFF2-40B4-BE49-F238E27FC236}">
                <a16:creationId xmlns:a16="http://schemas.microsoft.com/office/drawing/2014/main" id="{00000000-0008-0000-0C00-0000697D4100}"/>
              </a:ext>
            </a:extLst>
          </xdr:cNvPr>
          <xdr:cNvSpPr/>
        </xdr:nvSpPr>
        <xdr:spPr>
          <a:xfrm>
            <a:off x="1397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46" name="$BK$117">
            <a:extLst>
              <a:ext uri="{FF2B5EF4-FFF2-40B4-BE49-F238E27FC236}">
                <a16:creationId xmlns:a16="http://schemas.microsoft.com/office/drawing/2014/main" id="{00000000-0008-0000-0C00-00006A7D4100}"/>
              </a:ext>
            </a:extLst>
          </xdr:cNvPr>
          <xdr:cNvSpPr/>
        </xdr:nvSpPr>
        <xdr:spPr>
          <a:xfrm>
            <a:off x="1524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47" name="$BK$117">
            <a:extLst>
              <a:ext uri="{FF2B5EF4-FFF2-40B4-BE49-F238E27FC236}">
                <a16:creationId xmlns:a16="http://schemas.microsoft.com/office/drawing/2014/main" id="{00000000-0008-0000-0C00-00006B7D4100}"/>
              </a:ext>
            </a:extLst>
          </xdr:cNvPr>
          <xdr:cNvSpPr/>
        </xdr:nvSpPr>
        <xdr:spPr>
          <a:xfrm>
            <a:off x="1651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48" name="$BK$117">
            <a:extLst>
              <a:ext uri="{FF2B5EF4-FFF2-40B4-BE49-F238E27FC236}">
                <a16:creationId xmlns:a16="http://schemas.microsoft.com/office/drawing/2014/main" id="{00000000-0008-0000-0C00-00006C7D4100}"/>
              </a:ext>
            </a:extLst>
          </xdr:cNvPr>
          <xdr:cNvSpPr/>
        </xdr:nvSpPr>
        <xdr:spPr>
          <a:xfrm>
            <a:off x="1905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49" name="$BK$117">
            <a:extLst>
              <a:ext uri="{FF2B5EF4-FFF2-40B4-BE49-F238E27FC236}">
                <a16:creationId xmlns:a16="http://schemas.microsoft.com/office/drawing/2014/main" id="{00000000-0008-0000-0C00-00006D7D4100}"/>
              </a:ext>
            </a:extLst>
          </xdr:cNvPr>
          <xdr:cNvSpPr/>
        </xdr:nvSpPr>
        <xdr:spPr>
          <a:xfrm>
            <a:off x="2159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50" name="$BK$117">
            <a:extLst>
              <a:ext uri="{FF2B5EF4-FFF2-40B4-BE49-F238E27FC236}">
                <a16:creationId xmlns:a16="http://schemas.microsoft.com/office/drawing/2014/main" id="{00000000-0008-0000-0C00-00006E7D4100}"/>
              </a:ext>
            </a:extLst>
          </xdr:cNvPr>
          <xdr:cNvSpPr/>
        </xdr:nvSpPr>
        <xdr:spPr>
          <a:xfrm>
            <a:off x="2413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51" name="$BK$117">
            <a:extLst>
              <a:ext uri="{FF2B5EF4-FFF2-40B4-BE49-F238E27FC236}">
                <a16:creationId xmlns:a16="http://schemas.microsoft.com/office/drawing/2014/main" id="{00000000-0008-0000-0C00-00006F7D4100}"/>
              </a:ext>
            </a:extLst>
          </xdr:cNvPr>
          <xdr:cNvSpPr/>
        </xdr:nvSpPr>
        <xdr:spPr>
          <a:xfrm>
            <a:off x="2667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52" name="$BK$117">
            <a:extLst>
              <a:ext uri="{FF2B5EF4-FFF2-40B4-BE49-F238E27FC236}">
                <a16:creationId xmlns:a16="http://schemas.microsoft.com/office/drawing/2014/main" id="{00000000-0008-0000-0C00-0000707D4100}"/>
              </a:ext>
            </a:extLst>
          </xdr:cNvPr>
          <xdr:cNvSpPr/>
        </xdr:nvSpPr>
        <xdr:spPr>
          <a:xfrm>
            <a:off x="2794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53" name="$BK$117">
            <a:extLst>
              <a:ext uri="{FF2B5EF4-FFF2-40B4-BE49-F238E27FC236}">
                <a16:creationId xmlns:a16="http://schemas.microsoft.com/office/drawing/2014/main" id="{00000000-0008-0000-0C00-0000717D4100}"/>
              </a:ext>
            </a:extLst>
          </xdr:cNvPr>
          <xdr:cNvSpPr/>
        </xdr:nvSpPr>
        <xdr:spPr>
          <a:xfrm>
            <a:off x="2921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54" name="$BK$117">
            <a:extLst>
              <a:ext uri="{FF2B5EF4-FFF2-40B4-BE49-F238E27FC236}">
                <a16:creationId xmlns:a16="http://schemas.microsoft.com/office/drawing/2014/main" id="{00000000-0008-0000-0C00-0000727D4100}"/>
              </a:ext>
            </a:extLst>
          </xdr:cNvPr>
          <xdr:cNvSpPr/>
        </xdr:nvSpPr>
        <xdr:spPr>
          <a:xfrm>
            <a:off x="3175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55" name="$BK$117">
            <a:extLst>
              <a:ext uri="{FF2B5EF4-FFF2-40B4-BE49-F238E27FC236}">
                <a16:creationId xmlns:a16="http://schemas.microsoft.com/office/drawing/2014/main" id="{00000000-0008-0000-0C00-0000737D4100}"/>
              </a:ext>
            </a:extLst>
          </xdr:cNvPr>
          <xdr:cNvSpPr/>
        </xdr:nvSpPr>
        <xdr:spPr>
          <a:xfrm>
            <a:off x="3302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56" name="$BK$117">
            <a:extLst>
              <a:ext uri="{FF2B5EF4-FFF2-40B4-BE49-F238E27FC236}">
                <a16:creationId xmlns:a16="http://schemas.microsoft.com/office/drawing/2014/main" id="{00000000-0008-0000-0C00-0000747D4100}"/>
              </a:ext>
            </a:extLst>
          </xdr:cNvPr>
          <xdr:cNvSpPr/>
        </xdr:nvSpPr>
        <xdr:spPr>
          <a:xfrm>
            <a:off x="3556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57" name="$BK$117">
            <a:extLst>
              <a:ext uri="{FF2B5EF4-FFF2-40B4-BE49-F238E27FC236}">
                <a16:creationId xmlns:a16="http://schemas.microsoft.com/office/drawing/2014/main" id="{00000000-0008-0000-0C00-0000757D4100}"/>
              </a:ext>
            </a:extLst>
          </xdr:cNvPr>
          <xdr:cNvSpPr/>
        </xdr:nvSpPr>
        <xdr:spPr>
          <a:xfrm>
            <a:off x="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58" name="$BK$117">
            <a:extLst>
              <a:ext uri="{FF2B5EF4-FFF2-40B4-BE49-F238E27FC236}">
                <a16:creationId xmlns:a16="http://schemas.microsoft.com/office/drawing/2014/main" id="{00000000-0008-0000-0C00-0000767D4100}"/>
              </a:ext>
            </a:extLst>
          </xdr:cNvPr>
          <xdr:cNvSpPr/>
        </xdr:nvSpPr>
        <xdr:spPr>
          <a:xfrm>
            <a:off x="762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59" name="$BK$117">
            <a:extLst>
              <a:ext uri="{FF2B5EF4-FFF2-40B4-BE49-F238E27FC236}">
                <a16:creationId xmlns:a16="http://schemas.microsoft.com/office/drawing/2014/main" id="{00000000-0008-0000-0C00-0000777D4100}"/>
              </a:ext>
            </a:extLst>
          </xdr:cNvPr>
          <xdr:cNvSpPr/>
        </xdr:nvSpPr>
        <xdr:spPr>
          <a:xfrm>
            <a:off x="1270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60" name="$BK$117">
            <a:extLst>
              <a:ext uri="{FF2B5EF4-FFF2-40B4-BE49-F238E27FC236}">
                <a16:creationId xmlns:a16="http://schemas.microsoft.com/office/drawing/2014/main" id="{00000000-0008-0000-0C00-0000787D4100}"/>
              </a:ext>
            </a:extLst>
          </xdr:cNvPr>
          <xdr:cNvSpPr/>
        </xdr:nvSpPr>
        <xdr:spPr>
          <a:xfrm>
            <a:off x="1524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61" name="$BK$117">
            <a:extLst>
              <a:ext uri="{FF2B5EF4-FFF2-40B4-BE49-F238E27FC236}">
                <a16:creationId xmlns:a16="http://schemas.microsoft.com/office/drawing/2014/main" id="{00000000-0008-0000-0C00-0000797D4100}"/>
              </a:ext>
            </a:extLst>
          </xdr:cNvPr>
          <xdr:cNvSpPr/>
        </xdr:nvSpPr>
        <xdr:spPr>
          <a:xfrm>
            <a:off x="1651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62" name="$BK$117">
            <a:extLst>
              <a:ext uri="{FF2B5EF4-FFF2-40B4-BE49-F238E27FC236}">
                <a16:creationId xmlns:a16="http://schemas.microsoft.com/office/drawing/2014/main" id="{00000000-0008-0000-0C00-00007A7D4100}"/>
              </a:ext>
            </a:extLst>
          </xdr:cNvPr>
          <xdr:cNvSpPr/>
        </xdr:nvSpPr>
        <xdr:spPr>
          <a:xfrm>
            <a:off x="1778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63" name="$BK$117">
            <a:extLst>
              <a:ext uri="{FF2B5EF4-FFF2-40B4-BE49-F238E27FC236}">
                <a16:creationId xmlns:a16="http://schemas.microsoft.com/office/drawing/2014/main" id="{00000000-0008-0000-0C00-00007B7D4100}"/>
              </a:ext>
            </a:extLst>
          </xdr:cNvPr>
          <xdr:cNvSpPr/>
        </xdr:nvSpPr>
        <xdr:spPr>
          <a:xfrm>
            <a:off x="1905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64" name="$BK$117">
            <a:extLst>
              <a:ext uri="{FF2B5EF4-FFF2-40B4-BE49-F238E27FC236}">
                <a16:creationId xmlns:a16="http://schemas.microsoft.com/office/drawing/2014/main" id="{00000000-0008-0000-0C00-00007C7D4100}"/>
              </a:ext>
            </a:extLst>
          </xdr:cNvPr>
          <xdr:cNvSpPr/>
        </xdr:nvSpPr>
        <xdr:spPr>
          <a:xfrm>
            <a:off x="2540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65" name="$BK$117">
            <a:extLst>
              <a:ext uri="{FF2B5EF4-FFF2-40B4-BE49-F238E27FC236}">
                <a16:creationId xmlns:a16="http://schemas.microsoft.com/office/drawing/2014/main" id="{00000000-0008-0000-0C00-00007D7D4100}"/>
              </a:ext>
            </a:extLst>
          </xdr:cNvPr>
          <xdr:cNvSpPr/>
        </xdr:nvSpPr>
        <xdr:spPr>
          <a:xfrm>
            <a:off x="2794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66" name="$BK$117">
            <a:extLst>
              <a:ext uri="{FF2B5EF4-FFF2-40B4-BE49-F238E27FC236}">
                <a16:creationId xmlns:a16="http://schemas.microsoft.com/office/drawing/2014/main" id="{00000000-0008-0000-0C00-00007E7D4100}"/>
              </a:ext>
            </a:extLst>
          </xdr:cNvPr>
          <xdr:cNvSpPr/>
        </xdr:nvSpPr>
        <xdr:spPr>
          <a:xfrm>
            <a:off x="3302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67" name="$BK$117">
            <a:extLst>
              <a:ext uri="{FF2B5EF4-FFF2-40B4-BE49-F238E27FC236}">
                <a16:creationId xmlns:a16="http://schemas.microsoft.com/office/drawing/2014/main" id="{00000000-0008-0000-0C00-00007F7D4100}"/>
              </a:ext>
            </a:extLst>
          </xdr:cNvPr>
          <xdr:cNvSpPr/>
        </xdr:nvSpPr>
        <xdr:spPr>
          <a:xfrm>
            <a:off x="3429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68" name="$BK$117">
            <a:extLst>
              <a:ext uri="{FF2B5EF4-FFF2-40B4-BE49-F238E27FC236}">
                <a16:creationId xmlns:a16="http://schemas.microsoft.com/office/drawing/2014/main" id="{00000000-0008-0000-0C00-0000807D4100}"/>
              </a:ext>
            </a:extLst>
          </xdr:cNvPr>
          <xdr:cNvSpPr/>
        </xdr:nvSpPr>
        <xdr:spPr>
          <a:xfrm>
            <a:off x="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69" name="$BK$117">
            <a:extLst>
              <a:ext uri="{FF2B5EF4-FFF2-40B4-BE49-F238E27FC236}">
                <a16:creationId xmlns:a16="http://schemas.microsoft.com/office/drawing/2014/main" id="{00000000-0008-0000-0C00-0000817D4100}"/>
              </a:ext>
            </a:extLst>
          </xdr:cNvPr>
          <xdr:cNvSpPr/>
        </xdr:nvSpPr>
        <xdr:spPr>
          <a:xfrm>
            <a:off x="127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70" name="$BK$117">
            <a:extLst>
              <a:ext uri="{FF2B5EF4-FFF2-40B4-BE49-F238E27FC236}">
                <a16:creationId xmlns:a16="http://schemas.microsoft.com/office/drawing/2014/main" id="{00000000-0008-0000-0C00-0000827D4100}"/>
              </a:ext>
            </a:extLst>
          </xdr:cNvPr>
          <xdr:cNvSpPr/>
        </xdr:nvSpPr>
        <xdr:spPr>
          <a:xfrm>
            <a:off x="254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71" name="$BK$117">
            <a:extLst>
              <a:ext uri="{FF2B5EF4-FFF2-40B4-BE49-F238E27FC236}">
                <a16:creationId xmlns:a16="http://schemas.microsoft.com/office/drawing/2014/main" id="{00000000-0008-0000-0C00-0000837D4100}"/>
              </a:ext>
            </a:extLst>
          </xdr:cNvPr>
          <xdr:cNvSpPr/>
        </xdr:nvSpPr>
        <xdr:spPr>
          <a:xfrm>
            <a:off x="381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72" name="$BK$117">
            <a:extLst>
              <a:ext uri="{FF2B5EF4-FFF2-40B4-BE49-F238E27FC236}">
                <a16:creationId xmlns:a16="http://schemas.microsoft.com/office/drawing/2014/main" id="{00000000-0008-0000-0C00-0000847D4100}"/>
              </a:ext>
            </a:extLst>
          </xdr:cNvPr>
          <xdr:cNvSpPr/>
        </xdr:nvSpPr>
        <xdr:spPr>
          <a:xfrm>
            <a:off x="508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73" name="$BK$117">
            <a:extLst>
              <a:ext uri="{FF2B5EF4-FFF2-40B4-BE49-F238E27FC236}">
                <a16:creationId xmlns:a16="http://schemas.microsoft.com/office/drawing/2014/main" id="{00000000-0008-0000-0C00-0000857D4100}"/>
              </a:ext>
            </a:extLst>
          </xdr:cNvPr>
          <xdr:cNvSpPr/>
        </xdr:nvSpPr>
        <xdr:spPr>
          <a:xfrm>
            <a:off x="635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74" name="$BK$117">
            <a:extLst>
              <a:ext uri="{FF2B5EF4-FFF2-40B4-BE49-F238E27FC236}">
                <a16:creationId xmlns:a16="http://schemas.microsoft.com/office/drawing/2014/main" id="{00000000-0008-0000-0C00-0000867D4100}"/>
              </a:ext>
            </a:extLst>
          </xdr:cNvPr>
          <xdr:cNvSpPr/>
        </xdr:nvSpPr>
        <xdr:spPr>
          <a:xfrm>
            <a:off x="762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75" name="$BK$117">
            <a:extLst>
              <a:ext uri="{FF2B5EF4-FFF2-40B4-BE49-F238E27FC236}">
                <a16:creationId xmlns:a16="http://schemas.microsoft.com/office/drawing/2014/main" id="{00000000-0008-0000-0C00-0000877D4100}"/>
              </a:ext>
            </a:extLst>
          </xdr:cNvPr>
          <xdr:cNvSpPr/>
        </xdr:nvSpPr>
        <xdr:spPr>
          <a:xfrm>
            <a:off x="1016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76" name="$BK$117">
            <a:extLst>
              <a:ext uri="{FF2B5EF4-FFF2-40B4-BE49-F238E27FC236}">
                <a16:creationId xmlns:a16="http://schemas.microsoft.com/office/drawing/2014/main" id="{00000000-0008-0000-0C00-0000887D4100}"/>
              </a:ext>
            </a:extLst>
          </xdr:cNvPr>
          <xdr:cNvSpPr/>
        </xdr:nvSpPr>
        <xdr:spPr>
          <a:xfrm>
            <a:off x="1143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77" name="$BK$117">
            <a:extLst>
              <a:ext uri="{FF2B5EF4-FFF2-40B4-BE49-F238E27FC236}">
                <a16:creationId xmlns:a16="http://schemas.microsoft.com/office/drawing/2014/main" id="{00000000-0008-0000-0C00-0000897D4100}"/>
              </a:ext>
            </a:extLst>
          </xdr:cNvPr>
          <xdr:cNvSpPr/>
        </xdr:nvSpPr>
        <xdr:spPr>
          <a:xfrm>
            <a:off x="1270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78" name="$BK$117">
            <a:extLst>
              <a:ext uri="{FF2B5EF4-FFF2-40B4-BE49-F238E27FC236}">
                <a16:creationId xmlns:a16="http://schemas.microsoft.com/office/drawing/2014/main" id="{00000000-0008-0000-0C00-00008A7D4100}"/>
              </a:ext>
            </a:extLst>
          </xdr:cNvPr>
          <xdr:cNvSpPr/>
        </xdr:nvSpPr>
        <xdr:spPr>
          <a:xfrm>
            <a:off x="1397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79" name="$BK$117">
            <a:extLst>
              <a:ext uri="{FF2B5EF4-FFF2-40B4-BE49-F238E27FC236}">
                <a16:creationId xmlns:a16="http://schemas.microsoft.com/office/drawing/2014/main" id="{00000000-0008-0000-0C00-00008B7D4100}"/>
              </a:ext>
            </a:extLst>
          </xdr:cNvPr>
          <xdr:cNvSpPr/>
        </xdr:nvSpPr>
        <xdr:spPr>
          <a:xfrm>
            <a:off x="1524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80" name="$BK$117">
            <a:extLst>
              <a:ext uri="{FF2B5EF4-FFF2-40B4-BE49-F238E27FC236}">
                <a16:creationId xmlns:a16="http://schemas.microsoft.com/office/drawing/2014/main" id="{00000000-0008-0000-0C00-00008C7D4100}"/>
              </a:ext>
            </a:extLst>
          </xdr:cNvPr>
          <xdr:cNvSpPr/>
        </xdr:nvSpPr>
        <xdr:spPr>
          <a:xfrm>
            <a:off x="1651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81" name="$BK$117">
            <a:extLst>
              <a:ext uri="{FF2B5EF4-FFF2-40B4-BE49-F238E27FC236}">
                <a16:creationId xmlns:a16="http://schemas.microsoft.com/office/drawing/2014/main" id="{00000000-0008-0000-0C00-00008D7D4100}"/>
              </a:ext>
            </a:extLst>
          </xdr:cNvPr>
          <xdr:cNvSpPr/>
        </xdr:nvSpPr>
        <xdr:spPr>
          <a:xfrm>
            <a:off x="2159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82" name="$BK$117">
            <a:extLst>
              <a:ext uri="{FF2B5EF4-FFF2-40B4-BE49-F238E27FC236}">
                <a16:creationId xmlns:a16="http://schemas.microsoft.com/office/drawing/2014/main" id="{00000000-0008-0000-0C00-00008E7D4100}"/>
              </a:ext>
            </a:extLst>
          </xdr:cNvPr>
          <xdr:cNvSpPr/>
        </xdr:nvSpPr>
        <xdr:spPr>
          <a:xfrm>
            <a:off x="2413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83" name="$BK$117">
            <a:extLst>
              <a:ext uri="{FF2B5EF4-FFF2-40B4-BE49-F238E27FC236}">
                <a16:creationId xmlns:a16="http://schemas.microsoft.com/office/drawing/2014/main" id="{00000000-0008-0000-0C00-00008F7D4100}"/>
              </a:ext>
            </a:extLst>
          </xdr:cNvPr>
          <xdr:cNvSpPr/>
        </xdr:nvSpPr>
        <xdr:spPr>
          <a:xfrm>
            <a:off x="2794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84" name="$BK$117">
            <a:extLst>
              <a:ext uri="{FF2B5EF4-FFF2-40B4-BE49-F238E27FC236}">
                <a16:creationId xmlns:a16="http://schemas.microsoft.com/office/drawing/2014/main" id="{00000000-0008-0000-0C00-0000907D4100}"/>
              </a:ext>
            </a:extLst>
          </xdr:cNvPr>
          <xdr:cNvSpPr/>
        </xdr:nvSpPr>
        <xdr:spPr>
          <a:xfrm>
            <a:off x="3048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85" name="$BK$117">
            <a:extLst>
              <a:ext uri="{FF2B5EF4-FFF2-40B4-BE49-F238E27FC236}">
                <a16:creationId xmlns:a16="http://schemas.microsoft.com/office/drawing/2014/main" id="{00000000-0008-0000-0C00-0000917D4100}"/>
              </a:ext>
            </a:extLst>
          </xdr:cNvPr>
          <xdr:cNvSpPr/>
        </xdr:nvSpPr>
        <xdr:spPr>
          <a:xfrm>
            <a:off x="3175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86" name="$BK$117">
            <a:extLst>
              <a:ext uri="{FF2B5EF4-FFF2-40B4-BE49-F238E27FC236}">
                <a16:creationId xmlns:a16="http://schemas.microsoft.com/office/drawing/2014/main" id="{00000000-0008-0000-0C00-0000927D4100}"/>
              </a:ext>
            </a:extLst>
          </xdr:cNvPr>
          <xdr:cNvSpPr/>
        </xdr:nvSpPr>
        <xdr:spPr>
          <a:xfrm>
            <a:off x="3429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56</xdr:col>
      <xdr:colOff>100962</xdr:colOff>
      <xdr:row>114</xdr:row>
      <xdr:rowOff>267646</xdr:rowOff>
    </xdr:from>
    <xdr:to>
      <xdr:col>56</xdr:col>
      <xdr:colOff>980130</xdr:colOff>
      <xdr:row>117</xdr:row>
      <xdr:rowOff>218126</xdr:rowOff>
    </xdr:to>
    <xdr:grpSp>
      <xdr:nvGrpSpPr>
        <xdr:cNvPr id="4291987" name="$AS$116" descr="QuickResponse barcode, level M, version 3, mode binary, 29x29 cells" title=":,អតិថិជនទូទៅ,0">
          <a:extLst>
            <a:ext uri="{FF2B5EF4-FFF2-40B4-BE49-F238E27FC236}">
              <a16:creationId xmlns:a16="http://schemas.microsoft.com/office/drawing/2014/main" id="{00000000-0008-0000-0C00-0000937D4100}"/>
            </a:ext>
          </a:extLst>
        </xdr:cNvPr>
        <xdr:cNvGrpSpPr>
          <a:grpSpLocks noChangeAspect="1"/>
        </xdr:cNvGrpSpPr>
      </xdr:nvGrpSpPr>
      <xdr:grpSpPr>
        <a:xfrm>
          <a:off x="40796525" y="38320021"/>
          <a:ext cx="879168" cy="879168"/>
          <a:chOff x="0" y="0"/>
          <a:chExt cx="368300" cy="368300"/>
        </a:xfrm>
        <a:solidFill>
          <a:srgbClr val="000000"/>
        </a:solidFill>
      </xdr:grpSpPr>
      <xdr:sp macro="" textlink="">
        <xdr:nvSpPr>
          <xdr:cNvPr id="4291988" name="$AS$116">
            <a:extLst>
              <a:ext uri="{FF2B5EF4-FFF2-40B4-BE49-F238E27FC236}">
                <a16:creationId xmlns:a16="http://schemas.microsoft.com/office/drawing/2014/main" id="{00000000-0008-0000-0C00-0000947D4100}"/>
              </a:ext>
            </a:extLst>
          </xdr:cNvPr>
          <xdr:cNvSpPr/>
        </xdr:nvSpPr>
        <xdr:spPr>
          <a:xfrm>
            <a:off x="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89" name="$AS$116">
            <a:extLst>
              <a:ext uri="{FF2B5EF4-FFF2-40B4-BE49-F238E27FC236}">
                <a16:creationId xmlns:a16="http://schemas.microsoft.com/office/drawing/2014/main" id="{00000000-0008-0000-0C00-0000957D4100}"/>
              </a:ext>
            </a:extLst>
          </xdr:cNvPr>
          <xdr:cNvSpPr/>
        </xdr:nvSpPr>
        <xdr:spPr>
          <a:xfrm>
            <a:off x="127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90" name="$AS$116">
            <a:extLst>
              <a:ext uri="{FF2B5EF4-FFF2-40B4-BE49-F238E27FC236}">
                <a16:creationId xmlns:a16="http://schemas.microsoft.com/office/drawing/2014/main" id="{00000000-0008-0000-0C00-0000967D4100}"/>
              </a:ext>
            </a:extLst>
          </xdr:cNvPr>
          <xdr:cNvSpPr/>
        </xdr:nvSpPr>
        <xdr:spPr>
          <a:xfrm>
            <a:off x="25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91" name="$AS$116">
            <a:extLst>
              <a:ext uri="{FF2B5EF4-FFF2-40B4-BE49-F238E27FC236}">
                <a16:creationId xmlns:a16="http://schemas.microsoft.com/office/drawing/2014/main" id="{00000000-0008-0000-0C00-0000977D4100}"/>
              </a:ext>
            </a:extLst>
          </xdr:cNvPr>
          <xdr:cNvSpPr/>
        </xdr:nvSpPr>
        <xdr:spPr>
          <a:xfrm>
            <a:off x="381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92" name="$AS$116">
            <a:extLst>
              <a:ext uri="{FF2B5EF4-FFF2-40B4-BE49-F238E27FC236}">
                <a16:creationId xmlns:a16="http://schemas.microsoft.com/office/drawing/2014/main" id="{00000000-0008-0000-0C00-0000987D4100}"/>
              </a:ext>
            </a:extLst>
          </xdr:cNvPr>
          <xdr:cNvSpPr/>
        </xdr:nvSpPr>
        <xdr:spPr>
          <a:xfrm>
            <a:off x="508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93" name="$AS$116">
            <a:extLst>
              <a:ext uri="{FF2B5EF4-FFF2-40B4-BE49-F238E27FC236}">
                <a16:creationId xmlns:a16="http://schemas.microsoft.com/office/drawing/2014/main" id="{00000000-0008-0000-0C00-0000997D4100}"/>
              </a:ext>
            </a:extLst>
          </xdr:cNvPr>
          <xdr:cNvSpPr/>
        </xdr:nvSpPr>
        <xdr:spPr>
          <a:xfrm>
            <a:off x="635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94" name="$AS$116">
            <a:extLst>
              <a:ext uri="{FF2B5EF4-FFF2-40B4-BE49-F238E27FC236}">
                <a16:creationId xmlns:a16="http://schemas.microsoft.com/office/drawing/2014/main" id="{00000000-0008-0000-0C00-00009A7D4100}"/>
              </a:ext>
            </a:extLst>
          </xdr:cNvPr>
          <xdr:cNvSpPr/>
        </xdr:nvSpPr>
        <xdr:spPr>
          <a:xfrm>
            <a:off x="762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95" name="$AS$116">
            <a:extLst>
              <a:ext uri="{FF2B5EF4-FFF2-40B4-BE49-F238E27FC236}">
                <a16:creationId xmlns:a16="http://schemas.microsoft.com/office/drawing/2014/main" id="{00000000-0008-0000-0C00-00009B7D4100}"/>
              </a:ext>
            </a:extLst>
          </xdr:cNvPr>
          <xdr:cNvSpPr/>
        </xdr:nvSpPr>
        <xdr:spPr>
          <a:xfrm>
            <a:off x="1143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96" name="$AS$116">
            <a:extLst>
              <a:ext uri="{FF2B5EF4-FFF2-40B4-BE49-F238E27FC236}">
                <a16:creationId xmlns:a16="http://schemas.microsoft.com/office/drawing/2014/main" id="{00000000-0008-0000-0C00-00009C7D4100}"/>
              </a:ext>
            </a:extLst>
          </xdr:cNvPr>
          <xdr:cNvSpPr/>
        </xdr:nvSpPr>
        <xdr:spPr>
          <a:xfrm>
            <a:off x="1270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97" name="$AS$116">
            <a:extLst>
              <a:ext uri="{FF2B5EF4-FFF2-40B4-BE49-F238E27FC236}">
                <a16:creationId xmlns:a16="http://schemas.microsoft.com/office/drawing/2014/main" id="{00000000-0008-0000-0C00-00009D7D4100}"/>
              </a:ext>
            </a:extLst>
          </xdr:cNvPr>
          <xdr:cNvSpPr/>
        </xdr:nvSpPr>
        <xdr:spPr>
          <a:xfrm>
            <a:off x="1397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98" name="$AS$116">
            <a:extLst>
              <a:ext uri="{FF2B5EF4-FFF2-40B4-BE49-F238E27FC236}">
                <a16:creationId xmlns:a16="http://schemas.microsoft.com/office/drawing/2014/main" id="{00000000-0008-0000-0C00-00009E7D4100}"/>
              </a:ext>
            </a:extLst>
          </xdr:cNvPr>
          <xdr:cNvSpPr/>
        </xdr:nvSpPr>
        <xdr:spPr>
          <a:xfrm>
            <a:off x="152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99" name="$AS$116">
            <a:extLst>
              <a:ext uri="{FF2B5EF4-FFF2-40B4-BE49-F238E27FC236}">
                <a16:creationId xmlns:a16="http://schemas.microsoft.com/office/drawing/2014/main" id="{00000000-0008-0000-0C00-00009F7D4100}"/>
              </a:ext>
            </a:extLst>
          </xdr:cNvPr>
          <xdr:cNvSpPr/>
        </xdr:nvSpPr>
        <xdr:spPr>
          <a:xfrm>
            <a:off x="1905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00" name="$AS$116">
            <a:extLst>
              <a:ext uri="{FF2B5EF4-FFF2-40B4-BE49-F238E27FC236}">
                <a16:creationId xmlns:a16="http://schemas.microsoft.com/office/drawing/2014/main" id="{00000000-0008-0000-0C00-0000A07D4100}"/>
              </a:ext>
            </a:extLst>
          </xdr:cNvPr>
          <xdr:cNvSpPr/>
        </xdr:nvSpPr>
        <xdr:spPr>
          <a:xfrm>
            <a:off x="2032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01" name="$AS$116">
            <a:extLst>
              <a:ext uri="{FF2B5EF4-FFF2-40B4-BE49-F238E27FC236}">
                <a16:creationId xmlns:a16="http://schemas.microsoft.com/office/drawing/2014/main" id="{00000000-0008-0000-0C00-0000A17D4100}"/>
              </a:ext>
            </a:extLst>
          </xdr:cNvPr>
          <xdr:cNvSpPr/>
        </xdr:nvSpPr>
        <xdr:spPr>
          <a:xfrm>
            <a:off x="2540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02" name="$AS$116">
            <a:extLst>
              <a:ext uri="{FF2B5EF4-FFF2-40B4-BE49-F238E27FC236}">
                <a16:creationId xmlns:a16="http://schemas.microsoft.com/office/drawing/2014/main" id="{00000000-0008-0000-0C00-0000A27D4100}"/>
              </a:ext>
            </a:extLst>
          </xdr:cNvPr>
          <xdr:cNvSpPr/>
        </xdr:nvSpPr>
        <xdr:spPr>
          <a:xfrm>
            <a:off x="279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03" name="$AS$116">
            <a:extLst>
              <a:ext uri="{FF2B5EF4-FFF2-40B4-BE49-F238E27FC236}">
                <a16:creationId xmlns:a16="http://schemas.microsoft.com/office/drawing/2014/main" id="{00000000-0008-0000-0C00-0000A37D4100}"/>
              </a:ext>
            </a:extLst>
          </xdr:cNvPr>
          <xdr:cNvSpPr/>
        </xdr:nvSpPr>
        <xdr:spPr>
          <a:xfrm>
            <a:off x="2921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04" name="$AS$116">
            <a:extLst>
              <a:ext uri="{FF2B5EF4-FFF2-40B4-BE49-F238E27FC236}">
                <a16:creationId xmlns:a16="http://schemas.microsoft.com/office/drawing/2014/main" id="{00000000-0008-0000-0C00-0000A47D4100}"/>
              </a:ext>
            </a:extLst>
          </xdr:cNvPr>
          <xdr:cNvSpPr/>
        </xdr:nvSpPr>
        <xdr:spPr>
          <a:xfrm>
            <a:off x="3048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05" name="$AS$116">
            <a:extLst>
              <a:ext uri="{FF2B5EF4-FFF2-40B4-BE49-F238E27FC236}">
                <a16:creationId xmlns:a16="http://schemas.microsoft.com/office/drawing/2014/main" id="{00000000-0008-0000-0C00-0000A57D4100}"/>
              </a:ext>
            </a:extLst>
          </xdr:cNvPr>
          <xdr:cNvSpPr/>
        </xdr:nvSpPr>
        <xdr:spPr>
          <a:xfrm>
            <a:off x="3175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06" name="$AS$116">
            <a:extLst>
              <a:ext uri="{FF2B5EF4-FFF2-40B4-BE49-F238E27FC236}">
                <a16:creationId xmlns:a16="http://schemas.microsoft.com/office/drawing/2014/main" id="{00000000-0008-0000-0C00-0000A67D4100}"/>
              </a:ext>
            </a:extLst>
          </xdr:cNvPr>
          <xdr:cNvSpPr/>
        </xdr:nvSpPr>
        <xdr:spPr>
          <a:xfrm>
            <a:off x="3302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07" name="$AS$116">
            <a:extLst>
              <a:ext uri="{FF2B5EF4-FFF2-40B4-BE49-F238E27FC236}">
                <a16:creationId xmlns:a16="http://schemas.microsoft.com/office/drawing/2014/main" id="{00000000-0008-0000-0C00-0000A77D4100}"/>
              </a:ext>
            </a:extLst>
          </xdr:cNvPr>
          <xdr:cNvSpPr/>
        </xdr:nvSpPr>
        <xdr:spPr>
          <a:xfrm>
            <a:off x="3429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08" name="$AS$116">
            <a:extLst>
              <a:ext uri="{FF2B5EF4-FFF2-40B4-BE49-F238E27FC236}">
                <a16:creationId xmlns:a16="http://schemas.microsoft.com/office/drawing/2014/main" id="{00000000-0008-0000-0C00-0000A87D4100}"/>
              </a:ext>
            </a:extLst>
          </xdr:cNvPr>
          <xdr:cNvSpPr/>
        </xdr:nvSpPr>
        <xdr:spPr>
          <a:xfrm>
            <a:off x="3556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09" name="$AS$116">
            <a:extLst>
              <a:ext uri="{FF2B5EF4-FFF2-40B4-BE49-F238E27FC236}">
                <a16:creationId xmlns:a16="http://schemas.microsoft.com/office/drawing/2014/main" id="{00000000-0008-0000-0C00-0000A97D4100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10" name="$AS$116">
            <a:extLst>
              <a:ext uri="{FF2B5EF4-FFF2-40B4-BE49-F238E27FC236}">
                <a16:creationId xmlns:a16="http://schemas.microsoft.com/office/drawing/2014/main" id="{00000000-0008-0000-0C00-0000AA7D4100}"/>
              </a:ext>
            </a:extLst>
          </xdr:cNvPr>
          <xdr:cNvSpPr/>
        </xdr:nvSpPr>
        <xdr:spPr>
          <a:xfrm>
            <a:off x="762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11" name="$AS$116">
            <a:extLst>
              <a:ext uri="{FF2B5EF4-FFF2-40B4-BE49-F238E27FC236}">
                <a16:creationId xmlns:a16="http://schemas.microsoft.com/office/drawing/2014/main" id="{00000000-0008-0000-0C00-0000AB7D4100}"/>
              </a:ext>
            </a:extLst>
          </xdr:cNvPr>
          <xdr:cNvSpPr/>
        </xdr:nvSpPr>
        <xdr:spPr>
          <a:xfrm>
            <a:off x="1143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12" name="$AS$116">
            <a:extLst>
              <a:ext uri="{FF2B5EF4-FFF2-40B4-BE49-F238E27FC236}">
                <a16:creationId xmlns:a16="http://schemas.microsoft.com/office/drawing/2014/main" id="{00000000-0008-0000-0C00-0000AC7D4100}"/>
              </a:ext>
            </a:extLst>
          </xdr:cNvPr>
          <xdr:cNvSpPr/>
        </xdr:nvSpPr>
        <xdr:spPr>
          <a:xfrm>
            <a:off x="1524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13" name="$AS$116">
            <a:extLst>
              <a:ext uri="{FF2B5EF4-FFF2-40B4-BE49-F238E27FC236}">
                <a16:creationId xmlns:a16="http://schemas.microsoft.com/office/drawing/2014/main" id="{00000000-0008-0000-0C00-0000AD7D4100}"/>
              </a:ext>
            </a:extLst>
          </xdr:cNvPr>
          <xdr:cNvSpPr/>
        </xdr:nvSpPr>
        <xdr:spPr>
          <a:xfrm>
            <a:off x="1905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14" name="$AS$116">
            <a:extLst>
              <a:ext uri="{FF2B5EF4-FFF2-40B4-BE49-F238E27FC236}">
                <a16:creationId xmlns:a16="http://schemas.microsoft.com/office/drawing/2014/main" id="{00000000-0008-0000-0C00-0000AE7D4100}"/>
              </a:ext>
            </a:extLst>
          </xdr:cNvPr>
          <xdr:cNvSpPr/>
        </xdr:nvSpPr>
        <xdr:spPr>
          <a:xfrm>
            <a:off x="2032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15" name="$AS$116">
            <a:extLst>
              <a:ext uri="{FF2B5EF4-FFF2-40B4-BE49-F238E27FC236}">
                <a16:creationId xmlns:a16="http://schemas.microsoft.com/office/drawing/2014/main" id="{00000000-0008-0000-0C00-0000AF7D4100}"/>
              </a:ext>
            </a:extLst>
          </xdr:cNvPr>
          <xdr:cNvSpPr/>
        </xdr:nvSpPr>
        <xdr:spPr>
          <a:xfrm>
            <a:off x="2413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16" name="$AS$116">
            <a:extLst>
              <a:ext uri="{FF2B5EF4-FFF2-40B4-BE49-F238E27FC236}">
                <a16:creationId xmlns:a16="http://schemas.microsoft.com/office/drawing/2014/main" id="{00000000-0008-0000-0C00-0000B07D4100}"/>
              </a:ext>
            </a:extLst>
          </xdr:cNvPr>
          <xdr:cNvSpPr/>
        </xdr:nvSpPr>
        <xdr:spPr>
          <a:xfrm>
            <a:off x="2794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17" name="$AS$116">
            <a:extLst>
              <a:ext uri="{FF2B5EF4-FFF2-40B4-BE49-F238E27FC236}">
                <a16:creationId xmlns:a16="http://schemas.microsoft.com/office/drawing/2014/main" id="{00000000-0008-0000-0C00-0000B17D4100}"/>
              </a:ext>
            </a:extLst>
          </xdr:cNvPr>
          <xdr:cNvSpPr/>
        </xdr:nvSpPr>
        <xdr:spPr>
          <a:xfrm>
            <a:off x="3556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18" name="$AS$116">
            <a:extLst>
              <a:ext uri="{FF2B5EF4-FFF2-40B4-BE49-F238E27FC236}">
                <a16:creationId xmlns:a16="http://schemas.microsoft.com/office/drawing/2014/main" id="{00000000-0008-0000-0C00-0000B27D4100}"/>
              </a:ext>
            </a:extLst>
          </xdr:cNvPr>
          <xdr:cNvSpPr/>
        </xdr:nvSpPr>
        <xdr:spPr>
          <a:xfrm>
            <a:off x="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19" name="$AS$116">
            <a:extLst>
              <a:ext uri="{FF2B5EF4-FFF2-40B4-BE49-F238E27FC236}">
                <a16:creationId xmlns:a16="http://schemas.microsoft.com/office/drawing/2014/main" id="{00000000-0008-0000-0C00-0000B37D4100}"/>
              </a:ext>
            </a:extLst>
          </xdr:cNvPr>
          <xdr:cNvSpPr/>
        </xdr:nvSpPr>
        <xdr:spPr>
          <a:xfrm>
            <a:off x="254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20" name="$AS$116">
            <a:extLst>
              <a:ext uri="{FF2B5EF4-FFF2-40B4-BE49-F238E27FC236}">
                <a16:creationId xmlns:a16="http://schemas.microsoft.com/office/drawing/2014/main" id="{00000000-0008-0000-0C00-0000B47D4100}"/>
              </a:ext>
            </a:extLst>
          </xdr:cNvPr>
          <xdr:cNvSpPr/>
        </xdr:nvSpPr>
        <xdr:spPr>
          <a:xfrm>
            <a:off x="381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21" name="$AS$116">
            <a:extLst>
              <a:ext uri="{FF2B5EF4-FFF2-40B4-BE49-F238E27FC236}">
                <a16:creationId xmlns:a16="http://schemas.microsoft.com/office/drawing/2014/main" id="{00000000-0008-0000-0C00-0000B57D4100}"/>
              </a:ext>
            </a:extLst>
          </xdr:cNvPr>
          <xdr:cNvSpPr/>
        </xdr:nvSpPr>
        <xdr:spPr>
          <a:xfrm>
            <a:off x="508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22" name="$AS$116">
            <a:extLst>
              <a:ext uri="{FF2B5EF4-FFF2-40B4-BE49-F238E27FC236}">
                <a16:creationId xmlns:a16="http://schemas.microsoft.com/office/drawing/2014/main" id="{00000000-0008-0000-0C00-0000B67D4100}"/>
              </a:ext>
            </a:extLst>
          </xdr:cNvPr>
          <xdr:cNvSpPr/>
        </xdr:nvSpPr>
        <xdr:spPr>
          <a:xfrm>
            <a:off x="762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23" name="$AS$116">
            <a:extLst>
              <a:ext uri="{FF2B5EF4-FFF2-40B4-BE49-F238E27FC236}">
                <a16:creationId xmlns:a16="http://schemas.microsoft.com/office/drawing/2014/main" id="{00000000-0008-0000-0C00-0000B77D4100}"/>
              </a:ext>
            </a:extLst>
          </xdr:cNvPr>
          <xdr:cNvSpPr/>
        </xdr:nvSpPr>
        <xdr:spPr>
          <a:xfrm>
            <a:off x="1143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24" name="$AS$116">
            <a:extLst>
              <a:ext uri="{FF2B5EF4-FFF2-40B4-BE49-F238E27FC236}">
                <a16:creationId xmlns:a16="http://schemas.microsoft.com/office/drawing/2014/main" id="{00000000-0008-0000-0C00-0000B87D4100}"/>
              </a:ext>
            </a:extLst>
          </xdr:cNvPr>
          <xdr:cNvSpPr/>
        </xdr:nvSpPr>
        <xdr:spPr>
          <a:xfrm>
            <a:off x="1524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25" name="$AS$116">
            <a:extLst>
              <a:ext uri="{FF2B5EF4-FFF2-40B4-BE49-F238E27FC236}">
                <a16:creationId xmlns:a16="http://schemas.microsoft.com/office/drawing/2014/main" id="{00000000-0008-0000-0C00-0000B97D4100}"/>
              </a:ext>
            </a:extLst>
          </xdr:cNvPr>
          <xdr:cNvSpPr/>
        </xdr:nvSpPr>
        <xdr:spPr>
          <a:xfrm>
            <a:off x="2413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26" name="$AS$116">
            <a:extLst>
              <a:ext uri="{FF2B5EF4-FFF2-40B4-BE49-F238E27FC236}">
                <a16:creationId xmlns:a16="http://schemas.microsoft.com/office/drawing/2014/main" id="{00000000-0008-0000-0C00-0000BA7D4100}"/>
              </a:ext>
            </a:extLst>
          </xdr:cNvPr>
          <xdr:cNvSpPr/>
        </xdr:nvSpPr>
        <xdr:spPr>
          <a:xfrm>
            <a:off x="2540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27" name="$AS$116">
            <a:extLst>
              <a:ext uri="{FF2B5EF4-FFF2-40B4-BE49-F238E27FC236}">
                <a16:creationId xmlns:a16="http://schemas.microsoft.com/office/drawing/2014/main" id="{00000000-0008-0000-0C00-0000BB7D4100}"/>
              </a:ext>
            </a:extLst>
          </xdr:cNvPr>
          <xdr:cNvSpPr/>
        </xdr:nvSpPr>
        <xdr:spPr>
          <a:xfrm>
            <a:off x="2794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28" name="$AS$116">
            <a:extLst>
              <a:ext uri="{FF2B5EF4-FFF2-40B4-BE49-F238E27FC236}">
                <a16:creationId xmlns:a16="http://schemas.microsoft.com/office/drawing/2014/main" id="{00000000-0008-0000-0C00-0000BC7D4100}"/>
              </a:ext>
            </a:extLst>
          </xdr:cNvPr>
          <xdr:cNvSpPr/>
        </xdr:nvSpPr>
        <xdr:spPr>
          <a:xfrm>
            <a:off x="3048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29" name="$AS$116">
            <a:extLst>
              <a:ext uri="{FF2B5EF4-FFF2-40B4-BE49-F238E27FC236}">
                <a16:creationId xmlns:a16="http://schemas.microsoft.com/office/drawing/2014/main" id="{00000000-0008-0000-0C00-0000BD7D4100}"/>
              </a:ext>
            </a:extLst>
          </xdr:cNvPr>
          <xdr:cNvSpPr/>
        </xdr:nvSpPr>
        <xdr:spPr>
          <a:xfrm>
            <a:off x="3175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30" name="$AS$116">
            <a:extLst>
              <a:ext uri="{FF2B5EF4-FFF2-40B4-BE49-F238E27FC236}">
                <a16:creationId xmlns:a16="http://schemas.microsoft.com/office/drawing/2014/main" id="{00000000-0008-0000-0C00-0000BE7D4100}"/>
              </a:ext>
            </a:extLst>
          </xdr:cNvPr>
          <xdr:cNvSpPr/>
        </xdr:nvSpPr>
        <xdr:spPr>
          <a:xfrm>
            <a:off x="3302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31" name="$AS$116">
            <a:extLst>
              <a:ext uri="{FF2B5EF4-FFF2-40B4-BE49-F238E27FC236}">
                <a16:creationId xmlns:a16="http://schemas.microsoft.com/office/drawing/2014/main" id="{00000000-0008-0000-0C00-0000BF7D4100}"/>
              </a:ext>
            </a:extLst>
          </xdr:cNvPr>
          <xdr:cNvSpPr/>
        </xdr:nvSpPr>
        <xdr:spPr>
          <a:xfrm>
            <a:off x="3556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32" name="$AS$116">
            <a:extLst>
              <a:ext uri="{FF2B5EF4-FFF2-40B4-BE49-F238E27FC236}">
                <a16:creationId xmlns:a16="http://schemas.microsoft.com/office/drawing/2014/main" id="{00000000-0008-0000-0C00-0000C07D4100}"/>
              </a:ext>
            </a:extLst>
          </xdr:cNvPr>
          <xdr:cNvSpPr/>
        </xdr:nvSpPr>
        <xdr:spPr>
          <a:xfrm>
            <a:off x="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33" name="$AS$116">
            <a:extLst>
              <a:ext uri="{FF2B5EF4-FFF2-40B4-BE49-F238E27FC236}">
                <a16:creationId xmlns:a16="http://schemas.microsoft.com/office/drawing/2014/main" id="{00000000-0008-0000-0C00-0000C17D4100}"/>
              </a:ext>
            </a:extLst>
          </xdr:cNvPr>
          <xdr:cNvSpPr/>
        </xdr:nvSpPr>
        <xdr:spPr>
          <a:xfrm>
            <a:off x="25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34" name="$AS$116">
            <a:extLst>
              <a:ext uri="{FF2B5EF4-FFF2-40B4-BE49-F238E27FC236}">
                <a16:creationId xmlns:a16="http://schemas.microsoft.com/office/drawing/2014/main" id="{00000000-0008-0000-0C00-0000C27D4100}"/>
              </a:ext>
            </a:extLst>
          </xdr:cNvPr>
          <xdr:cNvSpPr/>
        </xdr:nvSpPr>
        <xdr:spPr>
          <a:xfrm>
            <a:off x="381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35" name="$AS$116">
            <a:extLst>
              <a:ext uri="{FF2B5EF4-FFF2-40B4-BE49-F238E27FC236}">
                <a16:creationId xmlns:a16="http://schemas.microsoft.com/office/drawing/2014/main" id="{00000000-0008-0000-0C00-0000C37D4100}"/>
              </a:ext>
            </a:extLst>
          </xdr:cNvPr>
          <xdr:cNvSpPr/>
        </xdr:nvSpPr>
        <xdr:spPr>
          <a:xfrm>
            <a:off x="508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36" name="$AS$116">
            <a:extLst>
              <a:ext uri="{FF2B5EF4-FFF2-40B4-BE49-F238E27FC236}">
                <a16:creationId xmlns:a16="http://schemas.microsoft.com/office/drawing/2014/main" id="{00000000-0008-0000-0C00-0000C47D4100}"/>
              </a:ext>
            </a:extLst>
          </xdr:cNvPr>
          <xdr:cNvSpPr/>
        </xdr:nvSpPr>
        <xdr:spPr>
          <a:xfrm>
            <a:off x="762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37" name="$AS$116">
            <a:extLst>
              <a:ext uri="{FF2B5EF4-FFF2-40B4-BE49-F238E27FC236}">
                <a16:creationId xmlns:a16="http://schemas.microsoft.com/office/drawing/2014/main" id="{00000000-0008-0000-0C00-0000C57D4100}"/>
              </a:ext>
            </a:extLst>
          </xdr:cNvPr>
          <xdr:cNvSpPr/>
        </xdr:nvSpPr>
        <xdr:spPr>
          <a:xfrm>
            <a:off x="152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38" name="$AS$116">
            <a:extLst>
              <a:ext uri="{FF2B5EF4-FFF2-40B4-BE49-F238E27FC236}">
                <a16:creationId xmlns:a16="http://schemas.microsoft.com/office/drawing/2014/main" id="{00000000-0008-0000-0C00-0000C67D4100}"/>
              </a:ext>
            </a:extLst>
          </xdr:cNvPr>
          <xdr:cNvSpPr/>
        </xdr:nvSpPr>
        <xdr:spPr>
          <a:xfrm>
            <a:off x="1651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39" name="$AS$116">
            <a:extLst>
              <a:ext uri="{FF2B5EF4-FFF2-40B4-BE49-F238E27FC236}">
                <a16:creationId xmlns:a16="http://schemas.microsoft.com/office/drawing/2014/main" id="{00000000-0008-0000-0C00-0000C77D4100}"/>
              </a:ext>
            </a:extLst>
          </xdr:cNvPr>
          <xdr:cNvSpPr/>
        </xdr:nvSpPr>
        <xdr:spPr>
          <a:xfrm>
            <a:off x="2286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40" name="$AS$116">
            <a:extLst>
              <a:ext uri="{FF2B5EF4-FFF2-40B4-BE49-F238E27FC236}">
                <a16:creationId xmlns:a16="http://schemas.microsoft.com/office/drawing/2014/main" id="{00000000-0008-0000-0C00-0000C87D4100}"/>
              </a:ext>
            </a:extLst>
          </xdr:cNvPr>
          <xdr:cNvSpPr/>
        </xdr:nvSpPr>
        <xdr:spPr>
          <a:xfrm>
            <a:off x="2540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41" name="$AS$116">
            <a:extLst>
              <a:ext uri="{FF2B5EF4-FFF2-40B4-BE49-F238E27FC236}">
                <a16:creationId xmlns:a16="http://schemas.microsoft.com/office/drawing/2014/main" id="{00000000-0008-0000-0C00-0000C97D4100}"/>
              </a:ext>
            </a:extLst>
          </xdr:cNvPr>
          <xdr:cNvSpPr/>
        </xdr:nvSpPr>
        <xdr:spPr>
          <a:xfrm>
            <a:off x="279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42" name="$AS$116">
            <a:extLst>
              <a:ext uri="{FF2B5EF4-FFF2-40B4-BE49-F238E27FC236}">
                <a16:creationId xmlns:a16="http://schemas.microsoft.com/office/drawing/2014/main" id="{00000000-0008-0000-0C00-0000CA7D4100}"/>
              </a:ext>
            </a:extLst>
          </xdr:cNvPr>
          <xdr:cNvSpPr/>
        </xdr:nvSpPr>
        <xdr:spPr>
          <a:xfrm>
            <a:off x="3048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43" name="$AS$116">
            <a:extLst>
              <a:ext uri="{FF2B5EF4-FFF2-40B4-BE49-F238E27FC236}">
                <a16:creationId xmlns:a16="http://schemas.microsoft.com/office/drawing/2014/main" id="{00000000-0008-0000-0C00-0000CB7D4100}"/>
              </a:ext>
            </a:extLst>
          </xdr:cNvPr>
          <xdr:cNvSpPr/>
        </xdr:nvSpPr>
        <xdr:spPr>
          <a:xfrm>
            <a:off x="3175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44" name="$AS$116">
            <a:extLst>
              <a:ext uri="{FF2B5EF4-FFF2-40B4-BE49-F238E27FC236}">
                <a16:creationId xmlns:a16="http://schemas.microsoft.com/office/drawing/2014/main" id="{00000000-0008-0000-0C00-0000CC7D4100}"/>
              </a:ext>
            </a:extLst>
          </xdr:cNvPr>
          <xdr:cNvSpPr/>
        </xdr:nvSpPr>
        <xdr:spPr>
          <a:xfrm>
            <a:off x="3302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45" name="$AS$116">
            <a:extLst>
              <a:ext uri="{FF2B5EF4-FFF2-40B4-BE49-F238E27FC236}">
                <a16:creationId xmlns:a16="http://schemas.microsoft.com/office/drawing/2014/main" id="{00000000-0008-0000-0C00-0000CD7D4100}"/>
              </a:ext>
            </a:extLst>
          </xdr:cNvPr>
          <xdr:cNvSpPr/>
        </xdr:nvSpPr>
        <xdr:spPr>
          <a:xfrm>
            <a:off x="3556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46" name="$AS$116">
            <a:extLst>
              <a:ext uri="{FF2B5EF4-FFF2-40B4-BE49-F238E27FC236}">
                <a16:creationId xmlns:a16="http://schemas.microsoft.com/office/drawing/2014/main" id="{00000000-0008-0000-0C00-0000CE7D4100}"/>
              </a:ext>
            </a:extLst>
          </xdr:cNvPr>
          <xdr:cNvSpPr/>
        </xdr:nvSpPr>
        <xdr:spPr>
          <a:xfrm>
            <a:off x="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47" name="$AS$116">
            <a:extLst>
              <a:ext uri="{FF2B5EF4-FFF2-40B4-BE49-F238E27FC236}">
                <a16:creationId xmlns:a16="http://schemas.microsoft.com/office/drawing/2014/main" id="{00000000-0008-0000-0C00-0000CF7D4100}"/>
              </a:ext>
            </a:extLst>
          </xdr:cNvPr>
          <xdr:cNvSpPr/>
        </xdr:nvSpPr>
        <xdr:spPr>
          <a:xfrm>
            <a:off x="254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48" name="$AS$116">
            <a:extLst>
              <a:ext uri="{FF2B5EF4-FFF2-40B4-BE49-F238E27FC236}">
                <a16:creationId xmlns:a16="http://schemas.microsoft.com/office/drawing/2014/main" id="{00000000-0008-0000-0C00-0000D07D4100}"/>
              </a:ext>
            </a:extLst>
          </xdr:cNvPr>
          <xdr:cNvSpPr/>
        </xdr:nvSpPr>
        <xdr:spPr>
          <a:xfrm>
            <a:off x="381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49" name="$AS$116">
            <a:extLst>
              <a:ext uri="{FF2B5EF4-FFF2-40B4-BE49-F238E27FC236}">
                <a16:creationId xmlns:a16="http://schemas.microsoft.com/office/drawing/2014/main" id="{00000000-0008-0000-0C00-0000D17D4100}"/>
              </a:ext>
            </a:extLst>
          </xdr:cNvPr>
          <xdr:cNvSpPr/>
        </xdr:nvSpPr>
        <xdr:spPr>
          <a:xfrm>
            <a:off x="508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50" name="$AS$116">
            <a:extLst>
              <a:ext uri="{FF2B5EF4-FFF2-40B4-BE49-F238E27FC236}">
                <a16:creationId xmlns:a16="http://schemas.microsoft.com/office/drawing/2014/main" id="{00000000-0008-0000-0C00-0000D27D4100}"/>
              </a:ext>
            </a:extLst>
          </xdr:cNvPr>
          <xdr:cNvSpPr/>
        </xdr:nvSpPr>
        <xdr:spPr>
          <a:xfrm>
            <a:off x="762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51" name="$AS$116">
            <a:extLst>
              <a:ext uri="{FF2B5EF4-FFF2-40B4-BE49-F238E27FC236}">
                <a16:creationId xmlns:a16="http://schemas.microsoft.com/office/drawing/2014/main" id="{00000000-0008-0000-0C00-0000D37D4100}"/>
              </a:ext>
            </a:extLst>
          </xdr:cNvPr>
          <xdr:cNvSpPr/>
        </xdr:nvSpPr>
        <xdr:spPr>
          <a:xfrm>
            <a:off x="1270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52" name="$AS$116">
            <a:extLst>
              <a:ext uri="{FF2B5EF4-FFF2-40B4-BE49-F238E27FC236}">
                <a16:creationId xmlns:a16="http://schemas.microsoft.com/office/drawing/2014/main" id="{00000000-0008-0000-0C00-0000D47D4100}"/>
              </a:ext>
            </a:extLst>
          </xdr:cNvPr>
          <xdr:cNvSpPr/>
        </xdr:nvSpPr>
        <xdr:spPr>
          <a:xfrm>
            <a:off x="1524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53" name="$AS$116">
            <a:extLst>
              <a:ext uri="{FF2B5EF4-FFF2-40B4-BE49-F238E27FC236}">
                <a16:creationId xmlns:a16="http://schemas.microsoft.com/office/drawing/2014/main" id="{00000000-0008-0000-0C00-0000D57D4100}"/>
              </a:ext>
            </a:extLst>
          </xdr:cNvPr>
          <xdr:cNvSpPr/>
        </xdr:nvSpPr>
        <xdr:spPr>
          <a:xfrm>
            <a:off x="1778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54" name="$AS$116">
            <a:extLst>
              <a:ext uri="{FF2B5EF4-FFF2-40B4-BE49-F238E27FC236}">
                <a16:creationId xmlns:a16="http://schemas.microsoft.com/office/drawing/2014/main" id="{00000000-0008-0000-0C00-0000D67D4100}"/>
              </a:ext>
            </a:extLst>
          </xdr:cNvPr>
          <xdr:cNvSpPr/>
        </xdr:nvSpPr>
        <xdr:spPr>
          <a:xfrm>
            <a:off x="1905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55" name="$AS$116">
            <a:extLst>
              <a:ext uri="{FF2B5EF4-FFF2-40B4-BE49-F238E27FC236}">
                <a16:creationId xmlns:a16="http://schemas.microsoft.com/office/drawing/2014/main" id="{00000000-0008-0000-0C00-0000D77D4100}"/>
              </a:ext>
            </a:extLst>
          </xdr:cNvPr>
          <xdr:cNvSpPr/>
        </xdr:nvSpPr>
        <xdr:spPr>
          <a:xfrm>
            <a:off x="2286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56" name="$AS$116">
            <a:extLst>
              <a:ext uri="{FF2B5EF4-FFF2-40B4-BE49-F238E27FC236}">
                <a16:creationId xmlns:a16="http://schemas.microsoft.com/office/drawing/2014/main" id="{00000000-0008-0000-0C00-0000D87D4100}"/>
              </a:ext>
            </a:extLst>
          </xdr:cNvPr>
          <xdr:cNvSpPr/>
        </xdr:nvSpPr>
        <xdr:spPr>
          <a:xfrm>
            <a:off x="2413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57" name="$AS$116">
            <a:extLst>
              <a:ext uri="{FF2B5EF4-FFF2-40B4-BE49-F238E27FC236}">
                <a16:creationId xmlns:a16="http://schemas.microsoft.com/office/drawing/2014/main" id="{00000000-0008-0000-0C00-0000D97D4100}"/>
              </a:ext>
            </a:extLst>
          </xdr:cNvPr>
          <xdr:cNvSpPr/>
        </xdr:nvSpPr>
        <xdr:spPr>
          <a:xfrm>
            <a:off x="2540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58" name="$AS$116">
            <a:extLst>
              <a:ext uri="{FF2B5EF4-FFF2-40B4-BE49-F238E27FC236}">
                <a16:creationId xmlns:a16="http://schemas.microsoft.com/office/drawing/2014/main" id="{00000000-0008-0000-0C00-0000DA7D4100}"/>
              </a:ext>
            </a:extLst>
          </xdr:cNvPr>
          <xdr:cNvSpPr/>
        </xdr:nvSpPr>
        <xdr:spPr>
          <a:xfrm>
            <a:off x="2794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59" name="$AS$116">
            <a:extLst>
              <a:ext uri="{FF2B5EF4-FFF2-40B4-BE49-F238E27FC236}">
                <a16:creationId xmlns:a16="http://schemas.microsoft.com/office/drawing/2014/main" id="{00000000-0008-0000-0C00-0000DB7D4100}"/>
              </a:ext>
            </a:extLst>
          </xdr:cNvPr>
          <xdr:cNvSpPr/>
        </xdr:nvSpPr>
        <xdr:spPr>
          <a:xfrm>
            <a:off x="3048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60" name="$AS$116">
            <a:extLst>
              <a:ext uri="{FF2B5EF4-FFF2-40B4-BE49-F238E27FC236}">
                <a16:creationId xmlns:a16="http://schemas.microsoft.com/office/drawing/2014/main" id="{00000000-0008-0000-0C00-0000DC7D4100}"/>
              </a:ext>
            </a:extLst>
          </xdr:cNvPr>
          <xdr:cNvSpPr/>
        </xdr:nvSpPr>
        <xdr:spPr>
          <a:xfrm>
            <a:off x="3175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61" name="$AS$116">
            <a:extLst>
              <a:ext uri="{FF2B5EF4-FFF2-40B4-BE49-F238E27FC236}">
                <a16:creationId xmlns:a16="http://schemas.microsoft.com/office/drawing/2014/main" id="{00000000-0008-0000-0C00-0000DD7D4100}"/>
              </a:ext>
            </a:extLst>
          </xdr:cNvPr>
          <xdr:cNvSpPr/>
        </xdr:nvSpPr>
        <xdr:spPr>
          <a:xfrm>
            <a:off x="3302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62" name="$AS$116">
            <a:extLst>
              <a:ext uri="{FF2B5EF4-FFF2-40B4-BE49-F238E27FC236}">
                <a16:creationId xmlns:a16="http://schemas.microsoft.com/office/drawing/2014/main" id="{00000000-0008-0000-0C00-0000DE7D4100}"/>
              </a:ext>
            </a:extLst>
          </xdr:cNvPr>
          <xdr:cNvSpPr/>
        </xdr:nvSpPr>
        <xdr:spPr>
          <a:xfrm>
            <a:off x="3556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63" name="$AS$116">
            <a:extLst>
              <a:ext uri="{FF2B5EF4-FFF2-40B4-BE49-F238E27FC236}">
                <a16:creationId xmlns:a16="http://schemas.microsoft.com/office/drawing/2014/main" id="{00000000-0008-0000-0C00-0000DF7D4100}"/>
              </a:ext>
            </a:extLst>
          </xdr:cNvPr>
          <xdr:cNvSpPr/>
        </xdr:nvSpPr>
        <xdr:spPr>
          <a:xfrm>
            <a:off x="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64" name="$AS$116">
            <a:extLst>
              <a:ext uri="{FF2B5EF4-FFF2-40B4-BE49-F238E27FC236}">
                <a16:creationId xmlns:a16="http://schemas.microsoft.com/office/drawing/2014/main" id="{00000000-0008-0000-0C00-0000E07D4100}"/>
              </a:ext>
            </a:extLst>
          </xdr:cNvPr>
          <xdr:cNvSpPr/>
        </xdr:nvSpPr>
        <xdr:spPr>
          <a:xfrm>
            <a:off x="762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65" name="$AS$116">
            <a:extLst>
              <a:ext uri="{FF2B5EF4-FFF2-40B4-BE49-F238E27FC236}">
                <a16:creationId xmlns:a16="http://schemas.microsoft.com/office/drawing/2014/main" id="{00000000-0008-0000-0C00-0000E17D4100}"/>
              </a:ext>
            </a:extLst>
          </xdr:cNvPr>
          <xdr:cNvSpPr/>
        </xdr:nvSpPr>
        <xdr:spPr>
          <a:xfrm>
            <a:off x="1016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66" name="$AS$116">
            <a:extLst>
              <a:ext uri="{FF2B5EF4-FFF2-40B4-BE49-F238E27FC236}">
                <a16:creationId xmlns:a16="http://schemas.microsoft.com/office/drawing/2014/main" id="{00000000-0008-0000-0C00-0000E27D4100}"/>
              </a:ext>
            </a:extLst>
          </xdr:cNvPr>
          <xdr:cNvSpPr/>
        </xdr:nvSpPr>
        <xdr:spPr>
          <a:xfrm>
            <a:off x="1905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67" name="$AS$116">
            <a:extLst>
              <a:ext uri="{FF2B5EF4-FFF2-40B4-BE49-F238E27FC236}">
                <a16:creationId xmlns:a16="http://schemas.microsoft.com/office/drawing/2014/main" id="{00000000-0008-0000-0C00-0000E37D4100}"/>
              </a:ext>
            </a:extLst>
          </xdr:cNvPr>
          <xdr:cNvSpPr/>
        </xdr:nvSpPr>
        <xdr:spPr>
          <a:xfrm>
            <a:off x="2032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68" name="$AS$116">
            <a:extLst>
              <a:ext uri="{FF2B5EF4-FFF2-40B4-BE49-F238E27FC236}">
                <a16:creationId xmlns:a16="http://schemas.microsoft.com/office/drawing/2014/main" id="{00000000-0008-0000-0C00-0000E47D4100}"/>
              </a:ext>
            </a:extLst>
          </xdr:cNvPr>
          <xdr:cNvSpPr/>
        </xdr:nvSpPr>
        <xdr:spPr>
          <a:xfrm>
            <a:off x="2794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69" name="$AS$116">
            <a:extLst>
              <a:ext uri="{FF2B5EF4-FFF2-40B4-BE49-F238E27FC236}">
                <a16:creationId xmlns:a16="http://schemas.microsoft.com/office/drawing/2014/main" id="{00000000-0008-0000-0C00-0000E57D4100}"/>
              </a:ext>
            </a:extLst>
          </xdr:cNvPr>
          <xdr:cNvSpPr/>
        </xdr:nvSpPr>
        <xdr:spPr>
          <a:xfrm>
            <a:off x="3556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70" name="$AS$116">
            <a:extLst>
              <a:ext uri="{FF2B5EF4-FFF2-40B4-BE49-F238E27FC236}">
                <a16:creationId xmlns:a16="http://schemas.microsoft.com/office/drawing/2014/main" id="{00000000-0008-0000-0C00-0000E67D4100}"/>
              </a:ext>
            </a:extLst>
          </xdr:cNvPr>
          <xdr:cNvSpPr/>
        </xdr:nvSpPr>
        <xdr:spPr>
          <a:xfrm>
            <a:off x="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71" name="$AS$116">
            <a:extLst>
              <a:ext uri="{FF2B5EF4-FFF2-40B4-BE49-F238E27FC236}">
                <a16:creationId xmlns:a16="http://schemas.microsoft.com/office/drawing/2014/main" id="{00000000-0008-0000-0C00-0000E77D4100}"/>
              </a:ext>
            </a:extLst>
          </xdr:cNvPr>
          <xdr:cNvSpPr/>
        </xdr:nvSpPr>
        <xdr:spPr>
          <a:xfrm>
            <a:off x="127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72" name="$AS$116">
            <a:extLst>
              <a:ext uri="{FF2B5EF4-FFF2-40B4-BE49-F238E27FC236}">
                <a16:creationId xmlns:a16="http://schemas.microsoft.com/office/drawing/2014/main" id="{00000000-0008-0000-0C00-0000E87D4100}"/>
              </a:ext>
            </a:extLst>
          </xdr:cNvPr>
          <xdr:cNvSpPr/>
        </xdr:nvSpPr>
        <xdr:spPr>
          <a:xfrm>
            <a:off x="25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73" name="$AS$116">
            <a:extLst>
              <a:ext uri="{FF2B5EF4-FFF2-40B4-BE49-F238E27FC236}">
                <a16:creationId xmlns:a16="http://schemas.microsoft.com/office/drawing/2014/main" id="{00000000-0008-0000-0C00-0000E97D4100}"/>
              </a:ext>
            </a:extLst>
          </xdr:cNvPr>
          <xdr:cNvSpPr/>
        </xdr:nvSpPr>
        <xdr:spPr>
          <a:xfrm>
            <a:off x="381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74" name="$AS$116">
            <a:extLst>
              <a:ext uri="{FF2B5EF4-FFF2-40B4-BE49-F238E27FC236}">
                <a16:creationId xmlns:a16="http://schemas.microsoft.com/office/drawing/2014/main" id="{00000000-0008-0000-0C00-0000EA7D4100}"/>
              </a:ext>
            </a:extLst>
          </xdr:cNvPr>
          <xdr:cNvSpPr/>
        </xdr:nvSpPr>
        <xdr:spPr>
          <a:xfrm>
            <a:off x="508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75" name="$AS$116">
            <a:extLst>
              <a:ext uri="{FF2B5EF4-FFF2-40B4-BE49-F238E27FC236}">
                <a16:creationId xmlns:a16="http://schemas.microsoft.com/office/drawing/2014/main" id="{00000000-0008-0000-0C00-0000EB7D4100}"/>
              </a:ext>
            </a:extLst>
          </xdr:cNvPr>
          <xdr:cNvSpPr/>
        </xdr:nvSpPr>
        <xdr:spPr>
          <a:xfrm>
            <a:off x="635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76" name="$AS$116">
            <a:extLst>
              <a:ext uri="{FF2B5EF4-FFF2-40B4-BE49-F238E27FC236}">
                <a16:creationId xmlns:a16="http://schemas.microsoft.com/office/drawing/2014/main" id="{00000000-0008-0000-0C00-0000EC7D4100}"/>
              </a:ext>
            </a:extLst>
          </xdr:cNvPr>
          <xdr:cNvSpPr/>
        </xdr:nvSpPr>
        <xdr:spPr>
          <a:xfrm>
            <a:off x="762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77" name="$AS$116">
            <a:extLst>
              <a:ext uri="{FF2B5EF4-FFF2-40B4-BE49-F238E27FC236}">
                <a16:creationId xmlns:a16="http://schemas.microsoft.com/office/drawing/2014/main" id="{00000000-0008-0000-0C00-0000ED7D4100}"/>
              </a:ext>
            </a:extLst>
          </xdr:cNvPr>
          <xdr:cNvSpPr/>
        </xdr:nvSpPr>
        <xdr:spPr>
          <a:xfrm>
            <a:off x="1016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78" name="$AS$116">
            <a:extLst>
              <a:ext uri="{FF2B5EF4-FFF2-40B4-BE49-F238E27FC236}">
                <a16:creationId xmlns:a16="http://schemas.microsoft.com/office/drawing/2014/main" id="{00000000-0008-0000-0C00-0000EE7D4100}"/>
              </a:ext>
            </a:extLst>
          </xdr:cNvPr>
          <xdr:cNvSpPr/>
        </xdr:nvSpPr>
        <xdr:spPr>
          <a:xfrm>
            <a:off x="1270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79" name="$AS$116">
            <a:extLst>
              <a:ext uri="{FF2B5EF4-FFF2-40B4-BE49-F238E27FC236}">
                <a16:creationId xmlns:a16="http://schemas.microsoft.com/office/drawing/2014/main" id="{00000000-0008-0000-0C00-0000EF7D4100}"/>
              </a:ext>
            </a:extLst>
          </xdr:cNvPr>
          <xdr:cNvSpPr/>
        </xdr:nvSpPr>
        <xdr:spPr>
          <a:xfrm>
            <a:off x="152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80" name="$AS$116">
            <a:extLst>
              <a:ext uri="{FF2B5EF4-FFF2-40B4-BE49-F238E27FC236}">
                <a16:creationId xmlns:a16="http://schemas.microsoft.com/office/drawing/2014/main" id="{00000000-0008-0000-0C00-0000F07D4100}"/>
              </a:ext>
            </a:extLst>
          </xdr:cNvPr>
          <xdr:cNvSpPr/>
        </xdr:nvSpPr>
        <xdr:spPr>
          <a:xfrm>
            <a:off x="1778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81" name="$AS$116">
            <a:extLst>
              <a:ext uri="{FF2B5EF4-FFF2-40B4-BE49-F238E27FC236}">
                <a16:creationId xmlns:a16="http://schemas.microsoft.com/office/drawing/2014/main" id="{00000000-0008-0000-0C00-0000F17D4100}"/>
              </a:ext>
            </a:extLst>
          </xdr:cNvPr>
          <xdr:cNvSpPr/>
        </xdr:nvSpPr>
        <xdr:spPr>
          <a:xfrm>
            <a:off x="2032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82" name="$AS$116">
            <a:extLst>
              <a:ext uri="{FF2B5EF4-FFF2-40B4-BE49-F238E27FC236}">
                <a16:creationId xmlns:a16="http://schemas.microsoft.com/office/drawing/2014/main" id="{00000000-0008-0000-0C00-0000F27D4100}"/>
              </a:ext>
            </a:extLst>
          </xdr:cNvPr>
          <xdr:cNvSpPr/>
        </xdr:nvSpPr>
        <xdr:spPr>
          <a:xfrm>
            <a:off x="2286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83" name="$AS$116">
            <a:extLst>
              <a:ext uri="{FF2B5EF4-FFF2-40B4-BE49-F238E27FC236}">
                <a16:creationId xmlns:a16="http://schemas.microsoft.com/office/drawing/2014/main" id="{00000000-0008-0000-0C00-0000F37D4100}"/>
              </a:ext>
            </a:extLst>
          </xdr:cNvPr>
          <xdr:cNvSpPr/>
        </xdr:nvSpPr>
        <xdr:spPr>
          <a:xfrm>
            <a:off x="2540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84" name="$AS$116">
            <a:extLst>
              <a:ext uri="{FF2B5EF4-FFF2-40B4-BE49-F238E27FC236}">
                <a16:creationId xmlns:a16="http://schemas.microsoft.com/office/drawing/2014/main" id="{00000000-0008-0000-0C00-0000F47D4100}"/>
              </a:ext>
            </a:extLst>
          </xdr:cNvPr>
          <xdr:cNvSpPr/>
        </xdr:nvSpPr>
        <xdr:spPr>
          <a:xfrm>
            <a:off x="279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85" name="$AS$116">
            <a:extLst>
              <a:ext uri="{FF2B5EF4-FFF2-40B4-BE49-F238E27FC236}">
                <a16:creationId xmlns:a16="http://schemas.microsoft.com/office/drawing/2014/main" id="{00000000-0008-0000-0C00-0000F57D4100}"/>
              </a:ext>
            </a:extLst>
          </xdr:cNvPr>
          <xdr:cNvSpPr/>
        </xdr:nvSpPr>
        <xdr:spPr>
          <a:xfrm>
            <a:off x="2921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86" name="$AS$116">
            <a:extLst>
              <a:ext uri="{FF2B5EF4-FFF2-40B4-BE49-F238E27FC236}">
                <a16:creationId xmlns:a16="http://schemas.microsoft.com/office/drawing/2014/main" id="{00000000-0008-0000-0C00-0000F67D4100}"/>
              </a:ext>
            </a:extLst>
          </xdr:cNvPr>
          <xdr:cNvSpPr/>
        </xdr:nvSpPr>
        <xdr:spPr>
          <a:xfrm>
            <a:off x="3048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87" name="$AS$116">
            <a:extLst>
              <a:ext uri="{FF2B5EF4-FFF2-40B4-BE49-F238E27FC236}">
                <a16:creationId xmlns:a16="http://schemas.microsoft.com/office/drawing/2014/main" id="{00000000-0008-0000-0C00-0000F77D4100}"/>
              </a:ext>
            </a:extLst>
          </xdr:cNvPr>
          <xdr:cNvSpPr/>
        </xdr:nvSpPr>
        <xdr:spPr>
          <a:xfrm>
            <a:off x="3175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88" name="$AS$116">
            <a:extLst>
              <a:ext uri="{FF2B5EF4-FFF2-40B4-BE49-F238E27FC236}">
                <a16:creationId xmlns:a16="http://schemas.microsoft.com/office/drawing/2014/main" id="{00000000-0008-0000-0C00-0000F87D4100}"/>
              </a:ext>
            </a:extLst>
          </xdr:cNvPr>
          <xdr:cNvSpPr/>
        </xdr:nvSpPr>
        <xdr:spPr>
          <a:xfrm>
            <a:off x="3302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89" name="$AS$116">
            <a:extLst>
              <a:ext uri="{FF2B5EF4-FFF2-40B4-BE49-F238E27FC236}">
                <a16:creationId xmlns:a16="http://schemas.microsoft.com/office/drawing/2014/main" id="{00000000-0008-0000-0C00-0000F97D4100}"/>
              </a:ext>
            </a:extLst>
          </xdr:cNvPr>
          <xdr:cNvSpPr/>
        </xdr:nvSpPr>
        <xdr:spPr>
          <a:xfrm>
            <a:off x="3429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90" name="$AS$116">
            <a:extLst>
              <a:ext uri="{FF2B5EF4-FFF2-40B4-BE49-F238E27FC236}">
                <a16:creationId xmlns:a16="http://schemas.microsoft.com/office/drawing/2014/main" id="{00000000-0008-0000-0C00-0000FA7D4100}"/>
              </a:ext>
            </a:extLst>
          </xdr:cNvPr>
          <xdr:cNvSpPr/>
        </xdr:nvSpPr>
        <xdr:spPr>
          <a:xfrm>
            <a:off x="3556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91" name="$AS$116">
            <a:extLst>
              <a:ext uri="{FF2B5EF4-FFF2-40B4-BE49-F238E27FC236}">
                <a16:creationId xmlns:a16="http://schemas.microsoft.com/office/drawing/2014/main" id="{00000000-0008-0000-0C00-0000FB7D4100}"/>
              </a:ext>
            </a:extLst>
          </xdr:cNvPr>
          <xdr:cNvSpPr/>
        </xdr:nvSpPr>
        <xdr:spPr>
          <a:xfrm>
            <a:off x="1143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92" name="$AS$116">
            <a:extLst>
              <a:ext uri="{FF2B5EF4-FFF2-40B4-BE49-F238E27FC236}">
                <a16:creationId xmlns:a16="http://schemas.microsoft.com/office/drawing/2014/main" id="{00000000-0008-0000-0C00-0000FC7D4100}"/>
              </a:ext>
            </a:extLst>
          </xdr:cNvPr>
          <xdr:cNvSpPr/>
        </xdr:nvSpPr>
        <xdr:spPr>
          <a:xfrm>
            <a:off x="1270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93" name="$AS$116">
            <a:extLst>
              <a:ext uri="{FF2B5EF4-FFF2-40B4-BE49-F238E27FC236}">
                <a16:creationId xmlns:a16="http://schemas.microsoft.com/office/drawing/2014/main" id="{00000000-0008-0000-0C00-0000FD7D4100}"/>
              </a:ext>
            </a:extLst>
          </xdr:cNvPr>
          <xdr:cNvSpPr/>
        </xdr:nvSpPr>
        <xdr:spPr>
          <a:xfrm>
            <a:off x="1524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94" name="$AS$116">
            <a:extLst>
              <a:ext uri="{FF2B5EF4-FFF2-40B4-BE49-F238E27FC236}">
                <a16:creationId xmlns:a16="http://schemas.microsoft.com/office/drawing/2014/main" id="{00000000-0008-0000-0C00-0000FE7D4100}"/>
              </a:ext>
            </a:extLst>
          </xdr:cNvPr>
          <xdr:cNvSpPr/>
        </xdr:nvSpPr>
        <xdr:spPr>
          <a:xfrm>
            <a:off x="1651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95" name="$AS$116">
            <a:extLst>
              <a:ext uri="{FF2B5EF4-FFF2-40B4-BE49-F238E27FC236}">
                <a16:creationId xmlns:a16="http://schemas.microsoft.com/office/drawing/2014/main" id="{00000000-0008-0000-0C00-0000FF7D4100}"/>
              </a:ext>
            </a:extLst>
          </xdr:cNvPr>
          <xdr:cNvSpPr/>
        </xdr:nvSpPr>
        <xdr:spPr>
          <a:xfrm>
            <a:off x="1905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96" name="$AS$116">
            <a:extLst>
              <a:ext uri="{FF2B5EF4-FFF2-40B4-BE49-F238E27FC236}">
                <a16:creationId xmlns:a16="http://schemas.microsoft.com/office/drawing/2014/main" id="{00000000-0008-0000-0C00-0000007E4100}"/>
              </a:ext>
            </a:extLst>
          </xdr:cNvPr>
          <xdr:cNvSpPr/>
        </xdr:nvSpPr>
        <xdr:spPr>
          <a:xfrm>
            <a:off x="2286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97" name="$AS$116">
            <a:extLst>
              <a:ext uri="{FF2B5EF4-FFF2-40B4-BE49-F238E27FC236}">
                <a16:creationId xmlns:a16="http://schemas.microsoft.com/office/drawing/2014/main" id="{00000000-0008-0000-0C00-0000017E4100}"/>
              </a:ext>
            </a:extLst>
          </xdr:cNvPr>
          <xdr:cNvSpPr/>
        </xdr:nvSpPr>
        <xdr:spPr>
          <a:xfrm>
            <a:off x="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98" name="$AS$116">
            <a:extLst>
              <a:ext uri="{FF2B5EF4-FFF2-40B4-BE49-F238E27FC236}">
                <a16:creationId xmlns:a16="http://schemas.microsoft.com/office/drawing/2014/main" id="{00000000-0008-0000-0C00-0000027E4100}"/>
              </a:ext>
            </a:extLst>
          </xdr:cNvPr>
          <xdr:cNvSpPr/>
        </xdr:nvSpPr>
        <xdr:spPr>
          <a:xfrm>
            <a:off x="381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99" name="$AS$116">
            <a:extLst>
              <a:ext uri="{FF2B5EF4-FFF2-40B4-BE49-F238E27FC236}">
                <a16:creationId xmlns:a16="http://schemas.microsoft.com/office/drawing/2014/main" id="{00000000-0008-0000-0C00-0000037E4100}"/>
              </a:ext>
            </a:extLst>
          </xdr:cNvPr>
          <xdr:cNvSpPr/>
        </xdr:nvSpPr>
        <xdr:spPr>
          <a:xfrm>
            <a:off x="635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00" name="$AS$116">
            <a:extLst>
              <a:ext uri="{FF2B5EF4-FFF2-40B4-BE49-F238E27FC236}">
                <a16:creationId xmlns:a16="http://schemas.microsoft.com/office/drawing/2014/main" id="{00000000-0008-0000-0C00-0000047E4100}"/>
              </a:ext>
            </a:extLst>
          </xdr:cNvPr>
          <xdr:cNvSpPr/>
        </xdr:nvSpPr>
        <xdr:spPr>
          <a:xfrm>
            <a:off x="762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01" name="$AS$116">
            <a:extLst>
              <a:ext uri="{FF2B5EF4-FFF2-40B4-BE49-F238E27FC236}">
                <a16:creationId xmlns:a16="http://schemas.microsoft.com/office/drawing/2014/main" id="{00000000-0008-0000-0C00-0000057E4100}"/>
              </a:ext>
            </a:extLst>
          </xdr:cNvPr>
          <xdr:cNvSpPr/>
        </xdr:nvSpPr>
        <xdr:spPr>
          <a:xfrm>
            <a:off x="1016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02" name="$AS$116">
            <a:extLst>
              <a:ext uri="{FF2B5EF4-FFF2-40B4-BE49-F238E27FC236}">
                <a16:creationId xmlns:a16="http://schemas.microsoft.com/office/drawing/2014/main" id="{00000000-0008-0000-0C00-0000067E4100}"/>
              </a:ext>
            </a:extLst>
          </xdr:cNvPr>
          <xdr:cNvSpPr/>
        </xdr:nvSpPr>
        <xdr:spPr>
          <a:xfrm>
            <a:off x="1143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03" name="$AS$116">
            <a:extLst>
              <a:ext uri="{FF2B5EF4-FFF2-40B4-BE49-F238E27FC236}">
                <a16:creationId xmlns:a16="http://schemas.microsoft.com/office/drawing/2014/main" id="{00000000-0008-0000-0C00-0000077E4100}"/>
              </a:ext>
            </a:extLst>
          </xdr:cNvPr>
          <xdr:cNvSpPr/>
        </xdr:nvSpPr>
        <xdr:spPr>
          <a:xfrm>
            <a:off x="1270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04" name="$AS$116">
            <a:extLst>
              <a:ext uri="{FF2B5EF4-FFF2-40B4-BE49-F238E27FC236}">
                <a16:creationId xmlns:a16="http://schemas.microsoft.com/office/drawing/2014/main" id="{00000000-0008-0000-0C00-0000087E4100}"/>
              </a:ext>
            </a:extLst>
          </xdr:cNvPr>
          <xdr:cNvSpPr/>
        </xdr:nvSpPr>
        <xdr:spPr>
          <a:xfrm>
            <a:off x="1524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05" name="$AS$116">
            <a:extLst>
              <a:ext uri="{FF2B5EF4-FFF2-40B4-BE49-F238E27FC236}">
                <a16:creationId xmlns:a16="http://schemas.microsoft.com/office/drawing/2014/main" id="{00000000-0008-0000-0C00-0000097E4100}"/>
              </a:ext>
            </a:extLst>
          </xdr:cNvPr>
          <xdr:cNvSpPr/>
        </xdr:nvSpPr>
        <xdr:spPr>
          <a:xfrm>
            <a:off x="1778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06" name="$AS$116">
            <a:extLst>
              <a:ext uri="{FF2B5EF4-FFF2-40B4-BE49-F238E27FC236}">
                <a16:creationId xmlns:a16="http://schemas.microsoft.com/office/drawing/2014/main" id="{00000000-0008-0000-0C00-00000A7E4100}"/>
              </a:ext>
            </a:extLst>
          </xdr:cNvPr>
          <xdr:cNvSpPr/>
        </xdr:nvSpPr>
        <xdr:spPr>
          <a:xfrm>
            <a:off x="2032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07" name="$AS$116">
            <a:extLst>
              <a:ext uri="{FF2B5EF4-FFF2-40B4-BE49-F238E27FC236}">
                <a16:creationId xmlns:a16="http://schemas.microsoft.com/office/drawing/2014/main" id="{00000000-0008-0000-0C00-00000B7E4100}"/>
              </a:ext>
            </a:extLst>
          </xdr:cNvPr>
          <xdr:cNvSpPr/>
        </xdr:nvSpPr>
        <xdr:spPr>
          <a:xfrm>
            <a:off x="2159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08" name="$AS$116">
            <a:extLst>
              <a:ext uri="{FF2B5EF4-FFF2-40B4-BE49-F238E27FC236}">
                <a16:creationId xmlns:a16="http://schemas.microsoft.com/office/drawing/2014/main" id="{00000000-0008-0000-0C00-00000C7E4100}"/>
              </a:ext>
            </a:extLst>
          </xdr:cNvPr>
          <xdr:cNvSpPr/>
        </xdr:nvSpPr>
        <xdr:spPr>
          <a:xfrm>
            <a:off x="2286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09" name="$AS$116">
            <a:extLst>
              <a:ext uri="{FF2B5EF4-FFF2-40B4-BE49-F238E27FC236}">
                <a16:creationId xmlns:a16="http://schemas.microsoft.com/office/drawing/2014/main" id="{00000000-0008-0000-0C00-00000D7E4100}"/>
              </a:ext>
            </a:extLst>
          </xdr:cNvPr>
          <xdr:cNvSpPr/>
        </xdr:nvSpPr>
        <xdr:spPr>
          <a:xfrm>
            <a:off x="2667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10" name="$AS$116">
            <a:extLst>
              <a:ext uri="{FF2B5EF4-FFF2-40B4-BE49-F238E27FC236}">
                <a16:creationId xmlns:a16="http://schemas.microsoft.com/office/drawing/2014/main" id="{00000000-0008-0000-0C00-00000E7E4100}"/>
              </a:ext>
            </a:extLst>
          </xdr:cNvPr>
          <xdr:cNvSpPr/>
        </xdr:nvSpPr>
        <xdr:spPr>
          <a:xfrm>
            <a:off x="2921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11" name="$AS$116">
            <a:extLst>
              <a:ext uri="{FF2B5EF4-FFF2-40B4-BE49-F238E27FC236}">
                <a16:creationId xmlns:a16="http://schemas.microsoft.com/office/drawing/2014/main" id="{00000000-0008-0000-0C00-00000F7E4100}"/>
              </a:ext>
            </a:extLst>
          </xdr:cNvPr>
          <xdr:cNvSpPr/>
        </xdr:nvSpPr>
        <xdr:spPr>
          <a:xfrm>
            <a:off x="127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12" name="$AS$116">
            <a:extLst>
              <a:ext uri="{FF2B5EF4-FFF2-40B4-BE49-F238E27FC236}">
                <a16:creationId xmlns:a16="http://schemas.microsoft.com/office/drawing/2014/main" id="{00000000-0008-0000-0C00-0000107E4100}"/>
              </a:ext>
            </a:extLst>
          </xdr:cNvPr>
          <xdr:cNvSpPr/>
        </xdr:nvSpPr>
        <xdr:spPr>
          <a:xfrm>
            <a:off x="254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13" name="$AS$116">
            <a:extLst>
              <a:ext uri="{FF2B5EF4-FFF2-40B4-BE49-F238E27FC236}">
                <a16:creationId xmlns:a16="http://schemas.microsoft.com/office/drawing/2014/main" id="{00000000-0008-0000-0C00-0000117E4100}"/>
              </a:ext>
            </a:extLst>
          </xdr:cNvPr>
          <xdr:cNvSpPr/>
        </xdr:nvSpPr>
        <xdr:spPr>
          <a:xfrm>
            <a:off x="508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14" name="$AS$116">
            <a:extLst>
              <a:ext uri="{FF2B5EF4-FFF2-40B4-BE49-F238E27FC236}">
                <a16:creationId xmlns:a16="http://schemas.microsoft.com/office/drawing/2014/main" id="{00000000-0008-0000-0C00-0000127E4100}"/>
              </a:ext>
            </a:extLst>
          </xdr:cNvPr>
          <xdr:cNvSpPr/>
        </xdr:nvSpPr>
        <xdr:spPr>
          <a:xfrm>
            <a:off x="889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15" name="$AS$116">
            <a:extLst>
              <a:ext uri="{FF2B5EF4-FFF2-40B4-BE49-F238E27FC236}">
                <a16:creationId xmlns:a16="http://schemas.microsoft.com/office/drawing/2014/main" id="{00000000-0008-0000-0C00-0000137E4100}"/>
              </a:ext>
            </a:extLst>
          </xdr:cNvPr>
          <xdr:cNvSpPr/>
        </xdr:nvSpPr>
        <xdr:spPr>
          <a:xfrm>
            <a:off x="1143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16" name="$AS$116">
            <a:extLst>
              <a:ext uri="{FF2B5EF4-FFF2-40B4-BE49-F238E27FC236}">
                <a16:creationId xmlns:a16="http://schemas.microsoft.com/office/drawing/2014/main" id="{00000000-0008-0000-0C00-0000147E4100}"/>
              </a:ext>
            </a:extLst>
          </xdr:cNvPr>
          <xdr:cNvSpPr/>
        </xdr:nvSpPr>
        <xdr:spPr>
          <a:xfrm>
            <a:off x="1651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17" name="$AS$116">
            <a:extLst>
              <a:ext uri="{FF2B5EF4-FFF2-40B4-BE49-F238E27FC236}">
                <a16:creationId xmlns:a16="http://schemas.microsoft.com/office/drawing/2014/main" id="{00000000-0008-0000-0C00-0000157E4100}"/>
              </a:ext>
            </a:extLst>
          </xdr:cNvPr>
          <xdr:cNvSpPr/>
        </xdr:nvSpPr>
        <xdr:spPr>
          <a:xfrm>
            <a:off x="1905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18" name="$AS$116">
            <a:extLst>
              <a:ext uri="{FF2B5EF4-FFF2-40B4-BE49-F238E27FC236}">
                <a16:creationId xmlns:a16="http://schemas.microsoft.com/office/drawing/2014/main" id="{00000000-0008-0000-0C00-0000167E4100}"/>
              </a:ext>
            </a:extLst>
          </xdr:cNvPr>
          <xdr:cNvSpPr/>
        </xdr:nvSpPr>
        <xdr:spPr>
          <a:xfrm>
            <a:off x="2286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19" name="$AS$116">
            <a:extLst>
              <a:ext uri="{FF2B5EF4-FFF2-40B4-BE49-F238E27FC236}">
                <a16:creationId xmlns:a16="http://schemas.microsoft.com/office/drawing/2014/main" id="{00000000-0008-0000-0C00-0000177E4100}"/>
              </a:ext>
            </a:extLst>
          </xdr:cNvPr>
          <xdr:cNvSpPr/>
        </xdr:nvSpPr>
        <xdr:spPr>
          <a:xfrm>
            <a:off x="2540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20" name="$AS$116">
            <a:extLst>
              <a:ext uri="{FF2B5EF4-FFF2-40B4-BE49-F238E27FC236}">
                <a16:creationId xmlns:a16="http://schemas.microsoft.com/office/drawing/2014/main" id="{00000000-0008-0000-0C00-0000187E4100}"/>
              </a:ext>
            </a:extLst>
          </xdr:cNvPr>
          <xdr:cNvSpPr/>
        </xdr:nvSpPr>
        <xdr:spPr>
          <a:xfrm>
            <a:off x="2921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21" name="$AS$116">
            <a:extLst>
              <a:ext uri="{FF2B5EF4-FFF2-40B4-BE49-F238E27FC236}">
                <a16:creationId xmlns:a16="http://schemas.microsoft.com/office/drawing/2014/main" id="{00000000-0008-0000-0C00-0000197E4100}"/>
              </a:ext>
            </a:extLst>
          </xdr:cNvPr>
          <xdr:cNvSpPr/>
        </xdr:nvSpPr>
        <xdr:spPr>
          <a:xfrm>
            <a:off x="3048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22" name="$AS$116">
            <a:extLst>
              <a:ext uri="{FF2B5EF4-FFF2-40B4-BE49-F238E27FC236}">
                <a16:creationId xmlns:a16="http://schemas.microsoft.com/office/drawing/2014/main" id="{00000000-0008-0000-0C00-00001A7E4100}"/>
              </a:ext>
            </a:extLst>
          </xdr:cNvPr>
          <xdr:cNvSpPr/>
        </xdr:nvSpPr>
        <xdr:spPr>
          <a:xfrm>
            <a:off x="3302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23" name="$AS$116">
            <a:extLst>
              <a:ext uri="{FF2B5EF4-FFF2-40B4-BE49-F238E27FC236}">
                <a16:creationId xmlns:a16="http://schemas.microsoft.com/office/drawing/2014/main" id="{00000000-0008-0000-0C00-00001B7E4100}"/>
              </a:ext>
            </a:extLst>
          </xdr:cNvPr>
          <xdr:cNvSpPr/>
        </xdr:nvSpPr>
        <xdr:spPr>
          <a:xfrm>
            <a:off x="508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24" name="$AS$116">
            <a:extLst>
              <a:ext uri="{FF2B5EF4-FFF2-40B4-BE49-F238E27FC236}">
                <a16:creationId xmlns:a16="http://schemas.microsoft.com/office/drawing/2014/main" id="{00000000-0008-0000-0C00-00001C7E4100}"/>
              </a:ext>
            </a:extLst>
          </xdr:cNvPr>
          <xdr:cNvSpPr/>
        </xdr:nvSpPr>
        <xdr:spPr>
          <a:xfrm>
            <a:off x="762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25" name="$AS$116">
            <a:extLst>
              <a:ext uri="{FF2B5EF4-FFF2-40B4-BE49-F238E27FC236}">
                <a16:creationId xmlns:a16="http://schemas.microsoft.com/office/drawing/2014/main" id="{00000000-0008-0000-0C00-00001D7E4100}"/>
              </a:ext>
            </a:extLst>
          </xdr:cNvPr>
          <xdr:cNvSpPr/>
        </xdr:nvSpPr>
        <xdr:spPr>
          <a:xfrm>
            <a:off x="889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26" name="$AS$116">
            <a:extLst>
              <a:ext uri="{FF2B5EF4-FFF2-40B4-BE49-F238E27FC236}">
                <a16:creationId xmlns:a16="http://schemas.microsoft.com/office/drawing/2014/main" id="{00000000-0008-0000-0C00-00001E7E4100}"/>
              </a:ext>
            </a:extLst>
          </xdr:cNvPr>
          <xdr:cNvSpPr/>
        </xdr:nvSpPr>
        <xdr:spPr>
          <a:xfrm>
            <a:off x="1143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27" name="$AS$116">
            <a:extLst>
              <a:ext uri="{FF2B5EF4-FFF2-40B4-BE49-F238E27FC236}">
                <a16:creationId xmlns:a16="http://schemas.microsoft.com/office/drawing/2014/main" id="{00000000-0008-0000-0C00-00001F7E4100}"/>
              </a:ext>
            </a:extLst>
          </xdr:cNvPr>
          <xdr:cNvSpPr/>
        </xdr:nvSpPr>
        <xdr:spPr>
          <a:xfrm>
            <a:off x="1270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28" name="$AS$116">
            <a:extLst>
              <a:ext uri="{FF2B5EF4-FFF2-40B4-BE49-F238E27FC236}">
                <a16:creationId xmlns:a16="http://schemas.microsoft.com/office/drawing/2014/main" id="{00000000-0008-0000-0C00-0000207E4100}"/>
              </a:ext>
            </a:extLst>
          </xdr:cNvPr>
          <xdr:cNvSpPr/>
        </xdr:nvSpPr>
        <xdr:spPr>
          <a:xfrm>
            <a:off x="1397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29" name="$AS$116">
            <a:extLst>
              <a:ext uri="{FF2B5EF4-FFF2-40B4-BE49-F238E27FC236}">
                <a16:creationId xmlns:a16="http://schemas.microsoft.com/office/drawing/2014/main" id="{00000000-0008-0000-0C00-0000217E4100}"/>
              </a:ext>
            </a:extLst>
          </xdr:cNvPr>
          <xdr:cNvSpPr/>
        </xdr:nvSpPr>
        <xdr:spPr>
          <a:xfrm>
            <a:off x="1651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30" name="$AS$116">
            <a:extLst>
              <a:ext uri="{FF2B5EF4-FFF2-40B4-BE49-F238E27FC236}">
                <a16:creationId xmlns:a16="http://schemas.microsoft.com/office/drawing/2014/main" id="{00000000-0008-0000-0C00-0000227E4100}"/>
              </a:ext>
            </a:extLst>
          </xdr:cNvPr>
          <xdr:cNvSpPr/>
        </xdr:nvSpPr>
        <xdr:spPr>
          <a:xfrm>
            <a:off x="1778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31" name="$AS$116">
            <a:extLst>
              <a:ext uri="{FF2B5EF4-FFF2-40B4-BE49-F238E27FC236}">
                <a16:creationId xmlns:a16="http://schemas.microsoft.com/office/drawing/2014/main" id="{00000000-0008-0000-0C00-0000237E4100}"/>
              </a:ext>
            </a:extLst>
          </xdr:cNvPr>
          <xdr:cNvSpPr/>
        </xdr:nvSpPr>
        <xdr:spPr>
          <a:xfrm>
            <a:off x="1905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32" name="$AS$116">
            <a:extLst>
              <a:ext uri="{FF2B5EF4-FFF2-40B4-BE49-F238E27FC236}">
                <a16:creationId xmlns:a16="http://schemas.microsoft.com/office/drawing/2014/main" id="{00000000-0008-0000-0C00-0000247E4100}"/>
              </a:ext>
            </a:extLst>
          </xdr:cNvPr>
          <xdr:cNvSpPr/>
        </xdr:nvSpPr>
        <xdr:spPr>
          <a:xfrm>
            <a:off x="2032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33" name="$AS$116">
            <a:extLst>
              <a:ext uri="{FF2B5EF4-FFF2-40B4-BE49-F238E27FC236}">
                <a16:creationId xmlns:a16="http://schemas.microsoft.com/office/drawing/2014/main" id="{00000000-0008-0000-0C00-0000257E4100}"/>
              </a:ext>
            </a:extLst>
          </xdr:cNvPr>
          <xdr:cNvSpPr/>
        </xdr:nvSpPr>
        <xdr:spPr>
          <a:xfrm>
            <a:off x="2159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34" name="$AS$116">
            <a:extLst>
              <a:ext uri="{FF2B5EF4-FFF2-40B4-BE49-F238E27FC236}">
                <a16:creationId xmlns:a16="http://schemas.microsoft.com/office/drawing/2014/main" id="{00000000-0008-0000-0C00-0000267E4100}"/>
              </a:ext>
            </a:extLst>
          </xdr:cNvPr>
          <xdr:cNvSpPr/>
        </xdr:nvSpPr>
        <xdr:spPr>
          <a:xfrm>
            <a:off x="2667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35" name="$AS$116">
            <a:extLst>
              <a:ext uri="{FF2B5EF4-FFF2-40B4-BE49-F238E27FC236}">
                <a16:creationId xmlns:a16="http://schemas.microsoft.com/office/drawing/2014/main" id="{00000000-0008-0000-0C00-0000277E4100}"/>
              </a:ext>
            </a:extLst>
          </xdr:cNvPr>
          <xdr:cNvSpPr/>
        </xdr:nvSpPr>
        <xdr:spPr>
          <a:xfrm>
            <a:off x="2794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36" name="$AS$116">
            <a:extLst>
              <a:ext uri="{FF2B5EF4-FFF2-40B4-BE49-F238E27FC236}">
                <a16:creationId xmlns:a16="http://schemas.microsoft.com/office/drawing/2014/main" id="{00000000-0008-0000-0C00-0000287E4100}"/>
              </a:ext>
            </a:extLst>
          </xdr:cNvPr>
          <xdr:cNvSpPr/>
        </xdr:nvSpPr>
        <xdr:spPr>
          <a:xfrm>
            <a:off x="2921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37" name="$AS$116">
            <a:extLst>
              <a:ext uri="{FF2B5EF4-FFF2-40B4-BE49-F238E27FC236}">
                <a16:creationId xmlns:a16="http://schemas.microsoft.com/office/drawing/2014/main" id="{00000000-0008-0000-0C00-0000297E4100}"/>
              </a:ext>
            </a:extLst>
          </xdr:cNvPr>
          <xdr:cNvSpPr/>
        </xdr:nvSpPr>
        <xdr:spPr>
          <a:xfrm>
            <a:off x="3048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38" name="$AS$116">
            <a:extLst>
              <a:ext uri="{FF2B5EF4-FFF2-40B4-BE49-F238E27FC236}">
                <a16:creationId xmlns:a16="http://schemas.microsoft.com/office/drawing/2014/main" id="{00000000-0008-0000-0C00-00002A7E4100}"/>
              </a:ext>
            </a:extLst>
          </xdr:cNvPr>
          <xdr:cNvSpPr/>
        </xdr:nvSpPr>
        <xdr:spPr>
          <a:xfrm>
            <a:off x="3175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39" name="$AS$116">
            <a:extLst>
              <a:ext uri="{FF2B5EF4-FFF2-40B4-BE49-F238E27FC236}">
                <a16:creationId xmlns:a16="http://schemas.microsoft.com/office/drawing/2014/main" id="{00000000-0008-0000-0C00-00002B7E4100}"/>
              </a:ext>
            </a:extLst>
          </xdr:cNvPr>
          <xdr:cNvSpPr/>
        </xdr:nvSpPr>
        <xdr:spPr>
          <a:xfrm>
            <a:off x="3556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40" name="$AS$116">
            <a:extLst>
              <a:ext uri="{FF2B5EF4-FFF2-40B4-BE49-F238E27FC236}">
                <a16:creationId xmlns:a16="http://schemas.microsoft.com/office/drawing/2014/main" id="{00000000-0008-0000-0C00-00002C7E4100}"/>
              </a:ext>
            </a:extLst>
          </xdr:cNvPr>
          <xdr:cNvSpPr/>
        </xdr:nvSpPr>
        <xdr:spPr>
          <a:xfrm>
            <a:off x="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41" name="$AS$116">
            <a:extLst>
              <a:ext uri="{FF2B5EF4-FFF2-40B4-BE49-F238E27FC236}">
                <a16:creationId xmlns:a16="http://schemas.microsoft.com/office/drawing/2014/main" id="{00000000-0008-0000-0C00-00002D7E4100}"/>
              </a:ext>
            </a:extLst>
          </xdr:cNvPr>
          <xdr:cNvSpPr/>
        </xdr:nvSpPr>
        <xdr:spPr>
          <a:xfrm>
            <a:off x="508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42" name="$AS$116">
            <a:extLst>
              <a:ext uri="{FF2B5EF4-FFF2-40B4-BE49-F238E27FC236}">
                <a16:creationId xmlns:a16="http://schemas.microsoft.com/office/drawing/2014/main" id="{00000000-0008-0000-0C00-00002E7E4100}"/>
              </a:ext>
            </a:extLst>
          </xdr:cNvPr>
          <xdr:cNvSpPr/>
        </xdr:nvSpPr>
        <xdr:spPr>
          <a:xfrm>
            <a:off x="889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43" name="$AS$116">
            <a:extLst>
              <a:ext uri="{FF2B5EF4-FFF2-40B4-BE49-F238E27FC236}">
                <a16:creationId xmlns:a16="http://schemas.microsoft.com/office/drawing/2014/main" id="{00000000-0008-0000-0C00-00002F7E4100}"/>
              </a:ext>
            </a:extLst>
          </xdr:cNvPr>
          <xdr:cNvSpPr/>
        </xdr:nvSpPr>
        <xdr:spPr>
          <a:xfrm>
            <a:off x="1143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44" name="$AS$116">
            <a:extLst>
              <a:ext uri="{FF2B5EF4-FFF2-40B4-BE49-F238E27FC236}">
                <a16:creationId xmlns:a16="http://schemas.microsoft.com/office/drawing/2014/main" id="{00000000-0008-0000-0C00-0000307E4100}"/>
              </a:ext>
            </a:extLst>
          </xdr:cNvPr>
          <xdr:cNvSpPr/>
        </xdr:nvSpPr>
        <xdr:spPr>
          <a:xfrm>
            <a:off x="1270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45" name="$AS$116">
            <a:extLst>
              <a:ext uri="{FF2B5EF4-FFF2-40B4-BE49-F238E27FC236}">
                <a16:creationId xmlns:a16="http://schemas.microsoft.com/office/drawing/2014/main" id="{00000000-0008-0000-0C00-0000317E4100}"/>
              </a:ext>
            </a:extLst>
          </xdr:cNvPr>
          <xdr:cNvSpPr/>
        </xdr:nvSpPr>
        <xdr:spPr>
          <a:xfrm>
            <a:off x="1524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46" name="$AS$116">
            <a:extLst>
              <a:ext uri="{FF2B5EF4-FFF2-40B4-BE49-F238E27FC236}">
                <a16:creationId xmlns:a16="http://schemas.microsoft.com/office/drawing/2014/main" id="{00000000-0008-0000-0C00-0000327E4100}"/>
              </a:ext>
            </a:extLst>
          </xdr:cNvPr>
          <xdr:cNvSpPr/>
        </xdr:nvSpPr>
        <xdr:spPr>
          <a:xfrm>
            <a:off x="1651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47" name="$AS$116">
            <a:extLst>
              <a:ext uri="{FF2B5EF4-FFF2-40B4-BE49-F238E27FC236}">
                <a16:creationId xmlns:a16="http://schemas.microsoft.com/office/drawing/2014/main" id="{00000000-0008-0000-0C00-0000337E4100}"/>
              </a:ext>
            </a:extLst>
          </xdr:cNvPr>
          <xdr:cNvSpPr/>
        </xdr:nvSpPr>
        <xdr:spPr>
          <a:xfrm>
            <a:off x="2032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48" name="$AS$116">
            <a:extLst>
              <a:ext uri="{FF2B5EF4-FFF2-40B4-BE49-F238E27FC236}">
                <a16:creationId xmlns:a16="http://schemas.microsoft.com/office/drawing/2014/main" id="{00000000-0008-0000-0C00-0000347E4100}"/>
              </a:ext>
            </a:extLst>
          </xdr:cNvPr>
          <xdr:cNvSpPr/>
        </xdr:nvSpPr>
        <xdr:spPr>
          <a:xfrm>
            <a:off x="2159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49" name="$AS$116">
            <a:extLst>
              <a:ext uri="{FF2B5EF4-FFF2-40B4-BE49-F238E27FC236}">
                <a16:creationId xmlns:a16="http://schemas.microsoft.com/office/drawing/2014/main" id="{00000000-0008-0000-0C00-0000357E4100}"/>
              </a:ext>
            </a:extLst>
          </xdr:cNvPr>
          <xdr:cNvSpPr/>
        </xdr:nvSpPr>
        <xdr:spPr>
          <a:xfrm>
            <a:off x="2667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50" name="$AS$116">
            <a:extLst>
              <a:ext uri="{FF2B5EF4-FFF2-40B4-BE49-F238E27FC236}">
                <a16:creationId xmlns:a16="http://schemas.microsoft.com/office/drawing/2014/main" id="{00000000-0008-0000-0C00-0000367E4100}"/>
              </a:ext>
            </a:extLst>
          </xdr:cNvPr>
          <xdr:cNvSpPr/>
        </xdr:nvSpPr>
        <xdr:spPr>
          <a:xfrm>
            <a:off x="2794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51" name="$AS$116">
            <a:extLst>
              <a:ext uri="{FF2B5EF4-FFF2-40B4-BE49-F238E27FC236}">
                <a16:creationId xmlns:a16="http://schemas.microsoft.com/office/drawing/2014/main" id="{00000000-0008-0000-0C00-0000377E4100}"/>
              </a:ext>
            </a:extLst>
          </xdr:cNvPr>
          <xdr:cNvSpPr/>
        </xdr:nvSpPr>
        <xdr:spPr>
          <a:xfrm>
            <a:off x="3175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52" name="$AS$116">
            <a:extLst>
              <a:ext uri="{FF2B5EF4-FFF2-40B4-BE49-F238E27FC236}">
                <a16:creationId xmlns:a16="http://schemas.microsoft.com/office/drawing/2014/main" id="{00000000-0008-0000-0C00-0000387E4100}"/>
              </a:ext>
            </a:extLst>
          </xdr:cNvPr>
          <xdr:cNvSpPr/>
        </xdr:nvSpPr>
        <xdr:spPr>
          <a:xfrm>
            <a:off x="254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53" name="$AS$116">
            <a:extLst>
              <a:ext uri="{FF2B5EF4-FFF2-40B4-BE49-F238E27FC236}">
                <a16:creationId xmlns:a16="http://schemas.microsoft.com/office/drawing/2014/main" id="{00000000-0008-0000-0C00-0000397E4100}"/>
              </a:ext>
            </a:extLst>
          </xdr:cNvPr>
          <xdr:cNvSpPr/>
        </xdr:nvSpPr>
        <xdr:spPr>
          <a:xfrm>
            <a:off x="635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54" name="$AS$116">
            <a:extLst>
              <a:ext uri="{FF2B5EF4-FFF2-40B4-BE49-F238E27FC236}">
                <a16:creationId xmlns:a16="http://schemas.microsoft.com/office/drawing/2014/main" id="{00000000-0008-0000-0C00-00003A7E4100}"/>
              </a:ext>
            </a:extLst>
          </xdr:cNvPr>
          <xdr:cNvSpPr/>
        </xdr:nvSpPr>
        <xdr:spPr>
          <a:xfrm>
            <a:off x="762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55" name="$AS$116">
            <a:extLst>
              <a:ext uri="{FF2B5EF4-FFF2-40B4-BE49-F238E27FC236}">
                <a16:creationId xmlns:a16="http://schemas.microsoft.com/office/drawing/2014/main" id="{00000000-0008-0000-0C00-00003B7E4100}"/>
              </a:ext>
            </a:extLst>
          </xdr:cNvPr>
          <xdr:cNvSpPr/>
        </xdr:nvSpPr>
        <xdr:spPr>
          <a:xfrm>
            <a:off x="889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56" name="$AS$116">
            <a:extLst>
              <a:ext uri="{FF2B5EF4-FFF2-40B4-BE49-F238E27FC236}">
                <a16:creationId xmlns:a16="http://schemas.microsoft.com/office/drawing/2014/main" id="{00000000-0008-0000-0C00-00003C7E4100}"/>
              </a:ext>
            </a:extLst>
          </xdr:cNvPr>
          <xdr:cNvSpPr/>
        </xdr:nvSpPr>
        <xdr:spPr>
          <a:xfrm>
            <a:off x="1016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57" name="$AS$116">
            <a:extLst>
              <a:ext uri="{FF2B5EF4-FFF2-40B4-BE49-F238E27FC236}">
                <a16:creationId xmlns:a16="http://schemas.microsoft.com/office/drawing/2014/main" id="{00000000-0008-0000-0C00-00003D7E4100}"/>
              </a:ext>
            </a:extLst>
          </xdr:cNvPr>
          <xdr:cNvSpPr/>
        </xdr:nvSpPr>
        <xdr:spPr>
          <a:xfrm>
            <a:off x="1143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58" name="$AS$116">
            <a:extLst>
              <a:ext uri="{FF2B5EF4-FFF2-40B4-BE49-F238E27FC236}">
                <a16:creationId xmlns:a16="http://schemas.microsoft.com/office/drawing/2014/main" id="{00000000-0008-0000-0C00-00003E7E4100}"/>
              </a:ext>
            </a:extLst>
          </xdr:cNvPr>
          <xdr:cNvSpPr/>
        </xdr:nvSpPr>
        <xdr:spPr>
          <a:xfrm>
            <a:off x="1270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59" name="$AS$116">
            <a:extLst>
              <a:ext uri="{FF2B5EF4-FFF2-40B4-BE49-F238E27FC236}">
                <a16:creationId xmlns:a16="http://schemas.microsoft.com/office/drawing/2014/main" id="{00000000-0008-0000-0C00-00003F7E4100}"/>
              </a:ext>
            </a:extLst>
          </xdr:cNvPr>
          <xdr:cNvSpPr/>
        </xdr:nvSpPr>
        <xdr:spPr>
          <a:xfrm>
            <a:off x="1778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60" name="$AS$116">
            <a:extLst>
              <a:ext uri="{FF2B5EF4-FFF2-40B4-BE49-F238E27FC236}">
                <a16:creationId xmlns:a16="http://schemas.microsoft.com/office/drawing/2014/main" id="{00000000-0008-0000-0C00-0000407E4100}"/>
              </a:ext>
            </a:extLst>
          </xdr:cNvPr>
          <xdr:cNvSpPr/>
        </xdr:nvSpPr>
        <xdr:spPr>
          <a:xfrm>
            <a:off x="1905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61" name="$AS$116">
            <a:extLst>
              <a:ext uri="{FF2B5EF4-FFF2-40B4-BE49-F238E27FC236}">
                <a16:creationId xmlns:a16="http://schemas.microsoft.com/office/drawing/2014/main" id="{00000000-0008-0000-0C00-0000417E4100}"/>
              </a:ext>
            </a:extLst>
          </xdr:cNvPr>
          <xdr:cNvSpPr/>
        </xdr:nvSpPr>
        <xdr:spPr>
          <a:xfrm>
            <a:off x="2286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62" name="$AS$116">
            <a:extLst>
              <a:ext uri="{FF2B5EF4-FFF2-40B4-BE49-F238E27FC236}">
                <a16:creationId xmlns:a16="http://schemas.microsoft.com/office/drawing/2014/main" id="{00000000-0008-0000-0C00-0000427E4100}"/>
              </a:ext>
            </a:extLst>
          </xdr:cNvPr>
          <xdr:cNvSpPr/>
        </xdr:nvSpPr>
        <xdr:spPr>
          <a:xfrm>
            <a:off x="2540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63" name="$AS$116">
            <a:extLst>
              <a:ext uri="{FF2B5EF4-FFF2-40B4-BE49-F238E27FC236}">
                <a16:creationId xmlns:a16="http://schemas.microsoft.com/office/drawing/2014/main" id="{00000000-0008-0000-0C00-0000437E4100}"/>
              </a:ext>
            </a:extLst>
          </xdr:cNvPr>
          <xdr:cNvSpPr/>
        </xdr:nvSpPr>
        <xdr:spPr>
          <a:xfrm>
            <a:off x="3556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64" name="$AS$116">
            <a:extLst>
              <a:ext uri="{FF2B5EF4-FFF2-40B4-BE49-F238E27FC236}">
                <a16:creationId xmlns:a16="http://schemas.microsoft.com/office/drawing/2014/main" id="{00000000-0008-0000-0C00-0000447E4100}"/>
              </a:ext>
            </a:extLst>
          </xdr:cNvPr>
          <xdr:cNvSpPr/>
        </xdr:nvSpPr>
        <xdr:spPr>
          <a:xfrm>
            <a:off x="127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65" name="$AS$116">
            <a:extLst>
              <a:ext uri="{FF2B5EF4-FFF2-40B4-BE49-F238E27FC236}">
                <a16:creationId xmlns:a16="http://schemas.microsoft.com/office/drawing/2014/main" id="{00000000-0008-0000-0C00-0000457E4100}"/>
              </a:ext>
            </a:extLst>
          </xdr:cNvPr>
          <xdr:cNvSpPr/>
        </xdr:nvSpPr>
        <xdr:spPr>
          <a:xfrm>
            <a:off x="381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66" name="$AS$116">
            <a:extLst>
              <a:ext uri="{FF2B5EF4-FFF2-40B4-BE49-F238E27FC236}">
                <a16:creationId xmlns:a16="http://schemas.microsoft.com/office/drawing/2014/main" id="{00000000-0008-0000-0C00-0000467E4100}"/>
              </a:ext>
            </a:extLst>
          </xdr:cNvPr>
          <xdr:cNvSpPr/>
        </xdr:nvSpPr>
        <xdr:spPr>
          <a:xfrm>
            <a:off x="508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67" name="$AS$116">
            <a:extLst>
              <a:ext uri="{FF2B5EF4-FFF2-40B4-BE49-F238E27FC236}">
                <a16:creationId xmlns:a16="http://schemas.microsoft.com/office/drawing/2014/main" id="{00000000-0008-0000-0C00-0000477E4100}"/>
              </a:ext>
            </a:extLst>
          </xdr:cNvPr>
          <xdr:cNvSpPr/>
        </xdr:nvSpPr>
        <xdr:spPr>
          <a:xfrm>
            <a:off x="1270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68" name="$AS$116">
            <a:extLst>
              <a:ext uri="{FF2B5EF4-FFF2-40B4-BE49-F238E27FC236}">
                <a16:creationId xmlns:a16="http://schemas.microsoft.com/office/drawing/2014/main" id="{00000000-0008-0000-0C00-0000487E4100}"/>
              </a:ext>
            </a:extLst>
          </xdr:cNvPr>
          <xdr:cNvSpPr/>
        </xdr:nvSpPr>
        <xdr:spPr>
          <a:xfrm>
            <a:off x="1397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69" name="$AS$116">
            <a:extLst>
              <a:ext uri="{FF2B5EF4-FFF2-40B4-BE49-F238E27FC236}">
                <a16:creationId xmlns:a16="http://schemas.microsoft.com/office/drawing/2014/main" id="{00000000-0008-0000-0C00-0000497E4100}"/>
              </a:ext>
            </a:extLst>
          </xdr:cNvPr>
          <xdr:cNvSpPr/>
        </xdr:nvSpPr>
        <xdr:spPr>
          <a:xfrm>
            <a:off x="1524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70" name="$AS$116">
            <a:extLst>
              <a:ext uri="{FF2B5EF4-FFF2-40B4-BE49-F238E27FC236}">
                <a16:creationId xmlns:a16="http://schemas.microsoft.com/office/drawing/2014/main" id="{00000000-0008-0000-0C00-00004A7E4100}"/>
              </a:ext>
            </a:extLst>
          </xdr:cNvPr>
          <xdr:cNvSpPr/>
        </xdr:nvSpPr>
        <xdr:spPr>
          <a:xfrm>
            <a:off x="1651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71" name="$AS$116">
            <a:extLst>
              <a:ext uri="{FF2B5EF4-FFF2-40B4-BE49-F238E27FC236}">
                <a16:creationId xmlns:a16="http://schemas.microsoft.com/office/drawing/2014/main" id="{00000000-0008-0000-0C00-00004B7E4100}"/>
              </a:ext>
            </a:extLst>
          </xdr:cNvPr>
          <xdr:cNvSpPr/>
        </xdr:nvSpPr>
        <xdr:spPr>
          <a:xfrm>
            <a:off x="1778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72" name="$AS$116">
            <a:extLst>
              <a:ext uri="{FF2B5EF4-FFF2-40B4-BE49-F238E27FC236}">
                <a16:creationId xmlns:a16="http://schemas.microsoft.com/office/drawing/2014/main" id="{00000000-0008-0000-0C00-00004C7E4100}"/>
              </a:ext>
            </a:extLst>
          </xdr:cNvPr>
          <xdr:cNvSpPr/>
        </xdr:nvSpPr>
        <xdr:spPr>
          <a:xfrm>
            <a:off x="1905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73" name="$AS$116">
            <a:extLst>
              <a:ext uri="{FF2B5EF4-FFF2-40B4-BE49-F238E27FC236}">
                <a16:creationId xmlns:a16="http://schemas.microsoft.com/office/drawing/2014/main" id="{00000000-0008-0000-0C00-00004D7E4100}"/>
              </a:ext>
            </a:extLst>
          </xdr:cNvPr>
          <xdr:cNvSpPr/>
        </xdr:nvSpPr>
        <xdr:spPr>
          <a:xfrm>
            <a:off x="2032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74" name="$AS$116">
            <a:extLst>
              <a:ext uri="{FF2B5EF4-FFF2-40B4-BE49-F238E27FC236}">
                <a16:creationId xmlns:a16="http://schemas.microsoft.com/office/drawing/2014/main" id="{00000000-0008-0000-0C00-00004E7E4100}"/>
              </a:ext>
            </a:extLst>
          </xdr:cNvPr>
          <xdr:cNvSpPr/>
        </xdr:nvSpPr>
        <xdr:spPr>
          <a:xfrm>
            <a:off x="2159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75" name="$AS$116">
            <a:extLst>
              <a:ext uri="{FF2B5EF4-FFF2-40B4-BE49-F238E27FC236}">
                <a16:creationId xmlns:a16="http://schemas.microsoft.com/office/drawing/2014/main" id="{00000000-0008-0000-0C00-00004F7E4100}"/>
              </a:ext>
            </a:extLst>
          </xdr:cNvPr>
          <xdr:cNvSpPr/>
        </xdr:nvSpPr>
        <xdr:spPr>
          <a:xfrm>
            <a:off x="2286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76" name="$AS$116">
            <a:extLst>
              <a:ext uri="{FF2B5EF4-FFF2-40B4-BE49-F238E27FC236}">
                <a16:creationId xmlns:a16="http://schemas.microsoft.com/office/drawing/2014/main" id="{00000000-0008-0000-0C00-0000507E4100}"/>
              </a:ext>
            </a:extLst>
          </xdr:cNvPr>
          <xdr:cNvSpPr/>
        </xdr:nvSpPr>
        <xdr:spPr>
          <a:xfrm>
            <a:off x="2794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77" name="$AS$116">
            <a:extLst>
              <a:ext uri="{FF2B5EF4-FFF2-40B4-BE49-F238E27FC236}">
                <a16:creationId xmlns:a16="http://schemas.microsoft.com/office/drawing/2014/main" id="{00000000-0008-0000-0C00-0000517E4100}"/>
              </a:ext>
            </a:extLst>
          </xdr:cNvPr>
          <xdr:cNvSpPr/>
        </xdr:nvSpPr>
        <xdr:spPr>
          <a:xfrm>
            <a:off x="3048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78" name="$AS$116">
            <a:extLst>
              <a:ext uri="{FF2B5EF4-FFF2-40B4-BE49-F238E27FC236}">
                <a16:creationId xmlns:a16="http://schemas.microsoft.com/office/drawing/2014/main" id="{00000000-0008-0000-0C00-0000527E4100}"/>
              </a:ext>
            </a:extLst>
          </xdr:cNvPr>
          <xdr:cNvSpPr/>
        </xdr:nvSpPr>
        <xdr:spPr>
          <a:xfrm>
            <a:off x="3429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79" name="$AS$116">
            <a:extLst>
              <a:ext uri="{FF2B5EF4-FFF2-40B4-BE49-F238E27FC236}">
                <a16:creationId xmlns:a16="http://schemas.microsoft.com/office/drawing/2014/main" id="{00000000-0008-0000-0C00-0000537E4100}"/>
              </a:ext>
            </a:extLst>
          </xdr:cNvPr>
          <xdr:cNvSpPr/>
        </xdr:nvSpPr>
        <xdr:spPr>
          <a:xfrm>
            <a:off x="127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80" name="$AS$116">
            <a:extLst>
              <a:ext uri="{FF2B5EF4-FFF2-40B4-BE49-F238E27FC236}">
                <a16:creationId xmlns:a16="http://schemas.microsoft.com/office/drawing/2014/main" id="{00000000-0008-0000-0C00-0000547E4100}"/>
              </a:ext>
            </a:extLst>
          </xdr:cNvPr>
          <xdr:cNvSpPr/>
        </xdr:nvSpPr>
        <xdr:spPr>
          <a:xfrm>
            <a:off x="635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81" name="$AS$116">
            <a:extLst>
              <a:ext uri="{FF2B5EF4-FFF2-40B4-BE49-F238E27FC236}">
                <a16:creationId xmlns:a16="http://schemas.microsoft.com/office/drawing/2014/main" id="{00000000-0008-0000-0C00-0000557E4100}"/>
              </a:ext>
            </a:extLst>
          </xdr:cNvPr>
          <xdr:cNvSpPr/>
        </xdr:nvSpPr>
        <xdr:spPr>
          <a:xfrm>
            <a:off x="762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82" name="$AS$116">
            <a:extLst>
              <a:ext uri="{FF2B5EF4-FFF2-40B4-BE49-F238E27FC236}">
                <a16:creationId xmlns:a16="http://schemas.microsoft.com/office/drawing/2014/main" id="{00000000-0008-0000-0C00-0000567E4100}"/>
              </a:ext>
            </a:extLst>
          </xdr:cNvPr>
          <xdr:cNvSpPr/>
        </xdr:nvSpPr>
        <xdr:spPr>
          <a:xfrm>
            <a:off x="1016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83" name="$AS$116">
            <a:extLst>
              <a:ext uri="{FF2B5EF4-FFF2-40B4-BE49-F238E27FC236}">
                <a16:creationId xmlns:a16="http://schemas.microsoft.com/office/drawing/2014/main" id="{00000000-0008-0000-0C00-0000577E4100}"/>
              </a:ext>
            </a:extLst>
          </xdr:cNvPr>
          <xdr:cNvSpPr/>
        </xdr:nvSpPr>
        <xdr:spPr>
          <a:xfrm>
            <a:off x="1143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84" name="$AS$116">
            <a:extLst>
              <a:ext uri="{FF2B5EF4-FFF2-40B4-BE49-F238E27FC236}">
                <a16:creationId xmlns:a16="http://schemas.microsoft.com/office/drawing/2014/main" id="{00000000-0008-0000-0C00-0000587E4100}"/>
              </a:ext>
            </a:extLst>
          </xdr:cNvPr>
          <xdr:cNvSpPr/>
        </xdr:nvSpPr>
        <xdr:spPr>
          <a:xfrm>
            <a:off x="1524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85" name="$AS$116">
            <a:extLst>
              <a:ext uri="{FF2B5EF4-FFF2-40B4-BE49-F238E27FC236}">
                <a16:creationId xmlns:a16="http://schemas.microsoft.com/office/drawing/2014/main" id="{00000000-0008-0000-0C00-0000597E4100}"/>
              </a:ext>
            </a:extLst>
          </xdr:cNvPr>
          <xdr:cNvSpPr/>
        </xdr:nvSpPr>
        <xdr:spPr>
          <a:xfrm>
            <a:off x="1651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86" name="$AS$116">
            <a:extLst>
              <a:ext uri="{FF2B5EF4-FFF2-40B4-BE49-F238E27FC236}">
                <a16:creationId xmlns:a16="http://schemas.microsoft.com/office/drawing/2014/main" id="{00000000-0008-0000-0C00-00005A7E4100}"/>
              </a:ext>
            </a:extLst>
          </xdr:cNvPr>
          <xdr:cNvSpPr/>
        </xdr:nvSpPr>
        <xdr:spPr>
          <a:xfrm>
            <a:off x="1778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87" name="$AS$116">
            <a:extLst>
              <a:ext uri="{FF2B5EF4-FFF2-40B4-BE49-F238E27FC236}">
                <a16:creationId xmlns:a16="http://schemas.microsoft.com/office/drawing/2014/main" id="{00000000-0008-0000-0C00-00005B7E4100}"/>
              </a:ext>
            </a:extLst>
          </xdr:cNvPr>
          <xdr:cNvSpPr/>
        </xdr:nvSpPr>
        <xdr:spPr>
          <a:xfrm>
            <a:off x="1905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88" name="$AS$116">
            <a:extLst>
              <a:ext uri="{FF2B5EF4-FFF2-40B4-BE49-F238E27FC236}">
                <a16:creationId xmlns:a16="http://schemas.microsoft.com/office/drawing/2014/main" id="{00000000-0008-0000-0C00-00005C7E4100}"/>
              </a:ext>
            </a:extLst>
          </xdr:cNvPr>
          <xdr:cNvSpPr/>
        </xdr:nvSpPr>
        <xdr:spPr>
          <a:xfrm>
            <a:off x="2159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89" name="$AS$116">
            <a:extLst>
              <a:ext uri="{FF2B5EF4-FFF2-40B4-BE49-F238E27FC236}">
                <a16:creationId xmlns:a16="http://schemas.microsoft.com/office/drawing/2014/main" id="{00000000-0008-0000-0C00-00005D7E4100}"/>
              </a:ext>
            </a:extLst>
          </xdr:cNvPr>
          <xdr:cNvSpPr/>
        </xdr:nvSpPr>
        <xdr:spPr>
          <a:xfrm>
            <a:off x="2286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90" name="$AS$116">
            <a:extLst>
              <a:ext uri="{FF2B5EF4-FFF2-40B4-BE49-F238E27FC236}">
                <a16:creationId xmlns:a16="http://schemas.microsoft.com/office/drawing/2014/main" id="{00000000-0008-0000-0C00-00005E7E4100}"/>
              </a:ext>
            </a:extLst>
          </xdr:cNvPr>
          <xdr:cNvSpPr/>
        </xdr:nvSpPr>
        <xdr:spPr>
          <a:xfrm>
            <a:off x="2413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91" name="$AS$116">
            <a:extLst>
              <a:ext uri="{FF2B5EF4-FFF2-40B4-BE49-F238E27FC236}">
                <a16:creationId xmlns:a16="http://schemas.microsoft.com/office/drawing/2014/main" id="{00000000-0008-0000-0C00-00005F7E4100}"/>
              </a:ext>
            </a:extLst>
          </xdr:cNvPr>
          <xdr:cNvSpPr/>
        </xdr:nvSpPr>
        <xdr:spPr>
          <a:xfrm>
            <a:off x="2794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92" name="$AS$116">
            <a:extLst>
              <a:ext uri="{FF2B5EF4-FFF2-40B4-BE49-F238E27FC236}">
                <a16:creationId xmlns:a16="http://schemas.microsoft.com/office/drawing/2014/main" id="{00000000-0008-0000-0C00-0000607E4100}"/>
              </a:ext>
            </a:extLst>
          </xdr:cNvPr>
          <xdr:cNvSpPr/>
        </xdr:nvSpPr>
        <xdr:spPr>
          <a:xfrm>
            <a:off x="3302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93" name="$AS$116">
            <a:extLst>
              <a:ext uri="{FF2B5EF4-FFF2-40B4-BE49-F238E27FC236}">
                <a16:creationId xmlns:a16="http://schemas.microsoft.com/office/drawing/2014/main" id="{00000000-0008-0000-0C00-0000617E4100}"/>
              </a:ext>
            </a:extLst>
          </xdr:cNvPr>
          <xdr:cNvSpPr/>
        </xdr:nvSpPr>
        <xdr:spPr>
          <a:xfrm>
            <a:off x="3429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94" name="$AS$116">
            <a:extLst>
              <a:ext uri="{FF2B5EF4-FFF2-40B4-BE49-F238E27FC236}">
                <a16:creationId xmlns:a16="http://schemas.microsoft.com/office/drawing/2014/main" id="{00000000-0008-0000-0C00-0000627E4100}"/>
              </a:ext>
            </a:extLst>
          </xdr:cNvPr>
          <xdr:cNvSpPr/>
        </xdr:nvSpPr>
        <xdr:spPr>
          <a:xfrm>
            <a:off x="254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95" name="$AS$116">
            <a:extLst>
              <a:ext uri="{FF2B5EF4-FFF2-40B4-BE49-F238E27FC236}">
                <a16:creationId xmlns:a16="http://schemas.microsoft.com/office/drawing/2014/main" id="{00000000-0008-0000-0C00-0000637E4100}"/>
              </a:ext>
            </a:extLst>
          </xdr:cNvPr>
          <xdr:cNvSpPr/>
        </xdr:nvSpPr>
        <xdr:spPr>
          <a:xfrm>
            <a:off x="381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96" name="$AS$116">
            <a:extLst>
              <a:ext uri="{FF2B5EF4-FFF2-40B4-BE49-F238E27FC236}">
                <a16:creationId xmlns:a16="http://schemas.microsoft.com/office/drawing/2014/main" id="{00000000-0008-0000-0C00-0000647E4100}"/>
              </a:ext>
            </a:extLst>
          </xdr:cNvPr>
          <xdr:cNvSpPr/>
        </xdr:nvSpPr>
        <xdr:spPr>
          <a:xfrm>
            <a:off x="508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97" name="$AS$116">
            <a:extLst>
              <a:ext uri="{FF2B5EF4-FFF2-40B4-BE49-F238E27FC236}">
                <a16:creationId xmlns:a16="http://schemas.microsoft.com/office/drawing/2014/main" id="{00000000-0008-0000-0C00-0000657E4100}"/>
              </a:ext>
            </a:extLst>
          </xdr:cNvPr>
          <xdr:cNvSpPr/>
        </xdr:nvSpPr>
        <xdr:spPr>
          <a:xfrm>
            <a:off x="635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98" name="$AS$116">
            <a:extLst>
              <a:ext uri="{FF2B5EF4-FFF2-40B4-BE49-F238E27FC236}">
                <a16:creationId xmlns:a16="http://schemas.microsoft.com/office/drawing/2014/main" id="{00000000-0008-0000-0C00-0000667E4100}"/>
              </a:ext>
            </a:extLst>
          </xdr:cNvPr>
          <xdr:cNvSpPr/>
        </xdr:nvSpPr>
        <xdr:spPr>
          <a:xfrm>
            <a:off x="889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99" name="$AS$116">
            <a:extLst>
              <a:ext uri="{FF2B5EF4-FFF2-40B4-BE49-F238E27FC236}">
                <a16:creationId xmlns:a16="http://schemas.microsoft.com/office/drawing/2014/main" id="{00000000-0008-0000-0C00-0000677E4100}"/>
              </a:ext>
            </a:extLst>
          </xdr:cNvPr>
          <xdr:cNvSpPr/>
        </xdr:nvSpPr>
        <xdr:spPr>
          <a:xfrm>
            <a:off x="1016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00" name="$AS$116">
            <a:extLst>
              <a:ext uri="{FF2B5EF4-FFF2-40B4-BE49-F238E27FC236}">
                <a16:creationId xmlns:a16="http://schemas.microsoft.com/office/drawing/2014/main" id="{00000000-0008-0000-0C00-0000687E4100}"/>
              </a:ext>
            </a:extLst>
          </xdr:cNvPr>
          <xdr:cNvSpPr/>
        </xdr:nvSpPr>
        <xdr:spPr>
          <a:xfrm>
            <a:off x="1397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01" name="$AS$116">
            <a:extLst>
              <a:ext uri="{FF2B5EF4-FFF2-40B4-BE49-F238E27FC236}">
                <a16:creationId xmlns:a16="http://schemas.microsoft.com/office/drawing/2014/main" id="{00000000-0008-0000-0C00-0000697E4100}"/>
              </a:ext>
            </a:extLst>
          </xdr:cNvPr>
          <xdr:cNvSpPr/>
        </xdr:nvSpPr>
        <xdr:spPr>
          <a:xfrm>
            <a:off x="1524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02" name="$AS$116">
            <a:extLst>
              <a:ext uri="{FF2B5EF4-FFF2-40B4-BE49-F238E27FC236}">
                <a16:creationId xmlns:a16="http://schemas.microsoft.com/office/drawing/2014/main" id="{00000000-0008-0000-0C00-00006A7E4100}"/>
              </a:ext>
            </a:extLst>
          </xdr:cNvPr>
          <xdr:cNvSpPr/>
        </xdr:nvSpPr>
        <xdr:spPr>
          <a:xfrm>
            <a:off x="1905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03" name="$AS$116">
            <a:extLst>
              <a:ext uri="{FF2B5EF4-FFF2-40B4-BE49-F238E27FC236}">
                <a16:creationId xmlns:a16="http://schemas.microsoft.com/office/drawing/2014/main" id="{00000000-0008-0000-0C00-00006B7E4100}"/>
              </a:ext>
            </a:extLst>
          </xdr:cNvPr>
          <xdr:cNvSpPr/>
        </xdr:nvSpPr>
        <xdr:spPr>
          <a:xfrm>
            <a:off x="2286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04" name="$AS$116">
            <a:extLst>
              <a:ext uri="{FF2B5EF4-FFF2-40B4-BE49-F238E27FC236}">
                <a16:creationId xmlns:a16="http://schemas.microsoft.com/office/drawing/2014/main" id="{00000000-0008-0000-0C00-00006C7E4100}"/>
              </a:ext>
            </a:extLst>
          </xdr:cNvPr>
          <xdr:cNvSpPr/>
        </xdr:nvSpPr>
        <xdr:spPr>
          <a:xfrm>
            <a:off x="2540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05" name="$AS$116">
            <a:extLst>
              <a:ext uri="{FF2B5EF4-FFF2-40B4-BE49-F238E27FC236}">
                <a16:creationId xmlns:a16="http://schemas.microsoft.com/office/drawing/2014/main" id="{00000000-0008-0000-0C00-00006D7E4100}"/>
              </a:ext>
            </a:extLst>
          </xdr:cNvPr>
          <xdr:cNvSpPr/>
        </xdr:nvSpPr>
        <xdr:spPr>
          <a:xfrm>
            <a:off x="2667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06" name="$AS$116">
            <a:extLst>
              <a:ext uri="{FF2B5EF4-FFF2-40B4-BE49-F238E27FC236}">
                <a16:creationId xmlns:a16="http://schemas.microsoft.com/office/drawing/2014/main" id="{00000000-0008-0000-0C00-00006E7E4100}"/>
              </a:ext>
            </a:extLst>
          </xdr:cNvPr>
          <xdr:cNvSpPr/>
        </xdr:nvSpPr>
        <xdr:spPr>
          <a:xfrm>
            <a:off x="3302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07" name="$AS$116">
            <a:extLst>
              <a:ext uri="{FF2B5EF4-FFF2-40B4-BE49-F238E27FC236}">
                <a16:creationId xmlns:a16="http://schemas.microsoft.com/office/drawing/2014/main" id="{00000000-0008-0000-0C00-00006F7E4100}"/>
              </a:ext>
            </a:extLst>
          </xdr:cNvPr>
          <xdr:cNvSpPr/>
        </xdr:nvSpPr>
        <xdr:spPr>
          <a:xfrm>
            <a:off x="3429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08" name="$AS$116">
            <a:extLst>
              <a:ext uri="{FF2B5EF4-FFF2-40B4-BE49-F238E27FC236}">
                <a16:creationId xmlns:a16="http://schemas.microsoft.com/office/drawing/2014/main" id="{00000000-0008-0000-0C00-0000707E4100}"/>
              </a:ext>
            </a:extLst>
          </xdr:cNvPr>
          <xdr:cNvSpPr/>
        </xdr:nvSpPr>
        <xdr:spPr>
          <a:xfrm>
            <a:off x="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09" name="$AS$116">
            <a:extLst>
              <a:ext uri="{FF2B5EF4-FFF2-40B4-BE49-F238E27FC236}">
                <a16:creationId xmlns:a16="http://schemas.microsoft.com/office/drawing/2014/main" id="{00000000-0008-0000-0C00-0000717E4100}"/>
              </a:ext>
            </a:extLst>
          </xdr:cNvPr>
          <xdr:cNvSpPr/>
        </xdr:nvSpPr>
        <xdr:spPr>
          <a:xfrm>
            <a:off x="127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10" name="$AS$116">
            <a:extLst>
              <a:ext uri="{FF2B5EF4-FFF2-40B4-BE49-F238E27FC236}">
                <a16:creationId xmlns:a16="http://schemas.microsoft.com/office/drawing/2014/main" id="{00000000-0008-0000-0C00-0000727E4100}"/>
              </a:ext>
            </a:extLst>
          </xdr:cNvPr>
          <xdr:cNvSpPr/>
        </xdr:nvSpPr>
        <xdr:spPr>
          <a:xfrm>
            <a:off x="381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11" name="$AS$116">
            <a:extLst>
              <a:ext uri="{FF2B5EF4-FFF2-40B4-BE49-F238E27FC236}">
                <a16:creationId xmlns:a16="http://schemas.microsoft.com/office/drawing/2014/main" id="{00000000-0008-0000-0C00-0000737E4100}"/>
              </a:ext>
            </a:extLst>
          </xdr:cNvPr>
          <xdr:cNvSpPr/>
        </xdr:nvSpPr>
        <xdr:spPr>
          <a:xfrm>
            <a:off x="508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12" name="$AS$116">
            <a:extLst>
              <a:ext uri="{FF2B5EF4-FFF2-40B4-BE49-F238E27FC236}">
                <a16:creationId xmlns:a16="http://schemas.microsoft.com/office/drawing/2014/main" id="{00000000-0008-0000-0C00-0000747E4100}"/>
              </a:ext>
            </a:extLst>
          </xdr:cNvPr>
          <xdr:cNvSpPr/>
        </xdr:nvSpPr>
        <xdr:spPr>
          <a:xfrm>
            <a:off x="635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13" name="$AS$116">
            <a:extLst>
              <a:ext uri="{FF2B5EF4-FFF2-40B4-BE49-F238E27FC236}">
                <a16:creationId xmlns:a16="http://schemas.microsoft.com/office/drawing/2014/main" id="{00000000-0008-0000-0C00-0000757E4100}"/>
              </a:ext>
            </a:extLst>
          </xdr:cNvPr>
          <xdr:cNvSpPr/>
        </xdr:nvSpPr>
        <xdr:spPr>
          <a:xfrm>
            <a:off x="762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14" name="$AS$116">
            <a:extLst>
              <a:ext uri="{FF2B5EF4-FFF2-40B4-BE49-F238E27FC236}">
                <a16:creationId xmlns:a16="http://schemas.microsoft.com/office/drawing/2014/main" id="{00000000-0008-0000-0C00-0000767E4100}"/>
              </a:ext>
            </a:extLst>
          </xdr:cNvPr>
          <xdr:cNvSpPr/>
        </xdr:nvSpPr>
        <xdr:spPr>
          <a:xfrm>
            <a:off x="1397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15" name="$AS$116">
            <a:extLst>
              <a:ext uri="{FF2B5EF4-FFF2-40B4-BE49-F238E27FC236}">
                <a16:creationId xmlns:a16="http://schemas.microsoft.com/office/drawing/2014/main" id="{00000000-0008-0000-0C00-0000777E4100}"/>
              </a:ext>
            </a:extLst>
          </xdr:cNvPr>
          <xdr:cNvSpPr/>
        </xdr:nvSpPr>
        <xdr:spPr>
          <a:xfrm>
            <a:off x="1524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16" name="$AS$116">
            <a:extLst>
              <a:ext uri="{FF2B5EF4-FFF2-40B4-BE49-F238E27FC236}">
                <a16:creationId xmlns:a16="http://schemas.microsoft.com/office/drawing/2014/main" id="{00000000-0008-0000-0C00-0000787E4100}"/>
              </a:ext>
            </a:extLst>
          </xdr:cNvPr>
          <xdr:cNvSpPr/>
        </xdr:nvSpPr>
        <xdr:spPr>
          <a:xfrm>
            <a:off x="1651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17" name="$AS$116">
            <a:extLst>
              <a:ext uri="{FF2B5EF4-FFF2-40B4-BE49-F238E27FC236}">
                <a16:creationId xmlns:a16="http://schemas.microsoft.com/office/drawing/2014/main" id="{00000000-0008-0000-0C00-0000797E4100}"/>
              </a:ext>
            </a:extLst>
          </xdr:cNvPr>
          <xdr:cNvSpPr/>
        </xdr:nvSpPr>
        <xdr:spPr>
          <a:xfrm>
            <a:off x="2159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18" name="$AS$116">
            <a:extLst>
              <a:ext uri="{FF2B5EF4-FFF2-40B4-BE49-F238E27FC236}">
                <a16:creationId xmlns:a16="http://schemas.microsoft.com/office/drawing/2014/main" id="{00000000-0008-0000-0C00-00007A7E4100}"/>
              </a:ext>
            </a:extLst>
          </xdr:cNvPr>
          <xdr:cNvSpPr/>
        </xdr:nvSpPr>
        <xdr:spPr>
          <a:xfrm>
            <a:off x="2667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19" name="$AS$116">
            <a:extLst>
              <a:ext uri="{FF2B5EF4-FFF2-40B4-BE49-F238E27FC236}">
                <a16:creationId xmlns:a16="http://schemas.microsoft.com/office/drawing/2014/main" id="{00000000-0008-0000-0C00-00007B7E4100}"/>
              </a:ext>
            </a:extLst>
          </xdr:cNvPr>
          <xdr:cNvSpPr/>
        </xdr:nvSpPr>
        <xdr:spPr>
          <a:xfrm>
            <a:off x="2794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20" name="$AS$116">
            <a:extLst>
              <a:ext uri="{FF2B5EF4-FFF2-40B4-BE49-F238E27FC236}">
                <a16:creationId xmlns:a16="http://schemas.microsoft.com/office/drawing/2014/main" id="{00000000-0008-0000-0C00-00007C7E4100}"/>
              </a:ext>
            </a:extLst>
          </xdr:cNvPr>
          <xdr:cNvSpPr/>
        </xdr:nvSpPr>
        <xdr:spPr>
          <a:xfrm>
            <a:off x="2921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21" name="$AS$116">
            <a:extLst>
              <a:ext uri="{FF2B5EF4-FFF2-40B4-BE49-F238E27FC236}">
                <a16:creationId xmlns:a16="http://schemas.microsoft.com/office/drawing/2014/main" id="{00000000-0008-0000-0C00-00007D7E4100}"/>
              </a:ext>
            </a:extLst>
          </xdr:cNvPr>
          <xdr:cNvSpPr/>
        </xdr:nvSpPr>
        <xdr:spPr>
          <a:xfrm>
            <a:off x="3175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22" name="$AS$116">
            <a:extLst>
              <a:ext uri="{FF2B5EF4-FFF2-40B4-BE49-F238E27FC236}">
                <a16:creationId xmlns:a16="http://schemas.microsoft.com/office/drawing/2014/main" id="{00000000-0008-0000-0C00-00007E7E4100}"/>
              </a:ext>
            </a:extLst>
          </xdr:cNvPr>
          <xdr:cNvSpPr/>
        </xdr:nvSpPr>
        <xdr:spPr>
          <a:xfrm>
            <a:off x="3429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23" name="$AS$116">
            <a:extLst>
              <a:ext uri="{FF2B5EF4-FFF2-40B4-BE49-F238E27FC236}">
                <a16:creationId xmlns:a16="http://schemas.microsoft.com/office/drawing/2014/main" id="{00000000-0008-0000-0C00-00007F7E4100}"/>
              </a:ext>
            </a:extLst>
          </xdr:cNvPr>
          <xdr:cNvSpPr/>
        </xdr:nvSpPr>
        <xdr:spPr>
          <a:xfrm>
            <a:off x="3556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24" name="$AS$116">
            <a:extLst>
              <a:ext uri="{FF2B5EF4-FFF2-40B4-BE49-F238E27FC236}">
                <a16:creationId xmlns:a16="http://schemas.microsoft.com/office/drawing/2014/main" id="{00000000-0008-0000-0C00-0000807E4100}"/>
              </a:ext>
            </a:extLst>
          </xdr:cNvPr>
          <xdr:cNvSpPr/>
        </xdr:nvSpPr>
        <xdr:spPr>
          <a:xfrm>
            <a:off x="254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25" name="$AS$116">
            <a:extLst>
              <a:ext uri="{FF2B5EF4-FFF2-40B4-BE49-F238E27FC236}">
                <a16:creationId xmlns:a16="http://schemas.microsoft.com/office/drawing/2014/main" id="{00000000-0008-0000-0C00-0000817E4100}"/>
              </a:ext>
            </a:extLst>
          </xdr:cNvPr>
          <xdr:cNvSpPr/>
        </xdr:nvSpPr>
        <xdr:spPr>
          <a:xfrm>
            <a:off x="635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26" name="$AS$116">
            <a:extLst>
              <a:ext uri="{FF2B5EF4-FFF2-40B4-BE49-F238E27FC236}">
                <a16:creationId xmlns:a16="http://schemas.microsoft.com/office/drawing/2014/main" id="{00000000-0008-0000-0C00-0000827E4100}"/>
              </a:ext>
            </a:extLst>
          </xdr:cNvPr>
          <xdr:cNvSpPr/>
        </xdr:nvSpPr>
        <xdr:spPr>
          <a:xfrm>
            <a:off x="889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27" name="$AS$116">
            <a:extLst>
              <a:ext uri="{FF2B5EF4-FFF2-40B4-BE49-F238E27FC236}">
                <a16:creationId xmlns:a16="http://schemas.microsoft.com/office/drawing/2014/main" id="{00000000-0008-0000-0C00-0000837E4100}"/>
              </a:ext>
            </a:extLst>
          </xdr:cNvPr>
          <xdr:cNvSpPr/>
        </xdr:nvSpPr>
        <xdr:spPr>
          <a:xfrm>
            <a:off x="1016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28" name="$AS$116">
            <a:extLst>
              <a:ext uri="{FF2B5EF4-FFF2-40B4-BE49-F238E27FC236}">
                <a16:creationId xmlns:a16="http://schemas.microsoft.com/office/drawing/2014/main" id="{00000000-0008-0000-0C00-0000847E4100}"/>
              </a:ext>
            </a:extLst>
          </xdr:cNvPr>
          <xdr:cNvSpPr/>
        </xdr:nvSpPr>
        <xdr:spPr>
          <a:xfrm>
            <a:off x="1524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29" name="$AS$116">
            <a:extLst>
              <a:ext uri="{FF2B5EF4-FFF2-40B4-BE49-F238E27FC236}">
                <a16:creationId xmlns:a16="http://schemas.microsoft.com/office/drawing/2014/main" id="{00000000-0008-0000-0C00-0000857E4100}"/>
              </a:ext>
            </a:extLst>
          </xdr:cNvPr>
          <xdr:cNvSpPr/>
        </xdr:nvSpPr>
        <xdr:spPr>
          <a:xfrm>
            <a:off x="1651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30" name="$AS$116">
            <a:extLst>
              <a:ext uri="{FF2B5EF4-FFF2-40B4-BE49-F238E27FC236}">
                <a16:creationId xmlns:a16="http://schemas.microsoft.com/office/drawing/2014/main" id="{00000000-0008-0000-0C00-0000867E4100}"/>
              </a:ext>
            </a:extLst>
          </xdr:cNvPr>
          <xdr:cNvSpPr/>
        </xdr:nvSpPr>
        <xdr:spPr>
          <a:xfrm>
            <a:off x="1778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31" name="$AS$116">
            <a:extLst>
              <a:ext uri="{FF2B5EF4-FFF2-40B4-BE49-F238E27FC236}">
                <a16:creationId xmlns:a16="http://schemas.microsoft.com/office/drawing/2014/main" id="{00000000-0008-0000-0C00-0000877E4100}"/>
              </a:ext>
            </a:extLst>
          </xdr:cNvPr>
          <xdr:cNvSpPr/>
        </xdr:nvSpPr>
        <xdr:spPr>
          <a:xfrm>
            <a:off x="2032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32" name="$AS$116">
            <a:extLst>
              <a:ext uri="{FF2B5EF4-FFF2-40B4-BE49-F238E27FC236}">
                <a16:creationId xmlns:a16="http://schemas.microsoft.com/office/drawing/2014/main" id="{00000000-0008-0000-0C00-0000887E4100}"/>
              </a:ext>
            </a:extLst>
          </xdr:cNvPr>
          <xdr:cNvSpPr/>
        </xdr:nvSpPr>
        <xdr:spPr>
          <a:xfrm>
            <a:off x="2413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33" name="$AS$116">
            <a:extLst>
              <a:ext uri="{FF2B5EF4-FFF2-40B4-BE49-F238E27FC236}">
                <a16:creationId xmlns:a16="http://schemas.microsoft.com/office/drawing/2014/main" id="{00000000-0008-0000-0C00-0000897E4100}"/>
              </a:ext>
            </a:extLst>
          </xdr:cNvPr>
          <xdr:cNvSpPr/>
        </xdr:nvSpPr>
        <xdr:spPr>
          <a:xfrm>
            <a:off x="2540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34" name="$AS$116">
            <a:extLst>
              <a:ext uri="{FF2B5EF4-FFF2-40B4-BE49-F238E27FC236}">
                <a16:creationId xmlns:a16="http://schemas.microsoft.com/office/drawing/2014/main" id="{00000000-0008-0000-0C00-00008A7E4100}"/>
              </a:ext>
            </a:extLst>
          </xdr:cNvPr>
          <xdr:cNvSpPr/>
        </xdr:nvSpPr>
        <xdr:spPr>
          <a:xfrm>
            <a:off x="2667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35" name="$AS$116">
            <a:extLst>
              <a:ext uri="{FF2B5EF4-FFF2-40B4-BE49-F238E27FC236}">
                <a16:creationId xmlns:a16="http://schemas.microsoft.com/office/drawing/2014/main" id="{00000000-0008-0000-0C00-00008B7E4100}"/>
              </a:ext>
            </a:extLst>
          </xdr:cNvPr>
          <xdr:cNvSpPr/>
        </xdr:nvSpPr>
        <xdr:spPr>
          <a:xfrm>
            <a:off x="2794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36" name="$AS$116">
            <a:extLst>
              <a:ext uri="{FF2B5EF4-FFF2-40B4-BE49-F238E27FC236}">
                <a16:creationId xmlns:a16="http://schemas.microsoft.com/office/drawing/2014/main" id="{00000000-0008-0000-0C00-00008C7E4100}"/>
              </a:ext>
            </a:extLst>
          </xdr:cNvPr>
          <xdr:cNvSpPr/>
        </xdr:nvSpPr>
        <xdr:spPr>
          <a:xfrm>
            <a:off x="3048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37" name="$AS$116">
            <a:extLst>
              <a:ext uri="{FF2B5EF4-FFF2-40B4-BE49-F238E27FC236}">
                <a16:creationId xmlns:a16="http://schemas.microsoft.com/office/drawing/2014/main" id="{00000000-0008-0000-0C00-00008D7E4100}"/>
              </a:ext>
            </a:extLst>
          </xdr:cNvPr>
          <xdr:cNvSpPr/>
        </xdr:nvSpPr>
        <xdr:spPr>
          <a:xfrm>
            <a:off x="3175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38" name="$AS$116">
            <a:extLst>
              <a:ext uri="{FF2B5EF4-FFF2-40B4-BE49-F238E27FC236}">
                <a16:creationId xmlns:a16="http://schemas.microsoft.com/office/drawing/2014/main" id="{00000000-0008-0000-0C00-00008E7E4100}"/>
              </a:ext>
            </a:extLst>
          </xdr:cNvPr>
          <xdr:cNvSpPr/>
        </xdr:nvSpPr>
        <xdr:spPr>
          <a:xfrm>
            <a:off x="3302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39" name="$AS$116">
            <a:extLst>
              <a:ext uri="{FF2B5EF4-FFF2-40B4-BE49-F238E27FC236}">
                <a16:creationId xmlns:a16="http://schemas.microsoft.com/office/drawing/2014/main" id="{00000000-0008-0000-0C00-00008F7E4100}"/>
              </a:ext>
            </a:extLst>
          </xdr:cNvPr>
          <xdr:cNvSpPr/>
        </xdr:nvSpPr>
        <xdr:spPr>
          <a:xfrm>
            <a:off x="3429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40" name="$AS$116">
            <a:extLst>
              <a:ext uri="{FF2B5EF4-FFF2-40B4-BE49-F238E27FC236}">
                <a16:creationId xmlns:a16="http://schemas.microsoft.com/office/drawing/2014/main" id="{00000000-0008-0000-0C00-0000907E4100}"/>
              </a:ext>
            </a:extLst>
          </xdr:cNvPr>
          <xdr:cNvSpPr/>
        </xdr:nvSpPr>
        <xdr:spPr>
          <a:xfrm>
            <a:off x="3556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41" name="$AS$116">
            <a:extLst>
              <a:ext uri="{FF2B5EF4-FFF2-40B4-BE49-F238E27FC236}">
                <a16:creationId xmlns:a16="http://schemas.microsoft.com/office/drawing/2014/main" id="{00000000-0008-0000-0C00-0000917E4100}"/>
              </a:ext>
            </a:extLst>
          </xdr:cNvPr>
          <xdr:cNvSpPr/>
        </xdr:nvSpPr>
        <xdr:spPr>
          <a:xfrm>
            <a:off x="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42" name="$AS$116">
            <a:extLst>
              <a:ext uri="{FF2B5EF4-FFF2-40B4-BE49-F238E27FC236}">
                <a16:creationId xmlns:a16="http://schemas.microsoft.com/office/drawing/2014/main" id="{00000000-0008-0000-0C00-0000927E4100}"/>
              </a:ext>
            </a:extLst>
          </xdr:cNvPr>
          <xdr:cNvSpPr/>
        </xdr:nvSpPr>
        <xdr:spPr>
          <a:xfrm>
            <a:off x="254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43" name="$AS$116">
            <a:extLst>
              <a:ext uri="{FF2B5EF4-FFF2-40B4-BE49-F238E27FC236}">
                <a16:creationId xmlns:a16="http://schemas.microsoft.com/office/drawing/2014/main" id="{00000000-0008-0000-0C00-0000937E4100}"/>
              </a:ext>
            </a:extLst>
          </xdr:cNvPr>
          <xdr:cNvSpPr/>
        </xdr:nvSpPr>
        <xdr:spPr>
          <a:xfrm>
            <a:off x="381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44" name="$AS$116">
            <a:extLst>
              <a:ext uri="{FF2B5EF4-FFF2-40B4-BE49-F238E27FC236}">
                <a16:creationId xmlns:a16="http://schemas.microsoft.com/office/drawing/2014/main" id="{00000000-0008-0000-0C00-0000947E4100}"/>
              </a:ext>
            </a:extLst>
          </xdr:cNvPr>
          <xdr:cNvSpPr/>
        </xdr:nvSpPr>
        <xdr:spPr>
          <a:xfrm>
            <a:off x="762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45" name="$AS$116">
            <a:extLst>
              <a:ext uri="{FF2B5EF4-FFF2-40B4-BE49-F238E27FC236}">
                <a16:creationId xmlns:a16="http://schemas.microsoft.com/office/drawing/2014/main" id="{00000000-0008-0000-0C00-0000957E4100}"/>
              </a:ext>
            </a:extLst>
          </xdr:cNvPr>
          <xdr:cNvSpPr/>
        </xdr:nvSpPr>
        <xdr:spPr>
          <a:xfrm>
            <a:off x="1143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46" name="$AS$116">
            <a:extLst>
              <a:ext uri="{FF2B5EF4-FFF2-40B4-BE49-F238E27FC236}">
                <a16:creationId xmlns:a16="http://schemas.microsoft.com/office/drawing/2014/main" id="{00000000-0008-0000-0C00-0000967E4100}"/>
              </a:ext>
            </a:extLst>
          </xdr:cNvPr>
          <xdr:cNvSpPr/>
        </xdr:nvSpPr>
        <xdr:spPr>
          <a:xfrm>
            <a:off x="1397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47" name="$AS$116">
            <a:extLst>
              <a:ext uri="{FF2B5EF4-FFF2-40B4-BE49-F238E27FC236}">
                <a16:creationId xmlns:a16="http://schemas.microsoft.com/office/drawing/2014/main" id="{00000000-0008-0000-0C00-0000977E4100}"/>
              </a:ext>
            </a:extLst>
          </xdr:cNvPr>
          <xdr:cNvSpPr/>
        </xdr:nvSpPr>
        <xdr:spPr>
          <a:xfrm>
            <a:off x="1778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48" name="$AS$116">
            <a:extLst>
              <a:ext uri="{FF2B5EF4-FFF2-40B4-BE49-F238E27FC236}">
                <a16:creationId xmlns:a16="http://schemas.microsoft.com/office/drawing/2014/main" id="{00000000-0008-0000-0C00-0000987E4100}"/>
              </a:ext>
            </a:extLst>
          </xdr:cNvPr>
          <xdr:cNvSpPr/>
        </xdr:nvSpPr>
        <xdr:spPr>
          <a:xfrm>
            <a:off x="1905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49" name="$AS$116">
            <a:extLst>
              <a:ext uri="{FF2B5EF4-FFF2-40B4-BE49-F238E27FC236}">
                <a16:creationId xmlns:a16="http://schemas.microsoft.com/office/drawing/2014/main" id="{00000000-0008-0000-0C00-0000997E4100}"/>
              </a:ext>
            </a:extLst>
          </xdr:cNvPr>
          <xdr:cNvSpPr/>
        </xdr:nvSpPr>
        <xdr:spPr>
          <a:xfrm>
            <a:off x="2286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50" name="$AS$116">
            <a:extLst>
              <a:ext uri="{FF2B5EF4-FFF2-40B4-BE49-F238E27FC236}">
                <a16:creationId xmlns:a16="http://schemas.microsoft.com/office/drawing/2014/main" id="{00000000-0008-0000-0C00-00009A7E4100}"/>
              </a:ext>
            </a:extLst>
          </xdr:cNvPr>
          <xdr:cNvSpPr/>
        </xdr:nvSpPr>
        <xdr:spPr>
          <a:xfrm>
            <a:off x="2413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51" name="$AS$116">
            <a:extLst>
              <a:ext uri="{FF2B5EF4-FFF2-40B4-BE49-F238E27FC236}">
                <a16:creationId xmlns:a16="http://schemas.microsoft.com/office/drawing/2014/main" id="{00000000-0008-0000-0C00-00009B7E4100}"/>
              </a:ext>
            </a:extLst>
          </xdr:cNvPr>
          <xdr:cNvSpPr/>
        </xdr:nvSpPr>
        <xdr:spPr>
          <a:xfrm>
            <a:off x="2794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52" name="$AS$116">
            <a:extLst>
              <a:ext uri="{FF2B5EF4-FFF2-40B4-BE49-F238E27FC236}">
                <a16:creationId xmlns:a16="http://schemas.microsoft.com/office/drawing/2014/main" id="{00000000-0008-0000-0C00-00009C7E4100}"/>
              </a:ext>
            </a:extLst>
          </xdr:cNvPr>
          <xdr:cNvSpPr/>
        </xdr:nvSpPr>
        <xdr:spPr>
          <a:xfrm>
            <a:off x="3175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53" name="$AS$116">
            <a:extLst>
              <a:ext uri="{FF2B5EF4-FFF2-40B4-BE49-F238E27FC236}">
                <a16:creationId xmlns:a16="http://schemas.microsoft.com/office/drawing/2014/main" id="{00000000-0008-0000-0C00-00009D7E4100}"/>
              </a:ext>
            </a:extLst>
          </xdr:cNvPr>
          <xdr:cNvSpPr/>
        </xdr:nvSpPr>
        <xdr:spPr>
          <a:xfrm>
            <a:off x="3302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54" name="$AS$116">
            <a:extLst>
              <a:ext uri="{FF2B5EF4-FFF2-40B4-BE49-F238E27FC236}">
                <a16:creationId xmlns:a16="http://schemas.microsoft.com/office/drawing/2014/main" id="{00000000-0008-0000-0C00-00009E7E4100}"/>
              </a:ext>
            </a:extLst>
          </xdr:cNvPr>
          <xdr:cNvSpPr/>
        </xdr:nvSpPr>
        <xdr:spPr>
          <a:xfrm>
            <a:off x="3556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55" name="$AS$116">
            <a:extLst>
              <a:ext uri="{FF2B5EF4-FFF2-40B4-BE49-F238E27FC236}">
                <a16:creationId xmlns:a16="http://schemas.microsoft.com/office/drawing/2014/main" id="{00000000-0008-0000-0C00-00009F7E4100}"/>
              </a:ext>
            </a:extLst>
          </xdr:cNvPr>
          <xdr:cNvSpPr/>
        </xdr:nvSpPr>
        <xdr:spPr>
          <a:xfrm>
            <a:off x="254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56" name="$AS$116">
            <a:extLst>
              <a:ext uri="{FF2B5EF4-FFF2-40B4-BE49-F238E27FC236}">
                <a16:creationId xmlns:a16="http://schemas.microsoft.com/office/drawing/2014/main" id="{00000000-0008-0000-0C00-0000A07E4100}"/>
              </a:ext>
            </a:extLst>
          </xdr:cNvPr>
          <xdr:cNvSpPr/>
        </xdr:nvSpPr>
        <xdr:spPr>
          <a:xfrm>
            <a:off x="381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57" name="$AS$116">
            <a:extLst>
              <a:ext uri="{FF2B5EF4-FFF2-40B4-BE49-F238E27FC236}">
                <a16:creationId xmlns:a16="http://schemas.microsoft.com/office/drawing/2014/main" id="{00000000-0008-0000-0C00-0000A17E4100}"/>
              </a:ext>
            </a:extLst>
          </xdr:cNvPr>
          <xdr:cNvSpPr/>
        </xdr:nvSpPr>
        <xdr:spPr>
          <a:xfrm>
            <a:off x="889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58" name="$AS$116">
            <a:extLst>
              <a:ext uri="{FF2B5EF4-FFF2-40B4-BE49-F238E27FC236}">
                <a16:creationId xmlns:a16="http://schemas.microsoft.com/office/drawing/2014/main" id="{00000000-0008-0000-0C00-0000A27E4100}"/>
              </a:ext>
            </a:extLst>
          </xdr:cNvPr>
          <xdr:cNvSpPr/>
        </xdr:nvSpPr>
        <xdr:spPr>
          <a:xfrm>
            <a:off x="1016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59" name="$AS$116">
            <a:extLst>
              <a:ext uri="{FF2B5EF4-FFF2-40B4-BE49-F238E27FC236}">
                <a16:creationId xmlns:a16="http://schemas.microsoft.com/office/drawing/2014/main" id="{00000000-0008-0000-0C00-0000A37E4100}"/>
              </a:ext>
            </a:extLst>
          </xdr:cNvPr>
          <xdr:cNvSpPr/>
        </xdr:nvSpPr>
        <xdr:spPr>
          <a:xfrm>
            <a:off x="1397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60" name="$AS$116">
            <a:extLst>
              <a:ext uri="{FF2B5EF4-FFF2-40B4-BE49-F238E27FC236}">
                <a16:creationId xmlns:a16="http://schemas.microsoft.com/office/drawing/2014/main" id="{00000000-0008-0000-0C00-0000A47E4100}"/>
              </a:ext>
            </a:extLst>
          </xdr:cNvPr>
          <xdr:cNvSpPr/>
        </xdr:nvSpPr>
        <xdr:spPr>
          <a:xfrm>
            <a:off x="1778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61" name="$AS$116">
            <a:extLst>
              <a:ext uri="{FF2B5EF4-FFF2-40B4-BE49-F238E27FC236}">
                <a16:creationId xmlns:a16="http://schemas.microsoft.com/office/drawing/2014/main" id="{00000000-0008-0000-0C00-0000A57E4100}"/>
              </a:ext>
            </a:extLst>
          </xdr:cNvPr>
          <xdr:cNvSpPr/>
        </xdr:nvSpPr>
        <xdr:spPr>
          <a:xfrm>
            <a:off x="1905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62" name="$AS$116">
            <a:extLst>
              <a:ext uri="{FF2B5EF4-FFF2-40B4-BE49-F238E27FC236}">
                <a16:creationId xmlns:a16="http://schemas.microsoft.com/office/drawing/2014/main" id="{00000000-0008-0000-0C00-0000A67E4100}"/>
              </a:ext>
            </a:extLst>
          </xdr:cNvPr>
          <xdr:cNvSpPr/>
        </xdr:nvSpPr>
        <xdr:spPr>
          <a:xfrm>
            <a:off x="2032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63" name="$AS$116">
            <a:extLst>
              <a:ext uri="{FF2B5EF4-FFF2-40B4-BE49-F238E27FC236}">
                <a16:creationId xmlns:a16="http://schemas.microsoft.com/office/drawing/2014/main" id="{00000000-0008-0000-0C00-0000A77E4100}"/>
              </a:ext>
            </a:extLst>
          </xdr:cNvPr>
          <xdr:cNvSpPr/>
        </xdr:nvSpPr>
        <xdr:spPr>
          <a:xfrm>
            <a:off x="2286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64" name="$AS$116">
            <a:extLst>
              <a:ext uri="{FF2B5EF4-FFF2-40B4-BE49-F238E27FC236}">
                <a16:creationId xmlns:a16="http://schemas.microsoft.com/office/drawing/2014/main" id="{00000000-0008-0000-0C00-0000A87E4100}"/>
              </a:ext>
            </a:extLst>
          </xdr:cNvPr>
          <xdr:cNvSpPr/>
        </xdr:nvSpPr>
        <xdr:spPr>
          <a:xfrm>
            <a:off x="2794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65" name="$AS$116">
            <a:extLst>
              <a:ext uri="{FF2B5EF4-FFF2-40B4-BE49-F238E27FC236}">
                <a16:creationId xmlns:a16="http://schemas.microsoft.com/office/drawing/2014/main" id="{00000000-0008-0000-0C00-0000A97E4100}"/>
              </a:ext>
            </a:extLst>
          </xdr:cNvPr>
          <xdr:cNvSpPr/>
        </xdr:nvSpPr>
        <xdr:spPr>
          <a:xfrm>
            <a:off x="3048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66" name="$AS$116">
            <a:extLst>
              <a:ext uri="{FF2B5EF4-FFF2-40B4-BE49-F238E27FC236}">
                <a16:creationId xmlns:a16="http://schemas.microsoft.com/office/drawing/2014/main" id="{00000000-0008-0000-0C00-0000AA7E4100}"/>
              </a:ext>
            </a:extLst>
          </xdr:cNvPr>
          <xdr:cNvSpPr/>
        </xdr:nvSpPr>
        <xdr:spPr>
          <a:xfrm>
            <a:off x="3302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67" name="$AS$116">
            <a:extLst>
              <a:ext uri="{FF2B5EF4-FFF2-40B4-BE49-F238E27FC236}">
                <a16:creationId xmlns:a16="http://schemas.microsoft.com/office/drawing/2014/main" id="{00000000-0008-0000-0C00-0000AB7E4100}"/>
              </a:ext>
            </a:extLst>
          </xdr:cNvPr>
          <xdr:cNvSpPr/>
        </xdr:nvSpPr>
        <xdr:spPr>
          <a:xfrm>
            <a:off x="3429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68" name="$AS$116">
            <a:extLst>
              <a:ext uri="{FF2B5EF4-FFF2-40B4-BE49-F238E27FC236}">
                <a16:creationId xmlns:a16="http://schemas.microsoft.com/office/drawing/2014/main" id="{00000000-0008-0000-0C00-0000AC7E4100}"/>
              </a:ext>
            </a:extLst>
          </xdr:cNvPr>
          <xdr:cNvSpPr/>
        </xdr:nvSpPr>
        <xdr:spPr>
          <a:xfrm>
            <a:off x="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69" name="$AS$116">
            <a:extLst>
              <a:ext uri="{FF2B5EF4-FFF2-40B4-BE49-F238E27FC236}">
                <a16:creationId xmlns:a16="http://schemas.microsoft.com/office/drawing/2014/main" id="{00000000-0008-0000-0C00-0000AD7E4100}"/>
              </a:ext>
            </a:extLst>
          </xdr:cNvPr>
          <xdr:cNvSpPr/>
        </xdr:nvSpPr>
        <xdr:spPr>
          <a:xfrm>
            <a:off x="381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70" name="$AS$116">
            <a:extLst>
              <a:ext uri="{FF2B5EF4-FFF2-40B4-BE49-F238E27FC236}">
                <a16:creationId xmlns:a16="http://schemas.microsoft.com/office/drawing/2014/main" id="{00000000-0008-0000-0C00-0000AE7E4100}"/>
              </a:ext>
            </a:extLst>
          </xdr:cNvPr>
          <xdr:cNvSpPr/>
        </xdr:nvSpPr>
        <xdr:spPr>
          <a:xfrm>
            <a:off x="508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71" name="$AS$116">
            <a:extLst>
              <a:ext uri="{FF2B5EF4-FFF2-40B4-BE49-F238E27FC236}">
                <a16:creationId xmlns:a16="http://schemas.microsoft.com/office/drawing/2014/main" id="{00000000-0008-0000-0C00-0000AF7E4100}"/>
              </a:ext>
            </a:extLst>
          </xdr:cNvPr>
          <xdr:cNvSpPr/>
        </xdr:nvSpPr>
        <xdr:spPr>
          <a:xfrm>
            <a:off x="762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72" name="$AS$116">
            <a:extLst>
              <a:ext uri="{FF2B5EF4-FFF2-40B4-BE49-F238E27FC236}">
                <a16:creationId xmlns:a16="http://schemas.microsoft.com/office/drawing/2014/main" id="{00000000-0008-0000-0C00-0000B07E4100}"/>
              </a:ext>
            </a:extLst>
          </xdr:cNvPr>
          <xdr:cNvSpPr/>
        </xdr:nvSpPr>
        <xdr:spPr>
          <a:xfrm>
            <a:off x="2159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73" name="$AS$116">
            <a:extLst>
              <a:ext uri="{FF2B5EF4-FFF2-40B4-BE49-F238E27FC236}">
                <a16:creationId xmlns:a16="http://schemas.microsoft.com/office/drawing/2014/main" id="{00000000-0008-0000-0C00-0000B17E4100}"/>
              </a:ext>
            </a:extLst>
          </xdr:cNvPr>
          <xdr:cNvSpPr/>
        </xdr:nvSpPr>
        <xdr:spPr>
          <a:xfrm>
            <a:off x="2286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74" name="$AS$116">
            <a:extLst>
              <a:ext uri="{FF2B5EF4-FFF2-40B4-BE49-F238E27FC236}">
                <a16:creationId xmlns:a16="http://schemas.microsoft.com/office/drawing/2014/main" id="{00000000-0008-0000-0C00-0000B27E4100}"/>
              </a:ext>
            </a:extLst>
          </xdr:cNvPr>
          <xdr:cNvSpPr/>
        </xdr:nvSpPr>
        <xdr:spPr>
          <a:xfrm>
            <a:off x="2540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75" name="$AS$116">
            <a:extLst>
              <a:ext uri="{FF2B5EF4-FFF2-40B4-BE49-F238E27FC236}">
                <a16:creationId xmlns:a16="http://schemas.microsoft.com/office/drawing/2014/main" id="{00000000-0008-0000-0C00-0000B37E4100}"/>
              </a:ext>
            </a:extLst>
          </xdr:cNvPr>
          <xdr:cNvSpPr/>
        </xdr:nvSpPr>
        <xdr:spPr>
          <a:xfrm>
            <a:off x="2667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76" name="$AS$116">
            <a:extLst>
              <a:ext uri="{FF2B5EF4-FFF2-40B4-BE49-F238E27FC236}">
                <a16:creationId xmlns:a16="http://schemas.microsoft.com/office/drawing/2014/main" id="{00000000-0008-0000-0C00-0000B47E4100}"/>
              </a:ext>
            </a:extLst>
          </xdr:cNvPr>
          <xdr:cNvSpPr/>
        </xdr:nvSpPr>
        <xdr:spPr>
          <a:xfrm>
            <a:off x="2794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77" name="$AS$116">
            <a:extLst>
              <a:ext uri="{FF2B5EF4-FFF2-40B4-BE49-F238E27FC236}">
                <a16:creationId xmlns:a16="http://schemas.microsoft.com/office/drawing/2014/main" id="{00000000-0008-0000-0C00-0000B57E4100}"/>
              </a:ext>
            </a:extLst>
          </xdr:cNvPr>
          <xdr:cNvSpPr/>
        </xdr:nvSpPr>
        <xdr:spPr>
          <a:xfrm>
            <a:off x="2921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78" name="$AS$116">
            <a:extLst>
              <a:ext uri="{FF2B5EF4-FFF2-40B4-BE49-F238E27FC236}">
                <a16:creationId xmlns:a16="http://schemas.microsoft.com/office/drawing/2014/main" id="{00000000-0008-0000-0C00-0000B67E4100}"/>
              </a:ext>
            </a:extLst>
          </xdr:cNvPr>
          <xdr:cNvSpPr/>
        </xdr:nvSpPr>
        <xdr:spPr>
          <a:xfrm>
            <a:off x="3048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79" name="$AS$116">
            <a:extLst>
              <a:ext uri="{FF2B5EF4-FFF2-40B4-BE49-F238E27FC236}">
                <a16:creationId xmlns:a16="http://schemas.microsoft.com/office/drawing/2014/main" id="{00000000-0008-0000-0C00-0000B77E4100}"/>
              </a:ext>
            </a:extLst>
          </xdr:cNvPr>
          <xdr:cNvSpPr/>
        </xdr:nvSpPr>
        <xdr:spPr>
          <a:xfrm>
            <a:off x="3175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80" name="$AS$116">
            <a:extLst>
              <a:ext uri="{FF2B5EF4-FFF2-40B4-BE49-F238E27FC236}">
                <a16:creationId xmlns:a16="http://schemas.microsoft.com/office/drawing/2014/main" id="{00000000-0008-0000-0C00-0000B87E4100}"/>
              </a:ext>
            </a:extLst>
          </xdr:cNvPr>
          <xdr:cNvSpPr/>
        </xdr:nvSpPr>
        <xdr:spPr>
          <a:xfrm>
            <a:off x="1016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81" name="$AS$116">
            <a:extLst>
              <a:ext uri="{FF2B5EF4-FFF2-40B4-BE49-F238E27FC236}">
                <a16:creationId xmlns:a16="http://schemas.microsoft.com/office/drawing/2014/main" id="{00000000-0008-0000-0C00-0000B97E4100}"/>
              </a:ext>
            </a:extLst>
          </xdr:cNvPr>
          <xdr:cNvSpPr/>
        </xdr:nvSpPr>
        <xdr:spPr>
          <a:xfrm>
            <a:off x="1143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82" name="$AS$116">
            <a:extLst>
              <a:ext uri="{FF2B5EF4-FFF2-40B4-BE49-F238E27FC236}">
                <a16:creationId xmlns:a16="http://schemas.microsoft.com/office/drawing/2014/main" id="{00000000-0008-0000-0C00-0000BA7E4100}"/>
              </a:ext>
            </a:extLst>
          </xdr:cNvPr>
          <xdr:cNvSpPr/>
        </xdr:nvSpPr>
        <xdr:spPr>
          <a:xfrm>
            <a:off x="1778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83" name="$AS$116">
            <a:extLst>
              <a:ext uri="{FF2B5EF4-FFF2-40B4-BE49-F238E27FC236}">
                <a16:creationId xmlns:a16="http://schemas.microsoft.com/office/drawing/2014/main" id="{00000000-0008-0000-0C00-0000BB7E4100}"/>
              </a:ext>
            </a:extLst>
          </xdr:cNvPr>
          <xdr:cNvSpPr/>
        </xdr:nvSpPr>
        <xdr:spPr>
          <a:xfrm>
            <a:off x="1905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84" name="$AS$116">
            <a:extLst>
              <a:ext uri="{FF2B5EF4-FFF2-40B4-BE49-F238E27FC236}">
                <a16:creationId xmlns:a16="http://schemas.microsoft.com/office/drawing/2014/main" id="{00000000-0008-0000-0C00-0000BC7E4100}"/>
              </a:ext>
            </a:extLst>
          </xdr:cNvPr>
          <xdr:cNvSpPr/>
        </xdr:nvSpPr>
        <xdr:spPr>
          <a:xfrm>
            <a:off x="2286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85" name="$AS$116">
            <a:extLst>
              <a:ext uri="{FF2B5EF4-FFF2-40B4-BE49-F238E27FC236}">
                <a16:creationId xmlns:a16="http://schemas.microsoft.com/office/drawing/2014/main" id="{00000000-0008-0000-0C00-0000BD7E4100}"/>
              </a:ext>
            </a:extLst>
          </xdr:cNvPr>
          <xdr:cNvSpPr/>
        </xdr:nvSpPr>
        <xdr:spPr>
          <a:xfrm>
            <a:off x="2413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86" name="$AS$116">
            <a:extLst>
              <a:ext uri="{FF2B5EF4-FFF2-40B4-BE49-F238E27FC236}">
                <a16:creationId xmlns:a16="http://schemas.microsoft.com/office/drawing/2014/main" id="{00000000-0008-0000-0C00-0000BE7E4100}"/>
              </a:ext>
            </a:extLst>
          </xdr:cNvPr>
          <xdr:cNvSpPr/>
        </xdr:nvSpPr>
        <xdr:spPr>
          <a:xfrm>
            <a:off x="2540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87" name="$AS$116">
            <a:extLst>
              <a:ext uri="{FF2B5EF4-FFF2-40B4-BE49-F238E27FC236}">
                <a16:creationId xmlns:a16="http://schemas.microsoft.com/office/drawing/2014/main" id="{00000000-0008-0000-0C00-0000BF7E4100}"/>
              </a:ext>
            </a:extLst>
          </xdr:cNvPr>
          <xdr:cNvSpPr/>
        </xdr:nvSpPr>
        <xdr:spPr>
          <a:xfrm>
            <a:off x="3048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88" name="$AS$116">
            <a:extLst>
              <a:ext uri="{FF2B5EF4-FFF2-40B4-BE49-F238E27FC236}">
                <a16:creationId xmlns:a16="http://schemas.microsoft.com/office/drawing/2014/main" id="{00000000-0008-0000-0C00-0000C07E4100}"/>
              </a:ext>
            </a:extLst>
          </xdr:cNvPr>
          <xdr:cNvSpPr/>
        </xdr:nvSpPr>
        <xdr:spPr>
          <a:xfrm>
            <a:off x="3302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89" name="$AS$116">
            <a:extLst>
              <a:ext uri="{FF2B5EF4-FFF2-40B4-BE49-F238E27FC236}">
                <a16:creationId xmlns:a16="http://schemas.microsoft.com/office/drawing/2014/main" id="{00000000-0008-0000-0C00-0000C17E4100}"/>
              </a:ext>
            </a:extLst>
          </xdr:cNvPr>
          <xdr:cNvSpPr/>
        </xdr:nvSpPr>
        <xdr:spPr>
          <a:xfrm>
            <a:off x="3556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90" name="$AS$116">
            <a:extLst>
              <a:ext uri="{FF2B5EF4-FFF2-40B4-BE49-F238E27FC236}">
                <a16:creationId xmlns:a16="http://schemas.microsoft.com/office/drawing/2014/main" id="{00000000-0008-0000-0C00-0000C27E4100}"/>
              </a:ext>
            </a:extLst>
          </xdr:cNvPr>
          <xdr:cNvSpPr/>
        </xdr:nvSpPr>
        <xdr:spPr>
          <a:xfrm>
            <a:off x="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91" name="$AS$116">
            <a:extLst>
              <a:ext uri="{FF2B5EF4-FFF2-40B4-BE49-F238E27FC236}">
                <a16:creationId xmlns:a16="http://schemas.microsoft.com/office/drawing/2014/main" id="{00000000-0008-0000-0C00-0000C37E4100}"/>
              </a:ext>
            </a:extLst>
          </xdr:cNvPr>
          <xdr:cNvSpPr/>
        </xdr:nvSpPr>
        <xdr:spPr>
          <a:xfrm>
            <a:off x="127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92" name="$AS$116">
            <a:extLst>
              <a:ext uri="{FF2B5EF4-FFF2-40B4-BE49-F238E27FC236}">
                <a16:creationId xmlns:a16="http://schemas.microsoft.com/office/drawing/2014/main" id="{00000000-0008-0000-0C00-0000C47E4100}"/>
              </a:ext>
            </a:extLst>
          </xdr:cNvPr>
          <xdr:cNvSpPr/>
        </xdr:nvSpPr>
        <xdr:spPr>
          <a:xfrm>
            <a:off x="254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93" name="$AS$116">
            <a:extLst>
              <a:ext uri="{FF2B5EF4-FFF2-40B4-BE49-F238E27FC236}">
                <a16:creationId xmlns:a16="http://schemas.microsoft.com/office/drawing/2014/main" id="{00000000-0008-0000-0C00-0000C57E4100}"/>
              </a:ext>
            </a:extLst>
          </xdr:cNvPr>
          <xdr:cNvSpPr/>
        </xdr:nvSpPr>
        <xdr:spPr>
          <a:xfrm>
            <a:off x="381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94" name="$AS$116">
            <a:extLst>
              <a:ext uri="{FF2B5EF4-FFF2-40B4-BE49-F238E27FC236}">
                <a16:creationId xmlns:a16="http://schemas.microsoft.com/office/drawing/2014/main" id="{00000000-0008-0000-0C00-0000C67E4100}"/>
              </a:ext>
            </a:extLst>
          </xdr:cNvPr>
          <xdr:cNvSpPr/>
        </xdr:nvSpPr>
        <xdr:spPr>
          <a:xfrm>
            <a:off x="508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95" name="$AS$116">
            <a:extLst>
              <a:ext uri="{FF2B5EF4-FFF2-40B4-BE49-F238E27FC236}">
                <a16:creationId xmlns:a16="http://schemas.microsoft.com/office/drawing/2014/main" id="{00000000-0008-0000-0C00-0000C77E4100}"/>
              </a:ext>
            </a:extLst>
          </xdr:cNvPr>
          <xdr:cNvSpPr/>
        </xdr:nvSpPr>
        <xdr:spPr>
          <a:xfrm>
            <a:off x="635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96" name="$AS$116">
            <a:extLst>
              <a:ext uri="{FF2B5EF4-FFF2-40B4-BE49-F238E27FC236}">
                <a16:creationId xmlns:a16="http://schemas.microsoft.com/office/drawing/2014/main" id="{00000000-0008-0000-0C00-0000C87E4100}"/>
              </a:ext>
            </a:extLst>
          </xdr:cNvPr>
          <xdr:cNvSpPr/>
        </xdr:nvSpPr>
        <xdr:spPr>
          <a:xfrm>
            <a:off x="762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97" name="$AS$116">
            <a:extLst>
              <a:ext uri="{FF2B5EF4-FFF2-40B4-BE49-F238E27FC236}">
                <a16:creationId xmlns:a16="http://schemas.microsoft.com/office/drawing/2014/main" id="{00000000-0008-0000-0C00-0000C97E4100}"/>
              </a:ext>
            </a:extLst>
          </xdr:cNvPr>
          <xdr:cNvSpPr/>
        </xdr:nvSpPr>
        <xdr:spPr>
          <a:xfrm>
            <a:off x="1270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98" name="$AS$116">
            <a:extLst>
              <a:ext uri="{FF2B5EF4-FFF2-40B4-BE49-F238E27FC236}">
                <a16:creationId xmlns:a16="http://schemas.microsoft.com/office/drawing/2014/main" id="{00000000-0008-0000-0C00-0000CA7E4100}"/>
              </a:ext>
            </a:extLst>
          </xdr:cNvPr>
          <xdr:cNvSpPr/>
        </xdr:nvSpPr>
        <xdr:spPr>
          <a:xfrm>
            <a:off x="1524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99" name="$AS$116">
            <a:extLst>
              <a:ext uri="{FF2B5EF4-FFF2-40B4-BE49-F238E27FC236}">
                <a16:creationId xmlns:a16="http://schemas.microsoft.com/office/drawing/2014/main" id="{00000000-0008-0000-0C00-0000CB7E4100}"/>
              </a:ext>
            </a:extLst>
          </xdr:cNvPr>
          <xdr:cNvSpPr/>
        </xdr:nvSpPr>
        <xdr:spPr>
          <a:xfrm>
            <a:off x="1905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00" name="$AS$116">
            <a:extLst>
              <a:ext uri="{FF2B5EF4-FFF2-40B4-BE49-F238E27FC236}">
                <a16:creationId xmlns:a16="http://schemas.microsoft.com/office/drawing/2014/main" id="{00000000-0008-0000-0C00-0000CC7E4100}"/>
              </a:ext>
            </a:extLst>
          </xdr:cNvPr>
          <xdr:cNvSpPr/>
        </xdr:nvSpPr>
        <xdr:spPr>
          <a:xfrm>
            <a:off x="2159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01" name="$AS$116">
            <a:extLst>
              <a:ext uri="{FF2B5EF4-FFF2-40B4-BE49-F238E27FC236}">
                <a16:creationId xmlns:a16="http://schemas.microsoft.com/office/drawing/2014/main" id="{00000000-0008-0000-0C00-0000CD7E4100}"/>
              </a:ext>
            </a:extLst>
          </xdr:cNvPr>
          <xdr:cNvSpPr/>
        </xdr:nvSpPr>
        <xdr:spPr>
          <a:xfrm>
            <a:off x="2540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02" name="$AS$116">
            <a:extLst>
              <a:ext uri="{FF2B5EF4-FFF2-40B4-BE49-F238E27FC236}">
                <a16:creationId xmlns:a16="http://schemas.microsoft.com/office/drawing/2014/main" id="{00000000-0008-0000-0C00-0000CE7E4100}"/>
              </a:ext>
            </a:extLst>
          </xdr:cNvPr>
          <xdr:cNvSpPr/>
        </xdr:nvSpPr>
        <xdr:spPr>
          <a:xfrm>
            <a:off x="2794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03" name="$AS$116">
            <a:extLst>
              <a:ext uri="{FF2B5EF4-FFF2-40B4-BE49-F238E27FC236}">
                <a16:creationId xmlns:a16="http://schemas.microsoft.com/office/drawing/2014/main" id="{00000000-0008-0000-0C00-0000CF7E4100}"/>
              </a:ext>
            </a:extLst>
          </xdr:cNvPr>
          <xdr:cNvSpPr/>
        </xdr:nvSpPr>
        <xdr:spPr>
          <a:xfrm>
            <a:off x="3048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04" name="$AS$116">
            <a:extLst>
              <a:ext uri="{FF2B5EF4-FFF2-40B4-BE49-F238E27FC236}">
                <a16:creationId xmlns:a16="http://schemas.microsoft.com/office/drawing/2014/main" id="{00000000-0008-0000-0C00-0000D07E4100}"/>
              </a:ext>
            </a:extLst>
          </xdr:cNvPr>
          <xdr:cNvSpPr/>
        </xdr:nvSpPr>
        <xdr:spPr>
          <a:xfrm>
            <a:off x="3175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05" name="$AS$116">
            <a:extLst>
              <a:ext uri="{FF2B5EF4-FFF2-40B4-BE49-F238E27FC236}">
                <a16:creationId xmlns:a16="http://schemas.microsoft.com/office/drawing/2014/main" id="{00000000-0008-0000-0C00-0000D17E4100}"/>
              </a:ext>
            </a:extLst>
          </xdr:cNvPr>
          <xdr:cNvSpPr/>
        </xdr:nvSpPr>
        <xdr:spPr>
          <a:xfrm>
            <a:off x="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06" name="$AS$116">
            <a:extLst>
              <a:ext uri="{FF2B5EF4-FFF2-40B4-BE49-F238E27FC236}">
                <a16:creationId xmlns:a16="http://schemas.microsoft.com/office/drawing/2014/main" id="{00000000-0008-0000-0C00-0000D27E4100}"/>
              </a:ext>
            </a:extLst>
          </xdr:cNvPr>
          <xdr:cNvSpPr/>
        </xdr:nvSpPr>
        <xdr:spPr>
          <a:xfrm>
            <a:off x="762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07" name="$AS$116">
            <a:extLst>
              <a:ext uri="{FF2B5EF4-FFF2-40B4-BE49-F238E27FC236}">
                <a16:creationId xmlns:a16="http://schemas.microsoft.com/office/drawing/2014/main" id="{00000000-0008-0000-0C00-0000D37E4100}"/>
              </a:ext>
            </a:extLst>
          </xdr:cNvPr>
          <xdr:cNvSpPr/>
        </xdr:nvSpPr>
        <xdr:spPr>
          <a:xfrm>
            <a:off x="1016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08" name="$AS$116">
            <a:extLst>
              <a:ext uri="{FF2B5EF4-FFF2-40B4-BE49-F238E27FC236}">
                <a16:creationId xmlns:a16="http://schemas.microsoft.com/office/drawing/2014/main" id="{00000000-0008-0000-0C00-0000D47E4100}"/>
              </a:ext>
            </a:extLst>
          </xdr:cNvPr>
          <xdr:cNvSpPr/>
        </xdr:nvSpPr>
        <xdr:spPr>
          <a:xfrm>
            <a:off x="1524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09" name="$AS$116">
            <a:extLst>
              <a:ext uri="{FF2B5EF4-FFF2-40B4-BE49-F238E27FC236}">
                <a16:creationId xmlns:a16="http://schemas.microsoft.com/office/drawing/2014/main" id="{00000000-0008-0000-0C00-0000D57E4100}"/>
              </a:ext>
            </a:extLst>
          </xdr:cNvPr>
          <xdr:cNvSpPr/>
        </xdr:nvSpPr>
        <xdr:spPr>
          <a:xfrm>
            <a:off x="1778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10" name="$AS$116">
            <a:extLst>
              <a:ext uri="{FF2B5EF4-FFF2-40B4-BE49-F238E27FC236}">
                <a16:creationId xmlns:a16="http://schemas.microsoft.com/office/drawing/2014/main" id="{00000000-0008-0000-0C00-0000D67E4100}"/>
              </a:ext>
            </a:extLst>
          </xdr:cNvPr>
          <xdr:cNvSpPr/>
        </xdr:nvSpPr>
        <xdr:spPr>
          <a:xfrm>
            <a:off x="2032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11" name="$AS$116">
            <a:extLst>
              <a:ext uri="{FF2B5EF4-FFF2-40B4-BE49-F238E27FC236}">
                <a16:creationId xmlns:a16="http://schemas.microsoft.com/office/drawing/2014/main" id="{00000000-0008-0000-0C00-0000D77E4100}"/>
              </a:ext>
            </a:extLst>
          </xdr:cNvPr>
          <xdr:cNvSpPr/>
        </xdr:nvSpPr>
        <xdr:spPr>
          <a:xfrm>
            <a:off x="2159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12" name="$AS$116">
            <a:extLst>
              <a:ext uri="{FF2B5EF4-FFF2-40B4-BE49-F238E27FC236}">
                <a16:creationId xmlns:a16="http://schemas.microsoft.com/office/drawing/2014/main" id="{00000000-0008-0000-0C00-0000D87E4100}"/>
              </a:ext>
            </a:extLst>
          </xdr:cNvPr>
          <xdr:cNvSpPr/>
        </xdr:nvSpPr>
        <xdr:spPr>
          <a:xfrm>
            <a:off x="2540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13" name="$AS$116">
            <a:extLst>
              <a:ext uri="{FF2B5EF4-FFF2-40B4-BE49-F238E27FC236}">
                <a16:creationId xmlns:a16="http://schemas.microsoft.com/office/drawing/2014/main" id="{00000000-0008-0000-0C00-0000D97E4100}"/>
              </a:ext>
            </a:extLst>
          </xdr:cNvPr>
          <xdr:cNvSpPr/>
        </xdr:nvSpPr>
        <xdr:spPr>
          <a:xfrm>
            <a:off x="3048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14" name="$AS$116">
            <a:extLst>
              <a:ext uri="{FF2B5EF4-FFF2-40B4-BE49-F238E27FC236}">
                <a16:creationId xmlns:a16="http://schemas.microsoft.com/office/drawing/2014/main" id="{00000000-0008-0000-0C00-0000DA7E4100}"/>
              </a:ext>
            </a:extLst>
          </xdr:cNvPr>
          <xdr:cNvSpPr/>
        </xdr:nvSpPr>
        <xdr:spPr>
          <a:xfrm>
            <a:off x="3175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15" name="$AS$116">
            <a:extLst>
              <a:ext uri="{FF2B5EF4-FFF2-40B4-BE49-F238E27FC236}">
                <a16:creationId xmlns:a16="http://schemas.microsoft.com/office/drawing/2014/main" id="{00000000-0008-0000-0C00-0000DB7E4100}"/>
              </a:ext>
            </a:extLst>
          </xdr:cNvPr>
          <xdr:cNvSpPr/>
        </xdr:nvSpPr>
        <xdr:spPr>
          <a:xfrm>
            <a:off x="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16" name="$AS$116">
            <a:extLst>
              <a:ext uri="{FF2B5EF4-FFF2-40B4-BE49-F238E27FC236}">
                <a16:creationId xmlns:a16="http://schemas.microsoft.com/office/drawing/2014/main" id="{00000000-0008-0000-0C00-0000DC7E4100}"/>
              </a:ext>
            </a:extLst>
          </xdr:cNvPr>
          <xdr:cNvSpPr/>
        </xdr:nvSpPr>
        <xdr:spPr>
          <a:xfrm>
            <a:off x="254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17" name="$AS$116">
            <a:extLst>
              <a:ext uri="{FF2B5EF4-FFF2-40B4-BE49-F238E27FC236}">
                <a16:creationId xmlns:a16="http://schemas.microsoft.com/office/drawing/2014/main" id="{00000000-0008-0000-0C00-0000DD7E4100}"/>
              </a:ext>
            </a:extLst>
          </xdr:cNvPr>
          <xdr:cNvSpPr/>
        </xdr:nvSpPr>
        <xdr:spPr>
          <a:xfrm>
            <a:off x="381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18" name="$AS$116">
            <a:extLst>
              <a:ext uri="{FF2B5EF4-FFF2-40B4-BE49-F238E27FC236}">
                <a16:creationId xmlns:a16="http://schemas.microsoft.com/office/drawing/2014/main" id="{00000000-0008-0000-0C00-0000DE7E4100}"/>
              </a:ext>
            </a:extLst>
          </xdr:cNvPr>
          <xdr:cNvSpPr/>
        </xdr:nvSpPr>
        <xdr:spPr>
          <a:xfrm>
            <a:off x="508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19" name="$AS$116">
            <a:extLst>
              <a:ext uri="{FF2B5EF4-FFF2-40B4-BE49-F238E27FC236}">
                <a16:creationId xmlns:a16="http://schemas.microsoft.com/office/drawing/2014/main" id="{00000000-0008-0000-0C00-0000DF7E4100}"/>
              </a:ext>
            </a:extLst>
          </xdr:cNvPr>
          <xdr:cNvSpPr/>
        </xdr:nvSpPr>
        <xdr:spPr>
          <a:xfrm>
            <a:off x="762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20" name="$AS$116">
            <a:extLst>
              <a:ext uri="{FF2B5EF4-FFF2-40B4-BE49-F238E27FC236}">
                <a16:creationId xmlns:a16="http://schemas.microsoft.com/office/drawing/2014/main" id="{00000000-0008-0000-0C00-0000E07E4100}"/>
              </a:ext>
            </a:extLst>
          </xdr:cNvPr>
          <xdr:cNvSpPr/>
        </xdr:nvSpPr>
        <xdr:spPr>
          <a:xfrm>
            <a:off x="1143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21" name="$AS$116">
            <a:extLst>
              <a:ext uri="{FF2B5EF4-FFF2-40B4-BE49-F238E27FC236}">
                <a16:creationId xmlns:a16="http://schemas.microsoft.com/office/drawing/2014/main" id="{00000000-0008-0000-0C00-0000E17E4100}"/>
              </a:ext>
            </a:extLst>
          </xdr:cNvPr>
          <xdr:cNvSpPr/>
        </xdr:nvSpPr>
        <xdr:spPr>
          <a:xfrm>
            <a:off x="1270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22" name="$AS$116">
            <a:extLst>
              <a:ext uri="{FF2B5EF4-FFF2-40B4-BE49-F238E27FC236}">
                <a16:creationId xmlns:a16="http://schemas.microsoft.com/office/drawing/2014/main" id="{00000000-0008-0000-0C00-0000E27E4100}"/>
              </a:ext>
            </a:extLst>
          </xdr:cNvPr>
          <xdr:cNvSpPr/>
        </xdr:nvSpPr>
        <xdr:spPr>
          <a:xfrm>
            <a:off x="1397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23" name="$AS$116">
            <a:extLst>
              <a:ext uri="{FF2B5EF4-FFF2-40B4-BE49-F238E27FC236}">
                <a16:creationId xmlns:a16="http://schemas.microsoft.com/office/drawing/2014/main" id="{00000000-0008-0000-0C00-0000E37E4100}"/>
              </a:ext>
            </a:extLst>
          </xdr:cNvPr>
          <xdr:cNvSpPr/>
        </xdr:nvSpPr>
        <xdr:spPr>
          <a:xfrm>
            <a:off x="1905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24" name="$AS$116">
            <a:extLst>
              <a:ext uri="{FF2B5EF4-FFF2-40B4-BE49-F238E27FC236}">
                <a16:creationId xmlns:a16="http://schemas.microsoft.com/office/drawing/2014/main" id="{00000000-0008-0000-0C00-0000E47E4100}"/>
              </a:ext>
            </a:extLst>
          </xdr:cNvPr>
          <xdr:cNvSpPr/>
        </xdr:nvSpPr>
        <xdr:spPr>
          <a:xfrm>
            <a:off x="2159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25" name="$AS$116">
            <a:extLst>
              <a:ext uri="{FF2B5EF4-FFF2-40B4-BE49-F238E27FC236}">
                <a16:creationId xmlns:a16="http://schemas.microsoft.com/office/drawing/2014/main" id="{00000000-0008-0000-0C00-0000E57E4100}"/>
              </a:ext>
            </a:extLst>
          </xdr:cNvPr>
          <xdr:cNvSpPr/>
        </xdr:nvSpPr>
        <xdr:spPr>
          <a:xfrm>
            <a:off x="2286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26" name="$AS$116">
            <a:extLst>
              <a:ext uri="{FF2B5EF4-FFF2-40B4-BE49-F238E27FC236}">
                <a16:creationId xmlns:a16="http://schemas.microsoft.com/office/drawing/2014/main" id="{00000000-0008-0000-0C00-0000E67E4100}"/>
              </a:ext>
            </a:extLst>
          </xdr:cNvPr>
          <xdr:cNvSpPr/>
        </xdr:nvSpPr>
        <xdr:spPr>
          <a:xfrm>
            <a:off x="2413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27" name="$AS$116">
            <a:extLst>
              <a:ext uri="{FF2B5EF4-FFF2-40B4-BE49-F238E27FC236}">
                <a16:creationId xmlns:a16="http://schemas.microsoft.com/office/drawing/2014/main" id="{00000000-0008-0000-0C00-0000E77E4100}"/>
              </a:ext>
            </a:extLst>
          </xdr:cNvPr>
          <xdr:cNvSpPr/>
        </xdr:nvSpPr>
        <xdr:spPr>
          <a:xfrm>
            <a:off x="2540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28" name="$AS$116">
            <a:extLst>
              <a:ext uri="{FF2B5EF4-FFF2-40B4-BE49-F238E27FC236}">
                <a16:creationId xmlns:a16="http://schemas.microsoft.com/office/drawing/2014/main" id="{00000000-0008-0000-0C00-0000E87E4100}"/>
              </a:ext>
            </a:extLst>
          </xdr:cNvPr>
          <xdr:cNvSpPr/>
        </xdr:nvSpPr>
        <xdr:spPr>
          <a:xfrm>
            <a:off x="2667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29" name="$AS$116">
            <a:extLst>
              <a:ext uri="{FF2B5EF4-FFF2-40B4-BE49-F238E27FC236}">
                <a16:creationId xmlns:a16="http://schemas.microsoft.com/office/drawing/2014/main" id="{00000000-0008-0000-0C00-0000E97E4100}"/>
              </a:ext>
            </a:extLst>
          </xdr:cNvPr>
          <xdr:cNvSpPr/>
        </xdr:nvSpPr>
        <xdr:spPr>
          <a:xfrm>
            <a:off x="2794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30" name="$AS$116">
            <a:extLst>
              <a:ext uri="{FF2B5EF4-FFF2-40B4-BE49-F238E27FC236}">
                <a16:creationId xmlns:a16="http://schemas.microsoft.com/office/drawing/2014/main" id="{00000000-0008-0000-0C00-0000EA7E4100}"/>
              </a:ext>
            </a:extLst>
          </xdr:cNvPr>
          <xdr:cNvSpPr/>
        </xdr:nvSpPr>
        <xdr:spPr>
          <a:xfrm>
            <a:off x="2921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31" name="$AS$116">
            <a:extLst>
              <a:ext uri="{FF2B5EF4-FFF2-40B4-BE49-F238E27FC236}">
                <a16:creationId xmlns:a16="http://schemas.microsoft.com/office/drawing/2014/main" id="{00000000-0008-0000-0C00-0000EB7E4100}"/>
              </a:ext>
            </a:extLst>
          </xdr:cNvPr>
          <xdr:cNvSpPr/>
        </xdr:nvSpPr>
        <xdr:spPr>
          <a:xfrm>
            <a:off x="3048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32" name="$AS$116">
            <a:extLst>
              <a:ext uri="{FF2B5EF4-FFF2-40B4-BE49-F238E27FC236}">
                <a16:creationId xmlns:a16="http://schemas.microsoft.com/office/drawing/2014/main" id="{00000000-0008-0000-0C00-0000EC7E4100}"/>
              </a:ext>
            </a:extLst>
          </xdr:cNvPr>
          <xdr:cNvSpPr/>
        </xdr:nvSpPr>
        <xdr:spPr>
          <a:xfrm>
            <a:off x="3302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33" name="$AS$116">
            <a:extLst>
              <a:ext uri="{FF2B5EF4-FFF2-40B4-BE49-F238E27FC236}">
                <a16:creationId xmlns:a16="http://schemas.microsoft.com/office/drawing/2014/main" id="{00000000-0008-0000-0C00-0000ED7E4100}"/>
              </a:ext>
            </a:extLst>
          </xdr:cNvPr>
          <xdr:cNvSpPr/>
        </xdr:nvSpPr>
        <xdr:spPr>
          <a:xfrm>
            <a:off x="3429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34" name="$AS$116">
            <a:extLst>
              <a:ext uri="{FF2B5EF4-FFF2-40B4-BE49-F238E27FC236}">
                <a16:creationId xmlns:a16="http://schemas.microsoft.com/office/drawing/2014/main" id="{00000000-0008-0000-0C00-0000EE7E4100}"/>
              </a:ext>
            </a:extLst>
          </xdr:cNvPr>
          <xdr:cNvSpPr/>
        </xdr:nvSpPr>
        <xdr:spPr>
          <a:xfrm>
            <a:off x="3556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35" name="$AS$116">
            <a:extLst>
              <a:ext uri="{FF2B5EF4-FFF2-40B4-BE49-F238E27FC236}">
                <a16:creationId xmlns:a16="http://schemas.microsoft.com/office/drawing/2014/main" id="{00000000-0008-0000-0C00-0000EF7E4100}"/>
              </a:ext>
            </a:extLst>
          </xdr:cNvPr>
          <xdr:cNvSpPr/>
        </xdr:nvSpPr>
        <xdr:spPr>
          <a:xfrm>
            <a:off x="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36" name="$AS$116">
            <a:extLst>
              <a:ext uri="{FF2B5EF4-FFF2-40B4-BE49-F238E27FC236}">
                <a16:creationId xmlns:a16="http://schemas.microsoft.com/office/drawing/2014/main" id="{00000000-0008-0000-0C00-0000F07E4100}"/>
              </a:ext>
            </a:extLst>
          </xdr:cNvPr>
          <xdr:cNvSpPr/>
        </xdr:nvSpPr>
        <xdr:spPr>
          <a:xfrm>
            <a:off x="254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37" name="$AS$116">
            <a:extLst>
              <a:ext uri="{FF2B5EF4-FFF2-40B4-BE49-F238E27FC236}">
                <a16:creationId xmlns:a16="http://schemas.microsoft.com/office/drawing/2014/main" id="{00000000-0008-0000-0C00-0000F17E4100}"/>
              </a:ext>
            </a:extLst>
          </xdr:cNvPr>
          <xdr:cNvSpPr/>
        </xdr:nvSpPr>
        <xdr:spPr>
          <a:xfrm>
            <a:off x="381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38" name="$AS$116">
            <a:extLst>
              <a:ext uri="{FF2B5EF4-FFF2-40B4-BE49-F238E27FC236}">
                <a16:creationId xmlns:a16="http://schemas.microsoft.com/office/drawing/2014/main" id="{00000000-0008-0000-0C00-0000F27E4100}"/>
              </a:ext>
            </a:extLst>
          </xdr:cNvPr>
          <xdr:cNvSpPr/>
        </xdr:nvSpPr>
        <xdr:spPr>
          <a:xfrm>
            <a:off x="508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39" name="$AS$116">
            <a:extLst>
              <a:ext uri="{FF2B5EF4-FFF2-40B4-BE49-F238E27FC236}">
                <a16:creationId xmlns:a16="http://schemas.microsoft.com/office/drawing/2014/main" id="{00000000-0008-0000-0C00-0000F37E4100}"/>
              </a:ext>
            </a:extLst>
          </xdr:cNvPr>
          <xdr:cNvSpPr/>
        </xdr:nvSpPr>
        <xdr:spPr>
          <a:xfrm>
            <a:off x="762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40" name="$AS$116">
            <a:extLst>
              <a:ext uri="{FF2B5EF4-FFF2-40B4-BE49-F238E27FC236}">
                <a16:creationId xmlns:a16="http://schemas.microsoft.com/office/drawing/2014/main" id="{00000000-0008-0000-0C00-0000F47E4100}"/>
              </a:ext>
            </a:extLst>
          </xdr:cNvPr>
          <xdr:cNvSpPr/>
        </xdr:nvSpPr>
        <xdr:spPr>
          <a:xfrm>
            <a:off x="1016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41" name="$AS$116">
            <a:extLst>
              <a:ext uri="{FF2B5EF4-FFF2-40B4-BE49-F238E27FC236}">
                <a16:creationId xmlns:a16="http://schemas.microsoft.com/office/drawing/2014/main" id="{00000000-0008-0000-0C00-0000F57E4100}"/>
              </a:ext>
            </a:extLst>
          </xdr:cNvPr>
          <xdr:cNvSpPr/>
        </xdr:nvSpPr>
        <xdr:spPr>
          <a:xfrm>
            <a:off x="1397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42" name="$AS$116">
            <a:extLst>
              <a:ext uri="{FF2B5EF4-FFF2-40B4-BE49-F238E27FC236}">
                <a16:creationId xmlns:a16="http://schemas.microsoft.com/office/drawing/2014/main" id="{00000000-0008-0000-0C00-0000F67E4100}"/>
              </a:ext>
            </a:extLst>
          </xdr:cNvPr>
          <xdr:cNvSpPr/>
        </xdr:nvSpPr>
        <xdr:spPr>
          <a:xfrm>
            <a:off x="1651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43" name="$AS$116">
            <a:extLst>
              <a:ext uri="{FF2B5EF4-FFF2-40B4-BE49-F238E27FC236}">
                <a16:creationId xmlns:a16="http://schemas.microsoft.com/office/drawing/2014/main" id="{00000000-0008-0000-0C00-0000F77E4100}"/>
              </a:ext>
            </a:extLst>
          </xdr:cNvPr>
          <xdr:cNvSpPr/>
        </xdr:nvSpPr>
        <xdr:spPr>
          <a:xfrm>
            <a:off x="1905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44" name="$AS$116">
            <a:extLst>
              <a:ext uri="{FF2B5EF4-FFF2-40B4-BE49-F238E27FC236}">
                <a16:creationId xmlns:a16="http://schemas.microsoft.com/office/drawing/2014/main" id="{00000000-0008-0000-0C00-0000F87E4100}"/>
              </a:ext>
            </a:extLst>
          </xdr:cNvPr>
          <xdr:cNvSpPr/>
        </xdr:nvSpPr>
        <xdr:spPr>
          <a:xfrm>
            <a:off x="2032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45" name="$AS$116">
            <a:extLst>
              <a:ext uri="{FF2B5EF4-FFF2-40B4-BE49-F238E27FC236}">
                <a16:creationId xmlns:a16="http://schemas.microsoft.com/office/drawing/2014/main" id="{00000000-0008-0000-0C00-0000F97E4100}"/>
              </a:ext>
            </a:extLst>
          </xdr:cNvPr>
          <xdr:cNvSpPr/>
        </xdr:nvSpPr>
        <xdr:spPr>
          <a:xfrm>
            <a:off x="2286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46" name="$AS$116">
            <a:extLst>
              <a:ext uri="{FF2B5EF4-FFF2-40B4-BE49-F238E27FC236}">
                <a16:creationId xmlns:a16="http://schemas.microsoft.com/office/drawing/2014/main" id="{00000000-0008-0000-0C00-0000FA7E4100}"/>
              </a:ext>
            </a:extLst>
          </xdr:cNvPr>
          <xdr:cNvSpPr/>
        </xdr:nvSpPr>
        <xdr:spPr>
          <a:xfrm>
            <a:off x="2413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47" name="$AS$116">
            <a:extLst>
              <a:ext uri="{FF2B5EF4-FFF2-40B4-BE49-F238E27FC236}">
                <a16:creationId xmlns:a16="http://schemas.microsoft.com/office/drawing/2014/main" id="{00000000-0008-0000-0C00-0000FB7E4100}"/>
              </a:ext>
            </a:extLst>
          </xdr:cNvPr>
          <xdr:cNvSpPr/>
        </xdr:nvSpPr>
        <xdr:spPr>
          <a:xfrm>
            <a:off x="2540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48" name="$AS$116">
            <a:extLst>
              <a:ext uri="{FF2B5EF4-FFF2-40B4-BE49-F238E27FC236}">
                <a16:creationId xmlns:a16="http://schemas.microsoft.com/office/drawing/2014/main" id="{00000000-0008-0000-0C00-0000FC7E4100}"/>
              </a:ext>
            </a:extLst>
          </xdr:cNvPr>
          <xdr:cNvSpPr/>
        </xdr:nvSpPr>
        <xdr:spPr>
          <a:xfrm>
            <a:off x="2667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49" name="$AS$116">
            <a:extLst>
              <a:ext uri="{FF2B5EF4-FFF2-40B4-BE49-F238E27FC236}">
                <a16:creationId xmlns:a16="http://schemas.microsoft.com/office/drawing/2014/main" id="{00000000-0008-0000-0C00-0000FD7E4100}"/>
              </a:ext>
            </a:extLst>
          </xdr:cNvPr>
          <xdr:cNvSpPr/>
        </xdr:nvSpPr>
        <xdr:spPr>
          <a:xfrm>
            <a:off x="3175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50" name="$AS$116">
            <a:extLst>
              <a:ext uri="{FF2B5EF4-FFF2-40B4-BE49-F238E27FC236}">
                <a16:creationId xmlns:a16="http://schemas.microsoft.com/office/drawing/2014/main" id="{00000000-0008-0000-0C00-0000FE7E4100}"/>
              </a:ext>
            </a:extLst>
          </xdr:cNvPr>
          <xdr:cNvSpPr/>
        </xdr:nvSpPr>
        <xdr:spPr>
          <a:xfrm>
            <a:off x="3302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51" name="$AS$116">
            <a:extLst>
              <a:ext uri="{FF2B5EF4-FFF2-40B4-BE49-F238E27FC236}">
                <a16:creationId xmlns:a16="http://schemas.microsoft.com/office/drawing/2014/main" id="{00000000-0008-0000-0C00-0000FF7E4100}"/>
              </a:ext>
            </a:extLst>
          </xdr:cNvPr>
          <xdr:cNvSpPr/>
        </xdr:nvSpPr>
        <xdr:spPr>
          <a:xfrm>
            <a:off x="3429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52" name="$AS$116">
            <a:extLst>
              <a:ext uri="{FF2B5EF4-FFF2-40B4-BE49-F238E27FC236}">
                <a16:creationId xmlns:a16="http://schemas.microsoft.com/office/drawing/2014/main" id="{00000000-0008-0000-0C00-0000007F4100}"/>
              </a:ext>
            </a:extLst>
          </xdr:cNvPr>
          <xdr:cNvSpPr/>
        </xdr:nvSpPr>
        <xdr:spPr>
          <a:xfrm>
            <a:off x="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53" name="$AS$116">
            <a:extLst>
              <a:ext uri="{FF2B5EF4-FFF2-40B4-BE49-F238E27FC236}">
                <a16:creationId xmlns:a16="http://schemas.microsoft.com/office/drawing/2014/main" id="{00000000-0008-0000-0C00-0000017F4100}"/>
              </a:ext>
            </a:extLst>
          </xdr:cNvPr>
          <xdr:cNvSpPr/>
        </xdr:nvSpPr>
        <xdr:spPr>
          <a:xfrm>
            <a:off x="254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54" name="$AS$116">
            <a:extLst>
              <a:ext uri="{FF2B5EF4-FFF2-40B4-BE49-F238E27FC236}">
                <a16:creationId xmlns:a16="http://schemas.microsoft.com/office/drawing/2014/main" id="{00000000-0008-0000-0C00-0000027F4100}"/>
              </a:ext>
            </a:extLst>
          </xdr:cNvPr>
          <xdr:cNvSpPr/>
        </xdr:nvSpPr>
        <xdr:spPr>
          <a:xfrm>
            <a:off x="381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55" name="$AS$116">
            <a:extLst>
              <a:ext uri="{FF2B5EF4-FFF2-40B4-BE49-F238E27FC236}">
                <a16:creationId xmlns:a16="http://schemas.microsoft.com/office/drawing/2014/main" id="{00000000-0008-0000-0C00-0000037F4100}"/>
              </a:ext>
            </a:extLst>
          </xdr:cNvPr>
          <xdr:cNvSpPr/>
        </xdr:nvSpPr>
        <xdr:spPr>
          <a:xfrm>
            <a:off x="508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56" name="$AS$116">
            <a:extLst>
              <a:ext uri="{FF2B5EF4-FFF2-40B4-BE49-F238E27FC236}">
                <a16:creationId xmlns:a16="http://schemas.microsoft.com/office/drawing/2014/main" id="{00000000-0008-0000-0C00-0000047F4100}"/>
              </a:ext>
            </a:extLst>
          </xdr:cNvPr>
          <xdr:cNvSpPr/>
        </xdr:nvSpPr>
        <xdr:spPr>
          <a:xfrm>
            <a:off x="762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57" name="$AS$116">
            <a:extLst>
              <a:ext uri="{FF2B5EF4-FFF2-40B4-BE49-F238E27FC236}">
                <a16:creationId xmlns:a16="http://schemas.microsoft.com/office/drawing/2014/main" id="{00000000-0008-0000-0C00-0000057F4100}"/>
              </a:ext>
            </a:extLst>
          </xdr:cNvPr>
          <xdr:cNvSpPr/>
        </xdr:nvSpPr>
        <xdr:spPr>
          <a:xfrm>
            <a:off x="1270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58" name="$AS$116">
            <a:extLst>
              <a:ext uri="{FF2B5EF4-FFF2-40B4-BE49-F238E27FC236}">
                <a16:creationId xmlns:a16="http://schemas.microsoft.com/office/drawing/2014/main" id="{00000000-0008-0000-0C00-0000067F4100}"/>
              </a:ext>
            </a:extLst>
          </xdr:cNvPr>
          <xdr:cNvSpPr/>
        </xdr:nvSpPr>
        <xdr:spPr>
          <a:xfrm>
            <a:off x="1397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59" name="$AS$116">
            <a:extLst>
              <a:ext uri="{FF2B5EF4-FFF2-40B4-BE49-F238E27FC236}">
                <a16:creationId xmlns:a16="http://schemas.microsoft.com/office/drawing/2014/main" id="{00000000-0008-0000-0C00-0000077F4100}"/>
              </a:ext>
            </a:extLst>
          </xdr:cNvPr>
          <xdr:cNvSpPr/>
        </xdr:nvSpPr>
        <xdr:spPr>
          <a:xfrm>
            <a:off x="1524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60" name="$AS$116">
            <a:extLst>
              <a:ext uri="{FF2B5EF4-FFF2-40B4-BE49-F238E27FC236}">
                <a16:creationId xmlns:a16="http://schemas.microsoft.com/office/drawing/2014/main" id="{00000000-0008-0000-0C00-0000087F4100}"/>
              </a:ext>
            </a:extLst>
          </xdr:cNvPr>
          <xdr:cNvSpPr/>
        </xdr:nvSpPr>
        <xdr:spPr>
          <a:xfrm>
            <a:off x="1651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61" name="$AS$116">
            <a:extLst>
              <a:ext uri="{FF2B5EF4-FFF2-40B4-BE49-F238E27FC236}">
                <a16:creationId xmlns:a16="http://schemas.microsoft.com/office/drawing/2014/main" id="{00000000-0008-0000-0C00-0000097F4100}"/>
              </a:ext>
            </a:extLst>
          </xdr:cNvPr>
          <xdr:cNvSpPr/>
        </xdr:nvSpPr>
        <xdr:spPr>
          <a:xfrm>
            <a:off x="1905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62" name="$AS$116">
            <a:extLst>
              <a:ext uri="{FF2B5EF4-FFF2-40B4-BE49-F238E27FC236}">
                <a16:creationId xmlns:a16="http://schemas.microsoft.com/office/drawing/2014/main" id="{00000000-0008-0000-0C00-00000A7F4100}"/>
              </a:ext>
            </a:extLst>
          </xdr:cNvPr>
          <xdr:cNvSpPr/>
        </xdr:nvSpPr>
        <xdr:spPr>
          <a:xfrm>
            <a:off x="2159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63" name="$AS$116">
            <a:extLst>
              <a:ext uri="{FF2B5EF4-FFF2-40B4-BE49-F238E27FC236}">
                <a16:creationId xmlns:a16="http://schemas.microsoft.com/office/drawing/2014/main" id="{00000000-0008-0000-0C00-00000B7F4100}"/>
              </a:ext>
            </a:extLst>
          </xdr:cNvPr>
          <xdr:cNvSpPr/>
        </xdr:nvSpPr>
        <xdr:spPr>
          <a:xfrm>
            <a:off x="2413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64" name="$AS$116">
            <a:extLst>
              <a:ext uri="{FF2B5EF4-FFF2-40B4-BE49-F238E27FC236}">
                <a16:creationId xmlns:a16="http://schemas.microsoft.com/office/drawing/2014/main" id="{00000000-0008-0000-0C00-00000C7F4100}"/>
              </a:ext>
            </a:extLst>
          </xdr:cNvPr>
          <xdr:cNvSpPr/>
        </xdr:nvSpPr>
        <xdr:spPr>
          <a:xfrm>
            <a:off x="2667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65" name="$AS$116">
            <a:extLst>
              <a:ext uri="{FF2B5EF4-FFF2-40B4-BE49-F238E27FC236}">
                <a16:creationId xmlns:a16="http://schemas.microsoft.com/office/drawing/2014/main" id="{00000000-0008-0000-0C00-00000D7F4100}"/>
              </a:ext>
            </a:extLst>
          </xdr:cNvPr>
          <xdr:cNvSpPr/>
        </xdr:nvSpPr>
        <xdr:spPr>
          <a:xfrm>
            <a:off x="2794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66" name="$AS$116">
            <a:extLst>
              <a:ext uri="{FF2B5EF4-FFF2-40B4-BE49-F238E27FC236}">
                <a16:creationId xmlns:a16="http://schemas.microsoft.com/office/drawing/2014/main" id="{00000000-0008-0000-0C00-00000E7F4100}"/>
              </a:ext>
            </a:extLst>
          </xdr:cNvPr>
          <xdr:cNvSpPr/>
        </xdr:nvSpPr>
        <xdr:spPr>
          <a:xfrm>
            <a:off x="2921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67" name="$AS$116">
            <a:extLst>
              <a:ext uri="{FF2B5EF4-FFF2-40B4-BE49-F238E27FC236}">
                <a16:creationId xmlns:a16="http://schemas.microsoft.com/office/drawing/2014/main" id="{00000000-0008-0000-0C00-00000F7F4100}"/>
              </a:ext>
            </a:extLst>
          </xdr:cNvPr>
          <xdr:cNvSpPr/>
        </xdr:nvSpPr>
        <xdr:spPr>
          <a:xfrm>
            <a:off x="3175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68" name="$AS$116">
            <a:extLst>
              <a:ext uri="{FF2B5EF4-FFF2-40B4-BE49-F238E27FC236}">
                <a16:creationId xmlns:a16="http://schemas.microsoft.com/office/drawing/2014/main" id="{00000000-0008-0000-0C00-0000107F4100}"/>
              </a:ext>
            </a:extLst>
          </xdr:cNvPr>
          <xdr:cNvSpPr/>
        </xdr:nvSpPr>
        <xdr:spPr>
          <a:xfrm>
            <a:off x="3302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69" name="$AS$116">
            <a:extLst>
              <a:ext uri="{FF2B5EF4-FFF2-40B4-BE49-F238E27FC236}">
                <a16:creationId xmlns:a16="http://schemas.microsoft.com/office/drawing/2014/main" id="{00000000-0008-0000-0C00-0000117F4100}"/>
              </a:ext>
            </a:extLst>
          </xdr:cNvPr>
          <xdr:cNvSpPr/>
        </xdr:nvSpPr>
        <xdr:spPr>
          <a:xfrm>
            <a:off x="3556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70" name="$AS$116">
            <a:extLst>
              <a:ext uri="{FF2B5EF4-FFF2-40B4-BE49-F238E27FC236}">
                <a16:creationId xmlns:a16="http://schemas.microsoft.com/office/drawing/2014/main" id="{00000000-0008-0000-0C00-0000127F4100}"/>
              </a:ext>
            </a:extLst>
          </xdr:cNvPr>
          <xdr:cNvSpPr/>
        </xdr:nvSpPr>
        <xdr:spPr>
          <a:xfrm>
            <a:off x="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71" name="$AS$116">
            <a:extLst>
              <a:ext uri="{FF2B5EF4-FFF2-40B4-BE49-F238E27FC236}">
                <a16:creationId xmlns:a16="http://schemas.microsoft.com/office/drawing/2014/main" id="{00000000-0008-0000-0C00-0000137F4100}"/>
              </a:ext>
            </a:extLst>
          </xdr:cNvPr>
          <xdr:cNvSpPr/>
        </xdr:nvSpPr>
        <xdr:spPr>
          <a:xfrm>
            <a:off x="762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72" name="$AS$116">
            <a:extLst>
              <a:ext uri="{FF2B5EF4-FFF2-40B4-BE49-F238E27FC236}">
                <a16:creationId xmlns:a16="http://schemas.microsoft.com/office/drawing/2014/main" id="{00000000-0008-0000-0C00-0000147F4100}"/>
              </a:ext>
            </a:extLst>
          </xdr:cNvPr>
          <xdr:cNvSpPr/>
        </xdr:nvSpPr>
        <xdr:spPr>
          <a:xfrm>
            <a:off x="1270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73" name="$AS$116">
            <a:extLst>
              <a:ext uri="{FF2B5EF4-FFF2-40B4-BE49-F238E27FC236}">
                <a16:creationId xmlns:a16="http://schemas.microsoft.com/office/drawing/2014/main" id="{00000000-0008-0000-0C00-0000157F4100}"/>
              </a:ext>
            </a:extLst>
          </xdr:cNvPr>
          <xdr:cNvSpPr/>
        </xdr:nvSpPr>
        <xdr:spPr>
          <a:xfrm>
            <a:off x="1524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74" name="$AS$116">
            <a:extLst>
              <a:ext uri="{FF2B5EF4-FFF2-40B4-BE49-F238E27FC236}">
                <a16:creationId xmlns:a16="http://schemas.microsoft.com/office/drawing/2014/main" id="{00000000-0008-0000-0C00-0000167F4100}"/>
              </a:ext>
            </a:extLst>
          </xdr:cNvPr>
          <xdr:cNvSpPr/>
        </xdr:nvSpPr>
        <xdr:spPr>
          <a:xfrm>
            <a:off x="1651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75" name="$AS$116">
            <a:extLst>
              <a:ext uri="{FF2B5EF4-FFF2-40B4-BE49-F238E27FC236}">
                <a16:creationId xmlns:a16="http://schemas.microsoft.com/office/drawing/2014/main" id="{00000000-0008-0000-0C00-0000177F4100}"/>
              </a:ext>
            </a:extLst>
          </xdr:cNvPr>
          <xdr:cNvSpPr/>
        </xdr:nvSpPr>
        <xdr:spPr>
          <a:xfrm>
            <a:off x="1778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76" name="$AS$116">
            <a:extLst>
              <a:ext uri="{FF2B5EF4-FFF2-40B4-BE49-F238E27FC236}">
                <a16:creationId xmlns:a16="http://schemas.microsoft.com/office/drawing/2014/main" id="{00000000-0008-0000-0C00-0000187F4100}"/>
              </a:ext>
            </a:extLst>
          </xdr:cNvPr>
          <xdr:cNvSpPr/>
        </xdr:nvSpPr>
        <xdr:spPr>
          <a:xfrm>
            <a:off x="1905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77" name="$AS$116">
            <a:extLst>
              <a:ext uri="{FF2B5EF4-FFF2-40B4-BE49-F238E27FC236}">
                <a16:creationId xmlns:a16="http://schemas.microsoft.com/office/drawing/2014/main" id="{00000000-0008-0000-0C00-0000197F4100}"/>
              </a:ext>
            </a:extLst>
          </xdr:cNvPr>
          <xdr:cNvSpPr/>
        </xdr:nvSpPr>
        <xdr:spPr>
          <a:xfrm>
            <a:off x="2540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78" name="$AS$116">
            <a:extLst>
              <a:ext uri="{FF2B5EF4-FFF2-40B4-BE49-F238E27FC236}">
                <a16:creationId xmlns:a16="http://schemas.microsoft.com/office/drawing/2014/main" id="{00000000-0008-0000-0C00-00001A7F4100}"/>
              </a:ext>
            </a:extLst>
          </xdr:cNvPr>
          <xdr:cNvSpPr/>
        </xdr:nvSpPr>
        <xdr:spPr>
          <a:xfrm>
            <a:off x="2794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79" name="$AS$116">
            <a:extLst>
              <a:ext uri="{FF2B5EF4-FFF2-40B4-BE49-F238E27FC236}">
                <a16:creationId xmlns:a16="http://schemas.microsoft.com/office/drawing/2014/main" id="{00000000-0008-0000-0C00-00001B7F4100}"/>
              </a:ext>
            </a:extLst>
          </xdr:cNvPr>
          <xdr:cNvSpPr/>
        </xdr:nvSpPr>
        <xdr:spPr>
          <a:xfrm>
            <a:off x="3302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80" name="$AS$116">
            <a:extLst>
              <a:ext uri="{FF2B5EF4-FFF2-40B4-BE49-F238E27FC236}">
                <a16:creationId xmlns:a16="http://schemas.microsoft.com/office/drawing/2014/main" id="{00000000-0008-0000-0C00-00001C7F4100}"/>
              </a:ext>
            </a:extLst>
          </xdr:cNvPr>
          <xdr:cNvSpPr/>
        </xdr:nvSpPr>
        <xdr:spPr>
          <a:xfrm>
            <a:off x="3429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81" name="$AS$116">
            <a:extLst>
              <a:ext uri="{FF2B5EF4-FFF2-40B4-BE49-F238E27FC236}">
                <a16:creationId xmlns:a16="http://schemas.microsoft.com/office/drawing/2014/main" id="{00000000-0008-0000-0C00-00001D7F4100}"/>
              </a:ext>
            </a:extLst>
          </xdr:cNvPr>
          <xdr:cNvSpPr/>
        </xdr:nvSpPr>
        <xdr:spPr>
          <a:xfrm>
            <a:off x="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82" name="$AS$116">
            <a:extLst>
              <a:ext uri="{FF2B5EF4-FFF2-40B4-BE49-F238E27FC236}">
                <a16:creationId xmlns:a16="http://schemas.microsoft.com/office/drawing/2014/main" id="{00000000-0008-0000-0C00-00001E7F4100}"/>
              </a:ext>
            </a:extLst>
          </xdr:cNvPr>
          <xdr:cNvSpPr/>
        </xdr:nvSpPr>
        <xdr:spPr>
          <a:xfrm>
            <a:off x="127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83" name="$AS$116">
            <a:extLst>
              <a:ext uri="{FF2B5EF4-FFF2-40B4-BE49-F238E27FC236}">
                <a16:creationId xmlns:a16="http://schemas.microsoft.com/office/drawing/2014/main" id="{00000000-0008-0000-0C00-00001F7F4100}"/>
              </a:ext>
            </a:extLst>
          </xdr:cNvPr>
          <xdr:cNvSpPr/>
        </xdr:nvSpPr>
        <xdr:spPr>
          <a:xfrm>
            <a:off x="254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84" name="$AS$116">
            <a:extLst>
              <a:ext uri="{FF2B5EF4-FFF2-40B4-BE49-F238E27FC236}">
                <a16:creationId xmlns:a16="http://schemas.microsoft.com/office/drawing/2014/main" id="{00000000-0008-0000-0C00-0000207F4100}"/>
              </a:ext>
            </a:extLst>
          </xdr:cNvPr>
          <xdr:cNvSpPr/>
        </xdr:nvSpPr>
        <xdr:spPr>
          <a:xfrm>
            <a:off x="381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85" name="$AS$116">
            <a:extLst>
              <a:ext uri="{FF2B5EF4-FFF2-40B4-BE49-F238E27FC236}">
                <a16:creationId xmlns:a16="http://schemas.microsoft.com/office/drawing/2014/main" id="{00000000-0008-0000-0C00-0000217F4100}"/>
              </a:ext>
            </a:extLst>
          </xdr:cNvPr>
          <xdr:cNvSpPr/>
        </xdr:nvSpPr>
        <xdr:spPr>
          <a:xfrm>
            <a:off x="508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86" name="$AS$116">
            <a:extLst>
              <a:ext uri="{FF2B5EF4-FFF2-40B4-BE49-F238E27FC236}">
                <a16:creationId xmlns:a16="http://schemas.microsoft.com/office/drawing/2014/main" id="{00000000-0008-0000-0C00-0000227F4100}"/>
              </a:ext>
            </a:extLst>
          </xdr:cNvPr>
          <xdr:cNvSpPr/>
        </xdr:nvSpPr>
        <xdr:spPr>
          <a:xfrm>
            <a:off x="635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87" name="$AS$116">
            <a:extLst>
              <a:ext uri="{FF2B5EF4-FFF2-40B4-BE49-F238E27FC236}">
                <a16:creationId xmlns:a16="http://schemas.microsoft.com/office/drawing/2014/main" id="{00000000-0008-0000-0C00-0000237F4100}"/>
              </a:ext>
            </a:extLst>
          </xdr:cNvPr>
          <xdr:cNvSpPr/>
        </xdr:nvSpPr>
        <xdr:spPr>
          <a:xfrm>
            <a:off x="762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88" name="$AS$116">
            <a:extLst>
              <a:ext uri="{FF2B5EF4-FFF2-40B4-BE49-F238E27FC236}">
                <a16:creationId xmlns:a16="http://schemas.microsoft.com/office/drawing/2014/main" id="{00000000-0008-0000-0C00-0000247F4100}"/>
              </a:ext>
            </a:extLst>
          </xdr:cNvPr>
          <xdr:cNvSpPr/>
        </xdr:nvSpPr>
        <xdr:spPr>
          <a:xfrm>
            <a:off x="1016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89" name="$AS$116">
            <a:extLst>
              <a:ext uri="{FF2B5EF4-FFF2-40B4-BE49-F238E27FC236}">
                <a16:creationId xmlns:a16="http://schemas.microsoft.com/office/drawing/2014/main" id="{00000000-0008-0000-0C00-0000257F4100}"/>
              </a:ext>
            </a:extLst>
          </xdr:cNvPr>
          <xdr:cNvSpPr/>
        </xdr:nvSpPr>
        <xdr:spPr>
          <a:xfrm>
            <a:off x="1143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90" name="$AS$116">
            <a:extLst>
              <a:ext uri="{FF2B5EF4-FFF2-40B4-BE49-F238E27FC236}">
                <a16:creationId xmlns:a16="http://schemas.microsoft.com/office/drawing/2014/main" id="{00000000-0008-0000-0C00-0000267F4100}"/>
              </a:ext>
            </a:extLst>
          </xdr:cNvPr>
          <xdr:cNvSpPr/>
        </xdr:nvSpPr>
        <xdr:spPr>
          <a:xfrm>
            <a:off x="1270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91" name="$AS$116">
            <a:extLst>
              <a:ext uri="{FF2B5EF4-FFF2-40B4-BE49-F238E27FC236}">
                <a16:creationId xmlns:a16="http://schemas.microsoft.com/office/drawing/2014/main" id="{00000000-0008-0000-0C00-0000277F4100}"/>
              </a:ext>
            </a:extLst>
          </xdr:cNvPr>
          <xdr:cNvSpPr/>
        </xdr:nvSpPr>
        <xdr:spPr>
          <a:xfrm>
            <a:off x="1397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92" name="$AS$116">
            <a:extLst>
              <a:ext uri="{FF2B5EF4-FFF2-40B4-BE49-F238E27FC236}">
                <a16:creationId xmlns:a16="http://schemas.microsoft.com/office/drawing/2014/main" id="{00000000-0008-0000-0C00-0000287F4100}"/>
              </a:ext>
            </a:extLst>
          </xdr:cNvPr>
          <xdr:cNvSpPr/>
        </xdr:nvSpPr>
        <xdr:spPr>
          <a:xfrm>
            <a:off x="1524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93" name="$AS$116">
            <a:extLst>
              <a:ext uri="{FF2B5EF4-FFF2-40B4-BE49-F238E27FC236}">
                <a16:creationId xmlns:a16="http://schemas.microsoft.com/office/drawing/2014/main" id="{00000000-0008-0000-0C00-0000297F4100}"/>
              </a:ext>
            </a:extLst>
          </xdr:cNvPr>
          <xdr:cNvSpPr/>
        </xdr:nvSpPr>
        <xdr:spPr>
          <a:xfrm>
            <a:off x="1651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94" name="$AS$116">
            <a:extLst>
              <a:ext uri="{FF2B5EF4-FFF2-40B4-BE49-F238E27FC236}">
                <a16:creationId xmlns:a16="http://schemas.microsoft.com/office/drawing/2014/main" id="{00000000-0008-0000-0C00-00002A7F4100}"/>
              </a:ext>
            </a:extLst>
          </xdr:cNvPr>
          <xdr:cNvSpPr/>
        </xdr:nvSpPr>
        <xdr:spPr>
          <a:xfrm>
            <a:off x="2159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95" name="$AS$116">
            <a:extLst>
              <a:ext uri="{FF2B5EF4-FFF2-40B4-BE49-F238E27FC236}">
                <a16:creationId xmlns:a16="http://schemas.microsoft.com/office/drawing/2014/main" id="{00000000-0008-0000-0C00-00002B7F4100}"/>
              </a:ext>
            </a:extLst>
          </xdr:cNvPr>
          <xdr:cNvSpPr/>
        </xdr:nvSpPr>
        <xdr:spPr>
          <a:xfrm>
            <a:off x="2413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96" name="$AS$116">
            <a:extLst>
              <a:ext uri="{FF2B5EF4-FFF2-40B4-BE49-F238E27FC236}">
                <a16:creationId xmlns:a16="http://schemas.microsoft.com/office/drawing/2014/main" id="{00000000-0008-0000-0C00-00002C7F4100}"/>
              </a:ext>
            </a:extLst>
          </xdr:cNvPr>
          <xdr:cNvSpPr/>
        </xdr:nvSpPr>
        <xdr:spPr>
          <a:xfrm>
            <a:off x="2794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97" name="$AS$116">
            <a:extLst>
              <a:ext uri="{FF2B5EF4-FFF2-40B4-BE49-F238E27FC236}">
                <a16:creationId xmlns:a16="http://schemas.microsoft.com/office/drawing/2014/main" id="{00000000-0008-0000-0C00-00002D7F4100}"/>
              </a:ext>
            </a:extLst>
          </xdr:cNvPr>
          <xdr:cNvSpPr/>
        </xdr:nvSpPr>
        <xdr:spPr>
          <a:xfrm>
            <a:off x="3048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98" name="$AS$116">
            <a:extLst>
              <a:ext uri="{FF2B5EF4-FFF2-40B4-BE49-F238E27FC236}">
                <a16:creationId xmlns:a16="http://schemas.microsoft.com/office/drawing/2014/main" id="{00000000-0008-0000-0C00-00002E7F4100}"/>
              </a:ext>
            </a:extLst>
          </xdr:cNvPr>
          <xdr:cNvSpPr/>
        </xdr:nvSpPr>
        <xdr:spPr>
          <a:xfrm>
            <a:off x="3175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99" name="$AS$116">
            <a:extLst>
              <a:ext uri="{FF2B5EF4-FFF2-40B4-BE49-F238E27FC236}">
                <a16:creationId xmlns:a16="http://schemas.microsoft.com/office/drawing/2014/main" id="{00000000-0008-0000-0C00-00002F7F4100}"/>
              </a:ext>
            </a:extLst>
          </xdr:cNvPr>
          <xdr:cNvSpPr/>
        </xdr:nvSpPr>
        <xdr:spPr>
          <a:xfrm>
            <a:off x="3429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8</xdr:col>
      <xdr:colOff>130969</xdr:colOff>
      <xdr:row>2</xdr:row>
      <xdr:rowOff>71438</xdr:rowOff>
    </xdr:from>
    <xdr:to>
      <xdr:col>10</xdr:col>
      <xdr:colOff>589827</xdr:colOff>
      <xdr:row>4</xdr:row>
      <xdr:rowOff>33042</xdr:rowOff>
    </xdr:to>
    <xdr:grpSp>
      <xdr:nvGrpSpPr>
        <xdr:cNvPr id="43" name="Group 42">
          <a:extLst>
            <a:ext uri="{FF2B5EF4-FFF2-40B4-BE49-F238E27FC236}">
              <a16:creationId xmlns:a16="http://schemas.microsoft.com/office/drawing/2014/main" id="{00000000-0008-0000-0C00-00002B000000}"/>
            </a:ext>
          </a:extLst>
        </xdr:cNvPr>
        <xdr:cNvGrpSpPr/>
      </xdr:nvGrpSpPr>
      <xdr:grpSpPr>
        <a:xfrm>
          <a:off x="5369719" y="642938"/>
          <a:ext cx="1161327" cy="509292"/>
          <a:chOff x="19188906" y="645582"/>
          <a:chExt cx="1163973" cy="499371"/>
        </a:xfrm>
      </xdr:grpSpPr>
      <xdr:sp macro="[0]!goToHome" textlink="">
        <xdr:nvSpPr>
          <xdr:cNvPr id="4291586" name="Rectangle: Rounded Corners 4291585">
            <a:extLst>
              <a:ext uri="{FF2B5EF4-FFF2-40B4-BE49-F238E27FC236}">
                <a16:creationId xmlns:a16="http://schemas.microsoft.com/office/drawing/2014/main" id="{00000000-0008-0000-0C00-0000027C41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291587" name="Rectangle 4291586">
            <a:extLst>
              <a:ext uri="{FF2B5EF4-FFF2-40B4-BE49-F238E27FC236}">
                <a16:creationId xmlns:a16="http://schemas.microsoft.com/office/drawing/2014/main" id="{00000000-0008-0000-0C00-0000037C4100}"/>
              </a:ext>
            </a:extLst>
          </xdr:cNvPr>
          <xdr:cNvSpPr/>
        </xdr:nvSpPr>
        <xdr:spPr>
          <a:xfrm>
            <a:off x="19296440" y="73707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10</xdr:col>
      <xdr:colOff>797718</xdr:colOff>
      <xdr:row>2</xdr:row>
      <xdr:rowOff>23813</xdr:rowOff>
    </xdr:from>
    <xdr:to>
      <xdr:col>11</xdr:col>
      <xdr:colOff>1198295</xdr:colOff>
      <xdr:row>3</xdr:row>
      <xdr:rowOff>433124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00000000-0008-0000-0C00-000017000000}"/>
            </a:ext>
          </a:extLst>
        </xdr:cNvPr>
        <xdr:cNvGrpSpPr/>
      </xdr:nvGrpSpPr>
      <xdr:grpSpPr>
        <a:xfrm>
          <a:off x="6738937" y="595313"/>
          <a:ext cx="1400702" cy="516467"/>
          <a:chOff x="17913877" y="686327"/>
          <a:chExt cx="1400702" cy="516467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2" name="Button 50" hidden="1">
                <a:extLst>
                  <a:ext uri="{63B3BB69-23CF-44E3-9099-C40C66FF867C}">
                    <a14:compatExt spid="_x0000_s4291634"/>
                  </a:ext>
                  <a:ext uri="{FF2B5EF4-FFF2-40B4-BE49-F238E27FC236}">
                    <a16:creationId xmlns:a16="http://schemas.microsoft.com/office/drawing/2014/main" id="{00000000-0008-0000-0C00-000016000000}"/>
                  </a:ext>
                </a:extLst>
              </xdr:cNvPr>
              <xdr:cNvSpPr/>
            </xdr:nvSpPr>
            <xdr:spPr bwMode="auto">
              <a:xfrm>
                <a:off x="17913877" y="686327"/>
                <a:ext cx="1400702" cy="51646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77724" rIns="36576" bIns="77724" anchor="ctr" upright="1"/>
              <a:lstStyle/>
              <a:p>
                <a:pPr algn="ctr" rtl="0">
                  <a:defRPr sz="1000"/>
                </a:pPr>
                <a:r>
                  <a:rPr lang="en-US" sz="1400" b="0" i="0" u="none" strike="noStrike" baseline="0">
                    <a:solidFill>
                      <a:srgbClr val="0066CC"/>
                    </a:solidFill>
                    <a:latin typeface="Khmer OS Battambang"/>
                    <a:cs typeface="Khmer OS Battambang"/>
                  </a:rPr>
                  <a:t>        </a:t>
                </a:r>
                <a:r>
                  <a:rPr lang="en-US" sz="1600" b="0" i="0" u="none" strike="noStrike" baseline="0">
                    <a:solidFill>
                      <a:srgbClr val="0066CC"/>
                    </a:solidFill>
                    <a:latin typeface="Khmer OS Battambang"/>
                    <a:cs typeface="Khmer OS Battambang"/>
                  </a:rPr>
                  <a:t>រក្សាទុក</a:t>
                </a:r>
              </a:p>
            </xdr:txBody>
          </xdr:sp>
        </mc:Choice>
        <mc:Fallback/>
      </mc:AlternateContent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C00-000019000000}"/>
              </a:ext>
            </a:extLst>
          </xdr:cNvPr>
          <xdr:cNvSpPr/>
        </xdr:nvSpPr>
        <xdr:spPr>
          <a:xfrm>
            <a:off x="17976145" y="776687"/>
            <a:ext cx="449333" cy="40864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2800">
                <a:solidFill>
                  <a:srgbClr val="0070C0"/>
                </a:solidFill>
                <a:latin typeface="myicons" panose="02000509000000000000" pitchFamily="49" charset="0"/>
              </a:rPr>
              <a:t>R</a:t>
            </a:r>
            <a:endParaRPr lang="en-US" sz="2800">
              <a:solidFill>
                <a:srgbClr val="0070C0"/>
              </a:solidFill>
            </a:endParaRPr>
          </a:p>
        </xdr:txBody>
      </xdr: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380997</xdr:colOff>
      <xdr:row>1</xdr:row>
      <xdr:rowOff>77612</xdr:rowOff>
    </xdr:from>
    <xdr:to>
      <xdr:col>11</xdr:col>
      <xdr:colOff>1237594</xdr:colOff>
      <xdr:row>6</xdr:row>
      <xdr:rowOff>66498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pSpPr/>
      </xdr:nvGrpSpPr>
      <xdr:grpSpPr>
        <a:xfrm>
          <a:off x="6476997" y="815800"/>
          <a:ext cx="3547410" cy="1250948"/>
          <a:chOff x="6167462" y="295470"/>
          <a:chExt cx="1484035" cy="444016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0D00-000003000000}"/>
              </a:ext>
            </a:extLst>
          </xdr:cNvPr>
          <xdr:cNvSpPr txBox="1"/>
        </xdr:nvSpPr>
        <xdr:spPr>
          <a:xfrm>
            <a:off x="6167462" y="295470"/>
            <a:ext cx="1484035" cy="320485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km-KH" sz="2800" b="0" i="0" u="none" strike="noStrike">
                <a:solidFill>
                  <a:srgbClr val="0066CC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វិក្កយបត្រសន្និធិ</a:t>
            </a:r>
            <a:endParaRPr lang="ca-ES" sz="2800" b="0" i="0" u="none" strike="noStrike">
              <a:solidFill>
                <a:srgbClr val="0066CC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0D00-000004000000}"/>
              </a:ext>
            </a:extLst>
          </xdr:cNvPr>
          <xdr:cNvSpPr txBox="1"/>
        </xdr:nvSpPr>
        <xdr:spPr>
          <a:xfrm>
            <a:off x="6179585" y="531015"/>
            <a:ext cx="1467204" cy="20847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r>
              <a:rPr lang="en-US" sz="1800" b="0" i="0" u="none" strike="noStrike" baseline="0">
                <a:solidFill>
                  <a:srgbClr val="0066CC"/>
                </a:solidFill>
                <a:effectLst/>
                <a:latin typeface="Roboto Medium" panose="02000000000000000000" pitchFamily="2" charset="0"/>
                <a:ea typeface="Roboto Medium" panose="02000000000000000000" pitchFamily="2" charset="0"/>
                <a:cs typeface="Roboto Medium" panose="02000000000000000000" pitchFamily="2" charset="0"/>
              </a:rPr>
              <a:t>INVENTORY ADJUSTMENT</a:t>
            </a:r>
            <a:endParaRPr lang="ca-ES" sz="1800" b="0" i="0" u="none" strike="noStrike">
              <a:solidFill>
                <a:srgbClr val="0066CC"/>
              </a:solidFill>
              <a:effectLst/>
              <a:latin typeface="Roboto Medium" panose="02000000000000000000" pitchFamily="2" charset="0"/>
              <a:ea typeface="Roboto Medium" panose="02000000000000000000" pitchFamily="2" charset="0"/>
              <a:cs typeface="Roboto Medium" panose="02000000000000000000" pitchFamily="2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66675</xdr:rowOff>
        </xdr:from>
        <xdr:to>
          <xdr:col>16</xdr:col>
          <xdr:colOff>28575</xdr:colOff>
          <xdr:row>0</xdr:row>
          <xdr:rowOff>581025</xdr:rowOff>
        </xdr:to>
        <xdr:sp macro="" textlink="">
          <xdr:nvSpPr>
            <xdr:cNvPr id="4691969" name="invAdjComboBox" hidden="1">
              <a:extLst>
                <a:ext uri="{63B3BB69-23CF-44E3-9099-C40C66FF867C}">
                  <a14:compatExt spid="_x0000_s4691969"/>
                </a:ext>
                <a:ext uri="{FF2B5EF4-FFF2-40B4-BE49-F238E27FC236}">
                  <a16:creationId xmlns:a16="http://schemas.microsoft.com/office/drawing/2014/main" id="{00000000-0008-0000-0D00-000001984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35717</xdr:colOff>
      <xdr:row>0</xdr:row>
      <xdr:rowOff>95252</xdr:rowOff>
    </xdr:from>
    <xdr:to>
      <xdr:col>4</xdr:col>
      <xdr:colOff>107157</xdr:colOff>
      <xdr:row>0</xdr:row>
      <xdr:rowOff>590939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GrpSpPr/>
      </xdr:nvGrpSpPr>
      <xdr:grpSpPr>
        <a:xfrm>
          <a:off x="392905" y="95252"/>
          <a:ext cx="1524002" cy="495687"/>
          <a:chOff x="19188906" y="645582"/>
          <a:chExt cx="1163973" cy="499371"/>
        </a:xfrm>
      </xdr:grpSpPr>
      <xdr:sp macro="[0]!goToHome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00000000-0008-0000-0D00-000009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D00-00000A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 editAs="oneCell">
    <xdr:from>
      <xdr:col>4</xdr:col>
      <xdr:colOff>1131094</xdr:colOff>
      <xdr:row>7</xdr:row>
      <xdr:rowOff>95250</xdr:rowOff>
    </xdr:from>
    <xdr:to>
      <xdr:col>9</xdr:col>
      <xdr:colOff>212533</xdr:colOff>
      <xdr:row>7</xdr:row>
      <xdr:rowOff>369094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40844" y="2416969"/>
          <a:ext cx="4046345" cy="27384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345282</xdr:colOff>
      <xdr:row>0</xdr:row>
      <xdr:rowOff>83344</xdr:rowOff>
    </xdr:from>
    <xdr:to>
      <xdr:col>11</xdr:col>
      <xdr:colOff>1297781</xdr:colOff>
      <xdr:row>0</xdr:row>
      <xdr:rowOff>571500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D00-00000C000000}"/>
            </a:ext>
          </a:extLst>
        </xdr:cNvPr>
        <xdr:cNvGrpSpPr/>
      </xdr:nvGrpSpPr>
      <xdr:grpSpPr>
        <a:xfrm>
          <a:off x="8120063" y="83344"/>
          <a:ext cx="1964531" cy="488156"/>
          <a:chOff x="19188906" y="645582"/>
          <a:chExt cx="1163973" cy="499371"/>
        </a:xfrm>
      </xdr:grpSpPr>
      <xdr:sp macro="[0]!savePdfInvAdjustment" textlink="">
        <xdr:nvSpPr>
          <xdr:cNvPr id="13" name="Rectangle: Rounded Corners 12">
            <a:extLst>
              <a:ext uri="{FF2B5EF4-FFF2-40B4-BE49-F238E27FC236}">
                <a16:creationId xmlns:a16="http://schemas.microsoft.com/office/drawing/2014/main" id="{00000000-0008-0000-0D00-00000D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រក្សាទុកជា</a:t>
            </a:r>
            <a:r>
              <a:rPr lang="en-US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PDF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14" name="Rectangle 13">
            <a:extLst>
              <a:ext uri="{FF2B5EF4-FFF2-40B4-BE49-F238E27FC236}">
                <a16:creationId xmlns:a16="http://schemas.microsoft.com/office/drawing/2014/main" id="{00000000-0008-0000-0D00-00000E000000}"/>
              </a:ext>
            </a:extLst>
          </xdr:cNvPr>
          <xdr:cNvSpPr/>
        </xdr:nvSpPr>
        <xdr:spPr>
          <a:xfrm>
            <a:off x="19257372" y="746717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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7</xdr:col>
      <xdr:colOff>26701</xdr:colOff>
      <xdr:row>0</xdr:row>
      <xdr:rowOff>83344</xdr:rowOff>
    </xdr:from>
    <xdr:to>
      <xdr:col>10</xdr:col>
      <xdr:colOff>202405</xdr:colOff>
      <xdr:row>0</xdr:row>
      <xdr:rowOff>571500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D00-00000F000000}"/>
            </a:ext>
          </a:extLst>
        </xdr:cNvPr>
        <xdr:cNvGrpSpPr/>
      </xdr:nvGrpSpPr>
      <xdr:grpSpPr>
        <a:xfrm>
          <a:off x="4646326" y="83344"/>
          <a:ext cx="3330860" cy="488156"/>
          <a:chOff x="19188906" y="645582"/>
          <a:chExt cx="1163973" cy="499371"/>
        </a:xfrm>
      </xdr:grpSpPr>
      <xdr:sp macro="[0]!openInvAdjustmentFolder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00000000-0008-0000-0D00-000010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បើកកន្លែងដាក់ឯកសារ </a:t>
            </a:r>
            <a:r>
              <a:rPr lang="en-US" sz="1400" baseline="0">
                <a:solidFill>
                  <a:srgbClr val="0066CC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ADJUSTMENT</a:t>
            </a:r>
            <a:endParaRPr lang="en-US" sz="1400">
              <a:solidFill>
                <a:srgbClr val="0066CC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endParaRPr>
          </a:p>
        </xdr:txBody>
      </xdr:sp>
      <xdr:sp macro="" textlink="">
        <xdr:nvSpPr>
          <xdr:cNvPr id="17" name="Rectangle 16">
            <a:extLst>
              <a:ext uri="{FF2B5EF4-FFF2-40B4-BE49-F238E27FC236}">
                <a16:creationId xmlns:a16="http://schemas.microsoft.com/office/drawing/2014/main" id="{00000000-0008-0000-0D00-000011000000}"/>
              </a:ext>
            </a:extLst>
          </xdr:cNvPr>
          <xdr:cNvSpPr/>
        </xdr:nvSpPr>
        <xdr:spPr>
          <a:xfrm>
            <a:off x="19217020" y="743020"/>
            <a:ext cx="115688" cy="30441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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3</xdr:col>
      <xdr:colOff>302116</xdr:colOff>
      <xdr:row>150</xdr:row>
      <xdr:rowOff>47624</xdr:rowOff>
    </xdr:from>
    <xdr:to>
      <xdr:col>11</xdr:col>
      <xdr:colOff>487118</xdr:colOff>
      <xdr:row>157</xdr:row>
      <xdr:rowOff>5885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D00-000013000000}"/>
            </a:ext>
          </a:extLst>
        </xdr:cNvPr>
        <xdr:cNvGrpSpPr/>
      </xdr:nvGrpSpPr>
      <xdr:grpSpPr>
        <a:xfrm>
          <a:off x="1123647" y="8393905"/>
          <a:ext cx="8150284" cy="2101386"/>
          <a:chOff x="1123647" y="8393906"/>
          <a:chExt cx="8150284" cy="2101386"/>
        </a:xfrm>
      </xdr:grpSpPr>
      <xdr:sp macro="" textlink="">
        <xdr:nvSpPr>
          <xdr:cNvPr id="6" name="TextBox 5">
            <a:extLst>
              <a:ext uri="{FF2B5EF4-FFF2-40B4-BE49-F238E27FC236}">
                <a16:creationId xmlns:a16="http://schemas.microsoft.com/office/drawing/2014/main" id="{00000000-0008-0000-0D00-000006000000}"/>
              </a:ext>
            </a:extLst>
          </xdr:cNvPr>
          <xdr:cNvSpPr txBox="1"/>
        </xdr:nvSpPr>
        <xdr:spPr>
          <a:xfrm>
            <a:off x="6373264" y="8393906"/>
            <a:ext cx="2900667" cy="2101386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2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ហត្ថលេខា ឈ្មោះ</a:t>
            </a:r>
            <a:r>
              <a:rPr lang="en-US" sz="1200" b="0" i="0" u="none" strike="noStrike" baseline="0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 </a:t>
            </a:r>
            <a:r>
              <a:rPr lang="km-KH" sz="1200" b="0" i="0" u="none" strike="noStrike" baseline="0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និង ត្រាសហគ្រាស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r>
              <a:rPr lang="en-US" sz="1100" b="0" i="0">
                <a:solidFill>
                  <a:schemeClr val="tx1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Signature, Name and Company's Stamp</a:t>
            </a:r>
            <a:br>
              <a:rPr lang="en-US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ctr"/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l"/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l"/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ctr"/>
            <a:r>
              <a:rPr lang="en-US" sz="1200" b="0" i="0" u="none" strike="noStrike">
                <a:solidFill>
                  <a:sysClr val="windowText" lastClr="000000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Khmer OS Muol Light" panose="02000500000000020004" pitchFamily="2" charset="0"/>
              </a:rPr>
              <a:t>_______________________________</a:t>
            </a:r>
            <a:br>
              <a:rPr lang="km-KH" sz="1200" b="0" i="0" u="none" strike="noStrike">
                <a:solidFill>
                  <a:sysClr val="windowText" lastClr="000000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25" name="TextBox 24">
            <a:extLst>
              <a:ext uri="{FF2B5EF4-FFF2-40B4-BE49-F238E27FC236}">
                <a16:creationId xmlns:a16="http://schemas.microsoft.com/office/drawing/2014/main" id="{00000000-0008-0000-0D00-000019000000}"/>
              </a:ext>
            </a:extLst>
          </xdr:cNvPr>
          <xdr:cNvSpPr txBox="1"/>
        </xdr:nvSpPr>
        <xdr:spPr>
          <a:xfrm>
            <a:off x="1123647" y="8396207"/>
            <a:ext cx="2636347" cy="2087178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2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ហត្ថលេខា ឈ្មោះ</a:t>
            </a:r>
            <a:r>
              <a:rPr lang="en-US" sz="1200" b="0" i="0" u="none" strike="noStrike" baseline="0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 </a:t>
            </a:r>
            <a:r>
              <a:rPr lang="km-KH" sz="1200" b="0" i="0" u="none" strike="noStrike" baseline="0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អ្នកពិនិត្យស្តុក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r>
              <a:rPr lang="en-US" sz="1100" b="0" i="0">
                <a:solidFill>
                  <a:schemeClr val="tx1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Signature, Name and Stock</a:t>
            </a:r>
            <a:r>
              <a:rPr lang="en-US" sz="1100" b="0" i="0" baseline="0">
                <a:solidFill>
                  <a:schemeClr val="tx1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 Controller</a:t>
            </a:r>
            <a:br>
              <a:rPr lang="en-US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ctr"/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l"/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l"/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ctr"/>
            <a:r>
              <a:rPr lang="en-US" sz="1200" b="0" i="0" u="none" strike="noStrike">
                <a:solidFill>
                  <a:sysClr val="windowText" lastClr="000000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Khmer OS Muol Light" panose="02000500000000020004" pitchFamily="2" charset="0"/>
              </a:rPr>
              <a:t>_______________________________</a:t>
            </a:r>
            <a:br>
              <a:rPr lang="km-KH" sz="1200" b="0" i="0" u="none" strike="noStrike">
                <a:solidFill>
                  <a:sysClr val="windowText" lastClr="000000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</xdr:grpSp>
    <xdr:clientData/>
  </xdr:twoCellAnchor>
  <xdr:twoCellAnchor>
    <xdr:from>
      <xdr:col>4</xdr:col>
      <xdr:colOff>631032</xdr:colOff>
      <xdr:row>0</xdr:row>
      <xdr:rowOff>83344</xdr:rowOff>
    </xdr:from>
    <xdr:to>
      <xdr:col>6</xdr:col>
      <xdr:colOff>996240</xdr:colOff>
      <xdr:row>0</xdr:row>
      <xdr:rowOff>584699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GrpSpPr/>
      </xdr:nvGrpSpPr>
      <xdr:grpSpPr>
        <a:xfrm>
          <a:off x="2440782" y="83344"/>
          <a:ext cx="2032083" cy="501355"/>
          <a:chOff x="16969510" y="645582"/>
          <a:chExt cx="2032434" cy="501355"/>
        </a:xfrm>
      </xdr:grpSpPr>
      <xdr:sp macro="[0]!getExchangeRate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00000000-0008-0000-0D00-000007000000}"/>
              </a:ext>
            </a:extLst>
          </xdr:cNvPr>
          <xdr:cNvSpPr/>
        </xdr:nvSpPr>
        <xdr:spPr>
          <a:xfrm>
            <a:off x="16969510" y="645582"/>
            <a:ext cx="2032434" cy="501355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  <a:cs typeface="+mn-cs"/>
              </a:rPr>
              <a:t>  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អត្រាប្តូរប្រាក់ </a:t>
            </a:r>
            <a:r>
              <a:rPr lang="en-US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NBC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etExchangeRateNBC" textlink="">
        <xdr:nvSpPr>
          <xdr:cNvPr id="18" name="Rectangle: Rounded Corners 17">
            <a:extLst>
              <a:ext uri="{FF2B5EF4-FFF2-40B4-BE49-F238E27FC236}">
                <a16:creationId xmlns:a16="http://schemas.microsoft.com/office/drawing/2014/main" id="{00000000-0008-0000-0D00-000012000000}"/>
              </a:ext>
            </a:extLst>
          </xdr:cNvPr>
          <xdr:cNvSpPr/>
        </xdr:nvSpPr>
        <xdr:spPr>
          <a:xfrm>
            <a:off x="17052855" y="761999"/>
            <a:ext cx="425520" cy="369093"/>
          </a:xfrm>
          <a:prstGeom prst="round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800" baseline="0">
                <a:solidFill>
                  <a:srgbClr val="0066CC"/>
                </a:solidFill>
                <a:latin typeface="myicons" panose="02000509000000000000" pitchFamily="49" charset="0"/>
              </a:rPr>
              <a:t></a:t>
            </a:r>
            <a:endParaRPr lang="en-US" sz="105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</xdr:grpSp>
    <xdr:clientData/>
  </xdr:twoCellAnchor>
  <xdr:twoCellAnchor>
    <xdr:from>
      <xdr:col>16</xdr:col>
      <xdr:colOff>285751</xdr:colOff>
      <xdr:row>0</xdr:row>
      <xdr:rowOff>59532</xdr:rowOff>
    </xdr:from>
    <xdr:to>
      <xdr:col>19</xdr:col>
      <xdr:colOff>141929</xdr:colOff>
      <xdr:row>0</xdr:row>
      <xdr:rowOff>575469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00000000-0008-0000-0D00-000014000000}"/>
            </a:ext>
          </a:extLst>
        </xdr:cNvPr>
        <xdr:cNvGrpSpPr/>
      </xdr:nvGrpSpPr>
      <xdr:grpSpPr>
        <a:xfrm>
          <a:off x="15156657" y="59532"/>
          <a:ext cx="2082647" cy="515937"/>
          <a:chOff x="19188906" y="645582"/>
          <a:chExt cx="1163973" cy="499371"/>
        </a:xfrm>
      </xdr:grpSpPr>
      <xdr:sp macro="[0]!printPreview" textlink="">
        <xdr:nvSpPr>
          <xdr:cNvPr id="21" name="Rectangle: Rounded Corners 20">
            <a:extLst>
              <a:ext uri="{FF2B5EF4-FFF2-40B4-BE49-F238E27FC236}">
                <a16:creationId xmlns:a16="http://schemas.microsoft.com/office/drawing/2014/main" id="{00000000-0008-0000-0D00-000015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              </a:t>
            </a:r>
            <a:r>
              <a:rPr lang="en-US" sz="1400" baseline="0">
                <a:solidFill>
                  <a:srgbClr val="0066CC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PRINT PREVIEW</a:t>
            </a:r>
            <a:endParaRPr lang="en-US" sz="1400">
              <a:solidFill>
                <a:srgbClr val="0066CC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endParaRPr>
          </a:p>
        </xdr:txBody>
      </xdr:sp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0D00-000016000000}"/>
              </a:ext>
            </a:extLst>
          </xdr:cNvPr>
          <xdr:cNvSpPr/>
        </xdr:nvSpPr>
        <xdr:spPr>
          <a:xfrm>
            <a:off x="19219095" y="758897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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1020393</xdr:colOff>
      <xdr:row>1</xdr:row>
      <xdr:rowOff>52916</xdr:rowOff>
    </xdr:from>
    <xdr:to>
      <xdr:col>13</xdr:col>
      <xdr:colOff>495044</xdr:colOff>
      <xdr:row>4</xdr:row>
      <xdr:rowOff>264584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pSpPr/>
      </xdr:nvGrpSpPr>
      <xdr:grpSpPr>
        <a:xfrm>
          <a:off x="5354268" y="171979"/>
          <a:ext cx="2748870" cy="783168"/>
          <a:chOff x="6167462" y="265702"/>
          <a:chExt cx="1484035" cy="364089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0E00-000003000000}"/>
              </a:ext>
            </a:extLst>
          </xdr:cNvPr>
          <xdr:cNvSpPr txBox="1"/>
        </xdr:nvSpPr>
        <xdr:spPr>
          <a:xfrm>
            <a:off x="6167462" y="265702"/>
            <a:ext cx="1484035" cy="246006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km-KH" sz="2400" b="0" i="0" u="none" strike="noStrike">
                <a:solidFill>
                  <a:srgbClr val="0066CC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វិក្កយបត្រ</a:t>
            </a:r>
            <a:endParaRPr lang="ca-ES" sz="2400" b="0" i="0" u="none" strike="noStrike">
              <a:solidFill>
                <a:srgbClr val="0066CC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0E00-000004000000}"/>
              </a:ext>
            </a:extLst>
          </xdr:cNvPr>
          <xdr:cNvSpPr txBox="1"/>
        </xdr:nvSpPr>
        <xdr:spPr>
          <a:xfrm>
            <a:off x="6400977" y="512863"/>
            <a:ext cx="1020237" cy="11692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r>
              <a:rPr lang="en-US" sz="1200" b="0" i="0" u="none" strike="noStrike" baseline="0">
                <a:solidFill>
                  <a:srgbClr val="0066CC"/>
                </a:solidFill>
                <a:effectLst/>
                <a:latin typeface="Roboto Medium" panose="02000000000000000000" pitchFamily="2" charset="0"/>
                <a:ea typeface="Roboto Medium" panose="02000000000000000000" pitchFamily="2" charset="0"/>
                <a:cs typeface="Roboto Medium" panose="02000000000000000000" pitchFamily="2" charset="0"/>
              </a:rPr>
              <a:t>COMMERCIAL </a:t>
            </a:r>
            <a:r>
              <a:rPr lang="en-GB" sz="1200" b="0" i="0" u="none" strike="noStrike" baseline="0">
                <a:solidFill>
                  <a:srgbClr val="0066CC"/>
                </a:solidFill>
                <a:effectLst/>
                <a:latin typeface="Roboto Medium" panose="02000000000000000000" pitchFamily="2" charset="0"/>
                <a:ea typeface="Roboto Medium" panose="02000000000000000000" pitchFamily="2" charset="0"/>
                <a:cs typeface="Roboto Medium" panose="02000000000000000000" pitchFamily="2" charset="0"/>
              </a:rPr>
              <a:t>INVOICE</a:t>
            </a:r>
            <a:endParaRPr lang="ca-ES" sz="1200" b="0" i="0" u="none" strike="noStrike">
              <a:solidFill>
                <a:srgbClr val="0066CC"/>
              </a:solidFill>
              <a:effectLst/>
              <a:latin typeface="Roboto Medium" panose="02000000000000000000" pitchFamily="2" charset="0"/>
              <a:ea typeface="Roboto Medium" panose="02000000000000000000" pitchFamily="2" charset="0"/>
              <a:cs typeface="Roboto Medium" panose="02000000000000000000" pitchFamily="2" charset="0"/>
            </a:endParaRPr>
          </a:p>
        </xdr:txBody>
      </xdr:sp>
    </xdr:grpSp>
    <xdr:clientData/>
  </xdr:twoCellAnchor>
  <xdr:twoCellAnchor>
    <xdr:from>
      <xdr:col>0</xdr:col>
      <xdr:colOff>194587</xdr:colOff>
      <xdr:row>118</xdr:row>
      <xdr:rowOff>233300</xdr:rowOff>
    </xdr:from>
    <xdr:to>
      <xdr:col>6</xdr:col>
      <xdr:colOff>269773</xdr:colOff>
      <xdr:row>228</xdr:row>
      <xdr:rowOff>6515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SpPr txBox="1"/>
      </xdr:nvSpPr>
      <xdr:spPr>
        <a:xfrm>
          <a:off x="194587" y="9864133"/>
          <a:ext cx="2879769" cy="2006299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 algn="ctr"/>
          <a:r>
            <a:rPr lang="km-KH" sz="1200" b="0" i="0" u="sng" strike="noStrike">
              <a:solidFill>
                <a:schemeClr val="tx1"/>
              </a:solidFill>
              <a:effectLst/>
              <a:latin typeface="Khmer OS Battambang" panose="02000500000000020004" pitchFamily="2" charset="0"/>
              <a:ea typeface="+mn-ea"/>
              <a:cs typeface="Khmer OS Battambang" panose="02000500000000020004" pitchFamily="2" charset="0"/>
            </a:rPr>
            <a:t>ហត្ថលេខា ឈ្មោះ</a:t>
          </a:r>
          <a:r>
            <a:rPr lang="en-US" sz="1200" b="0" i="0" u="sng" strike="noStrike" baseline="0">
              <a:solidFill>
                <a:schemeClr val="tx1"/>
              </a:solidFill>
              <a:effectLst/>
              <a:latin typeface="Khmer OS Battambang" panose="02000500000000020004" pitchFamily="2" charset="0"/>
              <a:ea typeface="+mn-ea"/>
              <a:cs typeface="Khmer OS Battambang" panose="02000500000000020004" pitchFamily="2" charset="0"/>
            </a:rPr>
            <a:t> </a:t>
          </a:r>
          <a:r>
            <a:rPr lang="km-KH" sz="1200" b="0" i="0" u="sng" strike="noStrike" baseline="0">
              <a:solidFill>
                <a:schemeClr val="tx1"/>
              </a:solidFill>
              <a:effectLst/>
              <a:latin typeface="Khmer OS Battambang" panose="02000500000000020004" pitchFamily="2" charset="0"/>
              <a:ea typeface="+mn-ea"/>
              <a:cs typeface="Khmer OS Battambang" panose="02000500000000020004" pitchFamily="2" charset="0"/>
            </a:rPr>
            <a:t>និង ត្រាសហគ្រាស</a:t>
          </a:r>
          <a:br>
            <a:rPr lang="km-KH" sz="1100" b="0" i="0" u="none" strike="noStrike">
              <a:solidFill>
                <a:schemeClr val="tx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endParaRPr lang="en-US" sz="1100" b="0" i="0" u="none" strike="noStrike">
            <a:solidFill>
              <a:schemeClr val="tx1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  <a:p>
          <a:pPr marL="0" indent="0" algn="ctr"/>
          <a:endParaRPr lang="en-US" sz="1100" b="0" i="0" u="none" strike="noStrike">
            <a:solidFill>
              <a:schemeClr val="tx1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  <a:p>
          <a:pPr marL="0" indent="0" algn="ctr"/>
          <a:endParaRPr lang="en-US" sz="1200" b="0" i="0" u="none" strike="noStrike">
            <a:solidFill>
              <a:schemeClr val="tx1"/>
            </a:solidFill>
            <a:effectLst/>
            <a:latin typeface="Roboto" panose="02000000000000000000" pitchFamily="2" charset="0"/>
            <a:ea typeface="Roboto" panose="02000000000000000000" pitchFamily="2" charset="0"/>
            <a:cs typeface="Khmer OS Muol Light" panose="02000500000000020004" pitchFamily="2" charset="0"/>
          </a:endParaRPr>
        </a:p>
        <a:p>
          <a:pPr marL="0" indent="0" algn="ctr"/>
          <a:r>
            <a:rPr lang="en-US" sz="1200" b="0" i="0" u="none" strike="noStrike">
              <a:solidFill>
                <a:schemeClr val="tx1"/>
              </a:solidFill>
              <a:effectLst/>
              <a:latin typeface="Roboto" panose="02000000000000000000" pitchFamily="2" charset="0"/>
              <a:ea typeface="Roboto" panose="02000000000000000000" pitchFamily="2" charset="0"/>
              <a:cs typeface="Khmer OS Muol Light" panose="02000500000000020004" pitchFamily="2" charset="0"/>
            </a:rPr>
            <a:t>_______________________________</a:t>
          </a:r>
          <a:br>
            <a:rPr lang="km-KH" sz="1200" b="0" i="0" u="none" strike="noStrike">
              <a:solidFill>
                <a:schemeClr val="tx1"/>
              </a:solidFill>
              <a:effectLst/>
              <a:latin typeface="Roboto" panose="02000000000000000000" pitchFamily="2" charset="0"/>
              <a:ea typeface="Roboto" panose="02000000000000000000" pitchFamily="2" charset="0"/>
              <a:cs typeface="Khmer OS Muol Light" panose="02000500000000020004" pitchFamily="2" charset="0"/>
            </a:rPr>
          </a:br>
          <a:br>
            <a:rPr lang="km-KH" sz="1100" b="0" i="0" u="none" strike="noStrike">
              <a:solidFill>
                <a:schemeClr val="tx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100" b="0" i="0" u="none" strike="noStrike">
              <a:solidFill>
                <a:schemeClr val="tx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100" b="0" i="0" u="none" strike="noStrike">
              <a:solidFill>
                <a:schemeClr val="tx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100" b="0" i="0" u="none" strike="noStrike">
              <a:solidFill>
                <a:schemeClr val="tx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100" b="0" i="0" u="none" strike="noStrike">
              <a:solidFill>
                <a:schemeClr val="tx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100" b="0" i="0" u="none" strike="noStrike">
              <a:solidFill>
                <a:schemeClr val="tx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100" b="0" i="0" u="none" strike="noStrike">
              <a:solidFill>
                <a:schemeClr val="tx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endParaRPr lang="ca-ES" sz="1100" b="0" i="0" u="none" strike="noStrike">
            <a:solidFill>
              <a:schemeClr val="tx1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</xdr:txBody>
    </xdr:sp>
    <xdr:clientData/>
  </xdr:twoCellAnchor>
  <xdr:twoCellAnchor>
    <xdr:from>
      <xdr:col>13</xdr:col>
      <xdr:colOff>319087</xdr:colOff>
      <xdr:row>1</xdr:row>
      <xdr:rowOff>2383</xdr:rowOff>
    </xdr:from>
    <xdr:to>
      <xdr:col>15</xdr:col>
      <xdr:colOff>212266</xdr:colOff>
      <xdr:row>3</xdr:row>
      <xdr:rowOff>381000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E00-000009000000}"/>
            </a:ext>
          </a:extLst>
        </xdr:cNvPr>
        <xdr:cNvGrpSpPr/>
      </xdr:nvGrpSpPr>
      <xdr:grpSpPr>
        <a:xfrm>
          <a:off x="7927181" y="121446"/>
          <a:ext cx="1286210" cy="485773"/>
          <a:chOff x="19188906" y="645582"/>
          <a:chExt cx="1163973" cy="499371"/>
        </a:xfrm>
      </xdr:grpSpPr>
      <xdr:sp macro="[0]!goToHome" textlink="">
        <xdr:nvSpPr>
          <xdr:cNvPr id="10" name="Rectangle: Rounded Corners 9">
            <a:extLst>
              <a:ext uri="{FF2B5EF4-FFF2-40B4-BE49-F238E27FC236}">
                <a16:creationId xmlns:a16="http://schemas.microsoft.com/office/drawing/2014/main" id="{00000000-0008-0000-0E00-00000A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E00-00000B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6</xdr:col>
      <xdr:colOff>825500</xdr:colOff>
      <xdr:row>8</xdr:row>
      <xdr:rowOff>19439</xdr:rowOff>
    </xdr:from>
    <xdr:to>
      <xdr:col>12</xdr:col>
      <xdr:colOff>84667</xdr:colOff>
      <xdr:row>12</xdr:row>
      <xdr:rowOff>9720</xdr:rowOff>
    </xdr:to>
    <xdr:sp macro="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00000000-0008-0000-0E00-000008000000}"/>
            </a:ext>
          </a:extLst>
        </xdr:cNvPr>
        <xdr:cNvSpPr/>
      </xdr:nvSpPr>
      <xdr:spPr>
        <a:xfrm>
          <a:off x="3630083" y="1151856"/>
          <a:ext cx="3937001" cy="995697"/>
        </a:xfrm>
        <a:prstGeom prst="roundRect">
          <a:avLst/>
        </a:prstGeom>
        <a:noFill/>
        <a:ln w="19050"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42334</xdr:colOff>
      <xdr:row>13</xdr:row>
      <xdr:rowOff>801</xdr:rowOff>
    </xdr:from>
    <xdr:to>
      <xdr:col>12</xdr:col>
      <xdr:colOff>84667</xdr:colOff>
      <xdr:row>17</xdr:row>
      <xdr:rowOff>9719</xdr:rowOff>
    </xdr:to>
    <xdr:sp macro="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538023" y="2488964"/>
          <a:ext cx="7030573" cy="1330755"/>
        </a:xfrm>
        <a:prstGeom prst="roundRect">
          <a:avLst/>
        </a:prstGeom>
        <a:noFill/>
        <a:ln w="19050"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330460</xdr:colOff>
      <xdr:row>116</xdr:row>
      <xdr:rowOff>320740</xdr:rowOff>
    </xdr:from>
    <xdr:to>
      <xdr:col>7</xdr:col>
      <xdr:colOff>505409</xdr:colOff>
      <xdr:row>116</xdr:row>
      <xdr:rowOff>320740</xdr:rowOff>
    </xdr:to>
    <xdr:cxnSp macro="">
      <xdr:nvCxnSpPr>
        <xdr:cNvPr id="17" name="Straight Connector 16">
          <a:extLst>
            <a:ext uri="{FF2B5EF4-FFF2-40B4-BE49-F238E27FC236}">
              <a16:creationId xmlns:a16="http://schemas.microsoft.com/office/drawing/2014/main" id="{00000000-0008-0000-0E00-000011000000}"/>
            </a:ext>
          </a:extLst>
        </xdr:cNvPr>
        <xdr:cNvCxnSpPr/>
      </xdr:nvCxnSpPr>
      <xdr:spPr>
        <a:xfrm>
          <a:off x="3022730" y="9942934"/>
          <a:ext cx="1127449" cy="0"/>
        </a:xfrm>
        <a:prstGeom prst="line">
          <a:avLst/>
        </a:prstGeom>
        <a:ln>
          <a:solidFill>
            <a:srgbClr val="0066CC"/>
          </a:solidFill>
          <a:prstDash val="dash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1705506</xdr:colOff>
      <xdr:row>116</xdr:row>
      <xdr:rowOff>48597</xdr:rowOff>
    </xdr:from>
    <xdr:to>
      <xdr:col>6</xdr:col>
      <xdr:colOff>665532</xdr:colOff>
      <xdr:row>117</xdr:row>
      <xdr:rowOff>9719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00000000-0008-0000-0E00-000018000000}"/>
            </a:ext>
          </a:extLst>
        </xdr:cNvPr>
        <xdr:cNvSpPr/>
      </xdr:nvSpPr>
      <xdr:spPr>
        <a:xfrm>
          <a:off x="2598475" y="9085441"/>
          <a:ext cx="865026" cy="31830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200">
              <a:solidFill>
                <a:schemeClr val="tx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1 USD   =</a:t>
          </a:r>
        </a:p>
      </xdr:txBody>
    </xdr:sp>
    <xdr:clientData/>
  </xdr:twoCellAnchor>
  <xdr:twoCellAnchor>
    <xdr:from>
      <xdr:col>2</xdr:col>
      <xdr:colOff>43518</xdr:colOff>
      <xdr:row>11</xdr:row>
      <xdr:rowOff>78787</xdr:rowOff>
    </xdr:from>
    <xdr:to>
      <xdr:col>4</xdr:col>
      <xdr:colOff>1282959</xdr:colOff>
      <xdr:row>12</xdr:row>
      <xdr:rowOff>94664</xdr:rowOff>
    </xdr:to>
    <xdr:sp macro="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00000000-0008-0000-0E00-00000D000000}"/>
            </a:ext>
          </a:extLst>
        </xdr:cNvPr>
        <xdr:cNvSpPr/>
      </xdr:nvSpPr>
      <xdr:spPr>
        <a:xfrm>
          <a:off x="538818" y="1907587"/>
          <a:ext cx="1629966" cy="320677"/>
        </a:xfrm>
        <a:prstGeom prst="roundRect">
          <a:avLst/>
        </a:prstGeom>
        <a:solidFill>
          <a:schemeClr val="bg1">
            <a:lumMod val="95000"/>
          </a:schemeClr>
        </a:solidFill>
        <a:ln w="19050"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m-KH" sz="1200">
              <a:solidFill>
                <a:schemeClr val="tx1"/>
              </a:solidFill>
              <a:latin typeface="Moul" panose="02000500000000000000" pitchFamily="2" charset="0"/>
              <a:cs typeface="Moul" panose="02000500000000000000" pitchFamily="2" charset="0"/>
            </a:rPr>
            <a:t>ព័ត៌មានអតិថិជន</a:t>
          </a:r>
          <a:endParaRPr lang="en-US" sz="1200">
            <a:solidFill>
              <a:schemeClr val="tx1"/>
            </a:solidFill>
            <a:latin typeface="Moul" panose="02000500000000000000" pitchFamily="2" charset="0"/>
            <a:cs typeface="Moul" panose="02000500000000000000" pitchFamily="2" charset="0"/>
          </a:endParaRPr>
        </a:p>
      </xdr:txBody>
    </xdr:sp>
    <xdr:clientData/>
  </xdr:twoCellAnchor>
  <xdr:twoCellAnchor>
    <xdr:from>
      <xdr:col>10</xdr:col>
      <xdr:colOff>85725</xdr:colOff>
      <xdr:row>10</xdr:row>
      <xdr:rowOff>28575</xdr:rowOff>
    </xdr:from>
    <xdr:to>
      <xdr:col>13</xdr:col>
      <xdr:colOff>76200</xdr:colOff>
      <xdr:row>11</xdr:row>
      <xdr:rowOff>9525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E00-00000E000000}"/>
            </a:ext>
          </a:extLst>
        </xdr:cNvPr>
        <xdr:cNvSpPr/>
      </xdr:nvSpPr>
      <xdr:spPr>
        <a:xfrm>
          <a:off x="5867400" y="1819275"/>
          <a:ext cx="18097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chemeClr val="bg1">
                  <a:lumMod val="85000"/>
                </a:schemeClr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dd     </a:t>
          </a:r>
          <a:r>
            <a:rPr lang="en-US" sz="1100">
              <a:solidFill>
                <a:schemeClr val="tx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/</a:t>
          </a:r>
          <a:r>
            <a:rPr lang="en-US" sz="1100">
              <a:solidFill>
                <a:schemeClr val="bg1">
                  <a:lumMod val="85000"/>
                </a:schemeClr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   mm   </a:t>
          </a:r>
          <a:r>
            <a:rPr lang="en-US" sz="1100">
              <a:solidFill>
                <a:schemeClr val="tx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/</a:t>
          </a:r>
          <a:r>
            <a:rPr lang="en-US" sz="1100">
              <a:solidFill>
                <a:schemeClr val="bg1">
                  <a:lumMod val="85000"/>
                </a:schemeClr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    yyyy</a:t>
          </a:r>
        </a:p>
      </xdr:txBody>
    </xdr:sp>
    <xdr:clientData/>
  </xdr:twoCellAnchor>
  <xdr:twoCellAnchor>
    <xdr:from>
      <xdr:col>10</xdr:col>
      <xdr:colOff>85725</xdr:colOff>
      <xdr:row>11</xdr:row>
      <xdr:rowOff>9525</xdr:rowOff>
    </xdr:from>
    <xdr:to>
      <xdr:col>13</xdr:col>
      <xdr:colOff>76200</xdr:colOff>
      <xdr:row>12</xdr:row>
      <xdr:rowOff>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E00-00000F000000}"/>
            </a:ext>
          </a:extLst>
        </xdr:cNvPr>
        <xdr:cNvSpPr/>
      </xdr:nvSpPr>
      <xdr:spPr>
        <a:xfrm>
          <a:off x="5867400" y="2105025"/>
          <a:ext cx="1809750" cy="2952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chemeClr val="bg1">
                  <a:lumMod val="85000"/>
                </a:schemeClr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dd     </a:t>
          </a:r>
          <a:r>
            <a:rPr lang="en-US" sz="1100">
              <a:solidFill>
                <a:schemeClr val="tx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/</a:t>
          </a:r>
          <a:r>
            <a:rPr lang="en-US" sz="1100">
              <a:solidFill>
                <a:schemeClr val="bg1">
                  <a:lumMod val="85000"/>
                </a:schemeClr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   mm   </a:t>
          </a:r>
          <a:r>
            <a:rPr lang="en-US" sz="1100">
              <a:solidFill>
                <a:schemeClr val="tx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/</a:t>
          </a:r>
          <a:r>
            <a:rPr lang="en-US" sz="1100">
              <a:solidFill>
                <a:schemeClr val="bg1">
                  <a:lumMod val="85000"/>
                </a:schemeClr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    yyyy</a:t>
          </a:r>
        </a:p>
      </xdr:txBody>
    </xdr:sp>
    <xdr:clientData/>
  </xdr:twoCellAnchor>
  <xdr:twoCellAnchor>
    <xdr:from>
      <xdr:col>1</xdr:col>
      <xdr:colOff>239631</xdr:colOff>
      <xdr:row>1</xdr:row>
      <xdr:rowOff>17300</xdr:rowOff>
    </xdr:from>
    <xdr:to>
      <xdr:col>7</xdr:col>
      <xdr:colOff>190500</xdr:colOff>
      <xdr:row>10</xdr:row>
      <xdr:rowOff>186214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GrpSpPr/>
      </xdr:nvGrpSpPr>
      <xdr:grpSpPr>
        <a:xfrm>
          <a:off x="477756" y="136363"/>
          <a:ext cx="3403682" cy="1573851"/>
          <a:chOff x="432512" y="300859"/>
          <a:chExt cx="3460571" cy="1568972"/>
        </a:xfrm>
      </xdr:grpSpPr>
      <xdr:sp macro="" textlink="Setting!D9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E00-000013000000}"/>
              </a:ext>
            </a:extLst>
          </xdr:cNvPr>
          <xdr:cNvSpPr/>
        </xdr:nvSpPr>
        <xdr:spPr>
          <a:xfrm>
            <a:off x="432512" y="300859"/>
            <a:ext cx="3157254" cy="46614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fld id="{D122B2ED-9B22-4F72-9C96-01C0F189BB7E}" type="TxLink">
              <a:rPr lang="km-KH" sz="1300" b="0" i="0" u="none" strike="noStrike">
                <a:solidFill>
                  <a:srgbClr val="000000"/>
                </a:solidFill>
                <a:latin typeface="Moul" panose="02000500000000000000" pitchFamily="2" charset="0"/>
                <a:cs typeface="Moul" panose="02000500000000000000" pitchFamily="2" charset="0"/>
              </a:rPr>
              <a:pPr algn="l"/>
              <a:t>គោកស្នួល ខនស្រ្តាក់សិន មេធៀរៀល</a:t>
            </a:fld>
            <a:endParaRPr lang="en-US" sz="1300">
              <a:latin typeface="Moul" panose="02000500000000000000" pitchFamily="2" charset="0"/>
              <a:cs typeface="Moul" panose="02000500000000000000" pitchFamily="2" charset="0"/>
            </a:endParaRPr>
          </a:p>
        </xdr:txBody>
      </xdr:sp>
      <xdr:sp macro="" textlink="Setting!E9">
        <xdr:nvSpPr>
          <xdr:cNvPr id="20" name="Rectangle 19">
            <a:extLst>
              <a:ext uri="{FF2B5EF4-FFF2-40B4-BE49-F238E27FC236}">
                <a16:creationId xmlns:a16="http://schemas.microsoft.com/office/drawing/2014/main" id="{00000000-0008-0000-0E00-000014000000}"/>
              </a:ext>
            </a:extLst>
          </xdr:cNvPr>
          <xdr:cNvSpPr/>
        </xdr:nvSpPr>
        <xdr:spPr>
          <a:xfrm>
            <a:off x="432513" y="660248"/>
            <a:ext cx="3048195" cy="24998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fld id="{94CD9E75-B6E5-4744-8C54-1830850BB45D}" type="TxLink">
              <a:rPr lang="en-US" sz="1100" b="0" i="0" u="none" strike="noStrike">
                <a:solidFill>
                  <a:srgbClr val="000000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pPr algn="l"/>
              <a:t>KORK SNUOL CONSTRUCTION MATERIAL</a:t>
            </a:fld>
            <a:endParaRPr lang="en-US" sz="1050"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endParaRPr>
          </a:p>
        </xdr:txBody>
      </xdr:sp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0E00-000016000000}"/>
              </a:ext>
            </a:extLst>
          </xdr:cNvPr>
          <xdr:cNvSpPr/>
        </xdr:nvSpPr>
        <xdr:spPr>
          <a:xfrm>
            <a:off x="432512" y="909162"/>
            <a:ext cx="3460571" cy="28084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km-KH" sz="1000" b="0" i="0" u="none" strike="noStrike">
                <a:solidFill>
                  <a:srgbClr val="000000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អាសយដ្ឋាន</a:t>
            </a:r>
            <a:r>
              <a:rPr lang="en-US" sz="1000" b="0" i="0" u="none" strike="noStrike">
                <a:solidFill>
                  <a:srgbClr val="000000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 </a:t>
            </a:r>
            <a:r>
              <a:rPr lang="km-KH" sz="1000" b="0" i="0" u="none" strike="noStrike">
                <a:solidFill>
                  <a:srgbClr val="000000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៖</a:t>
            </a:r>
            <a:r>
              <a:rPr lang="en-US" sz="1000" b="0" i="0" u="none" strike="noStrike">
                <a:solidFill>
                  <a:srgbClr val="000000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 </a:t>
            </a:r>
            <a:r>
              <a:rPr lang="km-KH" sz="1000" b="0" i="0" u="none" strike="noStrike">
                <a:solidFill>
                  <a:srgbClr val="000000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ភូមិគោកស្នួល ឃុំខ្នាត ស្រុកពួក ខេត្តសៀមរាប</a:t>
            </a:r>
            <a:endParaRPr lang="en-US" sz="1000" b="0" i="0" u="none" strike="noStrike">
              <a:solidFill>
                <a:srgbClr val="000000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23" name="Rectangle 22">
            <a:extLst>
              <a:ext uri="{FF2B5EF4-FFF2-40B4-BE49-F238E27FC236}">
                <a16:creationId xmlns:a16="http://schemas.microsoft.com/office/drawing/2014/main" id="{00000000-0008-0000-0E00-000017000000}"/>
              </a:ext>
            </a:extLst>
          </xdr:cNvPr>
          <xdr:cNvSpPr/>
        </xdr:nvSpPr>
        <xdr:spPr>
          <a:xfrm>
            <a:off x="432513" y="1425838"/>
            <a:ext cx="2408521" cy="23621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km-KH" sz="1000" b="0" i="0" u="none" strike="noStrike">
                <a:solidFill>
                  <a:srgbClr val="000000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លេខអត្តសញ្ញាណកម្មសារពើពន្ធ (</a:t>
            </a:r>
            <a:r>
              <a:rPr lang="en-US" sz="1000" b="0" i="0" u="none" strike="noStrike">
                <a:solidFill>
                  <a:srgbClr val="000000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TIN</a:t>
            </a:r>
            <a:r>
              <a:rPr lang="en-US" sz="1000" b="0" i="0" u="none" strike="noStrike">
                <a:solidFill>
                  <a:srgbClr val="000000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) </a:t>
            </a:r>
            <a:r>
              <a:rPr lang="km-KH" sz="1000" b="0" i="0" u="none" strike="noStrike">
                <a:solidFill>
                  <a:srgbClr val="000000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៖ </a:t>
            </a:r>
            <a:endParaRPr lang="en-US" sz="1000" b="0" i="0" u="none" strike="noStrike">
              <a:solidFill>
                <a:srgbClr val="000000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E00-00000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23875" y="1671191"/>
            <a:ext cx="2993476" cy="19864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E00-000019000000}"/>
              </a:ext>
            </a:extLst>
          </xdr:cNvPr>
          <xdr:cNvSpPr/>
        </xdr:nvSpPr>
        <xdr:spPr>
          <a:xfrm>
            <a:off x="432512" y="1163657"/>
            <a:ext cx="1946909" cy="25801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km-KH" sz="1000" b="0" i="0" u="none" strike="noStrike">
                <a:solidFill>
                  <a:srgbClr val="000000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លេខទូរស័ព្ទ</a:t>
            </a:r>
            <a:r>
              <a:rPr lang="en-US" sz="1000" b="0" i="0" u="none" strike="noStrike">
                <a:solidFill>
                  <a:srgbClr val="000000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 </a:t>
            </a:r>
            <a:r>
              <a:rPr lang="km-KH" sz="1000" b="0" i="0" u="none" strike="noStrike">
                <a:solidFill>
                  <a:srgbClr val="000000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៖</a:t>
            </a:r>
            <a:r>
              <a:rPr lang="en-US" sz="1000" b="0" i="0" u="none" strike="noStrike">
                <a:solidFill>
                  <a:srgbClr val="000000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 015 43 44 00</a:t>
            </a:r>
          </a:p>
        </xdr:txBody>
      </xdr:sp>
    </xdr:grpSp>
    <xdr:clientData/>
  </xdr:twoCellAnchor>
  <xdr:twoCellAnchor>
    <xdr:from>
      <xdr:col>4</xdr:col>
      <xdr:colOff>83607</xdr:colOff>
      <xdr:row>117</xdr:row>
      <xdr:rowOff>9525</xdr:rowOff>
    </xdr:from>
    <xdr:to>
      <xdr:col>7</xdr:col>
      <xdr:colOff>210609</xdr:colOff>
      <xdr:row>118</xdr:row>
      <xdr:rowOff>193681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00000000-0008-0000-0E00-000015000000}"/>
            </a:ext>
          </a:extLst>
        </xdr:cNvPr>
        <xdr:cNvGrpSpPr/>
      </xdr:nvGrpSpPr>
      <xdr:grpSpPr>
        <a:xfrm>
          <a:off x="976576" y="9403556"/>
          <a:ext cx="2924971" cy="541344"/>
          <a:chOff x="7852832" y="2571750"/>
          <a:chExt cx="2995085" cy="582089"/>
        </a:xfrm>
      </xdr:grpSpPr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E00-000010000000}"/>
              </a:ext>
            </a:extLst>
          </xdr:cNvPr>
          <xdr:cNvSpPr/>
        </xdr:nvSpPr>
        <xdr:spPr>
          <a:xfrm>
            <a:off x="7852832" y="2571750"/>
            <a:ext cx="2921001" cy="3492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l"/>
            <a:r>
              <a:rPr lang="en-US" sz="1000">
                <a:solidFill>
                  <a:schemeClr val="tx1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- </a:t>
            </a:r>
            <a:r>
              <a:rPr lang="km-KH" sz="1000">
                <a:solidFill>
                  <a:schemeClr val="tx1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សូមពិនិត្យទំនិញឱ្យបានច្បាស់មុននឹងទទួល។ </a:t>
            </a:r>
            <a:endParaRPr lang="en-US" sz="1000">
              <a:solidFill>
                <a:schemeClr val="tx1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18" name="Rectangle 17">
            <a:extLst>
              <a:ext uri="{FF2B5EF4-FFF2-40B4-BE49-F238E27FC236}">
                <a16:creationId xmlns:a16="http://schemas.microsoft.com/office/drawing/2014/main" id="{00000000-0008-0000-0E00-000012000000}"/>
              </a:ext>
            </a:extLst>
          </xdr:cNvPr>
          <xdr:cNvSpPr/>
        </xdr:nvSpPr>
        <xdr:spPr>
          <a:xfrm>
            <a:off x="7852832" y="2804589"/>
            <a:ext cx="2995085" cy="3492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l"/>
            <a:r>
              <a:rPr lang="en-US" sz="1000">
                <a:solidFill>
                  <a:schemeClr val="tx1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- </a:t>
            </a:r>
            <a:r>
              <a:rPr lang="km-KH" sz="1000">
                <a:solidFill>
                  <a:schemeClr val="tx1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ទំនិញទិញហើយ មិនអាចដូរជាប្រាក់វិញបានទេ។</a:t>
            </a:r>
            <a:endParaRPr lang="en-US" sz="1000">
              <a:solidFill>
                <a:schemeClr val="tx1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</xdr:grpSp>
    <xdr:clientData/>
  </xdr:twoCellAnchor>
  <xdr:twoCellAnchor>
    <xdr:from>
      <xdr:col>6</xdr:col>
      <xdr:colOff>465666</xdr:colOff>
      <xdr:row>226</xdr:row>
      <xdr:rowOff>63498</xdr:rowOff>
    </xdr:from>
    <xdr:to>
      <xdr:col>14</xdr:col>
      <xdr:colOff>412750</xdr:colOff>
      <xdr:row>227</xdr:row>
      <xdr:rowOff>74081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00000000-0008-0000-0E00-00001A000000}"/>
            </a:ext>
          </a:extLst>
        </xdr:cNvPr>
        <xdr:cNvSpPr/>
      </xdr:nvSpPr>
      <xdr:spPr>
        <a:xfrm>
          <a:off x="3270249" y="10858498"/>
          <a:ext cx="5376334" cy="4445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m-KH" sz="1000">
              <a:solidFill>
                <a:schemeClr val="tx1"/>
              </a:solidFill>
              <a:latin typeface="Khmer OS Battambang" panose="02000500000000020004" pitchFamily="2" charset="0"/>
              <a:cs typeface="Khmer OS Battambang" panose="02000500000000020004" pitchFamily="2" charset="0"/>
            </a:rPr>
            <a:t>សម្គាល់៖ ច្បាប់ដើមសម្រាប់អតិថិជន និងច្បាប់ថតចម្លងសម្រាប់សហគ្រាសរក្សាទុក។</a:t>
          </a:r>
          <a:endParaRPr lang="en-US" sz="1000">
            <a:solidFill>
              <a:schemeClr val="tx1"/>
            </a:solidFill>
            <a:latin typeface="Khmer OS Battambang" panose="02000500000000020004" pitchFamily="2" charset="0"/>
            <a:cs typeface="Khmer OS Battambang" panose="02000500000000020004" pitchFamily="2" charset="0"/>
          </a:endParaRPr>
        </a:p>
      </xdr:txBody>
    </xdr:sp>
    <xdr:clientData/>
  </xdr:twoCellAnchor>
  <xdr:twoCellAnchor>
    <xdr:from>
      <xdr:col>15</xdr:col>
      <xdr:colOff>370417</xdr:colOff>
      <xdr:row>0</xdr:row>
      <xdr:rowOff>105833</xdr:rowOff>
    </xdr:from>
    <xdr:to>
      <xdr:col>16</xdr:col>
      <xdr:colOff>844397</xdr:colOff>
      <xdr:row>3</xdr:row>
      <xdr:rowOff>388937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0E00-00001B000000}"/>
            </a:ext>
          </a:extLst>
        </xdr:cNvPr>
        <xdr:cNvGrpSpPr/>
      </xdr:nvGrpSpPr>
      <xdr:grpSpPr>
        <a:xfrm>
          <a:off x="9371542" y="105833"/>
          <a:ext cx="2081324" cy="509323"/>
          <a:chOff x="19188906" y="645582"/>
          <a:chExt cx="1163973" cy="499371"/>
        </a:xfrm>
      </xdr:grpSpPr>
      <xdr:sp macro="[0]!printPreview" textlink="">
        <xdr:nvSpPr>
          <xdr:cNvPr id="28" name="Rectangle: Rounded Corners 27">
            <a:extLst>
              <a:ext uri="{FF2B5EF4-FFF2-40B4-BE49-F238E27FC236}">
                <a16:creationId xmlns:a16="http://schemas.microsoft.com/office/drawing/2014/main" id="{00000000-0008-0000-0E00-00001C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              </a:t>
            </a:r>
            <a:r>
              <a:rPr lang="en-US" sz="1400" baseline="0">
                <a:solidFill>
                  <a:srgbClr val="0066CC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PRINT PREVIEW</a:t>
            </a:r>
            <a:endParaRPr lang="en-US" sz="1400">
              <a:solidFill>
                <a:srgbClr val="0066CC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endParaRPr>
          </a:p>
        </xdr:txBody>
      </xdr:sp>
      <xdr:sp macro="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E00-00001D000000}"/>
              </a:ext>
            </a:extLst>
          </xdr:cNvPr>
          <xdr:cNvSpPr/>
        </xdr:nvSpPr>
        <xdr:spPr>
          <a:xfrm>
            <a:off x="19219095" y="758897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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183976</xdr:colOff>
      <xdr:row>4</xdr:row>
      <xdr:rowOff>75230</xdr:rowOff>
    </xdr:from>
    <xdr:to>
      <xdr:col>14</xdr:col>
      <xdr:colOff>3967</xdr:colOff>
      <xdr:row>8</xdr:row>
      <xdr:rowOff>97455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pSpPr/>
      </xdr:nvGrpSpPr>
      <xdr:grpSpPr>
        <a:xfrm>
          <a:off x="6613351" y="884855"/>
          <a:ext cx="2760835" cy="1272381"/>
          <a:chOff x="6161083" y="295470"/>
          <a:chExt cx="1490414" cy="452469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0F00-000003000000}"/>
              </a:ext>
            </a:extLst>
          </xdr:cNvPr>
          <xdr:cNvSpPr txBox="1"/>
        </xdr:nvSpPr>
        <xdr:spPr>
          <a:xfrm>
            <a:off x="6167462" y="295470"/>
            <a:ext cx="1484035" cy="320485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km-KH" sz="2800" b="0" i="0" u="none" strike="noStrike">
                <a:solidFill>
                  <a:srgbClr val="0066CC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សម្រង់តម្លៃ</a:t>
            </a:r>
            <a:endParaRPr lang="ca-ES" sz="2800" b="0" i="0" u="none" strike="noStrike">
              <a:solidFill>
                <a:srgbClr val="0066CC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0F00-000004000000}"/>
              </a:ext>
            </a:extLst>
          </xdr:cNvPr>
          <xdr:cNvSpPr txBox="1"/>
        </xdr:nvSpPr>
        <xdr:spPr>
          <a:xfrm>
            <a:off x="6161083" y="539468"/>
            <a:ext cx="1467204" cy="20847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r>
              <a:rPr lang="en-US" sz="2400" b="0" i="0" u="none" strike="noStrike" baseline="0">
                <a:solidFill>
                  <a:srgbClr val="0066CC"/>
                </a:solidFill>
                <a:effectLst/>
                <a:latin typeface="Roboto Medium" panose="02000000000000000000" pitchFamily="2" charset="0"/>
                <a:ea typeface="Roboto Medium" panose="02000000000000000000" pitchFamily="2" charset="0"/>
                <a:cs typeface="Roboto Medium" panose="02000000000000000000" pitchFamily="2" charset="0"/>
              </a:rPr>
              <a:t>QUOTATION</a:t>
            </a:r>
            <a:endParaRPr lang="ca-ES" sz="2400" b="0" i="0" u="none" strike="noStrike">
              <a:solidFill>
                <a:srgbClr val="0066CC"/>
              </a:solidFill>
              <a:effectLst/>
              <a:latin typeface="Roboto Medium" panose="02000000000000000000" pitchFamily="2" charset="0"/>
              <a:ea typeface="Roboto Medium" panose="02000000000000000000" pitchFamily="2" charset="0"/>
              <a:cs typeface="Roboto Medium" panose="02000000000000000000" pitchFamily="2" charset="0"/>
            </a:endParaRPr>
          </a:p>
        </xdr:txBody>
      </xdr:sp>
    </xdr:grpSp>
    <xdr:clientData/>
  </xdr:twoCellAnchor>
  <xdr:twoCellAnchor>
    <xdr:from>
      <xdr:col>1</xdr:col>
      <xdr:colOff>35717</xdr:colOff>
      <xdr:row>146</xdr:row>
      <xdr:rowOff>220585</xdr:rowOff>
    </xdr:from>
    <xdr:to>
      <xdr:col>7</xdr:col>
      <xdr:colOff>15975</xdr:colOff>
      <xdr:row>153</xdr:row>
      <xdr:rowOff>150814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SpPr txBox="1"/>
      </xdr:nvSpPr>
      <xdr:spPr>
        <a:xfrm>
          <a:off x="452436" y="12650710"/>
          <a:ext cx="4159352" cy="2192417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 algn="ctr"/>
          <a: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ហត្ថលេខា ឈ្មោះ</a:t>
          </a:r>
          <a:r>
            <a:rPr lang="en-US" sz="1200" b="0" i="0" u="none" strike="noStrike" baseline="0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</a:t>
          </a:r>
          <a:r>
            <a:rPr lang="km-KH" sz="1200" b="0" i="0" u="none" strike="noStrike" baseline="0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និង ត្រាសហគ្រាស</a:t>
          </a:r>
          <a:br>
            <a:rPr lang="km-KH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r>
            <a:rPr lang="en-US" sz="1100" b="0" i="0">
              <a:solidFill>
                <a:schemeClr val="tx1"/>
              </a:solidFill>
              <a:effectLst/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Signature, Name and Company's Stamp</a:t>
          </a:r>
          <a:br>
            <a: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endParaRPr lang="en-US" sz="1100" b="0" i="0" u="none" strike="noStrike">
            <a:solidFill>
              <a:sysClr val="windowText" lastClr="000000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  <a:p>
          <a:pPr marL="0" indent="0" algn="l"/>
          <a:endParaRPr lang="en-US" sz="1100" b="0" i="0" u="none" strike="noStrike">
            <a:solidFill>
              <a:sysClr val="windowText" lastClr="000000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  <a:p>
          <a:pPr marL="0" indent="0" algn="l"/>
          <a:endParaRPr lang="en-US" sz="1100" b="0" i="0" u="none" strike="noStrike">
            <a:solidFill>
              <a:sysClr val="windowText" lastClr="000000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  <a:p>
          <a:pPr marL="0" indent="0" algn="ctr"/>
          <a:r>
            <a:rPr lang="en-US" sz="1200" b="0" i="0" u="none" strike="noStrike">
              <a:solidFill>
                <a:sysClr val="windowText" lastClr="000000"/>
              </a:solidFill>
              <a:effectLst/>
              <a:latin typeface="Roboto" panose="02000000000000000000" pitchFamily="2" charset="0"/>
              <a:ea typeface="Roboto" panose="02000000000000000000" pitchFamily="2" charset="0"/>
              <a:cs typeface="Khmer OS Muol Light" panose="02000500000000020004" pitchFamily="2" charset="0"/>
            </a:rPr>
            <a:t>_______________________________</a:t>
          </a: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Roboto" panose="02000000000000000000" pitchFamily="2" charset="0"/>
              <a:ea typeface="Roboto" panose="02000000000000000000" pitchFamily="2" charset="0"/>
              <a:cs typeface="Khmer OS Muol Light" panose="02000500000000020004" pitchFamily="2" charset="0"/>
            </a:rPr>
          </a:br>
          <a:br>
            <a:rPr lang="km-KH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endParaRPr lang="ca-ES" sz="1100" b="0" i="0" u="none" strike="noStrike">
            <a:solidFill>
              <a:sysClr val="windowText" lastClr="000000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</xdr:txBody>
    </xdr:sp>
    <xdr:clientData/>
  </xdr:twoCellAnchor>
  <xdr:twoCellAnchor>
    <xdr:from>
      <xdr:col>7</xdr:col>
      <xdr:colOff>589589</xdr:colOff>
      <xdr:row>148</xdr:row>
      <xdr:rowOff>172961</xdr:rowOff>
    </xdr:from>
    <xdr:to>
      <xdr:col>12</xdr:col>
      <xdr:colOff>0</xdr:colOff>
      <xdr:row>154</xdr:row>
      <xdr:rowOff>392906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F00-000007000000}"/>
            </a:ext>
          </a:extLst>
        </xdr:cNvPr>
        <xdr:cNvSpPr txBox="1"/>
      </xdr:nvSpPr>
      <xdr:spPr>
        <a:xfrm>
          <a:off x="5185402" y="13365086"/>
          <a:ext cx="3827629" cy="2017789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ហត្ថលេខាអតិថិជន</a:t>
          </a:r>
          <a:br>
            <a:rPr lang="km-KH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 b="0" i="0">
              <a:solidFill>
                <a:schemeClr val="tx1"/>
              </a:solidFill>
              <a:effectLst/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Customer's Signature (If any)</a:t>
          </a:r>
          <a:br>
            <a: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endParaRPr lang="en-US" sz="1100" b="0" i="0" u="none" strike="noStrike">
            <a:solidFill>
              <a:sysClr val="windowText" lastClr="000000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 u="none" strike="noStrike">
            <a:solidFill>
              <a:sysClr val="windowText" lastClr="000000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br>
            <a:rPr lang="km-KH" sz="1100" b="0" i="0" u="none" strike="noStrike">
              <a:solidFill>
                <a:schemeClr val="tx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endParaRPr lang="ca-ES" sz="1100" b="0" i="0" u="none" strike="noStrike">
            <a:solidFill>
              <a:sysClr val="windowText" lastClr="000000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</xdr:colOff>
          <xdr:row>0</xdr:row>
          <xdr:rowOff>257175</xdr:rowOff>
        </xdr:from>
        <xdr:to>
          <xdr:col>16</xdr:col>
          <xdr:colOff>9525</xdr:colOff>
          <xdr:row>3</xdr:row>
          <xdr:rowOff>57150</xdr:rowOff>
        </xdr:to>
        <xdr:sp macro="" textlink="">
          <xdr:nvSpPr>
            <xdr:cNvPr id="4851713" name="QuotationComboBox" hidden="1">
              <a:extLst>
                <a:ext uri="{63B3BB69-23CF-44E3-9099-C40C66FF867C}">
                  <a14:compatExt spid="_x0000_s4851713"/>
                </a:ext>
                <a:ext uri="{FF2B5EF4-FFF2-40B4-BE49-F238E27FC236}">
                  <a16:creationId xmlns:a16="http://schemas.microsoft.com/office/drawing/2014/main" id="{00000000-0008-0000-0F00-000001084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11906</xdr:colOff>
      <xdr:row>0</xdr:row>
      <xdr:rowOff>31750</xdr:rowOff>
    </xdr:from>
    <xdr:to>
      <xdr:col>3</xdr:col>
      <xdr:colOff>881061</xdr:colOff>
      <xdr:row>1</xdr:row>
      <xdr:rowOff>235441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F00-000008000000}"/>
            </a:ext>
          </a:extLst>
        </xdr:cNvPr>
        <xdr:cNvGrpSpPr/>
      </xdr:nvGrpSpPr>
      <xdr:grpSpPr>
        <a:xfrm>
          <a:off x="595312" y="31750"/>
          <a:ext cx="1345405" cy="513254"/>
          <a:chOff x="19188906" y="645582"/>
          <a:chExt cx="1163973" cy="499371"/>
        </a:xfrm>
      </xdr:grpSpPr>
      <xdr:sp macro="[0]!goToHome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00000000-0008-0000-0F00-000009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F00-00000A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 editAs="oneCell">
    <xdr:from>
      <xdr:col>2</xdr:col>
      <xdr:colOff>23815</xdr:colOff>
      <xdr:row>11</xdr:row>
      <xdr:rowOff>71437</xdr:rowOff>
    </xdr:from>
    <xdr:to>
      <xdr:col>7</xdr:col>
      <xdr:colOff>114741</xdr:colOff>
      <xdr:row>12</xdr:row>
      <xdr:rowOff>47624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F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7221" y="3059906"/>
          <a:ext cx="4103333" cy="2857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16</xdr:colOff>
      <xdr:row>0</xdr:row>
      <xdr:rowOff>31750</xdr:rowOff>
    </xdr:from>
    <xdr:to>
      <xdr:col>12</xdr:col>
      <xdr:colOff>95267</xdr:colOff>
      <xdr:row>1</xdr:row>
      <xdr:rowOff>238124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F00-00000C000000}"/>
            </a:ext>
          </a:extLst>
        </xdr:cNvPr>
        <xdr:cNvGrpSpPr/>
      </xdr:nvGrpSpPr>
      <xdr:grpSpPr>
        <a:xfrm>
          <a:off x="7381891" y="31750"/>
          <a:ext cx="1726407" cy="515937"/>
          <a:chOff x="19188906" y="645582"/>
          <a:chExt cx="1163973" cy="499371"/>
        </a:xfrm>
      </xdr:grpSpPr>
      <xdr:sp macro="[0]!savePdfQuoteA4" textlink="">
        <xdr:nvSpPr>
          <xdr:cNvPr id="13" name="Rectangle: Rounded Corners 12">
            <a:extLst>
              <a:ext uri="{FF2B5EF4-FFF2-40B4-BE49-F238E27FC236}">
                <a16:creationId xmlns:a16="http://schemas.microsoft.com/office/drawing/2014/main" id="{00000000-0008-0000-0F00-00000D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រក្សាទុកជា</a:t>
            </a:r>
            <a:r>
              <a:rPr lang="en-US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PDF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14" name="Rectangle 13">
            <a:extLst>
              <a:ext uri="{FF2B5EF4-FFF2-40B4-BE49-F238E27FC236}">
                <a16:creationId xmlns:a16="http://schemas.microsoft.com/office/drawing/2014/main" id="{00000000-0008-0000-0F00-00000E000000}"/>
              </a:ext>
            </a:extLst>
          </xdr:cNvPr>
          <xdr:cNvSpPr/>
        </xdr:nvSpPr>
        <xdr:spPr>
          <a:xfrm>
            <a:off x="19215045" y="758897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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7</xdr:col>
      <xdr:colOff>453386</xdr:colOff>
      <xdr:row>0</xdr:row>
      <xdr:rowOff>31750</xdr:rowOff>
    </xdr:from>
    <xdr:to>
      <xdr:col>9</xdr:col>
      <xdr:colOff>892970</xdr:colOff>
      <xdr:row>1</xdr:row>
      <xdr:rowOff>238124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F00-00000F000000}"/>
            </a:ext>
          </a:extLst>
        </xdr:cNvPr>
        <xdr:cNvGrpSpPr/>
      </xdr:nvGrpSpPr>
      <xdr:grpSpPr>
        <a:xfrm>
          <a:off x="5049199" y="31750"/>
          <a:ext cx="2273146" cy="515937"/>
          <a:chOff x="19188906" y="645582"/>
          <a:chExt cx="1163973" cy="499371"/>
        </a:xfrm>
      </xdr:grpSpPr>
      <xdr:sp macro="[0]!openQuoteFolder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00000000-0008-0000-0F00-000010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បើកឯកសារសម្រង់តម្លៃ</a:t>
            </a:r>
            <a:endParaRPr lang="en-US" sz="1400">
              <a:solidFill>
                <a:srgbClr val="0066CC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endParaRPr>
          </a:p>
        </xdr:txBody>
      </xdr:sp>
      <xdr:sp macro="" textlink="">
        <xdr:nvSpPr>
          <xdr:cNvPr id="17" name="Rectangle 16">
            <a:extLst>
              <a:ext uri="{FF2B5EF4-FFF2-40B4-BE49-F238E27FC236}">
                <a16:creationId xmlns:a16="http://schemas.microsoft.com/office/drawing/2014/main" id="{00000000-0008-0000-0F00-000011000000}"/>
              </a:ext>
            </a:extLst>
          </xdr:cNvPr>
          <xdr:cNvSpPr/>
        </xdr:nvSpPr>
        <xdr:spPr>
          <a:xfrm>
            <a:off x="19199132" y="758897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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7</xdr:col>
      <xdr:colOff>547687</xdr:colOff>
      <xdr:row>9</xdr:row>
      <xdr:rowOff>190500</xdr:rowOff>
    </xdr:from>
    <xdr:to>
      <xdr:col>12</xdr:col>
      <xdr:colOff>95248</xdr:colOff>
      <xdr:row>13</xdr:row>
      <xdr:rowOff>71438</xdr:rowOff>
    </xdr:to>
    <xdr:sp macro="" textlink="">
      <xdr:nvSpPr>
        <xdr:cNvPr id="41" name="Rectangle: Rounded Corners 40">
          <a:extLst>
            <a:ext uri="{FF2B5EF4-FFF2-40B4-BE49-F238E27FC236}">
              <a16:creationId xmlns:a16="http://schemas.microsoft.com/office/drawing/2014/main" id="{00000000-0008-0000-0F00-000029000000}"/>
            </a:ext>
          </a:extLst>
        </xdr:cNvPr>
        <xdr:cNvSpPr/>
      </xdr:nvSpPr>
      <xdr:spPr>
        <a:xfrm>
          <a:off x="5143500" y="2559844"/>
          <a:ext cx="3964779" cy="1119188"/>
        </a:xfrm>
        <a:prstGeom prst="roundRect">
          <a:avLst/>
        </a:prstGeom>
        <a:noFill/>
        <a:ln w="19050">
          <a:solidFill>
            <a:srgbClr val="0070C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11906</xdr:colOff>
      <xdr:row>14</xdr:row>
      <xdr:rowOff>59531</xdr:rowOff>
    </xdr:from>
    <xdr:to>
      <xdr:col>12</xdr:col>
      <xdr:colOff>95250</xdr:colOff>
      <xdr:row>22</xdr:row>
      <xdr:rowOff>59531</xdr:rowOff>
    </xdr:to>
    <xdr:sp macro="" textlink="">
      <xdr:nvSpPr>
        <xdr:cNvPr id="44" name="Rectangle: Rounded Corners 43">
          <a:extLst>
            <a:ext uri="{FF2B5EF4-FFF2-40B4-BE49-F238E27FC236}">
              <a16:creationId xmlns:a16="http://schemas.microsoft.com/office/drawing/2014/main" id="{00000000-0008-0000-0F00-00002C000000}"/>
            </a:ext>
          </a:extLst>
        </xdr:cNvPr>
        <xdr:cNvSpPr/>
      </xdr:nvSpPr>
      <xdr:spPr>
        <a:xfrm>
          <a:off x="595312" y="4048125"/>
          <a:ext cx="8512969" cy="1619250"/>
        </a:xfrm>
        <a:prstGeom prst="roundRect">
          <a:avLst/>
        </a:prstGeom>
        <a:noFill/>
        <a:ln w="19050">
          <a:solidFill>
            <a:srgbClr val="0070C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11907</xdr:colOff>
      <xdr:row>13</xdr:row>
      <xdr:rowOff>11906</xdr:rowOff>
    </xdr:from>
    <xdr:to>
      <xdr:col>5</xdr:col>
      <xdr:colOff>833438</xdr:colOff>
      <xdr:row>14</xdr:row>
      <xdr:rowOff>59530</xdr:rowOff>
    </xdr:to>
    <xdr:sp macro="" textlink="">
      <xdr:nvSpPr>
        <xdr:cNvPr id="45" name="Rectangle: Rounded Corners 44">
          <a:extLst>
            <a:ext uri="{FF2B5EF4-FFF2-40B4-BE49-F238E27FC236}">
              <a16:creationId xmlns:a16="http://schemas.microsoft.com/office/drawing/2014/main" id="{00000000-0008-0000-0F00-00002D000000}"/>
            </a:ext>
          </a:extLst>
        </xdr:cNvPr>
        <xdr:cNvSpPr/>
      </xdr:nvSpPr>
      <xdr:spPr>
        <a:xfrm>
          <a:off x="595313" y="3619500"/>
          <a:ext cx="3500438" cy="428624"/>
        </a:xfrm>
        <a:prstGeom prst="roundRect">
          <a:avLst/>
        </a:prstGeom>
        <a:solidFill>
          <a:srgbClr val="0070C0"/>
        </a:solidFill>
        <a:ln w="19050">
          <a:solidFill>
            <a:srgbClr val="0070C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m-KH" sz="1200">
              <a:solidFill>
                <a:schemeClr val="bg1"/>
              </a:solidFill>
              <a:effectLst/>
              <a:latin typeface="Moul" panose="02000500000000000000" pitchFamily="2" charset="0"/>
              <a:ea typeface="+mn-ea"/>
              <a:cs typeface="Moul" panose="02000500000000000000" pitchFamily="2" charset="0"/>
            </a:rPr>
            <a:t>ព័ត៌មានអតិថិជន / </a:t>
          </a:r>
          <a:r>
            <a:rPr lang="en-US" sz="1200">
              <a:solidFill>
                <a:schemeClr val="bg1"/>
              </a:solidFill>
              <a:effectLst/>
              <a:latin typeface="Roboto Medium" panose="02000000000000000000" pitchFamily="2" charset="0"/>
              <a:ea typeface="Roboto Medium" panose="02000000000000000000" pitchFamily="2" charset="0"/>
              <a:cs typeface="Roboto Medium" panose="02000000000000000000" pitchFamily="2" charset="0"/>
            </a:rPr>
            <a:t>CUSTOMER INFORMATION</a:t>
          </a:r>
        </a:p>
        <a:p>
          <a:pPr algn="l"/>
          <a:endParaRPr lang="en-US" sz="1200">
            <a:solidFill>
              <a:schemeClr val="bg1"/>
            </a:solidFill>
            <a:latin typeface="Moul" panose="02000500000000000000" pitchFamily="2" charset="0"/>
            <a:cs typeface="Moul" panose="02000500000000000000" pitchFamily="2" charset="0"/>
          </a:endParaRPr>
        </a:p>
      </xdr:txBody>
    </xdr:sp>
    <xdr:clientData/>
  </xdr:twoCellAnchor>
  <xdr:twoCellAnchor>
    <xdr:from>
      <xdr:col>3</xdr:col>
      <xdr:colOff>845343</xdr:colOff>
      <xdr:row>4</xdr:row>
      <xdr:rowOff>269082</xdr:rowOff>
    </xdr:from>
    <xdr:to>
      <xdr:col>8</xdr:col>
      <xdr:colOff>964405</xdr:colOff>
      <xdr:row>6</xdr:row>
      <xdr:rowOff>202406</xdr:rowOff>
    </xdr:to>
    <xdr:grpSp>
      <xdr:nvGrpSpPr>
        <xdr:cNvPr id="53" name="Group 52">
          <a:extLst>
            <a:ext uri="{FF2B5EF4-FFF2-40B4-BE49-F238E27FC236}">
              <a16:creationId xmlns:a16="http://schemas.microsoft.com/office/drawing/2014/main" id="{00000000-0008-0000-0F00-000035000000}"/>
            </a:ext>
          </a:extLst>
        </xdr:cNvPr>
        <xdr:cNvGrpSpPr/>
      </xdr:nvGrpSpPr>
      <xdr:grpSpPr>
        <a:xfrm>
          <a:off x="1904999" y="1078707"/>
          <a:ext cx="4333875" cy="790574"/>
          <a:chOff x="1869281" y="952501"/>
          <a:chExt cx="4433791" cy="833436"/>
        </a:xfrm>
      </xdr:grpSpPr>
      <xdr:sp macro="" textlink="Setting!D9">
        <xdr:nvSpPr>
          <xdr:cNvPr id="51" name="Rectangle: Rounded Corners 50">
            <a:extLst>
              <a:ext uri="{FF2B5EF4-FFF2-40B4-BE49-F238E27FC236}">
                <a16:creationId xmlns:a16="http://schemas.microsoft.com/office/drawing/2014/main" id="{00000000-0008-0000-0F00-000033000000}"/>
              </a:ext>
            </a:extLst>
          </xdr:cNvPr>
          <xdr:cNvSpPr/>
        </xdr:nvSpPr>
        <xdr:spPr>
          <a:xfrm>
            <a:off x="1869281" y="952501"/>
            <a:ext cx="4433791" cy="428624"/>
          </a:xfrm>
          <a:prstGeom prst="roundRect">
            <a:avLst/>
          </a:prstGeom>
          <a:noFill/>
          <a:ln w="19050"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fld id="{D7039EB7-8501-4A40-8A60-67C7D10EFF5B}" type="TxLink">
              <a:rPr lang="km-KH" sz="1800" b="0" i="0" u="none" strike="noStrike">
                <a:solidFill>
                  <a:srgbClr val="000000"/>
                </a:solidFill>
                <a:latin typeface="Moul" panose="02000500000000000000" pitchFamily="2" charset="0"/>
                <a:cs typeface="Moul" panose="02000500000000000000" pitchFamily="2" charset="0"/>
              </a:rPr>
              <a:pPr algn="l"/>
              <a:t>គោកស្នួល ខនស្រ្តាក់សិន មេធៀរៀល</a:t>
            </a:fld>
            <a:endParaRPr lang="en-US" sz="1800">
              <a:solidFill>
                <a:schemeClr val="tx1"/>
              </a:solidFill>
              <a:latin typeface="Moul" panose="02000500000000000000" pitchFamily="2" charset="0"/>
              <a:cs typeface="Moul" panose="02000500000000000000" pitchFamily="2" charset="0"/>
            </a:endParaRPr>
          </a:p>
        </xdr:txBody>
      </xdr:sp>
      <xdr:sp macro="" textlink="Setting!E9">
        <xdr:nvSpPr>
          <xdr:cNvPr id="52" name="Rectangle: Rounded Corners 51">
            <a:extLst>
              <a:ext uri="{FF2B5EF4-FFF2-40B4-BE49-F238E27FC236}">
                <a16:creationId xmlns:a16="http://schemas.microsoft.com/office/drawing/2014/main" id="{00000000-0008-0000-0F00-000034000000}"/>
              </a:ext>
            </a:extLst>
          </xdr:cNvPr>
          <xdr:cNvSpPr/>
        </xdr:nvSpPr>
        <xdr:spPr>
          <a:xfrm>
            <a:off x="1869282" y="1357313"/>
            <a:ext cx="4226718" cy="428624"/>
          </a:xfrm>
          <a:prstGeom prst="roundRect">
            <a:avLst/>
          </a:prstGeom>
          <a:noFill/>
          <a:ln w="19050"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fld id="{7342A365-4FB1-4282-A69D-D1E638930B94}" type="TxLink">
              <a:rPr lang="en-US" sz="1400" b="0" i="0" u="none" strike="noStrike">
                <a:solidFill>
                  <a:srgbClr val="000000"/>
                </a:solidFill>
                <a:latin typeface="Roboto Medium" panose="02000000000000000000" pitchFamily="2" charset="0"/>
                <a:ea typeface="Roboto Medium" panose="02000000000000000000" pitchFamily="2" charset="0"/>
                <a:cs typeface="Roboto Medium" panose="02000000000000000000" pitchFamily="2" charset="0"/>
              </a:rPr>
              <a:pPr algn="l"/>
              <a:t>KORK SNUOL CONSTRUCTION MATERIAL</a:t>
            </a:fld>
            <a:endParaRPr lang="en-US" sz="2000">
              <a:solidFill>
                <a:schemeClr val="tx1"/>
              </a:solidFill>
              <a:latin typeface="Roboto Medium" panose="02000000000000000000" pitchFamily="2" charset="0"/>
              <a:ea typeface="Roboto Medium" panose="02000000000000000000" pitchFamily="2" charset="0"/>
              <a:cs typeface="Roboto Medium" panose="02000000000000000000" pitchFamily="2" charset="0"/>
            </a:endParaRPr>
          </a:p>
        </xdr:txBody>
      </xdr:sp>
    </xdr:grpSp>
    <xdr:clientData/>
  </xdr:twoCellAnchor>
  <xdr:twoCellAnchor editAs="oneCell">
    <xdr:from>
      <xdr:col>2</xdr:col>
      <xdr:colOff>71438</xdr:colOff>
      <xdr:row>4</xdr:row>
      <xdr:rowOff>107157</xdr:rowOff>
    </xdr:from>
    <xdr:to>
      <xdr:col>3</xdr:col>
      <xdr:colOff>654844</xdr:colOff>
      <xdr:row>6</xdr:row>
      <xdr:rowOff>247689</xdr:rowOff>
    </xdr:to>
    <xdr:pic>
      <xdr:nvPicPr>
        <xdr:cNvPr id="55" name="Picture 54">
          <a:extLst>
            <a:ext uri="{FF2B5EF4-FFF2-40B4-BE49-F238E27FC236}">
              <a16:creationId xmlns:a16="http://schemas.microsoft.com/office/drawing/2014/main" id="{00000000-0008-0000-0F00-00003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42055"/>
        <a:stretch>
          <a:fillRect/>
        </a:stretch>
      </xdr:blipFill>
      <xdr:spPr>
        <a:xfrm>
          <a:off x="654844" y="916782"/>
          <a:ext cx="1059656" cy="997782"/>
        </a:xfrm>
        <a:prstGeom prst="rect">
          <a:avLst/>
        </a:prstGeom>
      </xdr:spPr>
    </xdr:pic>
    <xdr:clientData/>
  </xdr:twoCellAnchor>
  <xdr:twoCellAnchor>
    <xdr:from>
      <xdr:col>3</xdr:col>
      <xdr:colOff>1846417</xdr:colOff>
      <xdr:row>0</xdr:row>
      <xdr:rowOff>31750</xdr:rowOff>
    </xdr:from>
    <xdr:to>
      <xdr:col>7</xdr:col>
      <xdr:colOff>392907</xdr:colOff>
      <xdr:row>1</xdr:row>
      <xdr:rowOff>238124</xdr:rowOff>
    </xdr:to>
    <xdr:grpSp>
      <xdr:nvGrpSpPr>
        <xdr:cNvPr id="35" name="Group 34">
          <a:extLst>
            <a:ext uri="{FF2B5EF4-FFF2-40B4-BE49-F238E27FC236}">
              <a16:creationId xmlns:a16="http://schemas.microsoft.com/office/drawing/2014/main" id="{00000000-0008-0000-0F00-000023000000}"/>
            </a:ext>
          </a:extLst>
        </xdr:cNvPr>
        <xdr:cNvGrpSpPr/>
      </xdr:nvGrpSpPr>
      <xdr:grpSpPr>
        <a:xfrm>
          <a:off x="2906073" y="31750"/>
          <a:ext cx="2082647" cy="515937"/>
          <a:chOff x="19188906" y="645582"/>
          <a:chExt cx="1163973" cy="499371"/>
        </a:xfrm>
      </xdr:grpSpPr>
      <xdr:sp macro="[0]!printPreview" textlink="">
        <xdr:nvSpPr>
          <xdr:cNvPr id="36" name="Rectangle: Rounded Corners 35">
            <a:extLst>
              <a:ext uri="{FF2B5EF4-FFF2-40B4-BE49-F238E27FC236}">
                <a16:creationId xmlns:a16="http://schemas.microsoft.com/office/drawing/2014/main" id="{00000000-0008-0000-0F00-000024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              </a:t>
            </a:r>
            <a:r>
              <a:rPr lang="en-US" sz="1400" baseline="0">
                <a:solidFill>
                  <a:srgbClr val="0066CC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PRINT PREVIEW</a:t>
            </a:r>
            <a:endParaRPr lang="en-US" sz="1400">
              <a:solidFill>
                <a:srgbClr val="0066CC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endParaRPr>
          </a:p>
        </xdr:txBody>
      </xdr:sp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0F00-000025000000}"/>
              </a:ext>
            </a:extLst>
          </xdr:cNvPr>
          <xdr:cNvSpPr/>
        </xdr:nvSpPr>
        <xdr:spPr>
          <a:xfrm>
            <a:off x="19219095" y="758897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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7</xdr:col>
      <xdr:colOff>666750</xdr:colOff>
      <xdr:row>27</xdr:row>
      <xdr:rowOff>61913</xdr:rowOff>
    </xdr:from>
    <xdr:to>
      <xdr:col>9</xdr:col>
      <xdr:colOff>866775</xdr:colOff>
      <xdr:row>27</xdr:row>
      <xdr:rowOff>1204913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F00-00001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267325" y="6824663"/>
          <a:ext cx="2028825" cy="1143000"/>
        </a:xfrm>
        <a:prstGeom prst="rect">
          <a:avLst/>
        </a:prstGeom>
      </xdr:spPr>
    </xdr:pic>
    <xdr:clientData/>
  </xdr:twoCellAnchor>
  <xdr:twoCellAnchor>
    <xdr:from>
      <xdr:col>7</xdr:col>
      <xdr:colOff>666750</xdr:colOff>
      <xdr:row>29</xdr:row>
      <xdr:rowOff>61913</xdr:rowOff>
    </xdr:from>
    <xdr:to>
      <xdr:col>9</xdr:col>
      <xdr:colOff>866775</xdr:colOff>
      <xdr:row>29</xdr:row>
      <xdr:rowOff>1204913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00000000-0008-0000-0F00-00001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267325" y="8472488"/>
          <a:ext cx="2028825" cy="1143000"/>
        </a:xfrm>
        <a:prstGeom prst="rect">
          <a:avLst/>
        </a:prstGeom>
      </xdr:spPr>
    </xdr:pic>
    <xdr:clientData/>
  </xdr:twoCellAnchor>
  <xdr:twoCellAnchor>
    <xdr:from>
      <xdr:col>7</xdr:col>
      <xdr:colOff>666750</xdr:colOff>
      <xdr:row>31</xdr:row>
      <xdr:rowOff>61913</xdr:rowOff>
    </xdr:from>
    <xdr:to>
      <xdr:col>9</xdr:col>
      <xdr:colOff>866775</xdr:colOff>
      <xdr:row>31</xdr:row>
      <xdr:rowOff>1204913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00000000-0008-0000-0F00-00001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267325" y="10120313"/>
          <a:ext cx="2028825" cy="1143000"/>
        </a:xfrm>
        <a:prstGeom prst="rect">
          <a:avLst/>
        </a:prstGeom>
      </xdr:spPr>
    </xdr:pic>
    <xdr:clientData/>
  </xdr:twoCellAnchor>
  <xdr:twoCellAnchor>
    <xdr:from>
      <xdr:col>7</xdr:col>
      <xdr:colOff>666750</xdr:colOff>
      <xdr:row>33</xdr:row>
      <xdr:rowOff>61913</xdr:rowOff>
    </xdr:from>
    <xdr:to>
      <xdr:col>9</xdr:col>
      <xdr:colOff>866775</xdr:colOff>
      <xdr:row>33</xdr:row>
      <xdr:rowOff>1204913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0F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267325" y="11768138"/>
          <a:ext cx="2028825" cy="1143000"/>
        </a:xfrm>
        <a:prstGeom prst="rect">
          <a:avLst/>
        </a:prstGeom>
      </xdr:spPr>
    </xdr:pic>
    <xdr:clientData/>
  </xdr:twoCellAnchor>
  <xdr:twoCellAnchor>
    <xdr:from>
      <xdr:col>7</xdr:col>
      <xdr:colOff>666750</xdr:colOff>
      <xdr:row>35</xdr:row>
      <xdr:rowOff>61913</xdr:rowOff>
    </xdr:from>
    <xdr:to>
      <xdr:col>9</xdr:col>
      <xdr:colOff>866775</xdr:colOff>
      <xdr:row>35</xdr:row>
      <xdr:rowOff>1204913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00000000-0008-0000-0F00-00001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267325" y="13415963"/>
          <a:ext cx="2028825" cy="1143000"/>
        </a:xfrm>
        <a:prstGeom prst="rect">
          <a:avLst/>
        </a:prstGeom>
      </xdr:spPr>
    </xdr:pic>
    <xdr:clientData/>
  </xdr:twoCellAnchor>
  <xdr:twoCellAnchor>
    <xdr:from>
      <xdr:col>7</xdr:col>
      <xdr:colOff>666750</xdr:colOff>
      <xdr:row>37</xdr:row>
      <xdr:rowOff>61913</xdr:rowOff>
    </xdr:from>
    <xdr:to>
      <xdr:col>9</xdr:col>
      <xdr:colOff>866775</xdr:colOff>
      <xdr:row>37</xdr:row>
      <xdr:rowOff>1204913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00000000-0008-0000-0F00-00001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5267325" y="15063788"/>
          <a:ext cx="2028825" cy="1143000"/>
        </a:xfrm>
        <a:prstGeom prst="rect">
          <a:avLst/>
        </a:prstGeom>
      </xdr:spPr>
    </xdr:pic>
    <xdr:clientData/>
  </xdr:twoCellAnchor>
  <xdr:twoCellAnchor>
    <xdr:from>
      <xdr:col>7</xdr:col>
      <xdr:colOff>666750</xdr:colOff>
      <xdr:row>39</xdr:row>
      <xdr:rowOff>61913</xdr:rowOff>
    </xdr:from>
    <xdr:to>
      <xdr:col>9</xdr:col>
      <xdr:colOff>866775</xdr:colOff>
      <xdr:row>39</xdr:row>
      <xdr:rowOff>1204913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00000000-0008-0000-0F00-00002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267325" y="16711613"/>
          <a:ext cx="2028825" cy="1143000"/>
        </a:xfrm>
        <a:prstGeom prst="rect">
          <a:avLst/>
        </a:prstGeom>
      </xdr:spPr>
    </xdr:pic>
    <xdr:clientData/>
  </xdr:twoCellAnchor>
  <xdr:twoCellAnchor>
    <xdr:from>
      <xdr:col>7</xdr:col>
      <xdr:colOff>666750</xdr:colOff>
      <xdr:row>41</xdr:row>
      <xdr:rowOff>61913</xdr:rowOff>
    </xdr:from>
    <xdr:to>
      <xdr:col>9</xdr:col>
      <xdr:colOff>866775</xdr:colOff>
      <xdr:row>41</xdr:row>
      <xdr:rowOff>1204913</xdr:rowOff>
    </xdr:to>
    <xdr:pic>
      <xdr:nvPicPr>
        <xdr:cNvPr id="38" name="Picture 37">
          <a:extLst>
            <a:ext uri="{FF2B5EF4-FFF2-40B4-BE49-F238E27FC236}">
              <a16:creationId xmlns:a16="http://schemas.microsoft.com/office/drawing/2014/main" id="{00000000-0008-0000-0F00-00002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267325" y="18359438"/>
          <a:ext cx="2028825" cy="1143000"/>
        </a:xfrm>
        <a:prstGeom prst="rect">
          <a:avLst/>
        </a:prstGeom>
      </xdr:spPr>
    </xdr:pic>
    <xdr:clientData/>
  </xdr:twoCellAnchor>
  <xdr:twoCellAnchor>
    <xdr:from>
      <xdr:col>7</xdr:col>
      <xdr:colOff>666750</xdr:colOff>
      <xdr:row>43</xdr:row>
      <xdr:rowOff>61913</xdr:rowOff>
    </xdr:from>
    <xdr:to>
      <xdr:col>9</xdr:col>
      <xdr:colOff>866775</xdr:colOff>
      <xdr:row>43</xdr:row>
      <xdr:rowOff>1204913</xdr:rowOff>
    </xdr:to>
    <xdr:pic>
      <xdr:nvPicPr>
        <xdr:cNvPr id="40" name="Picture 39">
          <a:extLst>
            <a:ext uri="{FF2B5EF4-FFF2-40B4-BE49-F238E27FC236}">
              <a16:creationId xmlns:a16="http://schemas.microsoft.com/office/drawing/2014/main" id="{00000000-0008-0000-0F00-00002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5267325" y="20007263"/>
          <a:ext cx="2028825" cy="1143000"/>
        </a:xfrm>
        <a:prstGeom prst="rect">
          <a:avLst/>
        </a:prstGeom>
      </xdr:spPr>
    </xdr:pic>
    <xdr:clientData/>
  </xdr:twoCellAnchor>
  <xdr:twoCellAnchor>
    <xdr:from>
      <xdr:col>7</xdr:col>
      <xdr:colOff>666750</xdr:colOff>
      <xdr:row>45</xdr:row>
      <xdr:rowOff>61913</xdr:rowOff>
    </xdr:from>
    <xdr:to>
      <xdr:col>9</xdr:col>
      <xdr:colOff>866775</xdr:colOff>
      <xdr:row>45</xdr:row>
      <xdr:rowOff>1204913</xdr:rowOff>
    </xdr:to>
    <xdr:pic>
      <xdr:nvPicPr>
        <xdr:cNvPr id="43" name="Picture 42">
          <a:extLst>
            <a:ext uri="{FF2B5EF4-FFF2-40B4-BE49-F238E27FC236}">
              <a16:creationId xmlns:a16="http://schemas.microsoft.com/office/drawing/2014/main" id="{00000000-0008-0000-0F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267325" y="21655088"/>
          <a:ext cx="2028825" cy="1143000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588699</xdr:colOff>
      <xdr:row>2</xdr:row>
      <xdr:rowOff>460993</xdr:rowOff>
    </xdr:from>
    <xdr:to>
      <xdr:col>10</xdr:col>
      <xdr:colOff>1087436</xdr:colOff>
      <xdr:row>6</xdr:row>
      <xdr:rowOff>121268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pSpPr/>
      </xdr:nvGrpSpPr>
      <xdr:grpSpPr>
        <a:xfrm>
          <a:off x="6934730" y="834849"/>
          <a:ext cx="2749019" cy="1274763"/>
          <a:chOff x="6167462" y="295470"/>
          <a:chExt cx="1484035" cy="452469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1000-000003000000}"/>
              </a:ext>
            </a:extLst>
          </xdr:cNvPr>
          <xdr:cNvSpPr txBox="1"/>
        </xdr:nvSpPr>
        <xdr:spPr>
          <a:xfrm>
            <a:off x="6167462" y="295470"/>
            <a:ext cx="1484035" cy="320485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km-KH" sz="2800" b="0" i="0" u="none" strike="noStrike">
                <a:solidFill>
                  <a:srgbClr val="0066CC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វិក្កយបត្រ</a:t>
            </a:r>
            <a:endParaRPr lang="ca-ES" sz="2800" b="0" i="0" u="none" strike="noStrike">
              <a:solidFill>
                <a:srgbClr val="0066CC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1000-000004000000}"/>
              </a:ext>
            </a:extLst>
          </xdr:cNvPr>
          <xdr:cNvSpPr txBox="1"/>
        </xdr:nvSpPr>
        <xdr:spPr>
          <a:xfrm>
            <a:off x="6180366" y="539468"/>
            <a:ext cx="1467204" cy="20847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r>
              <a:rPr lang="en-US" sz="1600" b="1" i="0" u="none" strike="noStrike" baseline="0">
                <a:solidFill>
                  <a:srgbClr val="0066CC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COMMERCIAL </a:t>
            </a:r>
            <a:r>
              <a:rPr lang="en-GB" sz="1600" b="1" i="0" u="none" strike="noStrike" baseline="0">
                <a:solidFill>
                  <a:srgbClr val="0066CC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INVOICE</a:t>
            </a:r>
            <a:endParaRPr lang="ca-ES" sz="1600" b="1" i="0" u="none" strike="noStrike">
              <a:solidFill>
                <a:srgbClr val="0066CC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5</xdr:col>
      <xdr:colOff>1214438</xdr:colOff>
      <xdr:row>148</xdr:row>
      <xdr:rowOff>26114</xdr:rowOff>
    </xdr:from>
    <xdr:to>
      <xdr:col>11</xdr:col>
      <xdr:colOff>116417</xdr:colOff>
      <xdr:row>154</xdr:row>
      <xdr:rowOff>303542</xdr:rowOff>
    </xdr:to>
    <xdr:grpSp>
      <xdr:nvGrpSpPr>
        <xdr:cNvPr id="4356262" name="Group 4356261">
          <a:extLst>
            <a:ext uri="{FF2B5EF4-FFF2-40B4-BE49-F238E27FC236}">
              <a16:creationId xmlns:a16="http://schemas.microsoft.com/office/drawing/2014/main" id="{00000000-0008-0000-1000-0000A6784200}"/>
            </a:ext>
          </a:extLst>
        </xdr:cNvPr>
        <xdr:cNvGrpSpPr/>
      </xdr:nvGrpSpPr>
      <xdr:grpSpPr>
        <a:xfrm>
          <a:off x="4369594" y="10241677"/>
          <a:ext cx="5652823" cy="2087178"/>
          <a:chOff x="4623388" y="22760513"/>
          <a:chExt cx="6483413" cy="2232004"/>
        </a:xfrm>
      </xdr:grpSpPr>
      <xdr:sp macro="" textlink="">
        <xdr:nvSpPr>
          <xdr:cNvPr id="5" name="TextBox 4">
            <a:extLst>
              <a:ext uri="{FF2B5EF4-FFF2-40B4-BE49-F238E27FC236}">
                <a16:creationId xmlns:a16="http://schemas.microsoft.com/office/drawing/2014/main" id="{00000000-0008-0000-1000-000005000000}"/>
              </a:ext>
            </a:extLst>
          </xdr:cNvPr>
          <xdr:cNvSpPr txBox="1"/>
        </xdr:nvSpPr>
        <xdr:spPr>
          <a:xfrm>
            <a:off x="4623388" y="22760513"/>
            <a:ext cx="3306519" cy="2232004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2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ហត្ថលេខា ឈ្មោះ</a:t>
            </a:r>
            <a:r>
              <a:rPr lang="en-US" sz="1200" b="0" i="0" u="none" strike="noStrike" baseline="0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 </a:t>
            </a:r>
            <a:r>
              <a:rPr lang="km-KH" sz="1200" b="0" i="0" u="none" strike="noStrike" baseline="0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និង ត្រាសហគ្រាស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r>
              <a:rPr lang="en-US" sz="1100" b="0" i="0">
                <a:solidFill>
                  <a:schemeClr val="tx1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Signature, Name and Company's Stamp</a:t>
            </a:r>
            <a:br>
              <a:rPr lang="en-US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l"/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l"/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ctr"/>
            <a:r>
              <a:rPr lang="en-US" sz="1200" b="0" i="0" u="none" strike="noStrike">
                <a:solidFill>
                  <a:sysClr val="windowText" lastClr="000000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Khmer OS Muol Light" panose="02000500000000020004" pitchFamily="2" charset="0"/>
              </a:rPr>
              <a:t>_______________________________</a:t>
            </a:r>
            <a:br>
              <a:rPr lang="km-KH" sz="1200" b="0" i="0" u="none" strike="noStrike">
                <a:solidFill>
                  <a:sysClr val="windowText" lastClr="000000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9" name="TextBox 8">
            <a:extLst>
              <a:ext uri="{FF2B5EF4-FFF2-40B4-BE49-F238E27FC236}">
                <a16:creationId xmlns:a16="http://schemas.microsoft.com/office/drawing/2014/main" id="{00000000-0008-0000-1000-000009000000}"/>
              </a:ext>
            </a:extLst>
          </xdr:cNvPr>
          <xdr:cNvSpPr txBox="1"/>
        </xdr:nvSpPr>
        <xdr:spPr>
          <a:xfrm>
            <a:off x="8026067" y="22760513"/>
            <a:ext cx="3080734" cy="2209404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km-KH" sz="12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ហត្ថលេខាអតិថិជន</a:t>
            </a:r>
            <a:br>
              <a:rPr lang="km-KH" sz="1100" b="0" i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</a:br>
            <a:r>
              <a:rPr lang="en-US" sz="1100" b="0" i="0">
                <a:solidFill>
                  <a:schemeClr val="tx1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Customer's Signature (If any)</a:t>
            </a:r>
            <a:br>
              <a:rPr lang="en-US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l"/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l"/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ctr"/>
            <a:r>
              <a:rPr lang="en-US" sz="1200" b="0" i="0">
                <a:solidFill>
                  <a:schemeClr val="tx1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_______________________________</a:t>
            </a:r>
            <a:br>
              <a:rPr lang="km-KH" sz="1100" b="0" i="0" u="none" strike="noStrike">
                <a:solidFill>
                  <a:schemeClr val="tx1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47625</xdr:colOff>
          <xdr:row>1</xdr:row>
          <xdr:rowOff>19050</xdr:rowOff>
        </xdr:from>
        <xdr:to>
          <xdr:col>15</xdr:col>
          <xdr:colOff>9525</xdr:colOff>
          <xdr:row>3</xdr:row>
          <xdr:rowOff>9525</xdr:rowOff>
        </xdr:to>
        <xdr:sp macro="" textlink="">
          <xdr:nvSpPr>
            <xdr:cNvPr id="4356100" name="InvoiceComboBox" hidden="1">
              <a:extLst>
                <a:ext uri="{63B3BB69-23CF-44E3-9099-C40C66FF867C}">
                  <a14:compatExt spid="_x0000_s4356100"/>
                </a:ext>
                <a:ext uri="{FF2B5EF4-FFF2-40B4-BE49-F238E27FC236}">
                  <a16:creationId xmlns:a16="http://schemas.microsoft.com/office/drawing/2014/main" id="{00000000-0008-0000-1000-000004784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11907</xdr:colOff>
      <xdr:row>0</xdr:row>
      <xdr:rowOff>95249</xdr:rowOff>
    </xdr:from>
    <xdr:to>
      <xdr:col>3</xdr:col>
      <xdr:colOff>369093</xdr:colOff>
      <xdr:row>1</xdr:row>
      <xdr:rowOff>333374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GrpSpPr/>
      </xdr:nvGrpSpPr>
      <xdr:grpSpPr>
        <a:xfrm>
          <a:off x="476251" y="95249"/>
          <a:ext cx="1381123" cy="547688"/>
          <a:chOff x="19188906" y="645582"/>
          <a:chExt cx="1163973" cy="499371"/>
        </a:xfrm>
      </xdr:grpSpPr>
      <xdr:sp macro="[0]!goToHome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00000000-0008-0000-1000-000008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1000-00000A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</xdr:row>
          <xdr:rowOff>9525</xdr:rowOff>
        </xdr:from>
        <xdr:to>
          <xdr:col>19</xdr:col>
          <xdr:colOff>495300</xdr:colOff>
          <xdr:row>2</xdr:row>
          <xdr:rowOff>47625</xdr:rowOff>
        </xdr:to>
        <xdr:sp macro="" textlink="">
          <xdr:nvSpPr>
            <xdr:cNvPr id="4356101" name="TaxInvoiceComboBox" hidden="1">
              <a:extLst>
                <a:ext uri="{63B3BB69-23CF-44E3-9099-C40C66FF867C}">
                  <a14:compatExt spid="_x0000_s4356101"/>
                </a:ext>
                <a:ext uri="{FF2B5EF4-FFF2-40B4-BE49-F238E27FC236}">
                  <a16:creationId xmlns:a16="http://schemas.microsoft.com/office/drawing/2014/main" id="{00000000-0008-0000-1000-000005784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59532</xdr:colOff>
      <xdr:row>7</xdr:row>
      <xdr:rowOff>59531</xdr:rowOff>
    </xdr:from>
    <xdr:to>
      <xdr:col>9</xdr:col>
      <xdr:colOff>32704</xdr:colOff>
      <xdr:row>7</xdr:row>
      <xdr:rowOff>357189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10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95626" y="2428875"/>
          <a:ext cx="4485641" cy="29765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9</xdr:col>
      <xdr:colOff>690578</xdr:colOff>
      <xdr:row>0</xdr:row>
      <xdr:rowOff>95250</xdr:rowOff>
    </xdr:from>
    <xdr:to>
      <xdr:col>10</xdr:col>
      <xdr:colOff>1297797</xdr:colOff>
      <xdr:row>1</xdr:row>
      <xdr:rowOff>336777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000-000011000000}"/>
            </a:ext>
          </a:extLst>
        </xdr:cNvPr>
        <xdr:cNvGrpSpPr/>
      </xdr:nvGrpSpPr>
      <xdr:grpSpPr>
        <a:xfrm>
          <a:off x="8191516" y="95250"/>
          <a:ext cx="1702594" cy="551090"/>
          <a:chOff x="19188906" y="645582"/>
          <a:chExt cx="1163973" cy="499371"/>
        </a:xfrm>
      </xdr:grpSpPr>
      <xdr:sp macro="[0]!savePdfInvoiceA4" textlink="">
        <xdr:nvSpPr>
          <xdr:cNvPr id="18" name="Rectangle: Rounded Corners 17">
            <a:extLst>
              <a:ext uri="{FF2B5EF4-FFF2-40B4-BE49-F238E27FC236}">
                <a16:creationId xmlns:a16="http://schemas.microsoft.com/office/drawing/2014/main" id="{00000000-0008-0000-1000-000012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រក្សាទុកជា</a:t>
            </a:r>
            <a:r>
              <a:rPr lang="en-US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PDF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1000-000013000000}"/>
              </a:ext>
            </a:extLst>
          </xdr:cNvPr>
          <xdr:cNvSpPr/>
        </xdr:nvSpPr>
        <xdr:spPr>
          <a:xfrm>
            <a:off x="19215045" y="758897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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7</xdr:col>
      <xdr:colOff>226219</xdr:colOff>
      <xdr:row>0</xdr:row>
      <xdr:rowOff>95250</xdr:rowOff>
    </xdr:from>
    <xdr:to>
      <xdr:col>9</xdr:col>
      <xdr:colOff>488150</xdr:colOff>
      <xdr:row>1</xdr:row>
      <xdr:rowOff>336777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1000-00000C000000}"/>
            </a:ext>
          </a:extLst>
        </xdr:cNvPr>
        <xdr:cNvGrpSpPr/>
      </xdr:nvGrpSpPr>
      <xdr:grpSpPr>
        <a:xfrm>
          <a:off x="5834063" y="95250"/>
          <a:ext cx="2155025" cy="551090"/>
          <a:chOff x="19181515" y="645582"/>
          <a:chExt cx="1171364" cy="499371"/>
        </a:xfrm>
      </xdr:grpSpPr>
      <xdr:sp macro="[0]!openSalesInvoiceFolder" textlink="">
        <xdr:nvSpPr>
          <xdr:cNvPr id="13" name="Rectangle: Rounded Corners 12">
            <a:extLst>
              <a:ext uri="{FF2B5EF4-FFF2-40B4-BE49-F238E27FC236}">
                <a16:creationId xmlns:a16="http://schemas.microsoft.com/office/drawing/2014/main" id="{00000000-0008-0000-1000-00000D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បើកឯកសារវិក្កយបត្រ</a:t>
            </a:r>
            <a:endParaRPr lang="en-US" sz="1400">
              <a:solidFill>
                <a:srgbClr val="0066CC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endParaRPr>
          </a:p>
        </xdr:txBody>
      </xdr:sp>
      <xdr:sp macro="" textlink="">
        <xdr:nvSpPr>
          <xdr:cNvPr id="14" name="Rectangle 13">
            <a:extLst>
              <a:ext uri="{FF2B5EF4-FFF2-40B4-BE49-F238E27FC236}">
                <a16:creationId xmlns:a16="http://schemas.microsoft.com/office/drawing/2014/main" id="{00000000-0008-0000-1000-00000E000000}"/>
              </a:ext>
            </a:extLst>
          </xdr:cNvPr>
          <xdr:cNvSpPr/>
        </xdr:nvSpPr>
        <xdr:spPr>
          <a:xfrm>
            <a:off x="19181515" y="758897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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5</xdr:col>
      <xdr:colOff>452438</xdr:colOff>
      <xdr:row>0</xdr:row>
      <xdr:rowOff>83344</xdr:rowOff>
    </xdr:from>
    <xdr:to>
      <xdr:col>7</xdr:col>
      <xdr:colOff>82397</xdr:colOff>
      <xdr:row>1</xdr:row>
      <xdr:rowOff>345281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GrpSpPr/>
      </xdr:nvGrpSpPr>
      <xdr:grpSpPr>
        <a:xfrm>
          <a:off x="3607594" y="83344"/>
          <a:ext cx="2082647" cy="571500"/>
          <a:chOff x="19188906" y="645582"/>
          <a:chExt cx="1163973" cy="499371"/>
        </a:xfrm>
      </xdr:grpSpPr>
      <xdr:sp macro="[0]!printPreview" textlink="">
        <xdr:nvSpPr>
          <xdr:cNvPr id="15" name="Rectangle: Rounded Corners 14">
            <a:extLst>
              <a:ext uri="{FF2B5EF4-FFF2-40B4-BE49-F238E27FC236}">
                <a16:creationId xmlns:a16="http://schemas.microsoft.com/office/drawing/2014/main" id="{00000000-0008-0000-1000-00000F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              </a:t>
            </a:r>
            <a:r>
              <a:rPr lang="en-US" sz="1400" baseline="0">
                <a:solidFill>
                  <a:srgbClr val="0066CC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PRINT PREVIEW</a:t>
            </a:r>
            <a:endParaRPr lang="en-US" sz="1400">
              <a:solidFill>
                <a:srgbClr val="0066CC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endParaRPr>
          </a:p>
        </xdr:txBody>
      </xdr:sp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1000-000010000000}"/>
              </a:ext>
            </a:extLst>
          </xdr:cNvPr>
          <xdr:cNvSpPr/>
        </xdr:nvSpPr>
        <xdr:spPr>
          <a:xfrm>
            <a:off x="19219095" y="758897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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888928</xdr:colOff>
      <xdr:row>1</xdr:row>
      <xdr:rowOff>135731</xdr:rowOff>
    </xdr:from>
    <xdr:to>
      <xdr:col>4</xdr:col>
      <xdr:colOff>1192159</xdr:colOff>
      <xdr:row>3</xdr:row>
      <xdr:rowOff>424006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pSpPr/>
      </xdr:nvGrpSpPr>
      <xdr:grpSpPr>
        <a:xfrm>
          <a:off x="1115147" y="242887"/>
          <a:ext cx="3017856" cy="883588"/>
          <a:chOff x="1651000" y="102658"/>
          <a:chExt cx="2663198" cy="859775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1100-000003000000}"/>
              </a:ext>
            </a:extLst>
          </xdr:cNvPr>
          <xdr:cNvSpPr/>
        </xdr:nvSpPr>
        <xdr:spPr>
          <a:xfrm>
            <a:off x="1969777" y="588334"/>
            <a:ext cx="1985827" cy="37409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 baseline="0">
                <a:solidFill>
                  <a:srgbClr val="0070C0"/>
                </a:solidFill>
                <a:latin typeface="Roboto Medium" panose="02000000000000000000" pitchFamily="2" charset="0"/>
                <a:ea typeface="Roboto Medium" panose="02000000000000000000" pitchFamily="2" charset="0"/>
                <a:cs typeface="Khmer Muol" panose="02000500000000020004" pitchFamily="2" charset="0"/>
              </a:rPr>
              <a:t>QUOTATION</a:t>
            </a:r>
            <a:endParaRPr lang="en-US" sz="2000">
              <a:solidFill>
                <a:srgbClr val="0070C0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Muol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1100-000004000000}"/>
              </a:ext>
            </a:extLst>
          </xdr:cNvPr>
          <xdr:cNvSpPr/>
        </xdr:nvSpPr>
        <xdr:spPr>
          <a:xfrm>
            <a:off x="1651000" y="102658"/>
            <a:ext cx="2663198" cy="5429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m-KH" sz="2000">
                <a:solidFill>
                  <a:srgbClr val="0070C0"/>
                </a:solidFill>
                <a:latin typeface="Roboto Medium" panose="02000000000000000000" pitchFamily="2" charset="0"/>
                <a:ea typeface="Roboto Medium" panose="02000000000000000000" pitchFamily="2" charset="0"/>
                <a:cs typeface="Khmer Muol" panose="02000500000000020004" pitchFamily="2" charset="0"/>
              </a:rPr>
              <a:t>បញ្ចូលសម្រង់តម្លៃ</a:t>
            </a:r>
            <a:endParaRPr lang="en-US" sz="2000">
              <a:solidFill>
                <a:srgbClr val="0070C0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Muol" panose="02000500000000020004" pitchFamily="2" charset="0"/>
            </a:endParaRPr>
          </a:p>
        </xdr:txBody>
      </xdr:sp>
    </xdr:grpSp>
    <xdr:clientData/>
  </xdr:twoCellAnchor>
  <xdr:twoCellAnchor>
    <xdr:from>
      <xdr:col>4</xdr:col>
      <xdr:colOff>582082</xdr:colOff>
      <xdr:row>10</xdr:row>
      <xdr:rowOff>1</xdr:rowOff>
    </xdr:from>
    <xdr:to>
      <xdr:col>4</xdr:col>
      <xdr:colOff>1660259</xdr:colOff>
      <xdr:row>11</xdr:row>
      <xdr:rowOff>10584</xdr:rowOff>
    </xdr:to>
    <xdr:sp macro="[0]!goToCustomerLis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SpPr/>
      </xdr:nvSpPr>
      <xdr:spPr>
        <a:xfrm>
          <a:off x="3524249" y="2868084"/>
          <a:ext cx="1078177" cy="34925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bg1"/>
          </a:solidFill>
        </a:ln>
        <a:effectLst>
          <a:innerShdw blurRad="63500" dist="50800" dir="2700000">
            <a:schemeClr val="accent1">
              <a:lumMod val="75000"/>
              <a:alpha val="50000"/>
            </a:scheme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aseline="0">
              <a:solidFill>
                <a:srgbClr val="0066CC"/>
              </a:solidFill>
              <a:latin typeface="myicons" panose="02000509000000000000" pitchFamily="49" charset="0"/>
            </a:rPr>
            <a:t>~</a:t>
          </a:r>
          <a:r>
            <a:rPr lang="en-US" sz="600" baseline="0">
              <a:solidFill>
                <a:srgbClr val="0066CC"/>
              </a:solidFill>
              <a:latin typeface="myicons" panose="02000509000000000000" pitchFamily="49" charset="0"/>
            </a:rPr>
            <a:t> </a:t>
          </a:r>
          <a:r>
            <a:rPr lang="km-KH" sz="1200" baseline="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rPr>
            <a:t>អតិថិជន</a:t>
          </a:r>
          <a:endParaRPr lang="en-US" sz="1400">
            <a:solidFill>
              <a:srgbClr val="0066CC"/>
            </a:solidFill>
            <a:latin typeface="Khmer OS Battambang" panose="02000500000000020004" pitchFamily="2" charset="0"/>
            <a:cs typeface="Khmer OS Battambang" panose="02000500000000020004" pitchFamily="2" charset="0"/>
          </a:endParaRPr>
        </a:p>
      </xdr:txBody>
    </xdr:sp>
    <xdr:clientData/>
  </xdr:twoCellAnchor>
  <xdr:twoCellAnchor>
    <xdr:from>
      <xdr:col>18</xdr:col>
      <xdr:colOff>98356</xdr:colOff>
      <xdr:row>2</xdr:row>
      <xdr:rowOff>50269</xdr:rowOff>
    </xdr:from>
    <xdr:to>
      <xdr:col>20</xdr:col>
      <xdr:colOff>713595</xdr:colOff>
      <xdr:row>4</xdr:row>
      <xdr:rowOff>3937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GrpSpPr/>
      </xdr:nvGrpSpPr>
      <xdr:grpSpPr>
        <a:xfrm>
          <a:off x="12540387" y="645582"/>
          <a:ext cx="2032083" cy="501355"/>
          <a:chOff x="16969510" y="645582"/>
          <a:chExt cx="2032434" cy="501355"/>
        </a:xfrm>
      </xdr:grpSpPr>
      <xdr:sp macro="[0]!getQuotExchangeRateNBC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00000000-0008-0000-1100-000007000000}"/>
              </a:ext>
            </a:extLst>
          </xdr:cNvPr>
          <xdr:cNvSpPr/>
        </xdr:nvSpPr>
        <xdr:spPr>
          <a:xfrm>
            <a:off x="16969510" y="645582"/>
            <a:ext cx="2032434" cy="501355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  <a:cs typeface="+mn-cs"/>
              </a:rPr>
              <a:t>  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អត្រាប្តូរប្រាក់ </a:t>
            </a:r>
            <a:r>
              <a:rPr lang="en-US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NBC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etExchangeRateNBC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00000000-0008-0000-1100-000008000000}"/>
              </a:ext>
            </a:extLst>
          </xdr:cNvPr>
          <xdr:cNvSpPr/>
        </xdr:nvSpPr>
        <xdr:spPr>
          <a:xfrm>
            <a:off x="17052855" y="761999"/>
            <a:ext cx="425520" cy="369093"/>
          </a:xfrm>
          <a:prstGeom prst="round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800" baseline="0">
                <a:solidFill>
                  <a:srgbClr val="0066CC"/>
                </a:solidFill>
                <a:latin typeface="myicons" panose="02000509000000000000" pitchFamily="49" charset="0"/>
              </a:rPr>
              <a:t></a:t>
            </a:r>
            <a:endParaRPr lang="en-US" sz="105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</xdr:grpSp>
    <xdr:clientData/>
  </xdr:twoCellAnchor>
  <xdr:twoCellAnchor>
    <xdr:from>
      <xdr:col>2</xdr:col>
      <xdr:colOff>794</xdr:colOff>
      <xdr:row>2</xdr:row>
      <xdr:rowOff>2644</xdr:rowOff>
    </xdr:from>
    <xdr:to>
      <xdr:col>2</xdr:col>
      <xdr:colOff>1156035</xdr:colOff>
      <xdr:row>3</xdr:row>
      <xdr:rowOff>396843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1100-000009000000}"/>
            </a:ext>
          </a:extLst>
        </xdr:cNvPr>
        <xdr:cNvGrpSpPr/>
      </xdr:nvGrpSpPr>
      <xdr:grpSpPr>
        <a:xfrm>
          <a:off x="227013" y="597957"/>
          <a:ext cx="1155241" cy="501355"/>
          <a:chOff x="19188906" y="645582"/>
          <a:chExt cx="1163973" cy="499371"/>
        </a:xfrm>
      </xdr:grpSpPr>
      <xdr:sp macro="[0]!goToHome" textlink="">
        <xdr:nvSpPr>
          <xdr:cNvPr id="10" name="Rectangle: Rounded Corners 9">
            <a:extLst>
              <a:ext uri="{FF2B5EF4-FFF2-40B4-BE49-F238E27FC236}">
                <a16:creationId xmlns:a16="http://schemas.microsoft.com/office/drawing/2014/main" id="{00000000-0008-0000-1100-00000A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1100-00000B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24</xdr:col>
      <xdr:colOff>346605</xdr:colOff>
      <xdr:row>2</xdr:row>
      <xdr:rowOff>42333</xdr:rowOff>
    </xdr:from>
    <xdr:to>
      <xdr:col>25</xdr:col>
      <xdr:colOff>352954</xdr:colOff>
      <xdr:row>3</xdr:row>
      <xdr:rowOff>412750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1100-00000C000000}"/>
            </a:ext>
          </a:extLst>
        </xdr:cNvPr>
        <xdr:cNvGrpSpPr/>
      </xdr:nvGrpSpPr>
      <xdr:grpSpPr>
        <a:xfrm>
          <a:off x="16658168" y="637646"/>
          <a:ext cx="1387474" cy="477573"/>
          <a:chOff x="17912607" y="686323"/>
          <a:chExt cx="1400701" cy="516467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771841" name="Button 1" hidden="1">
                <a:extLst>
                  <a:ext uri="{63B3BB69-23CF-44E3-9099-C40C66FF867C}">
                    <a14:compatExt spid="_x0000_s4771841"/>
                  </a:ext>
                  <a:ext uri="{FF2B5EF4-FFF2-40B4-BE49-F238E27FC236}">
                    <a16:creationId xmlns:a16="http://schemas.microsoft.com/office/drawing/2014/main" id="{00000000-0008-0000-1100-000001D04800}"/>
                  </a:ext>
                </a:extLst>
              </xdr:cNvPr>
              <xdr:cNvSpPr/>
            </xdr:nvSpPr>
            <xdr:spPr bwMode="auto">
              <a:xfrm>
                <a:off x="17912607" y="686323"/>
                <a:ext cx="1400701" cy="51646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77724" rIns="36576" bIns="77724" anchor="ctr" upright="1"/>
              <a:lstStyle/>
              <a:p>
                <a:pPr algn="ctr" rtl="0">
                  <a:defRPr sz="1000"/>
                </a:pPr>
                <a:r>
                  <a:rPr lang="en-US" sz="1400" b="0" i="0" u="none" strike="noStrike" baseline="0">
                    <a:solidFill>
                      <a:srgbClr val="0066CC"/>
                    </a:solidFill>
                    <a:latin typeface="Khmer OS Battambang"/>
                    <a:cs typeface="Khmer OS Battambang"/>
                  </a:rPr>
                  <a:t>        </a:t>
                </a:r>
                <a:r>
                  <a:rPr lang="en-US" sz="1600" b="0" i="0" u="none" strike="noStrike" baseline="0">
                    <a:solidFill>
                      <a:srgbClr val="0066CC"/>
                    </a:solidFill>
                    <a:latin typeface="Khmer OS Battambang"/>
                    <a:cs typeface="Khmer OS Battambang"/>
                  </a:rPr>
                  <a:t>រក្សាទុក</a:t>
                </a:r>
              </a:p>
            </xdr:txBody>
          </xdr:sp>
        </mc:Choice>
        <mc:Fallback/>
      </mc:AlternateContent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1100-00000D000000}"/>
              </a:ext>
            </a:extLst>
          </xdr:cNvPr>
          <xdr:cNvSpPr/>
        </xdr:nvSpPr>
        <xdr:spPr>
          <a:xfrm>
            <a:off x="17954979" y="776687"/>
            <a:ext cx="449333" cy="40864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2800">
                <a:solidFill>
                  <a:srgbClr val="0070C0"/>
                </a:solidFill>
                <a:latin typeface="myicons" panose="02000509000000000000" pitchFamily="49" charset="0"/>
              </a:rPr>
              <a:t>R</a:t>
            </a:r>
            <a:endParaRPr lang="en-US" sz="2800">
              <a:solidFill>
                <a:srgbClr val="0070C0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1724025</xdr:colOff>
          <xdr:row>10</xdr:row>
          <xdr:rowOff>19050</xdr:rowOff>
        </xdr:from>
        <xdr:to>
          <xdr:col>4</xdr:col>
          <xdr:colOff>2085975</xdr:colOff>
          <xdr:row>11</xdr:row>
          <xdr:rowOff>9525</xdr:rowOff>
        </xdr:to>
        <xdr:sp macro="" textlink="">
          <xdr:nvSpPr>
            <xdr:cNvPr id="4771842" name="Button 2" hidden="1">
              <a:extLst>
                <a:ext uri="{63B3BB69-23CF-44E3-9099-C40C66FF867C}">
                  <a14:compatExt spid="_x0000_s4771842"/>
                </a:ext>
                <a:ext uri="{FF2B5EF4-FFF2-40B4-BE49-F238E27FC236}">
                  <a16:creationId xmlns:a16="http://schemas.microsoft.com/office/drawing/2014/main" id="{00000000-0008-0000-1100-000002D04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8288" rIns="73152" bIns="1828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66CC"/>
                  </a:solidFill>
                  <a:latin typeface="myicons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1704975</xdr:colOff>
          <xdr:row>17</xdr:row>
          <xdr:rowOff>285750</xdr:rowOff>
        </xdr:from>
        <xdr:to>
          <xdr:col>4</xdr:col>
          <xdr:colOff>2066925</xdr:colOff>
          <xdr:row>18</xdr:row>
          <xdr:rowOff>257175</xdr:rowOff>
        </xdr:to>
        <xdr:sp macro="" textlink="">
          <xdr:nvSpPr>
            <xdr:cNvPr id="4771848" name="Button 8" hidden="1">
              <a:extLst>
                <a:ext uri="{63B3BB69-23CF-44E3-9099-C40C66FF867C}">
                  <a14:compatExt spid="_x0000_s4771848"/>
                </a:ext>
                <a:ext uri="{FF2B5EF4-FFF2-40B4-BE49-F238E27FC236}">
                  <a16:creationId xmlns:a16="http://schemas.microsoft.com/office/drawing/2014/main" id="{00000000-0008-0000-1100-000008D04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8288" rIns="73152" bIns="1828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66CC"/>
                  </a:solidFill>
                  <a:latin typeface="myicons"/>
                </a:rPr>
                <a:t>4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254000</xdr:colOff>
      <xdr:row>17</xdr:row>
      <xdr:rowOff>250033</xdr:rowOff>
    </xdr:from>
    <xdr:to>
      <xdr:col>4</xdr:col>
      <xdr:colOff>1678780</xdr:colOff>
      <xdr:row>18</xdr:row>
      <xdr:rowOff>297658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0000000-0008-0000-1100-00000E000000}"/>
            </a:ext>
          </a:extLst>
        </xdr:cNvPr>
        <xdr:cNvGrpSpPr/>
      </xdr:nvGrpSpPr>
      <xdr:grpSpPr>
        <a:xfrm>
          <a:off x="3194844" y="5572127"/>
          <a:ext cx="1424780" cy="392906"/>
          <a:chOff x="19188906" y="645582"/>
          <a:chExt cx="1163973" cy="499371"/>
        </a:xfrm>
      </xdr:grpSpPr>
      <xdr:sp macro="[0]!goShipTo" textlink="">
        <xdr:nvSpPr>
          <xdr:cNvPr id="15" name="Rectangle: Rounded Corners 14">
            <a:extLst>
              <a:ext uri="{FF2B5EF4-FFF2-40B4-BE49-F238E27FC236}">
                <a16:creationId xmlns:a16="http://schemas.microsoft.com/office/drawing/2014/main" id="{00000000-0008-0000-1100-00000F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</a:t>
            </a:r>
            <a:r>
              <a:rPr lang="km-KH" sz="12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កន្លែងដឹកទៅ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ShipTo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1100-000010000000}"/>
              </a:ext>
            </a:extLst>
          </xdr:cNvPr>
          <xdr:cNvSpPr/>
        </xdr:nvSpPr>
        <xdr:spPr>
          <a:xfrm>
            <a:off x="19248503" y="74239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>
                <a:solidFill>
                  <a:srgbClr val="0066CC"/>
                </a:solidFill>
                <a:latin typeface="myicons" panose="02000509000000000000" pitchFamily="49" charset="0"/>
              </a:rPr>
              <a:t>|</a:t>
            </a:r>
            <a:endParaRPr lang="en-US" sz="1400">
              <a:solidFill>
                <a:srgbClr val="0066CC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</xdr:colOff>
          <xdr:row>14</xdr:row>
          <xdr:rowOff>0</xdr:rowOff>
        </xdr:from>
        <xdr:to>
          <xdr:col>3</xdr:col>
          <xdr:colOff>409575</xdr:colOff>
          <xdr:row>14</xdr:row>
          <xdr:rowOff>314325</xdr:rowOff>
        </xdr:to>
        <xdr:sp macro="" textlink="">
          <xdr:nvSpPr>
            <xdr:cNvPr id="4771854" name="Button 14" hidden="1">
              <a:extLst>
                <a:ext uri="{63B3BB69-23CF-44E3-9099-C40C66FF867C}">
                  <a14:compatExt spid="_x0000_s4771854"/>
                </a:ext>
                <a:ext uri="{FF2B5EF4-FFF2-40B4-BE49-F238E27FC236}">
                  <a16:creationId xmlns:a16="http://schemas.microsoft.com/office/drawing/2014/main" id="{00000000-0008-0000-1100-00000ED04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8288" rIns="73152" bIns="1828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66CC"/>
                  </a:solidFill>
                  <a:latin typeface="myicons"/>
                </a:rPr>
                <a:t>4</a:t>
              </a:r>
            </a:p>
          </xdr:txBody>
        </xdr:sp>
        <xdr:clientData fPrintsWithSheet="0"/>
      </xdr:twoCellAnchor>
    </mc:Choice>
    <mc:Fallback/>
  </mc:AlternateContent>
  <xdr:twoCellAnchor>
    <xdr:from>
      <xdr:col>20</xdr:col>
      <xdr:colOff>809625</xdr:colOff>
      <xdr:row>2</xdr:row>
      <xdr:rowOff>35719</xdr:rowOff>
    </xdr:from>
    <xdr:to>
      <xdr:col>24</xdr:col>
      <xdr:colOff>238125</xdr:colOff>
      <xdr:row>3</xdr:row>
      <xdr:rowOff>429918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100-000011000000}"/>
            </a:ext>
          </a:extLst>
        </xdr:cNvPr>
        <xdr:cNvGrpSpPr/>
      </xdr:nvGrpSpPr>
      <xdr:grpSpPr>
        <a:xfrm>
          <a:off x="14668500" y="631032"/>
          <a:ext cx="1881188" cy="501355"/>
          <a:chOff x="19188906" y="645582"/>
          <a:chExt cx="1163973" cy="499371"/>
        </a:xfrm>
      </xdr:grpSpPr>
      <xdr:sp macro="[0]!goToSeller" textlink="">
        <xdr:nvSpPr>
          <xdr:cNvPr id="18" name="Rectangle: Rounded Corners 17">
            <a:extLst>
              <a:ext uri="{FF2B5EF4-FFF2-40B4-BE49-F238E27FC236}">
                <a16:creationId xmlns:a16="http://schemas.microsoft.com/office/drawing/2014/main" id="{00000000-0008-0000-1100-000012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បញ្ជីអ្នកលក់ទំនិញ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Seller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1100-000013000000}"/>
              </a:ext>
            </a:extLst>
          </xdr:cNvPr>
          <xdr:cNvSpPr/>
        </xdr:nvSpPr>
        <xdr:spPr>
          <a:xfrm>
            <a:off x="19246454" y="776032"/>
            <a:ext cx="179510" cy="274883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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452437</xdr:colOff>
      <xdr:row>2</xdr:row>
      <xdr:rowOff>425275</xdr:rowOff>
    </xdr:from>
    <xdr:to>
      <xdr:col>13</xdr:col>
      <xdr:colOff>135711</xdr:colOff>
      <xdr:row>6</xdr:row>
      <xdr:rowOff>102217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pSpPr/>
      </xdr:nvGrpSpPr>
      <xdr:grpSpPr>
        <a:xfrm>
          <a:off x="6512718" y="851519"/>
          <a:ext cx="4207649" cy="1250948"/>
          <a:chOff x="6167462" y="295470"/>
          <a:chExt cx="1484308" cy="444016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1200-000003000000}"/>
              </a:ext>
            </a:extLst>
          </xdr:cNvPr>
          <xdr:cNvSpPr txBox="1"/>
        </xdr:nvSpPr>
        <xdr:spPr>
          <a:xfrm>
            <a:off x="6167462" y="295470"/>
            <a:ext cx="1484035" cy="320485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km-KH" sz="2400" b="0" i="0" u="none" strike="noStrike">
                <a:solidFill>
                  <a:srgbClr val="0066CC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វិក្កយបត្រទិញ</a:t>
            </a:r>
            <a:endParaRPr lang="ca-ES" sz="2400" b="0" i="0" u="none" strike="noStrike">
              <a:solidFill>
                <a:srgbClr val="0066CC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1200-000004000000}"/>
              </a:ext>
            </a:extLst>
          </xdr:cNvPr>
          <xdr:cNvSpPr txBox="1"/>
        </xdr:nvSpPr>
        <xdr:spPr>
          <a:xfrm>
            <a:off x="6184566" y="531015"/>
            <a:ext cx="1467204" cy="20847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r>
              <a:rPr lang="en-US" sz="1800" b="0" i="0" u="none" strike="noStrike" baseline="0">
                <a:solidFill>
                  <a:srgbClr val="0066CC"/>
                </a:solidFill>
                <a:effectLst/>
                <a:latin typeface="Roboto Medium" panose="02000000000000000000" pitchFamily="2" charset="0"/>
                <a:ea typeface="Roboto Medium" panose="02000000000000000000" pitchFamily="2" charset="0"/>
                <a:cs typeface="Roboto Medium" panose="02000000000000000000" pitchFamily="2" charset="0"/>
              </a:rPr>
              <a:t>PURCHASE ORDER</a:t>
            </a:r>
            <a:endParaRPr lang="ca-ES" sz="1800" b="0" i="0" u="none" strike="noStrike">
              <a:solidFill>
                <a:srgbClr val="0066CC"/>
              </a:solidFill>
              <a:effectLst/>
              <a:latin typeface="Roboto Medium" panose="02000000000000000000" pitchFamily="2" charset="0"/>
              <a:ea typeface="Roboto Medium" panose="02000000000000000000" pitchFamily="2" charset="0"/>
              <a:cs typeface="Roboto Medium" panose="02000000000000000000" pitchFamily="2" charset="0"/>
            </a:endParaRPr>
          </a:p>
        </xdr:txBody>
      </xdr:sp>
    </xdr:grpSp>
    <xdr:clientData/>
  </xdr:twoCellAnchor>
  <xdr:twoCellAnchor>
    <xdr:from>
      <xdr:col>5</xdr:col>
      <xdr:colOff>1408357</xdr:colOff>
      <xdr:row>148</xdr:row>
      <xdr:rowOff>26114</xdr:rowOff>
    </xdr:from>
    <xdr:to>
      <xdr:col>11</xdr:col>
      <xdr:colOff>116416</xdr:colOff>
      <xdr:row>154</xdr:row>
      <xdr:rowOff>303542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GrpSpPr/>
      </xdr:nvGrpSpPr>
      <xdr:grpSpPr>
        <a:xfrm>
          <a:off x="4754013" y="9289177"/>
          <a:ext cx="5720841" cy="2087178"/>
          <a:chOff x="4845801" y="22760513"/>
          <a:chExt cx="6261000" cy="2232004"/>
        </a:xfrm>
      </xdr:grpSpPr>
      <xdr:sp macro="" textlink="">
        <xdr:nvSpPr>
          <xdr:cNvPr id="7" name="TextBox 6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 txBox="1"/>
        </xdr:nvSpPr>
        <xdr:spPr>
          <a:xfrm>
            <a:off x="4845801" y="22760513"/>
            <a:ext cx="3084105" cy="2232004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2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ហត្ថលេខា ឈ្មោះ</a:t>
            </a:r>
            <a:r>
              <a:rPr lang="en-US" sz="1200" b="0" i="0" u="none" strike="noStrike" baseline="0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 </a:t>
            </a:r>
            <a:r>
              <a:rPr lang="km-KH" sz="1200" b="0" i="0" u="none" strike="noStrike" baseline="0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និង ត្រាសហគ្រាស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r>
              <a:rPr lang="en-US" sz="1100" b="0" i="0">
                <a:solidFill>
                  <a:schemeClr val="tx1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Signature, Name and Company's Stamp</a:t>
            </a:r>
            <a:br>
              <a:rPr lang="en-US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l"/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l"/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ctr"/>
            <a:r>
              <a:rPr lang="en-US" sz="1200" b="0" i="0" u="none" strike="noStrike">
                <a:solidFill>
                  <a:sysClr val="windowText" lastClr="000000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Khmer OS Muol Light" panose="02000500000000020004" pitchFamily="2" charset="0"/>
              </a:rPr>
              <a:t>_______________________________</a:t>
            </a:r>
            <a:br>
              <a:rPr lang="km-KH" sz="1200" b="0" i="0" u="none" strike="noStrike">
                <a:solidFill>
                  <a:sysClr val="windowText" lastClr="000000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8" name="TextBox 7">
            <a:extLst>
              <a:ext uri="{FF2B5EF4-FFF2-40B4-BE49-F238E27FC236}">
                <a16:creationId xmlns:a16="http://schemas.microsoft.com/office/drawing/2014/main" id="{00000000-0008-0000-1200-000008000000}"/>
              </a:ext>
            </a:extLst>
          </xdr:cNvPr>
          <xdr:cNvSpPr txBox="1"/>
        </xdr:nvSpPr>
        <xdr:spPr>
          <a:xfrm>
            <a:off x="8026067" y="22760513"/>
            <a:ext cx="3080734" cy="2209404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km-KH" sz="12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ហត្ថលេខាអ្នកផ្គត់ផ្គង់</a:t>
            </a:r>
            <a:br>
              <a:rPr lang="km-KH" sz="1100" b="0" i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</a:br>
            <a:r>
              <a:rPr lang="en-US" sz="1100" b="0" i="0">
                <a:solidFill>
                  <a:schemeClr val="tx1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Vendor's Signature (If any)</a:t>
            </a:r>
            <a:br>
              <a:rPr lang="en-US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l"/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l"/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ctr"/>
            <a:r>
              <a:rPr lang="en-US" sz="1200" b="0" i="0">
                <a:solidFill>
                  <a:schemeClr val="tx1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_______________________________</a:t>
            </a:r>
            <a:br>
              <a:rPr lang="km-KH" sz="1100" b="0" i="0" u="none" strike="noStrike">
                <a:solidFill>
                  <a:schemeClr val="tx1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723900</xdr:colOff>
          <xdr:row>0</xdr:row>
          <xdr:rowOff>66675</xdr:rowOff>
        </xdr:from>
        <xdr:to>
          <xdr:col>15</xdr:col>
          <xdr:colOff>28575</xdr:colOff>
          <xdr:row>0</xdr:row>
          <xdr:rowOff>581025</xdr:rowOff>
        </xdr:to>
        <xdr:sp macro="" textlink="">
          <xdr:nvSpPr>
            <xdr:cNvPr id="4640769" name="PurchaseBillComboBox" hidden="1">
              <a:extLst>
                <a:ext uri="{63B3BB69-23CF-44E3-9099-C40C66FF867C}">
                  <a14:compatExt spid="_x0000_s4640769"/>
                </a:ext>
                <a:ext uri="{FF2B5EF4-FFF2-40B4-BE49-F238E27FC236}">
                  <a16:creationId xmlns:a16="http://schemas.microsoft.com/office/drawing/2014/main" id="{00000000-0008-0000-1200-000001D04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11905</xdr:colOff>
      <xdr:row>0</xdr:row>
      <xdr:rowOff>95252</xdr:rowOff>
    </xdr:from>
    <xdr:to>
      <xdr:col>3</xdr:col>
      <xdr:colOff>331330</xdr:colOff>
      <xdr:row>0</xdr:row>
      <xdr:rowOff>654844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1200-000009000000}"/>
            </a:ext>
          </a:extLst>
        </xdr:cNvPr>
        <xdr:cNvGrpSpPr/>
      </xdr:nvGrpSpPr>
      <xdr:grpSpPr>
        <a:xfrm>
          <a:off x="511968" y="95252"/>
          <a:ext cx="1498143" cy="559592"/>
          <a:chOff x="19188906" y="645582"/>
          <a:chExt cx="1163973" cy="499371"/>
        </a:xfrm>
      </xdr:grpSpPr>
      <xdr:sp macro="[0]!goToHome" textlink="">
        <xdr:nvSpPr>
          <xdr:cNvPr id="10" name="Rectangle: Rounded Corners 9">
            <a:extLst>
              <a:ext uri="{FF2B5EF4-FFF2-40B4-BE49-F238E27FC236}">
                <a16:creationId xmlns:a16="http://schemas.microsoft.com/office/drawing/2014/main" id="{00000000-0008-0000-1200-00000A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 editAs="oneCell">
    <xdr:from>
      <xdr:col>3</xdr:col>
      <xdr:colOff>1381124</xdr:colOff>
      <xdr:row>7</xdr:row>
      <xdr:rowOff>83344</xdr:rowOff>
    </xdr:from>
    <xdr:to>
      <xdr:col>8</xdr:col>
      <xdr:colOff>307781</xdr:colOff>
      <xdr:row>7</xdr:row>
      <xdr:rowOff>357188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12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59905" y="2405063"/>
          <a:ext cx="4046345" cy="27384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9</xdr:col>
      <xdr:colOff>690562</xdr:colOff>
      <xdr:row>0</xdr:row>
      <xdr:rowOff>83344</xdr:rowOff>
    </xdr:from>
    <xdr:to>
      <xdr:col>10</xdr:col>
      <xdr:colOff>1297780</xdr:colOff>
      <xdr:row>0</xdr:row>
      <xdr:rowOff>634434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1200-00000D000000}"/>
            </a:ext>
          </a:extLst>
        </xdr:cNvPr>
        <xdr:cNvGrpSpPr/>
      </xdr:nvGrpSpPr>
      <xdr:grpSpPr>
        <a:xfrm>
          <a:off x="8643937" y="83344"/>
          <a:ext cx="1702593" cy="551090"/>
          <a:chOff x="19188906" y="645582"/>
          <a:chExt cx="1163973" cy="499371"/>
        </a:xfrm>
      </xdr:grpSpPr>
      <xdr:sp macro="[0]!savePdfPurchaseBillA4" textlink="">
        <xdr:nvSpPr>
          <xdr:cNvPr id="15" name="Rectangle: Rounded Corners 14">
            <a:extLst>
              <a:ext uri="{FF2B5EF4-FFF2-40B4-BE49-F238E27FC236}">
                <a16:creationId xmlns:a16="http://schemas.microsoft.com/office/drawing/2014/main" id="{00000000-0008-0000-1200-00000F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រក្សាទុកជា</a:t>
            </a:r>
            <a:r>
              <a:rPr lang="en-US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PDF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1200-000010000000}"/>
              </a:ext>
            </a:extLst>
          </xdr:cNvPr>
          <xdr:cNvSpPr/>
        </xdr:nvSpPr>
        <xdr:spPr>
          <a:xfrm>
            <a:off x="19215045" y="758897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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5</xdr:col>
      <xdr:colOff>1486488</xdr:colOff>
      <xdr:row>0</xdr:row>
      <xdr:rowOff>83344</xdr:rowOff>
    </xdr:from>
    <xdr:to>
      <xdr:col>9</xdr:col>
      <xdr:colOff>619126</xdr:colOff>
      <xdr:row>0</xdr:row>
      <xdr:rowOff>634434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GrpSpPr/>
      </xdr:nvGrpSpPr>
      <xdr:grpSpPr>
        <a:xfrm>
          <a:off x="4832144" y="83344"/>
          <a:ext cx="3740357" cy="551090"/>
          <a:chOff x="19153984" y="645582"/>
          <a:chExt cx="1198895" cy="499371"/>
        </a:xfrm>
      </xdr:grpSpPr>
      <xdr:sp macro="[0]!openPurchaseBillFolder" textlink="">
        <xdr:nvSpPr>
          <xdr:cNvPr id="12" name="Rectangle: Rounded Corners 11">
            <a:extLst>
              <a:ext uri="{FF2B5EF4-FFF2-40B4-BE49-F238E27FC236}">
                <a16:creationId xmlns:a16="http://schemas.microsoft.com/office/drawing/2014/main" id="{00000000-0008-0000-1200-00000C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បើកកន្លែងដាក់ឯកសារ </a:t>
            </a:r>
            <a:r>
              <a:rPr lang="en-US" sz="1400" baseline="0">
                <a:solidFill>
                  <a:srgbClr val="0066CC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PURCHASE BILL</a:t>
            </a:r>
            <a:endParaRPr lang="en-US" sz="1400">
              <a:solidFill>
                <a:srgbClr val="0066CC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endParaRPr>
          </a:p>
        </xdr:txBody>
      </xdr:sp>
      <xdr:sp macro="" textlink="">
        <xdr:nvSpPr>
          <xdr:cNvPr id="17" name="Rectangle 16">
            <a:extLst>
              <a:ext uri="{FF2B5EF4-FFF2-40B4-BE49-F238E27FC236}">
                <a16:creationId xmlns:a16="http://schemas.microsoft.com/office/drawing/2014/main" id="{00000000-0008-0000-1200-000011000000}"/>
              </a:ext>
            </a:extLst>
          </xdr:cNvPr>
          <xdr:cNvSpPr/>
        </xdr:nvSpPr>
        <xdr:spPr>
          <a:xfrm>
            <a:off x="19153984" y="737320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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3</xdr:col>
      <xdr:colOff>1012032</xdr:colOff>
      <xdr:row>0</xdr:row>
      <xdr:rowOff>71437</xdr:rowOff>
    </xdr:from>
    <xdr:to>
      <xdr:col>5</xdr:col>
      <xdr:colOff>1427804</xdr:colOff>
      <xdr:row>0</xdr:row>
      <xdr:rowOff>666750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1200-000012000000}"/>
            </a:ext>
          </a:extLst>
        </xdr:cNvPr>
        <xdr:cNvGrpSpPr/>
      </xdr:nvGrpSpPr>
      <xdr:grpSpPr>
        <a:xfrm>
          <a:off x="2690813" y="71437"/>
          <a:ext cx="2082647" cy="595313"/>
          <a:chOff x="19188906" y="645582"/>
          <a:chExt cx="1163973" cy="499371"/>
        </a:xfrm>
      </xdr:grpSpPr>
      <xdr:sp macro="[0]!printPreview" textlink="">
        <xdr:nvSpPr>
          <xdr:cNvPr id="19" name="Rectangle: Rounded Corners 18">
            <a:extLst>
              <a:ext uri="{FF2B5EF4-FFF2-40B4-BE49-F238E27FC236}">
                <a16:creationId xmlns:a16="http://schemas.microsoft.com/office/drawing/2014/main" id="{00000000-0008-0000-1200-00001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              </a:t>
            </a:r>
            <a:r>
              <a:rPr lang="en-US" sz="1400" baseline="0">
                <a:solidFill>
                  <a:srgbClr val="0066CC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PRINT PREVIEW</a:t>
            </a:r>
            <a:endParaRPr lang="en-US" sz="1400">
              <a:solidFill>
                <a:srgbClr val="0066CC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endParaRPr>
          </a:p>
        </xdr:txBody>
      </xdr:sp>
      <xdr:sp macro="" textlink="">
        <xdr:nvSpPr>
          <xdr:cNvPr id="20" name="Rectangle 19">
            <a:extLst>
              <a:ext uri="{FF2B5EF4-FFF2-40B4-BE49-F238E27FC236}">
                <a16:creationId xmlns:a16="http://schemas.microsoft.com/office/drawing/2014/main" id="{00000000-0008-0000-1200-000014000000}"/>
              </a:ext>
            </a:extLst>
          </xdr:cNvPr>
          <xdr:cNvSpPr/>
        </xdr:nvSpPr>
        <xdr:spPr>
          <a:xfrm>
            <a:off x="19219095" y="758897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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46</xdr:col>
      <xdr:colOff>43207</xdr:colOff>
      <xdr:row>117</xdr:row>
      <xdr:rowOff>192201</xdr:rowOff>
    </xdr:from>
    <xdr:to>
      <xdr:col>53</xdr:col>
      <xdr:colOff>44930</xdr:colOff>
      <xdr:row>121</xdr:row>
      <xdr:rowOff>59531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37914607" y="21166251"/>
          <a:ext cx="6145348" cy="1124630"/>
        </a:xfrm>
        <a:prstGeom prst="roundRect">
          <a:avLst/>
        </a:prstGeom>
        <a:noFill/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54</xdr:col>
      <xdr:colOff>190500</xdr:colOff>
      <xdr:row>110</xdr:row>
      <xdr:rowOff>10584</xdr:rowOff>
    </xdr:from>
    <xdr:to>
      <xdr:col>62</xdr:col>
      <xdr:colOff>40372</xdr:colOff>
      <xdr:row>114</xdr:row>
      <xdr:rowOff>7923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/>
      </xdr:nvSpPr>
      <xdr:spPr>
        <a:xfrm>
          <a:off x="44615100" y="19003434"/>
          <a:ext cx="3697972" cy="103556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2800">
              <a:solidFill>
                <a:srgbClr val="0070C0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Muol" panose="02000500000000020004" pitchFamily="2" charset="0"/>
            </a:rPr>
            <a:t>INVOICE</a:t>
          </a:r>
          <a:r>
            <a:rPr lang="en-US" sz="2800" baseline="0">
              <a:solidFill>
                <a:srgbClr val="0070C0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Muol" panose="02000500000000020004" pitchFamily="2" charset="0"/>
            </a:rPr>
            <a:t> COMMERCIAL</a:t>
          </a:r>
          <a:endParaRPr lang="en-US" sz="2800">
            <a:solidFill>
              <a:srgbClr val="0070C0"/>
            </a:solidFill>
            <a:latin typeface="Roboto Medium" panose="02000000000000000000" pitchFamily="2" charset="0"/>
            <a:ea typeface="Roboto Medium" panose="02000000000000000000" pitchFamily="2" charset="0"/>
            <a:cs typeface="Khmer Muol" panose="02000500000000020004" pitchFamily="2" charset="0"/>
          </a:endParaRPr>
        </a:p>
      </xdr:txBody>
    </xdr:sp>
    <xdr:clientData/>
  </xdr:twoCellAnchor>
  <xdr:twoCellAnchor>
    <xdr:from>
      <xdr:col>47</xdr:col>
      <xdr:colOff>321470</xdr:colOff>
      <xdr:row>205</xdr:row>
      <xdr:rowOff>107157</xdr:rowOff>
    </xdr:from>
    <xdr:to>
      <xdr:col>56</xdr:col>
      <xdr:colOff>107157</xdr:colOff>
      <xdr:row>208</xdr:row>
      <xdr:rowOff>0</xdr:rowOff>
    </xdr:to>
    <xdr:sp macro="" textlink="$C$22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SpPr/>
      </xdr:nvSpPr>
      <xdr:spPr>
        <a:xfrm>
          <a:off x="39240620" y="27834432"/>
          <a:ext cx="6081712" cy="835818"/>
        </a:xfrm>
        <a:prstGeom prst="round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fld id="{4A850E5B-E348-4DA8-99F7-2D35801F9CA0}" type="TxLink">
            <a:rPr lang="en-US" sz="1100" b="0" i="0" u="none" strike="noStrike">
              <a:solidFill>
                <a:srgbClr val="000000"/>
              </a:solidFill>
              <a:latin typeface="Content"/>
              <a:ea typeface="Calibri"/>
              <a:cs typeface="Content"/>
            </a:rPr>
            <a:pPr algn="l"/>
            <a:t> </a:t>
          </a:fld>
          <a:endParaRPr lang="en-US" sz="1100"/>
        </a:p>
      </xdr:txBody>
    </xdr:sp>
    <xdr:clientData/>
  </xdr:twoCellAnchor>
  <xdr:twoCellAnchor>
    <xdr:from>
      <xdr:col>46</xdr:col>
      <xdr:colOff>35847</xdr:colOff>
      <xdr:row>116</xdr:row>
      <xdr:rowOff>285749</xdr:rowOff>
    </xdr:from>
    <xdr:to>
      <xdr:col>49</xdr:col>
      <xdr:colOff>226217</xdr:colOff>
      <xdr:row>118</xdr:row>
      <xdr:rowOff>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SpPr/>
      </xdr:nvSpPr>
      <xdr:spPr>
        <a:xfrm>
          <a:off x="37907247" y="20945474"/>
          <a:ext cx="3314570" cy="342901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accent1">
              <a:lumMod val="40000"/>
              <a:lumOff val="6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m-KH" sz="1200" u="sng">
              <a:solidFill>
                <a:srgbClr val="0070C0"/>
              </a:solidFill>
              <a:latin typeface="Content" panose="02000500000000000000" pitchFamily="2" charset="0"/>
              <a:cs typeface="Content" panose="02000500000000000000" pitchFamily="2" charset="0"/>
            </a:rPr>
            <a:t>ពត៌មានអតិថិជន</a:t>
          </a:r>
          <a:endParaRPr lang="en-US" sz="1200" u="sng">
            <a:solidFill>
              <a:srgbClr val="0070C0"/>
            </a:solidFill>
            <a:latin typeface="Content" panose="02000500000000000000" pitchFamily="2" charset="0"/>
            <a:cs typeface="Content" panose="02000500000000000000" pitchFamily="2" charset="0"/>
          </a:endParaRPr>
        </a:p>
      </xdr:txBody>
    </xdr:sp>
    <xdr:clientData/>
  </xdr:twoCellAnchor>
  <xdr:twoCellAnchor>
    <xdr:from>
      <xdr:col>47</xdr:col>
      <xdr:colOff>71438</xdr:colOff>
      <xdr:row>210</xdr:row>
      <xdr:rowOff>0</xdr:rowOff>
    </xdr:from>
    <xdr:to>
      <xdr:col>51</xdr:col>
      <xdr:colOff>5794</xdr:colOff>
      <xdr:row>214</xdr:row>
      <xdr:rowOff>7142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1300-000006000000}"/>
            </a:ext>
          </a:extLst>
        </xdr:cNvPr>
        <xdr:cNvGrpSpPr/>
      </xdr:nvGrpSpPr>
      <xdr:grpSpPr>
        <a:xfrm>
          <a:off x="32694563" y="29932313"/>
          <a:ext cx="4077731" cy="1245392"/>
          <a:chOff x="168084" y="8386956"/>
          <a:chExt cx="2596062" cy="800467"/>
        </a:xfrm>
      </xdr:grpSpPr>
      <xdr:sp macro="" textlink="">
        <xdr:nvSpPr>
          <xdr:cNvPr id="7" name="TextBox 6">
            <a:extLst>
              <a:ext uri="{FF2B5EF4-FFF2-40B4-BE49-F238E27FC236}">
                <a16:creationId xmlns:a16="http://schemas.microsoft.com/office/drawing/2014/main" id="{00000000-0008-0000-1300-000007000000}"/>
              </a:ext>
            </a:extLst>
          </xdr:cNvPr>
          <xdr:cNvSpPr txBox="1"/>
        </xdr:nvSpPr>
        <xdr:spPr>
          <a:xfrm>
            <a:off x="265315" y="8386956"/>
            <a:ext cx="2411324" cy="275988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100" b="0" i="0" u="none" strike="noStrike">
                <a:solidFill>
                  <a:sysClr val="windowText" lastClr="000000"/>
                </a:solidFill>
                <a:effectLst/>
                <a:latin typeface="Content" panose="02000500000000000000" pitchFamily="2" charset="0"/>
                <a:ea typeface="+mn-ea"/>
                <a:cs typeface="Content" panose="02000500000000000000" pitchFamily="2" charset="0"/>
              </a:rPr>
              <a:t>ហត្ថលេខាអ្នកអនុម័ត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8" name="TextBox 7">
            <a:extLst>
              <a:ext uri="{FF2B5EF4-FFF2-40B4-BE49-F238E27FC236}">
                <a16:creationId xmlns:a16="http://schemas.microsoft.com/office/drawing/2014/main" id="{00000000-0008-0000-1300-000008000000}"/>
              </a:ext>
            </a:extLst>
          </xdr:cNvPr>
          <xdr:cNvSpPr txBox="1"/>
        </xdr:nvSpPr>
        <xdr:spPr>
          <a:xfrm>
            <a:off x="168084" y="9048132"/>
            <a:ext cx="2596062" cy="139291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en-US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_______________________________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</xdr:grpSp>
    <xdr:clientData/>
  </xdr:twoCellAnchor>
  <xdr:twoCellAnchor>
    <xdr:from>
      <xdr:col>54</xdr:col>
      <xdr:colOff>317500</xdr:colOff>
      <xdr:row>210</xdr:row>
      <xdr:rowOff>0</xdr:rowOff>
    </xdr:from>
    <xdr:to>
      <xdr:col>60</xdr:col>
      <xdr:colOff>569356</xdr:colOff>
      <xdr:row>214</xdr:row>
      <xdr:rowOff>7142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1300-000009000000}"/>
            </a:ext>
          </a:extLst>
        </xdr:cNvPr>
        <xdr:cNvGrpSpPr/>
      </xdr:nvGrpSpPr>
      <xdr:grpSpPr>
        <a:xfrm>
          <a:off x="38453219" y="29932313"/>
          <a:ext cx="2823606" cy="1245392"/>
          <a:chOff x="168084" y="8386956"/>
          <a:chExt cx="2596062" cy="800467"/>
        </a:xfrm>
      </xdr:grpSpPr>
      <xdr:sp macro="" textlink="">
        <xdr:nvSpPr>
          <xdr:cNvPr id="10" name="TextBox 9">
            <a:extLst>
              <a:ext uri="{FF2B5EF4-FFF2-40B4-BE49-F238E27FC236}">
                <a16:creationId xmlns:a16="http://schemas.microsoft.com/office/drawing/2014/main" id="{00000000-0008-0000-1300-00000A000000}"/>
              </a:ext>
            </a:extLst>
          </xdr:cNvPr>
          <xdr:cNvSpPr txBox="1"/>
        </xdr:nvSpPr>
        <xdr:spPr>
          <a:xfrm>
            <a:off x="265315" y="8386956"/>
            <a:ext cx="2411324" cy="275988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100" b="0" i="0" u="none" strike="noStrike">
                <a:solidFill>
                  <a:sysClr val="windowText" lastClr="000000"/>
                </a:solidFill>
                <a:effectLst/>
                <a:latin typeface="Content" panose="02000500000000000000" pitchFamily="2" charset="0"/>
                <a:ea typeface="+mn-ea"/>
                <a:cs typeface="Content" panose="02000500000000000000" pitchFamily="2" charset="0"/>
              </a:rPr>
              <a:t>ហត្ថលេខាអ្នកចេញ</a:t>
            </a:r>
            <a:r>
              <a:rPr lang="en-US" sz="1200" b="0" i="0" u="none" strike="noStrike">
                <a:solidFill>
                  <a:sysClr val="windowText" lastClr="000000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Content" panose="02000500000000000000" pitchFamily="2" charset="0"/>
              </a:rPr>
              <a:t>quote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00000000-0008-0000-1300-00000B000000}"/>
              </a:ext>
            </a:extLst>
          </xdr:cNvPr>
          <xdr:cNvSpPr txBox="1"/>
        </xdr:nvSpPr>
        <xdr:spPr>
          <a:xfrm>
            <a:off x="168084" y="9048132"/>
            <a:ext cx="2596062" cy="139291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en-US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_______________________________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</xdr:grpSp>
    <xdr:clientData/>
  </xdr:twoCellAnchor>
  <xdr:twoCellAnchor>
    <xdr:from>
      <xdr:col>64</xdr:col>
      <xdr:colOff>43207</xdr:colOff>
      <xdr:row>117</xdr:row>
      <xdr:rowOff>52917</xdr:rowOff>
    </xdr:from>
    <xdr:to>
      <xdr:col>71</xdr:col>
      <xdr:colOff>44930</xdr:colOff>
      <xdr:row>121</xdr:row>
      <xdr:rowOff>59531</xdr:rowOff>
    </xdr:to>
    <xdr:sp macro="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00000000-0008-0000-1300-00000C000000}"/>
            </a:ext>
          </a:extLst>
        </xdr:cNvPr>
        <xdr:cNvSpPr/>
      </xdr:nvSpPr>
      <xdr:spPr>
        <a:xfrm>
          <a:off x="48782632" y="21026967"/>
          <a:ext cx="3983173" cy="1263914"/>
        </a:xfrm>
        <a:prstGeom prst="roundRect">
          <a:avLst/>
        </a:prstGeom>
        <a:noFill/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74</xdr:col>
      <xdr:colOff>246253</xdr:colOff>
      <xdr:row>112</xdr:row>
      <xdr:rowOff>83844</xdr:rowOff>
    </xdr:from>
    <xdr:to>
      <xdr:col>80</xdr:col>
      <xdr:colOff>162870</xdr:colOff>
      <xdr:row>113</xdr:row>
      <xdr:rowOff>281386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1300-00000D000000}"/>
            </a:ext>
          </a:extLst>
        </xdr:cNvPr>
        <xdr:cNvSpPr/>
      </xdr:nvSpPr>
      <xdr:spPr>
        <a:xfrm>
          <a:off x="54214903" y="19486269"/>
          <a:ext cx="2897942" cy="51186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600">
              <a:solidFill>
                <a:srgbClr val="0070C0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Muol" panose="02000500000000020004" pitchFamily="2" charset="0"/>
            </a:rPr>
            <a:t>QUOTATION</a:t>
          </a:r>
        </a:p>
      </xdr:txBody>
    </xdr:sp>
    <xdr:clientData/>
  </xdr:twoCellAnchor>
  <xdr:twoCellAnchor>
    <xdr:from>
      <xdr:col>65</xdr:col>
      <xdr:colOff>321470</xdr:colOff>
      <xdr:row>204</xdr:row>
      <xdr:rowOff>338667</xdr:rowOff>
    </xdr:from>
    <xdr:to>
      <xdr:col>74</xdr:col>
      <xdr:colOff>107157</xdr:colOff>
      <xdr:row>208</xdr:row>
      <xdr:rowOff>0</xdr:rowOff>
    </xdr:to>
    <xdr:sp macro="" textlink="$C$22">
      <xdr:nvSpPr>
        <xdr:cNvPr id="14" name="Rectangle: Rounded Corners 13">
          <a:extLst>
            <a:ext uri="{FF2B5EF4-FFF2-40B4-BE49-F238E27FC236}">
              <a16:creationId xmlns:a16="http://schemas.microsoft.com/office/drawing/2014/main" id="{00000000-0008-0000-1300-00000E000000}"/>
            </a:ext>
          </a:extLst>
        </xdr:cNvPr>
        <xdr:cNvSpPr/>
      </xdr:nvSpPr>
      <xdr:spPr>
        <a:xfrm>
          <a:off x="49451420" y="27723042"/>
          <a:ext cx="4624387" cy="947208"/>
        </a:xfrm>
        <a:prstGeom prst="roundRect">
          <a:avLst/>
        </a:prstGeom>
        <a:ln>
          <a:solidFill>
            <a:schemeClr val="bg1">
              <a:lumMod val="65000"/>
            </a:schemeClr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fld id="{4A850E5B-E348-4DA8-99F7-2D35801F9CA0}" type="TxLink">
            <a:rPr lang="en-US" sz="1100" b="0" i="0" u="none" strike="noStrike">
              <a:solidFill>
                <a:srgbClr val="000000"/>
              </a:solidFill>
              <a:latin typeface="Content"/>
              <a:ea typeface="Calibri"/>
              <a:cs typeface="Content"/>
            </a:rPr>
            <a:pPr algn="l"/>
            <a:t> </a:t>
          </a:fld>
          <a:endParaRPr lang="en-US" sz="1100"/>
        </a:p>
      </xdr:txBody>
    </xdr:sp>
    <xdr:clientData/>
  </xdr:twoCellAnchor>
  <xdr:twoCellAnchor>
    <xdr:from>
      <xdr:col>64</xdr:col>
      <xdr:colOff>46430</xdr:colOff>
      <xdr:row>116</xdr:row>
      <xdr:rowOff>211666</xdr:rowOff>
    </xdr:from>
    <xdr:to>
      <xdr:col>67</xdr:col>
      <xdr:colOff>392905</xdr:colOff>
      <xdr:row>117</xdr:row>
      <xdr:rowOff>243417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1300-00000F000000}"/>
            </a:ext>
          </a:extLst>
        </xdr:cNvPr>
        <xdr:cNvSpPr/>
      </xdr:nvSpPr>
      <xdr:spPr>
        <a:xfrm>
          <a:off x="48785855" y="20871391"/>
          <a:ext cx="1308500" cy="346076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accent1">
              <a:lumMod val="40000"/>
              <a:lumOff val="6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m-KH" sz="1200" u="sng">
              <a:solidFill>
                <a:srgbClr val="0070C0"/>
              </a:solidFill>
              <a:latin typeface="Content" panose="02000500000000000000" pitchFamily="2" charset="0"/>
              <a:cs typeface="Content" panose="02000500000000000000" pitchFamily="2" charset="0"/>
            </a:rPr>
            <a:t>ពត៌មានអតិថិជន</a:t>
          </a:r>
          <a:endParaRPr lang="en-US" sz="1200" u="sng">
            <a:solidFill>
              <a:srgbClr val="0070C0"/>
            </a:solidFill>
            <a:latin typeface="Content" panose="02000500000000000000" pitchFamily="2" charset="0"/>
            <a:cs typeface="Content" panose="02000500000000000000" pitchFamily="2" charset="0"/>
          </a:endParaRPr>
        </a:p>
      </xdr:txBody>
    </xdr:sp>
    <xdr:clientData/>
  </xdr:twoCellAnchor>
  <xdr:twoCellAnchor>
    <xdr:from>
      <xdr:col>65</xdr:col>
      <xdr:colOff>71438</xdr:colOff>
      <xdr:row>210</xdr:row>
      <xdr:rowOff>0</xdr:rowOff>
    </xdr:from>
    <xdr:to>
      <xdr:col>69</xdr:col>
      <xdr:colOff>5794</xdr:colOff>
      <xdr:row>214</xdr:row>
      <xdr:rowOff>7142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1300-000010000000}"/>
            </a:ext>
          </a:extLst>
        </xdr:cNvPr>
        <xdr:cNvGrpSpPr/>
      </xdr:nvGrpSpPr>
      <xdr:grpSpPr>
        <a:xfrm>
          <a:off x="42898219" y="29932313"/>
          <a:ext cx="2565638" cy="1245392"/>
          <a:chOff x="168084" y="8386956"/>
          <a:chExt cx="2596062" cy="800467"/>
        </a:xfrm>
      </xdr:grpSpPr>
      <xdr:sp macro="" textlink="">
        <xdr:nvSpPr>
          <xdr:cNvPr id="17" name="TextBox 16">
            <a:extLst>
              <a:ext uri="{FF2B5EF4-FFF2-40B4-BE49-F238E27FC236}">
                <a16:creationId xmlns:a16="http://schemas.microsoft.com/office/drawing/2014/main" id="{00000000-0008-0000-1300-000011000000}"/>
              </a:ext>
            </a:extLst>
          </xdr:cNvPr>
          <xdr:cNvSpPr txBox="1"/>
        </xdr:nvSpPr>
        <xdr:spPr>
          <a:xfrm>
            <a:off x="265315" y="8386956"/>
            <a:ext cx="2411324" cy="275988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100" b="0" i="0" u="none" strike="noStrike">
                <a:solidFill>
                  <a:sysClr val="windowText" lastClr="000000"/>
                </a:solidFill>
                <a:effectLst/>
                <a:latin typeface="Content" panose="02000500000000000000" pitchFamily="2" charset="0"/>
                <a:ea typeface="+mn-ea"/>
                <a:cs typeface="Content" panose="02000500000000000000" pitchFamily="2" charset="0"/>
              </a:rPr>
              <a:t>ហត្ថលេខាអ្នកអនុម័ត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18" name="TextBox 17">
            <a:extLst>
              <a:ext uri="{FF2B5EF4-FFF2-40B4-BE49-F238E27FC236}">
                <a16:creationId xmlns:a16="http://schemas.microsoft.com/office/drawing/2014/main" id="{00000000-0008-0000-1300-000012000000}"/>
              </a:ext>
            </a:extLst>
          </xdr:cNvPr>
          <xdr:cNvSpPr txBox="1"/>
        </xdr:nvSpPr>
        <xdr:spPr>
          <a:xfrm>
            <a:off x="168084" y="9048132"/>
            <a:ext cx="2596062" cy="139291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en-US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_______________________________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</xdr:grpSp>
    <xdr:clientData/>
  </xdr:twoCellAnchor>
  <xdr:twoCellAnchor>
    <xdr:from>
      <xdr:col>72</xdr:col>
      <xdr:colOff>317500</xdr:colOff>
      <xdr:row>210</xdr:row>
      <xdr:rowOff>0</xdr:rowOff>
    </xdr:from>
    <xdr:to>
      <xdr:col>78</xdr:col>
      <xdr:colOff>569356</xdr:colOff>
      <xdr:row>214</xdr:row>
      <xdr:rowOff>7142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1300-000013000000}"/>
            </a:ext>
          </a:extLst>
        </xdr:cNvPr>
        <xdr:cNvGrpSpPr/>
      </xdr:nvGrpSpPr>
      <xdr:grpSpPr>
        <a:xfrm>
          <a:off x="47192406" y="29932313"/>
          <a:ext cx="2835513" cy="1245392"/>
          <a:chOff x="168084" y="8386956"/>
          <a:chExt cx="2596062" cy="800467"/>
        </a:xfrm>
      </xdr:grpSpPr>
      <xdr:sp macro="" textlink="">
        <xdr:nvSpPr>
          <xdr:cNvPr id="20" name="TextBox 19">
            <a:extLst>
              <a:ext uri="{FF2B5EF4-FFF2-40B4-BE49-F238E27FC236}">
                <a16:creationId xmlns:a16="http://schemas.microsoft.com/office/drawing/2014/main" id="{00000000-0008-0000-1300-000014000000}"/>
              </a:ext>
            </a:extLst>
          </xdr:cNvPr>
          <xdr:cNvSpPr txBox="1"/>
        </xdr:nvSpPr>
        <xdr:spPr>
          <a:xfrm>
            <a:off x="265315" y="8386956"/>
            <a:ext cx="2411324" cy="275988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100" b="0" i="0" u="none" strike="noStrike">
                <a:solidFill>
                  <a:sysClr val="windowText" lastClr="000000"/>
                </a:solidFill>
                <a:effectLst/>
                <a:latin typeface="Content" panose="02000500000000000000" pitchFamily="2" charset="0"/>
                <a:ea typeface="+mn-ea"/>
                <a:cs typeface="Content" panose="02000500000000000000" pitchFamily="2" charset="0"/>
              </a:rPr>
              <a:t>ហត្ថលេខាអ្នកចេញ</a:t>
            </a:r>
            <a:r>
              <a:rPr lang="en-US" sz="1200" b="0" i="0" u="none" strike="noStrike">
                <a:solidFill>
                  <a:sysClr val="windowText" lastClr="000000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Content" panose="02000500000000000000" pitchFamily="2" charset="0"/>
              </a:rPr>
              <a:t>quote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21" name="TextBox 20">
            <a:extLst>
              <a:ext uri="{FF2B5EF4-FFF2-40B4-BE49-F238E27FC236}">
                <a16:creationId xmlns:a16="http://schemas.microsoft.com/office/drawing/2014/main" id="{00000000-0008-0000-1300-000015000000}"/>
              </a:ext>
            </a:extLst>
          </xdr:cNvPr>
          <xdr:cNvSpPr txBox="1"/>
        </xdr:nvSpPr>
        <xdr:spPr>
          <a:xfrm>
            <a:off x="168084" y="9048132"/>
            <a:ext cx="2596062" cy="139291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en-US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_______________________________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</xdr:grpSp>
    <xdr:clientData/>
  </xdr:twoCellAnchor>
  <xdr:twoCellAnchor>
    <xdr:from>
      <xdr:col>2</xdr:col>
      <xdr:colOff>1235869</xdr:colOff>
      <xdr:row>1</xdr:row>
      <xdr:rowOff>102393</xdr:rowOff>
    </xdr:from>
    <xdr:to>
      <xdr:col>4</xdr:col>
      <xdr:colOff>957263</xdr:colOff>
      <xdr:row>3</xdr:row>
      <xdr:rowOff>402575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1300-000018000000}"/>
            </a:ext>
          </a:extLst>
        </xdr:cNvPr>
        <xdr:cNvGrpSpPr/>
      </xdr:nvGrpSpPr>
      <xdr:grpSpPr>
        <a:xfrm>
          <a:off x="1604963" y="209549"/>
          <a:ext cx="2436019" cy="895495"/>
          <a:chOff x="1581015" y="91072"/>
          <a:chExt cx="2784362" cy="871361"/>
        </a:xfrm>
      </xdr:grpSpPr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1300-000019000000}"/>
              </a:ext>
            </a:extLst>
          </xdr:cNvPr>
          <xdr:cNvSpPr/>
        </xdr:nvSpPr>
        <xdr:spPr>
          <a:xfrm>
            <a:off x="1581015" y="588334"/>
            <a:ext cx="2784362" cy="37409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 baseline="0">
                <a:solidFill>
                  <a:srgbClr val="0066CC"/>
                </a:solidFill>
                <a:latin typeface="Roboto Medium" panose="02000000000000000000" pitchFamily="2" charset="0"/>
                <a:ea typeface="Roboto Medium" panose="02000000000000000000" pitchFamily="2" charset="0"/>
                <a:cs typeface="Khmer Muol" panose="02000500000000020004" pitchFamily="2" charset="0"/>
              </a:rPr>
              <a:t>PURCHASE ORDER</a:t>
            </a:r>
            <a:endParaRPr lang="en-US" sz="20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Muol" panose="02000500000000020004" pitchFamily="2" charset="0"/>
            </a:endParaRPr>
          </a:p>
        </xdr:txBody>
      </xdr:sp>
      <xdr:sp macro="" textlink="">
        <xdr:nvSpPr>
          <xdr:cNvPr id="26" name="Rectangle 25">
            <a:extLst>
              <a:ext uri="{FF2B5EF4-FFF2-40B4-BE49-F238E27FC236}">
                <a16:creationId xmlns:a16="http://schemas.microsoft.com/office/drawing/2014/main" id="{00000000-0008-0000-1300-00001A000000}"/>
              </a:ext>
            </a:extLst>
          </xdr:cNvPr>
          <xdr:cNvSpPr/>
        </xdr:nvSpPr>
        <xdr:spPr>
          <a:xfrm>
            <a:off x="1608972" y="91072"/>
            <a:ext cx="2663198" cy="5429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m-KH" sz="2000">
                <a:solidFill>
                  <a:srgbClr val="0066CC"/>
                </a:solidFill>
                <a:latin typeface="Roboto Medium" panose="02000000000000000000" pitchFamily="2" charset="0"/>
                <a:ea typeface="Roboto Medium" panose="02000000000000000000" pitchFamily="2" charset="0"/>
                <a:cs typeface="Khmer Muol" panose="02000500000000020004" pitchFamily="2" charset="0"/>
              </a:rPr>
              <a:t>វិក្កយប័ត្រទិញ</a:t>
            </a:r>
            <a:endParaRPr lang="en-US" sz="20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Muol" panose="02000500000000020004" pitchFamily="2" charset="0"/>
            </a:endParaRPr>
          </a:p>
        </xdr:txBody>
      </xdr:sp>
    </xdr:grpSp>
    <xdr:clientData/>
  </xdr:twoCellAnchor>
  <xdr:twoCellAnchor>
    <xdr:from>
      <xdr:col>54</xdr:col>
      <xdr:colOff>1060</xdr:colOff>
      <xdr:row>114</xdr:row>
      <xdr:rowOff>148167</xdr:rowOff>
    </xdr:from>
    <xdr:to>
      <xdr:col>58</xdr:col>
      <xdr:colOff>740833</xdr:colOff>
      <xdr:row>117</xdr:row>
      <xdr:rowOff>232832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1300-00001B000000}"/>
            </a:ext>
          </a:extLst>
        </xdr:cNvPr>
        <xdr:cNvGrpSpPr/>
      </xdr:nvGrpSpPr>
      <xdr:grpSpPr>
        <a:xfrm>
          <a:off x="38136779" y="20948386"/>
          <a:ext cx="2347117" cy="1013352"/>
          <a:chOff x="26562844" y="10606560"/>
          <a:chExt cx="2873509" cy="1147289"/>
        </a:xfrm>
      </xdr:grpSpPr>
      <xdr:sp macro="" textlink="">
        <xdr:nvSpPr>
          <xdr:cNvPr id="28" name="Rectangle: Rounded Corners 27">
            <a:extLst>
              <a:ext uri="{FF2B5EF4-FFF2-40B4-BE49-F238E27FC236}">
                <a16:creationId xmlns:a16="http://schemas.microsoft.com/office/drawing/2014/main" id="{00000000-0008-0000-1300-00001C000000}"/>
              </a:ext>
            </a:extLst>
          </xdr:cNvPr>
          <xdr:cNvSpPr/>
        </xdr:nvSpPr>
        <xdr:spPr>
          <a:xfrm>
            <a:off x="26574749" y="10724470"/>
            <a:ext cx="2861604" cy="1029379"/>
          </a:xfrm>
          <a:prstGeom prst="roundRect">
            <a:avLst/>
          </a:prstGeom>
          <a:noFill/>
          <a:ln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1300-00001D000000}"/>
              </a:ext>
            </a:extLst>
          </xdr:cNvPr>
          <xdr:cNvSpPr/>
        </xdr:nvSpPr>
        <xdr:spPr>
          <a:xfrm>
            <a:off x="26562844" y="10606560"/>
            <a:ext cx="1285875" cy="374625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solidFill>
              <a:schemeClr val="accent1">
                <a:lumMod val="40000"/>
                <a:lumOff val="6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m-KH" sz="1200" u="sng">
                <a:solidFill>
                  <a:srgbClr val="0070C0"/>
                </a:solidFill>
                <a:latin typeface="Content" panose="02000500000000000000" pitchFamily="2" charset="0"/>
                <a:cs typeface="Content" panose="02000500000000000000" pitchFamily="2" charset="0"/>
              </a:rPr>
              <a:t>ប្រភេទសេវាកម្ម</a:t>
            </a:r>
            <a:endParaRPr lang="en-US" sz="1200" u="sng">
              <a:solidFill>
                <a:srgbClr val="0070C0"/>
              </a:solidFill>
              <a:latin typeface="Content" panose="02000500000000000000" pitchFamily="2" charset="0"/>
              <a:cs typeface="Content" panose="02000500000000000000" pitchFamily="2" charset="0"/>
            </a:endParaRPr>
          </a:p>
        </xdr:txBody>
      </xdr:sp>
    </xdr:grpSp>
    <xdr:clientData/>
  </xdr:twoCellAnchor>
  <xdr:twoCellAnchor>
    <xdr:from>
      <xdr:col>71</xdr:col>
      <xdr:colOff>384973</xdr:colOff>
      <xdr:row>114</xdr:row>
      <xdr:rowOff>288399</xdr:rowOff>
    </xdr:from>
    <xdr:to>
      <xdr:col>76</xdr:col>
      <xdr:colOff>698502</xdr:colOff>
      <xdr:row>118</xdr:row>
      <xdr:rowOff>55565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1300-00001E000000}"/>
            </a:ext>
          </a:extLst>
        </xdr:cNvPr>
        <xdr:cNvGrpSpPr/>
      </xdr:nvGrpSpPr>
      <xdr:grpSpPr>
        <a:xfrm>
          <a:off x="46807442" y="21088618"/>
          <a:ext cx="2385216" cy="1005416"/>
          <a:chOff x="26562844" y="10606560"/>
          <a:chExt cx="2873509" cy="1147289"/>
        </a:xfrm>
      </xdr:grpSpPr>
      <xdr:sp macro="" textlink="">
        <xdr:nvSpPr>
          <xdr:cNvPr id="31" name="Rectangle: Rounded Corners 30">
            <a:extLst>
              <a:ext uri="{FF2B5EF4-FFF2-40B4-BE49-F238E27FC236}">
                <a16:creationId xmlns:a16="http://schemas.microsoft.com/office/drawing/2014/main" id="{00000000-0008-0000-1300-00001F000000}"/>
              </a:ext>
            </a:extLst>
          </xdr:cNvPr>
          <xdr:cNvSpPr/>
        </xdr:nvSpPr>
        <xdr:spPr>
          <a:xfrm>
            <a:off x="26574749" y="10724470"/>
            <a:ext cx="2861604" cy="1029379"/>
          </a:xfrm>
          <a:prstGeom prst="roundRect">
            <a:avLst/>
          </a:prstGeom>
          <a:noFill/>
          <a:ln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1300-000020000000}"/>
              </a:ext>
            </a:extLst>
          </xdr:cNvPr>
          <xdr:cNvSpPr/>
        </xdr:nvSpPr>
        <xdr:spPr>
          <a:xfrm>
            <a:off x="26562844" y="10606560"/>
            <a:ext cx="1285875" cy="374625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solidFill>
              <a:schemeClr val="accent1">
                <a:lumMod val="40000"/>
                <a:lumOff val="6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m-KH" sz="1200" u="sng">
                <a:solidFill>
                  <a:srgbClr val="0070C0"/>
                </a:solidFill>
                <a:latin typeface="Content" panose="02000500000000000000" pitchFamily="2" charset="0"/>
                <a:cs typeface="Content" panose="02000500000000000000" pitchFamily="2" charset="0"/>
              </a:rPr>
              <a:t>ប្រភេទសេវាកម្ម</a:t>
            </a:r>
            <a:endParaRPr lang="en-US" sz="1200" u="sng">
              <a:solidFill>
                <a:srgbClr val="0070C0"/>
              </a:solidFill>
              <a:latin typeface="Content" panose="02000500000000000000" pitchFamily="2" charset="0"/>
              <a:cs typeface="Content" panose="02000500000000000000" pitchFamily="2" charset="0"/>
            </a:endParaRPr>
          </a:p>
        </xdr:txBody>
      </xdr:sp>
    </xdr:grpSp>
    <xdr:clientData/>
  </xdr:twoCellAnchor>
  <xdr:twoCellAnchor editAs="oneCell">
    <xdr:from>
      <xdr:col>78</xdr:col>
      <xdr:colOff>103343</xdr:colOff>
      <xdr:row>115</xdr:row>
      <xdr:rowOff>105721</xdr:rowOff>
    </xdr:from>
    <xdr:to>
      <xdr:col>78</xdr:col>
      <xdr:colOff>982511</xdr:colOff>
      <xdr:row>118</xdr:row>
      <xdr:rowOff>56202</xdr:rowOff>
    </xdr:to>
    <xdr:grpSp>
      <xdr:nvGrpSpPr>
        <xdr:cNvPr id="33" name="$BK$117" descr="QuickResponse barcode, level M, version 3, mode binary, 29x29 cells" title=":,អតិថិជនទូទៅ,0">
          <a:extLst>
            <a:ext uri="{FF2B5EF4-FFF2-40B4-BE49-F238E27FC236}">
              <a16:creationId xmlns:a16="http://schemas.microsoft.com/office/drawing/2014/main" id="{00000000-0008-0000-1300-000021000000}"/>
            </a:ext>
          </a:extLst>
        </xdr:cNvPr>
        <xdr:cNvGrpSpPr>
          <a:grpSpLocks noChangeAspect="1"/>
        </xdr:cNvGrpSpPr>
      </xdr:nvGrpSpPr>
      <xdr:grpSpPr>
        <a:xfrm>
          <a:off x="49561906" y="21215502"/>
          <a:ext cx="879168" cy="879169"/>
          <a:chOff x="0" y="0"/>
          <a:chExt cx="368300" cy="368300"/>
        </a:xfrm>
        <a:solidFill>
          <a:srgbClr val="000000"/>
        </a:solidFill>
      </xdr:grpSpPr>
      <xdr:sp macro="" textlink="">
        <xdr:nvSpPr>
          <xdr:cNvPr id="34" name="$BK$117">
            <a:extLst>
              <a:ext uri="{FF2B5EF4-FFF2-40B4-BE49-F238E27FC236}">
                <a16:creationId xmlns:a16="http://schemas.microsoft.com/office/drawing/2014/main" id="{00000000-0008-0000-1300-000022000000}"/>
              </a:ext>
            </a:extLst>
          </xdr:cNvPr>
          <xdr:cNvSpPr/>
        </xdr:nvSpPr>
        <xdr:spPr>
          <a:xfrm>
            <a:off x="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5" name="$BK$117">
            <a:extLst>
              <a:ext uri="{FF2B5EF4-FFF2-40B4-BE49-F238E27FC236}">
                <a16:creationId xmlns:a16="http://schemas.microsoft.com/office/drawing/2014/main" id="{00000000-0008-0000-1300-000023000000}"/>
              </a:ext>
            </a:extLst>
          </xdr:cNvPr>
          <xdr:cNvSpPr/>
        </xdr:nvSpPr>
        <xdr:spPr>
          <a:xfrm>
            <a:off x="127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" name="$BK$117">
            <a:extLst>
              <a:ext uri="{FF2B5EF4-FFF2-40B4-BE49-F238E27FC236}">
                <a16:creationId xmlns:a16="http://schemas.microsoft.com/office/drawing/2014/main" id="{00000000-0008-0000-1300-000024000000}"/>
              </a:ext>
            </a:extLst>
          </xdr:cNvPr>
          <xdr:cNvSpPr/>
        </xdr:nvSpPr>
        <xdr:spPr>
          <a:xfrm>
            <a:off x="25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" name="$BK$117">
            <a:extLst>
              <a:ext uri="{FF2B5EF4-FFF2-40B4-BE49-F238E27FC236}">
                <a16:creationId xmlns:a16="http://schemas.microsoft.com/office/drawing/2014/main" id="{00000000-0008-0000-1300-000025000000}"/>
              </a:ext>
            </a:extLst>
          </xdr:cNvPr>
          <xdr:cNvSpPr/>
        </xdr:nvSpPr>
        <xdr:spPr>
          <a:xfrm>
            <a:off x="381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" name="$BK$117">
            <a:extLst>
              <a:ext uri="{FF2B5EF4-FFF2-40B4-BE49-F238E27FC236}">
                <a16:creationId xmlns:a16="http://schemas.microsoft.com/office/drawing/2014/main" id="{00000000-0008-0000-1300-000026000000}"/>
              </a:ext>
            </a:extLst>
          </xdr:cNvPr>
          <xdr:cNvSpPr/>
        </xdr:nvSpPr>
        <xdr:spPr>
          <a:xfrm>
            <a:off x="508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" name="$BK$117">
            <a:extLst>
              <a:ext uri="{FF2B5EF4-FFF2-40B4-BE49-F238E27FC236}">
                <a16:creationId xmlns:a16="http://schemas.microsoft.com/office/drawing/2014/main" id="{00000000-0008-0000-1300-000027000000}"/>
              </a:ext>
            </a:extLst>
          </xdr:cNvPr>
          <xdr:cNvSpPr/>
        </xdr:nvSpPr>
        <xdr:spPr>
          <a:xfrm>
            <a:off x="635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" name="$BK$117">
            <a:extLst>
              <a:ext uri="{FF2B5EF4-FFF2-40B4-BE49-F238E27FC236}">
                <a16:creationId xmlns:a16="http://schemas.microsoft.com/office/drawing/2014/main" id="{00000000-0008-0000-1300-000028000000}"/>
              </a:ext>
            </a:extLst>
          </xdr:cNvPr>
          <xdr:cNvSpPr/>
        </xdr:nvSpPr>
        <xdr:spPr>
          <a:xfrm>
            <a:off x="762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" name="$BK$117">
            <a:extLst>
              <a:ext uri="{FF2B5EF4-FFF2-40B4-BE49-F238E27FC236}">
                <a16:creationId xmlns:a16="http://schemas.microsoft.com/office/drawing/2014/main" id="{00000000-0008-0000-1300-000029000000}"/>
              </a:ext>
            </a:extLst>
          </xdr:cNvPr>
          <xdr:cNvSpPr/>
        </xdr:nvSpPr>
        <xdr:spPr>
          <a:xfrm>
            <a:off x="1143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" name="$BK$117">
            <a:extLst>
              <a:ext uri="{FF2B5EF4-FFF2-40B4-BE49-F238E27FC236}">
                <a16:creationId xmlns:a16="http://schemas.microsoft.com/office/drawing/2014/main" id="{00000000-0008-0000-1300-00002A000000}"/>
              </a:ext>
            </a:extLst>
          </xdr:cNvPr>
          <xdr:cNvSpPr/>
        </xdr:nvSpPr>
        <xdr:spPr>
          <a:xfrm>
            <a:off x="1270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" name="$BK$117">
            <a:extLst>
              <a:ext uri="{FF2B5EF4-FFF2-40B4-BE49-F238E27FC236}">
                <a16:creationId xmlns:a16="http://schemas.microsoft.com/office/drawing/2014/main" id="{00000000-0008-0000-1300-00002B000000}"/>
              </a:ext>
            </a:extLst>
          </xdr:cNvPr>
          <xdr:cNvSpPr/>
        </xdr:nvSpPr>
        <xdr:spPr>
          <a:xfrm>
            <a:off x="1397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" name="$BK$117">
            <a:extLst>
              <a:ext uri="{FF2B5EF4-FFF2-40B4-BE49-F238E27FC236}">
                <a16:creationId xmlns:a16="http://schemas.microsoft.com/office/drawing/2014/main" id="{00000000-0008-0000-1300-00002C000000}"/>
              </a:ext>
            </a:extLst>
          </xdr:cNvPr>
          <xdr:cNvSpPr/>
        </xdr:nvSpPr>
        <xdr:spPr>
          <a:xfrm>
            <a:off x="152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" name="$BK$117">
            <a:extLst>
              <a:ext uri="{FF2B5EF4-FFF2-40B4-BE49-F238E27FC236}">
                <a16:creationId xmlns:a16="http://schemas.microsoft.com/office/drawing/2014/main" id="{00000000-0008-0000-1300-00002D000000}"/>
              </a:ext>
            </a:extLst>
          </xdr:cNvPr>
          <xdr:cNvSpPr/>
        </xdr:nvSpPr>
        <xdr:spPr>
          <a:xfrm>
            <a:off x="1905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6" name="$BK$117">
            <a:extLst>
              <a:ext uri="{FF2B5EF4-FFF2-40B4-BE49-F238E27FC236}">
                <a16:creationId xmlns:a16="http://schemas.microsoft.com/office/drawing/2014/main" id="{00000000-0008-0000-1300-00002E000000}"/>
              </a:ext>
            </a:extLst>
          </xdr:cNvPr>
          <xdr:cNvSpPr/>
        </xdr:nvSpPr>
        <xdr:spPr>
          <a:xfrm>
            <a:off x="2032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7" name="$BK$117">
            <a:extLst>
              <a:ext uri="{FF2B5EF4-FFF2-40B4-BE49-F238E27FC236}">
                <a16:creationId xmlns:a16="http://schemas.microsoft.com/office/drawing/2014/main" id="{00000000-0008-0000-1300-00002F000000}"/>
              </a:ext>
            </a:extLst>
          </xdr:cNvPr>
          <xdr:cNvSpPr/>
        </xdr:nvSpPr>
        <xdr:spPr>
          <a:xfrm>
            <a:off x="2540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8" name="$BK$117">
            <a:extLst>
              <a:ext uri="{FF2B5EF4-FFF2-40B4-BE49-F238E27FC236}">
                <a16:creationId xmlns:a16="http://schemas.microsoft.com/office/drawing/2014/main" id="{00000000-0008-0000-1300-000030000000}"/>
              </a:ext>
            </a:extLst>
          </xdr:cNvPr>
          <xdr:cNvSpPr/>
        </xdr:nvSpPr>
        <xdr:spPr>
          <a:xfrm>
            <a:off x="279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9" name="$BK$117">
            <a:extLst>
              <a:ext uri="{FF2B5EF4-FFF2-40B4-BE49-F238E27FC236}">
                <a16:creationId xmlns:a16="http://schemas.microsoft.com/office/drawing/2014/main" id="{00000000-0008-0000-1300-000031000000}"/>
              </a:ext>
            </a:extLst>
          </xdr:cNvPr>
          <xdr:cNvSpPr/>
        </xdr:nvSpPr>
        <xdr:spPr>
          <a:xfrm>
            <a:off x="2921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0" name="$BK$117">
            <a:extLst>
              <a:ext uri="{FF2B5EF4-FFF2-40B4-BE49-F238E27FC236}">
                <a16:creationId xmlns:a16="http://schemas.microsoft.com/office/drawing/2014/main" id="{00000000-0008-0000-1300-000032000000}"/>
              </a:ext>
            </a:extLst>
          </xdr:cNvPr>
          <xdr:cNvSpPr/>
        </xdr:nvSpPr>
        <xdr:spPr>
          <a:xfrm>
            <a:off x="3048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1" name="$BK$117">
            <a:extLst>
              <a:ext uri="{FF2B5EF4-FFF2-40B4-BE49-F238E27FC236}">
                <a16:creationId xmlns:a16="http://schemas.microsoft.com/office/drawing/2014/main" id="{00000000-0008-0000-1300-000033000000}"/>
              </a:ext>
            </a:extLst>
          </xdr:cNvPr>
          <xdr:cNvSpPr/>
        </xdr:nvSpPr>
        <xdr:spPr>
          <a:xfrm>
            <a:off x="3175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2" name="$BK$117">
            <a:extLst>
              <a:ext uri="{FF2B5EF4-FFF2-40B4-BE49-F238E27FC236}">
                <a16:creationId xmlns:a16="http://schemas.microsoft.com/office/drawing/2014/main" id="{00000000-0008-0000-1300-000034000000}"/>
              </a:ext>
            </a:extLst>
          </xdr:cNvPr>
          <xdr:cNvSpPr/>
        </xdr:nvSpPr>
        <xdr:spPr>
          <a:xfrm>
            <a:off x="3302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3" name="$BK$117">
            <a:extLst>
              <a:ext uri="{FF2B5EF4-FFF2-40B4-BE49-F238E27FC236}">
                <a16:creationId xmlns:a16="http://schemas.microsoft.com/office/drawing/2014/main" id="{00000000-0008-0000-1300-000035000000}"/>
              </a:ext>
            </a:extLst>
          </xdr:cNvPr>
          <xdr:cNvSpPr/>
        </xdr:nvSpPr>
        <xdr:spPr>
          <a:xfrm>
            <a:off x="3429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4" name="$BK$117">
            <a:extLst>
              <a:ext uri="{FF2B5EF4-FFF2-40B4-BE49-F238E27FC236}">
                <a16:creationId xmlns:a16="http://schemas.microsoft.com/office/drawing/2014/main" id="{00000000-0008-0000-1300-000036000000}"/>
              </a:ext>
            </a:extLst>
          </xdr:cNvPr>
          <xdr:cNvSpPr/>
        </xdr:nvSpPr>
        <xdr:spPr>
          <a:xfrm>
            <a:off x="3556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5" name="$BK$117">
            <a:extLst>
              <a:ext uri="{FF2B5EF4-FFF2-40B4-BE49-F238E27FC236}">
                <a16:creationId xmlns:a16="http://schemas.microsoft.com/office/drawing/2014/main" id="{00000000-0008-0000-1300-000037000000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6" name="$BK$117">
            <a:extLst>
              <a:ext uri="{FF2B5EF4-FFF2-40B4-BE49-F238E27FC236}">
                <a16:creationId xmlns:a16="http://schemas.microsoft.com/office/drawing/2014/main" id="{00000000-0008-0000-1300-000038000000}"/>
              </a:ext>
            </a:extLst>
          </xdr:cNvPr>
          <xdr:cNvSpPr/>
        </xdr:nvSpPr>
        <xdr:spPr>
          <a:xfrm>
            <a:off x="762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7" name="$BK$117">
            <a:extLst>
              <a:ext uri="{FF2B5EF4-FFF2-40B4-BE49-F238E27FC236}">
                <a16:creationId xmlns:a16="http://schemas.microsoft.com/office/drawing/2014/main" id="{00000000-0008-0000-1300-000039000000}"/>
              </a:ext>
            </a:extLst>
          </xdr:cNvPr>
          <xdr:cNvSpPr/>
        </xdr:nvSpPr>
        <xdr:spPr>
          <a:xfrm>
            <a:off x="1143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8" name="$BK$117">
            <a:extLst>
              <a:ext uri="{FF2B5EF4-FFF2-40B4-BE49-F238E27FC236}">
                <a16:creationId xmlns:a16="http://schemas.microsoft.com/office/drawing/2014/main" id="{00000000-0008-0000-1300-00003A000000}"/>
              </a:ext>
            </a:extLst>
          </xdr:cNvPr>
          <xdr:cNvSpPr/>
        </xdr:nvSpPr>
        <xdr:spPr>
          <a:xfrm>
            <a:off x="1524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9" name="$BK$117">
            <a:extLst>
              <a:ext uri="{FF2B5EF4-FFF2-40B4-BE49-F238E27FC236}">
                <a16:creationId xmlns:a16="http://schemas.microsoft.com/office/drawing/2014/main" id="{00000000-0008-0000-1300-00003B000000}"/>
              </a:ext>
            </a:extLst>
          </xdr:cNvPr>
          <xdr:cNvSpPr/>
        </xdr:nvSpPr>
        <xdr:spPr>
          <a:xfrm>
            <a:off x="1905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$BK$117">
            <a:extLst>
              <a:ext uri="{FF2B5EF4-FFF2-40B4-BE49-F238E27FC236}">
                <a16:creationId xmlns:a16="http://schemas.microsoft.com/office/drawing/2014/main" id="{00000000-0008-0000-1300-00003C000000}"/>
              </a:ext>
            </a:extLst>
          </xdr:cNvPr>
          <xdr:cNvSpPr/>
        </xdr:nvSpPr>
        <xdr:spPr>
          <a:xfrm>
            <a:off x="2032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1" name="$BK$117">
            <a:extLst>
              <a:ext uri="{FF2B5EF4-FFF2-40B4-BE49-F238E27FC236}">
                <a16:creationId xmlns:a16="http://schemas.microsoft.com/office/drawing/2014/main" id="{00000000-0008-0000-1300-00003D000000}"/>
              </a:ext>
            </a:extLst>
          </xdr:cNvPr>
          <xdr:cNvSpPr/>
        </xdr:nvSpPr>
        <xdr:spPr>
          <a:xfrm>
            <a:off x="2413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2" name="$BK$117">
            <a:extLst>
              <a:ext uri="{FF2B5EF4-FFF2-40B4-BE49-F238E27FC236}">
                <a16:creationId xmlns:a16="http://schemas.microsoft.com/office/drawing/2014/main" id="{00000000-0008-0000-1300-00003E000000}"/>
              </a:ext>
            </a:extLst>
          </xdr:cNvPr>
          <xdr:cNvSpPr/>
        </xdr:nvSpPr>
        <xdr:spPr>
          <a:xfrm>
            <a:off x="2794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3" name="$BK$117">
            <a:extLst>
              <a:ext uri="{FF2B5EF4-FFF2-40B4-BE49-F238E27FC236}">
                <a16:creationId xmlns:a16="http://schemas.microsoft.com/office/drawing/2014/main" id="{00000000-0008-0000-1300-00003F000000}"/>
              </a:ext>
            </a:extLst>
          </xdr:cNvPr>
          <xdr:cNvSpPr/>
        </xdr:nvSpPr>
        <xdr:spPr>
          <a:xfrm>
            <a:off x="3556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3984" name="$BK$117">
            <a:extLst>
              <a:ext uri="{FF2B5EF4-FFF2-40B4-BE49-F238E27FC236}">
                <a16:creationId xmlns:a16="http://schemas.microsoft.com/office/drawing/2014/main" id="{00000000-0008-0000-1300-0000000C4300}"/>
              </a:ext>
            </a:extLst>
          </xdr:cNvPr>
          <xdr:cNvSpPr/>
        </xdr:nvSpPr>
        <xdr:spPr>
          <a:xfrm>
            <a:off x="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3988" name="$BK$117">
            <a:extLst>
              <a:ext uri="{FF2B5EF4-FFF2-40B4-BE49-F238E27FC236}">
                <a16:creationId xmlns:a16="http://schemas.microsoft.com/office/drawing/2014/main" id="{00000000-0008-0000-1300-0000040C4300}"/>
              </a:ext>
            </a:extLst>
          </xdr:cNvPr>
          <xdr:cNvSpPr/>
        </xdr:nvSpPr>
        <xdr:spPr>
          <a:xfrm>
            <a:off x="254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3989" name="$BK$117">
            <a:extLst>
              <a:ext uri="{FF2B5EF4-FFF2-40B4-BE49-F238E27FC236}">
                <a16:creationId xmlns:a16="http://schemas.microsoft.com/office/drawing/2014/main" id="{00000000-0008-0000-1300-0000050C4300}"/>
              </a:ext>
            </a:extLst>
          </xdr:cNvPr>
          <xdr:cNvSpPr/>
        </xdr:nvSpPr>
        <xdr:spPr>
          <a:xfrm>
            <a:off x="381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3990" name="$BK$117">
            <a:extLst>
              <a:ext uri="{FF2B5EF4-FFF2-40B4-BE49-F238E27FC236}">
                <a16:creationId xmlns:a16="http://schemas.microsoft.com/office/drawing/2014/main" id="{00000000-0008-0000-1300-0000060C4300}"/>
              </a:ext>
            </a:extLst>
          </xdr:cNvPr>
          <xdr:cNvSpPr/>
        </xdr:nvSpPr>
        <xdr:spPr>
          <a:xfrm>
            <a:off x="508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3991" name="$BK$117">
            <a:extLst>
              <a:ext uri="{FF2B5EF4-FFF2-40B4-BE49-F238E27FC236}">
                <a16:creationId xmlns:a16="http://schemas.microsoft.com/office/drawing/2014/main" id="{00000000-0008-0000-1300-0000070C4300}"/>
              </a:ext>
            </a:extLst>
          </xdr:cNvPr>
          <xdr:cNvSpPr/>
        </xdr:nvSpPr>
        <xdr:spPr>
          <a:xfrm>
            <a:off x="762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3992" name="$BK$117">
            <a:extLst>
              <a:ext uri="{FF2B5EF4-FFF2-40B4-BE49-F238E27FC236}">
                <a16:creationId xmlns:a16="http://schemas.microsoft.com/office/drawing/2014/main" id="{00000000-0008-0000-1300-0000080C4300}"/>
              </a:ext>
            </a:extLst>
          </xdr:cNvPr>
          <xdr:cNvSpPr/>
        </xdr:nvSpPr>
        <xdr:spPr>
          <a:xfrm>
            <a:off x="1143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3993" name="$BK$117">
            <a:extLst>
              <a:ext uri="{FF2B5EF4-FFF2-40B4-BE49-F238E27FC236}">
                <a16:creationId xmlns:a16="http://schemas.microsoft.com/office/drawing/2014/main" id="{00000000-0008-0000-1300-0000090C4300}"/>
              </a:ext>
            </a:extLst>
          </xdr:cNvPr>
          <xdr:cNvSpPr/>
        </xdr:nvSpPr>
        <xdr:spPr>
          <a:xfrm>
            <a:off x="1524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3994" name="$BK$117">
            <a:extLst>
              <a:ext uri="{FF2B5EF4-FFF2-40B4-BE49-F238E27FC236}">
                <a16:creationId xmlns:a16="http://schemas.microsoft.com/office/drawing/2014/main" id="{00000000-0008-0000-1300-00000A0C4300}"/>
              </a:ext>
            </a:extLst>
          </xdr:cNvPr>
          <xdr:cNvSpPr/>
        </xdr:nvSpPr>
        <xdr:spPr>
          <a:xfrm>
            <a:off x="2413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3995" name="$BK$117">
            <a:extLst>
              <a:ext uri="{FF2B5EF4-FFF2-40B4-BE49-F238E27FC236}">
                <a16:creationId xmlns:a16="http://schemas.microsoft.com/office/drawing/2014/main" id="{00000000-0008-0000-1300-00000B0C4300}"/>
              </a:ext>
            </a:extLst>
          </xdr:cNvPr>
          <xdr:cNvSpPr/>
        </xdr:nvSpPr>
        <xdr:spPr>
          <a:xfrm>
            <a:off x="2540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3996" name="$BK$117">
            <a:extLst>
              <a:ext uri="{FF2B5EF4-FFF2-40B4-BE49-F238E27FC236}">
                <a16:creationId xmlns:a16="http://schemas.microsoft.com/office/drawing/2014/main" id="{00000000-0008-0000-1300-00000C0C4300}"/>
              </a:ext>
            </a:extLst>
          </xdr:cNvPr>
          <xdr:cNvSpPr/>
        </xdr:nvSpPr>
        <xdr:spPr>
          <a:xfrm>
            <a:off x="2794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3997" name="$BK$117">
            <a:extLst>
              <a:ext uri="{FF2B5EF4-FFF2-40B4-BE49-F238E27FC236}">
                <a16:creationId xmlns:a16="http://schemas.microsoft.com/office/drawing/2014/main" id="{00000000-0008-0000-1300-00000D0C4300}"/>
              </a:ext>
            </a:extLst>
          </xdr:cNvPr>
          <xdr:cNvSpPr/>
        </xdr:nvSpPr>
        <xdr:spPr>
          <a:xfrm>
            <a:off x="3048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3998" name="$BK$117">
            <a:extLst>
              <a:ext uri="{FF2B5EF4-FFF2-40B4-BE49-F238E27FC236}">
                <a16:creationId xmlns:a16="http://schemas.microsoft.com/office/drawing/2014/main" id="{00000000-0008-0000-1300-00000E0C4300}"/>
              </a:ext>
            </a:extLst>
          </xdr:cNvPr>
          <xdr:cNvSpPr/>
        </xdr:nvSpPr>
        <xdr:spPr>
          <a:xfrm>
            <a:off x="3175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3999" name="$BK$117">
            <a:extLst>
              <a:ext uri="{FF2B5EF4-FFF2-40B4-BE49-F238E27FC236}">
                <a16:creationId xmlns:a16="http://schemas.microsoft.com/office/drawing/2014/main" id="{00000000-0008-0000-1300-00000F0C4300}"/>
              </a:ext>
            </a:extLst>
          </xdr:cNvPr>
          <xdr:cNvSpPr/>
        </xdr:nvSpPr>
        <xdr:spPr>
          <a:xfrm>
            <a:off x="3302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00" name="$BK$117">
            <a:extLst>
              <a:ext uri="{FF2B5EF4-FFF2-40B4-BE49-F238E27FC236}">
                <a16:creationId xmlns:a16="http://schemas.microsoft.com/office/drawing/2014/main" id="{00000000-0008-0000-1300-0000100C4300}"/>
              </a:ext>
            </a:extLst>
          </xdr:cNvPr>
          <xdr:cNvSpPr/>
        </xdr:nvSpPr>
        <xdr:spPr>
          <a:xfrm>
            <a:off x="3556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01" name="$BK$117">
            <a:extLst>
              <a:ext uri="{FF2B5EF4-FFF2-40B4-BE49-F238E27FC236}">
                <a16:creationId xmlns:a16="http://schemas.microsoft.com/office/drawing/2014/main" id="{00000000-0008-0000-1300-0000110C4300}"/>
              </a:ext>
            </a:extLst>
          </xdr:cNvPr>
          <xdr:cNvSpPr/>
        </xdr:nvSpPr>
        <xdr:spPr>
          <a:xfrm>
            <a:off x="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02" name="$BK$117">
            <a:extLst>
              <a:ext uri="{FF2B5EF4-FFF2-40B4-BE49-F238E27FC236}">
                <a16:creationId xmlns:a16="http://schemas.microsoft.com/office/drawing/2014/main" id="{00000000-0008-0000-1300-0000120C4300}"/>
              </a:ext>
            </a:extLst>
          </xdr:cNvPr>
          <xdr:cNvSpPr/>
        </xdr:nvSpPr>
        <xdr:spPr>
          <a:xfrm>
            <a:off x="25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03" name="$BK$117">
            <a:extLst>
              <a:ext uri="{FF2B5EF4-FFF2-40B4-BE49-F238E27FC236}">
                <a16:creationId xmlns:a16="http://schemas.microsoft.com/office/drawing/2014/main" id="{00000000-0008-0000-1300-0000130C4300}"/>
              </a:ext>
            </a:extLst>
          </xdr:cNvPr>
          <xdr:cNvSpPr/>
        </xdr:nvSpPr>
        <xdr:spPr>
          <a:xfrm>
            <a:off x="381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04" name="$BK$117">
            <a:extLst>
              <a:ext uri="{FF2B5EF4-FFF2-40B4-BE49-F238E27FC236}">
                <a16:creationId xmlns:a16="http://schemas.microsoft.com/office/drawing/2014/main" id="{00000000-0008-0000-1300-0000140C4300}"/>
              </a:ext>
            </a:extLst>
          </xdr:cNvPr>
          <xdr:cNvSpPr/>
        </xdr:nvSpPr>
        <xdr:spPr>
          <a:xfrm>
            <a:off x="508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05" name="$BK$117">
            <a:extLst>
              <a:ext uri="{FF2B5EF4-FFF2-40B4-BE49-F238E27FC236}">
                <a16:creationId xmlns:a16="http://schemas.microsoft.com/office/drawing/2014/main" id="{00000000-0008-0000-1300-0000150C4300}"/>
              </a:ext>
            </a:extLst>
          </xdr:cNvPr>
          <xdr:cNvSpPr/>
        </xdr:nvSpPr>
        <xdr:spPr>
          <a:xfrm>
            <a:off x="762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06" name="$BK$117">
            <a:extLst>
              <a:ext uri="{FF2B5EF4-FFF2-40B4-BE49-F238E27FC236}">
                <a16:creationId xmlns:a16="http://schemas.microsoft.com/office/drawing/2014/main" id="{00000000-0008-0000-1300-0000160C4300}"/>
              </a:ext>
            </a:extLst>
          </xdr:cNvPr>
          <xdr:cNvSpPr/>
        </xdr:nvSpPr>
        <xdr:spPr>
          <a:xfrm>
            <a:off x="152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07" name="$BK$117">
            <a:extLst>
              <a:ext uri="{FF2B5EF4-FFF2-40B4-BE49-F238E27FC236}">
                <a16:creationId xmlns:a16="http://schemas.microsoft.com/office/drawing/2014/main" id="{00000000-0008-0000-1300-0000170C4300}"/>
              </a:ext>
            </a:extLst>
          </xdr:cNvPr>
          <xdr:cNvSpPr/>
        </xdr:nvSpPr>
        <xdr:spPr>
          <a:xfrm>
            <a:off x="1651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08" name="$BK$117">
            <a:extLst>
              <a:ext uri="{FF2B5EF4-FFF2-40B4-BE49-F238E27FC236}">
                <a16:creationId xmlns:a16="http://schemas.microsoft.com/office/drawing/2014/main" id="{00000000-0008-0000-1300-0000180C4300}"/>
              </a:ext>
            </a:extLst>
          </xdr:cNvPr>
          <xdr:cNvSpPr/>
        </xdr:nvSpPr>
        <xdr:spPr>
          <a:xfrm>
            <a:off x="2286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09" name="$BK$117">
            <a:extLst>
              <a:ext uri="{FF2B5EF4-FFF2-40B4-BE49-F238E27FC236}">
                <a16:creationId xmlns:a16="http://schemas.microsoft.com/office/drawing/2014/main" id="{00000000-0008-0000-1300-0000190C4300}"/>
              </a:ext>
            </a:extLst>
          </xdr:cNvPr>
          <xdr:cNvSpPr/>
        </xdr:nvSpPr>
        <xdr:spPr>
          <a:xfrm>
            <a:off x="2540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10" name="$BK$117">
            <a:extLst>
              <a:ext uri="{FF2B5EF4-FFF2-40B4-BE49-F238E27FC236}">
                <a16:creationId xmlns:a16="http://schemas.microsoft.com/office/drawing/2014/main" id="{00000000-0008-0000-1300-00001A0C4300}"/>
              </a:ext>
            </a:extLst>
          </xdr:cNvPr>
          <xdr:cNvSpPr/>
        </xdr:nvSpPr>
        <xdr:spPr>
          <a:xfrm>
            <a:off x="279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11" name="$BK$117">
            <a:extLst>
              <a:ext uri="{FF2B5EF4-FFF2-40B4-BE49-F238E27FC236}">
                <a16:creationId xmlns:a16="http://schemas.microsoft.com/office/drawing/2014/main" id="{00000000-0008-0000-1300-00001B0C4300}"/>
              </a:ext>
            </a:extLst>
          </xdr:cNvPr>
          <xdr:cNvSpPr/>
        </xdr:nvSpPr>
        <xdr:spPr>
          <a:xfrm>
            <a:off x="3048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12" name="$BK$117">
            <a:extLst>
              <a:ext uri="{FF2B5EF4-FFF2-40B4-BE49-F238E27FC236}">
                <a16:creationId xmlns:a16="http://schemas.microsoft.com/office/drawing/2014/main" id="{00000000-0008-0000-1300-00001C0C4300}"/>
              </a:ext>
            </a:extLst>
          </xdr:cNvPr>
          <xdr:cNvSpPr/>
        </xdr:nvSpPr>
        <xdr:spPr>
          <a:xfrm>
            <a:off x="3175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13" name="$BK$117">
            <a:extLst>
              <a:ext uri="{FF2B5EF4-FFF2-40B4-BE49-F238E27FC236}">
                <a16:creationId xmlns:a16="http://schemas.microsoft.com/office/drawing/2014/main" id="{00000000-0008-0000-1300-00001D0C4300}"/>
              </a:ext>
            </a:extLst>
          </xdr:cNvPr>
          <xdr:cNvSpPr/>
        </xdr:nvSpPr>
        <xdr:spPr>
          <a:xfrm>
            <a:off x="3302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14" name="$BK$117">
            <a:extLst>
              <a:ext uri="{FF2B5EF4-FFF2-40B4-BE49-F238E27FC236}">
                <a16:creationId xmlns:a16="http://schemas.microsoft.com/office/drawing/2014/main" id="{00000000-0008-0000-1300-00001E0C4300}"/>
              </a:ext>
            </a:extLst>
          </xdr:cNvPr>
          <xdr:cNvSpPr/>
        </xdr:nvSpPr>
        <xdr:spPr>
          <a:xfrm>
            <a:off x="3556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15" name="$BK$117">
            <a:extLst>
              <a:ext uri="{FF2B5EF4-FFF2-40B4-BE49-F238E27FC236}">
                <a16:creationId xmlns:a16="http://schemas.microsoft.com/office/drawing/2014/main" id="{00000000-0008-0000-1300-00001F0C4300}"/>
              </a:ext>
            </a:extLst>
          </xdr:cNvPr>
          <xdr:cNvSpPr/>
        </xdr:nvSpPr>
        <xdr:spPr>
          <a:xfrm>
            <a:off x="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16" name="$BK$117">
            <a:extLst>
              <a:ext uri="{FF2B5EF4-FFF2-40B4-BE49-F238E27FC236}">
                <a16:creationId xmlns:a16="http://schemas.microsoft.com/office/drawing/2014/main" id="{00000000-0008-0000-1300-0000200C4300}"/>
              </a:ext>
            </a:extLst>
          </xdr:cNvPr>
          <xdr:cNvSpPr/>
        </xdr:nvSpPr>
        <xdr:spPr>
          <a:xfrm>
            <a:off x="254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17" name="$BK$117">
            <a:extLst>
              <a:ext uri="{FF2B5EF4-FFF2-40B4-BE49-F238E27FC236}">
                <a16:creationId xmlns:a16="http://schemas.microsoft.com/office/drawing/2014/main" id="{00000000-0008-0000-1300-0000210C4300}"/>
              </a:ext>
            </a:extLst>
          </xdr:cNvPr>
          <xdr:cNvSpPr/>
        </xdr:nvSpPr>
        <xdr:spPr>
          <a:xfrm>
            <a:off x="381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18" name="$BK$117">
            <a:extLst>
              <a:ext uri="{FF2B5EF4-FFF2-40B4-BE49-F238E27FC236}">
                <a16:creationId xmlns:a16="http://schemas.microsoft.com/office/drawing/2014/main" id="{00000000-0008-0000-1300-0000220C4300}"/>
              </a:ext>
            </a:extLst>
          </xdr:cNvPr>
          <xdr:cNvSpPr/>
        </xdr:nvSpPr>
        <xdr:spPr>
          <a:xfrm>
            <a:off x="508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19" name="$BK$117">
            <a:extLst>
              <a:ext uri="{FF2B5EF4-FFF2-40B4-BE49-F238E27FC236}">
                <a16:creationId xmlns:a16="http://schemas.microsoft.com/office/drawing/2014/main" id="{00000000-0008-0000-1300-0000230C4300}"/>
              </a:ext>
            </a:extLst>
          </xdr:cNvPr>
          <xdr:cNvSpPr/>
        </xdr:nvSpPr>
        <xdr:spPr>
          <a:xfrm>
            <a:off x="762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20" name="$BK$117">
            <a:extLst>
              <a:ext uri="{FF2B5EF4-FFF2-40B4-BE49-F238E27FC236}">
                <a16:creationId xmlns:a16="http://schemas.microsoft.com/office/drawing/2014/main" id="{00000000-0008-0000-1300-0000240C4300}"/>
              </a:ext>
            </a:extLst>
          </xdr:cNvPr>
          <xdr:cNvSpPr/>
        </xdr:nvSpPr>
        <xdr:spPr>
          <a:xfrm>
            <a:off x="1270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21" name="$BK$117">
            <a:extLst>
              <a:ext uri="{FF2B5EF4-FFF2-40B4-BE49-F238E27FC236}">
                <a16:creationId xmlns:a16="http://schemas.microsoft.com/office/drawing/2014/main" id="{00000000-0008-0000-1300-0000250C4300}"/>
              </a:ext>
            </a:extLst>
          </xdr:cNvPr>
          <xdr:cNvSpPr/>
        </xdr:nvSpPr>
        <xdr:spPr>
          <a:xfrm>
            <a:off x="1524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22" name="$BK$117">
            <a:extLst>
              <a:ext uri="{FF2B5EF4-FFF2-40B4-BE49-F238E27FC236}">
                <a16:creationId xmlns:a16="http://schemas.microsoft.com/office/drawing/2014/main" id="{00000000-0008-0000-1300-0000260C4300}"/>
              </a:ext>
            </a:extLst>
          </xdr:cNvPr>
          <xdr:cNvSpPr/>
        </xdr:nvSpPr>
        <xdr:spPr>
          <a:xfrm>
            <a:off x="1778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23" name="$BK$117">
            <a:extLst>
              <a:ext uri="{FF2B5EF4-FFF2-40B4-BE49-F238E27FC236}">
                <a16:creationId xmlns:a16="http://schemas.microsoft.com/office/drawing/2014/main" id="{00000000-0008-0000-1300-0000270C4300}"/>
              </a:ext>
            </a:extLst>
          </xdr:cNvPr>
          <xdr:cNvSpPr/>
        </xdr:nvSpPr>
        <xdr:spPr>
          <a:xfrm>
            <a:off x="1905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24" name="$BK$117">
            <a:extLst>
              <a:ext uri="{FF2B5EF4-FFF2-40B4-BE49-F238E27FC236}">
                <a16:creationId xmlns:a16="http://schemas.microsoft.com/office/drawing/2014/main" id="{00000000-0008-0000-1300-0000280C4300}"/>
              </a:ext>
            </a:extLst>
          </xdr:cNvPr>
          <xdr:cNvSpPr/>
        </xdr:nvSpPr>
        <xdr:spPr>
          <a:xfrm>
            <a:off x="2286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25" name="$BK$117">
            <a:extLst>
              <a:ext uri="{FF2B5EF4-FFF2-40B4-BE49-F238E27FC236}">
                <a16:creationId xmlns:a16="http://schemas.microsoft.com/office/drawing/2014/main" id="{00000000-0008-0000-1300-0000290C4300}"/>
              </a:ext>
            </a:extLst>
          </xdr:cNvPr>
          <xdr:cNvSpPr/>
        </xdr:nvSpPr>
        <xdr:spPr>
          <a:xfrm>
            <a:off x="2413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26" name="$BK$117">
            <a:extLst>
              <a:ext uri="{FF2B5EF4-FFF2-40B4-BE49-F238E27FC236}">
                <a16:creationId xmlns:a16="http://schemas.microsoft.com/office/drawing/2014/main" id="{00000000-0008-0000-1300-00002A0C4300}"/>
              </a:ext>
            </a:extLst>
          </xdr:cNvPr>
          <xdr:cNvSpPr/>
        </xdr:nvSpPr>
        <xdr:spPr>
          <a:xfrm>
            <a:off x="2540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27" name="$BK$117">
            <a:extLst>
              <a:ext uri="{FF2B5EF4-FFF2-40B4-BE49-F238E27FC236}">
                <a16:creationId xmlns:a16="http://schemas.microsoft.com/office/drawing/2014/main" id="{00000000-0008-0000-1300-00002B0C4300}"/>
              </a:ext>
            </a:extLst>
          </xdr:cNvPr>
          <xdr:cNvSpPr/>
        </xdr:nvSpPr>
        <xdr:spPr>
          <a:xfrm>
            <a:off x="2794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28" name="$BK$117">
            <a:extLst>
              <a:ext uri="{FF2B5EF4-FFF2-40B4-BE49-F238E27FC236}">
                <a16:creationId xmlns:a16="http://schemas.microsoft.com/office/drawing/2014/main" id="{00000000-0008-0000-1300-00002C0C4300}"/>
              </a:ext>
            </a:extLst>
          </xdr:cNvPr>
          <xdr:cNvSpPr/>
        </xdr:nvSpPr>
        <xdr:spPr>
          <a:xfrm>
            <a:off x="3048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29" name="$BK$117">
            <a:extLst>
              <a:ext uri="{FF2B5EF4-FFF2-40B4-BE49-F238E27FC236}">
                <a16:creationId xmlns:a16="http://schemas.microsoft.com/office/drawing/2014/main" id="{00000000-0008-0000-1300-00002D0C4300}"/>
              </a:ext>
            </a:extLst>
          </xdr:cNvPr>
          <xdr:cNvSpPr/>
        </xdr:nvSpPr>
        <xdr:spPr>
          <a:xfrm>
            <a:off x="3175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30" name="$BK$117">
            <a:extLst>
              <a:ext uri="{FF2B5EF4-FFF2-40B4-BE49-F238E27FC236}">
                <a16:creationId xmlns:a16="http://schemas.microsoft.com/office/drawing/2014/main" id="{00000000-0008-0000-1300-00002E0C4300}"/>
              </a:ext>
            </a:extLst>
          </xdr:cNvPr>
          <xdr:cNvSpPr/>
        </xdr:nvSpPr>
        <xdr:spPr>
          <a:xfrm>
            <a:off x="3302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31" name="$BK$117">
            <a:extLst>
              <a:ext uri="{FF2B5EF4-FFF2-40B4-BE49-F238E27FC236}">
                <a16:creationId xmlns:a16="http://schemas.microsoft.com/office/drawing/2014/main" id="{00000000-0008-0000-1300-00002F0C4300}"/>
              </a:ext>
            </a:extLst>
          </xdr:cNvPr>
          <xdr:cNvSpPr/>
        </xdr:nvSpPr>
        <xdr:spPr>
          <a:xfrm>
            <a:off x="3556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32" name="$BK$117">
            <a:extLst>
              <a:ext uri="{FF2B5EF4-FFF2-40B4-BE49-F238E27FC236}">
                <a16:creationId xmlns:a16="http://schemas.microsoft.com/office/drawing/2014/main" id="{00000000-0008-0000-1300-0000300C4300}"/>
              </a:ext>
            </a:extLst>
          </xdr:cNvPr>
          <xdr:cNvSpPr/>
        </xdr:nvSpPr>
        <xdr:spPr>
          <a:xfrm>
            <a:off x="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33" name="$BK$117">
            <a:extLst>
              <a:ext uri="{FF2B5EF4-FFF2-40B4-BE49-F238E27FC236}">
                <a16:creationId xmlns:a16="http://schemas.microsoft.com/office/drawing/2014/main" id="{00000000-0008-0000-1300-0000310C4300}"/>
              </a:ext>
            </a:extLst>
          </xdr:cNvPr>
          <xdr:cNvSpPr/>
        </xdr:nvSpPr>
        <xdr:spPr>
          <a:xfrm>
            <a:off x="762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34" name="$BK$117">
            <a:extLst>
              <a:ext uri="{FF2B5EF4-FFF2-40B4-BE49-F238E27FC236}">
                <a16:creationId xmlns:a16="http://schemas.microsoft.com/office/drawing/2014/main" id="{00000000-0008-0000-1300-0000320C4300}"/>
              </a:ext>
            </a:extLst>
          </xdr:cNvPr>
          <xdr:cNvSpPr/>
        </xdr:nvSpPr>
        <xdr:spPr>
          <a:xfrm>
            <a:off x="1016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35" name="$BK$117">
            <a:extLst>
              <a:ext uri="{FF2B5EF4-FFF2-40B4-BE49-F238E27FC236}">
                <a16:creationId xmlns:a16="http://schemas.microsoft.com/office/drawing/2014/main" id="{00000000-0008-0000-1300-0000330C4300}"/>
              </a:ext>
            </a:extLst>
          </xdr:cNvPr>
          <xdr:cNvSpPr/>
        </xdr:nvSpPr>
        <xdr:spPr>
          <a:xfrm>
            <a:off x="1905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36" name="$BK$117">
            <a:extLst>
              <a:ext uri="{FF2B5EF4-FFF2-40B4-BE49-F238E27FC236}">
                <a16:creationId xmlns:a16="http://schemas.microsoft.com/office/drawing/2014/main" id="{00000000-0008-0000-1300-0000340C4300}"/>
              </a:ext>
            </a:extLst>
          </xdr:cNvPr>
          <xdr:cNvSpPr/>
        </xdr:nvSpPr>
        <xdr:spPr>
          <a:xfrm>
            <a:off x="2032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37" name="$BK$117">
            <a:extLst>
              <a:ext uri="{FF2B5EF4-FFF2-40B4-BE49-F238E27FC236}">
                <a16:creationId xmlns:a16="http://schemas.microsoft.com/office/drawing/2014/main" id="{00000000-0008-0000-1300-0000350C4300}"/>
              </a:ext>
            </a:extLst>
          </xdr:cNvPr>
          <xdr:cNvSpPr/>
        </xdr:nvSpPr>
        <xdr:spPr>
          <a:xfrm>
            <a:off x="2794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38" name="$BK$117">
            <a:extLst>
              <a:ext uri="{FF2B5EF4-FFF2-40B4-BE49-F238E27FC236}">
                <a16:creationId xmlns:a16="http://schemas.microsoft.com/office/drawing/2014/main" id="{00000000-0008-0000-1300-0000360C4300}"/>
              </a:ext>
            </a:extLst>
          </xdr:cNvPr>
          <xdr:cNvSpPr/>
        </xdr:nvSpPr>
        <xdr:spPr>
          <a:xfrm>
            <a:off x="3556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39" name="$BK$117">
            <a:extLst>
              <a:ext uri="{FF2B5EF4-FFF2-40B4-BE49-F238E27FC236}">
                <a16:creationId xmlns:a16="http://schemas.microsoft.com/office/drawing/2014/main" id="{00000000-0008-0000-1300-0000370C4300}"/>
              </a:ext>
            </a:extLst>
          </xdr:cNvPr>
          <xdr:cNvSpPr/>
        </xdr:nvSpPr>
        <xdr:spPr>
          <a:xfrm>
            <a:off x="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40" name="$BK$117">
            <a:extLst>
              <a:ext uri="{FF2B5EF4-FFF2-40B4-BE49-F238E27FC236}">
                <a16:creationId xmlns:a16="http://schemas.microsoft.com/office/drawing/2014/main" id="{00000000-0008-0000-1300-0000380C4300}"/>
              </a:ext>
            </a:extLst>
          </xdr:cNvPr>
          <xdr:cNvSpPr/>
        </xdr:nvSpPr>
        <xdr:spPr>
          <a:xfrm>
            <a:off x="127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41" name="$BK$117">
            <a:extLst>
              <a:ext uri="{FF2B5EF4-FFF2-40B4-BE49-F238E27FC236}">
                <a16:creationId xmlns:a16="http://schemas.microsoft.com/office/drawing/2014/main" id="{00000000-0008-0000-1300-0000390C4300}"/>
              </a:ext>
            </a:extLst>
          </xdr:cNvPr>
          <xdr:cNvSpPr/>
        </xdr:nvSpPr>
        <xdr:spPr>
          <a:xfrm>
            <a:off x="25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42" name="$BK$117">
            <a:extLst>
              <a:ext uri="{FF2B5EF4-FFF2-40B4-BE49-F238E27FC236}">
                <a16:creationId xmlns:a16="http://schemas.microsoft.com/office/drawing/2014/main" id="{00000000-0008-0000-1300-00003A0C4300}"/>
              </a:ext>
            </a:extLst>
          </xdr:cNvPr>
          <xdr:cNvSpPr/>
        </xdr:nvSpPr>
        <xdr:spPr>
          <a:xfrm>
            <a:off x="381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43" name="$BK$117">
            <a:extLst>
              <a:ext uri="{FF2B5EF4-FFF2-40B4-BE49-F238E27FC236}">
                <a16:creationId xmlns:a16="http://schemas.microsoft.com/office/drawing/2014/main" id="{00000000-0008-0000-1300-00003B0C4300}"/>
              </a:ext>
            </a:extLst>
          </xdr:cNvPr>
          <xdr:cNvSpPr/>
        </xdr:nvSpPr>
        <xdr:spPr>
          <a:xfrm>
            <a:off x="508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44" name="$BK$117">
            <a:extLst>
              <a:ext uri="{FF2B5EF4-FFF2-40B4-BE49-F238E27FC236}">
                <a16:creationId xmlns:a16="http://schemas.microsoft.com/office/drawing/2014/main" id="{00000000-0008-0000-1300-00003C0C4300}"/>
              </a:ext>
            </a:extLst>
          </xdr:cNvPr>
          <xdr:cNvSpPr/>
        </xdr:nvSpPr>
        <xdr:spPr>
          <a:xfrm>
            <a:off x="635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45" name="$BK$117">
            <a:extLst>
              <a:ext uri="{FF2B5EF4-FFF2-40B4-BE49-F238E27FC236}">
                <a16:creationId xmlns:a16="http://schemas.microsoft.com/office/drawing/2014/main" id="{00000000-0008-0000-1300-00003D0C4300}"/>
              </a:ext>
            </a:extLst>
          </xdr:cNvPr>
          <xdr:cNvSpPr/>
        </xdr:nvSpPr>
        <xdr:spPr>
          <a:xfrm>
            <a:off x="762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46" name="$BK$117">
            <a:extLst>
              <a:ext uri="{FF2B5EF4-FFF2-40B4-BE49-F238E27FC236}">
                <a16:creationId xmlns:a16="http://schemas.microsoft.com/office/drawing/2014/main" id="{00000000-0008-0000-1300-00003E0C4300}"/>
              </a:ext>
            </a:extLst>
          </xdr:cNvPr>
          <xdr:cNvSpPr/>
        </xdr:nvSpPr>
        <xdr:spPr>
          <a:xfrm>
            <a:off x="1016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47" name="$BK$117">
            <a:extLst>
              <a:ext uri="{FF2B5EF4-FFF2-40B4-BE49-F238E27FC236}">
                <a16:creationId xmlns:a16="http://schemas.microsoft.com/office/drawing/2014/main" id="{00000000-0008-0000-1300-00003F0C4300}"/>
              </a:ext>
            </a:extLst>
          </xdr:cNvPr>
          <xdr:cNvSpPr/>
        </xdr:nvSpPr>
        <xdr:spPr>
          <a:xfrm>
            <a:off x="1270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48" name="$BK$117">
            <a:extLst>
              <a:ext uri="{FF2B5EF4-FFF2-40B4-BE49-F238E27FC236}">
                <a16:creationId xmlns:a16="http://schemas.microsoft.com/office/drawing/2014/main" id="{00000000-0008-0000-1300-0000400C4300}"/>
              </a:ext>
            </a:extLst>
          </xdr:cNvPr>
          <xdr:cNvSpPr/>
        </xdr:nvSpPr>
        <xdr:spPr>
          <a:xfrm>
            <a:off x="152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49" name="$BK$117">
            <a:extLst>
              <a:ext uri="{FF2B5EF4-FFF2-40B4-BE49-F238E27FC236}">
                <a16:creationId xmlns:a16="http://schemas.microsoft.com/office/drawing/2014/main" id="{00000000-0008-0000-1300-0000410C4300}"/>
              </a:ext>
            </a:extLst>
          </xdr:cNvPr>
          <xdr:cNvSpPr/>
        </xdr:nvSpPr>
        <xdr:spPr>
          <a:xfrm>
            <a:off x="1778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50" name="$BK$117">
            <a:extLst>
              <a:ext uri="{FF2B5EF4-FFF2-40B4-BE49-F238E27FC236}">
                <a16:creationId xmlns:a16="http://schemas.microsoft.com/office/drawing/2014/main" id="{00000000-0008-0000-1300-0000420C4300}"/>
              </a:ext>
            </a:extLst>
          </xdr:cNvPr>
          <xdr:cNvSpPr/>
        </xdr:nvSpPr>
        <xdr:spPr>
          <a:xfrm>
            <a:off x="2032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51" name="$BK$117">
            <a:extLst>
              <a:ext uri="{FF2B5EF4-FFF2-40B4-BE49-F238E27FC236}">
                <a16:creationId xmlns:a16="http://schemas.microsoft.com/office/drawing/2014/main" id="{00000000-0008-0000-1300-0000430C4300}"/>
              </a:ext>
            </a:extLst>
          </xdr:cNvPr>
          <xdr:cNvSpPr/>
        </xdr:nvSpPr>
        <xdr:spPr>
          <a:xfrm>
            <a:off x="2286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52" name="$BK$117">
            <a:extLst>
              <a:ext uri="{FF2B5EF4-FFF2-40B4-BE49-F238E27FC236}">
                <a16:creationId xmlns:a16="http://schemas.microsoft.com/office/drawing/2014/main" id="{00000000-0008-0000-1300-0000440C4300}"/>
              </a:ext>
            </a:extLst>
          </xdr:cNvPr>
          <xdr:cNvSpPr/>
        </xdr:nvSpPr>
        <xdr:spPr>
          <a:xfrm>
            <a:off x="2540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53" name="$BK$117">
            <a:extLst>
              <a:ext uri="{FF2B5EF4-FFF2-40B4-BE49-F238E27FC236}">
                <a16:creationId xmlns:a16="http://schemas.microsoft.com/office/drawing/2014/main" id="{00000000-0008-0000-1300-0000450C4300}"/>
              </a:ext>
            </a:extLst>
          </xdr:cNvPr>
          <xdr:cNvSpPr/>
        </xdr:nvSpPr>
        <xdr:spPr>
          <a:xfrm>
            <a:off x="279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54" name="$BK$117">
            <a:extLst>
              <a:ext uri="{FF2B5EF4-FFF2-40B4-BE49-F238E27FC236}">
                <a16:creationId xmlns:a16="http://schemas.microsoft.com/office/drawing/2014/main" id="{00000000-0008-0000-1300-0000460C4300}"/>
              </a:ext>
            </a:extLst>
          </xdr:cNvPr>
          <xdr:cNvSpPr/>
        </xdr:nvSpPr>
        <xdr:spPr>
          <a:xfrm>
            <a:off x="2921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55" name="$BK$117">
            <a:extLst>
              <a:ext uri="{FF2B5EF4-FFF2-40B4-BE49-F238E27FC236}">
                <a16:creationId xmlns:a16="http://schemas.microsoft.com/office/drawing/2014/main" id="{00000000-0008-0000-1300-0000470C4300}"/>
              </a:ext>
            </a:extLst>
          </xdr:cNvPr>
          <xdr:cNvSpPr/>
        </xdr:nvSpPr>
        <xdr:spPr>
          <a:xfrm>
            <a:off x="3048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56" name="$BK$117">
            <a:extLst>
              <a:ext uri="{FF2B5EF4-FFF2-40B4-BE49-F238E27FC236}">
                <a16:creationId xmlns:a16="http://schemas.microsoft.com/office/drawing/2014/main" id="{00000000-0008-0000-1300-0000480C4300}"/>
              </a:ext>
            </a:extLst>
          </xdr:cNvPr>
          <xdr:cNvSpPr/>
        </xdr:nvSpPr>
        <xdr:spPr>
          <a:xfrm>
            <a:off x="3175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57" name="$BK$117">
            <a:extLst>
              <a:ext uri="{FF2B5EF4-FFF2-40B4-BE49-F238E27FC236}">
                <a16:creationId xmlns:a16="http://schemas.microsoft.com/office/drawing/2014/main" id="{00000000-0008-0000-1300-0000490C4300}"/>
              </a:ext>
            </a:extLst>
          </xdr:cNvPr>
          <xdr:cNvSpPr/>
        </xdr:nvSpPr>
        <xdr:spPr>
          <a:xfrm>
            <a:off x="3302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58" name="$BK$117">
            <a:extLst>
              <a:ext uri="{FF2B5EF4-FFF2-40B4-BE49-F238E27FC236}">
                <a16:creationId xmlns:a16="http://schemas.microsoft.com/office/drawing/2014/main" id="{00000000-0008-0000-1300-00004A0C4300}"/>
              </a:ext>
            </a:extLst>
          </xdr:cNvPr>
          <xdr:cNvSpPr/>
        </xdr:nvSpPr>
        <xdr:spPr>
          <a:xfrm>
            <a:off x="3429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59" name="$BK$117">
            <a:extLst>
              <a:ext uri="{FF2B5EF4-FFF2-40B4-BE49-F238E27FC236}">
                <a16:creationId xmlns:a16="http://schemas.microsoft.com/office/drawing/2014/main" id="{00000000-0008-0000-1300-00004B0C4300}"/>
              </a:ext>
            </a:extLst>
          </xdr:cNvPr>
          <xdr:cNvSpPr/>
        </xdr:nvSpPr>
        <xdr:spPr>
          <a:xfrm>
            <a:off x="3556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60" name="$BK$117">
            <a:extLst>
              <a:ext uri="{FF2B5EF4-FFF2-40B4-BE49-F238E27FC236}">
                <a16:creationId xmlns:a16="http://schemas.microsoft.com/office/drawing/2014/main" id="{00000000-0008-0000-1300-00004C0C4300}"/>
              </a:ext>
            </a:extLst>
          </xdr:cNvPr>
          <xdr:cNvSpPr/>
        </xdr:nvSpPr>
        <xdr:spPr>
          <a:xfrm>
            <a:off x="1143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61" name="$BK$117">
            <a:extLst>
              <a:ext uri="{FF2B5EF4-FFF2-40B4-BE49-F238E27FC236}">
                <a16:creationId xmlns:a16="http://schemas.microsoft.com/office/drawing/2014/main" id="{00000000-0008-0000-1300-00004D0C4300}"/>
              </a:ext>
            </a:extLst>
          </xdr:cNvPr>
          <xdr:cNvSpPr/>
        </xdr:nvSpPr>
        <xdr:spPr>
          <a:xfrm>
            <a:off x="1270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62" name="$BK$117">
            <a:extLst>
              <a:ext uri="{FF2B5EF4-FFF2-40B4-BE49-F238E27FC236}">
                <a16:creationId xmlns:a16="http://schemas.microsoft.com/office/drawing/2014/main" id="{00000000-0008-0000-1300-00004E0C4300}"/>
              </a:ext>
            </a:extLst>
          </xdr:cNvPr>
          <xdr:cNvSpPr/>
        </xdr:nvSpPr>
        <xdr:spPr>
          <a:xfrm>
            <a:off x="1524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63" name="$BK$117">
            <a:extLst>
              <a:ext uri="{FF2B5EF4-FFF2-40B4-BE49-F238E27FC236}">
                <a16:creationId xmlns:a16="http://schemas.microsoft.com/office/drawing/2014/main" id="{00000000-0008-0000-1300-00004F0C4300}"/>
              </a:ext>
            </a:extLst>
          </xdr:cNvPr>
          <xdr:cNvSpPr/>
        </xdr:nvSpPr>
        <xdr:spPr>
          <a:xfrm>
            <a:off x="1651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64" name="$BK$117">
            <a:extLst>
              <a:ext uri="{FF2B5EF4-FFF2-40B4-BE49-F238E27FC236}">
                <a16:creationId xmlns:a16="http://schemas.microsoft.com/office/drawing/2014/main" id="{00000000-0008-0000-1300-0000500C4300}"/>
              </a:ext>
            </a:extLst>
          </xdr:cNvPr>
          <xdr:cNvSpPr/>
        </xdr:nvSpPr>
        <xdr:spPr>
          <a:xfrm>
            <a:off x="1905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65" name="$BK$117">
            <a:extLst>
              <a:ext uri="{FF2B5EF4-FFF2-40B4-BE49-F238E27FC236}">
                <a16:creationId xmlns:a16="http://schemas.microsoft.com/office/drawing/2014/main" id="{00000000-0008-0000-1300-0000510C4300}"/>
              </a:ext>
            </a:extLst>
          </xdr:cNvPr>
          <xdr:cNvSpPr/>
        </xdr:nvSpPr>
        <xdr:spPr>
          <a:xfrm>
            <a:off x="2286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66" name="$BK$117">
            <a:extLst>
              <a:ext uri="{FF2B5EF4-FFF2-40B4-BE49-F238E27FC236}">
                <a16:creationId xmlns:a16="http://schemas.microsoft.com/office/drawing/2014/main" id="{00000000-0008-0000-1300-0000520C4300}"/>
              </a:ext>
            </a:extLst>
          </xdr:cNvPr>
          <xdr:cNvSpPr/>
        </xdr:nvSpPr>
        <xdr:spPr>
          <a:xfrm>
            <a:off x="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67" name="$BK$117">
            <a:extLst>
              <a:ext uri="{FF2B5EF4-FFF2-40B4-BE49-F238E27FC236}">
                <a16:creationId xmlns:a16="http://schemas.microsoft.com/office/drawing/2014/main" id="{00000000-0008-0000-1300-0000530C4300}"/>
              </a:ext>
            </a:extLst>
          </xdr:cNvPr>
          <xdr:cNvSpPr/>
        </xdr:nvSpPr>
        <xdr:spPr>
          <a:xfrm>
            <a:off x="381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68" name="$BK$117">
            <a:extLst>
              <a:ext uri="{FF2B5EF4-FFF2-40B4-BE49-F238E27FC236}">
                <a16:creationId xmlns:a16="http://schemas.microsoft.com/office/drawing/2014/main" id="{00000000-0008-0000-1300-0000540C4300}"/>
              </a:ext>
            </a:extLst>
          </xdr:cNvPr>
          <xdr:cNvSpPr/>
        </xdr:nvSpPr>
        <xdr:spPr>
          <a:xfrm>
            <a:off x="635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69" name="$BK$117">
            <a:extLst>
              <a:ext uri="{FF2B5EF4-FFF2-40B4-BE49-F238E27FC236}">
                <a16:creationId xmlns:a16="http://schemas.microsoft.com/office/drawing/2014/main" id="{00000000-0008-0000-1300-0000550C4300}"/>
              </a:ext>
            </a:extLst>
          </xdr:cNvPr>
          <xdr:cNvSpPr/>
        </xdr:nvSpPr>
        <xdr:spPr>
          <a:xfrm>
            <a:off x="762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70" name="$BK$117">
            <a:extLst>
              <a:ext uri="{FF2B5EF4-FFF2-40B4-BE49-F238E27FC236}">
                <a16:creationId xmlns:a16="http://schemas.microsoft.com/office/drawing/2014/main" id="{00000000-0008-0000-1300-0000560C4300}"/>
              </a:ext>
            </a:extLst>
          </xdr:cNvPr>
          <xdr:cNvSpPr/>
        </xdr:nvSpPr>
        <xdr:spPr>
          <a:xfrm>
            <a:off x="1016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71" name="$BK$117">
            <a:extLst>
              <a:ext uri="{FF2B5EF4-FFF2-40B4-BE49-F238E27FC236}">
                <a16:creationId xmlns:a16="http://schemas.microsoft.com/office/drawing/2014/main" id="{00000000-0008-0000-1300-0000570C4300}"/>
              </a:ext>
            </a:extLst>
          </xdr:cNvPr>
          <xdr:cNvSpPr/>
        </xdr:nvSpPr>
        <xdr:spPr>
          <a:xfrm>
            <a:off x="1143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72" name="$BK$117">
            <a:extLst>
              <a:ext uri="{FF2B5EF4-FFF2-40B4-BE49-F238E27FC236}">
                <a16:creationId xmlns:a16="http://schemas.microsoft.com/office/drawing/2014/main" id="{00000000-0008-0000-1300-0000580C4300}"/>
              </a:ext>
            </a:extLst>
          </xdr:cNvPr>
          <xdr:cNvSpPr/>
        </xdr:nvSpPr>
        <xdr:spPr>
          <a:xfrm>
            <a:off x="1270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73" name="$BK$117">
            <a:extLst>
              <a:ext uri="{FF2B5EF4-FFF2-40B4-BE49-F238E27FC236}">
                <a16:creationId xmlns:a16="http://schemas.microsoft.com/office/drawing/2014/main" id="{00000000-0008-0000-1300-0000590C4300}"/>
              </a:ext>
            </a:extLst>
          </xdr:cNvPr>
          <xdr:cNvSpPr/>
        </xdr:nvSpPr>
        <xdr:spPr>
          <a:xfrm>
            <a:off x="1524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74" name="$BK$117">
            <a:extLst>
              <a:ext uri="{FF2B5EF4-FFF2-40B4-BE49-F238E27FC236}">
                <a16:creationId xmlns:a16="http://schemas.microsoft.com/office/drawing/2014/main" id="{00000000-0008-0000-1300-00005A0C4300}"/>
              </a:ext>
            </a:extLst>
          </xdr:cNvPr>
          <xdr:cNvSpPr/>
        </xdr:nvSpPr>
        <xdr:spPr>
          <a:xfrm>
            <a:off x="1778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75" name="$BK$117">
            <a:extLst>
              <a:ext uri="{FF2B5EF4-FFF2-40B4-BE49-F238E27FC236}">
                <a16:creationId xmlns:a16="http://schemas.microsoft.com/office/drawing/2014/main" id="{00000000-0008-0000-1300-00005B0C4300}"/>
              </a:ext>
            </a:extLst>
          </xdr:cNvPr>
          <xdr:cNvSpPr/>
        </xdr:nvSpPr>
        <xdr:spPr>
          <a:xfrm>
            <a:off x="2032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76" name="$BK$117">
            <a:extLst>
              <a:ext uri="{FF2B5EF4-FFF2-40B4-BE49-F238E27FC236}">
                <a16:creationId xmlns:a16="http://schemas.microsoft.com/office/drawing/2014/main" id="{00000000-0008-0000-1300-00005C0C4300}"/>
              </a:ext>
            </a:extLst>
          </xdr:cNvPr>
          <xdr:cNvSpPr/>
        </xdr:nvSpPr>
        <xdr:spPr>
          <a:xfrm>
            <a:off x="2159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77" name="$BK$117">
            <a:extLst>
              <a:ext uri="{FF2B5EF4-FFF2-40B4-BE49-F238E27FC236}">
                <a16:creationId xmlns:a16="http://schemas.microsoft.com/office/drawing/2014/main" id="{00000000-0008-0000-1300-00005D0C4300}"/>
              </a:ext>
            </a:extLst>
          </xdr:cNvPr>
          <xdr:cNvSpPr/>
        </xdr:nvSpPr>
        <xdr:spPr>
          <a:xfrm>
            <a:off x="2286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78" name="$BK$117">
            <a:extLst>
              <a:ext uri="{FF2B5EF4-FFF2-40B4-BE49-F238E27FC236}">
                <a16:creationId xmlns:a16="http://schemas.microsoft.com/office/drawing/2014/main" id="{00000000-0008-0000-1300-00005E0C4300}"/>
              </a:ext>
            </a:extLst>
          </xdr:cNvPr>
          <xdr:cNvSpPr/>
        </xdr:nvSpPr>
        <xdr:spPr>
          <a:xfrm>
            <a:off x="2667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79" name="$BK$117">
            <a:extLst>
              <a:ext uri="{FF2B5EF4-FFF2-40B4-BE49-F238E27FC236}">
                <a16:creationId xmlns:a16="http://schemas.microsoft.com/office/drawing/2014/main" id="{00000000-0008-0000-1300-00005F0C4300}"/>
              </a:ext>
            </a:extLst>
          </xdr:cNvPr>
          <xdr:cNvSpPr/>
        </xdr:nvSpPr>
        <xdr:spPr>
          <a:xfrm>
            <a:off x="2921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80" name="$BK$117">
            <a:extLst>
              <a:ext uri="{FF2B5EF4-FFF2-40B4-BE49-F238E27FC236}">
                <a16:creationId xmlns:a16="http://schemas.microsoft.com/office/drawing/2014/main" id="{00000000-0008-0000-1300-0000600C4300}"/>
              </a:ext>
            </a:extLst>
          </xdr:cNvPr>
          <xdr:cNvSpPr/>
        </xdr:nvSpPr>
        <xdr:spPr>
          <a:xfrm>
            <a:off x="127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81" name="$BK$117">
            <a:extLst>
              <a:ext uri="{FF2B5EF4-FFF2-40B4-BE49-F238E27FC236}">
                <a16:creationId xmlns:a16="http://schemas.microsoft.com/office/drawing/2014/main" id="{00000000-0008-0000-1300-0000610C4300}"/>
              </a:ext>
            </a:extLst>
          </xdr:cNvPr>
          <xdr:cNvSpPr/>
        </xdr:nvSpPr>
        <xdr:spPr>
          <a:xfrm>
            <a:off x="254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82" name="$BK$117">
            <a:extLst>
              <a:ext uri="{FF2B5EF4-FFF2-40B4-BE49-F238E27FC236}">
                <a16:creationId xmlns:a16="http://schemas.microsoft.com/office/drawing/2014/main" id="{00000000-0008-0000-1300-0000620C4300}"/>
              </a:ext>
            </a:extLst>
          </xdr:cNvPr>
          <xdr:cNvSpPr/>
        </xdr:nvSpPr>
        <xdr:spPr>
          <a:xfrm>
            <a:off x="508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83" name="$BK$117">
            <a:extLst>
              <a:ext uri="{FF2B5EF4-FFF2-40B4-BE49-F238E27FC236}">
                <a16:creationId xmlns:a16="http://schemas.microsoft.com/office/drawing/2014/main" id="{00000000-0008-0000-1300-0000630C4300}"/>
              </a:ext>
            </a:extLst>
          </xdr:cNvPr>
          <xdr:cNvSpPr/>
        </xdr:nvSpPr>
        <xdr:spPr>
          <a:xfrm>
            <a:off x="889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84" name="$BK$117">
            <a:extLst>
              <a:ext uri="{FF2B5EF4-FFF2-40B4-BE49-F238E27FC236}">
                <a16:creationId xmlns:a16="http://schemas.microsoft.com/office/drawing/2014/main" id="{00000000-0008-0000-1300-0000640C4300}"/>
              </a:ext>
            </a:extLst>
          </xdr:cNvPr>
          <xdr:cNvSpPr/>
        </xdr:nvSpPr>
        <xdr:spPr>
          <a:xfrm>
            <a:off x="1143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85" name="$BK$117">
            <a:extLst>
              <a:ext uri="{FF2B5EF4-FFF2-40B4-BE49-F238E27FC236}">
                <a16:creationId xmlns:a16="http://schemas.microsoft.com/office/drawing/2014/main" id="{00000000-0008-0000-1300-0000650C4300}"/>
              </a:ext>
            </a:extLst>
          </xdr:cNvPr>
          <xdr:cNvSpPr/>
        </xdr:nvSpPr>
        <xdr:spPr>
          <a:xfrm>
            <a:off x="1651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86" name="$BK$117">
            <a:extLst>
              <a:ext uri="{FF2B5EF4-FFF2-40B4-BE49-F238E27FC236}">
                <a16:creationId xmlns:a16="http://schemas.microsoft.com/office/drawing/2014/main" id="{00000000-0008-0000-1300-0000660C4300}"/>
              </a:ext>
            </a:extLst>
          </xdr:cNvPr>
          <xdr:cNvSpPr/>
        </xdr:nvSpPr>
        <xdr:spPr>
          <a:xfrm>
            <a:off x="1905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87" name="$BK$117">
            <a:extLst>
              <a:ext uri="{FF2B5EF4-FFF2-40B4-BE49-F238E27FC236}">
                <a16:creationId xmlns:a16="http://schemas.microsoft.com/office/drawing/2014/main" id="{00000000-0008-0000-1300-0000670C4300}"/>
              </a:ext>
            </a:extLst>
          </xdr:cNvPr>
          <xdr:cNvSpPr/>
        </xdr:nvSpPr>
        <xdr:spPr>
          <a:xfrm>
            <a:off x="2286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88" name="$BK$117">
            <a:extLst>
              <a:ext uri="{FF2B5EF4-FFF2-40B4-BE49-F238E27FC236}">
                <a16:creationId xmlns:a16="http://schemas.microsoft.com/office/drawing/2014/main" id="{00000000-0008-0000-1300-0000680C4300}"/>
              </a:ext>
            </a:extLst>
          </xdr:cNvPr>
          <xdr:cNvSpPr/>
        </xdr:nvSpPr>
        <xdr:spPr>
          <a:xfrm>
            <a:off x="2540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89" name="$BK$117">
            <a:extLst>
              <a:ext uri="{FF2B5EF4-FFF2-40B4-BE49-F238E27FC236}">
                <a16:creationId xmlns:a16="http://schemas.microsoft.com/office/drawing/2014/main" id="{00000000-0008-0000-1300-0000690C4300}"/>
              </a:ext>
            </a:extLst>
          </xdr:cNvPr>
          <xdr:cNvSpPr/>
        </xdr:nvSpPr>
        <xdr:spPr>
          <a:xfrm>
            <a:off x="2921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90" name="$BK$117">
            <a:extLst>
              <a:ext uri="{FF2B5EF4-FFF2-40B4-BE49-F238E27FC236}">
                <a16:creationId xmlns:a16="http://schemas.microsoft.com/office/drawing/2014/main" id="{00000000-0008-0000-1300-00006A0C4300}"/>
              </a:ext>
            </a:extLst>
          </xdr:cNvPr>
          <xdr:cNvSpPr/>
        </xdr:nvSpPr>
        <xdr:spPr>
          <a:xfrm>
            <a:off x="3048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91" name="$BK$117">
            <a:extLst>
              <a:ext uri="{FF2B5EF4-FFF2-40B4-BE49-F238E27FC236}">
                <a16:creationId xmlns:a16="http://schemas.microsoft.com/office/drawing/2014/main" id="{00000000-0008-0000-1300-00006B0C4300}"/>
              </a:ext>
            </a:extLst>
          </xdr:cNvPr>
          <xdr:cNvSpPr/>
        </xdr:nvSpPr>
        <xdr:spPr>
          <a:xfrm>
            <a:off x="3302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92" name="$BK$117">
            <a:extLst>
              <a:ext uri="{FF2B5EF4-FFF2-40B4-BE49-F238E27FC236}">
                <a16:creationId xmlns:a16="http://schemas.microsoft.com/office/drawing/2014/main" id="{00000000-0008-0000-1300-00006C0C4300}"/>
              </a:ext>
            </a:extLst>
          </xdr:cNvPr>
          <xdr:cNvSpPr/>
        </xdr:nvSpPr>
        <xdr:spPr>
          <a:xfrm>
            <a:off x="508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93" name="$BK$117">
            <a:extLst>
              <a:ext uri="{FF2B5EF4-FFF2-40B4-BE49-F238E27FC236}">
                <a16:creationId xmlns:a16="http://schemas.microsoft.com/office/drawing/2014/main" id="{00000000-0008-0000-1300-00006D0C4300}"/>
              </a:ext>
            </a:extLst>
          </xdr:cNvPr>
          <xdr:cNvSpPr/>
        </xdr:nvSpPr>
        <xdr:spPr>
          <a:xfrm>
            <a:off x="762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94" name="$BK$117">
            <a:extLst>
              <a:ext uri="{FF2B5EF4-FFF2-40B4-BE49-F238E27FC236}">
                <a16:creationId xmlns:a16="http://schemas.microsoft.com/office/drawing/2014/main" id="{00000000-0008-0000-1300-00006E0C4300}"/>
              </a:ext>
            </a:extLst>
          </xdr:cNvPr>
          <xdr:cNvSpPr/>
        </xdr:nvSpPr>
        <xdr:spPr>
          <a:xfrm>
            <a:off x="889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95" name="$BK$117">
            <a:extLst>
              <a:ext uri="{FF2B5EF4-FFF2-40B4-BE49-F238E27FC236}">
                <a16:creationId xmlns:a16="http://schemas.microsoft.com/office/drawing/2014/main" id="{00000000-0008-0000-1300-00006F0C4300}"/>
              </a:ext>
            </a:extLst>
          </xdr:cNvPr>
          <xdr:cNvSpPr/>
        </xdr:nvSpPr>
        <xdr:spPr>
          <a:xfrm>
            <a:off x="1143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96" name="$BK$117">
            <a:extLst>
              <a:ext uri="{FF2B5EF4-FFF2-40B4-BE49-F238E27FC236}">
                <a16:creationId xmlns:a16="http://schemas.microsoft.com/office/drawing/2014/main" id="{00000000-0008-0000-1300-0000700C4300}"/>
              </a:ext>
            </a:extLst>
          </xdr:cNvPr>
          <xdr:cNvSpPr/>
        </xdr:nvSpPr>
        <xdr:spPr>
          <a:xfrm>
            <a:off x="1270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97" name="$BK$117">
            <a:extLst>
              <a:ext uri="{FF2B5EF4-FFF2-40B4-BE49-F238E27FC236}">
                <a16:creationId xmlns:a16="http://schemas.microsoft.com/office/drawing/2014/main" id="{00000000-0008-0000-1300-0000710C4300}"/>
              </a:ext>
            </a:extLst>
          </xdr:cNvPr>
          <xdr:cNvSpPr/>
        </xdr:nvSpPr>
        <xdr:spPr>
          <a:xfrm>
            <a:off x="1397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98" name="$BK$117">
            <a:extLst>
              <a:ext uri="{FF2B5EF4-FFF2-40B4-BE49-F238E27FC236}">
                <a16:creationId xmlns:a16="http://schemas.microsoft.com/office/drawing/2014/main" id="{00000000-0008-0000-1300-0000720C4300}"/>
              </a:ext>
            </a:extLst>
          </xdr:cNvPr>
          <xdr:cNvSpPr/>
        </xdr:nvSpPr>
        <xdr:spPr>
          <a:xfrm>
            <a:off x="1651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99" name="$BK$117">
            <a:extLst>
              <a:ext uri="{FF2B5EF4-FFF2-40B4-BE49-F238E27FC236}">
                <a16:creationId xmlns:a16="http://schemas.microsoft.com/office/drawing/2014/main" id="{00000000-0008-0000-1300-0000730C4300}"/>
              </a:ext>
            </a:extLst>
          </xdr:cNvPr>
          <xdr:cNvSpPr/>
        </xdr:nvSpPr>
        <xdr:spPr>
          <a:xfrm>
            <a:off x="1778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00" name="$BK$117">
            <a:extLst>
              <a:ext uri="{FF2B5EF4-FFF2-40B4-BE49-F238E27FC236}">
                <a16:creationId xmlns:a16="http://schemas.microsoft.com/office/drawing/2014/main" id="{00000000-0008-0000-1300-0000740C4300}"/>
              </a:ext>
            </a:extLst>
          </xdr:cNvPr>
          <xdr:cNvSpPr/>
        </xdr:nvSpPr>
        <xdr:spPr>
          <a:xfrm>
            <a:off x="1905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01" name="$BK$117">
            <a:extLst>
              <a:ext uri="{FF2B5EF4-FFF2-40B4-BE49-F238E27FC236}">
                <a16:creationId xmlns:a16="http://schemas.microsoft.com/office/drawing/2014/main" id="{00000000-0008-0000-1300-0000750C4300}"/>
              </a:ext>
            </a:extLst>
          </xdr:cNvPr>
          <xdr:cNvSpPr/>
        </xdr:nvSpPr>
        <xdr:spPr>
          <a:xfrm>
            <a:off x="2032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02" name="$BK$117">
            <a:extLst>
              <a:ext uri="{FF2B5EF4-FFF2-40B4-BE49-F238E27FC236}">
                <a16:creationId xmlns:a16="http://schemas.microsoft.com/office/drawing/2014/main" id="{00000000-0008-0000-1300-0000760C4300}"/>
              </a:ext>
            </a:extLst>
          </xdr:cNvPr>
          <xdr:cNvSpPr/>
        </xdr:nvSpPr>
        <xdr:spPr>
          <a:xfrm>
            <a:off x="2159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03" name="$BK$117">
            <a:extLst>
              <a:ext uri="{FF2B5EF4-FFF2-40B4-BE49-F238E27FC236}">
                <a16:creationId xmlns:a16="http://schemas.microsoft.com/office/drawing/2014/main" id="{00000000-0008-0000-1300-0000770C4300}"/>
              </a:ext>
            </a:extLst>
          </xdr:cNvPr>
          <xdr:cNvSpPr/>
        </xdr:nvSpPr>
        <xdr:spPr>
          <a:xfrm>
            <a:off x="2667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04" name="$BK$117">
            <a:extLst>
              <a:ext uri="{FF2B5EF4-FFF2-40B4-BE49-F238E27FC236}">
                <a16:creationId xmlns:a16="http://schemas.microsoft.com/office/drawing/2014/main" id="{00000000-0008-0000-1300-0000780C4300}"/>
              </a:ext>
            </a:extLst>
          </xdr:cNvPr>
          <xdr:cNvSpPr/>
        </xdr:nvSpPr>
        <xdr:spPr>
          <a:xfrm>
            <a:off x="2794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05" name="$BK$117">
            <a:extLst>
              <a:ext uri="{FF2B5EF4-FFF2-40B4-BE49-F238E27FC236}">
                <a16:creationId xmlns:a16="http://schemas.microsoft.com/office/drawing/2014/main" id="{00000000-0008-0000-1300-0000790C4300}"/>
              </a:ext>
            </a:extLst>
          </xdr:cNvPr>
          <xdr:cNvSpPr/>
        </xdr:nvSpPr>
        <xdr:spPr>
          <a:xfrm>
            <a:off x="2921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06" name="$BK$117">
            <a:extLst>
              <a:ext uri="{FF2B5EF4-FFF2-40B4-BE49-F238E27FC236}">
                <a16:creationId xmlns:a16="http://schemas.microsoft.com/office/drawing/2014/main" id="{00000000-0008-0000-1300-00007A0C4300}"/>
              </a:ext>
            </a:extLst>
          </xdr:cNvPr>
          <xdr:cNvSpPr/>
        </xdr:nvSpPr>
        <xdr:spPr>
          <a:xfrm>
            <a:off x="3048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07" name="$BK$117">
            <a:extLst>
              <a:ext uri="{FF2B5EF4-FFF2-40B4-BE49-F238E27FC236}">
                <a16:creationId xmlns:a16="http://schemas.microsoft.com/office/drawing/2014/main" id="{00000000-0008-0000-1300-00007B0C4300}"/>
              </a:ext>
            </a:extLst>
          </xdr:cNvPr>
          <xdr:cNvSpPr/>
        </xdr:nvSpPr>
        <xdr:spPr>
          <a:xfrm>
            <a:off x="3175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08" name="$BK$117">
            <a:extLst>
              <a:ext uri="{FF2B5EF4-FFF2-40B4-BE49-F238E27FC236}">
                <a16:creationId xmlns:a16="http://schemas.microsoft.com/office/drawing/2014/main" id="{00000000-0008-0000-1300-00007C0C4300}"/>
              </a:ext>
            </a:extLst>
          </xdr:cNvPr>
          <xdr:cNvSpPr/>
        </xdr:nvSpPr>
        <xdr:spPr>
          <a:xfrm>
            <a:off x="3556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09" name="$BK$117">
            <a:extLst>
              <a:ext uri="{FF2B5EF4-FFF2-40B4-BE49-F238E27FC236}">
                <a16:creationId xmlns:a16="http://schemas.microsoft.com/office/drawing/2014/main" id="{00000000-0008-0000-1300-00007D0C4300}"/>
              </a:ext>
            </a:extLst>
          </xdr:cNvPr>
          <xdr:cNvSpPr/>
        </xdr:nvSpPr>
        <xdr:spPr>
          <a:xfrm>
            <a:off x="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10" name="$BK$117">
            <a:extLst>
              <a:ext uri="{FF2B5EF4-FFF2-40B4-BE49-F238E27FC236}">
                <a16:creationId xmlns:a16="http://schemas.microsoft.com/office/drawing/2014/main" id="{00000000-0008-0000-1300-00007E0C4300}"/>
              </a:ext>
            </a:extLst>
          </xdr:cNvPr>
          <xdr:cNvSpPr/>
        </xdr:nvSpPr>
        <xdr:spPr>
          <a:xfrm>
            <a:off x="508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11" name="$BK$117">
            <a:extLst>
              <a:ext uri="{FF2B5EF4-FFF2-40B4-BE49-F238E27FC236}">
                <a16:creationId xmlns:a16="http://schemas.microsoft.com/office/drawing/2014/main" id="{00000000-0008-0000-1300-00007F0C4300}"/>
              </a:ext>
            </a:extLst>
          </xdr:cNvPr>
          <xdr:cNvSpPr/>
        </xdr:nvSpPr>
        <xdr:spPr>
          <a:xfrm>
            <a:off x="889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12" name="$BK$117">
            <a:extLst>
              <a:ext uri="{FF2B5EF4-FFF2-40B4-BE49-F238E27FC236}">
                <a16:creationId xmlns:a16="http://schemas.microsoft.com/office/drawing/2014/main" id="{00000000-0008-0000-1300-0000800C4300}"/>
              </a:ext>
            </a:extLst>
          </xdr:cNvPr>
          <xdr:cNvSpPr/>
        </xdr:nvSpPr>
        <xdr:spPr>
          <a:xfrm>
            <a:off x="1143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13" name="$BK$117">
            <a:extLst>
              <a:ext uri="{FF2B5EF4-FFF2-40B4-BE49-F238E27FC236}">
                <a16:creationId xmlns:a16="http://schemas.microsoft.com/office/drawing/2014/main" id="{00000000-0008-0000-1300-0000810C4300}"/>
              </a:ext>
            </a:extLst>
          </xdr:cNvPr>
          <xdr:cNvSpPr/>
        </xdr:nvSpPr>
        <xdr:spPr>
          <a:xfrm>
            <a:off x="1270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14" name="$BK$117">
            <a:extLst>
              <a:ext uri="{FF2B5EF4-FFF2-40B4-BE49-F238E27FC236}">
                <a16:creationId xmlns:a16="http://schemas.microsoft.com/office/drawing/2014/main" id="{00000000-0008-0000-1300-0000820C4300}"/>
              </a:ext>
            </a:extLst>
          </xdr:cNvPr>
          <xdr:cNvSpPr/>
        </xdr:nvSpPr>
        <xdr:spPr>
          <a:xfrm>
            <a:off x="1524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15" name="$BK$117">
            <a:extLst>
              <a:ext uri="{FF2B5EF4-FFF2-40B4-BE49-F238E27FC236}">
                <a16:creationId xmlns:a16="http://schemas.microsoft.com/office/drawing/2014/main" id="{00000000-0008-0000-1300-0000830C4300}"/>
              </a:ext>
            </a:extLst>
          </xdr:cNvPr>
          <xdr:cNvSpPr/>
        </xdr:nvSpPr>
        <xdr:spPr>
          <a:xfrm>
            <a:off x="1651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16" name="$BK$117">
            <a:extLst>
              <a:ext uri="{FF2B5EF4-FFF2-40B4-BE49-F238E27FC236}">
                <a16:creationId xmlns:a16="http://schemas.microsoft.com/office/drawing/2014/main" id="{00000000-0008-0000-1300-0000840C4300}"/>
              </a:ext>
            </a:extLst>
          </xdr:cNvPr>
          <xdr:cNvSpPr/>
        </xdr:nvSpPr>
        <xdr:spPr>
          <a:xfrm>
            <a:off x="2032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17" name="$BK$117">
            <a:extLst>
              <a:ext uri="{FF2B5EF4-FFF2-40B4-BE49-F238E27FC236}">
                <a16:creationId xmlns:a16="http://schemas.microsoft.com/office/drawing/2014/main" id="{00000000-0008-0000-1300-0000850C4300}"/>
              </a:ext>
            </a:extLst>
          </xdr:cNvPr>
          <xdr:cNvSpPr/>
        </xdr:nvSpPr>
        <xdr:spPr>
          <a:xfrm>
            <a:off x="2159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18" name="$BK$117">
            <a:extLst>
              <a:ext uri="{FF2B5EF4-FFF2-40B4-BE49-F238E27FC236}">
                <a16:creationId xmlns:a16="http://schemas.microsoft.com/office/drawing/2014/main" id="{00000000-0008-0000-1300-0000860C4300}"/>
              </a:ext>
            </a:extLst>
          </xdr:cNvPr>
          <xdr:cNvSpPr/>
        </xdr:nvSpPr>
        <xdr:spPr>
          <a:xfrm>
            <a:off x="2667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19" name="$BK$117">
            <a:extLst>
              <a:ext uri="{FF2B5EF4-FFF2-40B4-BE49-F238E27FC236}">
                <a16:creationId xmlns:a16="http://schemas.microsoft.com/office/drawing/2014/main" id="{00000000-0008-0000-1300-0000870C4300}"/>
              </a:ext>
            </a:extLst>
          </xdr:cNvPr>
          <xdr:cNvSpPr/>
        </xdr:nvSpPr>
        <xdr:spPr>
          <a:xfrm>
            <a:off x="2794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20" name="$BK$117">
            <a:extLst>
              <a:ext uri="{FF2B5EF4-FFF2-40B4-BE49-F238E27FC236}">
                <a16:creationId xmlns:a16="http://schemas.microsoft.com/office/drawing/2014/main" id="{00000000-0008-0000-1300-0000880C4300}"/>
              </a:ext>
            </a:extLst>
          </xdr:cNvPr>
          <xdr:cNvSpPr/>
        </xdr:nvSpPr>
        <xdr:spPr>
          <a:xfrm>
            <a:off x="3175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21" name="$BK$117">
            <a:extLst>
              <a:ext uri="{FF2B5EF4-FFF2-40B4-BE49-F238E27FC236}">
                <a16:creationId xmlns:a16="http://schemas.microsoft.com/office/drawing/2014/main" id="{00000000-0008-0000-1300-0000890C4300}"/>
              </a:ext>
            </a:extLst>
          </xdr:cNvPr>
          <xdr:cNvSpPr/>
        </xdr:nvSpPr>
        <xdr:spPr>
          <a:xfrm>
            <a:off x="254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22" name="$BK$117">
            <a:extLst>
              <a:ext uri="{FF2B5EF4-FFF2-40B4-BE49-F238E27FC236}">
                <a16:creationId xmlns:a16="http://schemas.microsoft.com/office/drawing/2014/main" id="{00000000-0008-0000-1300-00008A0C4300}"/>
              </a:ext>
            </a:extLst>
          </xdr:cNvPr>
          <xdr:cNvSpPr/>
        </xdr:nvSpPr>
        <xdr:spPr>
          <a:xfrm>
            <a:off x="635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23" name="$BK$117">
            <a:extLst>
              <a:ext uri="{FF2B5EF4-FFF2-40B4-BE49-F238E27FC236}">
                <a16:creationId xmlns:a16="http://schemas.microsoft.com/office/drawing/2014/main" id="{00000000-0008-0000-1300-00008B0C4300}"/>
              </a:ext>
            </a:extLst>
          </xdr:cNvPr>
          <xdr:cNvSpPr/>
        </xdr:nvSpPr>
        <xdr:spPr>
          <a:xfrm>
            <a:off x="762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24" name="$BK$117">
            <a:extLst>
              <a:ext uri="{FF2B5EF4-FFF2-40B4-BE49-F238E27FC236}">
                <a16:creationId xmlns:a16="http://schemas.microsoft.com/office/drawing/2014/main" id="{00000000-0008-0000-1300-00008C0C4300}"/>
              </a:ext>
            </a:extLst>
          </xdr:cNvPr>
          <xdr:cNvSpPr/>
        </xdr:nvSpPr>
        <xdr:spPr>
          <a:xfrm>
            <a:off x="889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25" name="$BK$117">
            <a:extLst>
              <a:ext uri="{FF2B5EF4-FFF2-40B4-BE49-F238E27FC236}">
                <a16:creationId xmlns:a16="http://schemas.microsoft.com/office/drawing/2014/main" id="{00000000-0008-0000-1300-00008D0C4300}"/>
              </a:ext>
            </a:extLst>
          </xdr:cNvPr>
          <xdr:cNvSpPr/>
        </xdr:nvSpPr>
        <xdr:spPr>
          <a:xfrm>
            <a:off x="1016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26" name="$BK$117">
            <a:extLst>
              <a:ext uri="{FF2B5EF4-FFF2-40B4-BE49-F238E27FC236}">
                <a16:creationId xmlns:a16="http://schemas.microsoft.com/office/drawing/2014/main" id="{00000000-0008-0000-1300-00008E0C4300}"/>
              </a:ext>
            </a:extLst>
          </xdr:cNvPr>
          <xdr:cNvSpPr/>
        </xdr:nvSpPr>
        <xdr:spPr>
          <a:xfrm>
            <a:off x="1143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27" name="$BK$117">
            <a:extLst>
              <a:ext uri="{FF2B5EF4-FFF2-40B4-BE49-F238E27FC236}">
                <a16:creationId xmlns:a16="http://schemas.microsoft.com/office/drawing/2014/main" id="{00000000-0008-0000-1300-00008F0C4300}"/>
              </a:ext>
            </a:extLst>
          </xdr:cNvPr>
          <xdr:cNvSpPr/>
        </xdr:nvSpPr>
        <xdr:spPr>
          <a:xfrm>
            <a:off x="1270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28" name="$BK$117">
            <a:extLst>
              <a:ext uri="{FF2B5EF4-FFF2-40B4-BE49-F238E27FC236}">
                <a16:creationId xmlns:a16="http://schemas.microsoft.com/office/drawing/2014/main" id="{00000000-0008-0000-1300-0000900C4300}"/>
              </a:ext>
            </a:extLst>
          </xdr:cNvPr>
          <xdr:cNvSpPr/>
        </xdr:nvSpPr>
        <xdr:spPr>
          <a:xfrm>
            <a:off x="1778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29" name="$BK$117">
            <a:extLst>
              <a:ext uri="{FF2B5EF4-FFF2-40B4-BE49-F238E27FC236}">
                <a16:creationId xmlns:a16="http://schemas.microsoft.com/office/drawing/2014/main" id="{00000000-0008-0000-1300-0000910C4300}"/>
              </a:ext>
            </a:extLst>
          </xdr:cNvPr>
          <xdr:cNvSpPr/>
        </xdr:nvSpPr>
        <xdr:spPr>
          <a:xfrm>
            <a:off x="1905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30" name="$BK$117">
            <a:extLst>
              <a:ext uri="{FF2B5EF4-FFF2-40B4-BE49-F238E27FC236}">
                <a16:creationId xmlns:a16="http://schemas.microsoft.com/office/drawing/2014/main" id="{00000000-0008-0000-1300-0000920C4300}"/>
              </a:ext>
            </a:extLst>
          </xdr:cNvPr>
          <xdr:cNvSpPr/>
        </xdr:nvSpPr>
        <xdr:spPr>
          <a:xfrm>
            <a:off x="2286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31" name="$BK$117">
            <a:extLst>
              <a:ext uri="{FF2B5EF4-FFF2-40B4-BE49-F238E27FC236}">
                <a16:creationId xmlns:a16="http://schemas.microsoft.com/office/drawing/2014/main" id="{00000000-0008-0000-1300-0000930C4300}"/>
              </a:ext>
            </a:extLst>
          </xdr:cNvPr>
          <xdr:cNvSpPr/>
        </xdr:nvSpPr>
        <xdr:spPr>
          <a:xfrm>
            <a:off x="2540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32" name="$BK$117">
            <a:extLst>
              <a:ext uri="{FF2B5EF4-FFF2-40B4-BE49-F238E27FC236}">
                <a16:creationId xmlns:a16="http://schemas.microsoft.com/office/drawing/2014/main" id="{00000000-0008-0000-1300-0000940C4300}"/>
              </a:ext>
            </a:extLst>
          </xdr:cNvPr>
          <xdr:cNvSpPr/>
        </xdr:nvSpPr>
        <xdr:spPr>
          <a:xfrm>
            <a:off x="3556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33" name="$BK$117">
            <a:extLst>
              <a:ext uri="{FF2B5EF4-FFF2-40B4-BE49-F238E27FC236}">
                <a16:creationId xmlns:a16="http://schemas.microsoft.com/office/drawing/2014/main" id="{00000000-0008-0000-1300-0000950C4300}"/>
              </a:ext>
            </a:extLst>
          </xdr:cNvPr>
          <xdr:cNvSpPr/>
        </xdr:nvSpPr>
        <xdr:spPr>
          <a:xfrm>
            <a:off x="127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34" name="$BK$117">
            <a:extLst>
              <a:ext uri="{FF2B5EF4-FFF2-40B4-BE49-F238E27FC236}">
                <a16:creationId xmlns:a16="http://schemas.microsoft.com/office/drawing/2014/main" id="{00000000-0008-0000-1300-0000960C4300}"/>
              </a:ext>
            </a:extLst>
          </xdr:cNvPr>
          <xdr:cNvSpPr/>
        </xdr:nvSpPr>
        <xdr:spPr>
          <a:xfrm>
            <a:off x="381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35" name="$BK$117">
            <a:extLst>
              <a:ext uri="{FF2B5EF4-FFF2-40B4-BE49-F238E27FC236}">
                <a16:creationId xmlns:a16="http://schemas.microsoft.com/office/drawing/2014/main" id="{00000000-0008-0000-1300-0000970C4300}"/>
              </a:ext>
            </a:extLst>
          </xdr:cNvPr>
          <xdr:cNvSpPr/>
        </xdr:nvSpPr>
        <xdr:spPr>
          <a:xfrm>
            <a:off x="508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36" name="$BK$117">
            <a:extLst>
              <a:ext uri="{FF2B5EF4-FFF2-40B4-BE49-F238E27FC236}">
                <a16:creationId xmlns:a16="http://schemas.microsoft.com/office/drawing/2014/main" id="{00000000-0008-0000-1300-0000980C4300}"/>
              </a:ext>
            </a:extLst>
          </xdr:cNvPr>
          <xdr:cNvSpPr/>
        </xdr:nvSpPr>
        <xdr:spPr>
          <a:xfrm>
            <a:off x="1270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37" name="$BK$117">
            <a:extLst>
              <a:ext uri="{FF2B5EF4-FFF2-40B4-BE49-F238E27FC236}">
                <a16:creationId xmlns:a16="http://schemas.microsoft.com/office/drawing/2014/main" id="{00000000-0008-0000-1300-0000990C4300}"/>
              </a:ext>
            </a:extLst>
          </xdr:cNvPr>
          <xdr:cNvSpPr/>
        </xdr:nvSpPr>
        <xdr:spPr>
          <a:xfrm>
            <a:off x="1397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38" name="$BK$117">
            <a:extLst>
              <a:ext uri="{FF2B5EF4-FFF2-40B4-BE49-F238E27FC236}">
                <a16:creationId xmlns:a16="http://schemas.microsoft.com/office/drawing/2014/main" id="{00000000-0008-0000-1300-00009A0C4300}"/>
              </a:ext>
            </a:extLst>
          </xdr:cNvPr>
          <xdr:cNvSpPr/>
        </xdr:nvSpPr>
        <xdr:spPr>
          <a:xfrm>
            <a:off x="1524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39" name="$BK$117">
            <a:extLst>
              <a:ext uri="{FF2B5EF4-FFF2-40B4-BE49-F238E27FC236}">
                <a16:creationId xmlns:a16="http://schemas.microsoft.com/office/drawing/2014/main" id="{00000000-0008-0000-1300-00009B0C4300}"/>
              </a:ext>
            </a:extLst>
          </xdr:cNvPr>
          <xdr:cNvSpPr/>
        </xdr:nvSpPr>
        <xdr:spPr>
          <a:xfrm>
            <a:off x="1651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40" name="$BK$117">
            <a:extLst>
              <a:ext uri="{FF2B5EF4-FFF2-40B4-BE49-F238E27FC236}">
                <a16:creationId xmlns:a16="http://schemas.microsoft.com/office/drawing/2014/main" id="{00000000-0008-0000-1300-00009C0C4300}"/>
              </a:ext>
            </a:extLst>
          </xdr:cNvPr>
          <xdr:cNvSpPr/>
        </xdr:nvSpPr>
        <xdr:spPr>
          <a:xfrm>
            <a:off x="1778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41" name="$BK$117">
            <a:extLst>
              <a:ext uri="{FF2B5EF4-FFF2-40B4-BE49-F238E27FC236}">
                <a16:creationId xmlns:a16="http://schemas.microsoft.com/office/drawing/2014/main" id="{00000000-0008-0000-1300-00009D0C4300}"/>
              </a:ext>
            </a:extLst>
          </xdr:cNvPr>
          <xdr:cNvSpPr/>
        </xdr:nvSpPr>
        <xdr:spPr>
          <a:xfrm>
            <a:off x="1905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42" name="$BK$117">
            <a:extLst>
              <a:ext uri="{FF2B5EF4-FFF2-40B4-BE49-F238E27FC236}">
                <a16:creationId xmlns:a16="http://schemas.microsoft.com/office/drawing/2014/main" id="{00000000-0008-0000-1300-00009E0C4300}"/>
              </a:ext>
            </a:extLst>
          </xdr:cNvPr>
          <xdr:cNvSpPr/>
        </xdr:nvSpPr>
        <xdr:spPr>
          <a:xfrm>
            <a:off x="2032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43" name="$BK$117">
            <a:extLst>
              <a:ext uri="{FF2B5EF4-FFF2-40B4-BE49-F238E27FC236}">
                <a16:creationId xmlns:a16="http://schemas.microsoft.com/office/drawing/2014/main" id="{00000000-0008-0000-1300-00009F0C4300}"/>
              </a:ext>
            </a:extLst>
          </xdr:cNvPr>
          <xdr:cNvSpPr/>
        </xdr:nvSpPr>
        <xdr:spPr>
          <a:xfrm>
            <a:off x="2159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44" name="$BK$117">
            <a:extLst>
              <a:ext uri="{FF2B5EF4-FFF2-40B4-BE49-F238E27FC236}">
                <a16:creationId xmlns:a16="http://schemas.microsoft.com/office/drawing/2014/main" id="{00000000-0008-0000-1300-0000A00C4300}"/>
              </a:ext>
            </a:extLst>
          </xdr:cNvPr>
          <xdr:cNvSpPr/>
        </xdr:nvSpPr>
        <xdr:spPr>
          <a:xfrm>
            <a:off x="2286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45" name="$BK$117">
            <a:extLst>
              <a:ext uri="{FF2B5EF4-FFF2-40B4-BE49-F238E27FC236}">
                <a16:creationId xmlns:a16="http://schemas.microsoft.com/office/drawing/2014/main" id="{00000000-0008-0000-1300-0000A10C4300}"/>
              </a:ext>
            </a:extLst>
          </xdr:cNvPr>
          <xdr:cNvSpPr/>
        </xdr:nvSpPr>
        <xdr:spPr>
          <a:xfrm>
            <a:off x="2794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46" name="$BK$117">
            <a:extLst>
              <a:ext uri="{FF2B5EF4-FFF2-40B4-BE49-F238E27FC236}">
                <a16:creationId xmlns:a16="http://schemas.microsoft.com/office/drawing/2014/main" id="{00000000-0008-0000-1300-0000A20C4300}"/>
              </a:ext>
            </a:extLst>
          </xdr:cNvPr>
          <xdr:cNvSpPr/>
        </xdr:nvSpPr>
        <xdr:spPr>
          <a:xfrm>
            <a:off x="3048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47" name="$BK$117">
            <a:extLst>
              <a:ext uri="{FF2B5EF4-FFF2-40B4-BE49-F238E27FC236}">
                <a16:creationId xmlns:a16="http://schemas.microsoft.com/office/drawing/2014/main" id="{00000000-0008-0000-1300-0000A30C4300}"/>
              </a:ext>
            </a:extLst>
          </xdr:cNvPr>
          <xdr:cNvSpPr/>
        </xdr:nvSpPr>
        <xdr:spPr>
          <a:xfrm>
            <a:off x="3429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48" name="$BK$117">
            <a:extLst>
              <a:ext uri="{FF2B5EF4-FFF2-40B4-BE49-F238E27FC236}">
                <a16:creationId xmlns:a16="http://schemas.microsoft.com/office/drawing/2014/main" id="{00000000-0008-0000-1300-0000A40C4300}"/>
              </a:ext>
            </a:extLst>
          </xdr:cNvPr>
          <xdr:cNvSpPr/>
        </xdr:nvSpPr>
        <xdr:spPr>
          <a:xfrm>
            <a:off x="127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49" name="$BK$117">
            <a:extLst>
              <a:ext uri="{FF2B5EF4-FFF2-40B4-BE49-F238E27FC236}">
                <a16:creationId xmlns:a16="http://schemas.microsoft.com/office/drawing/2014/main" id="{00000000-0008-0000-1300-0000A50C4300}"/>
              </a:ext>
            </a:extLst>
          </xdr:cNvPr>
          <xdr:cNvSpPr/>
        </xdr:nvSpPr>
        <xdr:spPr>
          <a:xfrm>
            <a:off x="635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50" name="$BK$117">
            <a:extLst>
              <a:ext uri="{FF2B5EF4-FFF2-40B4-BE49-F238E27FC236}">
                <a16:creationId xmlns:a16="http://schemas.microsoft.com/office/drawing/2014/main" id="{00000000-0008-0000-1300-0000A60C4300}"/>
              </a:ext>
            </a:extLst>
          </xdr:cNvPr>
          <xdr:cNvSpPr/>
        </xdr:nvSpPr>
        <xdr:spPr>
          <a:xfrm>
            <a:off x="762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51" name="$BK$117">
            <a:extLst>
              <a:ext uri="{FF2B5EF4-FFF2-40B4-BE49-F238E27FC236}">
                <a16:creationId xmlns:a16="http://schemas.microsoft.com/office/drawing/2014/main" id="{00000000-0008-0000-1300-0000A70C4300}"/>
              </a:ext>
            </a:extLst>
          </xdr:cNvPr>
          <xdr:cNvSpPr/>
        </xdr:nvSpPr>
        <xdr:spPr>
          <a:xfrm>
            <a:off x="1016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52" name="$BK$117">
            <a:extLst>
              <a:ext uri="{FF2B5EF4-FFF2-40B4-BE49-F238E27FC236}">
                <a16:creationId xmlns:a16="http://schemas.microsoft.com/office/drawing/2014/main" id="{00000000-0008-0000-1300-0000A80C4300}"/>
              </a:ext>
            </a:extLst>
          </xdr:cNvPr>
          <xdr:cNvSpPr/>
        </xdr:nvSpPr>
        <xdr:spPr>
          <a:xfrm>
            <a:off x="1143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53" name="$BK$117">
            <a:extLst>
              <a:ext uri="{FF2B5EF4-FFF2-40B4-BE49-F238E27FC236}">
                <a16:creationId xmlns:a16="http://schemas.microsoft.com/office/drawing/2014/main" id="{00000000-0008-0000-1300-0000A90C4300}"/>
              </a:ext>
            </a:extLst>
          </xdr:cNvPr>
          <xdr:cNvSpPr/>
        </xdr:nvSpPr>
        <xdr:spPr>
          <a:xfrm>
            <a:off x="1524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54" name="$BK$117">
            <a:extLst>
              <a:ext uri="{FF2B5EF4-FFF2-40B4-BE49-F238E27FC236}">
                <a16:creationId xmlns:a16="http://schemas.microsoft.com/office/drawing/2014/main" id="{00000000-0008-0000-1300-0000AA0C4300}"/>
              </a:ext>
            </a:extLst>
          </xdr:cNvPr>
          <xdr:cNvSpPr/>
        </xdr:nvSpPr>
        <xdr:spPr>
          <a:xfrm>
            <a:off x="1651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55" name="$BK$117">
            <a:extLst>
              <a:ext uri="{FF2B5EF4-FFF2-40B4-BE49-F238E27FC236}">
                <a16:creationId xmlns:a16="http://schemas.microsoft.com/office/drawing/2014/main" id="{00000000-0008-0000-1300-0000AB0C4300}"/>
              </a:ext>
            </a:extLst>
          </xdr:cNvPr>
          <xdr:cNvSpPr/>
        </xdr:nvSpPr>
        <xdr:spPr>
          <a:xfrm>
            <a:off x="1778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56" name="$BK$117">
            <a:extLst>
              <a:ext uri="{FF2B5EF4-FFF2-40B4-BE49-F238E27FC236}">
                <a16:creationId xmlns:a16="http://schemas.microsoft.com/office/drawing/2014/main" id="{00000000-0008-0000-1300-0000AC0C4300}"/>
              </a:ext>
            </a:extLst>
          </xdr:cNvPr>
          <xdr:cNvSpPr/>
        </xdr:nvSpPr>
        <xdr:spPr>
          <a:xfrm>
            <a:off x="1905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57" name="$BK$117">
            <a:extLst>
              <a:ext uri="{FF2B5EF4-FFF2-40B4-BE49-F238E27FC236}">
                <a16:creationId xmlns:a16="http://schemas.microsoft.com/office/drawing/2014/main" id="{00000000-0008-0000-1300-0000AD0C4300}"/>
              </a:ext>
            </a:extLst>
          </xdr:cNvPr>
          <xdr:cNvSpPr/>
        </xdr:nvSpPr>
        <xdr:spPr>
          <a:xfrm>
            <a:off x="2159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58" name="$BK$117">
            <a:extLst>
              <a:ext uri="{FF2B5EF4-FFF2-40B4-BE49-F238E27FC236}">
                <a16:creationId xmlns:a16="http://schemas.microsoft.com/office/drawing/2014/main" id="{00000000-0008-0000-1300-0000AE0C4300}"/>
              </a:ext>
            </a:extLst>
          </xdr:cNvPr>
          <xdr:cNvSpPr/>
        </xdr:nvSpPr>
        <xdr:spPr>
          <a:xfrm>
            <a:off x="2286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59" name="$BK$117">
            <a:extLst>
              <a:ext uri="{FF2B5EF4-FFF2-40B4-BE49-F238E27FC236}">
                <a16:creationId xmlns:a16="http://schemas.microsoft.com/office/drawing/2014/main" id="{00000000-0008-0000-1300-0000AF0C4300}"/>
              </a:ext>
            </a:extLst>
          </xdr:cNvPr>
          <xdr:cNvSpPr/>
        </xdr:nvSpPr>
        <xdr:spPr>
          <a:xfrm>
            <a:off x="2413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60" name="$BK$117">
            <a:extLst>
              <a:ext uri="{FF2B5EF4-FFF2-40B4-BE49-F238E27FC236}">
                <a16:creationId xmlns:a16="http://schemas.microsoft.com/office/drawing/2014/main" id="{00000000-0008-0000-1300-0000B00C4300}"/>
              </a:ext>
            </a:extLst>
          </xdr:cNvPr>
          <xdr:cNvSpPr/>
        </xdr:nvSpPr>
        <xdr:spPr>
          <a:xfrm>
            <a:off x="2794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61" name="$BK$117">
            <a:extLst>
              <a:ext uri="{FF2B5EF4-FFF2-40B4-BE49-F238E27FC236}">
                <a16:creationId xmlns:a16="http://schemas.microsoft.com/office/drawing/2014/main" id="{00000000-0008-0000-1300-0000B10C4300}"/>
              </a:ext>
            </a:extLst>
          </xdr:cNvPr>
          <xdr:cNvSpPr/>
        </xdr:nvSpPr>
        <xdr:spPr>
          <a:xfrm>
            <a:off x="3302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62" name="$BK$117">
            <a:extLst>
              <a:ext uri="{FF2B5EF4-FFF2-40B4-BE49-F238E27FC236}">
                <a16:creationId xmlns:a16="http://schemas.microsoft.com/office/drawing/2014/main" id="{00000000-0008-0000-1300-0000B20C4300}"/>
              </a:ext>
            </a:extLst>
          </xdr:cNvPr>
          <xdr:cNvSpPr/>
        </xdr:nvSpPr>
        <xdr:spPr>
          <a:xfrm>
            <a:off x="3429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63" name="$BK$117">
            <a:extLst>
              <a:ext uri="{FF2B5EF4-FFF2-40B4-BE49-F238E27FC236}">
                <a16:creationId xmlns:a16="http://schemas.microsoft.com/office/drawing/2014/main" id="{00000000-0008-0000-1300-0000B30C4300}"/>
              </a:ext>
            </a:extLst>
          </xdr:cNvPr>
          <xdr:cNvSpPr/>
        </xdr:nvSpPr>
        <xdr:spPr>
          <a:xfrm>
            <a:off x="254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64" name="$BK$117">
            <a:extLst>
              <a:ext uri="{FF2B5EF4-FFF2-40B4-BE49-F238E27FC236}">
                <a16:creationId xmlns:a16="http://schemas.microsoft.com/office/drawing/2014/main" id="{00000000-0008-0000-1300-0000B40C4300}"/>
              </a:ext>
            </a:extLst>
          </xdr:cNvPr>
          <xdr:cNvSpPr/>
        </xdr:nvSpPr>
        <xdr:spPr>
          <a:xfrm>
            <a:off x="381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65" name="$BK$117">
            <a:extLst>
              <a:ext uri="{FF2B5EF4-FFF2-40B4-BE49-F238E27FC236}">
                <a16:creationId xmlns:a16="http://schemas.microsoft.com/office/drawing/2014/main" id="{00000000-0008-0000-1300-0000B50C4300}"/>
              </a:ext>
            </a:extLst>
          </xdr:cNvPr>
          <xdr:cNvSpPr/>
        </xdr:nvSpPr>
        <xdr:spPr>
          <a:xfrm>
            <a:off x="508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66" name="$BK$117">
            <a:extLst>
              <a:ext uri="{FF2B5EF4-FFF2-40B4-BE49-F238E27FC236}">
                <a16:creationId xmlns:a16="http://schemas.microsoft.com/office/drawing/2014/main" id="{00000000-0008-0000-1300-0000B60C4300}"/>
              </a:ext>
            </a:extLst>
          </xdr:cNvPr>
          <xdr:cNvSpPr/>
        </xdr:nvSpPr>
        <xdr:spPr>
          <a:xfrm>
            <a:off x="635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67" name="$BK$117">
            <a:extLst>
              <a:ext uri="{FF2B5EF4-FFF2-40B4-BE49-F238E27FC236}">
                <a16:creationId xmlns:a16="http://schemas.microsoft.com/office/drawing/2014/main" id="{00000000-0008-0000-1300-0000B70C4300}"/>
              </a:ext>
            </a:extLst>
          </xdr:cNvPr>
          <xdr:cNvSpPr/>
        </xdr:nvSpPr>
        <xdr:spPr>
          <a:xfrm>
            <a:off x="889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68" name="$BK$117">
            <a:extLst>
              <a:ext uri="{FF2B5EF4-FFF2-40B4-BE49-F238E27FC236}">
                <a16:creationId xmlns:a16="http://schemas.microsoft.com/office/drawing/2014/main" id="{00000000-0008-0000-1300-0000B80C4300}"/>
              </a:ext>
            </a:extLst>
          </xdr:cNvPr>
          <xdr:cNvSpPr/>
        </xdr:nvSpPr>
        <xdr:spPr>
          <a:xfrm>
            <a:off x="1016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69" name="$BK$117">
            <a:extLst>
              <a:ext uri="{FF2B5EF4-FFF2-40B4-BE49-F238E27FC236}">
                <a16:creationId xmlns:a16="http://schemas.microsoft.com/office/drawing/2014/main" id="{00000000-0008-0000-1300-0000B90C4300}"/>
              </a:ext>
            </a:extLst>
          </xdr:cNvPr>
          <xdr:cNvSpPr/>
        </xdr:nvSpPr>
        <xdr:spPr>
          <a:xfrm>
            <a:off x="1397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70" name="$BK$117">
            <a:extLst>
              <a:ext uri="{FF2B5EF4-FFF2-40B4-BE49-F238E27FC236}">
                <a16:creationId xmlns:a16="http://schemas.microsoft.com/office/drawing/2014/main" id="{00000000-0008-0000-1300-0000BA0C4300}"/>
              </a:ext>
            </a:extLst>
          </xdr:cNvPr>
          <xdr:cNvSpPr/>
        </xdr:nvSpPr>
        <xdr:spPr>
          <a:xfrm>
            <a:off x="1524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71" name="$BK$117">
            <a:extLst>
              <a:ext uri="{FF2B5EF4-FFF2-40B4-BE49-F238E27FC236}">
                <a16:creationId xmlns:a16="http://schemas.microsoft.com/office/drawing/2014/main" id="{00000000-0008-0000-1300-0000BB0C4300}"/>
              </a:ext>
            </a:extLst>
          </xdr:cNvPr>
          <xdr:cNvSpPr/>
        </xdr:nvSpPr>
        <xdr:spPr>
          <a:xfrm>
            <a:off x="1905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72" name="$BK$117">
            <a:extLst>
              <a:ext uri="{FF2B5EF4-FFF2-40B4-BE49-F238E27FC236}">
                <a16:creationId xmlns:a16="http://schemas.microsoft.com/office/drawing/2014/main" id="{00000000-0008-0000-1300-0000BC0C4300}"/>
              </a:ext>
            </a:extLst>
          </xdr:cNvPr>
          <xdr:cNvSpPr/>
        </xdr:nvSpPr>
        <xdr:spPr>
          <a:xfrm>
            <a:off x="2286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73" name="$BK$117">
            <a:extLst>
              <a:ext uri="{FF2B5EF4-FFF2-40B4-BE49-F238E27FC236}">
                <a16:creationId xmlns:a16="http://schemas.microsoft.com/office/drawing/2014/main" id="{00000000-0008-0000-1300-0000BD0C4300}"/>
              </a:ext>
            </a:extLst>
          </xdr:cNvPr>
          <xdr:cNvSpPr/>
        </xdr:nvSpPr>
        <xdr:spPr>
          <a:xfrm>
            <a:off x="2540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74" name="$BK$117">
            <a:extLst>
              <a:ext uri="{FF2B5EF4-FFF2-40B4-BE49-F238E27FC236}">
                <a16:creationId xmlns:a16="http://schemas.microsoft.com/office/drawing/2014/main" id="{00000000-0008-0000-1300-0000BE0C4300}"/>
              </a:ext>
            </a:extLst>
          </xdr:cNvPr>
          <xdr:cNvSpPr/>
        </xdr:nvSpPr>
        <xdr:spPr>
          <a:xfrm>
            <a:off x="2667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75" name="$BK$117">
            <a:extLst>
              <a:ext uri="{FF2B5EF4-FFF2-40B4-BE49-F238E27FC236}">
                <a16:creationId xmlns:a16="http://schemas.microsoft.com/office/drawing/2014/main" id="{00000000-0008-0000-1300-0000BF0C4300}"/>
              </a:ext>
            </a:extLst>
          </xdr:cNvPr>
          <xdr:cNvSpPr/>
        </xdr:nvSpPr>
        <xdr:spPr>
          <a:xfrm>
            <a:off x="3302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76" name="$BK$117">
            <a:extLst>
              <a:ext uri="{FF2B5EF4-FFF2-40B4-BE49-F238E27FC236}">
                <a16:creationId xmlns:a16="http://schemas.microsoft.com/office/drawing/2014/main" id="{00000000-0008-0000-1300-0000C00C4300}"/>
              </a:ext>
            </a:extLst>
          </xdr:cNvPr>
          <xdr:cNvSpPr/>
        </xdr:nvSpPr>
        <xdr:spPr>
          <a:xfrm>
            <a:off x="3429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77" name="$BK$117">
            <a:extLst>
              <a:ext uri="{FF2B5EF4-FFF2-40B4-BE49-F238E27FC236}">
                <a16:creationId xmlns:a16="http://schemas.microsoft.com/office/drawing/2014/main" id="{00000000-0008-0000-1300-0000C10C4300}"/>
              </a:ext>
            </a:extLst>
          </xdr:cNvPr>
          <xdr:cNvSpPr/>
        </xdr:nvSpPr>
        <xdr:spPr>
          <a:xfrm>
            <a:off x="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78" name="$BK$117">
            <a:extLst>
              <a:ext uri="{FF2B5EF4-FFF2-40B4-BE49-F238E27FC236}">
                <a16:creationId xmlns:a16="http://schemas.microsoft.com/office/drawing/2014/main" id="{00000000-0008-0000-1300-0000C20C4300}"/>
              </a:ext>
            </a:extLst>
          </xdr:cNvPr>
          <xdr:cNvSpPr/>
        </xdr:nvSpPr>
        <xdr:spPr>
          <a:xfrm>
            <a:off x="127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79" name="$BK$117">
            <a:extLst>
              <a:ext uri="{FF2B5EF4-FFF2-40B4-BE49-F238E27FC236}">
                <a16:creationId xmlns:a16="http://schemas.microsoft.com/office/drawing/2014/main" id="{00000000-0008-0000-1300-0000C30C4300}"/>
              </a:ext>
            </a:extLst>
          </xdr:cNvPr>
          <xdr:cNvSpPr/>
        </xdr:nvSpPr>
        <xdr:spPr>
          <a:xfrm>
            <a:off x="381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80" name="$BK$117">
            <a:extLst>
              <a:ext uri="{FF2B5EF4-FFF2-40B4-BE49-F238E27FC236}">
                <a16:creationId xmlns:a16="http://schemas.microsoft.com/office/drawing/2014/main" id="{00000000-0008-0000-1300-0000C40C4300}"/>
              </a:ext>
            </a:extLst>
          </xdr:cNvPr>
          <xdr:cNvSpPr/>
        </xdr:nvSpPr>
        <xdr:spPr>
          <a:xfrm>
            <a:off x="508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81" name="$BK$117">
            <a:extLst>
              <a:ext uri="{FF2B5EF4-FFF2-40B4-BE49-F238E27FC236}">
                <a16:creationId xmlns:a16="http://schemas.microsoft.com/office/drawing/2014/main" id="{00000000-0008-0000-1300-0000C50C4300}"/>
              </a:ext>
            </a:extLst>
          </xdr:cNvPr>
          <xdr:cNvSpPr/>
        </xdr:nvSpPr>
        <xdr:spPr>
          <a:xfrm>
            <a:off x="635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82" name="$BK$117">
            <a:extLst>
              <a:ext uri="{FF2B5EF4-FFF2-40B4-BE49-F238E27FC236}">
                <a16:creationId xmlns:a16="http://schemas.microsoft.com/office/drawing/2014/main" id="{00000000-0008-0000-1300-0000C60C4300}"/>
              </a:ext>
            </a:extLst>
          </xdr:cNvPr>
          <xdr:cNvSpPr/>
        </xdr:nvSpPr>
        <xdr:spPr>
          <a:xfrm>
            <a:off x="762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83" name="$BK$117">
            <a:extLst>
              <a:ext uri="{FF2B5EF4-FFF2-40B4-BE49-F238E27FC236}">
                <a16:creationId xmlns:a16="http://schemas.microsoft.com/office/drawing/2014/main" id="{00000000-0008-0000-1300-0000C70C4300}"/>
              </a:ext>
            </a:extLst>
          </xdr:cNvPr>
          <xdr:cNvSpPr/>
        </xdr:nvSpPr>
        <xdr:spPr>
          <a:xfrm>
            <a:off x="1397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84" name="$BK$117">
            <a:extLst>
              <a:ext uri="{FF2B5EF4-FFF2-40B4-BE49-F238E27FC236}">
                <a16:creationId xmlns:a16="http://schemas.microsoft.com/office/drawing/2014/main" id="{00000000-0008-0000-1300-0000C80C4300}"/>
              </a:ext>
            </a:extLst>
          </xdr:cNvPr>
          <xdr:cNvSpPr/>
        </xdr:nvSpPr>
        <xdr:spPr>
          <a:xfrm>
            <a:off x="1524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85" name="$BK$117">
            <a:extLst>
              <a:ext uri="{FF2B5EF4-FFF2-40B4-BE49-F238E27FC236}">
                <a16:creationId xmlns:a16="http://schemas.microsoft.com/office/drawing/2014/main" id="{00000000-0008-0000-1300-0000C90C4300}"/>
              </a:ext>
            </a:extLst>
          </xdr:cNvPr>
          <xdr:cNvSpPr/>
        </xdr:nvSpPr>
        <xdr:spPr>
          <a:xfrm>
            <a:off x="1651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86" name="$BK$117">
            <a:extLst>
              <a:ext uri="{FF2B5EF4-FFF2-40B4-BE49-F238E27FC236}">
                <a16:creationId xmlns:a16="http://schemas.microsoft.com/office/drawing/2014/main" id="{00000000-0008-0000-1300-0000CA0C4300}"/>
              </a:ext>
            </a:extLst>
          </xdr:cNvPr>
          <xdr:cNvSpPr/>
        </xdr:nvSpPr>
        <xdr:spPr>
          <a:xfrm>
            <a:off x="2159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87" name="$BK$117">
            <a:extLst>
              <a:ext uri="{FF2B5EF4-FFF2-40B4-BE49-F238E27FC236}">
                <a16:creationId xmlns:a16="http://schemas.microsoft.com/office/drawing/2014/main" id="{00000000-0008-0000-1300-0000CB0C4300}"/>
              </a:ext>
            </a:extLst>
          </xdr:cNvPr>
          <xdr:cNvSpPr/>
        </xdr:nvSpPr>
        <xdr:spPr>
          <a:xfrm>
            <a:off x="2667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88" name="$BK$117">
            <a:extLst>
              <a:ext uri="{FF2B5EF4-FFF2-40B4-BE49-F238E27FC236}">
                <a16:creationId xmlns:a16="http://schemas.microsoft.com/office/drawing/2014/main" id="{00000000-0008-0000-1300-0000CC0C4300}"/>
              </a:ext>
            </a:extLst>
          </xdr:cNvPr>
          <xdr:cNvSpPr/>
        </xdr:nvSpPr>
        <xdr:spPr>
          <a:xfrm>
            <a:off x="2794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89" name="$BK$117">
            <a:extLst>
              <a:ext uri="{FF2B5EF4-FFF2-40B4-BE49-F238E27FC236}">
                <a16:creationId xmlns:a16="http://schemas.microsoft.com/office/drawing/2014/main" id="{00000000-0008-0000-1300-0000CD0C4300}"/>
              </a:ext>
            </a:extLst>
          </xdr:cNvPr>
          <xdr:cNvSpPr/>
        </xdr:nvSpPr>
        <xdr:spPr>
          <a:xfrm>
            <a:off x="2921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90" name="$BK$117">
            <a:extLst>
              <a:ext uri="{FF2B5EF4-FFF2-40B4-BE49-F238E27FC236}">
                <a16:creationId xmlns:a16="http://schemas.microsoft.com/office/drawing/2014/main" id="{00000000-0008-0000-1300-0000CE0C4300}"/>
              </a:ext>
            </a:extLst>
          </xdr:cNvPr>
          <xdr:cNvSpPr/>
        </xdr:nvSpPr>
        <xdr:spPr>
          <a:xfrm>
            <a:off x="3175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91" name="$BK$117">
            <a:extLst>
              <a:ext uri="{FF2B5EF4-FFF2-40B4-BE49-F238E27FC236}">
                <a16:creationId xmlns:a16="http://schemas.microsoft.com/office/drawing/2014/main" id="{00000000-0008-0000-1300-0000CF0C4300}"/>
              </a:ext>
            </a:extLst>
          </xdr:cNvPr>
          <xdr:cNvSpPr/>
        </xdr:nvSpPr>
        <xdr:spPr>
          <a:xfrm>
            <a:off x="3429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92" name="$BK$117">
            <a:extLst>
              <a:ext uri="{FF2B5EF4-FFF2-40B4-BE49-F238E27FC236}">
                <a16:creationId xmlns:a16="http://schemas.microsoft.com/office/drawing/2014/main" id="{00000000-0008-0000-1300-0000D00C4300}"/>
              </a:ext>
            </a:extLst>
          </xdr:cNvPr>
          <xdr:cNvSpPr/>
        </xdr:nvSpPr>
        <xdr:spPr>
          <a:xfrm>
            <a:off x="3556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93" name="$BK$117">
            <a:extLst>
              <a:ext uri="{FF2B5EF4-FFF2-40B4-BE49-F238E27FC236}">
                <a16:creationId xmlns:a16="http://schemas.microsoft.com/office/drawing/2014/main" id="{00000000-0008-0000-1300-0000D10C4300}"/>
              </a:ext>
            </a:extLst>
          </xdr:cNvPr>
          <xdr:cNvSpPr/>
        </xdr:nvSpPr>
        <xdr:spPr>
          <a:xfrm>
            <a:off x="254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94" name="$BK$117">
            <a:extLst>
              <a:ext uri="{FF2B5EF4-FFF2-40B4-BE49-F238E27FC236}">
                <a16:creationId xmlns:a16="http://schemas.microsoft.com/office/drawing/2014/main" id="{00000000-0008-0000-1300-0000D20C4300}"/>
              </a:ext>
            </a:extLst>
          </xdr:cNvPr>
          <xdr:cNvSpPr/>
        </xdr:nvSpPr>
        <xdr:spPr>
          <a:xfrm>
            <a:off x="635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95" name="$BK$117">
            <a:extLst>
              <a:ext uri="{FF2B5EF4-FFF2-40B4-BE49-F238E27FC236}">
                <a16:creationId xmlns:a16="http://schemas.microsoft.com/office/drawing/2014/main" id="{00000000-0008-0000-1300-0000D30C4300}"/>
              </a:ext>
            </a:extLst>
          </xdr:cNvPr>
          <xdr:cNvSpPr/>
        </xdr:nvSpPr>
        <xdr:spPr>
          <a:xfrm>
            <a:off x="889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96" name="$BK$117">
            <a:extLst>
              <a:ext uri="{FF2B5EF4-FFF2-40B4-BE49-F238E27FC236}">
                <a16:creationId xmlns:a16="http://schemas.microsoft.com/office/drawing/2014/main" id="{00000000-0008-0000-1300-0000D40C4300}"/>
              </a:ext>
            </a:extLst>
          </xdr:cNvPr>
          <xdr:cNvSpPr/>
        </xdr:nvSpPr>
        <xdr:spPr>
          <a:xfrm>
            <a:off x="1016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97" name="$BK$117">
            <a:extLst>
              <a:ext uri="{FF2B5EF4-FFF2-40B4-BE49-F238E27FC236}">
                <a16:creationId xmlns:a16="http://schemas.microsoft.com/office/drawing/2014/main" id="{00000000-0008-0000-1300-0000D50C4300}"/>
              </a:ext>
            </a:extLst>
          </xdr:cNvPr>
          <xdr:cNvSpPr/>
        </xdr:nvSpPr>
        <xdr:spPr>
          <a:xfrm>
            <a:off x="1524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98" name="$BK$117">
            <a:extLst>
              <a:ext uri="{FF2B5EF4-FFF2-40B4-BE49-F238E27FC236}">
                <a16:creationId xmlns:a16="http://schemas.microsoft.com/office/drawing/2014/main" id="{00000000-0008-0000-1300-0000D60C4300}"/>
              </a:ext>
            </a:extLst>
          </xdr:cNvPr>
          <xdr:cNvSpPr/>
        </xdr:nvSpPr>
        <xdr:spPr>
          <a:xfrm>
            <a:off x="1651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99" name="$BK$117">
            <a:extLst>
              <a:ext uri="{FF2B5EF4-FFF2-40B4-BE49-F238E27FC236}">
                <a16:creationId xmlns:a16="http://schemas.microsoft.com/office/drawing/2014/main" id="{00000000-0008-0000-1300-0000D70C4300}"/>
              </a:ext>
            </a:extLst>
          </xdr:cNvPr>
          <xdr:cNvSpPr/>
        </xdr:nvSpPr>
        <xdr:spPr>
          <a:xfrm>
            <a:off x="1778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00" name="$BK$117">
            <a:extLst>
              <a:ext uri="{FF2B5EF4-FFF2-40B4-BE49-F238E27FC236}">
                <a16:creationId xmlns:a16="http://schemas.microsoft.com/office/drawing/2014/main" id="{00000000-0008-0000-1300-0000D80C4300}"/>
              </a:ext>
            </a:extLst>
          </xdr:cNvPr>
          <xdr:cNvSpPr/>
        </xdr:nvSpPr>
        <xdr:spPr>
          <a:xfrm>
            <a:off x="2032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01" name="$BK$117">
            <a:extLst>
              <a:ext uri="{FF2B5EF4-FFF2-40B4-BE49-F238E27FC236}">
                <a16:creationId xmlns:a16="http://schemas.microsoft.com/office/drawing/2014/main" id="{00000000-0008-0000-1300-0000D90C4300}"/>
              </a:ext>
            </a:extLst>
          </xdr:cNvPr>
          <xdr:cNvSpPr/>
        </xdr:nvSpPr>
        <xdr:spPr>
          <a:xfrm>
            <a:off x="2413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02" name="$BK$117">
            <a:extLst>
              <a:ext uri="{FF2B5EF4-FFF2-40B4-BE49-F238E27FC236}">
                <a16:creationId xmlns:a16="http://schemas.microsoft.com/office/drawing/2014/main" id="{00000000-0008-0000-1300-0000DA0C4300}"/>
              </a:ext>
            </a:extLst>
          </xdr:cNvPr>
          <xdr:cNvSpPr/>
        </xdr:nvSpPr>
        <xdr:spPr>
          <a:xfrm>
            <a:off x="2540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03" name="$BK$117">
            <a:extLst>
              <a:ext uri="{FF2B5EF4-FFF2-40B4-BE49-F238E27FC236}">
                <a16:creationId xmlns:a16="http://schemas.microsoft.com/office/drawing/2014/main" id="{00000000-0008-0000-1300-0000DB0C4300}"/>
              </a:ext>
            </a:extLst>
          </xdr:cNvPr>
          <xdr:cNvSpPr/>
        </xdr:nvSpPr>
        <xdr:spPr>
          <a:xfrm>
            <a:off x="2667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04" name="$BK$117">
            <a:extLst>
              <a:ext uri="{FF2B5EF4-FFF2-40B4-BE49-F238E27FC236}">
                <a16:creationId xmlns:a16="http://schemas.microsoft.com/office/drawing/2014/main" id="{00000000-0008-0000-1300-0000DC0C4300}"/>
              </a:ext>
            </a:extLst>
          </xdr:cNvPr>
          <xdr:cNvSpPr/>
        </xdr:nvSpPr>
        <xdr:spPr>
          <a:xfrm>
            <a:off x="2794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05" name="$BK$117">
            <a:extLst>
              <a:ext uri="{FF2B5EF4-FFF2-40B4-BE49-F238E27FC236}">
                <a16:creationId xmlns:a16="http://schemas.microsoft.com/office/drawing/2014/main" id="{00000000-0008-0000-1300-0000DD0C4300}"/>
              </a:ext>
            </a:extLst>
          </xdr:cNvPr>
          <xdr:cNvSpPr/>
        </xdr:nvSpPr>
        <xdr:spPr>
          <a:xfrm>
            <a:off x="3048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06" name="$BK$117">
            <a:extLst>
              <a:ext uri="{FF2B5EF4-FFF2-40B4-BE49-F238E27FC236}">
                <a16:creationId xmlns:a16="http://schemas.microsoft.com/office/drawing/2014/main" id="{00000000-0008-0000-1300-0000DE0C4300}"/>
              </a:ext>
            </a:extLst>
          </xdr:cNvPr>
          <xdr:cNvSpPr/>
        </xdr:nvSpPr>
        <xdr:spPr>
          <a:xfrm>
            <a:off x="3175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07" name="$BK$117">
            <a:extLst>
              <a:ext uri="{FF2B5EF4-FFF2-40B4-BE49-F238E27FC236}">
                <a16:creationId xmlns:a16="http://schemas.microsoft.com/office/drawing/2014/main" id="{00000000-0008-0000-1300-0000DF0C4300}"/>
              </a:ext>
            </a:extLst>
          </xdr:cNvPr>
          <xdr:cNvSpPr/>
        </xdr:nvSpPr>
        <xdr:spPr>
          <a:xfrm>
            <a:off x="3302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08" name="$BK$117">
            <a:extLst>
              <a:ext uri="{FF2B5EF4-FFF2-40B4-BE49-F238E27FC236}">
                <a16:creationId xmlns:a16="http://schemas.microsoft.com/office/drawing/2014/main" id="{00000000-0008-0000-1300-0000E00C4300}"/>
              </a:ext>
            </a:extLst>
          </xdr:cNvPr>
          <xdr:cNvSpPr/>
        </xdr:nvSpPr>
        <xdr:spPr>
          <a:xfrm>
            <a:off x="3429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09" name="$BK$117">
            <a:extLst>
              <a:ext uri="{FF2B5EF4-FFF2-40B4-BE49-F238E27FC236}">
                <a16:creationId xmlns:a16="http://schemas.microsoft.com/office/drawing/2014/main" id="{00000000-0008-0000-1300-0000E10C4300}"/>
              </a:ext>
            </a:extLst>
          </xdr:cNvPr>
          <xdr:cNvSpPr/>
        </xdr:nvSpPr>
        <xdr:spPr>
          <a:xfrm>
            <a:off x="3556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10" name="$BK$117">
            <a:extLst>
              <a:ext uri="{FF2B5EF4-FFF2-40B4-BE49-F238E27FC236}">
                <a16:creationId xmlns:a16="http://schemas.microsoft.com/office/drawing/2014/main" id="{00000000-0008-0000-1300-0000E20C4300}"/>
              </a:ext>
            </a:extLst>
          </xdr:cNvPr>
          <xdr:cNvSpPr/>
        </xdr:nvSpPr>
        <xdr:spPr>
          <a:xfrm>
            <a:off x="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11" name="$BK$117">
            <a:extLst>
              <a:ext uri="{FF2B5EF4-FFF2-40B4-BE49-F238E27FC236}">
                <a16:creationId xmlns:a16="http://schemas.microsoft.com/office/drawing/2014/main" id="{00000000-0008-0000-1300-0000E30C4300}"/>
              </a:ext>
            </a:extLst>
          </xdr:cNvPr>
          <xdr:cNvSpPr/>
        </xdr:nvSpPr>
        <xdr:spPr>
          <a:xfrm>
            <a:off x="254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12" name="$BK$117">
            <a:extLst>
              <a:ext uri="{FF2B5EF4-FFF2-40B4-BE49-F238E27FC236}">
                <a16:creationId xmlns:a16="http://schemas.microsoft.com/office/drawing/2014/main" id="{00000000-0008-0000-1300-0000E40C4300}"/>
              </a:ext>
            </a:extLst>
          </xdr:cNvPr>
          <xdr:cNvSpPr/>
        </xdr:nvSpPr>
        <xdr:spPr>
          <a:xfrm>
            <a:off x="381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13" name="$BK$117">
            <a:extLst>
              <a:ext uri="{FF2B5EF4-FFF2-40B4-BE49-F238E27FC236}">
                <a16:creationId xmlns:a16="http://schemas.microsoft.com/office/drawing/2014/main" id="{00000000-0008-0000-1300-0000E50C4300}"/>
              </a:ext>
            </a:extLst>
          </xdr:cNvPr>
          <xdr:cNvSpPr/>
        </xdr:nvSpPr>
        <xdr:spPr>
          <a:xfrm>
            <a:off x="762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14" name="$BK$117">
            <a:extLst>
              <a:ext uri="{FF2B5EF4-FFF2-40B4-BE49-F238E27FC236}">
                <a16:creationId xmlns:a16="http://schemas.microsoft.com/office/drawing/2014/main" id="{00000000-0008-0000-1300-0000E60C4300}"/>
              </a:ext>
            </a:extLst>
          </xdr:cNvPr>
          <xdr:cNvSpPr/>
        </xdr:nvSpPr>
        <xdr:spPr>
          <a:xfrm>
            <a:off x="1143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15" name="$BK$117">
            <a:extLst>
              <a:ext uri="{FF2B5EF4-FFF2-40B4-BE49-F238E27FC236}">
                <a16:creationId xmlns:a16="http://schemas.microsoft.com/office/drawing/2014/main" id="{00000000-0008-0000-1300-0000E70C4300}"/>
              </a:ext>
            </a:extLst>
          </xdr:cNvPr>
          <xdr:cNvSpPr/>
        </xdr:nvSpPr>
        <xdr:spPr>
          <a:xfrm>
            <a:off x="1397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16" name="$BK$117">
            <a:extLst>
              <a:ext uri="{FF2B5EF4-FFF2-40B4-BE49-F238E27FC236}">
                <a16:creationId xmlns:a16="http://schemas.microsoft.com/office/drawing/2014/main" id="{00000000-0008-0000-1300-0000E80C4300}"/>
              </a:ext>
            </a:extLst>
          </xdr:cNvPr>
          <xdr:cNvSpPr/>
        </xdr:nvSpPr>
        <xdr:spPr>
          <a:xfrm>
            <a:off x="1778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17" name="$BK$117">
            <a:extLst>
              <a:ext uri="{FF2B5EF4-FFF2-40B4-BE49-F238E27FC236}">
                <a16:creationId xmlns:a16="http://schemas.microsoft.com/office/drawing/2014/main" id="{00000000-0008-0000-1300-0000E90C4300}"/>
              </a:ext>
            </a:extLst>
          </xdr:cNvPr>
          <xdr:cNvSpPr/>
        </xdr:nvSpPr>
        <xdr:spPr>
          <a:xfrm>
            <a:off x="1905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18" name="$BK$117">
            <a:extLst>
              <a:ext uri="{FF2B5EF4-FFF2-40B4-BE49-F238E27FC236}">
                <a16:creationId xmlns:a16="http://schemas.microsoft.com/office/drawing/2014/main" id="{00000000-0008-0000-1300-0000EA0C4300}"/>
              </a:ext>
            </a:extLst>
          </xdr:cNvPr>
          <xdr:cNvSpPr/>
        </xdr:nvSpPr>
        <xdr:spPr>
          <a:xfrm>
            <a:off x="2286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19" name="$BK$117">
            <a:extLst>
              <a:ext uri="{FF2B5EF4-FFF2-40B4-BE49-F238E27FC236}">
                <a16:creationId xmlns:a16="http://schemas.microsoft.com/office/drawing/2014/main" id="{00000000-0008-0000-1300-0000EB0C4300}"/>
              </a:ext>
            </a:extLst>
          </xdr:cNvPr>
          <xdr:cNvSpPr/>
        </xdr:nvSpPr>
        <xdr:spPr>
          <a:xfrm>
            <a:off x="2413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20" name="$BK$117">
            <a:extLst>
              <a:ext uri="{FF2B5EF4-FFF2-40B4-BE49-F238E27FC236}">
                <a16:creationId xmlns:a16="http://schemas.microsoft.com/office/drawing/2014/main" id="{00000000-0008-0000-1300-0000EC0C4300}"/>
              </a:ext>
            </a:extLst>
          </xdr:cNvPr>
          <xdr:cNvSpPr/>
        </xdr:nvSpPr>
        <xdr:spPr>
          <a:xfrm>
            <a:off x="2794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21" name="$BK$117">
            <a:extLst>
              <a:ext uri="{FF2B5EF4-FFF2-40B4-BE49-F238E27FC236}">
                <a16:creationId xmlns:a16="http://schemas.microsoft.com/office/drawing/2014/main" id="{00000000-0008-0000-1300-0000ED0C4300}"/>
              </a:ext>
            </a:extLst>
          </xdr:cNvPr>
          <xdr:cNvSpPr/>
        </xdr:nvSpPr>
        <xdr:spPr>
          <a:xfrm>
            <a:off x="3175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22" name="$BK$117">
            <a:extLst>
              <a:ext uri="{FF2B5EF4-FFF2-40B4-BE49-F238E27FC236}">
                <a16:creationId xmlns:a16="http://schemas.microsoft.com/office/drawing/2014/main" id="{00000000-0008-0000-1300-0000EE0C4300}"/>
              </a:ext>
            </a:extLst>
          </xdr:cNvPr>
          <xdr:cNvSpPr/>
        </xdr:nvSpPr>
        <xdr:spPr>
          <a:xfrm>
            <a:off x="3302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23" name="$BK$117">
            <a:extLst>
              <a:ext uri="{FF2B5EF4-FFF2-40B4-BE49-F238E27FC236}">
                <a16:creationId xmlns:a16="http://schemas.microsoft.com/office/drawing/2014/main" id="{00000000-0008-0000-1300-0000EF0C4300}"/>
              </a:ext>
            </a:extLst>
          </xdr:cNvPr>
          <xdr:cNvSpPr/>
        </xdr:nvSpPr>
        <xdr:spPr>
          <a:xfrm>
            <a:off x="3556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24" name="$BK$117">
            <a:extLst>
              <a:ext uri="{FF2B5EF4-FFF2-40B4-BE49-F238E27FC236}">
                <a16:creationId xmlns:a16="http://schemas.microsoft.com/office/drawing/2014/main" id="{00000000-0008-0000-1300-0000F00C4300}"/>
              </a:ext>
            </a:extLst>
          </xdr:cNvPr>
          <xdr:cNvSpPr/>
        </xdr:nvSpPr>
        <xdr:spPr>
          <a:xfrm>
            <a:off x="254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25" name="$BK$117">
            <a:extLst>
              <a:ext uri="{FF2B5EF4-FFF2-40B4-BE49-F238E27FC236}">
                <a16:creationId xmlns:a16="http://schemas.microsoft.com/office/drawing/2014/main" id="{00000000-0008-0000-1300-0000F10C4300}"/>
              </a:ext>
            </a:extLst>
          </xdr:cNvPr>
          <xdr:cNvSpPr/>
        </xdr:nvSpPr>
        <xdr:spPr>
          <a:xfrm>
            <a:off x="381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26" name="$BK$117">
            <a:extLst>
              <a:ext uri="{FF2B5EF4-FFF2-40B4-BE49-F238E27FC236}">
                <a16:creationId xmlns:a16="http://schemas.microsoft.com/office/drawing/2014/main" id="{00000000-0008-0000-1300-0000F20C4300}"/>
              </a:ext>
            </a:extLst>
          </xdr:cNvPr>
          <xdr:cNvSpPr/>
        </xdr:nvSpPr>
        <xdr:spPr>
          <a:xfrm>
            <a:off x="889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27" name="$BK$117">
            <a:extLst>
              <a:ext uri="{FF2B5EF4-FFF2-40B4-BE49-F238E27FC236}">
                <a16:creationId xmlns:a16="http://schemas.microsoft.com/office/drawing/2014/main" id="{00000000-0008-0000-1300-0000F30C4300}"/>
              </a:ext>
            </a:extLst>
          </xdr:cNvPr>
          <xdr:cNvSpPr/>
        </xdr:nvSpPr>
        <xdr:spPr>
          <a:xfrm>
            <a:off x="1016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28" name="$BK$117">
            <a:extLst>
              <a:ext uri="{FF2B5EF4-FFF2-40B4-BE49-F238E27FC236}">
                <a16:creationId xmlns:a16="http://schemas.microsoft.com/office/drawing/2014/main" id="{00000000-0008-0000-1300-0000F40C4300}"/>
              </a:ext>
            </a:extLst>
          </xdr:cNvPr>
          <xdr:cNvSpPr/>
        </xdr:nvSpPr>
        <xdr:spPr>
          <a:xfrm>
            <a:off x="1397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29" name="$BK$117">
            <a:extLst>
              <a:ext uri="{FF2B5EF4-FFF2-40B4-BE49-F238E27FC236}">
                <a16:creationId xmlns:a16="http://schemas.microsoft.com/office/drawing/2014/main" id="{00000000-0008-0000-1300-0000F50C4300}"/>
              </a:ext>
            </a:extLst>
          </xdr:cNvPr>
          <xdr:cNvSpPr/>
        </xdr:nvSpPr>
        <xdr:spPr>
          <a:xfrm>
            <a:off x="1778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30" name="$BK$117">
            <a:extLst>
              <a:ext uri="{FF2B5EF4-FFF2-40B4-BE49-F238E27FC236}">
                <a16:creationId xmlns:a16="http://schemas.microsoft.com/office/drawing/2014/main" id="{00000000-0008-0000-1300-0000F60C4300}"/>
              </a:ext>
            </a:extLst>
          </xdr:cNvPr>
          <xdr:cNvSpPr/>
        </xdr:nvSpPr>
        <xdr:spPr>
          <a:xfrm>
            <a:off x="1905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31" name="$BK$117">
            <a:extLst>
              <a:ext uri="{FF2B5EF4-FFF2-40B4-BE49-F238E27FC236}">
                <a16:creationId xmlns:a16="http://schemas.microsoft.com/office/drawing/2014/main" id="{00000000-0008-0000-1300-0000F70C4300}"/>
              </a:ext>
            </a:extLst>
          </xdr:cNvPr>
          <xdr:cNvSpPr/>
        </xdr:nvSpPr>
        <xdr:spPr>
          <a:xfrm>
            <a:off x="2032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32" name="$BK$117">
            <a:extLst>
              <a:ext uri="{FF2B5EF4-FFF2-40B4-BE49-F238E27FC236}">
                <a16:creationId xmlns:a16="http://schemas.microsoft.com/office/drawing/2014/main" id="{00000000-0008-0000-1300-0000F80C4300}"/>
              </a:ext>
            </a:extLst>
          </xdr:cNvPr>
          <xdr:cNvSpPr/>
        </xdr:nvSpPr>
        <xdr:spPr>
          <a:xfrm>
            <a:off x="2286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33" name="$BK$117">
            <a:extLst>
              <a:ext uri="{FF2B5EF4-FFF2-40B4-BE49-F238E27FC236}">
                <a16:creationId xmlns:a16="http://schemas.microsoft.com/office/drawing/2014/main" id="{00000000-0008-0000-1300-0000F90C4300}"/>
              </a:ext>
            </a:extLst>
          </xdr:cNvPr>
          <xdr:cNvSpPr/>
        </xdr:nvSpPr>
        <xdr:spPr>
          <a:xfrm>
            <a:off x="2794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34" name="$BK$117">
            <a:extLst>
              <a:ext uri="{FF2B5EF4-FFF2-40B4-BE49-F238E27FC236}">
                <a16:creationId xmlns:a16="http://schemas.microsoft.com/office/drawing/2014/main" id="{00000000-0008-0000-1300-0000FA0C4300}"/>
              </a:ext>
            </a:extLst>
          </xdr:cNvPr>
          <xdr:cNvSpPr/>
        </xdr:nvSpPr>
        <xdr:spPr>
          <a:xfrm>
            <a:off x="3048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35" name="$BK$117">
            <a:extLst>
              <a:ext uri="{FF2B5EF4-FFF2-40B4-BE49-F238E27FC236}">
                <a16:creationId xmlns:a16="http://schemas.microsoft.com/office/drawing/2014/main" id="{00000000-0008-0000-1300-0000FB0C4300}"/>
              </a:ext>
            </a:extLst>
          </xdr:cNvPr>
          <xdr:cNvSpPr/>
        </xdr:nvSpPr>
        <xdr:spPr>
          <a:xfrm>
            <a:off x="3302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36" name="$BK$117">
            <a:extLst>
              <a:ext uri="{FF2B5EF4-FFF2-40B4-BE49-F238E27FC236}">
                <a16:creationId xmlns:a16="http://schemas.microsoft.com/office/drawing/2014/main" id="{00000000-0008-0000-1300-0000FC0C4300}"/>
              </a:ext>
            </a:extLst>
          </xdr:cNvPr>
          <xdr:cNvSpPr/>
        </xdr:nvSpPr>
        <xdr:spPr>
          <a:xfrm>
            <a:off x="3429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37" name="$BK$117">
            <a:extLst>
              <a:ext uri="{FF2B5EF4-FFF2-40B4-BE49-F238E27FC236}">
                <a16:creationId xmlns:a16="http://schemas.microsoft.com/office/drawing/2014/main" id="{00000000-0008-0000-1300-0000FD0C4300}"/>
              </a:ext>
            </a:extLst>
          </xdr:cNvPr>
          <xdr:cNvSpPr/>
        </xdr:nvSpPr>
        <xdr:spPr>
          <a:xfrm>
            <a:off x="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38" name="$BK$117">
            <a:extLst>
              <a:ext uri="{FF2B5EF4-FFF2-40B4-BE49-F238E27FC236}">
                <a16:creationId xmlns:a16="http://schemas.microsoft.com/office/drawing/2014/main" id="{00000000-0008-0000-1300-0000FE0C4300}"/>
              </a:ext>
            </a:extLst>
          </xdr:cNvPr>
          <xdr:cNvSpPr/>
        </xdr:nvSpPr>
        <xdr:spPr>
          <a:xfrm>
            <a:off x="381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39" name="$BK$117">
            <a:extLst>
              <a:ext uri="{FF2B5EF4-FFF2-40B4-BE49-F238E27FC236}">
                <a16:creationId xmlns:a16="http://schemas.microsoft.com/office/drawing/2014/main" id="{00000000-0008-0000-1300-0000FF0C4300}"/>
              </a:ext>
            </a:extLst>
          </xdr:cNvPr>
          <xdr:cNvSpPr/>
        </xdr:nvSpPr>
        <xdr:spPr>
          <a:xfrm>
            <a:off x="508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40" name="$BK$117">
            <a:extLst>
              <a:ext uri="{FF2B5EF4-FFF2-40B4-BE49-F238E27FC236}">
                <a16:creationId xmlns:a16="http://schemas.microsoft.com/office/drawing/2014/main" id="{00000000-0008-0000-1300-0000000D4300}"/>
              </a:ext>
            </a:extLst>
          </xdr:cNvPr>
          <xdr:cNvSpPr/>
        </xdr:nvSpPr>
        <xdr:spPr>
          <a:xfrm>
            <a:off x="762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41" name="$BK$117">
            <a:extLst>
              <a:ext uri="{FF2B5EF4-FFF2-40B4-BE49-F238E27FC236}">
                <a16:creationId xmlns:a16="http://schemas.microsoft.com/office/drawing/2014/main" id="{00000000-0008-0000-1300-0000010D4300}"/>
              </a:ext>
            </a:extLst>
          </xdr:cNvPr>
          <xdr:cNvSpPr/>
        </xdr:nvSpPr>
        <xdr:spPr>
          <a:xfrm>
            <a:off x="2159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42" name="$BK$117">
            <a:extLst>
              <a:ext uri="{FF2B5EF4-FFF2-40B4-BE49-F238E27FC236}">
                <a16:creationId xmlns:a16="http://schemas.microsoft.com/office/drawing/2014/main" id="{00000000-0008-0000-1300-0000020D4300}"/>
              </a:ext>
            </a:extLst>
          </xdr:cNvPr>
          <xdr:cNvSpPr/>
        </xdr:nvSpPr>
        <xdr:spPr>
          <a:xfrm>
            <a:off x="2286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43" name="$BK$117">
            <a:extLst>
              <a:ext uri="{FF2B5EF4-FFF2-40B4-BE49-F238E27FC236}">
                <a16:creationId xmlns:a16="http://schemas.microsoft.com/office/drawing/2014/main" id="{00000000-0008-0000-1300-0000030D4300}"/>
              </a:ext>
            </a:extLst>
          </xdr:cNvPr>
          <xdr:cNvSpPr/>
        </xdr:nvSpPr>
        <xdr:spPr>
          <a:xfrm>
            <a:off x="2540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44" name="$BK$117">
            <a:extLst>
              <a:ext uri="{FF2B5EF4-FFF2-40B4-BE49-F238E27FC236}">
                <a16:creationId xmlns:a16="http://schemas.microsoft.com/office/drawing/2014/main" id="{00000000-0008-0000-1300-0000040D4300}"/>
              </a:ext>
            </a:extLst>
          </xdr:cNvPr>
          <xdr:cNvSpPr/>
        </xdr:nvSpPr>
        <xdr:spPr>
          <a:xfrm>
            <a:off x="2667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45" name="$BK$117">
            <a:extLst>
              <a:ext uri="{FF2B5EF4-FFF2-40B4-BE49-F238E27FC236}">
                <a16:creationId xmlns:a16="http://schemas.microsoft.com/office/drawing/2014/main" id="{00000000-0008-0000-1300-0000050D4300}"/>
              </a:ext>
            </a:extLst>
          </xdr:cNvPr>
          <xdr:cNvSpPr/>
        </xdr:nvSpPr>
        <xdr:spPr>
          <a:xfrm>
            <a:off x="2794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46" name="$BK$117">
            <a:extLst>
              <a:ext uri="{FF2B5EF4-FFF2-40B4-BE49-F238E27FC236}">
                <a16:creationId xmlns:a16="http://schemas.microsoft.com/office/drawing/2014/main" id="{00000000-0008-0000-1300-0000060D4300}"/>
              </a:ext>
            </a:extLst>
          </xdr:cNvPr>
          <xdr:cNvSpPr/>
        </xdr:nvSpPr>
        <xdr:spPr>
          <a:xfrm>
            <a:off x="2921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47" name="$BK$117">
            <a:extLst>
              <a:ext uri="{FF2B5EF4-FFF2-40B4-BE49-F238E27FC236}">
                <a16:creationId xmlns:a16="http://schemas.microsoft.com/office/drawing/2014/main" id="{00000000-0008-0000-1300-0000070D4300}"/>
              </a:ext>
            </a:extLst>
          </xdr:cNvPr>
          <xdr:cNvSpPr/>
        </xdr:nvSpPr>
        <xdr:spPr>
          <a:xfrm>
            <a:off x="3048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48" name="$BK$117">
            <a:extLst>
              <a:ext uri="{FF2B5EF4-FFF2-40B4-BE49-F238E27FC236}">
                <a16:creationId xmlns:a16="http://schemas.microsoft.com/office/drawing/2014/main" id="{00000000-0008-0000-1300-0000080D4300}"/>
              </a:ext>
            </a:extLst>
          </xdr:cNvPr>
          <xdr:cNvSpPr/>
        </xdr:nvSpPr>
        <xdr:spPr>
          <a:xfrm>
            <a:off x="3175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49" name="$BK$117">
            <a:extLst>
              <a:ext uri="{FF2B5EF4-FFF2-40B4-BE49-F238E27FC236}">
                <a16:creationId xmlns:a16="http://schemas.microsoft.com/office/drawing/2014/main" id="{00000000-0008-0000-1300-0000090D4300}"/>
              </a:ext>
            </a:extLst>
          </xdr:cNvPr>
          <xdr:cNvSpPr/>
        </xdr:nvSpPr>
        <xdr:spPr>
          <a:xfrm>
            <a:off x="1016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50" name="$BK$117">
            <a:extLst>
              <a:ext uri="{FF2B5EF4-FFF2-40B4-BE49-F238E27FC236}">
                <a16:creationId xmlns:a16="http://schemas.microsoft.com/office/drawing/2014/main" id="{00000000-0008-0000-1300-00000A0D4300}"/>
              </a:ext>
            </a:extLst>
          </xdr:cNvPr>
          <xdr:cNvSpPr/>
        </xdr:nvSpPr>
        <xdr:spPr>
          <a:xfrm>
            <a:off x="1143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51" name="$BK$117">
            <a:extLst>
              <a:ext uri="{FF2B5EF4-FFF2-40B4-BE49-F238E27FC236}">
                <a16:creationId xmlns:a16="http://schemas.microsoft.com/office/drawing/2014/main" id="{00000000-0008-0000-1300-00000B0D4300}"/>
              </a:ext>
            </a:extLst>
          </xdr:cNvPr>
          <xdr:cNvSpPr/>
        </xdr:nvSpPr>
        <xdr:spPr>
          <a:xfrm>
            <a:off x="1778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52" name="$BK$117">
            <a:extLst>
              <a:ext uri="{FF2B5EF4-FFF2-40B4-BE49-F238E27FC236}">
                <a16:creationId xmlns:a16="http://schemas.microsoft.com/office/drawing/2014/main" id="{00000000-0008-0000-1300-00000C0D4300}"/>
              </a:ext>
            </a:extLst>
          </xdr:cNvPr>
          <xdr:cNvSpPr/>
        </xdr:nvSpPr>
        <xdr:spPr>
          <a:xfrm>
            <a:off x="1905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53" name="$BK$117">
            <a:extLst>
              <a:ext uri="{FF2B5EF4-FFF2-40B4-BE49-F238E27FC236}">
                <a16:creationId xmlns:a16="http://schemas.microsoft.com/office/drawing/2014/main" id="{00000000-0008-0000-1300-00000D0D4300}"/>
              </a:ext>
            </a:extLst>
          </xdr:cNvPr>
          <xdr:cNvSpPr/>
        </xdr:nvSpPr>
        <xdr:spPr>
          <a:xfrm>
            <a:off x="2286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54" name="$BK$117">
            <a:extLst>
              <a:ext uri="{FF2B5EF4-FFF2-40B4-BE49-F238E27FC236}">
                <a16:creationId xmlns:a16="http://schemas.microsoft.com/office/drawing/2014/main" id="{00000000-0008-0000-1300-00000E0D4300}"/>
              </a:ext>
            </a:extLst>
          </xdr:cNvPr>
          <xdr:cNvSpPr/>
        </xdr:nvSpPr>
        <xdr:spPr>
          <a:xfrm>
            <a:off x="2413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55" name="$BK$117">
            <a:extLst>
              <a:ext uri="{FF2B5EF4-FFF2-40B4-BE49-F238E27FC236}">
                <a16:creationId xmlns:a16="http://schemas.microsoft.com/office/drawing/2014/main" id="{00000000-0008-0000-1300-00000F0D4300}"/>
              </a:ext>
            </a:extLst>
          </xdr:cNvPr>
          <xdr:cNvSpPr/>
        </xdr:nvSpPr>
        <xdr:spPr>
          <a:xfrm>
            <a:off x="2540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56" name="$BK$117">
            <a:extLst>
              <a:ext uri="{FF2B5EF4-FFF2-40B4-BE49-F238E27FC236}">
                <a16:creationId xmlns:a16="http://schemas.microsoft.com/office/drawing/2014/main" id="{00000000-0008-0000-1300-0000100D4300}"/>
              </a:ext>
            </a:extLst>
          </xdr:cNvPr>
          <xdr:cNvSpPr/>
        </xdr:nvSpPr>
        <xdr:spPr>
          <a:xfrm>
            <a:off x="3048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57" name="$BK$117">
            <a:extLst>
              <a:ext uri="{FF2B5EF4-FFF2-40B4-BE49-F238E27FC236}">
                <a16:creationId xmlns:a16="http://schemas.microsoft.com/office/drawing/2014/main" id="{00000000-0008-0000-1300-0000110D4300}"/>
              </a:ext>
            </a:extLst>
          </xdr:cNvPr>
          <xdr:cNvSpPr/>
        </xdr:nvSpPr>
        <xdr:spPr>
          <a:xfrm>
            <a:off x="3302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58" name="$BK$117">
            <a:extLst>
              <a:ext uri="{FF2B5EF4-FFF2-40B4-BE49-F238E27FC236}">
                <a16:creationId xmlns:a16="http://schemas.microsoft.com/office/drawing/2014/main" id="{00000000-0008-0000-1300-0000120D4300}"/>
              </a:ext>
            </a:extLst>
          </xdr:cNvPr>
          <xdr:cNvSpPr/>
        </xdr:nvSpPr>
        <xdr:spPr>
          <a:xfrm>
            <a:off x="3556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59" name="$BK$117">
            <a:extLst>
              <a:ext uri="{FF2B5EF4-FFF2-40B4-BE49-F238E27FC236}">
                <a16:creationId xmlns:a16="http://schemas.microsoft.com/office/drawing/2014/main" id="{00000000-0008-0000-1300-0000130D4300}"/>
              </a:ext>
            </a:extLst>
          </xdr:cNvPr>
          <xdr:cNvSpPr/>
        </xdr:nvSpPr>
        <xdr:spPr>
          <a:xfrm>
            <a:off x="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60" name="$BK$117">
            <a:extLst>
              <a:ext uri="{FF2B5EF4-FFF2-40B4-BE49-F238E27FC236}">
                <a16:creationId xmlns:a16="http://schemas.microsoft.com/office/drawing/2014/main" id="{00000000-0008-0000-1300-0000140D4300}"/>
              </a:ext>
            </a:extLst>
          </xdr:cNvPr>
          <xdr:cNvSpPr/>
        </xdr:nvSpPr>
        <xdr:spPr>
          <a:xfrm>
            <a:off x="127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61" name="$BK$117">
            <a:extLst>
              <a:ext uri="{FF2B5EF4-FFF2-40B4-BE49-F238E27FC236}">
                <a16:creationId xmlns:a16="http://schemas.microsoft.com/office/drawing/2014/main" id="{00000000-0008-0000-1300-0000150D4300}"/>
              </a:ext>
            </a:extLst>
          </xdr:cNvPr>
          <xdr:cNvSpPr/>
        </xdr:nvSpPr>
        <xdr:spPr>
          <a:xfrm>
            <a:off x="254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62" name="$BK$117">
            <a:extLst>
              <a:ext uri="{FF2B5EF4-FFF2-40B4-BE49-F238E27FC236}">
                <a16:creationId xmlns:a16="http://schemas.microsoft.com/office/drawing/2014/main" id="{00000000-0008-0000-1300-0000160D4300}"/>
              </a:ext>
            </a:extLst>
          </xdr:cNvPr>
          <xdr:cNvSpPr/>
        </xdr:nvSpPr>
        <xdr:spPr>
          <a:xfrm>
            <a:off x="381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63" name="$BK$117">
            <a:extLst>
              <a:ext uri="{FF2B5EF4-FFF2-40B4-BE49-F238E27FC236}">
                <a16:creationId xmlns:a16="http://schemas.microsoft.com/office/drawing/2014/main" id="{00000000-0008-0000-1300-0000170D4300}"/>
              </a:ext>
            </a:extLst>
          </xdr:cNvPr>
          <xdr:cNvSpPr/>
        </xdr:nvSpPr>
        <xdr:spPr>
          <a:xfrm>
            <a:off x="508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64" name="$BK$117">
            <a:extLst>
              <a:ext uri="{FF2B5EF4-FFF2-40B4-BE49-F238E27FC236}">
                <a16:creationId xmlns:a16="http://schemas.microsoft.com/office/drawing/2014/main" id="{00000000-0008-0000-1300-0000180D4300}"/>
              </a:ext>
            </a:extLst>
          </xdr:cNvPr>
          <xdr:cNvSpPr/>
        </xdr:nvSpPr>
        <xdr:spPr>
          <a:xfrm>
            <a:off x="635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65" name="$BK$117">
            <a:extLst>
              <a:ext uri="{FF2B5EF4-FFF2-40B4-BE49-F238E27FC236}">
                <a16:creationId xmlns:a16="http://schemas.microsoft.com/office/drawing/2014/main" id="{00000000-0008-0000-1300-0000190D4300}"/>
              </a:ext>
            </a:extLst>
          </xdr:cNvPr>
          <xdr:cNvSpPr/>
        </xdr:nvSpPr>
        <xdr:spPr>
          <a:xfrm>
            <a:off x="762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66" name="$BK$117">
            <a:extLst>
              <a:ext uri="{FF2B5EF4-FFF2-40B4-BE49-F238E27FC236}">
                <a16:creationId xmlns:a16="http://schemas.microsoft.com/office/drawing/2014/main" id="{00000000-0008-0000-1300-00001A0D4300}"/>
              </a:ext>
            </a:extLst>
          </xdr:cNvPr>
          <xdr:cNvSpPr/>
        </xdr:nvSpPr>
        <xdr:spPr>
          <a:xfrm>
            <a:off x="1270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67" name="$BK$117">
            <a:extLst>
              <a:ext uri="{FF2B5EF4-FFF2-40B4-BE49-F238E27FC236}">
                <a16:creationId xmlns:a16="http://schemas.microsoft.com/office/drawing/2014/main" id="{00000000-0008-0000-1300-00001B0D4300}"/>
              </a:ext>
            </a:extLst>
          </xdr:cNvPr>
          <xdr:cNvSpPr/>
        </xdr:nvSpPr>
        <xdr:spPr>
          <a:xfrm>
            <a:off x="1524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68" name="$BK$117">
            <a:extLst>
              <a:ext uri="{FF2B5EF4-FFF2-40B4-BE49-F238E27FC236}">
                <a16:creationId xmlns:a16="http://schemas.microsoft.com/office/drawing/2014/main" id="{00000000-0008-0000-1300-00001C0D4300}"/>
              </a:ext>
            </a:extLst>
          </xdr:cNvPr>
          <xdr:cNvSpPr/>
        </xdr:nvSpPr>
        <xdr:spPr>
          <a:xfrm>
            <a:off x="1905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69" name="$BK$117">
            <a:extLst>
              <a:ext uri="{FF2B5EF4-FFF2-40B4-BE49-F238E27FC236}">
                <a16:creationId xmlns:a16="http://schemas.microsoft.com/office/drawing/2014/main" id="{00000000-0008-0000-1300-00001D0D4300}"/>
              </a:ext>
            </a:extLst>
          </xdr:cNvPr>
          <xdr:cNvSpPr/>
        </xdr:nvSpPr>
        <xdr:spPr>
          <a:xfrm>
            <a:off x="2159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70" name="$BK$117">
            <a:extLst>
              <a:ext uri="{FF2B5EF4-FFF2-40B4-BE49-F238E27FC236}">
                <a16:creationId xmlns:a16="http://schemas.microsoft.com/office/drawing/2014/main" id="{00000000-0008-0000-1300-00001E0D4300}"/>
              </a:ext>
            </a:extLst>
          </xdr:cNvPr>
          <xdr:cNvSpPr/>
        </xdr:nvSpPr>
        <xdr:spPr>
          <a:xfrm>
            <a:off x="2540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71" name="$BK$117">
            <a:extLst>
              <a:ext uri="{FF2B5EF4-FFF2-40B4-BE49-F238E27FC236}">
                <a16:creationId xmlns:a16="http://schemas.microsoft.com/office/drawing/2014/main" id="{00000000-0008-0000-1300-00001F0D4300}"/>
              </a:ext>
            </a:extLst>
          </xdr:cNvPr>
          <xdr:cNvSpPr/>
        </xdr:nvSpPr>
        <xdr:spPr>
          <a:xfrm>
            <a:off x="2794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72" name="$BK$117">
            <a:extLst>
              <a:ext uri="{FF2B5EF4-FFF2-40B4-BE49-F238E27FC236}">
                <a16:creationId xmlns:a16="http://schemas.microsoft.com/office/drawing/2014/main" id="{00000000-0008-0000-1300-0000200D4300}"/>
              </a:ext>
            </a:extLst>
          </xdr:cNvPr>
          <xdr:cNvSpPr/>
        </xdr:nvSpPr>
        <xdr:spPr>
          <a:xfrm>
            <a:off x="3048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73" name="$BK$117">
            <a:extLst>
              <a:ext uri="{FF2B5EF4-FFF2-40B4-BE49-F238E27FC236}">
                <a16:creationId xmlns:a16="http://schemas.microsoft.com/office/drawing/2014/main" id="{00000000-0008-0000-1300-0000210D4300}"/>
              </a:ext>
            </a:extLst>
          </xdr:cNvPr>
          <xdr:cNvSpPr/>
        </xdr:nvSpPr>
        <xdr:spPr>
          <a:xfrm>
            <a:off x="3175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74" name="$BK$117">
            <a:extLst>
              <a:ext uri="{FF2B5EF4-FFF2-40B4-BE49-F238E27FC236}">
                <a16:creationId xmlns:a16="http://schemas.microsoft.com/office/drawing/2014/main" id="{00000000-0008-0000-1300-0000220D4300}"/>
              </a:ext>
            </a:extLst>
          </xdr:cNvPr>
          <xdr:cNvSpPr/>
        </xdr:nvSpPr>
        <xdr:spPr>
          <a:xfrm>
            <a:off x="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75" name="$BK$117">
            <a:extLst>
              <a:ext uri="{FF2B5EF4-FFF2-40B4-BE49-F238E27FC236}">
                <a16:creationId xmlns:a16="http://schemas.microsoft.com/office/drawing/2014/main" id="{00000000-0008-0000-1300-0000230D4300}"/>
              </a:ext>
            </a:extLst>
          </xdr:cNvPr>
          <xdr:cNvSpPr/>
        </xdr:nvSpPr>
        <xdr:spPr>
          <a:xfrm>
            <a:off x="762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76" name="$BK$117">
            <a:extLst>
              <a:ext uri="{FF2B5EF4-FFF2-40B4-BE49-F238E27FC236}">
                <a16:creationId xmlns:a16="http://schemas.microsoft.com/office/drawing/2014/main" id="{00000000-0008-0000-1300-0000240D4300}"/>
              </a:ext>
            </a:extLst>
          </xdr:cNvPr>
          <xdr:cNvSpPr/>
        </xdr:nvSpPr>
        <xdr:spPr>
          <a:xfrm>
            <a:off x="1016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77" name="$BK$117">
            <a:extLst>
              <a:ext uri="{FF2B5EF4-FFF2-40B4-BE49-F238E27FC236}">
                <a16:creationId xmlns:a16="http://schemas.microsoft.com/office/drawing/2014/main" id="{00000000-0008-0000-1300-0000250D4300}"/>
              </a:ext>
            </a:extLst>
          </xdr:cNvPr>
          <xdr:cNvSpPr/>
        </xdr:nvSpPr>
        <xdr:spPr>
          <a:xfrm>
            <a:off x="1524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78" name="$BK$117">
            <a:extLst>
              <a:ext uri="{FF2B5EF4-FFF2-40B4-BE49-F238E27FC236}">
                <a16:creationId xmlns:a16="http://schemas.microsoft.com/office/drawing/2014/main" id="{00000000-0008-0000-1300-0000260D4300}"/>
              </a:ext>
            </a:extLst>
          </xdr:cNvPr>
          <xdr:cNvSpPr/>
        </xdr:nvSpPr>
        <xdr:spPr>
          <a:xfrm>
            <a:off x="1778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79" name="$BK$117">
            <a:extLst>
              <a:ext uri="{FF2B5EF4-FFF2-40B4-BE49-F238E27FC236}">
                <a16:creationId xmlns:a16="http://schemas.microsoft.com/office/drawing/2014/main" id="{00000000-0008-0000-1300-0000270D4300}"/>
              </a:ext>
            </a:extLst>
          </xdr:cNvPr>
          <xdr:cNvSpPr/>
        </xdr:nvSpPr>
        <xdr:spPr>
          <a:xfrm>
            <a:off x="2032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80" name="$BK$117">
            <a:extLst>
              <a:ext uri="{FF2B5EF4-FFF2-40B4-BE49-F238E27FC236}">
                <a16:creationId xmlns:a16="http://schemas.microsoft.com/office/drawing/2014/main" id="{00000000-0008-0000-1300-0000280D4300}"/>
              </a:ext>
            </a:extLst>
          </xdr:cNvPr>
          <xdr:cNvSpPr/>
        </xdr:nvSpPr>
        <xdr:spPr>
          <a:xfrm>
            <a:off x="2159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81" name="$BK$117">
            <a:extLst>
              <a:ext uri="{FF2B5EF4-FFF2-40B4-BE49-F238E27FC236}">
                <a16:creationId xmlns:a16="http://schemas.microsoft.com/office/drawing/2014/main" id="{00000000-0008-0000-1300-0000290D4300}"/>
              </a:ext>
            </a:extLst>
          </xdr:cNvPr>
          <xdr:cNvSpPr/>
        </xdr:nvSpPr>
        <xdr:spPr>
          <a:xfrm>
            <a:off x="2540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82" name="$BK$117">
            <a:extLst>
              <a:ext uri="{FF2B5EF4-FFF2-40B4-BE49-F238E27FC236}">
                <a16:creationId xmlns:a16="http://schemas.microsoft.com/office/drawing/2014/main" id="{00000000-0008-0000-1300-00002A0D4300}"/>
              </a:ext>
            </a:extLst>
          </xdr:cNvPr>
          <xdr:cNvSpPr/>
        </xdr:nvSpPr>
        <xdr:spPr>
          <a:xfrm>
            <a:off x="3048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83" name="$BK$117">
            <a:extLst>
              <a:ext uri="{FF2B5EF4-FFF2-40B4-BE49-F238E27FC236}">
                <a16:creationId xmlns:a16="http://schemas.microsoft.com/office/drawing/2014/main" id="{00000000-0008-0000-1300-00002B0D4300}"/>
              </a:ext>
            </a:extLst>
          </xdr:cNvPr>
          <xdr:cNvSpPr/>
        </xdr:nvSpPr>
        <xdr:spPr>
          <a:xfrm>
            <a:off x="3175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84" name="$BK$117">
            <a:extLst>
              <a:ext uri="{FF2B5EF4-FFF2-40B4-BE49-F238E27FC236}">
                <a16:creationId xmlns:a16="http://schemas.microsoft.com/office/drawing/2014/main" id="{00000000-0008-0000-1300-00002C0D4300}"/>
              </a:ext>
            </a:extLst>
          </xdr:cNvPr>
          <xdr:cNvSpPr/>
        </xdr:nvSpPr>
        <xdr:spPr>
          <a:xfrm>
            <a:off x="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85" name="$BK$117">
            <a:extLst>
              <a:ext uri="{FF2B5EF4-FFF2-40B4-BE49-F238E27FC236}">
                <a16:creationId xmlns:a16="http://schemas.microsoft.com/office/drawing/2014/main" id="{00000000-0008-0000-1300-00002D0D4300}"/>
              </a:ext>
            </a:extLst>
          </xdr:cNvPr>
          <xdr:cNvSpPr/>
        </xdr:nvSpPr>
        <xdr:spPr>
          <a:xfrm>
            <a:off x="254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86" name="$BK$117">
            <a:extLst>
              <a:ext uri="{FF2B5EF4-FFF2-40B4-BE49-F238E27FC236}">
                <a16:creationId xmlns:a16="http://schemas.microsoft.com/office/drawing/2014/main" id="{00000000-0008-0000-1300-00002E0D4300}"/>
              </a:ext>
            </a:extLst>
          </xdr:cNvPr>
          <xdr:cNvSpPr/>
        </xdr:nvSpPr>
        <xdr:spPr>
          <a:xfrm>
            <a:off x="381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87" name="$BK$117">
            <a:extLst>
              <a:ext uri="{FF2B5EF4-FFF2-40B4-BE49-F238E27FC236}">
                <a16:creationId xmlns:a16="http://schemas.microsoft.com/office/drawing/2014/main" id="{00000000-0008-0000-1300-00002F0D4300}"/>
              </a:ext>
            </a:extLst>
          </xdr:cNvPr>
          <xdr:cNvSpPr/>
        </xdr:nvSpPr>
        <xdr:spPr>
          <a:xfrm>
            <a:off x="508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88" name="$BK$117">
            <a:extLst>
              <a:ext uri="{FF2B5EF4-FFF2-40B4-BE49-F238E27FC236}">
                <a16:creationId xmlns:a16="http://schemas.microsoft.com/office/drawing/2014/main" id="{00000000-0008-0000-1300-0000300D4300}"/>
              </a:ext>
            </a:extLst>
          </xdr:cNvPr>
          <xdr:cNvSpPr/>
        </xdr:nvSpPr>
        <xdr:spPr>
          <a:xfrm>
            <a:off x="762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89" name="$BK$117">
            <a:extLst>
              <a:ext uri="{FF2B5EF4-FFF2-40B4-BE49-F238E27FC236}">
                <a16:creationId xmlns:a16="http://schemas.microsoft.com/office/drawing/2014/main" id="{00000000-0008-0000-1300-0000310D4300}"/>
              </a:ext>
            </a:extLst>
          </xdr:cNvPr>
          <xdr:cNvSpPr/>
        </xdr:nvSpPr>
        <xdr:spPr>
          <a:xfrm>
            <a:off x="1143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90" name="$BK$117">
            <a:extLst>
              <a:ext uri="{FF2B5EF4-FFF2-40B4-BE49-F238E27FC236}">
                <a16:creationId xmlns:a16="http://schemas.microsoft.com/office/drawing/2014/main" id="{00000000-0008-0000-1300-0000320D4300}"/>
              </a:ext>
            </a:extLst>
          </xdr:cNvPr>
          <xdr:cNvSpPr/>
        </xdr:nvSpPr>
        <xdr:spPr>
          <a:xfrm>
            <a:off x="1270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91" name="$BK$117">
            <a:extLst>
              <a:ext uri="{FF2B5EF4-FFF2-40B4-BE49-F238E27FC236}">
                <a16:creationId xmlns:a16="http://schemas.microsoft.com/office/drawing/2014/main" id="{00000000-0008-0000-1300-0000330D4300}"/>
              </a:ext>
            </a:extLst>
          </xdr:cNvPr>
          <xdr:cNvSpPr/>
        </xdr:nvSpPr>
        <xdr:spPr>
          <a:xfrm>
            <a:off x="1397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92" name="$BK$117">
            <a:extLst>
              <a:ext uri="{FF2B5EF4-FFF2-40B4-BE49-F238E27FC236}">
                <a16:creationId xmlns:a16="http://schemas.microsoft.com/office/drawing/2014/main" id="{00000000-0008-0000-1300-0000340D4300}"/>
              </a:ext>
            </a:extLst>
          </xdr:cNvPr>
          <xdr:cNvSpPr/>
        </xdr:nvSpPr>
        <xdr:spPr>
          <a:xfrm>
            <a:off x="1905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93" name="$BK$117">
            <a:extLst>
              <a:ext uri="{FF2B5EF4-FFF2-40B4-BE49-F238E27FC236}">
                <a16:creationId xmlns:a16="http://schemas.microsoft.com/office/drawing/2014/main" id="{00000000-0008-0000-1300-0000350D4300}"/>
              </a:ext>
            </a:extLst>
          </xdr:cNvPr>
          <xdr:cNvSpPr/>
        </xdr:nvSpPr>
        <xdr:spPr>
          <a:xfrm>
            <a:off x="2159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94" name="$BK$117">
            <a:extLst>
              <a:ext uri="{FF2B5EF4-FFF2-40B4-BE49-F238E27FC236}">
                <a16:creationId xmlns:a16="http://schemas.microsoft.com/office/drawing/2014/main" id="{00000000-0008-0000-1300-0000360D4300}"/>
              </a:ext>
            </a:extLst>
          </xdr:cNvPr>
          <xdr:cNvSpPr/>
        </xdr:nvSpPr>
        <xdr:spPr>
          <a:xfrm>
            <a:off x="2286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95" name="$BK$117">
            <a:extLst>
              <a:ext uri="{FF2B5EF4-FFF2-40B4-BE49-F238E27FC236}">
                <a16:creationId xmlns:a16="http://schemas.microsoft.com/office/drawing/2014/main" id="{00000000-0008-0000-1300-0000370D4300}"/>
              </a:ext>
            </a:extLst>
          </xdr:cNvPr>
          <xdr:cNvSpPr/>
        </xdr:nvSpPr>
        <xdr:spPr>
          <a:xfrm>
            <a:off x="2413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96" name="$BK$117">
            <a:extLst>
              <a:ext uri="{FF2B5EF4-FFF2-40B4-BE49-F238E27FC236}">
                <a16:creationId xmlns:a16="http://schemas.microsoft.com/office/drawing/2014/main" id="{00000000-0008-0000-1300-0000380D4300}"/>
              </a:ext>
            </a:extLst>
          </xdr:cNvPr>
          <xdr:cNvSpPr/>
        </xdr:nvSpPr>
        <xdr:spPr>
          <a:xfrm>
            <a:off x="2540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97" name="$BK$117">
            <a:extLst>
              <a:ext uri="{FF2B5EF4-FFF2-40B4-BE49-F238E27FC236}">
                <a16:creationId xmlns:a16="http://schemas.microsoft.com/office/drawing/2014/main" id="{00000000-0008-0000-1300-0000390D4300}"/>
              </a:ext>
            </a:extLst>
          </xdr:cNvPr>
          <xdr:cNvSpPr/>
        </xdr:nvSpPr>
        <xdr:spPr>
          <a:xfrm>
            <a:off x="2667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98" name="$BK$117">
            <a:extLst>
              <a:ext uri="{FF2B5EF4-FFF2-40B4-BE49-F238E27FC236}">
                <a16:creationId xmlns:a16="http://schemas.microsoft.com/office/drawing/2014/main" id="{00000000-0008-0000-1300-00003A0D4300}"/>
              </a:ext>
            </a:extLst>
          </xdr:cNvPr>
          <xdr:cNvSpPr/>
        </xdr:nvSpPr>
        <xdr:spPr>
          <a:xfrm>
            <a:off x="2794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99" name="$BK$117">
            <a:extLst>
              <a:ext uri="{FF2B5EF4-FFF2-40B4-BE49-F238E27FC236}">
                <a16:creationId xmlns:a16="http://schemas.microsoft.com/office/drawing/2014/main" id="{00000000-0008-0000-1300-00003B0D4300}"/>
              </a:ext>
            </a:extLst>
          </xdr:cNvPr>
          <xdr:cNvSpPr/>
        </xdr:nvSpPr>
        <xdr:spPr>
          <a:xfrm>
            <a:off x="2921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00" name="$BK$117">
            <a:extLst>
              <a:ext uri="{FF2B5EF4-FFF2-40B4-BE49-F238E27FC236}">
                <a16:creationId xmlns:a16="http://schemas.microsoft.com/office/drawing/2014/main" id="{00000000-0008-0000-1300-00003C0D4300}"/>
              </a:ext>
            </a:extLst>
          </xdr:cNvPr>
          <xdr:cNvSpPr/>
        </xdr:nvSpPr>
        <xdr:spPr>
          <a:xfrm>
            <a:off x="3048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01" name="$BK$117">
            <a:extLst>
              <a:ext uri="{FF2B5EF4-FFF2-40B4-BE49-F238E27FC236}">
                <a16:creationId xmlns:a16="http://schemas.microsoft.com/office/drawing/2014/main" id="{00000000-0008-0000-1300-00003D0D4300}"/>
              </a:ext>
            </a:extLst>
          </xdr:cNvPr>
          <xdr:cNvSpPr/>
        </xdr:nvSpPr>
        <xdr:spPr>
          <a:xfrm>
            <a:off x="3302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02" name="$BK$117">
            <a:extLst>
              <a:ext uri="{FF2B5EF4-FFF2-40B4-BE49-F238E27FC236}">
                <a16:creationId xmlns:a16="http://schemas.microsoft.com/office/drawing/2014/main" id="{00000000-0008-0000-1300-00003E0D4300}"/>
              </a:ext>
            </a:extLst>
          </xdr:cNvPr>
          <xdr:cNvSpPr/>
        </xdr:nvSpPr>
        <xdr:spPr>
          <a:xfrm>
            <a:off x="3429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03" name="$BK$117">
            <a:extLst>
              <a:ext uri="{FF2B5EF4-FFF2-40B4-BE49-F238E27FC236}">
                <a16:creationId xmlns:a16="http://schemas.microsoft.com/office/drawing/2014/main" id="{00000000-0008-0000-1300-00003F0D4300}"/>
              </a:ext>
            </a:extLst>
          </xdr:cNvPr>
          <xdr:cNvSpPr/>
        </xdr:nvSpPr>
        <xdr:spPr>
          <a:xfrm>
            <a:off x="3556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04" name="$BK$117">
            <a:extLst>
              <a:ext uri="{FF2B5EF4-FFF2-40B4-BE49-F238E27FC236}">
                <a16:creationId xmlns:a16="http://schemas.microsoft.com/office/drawing/2014/main" id="{00000000-0008-0000-1300-0000400D4300}"/>
              </a:ext>
            </a:extLst>
          </xdr:cNvPr>
          <xdr:cNvSpPr/>
        </xdr:nvSpPr>
        <xdr:spPr>
          <a:xfrm>
            <a:off x="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05" name="$BK$117">
            <a:extLst>
              <a:ext uri="{FF2B5EF4-FFF2-40B4-BE49-F238E27FC236}">
                <a16:creationId xmlns:a16="http://schemas.microsoft.com/office/drawing/2014/main" id="{00000000-0008-0000-1300-0000410D4300}"/>
              </a:ext>
            </a:extLst>
          </xdr:cNvPr>
          <xdr:cNvSpPr/>
        </xdr:nvSpPr>
        <xdr:spPr>
          <a:xfrm>
            <a:off x="254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06" name="$BK$117">
            <a:extLst>
              <a:ext uri="{FF2B5EF4-FFF2-40B4-BE49-F238E27FC236}">
                <a16:creationId xmlns:a16="http://schemas.microsoft.com/office/drawing/2014/main" id="{00000000-0008-0000-1300-0000420D4300}"/>
              </a:ext>
            </a:extLst>
          </xdr:cNvPr>
          <xdr:cNvSpPr/>
        </xdr:nvSpPr>
        <xdr:spPr>
          <a:xfrm>
            <a:off x="381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07" name="$BK$117">
            <a:extLst>
              <a:ext uri="{FF2B5EF4-FFF2-40B4-BE49-F238E27FC236}">
                <a16:creationId xmlns:a16="http://schemas.microsoft.com/office/drawing/2014/main" id="{00000000-0008-0000-1300-0000430D4300}"/>
              </a:ext>
            </a:extLst>
          </xdr:cNvPr>
          <xdr:cNvSpPr/>
        </xdr:nvSpPr>
        <xdr:spPr>
          <a:xfrm>
            <a:off x="508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08" name="$BK$117">
            <a:extLst>
              <a:ext uri="{FF2B5EF4-FFF2-40B4-BE49-F238E27FC236}">
                <a16:creationId xmlns:a16="http://schemas.microsoft.com/office/drawing/2014/main" id="{00000000-0008-0000-1300-0000440D4300}"/>
              </a:ext>
            </a:extLst>
          </xdr:cNvPr>
          <xdr:cNvSpPr/>
        </xdr:nvSpPr>
        <xdr:spPr>
          <a:xfrm>
            <a:off x="762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09" name="$BK$117">
            <a:extLst>
              <a:ext uri="{FF2B5EF4-FFF2-40B4-BE49-F238E27FC236}">
                <a16:creationId xmlns:a16="http://schemas.microsoft.com/office/drawing/2014/main" id="{00000000-0008-0000-1300-0000450D4300}"/>
              </a:ext>
            </a:extLst>
          </xdr:cNvPr>
          <xdr:cNvSpPr/>
        </xdr:nvSpPr>
        <xdr:spPr>
          <a:xfrm>
            <a:off x="1016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10" name="$BK$117">
            <a:extLst>
              <a:ext uri="{FF2B5EF4-FFF2-40B4-BE49-F238E27FC236}">
                <a16:creationId xmlns:a16="http://schemas.microsoft.com/office/drawing/2014/main" id="{00000000-0008-0000-1300-0000460D4300}"/>
              </a:ext>
            </a:extLst>
          </xdr:cNvPr>
          <xdr:cNvSpPr/>
        </xdr:nvSpPr>
        <xdr:spPr>
          <a:xfrm>
            <a:off x="1397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11" name="$BK$117">
            <a:extLst>
              <a:ext uri="{FF2B5EF4-FFF2-40B4-BE49-F238E27FC236}">
                <a16:creationId xmlns:a16="http://schemas.microsoft.com/office/drawing/2014/main" id="{00000000-0008-0000-1300-0000470D4300}"/>
              </a:ext>
            </a:extLst>
          </xdr:cNvPr>
          <xdr:cNvSpPr/>
        </xdr:nvSpPr>
        <xdr:spPr>
          <a:xfrm>
            <a:off x="1651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12" name="$BK$117">
            <a:extLst>
              <a:ext uri="{FF2B5EF4-FFF2-40B4-BE49-F238E27FC236}">
                <a16:creationId xmlns:a16="http://schemas.microsoft.com/office/drawing/2014/main" id="{00000000-0008-0000-1300-0000480D4300}"/>
              </a:ext>
            </a:extLst>
          </xdr:cNvPr>
          <xdr:cNvSpPr/>
        </xdr:nvSpPr>
        <xdr:spPr>
          <a:xfrm>
            <a:off x="1905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13" name="$BK$117">
            <a:extLst>
              <a:ext uri="{FF2B5EF4-FFF2-40B4-BE49-F238E27FC236}">
                <a16:creationId xmlns:a16="http://schemas.microsoft.com/office/drawing/2014/main" id="{00000000-0008-0000-1300-0000490D4300}"/>
              </a:ext>
            </a:extLst>
          </xdr:cNvPr>
          <xdr:cNvSpPr/>
        </xdr:nvSpPr>
        <xdr:spPr>
          <a:xfrm>
            <a:off x="2032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14" name="$BK$117">
            <a:extLst>
              <a:ext uri="{FF2B5EF4-FFF2-40B4-BE49-F238E27FC236}">
                <a16:creationId xmlns:a16="http://schemas.microsoft.com/office/drawing/2014/main" id="{00000000-0008-0000-1300-00004A0D4300}"/>
              </a:ext>
            </a:extLst>
          </xdr:cNvPr>
          <xdr:cNvSpPr/>
        </xdr:nvSpPr>
        <xdr:spPr>
          <a:xfrm>
            <a:off x="2286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15" name="$BK$117">
            <a:extLst>
              <a:ext uri="{FF2B5EF4-FFF2-40B4-BE49-F238E27FC236}">
                <a16:creationId xmlns:a16="http://schemas.microsoft.com/office/drawing/2014/main" id="{00000000-0008-0000-1300-00004B0D4300}"/>
              </a:ext>
            </a:extLst>
          </xdr:cNvPr>
          <xdr:cNvSpPr/>
        </xdr:nvSpPr>
        <xdr:spPr>
          <a:xfrm>
            <a:off x="2413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16" name="$BK$117">
            <a:extLst>
              <a:ext uri="{FF2B5EF4-FFF2-40B4-BE49-F238E27FC236}">
                <a16:creationId xmlns:a16="http://schemas.microsoft.com/office/drawing/2014/main" id="{00000000-0008-0000-1300-00004C0D4300}"/>
              </a:ext>
            </a:extLst>
          </xdr:cNvPr>
          <xdr:cNvSpPr/>
        </xdr:nvSpPr>
        <xdr:spPr>
          <a:xfrm>
            <a:off x="2540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17" name="$BK$117">
            <a:extLst>
              <a:ext uri="{FF2B5EF4-FFF2-40B4-BE49-F238E27FC236}">
                <a16:creationId xmlns:a16="http://schemas.microsoft.com/office/drawing/2014/main" id="{00000000-0008-0000-1300-00004D0D4300}"/>
              </a:ext>
            </a:extLst>
          </xdr:cNvPr>
          <xdr:cNvSpPr/>
        </xdr:nvSpPr>
        <xdr:spPr>
          <a:xfrm>
            <a:off x="2667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18" name="$BK$117">
            <a:extLst>
              <a:ext uri="{FF2B5EF4-FFF2-40B4-BE49-F238E27FC236}">
                <a16:creationId xmlns:a16="http://schemas.microsoft.com/office/drawing/2014/main" id="{00000000-0008-0000-1300-00004E0D4300}"/>
              </a:ext>
            </a:extLst>
          </xdr:cNvPr>
          <xdr:cNvSpPr/>
        </xdr:nvSpPr>
        <xdr:spPr>
          <a:xfrm>
            <a:off x="3175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19" name="$BK$117">
            <a:extLst>
              <a:ext uri="{FF2B5EF4-FFF2-40B4-BE49-F238E27FC236}">
                <a16:creationId xmlns:a16="http://schemas.microsoft.com/office/drawing/2014/main" id="{00000000-0008-0000-1300-00004F0D4300}"/>
              </a:ext>
            </a:extLst>
          </xdr:cNvPr>
          <xdr:cNvSpPr/>
        </xdr:nvSpPr>
        <xdr:spPr>
          <a:xfrm>
            <a:off x="3302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20" name="$BK$117">
            <a:extLst>
              <a:ext uri="{FF2B5EF4-FFF2-40B4-BE49-F238E27FC236}">
                <a16:creationId xmlns:a16="http://schemas.microsoft.com/office/drawing/2014/main" id="{00000000-0008-0000-1300-0000500D4300}"/>
              </a:ext>
            </a:extLst>
          </xdr:cNvPr>
          <xdr:cNvSpPr/>
        </xdr:nvSpPr>
        <xdr:spPr>
          <a:xfrm>
            <a:off x="3429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21" name="$BK$117">
            <a:extLst>
              <a:ext uri="{FF2B5EF4-FFF2-40B4-BE49-F238E27FC236}">
                <a16:creationId xmlns:a16="http://schemas.microsoft.com/office/drawing/2014/main" id="{00000000-0008-0000-1300-0000510D4300}"/>
              </a:ext>
            </a:extLst>
          </xdr:cNvPr>
          <xdr:cNvSpPr/>
        </xdr:nvSpPr>
        <xdr:spPr>
          <a:xfrm>
            <a:off x="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22" name="$BK$117">
            <a:extLst>
              <a:ext uri="{FF2B5EF4-FFF2-40B4-BE49-F238E27FC236}">
                <a16:creationId xmlns:a16="http://schemas.microsoft.com/office/drawing/2014/main" id="{00000000-0008-0000-1300-0000520D4300}"/>
              </a:ext>
            </a:extLst>
          </xdr:cNvPr>
          <xdr:cNvSpPr/>
        </xdr:nvSpPr>
        <xdr:spPr>
          <a:xfrm>
            <a:off x="254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23" name="$BK$117">
            <a:extLst>
              <a:ext uri="{FF2B5EF4-FFF2-40B4-BE49-F238E27FC236}">
                <a16:creationId xmlns:a16="http://schemas.microsoft.com/office/drawing/2014/main" id="{00000000-0008-0000-1300-0000530D4300}"/>
              </a:ext>
            </a:extLst>
          </xdr:cNvPr>
          <xdr:cNvSpPr/>
        </xdr:nvSpPr>
        <xdr:spPr>
          <a:xfrm>
            <a:off x="381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24" name="$BK$117">
            <a:extLst>
              <a:ext uri="{FF2B5EF4-FFF2-40B4-BE49-F238E27FC236}">
                <a16:creationId xmlns:a16="http://schemas.microsoft.com/office/drawing/2014/main" id="{00000000-0008-0000-1300-0000540D4300}"/>
              </a:ext>
            </a:extLst>
          </xdr:cNvPr>
          <xdr:cNvSpPr/>
        </xdr:nvSpPr>
        <xdr:spPr>
          <a:xfrm>
            <a:off x="508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25" name="$BK$117">
            <a:extLst>
              <a:ext uri="{FF2B5EF4-FFF2-40B4-BE49-F238E27FC236}">
                <a16:creationId xmlns:a16="http://schemas.microsoft.com/office/drawing/2014/main" id="{00000000-0008-0000-1300-0000550D4300}"/>
              </a:ext>
            </a:extLst>
          </xdr:cNvPr>
          <xdr:cNvSpPr/>
        </xdr:nvSpPr>
        <xdr:spPr>
          <a:xfrm>
            <a:off x="762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26" name="$BK$117">
            <a:extLst>
              <a:ext uri="{FF2B5EF4-FFF2-40B4-BE49-F238E27FC236}">
                <a16:creationId xmlns:a16="http://schemas.microsoft.com/office/drawing/2014/main" id="{00000000-0008-0000-1300-0000560D4300}"/>
              </a:ext>
            </a:extLst>
          </xdr:cNvPr>
          <xdr:cNvSpPr/>
        </xdr:nvSpPr>
        <xdr:spPr>
          <a:xfrm>
            <a:off x="1270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27" name="$BK$117">
            <a:extLst>
              <a:ext uri="{FF2B5EF4-FFF2-40B4-BE49-F238E27FC236}">
                <a16:creationId xmlns:a16="http://schemas.microsoft.com/office/drawing/2014/main" id="{00000000-0008-0000-1300-0000570D4300}"/>
              </a:ext>
            </a:extLst>
          </xdr:cNvPr>
          <xdr:cNvSpPr/>
        </xdr:nvSpPr>
        <xdr:spPr>
          <a:xfrm>
            <a:off x="1397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28" name="$BK$117">
            <a:extLst>
              <a:ext uri="{FF2B5EF4-FFF2-40B4-BE49-F238E27FC236}">
                <a16:creationId xmlns:a16="http://schemas.microsoft.com/office/drawing/2014/main" id="{00000000-0008-0000-1300-0000580D4300}"/>
              </a:ext>
            </a:extLst>
          </xdr:cNvPr>
          <xdr:cNvSpPr/>
        </xdr:nvSpPr>
        <xdr:spPr>
          <a:xfrm>
            <a:off x="1524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29" name="$BK$117">
            <a:extLst>
              <a:ext uri="{FF2B5EF4-FFF2-40B4-BE49-F238E27FC236}">
                <a16:creationId xmlns:a16="http://schemas.microsoft.com/office/drawing/2014/main" id="{00000000-0008-0000-1300-0000590D4300}"/>
              </a:ext>
            </a:extLst>
          </xdr:cNvPr>
          <xdr:cNvSpPr/>
        </xdr:nvSpPr>
        <xdr:spPr>
          <a:xfrm>
            <a:off x="1651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30" name="$BK$117">
            <a:extLst>
              <a:ext uri="{FF2B5EF4-FFF2-40B4-BE49-F238E27FC236}">
                <a16:creationId xmlns:a16="http://schemas.microsoft.com/office/drawing/2014/main" id="{00000000-0008-0000-1300-00005A0D4300}"/>
              </a:ext>
            </a:extLst>
          </xdr:cNvPr>
          <xdr:cNvSpPr/>
        </xdr:nvSpPr>
        <xdr:spPr>
          <a:xfrm>
            <a:off x="1905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31" name="$BK$117">
            <a:extLst>
              <a:ext uri="{FF2B5EF4-FFF2-40B4-BE49-F238E27FC236}">
                <a16:creationId xmlns:a16="http://schemas.microsoft.com/office/drawing/2014/main" id="{00000000-0008-0000-1300-00005B0D4300}"/>
              </a:ext>
            </a:extLst>
          </xdr:cNvPr>
          <xdr:cNvSpPr/>
        </xdr:nvSpPr>
        <xdr:spPr>
          <a:xfrm>
            <a:off x="2159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32" name="$BK$117">
            <a:extLst>
              <a:ext uri="{FF2B5EF4-FFF2-40B4-BE49-F238E27FC236}">
                <a16:creationId xmlns:a16="http://schemas.microsoft.com/office/drawing/2014/main" id="{00000000-0008-0000-1300-00005C0D4300}"/>
              </a:ext>
            </a:extLst>
          </xdr:cNvPr>
          <xdr:cNvSpPr/>
        </xdr:nvSpPr>
        <xdr:spPr>
          <a:xfrm>
            <a:off x="2413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33" name="$BK$117">
            <a:extLst>
              <a:ext uri="{FF2B5EF4-FFF2-40B4-BE49-F238E27FC236}">
                <a16:creationId xmlns:a16="http://schemas.microsoft.com/office/drawing/2014/main" id="{00000000-0008-0000-1300-00005D0D4300}"/>
              </a:ext>
            </a:extLst>
          </xdr:cNvPr>
          <xdr:cNvSpPr/>
        </xdr:nvSpPr>
        <xdr:spPr>
          <a:xfrm>
            <a:off x="2667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34" name="$BK$117">
            <a:extLst>
              <a:ext uri="{FF2B5EF4-FFF2-40B4-BE49-F238E27FC236}">
                <a16:creationId xmlns:a16="http://schemas.microsoft.com/office/drawing/2014/main" id="{00000000-0008-0000-1300-00005E0D4300}"/>
              </a:ext>
            </a:extLst>
          </xdr:cNvPr>
          <xdr:cNvSpPr/>
        </xdr:nvSpPr>
        <xdr:spPr>
          <a:xfrm>
            <a:off x="2794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35" name="$BK$117">
            <a:extLst>
              <a:ext uri="{FF2B5EF4-FFF2-40B4-BE49-F238E27FC236}">
                <a16:creationId xmlns:a16="http://schemas.microsoft.com/office/drawing/2014/main" id="{00000000-0008-0000-1300-00005F0D4300}"/>
              </a:ext>
            </a:extLst>
          </xdr:cNvPr>
          <xdr:cNvSpPr/>
        </xdr:nvSpPr>
        <xdr:spPr>
          <a:xfrm>
            <a:off x="2921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36" name="$BK$117">
            <a:extLst>
              <a:ext uri="{FF2B5EF4-FFF2-40B4-BE49-F238E27FC236}">
                <a16:creationId xmlns:a16="http://schemas.microsoft.com/office/drawing/2014/main" id="{00000000-0008-0000-1300-0000600D4300}"/>
              </a:ext>
            </a:extLst>
          </xdr:cNvPr>
          <xdr:cNvSpPr/>
        </xdr:nvSpPr>
        <xdr:spPr>
          <a:xfrm>
            <a:off x="3175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37" name="$BK$117">
            <a:extLst>
              <a:ext uri="{FF2B5EF4-FFF2-40B4-BE49-F238E27FC236}">
                <a16:creationId xmlns:a16="http://schemas.microsoft.com/office/drawing/2014/main" id="{00000000-0008-0000-1300-0000610D4300}"/>
              </a:ext>
            </a:extLst>
          </xdr:cNvPr>
          <xdr:cNvSpPr/>
        </xdr:nvSpPr>
        <xdr:spPr>
          <a:xfrm>
            <a:off x="3302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38" name="$BK$117">
            <a:extLst>
              <a:ext uri="{FF2B5EF4-FFF2-40B4-BE49-F238E27FC236}">
                <a16:creationId xmlns:a16="http://schemas.microsoft.com/office/drawing/2014/main" id="{00000000-0008-0000-1300-0000620D4300}"/>
              </a:ext>
            </a:extLst>
          </xdr:cNvPr>
          <xdr:cNvSpPr/>
        </xdr:nvSpPr>
        <xdr:spPr>
          <a:xfrm>
            <a:off x="3556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39" name="$BK$117">
            <a:extLst>
              <a:ext uri="{FF2B5EF4-FFF2-40B4-BE49-F238E27FC236}">
                <a16:creationId xmlns:a16="http://schemas.microsoft.com/office/drawing/2014/main" id="{00000000-0008-0000-1300-0000630D4300}"/>
              </a:ext>
            </a:extLst>
          </xdr:cNvPr>
          <xdr:cNvSpPr/>
        </xdr:nvSpPr>
        <xdr:spPr>
          <a:xfrm>
            <a:off x="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40" name="$BK$117">
            <a:extLst>
              <a:ext uri="{FF2B5EF4-FFF2-40B4-BE49-F238E27FC236}">
                <a16:creationId xmlns:a16="http://schemas.microsoft.com/office/drawing/2014/main" id="{00000000-0008-0000-1300-0000640D4300}"/>
              </a:ext>
            </a:extLst>
          </xdr:cNvPr>
          <xdr:cNvSpPr/>
        </xdr:nvSpPr>
        <xdr:spPr>
          <a:xfrm>
            <a:off x="762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41" name="$BK$117">
            <a:extLst>
              <a:ext uri="{FF2B5EF4-FFF2-40B4-BE49-F238E27FC236}">
                <a16:creationId xmlns:a16="http://schemas.microsoft.com/office/drawing/2014/main" id="{00000000-0008-0000-1300-0000650D4300}"/>
              </a:ext>
            </a:extLst>
          </xdr:cNvPr>
          <xdr:cNvSpPr/>
        </xdr:nvSpPr>
        <xdr:spPr>
          <a:xfrm>
            <a:off x="1270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42" name="$BK$117">
            <a:extLst>
              <a:ext uri="{FF2B5EF4-FFF2-40B4-BE49-F238E27FC236}">
                <a16:creationId xmlns:a16="http://schemas.microsoft.com/office/drawing/2014/main" id="{00000000-0008-0000-1300-0000660D4300}"/>
              </a:ext>
            </a:extLst>
          </xdr:cNvPr>
          <xdr:cNvSpPr/>
        </xdr:nvSpPr>
        <xdr:spPr>
          <a:xfrm>
            <a:off x="1524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43" name="$BK$117">
            <a:extLst>
              <a:ext uri="{FF2B5EF4-FFF2-40B4-BE49-F238E27FC236}">
                <a16:creationId xmlns:a16="http://schemas.microsoft.com/office/drawing/2014/main" id="{00000000-0008-0000-1300-0000670D4300}"/>
              </a:ext>
            </a:extLst>
          </xdr:cNvPr>
          <xdr:cNvSpPr/>
        </xdr:nvSpPr>
        <xdr:spPr>
          <a:xfrm>
            <a:off x="1651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44" name="$BK$117">
            <a:extLst>
              <a:ext uri="{FF2B5EF4-FFF2-40B4-BE49-F238E27FC236}">
                <a16:creationId xmlns:a16="http://schemas.microsoft.com/office/drawing/2014/main" id="{00000000-0008-0000-1300-0000680D4300}"/>
              </a:ext>
            </a:extLst>
          </xdr:cNvPr>
          <xdr:cNvSpPr/>
        </xdr:nvSpPr>
        <xdr:spPr>
          <a:xfrm>
            <a:off x="1778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45" name="$BK$117">
            <a:extLst>
              <a:ext uri="{FF2B5EF4-FFF2-40B4-BE49-F238E27FC236}">
                <a16:creationId xmlns:a16="http://schemas.microsoft.com/office/drawing/2014/main" id="{00000000-0008-0000-1300-0000690D4300}"/>
              </a:ext>
            </a:extLst>
          </xdr:cNvPr>
          <xdr:cNvSpPr/>
        </xdr:nvSpPr>
        <xdr:spPr>
          <a:xfrm>
            <a:off x="1905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46" name="$BK$117">
            <a:extLst>
              <a:ext uri="{FF2B5EF4-FFF2-40B4-BE49-F238E27FC236}">
                <a16:creationId xmlns:a16="http://schemas.microsoft.com/office/drawing/2014/main" id="{00000000-0008-0000-1300-00006A0D4300}"/>
              </a:ext>
            </a:extLst>
          </xdr:cNvPr>
          <xdr:cNvSpPr/>
        </xdr:nvSpPr>
        <xdr:spPr>
          <a:xfrm>
            <a:off x="2540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47" name="$BK$117">
            <a:extLst>
              <a:ext uri="{FF2B5EF4-FFF2-40B4-BE49-F238E27FC236}">
                <a16:creationId xmlns:a16="http://schemas.microsoft.com/office/drawing/2014/main" id="{00000000-0008-0000-1300-00006B0D4300}"/>
              </a:ext>
            </a:extLst>
          </xdr:cNvPr>
          <xdr:cNvSpPr/>
        </xdr:nvSpPr>
        <xdr:spPr>
          <a:xfrm>
            <a:off x="2794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48" name="$BK$117">
            <a:extLst>
              <a:ext uri="{FF2B5EF4-FFF2-40B4-BE49-F238E27FC236}">
                <a16:creationId xmlns:a16="http://schemas.microsoft.com/office/drawing/2014/main" id="{00000000-0008-0000-1300-00006C0D4300}"/>
              </a:ext>
            </a:extLst>
          </xdr:cNvPr>
          <xdr:cNvSpPr/>
        </xdr:nvSpPr>
        <xdr:spPr>
          <a:xfrm>
            <a:off x="3302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49" name="$BK$117">
            <a:extLst>
              <a:ext uri="{FF2B5EF4-FFF2-40B4-BE49-F238E27FC236}">
                <a16:creationId xmlns:a16="http://schemas.microsoft.com/office/drawing/2014/main" id="{00000000-0008-0000-1300-00006D0D4300}"/>
              </a:ext>
            </a:extLst>
          </xdr:cNvPr>
          <xdr:cNvSpPr/>
        </xdr:nvSpPr>
        <xdr:spPr>
          <a:xfrm>
            <a:off x="3429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50" name="$BK$117">
            <a:extLst>
              <a:ext uri="{FF2B5EF4-FFF2-40B4-BE49-F238E27FC236}">
                <a16:creationId xmlns:a16="http://schemas.microsoft.com/office/drawing/2014/main" id="{00000000-0008-0000-1300-00006E0D4300}"/>
              </a:ext>
            </a:extLst>
          </xdr:cNvPr>
          <xdr:cNvSpPr/>
        </xdr:nvSpPr>
        <xdr:spPr>
          <a:xfrm>
            <a:off x="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51" name="$BK$117">
            <a:extLst>
              <a:ext uri="{FF2B5EF4-FFF2-40B4-BE49-F238E27FC236}">
                <a16:creationId xmlns:a16="http://schemas.microsoft.com/office/drawing/2014/main" id="{00000000-0008-0000-1300-00006F0D4300}"/>
              </a:ext>
            </a:extLst>
          </xdr:cNvPr>
          <xdr:cNvSpPr/>
        </xdr:nvSpPr>
        <xdr:spPr>
          <a:xfrm>
            <a:off x="127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52" name="$BK$117">
            <a:extLst>
              <a:ext uri="{FF2B5EF4-FFF2-40B4-BE49-F238E27FC236}">
                <a16:creationId xmlns:a16="http://schemas.microsoft.com/office/drawing/2014/main" id="{00000000-0008-0000-1300-0000700D4300}"/>
              </a:ext>
            </a:extLst>
          </xdr:cNvPr>
          <xdr:cNvSpPr/>
        </xdr:nvSpPr>
        <xdr:spPr>
          <a:xfrm>
            <a:off x="254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53" name="$BK$117">
            <a:extLst>
              <a:ext uri="{FF2B5EF4-FFF2-40B4-BE49-F238E27FC236}">
                <a16:creationId xmlns:a16="http://schemas.microsoft.com/office/drawing/2014/main" id="{00000000-0008-0000-1300-0000710D4300}"/>
              </a:ext>
            </a:extLst>
          </xdr:cNvPr>
          <xdr:cNvSpPr/>
        </xdr:nvSpPr>
        <xdr:spPr>
          <a:xfrm>
            <a:off x="381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54" name="$BK$117">
            <a:extLst>
              <a:ext uri="{FF2B5EF4-FFF2-40B4-BE49-F238E27FC236}">
                <a16:creationId xmlns:a16="http://schemas.microsoft.com/office/drawing/2014/main" id="{00000000-0008-0000-1300-0000720D4300}"/>
              </a:ext>
            </a:extLst>
          </xdr:cNvPr>
          <xdr:cNvSpPr/>
        </xdr:nvSpPr>
        <xdr:spPr>
          <a:xfrm>
            <a:off x="508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55" name="$BK$117">
            <a:extLst>
              <a:ext uri="{FF2B5EF4-FFF2-40B4-BE49-F238E27FC236}">
                <a16:creationId xmlns:a16="http://schemas.microsoft.com/office/drawing/2014/main" id="{00000000-0008-0000-1300-0000730D4300}"/>
              </a:ext>
            </a:extLst>
          </xdr:cNvPr>
          <xdr:cNvSpPr/>
        </xdr:nvSpPr>
        <xdr:spPr>
          <a:xfrm>
            <a:off x="635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56" name="$BK$117">
            <a:extLst>
              <a:ext uri="{FF2B5EF4-FFF2-40B4-BE49-F238E27FC236}">
                <a16:creationId xmlns:a16="http://schemas.microsoft.com/office/drawing/2014/main" id="{00000000-0008-0000-1300-0000740D4300}"/>
              </a:ext>
            </a:extLst>
          </xdr:cNvPr>
          <xdr:cNvSpPr/>
        </xdr:nvSpPr>
        <xdr:spPr>
          <a:xfrm>
            <a:off x="762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57" name="$BK$117">
            <a:extLst>
              <a:ext uri="{FF2B5EF4-FFF2-40B4-BE49-F238E27FC236}">
                <a16:creationId xmlns:a16="http://schemas.microsoft.com/office/drawing/2014/main" id="{00000000-0008-0000-1300-0000750D4300}"/>
              </a:ext>
            </a:extLst>
          </xdr:cNvPr>
          <xdr:cNvSpPr/>
        </xdr:nvSpPr>
        <xdr:spPr>
          <a:xfrm>
            <a:off x="1016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58" name="$BK$117">
            <a:extLst>
              <a:ext uri="{FF2B5EF4-FFF2-40B4-BE49-F238E27FC236}">
                <a16:creationId xmlns:a16="http://schemas.microsoft.com/office/drawing/2014/main" id="{00000000-0008-0000-1300-0000760D4300}"/>
              </a:ext>
            </a:extLst>
          </xdr:cNvPr>
          <xdr:cNvSpPr/>
        </xdr:nvSpPr>
        <xdr:spPr>
          <a:xfrm>
            <a:off x="1143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59" name="$BK$117">
            <a:extLst>
              <a:ext uri="{FF2B5EF4-FFF2-40B4-BE49-F238E27FC236}">
                <a16:creationId xmlns:a16="http://schemas.microsoft.com/office/drawing/2014/main" id="{00000000-0008-0000-1300-0000770D4300}"/>
              </a:ext>
            </a:extLst>
          </xdr:cNvPr>
          <xdr:cNvSpPr/>
        </xdr:nvSpPr>
        <xdr:spPr>
          <a:xfrm>
            <a:off x="1270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60" name="$BK$117">
            <a:extLst>
              <a:ext uri="{FF2B5EF4-FFF2-40B4-BE49-F238E27FC236}">
                <a16:creationId xmlns:a16="http://schemas.microsoft.com/office/drawing/2014/main" id="{00000000-0008-0000-1300-0000780D4300}"/>
              </a:ext>
            </a:extLst>
          </xdr:cNvPr>
          <xdr:cNvSpPr/>
        </xdr:nvSpPr>
        <xdr:spPr>
          <a:xfrm>
            <a:off x="1397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61" name="$BK$117">
            <a:extLst>
              <a:ext uri="{FF2B5EF4-FFF2-40B4-BE49-F238E27FC236}">
                <a16:creationId xmlns:a16="http://schemas.microsoft.com/office/drawing/2014/main" id="{00000000-0008-0000-1300-0000790D4300}"/>
              </a:ext>
            </a:extLst>
          </xdr:cNvPr>
          <xdr:cNvSpPr/>
        </xdr:nvSpPr>
        <xdr:spPr>
          <a:xfrm>
            <a:off x="1524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62" name="$BK$117">
            <a:extLst>
              <a:ext uri="{FF2B5EF4-FFF2-40B4-BE49-F238E27FC236}">
                <a16:creationId xmlns:a16="http://schemas.microsoft.com/office/drawing/2014/main" id="{00000000-0008-0000-1300-00007A0D4300}"/>
              </a:ext>
            </a:extLst>
          </xdr:cNvPr>
          <xdr:cNvSpPr/>
        </xdr:nvSpPr>
        <xdr:spPr>
          <a:xfrm>
            <a:off x="1651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63" name="$BK$117">
            <a:extLst>
              <a:ext uri="{FF2B5EF4-FFF2-40B4-BE49-F238E27FC236}">
                <a16:creationId xmlns:a16="http://schemas.microsoft.com/office/drawing/2014/main" id="{00000000-0008-0000-1300-00007B0D4300}"/>
              </a:ext>
            </a:extLst>
          </xdr:cNvPr>
          <xdr:cNvSpPr/>
        </xdr:nvSpPr>
        <xdr:spPr>
          <a:xfrm>
            <a:off x="2159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64" name="$BK$117">
            <a:extLst>
              <a:ext uri="{FF2B5EF4-FFF2-40B4-BE49-F238E27FC236}">
                <a16:creationId xmlns:a16="http://schemas.microsoft.com/office/drawing/2014/main" id="{00000000-0008-0000-1300-00007C0D4300}"/>
              </a:ext>
            </a:extLst>
          </xdr:cNvPr>
          <xdr:cNvSpPr/>
        </xdr:nvSpPr>
        <xdr:spPr>
          <a:xfrm>
            <a:off x="2413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65" name="$BK$117">
            <a:extLst>
              <a:ext uri="{FF2B5EF4-FFF2-40B4-BE49-F238E27FC236}">
                <a16:creationId xmlns:a16="http://schemas.microsoft.com/office/drawing/2014/main" id="{00000000-0008-0000-1300-00007D0D4300}"/>
              </a:ext>
            </a:extLst>
          </xdr:cNvPr>
          <xdr:cNvSpPr/>
        </xdr:nvSpPr>
        <xdr:spPr>
          <a:xfrm>
            <a:off x="2794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66" name="$BK$117">
            <a:extLst>
              <a:ext uri="{FF2B5EF4-FFF2-40B4-BE49-F238E27FC236}">
                <a16:creationId xmlns:a16="http://schemas.microsoft.com/office/drawing/2014/main" id="{00000000-0008-0000-1300-00007E0D4300}"/>
              </a:ext>
            </a:extLst>
          </xdr:cNvPr>
          <xdr:cNvSpPr/>
        </xdr:nvSpPr>
        <xdr:spPr>
          <a:xfrm>
            <a:off x="3048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67" name="$BK$117">
            <a:extLst>
              <a:ext uri="{FF2B5EF4-FFF2-40B4-BE49-F238E27FC236}">
                <a16:creationId xmlns:a16="http://schemas.microsoft.com/office/drawing/2014/main" id="{00000000-0008-0000-1300-00007F0D4300}"/>
              </a:ext>
            </a:extLst>
          </xdr:cNvPr>
          <xdr:cNvSpPr/>
        </xdr:nvSpPr>
        <xdr:spPr>
          <a:xfrm>
            <a:off x="3175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68" name="$BK$117">
            <a:extLst>
              <a:ext uri="{FF2B5EF4-FFF2-40B4-BE49-F238E27FC236}">
                <a16:creationId xmlns:a16="http://schemas.microsoft.com/office/drawing/2014/main" id="{00000000-0008-0000-1300-0000800D4300}"/>
              </a:ext>
            </a:extLst>
          </xdr:cNvPr>
          <xdr:cNvSpPr/>
        </xdr:nvSpPr>
        <xdr:spPr>
          <a:xfrm>
            <a:off x="3429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60</xdr:col>
      <xdr:colOff>100962</xdr:colOff>
      <xdr:row>114</xdr:row>
      <xdr:rowOff>267646</xdr:rowOff>
    </xdr:from>
    <xdr:to>
      <xdr:col>60</xdr:col>
      <xdr:colOff>980130</xdr:colOff>
      <xdr:row>117</xdr:row>
      <xdr:rowOff>218127</xdr:rowOff>
    </xdr:to>
    <xdr:grpSp>
      <xdr:nvGrpSpPr>
        <xdr:cNvPr id="4394369" name="$AS$116" descr="QuickResponse barcode, level M, version 3, mode binary, 29x29 cells" title=":,អតិថិជនទូទៅ,0">
          <a:extLst>
            <a:ext uri="{FF2B5EF4-FFF2-40B4-BE49-F238E27FC236}">
              <a16:creationId xmlns:a16="http://schemas.microsoft.com/office/drawing/2014/main" id="{00000000-0008-0000-1300-0000810D4300}"/>
            </a:ext>
          </a:extLst>
        </xdr:cNvPr>
        <xdr:cNvGrpSpPr>
          <a:grpSpLocks noChangeAspect="1"/>
        </xdr:cNvGrpSpPr>
      </xdr:nvGrpSpPr>
      <xdr:grpSpPr>
        <a:xfrm>
          <a:off x="40808431" y="21067865"/>
          <a:ext cx="879168" cy="879168"/>
          <a:chOff x="0" y="0"/>
          <a:chExt cx="368300" cy="368300"/>
        </a:xfrm>
        <a:solidFill>
          <a:srgbClr val="000000"/>
        </a:solidFill>
      </xdr:grpSpPr>
      <xdr:sp macro="" textlink="">
        <xdr:nvSpPr>
          <xdr:cNvPr id="4394370" name="$AS$116">
            <a:extLst>
              <a:ext uri="{FF2B5EF4-FFF2-40B4-BE49-F238E27FC236}">
                <a16:creationId xmlns:a16="http://schemas.microsoft.com/office/drawing/2014/main" id="{00000000-0008-0000-1300-0000820D4300}"/>
              </a:ext>
            </a:extLst>
          </xdr:cNvPr>
          <xdr:cNvSpPr/>
        </xdr:nvSpPr>
        <xdr:spPr>
          <a:xfrm>
            <a:off x="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71" name="$AS$116">
            <a:extLst>
              <a:ext uri="{FF2B5EF4-FFF2-40B4-BE49-F238E27FC236}">
                <a16:creationId xmlns:a16="http://schemas.microsoft.com/office/drawing/2014/main" id="{00000000-0008-0000-1300-0000830D4300}"/>
              </a:ext>
            </a:extLst>
          </xdr:cNvPr>
          <xdr:cNvSpPr/>
        </xdr:nvSpPr>
        <xdr:spPr>
          <a:xfrm>
            <a:off x="127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72" name="$AS$116">
            <a:extLst>
              <a:ext uri="{FF2B5EF4-FFF2-40B4-BE49-F238E27FC236}">
                <a16:creationId xmlns:a16="http://schemas.microsoft.com/office/drawing/2014/main" id="{00000000-0008-0000-1300-0000840D4300}"/>
              </a:ext>
            </a:extLst>
          </xdr:cNvPr>
          <xdr:cNvSpPr/>
        </xdr:nvSpPr>
        <xdr:spPr>
          <a:xfrm>
            <a:off x="25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73" name="$AS$116">
            <a:extLst>
              <a:ext uri="{FF2B5EF4-FFF2-40B4-BE49-F238E27FC236}">
                <a16:creationId xmlns:a16="http://schemas.microsoft.com/office/drawing/2014/main" id="{00000000-0008-0000-1300-0000850D4300}"/>
              </a:ext>
            </a:extLst>
          </xdr:cNvPr>
          <xdr:cNvSpPr/>
        </xdr:nvSpPr>
        <xdr:spPr>
          <a:xfrm>
            <a:off x="381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74" name="$AS$116">
            <a:extLst>
              <a:ext uri="{FF2B5EF4-FFF2-40B4-BE49-F238E27FC236}">
                <a16:creationId xmlns:a16="http://schemas.microsoft.com/office/drawing/2014/main" id="{00000000-0008-0000-1300-0000860D4300}"/>
              </a:ext>
            </a:extLst>
          </xdr:cNvPr>
          <xdr:cNvSpPr/>
        </xdr:nvSpPr>
        <xdr:spPr>
          <a:xfrm>
            <a:off x="508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75" name="$AS$116">
            <a:extLst>
              <a:ext uri="{FF2B5EF4-FFF2-40B4-BE49-F238E27FC236}">
                <a16:creationId xmlns:a16="http://schemas.microsoft.com/office/drawing/2014/main" id="{00000000-0008-0000-1300-0000870D4300}"/>
              </a:ext>
            </a:extLst>
          </xdr:cNvPr>
          <xdr:cNvSpPr/>
        </xdr:nvSpPr>
        <xdr:spPr>
          <a:xfrm>
            <a:off x="635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76" name="$AS$116">
            <a:extLst>
              <a:ext uri="{FF2B5EF4-FFF2-40B4-BE49-F238E27FC236}">
                <a16:creationId xmlns:a16="http://schemas.microsoft.com/office/drawing/2014/main" id="{00000000-0008-0000-1300-0000880D4300}"/>
              </a:ext>
            </a:extLst>
          </xdr:cNvPr>
          <xdr:cNvSpPr/>
        </xdr:nvSpPr>
        <xdr:spPr>
          <a:xfrm>
            <a:off x="762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77" name="$AS$116">
            <a:extLst>
              <a:ext uri="{FF2B5EF4-FFF2-40B4-BE49-F238E27FC236}">
                <a16:creationId xmlns:a16="http://schemas.microsoft.com/office/drawing/2014/main" id="{00000000-0008-0000-1300-0000890D4300}"/>
              </a:ext>
            </a:extLst>
          </xdr:cNvPr>
          <xdr:cNvSpPr/>
        </xdr:nvSpPr>
        <xdr:spPr>
          <a:xfrm>
            <a:off x="1143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78" name="$AS$116">
            <a:extLst>
              <a:ext uri="{FF2B5EF4-FFF2-40B4-BE49-F238E27FC236}">
                <a16:creationId xmlns:a16="http://schemas.microsoft.com/office/drawing/2014/main" id="{00000000-0008-0000-1300-00008A0D4300}"/>
              </a:ext>
            </a:extLst>
          </xdr:cNvPr>
          <xdr:cNvSpPr/>
        </xdr:nvSpPr>
        <xdr:spPr>
          <a:xfrm>
            <a:off x="1270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79" name="$AS$116">
            <a:extLst>
              <a:ext uri="{FF2B5EF4-FFF2-40B4-BE49-F238E27FC236}">
                <a16:creationId xmlns:a16="http://schemas.microsoft.com/office/drawing/2014/main" id="{00000000-0008-0000-1300-00008B0D4300}"/>
              </a:ext>
            </a:extLst>
          </xdr:cNvPr>
          <xdr:cNvSpPr/>
        </xdr:nvSpPr>
        <xdr:spPr>
          <a:xfrm>
            <a:off x="1397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80" name="$AS$116">
            <a:extLst>
              <a:ext uri="{FF2B5EF4-FFF2-40B4-BE49-F238E27FC236}">
                <a16:creationId xmlns:a16="http://schemas.microsoft.com/office/drawing/2014/main" id="{00000000-0008-0000-1300-00008C0D4300}"/>
              </a:ext>
            </a:extLst>
          </xdr:cNvPr>
          <xdr:cNvSpPr/>
        </xdr:nvSpPr>
        <xdr:spPr>
          <a:xfrm>
            <a:off x="152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81" name="$AS$116">
            <a:extLst>
              <a:ext uri="{FF2B5EF4-FFF2-40B4-BE49-F238E27FC236}">
                <a16:creationId xmlns:a16="http://schemas.microsoft.com/office/drawing/2014/main" id="{00000000-0008-0000-1300-00008D0D4300}"/>
              </a:ext>
            </a:extLst>
          </xdr:cNvPr>
          <xdr:cNvSpPr/>
        </xdr:nvSpPr>
        <xdr:spPr>
          <a:xfrm>
            <a:off x="1905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82" name="$AS$116">
            <a:extLst>
              <a:ext uri="{FF2B5EF4-FFF2-40B4-BE49-F238E27FC236}">
                <a16:creationId xmlns:a16="http://schemas.microsoft.com/office/drawing/2014/main" id="{00000000-0008-0000-1300-00008E0D4300}"/>
              </a:ext>
            </a:extLst>
          </xdr:cNvPr>
          <xdr:cNvSpPr/>
        </xdr:nvSpPr>
        <xdr:spPr>
          <a:xfrm>
            <a:off x="2032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83" name="$AS$116">
            <a:extLst>
              <a:ext uri="{FF2B5EF4-FFF2-40B4-BE49-F238E27FC236}">
                <a16:creationId xmlns:a16="http://schemas.microsoft.com/office/drawing/2014/main" id="{00000000-0008-0000-1300-00008F0D4300}"/>
              </a:ext>
            </a:extLst>
          </xdr:cNvPr>
          <xdr:cNvSpPr/>
        </xdr:nvSpPr>
        <xdr:spPr>
          <a:xfrm>
            <a:off x="2540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84" name="$AS$116">
            <a:extLst>
              <a:ext uri="{FF2B5EF4-FFF2-40B4-BE49-F238E27FC236}">
                <a16:creationId xmlns:a16="http://schemas.microsoft.com/office/drawing/2014/main" id="{00000000-0008-0000-1300-0000900D4300}"/>
              </a:ext>
            </a:extLst>
          </xdr:cNvPr>
          <xdr:cNvSpPr/>
        </xdr:nvSpPr>
        <xdr:spPr>
          <a:xfrm>
            <a:off x="279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85" name="$AS$116">
            <a:extLst>
              <a:ext uri="{FF2B5EF4-FFF2-40B4-BE49-F238E27FC236}">
                <a16:creationId xmlns:a16="http://schemas.microsoft.com/office/drawing/2014/main" id="{00000000-0008-0000-1300-0000910D4300}"/>
              </a:ext>
            </a:extLst>
          </xdr:cNvPr>
          <xdr:cNvSpPr/>
        </xdr:nvSpPr>
        <xdr:spPr>
          <a:xfrm>
            <a:off x="2921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86" name="$AS$116">
            <a:extLst>
              <a:ext uri="{FF2B5EF4-FFF2-40B4-BE49-F238E27FC236}">
                <a16:creationId xmlns:a16="http://schemas.microsoft.com/office/drawing/2014/main" id="{00000000-0008-0000-1300-0000920D4300}"/>
              </a:ext>
            </a:extLst>
          </xdr:cNvPr>
          <xdr:cNvSpPr/>
        </xdr:nvSpPr>
        <xdr:spPr>
          <a:xfrm>
            <a:off x="3048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87" name="$AS$116">
            <a:extLst>
              <a:ext uri="{FF2B5EF4-FFF2-40B4-BE49-F238E27FC236}">
                <a16:creationId xmlns:a16="http://schemas.microsoft.com/office/drawing/2014/main" id="{00000000-0008-0000-1300-0000930D4300}"/>
              </a:ext>
            </a:extLst>
          </xdr:cNvPr>
          <xdr:cNvSpPr/>
        </xdr:nvSpPr>
        <xdr:spPr>
          <a:xfrm>
            <a:off x="3175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88" name="$AS$116">
            <a:extLst>
              <a:ext uri="{FF2B5EF4-FFF2-40B4-BE49-F238E27FC236}">
                <a16:creationId xmlns:a16="http://schemas.microsoft.com/office/drawing/2014/main" id="{00000000-0008-0000-1300-0000940D4300}"/>
              </a:ext>
            </a:extLst>
          </xdr:cNvPr>
          <xdr:cNvSpPr/>
        </xdr:nvSpPr>
        <xdr:spPr>
          <a:xfrm>
            <a:off x="3302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89" name="$AS$116">
            <a:extLst>
              <a:ext uri="{FF2B5EF4-FFF2-40B4-BE49-F238E27FC236}">
                <a16:creationId xmlns:a16="http://schemas.microsoft.com/office/drawing/2014/main" id="{00000000-0008-0000-1300-0000950D4300}"/>
              </a:ext>
            </a:extLst>
          </xdr:cNvPr>
          <xdr:cNvSpPr/>
        </xdr:nvSpPr>
        <xdr:spPr>
          <a:xfrm>
            <a:off x="3429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90" name="$AS$116">
            <a:extLst>
              <a:ext uri="{FF2B5EF4-FFF2-40B4-BE49-F238E27FC236}">
                <a16:creationId xmlns:a16="http://schemas.microsoft.com/office/drawing/2014/main" id="{00000000-0008-0000-1300-0000960D4300}"/>
              </a:ext>
            </a:extLst>
          </xdr:cNvPr>
          <xdr:cNvSpPr/>
        </xdr:nvSpPr>
        <xdr:spPr>
          <a:xfrm>
            <a:off x="3556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91" name="$AS$116">
            <a:extLst>
              <a:ext uri="{FF2B5EF4-FFF2-40B4-BE49-F238E27FC236}">
                <a16:creationId xmlns:a16="http://schemas.microsoft.com/office/drawing/2014/main" id="{00000000-0008-0000-1300-0000970D4300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92" name="$AS$116">
            <a:extLst>
              <a:ext uri="{FF2B5EF4-FFF2-40B4-BE49-F238E27FC236}">
                <a16:creationId xmlns:a16="http://schemas.microsoft.com/office/drawing/2014/main" id="{00000000-0008-0000-1300-0000980D4300}"/>
              </a:ext>
            </a:extLst>
          </xdr:cNvPr>
          <xdr:cNvSpPr/>
        </xdr:nvSpPr>
        <xdr:spPr>
          <a:xfrm>
            <a:off x="762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93" name="$AS$116">
            <a:extLst>
              <a:ext uri="{FF2B5EF4-FFF2-40B4-BE49-F238E27FC236}">
                <a16:creationId xmlns:a16="http://schemas.microsoft.com/office/drawing/2014/main" id="{00000000-0008-0000-1300-0000990D4300}"/>
              </a:ext>
            </a:extLst>
          </xdr:cNvPr>
          <xdr:cNvSpPr/>
        </xdr:nvSpPr>
        <xdr:spPr>
          <a:xfrm>
            <a:off x="1143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94" name="$AS$116">
            <a:extLst>
              <a:ext uri="{FF2B5EF4-FFF2-40B4-BE49-F238E27FC236}">
                <a16:creationId xmlns:a16="http://schemas.microsoft.com/office/drawing/2014/main" id="{00000000-0008-0000-1300-00009A0D4300}"/>
              </a:ext>
            </a:extLst>
          </xdr:cNvPr>
          <xdr:cNvSpPr/>
        </xdr:nvSpPr>
        <xdr:spPr>
          <a:xfrm>
            <a:off x="1524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95" name="$AS$116">
            <a:extLst>
              <a:ext uri="{FF2B5EF4-FFF2-40B4-BE49-F238E27FC236}">
                <a16:creationId xmlns:a16="http://schemas.microsoft.com/office/drawing/2014/main" id="{00000000-0008-0000-1300-00009B0D4300}"/>
              </a:ext>
            </a:extLst>
          </xdr:cNvPr>
          <xdr:cNvSpPr/>
        </xdr:nvSpPr>
        <xdr:spPr>
          <a:xfrm>
            <a:off x="1905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96" name="$AS$116">
            <a:extLst>
              <a:ext uri="{FF2B5EF4-FFF2-40B4-BE49-F238E27FC236}">
                <a16:creationId xmlns:a16="http://schemas.microsoft.com/office/drawing/2014/main" id="{00000000-0008-0000-1300-00009C0D4300}"/>
              </a:ext>
            </a:extLst>
          </xdr:cNvPr>
          <xdr:cNvSpPr/>
        </xdr:nvSpPr>
        <xdr:spPr>
          <a:xfrm>
            <a:off x="2032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97" name="$AS$116">
            <a:extLst>
              <a:ext uri="{FF2B5EF4-FFF2-40B4-BE49-F238E27FC236}">
                <a16:creationId xmlns:a16="http://schemas.microsoft.com/office/drawing/2014/main" id="{00000000-0008-0000-1300-00009D0D4300}"/>
              </a:ext>
            </a:extLst>
          </xdr:cNvPr>
          <xdr:cNvSpPr/>
        </xdr:nvSpPr>
        <xdr:spPr>
          <a:xfrm>
            <a:off x="2413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98" name="$AS$116">
            <a:extLst>
              <a:ext uri="{FF2B5EF4-FFF2-40B4-BE49-F238E27FC236}">
                <a16:creationId xmlns:a16="http://schemas.microsoft.com/office/drawing/2014/main" id="{00000000-0008-0000-1300-00009E0D4300}"/>
              </a:ext>
            </a:extLst>
          </xdr:cNvPr>
          <xdr:cNvSpPr/>
        </xdr:nvSpPr>
        <xdr:spPr>
          <a:xfrm>
            <a:off x="2794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99" name="$AS$116">
            <a:extLst>
              <a:ext uri="{FF2B5EF4-FFF2-40B4-BE49-F238E27FC236}">
                <a16:creationId xmlns:a16="http://schemas.microsoft.com/office/drawing/2014/main" id="{00000000-0008-0000-1300-00009F0D4300}"/>
              </a:ext>
            </a:extLst>
          </xdr:cNvPr>
          <xdr:cNvSpPr/>
        </xdr:nvSpPr>
        <xdr:spPr>
          <a:xfrm>
            <a:off x="3556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00" name="$AS$116">
            <a:extLst>
              <a:ext uri="{FF2B5EF4-FFF2-40B4-BE49-F238E27FC236}">
                <a16:creationId xmlns:a16="http://schemas.microsoft.com/office/drawing/2014/main" id="{00000000-0008-0000-1300-0000A00D4300}"/>
              </a:ext>
            </a:extLst>
          </xdr:cNvPr>
          <xdr:cNvSpPr/>
        </xdr:nvSpPr>
        <xdr:spPr>
          <a:xfrm>
            <a:off x="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01" name="$AS$116">
            <a:extLst>
              <a:ext uri="{FF2B5EF4-FFF2-40B4-BE49-F238E27FC236}">
                <a16:creationId xmlns:a16="http://schemas.microsoft.com/office/drawing/2014/main" id="{00000000-0008-0000-1300-0000A10D4300}"/>
              </a:ext>
            </a:extLst>
          </xdr:cNvPr>
          <xdr:cNvSpPr/>
        </xdr:nvSpPr>
        <xdr:spPr>
          <a:xfrm>
            <a:off x="254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02" name="$AS$116">
            <a:extLst>
              <a:ext uri="{FF2B5EF4-FFF2-40B4-BE49-F238E27FC236}">
                <a16:creationId xmlns:a16="http://schemas.microsoft.com/office/drawing/2014/main" id="{00000000-0008-0000-1300-0000A20D4300}"/>
              </a:ext>
            </a:extLst>
          </xdr:cNvPr>
          <xdr:cNvSpPr/>
        </xdr:nvSpPr>
        <xdr:spPr>
          <a:xfrm>
            <a:off x="381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03" name="$AS$116">
            <a:extLst>
              <a:ext uri="{FF2B5EF4-FFF2-40B4-BE49-F238E27FC236}">
                <a16:creationId xmlns:a16="http://schemas.microsoft.com/office/drawing/2014/main" id="{00000000-0008-0000-1300-0000A30D4300}"/>
              </a:ext>
            </a:extLst>
          </xdr:cNvPr>
          <xdr:cNvSpPr/>
        </xdr:nvSpPr>
        <xdr:spPr>
          <a:xfrm>
            <a:off x="508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04" name="$AS$116">
            <a:extLst>
              <a:ext uri="{FF2B5EF4-FFF2-40B4-BE49-F238E27FC236}">
                <a16:creationId xmlns:a16="http://schemas.microsoft.com/office/drawing/2014/main" id="{00000000-0008-0000-1300-0000A40D4300}"/>
              </a:ext>
            </a:extLst>
          </xdr:cNvPr>
          <xdr:cNvSpPr/>
        </xdr:nvSpPr>
        <xdr:spPr>
          <a:xfrm>
            <a:off x="762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05" name="$AS$116">
            <a:extLst>
              <a:ext uri="{FF2B5EF4-FFF2-40B4-BE49-F238E27FC236}">
                <a16:creationId xmlns:a16="http://schemas.microsoft.com/office/drawing/2014/main" id="{00000000-0008-0000-1300-0000A50D4300}"/>
              </a:ext>
            </a:extLst>
          </xdr:cNvPr>
          <xdr:cNvSpPr/>
        </xdr:nvSpPr>
        <xdr:spPr>
          <a:xfrm>
            <a:off x="1143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06" name="$AS$116">
            <a:extLst>
              <a:ext uri="{FF2B5EF4-FFF2-40B4-BE49-F238E27FC236}">
                <a16:creationId xmlns:a16="http://schemas.microsoft.com/office/drawing/2014/main" id="{00000000-0008-0000-1300-0000A60D4300}"/>
              </a:ext>
            </a:extLst>
          </xdr:cNvPr>
          <xdr:cNvSpPr/>
        </xdr:nvSpPr>
        <xdr:spPr>
          <a:xfrm>
            <a:off x="1524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07" name="$AS$116">
            <a:extLst>
              <a:ext uri="{FF2B5EF4-FFF2-40B4-BE49-F238E27FC236}">
                <a16:creationId xmlns:a16="http://schemas.microsoft.com/office/drawing/2014/main" id="{00000000-0008-0000-1300-0000A70D4300}"/>
              </a:ext>
            </a:extLst>
          </xdr:cNvPr>
          <xdr:cNvSpPr/>
        </xdr:nvSpPr>
        <xdr:spPr>
          <a:xfrm>
            <a:off x="2413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08" name="$AS$116">
            <a:extLst>
              <a:ext uri="{FF2B5EF4-FFF2-40B4-BE49-F238E27FC236}">
                <a16:creationId xmlns:a16="http://schemas.microsoft.com/office/drawing/2014/main" id="{00000000-0008-0000-1300-0000A80D4300}"/>
              </a:ext>
            </a:extLst>
          </xdr:cNvPr>
          <xdr:cNvSpPr/>
        </xdr:nvSpPr>
        <xdr:spPr>
          <a:xfrm>
            <a:off x="2540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09" name="$AS$116">
            <a:extLst>
              <a:ext uri="{FF2B5EF4-FFF2-40B4-BE49-F238E27FC236}">
                <a16:creationId xmlns:a16="http://schemas.microsoft.com/office/drawing/2014/main" id="{00000000-0008-0000-1300-0000A90D4300}"/>
              </a:ext>
            </a:extLst>
          </xdr:cNvPr>
          <xdr:cNvSpPr/>
        </xdr:nvSpPr>
        <xdr:spPr>
          <a:xfrm>
            <a:off x="2794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10" name="$AS$116">
            <a:extLst>
              <a:ext uri="{FF2B5EF4-FFF2-40B4-BE49-F238E27FC236}">
                <a16:creationId xmlns:a16="http://schemas.microsoft.com/office/drawing/2014/main" id="{00000000-0008-0000-1300-0000AA0D4300}"/>
              </a:ext>
            </a:extLst>
          </xdr:cNvPr>
          <xdr:cNvSpPr/>
        </xdr:nvSpPr>
        <xdr:spPr>
          <a:xfrm>
            <a:off x="3048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11" name="$AS$116">
            <a:extLst>
              <a:ext uri="{FF2B5EF4-FFF2-40B4-BE49-F238E27FC236}">
                <a16:creationId xmlns:a16="http://schemas.microsoft.com/office/drawing/2014/main" id="{00000000-0008-0000-1300-0000AB0D4300}"/>
              </a:ext>
            </a:extLst>
          </xdr:cNvPr>
          <xdr:cNvSpPr/>
        </xdr:nvSpPr>
        <xdr:spPr>
          <a:xfrm>
            <a:off x="3175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12" name="$AS$116">
            <a:extLst>
              <a:ext uri="{FF2B5EF4-FFF2-40B4-BE49-F238E27FC236}">
                <a16:creationId xmlns:a16="http://schemas.microsoft.com/office/drawing/2014/main" id="{00000000-0008-0000-1300-0000AC0D4300}"/>
              </a:ext>
            </a:extLst>
          </xdr:cNvPr>
          <xdr:cNvSpPr/>
        </xdr:nvSpPr>
        <xdr:spPr>
          <a:xfrm>
            <a:off x="3302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13" name="$AS$116">
            <a:extLst>
              <a:ext uri="{FF2B5EF4-FFF2-40B4-BE49-F238E27FC236}">
                <a16:creationId xmlns:a16="http://schemas.microsoft.com/office/drawing/2014/main" id="{00000000-0008-0000-1300-0000AD0D4300}"/>
              </a:ext>
            </a:extLst>
          </xdr:cNvPr>
          <xdr:cNvSpPr/>
        </xdr:nvSpPr>
        <xdr:spPr>
          <a:xfrm>
            <a:off x="3556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14" name="$AS$116">
            <a:extLst>
              <a:ext uri="{FF2B5EF4-FFF2-40B4-BE49-F238E27FC236}">
                <a16:creationId xmlns:a16="http://schemas.microsoft.com/office/drawing/2014/main" id="{00000000-0008-0000-1300-0000AE0D4300}"/>
              </a:ext>
            </a:extLst>
          </xdr:cNvPr>
          <xdr:cNvSpPr/>
        </xdr:nvSpPr>
        <xdr:spPr>
          <a:xfrm>
            <a:off x="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15" name="$AS$116">
            <a:extLst>
              <a:ext uri="{FF2B5EF4-FFF2-40B4-BE49-F238E27FC236}">
                <a16:creationId xmlns:a16="http://schemas.microsoft.com/office/drawing/2014/main" id="{00000000-0008-0000-1300-0000AF0D4300}"/>
              </a:ext>
            </a:extLst>
          </xdr:cNvPr>
          <xdr:cNvSpPr/>
        </xdr:nvSpPr>
        <xdr:spPr>
          <a:xfrm>
            <a:off x="25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16" name="$AS$116">
            <a:extLst>
              <a:ext uri="{FF2B5EF4-FFF2-40B4-BE49-F238E27FC236}">
                <a16:creationId xmlns:a16="http://schemas.microsoft.com/office/drawing/2014/main" id="{00000000-0008-0000-1300-0000B00D4300}"/>
              </a:ext>
            </a:extLst>
          </xdr:cNvPr>
          <xdr:cNvSpPr/>
        </xdr:nvSpPr>
        <xdr:spPr>
          <a:xfrm>
            <a:off x="381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17" name="$AS$116">
            <a:extLst>
              <a:ext uri="{FF2B5EF4-FFF2-40B4-BE49-F238E27FC236}">
                <a16:creationId xmlns:a16="http://schemas.microsoft.com/office/drawing/2014/main" id="{00000000-0008-0000-1300-0000B10D4300}"/>
              </a:ext>
            </a:extLst>
          </xdr:cNvPr>
          <xdr:cNvSpPr/>
        </xdr:nvSpPr>
        <xdr:spPr>
          <a:xfrm>
            <a:off x="508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18" name="$AS$116">
            <a:extLst>
              <a:ext uri="{FF2B5EF4-FFF2-40B4-BE49-F238E27FC236}">
                <a16:creationId xmlns:a16="http://schemas.microsoft.com/office/drawing/2014/main" id="{00000000-0008-0000-1300-0000B20D4300}"/>
              </a:ext>
            </a:extLst>
          </xdr:cNvPr>
          <xdr:cNvSpPr/>
        </xdr:nvSpPr>
        <xdr:spPr>
          <a:xfrm>
            <a:off x="762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19" name="$AS$116">
            <a:extLst>
              <a:ext uri="{FF2B5EF4-FFF2-40B4-BE49-F238E27FC236}">
                <a16:creationId xmlns:a16="http://schemas.microsoft.com/office/drawing/2014/main" id="{00000000-0008-0000-1300-0000B30D4300}"/>
              </a:ext>
            </a:extLst>
          </xdr:cNvPr>
          <xdr:cNvSpPr/>
        </xdr:nvSpPr>
        <xdr:spPr>
          <a:xfrm>
            <a:off x="152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20" name="$AS$116">
            <a:extLst>
              <a:ext uri="{FF2B5EF4-FFF2-40B4-BE49-F238E27FC236}">
                <a16:creationId xmlns:a16="http://schemas.microsoft.com/office/drawing/2014/main" id="{00000000-0008-0000-1300-0000B40D4300}"/>
              </a:ext>
            </a:extLst>
          </xdr:cNvPr>
          <xdr:cNvSpPr/>
        </xdr:nvSpPr>
        <xdr:spPr>
          <a:xfrm>
            <a:off x="1651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21" name="$AS$116">
            <a:extLst>
              <a:ext uri="{FF2B5EF4-FFF2-40B4-BE49-F238E27FC236}">
                <a16:creationId xmlns:a16="http://schemas.microsoft.com/office/drawing/2014/main" id="{00000000-0008-0000-1300-0000B50D4300}"/>
              </a:ext>
            </a:extLst>
          </xdr:cNvPr>
          <xdr:cNvSpPr/>
        </xdr:nvSpPr>
        <xdr:spPr>
          <a:xfrm>
            <a:off x="2286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22" name="$AS$116">
            <a:extLst>
              <a:ext uri="{FF2B5EF4-FFF2-40B4-BE49-F238E27FC236}">
                <a16:creationId xmlns:a16="http://schemas.microsoft.com/office/drawing/2014/main" id="{00000000-0008-0000-1300-0000B60D4300}"/>
              </a:ext>
            </a:extLst>
          </xdr:cNvPr>
          <xdr:cNvSpPr/>
        </xdr:nvSpPr>
        <xdr:spPr>
          <a:xfrm>
            <a:off x="2540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23" name="$AS$116">
            <a:extLst>
              <a:ext uri="{FF2B5EF4-FFF2-40B4-BE49-F238E27FC236}">
                <a16:creationId xmlns:a16="http://schemas.microsoft.com/office/drawing/2014/main" id="{00000000-0008-0000-1300-0000B70D4300}"/>
              </a:ext>
            </a:extLst>
          </xdr:cNvPr>
          <xdr:cNvSpPr/>
        </xdr:nvSpPr>
        <xdr:spPr>
          <a:xfrm>
            <a:off x="279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24" name="$AS$116">
            <a:extLst>
              <a:ext uri="{FF2B5EF4-FFF2-40B4-BE49-F238E27FC236}">
                <a16:creationId xmlns:a16="http://schemas.microsoft.com/office/drawing/2014/main" id="{00000000-0008-0000-1300-0000B80D4300}"/>
              </a:ext>
            </a:extLst>
          </xdr:cNvPr>
          <xdr:cNvSpPr/>
        </xdr:nvSpPr>
        <xdr:spPr>
          <a:xfrm>
            <a:off x="3048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25" name="$AS$116">
            <a:extLst>
              <a:ext uri="{FF2B5EF4-FFF2-40B4-BE49-F238E27FC236}">
                <a16:creationId xmlns:a16="http://schemas.microsoft.com/office/drawing/2014/main" id="{00000000-0008-0000-1300-0000B90D4300}"/>
              </a:ext>
            </a:extLst>
          </xdr:cNvPr>
          <xdr:cNvSpPr/>
        </xdr:nvSpPr>
        <xdr:spPr>
          <a:xfrm>
            <a:off x="3175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26" name="$AS$116">
            <a:extLst>
              <a:ext uri="{FF2B5EF4-FFF2-40B4-BE49-F238E27FC236}">
                <a16:creationId xmlns:a16="http://schemas.microsoft.com/office/drawing/2014/main" id="{00000000-0008-0000-1300-0000BA0D4300}"/>
              </a:ext>
            </a:extLst>
          </xdr:cNvPr>
          <xdr:cNvSpPr/>
        </xdr:nvSpPr>
        <xdr:spPr>
          <a:xfrm>
            <a:off x="3302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27" name="$AS$116">
            <a:extLst>
              <a:ext uri="{FF2B5EF4-FFF2-40B4-BE49-F238E27FC236}">
                <a16:creationId xmlns:a16="http://schemas.microsoft.com/office/drawing/2014/main" id="{00000000-0008-0000-1300-0000BB0D4300}"/>
              </a:ext>
            </a:extLst>
          </xdr:cNvPr>
          <xdr:cNvSpPr/>
        </xdr:nvSpPr>
        <xdr:spPr>
          <a:xfrm>
            <a:off x="3556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28" name="$AS$116">
            <a:extLst>
              <a:ext uri="{FF2B5EF4-FFF2-40B4-BE49-F238E27FC236}">
                <a16:creationId xmlns:a16="http://schemas.microsoft.com/office/drawing/2014/main" id="{00000000-0008-0000-1300-0000BC0D4300}"/>
              </a:ext>
            </a:extLst>
          </xdr:cNvPr>
          <xdr:cNvSpPr/>
        </xdr:nvSpPr>
        <xdr:spPr>
          <a:xfrm>
            <a:off x="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29" name="$AS$116">
            <a:extLst>
              <a:ext uri="{FF2B5EF4-FFF2-40B4-BE49-F238E27FC236}">
                <a16:creationId xmlns:a16="http://schemas.microsoft.com/office/drawing/2014/main" id="{00000000-0008-0000-1300-0000BD0D4300}"/>
              </a:ext>
            </a:extLst>
          </xdr:cNvPr>
          <xdr:cNvSpPr/>
        </xdr:nvSpPr>
        <xdr:spPr>
          <a:xfrm>
            <a:off x="254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30" name="$AS$116">
            <a:extLst>
              <a:ext uri="{FF2B5EF4-FFF2-40B4-BE49-F238E27FC236}">
                <a16:creationId xmlns:a16="http://schemas.microsoft.com/office/drawing/2014/main" id="{00000000-0008-0000-1300-0000BE0D4300}"/>
              </a:ext>
            </a:extLst>
          </xdr:cNvPr>
          <xdr:cNvSpPr/>
        </xdr:nvSpPr>
        <xdr:spPr>
          <a:xfrm>
            <a:off x="381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31" name="$AS$116">
            <a:extLst>
              <a:ext uri="{FF2B5EF4-FFF2-40B4-BE49-F238E27FC236}">
                <a16:creationId xmlns:a16="http://schemas.microsoft.com/office/drawing/2014/main" id="{00000000-0008-0000-1300-0000BF0D4300}"/>
              </a:ext>
            </a:extLst>
          </xdr:cNvPr>
          <xdr:cNvSpPr/>
        </xdr:nvSpPr>
        <xdr:spPr>
          <a:xfrm>
            <a:off x="508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32" name="$AS$116">
            <a:extLst>
              <a:ext uri="{FF2B5EF4-FFF2-40B4-BE49-F238E27FC236}">
                <a16:creationId xmlns:a16="http://schemas.microsoft.com/office/drawing/2014/main" id="{00000000-0008-0000-1300-0000C00D4300}"/>
              </a:ext>
            </a:extLst>
          </xdr:cNvPr>
          <xdr:cNvSpPr/>
        </xdr:nvSpPr>
        <xdr:spPr>
          <a:xfrm>
            <a:off x="762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33" name="$AS$116">
            <a:extLst>
              <a:ext uri="{FF2B5EF4-FFF2-40B4-BE49-F238E27FC236}">
                <a16:creationId xmlns:a16="http://schemas.microsoft.com/office/drawing/2014/main" id="{00000000-0008-0000-1300-0000C10D4300}"/>
              </a:ext>
            </a:extLst>
          </xdr:cNvPr>
          <xdr:cNvSpPr/>
        </xdr:nvSpPr>
        <xdr:spPr>
          <a:xfrm>
            <a:off x="1270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34" name="$AS$116">
            <a:extLst>
              <a:ext uri="{FF2B5EF4-FFF2-40B4-BE49-F238E27FC236}">
                <a16:creationId xmlns:a16="http://schemas.microsoft.com/office/drawing/2014/main" id="{00000000-0008-0000-1300-0000C20D4300}"/>
              </a:ext>
            </a:extLst>
          </xdr:cNvPr>
          <xdr:cNvSpPr/>
        </xdr:nvSpPr>
        <xdr:spPr>
          <a:xfrm>
            <a:off x="1524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35" name="$AS$116">
            <a:extLst>
              <a:ext uri="{FF2B5EF4-FFF2-40B4-BE49-F238E27FC236}">
                <a16:creationId xmlns:a16="http://schemas.microsoft.com/office/drawing/2014/main" id="{00000000-0008-0000-1300-0000C30D4300}"/>
              </a:ext>
            </a:extLst>
          </xdr:cNvPr>
          <xdr:cNvSpPr/>
        </xdr:nvSpPr>
        <xdr:spPr>
          <a:xfrm>
            <a:off x="1778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36" name="$AS$116">
            <a:extLst>
              <a:ext uri="{FF2B5EF4-FFF2-40B4-BE49-F238E27FC236}">
                <a16:creationId xmlns:a16="http://schemas.microsoft.com/office/drawing/2014/main" id="{00000000-0008-0000-1300-0000C40D4300}"/>
              </a:ext>
            </a:extLst>
          </xdr:cNvPr>
          <xdr:cNvSpPr/>
        </xdr:nvSpPr>
        <xdr:spPr>
          <a:xfrm>
            <a:off x="1905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37" name="$AS$116">
            <a:extLst>
              <a:ext uri="{FF2B5EF4-FFF2-40B4-BE49-F238E27FC236}">
                <a16:creationId xmlns:a16="http://schemas.microsoft.com/office/drawing/2014/main" id="{00000000-0008-0000-1300-0000C50D4300}"/>
              </a:ext>
            </a:extLst>
          </xdr:cNvPr>
          <xdr:cNvSpPr/>
        </xdr:nvSpPr>
        <xdr:spPr>
          <a:xfrm>
            <a:off x="2286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38" name="$AS$116">
            <a:extLst>
              <a:ext uri="{FF2B5EF4-FFF2-40B4-BE49-F238E27FC236}">
                <a16:creationId xmlns:a16="http://schemas.microsoft.com/office/drawing/2014/main" id="{00000000-0008-0000-1300-0000C60D4300}"/>
              </a:ext>
            </a:extLst>
          </xdr:cNvPr>
          <xdr:cNvSpPr/>
        </xdr:nvSpPr>
        <xdr:spPr>
          <a:xfrm>
            <a:off x="2413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39" name="$AS$116">
            <a:extLst>
              <a:ext uri="{FF2B5EF4-FFF2-40B4-BE49-F238E27FC236}">
                <a16:creationId xmlns:a16="http://schemas.microsoft.com/office/drawing/2014/main" id="{00000000-0008-0000-1300-0000C70D4300}"/>
              </a:ext>
            </a:extLst>
          </xdr:cNvPr>
          <xdr:cNvSpPr/>
        </xdr:nvSpPr>
        <xdr:spPr>
          <a:xfrm>
            <a:off x="2540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40" name="$AS$116">
            <a:extLst>
              <a:ext uri="{FF2B5EF4-FFF2-40B4-BE49-F238E27FC236}">
                <a16:creationId xmlns:a16="http://schemas.microsoft.com/office/drawing/2014/main" id="{00000000-0008-0000-1300-0000C80D4300}"/>
              </a:ext>
            </a:extLst>
          </xdr:cNvPr>
          <xdr:cNvSpPr/>
        </xdr:nvSpPr>
        <xdr:spPr>
          <a:xfrm>
            <a:off x="2794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41" name="$AS$116">
            <a:extLst>
              <a:ext uri="{FF2B5EF4-FFF2-40B4-BE49-F238E27FC236}">
                <a16:creationId xmlns:a16="http://schemas.microsoft.com/office/drawing/2014/main" id="{00000000-0008-0000-1300-0000C90D4300}"/>
              </a:ext>
            </a:extLst>
          </xdr:cNvPr>
          <xdr:cNvSpPr/>
        </xdr:nvSpPr>
        <xdr:spPr>
          <a:xfrm>
            <a:off x="3048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42" name="$AS$116">
            <a:extLst>
              <a:ext uri="{FF2B5EF4-FFF2-40B4-BE49-F238E27FC236}">
                <a16:creationId xmlns:a16="http://schemas.microsoft.com/office/drawing/2014/main" id="{00000000-0008-0000-1300-0000CA0D4300}"/>
              </a:ext>
            </a:extLst>
          </xdr:cNvPr>
          <xdr:cNvSpPr/>
        </xdr:nvSpPr>
        <xdr:spPr>
          <a:xfrm>
            <a:off x="3175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43" name="$AS$116">
            <a:extLst>
              <a:ext uri="{FF2B5EF4-FFF2-40B4-BE49-F238E27FC236}">
                <a16:creationId xmlns:a16="http://schemas.microsoft.com/office/drawing/2014/main" id="{00000000-0008-0000-1300-0000CB0D4300}"/>
              </a:ext>
            </a:extLst>
          </xdr:cNvPr>
          <xdr:cNvSpPr/>
        </xdr:nvSpPr>
        <xdr:spPr>
          <a:xfrm>
            <a:off x="3302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44" name="$AS$116">
            <a:extLst>
              <a:ext uri="{FF2B5EF4-FFF2-40B4-BE49-F238E27FC236}">
                <a16:creationId xmlns:a16="http://schemas.microsoft.com/office/drawing/2014/main" id="{00000000-0008-0000-1300-0000CC0D4300}"/>
              </a:ext>
            </a:extLst>
          </xdr:cNvPr>
          <xdr:cNvSpPr/>
        </xdr:nvSpPr>
        <xdr:spPr>
          <a:xfrm>
            <a:off x="3556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45" name="$AS$116">
            <a:extLst>
              <a:ext uri="{FF2B5EF4-FFF2-40B4-BE49-F238E27FC236}">
                <a16:creationId xmlns:a16="http://schemas.microsoft.com/office/drawing/2014/main" id="{00000000-0008-0000-1300-0000CD0D4300}"/>
              </a:ext>
            </a:extLst>
          </xdr:cNvPr>
          <xdr:cNvSpPr/>
        </xdr:nvSpPr>
        <xdr:spPr>
          <a:xfrm>
            <a:off x="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46" name="$AS$116">
            <a:extLst>
              <a:ext uri="{FF2B5EF4-FFF2-40B4-BE49-F238E27FC236}">
                <a16:creationId xmlns:a16="http://schemas.microsoft.com/office/drawing/2014/main" id="{00000000-0008-0000-1300-0000CE0D4300}"/>
              </a:ext>
            </a:extLst>
          </xdr:cNvPr>
          <xdr:cNvSpPr/>
        </xdr:nvSpPr>
        <xdr:spPr>
          <a:xfrm>
            <a:off x="762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47" name="$AS$116">
            <a:extLst>
              <a:ext uri="{FF2B5EF4-FFF2-40B4-BE49-F238E27FC236}">
                <a16:creationId xmlns:a16="http://schemas.microsoft.com/office/drawing/2014/main" id="{00000000-0008-0000-1300-0000CF0D4300}"/>
              </a:ext>
            </a:extLst>
          </xdr:cNvPr>
          <xdr:cNvSpPr/>
        </xdr:nvSpPr>
        <xdr:spPr>
          <a:xfrm>
            <a:off x="1016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48" name="$AS$116">
            <a:extLst>
              <a:ext uri="{FF2B5EF4-FFF2-40B4-BE49-F238E27FC236}">
                <a16:creationId xmlns:a16="http://schemas.microsoft.com/office/drawing/2014/main" id="{00000000-0008-0000-1300-0000D00D4300}"/>
              </a:ext>
            </a:extLst>
          </xdr:cNvPr>
          <xdr:cNvSpPr/>
        </xdr:nvSpPr>
        <xdr:spPr>
          <a:xfrm>
            <a:off x="1905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49" name="$AS$116">
            <a:extLst>
              <a:ext uri="{FF2B5EF4-FFF2-40B4-BE49-F238E27FC236}">
                <a16:creationId xmlns:a16="http://schemas.microsoft.com/office/drawing/2014/main" id="{00000000-0008-0000-1300-0000D10D4300}"/>
              </a:ext>
            </a:extLst>
          </xdr:cNvPr>
          <xdr:cNvSpPr/>
        </xdr:nvSpPr>
        <xdr:spPr>
          <a:xfrm>
            <a:off x="2032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50" name="$AS$116">
            <a:extLst>
              <a:ext uri="{FF2B5EF4-FFF2-40B4-BE49-F238E27FC236}">
                <a16:creationId xmlns:a16="http://schemas.microsoft.com/office/drawing/2014/main" id="{00000000-0008-0000-1300-0000D20D4300}"/>
              </a:ext>
            </a:extLst>
          </xdr:cNvPr>
          <xdr:cNvSpPr/>
        </xdr:nvSpPr>
        <xdr:spPr>
          <a:xfrm>
            <a:off x="2794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51" name="$AS$116">
            <a:extLst>
              <a:ext uri="{FF2B5EF4-FFF2-40B4-BE49-F238E27FC236}">
                <a16:creationId xmlns:a16="http://schemas.microsoft.com/office/drawing/2014/main" id="{00000000-0008-0000-1300-0000D30D4300}"/>
              </a:ext>
            </a:extLst>
          </xdr:cNvPr>
          <xdr:cNvSpPr/>
        </xdr:nvSpPr>
        <xdr:spPr>
          <a:xfrm>
            <a:off x="3556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52" name="$AS$116">
            <a:extLst>
              <a:ext uri="{FF2B5EF4-FFF2-40B4-BE49-F238E27FC236}">
                <a16:creationId xmlns:a16="http://schemas.microsoft.com/office/drawing/2014/main" id="{00000000-0008-0000-1300-0000D40D4300}"/>
              </a:ext>
            </a:extLst>
          </xdr:cNvPr>
          <xdr:cNvSpPr/>
        </xdr:nvSpPr>
        <xdr:spPr>
          <a:xfrm>
            <a:off x="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53" name="$AS$116">
            <a:extLst>
              <a:ext uri="{FF2B5EF4-FFF2-40B4-BE49-F238E27FC236}">
                <a16:creationId xmlns:a16="http://schemas.microsoft.com/office/drawing/2014/main" id="{00000000-0008-0000-1300-0000D50D4300}"/>
              </a:ext>
            </a:extLst>
          </xdr:cNvPr>
          <xdr:cNvSpPr/>
        </xdr:nvSpPr>
        <xdr:spPr>
          <a:xfrm>
            <a:off x="127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54" name="$AS$116">
            <a:extLst>
              <a:ext uri="{FF2B5EF4-FFF2-40B4-BE49-F238E27FC236}">
                <a16:creationId xmlns:a16="http://schemas.microsoft.com/office/drawing/2014/main" id="{00000000-0008-0000-1300-0000D60D4300}"/>
              </a:ext>
            </a:extLst>
          </xdr:cNvPr>
          <xdr:cNvSpPr/>
        </xdr:nvSpPr>
        <xdr:spPr>
          <a:xfrm>
            <a:off x="25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55" name="$AS$116">
            <a:extLst>
              <a:ext uri="{FF2B5EF4-FFF2-40B4-BE49-F238E27FC236}">
                <a16:creationId xmlns:a16="http://schemas.microsoft.com/office/drawing/2014/main" id="{00000000-0008-0000-1300-0000D70D4300}"/>
              </a:ext>
            </a:extLst>
          </xdr:cNvPr>
          <xdr:cNvSpPr/>
        </xdr:nvSpPr>
        <xdr:spPr>
          <a:xfrm>
            <a:off x="381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56" name="$AS$116">
            <a:extLst>
              <a:ext uri="{FF2B5EF4-FFF2-40B4-BE49-F238E27FC236}">
                <a16:creationId xmlns:a16="http://schemas.microsoft.com/office/drawing/2014/main" id="{00000000-0008-0000-1300-0000D80D4300}"/>
              </a:ext>
            </a:extLst>
          </xdr:cNvPr>
          <xdr:cNvSpPr/>
        </xdr:nvSpPr>
        <xdr:spPr>
          <a:xfrm>
            <a:off x="508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57" name="$AS$116">
            <a:extLst>
              <a:ext uri="{FF2B5EF4-FFF2-40B4-BE49-F238E27FC236}">
                <a16:creationId xmlns:a16="http://schemas.microsoft.com/office/drawing/2014/main" id="{00000000-0008-0000-1300-0000D90D4300}"/>
              </a:ext>
            </a:extLst>
          </xdr:cNvPr>
          <xdr:cNvSpPr/>
        </xdr:nvSpPr>
        <xdr:spPr>
          <a:xfrm>
            <a:off x="635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58" name="$AS$116">
            <a:extLst>
              <a:ext uri="{FF2B5EF4-FFF2-40B4-BE49-F238E27FC236}">
                <a16:creationId xmlns:a16="http://schemas.microsoft.com/office/drawing/2014/main" id="{00000000-0008-0000-1300-0000DA0D4300}"/>
              </a:ext>
            </a:extLst>
          </xdr:cNvPr>
          <xdr:cNvSpPr/>
        </xdr:nvSpPr>
        <xdr:spPr>
          <a:xfrm>
            <a:off x="762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59" name="$AS$116">
            <a:extLst>
              <a:ext uri="{FF2B5EF4-FFF2-40B4-BE49-F238E27FC236}">
                <a16:creationId xmlns:a16="http://schemas.microsoft.com/office/drawing/2014/main" id="{00000000-0008-0000-1300-0000DB0D4300}"/>
              </a:ext>
            </a:extLst>
          </xdr:cNvPr>
          <xdr:cNvSpPr/>
        </xdr:nvSpPr>
        <xdr:spPr>
          <a:xfrm>
            <a:off x="1016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60" name="$AS$116">
            <a:extLst>
              <a:ext uri="{FF2B5EF4-FFF2-40B4-BE49-F238E27FC236}">
                <a16:creationId xmlns:a16="http://schemas.microsoft.com/office/drawing/2014/main" id="{00000000-0008-0000-1300-0000DC0D4300}"/>
              </a:ext>
            </a:extLst>
          </xdr:cNvPr>
          <xdr:cNvSpPr/>
        </xdr:nvSpPr>
        <xdr:spPr>
          <a:xfrm>
            <a:off x="1270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61" name="$AS$116">
            <a:extLst>
              <a:ext uri="{FF2B5EF4-FFF2-40B4-BE49-F238E27FC236}">
                <a16:creationId xmlns:a16="http://schemas.microsoft.com/office/drawing/2014/main" id="{00000000-0008-0000-1300-0000DD0D4300}"/>
              </a:ext>
            </a:extLst>
          </xdr:cNvPr>
          <xdr:cNvSpPr/>
        </xdr:nvSpPr>
        <xdr:spPr>
          <a:xfrm>
            <a:off x="152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62" name="$AS$116">
            <a:extLst>
              <a:ext uri="{FF2B5EF4-FFF2-40B4-BE49-F238E27FC236}">
                <a16:creationId xmlns:a16="http://schemas.microsoft.com/office/drawing/2014/main" id="{00000000-0008-0000-1300-0000DE0D4300}"/>
              </a:ext>
            </a:extLst>
          </xdr:cNvPr>
          <xdr:cNvSpPr/>
        </xdr:nvSpPr>
        <xdr:spPr>
          <a:xfrm>
            <a:off x="1778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63" name="$AS$116">
            <a:extLst>
              <a:ext uri="{FF2B5EF4-FFF2-40B4-BE49-F238E27FC236}">
                <a16:creationId xmlns:a16="http://schemas.microsoft.com/office/drawing/2014/main" id="{00000000-0008-0000-1300-0000DF0D4300}"/>
              </a:ext>
            </a:extLst>
          </xdr:cNvPr>
          <xdr:cNvSpPr/>
        </xdr:nvSpPr>
        <xdr:spPr>
          <a:xfrm>
            <a:off x="2032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64" name="$AS$116">
            <a:extLst>
              <a:ext uri="{FF2B5EF4-FFF2-40B4-BE49-F238E27FC236}">
                <a16:creationId xmlns:a16="http://schemas.microsoft.com/office/drawing/2014/main" id="{00000000-0008-0000-1300-0000E00D4300}"/>
              </a:ext>
            </a:extLst>
          </xdr:cNvPr>
          <xdr:cNvSpPr/>
        </xdr:nvSpPr>
        <xdr:spPr>
          <a:xfrm>
            <a:off x="2286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65" name="$AS$116">
            <a:extLst>
              <a:ext uri="{FF2B5EF4-FFF2-40B4-BE49-F238E27FC236}">
                <a16:creationId xmlns:a16="http://schemas.microsoft.com/office/drawing/2014/main" id="{00000000-0008-0000-1300-0000E10D4300}"/>
              </a:ext>
            </a:extLst>
          </xdr:cNvPr>
          <xdr:cNvSpPr/>
        </xdr:nvSpPr>
        <xdr:spPr>
          <a:xfrm>
            <a:off x="2540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66" name="$AS$116">
            <a:extLst>
              <a:ext uri="{FF2B5EF4-FFF2-40B4-BE49-F238E27FC236}">
                <a16:creationId xmlns:a16="http://schemas.microsoft.com/office/drawing/2014/main" id="{00000000-0008-0000-1300-0000E20D4300}"/>
              </a:ext>
            </a:extLst>
          </xdr:cNvPr>
          <xdr:cNvSpPr/>
        </xdr:nvSpPr>
        <xdr:spPr>
          <a:xfrm>
            <a:off x="279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67" name="$AS$116">
            <a:extLst>
              <a:ext uri="{FF2B5EF4-FFF2-40B4-BE49-F238E27FC236}">
                <a16:creationId xmlns:a16="http://schemas.microsoft.com/office/drawing/2014/main" id="{00000000-0008-0000-1300-0000E30D4300}"/>
              </a:ext>
            </a:extLst>
          </xdr:cNvPr>
          <xdr:cNvSpPr/>
        </xdr:nvSpPr>
        <xdr:spPr>
          <a:xfrm>
            <a:off x="2921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68" name="$AS$116">
            <a:extLst>
              <a:ext uri="{FF2B5EF4-FFF2-40B4-BE49-F238E27FC236}">
                <a16:creationId xmlns:a16="http://schemas.microsoft.com/office/drawing/2014/main" id="{00000000-0008-0000-1300-0000E40D4300}"/>
              </a:ext>
            </a:extLst>
          </xdr:cNvPr>
          <xdr:cNvSpPr/>
        </xdr:nvSpPr>
        <xdr:spPr>
          <a:xfrm>
            <a:off x="3048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69" name="$AS$116">
            <a:extLst>
              <a:ext uri="{FF2B5EF4-FFF2-40B4-BE49-F238E27FC236}">
                <a16:creationId xmlns:a16="http://schemas.microsoft.com/office/drawing/2014/main" id="{00000000-0008-0000-1300-0000E50D4300}"/>
              </a:ext>
            </a:extLst>
          </xdr:cNvPr>
          <xdr:cNvSpPr/>
        </xdr:nvSpPr>
        <xdr:spPr>
          <a:xfrm>
            <a:off x="3175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70" name="$AS$116">
            <a:extLst>
              <a:ext uri="{FF2B5EF4-FFF2-40B4-BE49-F238E27FC236}">
                <a16:creationId xmlns:a16="http://schemas.microsoft.com/office/drawing/2014/main" id="{00000000-0008-0000-1300-0000E60D4300}"/>
              </a:ext>
            </a:extLst>
          </xdr:cNvPr>
          <xdr:cNvSpPr/>
        </xdr:nvSpPr>
        <xdr:spPr>
          <a:xfrm>
            <a:off x="3302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71" name="$AS$116">
            <a:extLst>
              <a:ext uri="{FF2B5EF4-FFF2-40B4-BE49-F238E27FC236}">
                <a16:creationId xmlns:a16="http://schemas.microsoft.com/office/drawing/2014/main" id="{00000000-0008-0000-1300-0000E70D4300}"/>
              </a:ext>
            </a:extLst>
          </xdr:cNvPr>
          <xdr:cNvSpPr/>
        </xdr:nvSpPr>
        <xdr:spPr>
          <a:xfrm>
            <a:off x="3429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72" name="$AS$116">
            <a:extLst>
              <a:ext uri="{FF2B5EF4-FFF2-40B4-BE49-F238E27FC236}">
                <a16:creationId xmlns:a16="http://schemas.microsoft.com/office/drawing/2014/main" id="{00000000-0008-0000-1300-0000E80D4300}"/>
              </a:ext>
            </a:extLst>
          </xdr:cNvPr>
          <xdr:cNvSpPr/>
        </xdr:nvSpPr>
        <xdr:spPr>
          <a:xfrm>
            <a:off x="3556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73" name="$AS$116">
            <a:extLst>
              <a:ext uri="{FF2B5EF4-FFF2-40B4-BE49-F238E27FC236}">
                <a16:creationId xmlns:a16="http://schemas.microsoft.com/office/drawing/2014/main" id="{00000000-0008-0000-1300-0000E90D4300}"/>
              </a:ext>
            </a:extLst>
          </xdr:cNvPr>
          <xdr:cNvSpPr/>
        </xdr:nvSpPr>
        <xdr:spPr>
          <a:xfrm>
            <a:off x="1143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74" name="$AS$116">
            <a:extLst>
              <a:ext uri="{FF2B5EF4-FFF2-40B4-BE49-F238E27FC236}">
                <a16:creationId xmlns:a16="http://schemas.microsoft.com/office/drawing/2014/main" id="{00000000-0008-0000-1300-0000EA0D4300}"/>
              </a:ext>
            </a:extLst>
          </xdr:cNvPr>
          <xdr:cNvSpPr/>
        </xdr:nvSpPr>
        <xdr:spPr>
          <a:xfrm>
            <a:off x="1270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75" name="$AS$116">
            <a:extLst>
              <a:ext uri="{FF2B5EF4-FFF2-40B4-BE49-F238E27FC236}">
                <a16:creationId xmlns:a16="http://schemas.microsoft.com/office/drawing/2014/main" id="{00000000-0008-0000-1300-0000EB0D4300}"/>
              </a:ext>
            </a:extLst>
          </xdr:cNvPr>
          <xdr:cNvSpPr/>
        </xdr:nvSpPr>
        <xdr:spPr>
          <a:xfrm>
            <a:off x="1524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76" name="$AS$116">
            <a:extLst>
              <a:ext uri="{FF2B5EF4-FFF2-40B4-BE49-F238E27FC236}">
                <a16:creationId xmlns:a16="http://schemas.microsoft.com/office/drawing/2014/main" id="{00000000-0008-0000-1300-0000EC0D4300}"/>
              </a:ext>
            </a:extLst>
          </xdr:cNvPr>
          <xdr:cNvSpPr/>
        </xdr:nvSpPr>
        <xdr:spPr>
          <a:xfrm>
            <a:off x="1651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77" name="$AS$116">
            <a:extLst>
              <a:ext uri="{FF2B5EF4-FFF2-40B4-BE49-F238E27FC236}">
                <a16:creationId xmlns:a16="http://schemas.microsoft.com/office/drawing/2014/main" id="{00000000-0008-0000-1300-0000ED0D4300}"/>
              </a:ext>
            </a:extLst>
          </xdr:cNvPr>
          <xdr:cNvSpPr/>
        </xdr:nvSpPr>
        <xdr:spPr>
          <a:xfrm>
            <a:off x="1905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78" name="$AS$116">
            <a:extLst>
              <a:ext uri="{FF2B5EF4-FFF2-40B4-BE49-F238E27FC236}">
                <a16:creationId xmlns:a16="http://schemas.microsoft.com/office/drawing/2014/main" id="{00000000-0008-0000-1300-0000EE0D4300}"/>
              </a:ext>
            </a:extLst>
          </xdr:cNvPr>
          <xdr:cNvSpPr/>
        </xdr:nvSpPr>
        <xdr:spPr>
          <a:xfrm>
            <a:off x="2286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79" name="$AS$116">
            <a:extLst>
              <a:ext uri="{FF2B5EF4-FFF2-40B4-BE49-F238E27FC236}">
                <a16:creationId xmlns:a16="http://schemas.microsoft.com/office/drawing/2014/main" id="{00000000-0008-0000-1300-0000EF0D4300}"/>
              </a:ext>
            </a:extLst>
          </xdr:cNvPr>
          <xdr:cNvSpPr/>
        </xdr:nvSpPr>
        <xdr:spPr>
          <a:xfrm>
            <a:off x="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80" name="$AS$116">
            <a:extLst>
              <a:ext uri="{FF2B5EF4-FFF2-40B4-BE49-F238E27FC236}">
                <a16:creationId xmlns:a16="http://schemas.microsoft.com/office/drawing/2014/main" id="{00000000-0008-0000-1300-0000F00D4300}"/>
              </a:ext>
            </a:extLst>
          </xdr:cNvPr>
          <xdr:cNvSpPr/>
        </xdr:nvSpPr>
        <xdr:spPr>
          <a:xfrm>
            <a:off x="381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81" name="$AS$116">
            <a:extLst>
              <a:ext uri="{FF2B5EF4-FFF2-40B4-BE49-F238E27FC236}">
                <a16:creationId xmlns:a16="http://schemas.microsoft.com/office/drawing/2014/main" id="{00000000-0008-0000-1300-0000F10D4300}"/>
              </a:ext>
            </a:extLst>
          </xdr:cNvPr>
          <xdr:cNvSpPr/>
        </xdr:nvSpPr>
        <xdr:spPr>
          <a:xfrm>
            <a:off x="635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82" name="$AS$116">
            <a:extLst>
              <a:ext uri="{FF2B5EF4-FFF2-40B4-BE49-F238E27FC236}">
                <a16:creationId xmlns:a16="http://schemas.microsoft.com/office/drawing/2014/main" id="{00000000-0008-0000-1300-0000F20D4300}"/>
              </a:ext>
            </a:extLst>
          </xdr:cNvPr>
          <xdr:cNvSpPr/>
        </xdr:nvSpPr>
        <xdr:spPr>
          <a:xfrm>
            <a:off x="762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83" name="$AS$116">
            <a:extLst>
              <a:ext uri="{FF2B5EF4-FFF2-40B4-BE49-F238E27FC236}">
                <a16:creationId xmlns:a16="http://schemas.microsoft.com/office/drawing/2014/main" id="{00000000-0008-0000-1300-0000F30D4300}"/>
              </a:ext>
            </a:extLst>
          </xdr:cNvPr>
          <xdr:cNvSpPr/>
        </xdr:nvSpPr>
        <xdr:spPr>
          <a:xfrm>
            <a:off x="1016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84" name="$AS$116">
            <a:extLst>
              <a:ext uri="{FF2B5EF4-FFF2-40B4-BE49-F238E27FC236}">
                <a16:creationId xmlns:a16="http://schemas.microsoft.com/office/drawing/2014/main" id="{00000000-0008-0000-1300-0000F40D4300}"/>
              </a:ext>
            </a:extLst>
          </xdr:cNvPr>
          <xdr:cNvSpPr/>
        </xdr:nvSpPr>
        <xdr:spPr>
          <a:xfrm>
            <a:off x="1143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85" name="$AS$116">
            <a:extLst>
              <a:ext uri="{FF2B5EF4-FFF2-40B4-BE49-F238E27FC236}">
                <a16:creationId xmlns:a16="http://schemas.microsoft.com/office/drawing/2014/main" id="{00000000-0008-0000-1300-0000F50D4300}"/>
              </a:ext>
            </a:extLst>
          </xdr:cNvPr>
          <xdr:cNvSpPr/>
        </xdr:nvSpPr>
        <xdr:spPr>
          <a:xfrm>
            <a:off x="1270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86" name="$AS$116">
            <a:extLst>
              <a:ext uri="{FF2B5EF4-FFF2-40B4-BE49-F238E27FC236}">
                <a16:creationId xmlns:a16="http://schemas.microsoft.com/office/drawing/2014/main" id="{00000000-0008-0000-1300-0000F60D4300}"/>
              </a:ext>
            </a:extLst>
          </xdr:cNvPr>
          <xdr:cNvSpPr/>
        </xdr:nvSpPr>
        <xdr:spPr>
          <a:xfrm>
            <a:off x="1524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87" name="$AS$116">
            <a:extLst>
              <a:ext uri="{FF2B5EF4-FFF2-40B4-BE49-F238E27FC236}">
                <a16:creationId xmlns:a16="http://schemas.microsoft.com/office/drawing/2014/main" id="{00000000-0008-0000-1300-0000F70D4300}"/>
              </a:ext>
            </a:extLst>
          </xdr:cNvPr>
          <xdr:cNvSpPr/>
        </xdr:nvSpPr>
        <xdr:spPr>
          <a:xfrm>
            <a:off x="1778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88" name="$AS$116">
            <a:extLst>
              <a:ext uri="{FF2B5EF4-FFF2-40B4-BE49-F238E27FC236}">
                <a16:creationId xmlns:a16="http://schemas.microsoft.com/office/drawing/2014/main" id="{00000000-0008-0000-1300-0000F80D4300}"/>
              </a:ext>
            </a:extLst>
          </xdr:cNvPr>
          <xdr:cNvSpPr/>
        </xdr:nvSpPr>
        <xdr:spPr>
          <a:xfrm>
            <a:off x="2032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89" name="$AS$116">
            <a:extLst>
              <a:ext uri="{FF2B5EF4-FFF2-40B4-BE49-F238E27FC236}">
                <a16:creationId xmlns:a16="http://schemas.microsoft.com/office/drawing/2014/main" id="{00000000-0008-0000-1300-0000F90D4300}"/>
              </a:ext>
            </a:extLst>
          </xdr:cNvPr>
          <xdr:cNvSpPr/>
        </xdr:nvSpPr>
        <xdr:spPr>
          <a:xfrm>
            <a:off x="2159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90" name="$AS$116">
            <a:extLst>
              <a:ext uri="{FF2B5EF4-FFF2-40B4-BE49-F238E27FC236}">
                <a16:creationId xmlns:a16="http://schemas.microsoft.com/office/drawing/2014/main" id="{00000000-0008-0000-1300-0000FA0D4300}"/>
              </a:ext>
            </a:extLst>
          </xdr:cNvPr>
          <xdr:cNvSpPr/>
        </xdr:nvSpPr>
        <xdr:spPr>
          <a:xfrm>
            <a:off x="2286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91" name="$AS$116">
            <a:extLst>
              <a:ext uri="{FF2B5EF4-FFF2-40B4-BE49-F238E27FC236}">
                <a16:creationId xmlns:a16="http://schemas.microsoft.com/office/drawing/2014/main" id="{00000000-0008-0000-1300-0000FB0D4300}"/>
              </a:ext>
            </a:extLst>
          </xdr:cNvPr>
          <xdr:cNvSpPr/>
        </xdr:nvSpPr>
        <xdr:spPr>
          <a:xfrm>
            <a:off x="2667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92" name="$AS$116">
            <a:extLst>
              <a:ext uri="{FF2B5EF4-FFF2-40B4-BE49-F238E27FC236}">
                <a16:creationId xmlns:a16="http://schemas.microsoft.com/office/drawing/2014/main" id="{00000000-0008-0000-1300-0000FC0D4300}"/>
              </a:ext>
            </a:extLst>
          </xdr:cNvPr>
          <xdr:cNvSpPr/>
        </xdr:nvSpPr>
        <xdr:spPr>
          <a:xfrm>
            <a:off x="2921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93" name="$AS$116">
            <a:extLst>
              <a:ext uri="{FF2B5EF4-FFF2-40B4-BE49-F238E27FC236}">
                <a16:creationId xmlns:a16="http://schemas.microsoft.com/office/drawing/2014/main" id="{00000000-0008-0000-1300-0000FD0D4300}"/>
              </a:ext>
            </a:extLst>
          </xdr:cNvPr>
          <xdr:cNvSpPr/>
        </xdr:nvSpPr>
        <xdr:spPr>
          <a:xfrm>
            <a:off x="127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94" name="$AS$116">
            <a:extLst>
              <a:ext uri="{FF2B5EF4-FFF2-40B4-BE49-F238E27FC236}">
                <a16:creationId xmlns:a16="http://schemas.microsoft.com/office/drawing/2014/main" id="{00000000-0008-0000-1300-0000FE0D4300}"/>
              </a:ext>
            </a:extLst>
          </xdr:cNvPr>
          <xdr:cNvSpPr/>
        </xdr:nvSpPr>
        <xdr:spPr>
          <a:xfrm>
            <a:off x="254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95" name="$AS$116">
            <a:extLst>
              <a:ext uri="{FF2B5EF4-FFF2-40B4-BE49-F238E27FC236}">
                <a16:creationId xmlns:a16="http://schemas.microsoft.com/office/drawing/2014/main" id="{00000000-0008-0000-1300-0000FF0D4300}"/>
              </a:ext>
            </a:extLst>
          </xdr:cNvPr>
          <xdr:cNvSpPr/>
        </xdr:nvSpPr>
        <xdr:spPr>
          <a:xfrm>
            <a:off x="508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96" name="$AS$116">
            <a:extLst>
              <a:ext uri="{FF2B5EF4-FFF2-40B4-BE49-F238E27FC236}">
                <a16:creationId xmlns:a16="http://schemas.microsoft.com/office/drawing/2014/main" id="{00000000-0008-0000-1300-0000000E4300}"/>
              </a:ext>
            </a:extLst>
          </xdr:cNvPr>
          <xdr:cNvSpPr/>
        </xdr:nvSpPr>
        <xdr:spPr>
          <a:xfrm>
            <a:off x="889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97" name="$AS$116">
            <a:extLst>
              <a:ext uri="{FF2B5EF4-FFF2-40B4-BE49-F238E27FC236}">
                <a16:creationId xmlns:a16="http://schemas.microsoft.com/office/drawing/2014/main" id="{00000000-0008-0000-1300-0000010E4300}"/>
              </a:ext>
            </a:extLst>
          </xdr:cNvPr>
          <xdr:cNvSpPr/>
        </xdr:nvSpPr>
        <xdr:spPr>
          <a:xfrm>
            <a:off x="1143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98" name="$AS$116">
            <a:extLst>
              <a:ext uri="{FF2B5EF4-FFF2-40B4-BE49-F238E27FC236}">
                <a16:creationId xmlns:a16="http://schemas.microsoft.com/office/drawing/2014/main" id="{00000000-0008-0000-1300-0000020E4300}"/>
              </a:ext>
            </a:extLst>
          </xdr:cNvPr>
          <xdr:cNvSpPr/>
        </xdr:nvSpPr>
        <xdr:spPr>
          <a:xfrm>
            <a:off x="1651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99" name="$AS$116">
            <a:extLst>
              <a:ext uri="{FF2B5EF4-FFF2-40B4-BE49-F238E27FC236}">
                <a16:creationId xmlns:a16="http://schemas.microsoft.com/office/drawing/2014/main" id="{00000000-0008-0000-1300-0000030E4300}"/>
              </a:ext>
            </a:extLst>
          </xdr:cNvPr>
          <xdr:cNvSpPr/>
        </xdr:nvSpPr>
        <xdr:spPr>
          <a:xfrm>
            <a:off x="1905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00" name="$AS$116">
            <a:extLst>
              <a:ext uri="{FF2B5EF4-FFF2-40B4-BE49-F238E27FC236}">
                <a16:creationId xmlns:a16="http://schemas.microsoft.com/office/drawing/2014/main" id="{00000000-0008-0000-1300-0000040E4300}"/>
              </a:ext>
            </a:extLst>
          </xdr:cNvPr>
          <xdr:cNvSpPr/>
        </xdr:nvSpPr>
        <xdr:spPr>
          <a:xfrm>
            <a:off x="2286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01" name="$AS$116">
            <a:extLst>
              <a:ext uri="{FF2B5EF4-FFF2-40B4-BE49-F238E27FC236}">
                <a16:creationId xmlns:a16="http://schemas.microsoft.com/office/drawing/2014/main" id="{00000000-0008-0000-1300-0000050E4300}"/>
              </a:ext>
            </a:extLst>
          </xdr:cNvPr>
          <xdr:cNvSpPr/>
        </xdr:nvSpPr>
        <xdr:spPr>
          <a:xfrm>
            <a:off x="2540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02" name="$AS$116">
            <a:extLst>
              <a:ext uri="{FF2B5EF4-FFF2-40B4-BE49-F238E27FC236}">
                <a16:creationId xmlns:a16="http://schemas.microsoft.com/office/drawing/2014/main" id="{00000000-0008-0000-1300-0000060E4300}"/>
              </a:ext>
            </a:extLst>
          </xdr:cNvPr>
          <xdr:cNvSpPr/>
        </xdr:nvSpPr>
        <xdr:spPr>
          <a:xfrm>
            <a:off x="2921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03" name="$AS$116">
            <a:extLst>
              <a:ext uri="{FF2B5EF4-FFF2-40B4-BE49-F238E27FC236}">
                <a16:creationId xmlns:a16="http://schemas.microsoft.com/office/drawing/2014/main" id="{00000000-0008-0000-1300-0000070E4300}"/>
              </a:ext>
            </a:extLst>
          </xdr:cNvPr>
          <xdr:cNvSpPr/>
        </xdr:nvSpPr>
        <xdr:spPr>
          <a:xfrm>
            <a:off x="3048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04" name="$AS$116">
            <a:extLst>
              <a:ext uri="{FF2B5EF4-FFF2-40B4-BE49-F238E27FC236}">
                <a16:creationId xmlns:a16="http://schemas.microsoft.com/office/drawing/2014/main" id="{00000000-0008-0000-1300-0000080E4300}"/>
              </a:ext>
            </a:extLst>
          </xdr:cNvPr>
          <xdr:cNvSpPr/>
        </xdr:nvSpPr>
        <xdr:spPr>
          <a:xfrm>
            <a:off x="3302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05" name="$AS$116">
            <a:extLst>
              <a:ext uri="{FF2B5EF4-FFF2-40B4-BE49-F238E27FC236}">
                <a16:creationId xmlns:a16="http://schemas.microsoft.com/office/drawing/2014/main" id="{00000000-0008-0000-1300-0000090E4300}"/>
              </a:ext>
            </a:extLst>
          </xdr:cNvPr>
          <xdr:cNvSpPr/>
        </xdr:nvSpPr>
        <xdr:spPr>
          <a:xfrm>
            <a:off x="508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06" name="$AS$116">
            <a:extLst>
              <a:ext uri="{FF2B5EF4-FFF2-40B4-BE49-F238E27FC236}">
                <a16:creationId xmlns:a16="http://schemas.microsoft.com/office/drawing/2014/main" id="{00000000-0008-0000-1300-00000A0E4300}"/>
              </a:ext>
            </a:extLst>
          </xdr:cNvPr>
          <xdr:cNvSpPr/>
        </xdr:nvSpPr>
        <xdr:spPr>
          <a:xfrm>
            <a:off x="762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07" name="$AS$116">
            <a:extLst>
              <a:ext uri="{FF2B5EF4-FFF2-40B4-BE49-F238E27FC236}">
                <a16:creationId xmlns:a16="http://schemas.microsoft.com/office/drawing/2014/main" id="{00000000-0008-0000-1300-00000B0E4300}"/>
              </a:ext>
            </a:extLst>
          </xdr:cNvPr>
          <xdr:cNvSpPr/>
        </xdr:nvSpPr>
        <xdr:spPr>
          <a:xfrm>
            <a:off x="889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08" name="$AS$116">
            <a:extLst>
              <a:ext uri="{FF2B5EF4-FFF2-40B4-BE49-F238E27FC236}">
                <a16:creationId xmlns:a16="http://schemas.microsoft.com/office/drawing/2014/main" id="{00000000-0008-0000-1300-00000C0E4300}"/>
              </a:ext>
            </a:extLst>
          </xdr:cNvPr>
          <xdr:cNvSpPr/>
        </xdr:nvSpPr>
        <xdr:spPr>
          <a:xfrm>
            <a:off x="1143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09" name="$AS$116">
            <a:extLst>
              <a:ext uri="{FF2B5EF4-FFF2-40B4-BE49-F238E27FC236}">
                <a16:creationId xmlns:a16="http://schemas.microsoft.com/office/drawing/2014/main" id="{00000000-0008-0000-1300-00000D0E4300}"/>
              </a:ext>
            </a:extLst>
          </xdr:cNvPr>
          <xdr:cNvSpPr/>
        </xdr:nvSpPr>
        <xdr:spPr>
          <a:xfrm>
            <a:off x="1270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10" name="$AS$116">
            <a:extLst>
              <a:ext uri="{FF2B5EF4-FFF2-40B4-BE49-F238E27FC236}">
                <a16:creationId xmlns:a16="http://schemas.microsoft.com/office/drawing/2014/main" id="{00000000-0008-0000-1300-00000E0E4300}"/>
              </a:ext>
            </a:extLst>
          </xdr:cNvPr>
          <xdr:cNvSpPr/>
        </xdr:nvSpPr>
        <xdr:spPr>
          <a:xfrm>
            <a:off x="1397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11" name="$AS$116">
            <a:extLst>
              <a:ext uri="{FF2B5EF4-FFF2-40B4-BE49-F238E27FC236}">
                <a16:creationId xmlns:a16="http://schemas.microsoft.com/office/drawing/2014/main" id="{00000000-0008-0000-1300-00000F0E4300}"/>
              </a:ext>
            </a:extLst>
          </xdr:cNvPr>
          <xdr:cNvSpPr/>
        </xdr:nvSpPr>
        <xdr:spPr>
          <a:xfrm>
            <a:off x="1651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12" name="$AS$116">
            <a:extLst>
              <a:ext uri="{FF2B5EF4-FFF2-40B4-BE49-F238E27FC236}">
                <a16:creationId xmlns:a16="http://schemas.microsoft.com/office/drawing/2014/main" id="{00000000-0008-0000-1300-0000100E4300}"/>
              </a:ext>
            </a:extLst>
          </xdr:cNvPr>
          <xdr:cNvSpPr/>
        </xdr:nvSpPr>
        <xdr:spPr>
          <a:xfrm>
            <a:off x="1778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13" name="$AS$116">
            <a:extLst>
              <a:ext uri="{FF2B5EF4-FFF2-40B4-BE49-F238E27FC236}">
                <a16:creationId xmlns:a16="http://schemas.microsoft.com/office/drawing/2014/main" id="{00000000-0008-0000-1300-0000110E4300}"/>
              </a:ext>
            </a:extLst>
          </xdr:cNvPr>
          <xdr:cNvSpPr/>
        </xdr:nvSpPr>
        <xdr:spPr>
          <a:xfrm>
            <a:off x="1905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14" name="$AS$116">
            <a:extLst>
              <a:ext uri="{FF2B5EF4-FFF2-40B4-BE49-F238E27FC236}">
                <a16:creationId xmlns:a16="http://schemas.microsoft.com/office/drawing/2014/main" id="{00000000-0008-0000-1300-0000120E4300}"/>
              </a:ext>
            </a:extLst>
          </xdr:cNvPr>
          <xdr:cNvSpPr/>
        </xdr:nvSpPr>
        <xdr:spPr>
          <a:xfrm>
            <a:off x="2032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15" name="$AS$116">
            <a:extLst>
              <a:ext uri="{FF2B5EF4-FFF2-40B4-BE49-F238E27FC236}">
                <a16:creationId xmlns:a16="http://schemas.microsoft.com/office/drawing/2014/main" id="{00000000-0008-0000-1300-0000130E4300}"/>
              </a:ext>
            </a:extLst>
          </xdr:cNvPr>
          <xdr:cNvSpPr/>
        </xdr:nvSpPr>
        <xdr:spPr>
          <a:xfrm>
            <a:off x="2159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16" name="$AS$116">
            <a:extLst>
              <a:ext uri="{FF2B5EF4-FFF2-40B4-BE49-F238E27FC236}">
                <a16:creationId xmlns:a16="http://schemas.microsoft.com/office/drawing/2014/main" id="{00000000-0008-0000-1300-0000140E4300}"/>
              </a:ext>
            </a:extLst>
          </xdr:cNvPr>
          <xdr:cNvSpPr/>
        </xdr:nvSpPr>
        <xdr:spPr>
          <a:xfrm>
            <a:off x="2667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17" name="$AS$116">
            <a:extLst>
              <a:ext uri="{FF2B5EF4-FFF2-40B4-BE49-F238E27FC236}">
                <a16:creationId xmlns:a16="http://schemas.microsoft.com/office/drawing/2014/main" id="{00000000-0008-0000-1300-0000150E4300}"/>
              </a:ext>
            </a:extLst>
          </xdr:cNvPr>
          <xdr:cNvSpPr/>
        </xdr:nvSpPr>
        <xdr:spPr>
          <a:xfrm>
            <a:off x="2794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18" name="$AS$116">
            <a:extLst>
              <a:ext uri="{FF2B5EF4-FFF2-40B4-BE49-F238E27FC236}">
                <a16:creationId xmlns:a16="http://schemas.microsoft.com/office/drawing/2014/main" id="{00000000-0008-0000-1300-0000160E4300}"/>
              </a:ext>
            </a:extLst>
          </xdr:cNvPr>
          <xdr:cNvSpPr/>
        </xdr:nvSpPr>
        <xdr:spPr>
          <a:xfrm>
            <a:off x="2921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19" name="$AS$116">
            <a:extLst>
              <a:ext uri="{FF2B5EF4-FFF2-40B4-BE49-F238E27FC236}">
                <a16:creationId xmlns:a16="http://schemas.microsoft.com/office/drawing/2014/main" id="{00000000-0008-0000-1300-0000170E4300}"/>
              </a:ext>
            </a:extLst>
          </xdr:cNvPr>
          <xdr:cNvSpPr/>
        </xdr:nvSpPr>
        <xdr:spPr>
          <a:xfrm>
            <a:off x="3048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20" name="$AS$116">
            <a:extLst>
              <a:ext uri="{FF2B5EF4-FFF2-40B4-BE49-F238E27FC236}">
                <a16:creationId xmlns:a16="http://schemas.microsoft.com/office/drawing/2014/main" id="{00000000-0008-0000-1300-0000180E4300}"/>
              </a:ext>
            </a:extLst>
          </xdr:cNvPr>
          <xdr:cNvSpPr/>
        </xdr:nvSpPr>
        <xdr:spPr>
          <a:xfrm>
            <a:off x="3175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21" name="$AS$116">
            <a:extLst>
              <a:ext uri="{FF2B5EF4-FFF2-40B4-BE49-F238E27FC236}">
                <a16:creationId xmlns:a16="http://schemas.microsoft.com/office/drawing/2014/main" id="{00000000-0008-0000-1300-0000190E4300}"/>
              </a:ext>
            </a:extLst>
          </xdr:cNvPr>
          <xdr:cNvSpPr/>
        </xdr:nvSpPr>
        <xdr:spPr>
          <a:xfrm>
            <a:off x="3556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22" name="$AS$116">
            <a:extLst>
              <a:ext uri="{FF2B5EF4-FFF2-40B4-BE49-F238E27FC236}">
                <a16:creationId xmlns:a16="http://schemas.microsoft.com/office/drawing/2014/main" id="{00000000-0008-0000-1300-00001A0E4300}"/>
              </a:ext>
            </a:extLst>
          </xdr:cNvPr>
          <xdr:cNvSpPr/>
        </xdr:nvSpPr>
        <xdr:spPr>
          <a:xfrm>
            <a:off x="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23" name="$AS$116">
            <a:extLst>
              <a:ext uri="{FF2B5EF4-FFF2-40B4-BE49-F238E27FC236}">
                <a16:creationId xmlns:a16="http://schemas.microsoft.com/office/drawing/2014/main" id="{00000000-0008-0000-1300-00001B0E4300}"/>
              </a:ext>
            </a:extLst>
          </xdr:cNvPr>
          <xdr:cNvSpPr/>
        </xdr:nvSpPr>
        <xdr:spPr>
          <a:xfrm>
            <a:off x="508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24" name="$AS$116">
            <a:extLst>
              <a:ext uri="{FF2B5EF4-FFF2-40B4-BE49-F238E27FC236}">
                <a16:creationId xmlns:a16="http://schemas.microsoft.com/office/drawing/2014/main" id="{00000000-0008-0000-1300-00001C0E4300}"/>
              </a:ext>
            </a:extLst>
          </xdr:cNvPr>
          <xdr:cNvSpPr/>
        </xdr:nvSpPr>
        <xdr:spPr>
          <a:xfrm>
            <a:off x="889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25" name="$AS$116">
            <a:extLst>
              <a:ext uri="{FF2B5EF4-FFF2-40B4-BE49-F238E27FC236}">
                <a16:creationId xmlns:a16="http://schemas.microsoft.com/office/drawing/2014/main" id="{00000000-0008-0000-1300-00001D0E4300}"/>
              </a:ext>
            </a:extLst>
          </xdr:cNvPr>
          <xdr:cNvSpPr/>
        </xdr:nvSpPr>
        <xdr:spPr>
          <a:xfrm>
            <a:off x="1143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26" name="$AS$116">
            <a:extLst>
              <a:ext uri="{FF2B5EF4-FFF2-40B4-BE49-F238E27FC236}">
                <a16:creationId xmlns:a16="http://schemas.microsoft.com/office/drawing/2014/main" id="{00000000-0008-0000-1300-00001E0E4300}"/>
              </a:ext>
            </a:extLst>
          </xdr:cNvPr>
          <xdr:cNvSpPr/>
        </xdr:nvSpPr>
        <xdr:spPr>
          <a:xfrm>
            <a:off x="1270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27" name="$AS$116">
            <a:extLst>
              <a:ext uri="{FF2B5EF4-FFF2-40B4-BE49-F238E27FC236}">
                <a16:creationId xmlns:a16="http://schemas.microsoft.com/office/drawing/2014/main" id="{00000000-0008-0000-1300-00001F0E4300}"/>
              </a:ext>
            </a:extLst>
          </xdr:cNvPr>
          <xdr:cNvSpPr/>
        </xdr:nvSpPr>
        <xdr:spPr>
          <a:xfrm>
            <a:off x="1524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28" name="$AS$116">
            <a:extLst>
              <a:ext uri="{FF2B5EF4-FFF2-40B4-BE49-F238E27FC236}">
                <a16:creationId xmlns:a16="http://schemas.microsoft.com/office/drawing/2014/main" id="{00000000-0008-0000-1300-0000200E4300}"/>
              </a:ext>
            </a:extLst>
          </xdr:cNvPr>
          <xdr:cNvSpPr/>
        </xdr:nvSpPr>
        <xdr:spPr>
          <a:xfrm>
            <a:off x="1651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29" name="$AS$116">
            <a:extLst>
              <a:ext uri="{FF2B5EF4-FFF2-40B4-BE49-F238E27FC236}">
                <a16:creationId xmlns:a16="http://schemas.microsoft.com/office/drawing/2014/main" id="{00000000-0008-0000-1300-0000210E4300}"/>
              </a:ext>
            </a:extLst>
          </xdr:cNvPr>
          <xdr:cNvSpPr/>
        </xdr:nvSpPr>
        <xdr:spPr>
          <a:xfrm>
            <a:off x="2032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30" name="$AS$116">
            <a:extLst>
              <a:ext uri="{FF2B5EF4-FFF2-40B4-BE49-F238E27FC236}">
                <a16:creationId xmlns:a16="http://schemas.microsoft.com/office/drawing/2014/main" id="{00000000-0008-0000-1300-0000220E4300}"/>
              </a:ext>
            </a:extLst>
          </xdr:cNvPr>
          <xdr:cNvSpPr/>
        </xdr:nvSpPr>
        <xdr:spPr>
          <a:xfrm>
            <a:off x="2159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31" name="$AS$116">
            <a:extLst>
              <a:ext uri="{FF2B5EF4-FFF2-40B4-BE49-F238E27FC236}">
                <a16:creationId xmlns:a16="http://schemas.microsoft.com/office/drawing/2014/main" id="{00000000-0008-0000-1300-0000230E4300}"/>
              </a:ext>
            </a:extLst>
          </xdr:cNvPr>
          <xdr:cNvSpPr/>
        </xdr:nvSpPr>
        <xdr:spPr>
          <a:xfrm>
            <a:off x="2667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32" name="$AS$116">
            <a:extLst>
              <a:ext uri="{FF2B5EF4-FFF2-40B4-BE49-F238E27FC236}">
                <a16:creationId xmlns:a16="http://schemas.microsoft.com/office/drawing/2014/main" id="{00000000-0008-0000-1300-0000240E4300}"/>
              </a:ext>
            </a:extLst>
          </xdr:cNvPr>
          <xdr:cNvSpPr/>
        </xdr:nvSpPr>
        <xdr:spPr>
          <a:xfrm>
            <a:off x="2794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33" name="$AS$116">
            <a:extLst>
              <a:ext uri="{FF2B5EF4-FFF2-40B4-BE49-F238E27FC236}">
                <a16:creationId xmlns:a16="http://schemas.microsoft.com/office/drawing/2014/main" id="{00000000-0008-0000-1300-0000250E4300}"/>
              </a:ext>
            </a:extLst>
          </xdr:cNvPr>
          <xdr:cNvSpPr/>
        </xdr:nvSpPr>
        <xdr:spPr>
          <a:xfrm>
            <a:off x="3175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34" name="$AS$116">
            <a:extLst>
              <a:ext uri="{FF2B5EF4-FFF2-40B4-BE49-F238E27FC236}">
                <a16:creationId xmlns:a16="http://schemas.microsoft.com/office/drawing/2014/main" id="{00000000-0008-0000-1300-0000260E4300}"/>
              </a:ext>
            </a:extLst>
          </xdr:cNvPr>
          <xdr:cNvSpPr/>
        </xdr:nvSpPr>
        <xdr:spPr>
          <a:xfrm>
            <a:off x="254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35" name="$AS$116">
            <a:extLst>
              <a:ext uri="{FF2B5EF4-FFF2-40B4-BE49-F238E27FC236}">
                <a16:creationId xmlns:a16="http://schemas.microsoft.com/office/drawing/2014/main" id="{00000000-0008-0000-1300-0000270E4300}"/>
              </a:ext>
            </a:extLst>
          </xdr:cNvPr>
          <xdr:cNvSpPr/>
        </xdr:nvSpPr>
        <xdr:spPr>
          <a:xfrm>
            <a:off x="635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36" name="$AS$116">
            <a:extLst>
              <a:ext uri="{FF2B5EF4-FFF2-40B4-BE49-F238E27FC236}">
                <a16:creationId xmlns:a16="http://schemas.microsoft.com/office/drawing/2014/main" id="{00000000-0008-0000-1300-0000280E4300}"/>
              </a:ext>
            </a:extLst>
          </xdr:cNvPr>
          <xdr:cNvSpPr/>
        </xdr:nvSpPr>
        <xdr:spPr>
          <a:xfrm>
            <a:off x="762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37" name="$AS$116">
            <a:extLst>
              <a:ext uri="{FF2B5EF4-FFF2-40B4-BE49-F238E27FC236}">
                <a16:creationId xmlns:a16="http://schemas.microsoft.com/office/drawing/2014/main" id="{00000000-0008-0000-1300-0000290E4300}"/>
              </a:ext>
            </a:extLst>
          </xdr:cNvPr>
          <xdr:cNvSpPr/>
        </xdr:nvSpPr>
        <xdr:spPr>
          <a:xfrm>
            <a:off x="889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38" name="$AS$116">
            <a:extLst>
              <a:ext uri="{FF2B5EF4-FFF2-40B4-BE49-F238E27FC236}">
                <a16:creationId xmlns:a16="http://schemas.microsoft.com/office/drawing/2014/main" id="{00000000-0008-0000-1300-00002A0E4300}"/>
              </a:ext>
            </a:extLst>
          </xdr:cNvPr>
          <xdr:cNvSpPr/>
        </xdr:nvSpPr>
        <xdr:spPr>
          <a:xfrm>
            <a:off x="1016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39" name="$AS$116">
            <a:extLst>
              <a:ext uri="{FF2B5EF4-FFF2-40B4-BE49-F238E27FC236}">
                <a16:creationId xmlns:a16="http://schemas.microsoft.com/office/drawing/2014/main" id="{00000000-0008-0000-1300-00002B0E4300}"/>
              </a:ext>
            </a:extLst>
          </xdr:cNvPr>
          <xdr:cNvSpPr/>
        </xdr:nvSpPr>
        <xdr:spPr>
          <a:xfrm>
            <a:off x="1143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40" name="$AS$116">
            <a:extLst>
              <a:ext uri="{FF2B5EF4-FFF2-40B4-BE49-F238E27FC236}">
                <a16:creationId xmlns:a16="http://schemas.microsoft.com/office/drawing/2014/main" id="{00000000-0008-0000-1300-00002C0E4300}"/>
              </a:ext>
            </a:extLst>
          </xdr:cNvPr>
          <xdr:cNvSpPr/>
        </xdr:nvSpPr>
        <xdr:spPr>
          <a:xfrm>
            <a:off x="1270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41" name="$AS$116">
            <a:extLst>
              <a:ext uri="{FF2B5EF4-FFF2-40B4-BE49-F238E27FC236}">
                <a16:creationId xmlns:a16="http://schemas.microsoft.com/office/drawing/2014/main" id="{00000000-0008-0000-1300-00002D0E4300}"/>
              </a:ext>
            </a:extLst>
          </xdr:cNvPr>
          <xdr:cNvSpPr/>
        </xdr:nvSpPr>
        <xdr:spPr>
          <a:xfrm>
            <a:off x="1778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42" name="$AS$116">
            <a:extLst>
              <a:ext uri="{FF2B5EF4-FFF2-40B4-BE49-F238E27FC236}">
                <a16:creationId xmlns:a16="http://schemas.microsoft.com/office/drawing/2014/main" id="{00000000-0008-0000-1300-00002E0E4300}"/>
              </a:ext>
            </a:extLst>
          </xdr:cNvPr>
          <xdr:cNvSpPr/>
        </xdr:nvSpPr>
        <xdr:spPr>
          <a:xfrm>
            <a:off x="1905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43" name="$AS$116">
            <a:extLst>
              <a:ext uri="{FF2B5EF4-FFF2-40B4-BE49-F238E27FC236}">
                <a16:creationId xmlns:a16="http://schemas.microsoft.com/office/drawing/2014/main" id="{00000000-0008-0000-1300-00002F0E4300}"/>
              </a:ext>
            </a:extLst>
          </xdr:cNvPr>
          <xdr:cNvSpPr/>
        </xdr:nvSpPr>
        <xdr:spPr>
          <a:xfrm>
            <a:off x="2286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44" name="$AS$116">
            <a:extLst>
              <a:ext uri="{FF2B5EF4-FFF2-40B4-BE49-F238E27FC236}">
                <a16:creationId xmlns:a16="http://schemas.microsoft.com/office/drawing/2014/main" id="{00000000-0008-0000-1300-0000300E4300}"/>
              </a:ext>
            </a:extLst>
          </xdr:cNvPr>
          <xdr:cNvSpPr/>
        </xdr:nvSpPr>
        <xdr:spPr>
          <a:xfrm>
            <a:off x="2540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45" name="$AS$116">
            <a:extLst>
              <a:ext uri="{FF2B5EF4-FFF2-40B4-BE49-F238E27FC236}">
                <a16:creationId xmlns:a16="http://schemas.microsoft.com/office/drawing/2014/main" id="{00000000-0008-0000-1300-0000310E4300}"/>
              </a:ext>
            </a:extLst>
          </xdr:cNvPr>
          <xdr:cNvSpPr/>
        </xdr:nvSpPr>
        <xdr:spPr>
          <a:xfrm>
            <a:off x="3556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46" name="$AS$116">
            <a:extLst>
              <a:ext uri="{FF2B5EF4-FFF2-40B4-BE49-F238E27FC236}">
                <a16:creationId xmlns:a16="http://schemas.microsoft.com/office/drawing/2014/main" id="{00000000-0008-0000-1300-0000320E4300}"/>
              </a:ext>
            </a:extLst>
          </xdr:cNvPr>
          <xdr:cNvSpPr/>
        </xdr:nvSpPr>
        <xdr:spPr>
          <a:xfrm>
            <a:off x="127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47" name="$AS$116">
            <a:extLst>
              <a:ext uri="{FF2B5EF4-FFF2-40B4-BE49-F238E27FC236}">
                <a16:creationId xmlns:a16="http://schemas.microsoft.com/office/drawing/2014/main" id="{00000000-0008-0000-1300-0000330E4300}"/>
              </a:ext>
            </a:extLst>
          </xdr:cNvPr>
          <xdr:cNvSpPr/>
        </xdr:nvSpPr>
        <xdr:spPr>
          <a:xfrm>
            <a:off x="381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48" name="$AS$116">
            <a:extLst>
              <a:ext uri="{FF2B5EF4-FFF2-40B4-BE49-F238E27FC236}">
                <a16:creationId xmlns:a16="http://schemas.microsoft.com/office/drawing/2014/main" id="{00000000-0008-0000-1300-0000340E4300}"/>
              </a:ext>
            </a:extLst>
          </xdr:cNvPr>
          <xdr:cNvSpPr/>
        </xdr:nvSpPr>
        <xdr:spPr>
          <a:xfrm>
            <a:off x="508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49" name="$AS$116">
            <a:extLst>
              <a:ext uri="{FF2B5EF4-FFF2-40B4-BE49-F238E27FC236}">
                <a16:creationId xmlns:a16="http://schemas.microsoft.com/office/drawing/2014/main" id="{00000000-0008-0000-1300-0000350E4300}"/>
              </a:ext>
            </a:extLst>
          </xdr:cNvPr>
          <xdr:cNvSpPr/>
        </xdr:nvSpPr>
        <xdr:spPr>
          <a:xfrm>
            <a:off x="1270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50" name="$AS$116">
            <a:extLst>
              <a:ext uri="{FF2B5EF4-FFF2-40B4-BE49-F238E27FC236}">
                <a16:creationId xmlns:a16="http://schemas.microsoft.com/office/drawing/2014/main" id="{00000000-0008-0000-1300-0000360E4300}"/>
              </a:ext>
            </a:extLst>
          </xdr:cNvPr>
          <xdr:cNvSpPr/>
        </xdr:nvSpPr>
        <xdr:spPr>
          <a:xfrm>
            <a:off x="1397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51" name="$AS$116">
            <a:extLst>
              <a:ext uri="{FF2B5EF4-FFF2-40B4-BE49-F238E27FC236}">
                <a16:creationId xmlns:a16="http://schemas.microsoft.com/office/drawing/2014/main" id="{00000000-0008-0000-1300-0000370E4300}"/>
              </a:ext>
            </a:extLst>
          </xdr:cNvPr>
          <xdr:cNvSpPr/>
        </xdr:nvSpPr>
        <xdr:spPr>
          <a:xfrm>
            <a:off x="1524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52" name="$AS$116">
            <a:extLst>
              <a:ext uri="{FF2B5EF4-FFF2-40B4-BE49-F238E27FC236}">
                <a16:creationId xmlns:a16="http://schemas.microsoft.com/office/drawing/2014/main" id="{00000000-0008-0000-1300-0000380E4300}"/>
              </a:ext>
            </a:extLst>
          </xdr:cNvPr>
          <xdr:cNvSpPr/>
        </xdr:nvSpPr>
        <xdr:spPr>
          <a:xfrm>
            <a:off x="1651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53" name="$AS$116">
            <a:extLst>
              <a:ext uri="{FF2B5EF4-FFF2-40B4-BE49-F238E27FC236}">
                <a16:creationId xmlns:a16="http://schemas.microsoft.com/office/drawing/2014/main" id="{00000000-0008-0000-1300-0000390E4300}"/>
              </a:ext>
            </a:extLst>
          </xdr:cNvPr>
          <xdr:cNvSpPr/>
        </xdr:nvSpPr>
        <xdr:spPr>
          <a:xfrm>
            <a:off x="1778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54" name="$AS$116">
            <a:extLst>
              <a:ext uri="{FF2B5EF4-FFF2-40B4-BE49-F238E27FC236}">
                <a16:creationId xmlns:a16="http://schemas.microsoft.com/office/drawing/2014/main" id="{00000000-0008-0000-1300-00003A0E4300}"/>
              </a:ext>
            </a:extLst>
          </xdr:cNvPr>
          <xdr:cNvSpPr/>
        </xdr:nvSpPr>
        <xdr:spPr>
          <a:xfrm>
            <a:off x="1905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55" name="$AS$116">
            <a:extLst>
              <a:ext uri="{FF2B5EF4-FFF2-40B4-BE49-F238E27FC236}">
                <a16:creationId xmlns:a16="http://schemas.microsoft.com/office/drawing/2014/main" id="{00000000-0008-0000-1300-00003B0E4300}"/>
              </a:ext>
            </a:extLst>
          </xdr:cNvPr>
          <xdr:cNvSpPr/>
        </xdr:nvSpPr>
        <xdr:spPr>
          <a:xfrm>
            <a:off x="2032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56" name="$AS$116">
            <a:extLst>
              <a:ext uri="{FF2B5EF4-FFF2-40B4-BE49-F238E27FC236}">
                <a16:creationId xmlns:a16="http://schemas.microsoft.com/office/drawing/2014/main" id="{00000000-0008-0000-1300-00003C0E4300}"/>
              </a:ext>
            </a:extLst>
          </xdr:cNvPr>
          <xdr:cNvSpPr/>
        </xdr:nvSpPr>
        <xdr:spPr>
          <a:xfrm>
            <a:off x="2159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57" name="$AS$116">
            <a:extLst>
              <a:ext uri="{FF2B5EF4-FFF2-40B4-BE49-F238E27FC236}">
                <a16:creationId xmlns:a16="http://schemas.microsoft.com/office/drawing/2014/main" id="{00000000-0008-0000-1300-00003D0E4300}"/>
              </a:ext>
            </a:extLst>
          </xdr:cNvPr>
          <xdr:cNvSpPr/>
        </xdr:nvSpPr>
        <xdr:spPr>
          <a:xfrm>
            <a:off x="2286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58" name="$AS$116">
            <a:extLst>
              <a:ext uri="{FF2B5EF4-FFF2-40B4-BE49-F238E27FC236}">
                <a16:creationId xmlns:a16="http://schemas.microsoft.com/office/drawing/2014/main" id="{00000000-0008-0000-1300-00003E0E4300}"/>
              </a:ext>
            </a:extLst>
          </xdr:cNvPr>
          <xdr:cNvSpPr/>
        </xdr:nvSpPr>
        <xdr:spPr>
          <a:xfrm>
            <a:off x="2794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59" name="$AS$116">
            <a:extLst>
              <a:ext uri="{FF2B5EF4-FFF2-40B4-BE49-F238E27FC236}">
                <a16:creationId xmlns:a16="http://schemas.microsoft.com/office/drawing/2014/main" id="{00000000-0008-0000-1300-00003F0E4300}"/>
              </a:ext>
            </a:extLst>
          </xdr:cNvPr>
          <xdr:cNvSpPr/>
        </xdr:nvSpPr>
        <xdr:spPr>
          <a:xfrm>
            <a:off x="3048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60" name="$AS$116">
            <a:extLst>
              <a:ext uri="{FF2B5EF4-FFF2-40B4-BE49-F238E27FC236}">
                <a16:creationId xmlns:a16="http://schemas.microsoft.com/office/drawing/2014/main" id="{00000000-0008-0000-1300-0000400E4300}"/>
              </a:ext>
            </a:extLst>
          </xdr:cNvPr>
          <xdr:cNvSpPr/>
        </xdr:nvSpPr>
        <xdr:spPr>
          <a:xfrm>
            <a:off x="3429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61" name="$AS$116">
            <a:extLst>
              <a:ext uri="{FF2B5EF4-FFF2-40B4-BE49-F238E27FC236}">
                <a16:creationId xmlns:a16="http://schemas.microsoft.com/office/drawing/2014/main" id="{00000000-0008-0000-1300-0000410E4300}"/>
              </a:ext>
            </a:extLst>
          </xdr:cNvPr>
          <xdr:cNvSpPr/>
        </xdr:nvSpPr>
        <xdr:spPr>
          <a:xfrm>
            <a:off x="127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62" name="$AS$116">
            <a:extLst>
              <a:ext uri="{FF2B5EF4-FFF2-40B4-BE49-F238E27FC236}">
                <a16:creationId xmlns:a16="http://schemas.microsoft.com/office/drawing/2014/main" id="{00000000-0008-0000-1300-0000420E4300}"/>
              </a:ext>
            </a:extLst>
          </xdr:cNvPr>
          <xdr:cNvSpPr/>
        </xdr:nvSpPr>
        <xdr:spPr>
          <a:xfrm>
            <a:off x="635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63" name="$AS$116">
            <a:extLst>
              <a:ext uri="{FF2B5EF4-FFF2-40B4-BE49-F238E27FC236}">
                <a16:creationId xmlns:a16="http://schemas.microsoft.com/office/drawing/2014/main" id="{00000000-0008-0000-1300-0000430E4300}"/>
              </a:ext>
            </a:extLst>
          </xdr:cNvPr>
          <xdr:cNvSpPr/>
        </xdr:nvSpPr>
        <xdr:spPr>
          <a:xfrm>
            <a:off x="762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64" name="$AS$116">
            <a:extLst>
              <a:ext uri="{FF2B5EF4-FFF2-40B4-BE49-F238E27FC236}">
                <a16:creationId xmlns:a16="http://schemas.microsoft.com/office/drawing/2014/main" id="{00000000-0008-0000-1300-0000440E4300}"/>
              </a:ext>
            </a:extLst>
          </xdr:cNvPr>
          <xdr:cNvSpPr/>
        </xdr:nvSpPr>
        <xdr:spPr>
          <a:xfrm>
            <a:off x="1016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65" name="$AS$116">
            <a:extLst>
              <a:ext uri="{FF2B5EF4-FFF2-40B4-BE49-F238E27FC236}">
                <a16:creationId xmlns:a16="http://schemas.microsoft.com/office/drawing/2014/main" id="{00000000-0008-0000-1300-0000450E4300}"/>
              </a:ext>
            </a:extLst>
          </xdr:cNvPr>
          <xdr:cNvSpPr/>
        </xdr:nvSpPr>
        <xdr:spPr>
          <a:xfrm>
            <a:off x="1143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66" name="$AS$116">
            <a:extLst>
              <a:ext uri="{FF2B5EF4-FFF2-40B4-BE49-F238E27FC236}">
                <a16:creationId xmlns:a16="http://schemas.microsoft.com/office/drawing/2014/main" id="{00000000-0008-0000-1300-0000460E4300}"/>
              </a:ext>
            </a:extLst>
          </xdr:cNvPr>
          <xdr:cNvSpPr/>
        </xdr:nvSpPr>
        <xdr:spPr>
          <a:xfrm>
            <a:off x="1524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67" name="$AS$116">
            <a:extLst>
              <a:ext uri="{FF2B5EF4-FFF2-40B4-BE49-F238E27FC236}">
                <a16:creationId xmlns:a16="http://schemas.microsoft.com/office/drawing/2014/main" id="{00000000-0008-0000-1300-0000470E4300}"/>
              </a:ext>
            </a:extLst>
          </xdr:cNvPr>
          <xdr:cNvSpPr/>
        </xdr:nvSpPr>
        <xdr:spPr>
          <a:xfrm>
            <a:off x="1651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68" name="$AS$116">
            <a:extLst>
              <a:ext uri="{FF2B5EF4-FFF2-40B4-BE49-F238E27FC236}">
                <a16:creationId xmlns:a16="http://schemas.microsoft.com/office/drawing/2014/main" id="{00000000-0008-0000-1300-0000480E4300}"/>
              </a:ext>
            </a:extLst>
          </xdr:cNvPr>
          <xdr:cNvSpPr/>
        </xdr:nvSpPr>
        <xdr:spPr>
          <a:xfrm>
            <a:off x="1778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69" name="$AS$116">
            <a:extLst>
              <a:ext uri="{FF2B5EF4-FFF2-40B4-BE49-F238E27FC236}">
                <a16:creationId xmlns:a16="http://schemas.microsoft.com/office/drawing/2014/main" id="{00000000-0008-0000-1300-0000490E4300}"/>
              </a:ext>
            </a:extLst>
          </xdr:cNvPr>
          <xdr:cNvSpPr/>
        </xdr:nvSpPr>
        <xdr:spPr>
          <a:xfrm>
            <a:off x="1905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70" name="$AS$116">
            <a:extLst>
              <a:ext uri="{FF2B5EF4-FFF2-40B4-BE49-F238E27FC236}">
                <a16:creationId xmlns:a16="http://schemas.microsoft.com/office/drawing/2014/main" id="{00000000-0008-0000-1300-00004A0E4300}"/>
              </a:ext>
            </a:extLst>
          </xdr:cNvPr>
          <xdr:cNvSpPr/>
        </xdr:nvSpPr>
        <xdr:spPr>
          <a:xfrm>
            <a:off x="2159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71" name="$AS$116">
            <a:extLst>
              <a:ext uri="{FF2B5EF4-FFF2-40B4-BE49-F238E27FC236}">
                <a16:creationId xmlns:a16="http://schemas.microsoft.com/office/drawing/2014/main" id="{00000000-0008-0000-1300-00004B0E4300}"/>
              </a:ext>
            </a:extLst>
          </xdr:cNvPr>
          <xdr:cNvSpPr/>
        </xdr:nvSpPr>
        <xdr:spPr>
          <a:xfrm>
            <a:off x="2286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72" name="$AS$116">
            <a:extLst>
              <a:ext uri="{FF2B5EF4-FFF2-40B4-BE49-F238E27FC236}">
                <a16:creationId xmlns:a16="http://schemas.microsoft.com/office/drawing/2014/main" id="{00000000-0008-0000-1300-00004C0E4300}"/>
              </a:ext>
            </a:extLst>
          </xdr:cNvPr>
          <xdr:cNvSpPr/>
        </xdr:nvSpPr>
        <xdr:spPr>
          <a:xfrm>
            <a:off x="2413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73" name="$AS$116">
            <a:extLst>
              <a:ext uri="{FF2B5EF4-FFF2-40B4-BE49-F238E27FC236}">
                <a16:creationId xmlns:a16="http://schemas.microsoft.com/office/drawing/2014/main" id="{00000000-0008-0000-1300-00004D0E4300}"/>
              </a:ext>
            </a:extLst>
          </xdr:cNvPr>
          <xdr:cNvSpPr/>
        </xdr:nvSpPr>
        <xdr:spPr>
          <a:xfrm>
            <a:off x="2794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74" name="$AS$116">
            <a:extLst>
              <a:ext uri="{FF2B5EF4-FFF2-40B4-BE49-F238E27FC236}">
                <a16:creationId xmlns:a16="http://schemas.microsoft.com/office/drawing/2014/main" id="{00000000-0008-0000-1300-00004E0E4300}"/>
              </a:ext>
            </a:extLst>
          </xdr:cNvPr>
          <xdr:cNvSpPr/>
        </xdr:nvSpPr>
        <xdr:spPr>
          <a:xfrm>
            <a:off x="3302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75" name="$AS$116">
            <a:extLst>
              <a:ext uri="{FF2B5EF4-FFF2-40B4-BE49-F238E27FC236}">
                <a16:creationId xmlns:a16="http://schemas.microsoft.com/office/drawing/2014/main" id="{00000000-0008-0000-1300-00004F0E4300}"/>
              </a:ext>
            </a:extLst>
          </xdr:cNvPr>
          <xdr:cNvSpPr/>
        </xdr:nvSpPr>
        <xdr:spPr>
          <a:xfrm>
            <a:off x="3429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76" name="$AS$116">
            <a:extLst>
              <a:ext uri="{FF2B5EF4-FFF2-40B4-BE49-F238E27FC236}">
                <a16:creationId xmlns:a16="http://schemas.microsoft.com/office/drawing/2014/main" id="{00000000-0008-0000-1300-0000500E4300}"/>
              </a:ext>
            </a:extLst>
          </xdr:cNvPr>
          <xdr:cNvSpPr/>
        </xdr:nvSpPr>
        <xdr:spPr>
          <a:xfrm>
            <a:off x="254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77" name="$AS$116">
            <a:extLst>
              <a:ext uri="{FF2B5EF4-FFF2-40B4-BE49-F238E27FC236}">
                <a16:creationId xmlns:a16="http://schemas.microsoft.com/office/drawing/2014/main" id="{00000000-0008-0000-1300-0000510E4300}"/>
              </a:ext>
            </a:extLst>
          </xdr:cNvPr>
          <xdr:cNvSpPr/>
        </xdr:nvSpPr>
        <xdr:spPr>
          <a:xfrm>
            <a:off x="381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78" name="$AS$116">
            <a:extLst>
              <a:ext uri="{FF2B5EF4-FFF2-40B4-BE49-F238E27FC236}">
                <a16:creationId xmlns:a16="http://schemas.microsoft.com/office/drawing/2014/main" id="{00000000-0008-0000-1300-0000520E4300}"/>
              </a:ext>
            </a:extLst>
          </xdr:cNvPr>
          <xdr:cNvSpPr/>
        </xdr:nvSpPr>
        <xdr:spPr>
          <a:xfrm>
            <a:off x="508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79" name="$AS$116">
            <a:extLst>
              <a:ext uri="{FF2B5EF4-FFF2-40B4-BE49-F238E27FC236}">
                <a16:creationId xmlns:a16="http://schemas.microsoft.com/office/drawing/2014/main" id="{00000000-0008-0000-1300-0000530E4300}"/>
              </a:ext>
            </a:extLst>
          </xdr:cNvPr>
          <xdr:cNvSpPr/>
        </xdr:nvSpPr>
        <xdr:spPr>
          <a:xfrm>
            <a:off x="635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80" name="$AS$116">
            <a:extLst>
              <a:ext uri="{FF2B5EF4-FFF2-40B4-BE49-F238E27FC236}">
                <a16:creationId xmlns:a16="http://schemas.microsoft.com/office/drawing/2014/main" id="{00000000-0008-0000-1300-0000540E4300}"/>
              </a:ext>
            </a:extLst>
          </xdr:cNvPr>
          <xdr:cNvSpPr/>
        </xdr:nvSpPr>
        <xdr:spPr>
          <a:xfrm>
            <a:off x="889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81" name="$AS$116">
            <a:extLst>
              <a:ext uri="{FF2B5EF4-FFF2-40B4-BE49-F238E27FC236}">
                <a16:creationId xmlns:a16="http://schemas.microsoft.com/office/drawing/2014/main" id="{00000000-0008-0000-1300-0000550E4300}"/>
              </a:ext>
            </a:extLst>
          </xdr:cNvPr>
          <xdr:cNvSpPr/>
        </xdr:nvSpPr>
        <xdr:spPr>
          <a:xfrm>
            <a:off x="1016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82" name="$AS$116">
            <a:extLst>
              <a:ext uri="{FF2B5EF4-FFF2-40B4-BE49-F238E27FC236}">
                <a16:creationId xmlns:a16="http://schemas.microsoft.com/office/drawing/2014/main" id="{00000000-0008-0000-1300-0000560E4300}"/>
              </a:ext>
            </a:extLst>
          </xdr:cNvPr>
          <xdr:cNvSpPr/>
        </xdr:nvSpPr>
        <xdr:spPr>
          <a:xfrm>
            <a:off x="1397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83" name="$AS$116">
            <a:extLst>
              <a:ext uri="{FF2B5EF4-FFF2-40B4-BE49-F238E27FC236}">
                <a16:creationId xmlns:a16="http://schemas.microsoft.com/office/drawing/2014/main" id="{00000000-0008-0000-1300-0000570E4300}"/>
              </a:ext>
            </a:extLst>
          </xdr:cNvPr>
          <xdr:cNvSpPr/>
        </xdr:nvSpPr>
        <xdr:spPr>
          <a:xfrm>
            <a:off x="1524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84" name="$AS$116">
            <a:extLst>
              <a:ext uri="{FF2B5EF4-FFF2-40B4-BE49-F238E27FC236}">
                <a16:creationId xmlns:a16="http://schemas.microsoft.com/office/drawing/2014/main" id="{00000000-0008-0000-1300-0000580E4300}"/>
              </a:ext>
            </a:extLst>
          </xdr:cNvPr>
          <xdr:cNvSpPr/>
        </xdr:nvSpPr>
        <xdr:spPr>
          <a:xfrm>
            <a:off x="1905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85" name="$AS$116">
            <a:extLst>
              <a:ext uri="{FF2B5EF4-FFF2-40B4-BE49-F238E27FC236}">
                <a16:creationId xmlns:a16="http://schemas.microsoft.com/office/drawing/2014/main" id="{00000000-0008-0000-1300-0000590E4300}"/>
              </a:ext>
            </a:extLst>
          </xdr:cNvPr>
          <xdr:cNvSpPr/>
        </xdr:nvSpPr>
        <xdr:spPr>
          <a:xfrm>
            <a:off x="2286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86" name="$AS$116">
            <a:extLst>
              <a:ext uri="{FF2B5EF4-FFF2-40B4-BE49-F238E27FC236}">
                <a16:creationId xmlns:a16="http://schemas.microsoft.com/office/drawing/2014/main" id="{00000000-0008-0000-1300-00005A0E4300}"/>
              </a:ext>
            </a:extLst>
          </xdr:cNvPr>
          <xdr:cNvSpPr/>
        </xdr:nvSpPr>
        <xdr:spPr>
          <a:xfrm>
            <a:off x="2540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87" name="$AS$116">
            <a:extLst>
              <a:ext uri="{FF2B5EF4-FFF2-40B4-BE49-F238E27FC236}">
                <a16:creationId xmlns:a16="http://schemas.microsoft.com/office/drawing/2014/main" id="{00000000-0008-0000-1300-00005B0E4300}"/>
              </a:ext>
            </a:extLst>
          </xdr:cNvPr>
          <xdr:cNvSpPr/>
        </xdr:nvSpPr>
        <xdr:spPr>
          <a:xfrm>
            <a:off x="2667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88" name="$AS$116">
            <a:extLst>
              <a:ext uri="{FF2B5EF4-FFF2-40B4-BE49-F238E27FC236}">
                <a16:creationId xmlns:a16="http://schemas.microsoft.com/office/drawing/2014/main" id="{00000000-0008-0000-1300-00005C0E4300}"/>
              </a:ext>
            </a:extLst>
          </xdr:cNvPr>
          <xdr:cNvSpPr/>
        </xdr:nvSpPr>
        <xdr:spPr>
          <a:xfrm>
            <a:off x="3302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89" name="$AS$116">
            <a:extLst>
              <a:ext uri="{FF2B5EF4-FFF2-40B4-BE49-F238E27FC236}">
                <a16:creationId xmlns:a16="http://schemas.microsoft.com/office/drawing/2014/main" id="{00000000-0008-0000-1300-00005D0E4300}"/>
              </a:ext>
            </a:extLst>
          </xdr:cNvPr>
          <xdr:cNvSpPr/>
        </xdr:nvSpPr>
        <xdr:spPr>
          <a:xfrm>
            <a:off x="3429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90" name="$AS$116">
            <a:extLst>
              <a:ext uri="{FF2B5EF4-FFF2-40B4-BE49-F238E27FC236}">
                <a16:creationId xmlns:a16="http://schemas.microsoft.com/office/drawing/2014/main" id="{00000000-0008-0000-1300-00005E0E4300}"/>
              </a:ext>
            </a:extLst>
          </xdr:cNvPr>
          <xdr:cNvSpPr/>
        </xdr:nvSpPr>
        <xdr:spPr>
          <a:xfrm>
            <a:off x="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91" name="$AS$116">
            <a:extLst>
              <a:ext uri="{FF2B5EF4-FFF2-40B4-BE49-F238E27FC236}">
                <a16:creationId xmlns:a16="http://schemas.microsoft.com/office/drawing/2014/main" id="{00000000-0008-0000-1300-00005F0E4300}"/>
              </a:ext>
            </a:extLst>
          </xdr:cNvPr>
          <xdr:cNvSpPr/>
        </xdr:nvSpPr>
        <xdr:spPr>
          <a:xfrm>
            <a:off x="127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92" name="$AS$116">
            <a:extLst>
              <a:ext uri="{FF2B5EF4-FFF2-40B4-BE49-F238E27FC236}">
                <a16:creationId xmlns:a16="http://schemas.microsoft.com/office/drawing/2014/main" id="{00000000-0008-0000-1300-0000600E4300}"/>
              </a:ext>
            </a:extLst>
          </xdr:cNvPr>
          <xdr:cNvSpPr/>
        </xdr:nvSpPr>
        <xdr:spPr>
          <a:xfrm>
            <a:off x="381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93" name="$AS$116">
            <a:extLst>
              <a:ext uri="{FF2B5EF4-FFF2-40B4-BE49-F238E27FC236}">
                <a16:creationId xmlns:a16="http://schemas.microsoft.com/office/drawing/2014/main" id="{00000000-0008-0000-1300-0000610E4300}"/>
              </a:ext>
            </a:extLst>
          </xdr:cNvPr>
          <xdr:cNvSpPr/>
        </xdr:nvSpPr>
        <xdr:spPr>
          <a:xfrm>
            <a:off x="508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94" name="$AS$116">
            <a:extLst>
              <a:ext uri="{FF2B5EF4-FFF2-40B4-BE49-F238E27FC236}">
                <a16:creationId xmlns:a16="http://schemas.microsoft.com/office/drawing/2014/main" id="{00000000-0008-0000-1300-0000620E4300}"/>
              </a:ext>
            </a:extLst>
          </xdr:cNvPr>
          <xdr:cNvSpPr/>
        </xdr:nvSpPr>
        <xdr:spPr>
          <a:xfrm>
            <a:off x="635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95" name="$AS$116">
            <a:extLst>
              <a:ext uri="{FF2B5EF4-FFF2-40B4-BE49-F238E27FC236}">
                <a16:creationId xmlns:a16="http://schemas.microsoft.com/office/drawing/2014/main" id="{00000000-0008-0000-1300-0000630E4300}"/>
              </a:ext>
            </a:extLst>
          </xdr:cNvPr>
          <xdr:cNvSpPr/>
        </xdr:nvSpPr>
        <xdr:spPr>
          <a:xfrm>
            <a:off x="762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96" name="$AS$116">
            <a:extLst>
              <a:ext uri="{FF2B5EF4-FFF2-40B4-BE49-F238E27FC236}">
                <a16:creationId xmlns:a16="http://schemas.microsoft.com/office/drawing/2014/main" id="{00000000-0008-0000-1300-0000640E4300}"/>
              </a:ext>
            </a:extLst>
          </xdr:cNvPr>
          <xdr:cNvSpPr/>
        </xdr:nvSpPr>
        <xdr:spPr>
          <a:xfrm>
            <a:off x="1397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97" name="$AS$116">
            <a:extLst>
              <a:ext uri="{FF2B5EF4-FFF2-40B4-BE49-F238E27FC236}">
                <a16:creationId xmlns:a16="http://schemas.microsoft.com/office/drawing/2014/main" id="{00000000-0008-0000-1300-0000650E4300}"/>
              </a:ext>
            </a:extLst>
          </xdr:cNvPr>
          <xdr:cNvSpPr/>
        </xdr:nvSpPr>
        <xdr:spPr>
          <a:xfrm>
            <a:off x="1524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98" name="$AS$116">
            <a:extLst>
              <a:ext uri="{FF2B5EF4-FFF2-40B4-BE49-F238E27FC236}">
                <a16:creationId xmlns:a16="http://schemas.microsoft.com/office/drawing/2014/main" id="{00000000-0008-0000-1300-0000660E4300}"/>
              </a:ext>
            </a:extLst>
          </xdr:cNvPr>
          <xdr:cNvSpPr/>
        </xdr:nvSpPr>
        <xdr:spPr>
          <a:xfrm>
            <a:off x="1651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99" name="$AS$116">
            <a:extLst>
              <a:ext uri="{FF2B5EF4-FFF2-40B4-BE49-F238E27FC236}">
                <a16:creationId xmlns:a16="http://schemas.microsoft.com/office/drawing/2014/main" id="{00000000-0008-0000-1300-0000670E4300}"/>
              </a:ext>
            </a:extLst>
          </xdr:cNvPr>
          <xdr:cNvSpPr/>
        </xdr:nvSpPr>
        <xdr:spPr>
          <a:xfrm>
            <a:off x="2159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00" name="$AS$116">
            <a:extLst>
              <a:ext uri="{FF2B5EF4-FFF2-40B4-BE49-F238E27FC236}">
                <a16:creationId xmlns:a16="http://schemas.microsoft.com/office/drawing/2014/main" id="{00000000-0008-0000-1300-0000680E4300}"/>
              </a:ext>
            </a:extLst>
          </xdr:cNvPr>
          <xdr:cNvSpPr/>
        </xdr:nvSpPr>
        <xdr:spPr>
          <a:xfrm>
            <a:off x="2667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01" name="$AS$116">
            <a:extLst>
              <a:ext uri="{FF2B5EF4-FFF2-40B4-BE49-F238E27FC236}">
                <a16:creationId xmlns:a16="http://schemas.microsoft.com/office/drawing/2014/main" id="{00000000-0008-0000-1300-0000690E4300}"/>
              </a:ext>
            </a:extLst>
          </xdr:cNvPr>
          <xdr:cNvSpPr/>
        </xdr:nvSpPr>
        <xdr:spPr>
          <a:xfrm>
            <a:off x="2794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02" name="$AS$116">
            <a:extLst>
              <a:ext uri="{FF2B5EF4-FFF2-40B4-BE49-F238E27FC236}">
                <a16:creationId xmlns:a16="http://schemas.microsoft.com/office/drawing/2014/main" id="{00000000-0008-0000-1300-00006A0E4300}"/>
              </a:ext>
            </a:extLst>
          </xdr:cNvPr>
          <xdr:cNvSpPr/>
        </xdr:nvSpPr>
        <xdr:spPr>
          <a:xfrm>
            <a:off x="2921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03" name="$AS$116">
            <a:extLst>
              <a:ext uri="{FF2B5EF4-FFF2-40B4-BE49-F238E27FC236}">
                <a16:creationId xmlns:a16="http://schemas.microsoft.com/office/drawing/2014/main" id="{00000000-0008-0000-1300-00006B0E4300}"/>
              </a:ext>
            </a:extLst>
          </xdr:cNvPr>
          <xdr:cNvSpPr/>
        </xdr:nvSpPr>
        <xdr:spPr>
          <a:xfrm>
            <a:off x="3175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04" name="$AS$116">
            <a:extLst>
              <a:ext uri="{FF2B5EF4-FFF2-40B4-BE49-F238E27FC236}">
                <a16:creationId xmlns:a16="http://schemas.microsoft.com/office/drawing/2014/main" id="{00000000-0008-0000-1300-00006C0E4300}"/>
              </a:ext>
            </a:extLst>
          </xdr:cNvPr>
          <xdr:cNvSpPr/>
        </xdr:nvSpPr>
        <xdr:spPr>
          <a:xfrm>
            <a:off x="3429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05" name="$AS$116">
            <a:extLst>
              <a:ext uri="{FF2B5EF4-FFF2-40B4-BE49-F238E27FC236}">
                <a16:creationId xmlns:a16="http://schemas.microsoft.com/office/drawing/2014/main" id="{00000000-0008-0000-1300-00006D0E4300}"/>
              </a:ext>
            </a:extLst>
          </xdr:cNvPr>
          <xdr:cNvSpPr/>
        </xdr:nvSpPr>
        <xdr:spPr>
          <a:xfrm>
            <a:off x="3556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06" name="$AS$116">
            <a:extLst>
              <a:ext uri="{FF2B5EF4-FFF2-40B4-BE49-F238E27FC236}">
                <a16:creationId xmlns:a16="http://schemas.microsoft.com/office/drawing/2014/main" id="{00000000-0008-0000-1300-00006E0E4300}"/>
              </a:ext>
            </a:extLst>
          </xdr:cNvPr>
          <xdr:cNvSpPr/>
        </xdr:nvSpPr>
        <xdr:spPr>
          <a:xfrm>
            <a:off x="254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07" name="$AS$116">
            <a:extLst>
              <a:ext uri="{FF2B5EF4-FFF2-40B4-BE49-F238E27FC236}">
                <a16:creationId xmlns:a16="http://schemas.microsoft.com/office/drawing/2014/main" id="{00000000-0008-0000-1300-00006F0E4300}"/>
              </a:ext>
            </a:extLst>
          </xdr:cNvPr>
          <xdr:cNvSpPr/>
        </xdr:nvSpPr>
        <xdr:spPr>
          <a:xfrm>
            <a:off x="635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08" name="$AS$116">
            <a:extLst>
              <a:ext uri="{FF2B5EF4-FFF2-40B4-BE49-F238E27FC236}">
                <a16:creationId xmlns:a16="http://schemas.microsoft.com/office/drawing/2014/main" id="{00000000-0008-0000-1300-0000700E4300}"/>
              </a:ext>
            </a:extLst>
          </xdr:cNvPr>
          <xdr:cNvSpPr/>
        </xdr:nvSpPr>
        <xdr:spPr>
          <a:xfrm>
            <a:off x="889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09" name="$AS$116">
            <a:extLst>
              <a:ext uri="{FF2B5EF4-FFF2-40B4-BE49-F238E27FC236}">
                <a16:creationId xmlns:a16="http://schemas.microsoft.com/office/drawing/2014/main" id="{00000000-0008-0000-1300-0000710E4300}"/>
              </a:ext>
            </a:extLst>
          </xdr:cNvPr>
          <xdr:cNvSpPr/>
        </xdr:nvSpPr>
        <xdr:spPr>
          <a:xfrm>
            <a:off x="1016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10" name="$AS$116">
            <a:extLst>
              <a:ext uri="{FF2B5EF4-FFF2-40B4-BE49-F238E27FC236}">
                <a16:creationId xmlns:a16="http://schemas.microsoft.com/office/drawing/2014/main" id="{00000000-0008-0000-1300-0000720E4300}"/>
              </a:ext>
            </a:extLst>
          </xdr:cNvPr>
          <xdr:cNvSpPr/>
        </xdr:nvSpPr>
        <xdr:spPr>
          <a:xfrm>
            <a:off x="1524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11" name="$AS$116">
            <a:extLst>
              <a:ext uri="{FF2B5EF4-FFF2-40B4-BE49-F238E27FC236}">
                <a16:creationId xmlns:a16="http://schemas.microsoft.com/office/drawing/2014/main" id="{00000000-0008-0000-1300-0000730E4300}"/>
              </a:ext>
            </a:extLst>
          </xdr:cNvPr>
          <xdr:cNvSpPr/>
        </xdr:nvSpPr>
        <xdr:spPr>
          <a:xfrm>
            <a:off x="1651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12" name="$AS$116">
            <a:extLst>
              <a:ext uri="{FF2B5EF4-FFF2-40B4-BE49-F238E27FC236}">
                <a16:creationId xmlns:a16="http://schemas.microsoft.com/office/drawing/2014/main" id="{00000000-0008-0000-1300-0000740E4300}"/>
              </a:ext>
            </a:extLst>
          </xdr:cNvPr>
          <xdr:cNvSpPr/>
        </xdr:nvSpPr>
        <xdr:spPr>
          <a:xfrm>
            <a:off x="1778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13" name="$AS$116">
            <a:extLst>
              <a:ext uri="{FF2B5EF4-FFF2-40B4-BE49-F238E27FC236}">
                <a16:creationId xmlns:a16="http://schemas.microsoft.com/office/drawing/2014/main" id="{00000000-0008-0000-1300-0000750E4300}"/>
              </a:ext>
            </a:extLst>
          </xdr:cNvPr>
          <xdr:cNvSpPr/>
        </xdr:nvSpPr>
        <xdr:spPr>
          <a:xfrm>
            <a:off x="2032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14" name="$AS$116">
            <a:extLst>
              <a:ext uri="{FF2B5EF4-FFF2-40B4-BE49-F238E27FC236}">
                <a16:creationId xmlns:a16="http://schemas.microsoft.com/office/drawing/2014/main" id="{00000000-0008-0000-1300-0000760E4300}"/>
              </a:ext>
            </a:extLst>
          </xdr:cNvPr>
          <xdr:cNvSpPr/>
        </xdr:nvSpPr>
        <xdr:spPr>
          <a:xfrm>
            <a:off x="2413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15" name="$AS$116">
            <a:extLst>
              <a:ext uri="{FF2B5EF4-FFF2-40B4-BE49-F238E27FC236}">
                <a16:creationId xmlns:a16="http://schemas.microsoft.com/office/drawing/2014/main" id="{00000000-0008-0000-1300-0000770E4300}"/>
              </a:ext>
            </a:extLst>
          </xdr:cNvPr>
          <xdr:cNvSpPr/>
        </xdr:nvSpPr>
        <xdr:spPr>
          <a:xfrm>
            <a:off x="2540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16" name="$AS$116">
            <a:extLst>
              <a:ext uri="{FF2B5EF4-FFF2-40B4-BE49-F238E27FC236}">
                <a16:creationId xmlns:a16="http://schemas.microsoft.com/office/drawing/2014/main" id="{00000000-0008-0000-1300-0000780E4300}"/>
              </a:ext>
            </a:extLst>
          </xdr:cNvPr>
          <xdr:cNvSpPr/>
        </xdr:nvSpPr>
        <xdr:spPr>
          <a:xfrm>
            <a:off x="2667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17" name="$AS$116">
            <a:extLst>
              <a:ext uri="{FF2B5EF4-FFF2-40B4-BE49-F238E27FC236}">
                <a16:creationId xmlns:a16="http://schemas.microsoft.com/office/drawing/2014/main" id="{00000000-0008-0000-1300-0000790E4300}"/>
              </a:ext>
            </a:extLst>
          </xdr:cNvPr>
          <xdr:cNvSpPr/>
        </xdr:nvSpPr>
        <xdr:spPr>
          <a:xfrm>
            <a:off x="2794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18" name="$AS$116">
            <a:extLst>
              <a:ext uri="{FF2B5EF4-FFF2-40B4-BE49-F238E27FC236}">
                <a16:creationId xmlns:a16="http://schemas.microsoft.com/office/drawing/2014/main" id="{00000000-0008-0000-1300-00007A0E4300}"/>
              </a:ext>
            </a:extLst>
          </xdr:cNvPr>
          <xdr:cNvSpPr/>
        </xdr:nvSpPr>
        <xdr:spPr>
          <a:xfrm>
            <a:off x="3048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19" name="$AS$116">
            <a:extLst>
              <a:ext uri="{FF2B5EF4-FFF2-40B4-BE49-F238E27FC236}">
                <a16:creationId xmlns:a16="http://schemas.microsoft.com/office/drawing/2014/main" id="{00000000-0008-0000-1300-00007B0E4300}"/>
              </a:ext>
            </a:extLst>
          </xdr:cNvPr>
          <xdr:cNvSpPr/>
        </xdr:nvSpPr>
        <xdr:spPr>
          <a:xfrm>
            <a:off x="3175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20" name="$AS$116">
            <a:extLst>
              <a:ext uri="{FF2B5EF4-FFF2-40B4-BE49-F238E27FC236}">
                <a16:creationId xmlns:a16="http://schemas.microsoft.com/office/drawing/2014/main" id="{00000000-0008-0000-1300-00007C0E4300}"/>
              </a:ext>
            </a:extLst>
          </xdr:cNvPr>
          <xdr:cNvSpPr/>
        </xdr:nvSpPr>
        <xdr:spPr>
          <a:xfrm>
            <a:off x="3302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21" name="$AS$116">
            <a:extLst>
              <a:ext uri="{FF2B5EF4-FFF2-40B4-BE49-F238E27FC236}">
                <a16:creationId xmlns:a16="http://schemas.microsoft.com/office/drawing/2014/main" id="{00000000-0008-0000-1300-00007D0E4300}"/>
              </a:ext>
            </a:extLst>
          </xdr:cNvPr>
          <xdr:cNvSpPr/>
        </xdr:nvSpPr>
        <xdr:spPr>
          <a:xfrm>
            <a:off x="3429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22" name="$AS$116">
            <a:extLst>
              <a:ext uri="{FF2B5EF4-FFF2-40B4-BE49-F238E27FC236}">
                <a16:creationId xmlns:a16="http://schemas.microsoft.com/office/drawing/2014/main" id="{00000000-0008-0000-1300-00007E0E4300}"/>
              </a:ext>
            </a:extLst>
          </xdr:cNvPr>
          <xdr:cNvSpPr/>
        </xdr:nvSpPr>
        <xdr:spPr>
          <a:xfrm>
            <a:off x="3556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23" name="$AS$116">
            <a:extLst>
              <a:ext uri="{FF2B5EF4-FFF2-40B4-BE49-F238E27FC236}">
                <a16:creationId xmlns:a16="http://schemas.microsoft.com/office/drawing/2014/main" id="{00000000-0008-0000-1300-00007F0E4300}"/>
              </a:ext>
            </a:extLst>
          </xdr:cNvPr>
          <xdr:cNvSpPr/>
        </xdr:nvSpPr>
        <xdr:spPr>
          <a:xfrm>
            <a:off x="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24" name="$AS$116">
            <a:extLst>
              <a:ext uri="{FF2B5EF4-FFF2-40B4-BE49-F238E27FC236}">
                <a16:creationId xmlns:a16="http://schemas.microsoft.com/office/drawing/2014/main" id="{00000000-0008-0000-1300-0000800E4300}"/>
              </a:ext>
            </a:extLst>
          </xdr:cNvPr>
          <xdr:cNvSpPr/>
        </xdr:nvSpPr>
        <xdr:spPr>
          <a:xfrm>
            <a:off x="254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25" name="$AS$116">
            <a:extLst>
              <a:ext uri="{FF2B5EF4-FFF2-40B4-BE49-F238E27FC236}">
                <a16:creationId xmlns:a16="http://schemas.microsoft.com/office/drawing/2014/main" id="{00000000-0008-0000-1300-0000810E4300}"/>
              </a:ext>
            </a:extLst>
          </xdr:cNvPr>
          <xdr:cNvSpPr/>
        </xdr:nvSpPr>
        <xdr:spPr>
          <a:xfrm>
            <a:off x="381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26" name="$AS$116">
            <a:extLst>
              <a:ext uri="{FF2B5EF4-FFF2-40B4-BE49-F238E27FC236}">
                <a16:creationId xmlns:a16="http://schemas.microsoft.com/office/drawing/2014/main" id="{00000000-0008-0000-1300-0000820E4300}"/>
              </a:ext>
            </a:extLst>
          </xdr:cNvPr>
          <xdr:cNvSpPr/>
        </xdr:nvSpPr>
        <xdr:spPr>
          <a:xfrm>
            <a:off x="762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27" name="$AS$116">
            <a:extLst>
              <a:ext uri="{FF2B5EF4-FFF2-40B4-BE49-F238E27FC236}">
                <a16:creationId xmlns:a16="http://schemas.microsoft.com/office/drawing/2014/main" id="{00000000-0008-0000-1300-0000830E4300}"/>
              </a:ext>
            </a:extLst>
          </xdr:cNvPr>
          <xdr:cNvSpPr/>
        </xdr:nvSpPr>
        <xdr:spPr>
          <a:xfrm>
            <a:off x="1143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28" name="$AS$116">
            <a:extLst>
              <a:ext uri="{FF2B5EF4-FFF2-40B4-BE49-F238E27FC236}">
                <a16:creationId xmlns:a16="http://schemas.microsoft.com/office/drawing/2014/main" id="{00000000-0008-0000-1300-0000840E4300}"/>
              </a:ext>
            </a:extLst>
          </xdr:cNvPr>
          <xdr:cNvSpPr/>
        </xdr:nvSpPr>
        <xdr:spPr>
          <a:xfrm>
            <a:off x="1397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29" name="$AS$116">
            <a:extLst>
              <a:ext uri="{FF2B5EF4-FFF2-40B4-BE49-F238E27FC236}">
                <a16:creationId xmlns:a16="http://schemas.microsoft.com/office/drawing/2014/main" id="{00000000-0008-0000-1300-0000850E4300}"/>
              </a:ext>
            </a:extLst>
          </xdr:cNvPr>
          <xdr:cNvSpPr/>
        </xdr:nvSpPr>
        <xdr:spPr>
          <a:xfrm>
            <a:off x="1778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30" name="$AS$116">
            <a:extLst>
              <a:ext uri="{FF2B5EF4-FFF2-40B4-BE49-F238E27FC236}">
                <a16:creationId xmlns:a16="http://schemas.microsoft.com/office/drawing/2014/main" id="{00000000-0008-0000-1300-0000860E4300}"/>
              </a:ext>
            </a:extLst>
          </xdr:cNvPr>
          <xdr:cNvSpPr/>
        </xdr:nvSpPr>
        <xdr:spPr>
          <a:xfrm>
            <a:off x="1905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31" name="$AS$116">
            <a:extLst>
              <a:ext uri="{FF2B5EF4-FFF2-40B4-BE49-F238E27FC236}">
                <a16:creationId xmlns:a16="http://schemas.microsoft.com/office/drawing/2014/main" id="{00000000-0008-0000-1300-0000870E4300}"/>
              </a:ext>
            </a:extLst>
          </xdr:cNvPr>
          <xdr:cNvSpPr/>
        </xdr:nvSpPr>
        <xdr:spPr>
          <a:xfrm>
            <a:off x="2286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32" name="$AS$116">
            <a:extLst>
              <a:ext uri="{FF2B5EF4-FFF2-40B4-BE49-F238E27FC236}">
                <a16:creationId xmlns:a16="http://schemas.microsoft.com/office/drawing/2014/main" id="{00000000-0008-0000-1300-0000880E4300}"/>
              </a:ext>
            </a:extLst>
          </xdr:cNvPr>
          <xdr:cNvSpPr/>
        </xdr:nvSpPr>
        <xdr:spPr>
          <a:xfrm>
            <a:off x="2413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33" name="$AS$116">
            <a:extLst>
              <a:ext uri="{FF2B5EF4-FFF2-40B4-BE49-F238E27FC236}">
                <a16:creationId xmlns:a16="http://schemas.microsoft.com/office/drawing/2014/main" id="{00000000-0008-0000-1300-0000890E4300}"/>
              </a:ext>
            </a:extLst>
          </xdr:cNvPr>
          <xdr:cNvSpPr/>
        </xdr:nvSpPr>
        <xdr:spPr>
          <a:xfrm>
            <a:off x="2794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34" name="$AS$116">
            <a:extLst>
              <a:ext uri="{FF2B5EF4-FFF2-40B4-BE49-F238E27FC236}">
                <a16:creationId xmlns:a16="http://schemas.microsoft.com/office/drawing/2014/main" id="{00000000-0008-0000-1300-00008A0E4300}"/>
              </a:ext>
            </a:extLst>
          </xdr:cNvPr>
          <xdr:cNvSpPr/>
        </xdr:nvSpPr>
        <xdr:spPr>
          <a:xfrm>
            <a:off x="3175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35" name="$AS$116">
            <a:extLst>
              <a:ext uri="{FF2B5EF4-FFF2-40B4-BE49-F238E27FC236}">
                <a16:creationId xmlns:a16="http://schemas.microsoft.com/office/drawing/2014/main" id="{00000000-0008-0000-1300-00008B0E4300}"/>
              </a:ext>
            </a:extLst>
          </xdr:cNvPr>
          <xdr:cNvSpPr/>
        </xdr:nvSpPr>
        <xdr:spPr>
          <a:xfrm>
            <a:off x="3302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36" name="$AS$116">
            <a:extLst>
              <a:ext uri="{FF2B5EF4-FFF2-40B4-BE49-F238E27FC236}">
                <a16:creationId xmlns:a16="http://schemas.microsoft.com/office/drawing/2014/main" id="{00000000-0008-0000-1300-00008C0E4300}"/>
              </a:ext>
            </a:extLst>
          </xdr:cNvPr>
          <xdr:cNvSpPr/>
        </xdr:nvSpPr>
        <xdr:spPr>
          <a:xfrm>
            <a:off x="3556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37" name="$AS$116">
            <a:extLst>
              <a:ext uri="{FF2B5EF4-FFF2-40B4-BE49-F238E27FC236}">
                <a16:creationId xmlns:a16="http://schemas.microsoft.com/office/drawing/2014/main" id="{00000000-0008-0000-1300-00008D0E4300}"/>
              </a:ext>
            </a:extLst>
          </xdr:cNvPr>
          <xdr:cNvSpPr/>
        </xdr:nvSpPr>
        <xdr:spPr>
          <a:xfrm>
            <a:off x="254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38" name="$AS$116">
            <a:extLst>
              <a:ext uri="{FF2B5EF4-FFF2-40B4-BE49-F238E27FC236}">
                <a16:creationId xmlns:a16="http://schemas.microsoft.com/office/drawing/2014/main" id="{00000000-0008-0000-1300-00008E0E4300}"/>
              </a:ext>
            </a:extLst>
          </xdr:cNvPr>
          <xdr:cNvSpPr/>
        </xdr:nvSpPr>
        <xdr:spPr>
          <a:xfrm>
            <a:off x="381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39" name="$AS$116">
            <a:extLst>
              <a:ext uri="{FF2B5EF4-FFF2-40B4-BE49-F238E27FC236}">
                <a16:creationId xmlns:a16="http://schemas.microsoft.com/office/drawing/2014/main" id="{00000000-0008-0000-1300-00008F0E4300}"/>
              </a:ext>
            </a:extLst>
          </xdr:cNvPr>
          <xdr:cNvSpPr/>
        </xdr:nvSpPr>
        <xdr:spPr>
          <a:xfrm>
            <a:off x="889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40" name="$AS$116">
            <a:extLst>
              <a:ext uri="{FF2B5EF4-FFF2-40B4-BE49-F238E27FC236}">
                <a16:creationId xmlns:a16="http://schemas.microsoft.com/office/drawing/2014/main" id="{00000000-0008-0000-1300-0000900E4300}"/>
              </a:ext>
            </a:extLst>
          </xdr:cNvPr>
          <xdr:cNvSpPr/>
        </xdr:nvSpPr>
        <xdr:spPr>
          <a:xfrm>
            <a:off x="1016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41" name="$AS$116">
            <a:extLst>
              <a:ext uri="{FF2B5EF4-FFF2-40B4-BE49-F238E27FC236}">
                <a16:creationId xmlns:a16="http://schemas.microsoft.com/office/drawing/2014/main" id="{00000000-0008-0000-1300-0000910E4300}"/>
              </a:ext>
            </a:extLst>
          </xdr:cNvPr>
          <xdr:cNvSpPr/>
        </xdr:nvSpPr>
        <xdr:spPr>
          <a:xfrm>
            <a:off x="1397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42" name="$AS$116">
            <a:extLst>
              <a:ext uri="{FF2B5EF4-FFF2-40B4-BE49-F238E27FC236}">
                <a16:creationId xmlns:a16="http://schemas.microsoft.com/office/drawing/2014/main" id="{00000000-0008-0000-1300-0000920E4300}"/>
              </a:ext>
            </a:extLst>
          </xdr:cNvPr>
          <xdr:cNvSpPr/>
        </xdr:nvSpPr>
        <xdr:spPr>
          <a:xfrm>
            <a:off x="1778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43" name="$AS$116">
            <a:extLst>
              <a:ext uri="{FF2B5EF4-FFF2-40B4-BE49-F238E27FC236}">
                <a16:creationId xmlns:a16="http://schemas.microsoft.com/office/drawing/2014/main" id="{00000000-0008-0000-1300-0000930E4300}"/>
              </a:ext>
            </a:extLst>
          </xdr:cNvPr>
          <xdr:cNvSpPr/>
        </xdr:nvSpPr>
        <xdr:spPr>
          <a:xfrm>
            <a:off x="1905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44" name="$AS$116">
            <a:extLst>
              <a:ext uri="{FF2B5EF4-FFF2-40B4-BE49-F238E27FC236}">
                <a16:creationId xmlns:a16="http://schemas.microsoft.com/office/drawing/2014/main" id="{00000000-0008-0000-1300-0000940E4300}"/>
              </a:ext>
            </a:extLst>
          </xdr:cNvPr>
          <xdr:cNvSpPr/>
        </xdr:nvSpPr>
        <xdr:spPr>
          <a:xfrm>
            <a:off x="2032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45" name="$AS$116">
            <a:extLst>
              <a:ext uri="{FF2B5EF4-FFF2-40B4-BE49-F238E27FC236}">
                <a16:creationId xmlns:a16="http://schemas.microsoft.com/office/drawing/2014/main" id="{00000000-0008-0000-1300-0000950E4300}"/>
              </a:ext>
            </a:extLst>
          </xdr:cNvPr>
          <xdr:cNvSpPr/>
        </xdr:nvSpPr>
        <xdr:spPr>
          <a:xfrm>
            <a:off x="2286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46" name="$AS$116">
            <a:extLst>
              <a:ext uri="{FF2B5EF4-FFF2-40B4-BE49-F238E27FC236}">
                <a16:creationId xmlns:a16="http://schemas.microsoft.com/office/drawing/2014/main" id="{00000000-0008-0000-1300-0000960E4300}"/>
              </a:ext>
            </a:extLst>
          </xdr:cNvPr>
          <xdr:cNvSpPr/>
        </xdr:nvSpPr>
        <xdr:spPr>
          <a:xfrm>
            <a:off x="2794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47" name="$AS$116">
            <a:extLst>
              <a:ext uri="{FF2B5EF4-FFF2-40B4-BE49-F238E27FC236}">
                <a16:creationId xmlns:a16="http://schemas.microsoft.com/office/drawing/2014/main" id="{00000000-0008-0000-1300-0000970E4300}"/>
              </a:ext>
            </a:extLst>
          </xdr:cNvPr>
          <xdr:cNvSpPr/>
        </xdr:nvSpPr>
        <xdr:spPr>
          <a:xfrm>
            <a:off x="3048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48" name="$AS$116">
            <a:extLst>
              <a:ext uri="{FF2B5EF4-FFF2-40B4-BE49-F238E27FC236}">
                <a16:creationId xmlns:a16="http://schemas.microsoft.com/office/drawing/2014/main" id="{00000000-0008-0000-1300-0000980E4300}"/>
              </a:ext>
            </a:extLst>
          </xdr:cNvPr>
          <xdr:cNvSpPr/>
        </xdr:nvSpPr>
        <xdr:spPr>
          <a:xfrm>
            <a:off x="3302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49" name="$AS$116">
            <a:extLst>
              <a:ext uri="{FF2B5EF4-FFF2-40B4-BE49-F238E27FC236}">
                <a16:creationId xmlns:a16="http://schemas.microsoft.com/office/drawing/2014/main" id="{00000000-0008-0000-1300-0000990E4300}"/>
              </a:ext>
            </a:extLst>
          </xdr:cNvPr>
          <xdr:cNvSpPr/>
        </xdr:nvSpPr>
        <xdr:spPr>
          <a:xfrm>
            <a:off x="3429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50" name="$AS$116">
            <a:extLst>
              <a:ext uri="{FF2B5EF4-FFF2-40B4-BE49-F238E27FC236}">
                <a16:creationId xmlns:a16="http://schemas.microsoft.com/office/drawing/2014/main" id="{00000000-0008-0000-1300-00009A0E4300}"/>
              </a:ext>
            </a:extLst>
          </xdr:cNvPr>
          <xdr:cNvSpPr/>
        </xdr:nvSpPr>
        <xdr:spPr>
          <a:xfrm>
            <a:off x="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51" name="$AS$116">
            <a:extLst>
              <a:ext uri="{FF2B5EF4-FFF2-40B4-BE49-F238E27FC236}">
                <a16:creationId xmlns:a16="http://schemas.microsoft.com/office/drawing/2014/main" id="{00000000-0008-0000-1300-00009B0E4300}"/>
              </a:ext>
            </a:extLst>
          </xdr:cNvPr>
          <xdr:cNvSpPr/>
        </xdr:nvSpPr>
        <xdr:spPr>
          <a:xfrm>
            <a:off x="381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52" name="$AS$116">
            <a:extLst>
              <a:ext uri="{FF2B5EF4-FFF2-40B4-BE49-F238E27FC236}">
                <a16:creationId xmlns:a16="http://schemas.microsoft.com/office/drawing/2014/main" id="{00000000-0008-0000-1300-00009C0E4300}"/>
              </a:ext>
            </a:extLst>
          </xdr:cNvPr>
          <xdr:cNvSpPr/>
        </xdr:nvSpPr>
        <xdr:spPr>
          <a:xfrm>
            <a:off x="508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53" name="$AS$116">
            <a:extLst>
              <a:ext uri="{FF2B5EF4-FFF2-40B4-BE49-F238E27FC236}">
                <a16:creationId xmlns:a16="http://schemas.microsoft.com/office/drawing/2014/main" id="{00000000-0008-0000-1300-00009D0E4300}"/>
              </a:ext>
            </a:extLst>
          </xdr:cNvPr>
          <xdr:cNvSpPr/>
        </xdr:nvSpPr>
        <xdr:spPr>
          <a:xfrm>
            <a:off x="762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54" name="$AS$116">
            <a:extLst>
              <a:ext uri="{FF2B5EF4-FFF2-40B4-BE49-F238E27FC236}">
                <a16:creationId xmlns:a16="http://schemas.microsoft.com/office/drawing/2014/main" id="{00000000-0008-0000-1300-00009E0E4300}"/>
              </a:ext>
            </a:extLst>
          </xdr:cNvPr>
          <xdr:cNvSpPr/>
        </xdr:nvSpPr>
        <xdr:spPr>
          <a:xfrm>
            <a:off x="2159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55" name="$AS$116">
            <a:extLst>
              <a:ext uri="{FF2B5EF4-FFF2-40B4-BE49-F238E27FC236}">
                <a16:creationId xmlns:a16="http://schemas.microsoft.com/office/drawing/2014/main" id="{00000000-0008-0000-1300-00009F0E4300}"/>
              </a:ext>
            </a:extLst>
          </xdr:cNvPr>
          <xdr:cNvSpPr/>
        </xdr:nvSpPr>
        <xdr:spPr>
          <a:xfrm>
            <a:off x="2286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56" name="$AS$116">
            <a:extLst>
              <a:ext uri="{FF2B5EF4-FFF2-40B4-BE49-F238E27FC236}">
                <a16:creationId xmlns:a16="http://schemas.microsoft.com/office/drawing/2014/main" id="{00000000-0008-0000-1300-0000A00E4300}"/>
              </a:ext>
            </a:extLst>
          </xdr:cNvPr>
          <xdr:cNvSpPr/>
        </xdr:nvSpPr>
        <xdr:spPr>
          <a:xfrm>
            <a:off x="2540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57" name="$AS$116">
            <a:extLst>
              <a:ext uri="{FF2B5EF4-FFF2-40B4-BE49-F238E27FC236}">
                <a16:creationId xmlns:a16="http://schemas.microsoft.com/office/drawing/2014/main" id="{00000000-0008-0000-1300-0000A10E4300}"/>
              </a:ext>
            </a:extLst>
          </xdr:cNvPr>
          <xdr:cNvSpPr/>
        </xdr:nvSpPr>
        <xdr:spPr>
          <a:xfrm>
            <a:off x="2667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58" name="$AS$116">
            <a:extLst>
              <a:ext uri="{FF2B5EF4-FFF2-40B4-BE49-F238E27FC236}">
                <a16:creationId xmlns:a16="http://schemas.microsoft.com/office/drawing/2014/main" id="{00000000-0008-0000-1300-0000A20E4300}"/>
              </a:ext>
            </a:extLst>
          </xdr:cNvPr>
          <xdr:cNvSpPr/>
        </xdr:nvSpPr>
        <xdr:spPr>
          <a:xfrm>
            <a:off x="2794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59" name="$AS$116">
            <a:extLst>
              <a:ext uri="{FF2B5EF4-FFF2-40B4-BE49-F238E27FC236}">
                <a16:creationId xmlns:a16="http://schemas.microsoft.com/office/drawing/2014/main" id="{00000000-0008-0000-1300-0000A30E4300}"/>
              </a:ext>
            </a:extLst>
          </xdr:cNvPr>
          <xdr:cNvSpPr/>
        </xdr:nvSpPr>
        <xdr:spPr>
          <a:xfrm>
            <a:off x="2921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60" name="$AS$116">
            <a:extLst>
              <a:ext uri="{FF2B5EF4-FFF2-40B4-BE49-F238E27FC236}">
                <a16:creationId xmlns:a16="http://schemas.microsoft.com/office/drawing/2014/main" id="{00000000-0008-0000-1300-0000A40E4300}"/>
              </a:ext>
            </a:extLst>
          </xdr:cNvPr>
          <xdr:cNvSpPr/>
        </xdr:nvSpPr>
        <xdr:spPr>
          <a:xfrm>
            <a:off x="3048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61" name="$AS$116">
            <a:extLst>
              <a:ext uri="{FF2B5EF4-FFF2-40B4-BE49-F238E27FC236}">
                <a16:creationId xmlns:a16="http://schemas.microsoft.com/office/drawing/2014/main" id="{00000000-0008-0000-1300-0000A50E4300}"/>
              </a:ext>
            </a:extLst>
          </xdr:cNvPr>
          <xdr:cNvSpPr/>
        </xdr:nvSpPr>
        <xdr:spPr>
          <a:xfrm>
            <a:off x="3175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62" name="$AS$116">
            <a:extLst>
              <a:ext uri="{FF2B5EF4-FFF2-40B4-BE49-F238E27FC236}">
                <a16:creationId xmlns:a16="http://schemas.microsoft.com/office/drawing/2014/main" id="{00000000-0008-0000-1300-0000A60E4300}"/>
              </a:ext>
            </a:extLst>
          </xdr:cNvPr>
          <xdr:cNvSpPr/>
        </xdr:nvSpPr>
        <xdr:spPr>
          <a:xfrm>
            <a:off x="1016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63" name="$AS$116">
            <a:extLst>
              <a:ext uri="{FF2B5EF4-FFF2-40B4-BE49-F238E27FC236}">
                <a16:creationId xmlns:a16="http://schemas.microsoft.com/office/drawing/2014/main" id="{00000000-0008-0000-1300-0000A70E4300}"/>
              </a:ext>
            </a:extLst>
          </xdr:cNvPr>
          <xdr:cNvSpPr/>
        </xdr:nvSpPr>
        <xdr:spPr>
          <a:xfrm>
            <a:off x="1143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64" name="$AS$116">
            <a:extLst>
              <a:ext uri="{FF2B5EF4-FFF2-40B4-BE49-F238E27FC236}">
                <a16:creationId xmlns:a16="http://schemas.microsoft.com/office/drawing/2014/main" id="{00000000-0008-0000-1300-0000A80E4300}"/>
              </a:ext>
            </a:extLst>
          </xdr:cNvPr>
          <xdr:cNvSpPr/>
        </xdr:nvSpPr>
        <xdr:spPr>
          <a:xfrm>
            <a:off x="1778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65" name="$AS$116">
            <a:extLst>
              <a:ext uri="{FF2B5EF4-FFF2-40B4-BE49-F238E27FC236}">
                <a16:creationId xmlns:a16="http://schemas.microsoft.com/office/drawing/2014/main" id="{00000000-0008-0000-1300-0000A90E4300}"/>
              </a:ext>
            </a:extLst>
          </xdr:cNvPr>
          <xdr:cNvSpPr/>
        </xdr:nvSpPr>
        <xdr:spPr>
          <a:xfrm>
            <a:off x="1905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66" name="$AS$116">
            <a:extLst>
              <a:ext uri="{FF2B5EF4-FFF2-40B4-BE49-F238E27FC236}">
                <a16:creationId xmlns:a16="http://schemas.microsoft.com/office/drawing/2014/main" id="{00000000-0008-0000-1300-0000AA0E4300}"/>
              </a:ext>
            </a:extLst>
          </xdr:cNvPr>
          <xdr:cNvSpPr/>
        </xdr:nvSpPr>
        <xdr:spPr>
          <a:xfrm>
            <a:off x="2286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67" name="$AS$116">
            <a:extLst>
              <a:ext uri="{FF2B5EF4-FFF2-40B4-BE49-F238E27FC236}">
                <a16:creationId xmlns:a16="http://schemas.microsoft.com/office/drawing/2014/main" id="{00000000-0008-0000-1300-0000AB0E4300}"/>
              </a:ext>
            </a:extLst>
          </xdr:cNvPr>
          <xdr:cNvSpPr/>
        </xdr:nvSpPr>
        <xdr:spPr>
          <a:xfrm>
            <a:off x="2413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68" name="$AS$116">
            <a:extLst>
              <a:ext uri="{FF2B5EF4-FFF2-40B4-BE49-F238E27FC236}">
                <a16:creationId xmlns:a16="http://schemas.microsoft.com/office/drawing/2014/main" id="{00000000-0008-0000-1300-0000AC0E4300}"/>
              </a:ext>
            </a:extLst>
          </xdr:cNvPr>
          <xdr:cNvSpPr/>
        </xdr:nvSpPr>
        <xdr:spPr>
          <a:xfrm>
            <a:off x="2540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69" name="$AS$116">
            <a:extLst>
              <a:ext uri="{FF2B5EF4-FFF2-40B4-BE49-F238E27FC236}">
                <a16:creationId xmlns:a16="http://schemas.microsoft.com/office/drawing/2014/main" id="{00000000-0008-0000-1300-0000AD0E4300}"/>
              </a:ext>
            </a:extLst>
          </xdr:cNvPr>
          <xdr:cNvSpPr/>
        </xdr:nvSpPr>
        <xdr:spPr>
          <a:xfrm>
            <a:off x="3048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70" name="$AS$116">
            <a:extLst>
              <a:ext uri="{FF2B5EF4-FFF2-40B4-BE49-F238E27FC236}">
                <a16:creationId xmlns:a16="http://schemas.microsoft.com/office/drawing/2014/main" id="{00000000-0008-0000-1300-0000AE0E4300}"/>
              </a:ext>
            </a:extLst>
          </xdr:cNvPr>
          <xdr:cNvSpPr/>
        </xdr:nvSpPr>
        <xdr:spPr>
          <a:xfrm>
            <a:off x="3302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71" name="$AS$116">
            <a:extLst>
              <a:ext uri="{FF2B5EF4-FFF2-40B4-BE49-F238E27FC236}">
                <a16:creationId xmlns:a16="http://schemas.microsoft.com/office/drawing/2014/main" id="{00000000-0008-0000-1300-0000AF0E4300}"/>
              </a:ext>
            </a:extLst>
          </xdr:cNvPr>
          <xdr:cNvSpPr/>
        </xdr:nvSpPr>
        <xdr:spPr>
          <a:xfrm>
            <a:off x="3556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72" name="$AS$116">
            <a:extLst>
              <a:ext uri="{FF2B5EF4-FFF2-40B4-BE49-F238E27FC236}">
                <a16:creationId xmlns:a16="http://schemas.microsoft.com/office/drawing/2014/main" id="{00000000-0008-0000-1300-0000B00E4300}"/>
              </a:ext>
            </a:extLst>
          </xdr:cNvPr>
          <xdr:cNvSpPr/>
        </xdr:nvSpPr>
        <xdr:spPr>
          <a:xfrm>
            <a:off x="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73" name="$AS$116">
            <a:extLst>
              <a:ext uri="{FF2B5EF4-FFF2-40B4-BE49-F238E27FC236}">
                <a16:creationId xmlns:a16="http://schemas.microsoft.com/office/drawing/2014/main" id="{00000000-0008-0000-1300-0000B10E4300}"/>
              </a:ext>
            </a:extLst>
          </xdr:cNvPr>
          <xdr:cNvSpPr/>
        </xdr:nvSpPr>
        <xdr:spPr>
          <a:xfrm>
            <a:off x="127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74" name="$AS$116">
            <a:extLst>
              <a:ext uri="{FF2B5EF4-FFF2-40B4-BE49-F238E27FC236}">
                <a16:creationId xmlns:a16="http://schemas.microsoft.com/office/drawing/2014/main" id="{00000000-0008-0000-1300-0000B20E4300}"/>
              </a:ext>
            </a:extLst>
          </xdr:cNvPr>
          <xdr:cNvSpPr/>
        </xdr:nvSpPr>
        <xdr:spPr>
          <a:xfrm>
            <a:off x="254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75" name="$AS$116">
            <a:extLst>
              <a:ext uri="{FF2B5EF4-FFF2-40B4-BE49-F238E27FC236}">
                <a16:creationId xmlns:a16="http://schemas.microsoft.com/office/drawing/2014/main" id="{00000000-0008-0000-1300-0000B30E4300}"/>
              </a:ext>
            </a:extLst>
          </xdr:cNvPr>
          <xdr:cNvSpPr/>
        </xdr:nvSpPr>
        <xdr:spPr>
          <a:xfrm>
            <a:off x="381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76" name="$AS$116">
            <a:extLst>
              <a:ext uri="{FF2B5EF4-FFF2-40B4-BE49-F238E27FC236}">
                <a16:creationId xmlns:a16="http://schemas.microsoft.com/office/drawing/2014/main" id="{00000000-0008-0000-1300-0000B40E4300}"/>
              </a:ext>
            </a:extLst>
          </xdr:cNvPr>
          <xdr:cNvSpPr/>
        </xdr:nvSpPr>
        <xdr:spPr>
          <a:xfrm>
            <a:off x="508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77" name="$AS$116">
            <a:extLst>
              <a:ext uri="{FF2B5EF4-FFF2-40B4-BE49-F238E27FC236}">
                <a16:creationId xmlns:a16="http://schemas.microsoft.com/office/drawing/2014/main" id="{00000000-0008-0000-1300-0000B50E4300}"/>
              </a:ext>
            </a:extLst>
          </xdr:cNvPr>
          <xdr:cNvSpPr/>
        </xdr:nvSpPr>
        <xdr:spPr>
          <a:xfrm>
            <a:off x="635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78" name="$AS$116">
            <a:extLst>
              <a:ext uri="{FF2B5EF4-FFF2-40B4-BE49-F238E27FC236}">
                <a16:creationId xmlns:a16="http://schemas.microsoft.com/office/drawing/2014/main" id="{00000000-0008-0000-1300-0000B60E4300}"/>
              </a:ext>
            </a:extLst>
          </xdr:cNvPr>
          <xdr:cNvSpPr/>
        </xdr:nvSpPr>
        <xdr:spPr>
          <a:xfrm>
            <a:off x="762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79" name="$AS$116">
            <a:extLst>
              <a:ext uri="{FF2B5EF4-FFF2-40B4-BE49-F238E27FC236}">
                <a16:creationId xmlns:a16="http://schemas.microsoft.com/office/drawing/2014/main" id="{00000000-0008-0000-1300-0000B70E4300}"/>
              </a:ext>
            </a:extLst>
          </xdr:cNvPr>
          <xdr:cNvSpPr/>
        </xdr:nvSpPr>
        <xdr:spPr>
          <a:xfrm>
            <a:off x="1270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80" name="$AS$116">
            <a:extLst>
              <a:ext uri="{FF2B5EF4-FFF2-40B4-BE49-F238E27FC236}">
                <a16:creationId xmlns:a16="http://schemas.microsoft.com/office/drawing/2014/main" id="{00000000-0008-0000-1300-0000B80E4300}"/>
              </a:ext>
            </a:extLst>
          </xdr:cNvPr>
          <xdr:cNvSpPr/>
        </xdr:nvSpPr>
        <xdr:spPr>
          <a:xfrm>
            <a:off x="1524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81" name="$AS$116">
            <a:extLst>
              <a:ext uri="{FF2B5EF4-FFF2-40B4-BE49-F238E27FC236}">
                <a16:creationId xmlns:a16="http://schemas.microsoft.com/office/drawing/2014/main" id="{00000000-0008-0000-1300-0000B90E4300}"/>
              </a:ext>
            </a:extLst>
          </xdr:cNvPr>
          <xdr:cNvSpPr/>
        </xdr:nvSpPr>
        <xdr:spPr>
          <a:xfrm>
            <a:off x="1905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82" name="$AS$116">
            <a:extLst>
              <a:ext uri="{FF2B5EF4-FFF2-40B4-BE49-F238E27FC236}">
                <a16:creationId xmlns:a16="http://schemas.microsoft.com/office/drawing/2014/main" id="{00000000-0008-0000-1300-0000BA0E4300}"/>
              </a:ext>
            </a:extLst>
          </xdr:cNvPr>
          <xdr:cNvSpPr/>
        </xdr:nvSpPr>
        <xdr:spPr>
          <a:xfrm>
            <a:off x="2159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83" name="$AS$116">
            <a:extLst>
              <a:ext uri="{FF2B5EF4-FFF2-40B4-BE49-F238E27FC236}">
                <a16:creationId xmlns:a16="http://schemas.microsoft.com/office/drawing/2014/main" id="{00000000-0008-0000-1300-0000BB0E4300}"/>
              </a:ext>
            </a:extLst>
          </xdr:cNvPr>
          <xdr:cNvSpPr/>
        </xdr:nvSpPr>
        <xdr:spPr>
          <a:xfrm>
            <a:off x="2540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84" name="$AS$116">
            <a:extLst>
              <a:ext uri="{FF2B5EF4-FFF2-40B4-BE49-F238E27FC236}">
                <a16:creationId xmlns:a16="http://schemas.microsoft.com/office/drawing/2014/main" id="{00000000-0008-0000-1300-0000BC0E4300}"/>
              </a:ext>
            </a:extLst>
          </xdr:cNvPr>
          <xdr:cNvSpPr/>
        </xdr:nvSpPr>
        <xdr:spPr>
          <a:xfrm>
            <a:off x="2794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85" name="$AS$116">
            <a:extLst>
              <a:ext uri="{FF2B5EF4-FFF2-40B4-BE49-F238E27FC236}">
                <a16:creationId xmlns:a16="http://schemas.microsoft.com/office/drawing/2014/main" id="{00000000-0008-0000-1300-0000BD0E4300}"/>
              </a:ext>
            </a:extLst>
          </xdr:cNvPr>
          <xdr:cNvSpPr/>
        </xdr:nvSpPr>
        <xdr:spPr>
          <a:xfrm>
            <a:off x="3048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86" name="$AS$116">
            <a:extLst>
              <a:ext uri="{FF2B5EF4-FFF2-40B4-BE49-F238E27FC236}">
                <a16:creationId xmlns:a16="http://schemas.microsoft.com/office/drawing/2014/main" id="{00000000-0008-0000-1300-0000BE0E4300}"/>
              </a:ext>
            </a:extLst>
          </xdr:cNvPr>
          <xdr:cNvSpPr/>
        </xdr:nvSpPr>
        <xdr:spPr>
          <a:xfrm>
            <a:off x="3175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87" name="$AS$116">
            <a:extLst>
              <a:ext uri="{FF2B5EF4-FFF2-40B4-BE49-F238E27FC236}">
                <a16:creationId xmlns:a16="http://schemas.microsoft.com/office/drawing/2014/main" id="{00000000-0008-0000-1300-0000BF0E4300}"/>
              </a:ext>
            </a:extLst>
          </xdr:cNvPr>
          <xdr:cNvSpPr/>
        </xdr:nvSpPr>
        <xdr:spPr>
          <a:xfrm>
            <a:off x="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88" name="$AS$116">
            <a:extLst>
              <a:ext uri="{FF2B5EF4-FFF2-40B4-BE49-F238E27FC236}">
                <a16:creationId xmlns:a16="http://schemas.microsoft.com/office/drawing/2014/main" id="{00000000-0008-0000-1300-0000C00E4300}"/>
              </a:ext>
            </a:extLst>
          </xdr:cNvPr>
          <xdr:cNvSpPr/>
        </xdr:nvSpPr>
        <xdr:spPr>
          <a:xfrm>
            <a:off x="762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89" name="$AS$116">
            <a:extLst>
              <a:ext uri="{FF2B5EF4-FFF2-40B4-BE49-F238E27FC236}">
                <a16:creationId xmlns:a16="http://schemas.microsoft.com/office/drawing/2014/main" id="{00000000-0008-0000-1300-0000C10E4300}"/>
              </a:ext>
            </a:extLst>
          </xdr:cNvPr>
          <xdr:cNvSpPr/>
        </xdr:nvSpPr>
        <xdr:spPr>
          <a:xfrm>
            <a:off x="1016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90" name="$AS$116">
            <a:extLst>
              <a:ext uri="{FF2B5EF4-FFF2-40B4-BE49-F238E27FC236}">
                <a16:creationId xmlns:a16="http://schemas.microsoft.com/office/drawing/2014/main" id="{00000000-0008-0000-1300-0000C20E4300}"/>
              </a:ext>
            </a:extLst>
          </xdr:cNvPr>
          <xdr:cNvSpPr/>
        </xdr:nvSpPr>
        <xdr:spPr>
          <a:xfrm>
            <a:off x="1524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91" name="$AS$116">
            <a:extLst>
              <a:ext uri="{FF2B5EF4-FFF2-40B4-BE49-F238E27FC236}">
                <a16:creationId xmlns:a16="http://schemas.microsoft.com/office/drawing/2014/main" id="{00000000-0008-0000-1300-0000C30E4300}"/>
              </a:ext>
            </a:extLst>
          </xdr:cNvPr>
          <xdr:cNvSpPr/>
        </xdr:nvSpPr>
        <xdr:spPr>
          <a:xfrm>
            <a:off x="1778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92" name="$AS$116">
            <a:extLst>
              <a:ext uri="{FF2B5EF4-FFF2-40B4-BE49-F238E27FC236}">
                <a16:creationId xmlns:a16="http://schemas.microsoft.com/office/drawing/2014/main" id="{00000000-0008-0000-1300-0000C40E4300}"/>
              </a:ext>
            </a:extLst>
          </xdr:cNvPr>
          <xdr:cNvSpPr/>
        </xdr:nvSpPr>
        <xdr:spPr>
          <a:xfrm>
            <a:off x="2032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93" name="$AS$116">
            <a:extLst>
              <a:ext uri="{FF2B5EF4-FFF2-40B4-BE49-F238E27FC236}">
                <a16:creationId xmlns:a16="http://schemas.microsoft.com/office/drawing/2014/main" id="{00000000-0008-0000-1300-0000C50E4300}"/>
              </a:ext>
            </a:extLst>
          </xdr:cNvPr>
          <xdr:cNvSpPr/>
        </xdr:nvSpPr>
        <xdr:spPr>
          <a:xfrm>
            <a:off x="2159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94" name="$AS$116">
            <a:extLst>
              <a:ext uri="{FF2B5EF4-FFF2-40B4-BE49-F238E27FC236}">
                <a16:creationId xmlns:a16="http://schemas.microsoft.com/office/drawing/2014/main" id="{00000000-0008-0000-1300-0000C60E4300}"/>
              </a:ext>
            </a:extLst>
          </xdr:cNvPr>
          <xdr:cNvSpPr/>
        </xdr:nvSpPr>
        <xdr:spPr>
          <a:xfrm>
            <a:off x="2540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95" name="$AS$116">
            <a:extLst>
              <a:ext uri="{FF2B5EF4-FFF2-40B4-BE49-F238E27FC236}">
                <a16:creationId xmlns:a16="http://schemas.microsoft.com/office/drawing/2014/main" id="{00000000-0008-0000-1300-0000C70E4300}"/>
              </a:ext>
            </a:extLst>
          </xdr:cNvPr>
          <xdr:cNvSpPr/>
        </xdr:nvSpPr>
        <xdr:spPr>
          <a:xfrm>
            <a:off x="3048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96" name="$AS$116">
            <a:extLst>
              <a:ext uri="{FF2B5EF4-FFF2-40B4-BE49-F238E27FC236}">
                <a16:creationId xmlns:a16="http://schemas.microsoft.com/office/drawing/2014/main" id="{00000000-0008-0000-1300-0000C80E4300}"/>
              </a:ext>
            </a:extLst>
          </xdr:cNvPr>
          <xdr:cNvSpPr/>
        </xdr:nvSpPr>
        <xdr:spPr>
          <a:xfrm>
            <a:off x="3175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97" name="$AS$116">
            <a:extLst>
              <a:ext uri="{FF2B5EF4-FFF2-40B4-BE49-F238E27FC236}">
                <a16:creationId xmlns:a16="http://schemas.microsoft.com/office/drawing/2014/main" id="{00000000-0008-0000-1300-0000C90E4300}"/>
              </a:ext>
            </a:extLst>
          </xdr:cNvPr>
          <xdr:cNvSpPr/>
        </xdr:nvSpPr>
        <xdr:spPr>
          <a:xfrm>
            <a:off x="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98" name="$AS$116">
            <a:extLst>
              <a:ext uri="{FF2B5EF4-FFF2-40B4-BE49-F238E27FC236}">
                <a16:creationId xmlns:a16="http://schemas.microsoft.com/office/drawing/2014/main" id="{00000000-0008-0000-1300-0000CA0E4300}"/>
              </a:ext>
            </a:extLst>
          </xdr:cNvPr>
          <xdr:cNvSpPr/>
        </xdr:nvSpPr>
        <xdr:spPr>
          <a:xfrm>
            <a:off x="254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99" name="$AS$116">
            <a:extLst>
              <a:ext uri="{FF2B5EF4-FFF2-40B4-BE49-F238E27FC236}">
                <a16:creationId xmlns:a16="http://schemas.microsoft.com/office/drawing/2014/main" id="{00000000-0008-0000-1300-0000CB0E4300}"/>
              </a:ext>
            </a:extLst>
          </xdr:cNvPr>
          <xdr:cNvSpPr/>
        </xdr:nvSpPr>
        <xdr:spPr>
          <a:xfrm>
            <a:off x="381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00" name="$AS$116">
            <a:extLst>
              <a:ext uri="{FF2B5EF4-FFF2-40B4-BE49-F238E27FC236}">
                <a16:creationId xmlns:a16="http://schemas.microsoft.com/office/drawing/2014/main" id="{00000000-0008-0000-1300-0000CC0E4300}"/>
              </a:ext>
            </a:extLst>
          </xdr:cNvPr>
          <xdr:cNvSpPr/>
        </xdr:nvSpPr>
        <xdr:spPr>
          <a:xfrm>
            <a:off x="508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01" name="$AS$116">
            <a:extLst>
              <a:ext uri="{FF2B5EF4-FFF2-40B4-BE49-F238E27FC236}">
                <a16:creationId xmlns:a16="http://schemas.microsoft.com/office/drawing/2014/main" id="{00000000-0008-0000-1300-0000CD0E4300}"/>
              </a:ext>
            </a:extLst>
          </xdr:cNvPr>
          <xdr:cNvSpPr/>
        </xdr:nvSpPr>
        <xdr:spPr>
          <a:xfrm>
            <a:off x="762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02" name="$AS$116">
            <a:extLst>
              <a:ext uri="{FF2B5EF4-FFF2-40B4-BE49-F238E27FC236}">
                <a16:creationId xmlns:a16="http://schemas.microsoft.com/office/drawing/2014/main" id="{00000000-0008-0000-1300-0000CE0E4300}"/>
              </a:ext>
            </a:extLst>
          </xdr:cNvPr>
          <xdr:cNvSpPr/>
        </xdr:nvSpPr>
        <xdr:spPr>
          <a:xfrm>
            <a:off x="1143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03" name="$AS$116">
            <a:extLst>
              <a:ext uri="{FF2B5EF4-FFF2-40B4-BE49-F238E27FC236}">
                <a16:creationId xmlns:a16="http://schemas.microsoft.com/office/drawing/2014/main" id="{00000000-0008-0000-1300-0000CF0E4300}"/>
              </a:ext>
            </a:extLst>
          </xdr:cNvPr>
          <xdr:cNvSpPr/>
        </xdr:nvSpPr>
        <xdr:spPr>
          <a:xfrm>
            <a:off x="1270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04" name="$AS$116">
            <a:extLst>
              <a:ext uri="{FF2B5EF4-FFF2-40B4-BE49-F238E27FC236}">
                <a16:creationId xmlns:a16="http://schemas.microsoft.com/office/drawing/2014/main" id="{00000000-0008-0000-1300-0000D00E4300}"/>
              </a:ext>
            </a:extLst>
          </xdr:cNvPr>
          <xdr:cNvSpPr/>
        </xdr:nvSpPr>
        <xdr:spPr>
          <a:xfrm>
            <a:off x="1397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05" name="$AS$116">
            <a:extLst>
              <a:ext uri="{FF2B5EF4-FFF2-40B4-BE49-F238E27FC236}">
                <a16:creationId xmlns:a16="http://schemas.microsoft.com/office/drawing/2014/main" id="{00000000-0008-0000-1300-0000D10E4300}"/>
              </a:ext>
            </a:extLst>
          </xdr:cNvPr>
          <xdr:cNvSpPr/>
        </xdr:nvSpPr>
        <xdr:spPr>
          <a:xfrm>
            <a:off x="1905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06" name="$AS$116">
            <a:extLst>
              <a:ext uri="{FF2B5EF4-FFF2-40B4-BE49-F238E27FC236}">
                <a16:creationId xmlns:a16="http://schemas.microsoft.com/office/drawing/2014/main" id="{00000000-0008-0000-1300-0000D20E4300}"/>
              </a:ext>
            </a:extLst>
          </xdr:cNvPr>
          <xdr:cNvSpPr/>
        </xdr:nvSpPr>
        <xdr:spPr>
          <a:xfrm>
            <a:off x="2159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07" name="$AS$116">
            <a:extLst>
              <a:ext uri="{FF2B5EF4-FFF2-40B4-BE49-F238E27FC236}">
                <a16:creationId xmlns:a16="http://schemas.microsoft.com/office/drawing/2014/main" id="{00000000-0008-0000-1300-0000D30E4300}"/>
              </a:ext>
            </a:extLst>
          </xdr:cNvPr>
          <xdr:cNvSpPr/>
        </xdr:nvSpPr>
        <xdr:spPr>
          <a:xfrm>
            <a:off x="2286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08" name="$AS$116">
            <a:extLst>
              <a:ext uri="{FF2B5EF4-FFF2-40B4-BE49-F238E27FC236}">
                <a16:creationId xmlns:a16="http://schemas.microsoft.com/office/drawing/2014/main" id="{00000000-0008-0000-1300-0000D40E4300}"/>
              </a:ext>
            </a:extLst>
          </xdr:cNvPr>
          <xdr:cNvSpPr/>
        </xdr:nvSpPr>
        <xdr:spPr>
          <a:xfrm>
            <a:off x="2413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09" name="$AS$116">
            <a:extLst>
              <a:ext uri="{FF2B5EF4-FFF2-40B4-BE49-F238E27FC236}">
                <a16:creationId xmlns:a16="http://schemas.microsoft.com/office/drawing/2014/main" id="{00000000-0008-0000-1300-0000D50E4300}"/>
              </a:ext>
            </a:extLst>
          </xdr:cNvPr>
          <xdr:cNvSpPr/>
        </xdr:nvSpPr>
        <xdr:spPr>
          <a:xfrm>
            <a:off x="2540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10" name="$AS$116">
            <a:extLst>
              <a:ext uri="{FF2B5EF4-FFF2-40B4-BE49-F238E27FC236}">
                <a16:creationId xmlns:a16="http://schemas.microsoft.com/office/drawing/2014/main" id="{00000000-0008-0000-1300-0000D60E4300}"/>
              </a:ext>
            </a:extLst>
          </xdr:cNvPr>
          <xdr:cNvSpPr/>
        </xdr:nvSpPr>
        <xdr:spPr>
          <a:xfrm>
            <a:off x="2667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11" name="$AS$116">
            <a:extLst>
              <a:ext uri="{FF2B5EF4-FFF2-40B4-BE49-F238E27FC236}">
                <a16:creationId xmlns:a16="http://schemas.microsoft.com/office/drawing/2014/main" id="{00000000-0008-0000-1300-0000D70E4300}"/>
              </a:ext>
            </a:extLst>
          </xdr:cNvPr>
          <xdr:cNvSpPr/>
        </xdr:nvSpPr>
        <xdr:spPr>
          <a:xfrm>
            <a:off x="2794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12" name="$AS$116">
            <a:extLst>
              <a:ext uri="{FF2B5EF4-FFF2-40B4-BE49-F238E27FC236}">
                <a16:creationId xmlns:a16="http://schemas.microsoft.com/office/drawing/2014/main" id="{00000000-0008-0000-1300-0000D80E4300}"/>
              </a:ext>
            </a:extLst>
          </xdr:cNvPr>
          <xdr:cNvSpPr/>
        </xdr:nvSpPr>
        <xdr:spPr>
          <a:xfrm>
            <a:off x="2921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13" name="$AS$116">
            <a:extLst>
              <a:ext uri="{FF2B5EF4-FFF2-40B4-BE49-F238E27FC236}">
                <a16:creationId xmlns:a16="http://schemas.microsoft.com/office/drawing/2014/main" id="{00000000-0008-0000-1300-0000D90E4300}"/>
              </a:ext>
            </a:extLst>
          </xdr:cNvPr>
          <xdr:cNvSpPr/>
        </xdr:nvSpPr>
        <xdr:spPr>
          <a:xfrm>
            <a:off x="3048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14" name="$AS$116">
            <a:extLst>
              <a:ext uri="{FF2B5EF4-FFF2-40B4-BE49-F238E27FC236}">
                <a16:creationId xmlns:a16="http://schemas.microsoft.com/office/drawing/2014/main" id="{00000000-0008-0000-1300-0000DA0E4300}"/>
              </a:ext>
            </a:extLst>
          </xdr:cNvPr>
          <xdr:cNvSpPr/>
        </xdr:nvSpPr>
        <xdr:spPr>
          <a:xfrm>
            <a:off x="3302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15" name="$AS$116">
            <a:extLst>
              <a:ext uri="{FF2B5EF4-FFF2-40B4-BE49-F238E27FC236}">
                <a16:creationId xmlns:a16="http://schemas.microsoft.com/office/drawing/2014/main" id="{00000000-0008-0000-1300-0000DB0E4300}"/>
              </a:ext>
            </a:extLst>
          </xdr:cNvPr>
          <xdr:cNvSpPr/>
        </xdr:nvSpPr>
        <xdr:spPr>
          <a:xfrm>
            <a:off x="3429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16" name="$AS$116">
            <a:extLst>
              <a:ext uri="{FF2B5EF4-FFF2-40B4-BE49-F238E27FC236}">
                <a16:creationId xmlns:a16="http://schemas.microsoft.com/office/drawing/2014/main" id="{00000000-0008-0000-1300-0000DC0E4300}"/>
              </a:ext>
            </a:extLst>
          </xdr:cNvPr>
          <xdr:cNvSpPr/>
        </xdr:nvSpPr>
        <xdr:spPr>
          <a:xfrm>
            <a:off x="3556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17" name="$AS$116">
            <a:extLst>
              <a:ext uri="{FF2B5EF4-FFF2-40B4-BE49-F238E27FC236}">
                <a16:creationId xmlns:a16="http://schemas.microsoft.com/office/drawing/2014/main" id="{00000000-0008-0000-1300-0000DD0E4300}"/>
              </a:ext>
            </a:extLst>
          </xdr:cNvPr>
          <xdr:cNvSpPr/>
        </xdr:nvSpPr>
        <xdr:spPr>
          <a:xfrm>
            <a:off x="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18" name="$AS$116">
            <a:extLst>
              <a:ext uri="{FF2B5EF4-FFF2-40B4-BE49-F238E27FC236}">
                <a16:creationId xmlns:a16="http://schemas.microsoft.com/office/drawing/2014/main" id="{00000000-0008-0000-1300-0000DE0E4300}"/>
              </a:ext>
            </a:extLst>
          </xdr:cNvPr>
          <xdr:cNvSpPr/>
        </xdr:nvSpPr>
        <xdr:spPr>
          <a:xfrm>
            <a:off x="254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19" name="$AS$116">
            <a:extLst>
              <a:ext uri="{FF2B5EF4-FFF2-40B4-BE49-F238E27FC236}">
                <a16:creationId xmlns:a16="http://schemas.microsoft.com/office/drawing/2014/main" id="{00000000-0008-0000-1300-0000DF0E4300}"/>
              </a:ext>
            </a:extLst>
          </xdr:cNvPr>
          <xdr:cNvSpPr/>
        </xdr:nvSpPr>
        <xdr:spPr>
          <a:xfrm>
            <a:off x="381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20" name="$AS$116">
            <a:extLst>
              <a:ext uri="{FF2B5EF4-FFF2-40B4-BE49-F238E27FC236}">
                <a16:creationId xmlns:a16="http://schemas.microsoft.com/office/drawing/2014/main" id="{00000000-0008-0000-1300-0000E00E4300}"/>
              </a:ext>
            </a:extLst>
          </xdr:cNvPr>
          <xdr:cNvSpPr/>
        </xdr:nvSpPr>
        <xdr:spPr>
          <a:xfrm>
            <a:off x="508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21" name="$AS$116">
            <a:extLst>
              <a:ext uri="{FF2B5EF4-FFF2-40B4-BE49-F238E27FC236}">
                <a16:creationId xmlns:a16="http://schemas.microsoft.com/office/drawing/2014/main" id="{00000000-0008-0000-1300-0000E10E4300}"/>
              </a:ext>
            </a:extLst>
          </xdr:cNvPr>
          <xdr:cNvSpPr/>
        </xdr:nvSpPr>
        <xdr:spPr>
          <a:xfrm>
            <a:off x="762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22" name="$AS$116">
            <a:extLst>
              <a:ext uri="{FF2B5EF4-FFF2-40B4-BE49-F238E27FC236}">
                <a16:creationId xmlns:a16="http://schemas.microsoft.com/office/drawing/2014/main" id="{00000000-0008-0000-1300-0000E20E4300}"/>
              </a:ext>
            </a:extLst>
          </xdr:cNvPr>
          <xdr:cNvSpPr/>
        </xdr:nvSpPr>
        <xdr:spPr>
          <a:xfrm>
            <a:off x="1016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23" name="$AS$116">
            <a:extLst>
              <a:ext uri="{FF2B5EF4-FFF2-40B4-BE49-F238E27FC236}">
                <a16:creationId xmlns:a16="http://schemas.microsoft.com/office/drawing/2014/main" id="{00000000-0008-0000-1300-0000E30E4300}"/>
              </a:ext>
            </a:extLst>
          </xdr:cNvPr>
          <xdr:cNvSpPr/>
        </xdr:nvSpPr>
        <xdr:spPr>
          <a:xfrm>
            <a:off x="1397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24" name="$AS$116">
            <a:extLst>
              <a:ext uri="{FF2B5EF4-FFF2-40B4-BE49-F238E27FC236}">
                <a16:creationId xmlns:a16="http://schemas.microsoft.com/office/drawing/2014/main" id="{00000000-0008-0000-1300-0000E40E4300}"/>
              </a:ext>
            </a:extLst>
          </xdr:cNvPr>
          <xdr:cNvSpPr/>
        </xdr:nvSpPr>
        <xdr:spPr>
          <a:xfrm>
            <a:off x="1651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25" name="$AS$116">
            <a:extLst>
              <a:ext uri="{FF2B5EF4-FFF2-40B4-BE49-F238E27FC236}">
                <a16:creationId xmlns:a16="http://schemas.microsoft.com/office/drawing/2014/main" id="{00000000-0008-0000-1300-0000E50E4300}"/>
              </a:ext>
            </a:extLst>
          </xdr:cNvPr>
          <xdr:cNvSpPr/>
        </xdr:nvSpPr>
        <xdr:spPr>
          <a:xfrm>
            <a:off x="1905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26" name="$AS$116">
            <a:extLst>
              <a:ext uri="{FF2B5EF4-FFF2-40B4-BE49-F238E27FC236}">
                <a16:creationId xmlns:a16="http://schemas.microsoft.com/office/drawing/2014/main" id="{00000000-0008-0000-1300-0000E60E4300}"/>
              </a:ext>
            </a:extLst>
          </xdr:cNvPr>
          <xdr:cNvSpPr/>
        </xdr:nvSpPr>
        <xdr:spPr>
          <a:xfrm>
            <a:off x="2032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27" name="$AS$116">
            <a:extLst>
              <a:ext uri="{FF2B5EF4-FFF2-40B4-BE49-F238E27FC236}">
                <a16:creationId xmlns:a16="http://schemas.microsoft.com/office/drawing/2014/main" id="{00000000-0008-0000-1300-0000E70E4300}"/>
              </a:ext>
            </a:extLst>
          </xdr:cNvPr>
          <xdr:cNvSpPr/>
        </xdr:nvSpPr>
        <xdr:spPr>
          <a:xfrm>
            <a:off x="2286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28" name="$AS$116">
            <a:extLst>
              <a:ext uri="{FF2B5EF4-FFF2-40B4-BE49-F238E27FC236}">
                <a16:creationId xmlns:a16="http://schemas.microsoft.com/office/drawing/2014/main" id="{00000000-0008-0000-1300-0000E80E4300}"/>
              </a:ext>
            </a:extLst>
          </xdr:cNvPr>
          <xdr:cNvSpPr/>
        </xdr:nvSpPr>
        <xdr:spPr>
          <a:xfrm>
            <a:off x="2413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29" name="$AS$116">
            <a:extLst>
              <a:ext uri="{FF2B5EF4-FFF2-40B4-BE49-F238E27FC236}">
                <a16:creationId xmlns:a16="http://schemas.microsoft.com/office/drawing/2014/main" id="{00000000-0008-0000-1300-0000E90E4300}"/>
              </a:ext>
            </a:extLst>
          </xdr:cNvPr>
          <xdr:cNvSpPr/>
        </xdr:nvSpPr>
        <xdr:spPr>
          <a:xfrm>
            <a:off x="2540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30" name="$AS$116">
            <a:extLst>
              <a:ext uri="{FF2B5EF4-FFF2-40B4-BE49-F238E27FC236}">
                <a16:creationId xmlns:a16="http://schemas.microsoft.com/office/drawing/2014/main" id="{00000000-0008-0000-1300-0000EA0E4300}"/>
              </a:ext>
            </a:extLst>
          </xdr:cNvPr>
          <xdr:cNvSpPr/>
        </xdr:nvSpPr>
        <xdr:spPr>
          <a:xfrm>
            <a:off x="2667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31" name="$AS$116">
            <a:extLst>
              <a:ext uri="{FF2B5EF4-FFF2-40B4-BE49-F238E27FC236}">
                <a16:creationId xmlns:a16="http://schemas.microsoft.com/office/drawing/2014/main" id="{00000000-0008-0000-1300-0000EB0E4300}"/>
              </a:ext>
            </a:extLst>
          </xdr:cNvPr>
          <xdr:cNvSpPr/>
        </xdr:nvSpPr>
        <xdr:spPr>
          <a:xfrm>
            <a:off x="3175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32" name="$AS$116">
            <a:extLst>
              <a:ext uri="{FF2B5EF4-FFF2-40B4-BE49-F238E27FC236}">
                <a16:creationId xmlns:a16="http://schemas.microsoft.com/office/drawing/2014/main" id="{00000000-0008-0000-1300-0000EC0E4300}"/>
              </a:ext>
            </a:extLst>
          </xdr:cNvPr>
          <xdr:cNvSpPr/>
        </xdr:nvSpPr>
        <xdr:spPr>
          <a:xfrm>
            <a:off x="3302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33" name="$AS$116">
            <a:extLst>
              <a:ext uri="{FF2B5EF4-FFF2-40B4-BE49-F238E27FC236}">
                <a16:creationId xmlns:a16="http://schemas.microsoft.com/office/drawing/2014/main" id="{00000000-0008-0000-1300-0000ED0E4300}"/>
              </a:ext>
            </a:extLst>
          </xdr:cNvPr>
          <xdr:cNvSpPr/>
        </xdr:nvSpPr>
        <xdr:spPr>
          <a:xfrm>
            <a:off x="3429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34" name="$AS$116">
            <a:extLst>
              <a:ext uri="{FF2B5EF4-FFF2-40B4-BE49-F238E27FC236}">
                <a16:creationId xmlns:a16="http://schemas.microsoft.com/office/drawing/2014/main" id="{00000000-0008-0000-1300-0000EE0E4300}"/>
              </a:ext>
            </a:extLst>
          </xdr:cNvPr>
          <xdr:cNvSpPr/>
        </xdr:nvSpPr>
        <xdr:spPr>
          <a:xfrm>
            <a:off x="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35" name="$AS$116">
            <a:extLst>
              <a:ext uri="{FF2B5EF4-FFF2-40B4-BE49-F238E27FC236}">
                <a16:creationId xmlns:a16="http://schemas.microsoft.com/office/drawing/2014/main" id="{00000000-0008-0000-1300-0000EF0E4300}"/>
              </a:ext>
            </a:extLst>
          </xdr:cNvPr>
          <xdr:cNvSpPr/>
        </xdr:nvSpPr>
        <xdr:spPr>
          <a:xfrm>
            <a:off x="254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36" name="$AS$116">
            <a:extLst>
              <a:ext uri="{FF2B5EF4-FFF2-40B4-BE49-F238E27FC236}">
                <a16:creationId xmlns:a16="http://schemas.microsoft.com/office/drawing/2014/main" id="{00000000-0008-0000-1300-0000F00E4300}"/>
              </a:ext>
            </a:extLst>
          </xdr:cNvPr>
          <xdr:cNvSpPr/>
        </xdr:nvSpPr>
        <xdr:spPr>
          <a:xfrm>
            <a:off x="381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37" name="$AS$116">
            <a:extLst>
              <a:ext uri="{FF2B5EF4-FFF2-40B4-BE49-F238E27FC236}">
                <a16:creationId xmlns:a16="http://schemas.microsoft.com/office/drawing/2014/main" id="{00000000-0008-0000-1300-0000F10E4300}"/>
              </a:ext>
            </a:extLst>
          </xdr:cNvPr>
          <xdr:cNvSpPr/>
        </xdr:nvSpPr>
        <xdr:spPr>
          <a:xfrm>
            <a:off x="508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38" name="$AS$116">
            <a:extLst>
              <a:ext uri="{FF2B5EF4-FFF2-40B4-BE49-F238E27FC236}">
                <a16:creationId xmlns:a16="http://schemas.microsoft.com/office/drawing/2014/main" id="{00000000-0008-0000-1300-0000F20E4300}"/>
              </a:ext>
            </a:extLst>
          </xdr:cNvPr>
          <xdr:cNvSpPr/>
        </xdr:nvSpPr>
        <xdr:spPr>
          <a:xfrm>
            <a:off x="762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39" name="$AS$116">
            <a:extLst>
              <a:ext uri="{FF2B5EF4-FFF2-40B4-BE49-F238E27FC236}">
                <a16:creationId xmlns:a16="http://schemas.microsoft.com/office/drawing/2014/main" id="{00000000-0008-0000-1300-0000F30E4300}"/>
              </a:ext>
            </a:extLst>
          </xdr:cNvPr>
          <xdr:cNvSpPr/>
        </xdr:nvSpPr>
        <xdr:spPr>
          <a:xfrm>
            <a:off x="1270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40" name="$AS$116">
            <a:extLst>
              <a:ext uri="{FF2B5EF4-FFF2-40B4-BE49-F238E27FC236}">
                <a16:creationId xmlns:a16="http://schemas.microsoft.com/office/drawing/2014/main" id="{00000000-0008-0000-1300-0000F40E4300}"/>
              </a:ext>
            </a:extLst>
          </xdr:cNvPr>
          <xdr:cNvSpPr/>
        </xdr:nvSpPr>
        <xdr:spPr>
          <a:xfrm>
            <a:off x="1397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41" name="$AS$116">
            <a:extLst>
              <a:ext uri="{FF2B5EF4-FFF2-40B4-BE49-F238E27FC236}">
                <a16:creationId xmlns:a16="http://schemas.microsoft.com/office/drawing/2014/main" id="{00000000-0008-0000-1300-0000F50E4300}"/>
              </a:ext>
            </a:extLst>
          </xdr:cNvPr>
          <xdr:cNvSpPr/>
        </xdr:nvSpPr>
        <xdr:spPr>
          <a:xfrm>
            <a:off x="1524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42" name="$AS$116">
            <a:extLst>
              <a:ext uri="{FF2B5EF4-FFF2-40B4-BE49-F238E27FC236}">
                <a16:creationId xmlns:a16="http://schemas.microsoft.com/office/drawing/2014/main" id="{00000000-0008-0000-1300-0000F60E4300}"/>
              </a:ext>
            </a:extLst>
          </xdr:cNvPr>
          <xdr:cNvSpPr/>
        </xdr:nvSpPr>
        <xdr:spPr>
          <a:xfrm>
            <a:off x="1651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43" name="$AS$116">
            <a:extLst>
              <a:ext uri="{FF2B5EF4-FFF2-40B4-BE49-F238E27FC236}">
                <a16:creationId xmlns:a16="http://schemas.microsoft.com/office/drawing/2014/main" id="{00000000-0008-0000-1300-0000F70E4300}"/>
              </a:ext>
            </a:extLst>
          </xdr:cNvPr>
          <xdr:cNvSpPr/>
        </xdr:nvSpPr>
        <xdr:spPr>
          <a:xfrm>
            <a:off x="1905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44" name="$AS$116">
            <a:extLst>
              <a:ext uri="{FF2B5EF4-FFF2-40B4-BE49-F238E27FC236}">
                <a16:creationId xmlns:a16="http://schemas.microsoft.com/office/drawing/2014/main" id="{00000000-0008-0000-1300-0000F80E4300}"/>
              </a:ext>
            </a:extLst>
          </xdr:cNvPr>
          <xdr:cNvSpPr/>
        </xdr:nvSpPr>
        <xdr:spPr>
          <a:xfrm>
            <a:off x="2159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45" name="$AS$116">
            <a:extLst>
              <a:ext uri="{FF2B5EF4-FFF2-40B4-BE49-F238E27FC236}">
                <a16:creationId xmlns:a16="http://schemas.microsoft.com/office/drawing/2014/main" id="{00000000-0008-0000-1300-0000F90E4300}"/>
              </a:ext>
            </a:extLst>
          </xdr:cNvPr>
          <xdr:cNvSpPr/>
        </xdr:nvSpPr>
        <xdr:spPr>
          <a:xfrm>
            <a:off x="2413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46" name="$AS$116">
            <a:extLst>
              <a:ext uri="{FF2B5EF4-FFF2-40B4-BE49-F238E27FC236}">
                <a16:creationId xmlns:a16="http://schemas.microsoft.com/office/drawing/2014/main" id="{00000000-0008-0000-1300-0000FA0E4300}"/>
              </a:ext>
            </a:extLst>
          </xdr:cNvPr>
          <xdr:cNvSpPr/>
        </xdr:nvSpPr>
        <xdr:spPr>
          <a:xfrm>
            <a:off x="2667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47" name="$AS$116">
            <a:extLst>
              <a:ext uri="{FF2B5EF4-FFF2-40B4-BE49-F238E27FC236}">
                <a16:creationId xmlns:a16="http://schemas.microsoft.com/office/drawing/2014/main" id="{00000000-0008-0000-1300-0000FB0E4300}"/>
              </a:ext>
            </a:extLst>
          </xdr:cNvPr>
          <xdr:cNvSpPr/>
        </xdr:nvSpPr>
        <xdr:spPr>
          <a:xfrm>
            <a:off x="2794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48" name="$AS$116">
            <a:extLst>
              <a:ext uri="{FF2B5EF4-FFF2-40B4-BE49-F238E27FC236}">
                <a16:creationId xmlns:a16="http://schemas.microsoft.com/office/drawing/2014/main" id="{00000000-0008-0000-1300-0000FC0E4300}"/>
              </a:ext>
            </a:extLst>
          </xdr:cNvPr>
          <xdr:cNvSpPr/>
        </xdr:nvSpPr>
        <xdr:spPr>
          <a:xfrm>
            <a:off x="2921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49" name="$AS$116">
            <a:extLst>
              <a:ext uri="{FF2B5EF4-FFF2-40B4-BE49-F238E27FC236}">
                <a16:creationId xmlns:a16="http://schemas.microsoft.com/office/drawing/2014/main" id="{00000000-0008-0000-1300-0000FD0E4300}"/>
              </a:ext>
            </a:extLst>
          </xdr:cNvPr>
          <xdr:cNvSpPr/>
        </xdr:nvSpPr>
        <xdr:spPr>
          <a:xfrm>
            <a:off x="3175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50" name="$AS$116">
            <a:extLst>
              <a:ext uri="{FF2B5EF4-FFF2-40B4-BE49-F238E27FC236}">
                <a16:creationId xmlns:a16="http://schemas.microsoft.com/office/drawing/2014/main" id="{00000000-0008-0000-1300-0000FE0E4300}"/>
              </a:ext>
            </a:extLst>
          </xdr:cNvPr>
          <xdr:cNvSpPr/>
        </xdr:nvSpPr>
        <xdr:spPr>
          <a:xfrm>
            <a:off x="3302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51" name="$AS$116">
            <a:extLst>
              <a:ext uri="{FF2B5EF4-FFF2-40B4-BE49-F238E27FC236}">
                <a16:creationId xmlns:a16="http://schemas.microsoft.com/office/drawing/2014/main" id="{00000000-0008-0000-1300-0000FF0E4300}"/>
              </a:ext>
            </a:extLst>
          </xdr:cNvPr>
          <xdr:cNvSpPr/>
        </xdr:nvSpPr>
        <xdr:spPr>
          <a:xfrm>
            <a:off x="3556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52" name="$AS$116">
            <a:extLst>
              <a:ext uri="{FF2B5EF4-FFF2-40B4-BE49-F238E27FC236}">
                <a16:creationId xmlns:a16="http://schemas.microsoft.com/office/drawing/2014/main" id="{00000000-0008-0000-1300-0000000F4300}"/>
              </a:ext>
            </a:extLst>
          </xdr:cNvPr>
          <xdr:cNvSpPr/>
        </xdr:nvSpPr>
        <xdr:spPr>
          <a:xfrm>
            <a:off x="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53" name="$AS$116">
            <a:extLst>
              <a:ext uri="{FF2B5EF4-FFF2-40B4-BE49-F238E27FC236}">
                <a16:creationId xmlns:a16="http://schemas.microsoft.com/office/drawing/2014/main" id="{00000000-0008-0000-1300-0000010F4300}"/>
              </a:ext>
            </a:extLst>
          </xdr:cNvPr>
          <xdr:cNvSpPr/>
        </xdr:nvSpPr>
        <xdr:spPr>
          <a:xfrm>
            <a:off x="762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54" name="$AS$116">
            <a:extLst>
              <a:ext uri="{FF2B5EF4-FFF2-40B4-BE49-F238E27FC236}">
                <a16:creationId xmlns:a16="http://schemas.microsoft.com/office/drawing/2014/main" id="{00000000-0008-0000-1300-0000020F4300}"/>
              </a:ext>
            </a:extLst>
          </xdr:cNvPr>
          <xdr:cNvSpPr/>
        </xdr:nvSpPr>
        <xdr:spPr>
          <a:xfrm>
            <a:off x="1270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55" name="$AS$116">
            <a:extLst>
              <a:ext uri="{FF2B5EF4-FFF2-40B4-BE49-F238E27FC236}">
                <a16:creationId xmlns:a16="http://schemas.microsoft.com/office/drawing/2014/main" id="{00000000-0008-0000-1300-0000030F4300}"/>
              </a:ext>
            </a:extLst>
          </xdr:cNvPr>
          <xdr:cNvSpPr/>
        </xdr:nvSpPr>
        <xdr:spPr>
          <a:xfrm>
            <a:off x="1524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56" name="$AS$116">
            <a:extLst>
              <a:ext uri="{FF2B5EF4-FFF2-40B4-BE49-F238E27FC236}">
                <a16:creationId xmlns:a16="http://schemas.microsoft.com/office/drawing/2014/main" id="{00000000-0008-0000-1300-0000040F4300}"/>
              </a:ext>
            </a:extLst>
          </xdr:cNvPr>
          <xdr:cNvSpPr/>
        </xdr:nvSpPr>
        <xdr:spPr>
          <a:xfrm>
            <a:off x="1651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57" name="$AS$116">
            <a:extLst>
              <a:ext uri="{FF2B5EF4-FFF2-40B4-BE49-F238E27FC236}">
                <a16:creationId xmlns:a16="http://schemas.microsoft.com/office/drawing/2014/main" id="{00000000-0008-0000-1300-0000050F4300}"/>
              </a:ext>
            </a:extLst>
          </xdr:cNvPr>
          <xdr:cNvSpPr/>
        </xdr:nvSpPr>
        <xdr:spPr>
          <a:xfrm>
            <a:off x="1778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58" name="$AS$116">
            <a:extLst>
              <a:ext uri="{FF2B5EF4-FFF2-40B4-BE49-F238E27FC236}">
                <a16:creationId xmlns:a16="http://schemas.microsoft.com/office/drawing/2014/main" id="{00000000-0008-0000-1300-0000060F4300}"/>
              </a:ext>
            </a:extLst>
          </xdr:cNvPr>
          <xdr:cNvSpPr/>
        </xdr:nvSpPr>
        <xdr:spPr>
          <a:xfrm>
            <a:off x="1905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59" name="$AS$116">
            <a:extLst>
              <a:ext uri="{FF2B5EF4-FFF2-40B4-BE49-F238E27FC236}">
                <a16:creationId xmlns:a16="http://schemas.microsoft.com/office/drawing/2014/main" id="{00000000-0008-0000-1300-0000070F4300}"/>
              </a:ext>
            </a:extLst>
          </xdr:cNvPr>
          <xdr:cNvSpPr/>
        </xdr:nvSpPr>
        <xdr:spPr>
          <a:xfrm>
            <a:off x="2540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60" name="$AS$116">
            <a:extLst>
              <a:ext uri="{FF2B5EF4-FFF2-40B4-BE49-F238E27FC236}">
                <a16:creationId xmlns:a16="http://schemas.microsoft.com/office/drawing/2014/main" id="{00000000-0008-0000-1300-0000080F4300}"/>
              </a:ext>
            </a:extLst>
          </xdr:cNvPr>
          <xdr:cNvSpPr/>
        </xdr:nvSpPr>
        <xdr:spPr>
          <a:xfrm>
            <a:off x="2794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61" name="$AS$116">
            <a:extLst>
              <a:ext uri="{FF2B5EF4-FFF2-40B4-BE49-F238E27FC236}">
                <a16:creationId xmlns:a16="http://schemas.microsoft.com/office/drawing/2014/main" id="{00000000-0008-0000-1300-0000090F4300}"/>
              </a:ext>
            </a:extLst>
          </xdr:cNvPr>
          <xdr:cNvSpPr/>
        </xdr:nvSpPr>
        <xdr:spPr>
          <a:xfrm>
            <a:off x="3302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62" name="$AS$116">
            <a:extLst>
              <a:ext uri="{FF2B5EF4-FFF2-40B4-BE49-F238E27FC236}">
                <a16:creationId xmlns:a16="http://schemas.microsoft.com/office/drawing/2014/main" id="{00000000-0008-0000-1300-00000A0F4300}"/>
              </a:ext>
            </a:extLst>
          </xdr:cNvPr>
          <xdr:cNvSpPr/>
        </xdr:nvSpPr>
        <xdr:spPr>
          <a:xfrm>
            <a:off x="3429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63" name="$AS$116">
            <a:extLst>
              <a:ext uri="{FF2B5EF4-FFF2-40B4-BE49-F238E27FC236}">
                <a16:creationId xmlns:a16="http://schemas.microsoft.com/office/drawing/2014/main" id="{00000000-0008-0000-1300-00000B0F4300}"/>
              </a:ext>
            </a:extLst>
          </xdr:cNvPr>
          <xdr:cNvSpPr/>
        </xdr:nvSpPr>
        <xdr:spPr>
          <a:xfrm>
            <a:off x="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64" name="$AS$116">
            <a:extLst>
              <a:ext uri="{FF2B5EF4-FFF2-40B4-BE49-F238E27FC236}">
                <a16:creationId xmlns:a16="http://schemas.microsoft.com/office/drawing/2014/main" id="{00000000-0008-0000-1300-00000C0F4300}"/>
              </a:ext>
            </a:extLst>
          </xdr:cNvPr>
          <xdr:cNvSpPr/>
        </xdr:nvSpPr>
        <xdr:spPr>
          <a:xfrm>
            <a:off x="127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65" name="$AS$116">
            <a:extLst>
              <a:ext uri="{FF2B5EF4-FFF2-40B4-BE49-F238E27FC236}">
                <a16:creationId xmlns:a16="http://schemas.microsoft.com/office/drawing/2014/main" id="{00000000-0008-0000-1300-00000D0F4300}"/>
              </a:ext>
            </a:extLst>
          </xdr:cNvPr>
          <xdr:cNvSpPr/>
        </xdr:nvSpPr>
        <xdr:spPr>
          <a:xfrm>
            <a:off x="254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66" name="$AS$116">
            <a:extLst>
              <a:ext uri="{FF2B5EF4-FFF2-40B4-BE49-F238E27FC236}">
                <a16:creationId xmlns:a16="http://schemas.microsoft.com/office/drawing/2014/main" id="{00000000-0008-0000-1300-00000E0F4300}"/>
              </a:ext>
            </a:extLst>
          </xdr:cNvPr>
          <xdr:cNvSpPr/>
        </xdr:nvSpPr>
        <xdr:spPr>
          <a:xfrm>
            <a:off x="381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67" name="$AS$116">
            <a:extLst>
              <a:ext uri="{FF2B5EF4-FFF2-40B4-BE49-F238E27FC236}">
                <a16:creationId xmlns:a16="http://schemas.microsoft.com/office/drawing/2014/main" id="{00000000-0008-0000-1300-00000F0F4300}"/>
              </a:ext>
            </a:extLst>
          </xdr:cNvPr>
          <xdr:cNvSpPr/>
        </xdr:nvSpPr>
        <xdr:spPr>
          <a:xfrm>
            <a:off x="508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68" name="$AS$116">
            <a:extLst>
              <a:ext uri="{FF2B5EF4-FFF2-40B4-BE49-F238E27FC236}">
                <a16:creationId xmlns:a16="http://schemas.microsoft.com/office/drawing/2014/main" id="{00000000-0008-0000-1300-0000100F4300}"/>
              </a:ext>
            </a:extLst>
          </xdr:cNvPr>
          <xdr:cNvSpPr/>
        </xdr:nvSpPr>
        <xdr:spPr>
          <a:xfrm>
            <a:off x="635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69" name="$AS$116">
            <a:extLst>
              <a:ext uri="{FF2B5EF4-FFF2-40B4-BE49-F238E27FC236}">
                <a16:creationId xmlns:a16="http://schemas.microsoft.com/office/drawing/2014/main" id="{00000000-0008-0000-1300-0000110F4300}"/>
              </a:ext>
            </a:extLst>
          </xdr:cNvPr>
          <xdr:cNvSpPr/>
        </xdr:nvSpPr>
        <xdr:spPr>
          <a:xfrm>
            <a:off x="762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70" name="$AS$116">
            <a:extLst>
              <a:ext uri="{FF2B5EF4-FFF2-40B4-BE49-F238E27FC236}">
                <a16:creationId xmlns:a16="http://schemas.microsoft.com/office/drawing/2014/main" id="{00000000-0008-0000-1300-0000120F4300}"/>
              </a:ext>
            </a:extLst>
          </xdr:cNvPr>
          <xdr:cNvSpPr/>
        </xdr:nvSpPr>
        <xdr:spPr>
          <a:xfrm>
            <a:off x="1016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71" name="$AS$116">
            <a:extLst>
              <a:ext uri="{FF2B5EF4-FFF2-40B4-BE49-F238E27FC236}">
                <a16:creationId xmlns:a16="http://schemas.microsoft.com/office/drawing/2014/main" id="{00000000-0008-0000-1300-0000130F4300}"/>
              </a:ext>
            </a:extLst>
          </xdr:cNvPr>
          <xdr:cNvSpPr/>
        </xdr:nvSpPr>
        <xdr:spPr>
          <a:xfrm>
            <a:off x="1143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72" name="$AS$116">
            <a:extLst>
              <a:ext uri="{FF2B5EF4-FFF2-40B4-BE49-F238E27FC236}">
                <a16:creationId xmlns:a16="http://schemas.microsoft.com/office/drawing/2014/main" id="{00000000-0008-0000-1300-0000140F4300}"/>
              </a:ext>
            </a:extLst>
          </xdr:cNvPr>
          <xdr:cNvSpPr/>
        </xdr:nvSpPr>
        <xdr:spPr>
          <a:xfrm>
            <a:off x="1270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73" name="$AS$116">
            <a:extLst>
              <a:ext uri="{FF2B5EF4-FFF2-40B4-BE49-F238E27FC236}">
                <a16:creationId xmlns:a16="http://schemas.microsoft.com/office/drawing/2014/main" id="{00000000-0008-0000-1300-0000150F4300}"/>
              </a:ext>
            </a:extLst>
          </xdr:cNvPr>
          <xdr:cNvSpPr/>
        </xdr:nvSpPr>
        <xdr:spPr>
          <a:xfrm>
            <a:off x="1397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74" name="$AS$116">
            <a:extLst>
              <a:ext uri="{FF2B5EF4-FFF2-40B4-BE49-F238E27FC236}">
                <a16:creationId xmlns:a16="http://schemas.microsoft.com/office/drawing/2014/main" id="{00000000-0008-0000-1300-0000160F4300}"/>
              </a:ext>
            </a:extLst>
          </xdr:cNvPr>
          <xdr:cNvSpPr/>
        </xdr:nvSpPr>
        <xdr:spPr>
          <a:xfrm>
            <a:off x="1524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75" name="$AS$116">
            <a:extLst>
              <a:ext uri="{FF2B5EF4-FFF2-40B4-BE49-F238E27FC236}">
                <a16:creationId xmlns:a16="http://schemas.microsoft.com/office/drawing/2014/main" id="{00000000-0008-0000-1300-0000170F4300}"/>
              </a:ext>
            </a:extLst>
          </xdr:cNvPr>
          <xdr:cNvSpPr/>
        </xdr:nvSpPr>
        <xdr:spPr>
          <a:xfrm>
            <a:off x="1651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76" name="$AS$116">
            <a:extLst>
              <a:ext uri="{FF2B5EF4-FFF2-40B4-BE49-F238E27FC236}">
                <a16:creationId xmlns:a16="http://schemas.microsoft.com/office/drawing/2014/main" id="{00000000-0008-0000-1300-0000180F4300}"/>
              </a:ext>
            </a:extLst>
          </xdr:cNvPr>
          <xdr:cNvSpPr/>
        </xdr:nvSpPr>
        <xdr:spPr>
          <a:xfrm>
            <a:off x="2159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77" name="$AS$116">
            <a:extLst>
              <a:ext uri="{FF2B5EF4-FFF2-40B4-BE49-F238E27FC236}">
                <a16:creationId xmlns:a16="http://schemas.microsoft.com/office/drawing/2014/main" id="{00000000-0008-0000-1300-0000190F4300}"/>
              </a:ext>
            </a:extLst>
          </xdr:cNvPr>
          <xdr:cNvSpPr/>
        </xdr:nvSpPr>
        <xdr:spPr>
          <a:xfrm>
            <a:off x="2413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78" name="$AS$116">
            <a:extLst>
              <a:ext uri="{FF2B5EF4-FFF2-40B4-BE49-F238E27FC236}">
                <a16:creationId xmlns:a16="http://schemas.microsoft.com/office/drawing/2014/main" id="{00000000-0008-0000-1300-00001A0F4300}"/>
              </a:ext>
            </a:extLst>
          </xdr:cNvPr>
          <xdr:cNvSpPr/>
        </xdr:nvSpPr>
        <xdr:spPr>
          <a:xfrm>
            <a:off x="2794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79" name="$AS$116">
            <a:extLst>
              <a:ext uri="{FF2B5EF4-FFF2-40B4-BE49-F238E27FC236}">
                <a16:creationId xmlns:a16="http://schemas.microsoft.com/office/drawing/2014/main" id="{00000000-0008-0000-1300-00001B0F4300}"/>
              </a:ext>
            </a:extLst>
          </xdr:cNvPr>
          <xdr:cNvSpPr/>
        </xdr:nvSpPr>
        <xdr:spPr>
          <a:xfrm>
            <a:off x="3048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80" name="$AS$116">
            <a:extLst>
              <a:ext uri="{FF2B5EF4-FFF2-40B4-BE49-F238E27FC236}">
                <a16:creationId xmlns:a16="http://schemas.microsoft.com/office/drawing/2014/main" id="{00000000-0008-0000-1300-00001C0F4300}"/>
              </a:ext>
            </a:extLst>
          </xdr:cNvPr>
          <xdr:cNvSpPr/>
        </xdr:nvSpPr>
        <xdr:spPr>
          <a:xfrm>
            <a:off x="3175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81" name="$AS$116">
            <a:extLst>
              <a:ext uri="{FF2B5EF4-FFF2-40B4-BE49-F238E27FC236}">
                <a16:creationId xmlns:a16="http://schemas.microsoft.com/office/drawing/2014/main" id="{00000000-0008-0000-1300-00001D0F4300}"/>
              </a:ext>
            </a:extLst>
          </xdr:cNvPr>
          <xdr:cNvSpPr/>
        </xdr:nvSpPr>
        <xdr:spPr>
          <a:xfrm>
            <a:off x="3429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22</xdr:col>
      <xdr:colOff>178593</xdr:colOff>
      <xdr:row>2</xdr:row>
      <xdr:rowOff>47626</xdr:rowOff>
    </xdr:from>
    <xdr:to>
      <xdr:col>24</xdr:col>
      <xdr:colOff>746207</xdr:colOff>
      <xdr:row>4</xdr:row>
      <xdr:rowOff>1294</xdr:rowOff>
    </xdr:to>
    <xdr:grpSp>
      <xdr:nvGrpSpPr>
        <xdr:cNvPr id="4394804" name="Group 4394803">
          <a:extLst>
            <a:ext uri="{FF2B5EF4-FFF2-40B4-BE49-F238E27FC236}">
              <a16:creationId xmlns:a16="http://schemas.microsoft.com/office/drawing/2014/main" id="{00000000-0008-0000-1300-0000340F4300}"/>
            </a:ext>
          </a:extLst>
        </xdr:cNvPr>
        <xdr:cNvGrpSpPr/>
      </xdr:nvGrpSpPr>
      <xdr:grpSpPr>
        <a:xfrm>
          <a:off x="16323468" y="642939"/>
          <a:ext cx="2032083" cy="501355"/>
          <a:chOff x="16969510" y="645582"/>
          <a:chExt cx="2032434" cy="501355"/>
        </a:xfrm>
      </xdr:grpSpPr>
      <xdr:sp macro="[0]!getPbNBCExchangeRate" textlink="">
        <xdr:nvSpPr>
          <xdr:cNvPr id="4394805" name="Rectangle: Rounded Corners 4394804">
            <a:extLst>
              <a:ext uri="{FF2B5EF4-FFF2-40B4-BE49-F238E27FC236}">
                <a16:creationId xmlns:a16="http://schemas.microsoft.com/office/drawing/2014/main" id="{00000000-0008-0000-1300-0000350F4300}"/>
              </a:ext>
            </a:extLst>
          </xdr:cNvPr>
          <xdr:cNvSpPr/>
        </xdr:nvSpPr>
        <xdr:spPr>
          <a:xfrm>
            <a:off x="16969510" y="645582"/>
            <a:ext cx="2032434" cy="501355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  <a:cs typeface="+mn-cs"/>
              </a:rPr>
              <a:t>  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អត្រាប្តូរប្រាក់ </a:t>
            </a:r>
            <a:r>
              <a:rPr lang="en-US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NBC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etPbNBCExchangeRate" textlink="">
        <xdr:nvSpPr>
          <xdr:cNvPr id="4394806" name="Rectangle: Rounded Corners 4394805">
            <a:extLst>
              <a:ext uri="{FF2B5EF4-FFF2-40B4-BE49-F238E27FC236}">
                <a16:creationId xmlns:a16="http://schemas.microsoft.com/office/drawing/2014/main" id="{00000000-0008-0000-1300-0000360F4300}"/>
              </a:ext>
            </a:extLst>
          </xdr:cNvPr>
          <xdr:cNvSpPr/>
        </xdr:nvSpPr>
        <xdr:spPr>
          <a:xfrm>
            <a:off x="17052855" y="761999"/>
            <a:ext cx="425520" cy="369093"/>
          </a:xfrm>
          <a:prstGeom prst="round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800" baseline="0">
                <a:solidFill>
                  <a:srgbClr val="0066CC"/>
                </a:solidFill>
                <a:latin typeface="myicons" panose="02000509000000000000" pitchFamily="49" charset="0"/>
              </a:rPr>
              <a:t></a:t>
            </a:r>
            <a:endParaRPr lang="en-US" sz="105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</xdr:grpSp>
    <xdr:clientData/>
  </xdr:twoCellAnchor>
  <xdr:twoCellAnchor>
    <xdr:from>
      <xdr:col>1</xdr:col>
      <xdr:colOff>254861</xdr:colOff>
      <xdr:row>1</xdr:row>
      <xdr:rowOff>476251</xdr:rowOff>
    </xdr:from>
    <xdr:to>
      <xdr:col>2</xdr:col>
      <xdr:colOff>1152927</xdr:colOff>
      <xdr:row>3</xdr:row>
      <xdr:rowOff>382293</xdr:rowOff>
    </xdr:to>
    <xdr:grpSp>
      <xdr:nvGrpSpPr>
        <xdr:cNvPr id="4394807" name="Group 4394806">
          <a:extLst>
            <a:ext uri="{FF2B5EF4-FFF2-40B4-BE49-F238E27FC236}">
              <a16:creationId xmlns:a16="http://schemas.microsoft.com/office/drawing/2014/main" id="{00000000-0008-0000-1300-0000370F4300}"/>
            </a:ext>
          </a:extLst>
        </xdr:cNvPr>
        <xdr:cNvGrpSpPr/>
      </xdr:nvGrpSpPr>
      <xdr:grpSpPr>
        <a:xfrm>
          <a:off x="362017" y="583407"/>
          <a:ext cx="1160004" cy="501355"/>
          <a:chOff x="19188906" y="645582"/>
          <a:chExt cx="1163973" cy="499371"/>
        </a:xfrm>
      </xdr:grpSpPr>
      <xdr:sp macro="[0]!goToHome" textlink="">
        <xdr:nvSpPr>
          <xdr:cNvPr id="4394808" name="Rectangle: Rounded Corners 4394807">
            <a:extLst>
              <a:ext uri="{FF2B5EF4-FFF2-40B4-BE49-F238E27FC236}">
                <a16:creationId xmlns:a16="http://schemas.microsoft.com/office/drawing/2014/main" id="{00000000-0008-0000-1300-0000380F43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394809" name="Rectangle 4394808">
            <a:extLst>
              <a:ext uri="{FF2B5EF4-FFF2-40B4-BE49-F238E27FC236}">
                <a16:creationId xmlns:a16="http://schemas.microsoft.com/office/drawing/2014/main" id="{00000000-0008-0000-1300-0000390F43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8</xdr:col>
      <xdr:colOff>202406</xdr:colOff>
      <xdr:row>2</xdr:row>
      <xdr:rowOff>59532</xdr:rowOff>
    </xdr:from>
    <xdr:to>
      <xdr:col>11</xdr:col>
      <xdr:colOff>642936</xdr:colOff>
      <xdr:row>4</xdr:row>
      <xdr:rowOff>13200</xdr:rowOff>
    </xdr:to>
    <xdr:grpSp>
      <xdr:nvGrpSpPr>
        <xdr:cNvPr id="4394822" name="Group 4394821">
          <a:extLst>
            <a:ext uri="{FF2B5EF4-FFF2-40B4-BE49-F238E27FC236}">
              <a16:creationId xmlns:a16="http://schemas.microsoft.com/office/drawing/2014/main" id="{00000000-0008-0000-1300-0000460F4300}"/>
            </a:ext>
          </a:extLst>
        </xdr:cNvPr>
        <xdr:cNvGrpSpPr/>
      </xdr:nvGrpSpPr>
      <xdr:grpSpPr>
        <a:xfrm>
          <a:off x="5667375" y="654845"/>
          <a:ext cx="1440655" cy="501355"/>
          <a:chOff x="19188906" y="645582"/>
          <a:chExt cx="1163973" cy="499371"/>
        </a:xfrm>
      </xdr:grpSpPr>
      <xdr:sp macro="[0]!goToVendorList" textlink="">
        <xdr:nvSpPr>
          <xdr:cNvPr id="4394823" name="Rectangle: Rounded Corners 4394822">
            <a:extLst>
              <a:ext uri="{FF2B5EF4-FFF2-40B4-BE49-F238E27FC236}">
                <a16:creationId xmlns:a16="http://schemas.microsoft.com/office/drawing/2014/main" id="{00000000-0008-0000-1300-0000470F43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បញ្ជីអ្នកផ្គត់ផ្គង់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VendorList" textlink="">
        <xdr:nvSpPr>
          <xdr:cNvPr id="4394824" name="Rectangle 4394823">
            <a:extLst>
              <a:ext uri="{FF2B5EF4-FFF2-40B4-BE49-F238E27FC236}">
                <a16:creationId xmlns:a16="http://schemas.microsoft.com/office/drawing/2014/main" id="{00000000-0008-0000-1300-0000480F4300}"/>
              </a:ext>
            </a:extLst>
          </xdr:cNvPr>
          <xdr:cNvSpPr/>
        </xdr:nvSpPr>
        <xdr:spPr>
          <a:xfrm>
            <a:off x="19244884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~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24</xdr:col>
      <xdr:colOff>928686</xdr:colOff>
      <xdr:row>2</xdr:row>
      <xdr:rowOff>11906</xdr:rowOff>
    </xdr:from>
    <xdr:to>
      <xdr:col>25</xdr:col>
      <xdr:colOff>1297781</xdr:colOff>
      <xdr:row>3</xdr:row>
      <xdr:rowOff>421217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00000000-0008-0000-1300-000016000000}"/>
            </a:ext>
          </a:extLst>
        </xdr:cNvPr>
        <xdr:cNvGrpSpPr/>
      </xdr:nvGrpSpPr>
      <xdr:grpSpPr>
        <a:xfrm>
          <a:off x="18538030" y="607219"/>
          <a:ext cx="1476376" cy="516467"/>
          <a:chOff x="17913181" y="686328"/>
          <a:chExt cx="1400701" cy="516467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357122" name="Button 2" hidden="1">
                <a:extLst>
                  <a:ext uri="{63B3BB69-23CF-44E3-9099-C40C66FF867C}">
                    <a14:compatExt spid="_x0000_s4357122"/>
                  </a:ext>
                  <a:ext uri="{FF2B5EF4-FFF2-40B4-BE49-F238E27FC236}">
                    <a16:creationId xmlns:a16="http://schemas.microsoft.com/office/drawing/2014/main" id="{00000000-0008-0000-1300-0000027C4200}"/>
                  </a:ext>
                </a:extLst>
              </xdr:cNvPr>
              <xdr:cNvSpPr/>
            </xdr:nvSpPr>
            <xdr:spPr bwMode="auto">
              <a:xfrm>
                <a:off x="17913181" y="686328"/>
                <a:ext cx="1400701" cy="51646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77724" rIns="36576" bIns="77724" anchor="ctr" upright="1"/>
              <a:lstStyle/>
              <a:p>
                <a:pPr algn="ctr" rtl="0">
                  <a:defRPr sz="1000"/>
                </a:pPr>
                <a:r>
                  <a:rPr lang="en-US" sz="1400" b="0" i="0" u="none" strike="noStrike" baseline="0">
                    <a:solidFill>
                      <a:srgbClr val="0066CC"/>
                    </a:solidFill>
                    <a:latin typeface="Khmer OS Battambang"/>
                    <a:cs typeface="Khmer OS Battambang"/>
                  </a:rPr>
                  <a:t>        </a:t>
                </a:r>
                <a:r>
                  <a:rPr lang="en-US" sz="1600" b="0" i="0" u="none" strike="noStrike" baseline="0">
                    <a:solidFill>
                      <a:srgbClr val="0066CC"/>
                    </a:solidFill>
                    <a:latin typeface="Khmer OS Battambang"/>
                    <a:cs typeface="Khmer OS Battambang"/>
                  </a:rPr>
                  <a:t>រក្សាទុក</a:t>
                </a:r>
              </a:p>
            </xdr:txBody>
          </xdr:sp>
        </mc:Choice>
        <mc:Fallback/>
      </mc:AlternateContent>
      <xdr:sp macro="" textlink="">
        <xdr:nvSpPr>
          <xdr:cNvPr id="23" name="Rectangle 22">
            <a:extLst>
              <a:ext uri="{FF2B5EF4-FFF2-40B4-BE49-F238E27FC236}">
                <a16:creationId xmlns:a16="http://schemas.microsoft.com/office/drawing/2014/main" id="{00000000-0008-0000-1300-000017000000}"/>
              </a:ext>
            </a:extLst>
          </xdr:cNvPr>
          <xdr:cNvSpPr/>
        </xdr:nvSpPr>
        <xdr:spPr>
          <a:xfrm>
            <a:off x="17976145" y="776687"/>
            <a:ext cx="449333" cy="40864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2800">
                <a:solidFill>
                  <a:srgbClr val="0070C0"/>
                </a:solidFill>
                <a:latin typeface="myicons" panose="02000509000000000000" pitchFamily="49" charset="0"/>
              </a:rPr>
              <a:t>R</a:t>
            </a:r>
            <a:endParaRPr lang="en-US" sz="2800">
              <a:solidFill>
                <a:srgbClr val="0070C0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3</xdr:row>
          <xdr:rowOff>0</xdr:rowOff>
        </xdr:from>
        <xdr:to>
          <xdr:col>13</xdr:col>
          <xdr:colOff>552450</xdr:colOff>
          <xdr:row>3</xdr:row>
          <xdr:rowOff>419100</xdr:rowOff>
        </xdr:to>
        <xdr:sp macro="" textlink="">
          <xdr:nvSpPr>
            <xdr:cNvPr id="4357125" name="Button 5" hidden="1">
              <a:extLst>
                <a:ext uri="{63B3BB69-23CF-44E3-9099-C40C66FF867C}">
                  <a14:compatExt spid="_x0000_s4357125"/>
                </a:ext>
                <a:ext uri="{FF2B5EF4-FFF2-40B4-BE49-F238E27FC236}">
                  <a16:creationId xmlns:a16="http://schemas.microsoft.com/office/drawing/2014/main" id="{00000000-0008-0000-1300-0000057C4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8288" rIns="73152" bIns="1828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66CC"/>
                  </a:solidFill>
                  <a:latin typeface="myicons"/>
                </a:rPr>
                <a:t>4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888928</xdr:colOff>
      <xdr:row>1</xdr:row>
      <xdr:rowOff>135731</xdr:rowOff>
    </xdr:from>
    <xdr:to>
      <xdr:col>4</xdr:col>
      <xdr:colOff>1192159</xdr:colOff>
      <xdr:row>3</xdr:row>
      <xdr:rowOff>424006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0000000-0008-0000-1400-000022000000}"/>
            </a:ext>
          </a:extLst>
        </xdr:cNvPr>
        <xdr:cNvGrpSpPr/>
      </xdr:nvGrpSpPr>
      <xdr:grpSpPr>
        <a:xfrm>
          <a:off x="1115147" y="242887"/>
          <a:ext cx="3017856" cy="883588"/>
          <a:chOff x="1651000" y="102658"/>
          <a:chExt cx="2663198" cy="859775"/>
        </a:xfrm>
      </xdr:grpSpPr>
      <xdr:sp macro="" textlink="">
        <xdr:nvSpPr>
          <xdr:cNvPr id="35" name="Rectangle 34">
            <a:extLst>
              <a:ext uri="{FF2B5EF4-FFF2-40B4-BE49-F238E27FC236}">
                <a16:creationId xmlns:a16="http://schemas.microsoft.com/office/drawing/2014/main" id="{00000000-0008-0000-1400-000023000000}"/>
              </a:ext>
            </a:extLst>
          </xdr:cNvPr>
          <xdr:cNvSpPr/>
        </xdr:nvSpPr>
        <xdr:spPr>
          <a:xfrm>
            <a:off x="2316509" y="588334"/>
            <a:ext cx="1418449" cy="37409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 baseline="0">
                <a:solidFill>
                  <a:srgbClr val="0070C0"/>
                </a:solidFill>
                <a:latin typeface="Roboto Medium" panose="02000000000000000000" pitchFamily="2" charset="0"/>
                <a:ea typeface="Roboto Medium" panose="02000000000000000000" pitchFamily="2" charset="0"/>
                <a:cs typeface="Khmer Muol" panose="02000500000000020004" pitchFamily="2" charset="0"/>
              </a:rPr>
              <a:t>INVOICE</a:t>
            </a:r>
            <a:endParaRPr lang="en-US" sz="2000">
              <a:solidFill>
                <a:srgbClr val="0070C0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Muol" panose="02000500000000020004" pitchFamily="2" charset="0"/>
            </a:endParaRPr>
          </a:p>
        </xdr:txBody>
      </xdr:sp>
      <xdr:sp macro="" textlink="">
        <xdr:nvSpPr>
          <xdr:cNvPr id="36" name="Rectangle 35">
            <a:extLst>
              <a:ext uri="{FF2B5EF4-FFF2-40B4-BE49-F238E27FC236}">
                <a16:creationId xmlns:a16="http://schemas.microsoft.com/office/drawing/2014/main" id="{00000000-0008-0000-1400-000024000000}"/>
              </a:ext>
            </a:extLst>
          </xdr:cNvPr>
          <xdr:cNvSpPr/>
        </xdr:nvSpPr>
        <xdr:spPr>
          <a:xfrm>
            <a:off x="1651000" y="102658"/>
            <a:ext cx="2663198" cy="5429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m-KH" sz="2000">
                <a:solidFill>
                  <a:srgbClr val="0070C0"/>
                </a:solidFill>
                <a:latin typeface="Roboto Medium" panose="02000000000000000000" pitchFamily="2" charset="0"/>
                <a:ea typeface="Roboto Medium" panose="02000000000000000000" pitchFamily="2" charset="0"/>
                <a:cs typeface="Khmer Muol" panose="02000500000000020004" pitchFamily="2" charset="0"/>
              </a:rPr>
              <a:t>វិក្កយប័ត្រ</a:t>
            </a:r>
            <a:endParaRPr lang="en-US" sz="2000">
              <a:solidFill>
                <a:srgbClr val="0070C0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Muol" panose="02000500000000020004" pitchFamily="2" charset="0"/>
            </a:endParaRPr>
          </a:p>
        </xdr:txBody>
      </xdr:sp>
    </xdr:grpSp>
    <xdr:clientData/>
  </xdr:twoCellAnchor>
  <xdr:twoCellAnchor>
    <xdr:from>
      <xdr:col>4</xdr:col>
      <xdr:colOff>787594</xdr:colOff>
      <xdr:row>9</xdr:row>
      <xdr:rowOff>285750</xdr:rowOff>
    </xdr:from>
    <xdr:to>
      <xdr:col>4</xdr:col>
      <xdr:colOff>2083594</xdr:colOff>
      <xdr:row>11</xdr:row>
      <xdr:rowOff>35719</xdr:rowOff>
    </xdr:to>
    <xdr:sp macro="[0]!goToCustomerList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SpPr/>
      </xdr:nvSpPr>
      <xdr:spPr>
        <a:xfrm>
          <a:off x="3871313" y="2845594"/>
          <a:ext cx="1296000" cy="440531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bg1"/>
          </a:solidFill>
        </a:ln>
        <a:effectLst>
          <a:innerShdw blurRad="63500" dist="50800" dir="2700000">
            <a:schemeClr val="accent1">
              <a:lumMod val="75000"/>
              <a:alpha val="50000"/>
            </a:scheme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aseline="0">
              <a:solidFill>
                <a:srgbClr val="0066CC"/>
              </a:solidFill>
              <a:latin typeface="myicons" panose="02000509000000000000" pitchFamily="49" charset="0"/>
            </a:rPr>
            <a:t>~</a:t>
          </a:r>
          <a:r>
            <a:rPr lang="en-US" sz="600" baseline="0">
              <a:solidFill>
                <a:srgbClr val="0066CC"/>
              </a:solidFill>
              <a:latin typeface="myicons" panose="02000509000000000000" pitchFamily="49" charset="0"/>
            </a:rPr>
            <a:t> </a:t>
          </a:r>
          <a:r>
            <a:rPr lang="km-KH" sz="1400" baseline="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rPr>
            <a:t>អតិថិជន</a:t>
          </a:r>
          <a:endParaRPr lang="en-US" sz="1400">
            <a:solidFill>
              <a:srgbClr val="0066CC"/>
            </a:solidFill>
            <a:latin typeface="Khmer OS Battambang" panose="02000500000000020004" pitchFamily="2" charset="0"/>
            <a:cs typeface="Khmer OS Battambang" panose="02000500000000020004" pitchFamily="2" charset="0"/>
          </a:endParaRPr>
        </a:p>
      </xdr:txBody>
    </xdr:sp>
    <xdr:clientData/>
  </xdr:twoCellAnchor>
  <xdr:twoCellAnchor>
    <xdr:from>
      <xdr:col>18</xdr:col>
      <xdr:colOff>98356</xdr:colOff>
      <xdr:row>2</xdr:row>
      <xdr:rowOff>50269</xdr:rowOff>
    </xdr:from>
    <xdr:to>
      <xdr:col>20</xdr:col>
      <xdr:colOff>713595</xdr:colOff>
      <xdr:row>4</xdr:row>
      <xdr:rowOff>3937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pSpPr/>
      </xdr:nvGrpSpPr>
      <xdr:grpSpPr>
        <a:xfrm>
          <a:off x="12826137" y="645582"/>
          <a:ext cx="2032083" cy="501355"/>
          <a:chOff x="16969510" y="645582"/>
          <a:chExt cx="2032434" cy="501355"/>
        </a:xfrm>
      </xdr:grpSpPr>
      <xdr:sp macro="[0]!getExchangeRateNBC" textlink="">
        <xdr:nvSpPr>
          <xdr:cNvPr id="10" name="Rectangle: Rounded Corners 9">
            <a:extLst>
              <a:ext uri="{FF2B5EF4-FFF2-40B4-BE49-F238E27FC236}">
                <a16:creationId xmlns:a16="http://schemas.microsoft.com/office/drawing/2014/main" id="{00000000-0008-0000-1400-00000A000000}"/>
              </a:ext>
            </a:extLst>
          </xdr:cNvPr>
          <xdr:cNvSpPr/>
        </xdr:nvSpPr>
        <xdr:spPr>
          <a:xfrm>
            <a:off x="16969510" y="645582"/>
            <a:ext cx="2032434" cy="501355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  <a:cs typeface="+mn-cs"/>
              </a:rPr>
              <a:t>  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អត្រាប្តូរប្រាក់ </a:t>
            </a:r>
            <a:r>
              <a:rPr lang="en-US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NBC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etExchangeRateNBC" textlink="">
        <xdr:nvSpPr>
          <xdr:cNvPr id="14" name="Rectangle: Rounded Corners 13">
            <a:extLst>
              <a:ext uri="{FF2B5EF4-FFF2-40B4-BE49-F238E27FC236}">
                <a16:creationId xmlns:a16="http://schemas.microsoft.com/office/drawing/2014/main" id="{00000000-0008-0000-1400-00000E000000}"/>
              </a:ext>
            </a:extLst>
          </xdr:cNvPr>
          <xdr:cNvSpPr/>
        </xdr:nvSpPr>
        <xdr:spPr>
          <a:xfrm>
            <a:off x="17052855" y="761999"/>
            <a:ext cx="425520" cy="369093"/>
          </a:xfrm>
          <a:prstGeom prst="round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800" baseline="0">
                <a:solidFill>
                  <a:srgbClr val="0066CC"/>
                </a:solidFill>
                <a:latin typeface="myicons" panose="02000509000000000000" pitchFamily="49" charset="0"/>
              </a:rPr>
              <a:t></a:t>
            </a:r>
            <a:endParaRPr lang="en-US" sz="105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</xdr:grpSp>
    <xdr:clientData/>
  </xdr:twoCellAnchor>
  <xdr:twoCellAnchor>
    <xdr:from>
      <xdr:col>1</xdr:col>
      <xdr:colOff>115094</xdr:colOff>
      <xdr:row>2</xdr:row>
      <xdr:rowOff>2644</xdr:rowOff>
    </xdr:from>
    <xdr:to>
      <xdr:col>2</xdr:col>
      <xdr:colOff>1156035</xdr:colOff>
      <xdr:row>3</xdr:row>
      <xdr:rowOff>396843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1400-000013000000}"/>
            </a:ext>
          </a:extLst>
        </xdr:cNvPr>
        <xdr:cNvGrpSpPr/>
      </xdr:nvGrpSpPr>
      <xdr:grpSpPr>
        <a:xfrm>
          <a:off x="222250" y="597957"/>
          <a:ext cx="1160004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18" name="Rectangle 17">
            <a:extLst>
              <a:ext uri="{FF2B5EF4-FFF2-40B4-BE49-F238E27FC236}">
                <a16:creationId xmlns:a16="http://schemas.microsoft.com/office/drawing/2014/main" id="{00000000-0008-0000-1400-000012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20</xdr:col>
      <xdr:colOff>846667</xdr:colOff>
      <xdr:row>2</xdr:row>
      <xdr:rowOff>42333</xdr:rowOff>
    </xdr:from>
    <xdr:to>
      <xdr:col>22</xdr:col>
      <xdr:colOff>829204</xdr:colOff>
      <xdr:row>3</xdr:row>
      <xdr:rowOff>412750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pSpPr/>
      </xdr:nvGrpSpPr>
      <xdr:grpSpPr>
        <a:xfrm>
          <a:off x="14991292" y="637646"/>
          <a:ext cx="1387475" cy="477573"/>
          <a:chOff x="17912586" y="686325"/>
          <a:chExt cx="1400699" cy="516467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359170" name="Button 2" hidden="1">
                <a:extLst>
                  <a:ext uri="{63B3BB69-23CF-44E3-9099-C40C66FF867C}">
                    <a14:compatExt spid="_x0000_s4359170"/>
                  </a:ext>
                  <a:ext uri="{FF2B5EF4-FFF2-40B4-BE49-F238E27FC236}">
                    <a16:creationId xmlns:a16="http://schemas.microsoft.com/office/drawing/2014/main" id="{00000000-0008-0000-1400-000002844200}"/>
                  </a:ext>
                </a:extLst>
              </xdr:cNvPr>
              <xdr:cNvSpPr/>
            </xdr:nvSpPr>
            <xdr:spPr bwMode="auto">
              <a:xfrm>
                <a:off x="17912586" y="686325"/>
                <a:ext cx="1400699" cy="51646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77724" rIns="36576" bIns="77724" anchor="ctr" upright="1"/>
              <a:lstStyle/>
              <a:p>
                <a:pPr algn="ctr" rtl="0">
                  <a:defRPr sz="1000"/>
                </a:pPr>
                <a:r>
                  <a:rPr lang="en-US" sz="1400" b="0" i="0" u="none" strike="noStrike" baseline="0">
                    <a:solidFill>
                      <a:srgbClr val="0066CC"/>
                    </a:solidFill>
                    <a:latin typeface="Khmer OS Battambang"/>
                    <a:cs typeface="Khmer OS Battambang"/>
                  </a:rPr>
                  <a:t>        </a:t>
                </a:r>
                <a:r>
                  <a:rPr lang="en-US" sz="1600" b="0" i="0" u="none" strike="noStrike" baseline="0">
                    <a:solidFill>
                      <a:srgbClr val="0066CC"/>
                    </a:solidFill>
                    <a:latin typeface="Khmer OS Battambang"/>
                    <a:cs typeface="Khmer OS Battambang"/>
                  </a:rPr>
                  <a:t>រក្សាទុក</a:t>
                </a:r>
              </a:p>
            </xdr:txBody>
          </xdr:sp>
        </mc:Choice>
        <mc:Fallback/>
      </mc:AlternateContent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>
            <a:off x="17954979" y="776687"/>
            <a:ext cx="449333" cy="40864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2800">
                <a:solidFill>
                  <a:srgbClr val="0070C0"/>
                </a:solidFill>
                <a:latin typeface="myicons" panose="02000509000000000000" pitchFamily="49" charset="0"/>
              </a:rPr>
              <a:t>R</a:t>
            </a:r>
            <a:endParaRPr lang="en-US" sz="2800">
              <a:solidFill>
                <a:srgbClr val="0070C0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10</xdr:row>
          <xdr:rowOff>9525</xdr:rowOff>
        </xdr:from>
        <xdr:to>
          <xdr:col>4</xdr:col>
          <xdr:colOff>447675</xdr:colOff>
          <xdr:row>10</xdr:row>
          <xdr:rowOff>333375</xdr:rowOff>
        </xdr:to>
        <xdr:sp macro="" textlink="">
          <xdr:nvSpPr>
            <xdr:cNvPr id="4359172" name="Button 4" hidden="1">
              <a:extLst>
                <a:ext uri="{63B3BB69-23CF-44E3-9099-C40C66FF867C}">
                  <a14:compatExt spid="_x0000_s4359172"/>
                </a:ext>
                <a:ext uri="{FF2B5EF4-FFF2-40B4-BE49-F238E27FC236}">
                  <a16:creationId xmlns:a16="http://schemas.microsoft.com/office/drawing/2014/main" id="{00000000-0008-0000-1400-000004844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8288" rIns="73152" bIns="1828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66CC"/>
                  </a:solidFill>
                  <a:latin typeface="myicons"/>
                </a:rPr>
                <a:t>4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184165</xdr:colOff>
      <xdr:row>2</xdr:row>
      <xdr:rowOff>42333</xdr:rowOff>
    </xdr:from>
    <xdr:to>
      <xdr:col>29</xdr:col>
      <xdr:colOff>273844</xdr:colOff>
      <xdr:row>3</xdr:row>
      <xdr:rowOff>412750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pSpPr/>
      </xdr:nvGrpSpPr>
      <xdr:grpSpPr>
        <a:xfrm>
          <a:off x="16590978" y="637646"/>
          <a:ext cx="2494741" cy="477573"/>
          <a:chOff x="17912427" y="686325"/>
          <a:chExt cx="442886" cy="516467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359184" name="Button 16" hidden="1">
                <a:extLst>
                  <a:ext uri="{63B3BB69-23CF-44E3-9099-C40C66FF867C}">
                    <a14:compatExt spid="_x0000_s4359184"/>
                  </a:ext>
                  <a:ext uri="{FF2B5EF4-FFF2-40B4-BE49-F238E27FC236}">
                    <a16:creationId xmlns:a16="http://schemas.microsoft.com/office/drawing/2014/main" id="{00000000-0008-0000-1400-000010844200}"/>
                  </a:ext>
                </a:extLst>
              </xdr:cNvPr>
              <xdr:cNvSpPr/>
            </xdr:nvSpPr>
            <xdr:spPr bwMode="auto">
              <a:xfrm>
                <a:off x="17912427" y="686325"/>
                <a:ext cx="442886" cy="51646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400" b="0" i="0" u="none" strike="noStrike" baseline="0">
                    <a:solidFill>
                      <a:srgbClr val="0066CC"/>
                    </a:solidFill>
                    <a:latin typeface="Roboto Medium"/>
                    <a:ea typeface="Roboto Medium"/>
                    <a:cs typeface="Roboto Medium"/>
                  </a:rPr>
                  <a:t>         Invoice Automation        </a:t>
                </a:r>
              </a:p>
            </xdr:txBody>
          </xdr:sp>
        </mc:Choice>
        <mc:Fallback/>
      </mc:AlternateContent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SpPr/>
        </xdr:nvSpPr>
        <xdr:spPr>
          <a:xfrm>
            <a:off x="17926639" y="776687"/>
            <a:ext cx="107702" cy="40864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2800">
                <a:solidFill>
                  <a:srgbClr val="0070C0"/>
                </a:solidFill>
                <a:latin typeface="myicons" panose="02000509000000000000" pitchFamily="49" charset="0"/>
              </a:rPr>
              <a:t>9</a:t>
            </a:r>
            <a:endParaRPr lang="en-US" sz="2800">
              <a:solidFill>
                <a:srgbClr val="0070C0"/>
              </a:solidFill>
            </a:endParaRPr>
          </a:p>
        </xdr:txBody>
      </xdr:sp>
    </xdr:grp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10585</xdr:colOff>
          <xdr:row>12</xdr:row>
          <xdr:rowOff>369094</xdr:rowOff>
        </xdr:from>
        <xdr:to>
          <xdr:col>9</xdr:col>
          <xdr:colOff>273843</xdr:colOff>
          <xdr:row>15</xdr:row>
          <xdr:rowOff>274580</xdr:rowOff>
        </xdr:to>
        <xdr:grpSp>
          <xdr:nvGrpSpPr>
            <xdr:cNvPr id="5" name="Group 4">
              <a:extLst>
                <a:ext uri="{FF2B5EF4-FFF2-40B4-BE49-F238E27FC236}">
                  <a16:creationId xmlns:a16="http://schemas.microsoft.com/office/drawing/2014/main" id="{00000000-0008-0000-1500-000005000000}"/>
                </a:ext>
              </a:extLst>
            </xdr:cNvPr>
            <xdr:cNvGrpSpPr/>
          </xdr:nvGrpSpPr>
          <xdr:grpSpPr>
            <a:xfrm>
              <a:off x="6332804" y="4429125"/>
              <a:ext cx="489477" cy="1048486"/>
              <a:chOff x="5365750" y="2134741"/>
              <a:chExt cx="275056" cy="731346"/>
            </a:xfrm>
          </xdr:grpSpPr>
          <xdr:sp macro="" textlink="">
            <xdr:nvSpPr>
              <xdr:cNvPr id="447489" name="Check Box 1" hidden="1">
                <a:extLst>
                  <a:ext uri="{63B3BB69-23CF-44E3-9099-C40C66FF867C}">
                    <a14:compatExt spid="_x0000_s447489"/>
                  </a:ext>
                  <a:ext uri="{FF2B5EF4-FFF2-40B4-BE49-F238E27FC236}">
                    <a16:creationId xmlns:a16="http://schemas.microsoft.com/office/drawing/2014/main" id="{00000000-0008-0000-1500-000001D40600}"/>
                  </a:ext>
                </a:extLst>
              </xdr:cNvPr>
              <xdr:cNvSpPr/>
            </xdr:nvSpPr>
            <xdr:spPr bwMode="auto">
              <a:xfrm>
                <a:off x="5368819" y="2134741"/>
                <a:ext cx="271987" cy="27728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47492" name="Check Box 4" hidden="1">
                <a:extLst>
                  <a:ext uri="{63B3BB69-23CF-44E3-9099-C40C66FF867C}">
                    <a14:compatExt spid="_x0000_s447492"/>
                  </a:ext>
                  <a:ext uri="{FF2B5EF4-FFF2-40B4-BE49-F238E27FC236}">
                    <a16:creationId xmlns:a16="http://schemas.microsoft.com/office/drawing/2014/main" id="{00000000-0008-0000-1500-000004D40600}"/>
                  </a:ext>
                </a:extLst>
              </xdr:cNvPr>
              <xdr:cNvSpPr/>
            </xdr:nvSpPr>
            <xdr:spPr bwMode="auto">
              <a:xfrm>
                <a:off x="5365750" y="2406245"/>
                <a:ext cx="232833" cy="20108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47493" name="Check Box 5" hidden="1">
                <a:extLst>
                  <a:ext uri="{63B3BB69-23CF-44E3-9099-C40C66FF867C}">
                    <a14:compatExt spid="_x0000_s447493"/>
                  </a:ext>
                  <a:ext uri="{FF2B5EF4-FFF2-40B4-BE49-F238E27FC236}">
                    <a16:creationId xmlns:a16="http://schemas.microsoft.com/office/drawing/2014/main" id="{00000000-0008-0000-1500-000005D40600}"/>
                  </a:ext>
                </a:extLst>
              </xdr:cNvPr>
              <xdr:cNvSpPr/>
            </xdr:nvSpPr>
            <xdr:spPr bwMode="auto">
              <a:xfrm>
                <a:off x="5365750" y="2665005"/>
                <a:ext cx="232833" cy="201082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xdr:twoCellAnchor>
    <xdr:from>
      <xdr:col>1</xdr:col>
      <xdr:colOff>23811</xdr:colOff>
      <xdr:row>2</xdr:row>
      <xdr:rowOff>80962</xdr:rowOff>
    </xdr:from>
    <xdr:to>
      <xdr:col>6</xdr:col>
      <xdr:colOff>321469</xdr:colOff>
      <xdr:row>3</xdr:row>
      <xdr:rowOff>221869</xdr:rowOff>
    </xdr:to>
    <xdr:sp macro="" textlink="$Z$3">
      <xdr:nvSpPr>
        <xdr:cNvPr id="6" name="Rectangle 5">
          <a:extLst>
            <a:ext uri="{FF2B5EF4-FFF2-40B4-BE49-F238E27FC236}">
              <a16:creationId xmlns:a16="http://schemas.microsoft.com/office/drawing/2014/main" id="{00000000-0008-0000-1500-000006000000}"/>
            </a:ext>
          </a:extLst>
        </xdr:cNvPr>
        <xdr:cNvSpPr/>
      </xdr:nvSpPr>
      <xdr:spPr>
        <a:xfrm>
          <a:off x="142874" y="819150"/>
          <a:ext cx="4048126" cy="45046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13317A17-31DA-4B99-9C55-1E38AFBD7A80}" type="TxLink">
            <a:rPr lang="km-KH" sz="1600" b="0" i="0" u="none" strike="noStrike">
              <a:solidFill>
                <a:schemeClr val="tx1"/>
              </a:solidFill>
              <a:latin typeface="Khmer Muol" panose="02000500000000020004" pitchFamily="2" charset="0"/>
              <a:cs typeface="Khmer Muol" panose="02000500000000020004" pitchFamily="2" charset="0"/>
            </a:rPr>
            <a:pPr algn="l"/>
            <a:t>គោកស្នួល ខនស្រ្តាក់សិន មេធៀរៀល</a:t>
          </a:fld>
          <a:endParaRPr lang="en-US" sz="2400" b="0">
            <a:solidFill>
              <a:schemeClr val="tx1"/>
            </a:solidFill>
            <a:latin typeface="Khmer Muol" panose="02000500000000020004" pitchFamily="2" charset="0"/>
            <a:cs typeface="Khmer Muol" panose="02000500000000020004" pitchFamily="2" charset="0"/>
          </a:endParaRPr>
        </a:p>
      </xdr:txBody>
    </xdr:sp>
    <xdr:clientData/>
  </xdr:twoCellAnchor>
  <xdr:twoCellAnchor>
    <xdr:from>
      <xdr:col>1</xdr:col>
      <xdr:colOff>23812</xdr:colOff>
      <xdr:row>3</xdr:row>
      <xdr:rowOff>186559</xdr:rowOff>
    </xdr:from>
    <xdr:to>
      <xdr:col>6</xdr:col>
      <xdr:colOff>178594</xdr:colOff>
      <xdr:row>4</xdr:row>
      <xdr:rowOff>230936</xdr:rowOff>
    </xdr:to>
    <xdr:sp macro="" textlink="$Z$4">
      <xdr:nvSpPr>
        <xdr:cNvPr id="7" name="Rectangle 6">
          <a:extLst>
            <a:ext uri="{FF2B5EF4-FFF2-40B4-BE49-F238E27FC236}">
              <a16:creationId xmlns:a16="http://schemas.microsoft.com/office/drawing/2014/main" id="{00000000-0008-0000-1500-000007000000}"/>
            </a:ext>
          </a:extLst>
        </xdr:cNvPr>
        <xdr:cNvSpPr/>
      </xdr:nvSpPr>
      <xdr:spPr>
        <a:xfrm>
          <a:off x="142875" y="1234309"/>
          <a:ext cx="3905250" cy="40156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F3E2E8F5-0918-44C0-A3D4-65A8129A853A}" type="TxLink">
            <a:rPr lang="en-US" sz="1300" b="0" i="0" u="none" strike="noStrike">
              <a:solidFill>
                <a:schemeClr val="tx1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OS Battambang" panose="02000500000000020004" pitchFamily="2" charset="0"/>
            </a:rPr>
            <a:pPr algn="l"/>
            <a:t>KORK SNUOL CONSTRUCTION MATERIAL</a:t>
          </a:fld>
          <a:endParaRPr lang="en-US" sz="1300" b="0">
            <a:solidFill>
              <a:schemeClr val="tx1"/>
            </a:solidFill>
            <a:latin typeface="Roboto Medium" panose="02000000000000000000" pitchFamily="2" charset="0"/>
            <a:ea typeface="Roboto Medium" panose="02000000000000000000" pitchFamily="2" charset="0"/>
            <a:cs typeface="Khmer OS Battambang" panose="02000500000000020004" pitchFamily="2" charset="0"/>
          </a:endParaRPr>
        </a:p>
      </xdr:txBody>
    </xdr:sp>
    <xdr:clientData/>
  </xdr:twoCellAnchor>
  <xdr:twoCellAnchor>
    <xdr:from>
      <xdr:col>1</xdr:col>
      <xdr:colOff>11905</xdr:colOff>
      <xdr:row>4</xdr:row>
      <xdr:rowOff>269688</xdr:rowOff>
    </xdr:from>
    <xdr:to>
      <xdr:col>6</xdr:col>
      <xdr:colOff>259556</xdr:colOff>
      <xdr:row>5</xdr:row>
      <xdr:rowOff>183097</xdr:rowOff>
    </xdr:to>
    <xdr:sp macro="" textlink="$Z$5">
      <xdr:nvSpPr>
        <xdr:cNvPr id="8" name="Rectangle 7">
          <a:extLst>
            <a:ext uri="{FF2B5EF4-FFF2-40B4-BE49-F238E27FC236}">
              <a16:creationId xmlns:a16="http://schemas.microsoft.com/office/drawing/2014/main" id="{00000000-0008-0000-1500-000008000000}"/>
            </a:ext>
          </a:extLst>
        </xdr:cNvPr>
        <xdr:cNvSpPr/>
      </xdr:nvSpPr>
      <xdr:spPr>
        <a:xfrm>
          <a:off x="130968" y="1674626"/>
          <a:ext cx="3998119" cy="3539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16D3C47A-9457-444B-B8FF-09E08ED29352}" type="TxLink">
            <a:rPr lang="km-KH" sz="1100" b="0" i="0" u="none" strike="noStrike">
              <a:solidFill>
                <a:schemeClr val="tx1"/>
              </a:solidFill>
              <a:latin typeface="Khmer OS Battambang" panose="02000500000000020004" pitchFamily="2" charset="0"/>
              <a:ea typeface="Calibri"/>
              <a:cs typeface="Khmer OS Battambang" panose="02000500000000020004" pitchFamily="2" charset="0"/>
            </a:rPr>
            <a:pPr algn="l"/>
            <a:t>លេខទូរស័ព្ទ ៖ 011 50 2000 / 060 50 2000 / 098 50 2000</a:t>
          </a:fld>
          <a:endParaRPr lang="en-US" sz="1200" b="0">
            <a:solidFill>
              <a:schemeClr val="tx1"/>
            </a:solidFill>
            <a:latin typeface="Khmer OS Battambang" panose="02000500000000020004" pitchFamily="2" charset="0"/>
            <a:cs typeface="Khmer OS Battambang" panose="02000500000000020004" pitchFamily="2" charset="0"/>
          </a:endParaRPr>
        </a:p>
      </xdr:txBody>
    </xdr:sp>
    <xdr:clientData/>
  </xdr:twoCellAnchor>
  <xdr:twoCellAnchor>
    <xdr:from>
      <xdr:col>7</xdr:col>
      <xdr:colOff>571500</xdr:colOff>
      <xdr:row>2</xdr:row>
      <xdr:rowOff>130970</xdr:rowOff>
    </xdr:from>
    <xdr:to>
      <xdr:col>11</xdr:col>
      <xdr:colOff>35718</xdr:colOff>
      <xdr:row>5</xdr:row>
      <xdr:rowOff>23813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1500-00000C000000}"/>
            </a:ext>
          </a:extLst>
        </xdr:cNvPr>
        <xdr:cNvGrpSpPr/>
      </xdr:nvGrpSpPr>
      <xdr:grpSpPr>
        <a:xfrm>
          <a:off x="5441156" y="976314"/>
          <a:ext cx="2738437" cy="1000124"/>
          <a:chOff x="3786188" y="762000"/>
          <a:chExt cx="3869532" cy="953059"/>
        </a:xfrm>
      </xdr:grpSpPr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1500-000004000000}"/>
              </a:ext>
            </a:extLst>
          </xdr:cNvPr>
          <xdr:cNvSpPr txBox="1"/>
        </xdr:nvSpPr>
        <xdr:spPr>
          <a:xfrm>
            <a:off x="4262955" y="1244478"/>
            <a:ext cx="2904868" cy="470581"/>
          </a:xfrm>
          <a:prstGeom prst="rect">
            <a:avLst/>
          </a:prstGeom>
          <a:noFill/>
          <a:ln w="9525" cmpd="sng">
            <a:noFill/>
            <a:prstDash val="dash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r>
              <a:rPr lang="en-US" sz="1600" b="0" i="0" u="none" strike="noStrike" baseline="0">
                <a:solidFill>
                  <a:srgbClr val="0066CC"/>
                </a:solidFill>
                <a:effectLst/>
                <a:latin typeface="Roboto Medium" panose="02000000000000000000" pitchFamily="2" charset="0"/>
                <a:ea typeface="Roboto Medium" panose="02000000000000000000" pitchFamily="2" charset="0"/>
                <a:cs typeface="Roboto Medium" panose="02000000000000000000" pitchFamily="2" charset="0"/>
              </a:rPr>
              <a:t>OFFICIAL RECEIPT</a:t>
            </a:r>
            <a:endParaRPr lang="ca-ES" sz="1600" b="0" i="0" u="none" strike="noStrike">
              <a:solidFill>
                <a:srgbClr val="0066CC"/>
              </a:solidFill>
              <a:effectLst/>
              <a:latin typeface="Roboto Medium" panose="02000000000000000000" pitchFamily="2" charset="0"/>
              <a:ea typeface="Roboto Medium" panose="02000000000000000000" pitchFamily="2" charset="0"/>
              <a:cs typeface="Roboto Medium" panose="02000000000000000000" pitchFamily="2" charset="0"/>
            </a:endParaRPr>
          </a:p>
        </xdr:txBody>
      </xdr:sp>
      <xdr:sp macro="" textlink="">
        <xdr:nvSpPr>
          <xdr:cNvPr id="2" name="TextBox 1">
            <a:extLst>
              <a:ext uri="{FF2B5EF4-FFF2-40B4-BE49-F238E27FC236}">
                <a16:creationId xmlns:a16="http://schemas.microsoft.com/office/drawing/2014/main" id="{00000000-0008-0000-1500-000002000000}"/>
              </a:ext>
            </a:extLst>
          </xdr:cNvPr>
          <xdr:cNvSpPr txBox="1"/>
        </xdr:nvSpPr>
        <xdr:spPr>
          <a:xfrm>
            <a:off x="3786188" y="762000"/>
            <a:ext cx="3869532" cy="511969"/>
          </a:xfrm>
          <a:prstGeom prst="rect">
            <a:avLst/>
          </a:prstGeom>
          <a:noFill/>
          <a:ln w="9525" cmpd="sng">
            <a:noFill/>
            <a:prstDash val="dash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r>
              <a:rPr lang="km-KH" sz="2000" b="0" i="0" u="none" strike="noStrike" baseline="0">
                <a:solidFill>
                  <a:srgbClr val="0066CC"/>
                </a:solidFill>
                <a:effectLst/>
                <a:latin typeface="Khmer Muol" panose="02000500000000020004" pitchFamily="2" charset="0"/>
                <a:ea typeface="Roboto Medium" panose="02000000000000000000" pitchFamily="2" charset="0"/>
                <a:cs typeface="Khmer Muol" panose="02000500000000020004" pitchFamily="2" charset="0"/>
              </a:rPr>
              <a:t>បង្កាត់ដៃទទួលប្រាក់</a:t>
            </a:r>
            <a:endParaRPr lang="ca-ES" sz="2000" b="0" i="0" u="none" strike="noStrike">
              <a:solidFill>
                <a:srgbClr val="0066CC"/>
              </a:solidFill>
              <a:effectLst/>
              <a:latin typeface="Khmer Muol" panose="02000500000000020004" pitchFamily="2" charset="0"/>
              <a:ea typeface="Roboto Medium" panose="02000000000000000000" pitchFamily="2" charset="0"/>
              <a:cs typeface="Khmer Muol" panose="02000500000000020004" pitchFamily="2" charset="0"/>
            </a:endParaRPr>
          </a:p>
        </xdr:txBody>
      </xdr:sp>
    </xdr:grpSp>
    <xdr:clientData/>
  </xdr:twoCellAnchor>
  <xdr:twoCellAnchor>
    <xdr:from>
      <xdr:col>12</xdr:col>
      <xdr:colOff>130969</xdr:colOff>
      <xdr:row>0</xdr:row>
      <xdr:rowOff>107156</xdr:rowOff>
    </xdr:from>
    <xdr:to>
      <xdr:col>13</xdr:col>
      <xdr:colOff>1166813</xdr:colOff>
      <xdr:row>0</xdr:row>
      <xdr:rowOff>608511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pSpPr/>
      </xdr:nvGrpSpPr>
      <xdr:grpSpPr>
        <a:xfrm>
          <a:off x="8429625" y="107156"/>
          <a:ext cx="1202532" cy="501355"/>
          <a:chOff x="19188906" y="645582"/>
          <a:chExt cx="1163973" cy="499371"/>
        </a:xfrm>
      </xdr:grpSpPr>
      <xdr:sp macro="[0]!goToHome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00000000-0008-0000-1500-000009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1500-00000A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22</xdr:col>
      <xdr:colOff>47609</xdr:colOff>
      <xdr:row>5</xdr:row>
      <xdr:rowOff>306962</xdr:rowOff>
    </xdr:from>
    <xdr:to>
      <xdr:col>23</xdr:col>
      <xdr:colOff>190500</xdr:colOff>
      <xdr:row>8</xdr:row>
      <xdr:rowOff>3967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00000000-0008-0000-1500-000021000000}"/>
            </a:ext>
          </a:extLst>
        </xdr:cNvPr>
        <xdr:cNvGrpSpPr/>
      </xdr:nvGrpSpPr>
      <xdr:grpSpPr>
        <a:xfrm>
          <a:off x="15954359" y="2259587"/>
          <a:ext cx="1143016" cy="506630"/>
          <a:chOff x="17283671" y="3914598"/>
          <a:chExt cx="551181" cy="492647"/>
        </a:xfrm>
      </xdr:grpSpPr>
      <xdr:sp macro="[0]!CurrentDate" textlink="">
        <xdr:nvSpPr>
          <xdr:cNvPr id="31" name="Rectangle: Rounded Corners 30">
            <a:extLst>
              <a:ext uri="{FF2B5EF4-FFF2-40B4-BE49-F238E27FC236}">
                <a16:creationId xmlns:a16="http://schemas.microsoft.com/office/drawing/2014/main" id="{00000000-0008-0000-1500-00001F000000}"/>
              </a:ext>
            </a:extLst>
          </xdr:cNvPr>
          <xdr:cNvSpPr/>
        </xdr:nvSpPr>
        <xdr:spPr>
          <a:xfrm>
            <a:off x="17284784" y="3914598"/>
            <a:ext cx="550068" cy="492647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 baseline="0">
                <a:solidFill>
                  <a:srgbClr val="0066CC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    </a:t>
            </a:r>
            <a:r>
              <a:rPr lang="en-US" sz="1200" baseline="0">
                <a:solidFill>
                  <a:srgbClr val="0066CC"/>
                </a:solidFill>
                <a:latin typeface="Khmer OS Battambang" panose="02000500000000020004" pitchFamily="2" charset="0"/>
                <a:ea typeface="Roboto" panose="02000000000000000000" pitchFamily="2" charset="0"/>
                <a:cs typeface="Khmer OS Battambang" panose="02000500000000020004" pitchFamily="2" charset="0"/>
              </a:rPr>
              <a:t> </a:t>
            </a:r>
            <a:r>
              <a:rPr lang="km-KH" sz="1200" baseline="0">
                <a:solidFill>
                  <a:srgbClr val="0066CC"/>
                </a:solidFill>
                <a:latin typeface="Khmer OS Battambang" panose="02000500000000020004" pitchFamily="2" charset="0"/>
                <a:ea typeface="Roboto" panose="02000000000000000000" pitchFamily="2" charset="0"/>
                <a:cs typeface="Khmer OS Battambang" panose="02000500000000020004" pitchFamily="2" charset="0"/>
              </a:rPr>
              <a:t> ថ្ងៃបច្ចុប្បន្ន</a:t>
            </a:r>
            <a:endParaRPr lang="en-US" sz="1200">
              <a:solidFill>
                <a:srgbClr val="0066CC"/>
              </a:solidFill>
              <a:latin typeface="Khmer OS Battambang" panose="02000500000000020004" pitchFamily="2" charset="0"/>
              <a:ea typeface="Roboto" panose="02000000000000000000" pitchFamily="2" charset="0"/>
              <a:cs typeface="Khmer OS Battambang" panose="02000500000000020004" pitchFamily="2" charset="0"/>
            </a:endParaRPr>
          </a:p>
        </xdr:txBody>
      </xdr:sp>
      <xdr:sp macro="[0]!CurrentDate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1500-000020000000}"/>
              </a:ext>
            </a:extLst>
          </xdr:cNvPr>
          <xdr:cNvSpPr/>
        </xdr:nvSpPr>
        <xdr:spPr>
          <a:xfrm>
            <a:off x="17283671" y="3986593"/>
            <a:ext cx="203004" cy="36012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\ 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20</xdr:col>
      <xdr:colOff>49415</xdr:colOff>
      <xdr:row>12</xdr:row>
      <xdr:rowOff>10703</xdr:rowOff>
    </xdr:from>
    <xdr:to>
      <xdr:col>22</xdr:col>
      <xdr:colOff>952500</xdr:colOff>
      <xdr:row>12</xdr:row>
      <xdr:rowOff>428091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1500-000027000000}"/>
            </a:ext>
          </a:extLst>
        </xdr:cNvPr>
        <xdr:cNvGrpSpPr/>
      </xdr:nvGrpSpPr>
      <xdr:grpSpPr>
        <a:xfrm>
          <a:off x="14706009" y="4070734"/>
          <a:ext cx="2153241" cy="369763"/>
          <a:chOff x="19188906" y="645582"/>
          <a:chExt cx="1163973" cy="499371"/>
        </a:xfrm>
      </xdr:grpSpPr>
      <xdr:sp macro="[0]!ExchangeRateReceivePayment" textlink="">
        <xdr:nvSpPr>
          <xdr:cNvPr id="40" name="Rectangle: Rounded Corners 39">
            <a:extLst>
              <a:ext uri="{FF2B5EF4-FFF2-40B4-BE49-F238E27FC236}">
                <a16:creationId xmlns:a16="http://schemas.microsoft.com/office/drawing/2014/main" id="{00000000-0008-0000-1500-000028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</a:t>
            </a:r>
            <a:r>
              <a:rPr lang="km-KH" sz="11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អត្រាប្តូរប្រាក់ធនាគារជាតិ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NBC_ExchangeRate" textlink="">
        <xdr:nvSpPr>
          <xdr:cNvPr id="41" name="Rectangle 40">
            <a:extLst>
              <a:ext uri="{FF2B5EF4-FFF2-40B4-BE49-F238E27FC236}">
                <a16:creationId xmlns:a16="http://schemas.microsoft.com/office/drawing/2014/main" id="{00000000-0008-0000-1500-000029000000}"/>
              </a:ext>
            </a:extLst>
          </xdr:cNvPr>
          <xdr:cNvSpPr/>
        </xdr:nvSpPr>
        <xdr:spPr>
          <a:xfrm>
            <a:off x="19281408" y="771448"/>
            <a:ext cx="187435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>
                <a:solidFill>
                  <a:srgbClr val="0066CC"/>
                </a:solidFill>
                <a:latin typeface="myicons" panose="02000509000000000000" pitchFamily="49" charset="0"/>
              </a:rPr>
              <a:t></a:t>
            </a:r>
            <a:endParaRPr lang="en-US" sz="14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25</xdr:col>
      <xdr:colOff>23809</xdr:colOff>
      <xdr:row>0</xdr:row>
      <xdr:rowOff>83341</xdr:rowOff>
    </xdr:from>
    <xdr:to>
      <xdr:col>26</xdr:col>
      <xdr:colOff>809624</xdr:colOff>
      <xdr:row>0</xdr:row>
      <xdr:rowOff>607216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1500-000012000000}"/>
            </a:ext>
          </a:extLst>
        </xdr:cNvPr>
        <xdr:cNvGrpSpPr/>
      </xdr:nvGrpSpPr>
      <xdr:grpSpPr>
        <a:xfrm>
          <a:off x="17406934" y="83341"/>
          <a:ext cx="2595565" cy="523875"/>
          <a:chOff x="19188906" y="645582"/>
          <a:chExt cx="1163973" cy="499371"/>
        </a:xfrm>
      </xdr:grpSpPr>
      <xdr:sp macro="[0]!copyReceivePayment" textlink="">
        <xdr:nvSpPr>
          <xdr:cNvPr id="19" name="Rectangle: Rounded Corners 18">
            <a:extLst>
              <a:ext uri="{FF2B5EF4-FFF2-40B4-BE49-F238E27FC236}">
                <a16:creationId xmlns:a16="http://schemas.microsoft.com/office/drawing/2014/main" id="{00000000-0008-0000-1500-00001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</a:t>
            </a:r>
            <a:r>
              <a:rPr lang="en-US" sz="1400" baseline="0">
                <a:solidFill>
                  <a:srgbClr val="0066CC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Copy Receive Payment</a:t>
            </a:r>
            <a:endParaRPr lang="en-US" sz="1400">
              <a:solidFill>
                <a:srgbClr val="0066CC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endParaRPr>
          </a:p>
        </xdr:txBody>
      </xdr:sp>
      <xdr:sp macro="[0]!goToNBC_ExchangeRate" textlink="">
        <xdr:nvSpPr>
          <xdr:cNvPr id="20" name="Rectangle 19">
            <a:extLst>
              <a:ext uri="{FF2B5EF4-FFF2-40B4-BE49-F238E27FC236}">
                <a16:creationId xmlns:a16="http://schemas.microsoft.com/office/drawing/2014/main" id="{00000000-0008-0000-1500-000014000000}"/>
              </a:ext>
            </a:extLst>
          </xdr:cNvPr>
          <xdr:cNvSpPr/>
        </xdr:nvSpPr>
        <xdr:spPr>
          <a:xfrm>
            <a:off x="19223852" y="757203"/>
            <a:ext cx="187435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600">
                <a:solidFill>
                  <a:srgbClr val="0066CC"/>
                </a:solidFill>
                <a:latin typeface="myicons" panose="02000509000000000000" pitchFamily="49" charset="0"/>
              </a:rPr>
              <a:t>y</a:t>
            </a:r>
            <a:endParaRPr lang="en-US" sz="16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1</xdr:col>
      <xdr:colOff>47624</xdr:colOff>
      <xdr:row>0</xdr:row>
      <xdr:rowOff>71437</xdr:rowOff>
    </xdr:from>
    <xdr:to>
      <xdr:col>4</xdr:col>
      <xdr:colOff>558646</xdr:colOff>
      <xdr:row>0</xdr:row>
      <xdr:rowOff>587374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0000000-0008-0000-1500-000022000000}"/>
            </a:ext>
          </a:extLst>
        </xdr:cNvPr>
        <xdr:cNvGrpSpPr/>
      </xdr:nvGrpSpPr>
      <xdr:grpSpPr>
        <a:xfrm>
          <a:off x="166687" y="71437"/>
          <a:ext cx="2082647" cy="515937"/>
          <a:chOff x="19188906" y="645582"/>
          <a:chExt cx="1163973" cy="499371"/>
        </a:xfrm>
      </xdr:grpSpPr>
      <xdr:sp macro="[0]!printPreview" textlink="">
        <xdr:nvSpPr>
          <xdr:cNvPr id="35" name="Rectangle: Rounded Corners 34">
            <a:extLst>
              <a:ext uri="{FF2B5EF4-FFF2-40B4-BE49-F238E27FC236}">
                <a16:creationId xmlns:a16="http://schemas.microsoft.com/office/drawing/2014/main" id="{00000000-0008-0000-1500-00002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              </a:t>
            </a:r>
            <a:r>
              <a:rPr lang="en-US" sz="1400" baseline="0">
                <a:solidFill>
                  <a:srgbClr val="0066CC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PRINT PREVIEW</a:t>
            </a:r>
            <a:endParaRPr lang="en-US" sz="1400">
              <a:solidFill>
                <a:srgbClr val="0066CC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endParaRPr>
          </a:p>
        </xdr:txBody>
      </xdr:sp>
      <xdr:sp macro="" textlink="">
        <xdr:nvSpPr>
          <xdr:cNvPr id="36" name="Rectangle 35">
            <a:extLst>
              <a:ext uri="{FF2B5EF4-FFF2-40B4-BE49-F238E27FC236}">
                <a16:creationId xmlns:a16="http://schemas.microsoft.com/office/drawing/2014/main" id="{00000000-0008-0000-1500-000024000000}"/>
              </a:ext>
            </a:extLst>
          </xdr:cNvPr>
          <xdr:cNvSpPr/>
        </xdr:nvSpPr>
        <xdr:spPr>
          <a:xfrm>
            <a:off x="19219095" y="758897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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20</xdr:col>
      <xdr:colOff>940593</xdr:colOff>
      <xdr:row>0</xdr:row>
      <xdr:rowOff>107156</xdr:rowOff>
    </xdr:from>
    <xdr:to>
      <xdr:col>23</xdr:col>
      <xdr:colOff>65880</xdr:colOff>
      <xdr:row>0</xdr:row>
      <xdr:rowOff>584729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1500-00000B000000}"/>
            </a:ext>
          </a:extLst>
        </xdr:cNvPr>
        <xdr:cNvGrpSpPr/>
      </xdr:nvGrpSpPr>
      <xdr:grpSpPr>
        <a:xfrm>
          <a:off x="15597187" y="107156"/>
          <a:ext cx="1375568" cy="477573"/>
          <a:chOff x="17912321" y="686323"/>
          <a:chExt cx="1400700" cy="516467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47494" name="Button 6" hidden="1">
                <a:extLst>
                  <a:ext uri="{63B3BB69-23CF-44E3-9099-C40C66FF867C}">
                    <a14:compatExt spid="_x0000_s447494"/>
                  </a:ext>
                  <a:ext uri="{FF2B5EF4-FFF2-40B4-BE49-F238E27FC236}">
                    <a16:creationId xmlns:a16="http://schemas.microsoft.com/office/drawing/2014/main" id="{00000000-0008-0000-1500-000006D40600}"/>
                  </a:ext>
                </a:extLst>
              </xdr:cNvPr>
              <xdr:cNvSpPr/>
            </xdr:nvSpPr>
            <xdr:spPr bwMode="auto">
              <a:xfrm>
                <a:off x="17912321" y="686323"/>
                <a:ext cx="1400700" cy="51646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77724" rIns="36576" bIns="77724" anchor="ctr" upright="1"/>
              <a:lstStyle/>
              <a:p>
                <a:pPr algn="ctr" rtl="0">
                  <a:defRPr sz="1000"/>
                </a:pPr>
                <a:r>
                  <a:rPr lang="en-US" sz="1400" b="0" i="0" u="none" strike="noStrike" baseline="0">
                    <a:solidFill>
                      <a:srgbClr val="0066CC"/>
                    </a:solidFill>
                    <a:latin typeface="Khmer OS Battambang"/>
                    <a:cs typeface="Khmer OS Battambang"/>
                  </a:rPr>
                  <a:t>        </a:t>
                </a:r>
                <a:r>
                  <a:rPr lang="en-US" sz="1600" b="0" i="0" u="none" strike="noStrike" baseline="0">
                    <a:solidFill>
                      <a:srgbClr val="0066CC"/>
                    </a:solidFill>
                    <a:latin typeface="Khmer OS Battambang"/>
                    <a:cs typeface="Khmer OS Battambang"/>
                  </a:rPr>
                  <a:t>រក្សាទុក</a:t>
                </a:r>
              </a:p>
            </xdr:txBody>
          </xdr:sp>
        </mc:Choice>
        <mc:Fallback/>
      </mc:AlternateContent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1500-00000D000000}"/>
              </a:ext>
            </a:extLst>
          </xdr:cNvPr>
          <xdr:cNvSpPr/>
        </xdr:nvSpPr>
        <xdr:spPr>
          <a:xfrm>
            <a:off x="17954979" y="776687"/>
            <a:ext cx="449333" cy="40864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2800">
                <a:solidFill>
                  <a:srgbClr val="0070C0"/>
                </a:solidFill>
                <a:latin typeface="myicons" panose="02000509000000000000" pitchFamily="49" charset="0"/>
              </a:rPr>
              <a:t>R</a:t>
            </a:r>
            <a:endParaRPr lang="en-US" sz="2800">
              <a:solidFill>
                <a:srgbClr val="0070C0"/>
              </a:solidFill>
            </a:endParaRPr>
          </a:p>
        </xdr:txBody>
      </xdr:sp>
    </xdr:grpSp>
    <xdr:clientData/>
  </xdr:twoCellAnchor>
  <xdr:twoCellAnchor>
    <xdr:from>
      <xdr:col>1</xdr:col>
      <xdr:colOff>23811</xdr:colOff>
      <xdr:row>21</xdr:row>
      <xdr:rowOff>47627</xdr:rowOff>
    </xdr:from>
    <xdr:to>
      <xdr:col>6</xdr:col>
      <xdr:colOff>321469</xdr:colOff>
      <xdr:row>22</xdr:row>
      <xdr:rowOff>117096</xdr:rowOff>
    </xdr:to>
    <xdr:sp macro="" textlink="$Z$3">
      <xdr:nvSpPr>
        <xdr:cNvPr id="24" name="Rectangle 23">
          <a:extLst>
            <a:ext uri="{FF2B5EF4-FFF2-40B4-BE49-F238E27FC236}">
              <a16:creationId xmlns:a16="http://schemas.microsoft.com/office/drawing/2014/main" id="{00000000-0008-0000-1500-000018000000}"/>
            </a:ext>
          </a:extLst>
        </xdr:cNvPr>
        <xdr:cNvSpPr/>
      </xdr:nvSpPr>
      <xdr:spPr>
        <a:xfrm>
          <a:off x="142874" y="7167565"/>
          <a:ext cx="4262439" cy="45046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13317A17-31DA-4B99-9C55-1E38AFBD7A80}" type="TxLink">
            <a:rPr lang="km-KH" sz="1600" b="0" i="0" u="none" strike="noStrike">
              <a:solidFill>
                <a:schemeClr val="tx1"/>
              </a:solidFill>
              <a:latin typeface="Khmer Muol" panose="02000500000000020004" pitchFamily="2" charset="0"/>
              <a:cs typeface="Khmer Muol" panose="02000500000000020004" pitchFamily="2" charset="0"/>
            </a:rPr>
            <a:pPr algn="l"/>
            <a:t>គោកស្នួល ខនស្រ្តាក់សិន មេធៀរៀល</a:t>
          </a:fld>
          <a:endParaRPr lang="en-US" sz="2400" b="0">
            <a:solidFill>
              <a:schemeClr val="tx1"/>
            </a:solidFill>
            <a:latin typeface="Khmer Muol" panose="02000500000000020004" pitchFamily="2" charset="0"/>
            <a:cs typeface="Khmer Muol" panose="02000500000000020004" pitchFamily="2" charset="0"/>
          </a:endParaRPr>
        </a:p>
      </xdr:txBody>
    </xdr:sp>
    <xdr:clientData/>
  </xdr:twoCellAnchor>
  <xdr:twoCellAnchor>
    <xdr:from>
      <xdr:col>1</xdr:col>
      <xdr:colOff>23812</xdr:colOff>
      <xdr:row>22</xdr:row>
      <xdr:rowOff>81786</xdr:rowOff>
    </xdr:from>
    <xdr:to>
      <xdr:col>6</xdr:col>
      <xdr:colOff>178594</xdr:colOff>
      <xdr:row>23</xdr:row>
      <xdr:rowOff>102351</xdr:rowOff>
    </xdr:to>
    <xdr:sp macro="" textlink="$Z$4">
      <xdr:nvSpPr>
        <xdr:cNvPr id="25" name="Rectangle 24">
          <a:extLst>
            <a:ext uri="{FF2B5EF4-FFF2-40B4-BE49-F238E27FC236}">
              <a16:creationId xmlns:a16="http://schemas.microsoft.com/office/drawing/2014/main" id="{00000000-0008-0000-1500-000019000000}"/>
            </a:ext>
          </a:extLst>
        </xdr:cNvPr>
        <xdr:cNvSpPr/>
      </xdr:nvSpPr>
      <xdr:spPr>
        <a:xfrm>
          <a:off x="142875" y="7582724"/>
          <a:ext cx="4119563" cy="40156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F3E2E8F5-0918-44C0-A3D4-65A8129A853A}" type="TxLink">
            <a:rPr lang="en-US" sz="1300" b="0" i="0" u="none" strike="noStrike">
              <a:solidFill>
                <a:schemeClr val="tx1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OS Battambang" panose="02000500000000020004" pitchFamily="2" charset="0"/>
            </a:rPr>
            <a:pPr algn="l"/>
            <a:t>KORK SNUOL CONSTRUCTION MATERIAL</a:t>
          </a:fld>
          <a:endParaRPr lang="en-US" sz="1300" b="0">
            <a:solidFill>
              <a:schemeClr val="tx1"/>
            </a:solidFill>
            <a:latin typeface="Roboto Medium" panose="02000000000000000000" pitchFamily="2" charset="0"/>
            <a:ea typeface="Roboto Medium" panose="02000000000000000000" pitchFamily="2" charset="0"/>
            <a:cs typeface="Khmer OS Battambang" panose="02000500000000020004" pitchFamily="2" charset="0"/>
          </a:endParaRPr>
        </a:p>
      </xdr:txBody>
    </xdr:sp>
    <xdr:clientData/>
  </xdr:twoCellAnchor>
  <xdr:twoCellAnchor>
    <xdr:from>
      <xdr:col>1</xdr:col>
      <xdr:colOff>11905</xdr:colOff>
      <xdr:row>23</xdr:row>
      <xdr:rowOff>141103</xdr:rowOff>
    </xdr:from>
    <xdr:to>
      <xdr:col>6</xdr:col>
      <xdr:colOff>259556</xdr:colOff>
      <xdr:row>24</xdr:row>
      <xdr:rowOff>114043</xdr:rowOff>
    </xdr:to>
    <xdr:sp macro="" textlink="$Z$5">
      <xdr:nvSpPr>
        <xdr:cNvPr id="26" name="Rectangle 25">
          <a:extLst>
            <a:ext uri="{FF2B5EF4-FFF2-40B4-BE49-F238E27FC236}">
              <a16:creationId xmlns:a16="http://schemas.microsoft.com/office/drawing/2014/main" id="{00000000-0008-0000-1500-00001A000000}"/>
            </a:ext>
          </a:extLst>
        </xdr:cNvPr>
        <xdr:cNvSpPr/>
      </xdr:nvSpPr>
      <xdr:spPr>
        <a:xfrm>
          <a:off x="130968" y="8023041"/>
          <a:ext cx="4212432" cy="3539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16D3C47A-9457-444B-B8FF-09E08ED29352}" type="TxLink">
            <a:rPr lang="km-KH" sz="1100" b="0" i="0" u="none" strike="noStrike">
              <a:solidFill>
                <a:schemeClr val="tx1"/>
              </a:solidFill>
              <a:latin typeface="Khmer OS Battambang" panose="02000500000000020004" pitchFamily="2" charset="0"/>
              <a:ea typeface="Calibri"/>
              <a:cs typeface="Khmer OS Battambang" panose="02000500000000020004" pitchFamily="2" charset="0"/>
            </a:rPr>
            <a:pPr algn="l"/>
            <a:t>លេខទូរស័ព្ទ ៖ 011 50 2000 / 060 50 2000 / 098 50 2000</a:t>
          </a:fld>
          <a:endParaRPr lang="en-US" sz="1200" b="0">
            <a:solidFill>
              <a:schemeClr val="tx1"/>
            </a:solidFill>
            <a:latin typeface="Khmer OS Battambang" panose="02000500000000020004" pitchFamily="2" charset="0"/>
            <a:cs typeface="Khmer OS Battambang" panose="02000500000000020004" pitchFamily="2" charset="0"/>
          </a:endParaRPr>
        </a:p>
      </xdr:txBody>
    </xdr:sp>
    <xdr:clientData/>
  </xdr:twoCellAnchor>
  <xdr:twoCellAnchor>
    <xdr:from>
      <xdr:col>7</xdr:col>
      <xdr:colOff>523876</xdr:colOff>
      <xdr:row>21</xdr:row>
      <xdr:rowOff>204790</xdr:rowOff>
    </xdr:from>
    <xdr:to>
      <xdr:col>11</xdr:col>
      <xdr:colOff>83344</xdr:colOff>
      <xdr:row>23</xdr:row>
      <xdr:rowOff>323852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1500-00001B000000}"/>
            </a:ext>
          </a:extLst>
        </xdr:cNvPr>
        <xdr:cNvGrpSpPr/>
      </xdr:nvGrpSpPr>
      <xdr:grpSpPr>
        <a:xfrm>
          <a:off x="5393532" y="7372353"/>
          <a:ext cx="2833687" cy="881062"/>
          <a:chOff x="3786188" y="762000"/>
          <a:chExt cx="3869532" cy="839600"/>
        </a:xfrm>
      </xdr:grpSpPr>
      <xdr:sp macro="" textlink="">
        <xdr:nvSpPr>
          <xdr:cNvPr id="28" name="TextBox 27">
            <a:extLst>
              <a:ext uri="{FF2B5EF4-FFF2-40B4-BE49-F238E27FC236}">
                <a16:creationId xmlns:a16="http://schemas.microsoft.com/office/drawing/2014/main" id="{00000000-0008-0000-1500-00001C000000}"/>
              </a:ext>
            </a:extLst>
          </xdr:cNvPr>
          <xdr:cNvSpPr txBox="1"/>
        </xdr:nvSpPr>
        <xdr:spPr>
          <a:xfrm>
            <a:off x="3965031" y="1131019"/>
            <a:ext cx="3459716" cy="470581"/>
          </a:xfrm>
          <a:prstGeom prst="rect">
            <a:avLst/>
          </a:prstGeom>
          <a:noFill/>
          <a:ln w="9525" cmpd="sng">
            <a:noFill/>
            <a:prstDash val="dash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r>
              <a:rPr lang="en-US" sz="1600" b="0" i="0" u="none" strike="noStrike" baseline="0">
                <a:solidFill>
                  <a:srgbClr val="0066CC"/>
                </a:solidFill>
                <a:effectLst/>
                <a:latin typeface="Roboto Medium" panose="02000000000000000000" pitchFamily="2" charset="0"/>
                <a:ea typeface="Roboto Medium" panose="02000000000000000000" pitchFamily="2" charset="0"/>
                <a:cs typeface="Roboto Medium" panose="02000000000000000000" pitchFamily="2" charset="0"/>
              </a:rPr>
              <a:t>OFFICIAL RECEIPT</a:t>
            </a:r>
            <a:endParaRPr lang="ca-ES" sz="1600" b="0" i="0" u="none" strike="noStrike">
              <a:solidFill>
                <a:srgbClr val="0066CC"/>
              </a:solidFill>
              <a:effectLst/>
              <a:latin typeface="Roboto Medium" panose="02000000000000000000" pitchFamily="2" charset="0"/>
              <a:ea typeface="Roboto Medium" panose="02000000000000000000" pitchFamily="2" charset="0"/>
              <a:cs typeface="Roboto Medium" panose="02000000000000000000" pitchFamily="2" charset="0"/>
            </a:endParaRPr>
          </a:p>
        </xdr:txBody>
      </xdr:sp>
      <xdr:sp macro="" textlink="">
        <xdr:nvSpPr>
          <xdr:cNvPr id="29" name="TextBox 28">
            <a:extLst>
              <a:ext uri="{FF2B5EF4-FFF2-40B4-BE49-F238E27FC236}">
                <a16:creationId xmlns:a16="http://schemas.microsoft.com/office/drawing/2014/main" id="{00000000-0008-0000-1500-00001D000000}"/>
              </a:ext>
            </a:extLst>
          </xdr:cNvPr>
          <xdr:cNvSpPr txBox="1"/>
        </xdr:nvSpPr>
        <xdr:spPr>
          <a:xfrm>
            <a:off x="3786188" y="762000"/>
            <a:ext cx="3869532" cy="511969"/>
          </a:xfrm>
          <a:prstGeom prst="rect">
            <a:avLst/>
          </a:prstGeom>
          <a:noFill/>
          <a:ln w="9525" cmpd="sng">
            <a:noFill/>
            <a:prstDash val="dash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r>
              <a:rPr lang="km-KH" sz="2000" b="0" i="0" u="none" strike="noStrike" baseline="0">
                <a:solidFill>
                  <a:srgbClr val="0066CC"/>
                </a:solidFill>
                <a:effectLst/>
                <a:latin typeface="Khmer Muol" panose="02000500000000020004" pitchFamily="2" charset="0"/>
                <a:ea typeface="Roboto Medium" panose="02000000000000000000" pitchFamily="2" charset="0"/>
                <a:cs typeface="Khmer Muol" panose="02000500000000020004" pitchFamily="2" charset="0"/>
              </a:rPr>
              <a:t>បង្កាត់ដៃទទួលប្រាក់</a:t>
            </a:r>
            <a:endParaRPr lang="ca-ES" sz="2000" b="0" i="0" u="none" strike="noStrike">
              <a:solidFill>
                <a:srgbClr val="0066CC"/>
              </a:solidFill>
              <a:effectLst/>
              <a:latin typeface="Khmer Muol" panose="02000500000000020004" pitchFamily="2" charset="0"/>
              <a:ea typeface="Roboto Medium" panose="02000000000000000000" pitchFamily="2" charset="0"/>
              <a:cs typeface="Khmer Muol" panose="02000500000000020004" pitchFamily="2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10585</xdr:colOff>
          <xdr:row>29</xdr:row>
          <xdr:rowOff>361361</xdr:rowOff>
        </xdr:from>
        <xdr:to>
          <xdr:col>9</xdr:col>
          <xdr:colOff>31750</xdr:colOff>
          <xdr:row>32</xdr:row>
          <xdr:rowOff>262680</xdr:rowOff>
        </xdr:to>
        <xdr:grpSp>
          <xdr:nvGrpSpPr>
            <xdr:cNvPr id="43" name="Group 42">
              <a:extLst>
                <a:ext uri="{FF2B5EF4-FFF2-40B4-BE49-F238E27FC236}">
                  <a16:creationId xmlns:a16="http://schemas.microsoft.com/office/drawing/2014/main" id="{00000000-0008-0000-1500-00002B000000}"/>
                </a:ext>
              </a:extLst>
            </xdr:cNvPr>
            <xdr:cNvGrpSpPr/>
          </xdr:nvGrpSpPr>
          <xdr:grpSpPr>
            <a:xfrm>
              <a:off x="6332804" y="10543586"/>
              <a:ext cx="247384" cy="982407"/>
              <a:chOff x="5365750" y="2107885"/>
              <a:chExt cx="275047" cy="785053"/>
            </a:xfrm>
          </xdr:grpSpPr>
          <xdr:sp macro="" textlink="">
            <xdr:nvSpPr>
              <xdr:cNvPr id="447495" name="Check Box 7" hidden="1">
                <a:extLst>
                  <a:ext uri="{63B3BB69-23CF-44E3-9099-C40C66FF867C}">
                    <a14:compatExt spid="_x0000_s447495"/>
                  </a:ext>
                  <a:ext uri="{FF2B5EF4-FFF2-40B4-BE49-F238E27FC236}">
                    <a16:creationId xmlns:a16="http://schemas.microsoft.com/office/drawing/2014/main" id="{00000000-0008-0000-1500-000007D40600}"/>
                  </a:ext>
                </a:extLst>
              </xdr:cNvPr>
              <xdr:cNvSpPr/>
            </xdr:nvSpPr>
            <xdr:spPr bwMode="auto">
              <a:xfrm>
                <a:off x="5368811" y="2107885"/>
                <a:ext cx="271986" cy="277282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47496" name="Check Box 8" hidden="1">
                <a:extLst>
                  <a:ext uri="{63B3BB69-23CF-44E3-9099-C40C66FF867C}">
                    <a14:compatExt spid="_x0000_s447496"/>
                  </a:ext>
                  <a:ext uri="{FF2B5EF4-FFF2-40B4-BE49-F238E27FC236}">
                    <a16:creationId xmlns:a16="http://schemas.microsoft.com/office/drawing/2014/main" id="{00000000-0008-0000-1500-000008D40600}"/>
                  </a:ext>
                </a:extLst>
              </xdr:cNvPr>
              <xdr:cNvSpPr/>
            </xdr:nvSpPr>
            <xdr:spPr bwMode="auto">
              <a:xfrm>
                <a:off x="5365750" y="2415195"/>
                <a:ext cx="232833" cy="20108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47497" name="Check Box 9" hidden="1">
                <a:extLst>
                  <a:ext uri="{63B3BB69-23CF-44E3-9099-C40C66FF867C}">
                    <a14:compatExt spid="_x0000_s447497"/>
                  </a:ext>
                  <a:ext uri="{FF2B5EF4-FFF2-40B4-BE49-F238E27FC236}">
                    <a16:creationId xmlns:a16="http://schemas.microsoft.com/office/drawing/2014/main" id="{00000000-0008-0000-1500-000009D40600}"/>
                  </a:ext>
                </a:extLst>
              </xdr:cNvPr>
              <xdr:cNvSpPr/>
            </xdr:nvSpPr>
            <xdr:spPr bwMode="auto">
              <a:xfrm>
                <a:off x="5365750" y="2691856"/>
                <a:ext cx="232833" cy="201082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xdr:twoCellAnchor editAs="oneCell">
    <xdr:from>
      <xdr:col>1</xdr:col>
      <xdr:colOff>22156</xdr:colOff>
      <xdr:row>19</xdr:row>
      <xdr:rowOff>231965</xdr:rowOff>
    </xdr:from>
    <xdr:to>
      <xdr:col>2</xdr:col>
      <xdr:colOff>366222</xdr:colOff>
      <xdr:row>21</xdr:row>
      <xdr:rowOff>123823</xdr:rowOff>
    </xdr:to>
    <xdr:pic>
      <xdr:nvPicPr>
        <xdr:cNvPr id="53" name="Graphic 52" descr="Scissors with solid fill">
          <a:extLst>
            <a:ext uri="{FF2B5EF4-FFF2-40B4-BE49-F238E27FC236}">
              <a16:creationId xmlns:a16="http://schemas.microsoft.com/office/drawing/2014/main" id="{00000000-0008-0000-15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5322382">
          <a:off x="147057" y="6881721"/>
          <a:ext cx="403827" cy="415503"/>
        </a:xfrm>
        <a:prstGeom prst="rect">
          <a:avLst/>
        </a:prstGeom>
      </xdr:spPr>
    </xdr:pic>
    <xdr:clientData/>
  </xdr:twoCellAnchor>
  <xdr:twoCellAnchor>
    <xdr:from>
      <xdr:col>1</xdr:col>
      <xdr:colOff>-1</xdr:colOff>
      <xdr:row>24</xdr:row>
      <xdr:rowOff>238124</xdr:rowOff>
    </xdr:from>
    <xdr:to>
      <xdr:col>11</xdr:col>
      <xdr:colOff>11906</xdr:colOff>
      <xdr:row>24</xdr:row>
      <xdr:rowOff>238124</xdr:rowOff>
    </xdr:to>
    <xdr:cxnSp macro="">
      <xdr:nvCxnSpPr>
        <xdr:cNvPr id="16" name="Straight Connector 15">
          <a:extLst>
            <a:ext uri="{FF2B5EF4-FFF2-40B4-BE49-F238E27FC236}">
              <a16:creationId xmlns:a16="http://schemas.microsoft.com/office/drawing/2014/main" id="{00000000-0008-0000-1500-000010000000}"/>
            </a:ext>
          </a:extLst>
        </xdr:cNvPr>
        <xdr:cNvCxnSpPr/>
      </xdr:nvCxnSpPr>
      <xdr:spPr>
        <a:xfrm flipH="1">
          <a:off x="119062" y="8501062"/>
          <a:ext cx="8036719" cy="0"/>
        </a:xfrm>
        <a:prstGeom prst="line">
          <a:avLst/>
        </a:prstGeom>
        <a:ln>
          <a:solidFill>
            <a:schemeClr val="bg1">
              <a:lumMod val="85000"/>
            </a:schemeClr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1440657</xdr:colOff>
      <xdr:row>0</xdr:row>
      <xdr:rowOff>47625</xdr:rowOff>
    </xdr:from>
    <xdr:to>
      <xdr:col>9</xdr:col>
      <xdr:colOff>1464468</xdr:colOff>
      <xdr:row>0</xdr:row>
      <xdr:rowOff>598715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00000000-0008-0000-1500-000017000000}"/>
            </a:ext>
          </a:extLst>
        </xdr:cNvPr>
        <xdr:cNvGrpSpPr/>
      </xdr:nvGrpSpPr>
      <xdr:grpSpPr>
        <a:xfrm>
          <a:off x="6310313" y="47625"/>
          <a:ext cx="1702593" cy="551090"/>
          <a:chOff x="19188906" y="645582"/>
          <a:chExt cx="1163973" cy="499371"/>
        </a:xfrm>
      </xdr:grpSpPr>
      <xdr:sp macro="[0]!saveReceivePaymentPdf" textlink="">
        <xdr:nvSpPr>
          <xdr:cNvPr id="30" name="Rectangle: Rounded Corners 29">
            <a:extLst>
              <a:ext uri="{FF2B5EF4-FFF2-40B4-BE49-F238E27FC236}">
                <a16:creationId xmlns:a16="http://schemas.microsoft.com/office/drawing/2014/main" id="{00000000-0008-0000-1500-00001E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រក្សាទុកជា</a:t>
            </a:r>
            <a:r>
              <a:rPr lang="en-US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PDF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1500-000025000000}"/>
              </a:ext>
            </a:extLst>
          </xdr:cNvPr>
          <xdr:cNvSpPr/>
        </xdr:nvSpPr>
        <xdr:spPr>
          <a:xfrm>
            <a:off x="19215045" y="758897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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4</xdr:col>
      <xdr:colOff>1393031</xdr:colOff>
      <xdr:row>0</xdr:row>
      <xdr:rowOff>59532</xdr:rowOff>
    </xdr:from>
    <xdr:to>
      <xdr:col>7</xdr:col>
      <xdr:colOff>1335295</xdr:colOff>
      <xdr:row>0</xdr:row>
      <xdr:rowOff>610622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00000000-0008-0000-1500-00002D000000}"/>
            </a:ext>
          </a:extLst>
        </xdr:cNvPr>
        <xdr:cNvGrpSpPr/>
      </xdr:nvGrpSpPr>
      <xdr:grpSpPr>
        <a:xfrm>
          <a:off x="3083719" y="59532"/>
          <a:ext cx="3121232" cy="551090"/>
          <a:chOff x="19153984" y="645582"/>
          <a:chExt cx="1198895" cy="499371"/>
        </a:xfrm>
      </xdr:grpSpPr>
      <xdr:sp macro="[0]!openReceivePaymentFolder" textlink="">
        <xdr:nvSpPr>
          <xdr:cNvPr id="46" name="Rectangle: Rounded Corners 45">
            <a:extLst>
              <a:ext uri="{FF2B5EF4-FFF2-40B4-BE49-F238E27FC236}">
                <a16:creationId xmlns:a16="http://schemas.microsoft.com/office/drawing/2014/main" id="{00000000-0008-0000-1500-00002E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បើកឯកសារ </a:t>
            </a:r>
            <a:r>
              <a:rPr lang="en-US" sz="1400" baseline="0">
                <a:solidFill>
                  <a:srgbClr val="0066CC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RECEIVE PAYMENT</a:t>
            </a:r>
            <a:endParaRPr lang="en-US" sz="1400">
              <a:solidFill>
                <a:srgbClr val="0066CC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endParaRPr>
          </a:p>
        </xdr:txBody>
      </xdr:sp>
      <xdr:sp macro="" textlink="">
        <xdr:nvSpPr>
          <xdr:cNvPr id="47" name="Rectangle 46">
            <a:extLst>
              <a:ext uri="{FF2B5EF4-FFF2-40B4-BE49-F238E27FC236}">
                <a16:creationId xmlns:a16="http://schemas.microsoft.com/office/drawing/2014/main" id="{00000000-0008-0000-1500-00002F000000}"/>
              </a:ext>
            </a:extLst>
          </xdr:cNvPr>
          <xdr:cNvSpPr/>
        </xdr:nvSpPr>
        <xdr:spPr>
          <a:xfrm>
            <a:off x="19153984" y="737320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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804334</xdr:colOff>
      <xdr:row>17</xdr:row>
      <xdr:rowOff>137583</xdr:rowOff>
    </xdr:from>
    <xdr:to>
      <xdr:col>17</xdr:col>
      <xdr:colOff>1026584</xdr:colOff>
      <xdr:row>17</xdr:row>
      <xdr:rowOff>253999</xdr:rowOff>
    </xdr:to>
    <xdr:sp macro="" textlink="">
      <xdr:nvSpPr>
        <xdr:cNvPr id="11" name="Flowchart: Merge 10">
          <a:extLst>
            <a:ext uri="{FF2B5EF4-FFF2-40B4-BE49-F238E27FC236}">
              <a16:creationId xmlns:a16="http://schemas.microsoft.com/office/drawing/2014/main" id="{00000000-0008-0000-1600-00000B000000}"/>
            </a:ext>
          </a:extLst>
        </xdr:cNvPr>
        <xdr:cNvSpPr/>
      </xdr:nvSpPr>
      <xdr:spPr>
        <a:xfrm>
          <a:off x="11424709" y="5471583"/>
          <a:ext cx="0" cy="116416"/>
        </a:xfrm>
        <a:prstGeom prst="flowChartMerge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116945</xdr:colOff>
      <xdr:row>3</xdr:row>
      <xdr:rowOff>270371</xdr:rowOff>
    </xdr:from>
    <xdr:to>
      <xdr:col>7</xdr:col>
      <xdr:colOff>511968</xdr:colOff>
      <xdr:row>6</xdr:row>
      <xdr:rowOff>24904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pSpPr/>
      </xdr:nvGrpSpPr>
      <xdr:grpSpPr>
        <a:xfrm>
          <a:off x="116945" y="1318121"/>
          <a:ext cx="4574117" cy="647502"/>
          <a:chOff x="116945" y="1308596"/>
          <a:chExt cx="3577696" cy="659408"/>
        </a:xfrm>
      </xdr:grpSpPr>
      <xdr:sp macro="" textlink="company_address_kh">
        <xdr:nvSpPr>
          <xdr:cNvPr id="24" name="TextBox 23">
            <a:extLst>
              <a:ext uri="{FF2B5EF4-FFF2-40B4-BE49-F238E27FC236}">
                <a16:creationId xmlns:a16="http://schemas.microsoft.com/office/drawing/2014/main" id="{00000000-0008-0000-1600-000018000000}"/>
              </a:ext>
            </a:extLst>
          </xdr:cNvPr>
          <xdr:cNvSpPr txBox="1"/>
        </xdr:nvSpPr>
        <xdr:spPr>
          <a:xfrm>
            <a:off x="116945" y="1308596"/>
            <a:ext cx="3568171" cy="3773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l"/>
            <a:fld id="{F3C73DB6-3046-4A9D-8541-7CD2AE412487}" type="TxLink">
              <a:rPr lang="km-KH" sz="1100" b="0" i="0" u="none" strike="noStrike" baseline="0">
                <a:solidFill>
                  <a:schemeClr val="tx1"/>
                </a:solidFill>
                <a:effectLst/>
                <a:latin typeface="Khmer OS Battambang"/>
                <a:ea typeface="Roboto" panose="02000000000000000000" pitchFamily="2" charset="0"/>
                <a:cs typeface="Khmer OS Battambang"/>
              </a:rPr>
              <a:pPr marL="0" indent="0" algn="l"/>
              <a:t> </a:t>
            </a:fld>
            <a:endParaRPr lang="ca-ES" sz="1600" b="1" i="0" u="none" strike="noStrike">
              <a:solidFill>
                <a:schemeClr val="tx1"/>
              </a:solidFill>
              <a:effectLst/>
              <a:latin typeface="Roboto" panose="02000000000000000000" pitchFamily="2" charset="0"/>
              <a:ea typeface="Roboto" panose="02000000000000000000" pitchFamily="2" charset="0"/>
              <a:cs typeface="Content" panose="02000500000000000000" pitchFamily="2" charset="0"/>
            </a:endParaRPr>
          </a:p>
        </xdr:txBody>
      </xdr:sp>
      <xdr:sp macro="" textlink="c_phone_email">
        <xdr:nvSpPr>
          <xdr:cNvPr id="1563855" name="TextBox 1563854">
            <a:extLst>
              <a:ext uri="{FF2B5EF4-FFF2-40B4-BE49-F238E27FC236}">
                <a16:creationId xmlns:a16="http://schemas.microsoft.com/office/drawing/2014/main" id="{00000000-0008-0000-1600-0000CFDC1700}"/>
              </a:ext>
            </a:extLst>
          </xdr:cNvPr>
          <xdr:cNvSpPr txBox="1"/>
        </xdr:nvSpPr>
        <xdr:spPr>
          <a:xfrm>
            <a:off x="126470" y="1590675"/>
            <a:ext cx="3568171" cy="3773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l"/>
            <a:fld id="{C8761667-2794-469F-98B9-C2C3C9633C54}" type="TxLink">
              <a:rPr lang="km-KH" sz="1100" b="0" i="0" u="none" strike="noStrike" baseline="0">
                <a:solidFill>
                  <a:schemeClr val="tx1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Content" panose="02000500000000000000" pitchFamily="2" charset="0"/>
              </a:rPr>
              <a:pPr marL="0" indent="0" algn="l"/>
              <a:t> </a:t>
            </a:fld>
            <a:endParaRPr lang="ca-ES" sz="1600" b="0" i="0" u="none" strike="noStrike">
              <a:solidFill>
                <a:schemeClr val="tx1"/>
              </a:solidFill>
              <a:effectLst/>
              <a:latin typeface="Roboto" panose="02000000000000000000" pitchFamily="2" charset="0"/>
              <a:ea typeface="Roboto" panose="02000000000000000000" pitchFamily="2" charset="0"/>
              <a:cs typeface="Content" panose="02000500000000000000" pitchFamily="2" charset="0"/>
            </a:endParaRPr>
          </a:p>
        </xdr:txBody>
      </xdr:sp>
    </xdr:grp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47625</xdr:colOff>
      <xdr:row>2</xdr:row>
      <xdr:rowOff>80962</xdr:rowOff>
    </xdr:from>
    <xdr:to>
      <xdr:col>5</xdr:col>
      <xdr:colOff>214313</xdr:colOff>
      <xdr:row>3</xdr:row>
      <xdr:rowOff>221869</xdr:rowOff>
    </xdr:to>
    <xdr:sp macro="" textlink="$Y$3">
      <xdr:nvSpPr>
        <xdr:cNvPr id="4" name="Rectangle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SpPr/>
      </xdr:nvSpPr>
      <xdr:spPr>
        <a:xfrm>
          <a:off x="1562100" y="823912"/>
          <a:ext cx="1595438" cy="44570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13317A17-31DA-4B99-9C55-1E38AFBD7A80}" type="TxLink">
            <a:rPr lang="km-KH" sz="1400" b="0" i="0" u="none" strike="noStrike">
              <a:solidFill>
                <a:srgbClr val="0066CC"/>
              </a:solidFill>
              <a:latin typeface="Khmer Muol" panose="02000500000000020004" pitchFamily="2" charset="0"/>
              <a:ea typeface="Calibri"/>
              <a:cs typeface="Khmer Muol" panose="02000500000000020004" pitchFamily="2" charset="0"/>
            </a:rPr>
            <a:pPr algn="l"/>
            <a:t> </a:t>
          </a:fld>
          <a:endParaRPr lang="en-US" sz="2000" b="0">
            <a:solidFill>
              <a:srgbClr val="0066CC"/>
            </a:solidFill>
            <a:latin typeface="Khmer Muol" panose="02000500000000020004" pitchFamily="2" charset="0"/>
            <a:cs typeface="Khmer Muol" panose="02000500000000020004" pitchFamily="2" charset="0"/>
          </a:endParaRPr>
        </a:p>
      </xdr:txBody>
    </xdr:sp>
    <xdr:clientData/>
  </xdr:twoCellAnchor>
  <xdr:twoCellAnchor>
    <xdr:from>
      <xdr:col>4</xdr:col>
      <xdr:colOff>35721</xdr:colOff>
      <xdr:row>3</xdr:row>
      <xdr:rowOff>234184</xdr:rowOff>
    </xdr:from>
    <xdr:to>
      <xdr:col>5</xdr:col>
      <xdr:colOff>154784</xdr:colOff>
      <xdr:row>4</xdr:row>
      <xdr:rowOff>278561</xdr:rowOff>
    </xdr:to>
    <xdr:sp macro="" textlink="$Y$4">
      <xdr:nvSpPr>
        <xdr:cNvPr id="5" name="Rectangle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SpPr/>
      </xdr:nvSpPr>
      <xdr:spPr>
        <a:xfrm>
          <a:off x="1550196" y="1281934"/>
          <a:ext cx="1547813" cy="34917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F3E2E8F5-0918-44C0-A3D4-65A8129A853A}" type="TxLink">
            <a:rPr lang="en-US" sz="1400" b="0" i="0" u="none" strike="noStrike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OS Battambang" panose="02000500000000020004" pitchFamily="2" charset="0"/>
            </a:rPr>
            <a:pPr algn="l"/>
            <a:t> </a:t>
          </a:fld>
          <a:endParaRPr lang="en-US" sz="1600" b="0">
            <a:solidFill>
              <a:srgbClr val="0066CC"/>
            </a:solidFill>
            <a:latin typeface="Roboto Medium" panose="02000000000000000000" pitchFamily="2" charset="0"/>
            <a:ea typeface="Roboto Medium" panose="02000000000000000000" pitchFamily="2" charset="0"/>
            <a:cs typeface="Khmer OS Battambang" panose="02000500000000020004" pitchFamily="2" charset="0"/>
          </a:endParaRPr>
        </a:p>
      </xdr:txBody>
    </xdr:sp>
    <xdr:clientData/>
  </xdr:twoCellAnchor>
  <xdr:twoCellAnchor>
    <xdr:from>
      <xdr:col>2</xdr:col>
      <xdr:colOff>11906</xdr:colOff>
      <xdr:row>4</xdr:row>
      <xdr:rowOff>293500</xdr:rowOff>
    </xdr:from>
    <xdr:to>
      <xdr:col>6</xdr:col>
      <xdr:colOff>330994</xdr:colOff>
      <xdr:row>5</xdr:row>
      <xdr:rowOff>206909</xdr:rowOff>
    </xdr:to>
    <xdr:sp macro="" textlink="$Y$5">
      <xdr:nvSpPr>
        <xdr:cNvPr id="6" name="Rectangle 5">
          <a:extLst>
            <a:ext uri="{FF2B5EF4-FFF2-40B4-BE49-F238E27FC236}">
              <a16:creationId xmlns:a16="http://schemas.microsoft.com/office/drawing/2014/main" id="{00000000-0008-0000-1700-000006000000}"/>
            </a:ext>
          </a:extLst>
        </xdr:cNvPr>
        <xdr:cNvSpPr/>
      </xdr:nvSpPr>
      <xdr:spPr>
        <a:xfrm>
          <a:off x="211931" y="1646050"/>
          <a:ext cx="3910013" cy="35155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16D3C47A-9457-444B-B8FF-09E08ED29352}" type="TxLink">
            <a:rPr lang="km-KH" sz="1200" b="1" i="0" u="none" strike="noStrike">
              <a:solidFill>
                <a:srgbClr val="000000"/>
              </a:solidFill>
              <a:latin typeface="Content"/>
              <a:ea typeface="Calibri"/>
              <a:cs typeface="Content"/>
            </a:rPr>
            <a:pPr algn="l"/>
            <a:t> </a:t>
          </a:fld>
          <a:endParaRPr lang="en-US" sz="1400" b="1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10583</xdr:colOff>
      <xdr:row>0</xdr:row>
      <xdr:rowOff>63499</xdr:rowOff>
    </xdr:from>
    <xdr:to>
      <xdr:col>3</xdr:col>
      <xdr:colOff>754662</xdr:colOff>
      <xdr:row>1</xdr:row>
      <xdr:rowOff>395521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pSpPr/>
      </xdr:nvGrpSpPr>
      <xdr:grpSpPr>
        <a:xfrm>
          <a:off x="603250" y="63499"/>
          <a:ext cx="1283829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18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18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3</xdr:col>
      <xdr:colOff>150354</xdr:colOff>
      <xdr:row>4</xdr:row>
      <xdr:rowOff>34630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pSpPr/>
      </xdr:nvGrpSpPr>
      <xdr:grpSpPr>
        <a:xfrm>
          <a:off x="1227667" y="296333"/>
          <a:ext cx="1282770" cy="500297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19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19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166421</xdr:colOff>
      <xdr:row>0</xdr:row>
      <xdr:rowOff>341841</xdr:rowOff>
    </xdr:from>
    <xdr:to>
      <xdr:col>3</xdr:col>
      <xdr:colOff>779990</xdr:colOff>
      <xdr:row>1</xdr:row>
      <xdr:rowOff>462196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pSpPr/>
      </xdr:nvGrpSpPr>
      <xdr:grpSpPr>
        <a:xfrm>
          <a:off x="225952" y="341841"/>
          <a:ext cx="1304132" cy="501355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00000000-0008-0000-1A00-000004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1A00-000005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885825</xdr:colOff>
          <xdr:row>0</xdr:row>
          <xdr:rowOff>352425</xdr:rowOff>
        </xdr:from>
        <xdr:to>
          <xdr:col>4</xdr:col>
          <xdr:colOff>104775</xdr:colOff>
          <xdr:row>1</xdr:row>
          <xdr:rowOff>419100</xdr:rowOff>
        </xdr:to>
        <xdr:sp macro="" textlink="">
          <xdr:nvSpPr>
            <xdr:cNvPr id="4364289" name="Button 1" hidden="1">
              <a:extLst>
                <a:ext uri="{63B3BB69-23CF-44E3-9099-C40C66FF867C}">
                  <a14:compatExt spid="_x0000_s4364289"/>
                </a:ext>
                <a:ext uri="{FF2B5EF4-FFF2-40B4-BE49-F238E27FC236}">
                  <a16:creationId xmlns:a16="http://schemas.microsoft.com/office/drawing/2014/main" id="{00000000-0008-0000-1A00-000001984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18288" rIns="82296" bIns="18288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66CC"/>
                  </a:solidFill>
                  <a:latin typeface="myicons"/>
                </a:rPr>
                <a:t>4</a:t>
              </a:r>
            </a:p>
          </xdr:txBody>
        </xdr:sp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297656</xdr:colOff>
      <xdr:row>1</xdr:row>
      <xdr:rowOff>119062</xdr:rowOff>
    </xdr:from>
    <xdr:to>
      <xdr:col>3</xdr:col>
      <xdr:colOff>612316</xdr:colOff>
      <xdr:row>2</xdr:row>
      <xdr:rowOff>465636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pSpPr/>
      </xdr:nvGrpSpPr>
      <xdr:grpSpPr>
        <a:xfrm>
          <a:off x="619125" y="119062"/>
          <a:ext cx="1160004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1B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1B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1</xdr:row>
          <xdr:rowOff>114300</xdr:rowOff>
        </xdr:from>
        <xdr:to>
          <xdr:col>4</xdr:col>
          <xdr:colOff>342900</xdr:colOff>
          <xdr:row>2</xdr:row>
          <xdr:rowOff>428625</xdr:rowOff>
        </xdr:to>
        <xdr:sp macro="" textlink="">
          <xdr:nvSpPr>
            <xdr:cNvPr id="4365313" name="Button 1" hidden="1">
              <a:extLst>
                <a:ext uri="{63B3BB69-23CF-44E3-9099-C40C66FF867C}">
                  <a14:compatExt spid="_x0000_s4365313"/>
                </a:ext>
                <a:ext uri="{FF2B5EF4-FFF2-40B4-BE49-F238E27FC236}">
                  <a16:creationId xmlns:a16="http://schemas.microsoft.com/office/drawing/2014/main" id="{00000000-0008-0000-1B00-0000019C4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18288" rIns="82296" bIns="18288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66CC"/>
                  </a:solidFill>
                  <a:latin typeface="myicons"/>
                </a:rPr>
                <a:t>4</a:t>
              </a:r>
            </a:p>
          </xdr:txBody>
        </xdr:sp>
        <xdr:clientData fPrintsWithSheet="0"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1</xdr:row>
      <xdr:rowOff>114300</xdr:rowOff>
    </xdr:from>
    <xdr:to>
      <xdr:col>1</xdr:col>
      <xdr:colOff>712329</xdr:colOff>
      <xdr:row>2</xdr:row>
      <xdr:rowOff>463255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pSpPr/>
      </xdr:nvGrpSpPr>
      <xdr:grpSpPr>
        <a:xfrm>
          <a:off x="76200" y="114300"/>
          <a:ext cx="1160004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1C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1C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2</xdr:row>
      <xdr:rowOff>95250</xdr:rowOff>
    </xdr:from>
    <xdr:to>
      <xdr:col>3</xdr:col>
      <xdr:colOff>283704</xdr:colOff>
      <xdr:row>2</xdr:row>
      <xdr:rowOff>542925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pSpPr/>
      </xdr:nvGrpSpPr>
      <xdr:grpSpPr>
        <a:xfrm>
          <a:off x="312208" y="95250"/>
          <a:ext cx="1156829" cy="44767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1D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1D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361950</xdr:colOff>
          <xdr:row>2</xdr:row>
          <xdr:rowOff>123825</xdr:rowOff>
        </xdr:from>
        <xdr:to>
          <xdr:col>3</xdr:col>
          <xdr:colOff>723900</xdr:colOff>
          <xdr:row>2</xdr:row>
          <xdr:rowOff>495300</xdr:rowOff>
        </xdr:to>
        <xdr:sp macro="" textlink="">
          <xdr:nvSpPr>
            <xdr:cNvPr id="4799489" name="Button 1" hidden="1">
              <a:extLst>
                <a:ext uri="{63B3BB69-23CF-44E3-9099-C40C66FF867C}">
                  <a14:compatExt spid="_x0000_s4799489"/>
                </a:ext>
                <a:ext uri="{FF2B5EF4-FFF2-40B4-BE49-F238E27FC236}">
                  <a16:creationId xmlns:a16="http://schemas.microsoft.com/office/drawing/2014/main" id="{00000000-0008-0000-1D00-0000013C4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8288" rIns="73152" bIns="1828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66CC"/>
                  </a:solidFill>
                  <a:latin typeface="myicons"/>
                </a:rPr>
                <a:t>4</a:t>
              </a:r>
            </a:p>
          </xdr:txBody>
        </xdr:sp>
        <xdr:clientData fPrintsWithSheet="0"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47625</xdr:colOff>
      <xdr:row>5</xdr:row>
      <xdr:rowOff>295275</xdr:rowOff>
    </xdr:from>
    <xdr:to>
      <xdr:col>8</xdr:col>
      <xdr:colOff>361950</xdr:colOff>
      <xdr:row>6</xdr:row>
      <xdr:rowOff>285750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SpPr/>
      </xdr:nvSpPr>
      <xdr:spPr>
        <a:xfrm>
          <a:off x="11077575" y="1504950"/>
          <a:ext cx="314325" cy="3048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m-KH" sz="1100" b="1">
              <a:solidFill>
                <a:srgbClr val="FF0000"/>
              </a:solidFill>
              <a:latin typeface="Content" panose="02000500000000000000" pitchFamily="2" charset="0"/>
              <a:cs typeface="Content" panose="02000500000000000000" pitchFamily="2" charset="0"/>
            </a:rPr>
            <a:t>ឬ</a:t>
          </a:r>
          <a:endParaRPr lang="en-US" sz="1100" b="1">
            <a:solidFill>
              <a:srgbClr val="FF0000"/>
            </a:solidFill>
            <a:latin typeface="Content" panose="02000500000000000000" pitchFamily="2" charset="0"/>
            <a:cs typeface="Content" panose="02000500000000000000" pitchFamily="2" charset="0"/>
          </a:endParaRPr>
        </a:p>
      </xdr:txBody>
    </xdr:sp>
    <xdr:clientData/>
  </xdr:twoCellAnchor>
  <xdr:twoCellAnchor>
    <xdr:from>
      <xdr:col>1</xdr:col>
      <xdr:colOff>71437</xdr:colOff>
      <xdr:row>2</xdr:row>
      <xdr:rowOff>166687</xdr:rowOff>
    </xdr:from>
    <xdr:to>
      <xdr:col>1</xdr:col>
      <xdr:colOff>1355266</xdr:colOff>
      <xdr:row>7</xdr:row>
      <xdr:rowOff>215604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pSpPr/>
      </xdr:nvGrpSpPr>
      <xdr:grpSpPr>
        <a:xfrm>
          <a:off x="238125" y="357187"/>
          <a:ext cx="1283829" cy="501355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00000000-0008-0000-1E00-000004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1E00-000005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35719</xdr:colOff>
      <xdr:row>2</xdr:row>
      <xdr:rowOff>83344</xdr:rowOff>
    </xdr:from>
    <xdr:to>
      <xdr:col>3</xdr:col>
      <xdr:colOff>1047750</xdr:colOff>
      <xdr:row>2</xdr:row>
      <xdr:rowOff>642937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pSpPr/>
      </xdr:nvGrpSpPr>
      <xdr:grpSpPr>
        <a:xfrm>
          <a:off x="309563" y="154782"/>
          <a:ext cx="1559718" cy="559593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20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2000-000005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 editAs="oneCell">
    <xdr:from>
      <xdr:col>30</xdr:col>
      <xdr:colOff>0</xdr:colOff>
      <xdr:row>11</xdr:row>
      <xdr:rowOff>0</xdr:rowOff>
    </xdr:from>
    <xdr:to>
      <xdr:col>45</xdr:col>
      <xdr:colOff>9525</xdr:colOff>
      <xdr:row>12</xdr:row>
      <xdr:rowOff>9525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20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099750" y="2971800"/>
          <a:ext cx="5724525" cy="323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704850</xdr:colOff>
      <xdr:row>2</xdr:row>
      <xdr:rowOff>95251</xdr:rowOff>
    </xdr:from>
    <xdr:to>
      <xdr:col>5</xdr:col>
      <xdr:colOff>733425</xdr:colOff>
      <xdr:row>4</xdr:row>
      <xdr:rowOff>161926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00000000-0008-0000-2100-000014000000}"/>
            </a:ext>
          </a:extLst>
        </xdr:cNvPr>
        <xdr:cNvSpPr/>
      </xdr:nvSpPr>
      <xdr:spPr>
        <a:xfrm>
          <a:off x="1885950" y="95251"/>
          <a:ext cx="2085975" cy="5334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m-KH" sz="2000">
              <a:solidFill>
                <a:srgbClr val="0066CC"/>
              </a:solidFill>
              <a:latin typeface="Moul" panose="02000500000000000000" pitchFamily="2" charset="0"/>
              <a:cs typeface="Moul" panose="02000500000000000000" pitchFamily="2" charset="0"/>
            </a:rPr>
            <a:t>បញ្ជីឃ្លាំង</a:t>
          </a:r>
          <a:endParaRPr lang="en-US" sz="2000">
            <a:solidFill>
              <a:srgbClr val="0066CC"/>
            </a:solidFill>
            <a:latin typeface="Moul" panose="02000500000000000000" pitchFamily="2" charset="0"/>
            <a:cs typeface="Moul" panose="02000500000000000000" pitchFamily="2" charset="0"/>
          </a:endParaRPr>
        </a:p>
      </xdr:txBody>
    </xdr:sp>
    <xdr:clientData/>
  </xdr:twoCellAnchor>
  <xdr:twoCellAnchor>
    <xdr:from>
      <xdr:col>2</xdr:col>
      <xdr:colOff>0</xdr:colOff>
      <xdr:row>2</xdr:row>
      <xdr:rowOff>114300</xdr:rowOff>
    </xdr:from>
    <xdr:to>
      <xdr:col>3</xdr:col>
      <xdr:colOff>550404</xdr:colOff>
      <xdr:row>4</xdr:row>
      <xdr:rowOff>148930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pSpPr/>
      </xdr:nvGrpSpPr>
      <xdr:grpSpPr>
        <a:xfrm>
          <a:off x="571500" y="114300"/>
          <a:ext cx="1160004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21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21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1066800</xdr:colOff>
      <xdr:row>2</xdr:row>
      <xdr:rowOff>352425</xdr:rowOff>
    </xdr:from>
    <xdr:to>
      <xdr:col>5</xdr:col>
      <xdr:colOff>180975</xdr:colOff>
      <xdr:row>3</xdr:row>
      <xdr:rowOff>409575</xdr:rowOff>
    </xdr:to>
    <xdr:sp macro="" textlink="">
      <xdr:nvSpPr>
        <xdr:cNvPr id="57" name="Rectangle 56">
          <a:extLst>
            <a:ext uri="{FF2B5EF4-FFF2-40B4-BE49-F238E27FC236}">
              <a16:creationId xmlns:a16="http://schemas.microsoft.com/office/drawing/2014/main" id="{00000000-0008-0000-2200-000039000000}"/>
            </a:ext>
          </a:extLst>
        </xdr:cNvPr>
        <xdr:cNvSpPr/>
      </xdr:nvSpPr>
      <xdr:spPr>
        <a:xfrm>
          <a:off x="2028825" y="352425"/>
          <a:ext cx="2085975" cy="5334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m-KH" sz="2000">
              <a:solidFill>
                <a:srgbClr val="0066CC"/>
              </a:solidFill>
              <a:latin typeface="Moul" panose="02000500000000000000" pitchFamily="2" charset="0"/>
              <a:cs typeface="Moul" panose="02000500000000000000" pitchFamily="2" charset="0"/>
            </a:rPr>
            <a:t>ឈ្មោះទីតាំង</a:t>
          </a:r>
          <a:endParaRPr lang="en-US" sz="2000">
            <a:solidFill>
              <a:srgbClr val="0066CC"/>
            </a:solidFill>
            <a:latin typeface="Moul" panose="02000500000000000000" pitchFamily="2" charset="0"/>
            <a:cs typeface="Moul" panose="02000500000000000000" pitchFamily="2" charset="0"/>
          </a:endParaRPr>
        </a:p>
      </xdr:txBody>
    </xdr:sp>
    <xdr:clientData/>
  </xdr:twoCellAnchor>
  <xdr:twoCellAnchor>
    <xdr:from>
      <xdr:col>1</xdr:col>
      <xdr:colOff>152400</xdr:colOff>
      <xdr:row>2</xdr:row>
      <xdr:rowOff>323850</xdr:rowOff>
    </xdr:from>
    <xdr:to>
      <xdr:col>3</xdr:col>
      <xdr:colOff>531354</xdr:colOff>
      <xdr:row>3</xdr:row>
      <xdr:rowOff>348955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pSpPr/>
      </xdr:nvGrpSpPr>
      <xdr:grpSpPr>
        <a:xfrm>
          <a:off x="330994" y="323850"/>
          <a:ext cx="1152860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22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22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</xdr:colOff>
      <xdr:row>1</xdr:row>
      <xdr:rowOff>104775</xdr:rowOff>
    </xdr:from>
    <xdr:to>
      <xdr:col>3</xdr:col>
      <xdr:colOff>665762</xdr:colOff>
      <xdr:row>2</xdr:row>
      <xdr:rowOff>415630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pSpPr/>
      </xdr:nvGrpSpPr>
      <xdr:grpSpPr>
        <a:xfrm>
          <a:off x="571500" y="295275"/>
          <a:ext cx="1237262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23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23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10584</xdr:colOff>
      <xdr:row>2</xdr:row>
      <xdr:rowOff>42334</xdr:rowOff>
    </xdr:from>
    <xdr:to>
      <xdr:col>3</xdr:col>
      <xdr:colOff>556754</xdr:colOff>
      <xdr:row>3</xdr:row>
      <xdr:rowOff>469605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pSpPr/>
      </xdr:nvGrpSpPr>
      <xdr:grpSpPr>
        <a:xfrm>
          <a:off x="689240" y="113772"/>
          <a:ext cx="1153389" cy="498708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24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24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11</xdr:col>
      <xdr:colOff>211666</xdr:colOff>
      <xdr:row>4</xdr:row>
      <xdr:rowOff>1</xdr:rowOff>
    </xdr:from>
    <xdr:to>
      <xdr:col>12</xdr:col>
      <xdr:colOff>783167</xdr:colOff>
      <xdr:row>6</xdr:row>
      <xdr:rowOff>99189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2400-000005000000}"/>
            </a:ext>
          </a:extLst>
        </xdr:cNvPr>
        <xdr:cNvGrpSpPr/>
      </xdr:nvGrpSpPr>
      <xdr:grpSpPr>
        <a:xfrm>
          <a:off x="13284729" y="642939"/>
          <a:ext cx="2381251" cy="492094"/>
          <a:chOff x="19188906" y="645582"/>
          <a:chExt cx="1163973" cy="499371"/>
        </a:xfrm>
      </xdr:grpSpPr>
      <xdr:sp macro="[0]!goUomConversion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00000000-0008-0000-2400-000006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បំបែកខ្នាតទំនិញ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UomConversi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2400-000007000000}"/>
              </a:ext>
            </a:extLst>
          </xdr:cNvPr>
          <xdr:cNvSpPr/>
        </xdr:nvSpPr>
        <xdr:spPr>
          <a:xfrm>
            <a:off x="19305751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s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190500</xdr:colOff>
      <xdr:row>0</xdr:row>
      <xdr:rowOff>169334</xdr:rowOff>
    </xdr:from>
    <xdr:to>
      <xdr:col>8</xdr:col>
      <xdr:colOff>1350504</xdr:colOff>
      <xdr:row>0</xdr:row>
      <xdr:rowOff>670689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2500-000008000000}"/>
            </a:ext>
          </a:extLst>
        </xdr:cNvPr>
        <xdr:cNvGrpSpPr/>
      </xdr:nvGrpSpPr>
      <xdr:grpSpPr>
        <a:xfrm>
          <a:off x="8466667" y="169334"/>
          <a:ext cx="1160004" cy="501355"/>
          <a:chOff x="19188906" y="645582"/>
          <a:chExt cx="1163973" cy="499371"/>
        </a:xfrm>
      </xdr:grpSpPr>
      <xdr:sp macro="[0]!goToHome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00000000-0008-0000-2500-000009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2500-00000A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8</xdr:col>
      <xdr:colOff>1523999</xdr:colOff>
      <xdr:row>0</xdr:row>
      <xdr:rowOff>137583</xdr:rowOff>
    </xdr:from>
    <xdr:to>
      <xdr:col>9</xdr:col>
      <xdr:colOff>1347785</xdr:colOff>
      <xdr:row>0</xdr:row>
      <xdr:rowOff>654050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pSpPr/>
      </xdr:nvGrpSpPr>
      <xdr:grpSpPr>
        <a:xfrm>
          <a:off x="9800166" y="137583"/>
          <a:ext cx="1400702" cy="516467"/>
          <a:chOff x="17913879" y="686328"/>
          <a:chExt cx="1400702" cy="516467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576854" name="Button 22" hidden="1">
                <a:extLst>
                  <a:ext uri="{63B3BB69-23CF-44E3-9099-C40C66FF867C}">
                    <a14:compatExt spid="_x0000_s3576854"/>
                  </a:ext>
                  <a:ext uri="{FF2B5EF4-FFF2-40B4-BE49-F238E27FC236}">
                    <a16:creationId xmlns:a16="http://schemas.microsoft.com/office/drawing/2014/main" id="{00000000-0008-0000-2500-000016943600}"/>
                  </a:ext>
                </a:extLst>
              </xdr:cNvPr>
              <xdr:cNvSpPr/>
            </xdr:nvSpPr>
            <xdr:spPr bwMode="auto">
              <a:xfrm>
                <a:off x="17913879" y="686328"/>
                <a:ext cx="1400702" cy="51646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77724" rIns="36576" bIns="77724" anchor="ctr" upright="1"/>
              <a:lstStyle/>
              <a:p>
                <a:pPr algn="ctr" rtl="0">
                  <a:defRPr sz="1000"/>
                </a:pPr>
                <a:r>
                  <a:rPr lang="en-US" sz="1400" b="0" i="0" u="none" strike="noStrike" baseline="0">
                    <a:solidFill>
                      <a:srgbClr val="0066CC"/>
                    </a:solidFill>
                    <a:latin typeface="Khmer OS Battambang"/>
                    <a:cs typeface="Khmer OS Battambang"/>
                  </a:rPr>
                  <a:t>        </a:t>
                </a:r>
                <a:r>
                  <a:rPr lang="en-US" sz="1600" b="0" i="0" u="none" strike="noStrike" baseline="0">
                    <a:solidFill>
                      <a:srgbClr val="0066CC"/>
                    </a:solidFill>
                    <a:latin typeface="Khmer OS Battambang"/>
                    <a:cs typeface="Khmer OS Battambang"/>
                  </a:rPr>
                  <a:t>រក្សាទុក</a:t>
                </a:r>
              </a:p>
            </xdr:txBody>
          </xdr:sp>
        </mc:Choice>
        <mc:Fallback/>
      </mc:AlternateContent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2500-000003000000}"/>
              </a:ext>
            </a:extLst>
          </xdr:cNvPr>
          <xdr:cNvSpPr/>
        </xdr:nvSpPr>
        <xdr:spPr>
          <a:xfrm>
            <a:off x="17976145" y="776687"/>
            <a:ext cx="449333" cy="40864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2800">
                <a:solidFill>
                  <a:srgbClr val="0070C0"/>
                </a:solidFill>
                <a:latin typeface="myicons" panose="02000509000000000000" pitchFamily="49" charset="0"/>
              </a:rPr>
              <a:t>R</a:t>
            </a:r>
            <a:endParaRPr lang="en-US" sz="2800">
              <a:solidFill>
                <a:srgbClr val="0070C0"/>
              </a:solidFill>
            </a:endParaRPr>
          </a:p>
        </xdr:txBody>
      </xdr:sp>
    </xdr:grp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770468</xdr:colOff>
      <xdr:row>0</xdr:row>
      <xdr:rowOff>86784</xdr:rowOff>
    </xdr:from>
    <xdr:to>
      <xdr:col>5</xdr:col>
      <xdr:colOff>1164167</xdr:colOff>
      <xdr:row>3</xdr:row>
      <xdr:rowOff>96309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SpPr/>
      </xdr:nvSpPr>
      <xdr:spPr>
        <a:xfrm>
          <a:off x="1828801" y="86784"/>
          <a:ext cx="2637366" cy="7080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km-KH" sz="2400">
              <a:solidFill>
                <a:srgbClr val="0066CC"/>
              </a:solidFill>
              <a:latin typeface="Khmer Muol" panose="02000500000000020004" pitchFamily="2" charset="0"/>
              <a:cs typeface="Khmer Muol" panose="02000500000000020004" pitchFamily="2" charset="0"/>
            </a:rPr>
            <a:t>តារាបញ្ចី</a:t>
          </a:r>
          <a:r>
            <a:rPr lang="km-KH" sz="2400" baseline="0">
              <a:solidFill>
                <a:srgbClr val="0066CC"/>
              </a:solidFill>
              <a:latin typeface="Khmer Muol" panose="02000500000000020004" pitchFamily="2" charset="0"/>
              <a:cs typeface="Khmer Muol" panose="02000500000000020004" pitchFamily="2" charset="0"/>
            </a:rPr>
            <a:t> </a:t>
          </a:r>
          <a:r>
            <a:rPr lang="km-KH" sz="2400">
              <a:solidFill>
                <a:srgbClr val="0066CC"/>
              </a:solidFill>
              <a:latin typeface="Khmer Muol" panose="02000500000000020004" pitchFamily="2" charset="0"/>
              <a:cs typeface="Khmer Muol" panose="02000500000000020004" pitchFamily="2" charset="0"/>
            </a:rPr>
            <a:t>សាខា</a:t>
          </a:r>
          <a:endParaRPr lang="en-US" sz="2400">
            <a:solidFill>
              <a:srgbClr val="0066CC"/>
            </a:solidFill>
            <a:latin typeface="Khmer Muol" panose="02000500000000020004" pitchFamily="2" charset="0"/>
            <a:cs typeface="Khmer Muol" panose="02000500000000020004" pitchFamily="2" charset="0"/>
          </a:endParaRPr>
        </a:p>
      </xdr:txBody>
    </xdr:sp>
    <xdr:clientData/>
  </xdr:twoCellAnchor>
  <xdr:twoCellAnchor>
    <xdr:from>
      <xdr:col>1</xdr:col>
      <xdr:colOff>148166</xdr:colOff>
      <xdr:row>1</xdr:row>
      <xdr:rowOff>31751</xdr:rowOff>
    </xdr:from>
    <xdr:to>
      <xdr:col>3</xdr:col>
      <xdr:colOff>612845</xdr:colOff>
      <xdr:row>2</xdr:row>
      <xdr:rowOff>300272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GrpSpPr/>
      </xdr:nvGrpSpPr>
      <xdr:grpSpPr>
        <a:xfrm>
          <a:off x="433916" y="169334"/>
          <a:ext cx="1237262" cy="501355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00000000-0008-0000-2600-000004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2600-000005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2243486</xdr:colOff>
      <xdr:row>5</xdr:row>
      <xdr:rowOff>25613</xdr:rowOff>
    </xdr:from>
    <xdr:to>
      <xdr:col>5</xdr:col>
      <xdr:colOff>320210</xdr:colOff>
      <xdr:row>6</xdr:row>
      <xdr:rowOff>76966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pSpPr/>
      </xdr:nvGrpSpPr>
      <xdr:grpSpPr>
        <a:xfrm>
          <a:off x="4034186" y="2378288"/>
          <a:ext cx="1915299" cy="680003"/>
          <a:chOff x="6414749" y="300978"/>
          <a:chExt cx="1438912" cy="533296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2800-000003000000}"/>
              </a:ext>
            </a:extLst>
          </xdr:cNvPr>
          <xdr:cNvSpPr txBox="1"/>
        </xdr:nvSpPr>
        <xdr:spPr>
          <a:xfrm>
            <a:off x="6414749" y="300978"/>
            <a:ext cx="1438912" cy="320485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600" b="0" i="0" u="sng" strike="noStrike">
                <a:solidFill>
                  <a:schemeClr val="accent1">
                    <a:lumMod val="50000"/>
                  </a:schemeClr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វិក្កយបត្រ</a:t>
            </a:r>
            <a:endParaRPr lang="ca-ES" sz="1600" b="0" i="0" u="sng" strike="noStrike">
              <a:solidFill>
                <a:schemeClr val="accent1">
                  <a:lumMod val="50000"/>
                </a:schemeClr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2800-000004000000}"/>
              </a:ext>
            </a:extLst>
          </xdr:cNvPr>
          <xdr:cNvSpPr txBox="1"/>
        </xdr:nvSpPr>
        <xdr:spPr>
          <a:xfrm>
            <a:off x="6415553" y="625803"/>
            <a:ext cx="1437393" cy="20847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b"/>
          <a:lstStyle/>
          <a:p>
            <a:pPr marL="0" indent="0" algn="ctr"/>
            <a:r>
              <a:rPr lang="en-US" sz="1400" b="1" i="0" u="sng" strike="noStrike" baseline="0">
                <a:solidFill>
                  <a:schemeClr val="accent1">
                    <a:lumMod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COMMERCIAL</a:t>
            </a:r>
            <a:r>
              <a:rPr lang="en-GB" sz="1400" b="1" i="0" u="sng" strike="noStrike" baseline="0">
                <a:solidFill>
                  <a:schemeClr val="accent1">
                    <a:lumMod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 INVOICE</a:t>
            </a:r>
            <a:endParaRPr lang="ca-ES" sz="1400" b="1" i="0" u="sng" strike="noStrike">
              <a:solidFill>
                <a:schemeClr val="accent1">
                  <a:lumMod val="50000"/>
                </a:schemeClr>
              </a:solidFill>
              <a:effectLst/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 editAs="oneCell">
    <xdr:from>
      <xdr:col>2</xdr:col>
      <xdr:colOff>579600</xdr:colOff>
      <xdr:row>3</xdr:row>
      <xdr:rowOff>140916</xdr:rowOff>
    </xdr:from>
    <xdr:to>
      <xdr:col>3</xdr:col>
      <xdr:colOff>2950094</xdr:colOff>
      <xdr:row>3</xdr:row>
      <xdr:rowOff>485309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2800-00000A000000}"/>
            </a:ext>
          </a:extLst>
        </xdr:cNvPr>
        <xdr:cNvSpPr txBox="1"/>
      </xdr:nvSpPr>
      <xdr:spPr>
        <a:xfrm>
          <a:off x="1386050" y="1830016"/>
          <a:ext cx="3462694" cy="3482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457200" lvl="1" indent="0" algn="l"/>
          <a:r>
            <a:rPr lang="km-KH" sz="1100" b="0" i="0" u="none" strike="noStrike">
              <a:solidFill>
                <a:sysClr val="windowText" lastClr="000000"/>
              </a:solidFill>
              <a:effectLst/>
              <a:latin typeface="Khmer OS Battambang" panose="02000500000000020004" pitchFamily="2" charset="0"/>
              <a:ea typeface="+mn-ea"/>
              <a:cs typeface="Khmer OS Battambang" panose="02000500000000020004" pitchFamily="2" charset="0"/>
            </a:rPr>
            <a:t>លេខអត្តសញ្ញាណកម្មសារពើពន្ធ</a:t>
          </a:r>
          <a:r>
            <a:rPr lang="km-KH" sz="1100" b="0" i="0" u="none" strike="noStrike" baseline="0">
              <a:solidFill>
                <a:sysClr val="windowText" lastClr="000000"/>
              </a:solidFill>
              <a:effectLst/>
              <a:latin typeface="Khmer OS Battambang" panose="02000500000000020004" pitchFamily="2" charset="0"/>
              <a:ea typeface="+mn-ea"/>
              <a:cs typeface="Khmer OS Battambang" panose="02000500000000020004" pitchFamily="2" charset="0"/>
            </a:rPr>
            <a:t> (</a:t>
          </a:r>
          <a:r>
            <a:rPr lang="en-US" sz="1100" b="0" i="0" u="none" strike="noStrike" baseline="0">
              <a:solidFill>
                <a:sysClr val="windowText" lastClr="000000"/>
              </a:solidFill>
              <a:effectLst/>
              <a:latin typeface="Khmer OS Battambang" panose="02000500000000020004" pitchFamily="2" charset="0"/>
              <a:ea typeface="+mn-ea"/>
              <a:cs typeface="Khmer OS Battambang" panose="02000500000000020004" pitchFamily="2" charset="0"/>
            </a:rPr>
            <a:t>TIN)</a:t>
          </a:r>
          <a:endParaRPr lang="ca-ES" sz="1100" b="0" i="0" u="none" strike="noStrike">
            <a:solidFill>
              <a:sysClr val="windowText" lastClr="000000"/>
            </a:solidFill>
            <a:effectLst/>
            <a:latin typeface="Khmer OS Battambang" panose="02000500000000020004" pitchFamily="2" charset="0"/>
            <a:ea typeface="+mn-ea"/>
            <a:cs typeface="Khmer OS Battambang" panose="02000500000000020004" pitchFamily="2" charset="0"/>
          </a:endParaRPr>
        </a:p>
      </xdr:txBody>
    </xdr:sp>
    <xdr:clientData/>
  </xdr:twoCellAnchor>
  <xdr:twoCellAnchor editAs="oneCell">
    <xdr:from>
      <xdr:col>3</xdr:col>
      <xdr:colOff>1448460</xdr:colOff>
      <xdr:row>42</xdr:row>
      <xdr:rowOff>84714</xdr:rowOff>
    </xdr:from>
    <xdr:to>
      <xdr:col>6</xdr:col>
      <xdr:colOff>553995</xdr:colOff>
      <xdr:row>42</xdr:row>
      <xdr:rowOff>2053742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2800-00000D000000}"/>
            </a:ext>
          </a:extLst>
        </xdr:cNvPr>
        <xdr:cNvSpPr txBox="1"/>
      </xdr:nvSpPr>
      <xdr:spPr>
        <a:xfrm>
          <a:off x="3391988" y="12910287"/>
          <a:ext cx="3647076" cy="1969028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 algn="ctr"/>
          <a: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ហត្ថលេខា និងឈ្មោះអ្នកលក់</a:t>
          </a: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Seller's signature and name</a:t>
          </a: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___________________________</a:t>
          </a: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endParaRPr lang="ca-ES" sz="1200" b="0" i="0" u="none" strike="noStrike">
            <a:solidFill>
              <a:sysClr val="windowText" lastClr="000000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</xdr:txBody>
    </xdr:sp>
    <xdr:clientData/>
  </xdr:twoCellAnchor>
  <xdr:twoCellAnchor editAs="oneCell">
    <xdr:from>
      <xdr:col>0</xdr:col>
      <xdr:colOff>251012</xdr:colOff>
      <xdr:row>40</xdr:row>
      <xdr:rowOff>17929</xdr:rowOff>
    </xdr:from>
    <xdr:to>
      <xdr:col>9</xdr:col>
      <xdr:colOff>13119</xdr:colOff>
      <xdr:row>41</xdr:row>
      <xdr:rowOff>20110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2800-00000E000000}"/>
            </a:ext>
          </a:extLst>
        </xdr:cNvPr>
        <xdr:cNvSpPr txBox="1"/>
      </xdr:nvSpPr>
      <xdr:spPr>
        <a:xfrm>
          <a:off x="251012" y="11680762"/>
          <a:ext cx="9866655" cy="1008656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 algn="l"/>
          <a:r>
            <a:rPr lang="km-KH" sz="1100" b="0" i="0" u="sng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គណនីធនាគារ/​</a:t>
          </a:r>
          <a:r>
            <a:rPr lang="en-US" sz="1100" b="1" i="0" u="sng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Bank</a:t>
          </a:r>
          <a:r>
            <a:rPr lang="en-US" sz="1100" b="1" i="0" u="sng" strike="noStrike" baseline="0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Account of </a:t>
          </a:r>
          <a:r>
            <a:rPr lang="en-US" sz="1100" b="1" i="0" u="sng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SEVAK TEAM</a:t>
          </a:r>
        </a:p>
        <a:p>
          <a:pPr marL="0" indent="0" algn="l"/>
          <a: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  <a:t>- Bank Name: Advanced Bank of Asia Ltd.</a:t>
          </a:r>
          <a:b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  <a:t>- Account Name: SEVAK TEAM</a:t>
          </a:r>
          <a:b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  <a:t>- Account No:  002859355</a:t>
          </a:r>
          <a:br>
            <a: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endParaRPr lang="ca-ES" sz="1100" b="0" i="0" u="none" strike="noStrike">
            <a:solidFill>
              <a:sysClr val="windowText" lastClr="000000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104775</xdr:colOff>
          <xdr:row>0</xdr:row>
          <xdr:rowOff>66675</xdr:rowOff>
        </xdr:from>
        <xdr:to>
          <xdr:col>19</xdr:col>
          <xdr:colOff>219075</xdr:colOff>
          <xdr:row>1</xdr:row>
          <xdr:rowOff>447675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28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66675</xdr:colOff>
          <xdr:row>1</xdr:row>
          <xdr:rowOff>28575</xdr:rowOff>
        </xdr:from>
        <xdr:to>
          <xdr:col>22</xdr:col>
          <xdr:colOff>66675</xdr:colOff>
          <xdr:row>1</xdr:row>
          <xdr:rowOff>447675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28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0</xdr:colOff>
      <xdr:row>16</xdr:row>
      <xdr:rowOff>128427</xdr:rowOff>
    </xdr:from>
    <xdr:to>
      <xdr:col>9</xdr:col>
      <xdr:colOff>248292</xdr:colOff>
      <xdr:row>20</xdr:row>
      <xdr:rowOff>241395</xdr:rowOff>
    </xdr:to>
    <xdr:cxnSp macro="">
      <xdr:nvCxnSpPr>
        <xdr:cNvPr id="19" name="Connector: Elbow 18">
          <a:extLst>
            <a:ext uri="{FF2B5EF4-FFF2-40B4-BE49-F238E27FC236}">
              <a16:creationId xmlns:a16="http://schemas.microsoft.com/office/drawing/2014/main" id="{00000000-0008-0000-2800-000013000000}"/>
            </a:ext>
          </a:extLst>
        </xdr:cNvPr>
        <xdr:cNvCxnSpPr/>
      </xdr:nvCxnSpPr>
      <xdr:spPr>
        <a:xfrm flipV="1">
          <a:off x="6498404" y="5325438"/>
          <a:ext cx="3852809" cy="1277373"/>
        </a:xfrm>
        <a:prstGeom prst="bentConnector3">
          <a:avLst>
            <a:gd name="adj1" fmla="val 78667"/>
          </a:avLst>
        </a:prstGeom>
        <a:ln>
          <a:tailEnd type="triangle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 fPrintsWithSheet="0"/>
  </xdr:twoCellAnchor>
  <xdr:twoCellAnchor>
    <xdr:from>
      <xdr:col>3</xdr:col>
      <xdr:colOff>362365</xdr:colOff>
      <xdr:row>1</xdr:row>
      <xdr:rowOff>1050699</xdr:rowOff>
    </xdr:from>
    <xdr:to>
      <xdr:col>7</xdr:col>
      <xdr:colOff>550629</xdr:colOff>
      <xdr:row>1</xdr:row>
      <xdr:rowOff>1309530</xdr:rowOff>
    </xdr:to>
    <xdr:sp macro="" textlink="Setting!#REF!">
      <xdr:nvSpPr>
        <xdr:cNvPr id="16" name="TextBox 15">
          <a:extLst>
            <a:ext uri="{FF2B5EF4-FFF2-40B4-BE49-F238E27FC236}">
              <a16:creationId xmlns:a16="http://schemas.microsoft.com/office/drawing/2014/main" id="{00000000-0008-0000-2800-000010000000}"/>
            </a:ext>
          </a:extLst>
        </xdr:cNvPr>
        <xdr:cNvSpPr txBox="1"/>
      </xdr:nvSpPr>
      <xdr:spPr>
        <a:xfrm>
          <a:off x="2261015" y="1076099"/>
          <a:ext cx="5833414" cy="25883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E9DF190-B82D-4503-A9F2-011D40DFD345}" type="TxLink">
            <a:rPr lang="en-US" sz="1100" b="0" i="0" u="none" strike="noStrike">
              <a:solidFill>
                <a:srgbClr val="000000"/>
              </a:solidFill>
              <a:latin typeface="Khmer OS Battambang" panose="02000500000000020004" pitchFamily="2" charset="0"/>
              <a:cs typeface="Khmer OS Battambang" panose="02000500000000020004" pitchFamily="2" charset="0"/>
            </a:rPr>
            <a:pPr algn="ctr"/>
            <a:t> </a:t>
          </a:fld>
          <a:endParaRPr lang="en-US" sz="1100">
            <a:latin typeface="Khmer OS Battambang" panose="02000500000000020004" pitchFamily="2" charset="0"/>
            <a:cs typeface="Khmer OS Battambang" panose="02000500000000020004" pitchFamily="2" charset="0"/>
          </a:endParaRPr>
        </a:p>
      </xdr:txBody>
    </xdr:sp>
    <xdr:clientData/>
  </xdr:twoCellAnchor>
  <xdr:twoCellAnchor>
    <xdr:from>
      <xdr:col>3</xdr:col>
      <xdr:colOff>365097</xdr:colOff>
      <xdr:row>1</xdr:row>
      <xdr:rowOff>1181192</xdr:rowOff>
    </xdr:from>
    <xdr:to>
      <xdr:col>7</xdr:col>
      <xdr:colOff>1206500</xdr:colOff>
      <xdr:row>3</xdr:row>
      <xdr:rowOff>16298</xdr:rowOff>
    </xdr:to>
    <xdr:sp macro="" textlink="Setting!#REF!">
      <xdr:nvSpPr>
        <xdr:cNvPr id="23" name="TextBox 22">
          <a:extLst>
            <a:ext uri="{FF2B5EF4-FFF2-40B4-BE49-F238E27FC236}">
              <a16:creationId xmlns:a16="http://schemas.microsoft.com/office/drawing/2014/main" id="{00000000-0008-0000-2800-000017000000}"/>
            </a:ext>
          </a:extLst>
        </xdr:cNvPr>
        <xdr:cNvSpPr txBox="1"/>
      </xdr:nvSpPr>
      <xdr:spPr>
        <a:xfrm>
          <a:off x="2263747" y="1206592"/>
          <a:ext cx="6486553" cy="4988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1ADAC5B-82D2-4414-8628-B03D2C10E722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 </a:t>
          </a:fld>
          <a:endParaRPr lang="en-US" sz="1100">
            <a:latin typeface="!Khmer OS System" panose="02000500000000020004" pitchFamily="2" charset="0"/>
            <a:cs typeface="!Khmer OS System" panose="02000500000000020004" pitchFamily="2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2161798</xdr:colOff>
          <xdr:row>3</xdr:row>
          <xdr:rowOff>138006</xdr:rowOff>
        </xdr:from>
        <xdr:to>
          <xdr:col>7</xdr:col>
          <xdr:colOff>457319</xdr:colOff>
          <xdr:row>3</xdr:row>
          <xdr:rowOff>440155</xdr:rowOff>
        </xdr:to>
        <xdr:pic>
          <xdr:nvPicPr>
            <xdr:cNvPr id="24" name="Picture 23">
              <a:extLst>
                <a:ext uri="{FF2B5EF4-FFF2-40B4-BE49-F238E27FC236}">
                  <a16:creationId xmlns:a16="http://schemas.microsoft.com/office/drawing/2014/main" id="{00000000-0008-0000-2800-000018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K$3:$X$3" spid="_x0000_s505887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060448" y="1827106"/>
              <a:ext cx="3940671" cy="307864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401057</xdr:colOff>
      <xdr:row>2</xdr:row>
      <xdr:rowOff>37400</xdr:rowOff>
    </xdr:from>
    <xdr:to>
      <xdr:col>7</xdr:col>
      <xdr:colOff>593131</xdr:colOff>
      <xdr:row>3</xdr:row>
      <xdr:rowOff>240256</xdr:rowOff>
    </xdr:to>
    <xdr:sp macro="" textlink="Setting!E13">
      <xdr:nvSpPr>
        <xdr:cNvPr id="27" name="TextBox 26">
          <a:extLst>
            <a:ext uri="{FF2B5EF4-FFF2-40B4-BE49-F238E27FC236}">
              <a16:creationId xmlns:a16="http://schemas.microsoft.com/office/drawing/2014/main" id="{00000000-0008-0000-2800-00001B000000}"/>
            </a:ext>
          </a:extLst>
        </xdr:cNvPr>
        <xdr:cNvSpPr txBox="1"/>
      </xdr:nvSpPr>
      <xdr:spPr>
        <a:xfrm>
          <a:off x="2299707" y="1447100"/>
          <a:ext cx="5837224" cy="48225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B44F67-F38E-420A-9AE1-994BA73898C3}" type="TxLink">
            <a:rPr lang="en-US" sz="1100" b="0" i="0" u="none" strike="noStrike">
              <a:solidFill>
                <a:srgbClr val="000000"/>
              </a:solidFill>
              <a:latin typeface="Khmer OS Battambang" panose="02000500000000020004" pitchFamily="2" charset="0"/>
              <a:cs typeface="Khmer OS Battambang" panose="02000500000000020004" pitchFamily="2" charset="0"/>
            </a:rPr>
            <a:pPr algn="ctr"/>
            <a:t> </a:t>
          </a:fld>
          <a:endParaRPr lang="en-US" sz="1100">
            <a:latin typeface="Khmer OS Battambang" panose="02000500000000020004" pitchFamily="2" charset="0"/>
            <a:cs typeface="Khmer OS Battambang" panose="02000500000000020004" pitchFamily="2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304800</xdr:colOff>
          <xdr:row>1</xdr:row>
          <xdr:rowOff>28575</xdr:rowOff>
        </xdr:from>
        <xdr:to>
          <xdr:col>15</xdr:col>
          <xdr:colOff>9525</xdr:colOff>
          <xdr:row>1</xdr:row>
          <xdr:rowOff>447675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28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9</xdr:row>
          <xdr:rowOff>257175</xdr:rowOff>
        </xdr:from>
        <xdr:to>
          <xdr:col>19</xdr:col>
          <xdr:colOff>152400</xdr:colOff>
          <xdr:row>10</xdr:row>
          <xdr:rowOff>266700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28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1</xdr:row>
          <xdr:rowOff>485775</xdr:rowOff>
        </xdr:from>
        <xdr:to>
          <xdr:col>12</xdr:col>
          <xdr:colOff>142875</xdr:colOff>
          <xdr:row>1</xdr:row>
          <xdr:rowOff>904875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28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219075</xdr:colOff>
          <xdr:row>1</xdr:row>
          <xdr:rowOff>28575</xdr:rowOff>
        </xdr:from>
        <xdr:to>
          <xdr:col>24</xdr:col>
          <xdr:colOff>333375</xdr:colOff>
          <xdr:row>1</xdr:row>
          <xdr:rowOff>409575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28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Complete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286079</xdr:colOff>
      <xdr:row>1</xdr:row>
      <xdr:rowOff>153302</xdr:rowOff>
    </xdr:from>
    <xdr:to>
      <xdr:col>3</xdr:col>
      <xdr:colOff>379047</xdr:colOff>
      <xdr:row>1</xdr:row>
      <xdr:rowOff>1313023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2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2529" y="178702"/>
          <a:ext cx="1185168" cy="1167341"/>
        </a:xfrm>
        <a:prstGeom prst="rect">
          <a:avLst/>
        </a:prstGeom>
      </xdr:spPr>
    </xdr:pic>
    <xdr:clientData/>
  </xdr:twoCellAnchor>
  <xdr:twoCellAnchor>
    <xdr:from>
      <xdr:col>3</xdr:col>
      <xdr:colOff>558800</xdr:colOff>
      <xdr:row>1</xdr:row>
      <xdr:rowOff>503229</xdr:rowOff>
    </xdr:from>
    <xdr:to>
      <xdr:col>7</xdr:col>
      <xdr:colOff>120650</xdr:colOff>
      <xdr:row>1</xdr:row>
      <xdr:rowOff>869950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2800-000019000000}"/>
            </a:ext>
          </a:extLst>
        </xdr:cNvPr>
        <xdr:cNvGrpSpPr>
          <a:grpSpLocks/>
        </xdr:cNvGrpSpPr>
      </xdr:nvGrpSpPr>
      <xdr:grpSpPr bwMode="auto">
        <a:xfrm>
          <a:off x="2349500" y="531804"/>
          <a:ext cx="4943475" cy="366721"/>
          <a:chOff x="5376" y="944"/>
          <a:chExt cx="5352" cy="854"/>
        </a:xfrm>
      </xdr:grpSpPr>
      <xdr:sp macro="" textlink="">
        <xdr:nvSpPr>
          <xdr:cNvPr id="26" name="WordArt 4">
            <a:extLst>
              <a:ext uri="{FF2B5EF4-FFF2-40B4-BE49-F238E27FC236}">
                <a16:creationId xmlns:a16="http://schemas.microsoft.com/office/drawing/2014/main" id="{00000000-0008-0000-2800-00001A000000}"/>
              </a:ext>
            </a:extLst>
          </xdr:cNvPr>
          <xdr:cNvSpPr>
            <a:spLocks noChangeArrowheads="1" noChangeShapeType="1" noTextEdit="1"/>
          </xdr:cNvSpPr>
        </xdr:nvSpPr>
        <xdr:spPr bwMode="auto">
          <a:xfrm>
            <a:off x="5376" y="944"/>
            <a:ext cx="5352" cy="517"/>
          </a:xfrm>
          <a:prstGeom prst="rect">
            <a:avLst/>
          </a:prstGeom>
        </xdr:spPr>
        <xdr:txBody>
          <a:bodyPr wrap="none" fromWordArt="1">
            <a:prstTxWarp prst="textPlain">
              <a:avLst>
                <a:gd name="adj" fmla="val 50000"/>
              </a:avLst>
            </a:prstTxWarp>
          </a:bodyPr>
          <a:lstStyle/>
          <a:p>
            <a:pPr algn="ctr" rtl="0"/>
            <a:r>
              <a:rPr lang="en-US" sz="2400" kern="10" spc="0">
                <a:ln w="9525">
                  <a:noFill/>
                  <a:round/>
                  <a:headEnd/>
                  <a:tailEnd/>
                </a:ln>
                <a:solidFill>
                  <a:srgbClr val="FF0000"/>
                </a:solidFill>
                <a:effectLst/>
                <a:latin typeface="Limon R1"/>
              </a:rPr>
              <a:t>bkERb nig e)aHBum&lt;</a:t>
            </a:r>
          </a:p>
        </xdr:txBody>
      </xdr:sp>
      <xdr:sp macro="" textlink="">
        <xdr:nvSpPr>
          <xdr:cNvPr id="28" name="WordArt 5">
            <a:extLst>
              <a:ext uri="{FF2B5EF4-FFF2-40B4-BE49-F238E27FC236}">
                <a16:creationId xmlns:a16="http://schemas.microsoft.com/office/drawing/2014/main" id="{00000000-0008-0000-2800-00001C000000}"/>
              </a:ext>
            </a:extLst>
          </xdr:cNvPr>
          <xdr:cNvSpPr>
            <a:spLocks noChangeArrowheads="1" noChangeShapeType="1" noTextEdit="1"/>
          </xdr:cNvSpPr>
        </xdr:nvSpPr>
        <xdr:spPr bwMode="auto">
          <a:xfrm>
            <a:off x="5518" y="1591"/>
            <a:ext cx="4891" cy="207"/>
          </a:xfrm>
          <a:prstGeom prst="rect">
            <a:avLst/>
          </a:prstGeom>
        </xdr:spPr>
        <xdr:txBody>
          <a:bodyPr wrap="none" fromWordArt="1">
            <a:prstTxWarp prst="textPlain">
              <a:avLst>
                <a:gd name="adj" fmla="val 50000"/>
              </a:avLst>
            </a:prstTxWarp>
          </a:bodyPr>
          <a:lstStyle/>
          <a:p>
            <a:pPr algn="ctr" rtl="0"/>
            <a:r>
              <a:rPr lang="en-US" sz="1000" kern="10" spc="0">
                <a:ln w="9525">
                  <a:noFill/>
                  <a:round/>
                  <a:headEnd/>
                  <a:tailEnd/>
                </a:ln>
                <a:solidFill>
                  <a:srgbClr val="000000"/>
                </a:solidFill>
                <a:effectLst/>
                <a:latin typeface="Arial"/>
                <a:cs typeface="Arial"/>
              </a:rPr>
              <a:t>TRANSLATION   AND</a:t>
            </a:r>
            <a:r>
              <a:rPr lang="en-US" sz="1000" kern="10" spc="0" baseline="0">
                <a:ln w="9525">
                  <a:noFill/>
                  <a:round/>
                  <a:headEnd/>
                  <a:tailEnd/>
                </a:ln>
                <a:solidFill>
                  <a:srgbClr val="000000"/>
                </a:solidFill>
                <a:effectLst/>
                <a:latin typeface="Arial"/>
                <a:cs typeface="Arial"/>
              </a:rPr>
              <a:t> </a:t>
            </a:r>
            <a:r>
              <a:rPr lang="en-US" sz="1000" kern="10" spc="0">
                <a:ln w="9525">
                  <a:noFill/>
                  <a:round/>
                  <a:headEnd/>
                  <a:tailEnd/>
                </a:ln>
                <a:solidFill>
                  <a:srgbClr val="000000"/>
                </a:solidFill>
                <a:effectLst/>
                <a:latin typeface="Arial"/>
                <a:cs typeface="Arial"/>
              </a:rPr>
              <a:t>PUBLISHING</a:t>
            </a:r>
          </a:p>
        </xdr:txBody>
      </xdr:sp>
    </xdr:grpSp>
    <xdr:clientData/>
  </xdr:twoCellAnchor>
  <xdr:twoCellAnchor>
    <xdr:from>
      <xdr:col>3</xdr:col>
      <xdr:colOff>788511</xdr:colOff>
      <xdr:row>1</xdr:row>
      <xdr:rowOff>146051</xdr:rowOff>
    </xdr:from>
    <xdr:to>
      <xdr:col>6</xdr:col>
      <xdr:colOff>660400</xdr:colOff>
      <xdr:row>1</xdr:row>
      <xdr:rowOff>463550</xdr:rowOff>
    </xdr:to>
    <xdr:sp macro="" textlink="">
      <xdr:nvSpPr>
        <xdr:cNvPr id="29" name="WordArt 3">
          <a:extLst>
            <a:ext uri="{FF2B5EF4-FFF2-40B4-BE49-F238E27FC236}">
              <a16:creationId xmlns:a16="http://schemas.microsoft.com/office/drawing/2014/main" id="{00000000-0008-0000-2800-00001D000000}"/>
            </a:ext>
          </a:extLst>
        </xdr:cNvPr>
        <xdr:cNvSpPr>
          <a:spLocks noChangeArrowheads="1" noChangeShapeType="1" noTextEdit="1"/>
        </xdr:cNvSpPr>
      </xdr:nvSpPr>
      <xdr:spPr bwMode="auto">
        <a:xfrm>
          <a:off x="2687161" y="171451"/>
          <a:ext cx="4513739" cy="317499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111"/>
            </a:avLst>
          </a:prstTxWarp>
        </a:bodyPr>
        <a:lstStyle/>
        <a:p>
          <a:pPr algn="ctr" rtl="0"/>
          <a:r>
            <a:rPr lang="en-US" sz="4400" kern="10" spc="0" baseline="0">
              <a:ln w="9525">
                <a:noFill/>
                <a:round/>
                <a:headEnd/>
                <a:tailEnd/>
              </a:ln>
              <a:solidFill>
                <a:srgbClr val="00A2EA"/>
              </a:solidFill>
              <a:effectLst/>
              <a:latin typeface="Limon R1"/>
            </a:rPr>
            <a:t>sIv³FIm</a:t>
          </a:r>
          <a:endParaRPr lang="en-US" sz="4400" kern="10" spc="0">
            <a:ln w="9525">
              <a:noFill/>
              <a:round/>
              <a:headEnd/>
              <a:tailEnd/>
            </a:ln>
            <a:solidFill>
              <a:srgbClr val="00A2EA"/>
            </a:solidFill>
            <a:effectLst/>
            <a:latin typeface="Limon R1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2164080</xdr:colOff>
          <xdr:row>3</xdr:row>
          <xdr:rowOff>137160</xdr:rowOff>
        </xdr:from>
        <xdr:to>
          <xdr:col>7</xdr:col>
          <xdr:colOff>457200</xdr:colOff>
          <xdr:row>3</xdr:row>
          <xdr:rowOff>441960</xdr:rowOff>
        </xdr:to>
        <xdr:pic>
          <xdr:nvPicPr>
            <xdr:cNvPr id="37304" name="Picture 23">
              <a:extLst>
                <a:ext uri="{FF2B5EF4-FFF2-40B4-BE49-F238E27FC236}">
                  <a16:creationId xmlns:a16="http://schemas.microsoft.com/office/drawing/2014/main" id="{00000000-0008-0000-2800-0000B891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K$3:$X$3" spid="_x0000_s505887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023360" y="1828800"/>
              <a:ext cx="3848100" cy="3048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2162175</xdr:colOff>
          <xdr:row>3</xdr:row>
          <xdr:rowOff>133350</xdr:rowOff>
        </xdr:from>
        <xdr:to>
          <xdr:col>7</xdr:col>
          <xdr:colOff>457200</xdr:colOff>
          <xdr:row>3</xdr:row>
          <xdr:rowOff>438150</xdr:rowOff>
        </xdr:to>
        <xdr:pic>
          <xdr:nvPicPr>
            <xdr:cNvPr id="4733490" name="Picture 23">
              <a:extLst>
                <a:ext uri="{FF2B5EF4-FFF2-40B4-BE49-F238E27FC236}">
                  <a16:creationId xmlns:a16="http://schemas.microsoft.com/office/drawing/2014/main" id="{00000000-0008-0000-2800-0000323A48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K$3:$X$3" spid="_x0000_s505887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952875" y="1819275"/>
              <a:ext cx="3676650" cy="3048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2162175</xdr:colOff>
          <xdr:row>3</xdr:row>
          <xdr:rowOff>133350</xdr:rowOff>
        </xdr:from>
        <xdr:to>
          <xdr:col>7</xdr:col>
          <xdr:colOff>457200</xdr:colOff>
          <xdr:row>3</xdr:row>
          <xdr:rowOff>438150</xdr:rowOff>
        </xdr:to>
        <xdr:pic>
          <xdr:nvPicPr>
            <xdr:cNvPr id="4733491" name="Picture 5683">
              <a:extLst>
                <a:ext uri="{FF2B5EF4-FFF2-40B4-BE49-F238E27FC236}">
                  <a16:creationId xmlns:a16="http://schemas.microsoft.com/office/drawing/2014/main" id="{00000000-0008-0000-2800-0000333A48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K$3:$X$3" spid="_x0000_s505887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952875" y="1819275"/>
              <a:ext cx="3676650" cy="3048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2243486</xdr:colOff>
      <xdr:row>8</xdr:row>
      <xdr:rowOff>25613</xdr:rowOff>
    </xdr:from>
    <xdr:to>
      <xdr:col>5</xdr:col>
      <xdr:colOff>320210</xdr:colOff>
      <xdr:row>9</xdr:row>
      <xdr:rowOff>76966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pSpPr/>
      </xdr:nvGrpSpPr>
      <xdr:grpSpPr>
        <a:xfrm>
          <a:off x="4034186" y="2168738"/>
          <a:ext cx="1915299" cy="680003"/>
          <a:chOff x="6414749" y="300978"/>
          <a:chExt cx="1438912" cy="533296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2900-000003000000}"/>
              </a:ext>
            </a:extLst>
          </xdr:cNvPr>
          <xdr:cNvSpPr txBox="1"/>
        </xdr:nvSpPr>
        <xdr:spPr>
          <a:xfrm>
            <a:off x="6414749" y="300978"/>
            <a:ext cx="1438912" cy="320485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600" b="0" i="0" u="none" strike="noStrike">
                <a:solidFill>
                  <a:schemeClr val="accent1">
                    <a:lumMod val="50000"/>
                  </a:schemeClr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វិក្កយបត្រ</a:t>
            </a:r>
            <a:endParaRPr lang="ca-ES" sz="1600" b="0" i="0" u="none" strike="noStrike">
              <a:solidFill>
                <a:schemeClr val="accent1">
                  <a:lumMod val="50000"/>
                </a:schemeClr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2900-000004000000}"/>
              </a:ext>
            </a:extLst>
          </xdr:cNvPr>
          <xdr:cNvSpPr txBox="1"/>
        </xdr:nvSpPr>
        <xdr:spPr>
          <a:xfrm>
            <a:off x="6415553" y="625803"/>
            <a:ext cx="1437393" cy="20847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b"/>
          <a:lstStyle/>
          <a:p>
            <a:pPr marL="0" indent="0" algn="ctr"/>
            <a:r>
              <a:rPr lang="en-US" sz="1400" b="1" i="0" u="none" strike="noStrike" baseline="0">
                <a:solidFill>
                  <a:schemeClr val="accent1">
                    <a:lumMod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COMMERCIAL</a:t>
            </a:r>
            <a:r>
              <a:rPr lang="en-GB" sz="1400" b="1" i="0" u="none" strike="noStrike" baseline="0">
                <a:solidFill>
                  <a:schemeClr val="accent1">
                    <a:lumMod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 INVOICE</a:t>
            </a:r>
            <a:endParaRPr lang="ca-ES" sz="1400" b="1" i="0" u="none" strike="noStrike">
              <a:solidFill>
                <a:schemeClr val="accent1">
                  <a:lumMod val="50000"/>
                </a:schemeClr>
              </a:solidFill>
              <a:effectLst/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 editAs="oneCell">
    <xdr:from>
      <xdr:col>3</xdr:col>
      <xdr:colOff>1448460</xdr:colOff>
      <xdr:row>45</xdr:row>
      <xdr:rowOff>84714</xdr:rowOff>
    </xdr:from>
    <xdr:to>
      <xdr:col>6</xdr:col>
      <xdr:colOff>553995</xdr:colOff>
      <xdr:row>45</xdr:row>
      <xdr:rowOff>2053742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2900-000009000000}"/>
            </a:ext>
          </a:extLst>
        </xdr:cNvPr>
        <xdr:cNvSpPr txBox="1"/>
      </xdr:nvSpPr>
      <xdr:spPr>
        <a:xfrm>
          <a:off x="3315360" y="13754994"/>
          <a:ext cx="3662295" cy="1969028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 algn="ctr"/>
          <a: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ហត្ថលេខា និងឈ្មោះអ្នកលក់</a:t>
          </a: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Seller's signature and name</a:t>
          </a: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___________________________</a:t>
          </a: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endParaRPr lang="ca-ES" sz="1200" b="0" i="0" u="none" strike="noStrike">
            <a:solidFill>
              <a:sysClr val="windowText" lastClr="000000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</xdr:txBody>
    </xdr:sp>
    <xdr:clientData/>
  </xdr:twoCellAnchor>
  <xdr:twoCellAnchor editAs="oneCell">
    <xdr:from>
      <xdr:col>0</xdr:col>
      <xdr:colOff>251012</xdr:colOff>
      <xdr:row>43</xdr:row>
      <xdr:rowOff>17929</xdr:rowOff>
    </xdr:from>
    <xdr:to>
      <xdr:col>9</xdr:col>
      <xdr:colOff>9309</xdr:colOff>
      <xdr:row>44</xdr:row>
      <xdr:rowOff>20110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2900-00000A000000}"/>
            </a:ext>
          </a:extLst>
        </xdr:cNvPr>
        <xdr:cNvSpPr txBox="1"/>
      </xdr:nvSpPr>
      <xdr:spPr>
        <a:xfrm>
          <a:off x="174812" y="12537589"/>
          <a:ext cx="9862417" cy="1023261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 algn="l"/>
          <a:r>
            <a:rPr lang="km-KH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គណនីធនាគារ</a:t>
          </a:r>
          <a:r>
            <a: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</a:t>
          </a:r>
          <a:r>
            <a:rPr lang="km-KH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/​</a:t>
          </a:r>
          <a:r>
            <a: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SEVAK TEAM's Bank</a:t>
          </a:r>
          <a:r>
            <a:rPr lang="en-US" sz="1100" b="0" i="0" u="none" strike="noStrike" baseline="0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accounts</a:t>
          </a:r>
          <a:endParaRPr lang="km-KH" sz="1100" b="0" i="0" u="none" strike="noStrike" baseline="0">
            <a:solidFill>
              <a:sysClr val="windowText" lastClr="000000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  <a:p>
          <a:pPr marL="0" indent="0" algn="l"/>
          <a: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  <a:t>- Bank name: Advanced Bank of Asia Ltd.</a:t>
          </a:r>
          <a:b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  <a:t>- Account Name: SEVAK TEAM</a:t>
          </a:r>
          <a:b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  <a:t>- Account No:  002859355</a:t>
          </a:r>
          <a:br>
            <a: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endParaRPr lang="ca-ES" sz="1100" b="0" i="0" u="none" strike="noStrike">
            <a:solidFill>
              <a:sysClr val="windowText" lastClr="000000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</xdr:row>
          <xdr:rowOff>66675</xdr:rowOff>
        </xdr:from>
        <xdr:to>
          <xdr:col>15</xdr:col>
          <xdr:colOff>76200</xdr:colOff>
          <xdr:row>1</xdr:row>
          <xdr:rowOff>523875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29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219075</xdr:colOff>
          <xdr:row>1</xdr:row>
          <xdr:rowOff>104775</xdr:rowOff>
        </xdr:from>
        <xdr:to>
          <xdr:col>17</xdr:col>
          <xdr:colOff>219075</xdr:colOff>
          <xdr:row>1</xdr:row>
          <xdr:rowOff>495300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29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0</xdr:colOff>
      <xdr:row>19</xdr:row>
      <xdr:rowOff>128427</xdr:rowOff>
    </xdr:from>
    <xdr:to>
      <xdr:col>9</xdr:col>
      <xdr:colOff>248292</xdr:colOff>
      <xdr:row>23</xdr:row>
      <xdr:rowOff>241395</xdr:rowOff>
    </xdr:to>
    <xdr:cxnSp macro="">
      <xdr:nvCxnSpPr>
        <xdr:cNvPr id="13" name="Connector: Elbow 12">
          <a:extLst>
            <a:ext uri="{FF2B5EF4-FFF2-40B4-BE49-F238E27FC236}">
              <a16:creationId xmlns:a16="http://schemas.microsoft.com/office/drawing/2014/main" id="{00000000-0008-0000-2900-00000D000000}"/>
            </a:ext>
          </a:extLst>
        </xdr:cNvPr>
        <xdr:cNvCxnSpPr/>
      </xdr:nvCxnSpPr>
      <xdr:spPr>
        <a:xfrm flipV="1">
          <a:off x="6423660" y="5508147"/>
          <a:ext cx="3852552" cy="1271208"/>
        </a:xfrm>
        <a:prstGeom prst="bentConnector3">
          <a:avLst>
            <a:gd name="adj1" fmla="val 78667"/>
          </a:avLst>
        </a:prstGeom>
        <a:ln>
          <a:tailEnd type="triangle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9911</xdr:colOff>
          <xdr:row>6</xdr:row>
          <xdr:rowOff>6233</xdr:rowOff>
        </xdr:from>
        <xdr:to>
          <xdr:col>7</xdr:col>
          <xdr:colOff>1273561</xdr:colOff>
          <xdr:row>6</xdr:row>
          <xdr:rowOff>323733</xdr:rowOff>
        </xdr:to>
        <xdr:pic>
          <xdr:nvPicPr>
            <xdr:cNvPr id="16" name="Picture 15">
              <a:extLst>
                <a:ext uri="{FF2B5EF4-FFF2-40B4-BE49-F238E27FC236}">
                  <a16:creationId xmlns:a16="http://schemas.microsoft.com/office/drawing/2014/main" id="{00000000-0008-0000-2900-000010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K$4:$X$4" spid="_x0000_s503639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005244" y="2027650"/>
              <a:ext cx="3714750" cy="317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409575</xdr:colOff>
          <xdr:row>1</xdr:row>
          <xdr:rowOff>66675</xdr:rowOff>
        </xdr:from>
        <xdr:to>
          <xdr:col>10</xdr:col>
          <xdr:colOff>9525</xdr:colOff>
          <xdr:row>1</xdr:row>
          <xdr:rowOff>485775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29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12</xdr:row>
          <xdr:rowOff>257175</xdr:rowOff>
        </xdr:from>
        <xdr:to>
          <xdr:col>19</xdr:col>
          <xdr:colOff>180975</xdr:colOff>
          <xdr:row>13</xdr:row>
          <xdr:rowOff>266700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29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76200</xdr:colOff>
          <xdr:row>1</xdr:row>
          <xdr:rowOff>76200</xdr:rowOff>
        </xdr:from>
        <xdr:to>
          <xdr:col>20</xdr:col>
          <xdr:colOff>219075</xdr:colOff>
          <xdr:row>1</xdr:row>
          <xdr:rowOff>457200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29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Complete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451179</xdr:colOff>
      <xdr:row>1</xdr:row>
      <xdr:rowOff>13602</xdr:rowOff>
    </xdr:from>
    <xdr:to>
      <xdr:col>2</xdr:col>
      <xdr:colOff>1007697</xdr:colOff>
      <xdr:row>3</xdr:row>
      <xdr:rowOff>140520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0000000-0008-0000-29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439" y="44082"/>
          <a:ext cx="1173738" cy="116734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447675</xdr:colOff>
          <xdr:row>1</xdr:row>
          <xdr:rowOff>523875</xdr:rowOff>
        </xdr:from>
        <xdr:to>
          <xdr:col>9</xdr:col>
          <xdr:colOff>1095375</xdr:colOff>
          <xdr:row>2</xdr:row>
          <xdr:rowOff>257175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29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84666</xdr:colOff>
      <xdr:row>3</xdr:row>
      <xdr:rowOff>169332</xdr:rowOff>
    </xdr:from>
    <xdr:to>
      <xdr:col>3</xdr:col>
      <xdr:colOff>612845</xdr:colOff>
      <xdr:row>4</xdr:row>
      <xdr:rowOff>497417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pSpPr/>
      </xdr:nvGrpSpPr>
      <xdr:grpSpPr>
        <a:xfrm>
          <a:off x="232833" y="169332"/>
          <a:ext cx="1237262" cy="51858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2A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2A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6</xdr:col>
      <xdr:colOff>127000</xdr:colOff>
      <xdr:row>4</xdr:row>
      <xdr:rowOff>412749</xdr:rowOff>
    </xdr:from>
    <xdr:to>
      <xdr:col>9</xdr:col>
      <xdr:colOff>878417</xdr:colOff>
      <xdr:row>6</xdr:row>
      <xdr:rowOff>264582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2A00-000005000000}"/>
            </a:ext>
          </a:extLst>
        </xdr:cNvPr>
        <xdr:cNvGrpSpPr/>
      </xdr:nvGrpSpPr>
      <xdr:grpSpPr>
        <a:xfrm>
          <a:off x="8890000" y="603249"/>
          <a:ext cx="2402417" cy="476250"/>
          <a:chOff x="19188906" y="645582"/>
          <a:chExt cx="1163973" cy="499371"/>
        </a:xfrm>
      </xdr:grpSpPr>
      <xdr:sp macro="[0]!goToNBCExchangeRate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00000000-0008-0000-2A00-000006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អត្រាប្តូរប្រាក់ធនាគារជាតិ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NBCExchangeRate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2A00-000007000000}"/>
              </a:ext>
            </a:extLst>
          </xdr:cNvPr>
          <xdr:cNvSpPr/>
        </xdr:nvSpPr>
        <xdr:spPr>
          <a:xfrm>
            <a:off x="19243263" y="786247"/>
            <a:ext cx="187435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800">
                <a:solidFill>
                  <a:srgbClr val="0066CC"/>
                </a:solidFill>
                <a:latin typeface="myicons" panose="02000509000000000000" pitchFamily="49" charset="0"/>
              </a:rPr>
              <a:t></a:t>
            </a:r>
            <a:endParaRPr lang="en-US" sz="28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232833</xdr:colOff>
      <xdr:row>3</xdr:row>
      <xdr:rowOff>52916</xdr:rowOff>
    </xdr:from>
    <xdr:to>
      <xdr:col>3</xdr:col>
      <xdr:colOff>609670</xdr:colOff>
      <xdr:row>3</xdr:row>
      <xdr:rowOff>554271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pSpPr/>
      </xdr:nvGrpSpPr>
      <xdr:grpSpPr>
        <a:xfrm>
          <a:off x="497416" y="243416"/>
          <a:ext cx="1160004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2B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2B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31751</xdr:colOff>
      <xdr:row>3</xdr:row>
      <xdr:rowOff>84666</xdr:rowOff>
    </xdr:from>
    <xdr:to>
      <xdr:col>3</xdr:col>
      <xdr:colOff>736671</xdr:colOff>
      <xdr:row>4</xdr:row>
      <xdr:rowOff>25104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pSpPr/>
      </xdr:nvGrpSpPr>
      <xdr:grpSpPr>
        <a:xfrm>
          <a:off x="867834" y="275166"/>
          <a:ext cx="1160004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2C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2C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1162050</xdr:colOff>
          <xdr:row>2</xdr:row>
          <xdr:rowOff>95250</xdr:rowOff>
        </xdr:from>
        <xdr:to>
          <xdr:col>7</xdr:col>
          <xdr:colOff>28575</xdr:colOff>
          <xdr:row>4</xdr:row>
          <xdr:rowOff>9525</xdr:rowOff>
        </xdr:to>
        <xdr:sp macro="" textlink="">
          <xdr:nvSpPr>
            <xdr:cNvPr id="4519954" name="ProductAddPrice" hidden="1">
              <a:extLst>
                <a:ext uri="{63B3BB69-23CF-44E3-9099-C40C66FF867C}">
                  <a14:compatExt spid="_x0000_s4519954"/>
                </a:ext>
                <a:ext uri="{FF2B5EF4-FFF2-40B4-BE49-F238E27FC236}">
                  <a16:creationId xmlns:a16="http://schemas.microsoft.com/office/drawing/2014/main" id="{00000000-0008-0000-2D00-000012F84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xdr:twoCellAnchor>
    <xdr:from>
      <xdr:col>15</xdr:col>
      <xdr:colOff>665690</xdr:colOff>
      <xdr:row>2</xdr:row>
      <xdr:rowOff>92340</xdr:rowOff>
    </xdr:from>
    <xdr:to>
      <xdr:col>16</xdr:col>
      <xdr:colOff>486372</xdr:colOff>
      <xdr:row>4</xdr:row>
      <xdr:rowOff>21400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2D00-00000A000000}"/>
            </a:ext>
          </a:extLst>
        </xdr:cNvPr>
        <xdr:cNvGrpSpPr/>
      </xdr:nvGrpSpPr>
      <xdr:grpSpPr>
        <a:xfrm>
          <a:off x="15715190" y="747184"/>
          <a:ext cx="1166088" cy="524372"/>
          <a:chOff x="19188906" y="645582"/>
          <a:chExt cx="1163973" cy="499371"/>
        </a:xfrm>
      </xdr:grpSpPr>
      <xdr:sp macro="[0]!goToHome" textlink="">
        <xdr:nvSpPr>
          <xdr:cNvPr id="11" name="Rectangle: Rounded Corners 10">
            <a:extLst>
              <a:ext uri="{FF2B5EF4-FFF2-40B4-BE49-F238E27FC236}">
                <a16:creationId xmlns:a16="http://schemas.microsoft.com/office/drawing/2014/main" id="{00000000-0008-0000-2D00-00000B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2D00-00000C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13</xdr:col>
      <xdr:colOff>1250155</xdr:colOff>
      <xdr:row>2</xdr:row>
      <xdr:rowOff>95250</xdr:rowOff>
    </xdr:from>
    <xdr:to>
      <xdr:col>14</xdr:col>
      <xdr:colOff>1330653</xdr:colOff>
      <xdr:row>4</xdr:row>
      <xdr:rowOff>7843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pSpPr/>
      </xdr:nvGrpSpPr>
      <xdr:grpSpPr>
        <a:xfrm>
          <a:off x="13608843" y="750094"/>
          <a:ext cx="1354466" cy="507905"/>
          <a:chOff x="13473744" y="95248"/>
          <a:chExt cx="1400707" cy="1082932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519956" name="Button 20" hidden="1">
                <a:extLst>
                  <a:ext uri="{63B3BB69-23CF-44E3-9099-C40C66FF867C}">
                    <a14:compatExt spid="_x0000_s4519956"/>
                  </a:ext>
                  <a:ext uri="{FF2B5EF4-FFF2-40B4-BE49-F238E27FC236}">
                    <a16:creationId xmlns:a16="http://schemas.microsoft.com/office/drawing/2014/main" id="{00000000-0008-0000-2D00-000014F84400}"/>
                  </a:ext>
                </a:extLst>
              </xdr:cNvPr>
              <xdr:cNvSpPr/>
            </xdr:nvSpPr>
            <xdr:spPr bwMode="auto">
              <a:xfrm>
                <a:off x="13473744" y="95248"/>
                <a:ext cx="1400707" cy="108293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77724" rIns="36576" bIns="77724" anchor="ctr" upright="1"/>
              <a:lstStyle/>
              <a:p>
                <a:pPr algn="ctr" rtl="0">
                  <a:defRPr sz="1000"/>
                </a:pPr>
                <a:r>
                  <a:rPr lang="en-US" sz="1400" b="0" i="0" u="none" strike="noStrike" baseline="0">
                    <a:solidFill>
                      <a:srgbClr val="0066CC"/>
                    </a:solidFill>
                    <a:latin typeface="Khmer OS Battambang"/>
                    <a:cs typeface="Khmer OS Battambang"/>
                  </a:rPr>
                  <a:t>        រក្សាទុក</a:t>
                </a:r>
              </a:p>
            </xdr:txBody>
          </xdr:sp>
        </mc:Choice>
        <mc:Fallback/>
      </mc:AlternateContent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2D00-000003000000}"/>
              </a:ext>
            </a:extLst>
          </xdr:cNvPr>
          <xdr:cNvSpPr/>
        </xdr:nvSpPr>
        <xdr:spPr>
          <a:xfrm>
            <a:off x="13568192" y="323725"/>
            <a:ext cx="424599" cy="84622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2800">
                <a:solidFill>
                  <a:srgbClr val="0070C0"/>
                </a:solidFill>
                <a:latin typeface="myicons" panose="02000509000000000000" pitchFamily="49" charset="0"/>
              </a:rPr>
              <a:t>R</a:t>
            </a:r>
            <a:endParaRPr lang="en-US" sz="2800">
              <a:solidFill>
                <a:srgbClr val="0070C0"/>
              </a:solidFill>
            </a:endParaRPr>
          </a:p>
        </xdr:txBody>
      </xdr:sp>
    </xdr:grp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333377</xdr:colOff>
      <xdr:row>4</xdr:row>
      <xdr:rowOff>84666</xdr:rowOff>
    </xdr:from>
    <xdr:to>
      <xdr:col>12</xdr:col>
      <xdr:colOff>597959</xdr:colOff>
      <xdr:row>6</xdr:row>
      <xdr:rowOff>157396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pSpPr/>
      </xdr:nvGrpSpPr>
      <xdr:grpSpPr>
        <a:xfrm>
          <a:off x="14440960" y="963083"/>
          <a:ext cx="1492249" cy="517230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2E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2E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451114</xdr:colOff>
      <xdr:row>5</xdr:row>
      <xdr:rowOff>34395</xdr:rowOff>
    </xdr:from>
    <xdr:to>
      <xdr:col>13</xdr:col>
      <xdr:colOff>349056</xdr:colOff>
      <xdr:row>6</xdr:row>
      <xdr:rowOff>207666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pSpPr/>
      </xdr:nvGrpSpPr>
      <xdr:grpSpPr>
        <a:xfrm>
          <a:off x="16857927" y="903551"/>
          <a:ext cx="1160004" cy="494740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2F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2F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601200</xdr:colOff>
      <xdr:row>3</xdr:row>
      <xdr:rowOff>107153</xdr:rowOff>
    </xdr:from>
    <xdr:to>
      <xdr:col>6</xdr:col>
      <xdr:colOff>174218</xdr:colOff>
      <xdr:row>3</xdr:row>
      <xdr:rowOff>608508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pSpPr/>
      </xdr:nvGrpSpPr>
      <xdr:grpSpPr>
        <a:xfrm>
          <a:off x="800074" y="107153"/>
          <a:ext cx="1498952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30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30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200025</xdr:colOff>
          <xdr:row>3</xdr:row>
          <xdr:rowOff>638175</xdr:rowOff>
        </xdr:from>
        <xdr:to>
          <xdr:col>39</xdr:col>
          <xdr:colOff>9525</xdr:colOff>
          <xdr:row>6</xdr:row>
          <xdr:rowOff>123825</xdr:rowOff>
        </xdr:to>
        <xdr:sp macro="" textlink="">
          <xdr:nvSpPr>
            <xdr:cNvPr id="2072589" name="Button 13" hidden="1">
              <a:extLst>
                <a:ext uri="{63B3BB69-23CF-44E3-9099-C40C66FF867C}">
                  <a14:compatExt spid="_x0000_s2072589"/>
                </a:ext>
                <a:ext uri="{FF2B5EF4-FFF2-40B4-BE49-F238E27FC236}">
                  <a16:creationId xmlns:a16="http://schemas.microsoft.com/office/drawing/2014/main" id="{00000000-0008-0000-3000-00000DA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25</a:t>
              </a:r>
            </a:p>
          </xdr:txBody>
        </xdr:sp>
        <xdr:clientData fPrintsWithSheet="0"/>
      </xdr:twoCellAnchor>
    </mc:Choice>
    <mc:Fallback/>
  </mc:AlternateContent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75406</xdr:colOff>
      <xdr:row>0</xdr:row>
      <xdr:rowOff>105833</xdr:rowOff>
    </xdr:from>
    <xdr:to>
      <xdr:col>5</xdr:col>
      <xdr:colOff>698501</xdr:colOff>
      <xdr:row>0</xdr:row>
      <xdr:rowOff>592666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GrpSpPr/>
      </xdr:nvGrpSpPr>
      <xdr:grpSpPr>
        <a:xfrm>
          <a:off x="373062" y="105833"/>
          <a:ext cx="1420814" cy="486833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31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31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5</xdr:col>
      <xdr:colOff>910167</xdr:colOff>
      <xdr:row>0</xdr:row>
      <xdr:rowOff>96251</xdr:rowOff>
    </xdr:from>
    <xdr:to>
      <xdr:col>6</xdr:col>
      <xdr:colOff>1210202</xdr:colOff>
      <xdr:row>0</xdr:row>
      <xdr:rowOff>569120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3100-00000A000000}"/>
            </a:ext>
          </a:extLst>
        </xdr:cNvPr>
        <xdr:cNvGrpSpPr/>
      </xdr:nvGrpSpPr>
      <xdr:grpSpPr>
        <a:xfrm>
          <a:off x="2005542" y="96251"/>
          <a:ext cx="1407316" cy="472869"/>
          <a:chOff x="17912069" y="686324"/>
          <a:chExt cx="1400714" cy="516467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673539" name="Button 3" hidden="1">
                <a:extLst>
                  <a:ext uri="{63B3BB69-23CF-44E3-9099-C40C66FF867C}">
                    <a14:compatExt spid="_x0000_s4673539"/>
                  </a:ext>
                  <a:ext uri="{FF2B5EF4-FFF2-40B4-BE49-F238E27FC236}">
                    <a16:creationId xmlns:a16="http://schemas.microsoft.com/office/drawing/2014/main" id="{00000000-0008-0000-3100-000003504700}"/>
                  </a:ext>
                </a:extLst>
              </xdr:cNvPr>
              <xdr:cNvSpPr/>
            </xdr:nvSpPr>
            <xdr:spPr bwMode="auto">
              <a:xfrm>
                <a:off x="17912069" y="686324"/>
                <a:ext cx="1400714" cy="51646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77724" rIns="36576" bIns="77724" anchor="ctr" upright="1"/>
              <a:lstStyle/>
              <a:p>
                <a:pPr algn="ctr" rtl="0">
                  <a:defRPr sz="1000"/>
                </a:pPr>
                <a:r>
                  <a:rPr lang="en-US" sz="1400" b="0" i="0" u="none" strike="noStrike" baseline="0">
                    <a:solidFill>
                      <a:srgbClr val="0066CC"/>
                    </a:solidFill>
                    <a:latin typeface="Khmer OS Battambang"/>
                    <a:cs typeface="Khmer OS Battambang"/>
                  </a:rPr>
                  <a:t>        រក្សាទុក</a:t>
                </a:r>
              </a:p>
            </xdr:txBody>
          </xdr:sp>
        </mc:Choice>
        <mc:Fallback/>
      </mc:AlternateContent>
      <xdr:sp macro="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3100-00000B000000}"/>
              </a:ext>
            </a:extLst>
          </xdr:cNvPr>
          <xdr:cNvSpPr/>
        </xdr:nvSpPr>
        <xdr:spPr>
          <a:xfrm>
            <a:off x="17976145" y="776687"/>
            <a:ext cx="449333" cy="40864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2800">
                <a:solidFill>
                  <a:srgbClr val="0070C0"/>
                </a:solidFill>
                <a:latin typeface="myicons" panose="02000509000000000000" pitchFamily="49" charset="0"/>
              </a:rPr>
              <a:t>R</a:t>
            </a:r>
            <a:endParaRPr lang="en-US" sz="2800">
              <a:solidFill>
                <a:srgbClr val="0070C0"/>
              </a:solidFill>
            </a:endParaRPr>
          </a:p>
        </xdr:txBody>
      </xdr:sp>
    </xdr:grp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323850</xdr:colOff>
      <xdr:row>1</xdr:row>
      <xdr:rowOff>57150</xdr:rowOff>
    </xdr:from>
    <xdr:to>
      <xdr:col>17</xdr:col>
      <xdr:colOff>388999</xdr:colOff>
      <xdr:row>3</xdr:row>
      <xdr:rowOff>150950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D3D2BD2B-6261-452A-98C2-18E1D2B86AC3}"/>
            </a:ext>
          </a:extLst>
        </xdr:cNvPr>
        <xdr:cNvGrpSpPr/>
      </xdr:nvGrpSpPr>
      <xdr:grpSpPr>
        <a:xfrm>
          <a:off x="13677900" y="247650"/>
          <a:ext cx="2503549" cy="474800"/>
          <a:chOff x="17912421" y="686327"/>
          <a:chExt cx="442886" cy="516466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070849" name="Button 1" hidden="1">
                <a:extLst>
                  <a:ext uri="{63B3BB69-23CF-44E3-9099-C40C66FF867C}">
                    <a14:compatExt spid="_x0000_s5070849"/>
                  </a:ext>
                  <a:ext uri="{FF2B5EF4-FFF2-40B4-BE49-F238E27FC236}">
                    <a16:creationId xmlns:a16="http://schemas.microsoft.com/office/drawing/2014/main" id="{00000000-0008-0000-3200-000001604D00}"/>
                  </a:ext>
                </a:extLst>
              </xdr:cNvPr>
              <xdr:cNvSpPr/>
            </xdr:nvSpPr>
            <xdr:spPr bwMode="auto">
              <a:xfrm>
                <a:off x="17912421" y="686327"/>
                <a:ext cx="442886" cy="51646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400" b="0" i="0" u="none" strike="noStrike" baseline="0">
                    <a:solidFill>
                      <a:srgbClr val="0066CC"/>
                    </a:solidFill>
                    <a:latin typeface="Roboto Medium"/>
                    <a:ea typeface="Roboto Medium"/>
                    <a:cs typeface="Roboto Medium"/>
                  </a:rPr>
                  <a:t>         Invoice Automation        </a:t>
                </a:r>
              </a:p>
            </xdr:txBody>
          </xdr:sp>
        </mc:Choice>
        <mc:Fallback/>
      </mc:AlternateContent>
      <xdr:sp macro="[0]!Group1_Click" textlink="">
        <xdr:nvSpPr>
          <xdr:cNvPr id="3" name="Rectangle 2">
            <a:extLst>
              <a:ext uri="{FF2B5EF4-FFF2-40B4-BE49-F238E27FC236}">
                <a16:creationId xmlns:a16="http://schemas.microsoft.com/office/drawing/2014/main" id="{15BBA382-E24A-8591-23A3-F547685037D2}"/>
              </a:ext>
            </a:extLst>
          </xdr:cNvPr>
          <xdr:cNvSpPr/>
        </xdr:nvSpPr>
        <xdr:spPr>
          <a:xfrm>
            <a:off x="17926639" y="776687"/>
            <a:ext cx="107702" cy="40864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2800">
                <a:solidFill>
                  <a:srgbClr val="0070C0"/>
                </a:solidFill>
                <a:latin typeface="myicons" panose="02000509000000000000" pitchFamily="49" charset="0"/>
              </a:rPr>
              <a:t>9</a:t>
            </a:r>
            <a:endParaRPr lang="en-US" sz="2800">
              <a:solidFill>
                <a:srgbClr val="0070C0"/>
              </a:solidFill>
            </a:endParaRPr>
          </a:p>
        </xdr:txBody>
      </xdr:sp>
    </xdr:grp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581025</xdr:colOff>
      <xdr:row>1</xdr:row>
      <xdr:rowOff>161925</xdr:rowOff>
    </xdr:from>
    <xdr:to>
      <xdr:col>6</xdr:col>
      <xdr:colOff>55624</xdr:colOff>
      <xdr:row>4</xdr:row>
      <xdr:rowOff>65225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A19EB1-275C-48B0-B014-0C7EEBC82BC6}"/>
            </a:ext>
          </a:extLst>
        </xdr:cNvPr>
        <xdr:cNvGrpSpPr/>
      </xdr:nvGrpSpPr>
      <xdr:grpSpPr>
        <a:xfrm>
          <a:off x="3829050" y="352425"/>
          <a:ext cx="2503549" cy="493850"/>
          <a:chOff x="17912421" y="686323"/>
          <a:chExt cx="442886" cy="516467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071873" name="Button 1" hidden="1">
                <a:extLst>
                  <a:ext uri="{63B3BB69-23CF-44E3-9099-C40C66FF867C}">
                    <a14:compatExt spid="_x0000_s5071873"/>
                  </a:ext>
                  <a:ext uri="{FF2B5EF4-FFF2-40B4-BE49-F238E27FC236}">
                    <a16:creationId xmlns:a16="http://schemas.microsoft.com/office/drawing/2014/main" id="{00000000-0008-0000-3300-000001644D00}"/>
                  </a:ext>
                </a:extLst>
              </xdr:cNvPr>
              <xdr:cNvSpPr/>
            </xdr:nvSpPr>
            <xdr:spPr bwMode="auto">
              <a:xfrm>
                <a:off x="17912421" y="686323"/>
                <a:ext cx="442886" cy="51646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400" b="0" i="0" u="none" strike="noStrike" baseline="0">
                    <a:solidFill>
                      <a:srgbClr val="0066CC"/>
                    </a:solidFill>
                    <a:latin typeface="Roboto Medium"/>
                    <a:ea typeface="Roboto Medium"/>
                    <a:cs typeface="Roboto Medium"/>
                  </a:rPr>
                  <a:t>         Invoice Automation        </a:t>
                </a:r>
              </a:p>
            </xdr:txBody>
          </xdr:sp>
        </mc:Choice>
        <mc:Fallback/>
      </mc:AlternateContent>
      <xdr:sp macro="[0]!Group1_Click" textlink="">
        <xdr:nvSpPr>
          <xdr:cNvPr id="3" name="Rectangle 2">
            <a:extLst>
              <a:ext uri="{FF2B5EF4-FFF2-40B4-BE49-F238E27FC236}">
                <a16:creationId xmlns:a16="http://schemas.microsoft.com/office/drawing/2014/main" id="{2E9E2DB8-2181-E830-7125-9400A052A6AF}"/>
              </a:ext>
            </a:extLst>
          </xdr:cNvPr>
          <xdr:cNvSpPr/>
        </xdr:nvSpPr>
        <xdr:spPr>
          <a:xfrm>
            <a:off x="17926639" y="776687"/>
            <a:ext cx="107702" cy="40864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2800">
                <a:solidFill>
                  <a:srgbClr val="0070C0"/>
                </a:solidFill>
                <a:latin typeface="myicons" panose="02000509000000000000" pitchFamily="49" charset="0"/>
              </a:rPr>
              <a:t>9</a:t>
            </a:r>
            <a:endParaRPr lang="en-US" sz="2800">
              <a:solidFill>
                <a:srgbClr val="0070C0"/>
              </a:solidFill>
            </a:endParaRPr>
          </a:p>
        </xdr:txBody>
      </xdr:sp>
    </xdr:grpSp>
    <xdr:clientData/>
  </xdr:twoCellAnchor>
  <xdr:twoCellAnchor>
    <xdr:from>
      <xdr:col>6</xdr:col>
      <xdr:colOff>371475</xdr:colOff>
      <xdr:row>1</xdr:row>
      <xdr:rowOff>142875</xdr:rowOff>
    </xdr:from>
    <xdr:to>
      <xdr:col>8</xdr:col>
      <xdr:colOff>544514</xdr:colOff>
      <xdr:row>4</xdr:row>
      <xdr:rowOff>58208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9D5A1E30-6B4A-4A7C-80D6-93D60D6E8E43}"/>
            </a:ext>
          </a:extLst>
        </xdr:cNvPr>
        <xdr:cNvGrpSpPr/>
      </xdr:nvGrpSpPr>
      <xdr:grpSpPr>
        <a:xfrm>
          <a:off x="6648450" y="333375"/>
          <a:ext cx="1420814" cy="505883"/>
          <a:chOff x="19188906" y="645582"/>
          <a:chExt cx="1163973" cy="499371"/>
        </a:xfrm>
      </xdr:grpSpPr>
      <xdr:sp macro="[0]!goToHome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47C81933-15AE-84D1-813D-F947810FCCCB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6" name="Rectangle 5">
            <a:extLst>
              <a:ext uri="{FF2B5EF4-FFF2-40B4-BE49-F238E27FC236}">
                <a16:creationId xmlns:a16="http://schemas.microsoft.com/office/drawing/2014/main" id="{815B27E6-3200-AECE-5B54-B49E1368536D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1_Documents\1_Companies\C009-KOK%20SNUOL\ks_system\database\database_kscm.xlsm" TargetMode="External"/><Relationship Id="rId1" Type="http://schemas.openxmlformats.org/officeDocument/2006/relationships/externalLinkPath" Target="database/database_kscm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List of Invoice"/>
      <sheetName val="Home"/>
      <sheetName val="FilesSetting"/>
      <sheetName val="InventoryValuation"/>
      <sheetName val="PaidToVendor"/>
      <sheetName val="SalesInvoiceReceipt"/>
      <sheetName val="ReceivePayment"/>
      <sheetName val="ReceivePaymentDetail"/>
      <sheetName val="GeneralLedger"/>
      <sheetName val="GeneralLedgerDetail"/>
      <sheetName val="SaleInvoiceData"/>
      <sheetName val="SalesByItemData"/>
      <sheetName val="InvAdjData"/>
      <sheetName val="InvAdjDetailData"/>
      <sheetName val="1_group_totals"/>
      <sheetName val="1_group_total_details"/>
      <sheetName val="inventories"/>
      <sheetName val="1_inventory_totals"/>
      <sheetName val="1_inventory_total_details"/>
      <sheetName val="2_inventory_totals"/>
      <sheetName val="2_inventory_total_details"/>
      <sheetName val="QuoteData"/>
      <sheetName val="QuoteDetailData"/>
      <sheetName val="QuoteServiceData"/>
      <sheetName val="PurchaseBill"/>
      <sheetName val="PurchaseBillDetail"/>
      <sheetName val="(1 )"/>
      <sheetName val="( 3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8">
          <cell r="E8" t="str">
            <v>CI2026-0192</v>
          </cell>
          <cell r="F8">
            <v>46174</v>
          </cell>
          <cell r="G8">
            <v>46222.633958333332</v>
          </cell>
          <cell r="H8">
            <v>1</v>
          </cell>
          <cell r="I8">
            <v>1</v>
          </cell>
          <cell r="J8">
            <v>1</v>
          </cell>
          <cell r="K8">
            <v>2</v>
          </cell>
          <cell r="L8">
            <v>1</v>
          </cell>
          <cell r="M8">
            <v>1</v>
          </cell>
          <cell r="N8">
            <v>1</v>
          </cell>
          <cell r="O8">
            <v>5</v>
          </cell>
          <cell r="P8">
            <v>1</v>
          </cell>
          <cell r="Q8">
            <v>2</v>
          </cell>
          <cell r="R8" t="str">
            <v>ហឿត ចន្ត្រា (HOEURT CHANTRA)</v>
          </cell>
          <cell r="S8" t="str">
            <v>អតិថិជនទូទៅ (General Customer)</v>
          </cell>
          <cell r="T8">
            <v>4026</v>
          </cell>
          <cell r="V8">
            <v>0</v>
          </cell>
          <cell r="Y8">
            <v>40.5</v>
          </cell>
          <cell r="Z8">
            <v>0</v>
          </cell>
          <cell r="AA8">
            <v>0</v>
          </cell>
          <cell r="AB8">
            <v>0</v>
          </cell>
          <cell r="AC8">
            <v>40.5</v>
          </cell>
          <cell r="AD8">
            <v>1</v>
          </cell>
          <cell r="AF8">
            <v>1</v>
          </cell>
          <cell r="AG8">
            <v>1</v>
          </cell>
          <cell r="AH8">
            <v>6</v>
          </cell>
          <cell r="AI8">
            <v>2026</v>
          </cell>
          <cell r="AJ8">
            <v>1</v>
          </cell>
        </row>
        <row r="9">
          <cell r="E9" t="str">
            <v>CI2026-0193</v>
          </cell>
          <cell r="F9">
            <v>46174</v>
          </cell>
          <cell r="G9">
            <v>46222.698009259257</v>
          </cell>
          <cell r="H9">
            <v>1</v>
          </cell>
          <cell r="I9">
            <v>1</v>
          </cell>
          <cell r="J9">
            <v>1</v>
          </cell>
          <cell r="K9">
            <v>2</v>
          </cell>
          <cell r="L9">
            <v>1</v>
          </cell>
          <cell r="M9">
            <v>1</v>
          </cell>
          <cell r="N9">
            <v>1</v>
          </cell>
          <cell r="O9">
            <v>1</v>
          </cell>
          <cell r="P9">
            <v>1</v>
          </cell>
          <cell r="Q9">
            <v>2</v>
          </cell>
          <cell r="R9" t="str">
            <v>ហឿត ចន្ត្រា (HOEURT CHANTRA)</v>
          </cell>
          <cell r="S9" t="str">
            <v>អតិថិជនទូទៅ (General Customer)</v>
          </cell>
          <cell r="T9">
            <v>4026</v>
          </cell>
          <cell r="V9">
            <v>0</v>
          </cell>
          <cell r="Y9">
            <v>43.26</v>
          </cell>
          <cell r="Z9">
            <v>0</v>
          </cell>
          <cell r="AA9">
            <v>0</v>
          </cell>
          <cell r="AB9">
            <v>0</v>
          </cell>
          <cell r="AC9">
            <v>43.26</v>
          </cell>
          <cell r="AD9">
            <v>1</v>
          </cell>
          <cell r="AF9">
            <v>1</v>
          </cell>
          <cell r="AG9">
            <v>1</v>
          </cell>
          <cell r="AH9">
            <v>6</v>
          </cell>
          <cell r="AI9">
            <v>2026</v>
          </cell>
          <cell r="AJ9">
            <v>2</v>
          </cell>
        </row>
        <row r="10">
          <cell r="E10" t="str">
            <v>CI2026-0194</v>
          </cell>
          <cell r="F10">
            <v>46175</v>
          </cell>
          <cell r="G10">
            <v>46223.450949074075</v>
          </cell>
          <cell r="H10">
            <v>1</v>
          </cell>
          <cell r="I10">
            <v>1</v>
          </cell>
          <cell r="J10">
            <v>1</v>
          </cell>
          <cell r="K10">
            <v>2</v>
          </cell>
          <cell r="L10">
            <v>1</v>
          </cell>
          <cell r="M10">
            <v>1</v>
          </cell>
          <cell r="N10">
            <v>1</v>
          </cell>
          <cell r="O10">
            <v>1</v>
          </cell>
          <cell r="P10">
            <v>1</v>
          </cell>
          <cell r="Q10">
            <v>2</v>
          </cell>
          <cell r="R10" t="str">
            <v>ហឿត ចន្ត្រា (HOEURT CHANTRA)</v>
          </cell>
          <cell r="S10" t="str">
            <v>អតិថិជនទូទៅ (General Customer)</v>
          </cell>
          <cell r="T10">
            <v>4026</v>
          </cell>
          <cell r="V10">
            <v>0</v>
          </cell>
          <cell r="Y10">
            <v>58</v>
          </cell>
          <cell r="Z10">
            <v>0</v>
          </cell>
          <cell r="AA10">
            <v>0</v>
          </cell>
          <cell r="AB10">
            <v>0</v>
          </cell>
          <cell r="AC10">
            <v>58</v>
          </cell>
          <cell r="AD10">
            <v>1</v>
          </cell>
          <cell r="AF10">
            <v>1</v>
          </cell>
          <cell r="AG10">
            <v>1</v>
          </cell>
          <cell r="AH10">
            <v>6</v>
          </cell>
          <cell r="AI10">
            <v>2026</v>
          </cell>
          <cell r="AJ10">
            <v>3</v>
          </cell>
        </row>
        <row r="11">
          <cell r="E11" t="str">
            <v>CI2026-0195</v>
          </cell>
          <cell r="F11">
            <v>46175</v>
          </cell>
          <cell r="G11">
            <v>46223.52480324074</v>
          </cell>
          <cell r="H11">
            <v>1</v>
          </cell>
          <cell r="I11">
            <v>1</v>
          </cell>
          <cell r="J11">
            <v>1</v>
          </cell>
          <cell r="K11">
            <v>2</v>
          </cell>
          <cell r="L11">
            <v>1</v>
          </cell>
          <cell r="M11">
            <v>1</v>
          </cell>
          <cell r="N11">
            <v>1</v>
          </cell>
          <cell r="O11">
            <v>1</v>
          </cell>
          <cell r="P11">
            <v>1</v>
          </cell>
          <cell r="Q11">
            <v>2</v>
          </cell>
          <cell r="R11" t="str">
            <v>ហឿត ចន្ត្រា (HOEURT CHANTRA)</v>
          </cell>
          <cell r="S11" t="str">
            <v>អតិថិជនទូទៅ (General Customer)</v>
          </cell>
          <cell r="T11">
            <v>4026</v>
          </cell>
          <cell r="V11">
            <v>0</v>
          </cell>
          <cell r="Y11">
            <v>54.5</v>
          </cell>
          <cell r="Z11">
            <v>0</v>
          </cell>
          <cell r="AA11">
            <v>0</v>
          </cell>
          <cell r="AB11">
            <v>0</v>
          </cell>
          <cell r="AC11">
            <v>54.5</v>
          </cell>
          <cell r="AD11">
            <v>1</v>
          </cell>
          <cell r="AE11">
            <v>1173</v>
          </cell>
          <cell r="AF11">
            <v>1</v>
          </cell>
          <cell r="AG11">
            <v>1</v>
          </cell>
          <cell r="AH11">
            <v>6</v>
          </cell>
          <cell r="AI11">
            <v>2026</v>
          </cell>
          <cell r="AJ11">
            <v>4</v>
          </cell>
        </row>
        <row r="12">
          <cell r="E12" t="str">
            <v>CI2026-0196</v>
          </cell>
          <cell r="F12">
            <v>46175</v>
          </cell>
          <cell r="G12">
            <v>46223.656875000001</v>
          </cell>
          <cell r="H12">
            <v>1</v>
          </cell>
          <cell r="I12">
            <v>1</v>
          </cell>
          <cell r="J12">
            <v>1</v>
          </cell>
          <cell r="K12">
            <v>2</v>
          </cell>
          <cell r="L12">
            <v>1</v>
          </cell>
          <cell r="M12">
            <v>1</v>
          </cell>
          <cell r="N12">
            <v>1</v>
          </cell>
          <cell r="O12">
            <v>1</v>
          </cell>
          <cell r="P12">
            <v>1</v>
          </cell>
          <cell r="Q12">
            <v>2</v>
          </cell>
          <cell r="R12" t="str">
            <v>ហឿត ចន្ត្រា (HOEURT CHANTRA)</v>
          </cell>
          <cell r="S12" t="str">
            <v>អតិថិជនទូទៅ (General Customer)</v>
          </cell>
          <cell r="T12">
            <v>4026</v>
          </cell>
          <cell r="V12">
            <v>0</v>
          </cell>
          <cell r="Y12">
            <v>27.75</v>
          </cell>
          <cell r="Z12">
            <v>0</v>
          </cell>
          <cell r="AA12">
            <v>0</v>
          </cell>
          <cell r="AB12">
            <v>0</v>
          </cell>
          <cell r="AC12">
            <v>27.75</v>
          </cell>
          <cell r="AD12">
            <v>1</v>
          </cell>
          <cell r="AF12">
            <v>1</v>
          </cell>
          <cell r="AG12">
            <v>1</v>
          </cell>
          <cell r="AH12">
            <v>6</v>
          </cell>
          <cell r="AI12">
            <v>2026</v>
          </cell>
          <cell r="AJ12">
            <v>5</v>
          </cell>
        </row>
        <row r="13">
          <cell r="E13" t="str">
            <v>CI2026-0197</v>
          </cell>
          <cell r="F13">
            <v>46176</v>
          </cell>
          <cell r="G13">
            <v>46224.857037037036</v>
          </cell>
          <cell r="H13">
            <v>1</v>
          </cell>
          <cell r="I13">
            <v>1</v>
          </cell>
          <cell r="J13">
            <v>1</v>
          </cell>
          <cell r="K13">
            <v>2</v>
          </cell>
          <cell r="L13">
            <v>1</v>
          </cell>
          <cell r="M13">
            <v>1</v>
          </cell>
          <cell r="N13">
            <v>1</v>
          </cell>
          <cell r="O13">
            <v>1</v>
          </cell>
          <cell r="P13">
            <v>1</v>
          </cell>
          <cell r="Q13">
            <v>2</v>
          </cell>
          <cell r="R13" t="str">
            <v>ហឿត ចន្ត្រា (HOEURT CHANTRA)</v>
          </cell>
          <cell r="S13" t="str">
            <v>អតិថិជនទូទៅ (General Customer)</v>
          </cell>
          <cell r="T13">
            <v>4026</v>
          </cell>
          <cell r="V13">
            <v>0</v>
          </cell>
          <cell r="Y13">
            <v>52.26</v>
          </cell>
          <cell r="Z13">
            <v>0</v>
          </cell>
          <cell r="AA13">
            <v>0</v>
          </cell>
          <cell r="AB13">
            <v>0</v>
          </cell>
          <cell r="AC13">
            <v>52.26</v>
          </cell>
          <cell r="AD13">
            <v>1</v>
          </cell>
          <cell r="AF13">
            <v>1</v>
          </cell>
          <cell r="AG13">
            <v>1</v>
          </cell>
          <cell r="AH13">
            <v>6</v>
          </cell>
          <cell r="AI13">
            <v>2026</v>
          </cell>
          <cell r="AJ13">
            <v>6</v>
          </cell>
        </row>
        <row r="14">
          <cell r="E14" t="str">
            <v>CI2026-0198</v>
          </cell>
          <cell r="F14">
            <v>46176</v>
          </cell>
          <cell r="G14">
            <v>46224.890914351854</v>
          </cell>
          <cell r="H14">
            <v>1</v>
          </cell>
          <cell r="I14">
            <v>1</v>
          </cell>
          <cell r="J14">
            <v>1</v>
          </cell>
          <cell r="K14">
            <v>2</v>
          </cell>
          <cell r="L14">
            <v>1</v>
          </cell>
          <cell r="M14">
            <v>1</v>
          </cell>
          <cell r="N14">
            <v>1</v>
          </cell>
          <cell r="O14">
            <v>1</v>
          </cell>
          <cell r="P14">
            <v>1</v>
          </cell>
          <cell r="Q14">
            <v>2</v>
          </cell>
          <cell r="R14" t="str">
            <v>ហឿត ចន្ត្រា (HOEURT CHANTRA)</v>
          </cell>
          <cell r="S14" t="str">
            <v>អតិថិជនទូទៅ (General Customer)</v>
          </cell>
          <cell r="T14">
            <v>4026</v>
          </cell>
          <cell r="V14">
            <v>0</v>
          </cell>
          <cell r="Y14">
            <v>52</v>
          </cell>
          <cell r="Z14">
            <v>0</v>
          </cell>
          <cell r="AA14">
            <v>0</v>
          </cell>
          <cell r="AB14">
            <v>0</v>
          </cell>
          <cell r="AC14">
            <v>52</v>
          </cell>
          <cell r="AD14">
            <v>1</v>
          </cell>
          <cell r="AF14">
            <v>1</v>
          </cell>
          <cell r="AG14">
            <v>1</v>
          </cell>
          <cell r="AH14">
            <v>6</v>
          </cell>
          <cell r="AI14">
            <v>2026</v>
          </cell>
          <cell r="AJ14">
            <v>7</v>
          </cell>
        </row>
        <row r="15">
          <cell r="E15" t="str">
            <v>CI2026-0199</v>
          </cell>
          <cell r="F15">
            <v>46177</v>
          </cell>
          <cell r="G15">
            <v>46225.027615740742</v>
          </cell>
          <cell r="H15">
            <v>1</v>
          </cell>
          <cell r="I15">
            <v>1</v>
          </cell>
          <cell r="J15">
            <v>1</v>
          </cell>
          <cell r="K15">
            <v>2</v>
          </cell>
          <cell r="L15">
            <v>1</v>
          </cell>
          <cell r="M15">
            <v>1</v>
          </cell>
          <cell r="N15">
            <v>1</v>
          </cell>
          <cell r="O15">
            <v>1</v>
          </cell>
          <cell r="P15">
            <v>1</v>
          </cell>
          <cell r="Q15">
            <v>2</v>
          </cell>
          <cell r="R15" t="str">
            <v>ហឿត ចន្ត្រា (HOEURT CHANTRA)</v>
          </cell>
          <cell r="S15" t="str">
            <v>អតិថិជនទូទៅ (General Customer)</v>
          </cell>
          <cell r="T15">
            <v>4026</v>
          </cell>
          <cell r="V15">
            <v>0</v>
          </cell>
          <cell r="Y15">
            <v>93.75</v>
          </cell>
          <cell r="Z15">
            <v>0</v>
          </cell>
          <cell r="AA15">
            <v>0</v>
          </cell>
          <cell r="AB15">
            <v>0</v>
          </cell>
          <cell r="AC15">
            <v>93.75</v>
          </cell>
          <cell r="AD15">
            <v>1</v>
          </cell>
          <cell r="AF15">
            <v>1</v>
          </cell>
          <cell r="AG15">
            <v>1</v>
          </cell>
          <cell r="AH15">
            <v>6</v>
          </cell>
          <cell r="AI15">
            <v>2026</v>
          </cell>
          <cell r="AJ15">
            <v>8</v>
          </cell>
        </row>
        <row r="16">
          <cell r="E16" t="str">
            <v>CI2026-0200</v>
          </cell>
          <cell r="F16">
            <v>46177</v>
          </cell>
          <cell r="G16">
            <v>46225.055312500001</v>
          </cell>
          <cell r="H16">
            <v>1</v>
          </cell>
          <cell r="I16">
            <v>1</v>
          </cell>
          <cell r="J16">
            <v>1</v>
          </cell>
          <cell r="K16">
            <v>2</v>
          </cell>
          <cell r="L16">
            <v>1</v>
          </cell>
          <cell r="M16">
            <v>1</v>
          </cell>
          <cell r="N16">
            <v>1</v>
          </cell>
          <cell r="O16">
            <v>1</v>
          </cell>
          <cell r="P16">
            <v>1</v>
          </cell>
          <cell r="Q16">
            <v>2</v>
          </cell>
          <cell r="R16" t="str">
            <v>ហឿត ចន្ត្រា (HOEURT CHANTRA)</v>
          </cell>
          <cell r="S16" t="str">
            <v>អតិថិជនទូទៅ (General Customer)</v>
          </cell>
          <cell r="T16">
            <v>4026</v>
          </cell>
          <cell r="V16">
            <v>0</v>
          </cell>
          <cell r="Y16">
            <v>59</v>
          </cell>
          <cell r="Z16">
            <v>0</v>
          </cell>
          <cell r="AA16">
            <v>0</v>
          </cell>
          <cell r="AB16">
            <v>0</v>
          </cell>
          <cell r="AC16">
            <v>59</v>
          </cell>
          <cell r="AD16">
            <v>1</v>
          </cell>
          <cell r="AF16">
            <v>1</v>
          </cell>
          <cell r="AG16">
            <v>1</v>
          </cell>
          <cell r="AH16">
            <v>6</v>
          </cell>
          <cell r="AI16">
            <v>2026</v>
          </cell>
          <cell r="AJ16">
            <v>9</v>
          </cell>
        </row>
        <row r="17">
          <cell r="E17" t="str">
            <v>CI2026-0201</v>
          </cell>
          <cell r="F17">
            <v>46177</v>
          </cell>
          <cell r="G17">
            <v>46225.08792824074</v>
          </cell>
          <cell r="H17">
            <v>1</v>
          </cell>
          <cell r="I17">
            <v>1</v>
          </cell>
          <cell r="J17">
            <v>1</v>
          </cell>
          <cell r="K17">
            <v>2</v>
          </cell>
          <cell r="L17">
            <v>1</v>
          </cell>
          <cell r="M17">
            <v>1</v>
          </cell>
          <cell r="N17">
            <v>1</v>
          </cell>
          <cell r="O17">
            <v>1</v>
          </cell>
          <cell r="P17">
            <v>1</v>
          </cell>
          <cell r="Q17">
            <v>2</v>
          </cell>
          <cell r="R17" t="str">
            <v>ហឿត ចន្ត្រា (HOEURT CHANTRA)</v>
          </cell>
          <cell r="S17" t="str">
            <v>អតិថិជនទូទៅ (General Customer)</v>
          </cell>
          <cell r="T17">
            <v>4026</v>
          </cell>
          <cell r="V17">
            <v>0</v>
          </cell>
          <cell r="Y17">
            <v>56.3</v>
          </cell>
          <cell r="Z17">
            <v>0</v>
          </cell>
          <cell r="AA17">
            <v>0</v>
          </cell>
          <cell r="AB17">
            <v>0</v>
          </cell>
          <cell r="AC17">
            <v>56.3</v>
          </cell>
          <cell r="AD17">
            <v>1</v>
          </cell>
          <cell r="AE17">
            <v>1223</v>
          </cell>
          <cell r="AF17">
            <v>1</v>
          </cell>
          <cell r="AG17">
            <v>1</v>
          </cell>
          <cell r="AH17">
            <v>6</v>
          </cell>
          <cell r="AI17">
            <v>2026</v>
          </cell>
          <cell r="AJ17">
            <v>10</v>
          </cell>
        </row>
        <row r="18">
          <cell r="E18" t="str">
            <v>CI2026-0202</v>
          </cell>
          <cell r="F18">
            <v>46178</v>
          </cell>
          <cell r="G18">
            <v>46225.101134259261</v>
          </cell>
          <cell r="H18">
            <v>1</v>
          </cell>
          <cell r="I18">
            <v>1</v>
          </cell>
          <cell r="J18">
            <v>1</v>
          </cell>
          <cell r="K18">
            <v>2</v>
          </cell>
          <cell r="L18">
            <v>1</v>
          </cell>
          <cell r="M18">
            <v>1</v>
          </cell>
          <cell r="N18">
            <v>1</v>
          </cell>
          <cell r="O18">
            <v>1</v>
          </cell>
          <cell r="P18">
            <v>1</v>
          </cell>
          <cell r="Q18">
            <v>2</v>
          </cell>
          <cell r="R18" t="str">
            <v>ហឿត ចន្ត្រា (HOEURT CHANTRA)</v>
          </cell>
          <cell r="S18" t="str">
            <v>អតិថិជនទូទៅ (General Customer)</v>
          </cell>
          <cell r="T18">
            <v>4027</v>
          </cell>
          <cell r="V18">
            <v>0</v>
          </cell>
          <cell r="Y18">
            <v>47.5</v>
          </cell>
          <cell r="Z18">
            <v>0</v>
          </cell>
          <cell r="AA18">
            <v>0</v>
          </cell>
          <cell r="AB18">
            <v>0</v>
          </cell>
          <cell r="AC18">
            <v>47.5</v>
          </cell>
          <cell r="AD18">
            <v>1</v>
          </cell>
          <cell r="AE18">
            <v>1226</v>
          </cell>
          <cell r="AF18">
            <v>1</v>
          </cell>
          <cell r="AG18">
            <v>1</v>
          </cell>
          <cell r="AH18">
            <v>6</v>
          </cell>
          <cell r="AI18">
            <v>2026</v>
          </cell>
          <cell r="AJ18">
            <v>11</v>
          </cell>
        </row>
        <row r="19">
          <cell r="E19" t="str">
            <v>CI2026-0203</v>
          </cell>
          <cell r="F19">
            <v>46178</v>
          </cell>
          <cell r="G19">
            <v>46225.352233796293</v>
          </cell>
          <cell r="H19">
            <v>1</v>
          </cell>
          <cell r="I19">
            <v>1</v>
          </cell>
          <cell r="J19">
            <v>1</v>
          </cell>
          <cell r="K19">
            <v>2</v>
          </cell>
          <cell r="L19">
            <v>1</v>
          </cell>
          <cell r="M19">
            <v>1</v>
          </cell>
          <cell r="N19">
            <v>1</v>
          </cell>
          <cell r="O19">
            <v>1</v>
          </cell>
          <cell r="P19">
            <v>1</v>
          </cell>
          <cell r="Q19">
            <v>2</v>
          </cell>
          <cell r="R19" t="str">
            <v>ហឿត ចន្ត្រា (HOEURT CHANTRA)</v>
          </cell>
          <cell r="S19" t="str">
            <v>អតិថិជនទូទៅ (General Customer)</v>
          </cell>
          <cell r="T19">
            <v>4027</v>
          </cell>
          <cell r="V19">
            <v>0</v>
          </cell>
          <cell r="Y19">
            <v>38.25</v>
          </cell>
          <cell r="Z19">
            <v>0</v>
          </cell>
          <cell r="AA19">
            <v>0</v>
          </cell>
          <cell r="AB19">
            <v>0</v>
          </cell>
          <cell r="AC19">
            <v>38.25</v>
          </cell>
          <cell r="AD19">
            <v>1</v>
          </cell>
          <cell r="AE19">
            <v>1236</v>
          </cell>
          <cell r="AF19">
            <v>1</v>
          </cell>
          <cell r="AG19">
            <v>1</v>
          </cell>
          <cell r="AH19">
            <v>6</v>
          </cell>
          <cell r="AI19">
            <v>2026</v>
          </cell>
          <cell r="AJ19">
            <v>12</v>
          </cell>
        </row>
        <row r="20">
          <cell r="E20" t="str">
            <v>CI2026-0204</v>
          </cell>
          <cell r="F20">
            <v>46178</v>
          </cell>
          <cell r="G20">
            <v>46225.355312500003</v>
          </cell>
          <cell r="H20">
            <v>1</v>
          </cell>
          <cell r="I20">
            <v>1</v>
          </cell>
          <cell r="J20">
            <v>1</v>
          </cell>
          <cell r="K20">
            <v>2</v>
          </cell>
          <cell r="L20">
            <v>1</v>
          </cell>
          <cell r="M20">
            <v>1</v>
          </cell>
          <cell r="N20">
            <v>1</v>
          </cell>
          <cell r="O20">
            <v>1</v>
          </cell>
          <cell r="P20">
            <v>1</v>
          </cell>
          <cell r="Q20">
            <v>2</v>
          </cell>
          <cell r="R20" t="str">
            <v>ហឿត ចន្ត្រា (HOEURT CHANTRA)</v>
          </cell>
          <cell r="S20" t="str">
            <v>អតិថិជនទូទៅ (General Customer)</v>
          </cell>
          <cell r="T20">
            <v>4027</v>
          </cell>
          <cell r="V20">
            <v>0</v>
          </cell>
          <cell r="Y20">
            <v>45</v>
          </cell>
          <cell r="Z20">
            <v>0</v>
          </cell>
          <cell r="AA20">
            <v>0</v>
          </cell>
          <cell r="AB20">
            <v>0</v>
          </cell>
          <cell r="AC20">
            <v>45</v>
          </cell>
          <cell r="AD20">
            <v>1</v>
          </cell>
          <cell r="AF20">
            <v>1</v>
          </cell>
          <cell r="AG20">
            <v>1</v>
          </cell>
          <cell r="AH20">
            <v>6</v>
          </cell>
          <cell r="AI20">
            <v>2026</v>
          </cell>
          <cell r="AJ20">
            <v>13</v>
          </cell>
        </row>
        <row r="21">
          <cell r="E21" t="str">
            <v>CI2026-0205</v>
          </cell>
          <cell r="F21">
            <v>46178</v>
          </cell>
          <cell r="G21">
            <v>46225.358194444445</v>
          </cell>
          <cell r="H21">
            <v>1</v>
          </cell>
          <cell r="I21">
            <v>1</v>
          </cell>
          <cell r="J21">
            <v>1</v>
          </cell>
          <cell r="K21">
            <v>2</v>
          </cell>
          <cell r="L21">
            <v>1</v>
          </cell>
          <cell r="M21">
            <v>1</v>
          </cell>
          <cell r="N21">
            <v>1</v>
          </cell>
          <cell r="O21">
            <v>1</v>
          </cell>
          <cell r="P21">
            <v>1</v>
          </cell>
          <cell r="Q21">
            <v>2</v>
          </cell>
          <cell r="R21" t="str">
            <v>ហឿត ចន្ត្រា (HOEURT CHANTRA)</v>
          </cell>
          <cell r="S21" t="str">
            <v>អតិថិជនទូទៅ (General Customer)</v>
          </cell>
          <cell r="T21">
            <v>4027</v>
          </cell>
          <cell r="V21">
            <v>0</v>
          </cell>
          <cell r="Y21">
            <v>44.25</v>
          </cell>
          <cell r="Z21">
            <v>0</v>
          </cell>
          <cell r="AA21">
            <v>0</v>
          </cell>
          <cell r="AB21">
            <v>0</v>
          </cell>
          <cell r="AC21">
            <v>44.25</v>
          </cell>
          <cell r="AD21">
            <v>1</v>
          </cell>
          <cell r="AE21">
            <v>1239</v>
          </cell>
          <cell r="AF21">
            <v>1</v>
          </cell>
          <cell r="AG21">
            <v>1</v>
          </cell>
          <cell r="AH21">
            <v>6</v>
          </cell>
          <cell r="AI21">
            <v>2026</v>
          </cell>
          <cell r="AJ21">
            <v>14</v>
          </cell>
        </row>
        <row r="22">
          <cell r="E22" t="str">
            <v>CI2026-0206</v>
          </cell>
          <cell r="F22">
            <v>46179</v>
          </cell>
          <cell r="G22">
            <v>46225.385636574072</v>
          </cell>
          <cell r="H22">
            <v>1</v>
          </cell>
          <cell r="I22">
            <v>1</v>
          </cell>
          <cell r="J22">
            <v>1</v>
          </cell>
          <cell r="K22">
            <v>2</v>
          </cell>
          <cell r="L22">
            <v>1</v>
          </cell>
          <cell r="M22">
            <v>1</v>
          </cell>
          <cell r="N22">
            <v>1</v>
          </cell>
          <cell r="O22">
            <v>1</v>
          </cell>
          <cell r="P22">
            <v>1</v>
          </cell>
          <cell r="Q22">
            <v>2</v>
          </cell>
          <cell r="R22" t="str">
            <v>ហឿត ចន្ត្រា (HOEURT CHANTRA)</v>
          </cell>
          <cell r="S22" t="str">
            <v>អតិថិជនទូទៅ (General Customer)</v>
          </cell>
          <cell r="T22">
            <v>4027</v>
          </cell>
          <cell r="V22">
            <v>0</v>
          </cell>
          <cell r="Y22">
            <v>75.55</v>
          </cell>
          <cell r="Z22">
            <v>0</v>
          </cell>
          <cell r="AA22">
            <v>0</v>
          </cell>
          <cell r="AB22">
            <v>0</v>
          </cell>
          <cell r="AC22">
            <v>75.55</v>
          </cell>
          <cell r="AD22">
            <v>1</v>
          </cell>
          <cell r="AE22">
            <v>1247</v>
          </cell>
          <cell r="AF22">
            <v>1</v>
          </cell>
          <cell r="AG22">
            <v>1</v>
          </cell>
          <cell r="AH22">
            <v>6</v>
          </cell>
          <cell r="AI22">
            <v>2026</v>
          </cell>
          <cell r="AJ22">
            <v>15</v>
          </cell>
        </row>
        <row r="23">
          <cell r="E23" t="str">
            <v>CI2026-0207</v>
          </cell>
          <cell r="F23">
            <v>46179</v>
          </cell>
          <cell r="G23">
            <v>46225.388078703705</v>
          </cell>
          <cell r="H23">
            <v>1</v>
          </cell>
          <cell r="I23">
            <v>1</v>
          </cell>
          <cell r="J23">
            <v>1</v>
          </cell>
          <cell r="K23">
            <v>2</v>
          </cell>
          <cell r="L23">
            <v>1</v>
          </cell>
          <cell r="M23">
            <v>1</v>
          </cell>
          <cell r="N23">
            <v>1</v>
          </cell>
          <cell r="O23">
            <v>1</v>
          </cell>
          <cell r="P23">
            <v>1</v>
          </cell>
          <cell r="Q23">
            <v>2</v>
          </cell>
          <cell r="R23" t="str">
            <v>ហឿត ចន្ត្រា (HOEURT CHANTRA)</v>
          </cell>
          <cell r="S23" t="str">
            <v>អតិថិជនទូទៅ (General Customer)</v>
          </cell>
          <cell r="T23">
            <v>4027</v>
          </cell>
          <cell r="V23">
            <v>0</v>
          </cell>
          <cell r="Y23">
            <v>90</v>
          </cell>
          <cell r="Z23">
            <v>0</v>
          </cell>
          <cell r="AA23">
            <v>0</v>
          </cell>
          <cell r="AB23">
            <v>0</v>
          </cell>
          <cell r="AC23">
            <v>90</v>
          </cell>
          <cell r="AD23">
            <v>1</v>
          </cell>
          <cell r="AF23">
            <v>1</v>
          </cell>
          <cell r="AG23">
            <v>1</v>
          </cell>
          <cell r="AH23">
            <v>6</v>
          </cell>
          <cell r="AI23">
            <v>2026</v>
          </cell>
          <cell r="AJ23">
            <v>16</v>
          </cell>
        </row>
        <row r="24">
          <cell r="E24" t="str">
            <v>CI2026-0208</v>
          </cell>
          <cell r="F24">
            <v>46180</v>
          </cell>
          <cell r="G24">
            <v>46225.41233796296</v>
          </cell>
          <cell r="H24">
            <v>1</v>
          </cell>
          <cell r="I24">
            <v>1</v>
          </cell>
          <cell r="J24">
            <v>1</v>
          </cell>
          <cell r="K24">
            <v>2</v>
          </cell>
          <cell r="L24">
            <v>1</v>
          </cell>
          <cell r="M24">
            <v>1</v>
          </cell>
          <cell r="N24">
            <v>1</v>
          </cell>
          <cell r="O24">
            <v>1</v>
          </cell>
          <cell r="P24">
            <v>1</v>
          </cell>
          <cell r="Q24">
            <v>2</v>
          </cell>
          <cell r="R24" t="str">
            <v>ហឿត ចន្ត្រា (HOEURT CHANTRA)</v>
          </cell>
          <cell r="S24" t="str">
            <v>អតិថិជនទូទៅ (General Customer)</v>
          </cell>
          <cell r="T24">
            <v>4027</v>
          </cell>
          <cell r="V24">
            <v>0</v>
          </cell>
          <cell r="Y24">
            <v>44</v>
          </cell>
          <cell r="Z24">
            <v>0</v>
          </cell>
          <cell r="AA24">
            <v>0</v>
          </cell>
          <cell r="AB24">
            <v>0</v>
          </cell>
          <cell r="AC24">
            <v>44</v>
          </cell>
          <cell r="AD24">
            <v>1</v>
          </cell>
          <cell r="AF24">
            <v>1</v>
          </cell>
          <cell r="AG24">
            <v>1</v>
          </cell>
          <cell r="AH24">
            <v>6</v>
          </cell>
          <cell r="AI24">
            <v>2026</v>
          </cell>
          <cell r="AJ24">
            <v>17</v>
          </cell>
        </row>
        <row r="25">
          <cell r="E25" t="str">
            <v>CI2026-0209</v>
          </cell>
          <cell r="F25">
            <v>46180</v>
          </cell>
          <cell r="G25">
            <v>46225.415694444448</v>
          </cell>
          <cell r="H25">
            <v>1</v>
          </cell>
          <cell r="I25">
            <v>1</v>
          </cell>
          <cell r="J25">
            <v>1</v>
          </cell>
          <cell r="K25">
            <v>2</v>
          </cell>
          <cell r="L25">
            <v>1</v>
          </cell>
          <cell r="M25">
            <v>1</v>
          </cell>
          <cell r="N25">
            <v>1</v>
          </cell>
          <cell r="O25">
            <v>1</v>
          </cell>
          <cell r="P25">
            <v>1</v>
          </cell>
          <cell r="Q25">
            <v>2</v>
          </cell>
          <cell r="R25" t="str">
            <v>ហឿត ចន្ត្រា (HOEURT CHANTRA)</v>
          </cell>
          <cell r="S25" t="str">
            <v>អតិថិជនទូទៅ (General Customer)</v>
          </cell>
          <cell r="T25">
            <v>4027</v>
          </cell>
          <cell r="V25">
            <v>0</v>
          </cell>
          <cell r="Y25">
            <v>47.5</v>
          </cell>
          <cell r="Z25">
            <v>0</v>
          </cell>
          <cell r="AA25">
            <v>0</v>
          </cell>
          <cell r="AB25">
            <v>0</v>
          </cell>
          <cell r="AC25">
            <v>47.5</v>
          </cell>
          <cell r="AD25">
            <v>1</v>
          </cell>
          <cell r="AE25">
            <v>1271</v>
          </cell>
          <cell r="AF25">
            <v>1</v>
          </cell>
          <cell r="AG25">
            <v>1</v>
          </cell>
          <cell r="AH25">
            <v>6</v>
          </cell>
          <cell r="AI25">
            <v>2026</v>
          </cell>
          <cell r="AJ25">
            <v>18</v>
          </cell>
        </row>
        <row r="26">
          <cell r="E26" t="str">
            <v>CI2026-0210</v>
          </cell>
          <cell r="F26">
            <v>46180</v>
          </cell>
          <cell r="G26">
            <v>46225.425000000003</v>
          </cell>
          <cell r="H26">
            <v>1</v>
          </cell>
          <cell r="I26">
            <v>1</v>
          </cell>
          <cell r="J26">
            <v>1</v>
          </cell>
          <cell r="K26">
            <v>2</v>
          </cell>
          <cell r="L26">
            <v>1</v>
          </cell>
          <cell r="M26">
            <v>1</v>
          </cell>
          <cell r="N26">
            <v>1</v>
          </cell>
          <cell r="O26">
            <v>1</v>
          </cell>
          <cell r="P26">
            <v>1</v>
          </cell>
          <cell r="Q26">
            <v>2</v>
          </cell>
          <cell r="R26" t="str">
            <v>ហឿត ចន្ត្រា (HOEURT CHANTRA)</v>
          </cell>
          <cell r="S26" t="str">
            <v>អតិថិជនទូទៅ (General Customer)</v>
          </cell>
          <cell r="T26">
            <v>4027</v>
          </cell>
          <cell r="V26">
            <v>0</v>
          </cell>
          <cell r="Y26">
            <v>69.75</v>
          </cell>
          <cell r="Z26">
            <v>0</v>
          </cell>
          <cell r="AA26">
            <v>0</v>
          </cell>
          <cell r="AB26">
            <v>0</v>
          </cell>
          <cell r="AC26">
            <v>69.75</v>
          </cell>
          <cell r="AD26">
            <v>1</v>
          </cell>
          <cell r="AE26">
            <v>1272</v>
          </cell>
          <cell r="AF26">
            <v>1</v>
          </cell>
          <cell r="AG26">
            <v>1</v>
          </cell>
          <cell r="AH26">
            <v>6</v>
          </cell>
          <cell r="AI26">
            <v>2026</v>
          </cell>
          <cell r="AJ26">
            <v>19</v>
          </cell>
        </row>
        <row r="27">
          <cell r="E27" t="str">
            <v>CI2026-0211</v>
          </cell>
          <cell r="F27">
            <v>46181</v>
          </cell>
          <cell r="G27">
            <v>46225.441111111111</v>
          </cell>
          <cell r="H27">
            <v>1</v>
          </cell>
          <cell r="I27">
            <v>1</v>
          </cell>
          <cell r="J27">
            <v>1</v>
          </cell>
          <cell r="K27">
            <v>2</v>
          </cell>
          <cell r="L27">
            <v>1</v>
          </cell>
          <cell r="M27">
            <v>1</v>
          </cell>
          <cell r="N27">
            <v>1</v>
          </cell>
          <cell r="O27">
            <v>1</v>
          </cell>
          <cell r="P27">
            <v>1</v>
          </cell>
          <cell r="Q27">
            <v>2</v>
          </cell>
          <cell r="R27" t="str">
            <v>ហឿត ចន្ត្រា (HOEURT CHANTRA)</v>
          </cell>
          <cell r="S27" t="str">
            <v>អតិថិជនទូទៅ (General Customer)</v>
          </cell>
          <cell r="T27">
            <v>4027</v>
          </cell>
          <cell r="V27">
            <v>0</v>
          </cell>
          <cell r="Y27">
            <v>64.5</v>
          </cell>
          <cell r="Z27">
            <v>0</v>
          </cell>
          <cell r="AA27">
            <v>0</v>
          </cell>
          <cell r="AB27">
            <v>0</v>
          </cell>
          <cell r="AC27">
            <v>64.5</v>
          </cell>
          <cell r="AD27">
            <v>1</v>
          </cell>
          <cell r="AE27">
            <v>1277</v>
          </cell>
          <cell r="AF27">
            <v>1</v>
          </cell>
          <cell r="AG27">
            <v>2</v>
          </cell>
          <cell r="AH27">
            <v>6</v>
          </cell>
          <cell r="AI27">
            <v>2026</v>
          </cell>
          <cell r="AJ27">
            <v>20</v>
          </cell>
        </row>
        <row r="28">
          <cell r="E28" t="str">
            <v>CI2026-0212</v>
          </cell>
          <cell r="F28">
            <v>46181</v>
          </cell>
          <cell r="G28">
            <v>46225.459583333337</v>
          </cell>
          <cell r="H28">
            <v>1</v>
          </cell>
          <cell r="I28">
            <v>1</v>
          </cell>
          <cell r="J28">
            <v>1</v>
          </cell>
          <cell r="K28">
            <v>2</v>
          </cell>
          <cell r="L28">
            <v>1</v>
          </cell>
          <cell r="M28">
            <v>1</v>
          </cell>
          <cell r="N28">
            <v>1</v>
          </cell>
          <cell r="O28">
            <v>1</v>
          </cell>
          <cell r="P28">
            <v>1</v>
          </cell>
          <cell r="Q28">
            <v>2</v>
          </cell>
          <cell r="R28" t="str">
            <v>ហឿត ចន្ត្រា (HOEURT CHANTRA)</v>
          </cell>
          <cell r="S28" t="str">
            <v>អតិថិជនទូទៅ (General Customer)</v>
          </cell>
          <cell r="T28">
            <v>4027</v>
          </cell>
          <cell r="V28">
            <v>0</v>
          </cell>
          <cell r="Y28">
            <v>60.6</v>
          </cell>
          <cell r="Z28">
            <v>0</v>
          </cell>
          <cell r="AA28">
            <v>0</v>
          </cell>
          <cell r="AB28">
            <v>0</v>
          </cell>
          <cell r="AC28">
            <v>60.6</v>
          </cell>
          <cell r="AD28">
            <v>1</v>
          </cell>
          <cell r="AE28">
            <v>1279</v>
          </cell>
          <cell r="AF28">
            <v>1</v>
          </cell>
          <cell r="AG28">
            <v>2</v>
          </cell>
          <cell r="AH28">
            <v>6</v>
          </cell>
          <cell r="AI28">
            <v>2026</v>
          </cell>
          <cell r="AJ28">
            <v>21</v>
          </cell>
        </row>
        <row r="29">
          <cell r="E29" t="str">
            <v>CI2026-0213</v>
          </cell>
          <cell r="F29">
            <v>46181</v>
          </cell>
          <cell r="G29">
            <v>46225.463854166665</v>
          </cell>
          <cell r="H29">
            <v>1</v>
          </cell>
          <cell r="I29">
            <v>1</v>
          </cell>
          <cell r="J29">
            <v>1</v>
          </cell>
          <cell r="K29">
            <v>2</v>
          </cell>
          <cell r="L29">
            <v>1</v>
          </cell>
          <cell r="M29">
            <v>1</v>
          </cell>
          <cell r="N29">
            <v>1</v>
          </cell>
          <cell r="O29">
            <v>1</v>
          </cell>
          <cell r="P29">
            <v>1</v>
          </cell>
          <cell r="Q29">
            <v>2</v>
          </cell>
          <cell r="R29" t="str">
            <v>ហឿត ចន្ត្រា (HOEURT CHANTRA)</v>
          </cell>
          <cell r="S29" t="str">
            <v>អតិថិជនទូទៅ (General Customer)</v>
          </cell>
          <cell r="T29">
            <v>4027</v>
          </cell>
          <cell r="V29">
            <v>0</v>
          </cell>
          <cell r="Y29">
            <v>48</v>
          </cell>
          <cell r="Z29">
            <v>0</v>
          </cell>
          <cell r="AA29">
            <v>0</v>
          </cell>
          <cell r="AB29">
            <v>0</v>
          </cell>
          <cell r="AC29">
            <v>48</v>
          </cell>
          <cell r="AD29">
            <v>1</v>
          </cell>
          <cell r="AE29">
            <v>1282</v>
          </cell>
          <cell r="AF29">
            <v>1</v>
          </cell>
          <cell r="AG29">
            <v>2</v>
          </cell>
          <cell r="AH29">
            <v>6</v>
          </cell>
          <cell r="AI29">
            <v>2026</v>
          </cell>
          <cell r="AJ29">
            <v>22</v>
          </cell>
        </row>
        <row r="30">
          <cell r="E30" t="str">
            <v>CI2026-0214</v>
          </cell>
          <cell r="F30">
            <v>46182</v>
          </cell>
          <cell r="G30">
            <v>46225.630381944444</v>
          </cell>
          <cell r="H30">
            <v>1</v>
          </cell>
          <cell r="I30">
            <v>1</v>
          </cell>
          <cell r="J30">
            <v>1</v>
          </cell>
          <cell r="K30">
            <v>2</v>
          </cell>
          <cell r="L30">
            <v>1</v>
          </cell>
          <cell r="M30">
            <v>1</v>
          </cell>
          <cell r="N30">
            <v>1</v>
          </cell>
          <cell r="O30">
            <v>1</v>
          </cell>
          <cell r="P30">
            <v>1</v>
          </cell>
          <cell r="Q30">
            <v>2</v>
          </cell>
          <cell r="R30" t="str">
            <v>ហឿត ចន្ត្រា (HOEURT CHANTRA)</v>
          </cell>
          <cell r="S30" t="str">
            <v>អតិថិជនទូទៅ (General Customer)</v>
          </cell>
          <cell r="T30">
            <v>4027</v>
          </cell>
          <cell r="V30">
            <v>0</v>
          </cell>
          <cell r="Y30">
            <v>91</v>
          </cell>
          <cell r="Z30">
            <v>0</v>
          </cell>
          <cell r="AA30">
            <v>0</v>
          </cell>
          <cell r="AB30">
            <v>0</v>
          </cell>
          <cell r="AC30">
            <v>91</v>
          </cell>
          <cell r="AD30">
            <v>1</v>
          </cell>
          <cell r="AF30">
            <v>1</v>
          </cell>
          <cell r="AG30">
            <v>2</v>
          </cell>
          <cell r="AH30">
            <v>6</v>
          </cell>
          <cell r="AI30">
            <v>2026</v>
          </cell>
          <cell r="AJ30">
            <v>23</v>
          </cell>
        </row>
        <row r="31">
          <cell r="E31" t="str">
            <v>CI2026-0215</v>
          </cell>
          <cell r="F31">
            <v>46182</v>
          </cell>
          <cell r="G31">
            <v>46225.644062500003</v>
          </cell>
          <cell r="H31">
            <v>1</v>
          </cell>
          <cell r="I31">
            <v>1</v>
          </cell>
          <cell r="J31">
            <v>1</v>
          </cell>
          <cell r="K31">
            <v>2</v>
          </cell>
          <cell r="L31">
            <v>1</v>
          </cell>
          <cell r="M31">
            <v>1</v>
          </cell>
          <cell r="N31">
            <v>1</v>
          </cell>
          <cell r="O31">
            <v>1</v>
          </cell>
          <cell r="P31">
            <v>1</v>
          </cell>
          <cell r="Q31">
            <v>2</v>
          </cell>
          <cell r="R31" t="str">
            <v>ហឿត ចន្ត្រា (HOEURT CHANTRA)</v>
          </cell>
          <cell r="S31" t="str">
            <v>អតិថិជនទូទៅ (General Customer)</v>
          </cell>
          <cell r="T31">
            <v>4027</v>
          </cell>
          <cell r="V31">
            <v>0</v>
          </cell>
          <cell r="Y31">
            <v>84</v>
          </cell>
          <cell r="Z31">
            <v>0</v>
          </cell>
          <cell r="AA31">
            <v>0</v>
          </cell>
          <cell r="AB31">
            <v>0</v>
          </cell>
          <cell r="AC31">
            <v>84</v>
          </cell>
          <cell r="AD31">
            <v>1</v>
          </cell>
          <cell r="AF31">
            <v>1</v>
          </cell>
          <cell r="AG31">
            <v>2</v>
          </cell>
          <cell r="AH31">
            <v>6</v>
          </cell>
          <cell r="AI31">
            <v>2026</v>
          </cell>
          <cell r="AJ31">
            <v>24</v>
          </cell>
        </row>
        <row r="32">
          <cell r="E32" t="str">
            <v>CI2026-0216</v>
          </cell>
          <cell r="F32">
            <v>46183</v>
          </cell>
          <cell r="G32">
            <v>46225.651469907411</v>
          </cell>
          <cell r="H32">
            <v>1</v>
          </cell>
          <cell r="I32">
            <v>1</v>
          </cell>
          <cell r="J32">
            <v>1</v>
          </cell>
          <cell r="K32">
            <v>2</v>
          </cell>
          <cell r="L32">
            <v>1</v>
          </cell>
          <cell r="M32">
            <v>1</v>
          </cell>
          <cell r="N32">
            <v>1</v>
          </cell>
          <cell r="O32">
            <v>1</v>
          </cell>
          <cell r="P32">
            <v>1</v>
          </cell>
          <cell r="Q32">
            <v>2</v>
          </cell>
          <cell r="R32" t="str">
            <v>ហឿត ចន្ត្រា (HOEURT CHANTRA)</v>
          </cell>
          <cell r="S32" t="str">
            <v>អតិថិជនទូទៅ (General Customer)</v>
          </cell>
          <cell r="T32">
            <v>4027</v>
          </cell>
          <cell r="V32">
            <v>0</v>
          </cell>
          <cell r="Y32">
            <v>77.5</v>
          </cell>
          <cell r="Z32">
            <v>0</v>
          </cell>
          <cell r="AA32">
            <v>0</v>
          </cell>
          <cell r="AB32">
            <v>0</v>
          </cell>
          <cell r="AC32">
            <v>77.5</v>
          </cell>
          <cell r="AD32">
            <v>1</v>
          </cell>
          <cell r="AF32">
            <v>1</v>
          </cell>
          <cell r="AG32">
            <v>2</v>
          </cell>
          <cell r="AH32">
            <v>6</v>
          </cell>
          <cell r="AI32">
            <v>2026</v>
          </cell>
          <cell r="AJ32">
            <v>25</v>
          </cell>
        </row>
        <row r="33">
          <cell r="E33" t="str">
            <v>CI2026-0217</v>
          </cell>
          <cell r="F33">
            <v>46183</v>
          </cell>
          <cell r="G33">
            <v>46225.658680555556</v>
          </cell>
          <cell r="H33">
            <v>1</v>
          </cell>
          <cell r="I33">
            <v>1</v>
          </cell>
          <cell r="J33">
            <v>1</v>
          </cell>
          <cell r="K33">
            <v>2</v>
          </cell>
          <cell r="L33">
            <v>1</v>
          </cell>
          <cell r="M33">
            <v>1</v>
          </cell>
          <cell r="N33">
            <v>1</v>
          </cell>
          <cell r="O33">
            <v>1</v>
          </cell>
          <cell r="P33">
            <v>1</v>
          </cell>
          <cell r="Q33">
            <v>2</v>
          </cell>
          <cell r="R33" t="str">
            <v>ហឿត ចន្ត្រា (HOEURT CHANTRA)</v>
          </cell>
          <cell r="S33" t="str">
            <v>អតិថិជនទូទៅ (General Customer)</v>
          </cell>
          <cell r="T33">
            <v>4027</v>
          </cell>
          <cell r="V33">
            <v>0</v>
          </cell>
          <cell r="Y33">
            <v>30.4</v>
          </cell>
          <cell r="Z33">
            <v>0</v>
          </cell>
          <cell r="AA33">
            <v>0</v>
          </cell>
          <cell r="AB33">
            <v>0</v>
          </cell>
          <cell r="AC33">
            <v>30.4</v>
          </cell>
          <cell r="AD33">
            <v>1</v>
          </cell>
          <cell r="AF33">
            <v>1</v>
          </cell>
          <cell r="AG33">
            <v>2</v>
          </cell>
          <cell r="AH33">
            <v>6</v>
          </cell>
          <cell r="AI33">
            <v>2026</v>
          </cell>
          <cell r="AJ33">
            <v>26</v>
          </cell>
        </row>
        <row r="34">
          <cell r="E34" t="str">
            <v>CI2026-0218</v>
          </cell>
          <cell r="F34">
            <v>46183</v>
          </cell>
          <cell r="G34">
            <v>46225.670752314814</v>
          </cell>
          <cell r="H34">
            <v>1</v>
          </cell>
          <cell r="I34">
            <v>1</v>
          </cell>
          <cell r="J34">
            <v>1</v>
          </cell>
          <cell r="K34">
            <v>2</v>
          </cell>
          <cell r="L34">
            <v>1</v>
          </cell>
          <cell r="M34">
            <v>1</v>
          </cell>
          <cell r="N34">
            <v>1</v>
          </cell>
          <cell r="O34">
            <v>1</v>
          </cell>
          <cell r="P34">
            <v>1</v>
          </cell>
          <cell r="Q34">
            <v>2</v>
          </cell>
          <cell r="R34" t="str">
            <v>ហឿត ចន្ត្រា (HOEURT CHANTRA)</v>
          </cell>
          <cell r="S34" t="str">
            <v>អតិថិជនទូទៅ (General Customer)</v>
          </cell>
          <cell r="T34">
            <v>4027</v>
          </cell>
          <cell r="V34">
            <v>0</v>
          </cell>
          <cell r="Y34">
            <v>68.75</v>
          </cell>
          <cell r="Z34">
            <v>0</v>
          </cell>
          <cell r="AA34">
            <v>0</v>
          </cell>
          <cell r="AB34">
            <v>0</v>
          </cell>
          <cell r="AC34">
            <v>68.75</v>
          </cell>
          <cell r="AD34">
            <v>1</v>
          </cell>
          <cell r="AE34">
            <v>1308</v>
          </cell>
          <cell r="AF34">
            <v>1</v>
          </cell>
          <cell r="AG34">
            <v>2</v>
          </cell>
          <cell r="AH34">
            <v>6</v>
          </cell>
          <cell r="AI34">
            <v>2026</v>
          </cell>
          <cell r="AJ34">
            <v>27</v>
          </cell>
        </row>
        <row r="35">
          <cell r="E35" t="str">
            <v>CI2026-0219</v>
          </cell>
          <cell r="F35">
            <v>46184</v>
          </cell>
          <cell r="G35">
            <v>46225.685636574075</v>
          </cell>
          <cell r="H35">
            <v>1</v>
          </cell>
          <cell r="I35">
            <v>1</v>
          </cell>
          <cell r="J35">
            <v>1</v>
          </cell>
          <cell r="K35">
            <v>2</v>
          </cell>
          <cell r="L35">
            <v>1</v>
          </cell>
          <cell r="M35">
            <v>1</v>
          </cell>
          <cell r="N35">
            <v>1</v>
          </cell>
          <cell r="O35">
            <v>1</v>
          </cell>
          <cell r="P35">
            <v>1</v>
          </cell>
          <cell r="Q35">
            <v>2</v>
          </cell>
          <cell r="R35" t="str">
            <v>ហឿត ចន្ត្រា (HOEURT CHANTRA)</v>
          </cell>
          <cell r="S35" t="str">
            <v>អតិថិជនទូទៅ (General Customer)</v>
          </cell>
          <cell r="T35">
            <v>4026</v>
          </cell>
          <cell r="V35">
            <v>0</v>
          </cell>
          <cell r="Y35">
            <v>32.5</v>
          </cell>
          <cell r="Z35">
            <v>0</v>
          </cell>
          <cell r="AA35">
            <v>0</v>
          </cell>
          <cell r="AB35">
            <v>0</v>
          </cell>
          <cell r="AC35">
            <v>32.5</v>
          </cell>
          <cell r="AD35">
            <v>1</v>
          </cell>
          <cell r="AF35">
            <v>1</v>
          </cell>
          <cell r="AG35">
            <v>2</v>
          </cell>
          <cell r="AH35">
            <v>6</v>
          </cell>
          <cell r="AI35">
            <v>2026</v>
          </cell>
          <cell r="AJ35">
            <v>28</v>
          </cell>
        </row>
        <row r="36">
          <cell r="E36" t="str">
            <v>CI2026-0220</v>
          </cell>
          <cell r="F36">
            <v>46184</v>
          </cell>
          <cell r="G36">
            <v>46225.798460648148</v>
          </cell>
          <cell r="H36">
            <v>1</v>
          </cell>
          <cell r="I36">
            <v>1</v>
          </cell>
          <cell r="J36">
            <v>1</v>
          </cell>
          <cell r="K36">
            <v>2</v>
          </cell>
          <cell r="L36">
            <v>1</v>
          </cell>
          <cell r="M36">
            <v>1</v>
          </cell>
          <cell r="N36">
            <v>1</v>
          </cell>
          <cell r="O36">
            <v>1</v>
          </cell>
          <cell r="P36">
            <v>1</v>
          </cell>
          <cell r="Q36">
            <v>2</v>
          </cell>
          <cell r="R36" t="str">
            <v>ហឿត ចន្ត្រា (HOEURT CHANTRA)</v>
          </cell>
          <cell r="S36" t="str">
            <v>អតិថិជនទូទៅ (General Customer)</v>
          </cell>
          <cell r="T36">
            <v>4026</v>
          </cell>
          <cell r="V36">
            <v>0</v>
          </cell>
          <cell r="Y36">
            <v>42.13</v>
          </cell>
          <cell r="Z36">
            <v>0</v>
          </cell>
          <cell r="AA36">
            <v>0</v>
          </cell>
          <cell r="AB36">
            <v>0</v>
          </cell>
          <cell r="AC36">
            <v>42.13</v>
          </cell>
          <cell r="AD36">
            <v>1</v>
          </cell>
          <cell r="AF36">
            <v>1</v>
          </cell>
          <cell r="AG36">
            <v>2</v>
          </cell>
          <cell r="AH36">
            <v>6</v>
          </cell>
          <cell r="AI36">
            <v>2026</v>
          </cell>
          <cell r="AJ36">
            <v>29</v>
          </cell>
        </row>
        <row r="37">
          <cell r="E37" t="str">
            <v>CI2026-0221</v>
          </cell>
          <cell r="F37">
            <v>46184</v>
          </cell>
          <cell r="G37">
            <v>46226.015185185184</v>
          </cell>
          <cell r="H37">
            <v>1</v>
          </cell>
          <cell r="I37">
            <v>1</v>
          </cell>
          <cell r="J37">
            <v>1</v>
          </cell>
          <cell r="K37">
            <v>2</v>
          </cell>
          <cell r="L37">
            <v>1</v>
          </cell>
          <cell r="M37">
            <v>1</v>
          </cell>
          <cell r="N37">
            <v>1</v>
          </cell>
          <cell r="O37">
            <v>1</v>
          </cell>
          <cell r="P37">
            <v>1</v>
          </cell>
          <cell r="Q37">
            <v>2</v>
          </cell>
          <cell r="R37" t="str">
            <v>ហឿត ចន្ត្រា (HOEURT CHANTRA)</v>
          </cell>
          <cell r="S37" t="str">
            <v>អតិថិជនទូទៅ (General Customer)</v>
          </cell>
          <cell r="T37">
            <v>4026</v>
          </cell>
          <cell r="V37">
            <v>0</v>
          </cell>
          <cell r="Y37">
            <v>23.75</v>
          </cell>
          <cell r="Z37">
            <v>0</v>
          </cell>
          <cell r="AA37">
            <v>0</v>
          </cell>
          <cell r="AB37">
            <v>0</v>
          </cell>
          <cell r="AC37">
            <v>23.75</v>
          </cell>
          <cell r="AD37">
            <v>1</v>
          </cell>
          <cell r="AF37">
            <v>1</v>
          </cell>
          <cell r="AG37">
            <v>2</v>
          </cell>
          <cell r="AH37">
            <v>6</v>
          </cell>
          <cell r="AI37">
            <v>2026</v>
          </cell>
          <cell r="AJ37">
            <v>30</v>
          </cell>
        </row>
        <row r="38">
          <cell r="E38" t="str">
            <v>CI2026-0222</v>
          </cell>
          <cell r="F38">
            <v>46184</v>
          </cell>
          <cell r="G38">
            <v>46226.024560185186</v>
          </cell>
          <cell r="H38">
            <v>1</v>
          </cell>
          <cell r="I38">
            <v>1</v>
          </cell>
          <cell r="J38">
            <v>1</v>
          </cell>
          <cell r="K38">
            <v>2</v>
          </cell>
          <cell r="L38">
            <v>1</v>
          </cell>
          <cell r="M38">
            <v>1</v>
          </cell>
          <cell r="N38">
            <v>1</v>
          </cell>
          <cell r="O38">
            <v>1</v>
          </cell>
          <cell r="P38">
            <v>1</v>
          </cell>
          <cell r="Q38">
            <v>2</v>
          </cell>
          <cell r="R38" t="str">
            <v>ហឿត ចន្ត្រា (HOEURT CHANTRA)</v>
          </cell>
          <cell r="S38" t="str">
            <v>អតិថិជនទូទៅ (General Customer)</v>
          </cell>
          <cell r="T38">
            <v>4026</v>
          </cell>
          <cell r="V38">
            <v>0</v>
          </cell>
          <cell r="Y38">
            <v>88.5</v>
          </cell>
          <cell r="Z38">
            <v>0</v>
          </cell>
          <cell r="AA38">
            <v>0</v>
          </cell>
          <cell r="AB38">
            <v>0</v>
          </cell>
          <cell r="AC38">
            <v>88.5</v>
          </cell>
          <cell r="AD38">
            <v>1</v>
          </cell>
          <cell r="AF38">
            <v>1</v>
          </cell>
          <cell r="AG38">
            <v>2</v>
          </cell>
          <cell r="AH38">
            <v>6</v>
          </cell>
          <cell r="AI38">
            <v>2026</v>
          </cell>
          <cell r="AJ38">
            <v>31</v>
          </cell>
        </row>
        <row r="39">
          <cell r="E39" t="str">
            <v>CI2026-0223</v>
          </cell>
          <cell r="F39">
            <v>46185</v>
          </cell>
          <cell r="G39">
            <v>46226.247384259259</v>
          </cell>
          <cell r="H39">
            <v>1</v>
          </cell>
          <cell r="I39">
            <v>1</v>
          </cell>
          <cell r="J39">
            <v>1</v>
          </cell>
          <cell r="K39">
            <v>2</v>
          </cell>
          <cell r="L39">
            <v>1</v>
          </cell>
          <cell r="M39">
            <v>1</v>
          </cell>
          <cell r="N39">
            <v>1</v>
          </cell>
          <cell r="O39">
            <v>1</v>
          </cell>
          <cell r="P39">
            <v>1</v>
          </cell>
          <cell r="Q39">
            <v>2</v>
          </cell>
          <cell r="R39" t="str">
            <v>ហឿត ចន្ត្រា (HOEURT CHANTRA)</v>
          </cell>
          <cell r="S39" t="str">
            <v>អតិថិជនទូទៅ (General Customer)</v>
          </cell>
          <cell r="T39">
            <v>4026</v>
          </cell>
          <cell r="V39">
            <v>0</v>
          </cell>
          <cell r="Y39">
            <v>69.540000000000006</v>
          </cell>
          <cell r="Z39">
            <v>0</v>
          </cell>
          <cell r="AA39">
            <v>0</v>
          </cell>
          <cell r="AB39">
            <v>0</v>
          </cell>
          <cell r="AC39">
            <v>69.540000000000006</v>
          </cell>
          <cell r="AD39">
            <v>1</v>
          </cell>
          <cell r="AF39">
            <v>1</v>
          </cell>
          <cell r="AG39">
            <v>2</v>
          </cell>
          <cell r="AH39">
            <v>6</v>
          </cell>
          <cell r="AI39">
            <v>2026</v>
          </cell>
          <cell r="AJ39">
            <v>32</v>
          </cell>
        </row>
        <row r="40">
          <cell r="E40" t="str">
            <v>CI2026-0224</v>
          </cell>
          <cell r="F40">
            <v>46185</v>
          </cell>
          <cell r="G40">
            <v>46226.249699074076</v>
          </cell>
          <cell r="H40">
            <v>1</v>
          </cell>
          <cell r="I40">
            <v>1</v>
          </cell>
          <cell r="J40">
            <v>1</v>
          </cell>
          <cell r="K40">
            <v>2</v>
          </cell>
          <cell r="L40">
            <v>1</v>
          </cell>
          <cell r="M40">
            <v>1</v>
          </cell>
          <cell r="N40">
            <v>1</v>
          </cell>
          <cell r="O40">
            <v>1</v>
          </cell>
          <cell r="P40">
            <v>1</v>
          </cell>
          <cell r="Q40">
            <v>2</v>
          </cell>
          <cell r="R40" t="str">
            <v>ហឿត ចន្ត្រា (HOEURT CHANTRA)</v>
          </cell>
          <cell r="S40" t="str">
            <v>អតិថិជនទូទៅ (General Customer)</v>
          </cell>
          <cell r="T40">
            <v>4026</v>
          </cell>
          <cell r="V40">
            <v>0</v>
          </cell>
          <cell r="Y40">
            <v>45</v>
          </cell>
          <cell r="Z40">
            <v>0</v>
          </cell>
          <cell r="AA40">
            <v>0</v>
          </cell>
          <cell r="AB40">
            <v>0</v>
          </cell>
          <cell r="AC40">
            <v>45</v>
          </cell>
          <cell r="AD40">
            <v>1</v>
          </cell>
          <cell r="AF40">
            <v>1</v>
          </cell>
          <cell r="AG40">
            <v>2</v>
          </cell>
          <cell r="AH40">
            <v>6</v>
          </cell>
          <cell r="AI40">
            <v>2026</v>
          </cell>
          <cell r="AJ40">
            <v>33</v>
          </cell>
        </row>
        <row r="41">
          <cell r="E41" t="str">
            <v>CI2026-0225</v>
          </cell>
          <cell r="F41">
            <v>46185</v>
          </cell>
          <cell r="G41">
            <v>46226.254780092589</v>
          </cell>
          <cell r="H41">
            <v>1</v>
          </cell>
          <cell r="I41">
            <v>1</v>
          </cell>
          <cell r="J41">
            <v>1</v>
          </cell>
          <cell r="K41">
            <v>2</v>
          </cell>
          <cell r="L41">
            <v>1</v>
          </cell>
          <cell r="M41">
            <v>1</v>
          </cell>
          <cell r="N41">
            <v>1</v>
          </cell>
          <cell r="O41">
            <v>1</v>
          </cell>
          <cell r="P41">
            <v>1</v>
          </cell>
          <cell r="Q41">
            <v>2</v>
          </cell>
          <cell r="R41" t="str">
            <v>ហឿត ចន្ត្រា (HOEURT CHANTRA)</v>
          </cell>
          <cell r="S41" t="str">
            <v>អតិថិជនទូទៅ (General Customer)</v>
          </cell>
          <cell r="T41">
            <v>4026</v>
          </cell>
          <cell r="V41">
            <v>0</v>
          </cell>
          <cell r="Y41">
            <v>95</v>
          </cell>
          <cell r="Z41">
            <v>0</v>
          </cell>
          <cell r="AA41">
            <v>0</v>
          </cell>
          <cell r="AB41">
            <v>0</v>
          </cell>
          <cell r="AC41">
            <v>95</v>
          </cell>
          <cell r="AD41">
            <v>1</v>
          </cell>
          <cell r="AE41">
            <v>1343</v>
          </cell>
          <cell r="AF41">
            <v>1</v>
          </cell>
          <cell r="AG41">
            <v>2</v>
          </cell>
          <cell r="AH41">
            <v>6</v>
          </cell>
          <cell r="AI41">
            <v>2026</v>
          </cell>
          <cell r="AJ41">
            <v>34</v>
          </cell>
        </row>
        <row r="42">
          <cell r="E42" t="str">
            <v>CI2026-0226</v>
          </cell>
          <cell r="F42">
            <v>46186</v>
          </cell>
          <cell r="G42">
            <v>46226.263368055559</v>
          </cell>
          <cell r="H42">
            <v>1</v>
          </cell>
          <cell r="I42">
            <v>1</v>
          </cell>
          <cell r="J42">
            <v>1</v>
          </cell>
          <cell r="K42">
            <v>2</v>
          </cell>
          <cell r="L42">
            <v>1</v>
          </cell>
          <cell r="M42">
            <v>1</v>
          </cell>
          <cell r="N42">
            <v>1</v>
          </cell>
          <cell r="O42">
            <v>1</v>
          </cell>
          <cell r="P42">
            <v>1</v>
          </cell>
          <cell r="Q42">
            <v>2</v>
          </cell>
          <cell r="R42" t="str">
            <v>ហឿត ចន្ត្រា (HOEURT CHANTRA)</v>
          </cell>
          <cell r="S42" t="str">
            <v>អតិថិជនទូទៅ (General Customer)</v>
          </cell>
          <cell r="T42">
            <v>4026</v>
          </cell>
          <cell r="V42">
            <v>0</v>
          </cell>
          <cell r="Y42">
            <v>48.75</v>
          </cell>
          <cell r="Z42">
            <v>0</v>
          </cell>
          <cell r="AA42">
            <v>0</v>
          </cell>
          <cell r="AB42">
            <v>0</v>
          </cell>
          <cell r="AC42">
            <v>48.75</v>
          </cell>
          <cell r="AD42">
            <v>1</v>
          </cell>
          <cell r="AF42">
            <v>1</v>
          </cell>
          <cell r="AG42">
            <v>2</v>
          </cell>
          <cell r="AH42">
            <v>6</v>
          </cell>
          <cell r="AI42">
            <v>2026</v>
          </cell>
          <cell r="AJ42">
            <v>35</v>
          </cell>
        </row>
        <row r="43">
          <cell r="E43" t="str">
            <v>CI2026-0227</v>
          </cell>
          <cell r="F43">
            <v>46186</v>
          </cell>
          <cell r="G43">
            <v>46226.32471064815</v>
          </cell>
          <cell r="H43">
            <v>1</v>
          </cell>
          <cell r="I43">
            <v>1</v>
          </cell>
          <cell r="J43">
            <v>1</v>
          </cell>
          <cell r="K43">
            <v>2</v>
          </cell>
          <cell r="L43">
            <v>1</v>
          </cell>
          <cell r="M43">
            <v>1</v>
          </cell>
          <cell r="N43">
            <v>1</v>
          </cell>
          <cell r="O43">
            <v>1</v>
          </cell>
          <cell r="P43">
            <v>1</v>
          </cell>
          <cell r="Q43">
            <v>2</v>
          </cell>
          <cell r="R43" t="str">
            <v>ហឿត ចន្ត្រា (HOEURT CHANTRA)</v>
          </cell>
          <cell r="S43" t="str">
            <v>អតិថិជនទូទៅ (General Customer)</v>
          </cell>
          <cell r="T43">
            <v>4026</v>
          </cell>
          <cell r="V43">
            <v>0</v>
          </cell>
          <cell r="Y43">
            <v>19</v>
          </cell>
          <cell r="Z43">
            <v>0</v>
          </cell>
          <cell r="AA43">
            <v>0</v>
          </cell>
          <cell r="AB43">
            <v>0</v>
          </cell>
          <cell r="AC43">
            <v>19</v>
          </cell>
          <cell r="AD43">
            <v>1</v>
          </cell>
          <cell r="AE43">
            <v>1366</v>
          </cell>
          <cell r="AF43">
            <v>1</v>
          </cell>
          <cell r="AG43">
            <v>2</v>
          </cell>
          <cell r="AH43">
            <v>6</v>
          </cell>
          <cell r="AI43">
            <v>2026</v>
          </cell>
          <cell r="AJ43">
            <v>36</v>
          </cell>
        </row>
        <row r="44">
          <cell r="E44" t="str">
            <v>CI2026-0228</v>
          </cell>
          <cell r="F44">
            <v>46186</v>
          </cell>
          <cell r="G44">
            <v>46226.391192129631</v>
          </cell>
          <cell r="H44">
            <v>1</v>
          </cell>
          <cell r="I44">
            <v>1</v>
          </cell>
          <cell r="J44">
            <v>1</v>
          </cell>
          <cell r="K44">
            <v>2</v>
          </cell>
          <cell r="L44">
            <v>1</v>
          </cell>
          <cell r="M44">
            <v>1</v>
          </cell>
          <cell r="N44">
            <v>1</v>
          </cell>
          <cell r="O44">
            <v>1</v>
          </cell>
          <cell r="P44">
            <v>1</v>
          </cell>
          <cell r="Q44">
            <v>2</v>
          </cell>
          <cell r="R44" t="str">
            <v>ហឿត ចន្ត្រា (HOEURT CHANTRA)</v>
          </cell>
          <cell r="S44" t="str">
            <v>អតិថិជនទូទៅ (General Customer)</v>
          </cell>
          <cell r="T44">
            <v>4026</v>
          </cell>
          <cell r="V44">
            <v>0</v>
          </cell>
          <cell r="Y44">
            <v>41</v>
          </cell>
          <cell r="Z44">
            <v>0</v>
          </cell>
          <cell r="AA44">
            <v>0</v>
          </cell>
          <cell r="AB44">
            <v>0</v>
          </cell>
          <cell r="AC44">
            <v>41</v>
          </cell>
          <cell r="AD44">
            <v>1</v>
          </cell>
          <cell r="AF44">
            <v>1</v>
          </cell>
          <cell r="AG44">
            <v>2</v>
          </cell>
          <cell r="AH44">
            <v>6</v>
          </cell>
          <cell r="AI44">
            <v>2026</v>
          </cell>
          <cell r="AJ44">
            <v>37</v>
          </cell>
        </row>
        <row r="45">
          <cell r="E45" t="str">
            <v>CI2026-0229</v>
          </cell>
          <cell r="F45">
            <v>46187</v>
          </cell>
          <cell r="G45">
            <v>46226.400694444441</v>
          </cell>
          <cell r="H45">
            <v>1</v>
          </cell>
          <cell r="I45">
            <v>1</v>
          </cell>
          <cell r="J45">
            <v>1</v>
          </cell>
          <cell r="K45">
            <v>2</v>
          </cell>
          <cell r="L45">
            <v>1</v>
          </cell>
          <cell r="M45">
            <v>1</v>
          </cell>
          <cell r="N45">
            <v>1</v>
          </cell>
          <cell r="O45">
            <v>1</v>
          </cell>
          <cell r="P45">
            <v>1</v>
          </cell>
          <cell r="Q45">
            <v>2</v>
          </cell>
          <cell r="R45" t="str">
            <v>ហឿត ចន្ត្រា (HOEURT CHANTRA)</v>
          </cell>
          <cell r="S45" t="str">
            <v>អតិថិជនទូទៅ (General Customer)</v>
          </cell>
          <cell r="T45">
            <v>4026</v>
          </cell>
          <cell r="V45">
            <v>0</v>
          </cell>
          <cell r="Y45">
            <v>67.5</v>
          </cell>
          <cell r="Z45">
            <v>0</v>
          </cell>
          <cell r="AA45">
            <v>0</v>
          </cell>
          <cell r="AB45">
            <v>0</v>
          </cell>
          <cell r="AC45">
            <v>67.5</v>
          </cell>
          <cell r="AD45">
            <v>1</v>
          </cell>
          <cell r="AE45">
            <v>1373</v>
          </cell>
          <cell r="AF45">
            <v>1</v>
          </cell>
          <cell r="AG45">
            <v>2</v>
          </cell>
          <cell r="AH45">
            <v>6</v>
          </cell>
          <cell r="AI45">
            <v>2026</v>
          </cell>
          <cell r="AJ45">
            <v>38</v>
          </cell>
        </row>
        <row r="46">
          <cell r="E46" t="str">
            <v>CI2026-0230</v>
          </cell>
          <cell r="F46">
            <v>46187</v>
          </cell>
          <cell r="G46">
            <v>46226.454305555555</v>
          </cell>
          <cell r="H46">
            <v>1</v>
          </cell>
          <cell r="I46">
            <v>1</v>
          </cell>
          <cell r="J46">
            <v>1</v>
          </cell>
          <cell r="K46">
            <v>2</v>
          </cell>
          <cell r="L46">
            <v>1</v>
          </cell>
          <cell r="M46">
            <v>1</v>
          </cell>
          <cell r="N46">
            <v>1</v>
          </cell>
          <cell r="O46">
            <v>1</v>
          </cell>
          <cell r="P46">
            <v>1</v>
          </cell>
          <cell r="Q46">
            <v>2</v>
          </cell>
          <cell r="R46" t="str">
            <v>ហឿត ចន្ត្រា (HOEURT CHANTRA)</v>
          </cell>
          <cell r="S46" t="str">
            <v>អតិថិជនទូទៅ (General Customer)</v>
          </cell>
          <cell r="T46">
            <v>4026</v>
          </cell>
          <cell r="V46">
            <v>0</v>
          </cell>
          <cell r="Y46">
            <v>127.5</v>
          </cell>
          <cell r="Z46">
            <v>0</v>
          </cell>
          <cell r="AA46">
            <v>0</v>
          </cell>
          <cell r="AB46">
            <v>0</v>
          </cell>
          <cell r="AC46">
            <v>127.5</v>
          </cell>
          <cell r="AD46">
            <v>1</v>
          </cell>
          <cell r="AE46">
            <v>1377</v>
          </cell>
          <cell r="AF46">
            <v>1</v>
          </cell>
          <cell r="AG46">
            <v>2</v>
          </cell>
          <cell r="AH46">
            <v>6</v>
          </cell>
          <cell r="AI46">
            <v>2026</v>
          </cell>
          <cell r="AJ46">
            <v>39</v>
          </cell>
        </row>
        <row r="47">
          <cell r="E47" t="str">
            <v>CI2026-0231</v>
          </cell>
          <cell r="F47">
            <v>46188</v>
          </cell>
          <cell r="G47">
            <v>46226.458645833336</v>
          </cell>
          <cell r="H47">
            <v>1</v>
          </cell>
          <cell r="I47">
            <v>1</v>
          </cell>
          <cell r="J47">
            <v>1</v>
          </cell>
          <cell r="K47">
            <v>2</v>
          </cell>
          <cell r="L47">
            <v>1</v>
          </cell>
          <cell r="M47">
            <v>1</v>
          </cell>
          <cell r="N47">
            <v>1</v>
          </cell>
          <cell r="O47">
            <v>1</v>
          </cell>
          <cell r="P47">
            <v>1</v>
          </cell>
          <cell r="Q47">
            <v>2</v>
          </cell>
          <cell r="R47" t="str">
            <v>ហឿត ចន្ត្រា (HOEURT CHANTRA)</v>
          </cell>
          <cell r="S47" t="str">
            <v>អតិថិជនទូទៅ (General Customer)</v>
          </cell>
          <cell r="T47">
            <v>4025</v>
          </cell>
          <cell r="V47">
            <v>0</v>
          </cell>
          <cell r="Y47">
            <v>53</v>
          </cell>
          <cell r="Z47">
            <v>0</v>
          </cell>
          <cell r="AA47">
            <v>0</v>
          </cell>
          <cell r="AB47">
            <v>0</v>
          </cell>
          <cell r="AC47">
            <v>53</v>
          </cell>
          <cell r="AD47">
            <v>1</v>
          </cell>
          <cell r="AF47">
            <v>1</v>
          </cell>
          <cell r="AG47">
            <v>3</v>
          </cell>
          <cell r="AH47">
            <v>6</v>
          </cell>
          <cell r="AI47">
            <v>2026</v>
          </cell>
          <cell r="AJ47">
            <v>40</v>
          </cell>
        </row>
        <row r="48">
          <cell r="E48" t="str">
            <v>CI2026-0232</v>
          </cell>
          <cell r="F48">
            <v>46188</v>
          </cell>
          <cell r="G48">
            <v>46226.472453703704</v>
          </cell>
          <cell r="H48">
            <v>1</v>
          </cell>
          <cell r="I48">
            <v>1</v>
          </cell>
          <cell r="J48">
            <v>1</v>
          </cell>
          <cell r="K48">
            <v>2</v>
          </cell>
          <cell r="L48">
            <v>1</v>
          </cell>
          <cell r="M48">
            <v>1</v>
          </cell>
          <cell r="N48">
            <v>1</v>
          </cell>
          <cell r="O48">
            <v>1</v>
          </cell>
          <cell r="P48">
            <v>1</v>
          </cell>
          <cell r="Q48">
            <v>2</v>
          </cell>
          <cell r="R48" t="str">
            <v>ហឿត ចន្ត្រា (HOEURT CHANTRA)</v>
          </cell>
          <cell r="S48" t="str">
            <v>អតិថិជនទូទៅ (General Customer)</v>
          </cell>
          <cell r="T48">
            <v>4025</v>
          </cell>
          <cell r="V48">
            <v>0</v>
          </cell>
          <cell r="Y48">
            <v>10.5</v>
          </cell>
          <cell r="Z48">
            <v>0</v>
          </cell>
          <cell r="AA48">
            <v>0</v>
          </cell>
          <cell r="AB48">
            <v>0</v>
          </cell>
          <cell r="AC48">
            <v>10.5</v>
          </cell>
          <cell r="AD48">
            <v>1</v>
          </cell>
          <cell r="AE48">
            <v>1403</v>
          </cell>
          <cell r="AF48">
            <v>1</v>
          </cell>
          <cell r="AG48">
            <v>3</v>
          </cell>
          <cell r="AH48">
            <v>6</v>
          </cell>
          <cell r="AI48">
            <v>2026</v>
          </cell>
          <cell r="AJ48">
            <v>41</v>
          </cell>
        </row>
        <row r="49">
          <cell r="E49" t="str">
            <v>CI2026-0233</v>
          </cell>
          <cell r="F49">
            <v>46188</v>
          </cell>
          <cell r="G49">
            <v>46226.481585648151</v>
          </cell>
          <cell r="H49">
            <v>1</v>
          </cell>
          <cell r="I49">
            <v>1</v>
          </cell>
          <cell r="J49">
            <v>1</v>
          </cell>
          <cell r="K49">
            <v>2</v>
          </cell>
          <cell r="L49">
            <v>1</v>
          </cell>
          <cell r="M49">
            <v>1</v>
          </cell>
          <cell r="N49">
            <v>1</v>
          </cell>
          <cell r="O49">
            <v>1</v>
          </cell>
          <cell r="P49">
            <v>1</v>
          </cell>
          <cell r="Q49">
            <v>2</v>
          </cell>
          <cell r="R49" t="str">
            <v>ហឿត ចន្ត្រា (HOEURT CHANTRA)</v>
          </cell>
          <cell r="S49" t="str">
            <v>អតិថិជនទូទៅ (General Customer)</v>
          </cell>
          <cell r="T49">
            <v>4025</v>
          </cell>
          <cell r="V49">
            <v>0</v>
          </cell>
          <cell r="Y49">
            <v>53.75</v>
          </cell>
          <cell r="Z49">
            <v>0</v>
          </cell>
          <cell r="AA49">
            <v>0</v>
          </cell>
          <cell r="AB49">
            <v>0</v>
          </cell>
          <cell r="AC49">
            <v>53.75</v>
          </cell>
          <cell r="AD49">
            <v>1</v>
          </cell>
          <cell r="AE49">
            <v>1408</v>
          </cell>
          <cell r="AF49">
            <v>1</v>
          </cell>
          <cell r="AG49">
            <v>3</v>
          </cell>
          <cell r="AH49">
            <v>6</v>
          </cell>
          <cell r="AI49">
            <v>2026</v>
          </cell>
          <cell r="AJ49">
            <v>42</v>
          </cell>
        </row>
        <row r="50">
          <cell r="E50" t="str">
            <v>CI2026-0234</v>
          </cell>
          <cell r="F50">
            <v>46188</v>
          </cell>
          <cell r="G50">
            <v>46226.53361111111</v>
          </cell>
          <cell r="H50">
            <v>1</v>
          </cell>
          <cell r="I50">
            <v>1</v>
          </cell>
          <cell r="J50">
            <v>1</v>
          </cell>
          <cell r="K50">
            <v>2</v>
          </cell>
          <cell r="L50">
            <v>1</v>
          </cell>
          <cell r="M50">
            <v>1</v>
          </cell>
          <cell r="N50">
            <v>1</v>
          </cell>
          <cell r="O50">
            <v>1</v>
          </cell>
          <cell r="P50">
            <v>1</v>
          </cell>
          <cell r="Q50">
            <v>2</v>
          </cell>
          <cell r="R50" t="str">
            <v>ហឿត ចន្ត្រា (HOEURT CHANTRA)</v>
          </cell>
          <cell r="S50" t="str">
            <v>អតិថិជនទូទៅ (General Customer)</v>
          </cell>
          <cell r="T50">
            <v>4025</v>
          </cell>
          <cell r="V50">
            <v>0</v>
          </cell>
          <cell r="Y50">
            <v>72</v>
          </cell>
          <cell r="Z50">
            <v>0</v>
          </cell>
          <cell r="AA50">
            <v>0</v>
          </cell>
          <cell r="AB50">
            <v>0</v>
          </cell>
          <cell r="AC50">
            <v>72</v>
          </cell>
          <cell r="AD50">
            <v>1</v>
          </cell>
          <cell r="AE50">
            <v>1409</v>
          </cell>
          <cell r="AF50">
            <v>1</v>
          </cell>
          <cell r="AG50">
            <v>3</v>
          </cell>
          <cell r="AH50">
            <v>6</v>
          </cell>
          <cell r="AI50">
            <v>2026</v>
          </cell>
          <cell r="AJ50">
            <v>43</v>
          </cell>
        </row>
        <row r="51">
          <cell r="E51" t="str">
            <v>CI2026-0235</v>
          </cell>
          <cell r="F51">
            <v>46189</v>
          </cell>
          <cell r="G51">
            <v>46226.670694444445</v>
          </cell>
          <cell r="H51">
            <v>1</v>
          </cell>
          <cell r="I51">
            <v>1</v>
          </cell>
          <cell r="J51">
            <v>1</v>
          </cell>
          <cell r="K51">
            <v>2</v>
          </cell>
          <cell r="L51">
            <v>1</v>
          </cell>
          <cell r="M51">
            <v>1</v>
          </cell>
          <cell r="N51">
            <v>1</v>
          </cell>
          <cell r="O51">
            <v>1</v>
          </cell>
          <cell r="P51">
            <v>1</v>
          </cell>
          <cell r="Q51">
            <v>2</v>
          </cell>
          <cell r="R51" t="str">
            <v>ហឿត ចន្ត្រា (HOEURT CHANTRA)</v>
          </cell>
          <cell r="S51" t="str">
            <v>អតិថិជនទូទៅ (General Customer)</v>
          </cell>
          <cell r="T51">
            <v>4025</v>
          </cell>
          <cell r="V51">
            <v>0</v>
          </cell>
          <cell r="Y51">
            <v>47.5</v>
          </cell>
          <cell r="Z51">
            <v>0</v>
          </cell>
          <cell r="AA51">
            <v>0</v>
          </cell>
          <cell r="AB51">
            <v>0</v>
          </cell>
          <cell r="AC51">
            <v>47.5</v>
          </cell>
          <cell r="AD51">
            <v>1</v>
          </cell>
          <cell r="AF51">
            <v>1</v>
          </cell>
          <cell r="AG51">
            <v>3</v>
          </cell>
          <cell r="AH51">
            <v>6</v>
          </cell>
          <cell r="AI51">
            <v>2026</v>
          </cell>
          <cell r="AJ51">
            <v>44</v>
          </cell>
        </row>
        <row r="52">
          <cell r="E52" t="str">
            <v>CI2026-0236</v>
          </cell>
          <cell r="F52">
            <v>46189</v>
          </cell>
          <cell r="G52">
            <v>46226.673831018517</v>
          </cell>
          <cell r="H52">
            <v>1</v>
          </cell>
          <cell r="I52">
            <v>1</v>
          </cell>
          <cell r="J52">
            <v>1</v>
          </cell>
          <cell r="K52">
            <v>2</v>
          </cell>
          <cell r="L52">
            <v>1</v>
          </cell>
          <cell r="M52">
            <v>1</v>
          </cell>
          <cell r="N52">
            <v>1</v>
          </cell>
          <cell r="O52">
            <v>1</v>
          </cell>
          <cell r="P52">
            <v>1</v>
          </cell>
          <cell r="Q52">
            <v>2</v>
          </cell>
          <cell r="R52" t="str">
            <v>ហឿត ចន្ត្រា (HOEURT CHANTRA)</v>
          </cell>
          <cell r="S52" t="str">
            <v>អតិថិជនទូទៅ (General Customer)</v>
          </cell>
          <cell r="T52">
            <v>4025</v>
          </cell>
          <cell r="V52">
            <v>0</v>
          </cell>
          <cell r="Y52">
            <v>44.25</v>
          </cell>
          <cell r="Z52">
            <v>0</v>
          </cell>
          <cell r="AA52">
            <v>0</v>
          </cell>
          <cell r="AB52">
            <v>0</v>
          </cell>
          <cell r="AC52">
            <v>44.25</v>
          </cell>
          <cell r="AD52">
            <v>1</v>
          </cell>
          <cell r="AF52">
            <v>1</v>
          </cell>
          <cell r="AG52">
            <v>3</v>
          </cell>
          <cell r="AH52">
            <v>6</v>
          </cell>
          <cell r="AI52">
            <v>2026</v>
          </cell>
          <cell r="AJ52">
            <v>45</v>
          </cell>
        </row>
        <row r="53">
          <cell r="E53" t="str">
            <v>CI2026-0237</v>
          </cell>
          <cell r="F53">
            <v>46189</v>
          </cell>
          <cell r="G53">
            <v>46226.685115740744</v>
          </cell>
          <cell r="H53">
            <v>1</v>
          </cell>
          <cell r="I53">
            <v>1</v>
          </cell>
          <cell r="J53">
            <v>1</v>
          </cell>
          <cell r="K53">
            <v>2</v>
          </cell>
          <cell r="L53">
            <v>1</v>
          </cell>
          <cell r="M53">
            <v>1</v>
          </cell>
          <cell r="N53">
            <v>1</v>
          </cell>
          <cell r="O53">
            <v>1</v>
          </cell>
          <cell r="P53">
            <v>1</v>
          </cell>
          <cell r="Q53">
            <v>2</v>
          </cell>
          <cell r="R53" t="str">
            <v>ហឿត ចន្ត្រា (HOEURT CHANTRA)</v>
          </cell>
          <cell r="S53" t="str">
            <v>អតិថិជនទូទៅ (General Customer)</v>
          </cell>
          <cell r="T53">
            <v>4025</v>
          </cell>
          <cell r="V53">
            <v>0</v>
          </cell>
          <cell r="Y53">
            <v>120.5</v>
          </cell>
          <cell r="Z53">
            <v>0</v>
          </cell>
          <cell r="AA53">
            <v>0</v>
          </cell>
          <cell r="AB53">
            <v>0</v>
          </cell>
          <cell r="AC53">
            <v>120.5</v>
          </cell>
          <cell r="AD53">
            <v>1</v>
          </cell>
          <cell r="AE53">
            <v>1424</v>
          </cell>
          <cell r="AF53">
            <v>1</v>
          </cell>
          <cell r="AG53">
            <v>3</v>
          </cell>
          <cell r="AH53">
            <v>6</v>
          </cell>
          <cell r="AI53">
            <v>2026</v>
          </cell>
          <cell r="AJ53">
            <v>46</v>
          </cell>
        </row>
        <row r="54">
          <cell r="E54" t="str">
            <v>CI2026-0238</v>
          </cell>
          <cell r="F54">
            <v>46190</v>
          </cell>
          <cell r="G54">
            <v>46226.695104166669</v>
          </cell>
          <cell r="H54">
            <v>1</v>
          </cell>
          <cell r="I54">
            <v>1</v>
          </cell>
          <cell r="J54">
            <v>1</v>
          </cell>
          <cell r="K54">
            <v>2</v>
          </cell>
          <cell r="L54">
            <v>1</v>
          </cell>
          <cell r="M54">
            <v>1</v>
          </cell>
          <cell r="N54">
            <v>1</v>
          </cell>
          <cell r="O54">
            <v>1</v>
          </cell>
          <cell r="P54">
            <v>1</v>
          </cell>
          <cell r="Q54">
            <v>2</v>
          </cell>
          <cell r="R54" t="str">
            <v>ហឿត ចន្ត្រា (HOEURT CHANTRA)</v>
          </cell>
          <cell r="S54" t="str">
            <v>អតិថិជនទូទៅ (General Customer)</v>
          </cell>
          <cell r="T54">
            <v>4024</v>
          </cell>
          <cell r="V54">
            <v>0</v>
          </cell>
          <cell r="Y54">
            <v>101.5</v>
          </cell>
          <cell r="Z54">
            <v>0</v>
          </cell>
          <cell r="AA54">
            <v>0</v>
          </cell>
          <cell r="AB54">
            <v>0</v>
          </cell>
          <cell r="AC54">
            <v>101.5</v>
          </cell>
          <cell r="AD54">
            <v>1</v>
          </cell>
          <cell r="AE54">
            <v>1435</v>
          </cell>
          <cell r="AF54">
            <v>1</v>
          </cell>
          <cell r="AG54">
            <v>3</v>
          </cell>
          <cell r="AH54">
            <v>6</v>
          </cell>
          <cell r="AI54">
            <v>2026</v>
          </cell>
          <cell r="AJ54">
            <v>47</v>
          </cell>
        </row>
        <row r="55">
          <cell r="E55" t="str">
            <v>CI2026-0239</v>
          </cell>
          <cell r="F55">
            <v>46190</v>
          </cell>
          <cell r="G55">
            <v>46226.702476851853</v>
          </cell>
          <cell r="H55">
            <v>1</v>
          </cell>
          <cell r="I55">
            <v>1</v>
          </cell>
          <cell r="J55">
            <v>1</v>
          </cell>
          <cell r="K55">
            <v>2</v>
          </cell>
          <cell r="L55">
            <v>1</v>
          </cell>
          <cell r="M55">
            <v>1</v>
          </cell>
          <cell r="N55">
            <v>1</v>
          </cell>
          <cell r="O55">
            <v>1</v>
          </cell>
          <cell r="P55">
            <v>1</v>
          </cell>
          <cell r="Q55">
            <v>2</v>
          </cell>
          <cell r="R55" t="str">
            <v>ហឿត ចន្ត្រា (HOEURT CHANTRA)</v>
          </cell>
          <cell r="S55" t="str">
            <v>អតិថិជនទូទៅ (General Customer)</v>
          </cell>
          <cell r="T55">
            <v>4024</v>
          </cell>
          <cell r="V55">
            <v>0</v>
          </cell>
          <cell r="Y55">
            <v>99.25</v>
          </cell>
          <cell r="Z55">
            <v>0</v>
          </cell>
          <cell r="AA55">
            <v>0</v>
          </cell>
          <cell r="AB55">
            <v>0</v>
          </cell>
          <cell r="AC55">
            <v>99.25</v>
          </cell>
          <cell r="AD55">
            <v>1</v>
          </cell>
          <cell r="AE55">
            <v>1437</v>
          </cell>
          <cell r="AF55">
            <v>1</v>
          </cell>
          <cell r="AG55">
            <v>3</v>
          </cell>
          <cell r="AH55">
            <v>6</v>
          </cell>
          <cell r="AI55">
            <v>2026</v>
          </cell>
          <cell r="AJ55">
            <v>48</v>
          </cell>
        </row>
        <row r="56">
          <cell r="E56" t="str">
            <v>CI2026-0240</v>
          </cell>
          <cell r="F56">
            <v>46190</v>
          </cell>
          <cell r="G56">
            <v>46226.759652777779</v>
          </cell>
          <cell r="H56">
            <v>1</v>
          </cell>
          <cell r="I56">
            <v>1</v>
          </cell>
          <cell r="J56">
            <v>1</v>
          </cell>
          <cell r="K56">
            <v>2</v>
          </cell>
          <cell r="L56">
            <v>1</v>
          </cell>
          <cell r="M56">
            <v>1</v>
          </cell>
          <cell r="N56">
            <v>1</v>
          </cell>
          <cell r="O56">
            <v>1</v>
          </cell>
          <cell r="P56">
            <v>1</v>
          </cell>
          <cell r="Q56">
            <v>2</v>
          </cell>
          <cell r="R56" t="str">
            <v>ហឿត ចន្ត្រា (HOEURT CHANTRA)</v>
          </cell>
          <cell r="S56" t="str">
            <v>អតិថិជនទូទៅ (General Customer)</v>
          </cell>
          <cell r="T56">
            <v>4024</v>
          </cell>
          <cell r="V56">
            <v>0</v>
          </cell>
          <cell r="Y56">
            <v>13.4</v>
          </cell>
          <cell r="Z56">
            <v>0</v>
          </cell>
          <cell r="AA56">
            <v>0</v>
          </cell>
          <cell r="AB56">
            <v>0</v>
          </cell>
          <cell r="AC56">
            <v>13.4</v>
          </cell>
          <cell r="AD56">
            <v>1</v>
          </cell>
          <cell r="AE56">
            <v>1432</v>
          </cell>
          <cell r="AF56">
            <v>1</v>
          </cell>
          <cell r="AG56">
            <v>3</v>
          </cell>
          <cell r="AH56">
            <v>6</v>
          </cell>
          <cell r="AI56">
            <v>2026</v>
          </cell>
          <cell r="AJ56">
            <v>49</v>
          </cell>
        </row>
        <row r="57">
          <cell r="E57" t="str">
            <v>CI2026-0241</v>
          </cell>
          <cell r="F57">
            <v>46191</v>
          </cell>
          <cell r="G57">
            <v>46226.767488425925</v>
          </cell>
          <cell r="H57">
            <v>1</v>
          </cell>
          <cell r="I57">
            <v>1</v>
          </cell>
          <cell r="J57">
            <v>1</v>
          </cell>
          <cell r="K57">
            <v>2</v>
          </cell>
          <cell r="L57">
            <v>1</v>
          </cell>
          <cell r="M57">
            <v>1</v>
          </cell>
          <cell r="N57">
            <v>1</v>
          </cell>
          <cell r="O57">
            <v>1</v>
          </cell>
          <cell r="P57">
            <v>1</v>
          </cell>
          <cell r="Q57">
            <v>2</v>
          </cell>
          <cell r="R57" t="str">
            <v>ហឿត ចន្ត្រា (HOEURT CHANTRA)</v>
          </cell>
          <cell r="S57" t="str">
            <v>អតិថិជនទូទៅ (General Customer)</v>
          </cell>
          <cell r="T57">
            <v>4024</v>
          </cell>
          <cell r="V57">
            <v>0</v>
          </cell>
          <cell r="Y57">
            <v>71.39</v>
          </cell>
          <cell r="Z57">
            <v>0</v>
          </cell>
          <cell r="AA57">
            <v>0</v>
          </cell>
          <cell r="AB57">
            <v>0</v>
          </cell>
          <cell r="AC57">
            <v>71.39</v>
          </cell>
          <cell r="AD57">
            <v>1</v>
          </cell>
          <cell r="AE57">
            <v>1449</v>
          </cell>
          <cell r="AF57">
            <v>1</v>
          </cell>
          <cell r="AG57">
            <v>3</v>
          </cell>
          <cell r="AH57">
            <v>6</v>
          </cell>
          <cell r="AI57">
            <v>2026</v>
          </cell>
          <cell r="AJ57">
            <v>50</v>
          </cell>
        </row>
        <row r="58">
          <cell r="E58" t="str">
            <v>CI2026-0242</v>
          </cell>
          <cell r="F58">
            <v>46191</v>
          </cell>
          <cell r="G58">
            <v>46226.775509259256</v>
          </cell>
          <cell r="H58">
            <v>1</v>
          </cell>
          <cell r="I58">
            <v>1</v>
          </cell>
          <cell r="J58">
            <v>1</v>
          </cell>
          <cell r="K58">
            <v>2</v>
          </cell>
          <cell r="L58">
            <v>1</v>
          </cell>
          <cell r="M58">
            <v>1</v>
          </cell>
          <cell r="N58">
            <v>1</v>
          </cell>
          <cell r="O58">
            <v>1</v>
          </cell>
          <cell r="P58">
            <v>1</v>
          </cell>
          <cell r="Q58">
            <v>2</v>
          </cell>
          <cell r="R58" t="str">
            <v>ហឿត ចន្ត្រា (HOEURT CHANTRA)</v>
          </cell>
          <cell r="S58" t="str">
            <v>អតិថិជនទូទៅ (General Customer)</v>
          </cell>
          <cell r="T58">
            <v>4024</v>
          </cell>
          <cell r="V58">
            <v>0</v>
          </cell>
          <cell r="Y58">
            <v>47.5</v>
          </cell>
          <cell r="Z58">
            <v>0</v>
          </cell>
          <cell r="AA58">
            <v>0</v>
          </cell>
          <cell r="AB58">
            <v>0</v>
          </cell>
          <cell r="AC58">
            <v>47.5</v>
          </cell>
          <cell r="AD58">
            <v>1</v>
          </cell>
          <cell r="AE58">
            <v>1450</v>
          </cell>
          <cell r="AF58">
            <v>1</v>
          </cell>
          <cell r="AG58">
            <v>3</v>
          </cell>
          <cell r="AH58">
            <v>6</v>
          </cell>
          <cell r="AI58">
            <v>2026</v>
          </cell>
          <cell r="AJ58">
            <v>51</v>
          </cell>
        </row>
        <row r="59">
          <cell r="E59" t="str">
            <v>CI2026-0243</v>
          </cell>
          <cell r="F59">
            <v>46191</v>
          </cell>
          <cell r="G59">
            <v>46226.782534722224</v>
          </cell>
          <cell r="H59">
            <v>1</v>
          </cell>
          <cell r="I59">
            <v>1</v>
          </cell>
          <cell r="J59">
            <v>1</v>
          </cell>
          <cell r="K59">
            <v>2</v>
          </cell>
          <cell r="L59">
            <v>1</v>
          </cell>
          <cell r="M59">
            <v>1</v>
          </cell>
          <cell r="N59">
            <v>1</v>
          </cell>
          <cell r="O59">
            <v>1</v>
          </cell>
          <cell r="P59">
            <v>1</v>
          </cell>
          <cell r="Q59">
            <v>2</v>
          </cell>
          <cell r="R59" t="str">
            <v>ហឿត ចន្ត្រា (HOEURT CHANTRA)</v>
          </cell>
          <cell r="S59" t="str">
            <v>អតិថិជនទូទៅ (General Customer)</v>
          </cell>
          <cell r="T59">
            <v>4024</v>
          </cell>
          <cell r="V59">
            <v>0</v>
          </cell>
          <cell r="Y59">
            <v>101</v>
          </cell>
          <cell r="Z59">
            <v>0</v>
          </cell>
          <cell r="AA59">
            <v>0</v>
          </cell>
          <cell r="AB59">
            <v>0</v>
          </cell>
          <cell r="AC59">
            <v>101</v>
          </cell>
          <cell r="AD59">
            <v>1</v>
          </cell>
          <cell r="AE59">
            <v>1451</v>
          </cell>
          <cell r="AF59">
            <v>1</v>
          </cell>
          <cell r="AG59">
            <v>3</v>
          </cell>
          <cell r="AH59">
            <v>6</v>
          </cell>
          <cell r="AI59">
            <v>2026</v>
          </cell>
          <cell r="AJ59">
            <v>52</v>
          </cell>
        </row>
        <row r="60">
          <cell r="E60" t="str">
            <v>CI2026-0244</v>
          </cell>
          <cell r="F60">
            <v>46192</v>
          </cell>
          <cell r="G60">
            <v>46226.786620370367</v>
          </cell>
          <cell r="H60">
            <v>1</v>
          </cell>
          <cell r="I60">
            <v>1</v>
          </cell>
          <cell r="J60">
            <v>1</v>
          </cell>
          <cell r="K60">
            <v>2</v>
          </cell>
          <cell r="L60">
            <v>1</v>
          </cell>
          <cell r="M60">
            <v>1</v>
          </cell>
          <cell r="N60">
            <v>1</v>
          </cell>
          <cell r="O60">
            <v>1</v>
          </cell>
          <cell r="P60">
            <v>1</v>
          </cell>
          <cell r="Q60">
            <v>2</v>
          </cell>
          <cell r="R60" t="str">
            <v>ហឿត ចន្ត្រា (HOEURT CHANTRA)</v>
          </cell>
          <cell r="S60" t="str">
            <v>អតិថិជនទូទៅ (General Customer)</v>
          </cell>
          <cell r="T60">
            <v>4024</v>
          </cell>
          <cell r="V60">
            <v>0</v>
          </cell>
          <cell r="Y60">
            <v>28.13</v>
          </cell>
          <cell r="Z60">
            <v>0</v>
          </cell>
          <cell r="AA60">
            <v>0</v>
          </cell>
          <cell r="AB60">
            <v>0</v>
          </cell>
          <cell r="AC60">
            <v>28.13</v>
          </cell>
          <cell r="AD60">
            <v>1</v>
          </cell>
          <cell r="AE60">
            <v>1462</v>
          </cell>
          <cell r="AF60">
            <v>1</v>
          </cell>
          <cell r="AG60">
            <v>3</v>
          </cell>
          <cell r="AH60">
            <v>6</v>
          </cell>
          <cell r="AI60">
            <v>2026</v>
          </cell>
          <cell r="AJ60">
            <v>53</v>
          </cell>
        </row>
        <row r="61">
          <cell r="E61" t="str">
            <v>CI2026-0245</v>
          </cell>
          <cell r="F61">
            <v>46192</v>
          </cell>
          <cell r="G61">
            <v>46226.787731481483</v>
          </cell>
          <cell r="H61">
            <v>1</v>
          </cell>
          <cell r="I61">
            <v>1</v>
          </cell>
          <cell r="J61">
            <v>1</v>
          </cell>
          <cell r="K61">
            <v>2</v>
          </cell>
          <cell r="L61">
            <v>1</v>
          </cell>
          <cell r="M61">
            <v>1</v>
          </cell>
          <cell r="N61">
            <v>1</v>
          </cell>
          <cell r="O61">
            <v>1</v>
          </cell>
          <cell r="P61">
            <v>1</v>
          </cell>
          <cell r="Q61">
            <v>2</v>
          </cell>
          <cell r="R61" t="str">
            <v>ហឿត ចន្ត្រា (HOEURT CHANTRA)</v>
          </cell>
          <cell r="S61" t="str">
            <v>អតិថិជនទូទៅ (General Customer)</v>
          </cell>
          <cell r="T61">
            <v>4024</v>
          </cell>
          <cell r="V61">
            <v>0</v>
          </cell>
          <cell r="Y61">
            <v>18</v>
          </cell>
          <cell r="Z61">
            <v>0</v>
          </cell>
          <cell r="AA61">
            <v>0</v>
          </cell>
          <cell r="AB61">
            <v>0</v>
          </cell>
          <cell r="AC61">
            <v>18</v>
          </cell>
          <cell r="AD61">
            <v>1</v>
          </cell>
          <cell r="AE61">
            <v>1464</v>
          </cell>
          <cell r="AF61">
            <v>1</v>
          </cell>
          <cell r="AG61">
            <v>3</v>
          </cell>
          <cell r="AH61">
            <v>6</v>
          </cell>
          <cell r="AI61">
            <v>2026</v>
          </cell>
          <cell r="AJ61">
            <v>54</v>
          </cell>
        </row>
        <row r="62">
          <cell r="E62" t="str">
            <v>CI2026-0246</v>
          </cell>
          <cell r="F62">
            <v>46192</v>
          </cell>
          <cell r="G62">
            <v>46226.809293981481</v>
          </cell>
          <cell r="H62">
            <v>1</v>
          </cell>
          <cell r="I62">
            <v>1</v>
          </cell>
          <cell r="J62">
            <v>1</v>
          </cell>
          <cell r="K62">
            <v>2</v>
          </cell>
          <cell r="L62">
            <v>1</v>
          </cell>
          <cell r="M62">
            <v>1</v>
          </cell>
          <cell r="N62">
            <v>1</v>
          </cell>
          <cell r="O62">
            <v>1</v>
          </cell>
          <cell r="P62">
            <v>1</v>
          </cell>
          <cell r="Q62">
            <v>2</v>
          </cell>
          <cell r="R62" t="str">
            <v>ហឿត ចន្ត្រា (HOEURT CHANTRA)</v>
          </cell>
          <cell r="S62" t="str">
            <v>អតិថិជនទូទៅ (General Customer)</v>
          </cell>
          <cell r="T62">
            <v>4024</v>
          </cell>
          <cell r="V62">
            <v>0</v>
          </cell>
          <cell r="Y62">
            <v>103.5</v>
          </cell>
          <cell r="Z62">
            <v>0</v>
          </cell>
          <cell r="AA62">
            <v>0</v>
          </cell>
          <cell r="AB62">
            <v>0</v>
          </cell>
          <cell r="AC62">
            <v>103.5</v>
          </cell>
          <cell r="AD62">
            <v>1</v>
          </cell>
          <cell r="AE62">
            <v>1469</v>
          </cell>
          <cell r="AF62">
            <v>1</v>
          </cell>
          <cell r="AG62">
            <v>3</v>
          </cell>
          <cell r="AH62">
            <v>6</v>
          </cell>
          <cell r="AI62">
            <v>2026</v>
          </cell>
          <cell r="AJ62">
            <v>55</v>
          </cell>
        </row>
        <row r="63">
          <cell r="E63" t="str">
            <v>CI2026-0247</v>
          </cell>
          <cell r="F63">
            <v>46193</v>
          </cell>
          <cell r="G63">
            <v>46226.811782407407</v>
          </cell>
          <cell r="H63">
            <v>1</v>
          </cell>
          <cell r="I63">
            <v>1</v>
          </cell>
          <cell r="J63">
            <v>1</v>
          </cell>
          <cell r="K63">
            <v>2</v>
          </cell>
          <cell r="L63">
            <v>1</v>
          </cell>
          <cell r="M63">
            <v>1</v>
          </cell>
          <cell r="N63">
            <v>1</v>
          </cell>
          <cell r="O63">
            <v>1</v>
          </cell>
          <cell r="P63">
            <v>1</v>
          </cell>
          <cell r="Q63">
            <v>2</v>
          </cell>
          <cell r="R63" t="str">
            <v>ហឿត ចន្ត្រា (HOEURT CHANTRA)</v>
          </cell>
          <cell r="S63" t="str">
            <v>អតិថិជនទូទៅ (General Customer)</v>
          </cell>
          <cell r="T63">
            <v>4024</v>
          </cell>
          <cell r="V63">
            <v>0</v>
          </cell>
          <cell r="Y63">
            <v>60</v>
          </cell>
          <cell r="Z63">
            <v>0</v>
          </cell>
          <cell r="AA63">
            <v>0</v>
          </cell>
          <cell r="AB63">
            <v>0</v>
          </cell>
          <cell r="AC63">
            <v>60</v>
          </cell>
          <cell r="AD63">
            <v>1</v>
          </cell>
          <cell r="AE63">
            <v>1473</v>
          </cell>
          <cell r="AF63">
            <v>1</v>
          </cell>
          <cell r="AG63">
            <v>3</v>
          </cell>
          <cell r="AH63">
            <v>6</v>
          </cell>
          <cell r="AI63">
            <v>2026</v>
          </cell>
          <cell r="AJ63">
            <v>56</v>
          </cell>
        </row>
        <row r="64">
          <cell r="E64" t="str">
            <v>CI2026-0248</v>
          </cell>
          <cell r="F64">
            <v>46193</v>
          </cell>
          <cell r="G64">
            <v>46226.869756944441</v>
          </cell>
          <cell r="H64">
            <v>1</v>
          </cell>
          <cell r="I64">
            <v>1</v>
          </cell>
          <cell r="J64">
            <v>1</v>
          </cell>
          <cell r="K64">
            <v>2</v>
          </cell>
          <cell r="L64">
            <v>1</v>
          </cell>
          <cell r="M64">
            <v>1</v>
          </cell>
          <cell r="N64">
            <v>1</v>
          </cell>
          <cell r="O64">
            <v>1</v>
          </cell>
          <cell r="P64">
            <v>1</v>
          </cell>
          <cell r="Q64">
            <v>2</v>
          </cell>
          <cell r="R64" t="str">
            <v>ហឿត ចន្ត្រា (HOEURT CHANTRA)</v>
          </cell>
          <cell r="S64" t="str">
            <v>អតិថិជនទូទៅ (General Customer)</v>
          </cell>
          <cell r="T64">
            <v>4024</v>
          </cell>
          <cell r="V64">
            <v>0</v>
          </cell>
          <cell r="Y64">
            <v>64</v>
          </cell>
          <cell r="Z64">
            <v>0</v>
          </cell>
          <cell r="AA64">
            <v>0</v>
          </cell>
          <cell r="AB64">
            <v>0</v>
          </cell>
          <cell r="AC64">
            <v>64</v>
          </cell>
          <cell r="AD64">
            <v>1</v>
          </cell>
          <cell r="AE64">
            <v>1480</v>
          </cell>
          <cell r="AF64">
            <v>1</v>
          </cell>
          <cell r="AG64">
            <v>3</v>
          </cell>
          <cell r="AH64">
            <v>6</v>
          </cell>
          <cell r="AI64">
            <v>2026</v>
          </cell>
          <cell r="AJ64">
            <v>57</v>
          </cell>
        </row>
        <row r="65">
          <cell r="E65" t="str">
            <v>CI2026-0249</v>
          </cell>
          <cell r="F65">
            <v>46193</v>
          </cell>
          <cell r="G65">
            <v>46226.870567129627</v>
          </cell>
          <cell r="H65">
            <v>1</v>
          </cell>
          <cell r="I65">
            <v>1</v>
          </cell>
          <cell r="J65">
            <v>1</v>
          </cell>
          <cell r="K65">
            <v>2</v>
          </cell>
          <cell r="L65">
            <v>1</v>
          </cell>
          <cell r="M65">
            <v>1</v>
          </cell>
          <cell r="N65">
            <v>1</v>
          </cell>
          <cell r="O65">
            <v>1</v>
          </cell>
          <cell r="P65">
            <v>1</v>
          </cell>
          <cell r="Q65">
            <v>2</v>
          </cell>
          <cell r="R65" t="str">
            <v>ហឿត ចន្ត្រា (HOEURT CHANTRA)</v>
          </cell>
          <cell r="S65" t="str">
            <v>អតិថិជនទូទៅ (General Customer)</v>
          </cell>
          <cell r="T65">
            <v>4024</v>
          </cell>
          <cell r="V65">
            <v>0</v>
          </cell>
          <cell r="Y65">
            <v>45</v>
          </cell>
          <cell r="Z65">
            <v>0</v>
          </cell>
          <cell r="AA65">
            <v>0</v>
          </cell>
          <cell r="AB65">
            <v>0</v>
          </cell>
          <cell r="AC65">
            <v>45</v>
          </cell>
          <cell r="AD65">
            <v>1</v>
          </cell>
          <cell r="AE65">
            <v>1481</v>
          </cell>
          <cell r="AF65">
            <v>1</v>
          </cell>
          <cell r="AG65">
            <v>3</v>
          </cell>
          <cell r="AH65">
            <v>6</v>
          </cell>
          <cell r="AI65">
            <v>2026</v>
          </cell>
          <cell r="AJ65">
            <v>58</v>
          </cell>
        </row>
        <row r="66">
          <cell r="E66" t="str">
            <v>CI2026-0250</v>
          </cell>
          <cell r="F66">
            <v>46194</v>
          </cell>
          <cell r="G66">
            <v>46226.878495370373</v>
          </cell>
          <cell r="H66">
            <v>1</v>
          </cell>
          <cell r="I66">
            <v>1</v>
          </cell>
          <cell r="J66">
            <v>1</v>
          </cell>
          <cell r="K66">
            <v>2</v>
          </cell>
          <cell r="L66">
            <v>1</v>
          </cell>
          <cell r="M66">
            <v>1</v>
          </cell>
          <cell r="N66">
            <v>1</v>
          </cell>
          <cell r="O66">
            <v>1</v>
          </cell>
          <cell r="P66">
            <v>1</v>
          </cell>
          <cell r="Q66">
            <v>2</v>
          </cell>
          <cell r="R66" t="str">
            <v>ហឿត ចន្ត្រា (HOEURT CHANTRA)</v>
          </cell>
          <cell r="S66" t="str">
            <v>អតិថិជនទូទៅ (General Customer)</v>
          </cell>
          <cell r="T66">
            <v>4024</v>
          </cell>
          <cell r="V66">
            <v>0</v>
          </cell>
          <cell r="Y66">
            <v>50.8</v>
          </cell>
          <cell r="Z66">
            <v>0</v>
          </cell>
          <cell r="AA66">
            <v>0</v>
          </cell>
          <cell r="AB66">
            <v>0</v>
          </cell>
          <cell r="AC66">
            <v>50.8</v>
          </cell>
          <cell r="AD66">
            <v>1</v>
          </cell>
          <cell r="AE66">
            <v>1485</v>
          </cell>
          <cell r="AF66">
            <v>1</v>
          </cell>
          <cell r="AG66">
            <v>3</v>
          </cell>
          <cell r="AH66">
            <v>6</v>
          </cell>
          <cell r="AI66">
            <v>2026</v>
          </cell>
          <cell r="AJ66">
            <v>59</v>
          </cell>
        </row>
        <row r="67">
          <cell r="E67" t="str">
            <v>CI2026-0251</v>
          </cell>
          <cell r="F67">
            <v>46194</v>
          </cell>
          <cell r="G67">
            <v>46226.879999999997</v>
          </cell>
          <cell r="H67">
            <v>1</v>
          </cell>
          <cell r="I67">
            <v>1</v>
          </cell>
          <cell r="J67">
            <v>1</v>
          </cell>
          <cell r="K67">
            <v>2</v>
          </cell>
          <cell r="L67">
            <v>1</v>
          </cell>
          <cell r="M67">
            <v>1</v>
          </cell>
          <cell r="N67">
            <v>1</v>
          </cell>
          <cell r="O67">
            <v>1</v>
          </cell>
          <cell r="P67">
            <v>1</v>
          </cell>
          <cell r="Q67">
            <v>2</v>
          </cell>
          <cell r="R67" t="str">
            <v>ហឿត ចន្ត្រា (HOEURT CHANTRA)</v>
          </cell>
          <cell r="S67" t="str">
            <v>អតិថិជនទូទៅ (General Customer)</v>
          </cell>
          <cell r="T67">
            <v>4024</v>
          </cell>
          <cell r="V67">
            <v>0</v>
          </cell>
          <cell r="Y67">
            <v>39</v>
          </cell>
          <cell r="Z67">
            <v>0</v>
          </cell>
          <cell r="AA67">
            <v>0</v>
          </cell>
          <cell r="AB67">
            <v>0</v>
          </cell>
          <cell r="AC67">
            <v>39</v>
          </cell>
          <cell r="AD67">
            <v>1</v>
          </cell>
          <cell r="AE67">
            <v>1491</v>
          </cell>
          <cell r="AF67">
            <v>1</v>
          </cell>
          <cell r="AG67">
            <v>3</v>
          </cell>
          <cell r="AH67">
            <v>6</v>
          </cell>
          <cell r="AI67">
            <v>2026</v>
          </cell>
          <cell r="AJ67">
            <v>60</v>
          </cell>
        </row>
        <row r="68">
          <cell r="E68" t="str">
            <v>CI2026-0252</v>
          </cell>
          <cell r="F68">
            <v>46194</v>
          </cell>
          <cell r="G68">
            <v>46226.885972222219</v>
          </cell>
          <cell r="H68">
            <v>1</v>
          </cell>
          <cell r="I68">
            <v>1</v>
          </cell>
          <cell r="J68">
            <v>1</v>
          </cell>
          <cell r="K68">
            <v>2</v>
          </cell>
          <cell r="L68">
            <v>1</v>
          </cell>
          <cell r="M68">
            <v>1</v>
          </cell>
          <cell r="N68">
            <v>1</v>
          </cell>
          <cell r="O68">
            <v>1</v>
          </cell>
          <cell r="P68">
            <v>1</v>
          </cell>
          <cell r="Q68">
            <v>2</v>
          </cell>
          <cell r="R68" t="str">
            <v>ហឿត ចន្ត្រា (HOEURT CHANTRA)</v>
          </cell>
          <cell r="S68" t="str">
            <v>អតិថិជនទូទៅ (General Customer)</v>
          </cell>
          <cell r="T68">
            <v>4024</v>
          </cell>
          <cell r="V68">
            <v>0</v>
          </cell>
          <cell r="Y68">
            <v>51.5</v>
          </cell>
          <cell r="Z68">
            <v>0</v>
          </cell>
          <cell r="AA68">
            <v>0</v>
          </cell>
          <cell r="AB68">
            <v>0</v>
          </cell>
          <cell r="AC68">
            <v>51.5</v>
          </cell>
          <cell r="AD68">
            <v>1</v>
          </cell>
          <cell r="AE68">
            <v>1495</v>
          </cell>
          <cell r="AF68">
            <v>1</v>
          </cell>
          <cell r="AG68">
            <v>3</v>
          </cell>
          <cell r="AH68">
            <v>6</v>
          </cell>
          <cell r="AI68">
            <v>2026</v>
          </cell>
          <cell r="AJ68">
            <v>61</v>
          </cell>
        </row>
        <row r="69">
          <cell r="E69" t="str">
            <v>CI2026-0253</v>
          </cell>
          <cell r="F69">
            <v>46195</v>
          </cell>
          <cell r="G69">
            <v>46226.899259259262</v>
          </cell>
          <cell r="H69">
            <v>1</v>
          </cell>
          <cell r="I69">
            <v>1</v>
          </cell>
          <cell r="J69">
            <v>1</v>
          </cell>
          <cell r="K69">
            <v>2</v>
          </cell>
          <cell r="L69">
            <v>1</v>
          </cell>
          <cell r="M69">
            <v>1</v>
          </cell>
          <cell r="N69">
            <v>1</v>
          </cell>
          <cell r="O69">
            <v>1</v>
          </cell>
          <cell r="P69">
            <v>1</v>
          </cell>
          <cell r="Q69">
            <v>2</v>
          </cell>
          <cell r="R69" t="str">
            <v>ហឿត ចន្ត្រា (HOEURT CHANTRA)</v>
          </cell>
          <cell r="S69" t="str">
            <v>អតិថិជនទូទៅ (General Customer)</v>
          </cell>
          <cell r="T69">
            <v>4024</v>
          </cell>
          <cell r="V69">
            <v>0</v>
          </cell>
          <cell r="Y69">
            <v>71.25</v>
          </cell>
          <cell r="Z69">
            <v>0</v>
          </cell>
          <cell r="AA69">
            <v>0</v>
          </cell>
          <cell r="AB69">
            <v>0</v>
          </cell>
          <cell r="AC69">
            <v>71.25</v>
          </cell>
          <cell r="AD69">
            <v>1</v>
          </cell>
          <cell r="AE69">
            <v>7</v>
          </cell>
          <cell r="AF69">
            <v>1</v>
          </cell>
          <cell r="AG69">
            <v>4</v>
          </cell>
          <cell r="AH69">
            <v>6</v>
          </cell>
          <cell r="AI69">
            <v>2026</v>
          </cell>
          <cell r="AJ69">
            <v>62</v>
          </cell>
        </row>
        <row r="70">
          <cell r="E70" t="str">
            <v>CI2026-0254</v>
          </cell>
          <cell r="F70">
            <v>46195</v>
          </cell>
          <cell r="G70">
            <v>46226.902592592596</v>
          </cell>
          <cell r="H70">
            <v>1</v>
          </cell>
          <cell r="I70">
            <v>1</v>
          </cell>
          <cell r="J70">
            <v>1</v>
          </cell>
          <cell r="K70">
            <v>2</v>
          </cell>
          <cell r="L70">
            <v>1</v>
          </cell>
          <cell r="M70">
            <v>1</v>
          </cell>
          <cell r="N70">
            <v>1</v>
          </cell>
          <cell r="O70">
            <v>1</v>
          </cell>
          <cell r="P70">
            <v>1</v>
          </cell>
          <cell r="Q70">
            <v>2</v>
          </cell>
          <cell r="R70" t="str">
            <v>ហឿត ចន្ត្រា (HOEURT CHANTRA)</v>
          </cell>
          <cell r="S70" t="str">
            <v>អតិថិជនទូទៅ (General Customer)</v>
          </cell>
          <cell r="T70">
            <v>4024</v>
          </cell>
          <cell r="V70">
            <v>0</v>
          </cell>
          <cell r="Y70">
            <v>35.25</v>
          </cell>
          <cell r="Z70">
            <v>0</v>
          </cell>
          <cell r="AA70">
            <v>0</v>
          </cell>
          <cell r="AB70">
            <v>0</v>
          </cell>
          <cell r="AC70">
            <v>35.25</v>
          </cell>
          <cell r="AD70">
            <v>1</v>
          </cell>
          <cell r="AE70">
            <v>13</v>
          </cell>
          <cell r="AF70">
            <v>1</v>
          </cell>
          <cell r="AG70">
            <v>4</v>
          </cell>
          <cell r="AH70">
            <v>6</v>
          </cell>
          <cell r="AI70">
            <v>2026</v>
          </cell>
          <cell r="AJ70">
            <v>63</v>
          </cell>
        </row>
        <row r="71">
          <cell r="E71" t="str">
            <v>CI2026-0255</v>
          </cell>
          <cell r="F71">
            <v>46195</v>
          </cell>
          <cell r="G71">
            <v>46226.922083333331</v>
          </cell>
          <cell r="H71">
            <v>1</v>
          </cell>
          <cell r="I71">
            <v>1</v>
          </cell>
          <cell r="J71">
            <v>1</v>
          </cell>
          <cell r="K71">
            <v>2</v>
          </cell>
          <cell r="L71">
            <v>1</v>
          </cell>
          <cell r="M71">
            <v>1</v>
          </cell>
          <cell r="N71">
            <v>1</v>
          </cell>
          <cell r="O71">
            <v>1</v>
          </cell>
          <cell r="P71">
            <v>1</v>
          </cell>
          <cell r="Q71">
            <v>2</v>
          </cell>
          <cell r="R71" t="str">
            <v>ហឿត ចន្ត្រា (HOEURT CHANTRA)</v>
          </cell>
          <cell r="S71" t="str">
            <v>អតិថិជនទូទៅ (General Customer)</v>
          </cell>
          <cell r="T71">
            <v>4024</v>
          </cell>
          <cell r="V71">
            <v>0</v>
          </cell>
          <cell r="Y71">
            <v>51.25</v>
          </cell>
          <cell r="Z71">
            <v>0</v>
          </cell>
          <cell r="AA71">
            <v>0</v>
          </cell>
          <cell r="AB71">
            <v>0</v>
          </cell>
          <cell r="AC71">
            <v>51.25</v>
          </cell>
          <cell r="AD71">
            <v>1</v>
          </cell>
          <cell r="AE71">
            <v>17</v>
          </cell>
          <cell r="AF71">
            <v>1</v>
          </cell>
          <cell r="AG71">
            <v>4</v>
          </cell>
          <cell r="AH71">
            <v>6</v>
          </cell>
          <cell r="AI71">
            <v>2026</v>
          </cell>
          <cell r="AJ71">
            <v>64</v>
          </cell>
        </row>
        <row r="72">
          <cell r="E72" t="str">
            <v>CI2026-0256</v>
          </cell>
          <cell r="F72">
            <v>46195</v>
          </cell>
          <cell r="G72">
            <v>46226.923055555555</v>
          </cell>
          <cell r="H72">
            <v>1</v>
          </cell>
          <cell r="I72">
            <v>1</v>
          </cell>
          <cell r="J72">
            <v>1</v>
          </cell>
          <cell r="K72">
            <v>2</v>
          </cell>
          <cell r="L72">
            <v>1</v>
          </cell>
          <cell r="M72">
            <v>1</v>
          </cell>
          <cell r="N72">
            <v>1</v>
          </cell>
          <cell r="O72">
            <v>1</v>
          </cell>
          <cell r="P72">
            <v>1</v>
          </cell>
          <cell r="Q72">
            <v>2</v>
          </cell>
          <cell r="R72" t="str">
            <v>ហឿត ចន្ត្រា (HOEURT CHANTRA)</v>
          </cell>
          <cell r="S72" t="str">
            <v>អតិថិជនទូទៅ (General Customer)</v>
          </cell>
          <cell r="T72">
            <v>4024</v>
          </cell>
          <cell r="V72">
            <v>0</v>
          </cell>
          <cell r="Y72">
            <v>45</v>
          </cell>
          <cell r="Z72">
            <v>0</v>
          </cell>
          <cell r="AA72">
            <v>0</v>
          </cell>
          <cell r="AB72">
            <v>0</v>
          </cell>
          <cell r="AC72">
            <v>45</v>
          </cell>
          <cell r="AD72">
            <v>1</v>
          </cell>
          <cell r="AE72">
            <v>21</v>
          </cell>
          <cell r="AF72">
            <v>1</v>
          </cell>
          <cell r="AG72">
            <v>4</v>
          </cell>
          <cell r="AH72">
            <v>6</v>
          </cell>
          <cell r="AI72">
            <v>2026</v>
          </cell>
          <cell r="AJ72">
            <v>65</v>
          </cell>
        </row>
        <row r="73">
          <cell r="E73" t="str">
            <v>CI2026-0257</v>
          </cell>
          <cell r="F73">
            <v>46196</v>
          </cell>
          <cell r="G73">
            <v>46226.932488425926</v>
          </cell>
          <cell r="H73">
            <v>1</v>
          </cell>
          <cell r="I73">
            <v>1</v>
          </cell>
          <cell r="J73">
            <v>1</v>
          </cell>
          <cell r="K73">
            <v>2</v>
          </cell>
          <cell r="L73">
            <v>1</v>
          </cell>
          <cell r="M73">
            <v>1</v>
          </cell>
          <cell r="N73">
            <v>1</v>
          </cell>
          <cell r="O73">
            <v>1</v>
          </cell>
          <cell r="P73">
            <v>1</v>
          </cell>
          <cell r="Q73">
            <v>2</v>
          </cell>
          <cell r="R73" t="str">
            <v>ហឿត ចន្ត្រា (HOEURT CHANTRA)</v>
          </cell>
          <cell r="S73" t="str">
            <v>អតិថិជនទូទៅ (General Customer)</v>
          </cell>
          <cell r="T73">
            <v>4024</v>
          </cell>
          <cell r="V73">
            <v>0</v>
          </cell>
          <cell r="Y73">
            <v>63.75</v>
          </cell>
          <cell r="Z73">
            <v>0</v>
          </cell>
          <cell r="AA73">
            <v>0</v>
          </cell>
          <cell r="AB73">
            <v>0</v>
          </cell>
          <cell r="AC73">
            <v>63.75</v>
          </cell>
          <cell r="AD73">
            <v>1</v>
          </cell>
          <cell r="AE73">
            <v>26</v>
          </cell>
          <cell r="AF73">
            <v>1</v>
          </cell>
          <cell r="AG73">
            <v>4</v>
          </cell>
          <cell r="AH73">
            <v>6</v>
          </cell>
          <cell r="AI73">
            <v>2026</v>
          </cell>
          <cell r="AJ73">
            <v>66</v>
          </cell>
        </row>
        <row r="74">
          <cell r="E74" t="str">
            <v>CI2026-0258</v>
          </cell>
          <cell r="F74">
            <v>46196</v>
          </cell>
          <cell r="G74">
            <v>46226.942037037035</v>
          </cell>
          <cell r="H74">
            <v>1</v>
          </cell>
          <cell r="I74">
            <v>1</v>
          </cell>
          <cell r="J74">
            <v>1</v>
          </cell>
          <cell r="K74">
            <v>2</v>
          </cell>
          <cell r="L74">
            <v>1</v>
          </cell>
          <cell r="M74">
            <v>1</v>
          </cell>
          <cell r="N74">
            <v>1</v>
          </cell>
          <cell r="O74">
            <v>1</v>
          </cell>
          <cell r="P74">
            <v>1</v>
          </cell>
          <cell r="Q74">
            <v>2</v>
          </cell>
          <cell r="R74" t="str">
            <v>ហឿត ចន្ត្រា (HOEURT CHANTRA)</v>
          </cell>
          <cell r="S74" t="str">
            <v>អតិថិជនទូទៅ (General Customer)</v>
          </cell>
          <cell r="T74">
            <v>4024</v>
          </cell>
          <cell r="V74">
            <v>0</v>
          </cell>
          <cell r="Y74">
            <v>116</v>
          </cell>
          <cell r="Z74">
            <v>0</v>
          </cell>
          <cell r="AA74">
            <v>0</v>
          </cell>
          <cell r="AB74">
            <v>0</v>
          </cell>
          <cell r="AC74">
            <v>116</v>
          </cell>
          <cell r="AD74">
            <v>1</v>
          </cell>
          <cell r="AE74">
            <v>27</v>
          </cell>
          <cell r="AF74">
            <v>1</v>
          </cell>
          <cell r="AG74">
            <v>4</v>
          </cell>
          <cell r="AH74">
            <v>6</v>
          </cell>
          <cell r="AI74">
            <v>2026</v>
          </cell>
          <cell r="AJ74">
            <v>67</v>
          </cell>
        </row>
        <row r="75">
          <cell r="E75" t="str">
            <v>CI2026-0259</v>
          </cell>
          <cell r="F75">
            <v>46196</v>
          </cell>
          <cell r="G75">
            <v>46226.947048611109</v>
          </cell>
          <cell r="H75">
            <v>1</v>
          </cell>
          <cell r="I75">
            <v>1</v>
          </cell>
          <cell r="J75">
            <v>1</v>
          </cell>
          <cell r="K75">
            <v>2</v>
          </cell>
          <cell r="L75">
            <v>1</v>
          </cell>
          <cell r="M75">
            <v>1</v>
          </cell>
          <cell r="N75">
            <v>1</v>
          </cell>
          <cell r="O75">
            <v>1</v>
          </cell>
          <cell r="P75">
            <v>1</v>
          </cell>
          <cell r="Q75">
            <v>2</v>
          </cell>
          <cell r="R75" t="str">
            <v>ហឿត ចន្ត្រា (HOEURT CHANTRA)</v>
          </cell>
          <cell r="S75" t="str">
            <v>អតិថិជនទូទៅ (General Customer)</v>
          </cell>
          <cell r="T75">
            <v>4024</v>
          </cell>
          <cell r="V75">
            <v>0</v>
          </cell>
          <cell r="Y75">
            <v>60</v>
          </cell>
          <cell r="Z75">
            <v>0</v>
          </cell>
          <cell r="AA75">
            <v>0</v>
          </cell>
          <cell r="AB75">
            <v>0</v>
          </cell>
          <cell r="AC75">
            <v>60</v>
          </cell>
          <cell r="AD75">
            <v>1</v>
          </cell>
          <cell r="AE75">
            <v>29</v>
          </cell>
          <cell r="AF75">
            <v>1</v>
          </cell>
          <cell r="AG75">
            <v>4</v>
          </cell>
          <cell r="AH75">
            <v>6</v>
          </cell>
          <cell r="AI75">
            <v>2026</v>
          </cell>
          <cell r="AJ75">
            <v>68</v>
          </cell>
        </row>
        <row r="76">
          <cell r="E76" t="str">
            <v>CI2026-0260</v>
          </cell>
          <cell r="F76">
            <v>46197</v>
          </cell>
          <cell r="G76">
            <v>46226.956666666665</v>
          </cell>
          <cell r="H76">
            <v>1</v>
          </cell>
          <cell r="I76">
            <v>1</v>
          </cell>
          <cell r="J76">
            <v>1</v>
          </cell>
          <cell r="K76">
            <v>2</v>
          </cell>
          <cell r="L76">
            <v>1</v>
          </cell>
          <cell r="M76">
            <v>1</v>
          </cell>
          <cell r="N76">
            <v>1</v>
          </cell>
          <cell r="O76">
            <v>1</v>
          </cell>
          <cell r="P76">
            <v>1</v>
          </cell>
          <cell r="Q76">
            <v>2</v>
          </cell>
          <cell r="R76" t="str">
            <v>ហឿត ចន្ត្រា (HOEURT CHANTRA)</v>
          </cell>
          <cell r="S76" t="str">
            <v>អតិថិជនទូទៅ (General Customer)</v>
          </cell>
          <cell r="T76">
            <v>4024</v>
          </cell>
          <cell r="V76">
            <v>0</v>
          </cell>
          <cell r="Y76">
            <v>16.5</v>
          </cell>
          <cell r="Z76">
            <v>0</v>
          </cell>
          <cell r="AA76">
            <v>0</v>
          </cell>
          <cell r="AB76">
            <v>0</v>
          </cell>
          <cell r="AC76">
            <v>16.5</v>
          </cell>
          <cell r="AD76">
            <v>1</v>
          </cell>
          <cell r="AE76">
            <v>33</v>
          </cell>
          <cell r="AF76">
            <v>1</v>
          </cell>
          <cell r="AG76">
            <v>4</v>
          </cell>
          <cell r="AH76">
            <v>6</v>
          </cell>
          <cell r="AI76">
            <v>2026</v>
          </cell>
          <cell r="AJ76">
            <v>69</v>
          </cell>
        </row>
        <row r="77">
          <cell r="E77" t="str">
            <v>CI2026-0261</v>
          </cell>
          <cell r="F77">
            <v>46197</v>
          </cell>
          <cell r="G77">
            <v>46226.960601851853</v>
          </cell>
          <cell r="H77">
            <v>1</v>
          </cell>
          <cell r="I77">
            <v>1</v>
          </cell>
          <cell r="J77">
            <v>1</v>
          </cell>
          <cell r="K77">
            <v>2</v>
          </cell>
          <cell r="L77">
            <v>1</v>
          </cell>
          <cell r="M77">
            <v>1</v>
          </cell>
          <cell r="N77">
            <v>1</v>
          </cell>
          <cell r="O77">
            <v>1</v>
          </cell>
          <cell r="P77">
            <v>1</v>
          </cell>
          <cell r="Q77">
            <v>2</v>
          </cell>
          <cell r="R77" t="str">
            <v>ហឿត ចន្ត្រា (HOEURT CHANTRA)</v>
          </cell>
          <cell r="S77" t="str">
            <v>អតិថិជនទូទៅ (General Customer)</v>
          </cell>
          <cell r="T77">
            <v>4024</v>
          </cell>
          <cell r="V77">
            <v>0</v>
          </cell>
          <cell r="Y77">
            <v>60.25</v>
          </cell>
          <cell r="Z77">
            <v>0</v>
          </cell>
          <cell r="AA77">
            <v>0</v>
          </cell>
          <cell r="AB77">
            <v>0</v>
          </cell>
          <cell r="AC77">
            <v>60.25</v>
          </cell>
          <cell r="AD77">
            <v>1</v>
          </cell>
          <cell r="AE77">
            <v>39</v>
          </cell>
          <cell r="AF77">
            <v>1</v>
          </cell>
          <cell r="AG77">
            <v>4</v>
          </cell>
          <cell r="AH77">
            <v>6</v>
          </cell>
          <cell r="AI77">
            <v>2026</v>
          </cell>
          <cell r="AJ77">
            <v>70</v>
          </cell>
        </row>
        <row r="78">
          <cell r="E78" t="str">
            <v>CI2026-0262</v>
          </cell>
          <cell r="F78">
            <v>46197</v>
          </cell>
          <cell r="G78">
            <v>46226.967905092592</v>
          </cell>
          <cell r="H78">
            <v>1</v>
          </cell>
          <cell r="I78">
            <v>1</v>
          </cell>
          <cell r="J78">
            <v>1</v>
          </cell>
          <cell r="K78">
            <v>2</v>
          </cell>
          <cell r="L78">
            <v>1</v>
          </cell>
          <cell r="M78">
            <v>1</v>
          </cell>
          <cell r="N78">
            <v>1</v>
          </cell>
          <cell r="O78">
            <v>1</v>
          </cell>
          <cell r="P78">
            <v>1</v>
          </cell>
          <cell r="Q78">
            <v>2</v>
          </cell>
          <cell r="R78" t="str">
            <v>ហឿត ចន្ត្រា (HOEURT CHANTRA)</v>
          </cell>
          <cell r="S78" t="str">
            <v>អតិថិជនទូទៅ (General Customer)</v>
          </cell>
          <cell r="T78">
            <v>4024</v>
          </cell>
          <cell r="V78">
            <v>0</v>
          </cell>
          <cell r="Y78">
            <v>81.75</v>
          </cell>
          <cell r="Z78">
            <v>0</v>
          </cell>
          <cell r="AA78">
            <v>0</v>
          </cell>
          <cell r="AB78">
            <v>0</v>
          </cell>
          <cell r="AC78">
            <v>81.75</v>
          </cell>
          <cell r="AD78">
            <v>1</v>
          </cell>
          <cell r="AE78">
            <v>41</v>
          </cell>
          <cell r="AF78">
            <v>1</v>
          </cell>
          <cell r="AG78">
            <v>4</v>
          </cell>
          <cell r="AH78">
            <v>6</v>
          </cell>
          <cell r="AI78">
            <v>2026</v>
          </cell>
          <cell r="AJ78">
            <v>71</v>
          </cell>
        </row>
        <row r="79">
          <cell r="E79" t="str">
            <v>CI2026-0263</v>
          </cell>
          <cell r="F79">
            <v>46197</v>
          </cell>
          <cell r="G79">
            <v>46226.975428240738</v>
          </cell>
          <cell r="H79">
            <v>1</v>
          </cell>
          <cell r="I79">
            <v>1</v>
          </cell>
          <cell r="J79">
            <v>1</v>
          </cell>
          <cell r="K79">
            <v>2</v>
          </cell>
          <cell r="L79">
            <v>1</v>
          </cell>
          <cell r="M79">
            <v>1</v>
          </cell>
          <cell r="N79">
            <v>1</v>
          </cell>
          <cell r="O79">
            <v>1</v>
          </cell>
          <cell r="P79">
            <v>1</v>
          </cell>
          <cell r="Q79">
            <v>2</v>
          </cell>
          <cell r="R79" t="str">
            <v>ហឿត ចន្ត្រា (HOEURT CHANTRA)</v>
          </cell>
          <cell r="S79" t="str">
            <v>អតិថិជនទូទៅ (General Customer)</v>
          </cell>
          <cell r="T79">
            <v>4024</v>
          </cell>
          <cell r="V79">
            <v>0</v>
          </cell>
          <cell r="Y79">
            <v>89.25</v>
          </cell>
          <cell r="Z79">
            <v>0</v>
          </cell>
          <cell r="AA79">
            <v>0</v>
          </cell>
          <cell r="AB79">
            <v>0</v>
          </cell>
          <cell r="AC79">
            <v>89.25</v>
          </cell>
          <cell r="AD79">
            <v>1</v>
          </cell>
          <cell r="AE79">
            <v>51</v>
          </cell>
          <cell r="AF79">
            <v>1</v>
          </cell>
          <cell r="AG79">
            <v>4</v>
          </cell>
          <cell r="AH79">
            <v>6</v>
          </cell>
          <cell r="AI79">
            <v>2026</v>
          </cell>
          <cell r="AJ79">
            <v>72</v>
          </cell>
        </row>
        <row r="80">
          <cell r="E80" t="str">
            <v>CI2026-0264</v>
          </cell>
          <cell r="F80">
            <v>46198</v>
          </cell>
          <cell r="G80">
            <v>46226.983715277776</v>
          </cell>
          <cell r="H80">
            <v>1</v>
          </cell>
          <cell r="I80">
            <v>1</v>
          </cell>
          <cell r="J80">
            <v>1</v>
          </cell>
          <cell r="K80">
            <v>2</v>
          </cell>
          <cell r="L80">
            <v>1</v>
          </cell>
          <cell r="M80">
            <v>1</v>
          </cell>
          <cell r="N80">
            <v>1</v>
          </cell>
          <cell r="O80">
            <v>1</v>
          </cell>
          <cell r="P80">
            <v>1</v>
          </cell>
          <cell r="Q80">
            <v>2</v>
          </cell>
          <cell r="R80" t="str">
            <v>ហឿត ចន្ត្រា (HOEURT CHANTRA)</v>
          </cell>
          <cell r="S80" t="str">
            <v>អតិថិជនទូទៅ (General Customer)</v>
          </cell>
          <cell r="T80">
            <v>4024</v>
          </cell>
          <cell r="V80">
            <v>0</v>
          </cell>
          <cell r="Y80">
            <v>62.5</v>
          </cell>
          <cell r="Z80">
            <v>0</v>
          </cell>
          <cell r="AA80">
            <v>0</v>
          </cell>
          <cell r="AB80">
            <v>0</v>
          </cell>
          <cell r="AC80">
            <v>62.5</v>
          </cell>
          <cell r="AD80">
            <v>1</v>
          </cell>
          <cell r="AE80">
            <v>56</v>
          </cell>
          <cell r="AF80">
            <v>1</v>
          </cell>
          <cell r="AG80">
            <v>4</v>
          </cell>
          <cell r="AH80">
            <v>6</v>
          </cell>
          <cell r="AI80">
            <v>2026</v>
          </cell>
          <cell r="AJ80">
            <v>73</v>
          </cell>
        </row>
        <row r="81">
          <cell r="E81" t="str">
            <v>CI2026-0265</v>
          </cell>
          <cell r="F81">
            <v>46198</v>
          </cell>
          <cell r="G81">
            <v>46227.027627314812</v>
          </cell>
          <cell r="H81">
            <v>1</v>
          </cell>
          <cell r="I81">
            <v>1</v>
          </cell>
          <cell r="J81">
            <v>1</v>
          </cell>
          <cell r="K81">
            <v>2</v>
          </cell>
          <cell r="L81">
            <v>1</v>
          </cell>
          <cell r="M81">
            <v>1</v>
          </cell>
          <cell r="N81">
            <v>1</v>
          </cell>
          <cell r="O81">
            <v>1</v>
          </cell>
          <cell r="P81">
            <v>1</v>
          </cell>
          <cell r="Q81">
            <v>2</v>
          </cell>
          <cell r="R81" t="str">
            <v>ហឿត ចន្ត្រា (HOEURT CHANTRA)</v>
          </cell>
          <cell r="S81" t="str">
            <v>អតិថិជនទូទៅ (General Customer)</v>
          </cell>
          <cell r="T81">
            <v>4024</v>
          </cell>
          <cell r="V81">
            <v>0</v>
          </cell>
          <cell r="Y81">
            <v>59.58</v>
          </cell>
          <cell r="Z81">
            <v>0</v>
          </cell>
          <cell r="AA81">
            <v>0</v>
          </cell>
          <cell r="AB81">
            <v>0</v>
          </cell>
          <cell r="AC81">
            <v>59.58</v>
          </cell>
          <cell r="AD81">
            <v>1</v>
          </cell>
          <cell r="AE81">
            <v>59</v>
          </cell>
          <cell r="AF81">
            <v>1</v>
          </cell>
          <cell r="AG81">
            <v>4</v>
          </cell>
          <cell r="AH81">
            <v>6</v>
          </cell>
          <cell r="AI81">
            <v>2026</v>
          </cell>
          <cell r="AJ81">
            <v>74</v>
          </cell>
        </row>
        <row r="82">
          <cell r="E82" t="str">
            <v>CI2026-0266</v>
          </cell>
          <cell r="F82">
            <v>46198</v>
          </cell>
          <cell r="G82">
            <v>46227.038923611108</v>
          </cell>
          <cell r="H82">
            <v>1</v>
          </cell>
          <cell r="I82">
            <v>1</v>
          </cell>
          <cell r="J82">
            <v>1</v>
          </cell>
          <cell r="K82">
            <v>2</v>
          </cell>
          <cell r="L82">
            <v>1</v>
          </cell>
          <cell r="M82">
            <v>1</v>
          </cell>
          <cell r="N82">
            <v>1</v>
          </cell>
          <cell r="O82">
            <v>1</v>
          </cell>
          <cell r="P82">
            <v>1</v>
          </cell>
          <cell r="Q82">
            <v>2</v>
          </cell>
          <cell r="R82" t="str">
            <v>ហឿត ចន្ត្រា (HOEURT CHANTRA)</v>
          </cell>
          <cell r="S82" t="str">
            <v>អតិថិជនទូទៅ (General Customer)</v>
          </cell>
          <cell r="T82">
            <v>4024</v>
          </cell>
          <cell r="V82">
            <v>0</v>
          </cell>
          <cell r="Y82">
            <v>23</v>
          </cell>
          <cell r="Z82">
            <v>0</v>
          </cell>
          <cell r="AA82">
            <v>0</v>
          </cell>
          <cell r="AB82">
            <v>0</v>
          </cell>
          <cell r="AC82">
            <v>23</v>
          </cell>
          <cell r="AD82">
            <v>1</v>
          </cell>
          <cell r="AE82">
            <v>67</v>
          </cell>
          <cell r="AF82">
            <v>1</v>
          </cell>
          <cell r="AG82">
            <v>4</v>
          </cell>
          <cell r="AH82">
            <v>6</v>
          </cell>
          <cell r="AI82">
            <v>2026</v>
          </cell>
          <cell r="AJ82">
            <v>75</v>
          </cell>
        </row>
        <row r="83">
          <cell r="E83" t="str">
            <v>CI2026-0267</v>
          </cell>
          <cell r="F83">
            <v>46198</v>
          </cell>
          <cell r="G83">
            <v>46227.066759259258</v>
          </cell>
          <cell r="H83">
            <v>1</v>
          </cell>
          <cell r="I83">
            <v>1</v>
          </cell>
          <cell r="J83">
            <v>1</v>
          </cell>
          <cell r="K83">
            <v>2</v>
          </cell>
          <cell r="L83">
            <v>1</v>
          </cell>
          <cell r="M83">
            <v>1</v>
          </cell>
          <cell r="N83">
            <v>1</v>
          </cell>
          <cell r="O83">
            <v>1</v>
          </cell>
          <cell r="P83">
            <v>1</v>
          </cell>
          <cell r="Q83">
            <v>2</v>
          </cell>
          <cell r="R83" t="str">
            <v>ហឿត ចន្ត្រា (HOEURT CHANTRA)</v>
          </cell>
          <cell r="S83" t="str">
            <v>អតិថិជនទូទៅ (General Customer)</v>
          </cell>
          <cell r="T83">
            <v>4024</v>
          </cell>
          <cell r="V83">
            <v>0</v>
          </cell>
          <cell r="Y83">
            <v>50.5</v>
          </cell>
          <cell r="Z83">
            <v>0</v>
          </cell>
          <cell r="AA83">
            <v>0</v>
          </cell>
          <cell r="AB83">
            <v>0</v>
          </cell>
          <cell r="AC83">
            <v>50.5</v>
          </cell>
          <cell r="AD83">
            <v>1</v>
          </cell>
          <cell r="AE83">
            <v>69</v>
          </cell>
          <cell r="AF83">
            <v>1</v>
          </cell>
          <cell r="AG83">
            <v>4</v>
          </cell>
          <cell r="AH83">
            <v>6</v>
          </cell>
          <cell r="AI83">
            <v>2026</v>
          </cell>
          <cell r="AJ83">
            <v>76</v>
          </cell>
        </row>
        <row r="84">
          <cell r="E84" t="str">
            <v>CI2026-0268</v>
          </cell>
          <cell r="F84">
            <v>46199</v>
          </cell>
          <cell r="G84">
            <v>46227.073946759258</v>
          </cell>
          <cell r="H84">
            <v>1</v>
          </cell>
          <cell r="I84">
            <v>1</v>
          </cell>
          <cell r="J84">
            <v>1</v>
          </cell>
          <cell r="K84">
            <v>2</v>
          </cell>
          <cell r="L84">
            <v>1</v>
          </cell>
          <cell r="M84">
            <v>1</v>
          </cell>
          <cell r="N84">
            <v>1</v>
          </cell>
          <cell r="O84">
            <v>1</v>
          </cell>
          <cell r="P84">
            <v>1</v>
          </cell>
          <cell r="Q84">
            <v>2</v>
          </cell>
          <cell r="R84" t="str">
            <v>ហឿត ចន្ត្រា (HOEURT CHANTRA)</v>
          </cell>
          <cell r="S84" t="str">
            <v>អតិថិជនទូទៅ (General Customer)</v>
          </cell>
          <cell r="T84">
            <v>4024</v>
          </cell>
          <cell r="V84">
            <v>0</v>
          </cell>
          <cell r="Y84">
            <v>39.5</v>
          </cell>
          <cell r="Z84">
            <v>0</v>
          </cell>
          <cell r="AA84">
            <v>0</v>
          </cell>
          <cell r="AB84">
            <v>0</v>
          </cell>
          <cell r="AC84">
            <v>39.5</v>
          </cell>
          <cell r="AD84">
            <v>1</v>
          </cell>
          <cell r="AE84">
            <v>72</v>
          </cell>
          <cell r="AF84">
            <v>1</v>
          </cell>
          <cell r="AG84">
            <v>4</v>
          </cell>
          <cell r="AH84">
            <v>6</v>
          </cell>
          <cell r="AI84">
            <v>2026</v>
          </cell>
          <cell r="AJ84">
            <v>77</v>
          </cell>
        </row>
        <row r="85">
          <cell r="E85" t="str">
            <v>CI2026-0269</v>
          </cell>
          <cell r="F85">
            <v>46199</v>
          </cell>
          <cell r="G85">
            <v>46227.075613425928</v>
          </cell>
          <cell r="H85">
            <v>1</v>
          </cell>
          <cell r="I85">
            <v>1</v>
          </cell>
          <cell r="J85">
            <v>1</v>
          </cell>
          <cell r="K85">
            <v>2</v>
          </cell>
          <cell r="L85">
            <v>1</v>
          </cell>
          <cell r="M85">
            <v>1</v>
          </cell>
          <cell r="N85">
            <v>1</v>
          </cell>
          <cell r="O85">
            <v>1</v>
          </cell>
          <cell r="P85">
            <v>1</v>
          </cell>
          <cell r="Q85">
            <v>2</v>
          </cell>
          <cell r="R85" t="str">
            <v>ហឿត ចន្ត្រា (HOEURT CHANTRA)</v>
          </cell>
          <cell r="S85" t="str">
            <v>អតិថិជនទូទៅ (General Customer)</v>
          </cell>
          <cell r="T85">
            <v>4024</v>
          </cell>
          <cell r="V85">
            <v>0</v>
          </cell>
          <cell r="Y85">
            <v>45</v>
          </cell>
          <cell r="Z85">
            <v>0</v>
          </cell>
          <cell r="AA85">
            <v>0</v>
          </cell>
          <cell r="AB85">
            <v>0</v>
          </cell>
          <cell r="AC85">
            <v>45</v>
          </cell>
          <cell r="AD85">
            <v>1</v>
          </cell>
          <cell r="AE85">
            <v>77</v>
          </cell>
          <cell r="AF85">
            <v>1</v>
          </cell>
          <cell r="AG85">
            <v>4</v>
          </cell>
          <cell r="AH85">
            <v>6</v>
          </cell>
          <cell r="AI85">
            <v>2026</v>
          </cell>
          <cell r="AJ85">
            <v>78</v>
          </cell>
        </row>
        <row r="86">
          <cell r="E86" t="str">
            <v>CI2026-0270</v>
          </cell>
          <cell r="F86">
            <v>46199</v>
          </cell>
          <cell r="G86">
            <v>46227.084236111114</v>
          </cell>
          <cell r="H86">
            <v>1</v>
          </cell>
          <cell r="I86">
            <v>1</v>
          </cell>
          <cell r="J86">
            <v>1</v>
          </cell>
          <cell r="K86">
            <v>2</v>
          </cell>
          <cell r="L86">
            <v>1</v>
          </cell>
          <cell r="M86">
            <v>1</v>
          </cell>
          <cell r="N86">
            <v>1</v>
          </cell>
          <cell r="O86">
            <v>1</v>
          </cell>
          <cell r="P86">
            <v>1</v>
          </cell>
          <cell r="Q86">
            <v>2</v>
          </cell>
          <cell r="R86" t="str">
            <v>ហឿត ចន្ត្រា (HOEURT CHANTRA)</v>
          </cell>
          <cell r="S86" t="str">
            <v>អតិថិជនទូទៅ (General Customer)</v>
          </cell>
          <cell r="T86">
            <v>4024</v>
          </cell>
          <cell r="V86">
            <v>0</v>
          </cell>
          <cell r="Y86">
            <v>57.5</v>
          </cell>
          <cell r="Z86">
            <v>0</v>
          </cell>
          <cell r="AA86">
            <v>0</v>
          </cell>
          <cell r="AB86">
            <v>0</v>
          </cell>
          <cell r="AC86">
            <v>57.5</v>
          </cell>
          <cell r="AD86">
            <v>1</v>
          </cell>
          <cell r="AE86">
            <v>81</v>
          </cell>
          <cell r="AF86">
            <v>1</v>
          </cell>
          <cell r="AG86">
            <v>4</v>
          </cell>
          <cell r="AH86">
            <v>6</v>
          </cell>
          <cell r="AI86">
            <v>2026</v>
          </cell>
          <cell r="AJ86">
            <v>79</v>
          </cell>
        </row>
        <row r="87">
          <cell r="E87" t="str">
            <v>CI2026-0271</v>
          </cell>
          <cell r="F87">
            <v>46200</v>
          </cell>
          <cell r="G87">
            <v>46227.27244212963</v>
          </cell>
          <cell r="H87">
            <v>1</v>
          </cell>
          <cell r="I87">
            <v>1</v>
          </cell>
          <cell r="J87">
            <v>1</v>
          </cell>
          <cell r="K87">
            <v>2</v>
          </cell>
          <cell r="L87">
            <v>1</v>
          </cell>
          <cell r="M87">
            <v>1</v>
          </cell>
          <cell r="N87">
            <v>1</v>
          </cell>
          <cell r="O87">
            <v>1</v>
          </cell>
          <cell r="P87">
            <v>1</v>
          </cell>
          <cell r="Q87">
            <v>2</v>
          </cell>
          <cell r="R87" t="str">
            <v>ហឿត ចន្ត្រា (HOEURT CHANTRA)</v>
          </cell>
          <cell r="S87" t="str">
            <v>អតិថិជនទូទៅ (General Customer)</v>
          </cell>
          <cell r="T87">
            <v>4024</v>
          </cell>
          <cell r="V87">
            <v>0</v>
          </cell>
          <cell r="Y87">
            <v>45</v>
          </cell>
          <cell r="Z87">
            <v>0</v>
          </cell>
          <cell r="AA87">
            <v>0</v>
          </cell>
          <cell r="AB87">
            <v>0</v>
          </cell>
          <cell r="AC87">
            <v>45</v>
          </cell>
          <cell r="AD87">
            <v>1</v>
          </cell>
          <cell r="AE87">
            <v>92</v>
          </cell>
          <cell r="AF87">
            <v>1</v>
          </cell>
          <cell r="AG87">
            <v>4</v>
          </cell>
          <cell r="AH87">
            <v>6</v>
          </cell>
          <cell r="AI87">
            <v>2026</v>
          </cell>
          <cell r="AJ87">
            <v>80</v>
          </cell>
        </row>
        <row r="88">
          <cell r="E88" t="str">
            <v>CI2026-0272</v>
          </cell>
          <cell r="F88">
            <v>46200</v>
          </cell>
          <cell r="G88">
            <v>46227.276273148149</v>
          </cell>
          <cell r="H88">
            <v>1</v>
          </cell>
          <cell r="I88">
            <v>1</v>
          </cell>
          <cell r="J88">
            <v>1</v>
          </cell>
          <cell r="K88">
            <v>2</v>
          </cell>
          <cell r="L88">
            <v>1</v>
          </cell>
          <cell r="M88">
            <v>1</v>
          </cell>
          <cell r="N88">
            <v>1</v>
          </cell>
          <cell r="O88">
            <v>1</v>
          </cell>
          <cell r="P88">
            <v>1</v>
          </cell>
          <cell r="Q88">
            <v>2</v>
          </cell>
          <cell r="R88" t="str">
            <v>ហឿត ចន្ត្រា (HOEURT CHANTRA)</v>
          </cell>
          <cell r="S88" t="str">
            <v>អតិថិជនទូទៅ (General Customer)</v>
          </cell>
          <cell r="T88">
            <v>4024</v>
          </cell>
          <cell r="V88">
            <v>0</v>
          </cell>
          <cell r="Y88">
            <v>96.5</v>
          </cell>
          <cell r="Z88">
            <v>0</v>
          </cell>
          <cell r="AA88">
            <v>0</v>
          </cell>
          <cell r="AB88">
            <v>0</v>
          </cell>
          <cell r="AC88">
            <v>96.5</v>
          </cell>
          <cell r="AD88">
            <v>1</v>
          </cell>
          <cell r="AE88">
            <v>97</v>
          </cell>
          <cell r="AF88">
            <v>1</v>
          </cell>
          <cell r="AG88">
            <v>4</v>
          </cell>
          <cell r="AH88">
            <v>6</v>
          </cell>
          <cell r="AI88">
            <v>2026</v>
          </cell>
          <cell r="AJ88">
            <v>81</v>
          </cell>
        </row>
        <row r="89">
          <cell r="E89" t="str">
            <v>CI2026-0273</v>
          </cell>
          <cell r="F89">
            <v>46200</v>
          </cell>
          <cell r="G89">
            <v>46227.278680555559</v>
          </cell>
          <cell r="H89">
            <v>1</v>
          </cell>
          <cell r="I89">
            <v>1</v>
          </cell>
          <cell r="J89">
            <v>1</v>
          </cell>
          <cell r="K89">
            <v>2</v>
          </cell>
          <cell r="L89">
            <v>1</v>
          </cell>
          <cell r="M89">
            <v>1</v>
          </cell>
          <cell r="N89">
            <v>1</v>
          </cell>
          <cell r="O89">
            <v>1</v>
          </cell>
          <cell r="P89">
            <v>1</v>
          </cell>
          <cell r="Q89">
            <v>2</v>
          </cell>
          <cell r="R89" t="str">
            <v>ហឿត ចន្ត្រា (HOEURT CHANTRA)</v>
          </cell>
          <cell r="S89" t="str">
            <v>អតិថិជនទូទៅ (General Customer)</v>
          </cell>
          <cell r="T89">
            <v>4024</v>
          </cell>
          <cell r="V89">
            <v>0</v>
          </cell>
          <cell r="Y89">
            <v>67.5</v>
          </cell>
          <cell r="Z89">
            <v>0</v>
          </cell>
          <cell r="AA89">
            <v>0</v>
          </cell>
          <cell r="AB89">
            <v>0</v>
          </cell>
          <cell r="AC89">
            <v>67.5</v>
          </cell>
          <cell r="AD89">
            <v>1</v>
          </cell>
          <cell r="AE89">
            <v>100</v>
          </cell>
          <cell r="AF89">
            <v>1</v>
          </cell>
          <cell r="AG89">
            <v>4</v>
          </cell>
          <cell r="AH89">
            <v>6</v>
          </cell>
          <cell r="AI89">
            <v>2026</v>
          </cell>
          <cell r="AJ89">
            <v>82</v>
          </cell>
        </row>
        <row r="90">
          <cell r="E90" t="str">
            <v>CI2026-0274</v>
          </cell>
          <cell r="F90">
            <v>46201</v>
          </cell>
          <cell r="G90">
            <v>46227.298263888886</v>
          </cell>
          <cell r="H90">
            <v>1</v>
          </cell>
          <cell r="I90">
            <v>1</v>
          </cell>
          <cell r="J90">
            <v>1</v>
          </cell>
          <cell r="K90">
            <v>2</v>
          </cell>
          <cell r="L90">
            <v>1</v>
          </cell>
          <cell r="M90">
            <v>1</v>
          </cell>
          <cell r="N90">
            <v>1</v>
          </cell>
          <cell r="O90">
            <v>1</v>
          </cell>
          <cell r="P90">
            <v>1</v>
          </cell>
          <cell r="Q90">
            <v>2</v>
          </cell>
          <cell r="R90" t="str">
            <v>ហឿត ចន្ត្រា (HOEURT CHANTRA)</v>
          </cell>
          <cell r="S90" t="str">
            <v>អតិថិជនទូទៅ (General Customer)</v>
          </cell>
          <cell r="T90">
            <v>4024</v>
          </cell>
          <cell r="V90">
            <v>0</v>
          </cell>
          <cell r="Y90">
            <v>53.25</v>
          </cell>
          <cell r="Z90">
            <v>0</v>
          </cell>
          <cell r="AA90">
            <v>0</v>
          </cell>
          <cell r="AB90">
            <v>0</v>
          </cell>
          <cell r="AC90">
            <v>53.25</v>
          </cell>
          <cell r="AD90">
            <v>1</v>
          </cell>
          <cell r="AE90">
            <v>102</v>
          </cell>
          <cell r="AF90">
            <v>1</v>
          </cell>
          <cell r="AG90">
            <v>4</v>
          </cell>
          <cell r="AH90">
            <v>6</v>
          </cell>
          <cell r="AI90">
            <v>2026</v>
          </cell>
          <cell r="AJ90">
            <v>83</v>
          </cell>
        </row>
        <row r="91">
          <cell r="E91" t="str">
            <v>CI2026-0275</v>
          </cell>
          <cell r="F91">
            <v>46201</v>
          </cell>
          <cell r="G91">
            <v>46227.418321759258</v>
          </cell>
          <cell r="H91">
            <v>1</v>
          </cell>
          <cell r="I91">
            <v>1</v>
          </cell>
          <cell r="J91">
            <v>1</v>
          </cell>
          <cell r="K91">
            <v>2</v>
          </cell>
          <cell r="L91">
            <v>1</v>
          </cell>
          <cell r="M91">
            <v>1</v>
          </cell>
          <cell r="N91">
            <v>1</v>
          </cell>
          <cell r="O91">
            <v>1</v>
          </cell>
          <cell r="P91">
            <v>1</v>
          </cell>
          <cell r="Q91">
            <v>2</v>
          </cell>
          <cell r="R91" t="str">
            <v>ហឿត ចន្ត្រា (HOEURT CHANTRA)</v>
          </cell>
          <cell r="S91" t="str">
            <v>អតិថិជនទូទៅ (General Customer)</v>
          </cell>
          <cell r="T91">
            <v>4024</v>
          </cell>
          <cell r="V91">
            <v>0</v>
          </cell>
          <cell r="Y91">
            <v>49.51</v>
          </cell>
          <cell r="Z91">
            <v>0</v>
          </cell>
          <cell r="AA91">
            <v>0</v>
          </cell>
          <cell r="AB91">
            <v>0</v>
          </cell>
          <cell r="AC91">
            <v>49.51</v>
          </cell>
          <cell r="AD91">
            <v>1</v>
          </cell>
          <cell r="AE91">
            <v>109</v>
          </cell>
          <cell r="AF91">
            <v>1</v>
          </cell>
          <cell r="AG91">
            <v>4</v>
          </cell>
          <cell r="AH91">
            <v>6</v>
          </cell>
          <cell r="AI91">
            <v>2026</v>
          </cell>
          <cell r="AJ91">
            <v>84</v>
          </cell>
        </row>
        <row r="92">
          <cell r="E92" t="str">
            <v>CI2026-0276</v>
          </cell>
          <cell r="F92">
            <v>46201</v>
          </cell>
          <cell r="G92">
            <v>46227.447060185186</v>
          </cell>
          <cell r="H92">
            <v>1</v>
          </cell>
          <cell r="I92">
            <v>1</v>
          </cell>
          <cell r="J92">
            <v>1</v>
          </cell>
          <cell r="K92">
            <v>2</v>
          </cell>
          <cell r="L92">
            <v>1</v>
          </cell>
          <cell r="M92">
            <v>1</v>
          </cell>
          <cell r="N92">
            <v>1</v>
          </cell>
          <cell r="O92">
            <v>1</v>
          </cell>
          <cell r="P92">
            <v>1</v>
          </cell>
          <cell r="Q92">
            <v>2</v>
          </cell>
          <cell r="R92" t="str">
            <v>ហឿត ចន្ត្រា (HOEURT CHANTRA)</v>
          </cell>
          <cell r="S92" t="str">
            <v>អតិថិជនទូទៅ (General Customer)</v>
          </cell>
          <cell r="T92">
            <v>4024</v>
          </cell>
          <cell r="V92">
            <v>0</v>
          </cell>
          <cell r="Y92">
            <v>113.38</v>
          </cell>
          <cell r="Z92">
            <v>0</v>
          </cell>
          <cell r="AA92">
            <v>0</v>
          </cell>
          <cell r="AB92">
            <v>0</v>
          </cell>
          <cell r="AC92">
            <v>113.38</v>
          </cell>
          <cell r="AD92">
            <v>1</v>
          </cell>
          <cell r="AE92">
            <v>112</v>
          </cell>
          <cell r="AF92">
            <v>1</v>
          </cell>
          <cell r="AG92">
            <v>4</v>
          </cell>
          <cell r="AH92">
            <v>6</v>
          </cell>
          <cell r="AI92">
            <v>2026</v>
          </cell>
          <cell r="AJ92">
            <v>85</v>
          </cell>
        </row>
        <row r="93">
          <cell r="E93" t="str">
            <v>CI2026-0277</v>
          </cell>
          <cell r="F93">
            <v>46202</v>
          </cell>
          <cell r="G93">
            <v>46227.454108796293</v>
          </cell>
          <cell r="H93">
            <v>1</v>
          </cell>
          <cell r="I93">
            <v>1</v>
          </cell>
          <cell r="J93">
            <v>1</v>
          </cell>
          <cell r="K93">
            <v>2</v>
          </cell>
          <cell r="L93">
            <v>1</v>
          </cell>
          <cell r="M93">
            <v>1</v>
          </cell>
          <cell r="N93">
            <v>1</v>
          </cell>
          <cell r="O93">
            <v>1</v>
          </cell>
          <cell r="P93">
            <v>1</v>
          </cell>
          <cell r="Q93">
            <v>2</v>
          </cell>
          <cell r="R93" t="str">
            <v>ហឿត ចន្ត្រា (HOEURT CHANTRA)</v>
          </cell>
          <cell r="S93" t="str">
            <v>អតិថិជនទូទៅ (General Customer)</v>
          </cell>
          <cell r="T93">
            <v>4024</v>
          </cell>
          <cell r="V93">
            <v>0</v>
          </cell>
          <cell r="Y93">
            <v>45</v>
          </cell>
          <cell r="Z93">
            <v>0</v>
          </cell>
          <cell r="AA93">
            <v>0</v>
          </cell>
          <cell r="AB93">
            <v>0</v>
          </cell>
          <cell r="AC93">
            <v>45</v>
          </cell>
          <cell r="AD93">
            <v>1</v>
          </cell>
          <cell r="AE93">
            <v>118</v>
          </cell>
          <cell r="AF93">
            <v>1</v>
          </cell>
          <cell r="AG93">
            <v>4</v>
          </cell>
          <cell r="AH93">
            <v>6</v>
          </cell>
          <cell r="AI93">
            <v>2026</v>
          </cell>
          <cell r="AJ93">
            <v>86</v>
          </cell>
        </row>
        <row r="94">
          <cell r="E94" t="str">
            <v>CI2026-0278</v>
          </cell>
          <cell r="F94">
            <v>46202</v>
          </cell>
          <cell r="G94">
            <v>46227.458807870367</v>
          </cell>
          <cell r="H94">
            <v>1</v>
          </cell>
          <cell r="I94">
            <v>1</v>
          </cell>
          <cell r="J94">
            <v>1</v>
          </cell>
          <cell r="K94">
            <v>2</v>
          </cell>
          <cell r="L94">
            <v>1</v>
          </cell>
          <cell r="M94">
            <v>1</v>
          </cell>
          <cell r="N94">
            <v>1</v>
          </cell>
          <cell r="O94">
            <v>1</v>
          </cell>
          <cell r="P94">
            <v>1</v>
          </cell>
          <cell r="Q94">
            <v>2</v>
          </cell>
          <cell r="R94" t="str">
            <v>ហឿត ចន្ត្រា (HOEURT CHANTRA)</v>
          </cell>
          <cell r="S94" t="str">
            <v>អតិថិជនទូទៅ (General Customer)</v>
          </cell>
          <cell r="T94">
            <v>4026</v>
          </cell>
          <cell r="V94">
            <v>0</v>
          </cell>
          <cell r="Y94">
            <v>109.5</v>
          </cell>
          <cell r="Z94">
            <v>0</v>
          </cell>
          <cell r="AA94">
            <v>0</v>
          </cell>
          <cell r="AB94">
            <v>0</v>
          </cell>
          <cell r="AC94">
            <v>109.5</v>
          </cell>
          <cell r="AD94">
            <v>1</v>
          </cell>
          <cell r="AE94">
            <v>123</v>
          </cell>
          <cell r="AF94">
            <v>1</v>
          </cell>
          <cell r="AG94">
            <v>4</v>
          </cell>
          <cell r="AH94">
            <v>6</v>
          </cell>
          <cell r="AI94">
            <v>2026</v>
          </cell>
          <cell r="AJ94">
            <v>87</v>
          </cell>
        </row>
        <row r="95">
          <cell r="E95" t="str">
            <v>CI2026-0279</v>
          </cell>
          <cell r="F95">
            <v>46202</v>
          </cell>
          <cell r="G95">
            <v>46227.464999999997</v>
          </cell>
          <cell r="H95">
            <v>1</v>
          </cell>
          <cell r="I95">
            <v>1</v>
          </cell>
          <cell r="J95">
            <v>1</v>
          </cell>
          <cell r="K95">
            <v>2</v>
          </cell>
          <cell r="L95">
            <v>1</v>
          </cell>
          <cell r="M95">
            <v>1</v>
          </cell>
          <cell r="N95">
            <v>1</v>
          </cell>
          <cell r="O95">
            <v>1</v>
          </cell>
          <cell r="P95">
            <v>1</v>
          </cell>
          <cell r="Q95">
            <v>2</v>
          </cell>
          <cell r="R95" t="str">
            <v>ហឿត ចន្ត្រា (HOEURT CHANTRA)</v>
          </cell>
          <cell r="S95" t="str">
            <v>អតិថិជនទូទៅ (General Customer)</v>
          </cell>
          <cell r="T95">
            <v>4026</v>
          </cell>
          <cell r="V95">
            <v>0</v>
          </cell>
          <cell r="Y95">
            <v>51.61</v>
          </cell>
          <cell r="Z95">
            <v>0</v>
          </cell>
          <cell r="AA95">
            <v>0</v>
          </cell>
          <cell r="AB95">
            <v>0</v>
          </cell>
          <cell r="AC95">
            <v>51.61</v>
          </cell>
          <cell r="AD95">
            <v>1</v>
          </cell>
          <cell r="AE95">
            <v>125</v>
          </cell>
          <cell r="AF95">
            <v>1</v>
          </cell>
          <cell r="AG95">
            <v>4</v>
          </cell>
          <cell r="AH95">
            <v>6</v>
          </cell>
          <cell r="AI95">
            <v>2026</v>
          </cell>
          <cell r="AJ95">
            <v>88</v>
          </cell>
        </row>
        <row r="96">
          <cell r="E96" t="str">
            <v>CI2026-0280</v>
          </cell>
          <cell r="F96">
            <v>46203</v>
          </cell>
          <cell r="G96">
            <v>46227.474745370368</v>
          </cell>
          <cell r="H96">
            <v>1</v>
          </cell>
          <cell r="I96">
            <v>1</v>
          </cell>
          <cell r="J96">
            <v>1</v>
          </cell>
          <cell r="K96">
            <v>2</v>
          </cell>
          <cell r="L96">
            <v>1</v>
          </cell>
          <cell r="M96">
            <v>1</v>
          </cell>
          <cell r="N96">
            <v>1</v>
          </cell>
          <cell r="O96">
            <v>1</v>
          </cell>
          <cell r="P96">
            <v>1</v>
          </cell>
          <cell r="Q96">
            <v>2</v>
          </cell>
          <cell r="R96" t="str">
            <v>ហឿត ចន្ត្រា (HOEURT CHANTRA)</v>
          </cell>
          <cell r="S96" t="str">
            <v>អតិថិជនទូទៅ (General Customer)</v>
          </cell>
          <cell r="T96">
            <v>4026</v>
          </cell>
          <cell r="V96">
            <v>0</v>
          </cell>
          <cell r="Y96">
            <v>64.5</v>
          </cell>
          <cell r="Z96">
            <v>0</v>
          </cell>
          <cell r="AA96">
            <v>0</v>
          </cell>
          <cell r="AB96">
            <v>0</v>
          </cell>
          <cell r="AC96">
            <v>64.5</v>
          </cell>
          <cell r="AD96">
            <v>1</v>
          </cell>
          <cell r="AE96">
            <v>134</v>
          </cell>
          <cell r="AF96">
            <v>1</v>
          </cell>
          <cell r="AG96">
            <v>4</v>
          </cell>
          <cell r="AH96">
            <v>6</v>
          </cell>
          <cell r="AI96">
            <v>2026</v>
          </cell>
          <cell r="AJ96">
            <v>89</v>
          </cell>
        </row>
        <row r="97">
          <cell r="E97" t="str">
            <v>CI2026-0281</v>
          </cell>
          <cell r="F97">
            <v>46203</v>
          </cell>
          <cell r="G97">
            <v>46227.47934027778</v>
          </cell>
          <cell r="H97">
            <v>1</v>
          </cell>
          <cell r="I97">
            <v>1</v>
          </cell>
          <cell r="J97">
            <v>1</v>
          </cell>
          <cell r="K97">
            <v>2</v>
          </cell>
          <cell r="L97">
            <v>1</v>
          </cell>
          <cell r="M97">
            <v>1</v>
          </cell>
          <cell r="N97">
            <v>1</v>
          </cell>
          <cell r="O97">
            <v>1</v>
          </cell>
          <cell r="P97">
            <v>1</v>
          </cell>
          <cell r="Q97">
            <v>2</v>
          </cell>
          <cell r="R97" t="str">
            <v>ហឿត ចន្ត្រា (HOEURT CHANTRA)</v>
          </cell>
          <cell r="S97" t="str">
            <v>អតិថិជនទូទៅ (General Customer)</v>
          </cell>
          <cell r="T97">
            <v>4026</v>
          </cell>
          <cell r="U97"/>
          <cell r="V97">
            <v>0</v>
          </cell>
          <cell r="W97"/>
          <cell r="X97"/>
          <cell r="Y97">
            <v>37.630000000000003</v>
          </cell>
          <cell r="Z97">
            <v>0</v>
          </cell>
          <cell r="AA97">
            <v>0</v>
          </cell>
          <cell r="AB97">
            <v>0</v>
          </cell>
          <cell r="AC97">
            <v>37.630000000000003</v>
          </cell>
          <cell r="AD97">
            <v>1</v>
          </cell>
          <cell r="AE97">
            <v>139</v>
          </cell>
          <cell r="AF97">
            <v>1</v>
          </cell>
          <cell r="AG97">
            <v>4</v>
          </cell>
          <cell r="AH97">
            <v>6</v>
          </cell>
          <cell r="AI97">
            <v>2026</v>
          </cell>
          <cell r="AJ97">
            <v>90</v>
          </cell>
        </row>
        <row r="98">
          <cell r="E98" t="str">
            <v>CI2026-0282</v>
          </cell>
          <cell r="F98">
            <v>46204</v>
          </cell>
          <cell r="G98">
            <v>46255.787164351852</v>
          </cell>
          <cell r="H98">
            <v>1</v>
          </cell>
          <cell r="I98">
            <v>1</v>
          </cell>
          <cell r="J98">
            <v>1</v>
          </cell>
          <cell r="K98">
            <v>2</v>
          </cell>
          <cell r="L98">
            <v>1</v>
          </cell>
          <cell r="M98">
            <v>1</v>
          </cell>
          <cell r="N98">
            <v>1</v>
          </cell>
          <cell r="O98">
            <v>1</v>
          </cell>
          <cell r="P98">
            <v>1</v>
          </cell>
          <cell r="Q98">
            <v>2</v>
          </cell>
          <cell r="R98" t="str">
            <v>ហឿត ចន្ត្រា (HOEURT CHANTRA)</v>
          </cell>
          <cell r="S98" t="str">
            <v>អតិថិជនទូទៅ (General Customer)</v>
          </cell>
          <cell r="T98">
            <v>4027</v>
          </cell>
          <cell r="V98">
            <v>0</v>
          </cell>
          <cell r="Y98">
            <v>82</v>
          </cell>
          <cell r="Z98">
            <v>0</v>
          </cell>
          <cell r="AA98">
            <v>0</v>
          </cell>
          <cell r="AB98">
            <v>0</v>
          </cell>
          <cell r="AC98">
            <v>82</v>
          </cell>
          <cell r="AD98">
            <v>1</v>
          </cell>
          <cell r="AE98">
            <v>157</v>
          </cell>
          <cell r="AF98">
            <v>1</v>
          </cell>
          <cell r="AG98">
            <v>1</v>
          </cell>
          <cell r="AH98">
            <v>7</v>
          </cell>
          <cell r="AI98">
            <v>2026</v>
          </cell>
          <cell r="AJ98">
            <v>91</v>
          </cell>
        </row>
        <row r="99">
          <cell r="E99" t="str">
            <v>CI2026-0283</v>
          </cell>
          <cell r="F99">
            <v>46204</v>
          </cell>
          <cell r="G99">
            <v>46255.790405092594</v>
          </cell>
          <cell r="H99">
            <v>1</v>
          </cell>
          <cell r="I99">
            <v>1</v>
          </cell>
          <cell r="J99">
            <v>1</v>
          </cell>
          <cell r="K99">
            <v>2</v>
          </cell>
          <cell r="L99">
            <v>1</v>
          </cell>
          <cell r="M99">
            <v>1</v>
          </cell>
          <cell r="N99">
            <v>1</v>
          </cell>
          <cell r="O99">
            <v>1</v>
          </cell>
          <cell r="P99">
            <v>1</v>
          </cell>
          <cell r="Q99">
            <v>2</v>
          </cell>
          <cell r="R99" t="str">
            <v>ហឿត ចន្ត្រា (HOEURT CHANTRA)</v>
          </cell>
          <cell r="S99" t="str">
            <v>អតិថិជនទូទៅ (General Customer)</v>
          </cell>
          <cell r="T99">
            <v>4027</v>
          </cell>
          <cell r="V99">
            <v>0</v>
          </cell>
          <cell r="Y99">
            <v>37.5</v>
          </cell>
          <cell r="Z99">
            <v>0</v>
          </cell>
          <cell r="AA99">
            <v>0</v>
          </cell>
          <cell r="AB99">
            <v>0</v>
          </cell>
          <cell r="AC99">
            <v>37.5</v>
          </cell>
          <cell r="AD99">
            <v>1</v>
          </cell>
          <cell r="AE99">
            <v>158</v>
          </cell>
          <cell r="AF99">
            <v>1</v>
          </cell>
          <cell r="AG99">
            <v>1</v>
          </cell>
          <cell r="AH99">
            <v>7</v>
          </cell>
          <cell r="AI99">
            <v>2026</v>
          </cell>
          <cell r="AJ99">
            <v>92</v>
          </cell>
        </row>
        <row r="100">
          <cell r="E100" t="str">
            <v>CI2026-0284</v>
          </cell>
          <cell r="F100">
            <v>46204</v>
          </cell>
          <cell r="G100">
            <v>46255.793379629627</v>
          </cell>
          <cell r="H100">
            <v>1</v>
          </cell>
          <cell r="I100">
            <v>1</v>
          </cell>
          <cell r="J100">
            <v>1</v>
          </cell>
          <cell r="K100">
            <v>2</v>
          </cell>
          <cell r="L100">
            <v>1</v>
          </cell>
          <cell r="M100">
            <v>1</v>
          </cell>
          <cell r="N100">
            <v>1</v>
          </cell>
          <cell r="O100">
            <v>1</v>
          </cell>
          <cell r="P100">
            <v>1</v>
          </cell>
          <cell r="Q100">
            <v>2</v>
          </cell>
          <cell r="R100" t="str">
            <v>ហឿត ចន្ត្រា (HOEURT CHANTRA)</v>
          </cell>
          <cell r="S100" t="str">
            <v>អតិថិជនទូទៅ (General Customer)</v>
          </cell>
          <cell r="T100">
            <v>4027</v>
          </cell>
          <cell r="V100">
            <v>0</v>
          </cell>
          <cell r="Y100">
            <v>42.5</v>
          </cell>
          <cell r="Z100">
            <v>0</v>
          </cell>
          <cell r="AA100">
            <v>0</v>
          </cell>
          <cell r="AB100">
            <v>0</v>
          </cell>
          <cell r="AC100">
            <v>42.5</v>
          </cell>
          <cell r="AD100">
            <v>1</v>
          </cell>
          <cell r="AE100">
            <v>163</v>
          </cell>
          <cell r="AF100">
            <v>1</v>
          </cell>
          <cell r="AG100">
            <v>1</v>
          </cell>
          <cell r="AH100">
            <v>7</v>
          </cell>
          <cell r="AI100">
            <v>2026</v>
          </cell>
          <cell r="AJ100">
            <v>93</v>
          </cell>
        </row>
        <row r="101">
          <cell r="E101" t="str">
            <v>CI2026-0285</v>
          </cell>
          <cell r="F101">
            <v>46204</v>
          </cell>
          <cell r="G101">
            <v>46255.799629629626</v>
          </cell>
          <cell r="H101">
            <v>1</v>
          </cell>
          <cell r="I101">
            <v>1</v>
          </cell>
          <cell r="J101">
            <v>1</v>
          </cell>
          <cell r="K101">
            <v>2</v>
          </cell>
          <cell r="L101">
            <v>1</v>
          </cell>
          <cell r="M101">
            <v>1</v>
          </cell>
          <cell r="N101">
            <v>1</v>
          </cell>
          <cell r="O101">
            <v>1</v>
          </cell>
          <cell r="P101">
            <v>1</v>
          </cell>
          <cell r="Q101">
            <v>2</v>
          </cell>
          <cell r="R101" t="str">
            <v>ហឿត ចន្ត្រា (HOEURT CHANTRA)</v>
          </cell>
          <cell r="S101" t="str">
            <v>អតិថិជនទូទៅ (General Customer)</v>
          </cell>
          <cell r="T101">
            <v>4027</v>
          </cell>
          <cell r="V101">
            <v>0</v>
          </cell>
          <cell r="Y101">
            <v>37</v>
          </cell>
          <cell r="Z101">
            <v>0</v>
          </cell>
          <cell r="AA101">
            <v>0</v>
          </cell>
          <cell r="AB101">
            <v>0</v>
          </cell>
          <cell r="AC101">
            <v>37</v>
          </cell>
          <cell r="AD101">
            <v>1</v>
          </cell>
          <cell r="AE101">
            <v>166</v>
          </cell>
          <cell r="AF101">
            <v>1</v>
          </cell>
          <cell r="AG101">
            <v>1</v>
          </cell>
          <cell r="AH101">
            <v>7</v>
          </cell>
          <cell r="AI101">
            <v>2026</v>
          </cell>
          <cell r="AJ101">
            <v>94</v>
          </cell>
        </row>
        <row r="102">
          <cell r="E102" t="str">
            <v>CI2026-0286</v>
          </cell>
          <cell r="F102">
            <v>46205</v>
          </cell>
          <cell r="G102">
            <v>46255.803680555553</v>
          </cell>
          <cell r="H102">
            <v>1</v>
          </cell>
          <cell r="I102">
            <v>1</v>
          </cell>
          <cell r="J102">
            <v>1</v>
          </cell>
          <cell r="K102">
            <v>2</v>
          </cell>
          <cell r="L102">
            <v>1</v>
          </cell>
          <cell r="M102">
            <v>1</v>
          </cell>
          <cell r="N102">
            <v>1</v>
          </cell>
          <cell r="O102">
            <v>1</v>
          </cell>
          <cell r="P102">
            <v>1</v>
          </cell>
          <cell r="Q102">
            <v>2</v>
          </cell>
          <cell r="R102" t="str">
            <v>ហឿត ចន្ត្រា (HOEURT CHANTRA)</v>
          </cell>
          <cell r="S102" t="str">
            <v>អតិថិជនទូទៅ (General Customer)</v>
          </cell>
          <cell r="T102">
            <v>4030</v>
          </cell>
          <cell r="V102">
            <v>0</v>
          </cell>
          <cell r="Y102">
            <v>75.900000000000006</v>
          </cell>
          <cell r="Z102">
            <v>0</v>
          </cell>
          <cell r="AA102">
            <v>0</v>
          </cell>
          <cell r="AB102">
            <v>0</v>
          </cell>
          <cell r="AC102">
            <v>75.900000000000006</v>
          </cell>
          <cell r="AD102">
            <v>1</v>
          </cell>
          <cell r="AE102">
            <v>171</v>
          </cell>
          <cell r="AF102">
            <v>1</v>
          </cell>
          <cell r="AG102">
            <v>1</v>
          </cell>
          <cell r="AH102">
            <v>7</v>
          </cell>
          <cell r="AI102">
            <v>2026</v>
          </cell>
          <cell r="AJ102">
            <v>95</v>
          </cell>
        </row>
        <row r="103">
          <cell r="E103" t="str">
            <v>CI2026-0287</v>
          </cell>
          <cell r="F103">
            <v>46205</v>
          </cell>
          <cell r="G103">
            <v>46255.810104166667</v>
          </cell>
          <cell r="H103">
            <v>1</v>
          </cell>
          <cell r="I103">
            <v>1</v>
          </cell>
          <cell r="J103">
            <v>1</v>
          </cell>
          <cell r="K103">
            <v>2</v>
          </cell>
          <cell r="L103">
            <v>1</v>
          </cell>
          <cell r="M103">
            <v>1</v>
          </cell>
          <cell r="N103">
            <v>1</v>
          </cell>
          <cell r="O103">
            <v>1</v>
          </cell>
          <cell r="P103">
            <v>1</v>
          </cell>
          <cell r="Q103">
            <v>2</v>
          </cell>
          <cell r="R103" t="str">
            <v>ហឿត ចន្ត្រា (HOEURT CHANTRA)</v>
          </cell>
          <cell r="S103" t="str">
            <v>អតិថិជនទូទៅ (General Customer)</v>
          </cell>
          <cell r="T103">
            <v>4030</v>
          </cell>
          <cell r="V103">
            <v>0</v>
          </cell>
          <cell r="Y103">
            <v>49.39</v>
          </cell>
          <cell r="Z103">
            <v>0</v>
          </cell>
          <cell r="AA103">
            <v>0</v>
          </cell>
          <cell r="AB103">
            <v>0</v>
          </cell>
          <cell r="AC103">
            <v>49.39</v>
          </cell>
          <cell r="AD103">
            <v>1</v>
          </cell>
          <cell r="AE103">
            <v>172</v>
          </cell>
          <cell r="AF103">
            <v>1</v>
          </cell>
          <cell r="AG103">
            <v>1</v>
          </cell>
          <cell r="AH103">
            <v>7</v>
          </cell>
          <cell r="AI103">
            <v>2026</v>
          </cell>
          <cell r="AJ103">
            <v>96</v>
          </cell>
        </row>
        <row r="104">
          <cell r="E104" t="str">
            <v>CI2026-0288</v>
          </cell>
          <cell r="F104">
            <v>46205</v>
          </cell>
          <cell r="G104">
            <v>46255.893321759257</v>
          </cell>
          <cell r="H104">
            <v>1</v>
          </cell>
          <cell r="I104">
            <v>1</v>
          </cell>
          <cell r="J104">
            <v>1</v>
          </cell>
          <cell r="K104">
            <v>2</v>
          </cell>
          <cell r="L104">
            <v>1</v>
          </cell>
          <cell r="M104">
            <v>1</v>
          </cell>
          <cell r="N104">
            <v>1</v>
          </cell>
          <cell r="O104">
            <v>1</v>
          </cell>
          <cell r="P104">
            <v>1</v>
          </cell>
          <cell r="Q104">
            <v>2</v>
          </cell>
          <cell r="R104" t="str">
            <v>ហឿត ចន្ត្រា (HOEURT CHANTRA)</v>
          </cell>
          <cell r="S104" t="str">
            <v>អតិថិជនទូទៅ (General Customer)</v>
          </cell>
          <cell r="T104">
            <v>4030</v>
          </cell>
          <cell r="V104">
            <v>0</v>
          </cell>
          <cell r="Y104">
            <v>41.08</v>
          </cell>
          <cell r="Z104">
            <v>0</v>
          </cell>
          <cell r="AA104">
            <v>0</v>
          </cell>
          <cell r="AB104">
            <v>0</v>
          </cell>
          <cell r="AC104">
            <v>41.08</v>
          </cell>
          <cell r="AD104">
            <v>1</v>
          </cell>
          <cell r="AE104">
            <v>173</v>
          </cell>
          <cell r="AF104">
            <v>1</v>
          </cell>
          <cell r="AG104">
            <v>1</v>
          </cell>
          <cell r="AH104">
            <v>7</v>
          </cell>
          <cell r="AI104">
            <v>2026</v>
          </cell>
          <cell r="AJ104">
            <v>97</v>
          </cell>
        </row>
        <row r="105">
          <cell r="E105" t="str">
            <v>CI2026-0289</v>
          </cell>
          <cell r="F105">
            <v>46205</v>
          </cell>
          <cell r="G105">
            <v>46255.896828703706</v>
          </cell>
          <cell r="H105">
            <v>1</v>
          </cell>
          <cell r="I105">
            <v>1</v>
          </cell>
          <cell r="J105">
            <v>1</v>
          </cell>
          <cell r="K105">
            <v>2</v>
          </cell>
          <cell r="L105">
            <v>1</v>
          </cell>
          <cell r="M105">
            <v>1</v>
          </cell>
          <cell r="N105">
            <v>1</v>
          </cell>
          <cell r="O105">
            <v>1</v>
          </cell>
          <cell r="P105">
            <v>1</v>
          </cell>
          <cell r="Q105">
            <v>2</v>
          </cell>
          <cell r="R105" t="str">
            <v>ហឿត ចន្ត្រា (HOEURT CHANTRA)</v>
          </cell>
          <cell r="S105" t="str">
            <v>អតិថិជនទូទៅ (General Customer)</v>
          </cell>
          <cell r="T105">
            <v>4030</v>
          </cell>
          <cell r="V105">
            <v>0</v>
          </cell>
          <cell r="Y105">
            <v>66.5</v>
          </cell>
          <cell r="Z105">
            <v>0</v>
          </cell>
          <cell r="AA105">
            <v>0</v>
          </cell>
          <cell r="AB105">
            <v>0</v>
          </cell>
          <cell r="AC105">
            <v>66.5</v>
          </cell>
          <cell r="AD105">
            <v>1</v>
          </cell>
          <cell r="AE105">
            <v>179</v>
          </cell>
          <cell r="AF105">
            <v>1</v>
          </cell>
          <cell r="AG105">
            <v>1</v>
          </cell>
          <cell r="AH105">
            <v>7</v>
          </cell>
          <cell r="AI105">
            <v>2026</v>
          </cell>
          <cell r="AJ105">
            <v>98</v>
          </cell>
        </row>
        <row r="106">
          <cell r="E106" t="str">
            <v>CI2026-0290</v>
          </cell>
          <cell r="F106">
            <v>46206</v>
          </cell>
          <cell r="G106">
            <v>46255.8984375</v>
          </cell>
          <cell r="H106">
            <v>1</v>
          </cell>
          <cell r="I106">
            <v>1</v>
          </cell>
          <cell r="J106">
            <v>1</v>
          </cell>
          <cell r="K106">
            <v>2</v>
          </cell>
          <cell r="L106">
            <v>1</v>
          </cell>
          <cell r="M106">
            <v>1</v>
          </cell>
          <cell r="N106">
            <v>1</v>
          </cell>
          <cell r="O106">
            <v>1</v>
          </cell>
          <cell r="P106">
            <v>1</v>
          </cell>
          <cell r="Q106">
            <v>2</v>
          </cell>
          <cell r="R106" t="str">
            <v>ហឿត ចន្ត្រា (HOEURT CHANTRA)</v>
          </cell>
          <cell r="S106" t="str">
            <v>អតិថិជនទូទៅ (General Customer)</v>
          </cell>
          <cell r="T106" t="str">
            <v>4033</v>
          </cell>
          <cell r="V106">
            <v>0</v>
          </cell>
          <cell r="Y106">
            <v>124.5</v>
          </cell>
          <cell r="Z106">
            <v>0</v>
          </cell>
          <cell r="AA106">
            <v>0</v>
          </cell>
          <cell r="AB106">
            <v>0</v>
          </cell>
          <cell r="AC106">
            <v>124.5</v>
          </cell>
          <cell r="AD106">
            <v>1</v>
          </cell>
          <cell r="AE106">
            <v>188</v>
          </cell>
          <cell r="AF106">
            <v>1</v>
          </cell>
          <cell r="AG106">
            <v>1</v>
          </cell>
          <cell r="AH106">
            <v>7</v>
          </cell>
          <cell r="AI106">
            <v>2026</v>
          </cell>
          <cell r="AJ106">
            <v>99</v>
          </cell>
        </row>
        <row r="107">
          <cell r="E107" t="str">
            <v>CI2026-0291</v>
          </cell>
          <cell r="F107">
            <v>46206</v>
          </cell>
          <cell r="G107">
            <v>46255.908599537041</v>
          </cell>
          <cell r="H107">
            <v>1</v>
          </cell>
          <cell r="I107">
            <v>1</v>
          </cell>
          <cell r="J107">
            <v>1</v>
          </cell>
          <cell r="K107">
            <v>2</v>
          </cell>
          <cell r="L107">
            <v>1</v>
          </cell>
          <cell r="M107">
            <v>1</v>
          </cell>
          <cell r="N107">
            <v>1</v>
          </cell>
          <cell r="O107">
            <v>1</v>
          </cell>
          <cell r="P107">
            <v>1</v>
          </cell>
          <cell r="Q107">
            <v>2</v>
          </cell>
          <cell r="R107" t="str">
            <v>ហឿត ចន្ត្រា (HOEURT CHANTRA)</v>
          </cell>
          <cell r="S107" t="str">
            <v>អតិថិជនទូទៅ (General Customer)</v>
          </cell>
          <cell r="T107">
            <v>4033</v>
          </cell>
          <cell r="V107">
            <v>0</v>
          </cell>
          <cell r="Y107">
            <v>36.880000000000003</v>
          </cell>
          <cell r="Z107">
            <v>0</v>
          </cell>
          <cell r="AA107">
            <v>0</v>
          </cell>
          <cell r="AB107">
            <v>0</v>
          </cell>
          <cell r="AC107">
            <v>36.880000000000003</v>
          </cell>
          <cell r="AD107">
            <v>1</v>
          </cell>
          <cell r="AE107">
            <v>194</v>
          </cell>
          <cell r="AF107">
            <v>1</v>
          </cell>
          <cell r="AG107">
            <v>1</v>
          </cell>
          <cell r="AH107">
            <v>7</v>
          </cell>
          <cell r="AI107">
            <v>2026</v>
          </cell>
          <cell r="AJ107">
            <v>100</v>
          </cell>
        </row>
        <row r="108">
          <cell r="E108" t="str">
            <v>CI2026-0292</v>
          </cell>
          <cell r="F108">
            <v>46207</v>
          </cell>
          <cell r="G108">
            <v>46255.917268518519</v>
          </cell>
          <cell r="H108">
            <v>1</v>
          </cell>
          <cell r="I108">
            <v>1</v>
          </cell>
          <cell r="J108">
            <v>1</v>
          </cell>
          <cell r="K108">
            <v>2</v>
          </cell>
          <cell r="L108">
            <v>1</v>
          </cell>
          <cell r="M108">
            <v>1</v>
          </cell>
          <cell r="N108">
            <v>1</v>
          </cell>
          <cell r="O108">
            <v>1</v>
          </cell>
          <cell r="P108">
            <v>1</v>
          </cell>
          <cell r="Q108">
            <v>2</v>
          </cell>
          <cell r="R108" t="str">
            <v>ហឿត ចន្ត្រា (HOEURT CHANTRA)</v>
          </cell>
          <cell r="S108" t="str">
            <v>អតិថិជនទូទៅ (General Customer)</v>
          </cell>
          <cell r="T108">
            <v>4033</v>
          </cell>
          <cell r="V108">
            <v>0</v>
          </cell>
          <cell r="Y108">
            <v>38</v>
          </cell>
          <cell r="Z108">
            <v>0</v>
          </cell>
          <cell r="AA108">
            <v>0</v>
          </cell>
          <cell r="AB108">
            <v>0</v>
          </cell>
          <cell r="AC108">
            <v>38</v>
          </cell>
          <cell r="AD108">
            <v>1</v>
          </cell>
          <cell r="AE108">
            <v>195</v>
          </cell>
          <cell r="AF108">
            <v>1</v>
          </cell>
          <cell r="AG108">
            <v>1</v>
          </cell>
          <cell r="AH108">
            <v>7</v>
          </cell>
          <cell r="AI108">
            <v>2026</v>
          </cell>
          <cell r="AJ108">
            <v>101</v>
          </cell>
        </row>
        <row r="109">
          <cell r="E109" t="str">
            <v>CI2026-0293</v>
          </cell>
          <cell r="F109">
            <v>46207</v>
          </cell>
          <cell r="G109">
            <v>46255.92560185185</v>
          </cell>
          <cell r="H109">
            <v>1</v>
          </cell>
          <cell r="I109">
            <v>1</v>
          </cell>
          <cell r="J109">
            <v>1</v>
          </cell>
          <cell r="K109">
            <v>2</v>
          </cell>
          <cell r="L109">
            <v>1</v>
          </cell>
          <cell r="M109">
            <v>1</v>
          </cell>
          <cell r="N109">
            <v>1</v>
          </cell>
          <cell r="O109">
            <v>1</v>
          </cell>
          <cell r="P109">
            <v>1</v>
          </cell>
          <cell r="Q109">
            <v>2</v>
          </cell>
          <cell r="R109" t="str">
            <v>ហឿត ចន្ត្រា (HOEURT CHANTRA)</v>
          </cell>
          <cell r="S109" t="str">
            <v>អតិថិជនទូទៅ (General Customer)</v>
          </cell>
          <cell r="T109">
            <v>4033</v>
          </cell>
          <cell r="V109">
            <v>0</v>
          </cell>
          <cell r="Y109">
            <v>75.75</v>
          </cell>
          <cell r="Z109">
            <v>0</v>
          </cell>
          <cell r="AA109">
            <v>0</v>
          </cell>
          <cell r="AB109">
            <v>0</v>
          </cell>
          <cell r="AC109">
            <v>75.75</v>
          </cell>
          <cell r="AD109">
            <v>1</v>
          </cell>
          <cell r="AE109">
            <v>197</v>
          </cell>
          <cell r="AF109">
            <v>1</v>
          </cell>
          <cell r="AG109">
            <v>1</v>
          </cell>
          <cell r="AH109">
            <v>7</v>
          </cell>
          <cell r="AI109">
            <v>2026</v>
          </cell>
          <cell r="AJ109">
            <v>102</v>
          </cell>
        </row>
        <row r="110">
          <cell r="E110" t="str">
            <v>CI2026-0294</v>
          </cell>
          <cell r="F110">
            <v>46207</v>
          </cell>
          <cell r="G110">
            <v>46256.040185185186</v>
          </cell>
          <cell r="H110">
            <v>1</v>
          </cell>
          <cell r="I110">
            <v>1</v>
          </cell>
          <cell r="J110">
            <v>1</v>
          </cell>
          <cell r="K110">
            <v>2</v>
          </cell>
          <cell r="L110">
            <v>1</v>
          </cell>
          <cell r="M110">
            <v>1</v>
          </cell>
          <cell r="N110">
            <v>1</v>
          </cell>
          <cell r="O110">
            <v>1</v>
          </cell>
          <cell r="P110">
            <v>1</v>
          </cell>
          <cell r="Q110">
            <v>2</v>
          </cell>
          <cell r="R110" t="str">
            <v>ហឿត ចន្ត្រា (HOEURT CHANTRA)</v>
          </cell>
          <cell r="S110" t="str">
            <v>អតិថិជនទូទៅ (General Customer)</v>
          </cell>
          <cell r="T110">
            <v>4033</v>
          </cell>
          <cell r="V110">
            <v>0</v>
          </cell>
          <cell r="Y110">
            <v>84.26</v>
          </cell>
          <cell r="Z110">
            <v>0</v>
          </cell>
          <cell r="AA110">
            <v>0</v>
          </cell>
          <cell r="AB110">
            <v>0</v>
          </cell>
          <cell r="AC110">
            <v>84.26</v>
          </cell>
          <cell r="AD110">
            <v>1</v>
          </cell>
          <cell r="AE110">
            <v>204</v>
          </cell>
          <cell r="AF110">
            <v>1</v>
          </cell>
          <cell r="AG110">
            <v>1</v>
          </cell>
          <cell r="AH110">
            <v>7</v>
          </cell>
          <cell r="AI110">
            <v>2026</v>
          </cell>
          <cell r="AJ110">
            <v>103</v>
          </cell>
        </row>
        <row r="111">
          <cell r="E111" t="str">
            <v>CI2026-0295</v>
          </cell>
          <cell r="F111">
            <v>46208</v>
          </cell>
          <cell r="G111">
            <v>46256.405844907407</v>
          </cell>
          <cell r="H111">
            <v>1</v>
          </cell>
          <cell r="I111">
            <v>1</v>
          </cell>
          <cell r="J111">
            <v>1</v>
          </cell>
          <cell r="K111">
            <v>2</v>
          </cell>
          <cell r="L111">
            <v>1</v>
          </cell>
          <cell r="M111">
            <v>1</v>
          </cell>
          <cell r="N111">
            <v>1</v>
          </cell>
          <cell r="O111">
            <v>1</v>
          </cell>
          <cell r="P111">
            <v>1</v>
          </cell>
          <cell r="Q111">
            <v>2</v>
          </cell>
          <cell r="R111" t="str">
            <v>ហឿត ចន្ត្រា (HOEURT CHANTRA)</v>
          </cell>
          <cell r="S111" t="str">
            <v>អតិថិជនទូទៅ (General Customer)</v>
          </cell>
          <cell r="T111">
            <v>4033</v>
          </cell>
          <cell r="V111">
            <v>0</v>
          </cell>
          <cell r="Y111">
            <v>42.5</v>
          </cell>
          <cell r="Z111">
            <v>0</v>
          </cell>
          <cell r="AA111">
            <v>0</v>
          </cell>
          <cell r="AB111">
            <v>0</v>
          </cell>
          <cell r="AC111">
            <v>42.5</v>
          </cell>
          <cell r="AD111">
            <v>1</v>
          </cell>
          <cell r="AF111">
            <v>1</v>
          </cell>
          <cell r="AG111">
            <v>1</v>
          </cell>
          <cell r="AH111">
            <v>7</v>
          </cell>
          <cell r="AI111">
            <v>2026</v>
          </cell>
          <cell r="AJ111">
            <v>104</v>
          </cell>
        </row>
        <row r="112">
          <cell r="E112" t="str">
            <v>CI2026-0296</v>
          </cell>
          <cell r="F112">
            <v>46208</v>
          </cell>
          <cell r="G112">
            <v>46256.407094907408</v>
          </cell>
          <cell r="H112">
            <v>1</v>
          </cell>
          <cell r="I112">
            <v>1</v>
          </cell>
          <cell r="J112">
            <v>1</v>
          </cell>
          <cell r="K112">
            <v>2</v>
          </cell>
          <cell r="L112">
            <v>1</v>
          </cell>
          <cell r="M112">
            <v>1</v>
          </cell>
          <cell r="N112">
            <v>1</v>
          </cell>
          <cell r="O112">
            <v>1</v>
          </cell>
          <cell r="P112">
            <v>1</v>
          </cell>
          <cell r="Q112">
            <v>2</v>
          </cell>
          <cell r="R112" t="str">
            <v>ហឿត ចន្ត្រា (HOEURT CHANTRA)</v>
          </cell>
          <cell r="S112" t="str">
            <v>អតិថិជនទូទៅ (General Customer)</v>
          </cell>
          <cell r="T112">
            <v>4033</v>
          </cell>
          <cell r="V112">
            <v>0</v>
          </cell>
          <cell r="Y112">
            <v>101</v>
          </cell>
          <cell r="Z112">
            <v>0</v>
          </cell>
          <cell r="AA112">
            <v>0</v>
          </cell>
          <cell r="AB112">
            <v>0</v>
          </cell>
          <cell r="AC112">
            <v>101</v>
          </cell>
          <cell r="AD112">
            <v>1</v>
          </cell>
          <cell r="AE112">
            <v>220</v>
          </cell>
          <cell r="AF112">
            <v>1</v>
          </cell>
          <cell r="AG112">
            <v>1</v>
          </cell>
          <cell r="AH112">
            <v>7</v>
          </cell>
          <cell r="AI112">
            <v>2026</v>
          </cell>
          <cell r="AJ112">
            <v>105</v>
          </cell>
        </row>
        <row r="113">
          <cell r="E113" t="str">
            <v>CI2026-0297</v>
          </cell>
          <cell r="F113">
            <v>46209</v>
          </cell>
          <cell r="G113">
            <v>46256.412395833337</v>
          </cell>
          <cell r="H113">
            <v>1</v>
          </cell>
          <cell r="I113">
            <v>1</v>
          </cell>
          <cell r="J113">
            <v>1</v>
          </cell>
          <cell r="K113">
            <v>2</v>
          </cell>
          <cell r="L113">
            <v>1</v>
          </cell>
          <cell r="M113">
            <v>1</v>
          </cell>
          <cell r="N113">
            <v>1</v>
          </cell>
          <cell r="O113">
            <v>1</v>
          </cell>
          <cell r="P113">
            <v>1</v>
          </cell>
          <cell r="Q113">
            <v>2</v>
          </cell>
          <cell r="R113" t="str">
            <v>ហឿត ចន្ត្រា (HOEURT CHANTRA)</v>
          </cell>
          <cell r="S113" t="str">
            <v>អតិថិជនទូទៅ (General Customer)</v>
          </cell>
          <cell r="T113">
            <v>4034</v>
          </cell>
          <cell r="V113">
            <v>0</v>
          </cell>
          <cell r="Y113">
            <v>54</v>
          </cell>
          <cell r="Z113">
            <v>0</v>
          </cell>
          <cell r="AA113">
            <v>0</v>
          </cell>
          <cell r="AB113">
            <v>0</v>
          </cell>
          <cell r="AC113">
            <v>54</v>
          </cell>
          <cell r="AD113">
            <v>1</v>
          </cell>
          <cell r="AE113">
            <v>223</v>
          </cell>
          <cell r="AF113">
            <v>1</v>
          </cell>
          <cell r="AG113">
            <v>1</v>
          </cell>
          <cell r="AH113">
            <v>7</v>
          </cell>
          <cell r="AI113">
            <v>2026</v>
          </cell>
          <cell r="AJ113">
            <v>106</v>
          </cell>
        </row>
        <row r="114">
          <cell r="E114" t="str">
            <v>CI2026-0298</v>
          </cell>
          <cell r="F114">
            <v>46209</v>
          </cell>
          <cell r="G114">
            <v>46256.442164351851</v>
          </cell>
          <cell r="H114">
            <v>1</v>
          </cell>
          <cell r="I114">
            <v>1</v>
          </cell>
          <cell r="J114">
            <v>1</v>
          </cell>
          <cell r="K114">
            <v>2</v>
          </cell>
          <cell r="L114">
            <v>1</v>
          </cell>
          <cell r="M114">
            <v>1</v>
          </cell>
          <cell r="N114">
            <v>1</v>
          </cell>
          <cell r="O114">
            <v>1</v>
          </cell>
          <cell r="P114">
            <v>1</v>
          </cell>
          <cell r="Q114">
            <v>2</v>
          </cell>
          <cell r="R114" t="str">
            <v>ហឿត ចន្ត្រា (HOEURT CHANTRA)</v>
          </cell>
          <cell r="S114" t="str">
            <v>អតិថិជនទូទៅ (General Customer)</v>
          </cell>
          <cell r="T114">
            <v>4034</v>
          </cell>
          <cell r="V114">
            <v>0</v>
          </cell>
          <cell r="Y114">
            <v>21.75</v>
          </cell>
          <cell r="Z114">
            <v>0</v>
          </cell>
          <cell r="AA114">
            <v>0</v>
          </cell>
          <cell r="AB114">
            <v>0</v>
          </cell>
          <cell r="AC114">
            <v>21.75</v>
          </cell>
          <cell r="AD114">
            <v>1</v>
          </cell>
          <cell r="AE114">
            <v>229</v>
          </cell>
          <cell r="AF114">
            <v>1</v>
          </cell>
          <cell r="AG114">
            <v>1</v>
          </cell>
          <cell r="AH114">
            <v>7</v>
          </cell>
          <cell r="AI114">
            <v>2026</v>
          </cell>
          <cell r="AJ114">
            <v>107</v>
          </cell>
        </row>
        <row r="115">
          <cell r="E115" t="str">
            <v>CI2026-0299</v>
          </cell>
          <cell r="F115">
            <v>46209</v>
          </cell>
          <cell r="G115">
            <v>46256.446817129632</v>
          </cell>
          <cell r="H115">
            <v>1</v>
          </cell>
          <cell r="I115">
            <v>1</v>
          </cell>
          <cell r="J115">
            <v>1</v>
          </cell>
          <cell r="K115">
            <v>2</v>
          </cell>
          <cell r="L115">
            <v>1</v>
          </cell>
          <cell r="M115">
            <v>1</v>
          </cell>
          <cell r="N115">
            <v>1</v>
          </cell>
          <cell r="O115">
            <v>1</v>
          </cell>
          <cell r="P115">
            <v>1</v>
          </cell>
          <cell r="Q115">
            <v>2</v>
          </cell>
          <cell r="R115" t="str">
            <v>ហឿត ចន្ត្រា (HOEURT CHANTRA)</v>
          </cell>
          <cell r="S115" t="str">
            <v>អតិថិជនទូទៅ (General Customer)</v>
          </cell>
          <cell r="T115">
            <v>4034</v>
          </cell>
          <cell r="V115">
            <v>0</v>
          </cell>
          <cell r="Y115">
            <v>55</v>
          </cell>
          <cell r="Z115">
            <v>0</v>
          </cell>
          <cell r="AA115">
            <v>0</v>
          </cell>
          <cell r="AB115">
            <v>0</v>
          </cell>
          <cell r="AC115">
            <v>55</v>
          </cell>
          <cell r="AD115">
            <v>1</v>
          </cell>
          <cell r="AE115">
            <v>232</v>
          </cell>
          <cell r="AF115">
            <v>1</v>
          </cell>
          <cell r="AG115">
            <v>1</v>
          </cell>
          <cell r="AH115">
            <v>7</v>
          </cell>
          <cell r="AI115">
            <v>2026</v>
          </cell>
          <cell r="AJ115">
            <v>108</v>
          </cell>
        </row>
        <row r="116">
          <cell r="E116" t="str">
            <v>CI2026-0300</v>
          </cell>
          <cell r="F116">
            <v>46210</v>
          </cell>
          <cell r="G116">
            <v>46256.606122685182</v>
          </cell>
          <cell r="H116">
            <v>1</v>
          </cell>
          <cell r="I116">
            <v>1</v>
          </cell>
          <cell r="J116">
            <v>1</v>
          </cell>
          <cell r="K116">
            <v>2</v>
          </cell>
          <cell r="L116">
            <v>1</v>
          </cell>
          <cell r="M116">
            <v>1</v>
          </cell>
          <cell r="N116">
            <v>1</v>
          </cell>
          <cell r="O116">
            <v>1</v>
          </cell>
          <cell r="P116">
            <v>1</v>
          </cell>
          <cell r="Q116">
            <v>2</v>
          </cell>
          <cell r="R116" t="str">
            <v>ហឿត ចន្ត្រា (HOEURT CHANTRA)</v>
          </cell>
          <cell r="S116" t="str">
            <v>អតិថិជនទូទៅ (General Customer)</v>
          </cell>
          <cell r="T116">
            <v>4035</v>
          </cell>
          <cell r="V116">
            <v>0</v>
          </cell>
          <cell r="Y116">
            <v>52.75</v>
          </cell>
          <cell r="Z116">
            <v>0</v>
          </cell>
          <cell r="AA116">
            <v>0</v>
          </cell>
          <cell r="AB116">
            <v>0</v>
          </cell>
          <cell r="AC116">
            <v>52.75</v>
          </cell>
          <cell r="AD116">
            <v>1</v>
          </cell>
          <cell r="AE116">
            <v>239</v>
          </cell>
          <cell r="AF116">
            <v>1</v>
          </cell>
          <cell r="AG116">
            <v>1</v>
          </cell>
          <cell r="AH116">
            <v>7</v>
          </cell>
          <cell r="AI116">
            <v>2026</v>
          </cell>
          <cell r="AJ116">
            <v>109</v>
          </cell>
        </row>
        <row r="117">
          <cell r="E117" t="str">
            <v>CI2026-0301</v>
          </cell>
          <cell r="F117">
            <v>46210</v>
          </cell>
          <cell r="G117">
            <v>46256.607453703706</v>
          </cell>
          <cell r="H117">
            <v>1</v>
          </cell>
          <cell r="I117">
            <v>1</v>
          </cell>
          <cell r="J117">
            <v>1</v>
          </cell>
          <cell r="K117">
            <v>2</v>
          </cell>
          <cell r="L117">
            <v>1</v>
          </cell>
          <cell r="M117">
            <v>1</v>
          </cell>
          <cell r="N117">
            <v>1</v>
          </cell>
          <cell r="O117">
            <v>1</v>
          </cell>
          <cell r="P117">
            <v>1</v>
          </cell>
          <cell r="Q117">
            <v>2</v>
          </cell>
          <cell r="R117" t="str">
            <v>ហឿត ចន្ត្រា (HOEURT CHANTRA)</v>
          </cell>
          <cell r="S117" t="str">
            <v>អតិថិជនទូទៅ (General Customer)</v>
          </cell>
          <cell r="T117">
            <v>4035</v>
          </cell>
          <cell r="V117">
            <v>0</v>
          </cell>
          <cell r="Y117">
            <v>62</v>
          </cell>
          <cell r="Z117">
            <v>0</v>
          </cell>
          <cell r="AA117">
            <v>0</v>
          </cell>
          <cell r="AB117">
            <v>0</v>
          </cell>
          <cell r="AC117">
            <v>62</v>
          </cell>
          <cell r="AD117">
            <v>1</v>
          </cell>
          <cell r="AE117">
            <v>243</v>
          </cell>
          <cell r="AF117">
            <v>1</v>
          </cell>
          <cell r="AG117">
            <v>1</v>
          </cell>
          <cell r="AH117">
            <v>7</v>
          </cell>
          <cell r="AI117">
            <v>2026</v>
          </cell>
          <cell r="AJ117">
            <v>110</v>
          </cell>
        </row>
        <row r="118">
          <cell r="E118" t="str">
            <v>CI2026-0302</v>
          </cell>
          <cell r="F118">
            <v>46210</v>
          </cell>
          <cell r="G118">
            <v>46256.613263888888</v>
          </cell>
          <cell r="H118">
            <v>1</v>
          </cell>
          <cell r="I118">
            <v>1</v>
          </cell>
          <cell r="J118">
            <v>1</v>
          </cell>
          <cell r="K118">
            <v>2</v>
          </cell>
          <cell r="L118">
            <v>1</v>
          </cell>
          <cell r="M118">
            <v>1</v>
          </cell>
          <cell r="N118">
            <v>1</v>
          </cell>
          <cell r="O118">
            <v>1</v>
          </cell>
          <cell r="P118">
            <v>1</v>
          </cell>
          <cell r="Q118">
            <v>2</v>
          </cell>
          <cell r="R118" t="str">
            <v>ហឿត ចន្ត្រា (HOEURT CHANTRA)</v>
          </cell>
          <cell r="S118" t="str">
            <v>អតិថិជនទូទៅ (General Customer)</v>
          </cell>
          <cell r="T118">
            <v>4035</v>
          </cell>
          <cell r="V118">
            <v>0</v>
          </cell>
          <cell r="Y118">
            <v>83</v>
          </cell>
          <cell r="Z118">
            <v>0</v>
          </cell>
          <cell r="AA118">
            <v>0</v>
          </cell>
          <cell r="AB118">
            <v>0</v>
          </cell>
          <cell r="AC118">
            <v>83</v>
          </cell>
          <cell r="AD118">
            <v>1</v>
          </cell>
          <cell r="AE118">
            <v>244</v>
          </cell>
          <cell r="AF118">
            <v>1</v>
          </cell>
          <cell r="AG118">
            <v>1</v>
          </cell>
          <cell r="AH118">
            <v>7</v>
          </cell>
          <cell r="AI118">
            <v>2026</v>
          </cell>
          <cell r="AJ118">
            <v>111</v>
          </cell>
        </row>
        <row r="119">
          <cell r="E119" t="str">
            <v>CI2026-0303</v>
          </cell>
          <cell r="F119">
            <v>46211</v>
          </cell>
          <cell r="G119">
            <v>46256.621724537035</v>
          </cell>
          <cell r="H119">
            <v>1</v>
          </cell>
          <cell r="I119">
            <v>1</v>
          </cell>
          <cell r="J119">
            <v>1</v>
          </cell>
          <cell r="K119">
            <v>2</v>
          </cell>
          <cell r="L119">
            <v>1</v>
          </cell>
          <cell r="M119">
            <v>1</v>
          </cell>
          <cell r="N119">
            <v>1</v>
          </cell>
          <cell r="O119">
            <v>1</v>
          </cell>
          <cell r="P119">
            <v>1</v>
          </cell>
          <cell r="Q119">
            <v>2</v>
          </cell>
          <cell r="R119" t="str">
            <v>ហឿត ចន្ត្រា (HOEURT CHANTRA)</v>
          </cell>
          <cell r="S119" t="str">
            <v>អតិថិជនទូទៅ (General Customer)</v>
          </cell>
          <cell r="T119">
            <v>4035</v>
          </cell>
          <cell r="V119">
            <v>0</v>
          </cell>
          <cell r="Y119">
            <v>62.75</v>
          </cell>
          <cell r="Z119">
            <v>0</v>
          </cell>
          <cell r="AA119">
            <v>0</v>
          </cell>
          <cell r="AB119">
            <v>0</v>
          </cell>
          <cell r="AC119">
            <v>62.75</v>
          </cell>
          <cell r="AD119">
            <v>1</v>
          </cell>
          <cell r="AE119">
            <v>251</v>
          </cell>
          <cell r="AF119">
            <v>1</v>
          </cell>
          <cell r="AG119">
            <v>2</v>
          </cell>
          <cell r="AH119">
            <v>7</v>
          </cell>
          <cell r="AI119">
            <v>2026</v>
          </cell>
          <cell r="AJ119">
            <v>112</v>
          </cell>
        </row>
        <row r="120">
          <cell r="E120" t="str">
            <v>CI2026-0304</v>
          </cell>
          <cell r="F120">
            <v>46211</v>
          </cell>
          <cell r="G120">
            <v>46256.624583333331</v>
          </cell>
          <cell r="H120">
            <v>1</v>
          </cell>
          <cell r="I120">
            <v>1</v>
          </cell>
          <cell r="J120">
            <v>1</v>
          </cell>
          <cell r="K120">
            <v>2</v>
          </cell>
          <cell r="L120">
            <v>1</v>
          </cell>
          <cell r="M120">
            <v>1</v>
          </cell>
          <cell r="N120">
            <v>1</v>
          </cell>
          <cell r="O120">
            <v>1</v>
          </cell>
          <cell r="P120">
            <v>1</v>
          </cell>
          <cell r="Q120">
            <v>2</v>
          </cell>
          <cell r="R120" t="str">
            <v>ហឿត ចន្ត្រា (HOEURT CHANTRA)</v>
          </cell>
          <cell r="S120" t="str">
            <v>អតិថិជនទូទៅ (General Customer)</v>
          </cell>
          <cell r="T120">
            <v>4035</v>
          </cell>
          <cell r="V120">
            <v>0</v>
          </cell>
          <cell r="Y120">
            <v>70</v>
          </cell>
          <cell r="Z120">
            <v>0</v>
          </cell>
          <cell r="AA120">
            <v>0</v>
          </cell>
          <cell r="AB120">
            <v>0</v>
          </cell>
          <cell r="AC120">
            <v>70</v>
          </cell>
          <cell r="AD120">
            <v>1</v>
          </cell>
          <cell r="AE120">
            <v>257</v>
          </cell>
          <cell r="AF120">
            <v>1</v>
          </cell>
          <cell r="AG120">
            <v>2</v>
          </cell>
          <cell r="AH120">
            <v>7</v>
          </cell>
          <cell r="AI120">
            <v>2026</v>
          </cell>
          <cell r="AJ120">
            <v>113</v>
          </cell>
        </row>
        <row r="121">
          <cell r="E121" t="str">
            <v>CI2026-0305</v>
          </cell>
          <cell r="F121">
            <v>46211</v>
          </cell>
          <cell r="G121">
            <v>46256.629166666666</v>
          </cell>
          <cell r="H121">
            <v>1</v>
          </cell>
          <cell r="I121">
            <v>1</v>
          </cell>
          <cell r="J121">
            <v>1</v>
          </cell>
          <cell r="K121">
            <v>2</v>
          </cell>
          <cell r="L121">
            <v>1</v>
          </cell>
          <cell r="M121">
            <v>1</v>
          </cell>
          <cell r="N121">
            <v>1</v>
          </cell>
          <cell r="O121">
            <v>1</v>
          </cell>
          <cell r="P121">
            <v>1</v>
          </cell>
          <cell r="Q121">
            <v>2</v>
          </cell>
          <cell r="R121" t="str">
            <v>ហឿត ចន្ត្រា (HOEURT CHANTRA)</v>
          </cell>
          <cell r="S121" t="str">
            <v>អតិថិជនទូទៅ (General Customer)</v>
          </cell>
          <cell r="T121">
            <v>4035</v>
          </cell>
          <cell r="V121">
            <v>0</v>
          </cell>
          <cell r="Y121">
            <v>18.38</v>
          </cell>
          <cell r="Z121">
            <v>0</v>
          </cell>
          <cell r="AA121">
            <v>0</v>
          </cell>
          <cell r="AB121">
            <v>0</v>
          </cell>
          <cell r="AC121">
            <v>18.38</v>
          </cell>
          <cell r="AD121">
            <v>1</v>
          </cell>
          <cell r="AE121">
            <v>258</v>
          </cell>
          <cell r="AF121">
            <v>1</v>
          </cell>
          <cell r="AG121">
            <v>2</v>
          </cell>
          <cell r="AH121">
            <v>7</v>
          </cell>
          <cell r="AI121">
            <v>2026</v>
          </cell>
          <cell r="AJ121">
            <v>114</v>
          </cell>
        </row>
        <row r="122">
          <cell r="E122" t="str">
            <v>CI2026-0306</v>
          </cell>
          <cell r="F122">
            <v>46212</v>
          </cell>
          <cell r="G122">
            <v>46256.631458333337</v>
          </cell>
          <cell r="H122">
            <v>1</v>
          </cell>
          <cell r="I122">
            <v>1</v>
          </cell>
          <cell r="J122">
            <v>1</v>
          </cell>
          <cell r="K122">
            <v>2</v>
          </cell>
          <cell r="L122">
            <v>1</v>
          </cell>
          <cell r="M122">
            <v>1</v>
          </cell>
          <cell r="N122">
            <v>1</v>
          </cell>
          <cell r="O122">
            <v>1</v>
          </cell>
          <cell r="P122">
            <v>1</v>
          </cell>
          <cell r="Q122">
            <v>2</v>
          </cell>
          <cell r="R122" t="str">
            <v>ហឿត ចន្ត្រា (HOEURT CHANTRA)</v>
          </cell>
          <cell r="S122" t="str">
            <v>អតិថិជនទូទៅ (General Customer)</v>
          </cell>
          <cell r="T122">
            <v>4036</v>
          </cell>
          <cell r="V122">
            <v>0</v>
          </cell>
          <cell r="Y122">
            <v>84.75</v>
          </cell>
          <cell r="Z122">
            <v>0</v>
          </cell>
          <cell r="AA122">
            <v>0</v>
          </cell>
          <cell r="AB122">
            <v>0</v>
          </cell>
          <cell r="AC122">
            <v>84.75</v>
          </cell>
          <cell r="AD122">
            <v>1</v>
          </cell>
          <cell r="AE122">
            <v>268</v>
          </cell>
          <cell r="AF122">
            <v>1</v>
          </cell>
          <cell r="AG122">
            <v>2</v>
          </cell>
          <cell r="AH122">
            <v>7</v>
          </cell>
          <cell r="AI122">
            <v>2026</v>
          </cell>
          <cell r="AJ122">
            <v>115</v>
          </cell>
        </row>
        <row r="123">
          <cell r="E123" t="str">
            <v>CI2026-0307</v>
          </cell>
          <cell r="F123">
            <v>46212</v>
          </cell>
          <cell r="G123">
            <v>46256.645624999997</v>
          </cell>
          <cell r="H123">
            <v>1</v>
          </cell>
          <cell r="I123">
            <v>1</v>
          </cell>
          <cell r="J123">
            <v>1</v>
          </cell>
          <cell r="K123">
            <v>2</v>
          </cell>
          <cell r="L123">
            <v>1</v>
          </cell>
          <cell r="M123">
            <v>1</v>
          </cell>
          <cell r="N123">
            <v>1</v>
          </cell>
          <cell r="O123">
            <v>1</v>
          </cell>
          <cell r="P123">
            <v>1</v>
          </cell>
          <cell r="Q123">
            <v>2</v>
          </cell>
          <cell r="R123" t="str">
            <v>ហឿត ចន្ត្រា (HOEURT CHANTRA)</v>
          </cell>
          <cell r="S123" t="str">
            <v>អតិថិជនទូទៅ (General Customer)</v>
          </cell>
          <cell r="T123">
            <v>4036</v>
          </cell>
          <cell r="V123">
            <v>0</v>
          </cell>
          <cell r="Y123">
            <v>65.25</v>
          </cell>
          <cell r="Z123">
            <v>0</v>
          </cell>
          <cell r="AA123">
            <v>0</v>
          </cell>
          <cell r="AB123">
            <v>0</v>
          </cell>
          <cell r="AC123">
            <v>65.25</v>
          </cell>
          <cell r="AD123">
            <v>1</v>
          </cell>
          <cell r="AE123">
            <v>274</v>
          </cell>
          <cell r="AF123">
            <v>1</v>
          </cell>
          <cell r="AG123">
            <v>2</v>
          </cell>
          <cell r="AH123">
            <v>7</v>
          </cell>
          <cell r="AI123">
            <v>2026</v>
          </cell>
          <cell r="AJ123">
            <v>116</v>
          </cell>
        </row>
        <row r="124">
          <cell r="E124" t="str">
            <v>CI2026-0308</v>
          </cell>
          <cell r="F124">
            <v>46213</v>
          </cell>
          <cell r="G124">
            <v>46256.696261574078</v>
          </cell>
          <cell r="H124">
            <v>1</v>
          </cell>
          <cell r="I124">
            <v>1</v>
          </cell>
          <cell r="J124">
            <v>1</v>
          </cell>
          <cell r="K124">
            <v>2</v>
          </cell>
          <cell r="L124">
            <v>1</v>
          </cell>
          <cell r="M124">
            <v>1</v>
          </cell>
          <cell r="N124">
            <v>1</v>
          </cell>
          <cell r="O124">
            <v>1</v>
          </cell>
          <cell r="P124">
            <v>1</v>
          </cell>
          <cell r="Q124">
            <v>2</v>
          </cell>
          <cell r="R124" t="str">
            <v>ហឿត ចន្ត្រា (HOEURT CHANTRA)</v>
          </cell>
          <cell r="S124" t="str">
            <v>អតិថិជនទូទៅ (General Customer)</v>
          </cell>
          <cell r="T124">
            <v>4036</v>
          </cell>
          <cell r="V124">
            <v>0</v>
          </cell>
          <cell r="Y124">
            <v>47.13</v>
          </cell>
          <cell r="Z124">
            <v>0</v>
          </cell>
          <cell r="AA124">
            <v>0</v>
          </cell>
          <cell r="AB124">
            <v>0</v>
          </cell>
          <cell r="AC124">
            <v>47.13</v>
          </cell>
          <cell r="AD124">
            <v>1</v>
          </cell>
          <cell r="AE124">
            <v>277</v>
          </cell>
          <cell r="AF124">
            <v>1</v>
          </cell>
          <cell r="AG124">
            <v>2</v>
          </cell>
          <cell r="AH124">
            <v>7</v>
          </cell>
          <cell r="AI124">
            <v>2026</v>
          </cell>
          <cell r="AJ124">
            <v>117</v>
          </cell>
        </row>
        <row r="125">
          <cell r="E125" t="str">
            <v>CI2026-0309</v>
          </cell>
          <cell r="F125">
            <v>46213</v>
          </cell>
          <cell r="G125">
            <v>46256.699907407405</v>
          </cell>
          <cell r="H125">
            <v>1</v>
          </cell>
          <cell r="I125">
            <v>1</v>
          </cell>
          <cell r="J125">
            <v>1</v>
          </cell>
          <cell r="K125">
            <v>2</v>
          </cell>
          <cell r="L125">
            <v>1</v>
          </cell>
          <cell r="M125">
            <v>1</v>
          </cell>
          <cell r="N125">
            <v>1</v>
          </cell>
          <cell r="O125">
            <v>1</v>
          </cell>
          <cell r="P125">
            <v>1</v>
          </cell>
          <cell r="Q125">
            <v>2</v>
          </cell>
          <cell r="R125" t="str">
            <v>ហឿត ចន្ត្រា (HOEURT CHANTRA)</v>
          </cell>
          <cell r="S125" t="str">
            <v>អតិថិជនទូទៅ (General Customer)</v>
          </cell>
          <cell r="T125">
            <v>4036</v>
          </cell>
          <cell r="V125">
            <v>0</v>
          </cell>
          <cell r="Y125">
            <v>38</v>
          </cell>
          <cell r="Z125">
            <v>0</v>
          </cell>
          <cell r="AA125">
            <v>0</v>
          </cell>
          <cell r="AB125">
            <v>0</v>
          </cell>
          <cell r="AC125">
            <v>38</v>
          </cell>
          <cell r="AD125">
            <v>1</v>
          </cell>
          <cell r="AE125">
            <v>281</v>
          </cell>
          <cell r="AF125">
            <v>1</v>
          </cell>
          <cell r="AG125">
            <v>2</v>
          </cell>
          <cell r="AH125">
            <v>7</v>
          </cell>
          <cell r="AI125">
            <v>2026</v>
          </cell>
          <cell r="AJ125">
            <v>118</v>
          </cell>
        </row>
        <row r="126">
          <cell r="E126" t="str">
            <v>CI2026-0310</v>
          </cell>
          <cell r="F126">
            <v>46213</v>
          </cell>
          <cell r="G126">
            <v>46256.714675925927</v>
          </cell>
          <cell r="H126">
            <v>1</v>
          </cell>
          <cell r="I126">
            <v>1</v>
          </cell>
          <cell r="J126">
            <v>1</v>
          </cell>
          <cell r="K126">
            <v>2</v>
          </cell>
          <cell r="L126">
            <v>1</v>
          </cell>
          <cell r="M126">
            <v>1</v>
          </cell>
          <cell r="N126">
            <v>1</v>
          </cell>
          <cell r="O126">
            <v>1</v>
          </cell>
          <cell r="P126">
            <v>1</v>
          </cell>
          <cell r="Q126">
            <v>2</v>
          </cell>
          <cell r="R126" t="str">
            <v>ហឿត ចន្ត្រា (HOEURT CHANTRA)</v>
          </cell>
          <cell r="S126" t="str">
            <v>អតិថិជនទូទៅ (General Customer)</v>
          </cell>
          <cell r="T126">
            <v>4036</v>
          </cell>
          <cell r="V126">
            <v>0</v>
          </cell>
          <cell r="Y126">
            <v>65</v>
          </cell>
          <cell r="Z126">
            <v>0</v>
          </cell>
          <cell r="AA126">
            <v>0</v>
          </cell>
          <cell r="AB126">
            <v>0</v>
          </cell>
          <cell r="AC126">
            <v>65</v>
          </cell>
          <cell r="AD126">
            <v>1</v>
          </cell>
          <cell r="AE126">
            <v>285</v>
          </cell>
          <cell r="AF126">
            <v>1</v>
          </cell>
          <cell r="AG126">
            <v>2</v>
          </cell>
          <cell r="AH126">
            <v>7</v>
          </cell>
          <cell r="AI126">
            <v>2026</v>
          </cell>
          <cell r="AJ126">
            <v>119</v>
          </cell>
        </row>
        <row r="127">
          <cell r="E127" t="str">
            <v>CI2026-0311</v>
          </cell>
          <cell r="F127">
            <v>46214</v>
          </cell>
          <cell r="G127">
            <v>46256.717303240737</v>
          </cell>
          <cell r="H127">
            <v>1</v>
          </cell>
          <cell r="I127">
            <v>1</v>
          </cell>
          <cell r="J127">
            <v>1</v>
          </cell>
          <cell r="K127">
            <v>2</v>
          </cell>
          <cell r="L127">
            <v>1</v>
          </cell>
          <cell r="M127">
            <v>1</v>
          </cell>
          <cell r="N127">
            <v>1</v>
          </cell>
          <cell r="O127">
            <v>1</v>
          </cell>
          <cell r="P127">
            <v>1</v>
          </cell>
          <cell r="Q127">
            <v>2</v>
          </cell>
          <cell r="R127" t="str">
            <v>ហឿត ចន្ត្រា (HOEURT CHANTRA)</v>
          </cell>
          <cell r="S127" t="str">
            <v>អតិថិជនទូទៅ (General Customer)</v>
          </cell>
          <cell r="T127">
            <v>4036</v>
          </cell>
          <cell r="V127">
            <v>0</v>
          </cell>
          <cell r="Y127">
            <v>60.5</v>
          </cell>
          <cell r="Z127">
            <v>0</v>
          </cell>
          <cell r="AA127">
            <v>0</v>
          </cell>
          <cell r="AB127">
            <v>0</v>
          </cell>
          <cell r="AC127">
            <v>60.5</v>
          </cell>
          <cell r="AD127">
            <v>1</v>
          </cell>
          <cell r="AE127">
            <v>291</v>
          </cell>
          <cell r="AF127">
            <v>1</v>
          </cell>
          <cell r="AG127">
            <v>2</v>
          </cell>
          <cell r="AH127">
            <v>7</v>
          </cell>
          <cell r="AI127">
            <v>2026</v>
          </cell>
          <cell r="AJ127">
            <v>120</v>
          </cell>
        </row>
        <row r="128">
          <cell r="E128" t="str">
            <v>CI2026-0312</v>
          </cell>
          <cell r="F128">
            <v>46214</v>
          </cell>
          <cell r="G128">
            <v>46256.724224537036</v>
          </cell>
          <cell r="H128">
            <v>1</v>
          </cell>
          <cell r="I128">
            <v>1</v>
          </cell>
          <cell r="J128">
            <v>1</v>
          </cell>
          <cell r="K128">
            <v>2</v>
          </cell>
          <cell r="L128">
            <v>1</v>
          </cell>
          <cell r="M128">
            <v>1</v>
          </cell>
          <cell r="N128">
            <v>1</v>
          </cell>
          <cell r="O128">
            <v>1</v>
          </cell>
          <cell r="P128">
            <v>1</v>
          </cell>
          <cell r="Q128">
            <v>2</v>
          </cell>
          <cell r="R128" t="str">
            <v>ហឿត ចន្ត្រា (HOEURT CHANTRA)</v>
          </cell>
          <cell r="S128" t="str">
            <v>អតិថិជនទូទៅ (General Customer)</v>
          </cell>
          <cell r="T128">
            <v>4036</v>
          </cell>
          <cell r="V128">
            <v>0</v>
          </cell>
          <cell r="Y128">
            <v>51.63</v>
          </cell>
          <cell r="Z128">
            <v>0</v>
          </cell>
          <cell r="AA128">
            <v>0</v>
          </cell>
          <cell r="AB128">
            <v>0</v>
          </cell>
          <cell r="AC128">
            <v>51.63</v>
          </cell>
          <cell r="AD128">
            <v>1</v>
          </cell>
          <cell r="AE128">
            <v>295</v>
          </cell>
          <cell r="AF128">
            <v>1</v>
          </cell>
          <cell r="AG128">
            <v>2</v>
          </cell>
          <cell r="AH128">
            <v>7</v>
          </cell>
          <cell r="AI128">
            <v>2026</v>
          </cell>
          <cell r="AJ128">
            <v>121</v>
          </cell>
        </row>
        <row r="129">
          <cell r="E129" t="str">
            <v>CI2026-0313</v>
          </cell>
          <cell r="F129">
            <v>46214</v>
          </cell>
          <cell r="G129">
            <v>46256.86378472222</v>
          </cell>
          <cell r="H129">
            <v>1</v>
          </cell>
          <cell r="I129">
            <v>1</v>
          </cell>
          <cell r="J129">
            <v>1</v>
          </cell>
          <cell r="K129">
            <v>2</v>
          </cell>
          <cell r="L129">
            <v>1</v>
          </cell>
          <cell r="M129">
            <v>1</v>
          </cell>
          <cell r="N129">
            <v>1</v>
          </cell>
          <cell r="O129">
            <v>1</v>
          </cell>
          <cell r="P129">
            <v>1</v>
          </cell>
          <cell r="Q129">
            <v>2</v>
          </cell>
          <cell r="R129" t="str">
            <v>ហឿត ចន្ត្រា (HOEURT CHANTRA)</v>
          </cell>
          <cell r="S129" t="str">
            <v>អតិថិជនទូទៅ (General Customer)</v>
          </cell>
          <cell r="T129">
            <v>4036</v>
          </cell>
          <cell r="V129">
            <v>0</v>
          </cell>
          <cell r="Y129">
            <v>33</v>
          </cell>
          <cell r="Z129">
            <v>0</v>
          </cell>
          <cell r="AA129">
            <v>0</v>
          </cell>
          <cell r="AB129">
            <v>0</v>
          </cell>
          <cell r="AC129">
            <v>33</v>
          </cell>
          <cell r="AD129">
            <v>1</v>
          </cell>
          <cell r="AE129">
            <v>300</v>
          </cell>
          <cell r="AF129">
            <v>1</v>
          </cell>
          <cell r="AG129">
            <v>2</v>
          </cell>
          <cell r="AH129">
            <v>7</v>
          </cell>
          <cell r="AI129">
            <v>2026</v>
          </cell>
          <cell r="AJ129">
            <v>122</v>
          </cell>
        </row>
        <row r="130">
          <cell r="E130" t="str">
            <v>CI2026-0314</v>
          </cell>
          <cell r="F130">
            <v>46215</v>
          </cell>
          <cell r="G130">
            <v>46256.873796296299</v>
          </cell>
          <cell r="H130">
            <v>1</v>
          </cell>
          <cell r="I130">
            <v>1</v>
          </cell>
          <cell r="J130">
            <v>1</v>
          </cell>
          <cell r="K130">
            <v>2</v>
          </cell>
          <cell r="L130">
            <v>1</v>
          </cell>
          <cell r="M130">
            <v>1</v>
          </cell>
          <cell r="N130">
            <v>1</v>
          </cell>
          <cell r="O130">
            <v>1</v>
          </cell>
          <cell r="P130">
            <v>1</v>
          </cell>
          <cell r="Q130">
            <v>2</v>
          </cell>
          <cell r="R130" t="str">
            <v>ហឿត ចន្ត្រា (HOEURT CHANTRA)</v>
          </cell>
          <cell r="S130" t="str">
            <v>អតិថិជនទូទៅ (General Customer)</v>
          </cell>
          <cell r="T130">
            <v>4036</v>
          </cell>
          <cell r="V130">
            <v>0</v>
          </cell>
          <cell r="Y130">
            <v>62.75</v>
          </cell>
          <cell r="Z130">
            <v>0</v>
          </cell>
          <cell r="AA130">
            <v>0</v>
          </cell>
          <cell r="AB130">
            <v>0</v>
          </cell>
          <cell r="AC130">
            <v>62.75</v>
          </cell>
          <cell r="AD130">
            <v>1</v>
          </cell>
          <cell r="AE130">
            <v>301</v>
          </cell>
          <cell r="AF130">
            <v>1</v>
          </cell>
          <cell r="AG130">
            <v>2</v>
          </cell>
          <cell r="AH130">
            <v>7</v>
          </cell>
          <cell r="AI130">
            <v>2026</v>
          </cell>
          <cell r="AJ130">
            <v>123</v>
          </cell>
        </row>
        <row r="131">
          <cell r="E131" t="str">
            <v>CI2026-0315</v>
          </cell>
          <cell r="F131">
            <v>46215</v>
          </cell>
          <cell r="G131">
            <v>46256.880694444444</v>
          </cell>
          <cell r="H131">
            <v>1</v>
          </cell>
          <cell r="I131">
            <v>1</v>
          </cell>
          <cell r="J131">
            <v>1</v>
          </cell>
          <cell r="K131">
            <v>2</v>
          </cell>
          <cell r="L131">
            <v>1</v>
          </cell>
          <cell r="M131">
            <v>1</v>
          </cell>
          <cell r="N131">
            <v>1</v>
          </cell>
          <cell r="O131">
            <v>1</v>
          </cell>
          <cell r="P131">
            <v>1</v>
          </cell>
          <cell r="Q131">
            <v>2</v>
          </cell>
          <cell r="R131" t="str">
            <v>ហឿត ចន្ត្រា (HOEURT CHANTRA)</v>
          </cell>
          <cell r="S131" t="str">
            <v>អតិថិជនទូទៅ (General Customer)</v>
          </cell>
          <cell r="T131">
            <v>4036</v>
          </cell>
          <cell r="V131">
            <v>0</v>
          </cell>
          <cell r="Y131">
            <v>45</v>
          </cell>
          <cell r="Z131">
            <v>0</v>
          </cell>
          <cell r="AA131">
            <v>0</v>
          </cell>
          <cell r="AB131">
            <v>0</v>
          </cell>
          <cell r="AC131">
            <v>45</v>
          </cell>
          <cell r="AD131">
            <v>1</v>
          </cell>
          <cell r="AE131">
            <v>305</v>
          </cell>
          <cell r="AF131">
            <v>1</v>
          </cell>
          <cell r="AG131">
            <v>2</v>
          </cell>
          <cell r="AH131">
            <v>7</v>
          </cell>
          <cell r="AI131">
            <v>2026</v>
          </cell>
          <cell r="AJ131">
            <v>124</v>
          </cell>
        </row>
        <row r="132">
          <cell r="E132" t="str">
            <v>CI2026-0316</v>
          </cell>
          <cell r="F132">
            <v>46215</v>
          </cell>
          <cell r="G132">
            <v>46256.887245370373</v>
          </cell>
          <cell r="H132">
            <v>1</v>
          </cell>
          <cell r="I132">
            <v>1</v>
          </cell>
          <cell r="J132">
            <v>1</v>
          </cell>
          <cell r="K132">
            <v>2</v>
          </cell>
          <cell r="L132">
            <v>1</v>
          </cell>
          <cell r="M132">
            <v>1</v>
          </cell>
          <cell r="N132">
            <v>1</v>
          </cell>
          <cell r="O132">
            <v>1</v>
          </cell>
          <cell r="P132">
            <v>1</v>
          </cell>
          <cell r="Q132">
            <v>2</v>
          </cell>
          <cell r="R132" t="str">
            <v>ហឿត ចន្ត្រា (HOEURT CHANTRA)</v>
          </cell>
          <cell r="S132" t="str">
            <v>អតិថិជនទូទៅ (General Customer)</v>
          </cell>
          <cell r="T132">
            <v>4036</v>
          </cell>
          <cell r="V132">
            <v>0</v>
          </cell>
          <cell r="Y132">
            <v>76.25</v>
          </cell>
          <cell r="Z132">
            <v>0</v>
          </cell>
          <cell r="AA132">
            <v>0</v>
          </cell>
          <cell r="AB132">
            <v>0</v>
          </cell>
          <cell r="AC132">
            <v>76.25</v>
          </cell>
          <cell r="AD132">
            <v>1</v>
          </cell>
          <cell r="AE132">
            <v>309</v>
          </cell>
          <cell r="AF132">
            <v>1</v>
          </cell>
          <cell r="AG132">
            <v>2</v>
          </cell>
          <cell r="AH132">
            <v>7</v>
          </cell>
          <cell r="AI132">
            <v>2026</v>
          </cell>
          <cell r="AJ132">
            <v>125</v>
          </cell>
        </row>
        <row r="133">
          <cell r="E133" t="str">
            <v>CI2026-0317</v>
          </cell>
          <cell r="F133">
            <v>46216</v>
          </cell>
          <cell r="G133">
            <v>46256.891053240739</v>
          </cell>
          <cell r="H133">
            <v>1</v>
          </cell>
          <cell r="I133">
            <v>1</v>
          </cell>
          <cell r="J133">
            <v>1</v>
          </cell>
          <cell r="K133">
            <v>2</v>
          </cell>
          <cell r="L133">
            <v>1</v>
          </cell>
          <cell r="M133">
            <v>1</v>
          </cell>
          <cell r="N133">
            <v>1</v>
          </cell>
          <cell r="O133">
            <v>1</v>
          </cell>
          <cell r="P133">
            <v>1</v>
          </cell>
          <cell r="Q133">
            <v>2</v>
          </cell>
          <cell r="R133" t="str">
            <v>ហឿត ចន្ត្រា (HOEURT CHANTRA)</v>
          </cell>
          <cell r="S133" t="str">
            <v>អតិថិជនទូទៅ (General Customer)</v>
          </cell>
          <cell r="T133">
            <v>4037</v>
          </cell>
          <cell r="V133">
            <v>0</v>
          </cell>
          <cell r="Y133">
            <v>52.5</v>
          </cell>
          <cell r="Z133">
            <v>0</v>
          </cell>
          <cell r="AA133">
            <v>0</v>
          </cell>
          <cell r="AB133">
            <v>0</v>
          </cell>
          <cell r="AC133">
            <v>52.5</v>
          </cell>
          <cell r="AD133">
            <v>1</v>
          </cell>
          <cell r="AE133">
            <v>312</v>
          </cell>
          <cell r="AF133">
            <v>1</v>
          </cell>
          <cell r="AG133">
            <v>2</v>
          </cell>
          <cell r="AH133">
            <v>7</v>
          </cell>
          <cell r="AI133">
            <v>2026</v>
          </cell>
          <cell r="AJ133">
            <v>126</v>
          </cell>
        </row>
        <row r="134">
          <cell r="E134" t="str">
            <v>CI2026-0318</v>
          </cell>
          <cell r="F134">
            <v>46216</v>
          </cell>
          <cell r="G134">
            <v>46256.89403935185</v>
          </cell>
          <cell r="H134">
            <v>1</v>
          </cell>
          <cell r="I134">
            <v>1</v>
          </cell>
          <cell r="J134">
            <v>1</v>
          </cell>
          <cell r="K134">
            <v>2</v>
          </cell>
          <cell r="L134">
            <v>1</v>
          </cell>
          <cell r="M134">
            <v>1</v>
          </cell>
          <cell r="N134">
            <v>1</v>
          </cell>
          <cell r="O134">
            <v>1</v>
          </cell>
          <cell r="P134">
            <v>1</v>
          </cell>
          <cell r="Q134">
            <v>2</v>
          </cell>
          <cell r="R134" t="str">
            <v>ហឿត ចន្ត្រា (HOEURT CHANTRA)</v>
          </cell>
          <cell r="S134" t="str">
            <v>អតិថិជនទូទៅ (General Customer)</v>
          </cell>
          <cell r="T134">
            <v>4037</v>
          </cell>
          <cell r="V134">
            <v>0</v>
          </cell>
          <cell r="Y134">
            <v>42.75</v>
          </cell>
          <cell r="Z134">
            <v>0</v>
          </cell>
          <cell r="AA134">
            <v>0</v>
          </cell>
          <cell r="AB134">
            <v>0</v>
          </cell>
          <cell r="AC134">
            <v>42.75</v>
          </cell>
          <cell r="AD134">
            <v>1</v>
          </cell>
          <cell r="AE134">
            <v>317</v>
          </cell>
          <cell r="AF134">
            <v>1</v>
          </cell>
          <cell r="AG134">
            <v>2</v>
          </cell>
          <cell r="AH134">
            <v>7</v>
          </cell>
          <cell r="AI134">
            <v>2026</v>
          </cell>
          <cell r="AJ134">
            <v>127</v>
          </cell>
        </row>
        <row r="135">
          <cell r="E135" t="str">
            <v>CI2026-0319</v>
          </cell>
          <cell r="F135">
            <v>46217</v>
          </cell>
          <cell r="G135">
            <v>46256.899155092593</v>
          </cell>
          <cell r="H135">
            <v>1</v>
          </cell>
          <cell r="I135">
            <v>1</v>
          </cell>
          <cell r="J135">
            <v>1</v>
          </cell>
          <cell r="K135">
            <v>2</v>
          </cell>
          <cell r="L135">
            <v>1</v>
          </cell>
          <cell r="M135">
            <v>1</v>
          </cell>
          <cell r="N135">
            <v>1</v>
          </cell>
          <cell r="O135">
            <v>1</v>
          </cell>
          <cell r="P135">
            <v>1</v>
          </cell>
          <cell r="Q135">
            <v>2</v>
          </cell>
          <cell r="R135" t="str">
            <v>ហឿត ចន្ត្រា (HOEURT CHANTRA)</v>
          </cell>
          <cell r="S135" t="str">
            <v>អតិថិជនទូទៅ (General Customer)</v>
          </cell>
          <cell r="T135">
            <v>4037</v>
          </cell>
          <cell r="V135">
            <v>0</v>
          </cell>
          <cell r="Y135">
            <v>39.880000000000003</v>
          </cell>
          <cell r="Z135">
            <v>0</v>
          </cell>
          <cell r="AA135">
            <v>0</v>
          </cell>
          <cell r="AB135">
            <v>0</v>
          </cell>
          <cell r="AC135">
            <v>39.880000000000003</v>
          </cell>
          <cell r="AD135">
            <v>1</v>
          </cell>
          <cell r="AE135">
            <v>333</v>
          </cell>
          <cell r="AF135">
            <v>1</v>
          </cell>
          <cell r="AG135">
            <v>2</v>
          </cell>
          <cell r="AH135">
            <v>7</v>
          </cell>
          <cell r="AI135">
            <v>2026</v>
          </cell>
          <cell r="AJ135">
            <v>128</v>
          </cell>
        </row>
        <row r="136">
          <cell r="E136" t="str">
            <v>CI2026-0320</v>
          </cell>
          <cell r="F136">
            <v>46217</v>
          </cell>
          <cell r="G136">
            <v>46256.915138888886</v>
          </cell>
          <cell r="H136">
            <v>1</v>
          </cell>
          <cell r="I136">
            <v>1</v>
          </cell>
          <cell r="J136">
            <v>1</v>
          </cell>
          <cell r="K136">
            <v>2</v>
          </cell>
          <cell r="L136">
            <v>1</v>
          </cell>
          <cell r="M136">
            <v>1</v>
          </cell>
          <cell r="N136">
            <v>1</v>
          </cell>
          <cell r="O136">
            <v>1</v>
          </cell>
          <cell r="P136">
            <v>1</v>
          </cell>
          <cell r="Q136">
            <v>2</v>
          </cell>
          <cell r="R136" t="str">
            <v>ហឿត ចន្ត្រា (HOEURT CHANTRA)</v>
          </cell>
          <cell r="S136" t="str">
            <v>អតិថិជនទូទៅ (General Customer)</v>
          </cell>
          <cell r="T136">
            <v>4037</v>
          </cell>
          <cell r="V136">
            <v>0</v>
          </cell>
          <cell r="Y136">
            <v>26.88</v>
          </cell>
          <cell r="Z136">
            <v>0</v>
          </cell>
          <cell r="AA136">
            <v>0</v>
          </cell>
          <cell r="AB136">
            <v>0</v>
          </cell>
          <cell r="AC136">
            <v>26.88</v>
          </cell>
          <cell r="AD136">
            <v>1</v>
          </cell>
          <cell r="AE136">
            <v>338</v>
          </cell>
          <cell r="AF136">
            <v>1</v>
          </cell>
          <cell r="AG136">
            <v>2</v>
          </cell>
          <cell r="AH136">
            <v>7</v>
          </cell>
          <cell r="AI136">
            <v>2026</v>
          </cell>
          <cell r="AJ136">
            <v>129</v>
          </cell>
        </row>
        <row r="137">
          <cell r="E137" t="str">
            <v>CI2026-0321</v>
          </cell>
          <cell r="F137">
            <v>46217</v>
          </cell>
          <cell r="G137">
            <v>46256.928981481484</v>
          </cell>
          <cell r="H137">
            <v>1</v>
          </cell>
          <cell r="I137">
            <v>1</v>
          </cell>
          <cell r="J137">
            <v>1</v>
          </cell>
          <cell r="K137">
            <v>2</v>
          </cell>
          <cell r="L137">
            <v>1</v>
          </cell>
          <cell r="M137">
            <v>1</v>
          </cell>
          <cell r="N137">
            <v>1</v>
          </cell>
          <cell r="O137">
            <v>1</v>
          </cell>
          <cell r="P137">
            <v>1</v>
          </cell>
          <cell r="Q137">
            <v>2</v>
          </cell>
          <cell r="R137" t="str">
            <v>ហឿត ចន្ត្រា (HOEURT CHANTRA)</v>
          </cell>
          <cell r="S137" t="str">
            <v>អតិថិជនទូទៅ (General Customer)</v>
          </cell>
          <cell r="T137">
            <v>4037</v>
          </cell>
          <cell r="V137">
            <v>0</v>
          </cell>
          <cell r="Y137">
            <v>35.25</v>
          </cell>
          <cell r="Z137">
            <v>0</v>
          </cell>
          <cell r="AA137">
            <v>0</v>
          </cell>
          <cell r="AB137">
            <v>0</v>
          </cell>
          <cell r="AC137">
            <v>35.25</v>
          </cell>
          <cell r="AD137">
            <v>1</v>
          </cell>
          <cell r="AE137">
            <v>339</v>
          </cell>
          <cell r="AF137">
            <v>1</v>
          </cell>
          <cell r="AG137">
            <v>2</v>
          </cell>
          <cell r="AH137">
            <v>7</v>
          </cell>
          <cell r="AI137">
            <v>2026</v>
          </cell>
          <cell r="AJ137">
            <v>130</v>
          </cell>
        </row>
        <row r="138">
          <cell r="E138" t="str">
            <v>CI2026-0322</v>
          </cell>
          <cell r="F138">
            <v>46218</v>
          </cell>
          <cell r="G138">
            <v>46256.93310185185</v>
          </cell>
          <cell r="H138">
            <v>1</v>
          </cell>
          <cell r="I138">
            <v>1</v>
          </cell>
          <cell r="J138">
            <v>1</v>
          </cell>
          <cell r="K138">
            <v>2</v>
          </cell>
          <cell r="L138">
            <v>1</v>
          </cell>
          <cell r="M138">
            <v>1</v>
          </cell>
          <cell r="N138">
            <v>1</v>
          </cell>
          <cell r="O138">
            <v>1</v>
          </cell>
          <cell r="P138">
            <v>1</v>
          </cell>
          <cell r="Q138">
            <v>2</v>
          </cell>
          <cell r="R138" t="str">
            <v>ហឿត ចន្ត្រា (HOEURT CHANTRA)</v>
          </cell>
          <cell r="S138" t="str">
            <v>អតិថិជនទូទៅ (General Customer)</v>
          </cell>
          <cell r="T138">
            <v>4037</v>
          </cell>
          <cell r="V138">
            <v>0</v>
          </cell>
          <cell r="Y138">
            <v>52.5</v>
          </cell>
          <cell r="Z138">
            <v>0</v>
          </cell>
          <cell r="AA138">
            <v>0</v>
          </cell>
          <cell r="AB138">
            <v>0</v>
          </cell>
          <cell r="AC138">
            <v>52.5</v>
          </cell>
          <cell r="AD138">
            <v>1</v>
          </cell>
          <cell r="AE138">
            <v>343</v>
          </cell>
          <cell r="AF138">
            <v>1</v>
          </cell>
          <cell r="AG138">
            <v>3</v>
          </cell>
          <cell r="AH138">
            <v>7</v>
          </cell>
          <cell r="AI138">
            <v>2026</v>
          </cell>
          <cell r="AJ138">
            <v>131</v>
          </cell>
        </row>
        <row r="139">
          <cell r="E139" t="str">
            <v>CI2026-0323</v>
          </cell>
          <cell r="F139">
            <v>46218</v>
          </cell>
          <cell r="G139">
            <v>46256.937488425923</v>
          </cell>
          <cell r="H139">
            <v>1</v>
          </cell>
          <cell r="I139">
            <v>1</v>
          </cell>
          <cell r="J139">
            <v>1</v>
          </cell>
          <cell r="K139">
            <v>2</v>
          </cell>
          <cell r="L139">
            <v>1</v>
          </cell>
          <cell r="M139">
            <v>1</v>
          </cell>
          <cell r="N139">
            <v>1</v>
          </cell>
          <cell r="O139">
            <v>1</v>
          </cell>
          <cell r="P139">
            <v>1</v>
          </cell>
          <cell r="Q139">
            <v>2</v>
          </cell>
          <cell r="R139" t="str">
            <v>ហឿត ចន្ត្រា (HOEURT CHANTRA)</v>
          </cell>
          <cell r="S139" t="str">
            <v>អតិថិជនទូទៅ (General Customer)</v>
          </cell>
          <cell r="T139">
            <v>4037</v>
          </cell>
          <cell r="V139">
            <v>0</v>
          </cell>
          <cell r="Y139">
            <v>34.5</v>
          </cell>
          <cell r="Z139">
            <v>0</v>
          </cell>
          <cell r="AA139">
            <v>0</v>
          </cell>
          <cell r="AB139">
            <v>0</v>
          </cell>
          <cell r="AC139">
            <v>34.5</v>
          </cell>
          <cell r="AD139">
            <v>1</v>
          </cell>
          <cell r="AE139">
            <v>344</v>
          </cell>
          <cell r="AF139">
            <v>1</v>
          </cell>
          <cell r="AG139">
            <v>3</v>
          </cell>
          <cell r="AH139">
            <v>7</v>
          </cell>
          <cell r="AI139">
            <v>2026</v>
          </cell>
          <cell r="AJ139">
            <v>132</v>
          </cell>
        </row>
        <row r="140">
          <cell r="E140" t="str">
            <v>CI2026-0324</v>
          </cell>
          <cell r="F140">
            <v>46218</v>
          </cell>
          <cell r="G140">
            <v>46256.939085648148</v>
          </cell>
          <cell r="H140">
            <v>1</v>
          </cell>
          <cell r="I140">
            <v>1</v>
          </cell>
          <cell r="J140">
            <v>1</v>
          </cell>
          <cell r="K140">
            <v>2</v>
          </cell>
          <cell r="L140">
            <v>1</v>
          </cell>
          <cell r="M140">
            <v>1</v>
          </cell>
          <cell r="N140">
            <v>1</v>
          </cell>
          <cell r="O140">
            <v>1</v>
          </cell>
          <cell r="P140">
            <v>1</v>
          </cell>
          <cell r="Q140">
            <v>2</v>
          </cell>
          <cell r="R140" t="str">
            <v>ហឿត ចន្ត្រា (HOEURT CHANTRA)</v>
          </cell>
          <cell r="S140" t="str">
            <v>អតិថិជនទូទៅ (General Customer)</v>
          </cell>
          <cell r="T140">
            <v>4037</v>
          </cell>
          <cell r="V140">
            <v>0</v>
          </cell>
          <cell r="Y140">
            <v>95</v>
          </cell>
          <cell r="Z140">
            <v>0</v>
          </cell>
          <cell r="AA140">
            <v>0</v>
          </cell>
          <cell r="AB140">
            <v>0</v>
          </cell>
          <cell r="AC140">
            <v>95</v>
          </cell>
          <cell r="AD140">
            <v>1</v>
          </cell>
          <cell r="AE140">
            <v>349</v>
          </cell>
          <cell r="AF140">
            <v>1</v>
          </cell>
          <cell r="AG140">
            <v>3</v>
          </cell>
          <cell r="AH140">
            <v>7</v>
          </cell>
          <cell r="AI140">
            <v>2026</v>
          </cell>
          <cell r="AJ140">
            <v>133</v>
          </cell>
        </row>
        <row r="141">
          <cell r="E141" t="str">
            <v>CI2026-0325</v>
          </cell>
          <cell r="F141">
            <v>46219</v>
          </cell>
          <cell r="G141">
            <v>46256.973900462966</v>
          </cell>
          <cell r="H141">
            <v>1</v>
          </cell>
          <cell r="I141">
            <v>1</v>
          </cell>
          <cell r="J141">
            <v>1</v>
          </cell>
          <cell r="K141">
            <v>2</v>
          </cell>
          <cell r="L141">
            <v>1</v>
          </cell>
          <cell r="M141">
            <v>1</v>
          </cell>
          <cell r="N141">
            <v>1</v>
          </cell>
          <cell r="O141">
            <v>1</v>
          </cell>
          <cell r="P141">
            <v>1</v>
          </cell>
          <cell r="Q141">
            <v>2</v>
          </cell>
          <cell r="R141" t="str">
            <v>ហឿត ចន្ត្រា (HOEURT CHANTRA)</v>
          </cell>
          <cell r="S141" t="str">
            <v>អតិថិជនទូទៅ (General Customer)</v>
          </cell>
          <cell r="T141">
            <v>4037</v>
          </cell>
          <cell r="V141">
            <v>0</v>
          </cell>
          <cell r="Y141">
            <v>159.25</v>
          </cell>
          <cell r="Z141">
            <v>0</v>
          </cell>
          <cell r="AA141">
            <v>0</v>
          </cell>
          <cell r="AB141">
            <v>0</v>
          </cell>
          <cell r="AC141">
            <v>159.25</v>
          </cell>
          <cell r="AD141">
            <v>1</v>
          </cell>
          <cell r="AE141">
            <v>351</v>
          </cell>
          <cell r="AF141">
            <v>1</v>
          </cell>
          <cell r="AG141">
            <v>3</v>
          </cell>
          <cell r="AH141">
            <v>7</v>
          </cell>
          <cell r="AI141">
            <v>2026</v>
          </cell>
          <cell r="AJ141">
            <v>134</v>
          </cell>
        </row>
        <row r="142">
          <cell r="E142" t="str">
            <v>CI2026-0326</v>
          </cell>
          <cell r="F142">
            <v>46219</v>
          </cell>
          <cell r="G142">
            <v>46256.974421296298</v>
          </cell>
          <cell r="H142">
            <v>1</v>
          </cell>
          <cell r="I142">
            <v>1</v>
          </cell>
          <cell r="J142">
            <v>1</v>
          </cell>
          <cell r="K142">
            <v>2</v>
          </cell>
          <cell r="L142">
            <v>1</v>
          </cell>
          <cell r="M142">
            <v>1</v>
          </cell>
          <cell r="N142">
            <v>1</v>
          </cell>
          <cell r="O142">
            <v>1</v>
          </cell>
          <cell r="P142">
            <v>1</v>
          </cell>
          <cell r="Q142">
            <v>2</v>
          </cell>
          <cell r="R142" t="str">
            <v>ហឿត ចន្ត្រា (HOEURT CHANTRA)</v>
          </cell>
          <cell r="S142" t="str">
            <v>អតិថិជនទូទៅ (General Customer)</v>
          </cell>
          <cell r="T142">
            <v>4037</v>
          </cell>
          <cell r="V142">
            <v>0</v>
          </cell>
          <cell r="Y142">
            <v>57</v>
          </cell>
          <cell r="Z142">
            <v>0</v>
          </cell>
          <cell r="AA142">
            <v>0</v>
          </cell>
          <cell r="AB142">
            <v>0</v>
          </cell>
          <cell r="AC142">
            <v>57</v>
          </cell>
          <cell r="AD142">
            <v>1</v>
          </cell>
          <cell r="AE142">
            <v>355</v>
          </cell>
          <cell r="AF142">
            <v>1</v>
          </cell>
          <cell r="AG142">
            <v>3</v>
          </cell>
          <cell r="AH142">
            <v>7</v>
          </cell>
          <cell r="AI142">
            <v>2026</v>
          </cell>
          <cell r="AJ142">
            <v>135</v>
          </cell>
        </row>
        <row r="143">
          <cell r="E143" t="str">
            <v>CI2026-0327</v>
          </cell>
          <cell r="F143">
            <v>46220</v>
          </cell>
          <cell r="G143">
            <v>46257.260995370372</v>
          </cell>
          <cell r="H143">
            <v>1</v>
          </cell>
          <cell r="I143">
            <v>1</v>
          </cell>
          <cell r="J143">
            <v>1</v>
          </cell>
          <cell r="K143">
            <v>2</v>
          </cell>
          <cell r="L143">
            <v>1</v>
          </cell>
          <cell r="M143">
            <v>1</v>
          </cell>
          <cell r="N143">
            <v>1</v>
          </cell>
          <cell r="O143">
            <v>1</v>
          </cell>
          <cell r="P143">
            <v>1</v>
          </cell>
          <cell r="Q143">
            <v>2</v>
          </cell>
          <cell r="R143" t="str">
            <v>ហឿត ចន្ត្រា (HOEURT CHANTRA)</v>
          </cell>
          <cell r="S143" t="str">
            <v>អតិថិជនទូទៅ (General Customer)</v>
          </cell>
          <cell r="T143">
            <v>4037</v>
          </cell>
          <cell r="V143">
            <v>0</v>
          </cell>
          <cell r="Y143">
            <v>23.5</v>
          </cell>
          <cell r="Z143">
            <v>0</v>
          </cell>
          <cell r="AA143">
            <v>0</v>
          </cell>
          <cell r="AB143">
            <v>0</v>
          </cell>
          <cell r="AC143">
            <v>23.5</v>
          </cell>
          <cell r="AD143">
            <v>1</v>
          </cell>
          <cell r="AE143">
            <v>360</v>
          </cell>
          <cell r="AF143">
            <v>1</v>
          </cell>
          <cell r="AG143">
            <v>3</v>
          </cell>
          <cell r="AH143">
            <v>7</v>
          </cell>
          <cell r="AI143">
            <v>2026</v>
          </cell>
          <cell r="AJ143">
            <v>136</v>
          </cell>
        </row>
        <row r="144">
          <cell r="E144" t="str">
            <v>CI2026-0328</v>
          </cell>
          <cell r="F144">
            <v>46220</v>
          </cell>
          <cell r="G144">
            <v>46257.263356481482</v>
          </cell>
          <cell r="H144">
            <v>1</v>
          </cell>
          <cell r="I144">
            <v>1</v>
          </cell>
          <cell r="J144">
            <v>1</v>
          </cell>
          <cell r="K144">
            <v>2</v>
          </cell>
          <cell r="L144">
            <v>1</v>
          </cell>
          <cell r="M144">
            <v>1</v>
          </cell>
          <cell r="N144">
            <v>1</v>
          </cell>
          <cell r="O144">
            <v>1</v>
          </cell>
          <cell r="P144">
            <v>1</v>
          </cell>
          <cell r="Q144">
            <v>2</v>
          </cell>
          <cell r="R144" t="str">
            <v>ហឿត ចន្ត្រា (HOEURT CHANTRA)</v>
          </cell>
          <cell r="S144" t="str">
            <v>អតិថិជនទូទៅ (General Customer)</v>
          </cell>
          <cell r="T144">
            <v>4037</v>
          </cell>
          <cell r="V144">
            <v>0</v>
          </cell>
          <cell r="Y144">
            <v>81.599999999999994</v>
          </cell>
          <cell r="Z144">
            <v>0</v>
          </cell>
          <cell r="AA144">
            <v>0</v>
          </cell>
          <cell r="AB144">
            <v>0</v>
          </cell>
          <cell r="AC144">
            <v>81.599999999999994</v>
          </cell>
          <cell r="AD144">
            <v>1</v>
          </cell>
          <cell r="AE144">
            <v>362</v>
          </cell>
          <cell r="AF144">
            <v>1</v>
          </cell>
          <cell r="AG144">
            <v>3</v>
          </cell>
          <cell r="AH144">
            <v>7</v>
          </cell>
          <cell r="AI144">
            <v>2026</v>
          </cell>
          <cell r="AJ144">
            <v>137</v>
          </cell>
        </row>
        <row r="145">
          <cell r="E145" t="str">
            <v>CI2026-0329</v>
          </cell>
          <cell r="F145">
            <v>46220</v>
          </cell>
          <cell r="G145">
            <v>46257.26635416667</v>
          </cell>
          <cell r="H145">
            <v>1</v>
          </cell>
          <cell r="I145">
            <v>1</v>
          </cell>
          <cell r="J145">
            <v>1</v>
          </cell>
          <cell r="K145">
            <v>2</v>
          </cell>
          <cell r="L145">
            <v>1</v>
          </cell>
          <cell r="M145">
            <v>1</v>
          </cell>
          <cell r="N145">
            <v>1</v>
          </cell>
          <cell r="O145">
            <v>1</v>
          </cell>
          <cell r="P145">
            <v>1</v>
          </cell>
          <cell r="Q145">
            <v>2</v>
          </cell>
          <cell r="R145" t="str">
            <v>ហឿត ចន្ត្រា (HOEURT CHANTRA)</v>
          </cell>
          <cell r="S145" t="str">
            <v>អតិថិជនទូទៅ (General Customer)</v>
          </cell>
          <cell r="T145">
            <v>4037</v>
          </cell>
          <cell r="V145">
            <v>0</v>
          </cell>
          <cell r="Y145">
            <v>45</v>
          </cell>
          <cell r="Z145">
            <v>0</v>
          </cell>
          <cell r="AA145">
            <v>0</v>
          </cell>
          <cell r="AB145">
            <v>0</v>
          </cell>
          <cell r="AC145">
            <v>45</v>
          </cell>
          <cell r="AD145">
            <v>1</v>
          </cell>
          <cell r="AE145">
            <v>365</v>
          </cell>
          <cell r="AF145">
            <v>1</v>
          </cell>
          <cell r="AG145">
            <v>3</v>
          </cell>
          <cell r="AH145">
            <v>7</v>
          </cell>
          <cell r="AI145">
            <v>2026</v>
          </cell>
          <cell r="AJ145">
            <v>138</v>
          </cell>
        </row>
        <row r="146">
          <cell r="E146" t="str">
            <v>CI2026-0330</v>
          </cell>
          <cell r="F146">
            <v>46221</v>
          </cell>
          <cell r="G146">
            <v>46257.268958333334</v>
          </cell>
          <cell r="H146">
            <v>1</v>
          </cell>
          <cell r="I146">
            <v>1</v>
          </cell>
          <cell r="J146">
            <v>1</v>
          </cell>
          <cell r="K146">
            <v>2</v>
          </cell>
          <cell r="L146">
            <v>1</v>
          </cell>
          <cell r="M146">
            <v>1</v>
          </cell>
          <cell r="N146">
            <v>1</v>
          </cell>
          <cell r="O146">
            <v>1</v>
          </cell>
          <cell r="P146">
            <v>1</v>
          </cell>
          <cell r="Q146">
            <v>2</v>
          </cell>
          <cell r="R146" t="str">
            <v>ហឿត ចន្ត្រា (HOEURT CHANTRA)</v>
          </cell>
          <cell r="S146" t="str">
            <v>អតិថិជនទូទៅ (General Customer)</v>
          </cell>
          <cell r="T146">
            <v>4037</v>
          </cell>
          <cell r="V146">
            <v>0</v>
          </cell>
          <cell r="Y146">
            <v>48.5</v>
          </cell>
          <cell r="Z146">
            <v>0</v>
          </cell>
          <cell r="AA146">
            <v>0</v>
          </cell>
          <cell r="AB146">
            <v>0</v>
          </cell>
          <cell r="AC146">
            <v>48.5</v>
          </cell>
          <cell r="AD146">
            <v>1</v>
          </cell>
          <cell r="AE146">
            <v>373</v>
          </cell>
          <cell r="AF146">
            <v>1</v>
          </cell>
          <cell r="AG146">
            <v>3</v>
          </cell>
          <cell r="AH146">
            <v>7</v>
          </cell>
          <cell r="AI146">
            <v>2026</v>
          </cell>
          <cell r="AJ146">
            <v>139</v>
          </cell>
        </row>
        <row r="147">
          <cell r="E147" t="str">
            <v>CI2026-0331</v>
          </cell>
          <cell r="F147">
            <v>46221</v>
          </cell>
          <cell r="G147">
            <v>46257.271111111113</v>
          </cell>
          <cell r="H147">
            <v>1</v>
          </cell>
          <cell r="I147">
            <v>1</v>
          </cell>
          <cell r="J147">
            <v>1</v>
          </cell>
          <cell r="K147">
            <v>2</v>
          </cell>
          <cell r="L147">
            <v>1</v>
          </cell>
          <cell r="M147">
            <v>1</v>
          </cell>
          <cell r="N147">
            <v>1</v>
          </cell>
          <cell r="O147">
            <v>1</v>
          </cell>
          <cell r="P147">
            <v>1</v>
          </cell>
          <cell r="Q147">
            <v>2</v>
          </cell>
          <cell r="R147" t="str">
            <v>ហឿត ចន្ត្រា (HOEURT CHANTRA)</v>
          </cell>
          <cell r="S147" t="str">
            <v>អតិថិជនទូទៅ (General Customer)</v>
          </cell>
          <cell r="T147">
            <v>4037</v>
          </cell>
          <cell r="V147">
            <v>0</v>
          </cell>
          <cell r="Y147">
            <v>90</v>
          </cell>
          <cell r="Z147">
            <v>0</v>
          </cell>
          <cell r="AA147">
            <v>0</v>
          </cell>
          <cell r="AB147">
            <v>0</v>
          </cell>
          <cell r="AC147">
            <v>90</v>
          </cell>
          <cell r="AD147">
            <v>1</v>
          </cell>
          <cell r="AE147">
            <v>374</v>
          </cell>
          <cell r="AF147">
            <v>1</v>
          </cell>
          <cell r="AG147">
            <v>3</v>
          </cell>
          <cell r="AH147">
            <v>7</v>
          </cell>
          <cell r="AI147">
            <v>2026</v>
          </cell>
          <cell r="AJ147">
            <v>140</v>
          </cell>
        </row>
        <row r="148">
          <cell r="E148" t="str">
            <v>CI2026-0332</v>
          </cell>
          <cell r="F148">
            <v>46221</v>
          </cell>
          <cell r="G148">
            <v>46257.27753472222</v>
          </cell>
          <cell r="H148">
            <v>1</v>
          </cell>
          <cell r="I148">
            <v>1</v>
          </cell>
          <cell r="J148">
            <v>1</v>
          </cell>
          <cell r="K148">
            <v>2</v>
          </cell>
          <cell r="L148">
            <v>1</v>
          </cell>
          <cell r="M148">
            <v>1</v>
          </cell>
          <cell r="N148">
            <v>1</v>
          </cell>
          <cell r="O148">
            <v>1</v>
          </cell>
          <cell r="P148">
            <v>1</v>
          </cell>
          <cell r="Q148">
            <v>2</v>
          </cell>
          <cell r="R148" t="str">
            <v>ហឿត ចន្ត្រា (HOEURT CHANTRA)</v>
          </cell>
          <cell r="S148" t="str">
            <v>អតិថិជនទូទៅ (General Customer)</v>
          </cell>
          <cell r="T148">
            <v>4037</v>
          </cell>
          <cell r="V148">
            <v>0</v>
          </cell>
          <cell r="Y148">
            <v>53.25</v>
          </cell>
          <cell r="Z148">
            <v>0</v>
          </cell>
          <cell r="AA148">
            <v>0</v>
          </cell>
          <cell r="AB148">
            <v>0</v>
          </cell>
          <cell r="AC148">
            <v>53.25</v>
          </cell>
          <cell r="AD148">
            <v>1</v>
          </cell>
          <cell r="AE148">
            <v>377</v>
          </cell>
          <cell r="AF148">
            <v>1</v>
          </cell>
          <cell r="AG148">
            <v>3</v>
          </cell>
          <cell r="AH148">
            <v>7</v>
          </cell>
          <cell r="AI148">
            <v>2026</v>
          </cell>
          <cell r="AJ148">
            <v>141</v>
          </cell>
        </row>
        <row r="149">
          <cell r="E149" t="str">
            <v>CI2026-0333</v>
          </cell>
          <cell r="F149">
            <v>46222</v>
          </cell>
          <cell r="G149">
            <v>46257.283020833333</v>
          </cell>
          <cell r="H149">
            <v>1</v>
          </cell>
          <cell r="I149">
            <v>1</v>
          </cell>
          <cell r="J149">
            <v>1</v>
          </cell>
          <cell r="K149">
            <v>2</v>
          </cell>
          <cell r="L149">
            <v>1</v>
          </cell>
          <cell r="M149">
            <v>1</v>
          </cell>
          <cell r="N149">
            <v>1</v>
          </cell>
          <cell r="O149">
            <v>1</v>
          </cell>
          <cell r="P149">
            <v>1</v>
          </cell>
          <cell r="Q149">
            <v>2</v>
          </cell>
          <cell r="R149" t="str">
            <v>ហឿត ចន្ត្រា (HOEURT CHANTRA)</v>
          </cell>
          <cell r="S149" t="str">
            <v>អតិថិជនទូទៅ (General Customer)</v>
          </cell>
          <cell r="T149">
            <v>4037</v>
          </cell>
          <cell r="V149">
            <v>0</v>
          </cell>
          <cell r="Y149">
            <v>87.5</v>
          </cell>
          <cell r="Z149">
            <v>0</v>
          </cell>
          <cell r="AA149">
            <v>0</v>
          </cell>
          <cell r="AB149">
            <v>0</v>
          </cell>
          <cell r="AC149">
            <v>87.5</v>
          </cell>
          <cell r="AD149">
            <v>1</v>
          </cell>
          <cell r="AE149">
            <v>391</v>
          </cell>
          <cell r="AF149">
            <v>1</v>
          </cell>
          <cell r="AG149">
            <v>3</v>
          </cell>
          <cell r="AH149">
            <v>7</v>
          </cell>
          <cell r="AI149">
            <v>2026</v>
          </cell>
          <cell r="AJ149">
            <v>142</v>
          </cell>
        </row>
        <row r="150">
          <cell r="E150" t="str">
            <v>CI2026-0334</v>
          </cell>
          <cell r="F150">
            <v>46222</v>
          </cell>
          <cell r="G150">
            <v>46257.299814814818</v>
          </cell>
          <cell r="H150">
            <v>1</v>
          </cell>
          <cell r="I150">
            <v>1</v>
          </cell>
          <cell r="J150">
            <v>1</v>
          </cell>
          <cell r="K150">
            <v>2</v>
          </cell>
          <cell r="L150">
            <v>1</v>
          </cell>
          <cell r="M150">
            <v>1</v>
          </cell>
          <cell r="N150">
            <v>1</v>
          </cell>
          <cell r="O150">
            <v>1</v>
          </cell>
          <cell r="P150">
            <v>1</v>
          </cell>
          <cell r="Q150">
            <v>2</v>
          </cell>
          <cell r="R150" t="str">
            <v>ហឿត ចន្ត្រា (HOEURT CHANTRA)</v>
          </cell>
          <cell r="S150" t="str">
            <v>អតិថិជនទូទៅ (General Customer)</v>
          </cell>
          <cell r="T150">
            <v>4037</v>
          </cell>
          <cell r="V150">
            <v>0</v>
          </cell>
          <cell r="Y150">
            <v>36.25</v>
          </cell>
          <cell r="Z150">
            <v>0</v>
          </cell>
          <cell r="AA150">
            <v>0</v>
          </cell>
          <cell r="AB150">
            <v>0</v>
          </cell>
          <cell r="AC150">
            <v>36.25</v>
          </cell>
          <cell r="AD150">
            <v>1</v>
          </cell>
          <cell r="AE150">
            <v>393</v>
          </cell>
          <cell r="AF150">
            <v>1</v>
          </cell>
          <cell r="AG150">
            <v>3</v>
          </cell>
          <cell r="AH150">
            <v>7</v>
          </cell>
          <cell r="AI150">
            <v>2026</v>
          </cell>
          <cell r="AJ150">
            <v>143</v>
          </cell>
        </row>
        <row r="151">
          <cell r="E151" t="str">
            <v>CI2026-0335</v>
          </cell>
          <cell r="F151">
            <v>46223</v>
          </cell>
          <cell r="G151">
            <v>46257.357164351852</v>
          </cell>
          <cell r="H151">
            <v>1</v>
          </cell>
          <cell r="I151">
            <v>1</v>
          </cell>
          <cell r="J151">
            <v>1</v>
          </cell>
          <cell r="K151">
            <v>2</v>
          </cell>
          <cell r="L151">
            <v>1</v>
          </cell>
          <cell r="M151">
            <v>1</v>
          </cell>
          <cell r="N151">
            <v>1</v>
          </cell>
          <cell r="O151">
            <v>1</v>
          </cell>
          <cell r="P151">
            <v>1</v>
          </cell>
          <cell r="Q151">
            <v>2</v>
          </cell>
          <cell r="R151" t="str">
            <v>ហឿត ចន្ត្រា (HOEURT CHANTRA)</v>
          </cell>
          <cell r="S151" t="str">
            <v>អតិថិជនទូទៅ (General Customer)</v>
          </cell>
          <cell r="T151">
            <v>4036</v>
          </cell>
          <cell r="V151">
            <v>0</v>
          </cell>
          <cell r="Y151">
            <v>89.25</v>
          </cell>
          <cell r="Z151">
            <v>0</v>
          </cell>
          <cell r="AA151">
            <v>0</v>
          </cell>
          <cell r="AB151">
            <v>0</v>
          </cell>
          <cell r="AC151">
            <v>89.25</v>
          </cell>
          <cell r="AD151">
            <v>1</v>
          </cell>
          <cell r="AE151">
            <v>397</v>
          </cell>
          <cell r="AF151">
            <v>1</v>
          </cell>
          <cell r="AG151">
            <v>3</v>
          </cell>
          <cell r="AH151">
            <v>7</v>
          </cell>
          <cell r="AI151">
            <v>2026</v>
          </cell>
          <cell r="AJ151">
            <v>144</v>
          </cell>
        </row>
        <row r="152">
          <cell r="E152" t="str">
            <v>CI2026-0336</v>
          </cell>
          <cell r="F152">
            <v>46223</v>
          </cell>
          <cell r="G152">
            <v>46257.359849537039</v>
          </cell>
          <cell r="H152">
            <v>1</v>
          </cell>
          <cell r="I152">
            <v>1</v>
          </cell>
          <cell r="J152">
            <v>1</v>
          </cell>
          <cell r="K152">
            <v>2</v>
          </cell>
          <cell r="L152">
            <v>1</v>
          </cell>
          <cell r="M152">
            <v>1</v>
          </cell>
          <cell r="N152">
            <v>1</v>
          </cell>
          <cell r="O152">
            <v>1</v>
          </cell>
          <cell r="P152">
            <v>1</v>
          </cell>
          <cell r="Q152">
            <v>2</v>
          </cell>
          <cell r="R152" t="str">
            <v>ហឿត ចន្ត្រា (HOEURT CHANTRA)</v>
          </cell>
          <cell r="S152" t="str">
            <v>អតិថិជនទូទៅ (General Customer)</v>
          </cell>
          <cell r="T152">
            <v>4036</v>
          </cell>
          <cell r="V152">
            <v>0</v>
          </cell>
          <cell r="Y152">
            <v>62.5</v>
          </cell>
          <cell r="Z152">
            <v>0</v>
          </cell>
          <cell r="AA152">
            <v>0</v>
          </cell>
          <cell r="AB152">
            <v>0</v>
          </cell>
          <cell r="AC152">
            <v>62.5</v>
          </cell>
          <cell r="AD152">
            <v>1</v>
          </cell>
          <cell r="AE152">
            <v>401</v>
          </cell>
          <cell r="AF152">
            <v>1</v>
          </cell>
          <cell r="AG152">
            <v>3</v>
          </cell>
          <cell r="AH152">
            <v>7</v>
          </cell>
          <cell r="AI152">
            <v>2026</v>
          </cell>
          <cell r="AJ152">
            <v>145</v>
          </cell>
        </row>
        <row r="153">
          <cell r="E153" t="str">
            <v>CI2026-0337</v>
          </cell>
          <cell r="F153">
            <v>46223</v>
          </cell>
          <cell r="G153">
            <v>46257.626597222225</v>
          </cell>
          <cell r="H153">
            <v>1</v>
          </cell>
          <cell r="I153">
            <v>1</v>
          </cell>
          <cell r="J153">
            <v>1</v>
          </cell>
          <cell r="K153">
            <v>2</v>
          </cell>
          <cell r="L153">
            <v>1</v>
          </cell>
          <cell r="M153">
            <v>1</v>
          </cell>
          <cell r="N153">
            <v>1</v>
          </cell>
          <cell r="O153">
            <v>1</v>
          </cell>
          <cell r="P153">
            <v>1</v>
          </cell>
          <cell r="Q153">
            <v>2</v>
          </cell>
          <cell r="R153" t="str">
            <v>ហឿត ចន្ត្រា (HOEURT CHANTRA)</v>
          </cell>
          <cell r="S153" t="str">
            <v>អតិថិជនទូទៅ (General Customer)</v>
          </cell>
          <cell r="T153">
            <v>4036</v>
          </cell>
          <cell r="V153">
            <v>0</v>
          </cell>
          <cell r="Y153">
            <v>28.25</v>
          </cell>
          <cell r="Z153">
            <v>0</v>
          </cell>
          <cell r="AA153">
            <v>0</v>
          </cell>
          <cell r="AB153">
            <v>0</v>
          </cell>
          <cell r="AC153">
            <v>28.25</v>
          </cell>
          <cell r="AD153">
            <v>1</v>
          </cell>
          <cell r="AE153">
            <v>403</v>
          </cell>
          <cell r="AF153">
            <v>1</v>
          </cell>
          <cell r="AG153">
            <v>3</v>
          </cell>
          <cell r="AH153">
            <v>7</v>
          </cell>
          <cell r="AI153">
            <v>2026</v>
          </cell>
          <cell r="AJ153">
            <v>146</v>
          </cell>
        </row>
        <row r="154">
          <cell r="E154" t="str">
            <v>CI2026-0338</v>
          </cell>
          <cell r="F154">
            <v>46224</v>
          </cell>
          <cell r="G154">
            <v>46257.647824074076</v>
          </cell>
          <cell r="H154">
            <v>1</v>
          </cell>
          <cell r="I154">
            <v>1</v>
          </cell>
          <cell r="J154">
            <v>1</v>
          </cell>
          <cell r="K154">
            <v>2</v>
          </cell>
          <cell r="L154">
            <v>1</v>
          </cell>
          <cell r="M154">
            <v>1</v>
          </cell>
          <cell r="N154">
            <v>1</v>
          </cell>
          <cell r="O154">
            <v>1</v>
          </cell>
          <cell r="P154">
            <v>1</v>
          </cell>
          <cell r="Q154">
            <v>2</v>
          </cell>
          <cell r="R154" t="str">
            <v>ហឿត ចន្ត្រា (HOEURT CHANTRA)</v>
          </cell>
          <cell r="S154" t="str">
            <v>អតិថិជនទូទៅ (General Customer)</v>
          </cell>
          <cell r="T154">
            <v>4040</v>
          </cell>
          <cell r="V154">
            <v>0</v>
          </cell>
          <cell r="Y154">
            <v>71.900000000000006</v>
          </cell>
          <cell r="Z154">
            <v>0</v>
          </cell>
          <cell r="AA154">
            <v>0</v>
          </cell>
          <cell r="AB154">
            <v>0</v>
          </cell>
          <cell r="AC154">
            <v>71.900000000000006</v>
          </cell>
          <cell r="AD154">
            <v>1</v>
          </cell>
          <cell r="AE154">
            <v>409</v>
          </cell>
          <cell r="AF154">
            <v>1</v>
          </cell>
          <cell r="AG154">
            <v>3</v>
          </cell>
          <cell r="AH154">
            <v>7</v>
          </cell>
          <cell r="AI154">
            <v>2026</v>
          </cell>
          <cell r="AJ154">
            <v>147</v>
          </cell>
        </row>
        <row r="155">
          <cell r="E155" t="str">
            <v>CI2026-0339</v>
          </cell>
          <cell r="F155">
            <v>46224</v>
          </cell>
          <cell r="G155">
            <v>46257.657800925925</v>
          </cell>
          <cell r="H155">
            <v>1</v>
          </cell>
          <cell r="I155">
            <v>1</v>
          </cell>
          <cell r="J155">
            <v>1</v>
          </cell>
          <cell r="K155">
            <v>2</v>
          </cell>
          <cell r="L155">
            <v>1</v>
          </cell>
          <cell r="M155">
            <v>1</v>
          </cell>
          <cell r="N155">
            <v>1</v>
          </cell>
          <cell r="O155">
            <v>1</v>
          </cell>
          <cell r="P155">
            <v>1</v>
          </cell>
          <cell r="Q155">
            <v>2</v>
          </cell>
          <cell r="R155" t="str">
            <v>ហឿត ចន្ត្រា (HOEURT CHANTRA)</v>
          </cell>
          <cell r="S155" t="str">
            <v>អតិថិជនទូទៅ (General Customer)</v>
          </cell>
          <cell r="T155">
            <v>4040</v>
          </cell>
          <cell r="V155">
            <v>0</v>
          </cell>
          <cell r="Y155">
            <v>26</v>
          </cell>
          <cell r="Z155">
            <v>0</v>
          </cell>
          <cell r="AA155">
            <v>0</v>
          </cell>
          <cell r="AB155">
            <v>0</v>
          </cell>
          <cell r="AC155">
            <v>26</v>
          </cell>
          <cell r="AD155">
            <v>1</v>
          </cell>
          <cell r="AE155">
            <v>410</v>
          </cell>
          <cell r="AF155">
            <v>1</v>
          </cell>
          <cell r="AG155">
            <v>3</v>
          </cell>
          <cell r="AH155">
            <v>7</v>
          </cell>
          <cell r="AI155">
            <v>2026</v>
          </cell>
          <cell r="AJ155">
            <v>148</v>
          </cell>
        </row>
        <row r="156">
          <cell r="E156" t="str">
            <v>CI2026-0340</v>
          </cell>
          <cell r="F156">
            <v>46224</v>
          </cell>
          <cell r="G156">
            <v>46257.660081018519</v>
          </cell>
          <cell r="H156">
            <v>1</v>
          </cell>
          <cell r="I156">
            <v>1</v>
          </cell>
          <cell r="J156">
            <v>1</v>
          </cell>
          <cell r="K156">
            <v>2</v>
          </cell>
          <cell r="L156">
            <v>1</v>
          </cell>
          <cell r="M156">
            <v>1</v>
          </cell>
          <cell r="N156">
            <v>1</v>
          </cell>
          <cell r="O156">
            <v>1</v>
          </cell>
          <cell r="P156">
            <v>1</v>
          </cell>
          <cell r="Q156">
            <v>2</v>
          </cell>
          <cell r="R156" t="str">
            <v>ហឿត ចន្ត្រា (HOEURT CHANTRA)</v>
          </cell>
          <cell r="S156" t="str">
            <v>អតិថិជនទូទៅ (General Customer)</v>
          </cell>
          <cell r="T156">
            <v>4040</v>
          </cell>
          <cell r="V156">
            <v>0</v>
          </cell>
          <cell r="Y156">
            <v>78</v>
          </cell>
          <cell r="Z156">
            <v>0</v>
          </cell>
          <cell r="AA156">
            <v>0</v>
          </cell>
          <cell r="AB156">
            <v>0</v>
          </cell>
          <cell r="AC156">
            <v>78</v>
          </cell>
          <cell r="AD156">
            <v>1</v>
          </cell>
          <cell r="AE156">
            <v>426</v>
          </cell>
          <cell r="AF156">
            <v>1</v>
          </cell>
          <cell r="AG156">
            <v>3</v>
          </cell>
          <cell r="AH156">
            <v>7</v>
          </cell>
          <cell r="AI156">
            <v>2026</v>
          </cell>
          <cell r="AJ156">
            <v>149</v>
          </cell>
        </row>
        <row r="157">
          <cell r="E157" t="str">
            <v>CI2026-0341</v>
          </cell>
          <cell r="F157">
            <v>46225</v>
          </cell>
          <cell r="G157">
            <v>46257.685937499999</v>
          </cell>
          <cell r="H157">
            <v>1</v>
          </cell>
          <cell r="I157">
            <v>1</v>
          </cell>
          <cell r="J157">
            <v>1</v>
          </cell>
          <cell r="K157">
            <v>2</v>
          </cell>
          <cell r="L157">
            <v>1</v>
          </cell>
          <cell r="M157">
            <v>1</v>
          </cell>
          <cell r="N157">
            <v>1</v>
          </cell>
          <cell r="O157">
            <v>1</v>
          </cell>
          <cell r="P157">
            <v>1</v>
          </cell>
          <cell r="Q157">
            <v>2</v>
          </cell>
          <cell r="R157" t="str">
            <v>ហឿត ចន្ត្រា (HOEURT CHANTRA)</v>
          </cell>
          <cell r="S157" t="str">
            <v>អតិថិជនទូទៅ (General Customer)</v>
          </cell>
          <cell r="T157">
            <v>4040</v>
          </cell>
          <cell r="V157">
            <v>0</v>
          </cell>
          <cell r="Y157">
            <v>58.5</v>
          </cell>
          <cell r="Z157">
            <v>0</v>
          </cell>
          <cell r="AA157">
            <v>0</v>
          </cell>
          <cell r="AB157">
            <v>0</v>
          </cell>
          <cell r="AC157">
            <v>58.5</v>
          </cell>
          <cell r="AD157">
            <v>1</v>
          </cell>
          <cell r="AE157">
            <v>425</v>
          </cell>
          <cell r="AF157">
            <v>1</v>
          </cell>
          <cell r="AG157">
            <v>4</v>
          </cell>
          <cell r="AH157">
            <v>7</v>
          </cell>
          <cell r="AI157">
            <v>2026</v>
          </cell>
          <cell r="AJ157">
            <v>150</v>
          </cell>
        </row>
        <row r="158">
          <cell r="E158" t="str">
            <v>CI2026-0342</v>
          </cell>
          <cell r="F158">
            <v>46225</v>
          </cell>
          <cell r="G158">
            <v>46257.691747685189</v>
          </cell>
          <cell r="H158">
            <v>1</v>
          </cell>
          <cell r="I158">
            <v>1</v>
          </cell>
          <cell r="J158">
            <v>1</v>
          </cell>
          <cell r="K158">
            <v>2</v>
          </cell>
          <cell r="L158">
            <v>1</v>
          </cell>
          <cell r="M158">
            <v>1</v>
          </cell>
          <cell r="N158">
            <v>1</v>
          </cell>
          <cell r="O158">
            <v>1</v>
          </cell>
          <cell r="P158">
            <v>1</v>
          </cell>
          <cell r="Q158">
            <v>2</v>
          </cell>
          <cell r="R158" t="str">
            <v>ហឿត ចន្ត្រា (HOEURT CHANTRA)</v>
          </cell>
          <cell r="S158" t="str">
            <v>អតិថិជនទូទៅ (General Customer)</v>
          </cell>
          <cell r="T158">
            <v>4040</v>
          </cell>
          <cell r="V158">
            <v>0</v>
          </cell>
          <cell r="Y158">
            <v>78</v>
          </cell>
          <cell r="Z158">
            <v>0</v>
          </cell>
          <cell r="AA158">
            <v>0</v>
          </cell>
          <cell r="AB158">
            <v>0</v>
          </cell>
          <cell r="AC158">
            <v>78</v>
          </cell>
          <cell r="AD158">
            <v>1</v>
          </cell>
          <cell r="AE158">
            <v>426</v>
          </cell>
          <cell r="AF158">
            <v>1</v>
          </cell>
          <cell r="AG158">
            <v>4</v>
          </cell>
          <cell r="AH158">
            <v>7</v>
          </cell>
          <cell r="AI158">
            <v>2026</v>
          </cell>
          <cell r="AJ158">
            <v>151</v>
          </cell>
        </row>
        <row r="159">
          <cell r="E159" t="str">
            <v>CI2026-0343</v>
          </cell>
          <cell r="F159">
            <v>46225</v>
          </cell>
          <cell r="G159">
            <v>46257.715092592596</v>
          </cell>
          <cell r="H159">
            <v>1</v>
          </cell>
          <cell r="I159">
            <v>1</v>
          </cell>
          <cell r="J159">
            <v>1</v>
          </cell>
          <cell r="K159">
            <v>2</v>
          </cell>
          <cell r="L159">
            <v>1</v>
          </cell>
          <cell r="M159">
            <v>1</v>
          </cell>
          <cell r="N159">
            <v>1</v>
          </cell>
          <cell r="O159">
            <v>1</v>
          </cell>
          <cell r="P159">
            <v>1</v>
          </cell>
          <cell r="Q159">
            <v>2</v>
          </cell>
          <cell r="R159" t="str">
            <v>ហឿត ចន្ត្រា (HOEURT CHANTRA)</v>
          </cell>
          <cell r="S159" t="str">
            <v>អតិថិជនទូទៅ (General Customer)</v>
          </cell>
          <cell r="T159">
            <v>4040</v>
          </cell>
          <cell r="V159">
            <v>0</v>
          </cell>
          <cell r="Y159">
            <v>57.25</v>
          </cell>
          <cell r="Z159">
            <v>0</v>
          </cell>
          <cell r="AA159">
            <v>0</v>
          </cell>
          <cell r="AB159">
            <v>0</v>
          </cell>
          <cell r="AC159">
            <v>57.25</v>
          </cell>
          <cell r="AD159">
            <v>1</v>
          </cell>
          <cell r="AE159">
            <v>247</v>
          </cell>
          <cell r="AF159">
            <v>1</v>
          </cell>
          <cell r="AG159">
            <v>4</v>
          </cell>
          <cell r="AH159">
            <v>7</v>
          </cell>
          <cell r="AI159">
            <v>2026</v>
          </cell>
          <cell r="AJ159">
            <v>152</v>
          </cell>
        </row>
        <row r="160">
          <cell r="E160" t="str">
            <v>CI2026-0344</v>
          </cell>
          <cell r="F160">
            <v>46226</v>
          </cell>
          <cell r="G160">
            <v>46257.872812499998</v>
          </cell>
          <cell r="H160">
            <v>1</v>
          </cell>
          <cell r="I160">
            <v>1</v>
          </cell>
          <cell r="J160">
            <v>1</v>
          </cell>
          <cell r="K160">
            <v>2</v>
          </cell>
          <cell r="L160">
            <v>1</v>
          </cell>
          <cell r="M160">
            <v>1</v>
          </cell>
          <cell r="N160">
            <v>1</v>
          </cell>
          <cell r="O160">
            <v>1</v>
          </cell>
          <cell r="P160">
            <v>1</v>
          </cell>
          <cell r="Q160">
            <v>2</v>
          </cell>
          <cell r="R160" t="str">
            <v>ហឿត ចន្ត្រា (HOEURT CHANTRA)</v>
          </cell>
          <cell r="S160" t="str">
            <v>អតិថិជនទូទៅ (General Customer)</v>
          </cell>
          <cell r="T160">
            <v>4041</v>
          </cell>
          <cell r="V160">
            <v>0</v>
          </cell>
          <cell r="Y160">
            <v>90</v>
          </cell>
          <cell r="Z160">
            <v>0</v>
          </cell>
          <cell r="AA160">
            <v>0</v>
          </cell>
          <cell r="AB160">
            <v>0</v>
          </cell>
          <cell r="AC160">
            <v>90</v>
          </cell>
          <cell r="AD160">
            <v>1</v>
          </cell>
          <cell r="AE160">
            <v>432</v>
          </cell>
          <cell r="AF160">
            <v>1</v>
          </cell>
          <cell r="AG160">
            <v>4</v>
          </cell>
          <cell r="AH160">
            <v>7</v>
          </cell>
          <cell r="AI160">
            <v>2026</v>
          </cell>
          <cell r="AJ160">
            <v>153</v>
          </cell>
        </row>
        <row r="161">
          <cell r="E161" t="str">
            <v>CI2026-0345</v>
          </cell>
          <cell r="F161">
            <v>46226</v>
          </cell>
          <cell r="G161">
            <v>46257.873564814814</v>
          </cell>
          <cell r="H161">
            <v>1</v>
          </cell>
          <cell r="I161">
            <v>1</v>
          </cell>
          <cell r="J161">
            <v>1</v>
          </cell>
          <cell r="K161">
            <v>2</v>
          </cell>
          <cell r="L161">
            <v>1</v>
          </cell>
          <cell r="M161">
            <v>1</v>
          </cell>
          <cell r="N161">
            <v>1</v>
          </cell>
          <cell r="O161">
            <v>1</v>
          </cell>
          <cell r="P161">
            <v>1</v>
          </cell>
          <cell r="Q161">
            <v>2</v>
          </cell>
          <cell r="R161" t="str">
            <v>ហឿត ចន្ត្រា (HOEURT CHANTRA)</v>
          </cell>
          <cell r="S161" t="str">
            <v>អតិថិជនទូទៅ (General Customer)</v>
          </cell>
          <cell r="T161">
            <v>4041</v>
          </cell>
          <cell r="V161">
            <v>0</v>
          </cell>
          <cell r="Y161">
            <v>47.5</v>
          </cell>
          <cell r="Z161">
            <v>0</v>
          </cell>
          <cell r="AA161">
            <v>0</v>
          </cell>
          <cell r="AB161">
            <v>0</v>
          </cell>
          <cell r="AC161">
            <v>47.5</v>
          </cell>
          <cell r="AD161">
            <v>1</v>
          </cell>
          <cell r="AE161">
            <v>441</v>
          </cell>
          <cell r="AF161">
            <v>1</v>
          </cell>
          <cell r="AG161">
            <v>4</v>
          </cell>
          <cell r="AH161">
            <v>7</v>
          </cell>
          <cell r="AI161">
            <v>2026</v>
          </cell>
          <cell r="AJ161">
            <v>154</v>
          </cell>
        </row>
        <row r="162">
          <cell r="E162" t="str">
            <v>CI2026-0346</v>
          </cell>
          <cell r="F162">
            <v>46227</v>
          </cell>
          <cell r="G162">
            <v>46257.878553240742</v>
          </cell>
          <cell r="H162">
            <v>1</v>
          </cell>
          <cell r="I162">
            <v>1</v>
          </cell>
          <cell r="J162">
            <v>1</v>
          </cell>
          <cell r="K162">
            <v>2</v>
          </cell>
          <cell r="L162">
            <v>1</v>
          </cell>
          <cell r="M162">
            <v>1</v>
          </cell>
          <cell r="N162">
            <v>1</v>
          </cell>
          <cell r="O162">
            <v>1</v>
          </cell>
          <cell r="P162">
            <v>1</v>
          </cell>
          <cell r="Q162">
            <v>2</v>
          </cell>
          <cell r="R162" t="str">
            <v>ហឿត ចន្ត្រា (HOEURT CHANTRA)</v>
          </cell>
          <cell r="S162" t="str">
            <v>អតិថិជនទូទៅ (General Customer)</v>
          </cell>
          <cell r="T162">
            <v>4041</v>
          </cell>
          <cell r="V162">
            <v>0</v>
          </cell>
          <cell r="Y162">
            <v>49.63</v>
          </cell>
          <cell r="Z162">
            <v>0</v>
          </cell>
          <cell r="AA162">
            <v>0</v>
          </cell>
          <cell r="AB162">
            <v>0</v>
          </cell>
          <cell r="AC162">
            <v>49.63</v>
          </cell>
          <cell r="AD162">
            <v>1</v>
          </cell>
          <cell r="AE162">
            <v>444</v>
          </cell>
          <cell r="AF162">
            <v>1</v>
          </cell>
          <cell r="AG162">
            <v>4</v>
          </cell>
          <cell r="AH162">
            <v>7</v>
          </cell>
          <cell r="AI162">
            <v>2026</v>
          </cell>
          <cell r="AJ162">
            <v>155</v>
          </cell>
        </row>
        <row r="163">
          <cell r="E163" t="str">
            <v>CI2026-0347</v>
          </cell>
          <cell r="F163">
            <v>46227</v>
          </cell>
          <cell r="G163">
            <v>46257.885127314818</v>
          </cell>
          <cell r="H163">
            <v>1</v>
          </cell>
          <cell r="I163">
            <v>1</v>
          </cell>
          <cell r="J163">
            <v>1</v>
          </cell>
          <cell r="K163">
            <v>2</v>
          </cell>
          <cell r="L163">
            <v>1</v>
          </cell>
          <cell r="M163">
            <v>1</v>
          </cell>
          <cell r="N163">
            <v>1</v>
          </cell>
          <cell r="O163">
            <v>1</v>
          </cell>
          <cell r="P163">
            <v>1</v>
          </cell>
          <cell r="Q163">
            <v>2</v>
          </cell>
          <cell r="R163" t="str">
            <v>ហឿត ចន្ត្រា (HOEURT CHANTRA)</v>
          </cell>
          <cell r="S163" t="str">
            <v>អតិថិជនទូទៅ (General Customer)</v>
          </cell>
          <cell r="T163">
            <v>4041</v>
          </cell>
          <cell r="V163">
            <v>0</v>
          </cell>
          <cell r="Y163">
            <v>49.5</v>
          </cell>
          <cell r="Z163">
            <v>0</v>
          </cell>
          <cell r="AA163">
            <v>0</v>
          </cell>
          <cell r="AB163">
            <v>0</v>
          </cell>
          <cell r="AC163">
            <v>49.5</v>
          </cell>
          <cell r="AD163">
            <v>1</v>
          </cell>
          <cell r="AE163">
            <v>448</v>
          </cell>
          <cell r="AF163">
            <v>1</v>
          </cell>
          <cell r="AG163">
            <v>4</v>
          </cell>
          <cell r="AH163">
            <v>7</v>
          </cell>
          <cell r="AI163">
            <v>2026</v>
          </cell>
          <cell r="AJ163">
            <v>156</v>
          </cell>
        </row>
        <row r="164">
          <cell r="E164" t="str">
            <v>CI2026-0348</v>
          </cell>
          <cell r="F164">
            <v>46227</v>
          </cell>
          <cell r="G164">
            <v>46257.910081018519</v>
          </cell>
          <cell r="H164">
            <v>1</v>
          </cell>
          <cell r="I164">
            <v>1</v>
          </cell>
          <cell r="J164">
            <v>1</v>
          </cell>
          <cell r="K164">
            <v>2</v>
          </cell>
          <cell r="L164">
            <v>1</v>
          </cell>
          <cell r="M164">
            <v>1</v>
          </cell>
          <cell r="N164">
            <v>1</v>
          </cell>
          <cell r="O164">
            <v>1</v>
          </cell>
          <cell r="P164">
            <v>1</v>
          </cell>
          <cell r="Q164">
            <v>2</v>
          </cell>
          <cell r="R164" t="str">
            <v>ហឿត ចន្ត្រា (HOEURT CHANTRA)</v>
          </cell>
          <cell r="S164" t="str">
            <v>អតិថិជនទូទៅ (General Customer)</v>
          </cell>
          <cell r="T164">
            <v>4041</v>
          </cell>
          <cell r="V164">
            <v>0</v>
          </cell>
          <cell r="Y164">
            <v>94.1</v>
          </cell>
          <cell r="Z164">
            <v>0</v>
          </cell>
          <cell r="AA164">
            <v>0</v>
          </cell>
          <cell r="AB164">
            <v>0</v>
          </cell>
          <cell r="AC164">
            <v>94.1</v>
          </cell>
          <cell r="AD164">
            <v>1</v>
          </cell>
          <cell r="AE164">
            <v>454</v>
          </cell>
          <cell r="AF164">
            <v>1</v>
          </cell>
          <cell r="AG164">
            <v>4</v>
          </cell>
          <cell r="AH164">
            <v>7</v>
          </cell>
          <cell r="AI164">
            <v>2026</v>
          </cell>
          <cell r="AJ164">
            <v>157</v>
          </cell>
        </row>
        <row r="165">
          <cell r="E165" t="str">
            <v>CI2026-0349</v>
          </cell>
          <cell r="F165">
            <v>46228</v>
          </cell>
          <cell r="G165">
            <v>46257.912048611113</v>
          </cell>
          <cell r="H165">
            <v>1</v>
          </cell>
          <cell r="I165">
            <v>1</v>
          </cell>
          <cell r="J165">
            <v>1</v>
          </cell>
          <cell r="K165">
            <v>2</v>
          </cell>
          <cell r="L165">
            <v>1</v>
          </cell>
          <cell r="M165">
            <v>1</v>
          </cell>
          <cell r="N165">
            <v>1</v>
          </cell>
          <cell r="O165">
            <v>1</v>
          </cell>
          <cell r="P165">
            <v>1</v>
          </cell>
          <cell r="Q165">
            <v>2</v>
          </cell>
          <cell r="R165" t="str">
            <v>ហឿត ចន្ត្រា (HOEURT CHANTRA)</v>
          </cell>
          <cell r="S165" t="str">
            <v>អតិថិជនទូទៅ (General Customer)</v>
          </cell>
          <cell r="T165">
            <v>4041</v>
          </cell>
          <cell r="V165">
            <v>0</v>
          </cell>
          <cell r="Y165">
            <v>54.4</v>
          </cell>
          <cell r="Z165">
            <v>0</v>
          </cell>
          <cell r="AA165">
            <v>0</v>
          </cell>
          <cell r="AB165">
            <v>0</v>
          </cell>
          <cell r="AC165">
            <v>54.4</v>
          </cell>
          <cell r="AD165">
            <v>1</v>
          </cell>
          <cell r="AE165">
            <v>459</v>
          </cell>
          <cell r="AF165">
            <v>1</v>
          </cell>
          <cell r="AG165">
            <v>4</v>
          </cell>
          <cell r="AH165">
            <v>7</v>
          </cell>
          <cell r="AI165">
            <v>2026</v>
          </cell>
          <cell r="AJ165">
            <v>158</v>
          </cell>
        </row>
        <row r="166">
          <cell r="E166" t="str">
            <v>CI2026-0350</v>
          </cell>
          <cell r="F166">
            <v>46228</v>
          </cell>
          <cell r="G166">
            <v>46257.913611111115</v>
          </cell>
          <cell r="H166">
            <v>1</v>
          </cell>
          <cell r="I166">
            <v>1</v>
          </cell>
          <cell r="J166">
            <v>1</v>
          </cell>
          <cell r="K166">
            <v>2</v>
          </cell>
          <cell r="L166">
            <v>1</v>
          </cell>
          <cell r="M166">
            <v>1</v>
          </cell>
          <cell r="N166">
            <v>1</v>
          </cell>
          <cell r="O166">
            <v>1</v>
          </cell>
          <cell r="P166">
            <v>1</v>
          </cell>
          <cell r="Q166">
            <v>2</v>
          </cell>
          <cell r="R166" t="str">
            <v>ហឿត ចន្ត្រា (HOEURT CHANTRA)</v>
          </cell>
          <cell r="S166" t="str">
            <v>អតិថិជនទូទៅ (General Customer)</v>
          </cell>
          <cell r="T166">
            <v>4041</v>
          </cell>
          <cell r="V166">
            <v>0</v>
          </cell>
          <cell r="Y166">
            <v>57.2</v>
          </cell>
          <cell r="Z166">
            <v>0</v>
          </cell>
          <cell r="AA166">
            <v>0</v>
          </cell>
          <cell r="AB166">
            <v>0</v>
          </cell>
          <cell r="AC166">
            <v>57.2</v>
          </cell>
          <cell r="AD166">
            <v>1</v>
          </cell>
          <cell r="AE166">
            <v>463</v>
          </cell>
          <cell r="AF166">
            <v>1</v>
          </cell>
          <cell r="AG166">
            <v>4</v>
          </cell>
          <cell r="AH166">
            <v>7</v>
          </cell>
          <cell r="AI166">
            <v>2026</v>
          </cell>
          <cell r="AJ166">
            <v>159</v>
          </cell>
        </row>
        <row r="167">
          <cell r="E167" t="str">
            <v>CI2026-0351</v>
          </cell>
          <cell r="F167">
            <v>46228</v>
          </cell>
          <cell r="G167">
            <v>46257.914942129632</v>
          </cell>
          <cell r="H167">
            <v>1</v>
          </cell>
          <cell r="I167">
            <v>1</v>
          </cell>
          <cell r="J167">
            <v>1</v>
          </cell>
          <cell r="K167">
            <v>2</v>
          </cell>
          <cell r="L167">
            <v>1</v>
          </cell>
          <cell r="M167">
            <v>1</v>
          </cell>
          <cell r="N167">
            <v>1</v>
          </cell>
          <cell r="O167">
            <v>1</v>
          </cell>
          <cell r="P167">
            <v>1</v>
          </cell>
          <cell r="Q167">
            <v>2</v>
          </cell>
          <cell r="R167" t="str">
            <v>ហឿត ចន្ត្រា (HOEURT CHANTRA)</v>
          </cell>
          <cell r="S167" t="str">
            <v>អតិថិជនទូទៅ (General Customer)</v>
          </cell>
          <cell r="T167">
            <v>4041</v>
          </cell>
          <cell r="V167">
            <v>0</v>
          </cell>
          <cell r="Y167">
            <v>58.2</v>
          </cell>
          <cell r="Z167">
            <v>0</v>
          </cell>
          <cell r="AA167">
            <v>0</v>
          </cell>
          <cell r="AB167">
            <v>0</v>
          </cell>
          <cell r="AC167">
            <v>58.2</v>
          </cell>
          <cell r="AD167">
            <v>1</v>
          </cell>
          <cell r="AE167">
            <v>465</v>
          </cell>
          <cell r="AF167">
            <v>1</v>
          </cell>
          <cell r="AG167">
            <v>4</v>
          </cell>
          <cell r="AH167">
            <v>7</v>
          </cell>
          <cell r="AI167">
            <v>2026</v>
          </cell>
          <cell r="AJ167">
            <v>160</v>
          </cell>
        </row>
        <row r="168">
          <cell r="E168" t="str">
            <v>CI2026-0352</v>
          </cell>
          <cell r="F168">
            <v>46229</v>
          </cell>
          <cell r="G168">
            <v>46257.918703703705</v>
          </cell>
          <cell r="H168">
            <v>1</v>
          </cell>
          <cell r="I168">
            <v>1</v>
          </cell>
          <cell r="J168">
            <v>1</v>
          </cell>
          <cell r="K168">
            <v>2</v>
          </cell>
          <cell r="L168">
            <v>1</v>
          </cell>
          <cell r="M168">
            <v>1</v>
          </cell>
          <cell r="N168">
            <v>1</v>
          </cell>
          <cell r="O168">
            <v>1</v>
          </cell>
          <cell r="P168">
            <v>1</v>
          </cell>
          <cell r="Q168">
            <v>2</v>
          </cell>
          <cell r="R168" t="str">
            <v>ហឿត ចន្ត្រា (HOEURT CHANTRA)</v>
          </cell>
          <cell r="S168" t="str">
            <v>អតិថិជនទូទៅ (General Customer)</v>
          </cell>
          <cell r="T168">
            <v>4041</v>
          </cell>
          <cell r="V168">
            <v>0</v>
          </cell>
          <cell r="Y168">
            <v>109.5</v>
          </cell>
          <cell r="Z168">
            <v>0</v>
          </cell>
          <cell r="AA168">
            <v>0</v>
          </cell>
          <cell r="AB168">
            <v>0</v>
          </cell>
          <cell r="AC168">
            <v>109.5</v>
          </cell>
          <cell r="AD168">
            <v>1</v>
          </cell>
          <cell r="AE168">
            <v>469</v>
          </cell>
          <cell r="AF168">
            <v>1</v>
          </cell>
          <cell r="AG168">
            <v>4</v>
          </cell>
          <cell r="AH168">
            <v>7</v>
          </cell>
          <cell r="AI168">
            <v>2026</v>
          </cell>
          <cell r="AJ168">
            <v>161</v>
          </cell>
        </row>
        <row r="169">
          <cell r="E169" t="str">
            <v>CI2026-0353</v>
          </cell>
          <cell r="F169">
            <v>46229</v>
          </cell>
          <cell r="G169">
            <v>46257.919236111113</v>
          </cell>
          <cell r="H169">
            <v>1</v>
          </cell>
          <cell r="I169">
            <v>1</v>
          </cell>
          <cell r="J169">
            <v>1</v>
          </cell>
          <cell r="K169">
            <v>2</v>
          </cell>
          <cell r="L169">
            <v>1</v>
          </cell>
          <cell r="M169">
            <v>1</v>
          </cell>
          <cell r="N169">
            <v>1</v>
          </cell>
          <cell r="O169">
            <v>1</v>
          </cell>
          <cell r="P169">
            <v>1</v>
          </cell>
          <cell r="Q169">
            <v>2</v>
          </cell>
          <cell r="R169" t="str">
            <v>ហឿត ចន្ត្រា (HOEURT CHANTRA)</v>
          </cell>
          <cell r="S169" t="str">
            <v>អតិថិជនទូទៅ (General Customer)</v>
          </cell>
          <cell r="T169">
            <v>4041</v>
          </cell>
          <cell r="V169">
            <v>0</v>
          </cell>
          <cell r="Y169">
            <v>45</v>
          </cell>
          <cell r="Z169">
            <v>0</v>
          </cell>
          <cell r="AA169">
            <v>0</v>
          </cell>
          <cell r="AB169">
            <v>0</v>
          </cell>
          <cell r="AC169">
            <v>45</v>
          </cell>
          <cell r="AD169">
            <v>1</v>
          </cell>
          <cell r="AE169">
            <v>477</v>
          </cell>
          <cell r="AF169">
            <v>1</v>
          </cell>
          <cell r="AG169">
            <v>4</v>
          </cell>
          <cell r="AH169">
            <v>7</v>
          </cell>
          <cell r="AI169">
            <v>2026</v>
          </cell>
          <cell r="AJ169">
            <v>162</v>
          </cell>
        </row>
        <row r="170">
          <cell r="E170" t="str">
            <v>CI2026-0354</v>
          </cell>
          <cell r="F170">
            <v>46229</v>
          </cell>
          <cell r="G170">
            <v>46257.921770833331</v>
          </cell>
          <cell r="H170">
            <v>1</v>
          </cell>
          <cell r="I170">
            <v>1</v>
          </cell>
          <cell r="J170">
            <v>1</v>
          </cell>
          <cell r="K170">
            <v>2</v>
          </cell>
          <cell r="L170">
            <v>1</v>
          </cell>
          <cell r="M170">
            <v>1</v>
          </cell>
          <cell r="N170">
            <v>1</v>
          </cell>
          <cell r="O170">
            <v>1</v>
          </cell>
          <cell r="P170">
            <v>1</v>
          </cell>
          <cell r="Q170">
            <v>2</v>
          </cell>
          <cell r="R170" t="str">
            <v>ហឿត ចន្ត្រា (HOEURT CHANTRA)</v>
          </cell>
          <cell r="S170" t="str">
            <v>អតិថិជនទូទៅ (General Customer)</v>
          </cell>
          <cell r="T170">
            <v>4041</v>
          </cell>
          <cell r="V170">
            <v>0</v>
          </cell>
          <cell r="Y170">
            <v>47.5</v>
          </cell>
          <cell r="Z170">
            <v>0</v>
          </cell>
          <cell r="AA170">
            <v>0</v>
          </cell>
          <cell r="AB170">
            <v>0</v>
          </cell>
          <cell r="AC170">
            <v>47.5</v>
          </cell>
          <cell r="AD170">
            <v>1</v>
          </cell>
          <cell r="AE170">
            <v>479</v>
          </cell>
          <cell r="AF170">
            <v>1</v>
          </cell>
          <cell r="AG170">
            <v>4</v>
          </cell>
          <cell r="AH170">
            <v>7</v>
          </cell>
          <cell r="AI170">
            <v>2026</v>
          </cell>
          <cell r="AJ170">
            <v>163</v>
          </cell>
        </row>
        <row r="171">
          <cell r="E171" t="str">
            <v>CI2026-0355</v>
          </cell>
          <cell r="F171">
            <v>46230</v>
          </cell>
          <cell r="G171">
            <v>46257.922824074078</v>
          </cell>
          <cell r="H171">
            <v>1</v>
          </cell>
          <cell r="I171">
            <v>1</v>
          </cell>
          <cell r="J171">
            <v>1</v>
          </cell>
          <cell r="K171">
            <v>2</v>
          </cell>
          <cell r="L171">
            <v>1</v>
          </cell>
          <cell r="M171">
            <v>1</v>
          </cell>
          <cell r="N171">
            <v>1</v>
          </cell>
          <cell r="O171">
            <v>1</v>
          </cell>
          <cell r="P171">
            <v>1</v>
          </cell>
          <cell r="Q171">
            <v>2</v>
          </cell>
          <cell r="R171" t="str">
            <v>ហឿត ចន្ត្រា (HOEURT CHANTRA)</v>
          </cell>
          <cell r="S171" t="str">
            <v>អតិថិជនទូទៅ (General Customer)</v>
          </cell>
          <cell r="T171">
            <v>4041</v>
          </cell>
          <cell r="V171">
            <v>0</v>
          </cell>
          <cell r="Y171">
            <v>90</v>
          </cell>
          <cell r="Z171">
            <v>0</v>
          </cell>
          <cell r="AA171">
            <v>0</v>
          </cell>
          <cell r="AB171">
            <v>0</v>
          </cell>
          <cell r="AC171">
            <v>90</v>
          </cell>
          <cell r="AD171">
            <v>1</v>
          </cell>
          <cell r="AE171">
            <v>481</v>
          </cell>
          <cell r="AF171">
            <v>1</v>
          </cell>
          <cell r="AG171">
            <v>4</v>
          </cell>
          <cell r="AH171">
            <v>7</v>
          </cell>
          <cell r="AI171">
            <v>2026</v>
          </cell>
          <cell r="AJ171">
            <v>164</v>
          </cell>
        </row>
        <row r="172">
          <cell r="E172" t="str">
            <v>CI2026-0356</v>
          </cell>
          <cell r="F172">
            <v>46230</v>
          </cell>
          <cell r="G172">
            <v>46257.925879629627</v>
          </cell>
          <cell r="H172">
            <v>1</v>
          </cell>
          <cell r="I172">
            <v>1</v>
          </cell>
          <cell r="J172">
            <v>1</v>
          </cell>
          <cell r="K172">
            <v>2</v>
          </cell>
          <cell r="L172">
            <v>1</v>
          </cell>
          <cell r="M172">
            <v>1</v>
          </cell>
          <cell r="N172">
            <v>1</v>
          </cell>
          <cell r="O172">
            <v>1</v>
          </cell>
          <cell r="P172">
            <v>1</v>
          </cell>
          <cell r="Q172">
            <v>2</v>
          </cell>
          <cell r="R172" t="str">
            <v>ហឿត ចន្ត្រា (HOEURT CHANTRA)</v>
          </cell>
          <cell r="S172" t="str">
            <v>អតិថិជនទូទៅ (General Customer)</v>
          </cell>
          <cell r="T172">
            <v>4041</v>
          </cell>
          <cell r="V172">
            <v>0</v>
          </cell>
          <cell r="Y172">
            <v>65</v>
          </cell>
          <cell r="Z172">
            <v>0</v>
          </cell>
          <cell r="AA172">
            <v>0</v>
          </cell>
          <cell r="AB172">
            <v>0</v>
          </cell>
          <cell r="AC172">
            <v>65</v>
          </cell>
          <cell r="AD172">
            <v>1</v>
          </cell>
          <cell r="AE172">
            <v>485</v>
          </cell>
          <cell r="AF172">
            <v>1</v>
          </cell>
          <cell r="AG172">
            <v>4</v>
          </cell>
          <cell r="AH172">
            <v>7</v>
          </cell>
          <cell r="AI172">
            <v>2026</v>
          </cell>
          <cell r="AJ172">
            <v>165</v>
          </cell>
        </row>
        <row r="173">
          <cell r="E173" t="str">
            <v>CI2026-0357</v>
          </cell>
          <cell r="F173">
            <v>46231</v>
          </cell>
          <cell r="G173">
            <v>46257.936307870368</v>
          </cell>
          <cell r="H173">
            <v>1</v>
          </cell>
          <cell r="I173">
            <v>1</v>
          </cell>
          <cell r="J173">
            <v>1</v>
          </cell>
          <cell r="K173">
            <v>2</v>
          </cell>
          <cell r="L173">
            <v>1</v>
          </cell>
          <cell r="M173">
            <v>1</v>
          </cell>
          <cell r="N173">
            <v>1</v>
          </cell>
          <cell r="O173">
            <v>1</v>
          </cell>
          <cell r="P173">
            <v>1</v>
          </cell>
          <cell r="Q173">
            <v>2</v>
          </cell>
          <cell r="R173" t="str">
            <v>ហឿត ចន្ត្រា (HOEURT CHANTRA)</v>
          </cell>
          <cell r="S173" t="str">
            <v>អតិថិជនទូទៅ (General Customer)</v>
          </cell>
          <cell r="T173">
            <v>4042</v>
          </cell>
          <cell r="V173">
            <v>0</v>
          </cell>
          <cell r="Y173">
            <v>36.19</v>
          </cell>
          <cell r="Z173">
            <v>0</v>
          </cell>
          <cell r="AA173">
            <v>0</v>
          </cell>
          <cell r="AB173">
            <v>0</v>
          </cell>
          <cell r="AC173">
            <v>36.19</v>
          </cell>
          <cell r="AD173">
            <v>1</v>
          </cell>
          <cell r="AE173">
            <v>500</v>
          </cell>
          <cell r="AF173">
            <v>1</v>
          </cell>
          <cell r="AG173">
            <v>4</v>
          </cell>
          <cell r="AH173">
            <v>7</v>
          </cell>
          <cell r="AI173">
            <v>2026</v>
          </cell>
          <cell r="AJ173">
            <v>166</v>
          </cell>
        </row>
        <row r="174">
          <cell r="E174" t="str">
            <v>CI2026-0358</v>
          </cell>
          <cell r="F174">
            <v>46231</v>
          </cell>
          <cell r="G174">
            <v>46257.939212962963</v>
          </cell>
          <cell r="H174">
            <v>1</v>
          </cell>
          <cell r="I174">
            <v>1</v>
          </cell>
          <cell r="J174">
            <v>1</v>
          </cell>
          <cell r="K174">
            <v>2</v>
          </cell>
          <cell r="L174">
            <v>1</v>
          </cell>
          <cell r="M174">
            <v>1</v>
          </cell>
          <cell r="N174">
            <v>1</v>
          </cell>
          <cell r="O174">
            <v>1</v>
          </cell>
          <cell r="P174">
            <v>1</v>
          </cell>
          <cell r="Q174">
            <v>2</v>
          </cell>
          <cell r="R174" t="str">
            <v>ហឿត ចន្ត្រា (HOEURT CHANTRA)</v>
          </cell>
          <cell r="S174" t="str">
            <v>អតិថិជនទូទៅ (General Customer)</v>
          </cell>
          <cell r="T174">
            <v>4042</v>
          </cell>
          <cell r="V174">
            <v>0</v>
          </cell>
          <cell r="Y174">
            <v>37.25</v>
          </cell>
          <cell r="Z174">
            <v>0</v>
          </cell>
          <cell r="AA174">
            <v>0</v>
          </cell>
          <cell r="AB174">
            <v>0</v>
          </cell>
          <cell r="AC174">
            <v>37.25</v>
          </cell>
          <cell r="AD174">
            <v>1</v>
          </cell>
          <cell r="AE174">
            <v>498</v>
          </cell>
          <cell r="AF174">
            <v>1</v>
          </cell>
          <cell r="AG174">
            <v>4</v>
          </cell>
          <cell r="AH174">
            <v>7</v>
          </cell>
          <cell r="AI174">
            <v>2026</v>
          </cell>
          <cell r="AJ174">
            <v>167</v>
          </cell>
        </row>
        <row r="175">
          <cell r="E175" t="str">
            <v>CI2026-0359</v>
          </cell>
          <cell r="F175">
            <v>46231</v>
          </cell>
          <cell r="G175">
            <v>46257.939837962964</v>
          </cell>
          <cell r="H175">
            <v>1</v>
          </cell>
          <cell r="I175">
            <v>1</v>
          </cell>
          <cell r="J175">
            <v>1</v>
          </cell>
          <cell r="K175">
            <v>2</v>
          </cell>
          <cell r="L175">
            <v>1</v>
          </cell>
          <cell r="M175">
            <v>1</v>
          </cell>
          <cell r="N175">
            <v>1</v>
          </cell>
          <cell r="O175">
            <v>1</v>
          </cell>
          <cell r="P175">
            <v>1</v>
          </cell>
          <cell r="Q175">
            <v>2</v>
          </cell>
          <cell r="R175" t="str">
            <v>ហឿត ចន្ត្រា (HOEURT CHANTRA)</v>
          </cell>
          <cell r="S175" t="str">
            <v>អតិថិជនទូទៅ (General Customer)</v>
          </cell>
          <cell r="T175">
            <v>4042</v>
          </cell>
          <cell r="V175">
            <v>0</v>
          </cell>
          <cell r="Y175">
            <v>67.5</v>
          </cell>
          <cell r="Z175">
            <v>0</v>
          </cell>
          <cell r="AA175">
            <v>0</v>
          </cell>
          <cell r="AB175">
            <v>0</v>
          </cell>
          <cell r="AC175">
            <v>67.5</v>
          </cell>
          <cell r="AD175">
            <v>1</v>
          </cell>
          <cell r="AE175">
            <v>503</v>
          </cell>
          <cell r="AF175">
            <v>1</v>
          </cell>
          <cell r="AG175">
            <v>4</v>
          </cell>
          <cell r="AH175">
            <v>7</v>
          </cell>
          <cell r="AI175">
            <v>2026</v>
          </cell>
          <cell r="AJ175">
            <v>168</v>
          </cell>
        </row>
        <row r="176">
          <cell r="E176" t="str">
            <v>CI2026-0360</v>
          </cell>
          <cell r="F176">
            <v>46231</v>
          </cell>
          <cell r="G176">
            <v>46257.942083333335</v>
          </cell>
          <cell r="H176">
            <v>1</v>
          </cell>
          <cell r="I176">
            <v>1</v>
          </cell>
          <cell r="J176">
            <v>1</v>
          </cell>
          <cell r="K176">
            <v>2</v>
          </cell>
          <cell r="L176">
            <v>1</v>
          </cell>
          <cell r="M176">
            <v>1</v>
          </cell>
          <cell r="N176">
            <v>1</v>
          </cell>
          <cell r="O176">
            <v>1</v>
          </cell>
          <cell r="P176">
            <v>1</v>
          </cell>
          <cell r="Q176">
            <v>2</v>
          </cell>
          <cell r="R176" t="str">
            <v>ហឿត ចន្ត្រា (HOEURT CHANTRA)</v>
          </cell>
          <cell r="S176" t="str">
            <v>អតិថិជនទូទៅ (General Customer)</v>
          </cell>
          <cell r="T176">
            <v>4042</v>
          </cell>
          <cell r="V176">
            <v>0</v>
          </cell>
          <cell r="Y176">
            <v>41</v>
          </cell>
          <cell r="Z176">
            <v>0</v>
          </cell>
          <cell r="AA176">
            <v>0</v>
          </cell>
          <cell r="AB176">
            <v>0</v>
          </cell>
          <cell r="AC176">
            <v>41</v>
          </cell>
          <cell r="AD176">
            <v>1</v>
          </cell>
          <cell r="AE176">
            <v>505</v>
          </cell>
          <cell r="AF176">
            <v>1</v>
          </cell>
          <cell r="AG176">
            <v>4</v>
          </cell>
          <cell r="AH176">
            <v>7</v>
          </cell>
          <cell r="AI176">
            <v>2026</v>
          </cell>
          <cell r="AJ176">
            <v>169</v>
          </cell>
        </row>
        <row r="177">
          <cell r="E177" t="str">
            <v>CI2026-0361</v>
          </cell>
          <cell r="F177">
            <v>46232</v>
          </cell>
          <cell r="G177">
            <v>46257.978703703702</v>
          </cell>
          <cell r="H177">
            <v>1</v>
          </cell>
          <cell r="I177">
            <v>1</v>
          </cell>
          <cell r="J177">
            <v>1</v>
          </cell>
          <cell r="K177">
            <v>2</v>
          </cell>
          <cell r="L177">
            <v>1</v>
          </cell>
          <cell r="M177">
            <v>1</v>
          </cell>
          <cell r="N177">
            <v>1</v>
          </cell>
          <cell r="O177">
            <v>1</v>
          </cell>
          <cell r="P177">
            <v>1</v>
          </cell>
          <cell r="Q177">
            <v>2</v>
          </cell>
          <cell r="R177" t="str">
            <v>ហឿត ចន្ត្រា (HOEURT CHANTRA)</v>
          </cell>
          <cell r="S177" t="str">
            <v>អតិថិជនទូទៅ (General Customer)</v>
          </cell>
          <cell r="T177">
            <v>4042</v>
          </cell>
          <cell r="V177">
            <v>0</v>
          </cell>
          <cell r="Y177">
            <v>52.13</v>
          </cell>
          <cell r="Z177">
            <v>0</v>
          </cell>
          <cell r="AA177">
            <v>0</v>
          </cell>
          <cell r="AB177">
            <v>0</v>
          </cell>
          <cell r="AC177">
            <v>52.13</v>
          </cell>
          <cell r="AD177">
            <v>1</v>
          </cell>
          <cell r="AE177">
            <v>509</v>
          </cell>
          <cell r="AF177">
            <v>1</v>
          </cell>
          <cell r="AG177">
            <v>4</v>
          </cell>
          <cell r="AH177">
            <v>7</v>
          </cell>
          <cell r="AI177">
            <v>2026</v>
          </cell>
          <cell r="AJ177">
            <v>170</v>
          </cell>
        </row>
        <row r="178">
          <cell r="E178" t="str">
            <v>CI2026-0362</v>
          </cell>
          <cell r="F178">
            <v>46232</v>
          </cell>
          <cell r="G178">
            <v>46257.983749999999</v>
          </cell>
          <cell r="H178">
            <v>1</v>
          </cell>
          <cell r="I178">
            <v>1</v>
          </cell>
          <cell r="J178">
            <v>1</v>
          </cell>
          <cell r="K178">
            <v>2</v>
          </cell>
          <cell r="L178">
            <v>1</v>
          </cell>
          <cell r="M178">
            <v>1</v>
          </cell>
          <cell r="N178">
            <v>1</v>
          </cell>
          <cell r="O178">
            <v>1</v>
          </cell>
          <cell r="P178">
            <v>1</v>
          </cell>
          <cell r="Q178">
            <v>2</v>
          </cell>
          <cell r="R178" t="str">
            <v>ហឿត ចន្ត្រា (HOEURT CHANTRA)</v>
          </cell>
          <cell r="S178" t="str">
            <v>អតិថិជនទូទៅ (General Customer)</v>
          </cell>
          <cell r="T178">
            <v>4042</v>
          </cell>
          <cell r="V178">
            <v>0</v>
          </cell>
          <cell r="Y178">
            <v>76.53</v>
          </cell>
          <cell r="Z178">
            <v>0</v>
          </cell>
          <cell r="AA178">
            <v>0</v>
          </cell>
          <cell r="AB178">
            <v>0</v>
          </cell>
          <cell r="AC178">
            <v>76.53</v>
          </cell>
          <cell r="AD178">
            <v>1</v>
          </cell>
          <cell r="AE178">
            <v>513</v>
          </cell>
          <cell r="AF178">
            <v>1</v>
          </cell>
          <cell r="AG178">
            <v>4</v>
          </cell>
          <cell r="AH178">
            <v>7</v>
          </cell>
          <cell r="AI178">
            <v>2026</v>
          </cell>
          <cell r="AJ178">
            <v>171</v>
          </cell>
        </row>
        <row r="179">
          <cell r="E179" t="str">
            <v>CI2026-0363</v>
          </cell>
          <cell r="F179">
            <v>46232</v>
          </cell>
          <cell r="G179">
            <v>46257.99082175926</v>
          </cell>
          <cell r="H179">
            <v>1</v>
          </cell>
          <cell r="I179">
            <v>1</v>
          </cell>
          <cell r="J179">
            <v>1</v>
          </cell>
          <cell r="K179">
            <v>2</v>
          </cell>
          <cell r="L179">
            <v>1</v>
          </cell>
          <cell r="M179">
            <v>1</v>
          </cell>
          <cell r="N179">
            <v>1</v>
          </cell>
          <cell r="O179">
            <v>1</v>
          </cell>
          <cell r="P179">
            <v>1</v>
          </cell>
          <cell r="Q179">
            <v>2</v>
          </cell>
          <cell r="R179" t="str">
            <v>ហឿត ចន្ត្រា (HOEURT CHANTRA)</v>
          </cell>
          <cell r="S179" t="str">
            <v>អតិថិជនទូទៅ (General Customer)</v>
          </cell>
          <cell r="T179">
            <v>4042</v>
          </cell>
          <cell r="V179">
            <v>0</v>
          </cell>
          <cell r="Y179">
            <v>40.799999999999997</v>
          </cell>
          <cell r="Z179">
            <v>0</v>
          </cell>
          <cell r="AA179">
            <v>0</v>
          </cell>
          <cell r="AB179">
            <v>0</v>
          </cell>
          <cell r="AC179">
            <v>40.799999999999997</v>
          </cell>
          <cell r="AD179">
            <v>1</v>
          </cell>
          <cell r="AE179">
            <v>517</v>
          </cell>
          <cell r="AF179">
            <v>1</v>
          </cell>
          <cell r="AG179">
            <v>4</v>
          </cell>
          <cell r="AH179">
            <v>7</v>
          </cell>
          <cell r="AI179">
            <v>2026</v>
          </cell>
          <cell r="AJ179">
            <v>172</v>
          </cell>
        </row>
        <row r="180">
          <cell r="E180" t="str">
            <v>CI2026-0364</v>
          </cell>
          <cell r="F180">
            <v>46232</v>
          </cell>
          <cell r="G180">
            <v>46257.991944444446</v>
          </cell>
          <cell r="H180">
            <v>1</v>
          </cell>
          <cell r="I180">
            <v>1</v>
          </cell>
          <cell r="J180">
            <v>1</v>
          </cell>
          <cell r="K180">
            <v>2</v>
          </cell>
          <cell r="L180">
            <v>1</v>
          </cell>
          <cell r="M180">
            <v>1</v>
          </cell>
          <cell r="N180">
            <v>1</v>
          </cell>
          <cell r="O180">
            <v>1</v>
          </cell>
          <cell r="P180">
            <v>1</v>
          </cell>
          <cell r="Q180">
            <v>2</v>
          </cell>
          <cell r="R180" t="str">
            <v>ហឿត ចន្ត្រា (HOEURT CHANTRA)</v>
          </cell>
          <cell r="S180" t="str">
            <v>អតិថិជនទូទៅ (General Customer)</v>
          </cell>
          <cell r="T180">
            <v>4042</v>
          </cell>
          <cell r="V180">
            <v>0</v>
          </cell>
          <cell r="Y180">
            <v>37.5</v>
          </cell>
          <cell r="Z180">
            <v>0</v>
          </cell>
          <cell r="AA180">
            <v>0</v>
          </cell>
          <cell r="AB180">
            <v>0</v>
          </cell>
          <cell r="AC180">
            <v>37.5</v>
          </cell>
          <cell r="AD180">
            <v>1</v>
          </cell>
          <cell r="AE180">
            <v>563</v>
          </cell>
          <cell r="AF180">
            <v>1</v>
          </cell>
          <cell r="AG180">
            <v>4</v>
          </cell>
          <cell r="AH180">
            <v>7</v>
          </cell>
          <cell r="AI180">
            <v>2026</v>
          </cell>
          <cell r="AJ180">
            <v>173</v>
          </cell>
        </row>
        <row r="181">
          <cell r="E181" t="str">
            <v>CI2026-0365</v>
          </cell>
          <cell r="F181">
            <v>46233</v>
          </cell>
          <cell r="G181">
            <v>46257.993217592593</v>
          </cell>
          <cell r="H181">
            <v>1</v>
          </cell>
          <cell r="I181">
            <v>1</v>
          </cell>
          <cell r="J181">
            <v>1</v>
          </cell>
          <cell r="K181">
            <v>2</v>
          </cell>
          <cell r="L181">
            <v>1</v>
          </cell>
          <cell r="M181">
            <v>1</v>
          </cell>
          <cell r="N181">
            <v>1</v>
          </cell>
          <cell r="O181">
            <v>1</v>
          </cell>
          <cell r="P181">
            <v>1</v>
          </cell>
          <cell r="Q181">
            <v>2</v>
          </cell>
          <cell r="R181" t="str">
            <v>ហឿត ចន្ត្រា (HOEURT CHANTRA)</v>
          </cell>
          <cell r="S181" t="str">
            <v>អតិថិជនទូទៅ (General Customer)</v>
          </cell>
          <cell r="T181">
            <v>4043</v>
          </cell>
          <cell r="V181">
            <v>0</v>
          </cell>
          <cell r="Y181">
            <v>135</v>
          </cell>
          <cell r="Z181">
            <v>0</v>
          </cell>
          <cell r="AA181">
            <v>0</v>
          </cell>
          <cell r="AB181">
            <v>0</v>
          </cell>
          <cell r="AC181">
            <v>135</v>
          </cell>
          <cell r="AD181">
            <v>1</v>
          </cell>
          <cell r="AE181">
            <v>525</v>
          </cell>
          <cell r="AF181">
            <v>1</v>
          </cell>
          <cell r="AG181">
            <v>4</v>
          </cell>
          <cell r="AH181">
            <v>7</v>
          </cell>
          <cell r="AI181">
            <v>2026</v>
          </cell>
          <cell r="AJ181">
            <v>174</v>
          </cell>
        </row>
        <row r="182">
          <cell r="E182" t="str">
            <v>CI2026-0366</v>
          </cell>
          <cell r="F182">
            <v>46234</v>
          </cell>
          <cell r="G182">
            <v>46257.999560185184</v>
          </cell>
          <cell r="H182">
            <v>1</v>
          </cell>
          <cell r="I182">
            <v>1</v>
          </cell>
          <cell r="J182">
            <v>1</v>
          </cell>
          <cell r="K182">
            <v>2</v>
          </cell>
          <cell r="L182">
            <v>1</v>
          </cell>
          <cell r="M182">
            <v>1</v>
          </cell>
          <cell r="N182">
            <v>1</v>
          </cell>
          <cell r="O182">
            <v>1</v>
          </cell>
          <cell r="P182">
            <v>1</v>
          </cell>
          <cell r="Q182">
            <v>2</v>
          </cell>
          <cell r="R182" t="str">
            <v>ហឿត ចន្ត្រា (HOEURT CHANTRA)</v>
          </cell>
          <cell r="S182" t="str">
            <v>អតិថិជនទូទៅ (General Customer)</v>
          </cell>
          <cell r="T182">
            <v>4043</v>
          </cell>
          <cell r="V182">
            <v>0</v>
          </cell>
          <cell r="Y182">
            <v>141</v>
          </cell>
          <cell r="Z182">
            <v>0</v>
          </cell>
          <cell r="AA182">
            <v>0</v>
          </cell>
          <cell r="AB182">
            <v>0</v>
          </cell>
          <cell r="AC182">
            <v>141</v>
          </cell>
          <cell r="AD182">
            <v>1</v>
          </cell>
          <cell r="AE182">
            <v>529</v>
          </cell>
          <cell r="AF182">
            <v>1</v>
          </cell>
          <cell r="AG182">
            <v>4</v>
          </cell>
          <cell r="AH182">
            <v>7</v>
          </cell>
          <cell r="AI182">
            <v>2026</v>
          </cell>
          <cell r="AJ182">
            <v>175</v>
          </cell>
        </row>
        <row r="183">
          <cell r="E183" t="str">
            <v>CI2026-0367</v>
          </cell>
          <cell r="F183">
            <v>46234</v>
          </cell>
          <cell r="G183">
            <v>46258.000752314816</v>
          </cell>
          <cell r="H183">
            <v>1</v>
          </cell>
          <cell r="I183">
            <v>1</v>
          </cell>
          <cell r="J183">
            <v>1</v>
          </cell>
          <cell r="K183">
            <v>2</v>
          </cell>
          <cell r="L183">
            <v>1</v>
          </cell>
          <cell r="M183">
            <v>1</v>
          </cell>
          <cell r="N183">
            <v>1</v>
          </cell>
          <cell r="O183">
            <v>1</v>
          </cell>
          <cell r="P183">
            <v>1</v>
          </cell>
          <cell r="Q183">
            <v>2</v>
          </cell>
          <cell r="R183" t="str">
            <v>ហឿត ចន្ត្រា (HOEURT CHANTRA)</v>
          </cell>
          <cell r="S183" t="str">
            <v>អតិថិជនទូទៅ (General Customer)</v>
          </cell>
          <cell r="T183">
            <v>4043</v>
          </cell>
          <cell r="V183">
            <v>0</v>
          </cell>
          <cell r="Y183">
            <v>70</v>
          </cell>
          <cell r="Z183">
            <v>0</v>
          </cell>
          <cell r="AA183">
            <v>0</v>
          </cell>
          <cell r="AB183">
            <v>0</v>
          </cell>
          <cell r="AC183">
            <v>70</v>
          </cell>
          <cell r="AD183">
            <v>1</v>
          </cell>
          <cell r="AE183">
            <v>530</v>
          </cell>
          <cell r="AF183">
            <v>1</v>
          </cell>
          <cell r="AG183">
            <v>4</v>
          </cell>
          <cell r="AH183">
            <v>7</v>
          </cell>
          <cell r="AI183">
            <v>2026</v>
          </cell>
          <cell r="AJ183">
            <v>176</v>
          </cell>
        </row>
        <row r="184">
          <cell r="E184" t="str">
            <v>CI2026-0368</v>
          </cell>
          <cell r="F184">
            <v>46234</v>
          </cell>
          <cell r="G184">
            <v>46258.589606481481</v>
          </cell>
          <cell r="H184">
            <v>1</v>
          </cell>
          <cell r="I184">
            <v>1</v>
          </cell>
          <cell r="J184">
            <v>1</v>
          </cell>
          <cell r="K184">
            <v>2</v>
          </cell>
          <cell r="L184">
            <v>1</v>
          </cell>
          <cell r="M184">
            <v>1</v>
          </cell>
          <cell r="N184">
            <v>1</v>
          </cell>
          <cell r="O184">
            <v>1</v>
          </cell>
          <cell r="P184">
            <v>1</v>
          </cell>
          <cell r="Q184">
            <v>2</v>
          </cell>
          <cell r="R184" t="str">
            <v>ហឿត ចន្ត្រា (HOEURT CHANTRA)</v>
          </cell>
          <cell r="S184" t="str">
            <v>អតិថិជនទូទៅ (General Customer)</v>
          </cell>
          <cell r="T184">
            <v>4043</v>
          </cell>
          <cell r="U184"/>
          <cell r="V184">
            <v>0</v>
          </cell>
          <cell r="W184"/>
          <cell r="X184"/>
          <cell r="Y184">
            <v>46.25</v>
          </cell>
          <cell r="Z184">
            <v>0</v>
          </cell>
          <cell r="AA184">
            <v>0</v>
          </cell>
          <cell r="AB184">
            <v>0</v>
          </cell>
          <cell r="AC184">
            <v>46.25</v>
          </cell>
          <cell r="AD184">
            <v>1</v>
          </cell>
          <cell r="AE184">
            <v>537</v>
          </cell>
          <cell r="AF184">
            <v>1</v>
          </cell>
          <cell r="AG184">
            <v>4</v>
          </cell>
          <cell r="AH184">
            <v>7</v>
          </cell>
          <cell r="AI184">
            <v>2026</v>
          </cell>
          <cell r="AJ184">
            <v>177</v>
          </cell>
        </row>
        <row r="185">
          <cell r="E185" t="str">
            <v>CI2026-0369</v>
          </cell>
          <cell r="F185">
            <v>46235</v>
          </cell>
          <cell r="G185">
            <v>46274.641076388885</v>
          </cell>
          <cell r="H185">
            <v>1</v>
          </cell>
          <cell r="I185">
            <v>1</v>
          </cell>
          <cell r="J185">
            <v>1</v>
          </cell>
          <cell r="K185">
            <v>2</v>
          </cell>
          <cell r="L185">
            <v>1</v>
          </cell>
          <cell r="M185">
            <v>1</v>
          </cell>
          <cell r="N185">
            <v>1</v>
          </cell>
          <cell r="O185">
            <v>1</v>
          </cell>
          <cell r="P185">
            <v>1</v>
          </cell>
          <cell r="Q185">
            <v>2</v>
          </cell>
          <cell r="R185" t="str">
            <v>ហឿត ចន្ត្រា (HOEURT CHANTRA)</v>
          </cell>
          <cell r="S185" t="str">
            <v>អតិថិជនទូទៅ (General Customer)</v>
          </cell>
          <cell r="T185" t="str">
            <v>4043</v>
          </cell>
          <cell r="V185">
            <v>0</v>
          </cell>
          <cell r="Y185">
            <v>75.900000000000006</v>
          </cell>
          <cell r="Z185">
            <v>0</v>
          </cell>
          <cell r="AA185">
            <v>0</v>
          </cell>
          <cell r="AB185">
            <v>0</v>
          </cell>
          <cell r="AC185">
            <v>75.900000000000006</v>
          </cell>
          <cell r="AD185">
            <v>1</v>
          </cell>
          <cell r="AF185">
            <v>1</v>
          </cell>
          <cell r="AG185">
            <v>1</v>
          </cell>
          <cell r="AH185">
            <v>8</v>
          </cell>
          <cell r="AI185">
            <v>2026</v>
          </cell>
          <cell r="AJ185">
            <v>178</v>
          </cell>
        </row>
        <row r="186">
          <cell r="E186" t="str">
            <v>CI2026-0370</v>
          </cell>
          <cell r="F186">
            <v>46235</v>
          </cell>
          <cell r="G186">
            <v>46274.663391203707</v>
          </cell>
          <cell r="H186">
            <v>1</v>
          </cell>
          <cell r="I186">
            <v>1</v>
          </cell>
          <cell r="J186">
            <v>1</v>
          </cell>
          <cell r="K186">
            <v>2</v>
          </cell>
          <cell r="L186">
            <v>1</v>
          </cell>
          <cell r="M186">
            <v>1</v>
          </cell>
          <cell r="N186">
            <v>1</v>
          </cell>
          <cell r="O186">
            <v>1</v>
          </cell>
          <cell r="P186">
            <v>1</v>
          </cell>
          <cell r="Q186">
            <v>2</v>
          </cell>
          <cell r="R186" t="str">
            <v>ហឿត ចន្ត្រា (HOEURT CHANTRA)</v>
          </cell>
          <cell r="S186" t="str">
            <v>អតិថិជនទូទៅ (General Customer)</v>
          </cell>
          <cell r="T186" t="str">
            <v>4043</v>
          </cell>
          <cell r="V186">
            <v>0</v>
          </cell>
          <cell r="Y186">
            <v>78.819999999999993</v>
          </cell>
          <cell r="Z186">
            <v>0</v>
          </cell>
          <cell r="AA186">
            <v>0</v>
          </cell>
          <cell r="AB186">
            <v>0</v>
          </cell>
          <cell r="AC186">
            <v>78.819999999999993</v>
          </cell>
          <cell r="AD186">
            <v>1</v>
          </cell>
          <cell r="AF186">
            <v>1</v>
          </cell>
          <cell r="AG186">
            <v>1</v>
          </cell>
          <cell r="AH186">
            <v>8</v>
          </cell>
          <cell r="AI186">
            <v>2026</v>
          </cell>
          <cell r="AJ186">
            <v>179</v>
          </cell>
        </row>
        <row r="187">
          <cell r="E187" t="str">
            <v>CI2026-0371</v>
          </cell>
          <cell r="F187">
            <v>46235</v>
          </cell>
          <cell r="G187">
            <v>46274.678773148145</v>
          </cell>
          <cell r="H187">
            <v>1</v>
          </cell>
          <cell r="I187">
            <v>1</v>
          </cell>
          <cell r="J187">
            <v>1</v>
          </cell>
          <cell r="K187">
            <v>2</v>
          </cell>
          <cell r="L187">
            <v>1</v>
          </cell>
          <cell r="M187">
            <v>1</v>
          </cell>
          <cell r="N187">
            <v>1</v>
          </cell>
          <cell r="O187">
            <v>1</v>
          </cell>
          <cell r="P187">
            <v>1</v>
          </cell>
          <cell r="Q187">
            <v>2</v>
          </cell>
          <cell r="R187" t="str">
            <v>ហឿត ចន្ត្រា (HOEURT CHANTRA)</v>
          </cell>
          <cell r="S187" t="str">
            <v>អតិថិជនទូទៅ (General Customer)</v>
          </cell>
          <cell r="T187" t="str">
            <v>4043</v>
          </cell>
          <cell r="V187">
            <v>0</v>
          </cell>
          <cell r="Y187">
            <v>72.89</v>
          </cell>
          <cell r="Z187">
            <v>0</v>
          </cell>
          <cell r="AA187">
            <v>0</v>
          </cell>
          <cell r="AB187">
            <v>0</v>
          </cell>
          <cell r="AC187">
            <v>72.89</v>
          </cell>
          <cell r="AD187">
            <v>1</v>
          </cell>
          <cell r="AF187">
            <v>1</v>
          </cell>
          <cell r="AG187">
            <v>1</v>
          </cell>
          <cell r="AH187">
            <v>8</v>
          </cell>
          <cell r="AI187">
            <v>2026</v>
          </cell>
          <cell r="AJ187">
            <v>180</v>
          </cell>
        </row>
        <row r="188">
          <cell r="E188" t="str">
            <v>CI2026-0372</v>
          </cell>
          <cell r="F188">
            <v>46236</v>
          </cell>
          <cell r="G188">
            <v>46274.690752314818</v>
          </cell>
          <cell r="H188">
            <v>1</v>
          </cell>
          <cell r="I188">
            <v>1</v>
          </cell>
          <cell r="J188">
            <v>1</v>
          </cell>
          <cell r="K188">
            <v>2</v>
          </cell>
          <cell r="L188">
            <v>1</v>
          </cell>
          <cell r="M188">
            <v>1</v>
          </cell>
          <cell r="N188">
            <v>1</v>
          </cell>
          <cell r="O188">
            <v>1</v>
          </cell>
          <cell r="P188">
            <v>1</v>
          </cell>
          <cell r="Q188">
            <v>2</v>
          </cell>
          <cell r="R188" t="str">
            <v>ហឿត ចន្ត្រា (HOEURT CHANTRA)</v>
          </cell>
          <cell r="S188" t="str">
            <v>អតិថិជនទូទៅ (General Customer)</v>
          </cell>
          <cell r="T188" t="str">
            <v>4043</v>
          </cell>
          <cell r="V188">
            <v>0</v>
          </cell>
          <cell r="Y188">
            <v>90.55</v>
          </cell>
          <cell r="Z188">
            <v>0</v>
          </cell>
          <cell r="AA188">
            <v>0</v>
          </cell>
          <cell r="AB188">
            <v>0</v>
          </cell>
          <cell r="AC188">
            <v>90.55</v>
          </cell>
          <cell r="AD188">
            <v>1</v>
          </cell>
          <cell r="AF188">
            <v>1</v>
          </cell>
          <cell r="AG188">
            <v>1</v>
          </cell>
          <cell r="AH188">
            <v>8</v>
          </cell>
          <cell r="AI188">
            <v>2026</v>
          </cell>
          <cell r="AJ188">
            <v>181</v>
          </cell>
        </row>
        <row r="189">
          <cell r="E189" t="str">
            <v>CI2026-0373</v>
          </cell>
          <cell r="F189">
            <v>46236</v>
          </cell>
          <cell r="G189">
            <v>46274.698611111111</v>
          </cell>
          <cell r="H189">
            <v>1</v>
          </cell>
          <cell r="I189">
            <v>1</v>
          </cell>
          <cell r="J189">
            <v>1</v>
          </cell>
          <cell r="K189">
            <v>2</v>
          </cell>
          <cell r="L189">
            <v>1</v>
          </cell>
          <cell r="M189">
            <v>1</v>
          </cell>
          <cell r="N189">
            <v>1</v>
          </cell>
          <cell r="O189">
            <v>1</v>
          </cell>
          <cell r="P189">
            <v>1</v>
          </cell>
          <cell r="Q189">
            <v>2</v>
          </cell>
          <cell r="R189" t="str">
            <v>ហឿត ចន្ត្រា (HOEURT CHANTRA)</v>
          </cell>
          <cell r="S189" t="str">
            <v>អតិថិជនទូទៅ (General Customer)</v>
          </cell>
          <cell r="T189" t="str">
            <v>4043</v>
          </cell>
          <cell r="V189">
            <v>0</v>
          </cell>
          <cell r="Y189">
            <v>43.1</v>
          </cell>
          <cell r="Z189">
            <v>0</v>
          </cell>
          <cell r="AA189">
            <v>0</v>
          </cell>
          <cell r="AB189">
            <v>0</v>
          </cell>
          <cell r="AC189">
            <v>43.1</v>
          </cell>
          <cell r="AD189">
            <v>1</v>
          </cell>
          <cell r="AF189">
            <v>1</v>
          </cell>
          <cell r="AG189">
            <v>1</v>
          </cell>
          <cell r="AH189">
            <v>8</v>
          </cell>
          <cell r="AI189">
            <v>2026</v>
          </cell>
          <cell r="AJ189">
            <v>182</v>
          </cell>
        </row>
        <row r="190">
          <cell r="E190" t="str">
            <v>CI2026-0374</v>
          </cell>
          <cell r="F190">
            <v>46236</v>
          </cell>
          <cell r="G190">
            <v>46274.702638888892</v>
          </cell>
          <cell r="H190">
            <v>1</v>
          </cell>
          <cell r="I190">
            <v>1</v>
          </cell>
          <cell r="J190">
            <v>1</v>
          </cell>
          <cell r="K190">
            <v>2</v>
          </cell>
          <cell r="L190">
            <v>1</v>
          </cell>
          <cell r="M190">
            <v>1</v>
          </cell>
          <cell r="N190">
            <v>1</v>
          </cell>
          <cell r="O190">
            <v>1</v>
          </cell>
          <cell r="P190">
            <v>1</v>
          </cell>
          <cell r="Q190">
            <v>2</v>
          </cell>
          <cell r="R190" t="str">
            <v>ហឿត ចន្ត្រា (HOEURT CHANTRA)</v>
          </cell>
          <cell r="S190" t="str">
            <v>អតិថិជនទូទៅ (General Customer)</v>
          </cell>
          <cell r="T190" t="str">
            <v>4043</v>
          </cell>
          <cell r="V190">
            <v>0</v>
          </cell>
          <cell r="Y190">
            <v>48.95</v>
          </cell>
          <cell r="Z190">
            <v>0</v>
          </cell>
          <cell r="AA190">
            <v>0</v>
          </cell>
          <cell r="AB190">
            <v>0</v>
          </cell>
          <cell r="AC190">
            <v>48.95</v>
          </cell>
          <cell r="AD190">
            <v>1</v>
          </cell>
          <cell r="AF190">
            <v>1</v>
          </cell>
          <cell r="AG190">
            <v>1</v>
          </cell>
          <cell r="AH190">
            <v>8</v>
          </cell>
          <cell r="AI190">
            <v>2026</v>
          </cell>
          <cell r="AJ190">
            <v>183</v>
          </cell>
        </row>
        <row r="191">
          <cell r="E191" t="str">
            <v>CI2026-0375</v>
          </cell>
          <cell r="F191">
            <v>46236</v>
          </cell>
          <cell r="G191">
            <v>46274.707546296297</v>
          </cell>
          <cell r="H191">
            <v>1</v>
          </cell>
          <cell r="I191">
            <v>1</v>
          </cell>
          <cell r="J191">
            <v>1</v>
          </cell>
          <cell r="K191">
            <v>2</v>
          </cell>
          <cell r="L191">
            <v>1</v>
          </cell>
          <cell r="M191">
            <v>1</v>
          </cell>
          <cell r="N191">
            <v>1</v>
          </cell>
          <cell r="O191">
            <v>1</v>
          </cell>
          <cell r="P191">
            <v>1</v>
          </cell>
          <cell r="Q191">
            <v>2</v>
          </cell>
          <cell r="R191" t="str">
            <v>ហឿត ចន្ត្រា (HOEURT CHANTRA)</v>
          </cell>
          <cell r="S191" t="str">
            <v>អតិថិជនទូទៅ (General Customer)</v>
          </cell>
          <cell r="T191" t="str">
            <v>4043</v>
          </cell>
          <cell r="V191">
            <v>0</v>
          </cell>
          <cell r="Y191">
            <v>38.32</v>
          </cell>
          <cell r="Z191">
            <v>0</v>
          </cell>
          <cell r="AA191">
            <v>0</v>
          </cell>
          <cell r="AB191">
            <v>0</v>
          </cell>
          <cell r="AC191">
            <v>38.32</v>
          </cell>
          <cell r="AD191">
            <v>1</v>
          </cell>
          <cell r="AF191">
            <v>1</v>
          </cell>
          <cell r="AG191">
            <v>1</v>
          </cell>
          <cell r="AH191">
            <v>8</v>
          </cell>
          <cell r="AI191">
            <v>2026</v>
          </cell>
          <cell r="AJ191">
            <v>184</v>
          </cell>
        </row>
        <row r="192">
          <cell r="E192" t="str">
            <v>CI2026-0376</v>
          </cell>
          <cell r="F192">
            <v>46237</v>
          </cell>
          <cell r="G192">
            <v>46274.84584490741</v>
          </cell>
          <cell r="H192">
            <v>1</v>
          </cell>
          <cell r="I192">
            <v>1</v>
          </cell>
          <cell r="J192">
            <v>1</v>
          </cell>
          <cell r="K192">
            <v>2</v>
          </cell>
          <cell r="L192">
            <v>1</v>
          </cell>
          <cell r="M192">
            <v>1</v>
          </cell>
          <cell r="N192">
            <v>1</v>
          </cell>
          <cell r="O192">
            <v>1</v>
          </cell>
          <cell r="P192">
            <v>1</v>
          </cell>
          <cell r="Q192">
            <v>2</v>
          </cell>
          <cell r="R192" t="str">
            <v>ហឿត ចន្ត្រា (HOEURT CHANTRA)</v>
          </cell>
          <cell r="S192" t="str">
            <v>អតិថិជនទូទៅ (General Customer)</v>
          </cell>
          <cell r="T192">
            <v>4047</v>
          </cell>
          <cell r="V192">
            <v>0</v>
          </cell>
          <cell r="Y192">
            <v>30.56</v>
          </cell>
          <cell r="Z192">
            <v>0</v>
          </cell>
          <cell r="AA192">
            <v>0</v>
          </cell>
          <cell r="AB192">
            <v>0</v>
          </cell>
          <cell r="AC192">
            <v>30.56</v>
          </cell>
          <cell r="AD192">
            <v>1</v>
          </cell>
          <cell r="AF192">
            <v>1</v>
          </cell>
          <cell r="AG192">
            <v>1</v>
          </cell>
          <cell r="AH192">
            <v>8</v>
          </cell>
          <cell r="AI192">
            <v>2026</v>
          </cell>
          <cell r="AJ192">
            <v>185</v>
          </cell>
        </row>
        <row r="193">
          <cell r="E193" t="str">
            <v>CI2026-0377</v>
          </cell>
          <cell r="F193">
            <v>46237</v>
          </cell>
          <cell r="G193">
            <v>46274.852361111109</v>
          </cell>
          <cell r="H193">
            <v>1</v>
          </cell>
          <cell r="I193">
            <v>1</v>
          </cell>
          <cell r="J193">
            <v>1</v>
          </cell>
          <cell r="K193">
            <v>2</v>
          </cell>
          <cell r="L193">
            <v>1</v>
          </cell>
          <cell r="M193">
            <v>1</v>
          </cell>
          <cell r="N193">
            <v>1</v>
          </cell>
          <cell r="O193">
            <v>1</v>
          </cell>
          <cell r="P193">
            <v>1</v>
          </cell>
          <cell r="Q193">
            <v>2</v>
          </cell>
          <cell r="R193" t="str">
            <v>ហឿត ចន្ត្រា (HOEURT CHANTRA)</v>
          </cell>
          <cell r="S193" t="str">
            <v>អតិថិជនទូទៅ (General Customer)</v>
          </cell>
          <cell r="T193">
            <v>4047</v>
          </cell>
          <cell r="V193">
            <v>0</v>
          </cell>
          <cell r="Y193">
            <v>40.450000000000003</v>
          </cell>
          <cell r="Z193">
            <v>0</v>
          </cell>
          <cell r="AA193">
            <v>0</v>
          </cell>
          <cell r="AB193">
            <v>0</v>
          </cell>
          <cell r="AC193">
            <v>40.450000000000003</v>
          </cell>
          <cell r="AD193">
            <v>1</v>
          </cell>
          <cell r="AF193">
            <v>1</v>
          </cell>
          <cell r="AG193">
            <v>1</v>
          </cell>
          <cell r="AH193">
            <v>8</v>
          </cell>
          <cell r="AI193">
            <v>2026</v>
          </cell>
          <cell r="AJ193">
            <v>186</v>
          </cell>
        </row>
        <row r="194">
          <cell r="E194" t="str">
            <v>CI2026-0378</v>
          </cell>
          <cell r="F194">
            <v>46237</v>
          </cell>
          <cell r="G194">
            <v>46274.857789351852</v>
          </cell>
          <cell r="H194">
            <v>1</v>
          </cell>
          <cell r="I194">
            <v>1</v>
          </cell>
          <cell r="J194">
            <v>1</v>
          </cell>
          <cell r="K194">
            <v>2</v>
          </cell>
          <cell r="L194">
            <v>1</v>
          </cell>
          <cell r="M194">
            <v>1</v>
          </cell>
          <cell r="N194">
            <v>1</v>
          </cell>
          <cell r="O194">
            <v>1</v>
          </cell>
          <cell r="P194">
            <v>1</v>
          </cell>
          <cell r="Q194">
            <v>2</v>
          </cell>
          <cell r="R194" t="str">
            <v>ហឿត ចន្ត្រា (HOEURT CHANTRA)</v>
          </cell>
          <cell r="S194" t="str">
            <v>អតិថិជនទូទៅ (General Customer)</v>
          </cell>
          <cell r="T194">
            <v>4047</v>
          </cell>
          <cell r="V194">
            <v>0</v>
          </cell>
          <cell r="Y194">
            <v>61.85</v>
          </cell>
          <cell r="Z194">
            <v>0</v>
          </cell>
          <cell r="AA194">
            <v>0</v>
          </cell>
          <cell r="AB194">
            <v>0</v>
          </cell>
          <cell r="AC194">
            <v>61.85</v>
          </cell>
          <cell r="AD194">
            <v>1</v>
          </cell>
          <cell r="AF194">
            <v>1</v>
          </cell>
          <cell r="AG194">
            <v>1</v>
          </cell>
          <cell r="AH194">
            <v>8</v>
          </cell>
          <cell r="AI194">
            <v>2026</v>
          </cell>
          <cell r="AJ194">
            <v>187</v>
          </cell>
        </row>
        <row r="195">
          <cell r="E195" t="str">
            <v>CI2026-0379</v>
          </cell>
          <cell r="F195">
            <v>46237</v>
          </cell>
          <cell r="G195">
            <v>46274.863541666666</v>
          </cell>
          <cell r="H195">
            <v>1</v>
          </cell>
          <cell r="I195">
            <v>1</v>
          </cell>
          <cell r="J195">
            <v>1</v>
          </cell>
          <cell r="K195">
            <v>2</v>
          </cell>
          <cell r="L195">
            <v>1</v>
          </cell>
          <cell r="M195">
            <v>1</v>
          </cell>
          <cell r="N195">
            <v>1</v>
          </cell>
          <cell r="O195">
            <v>1</v>
          </cell>
          <cell r="P195">
            <v>1</v>
          </cell>
          <cell r="Q195">
            <v>2</v>
          </cell>
          <cell r="R195" t="str">
            <v>ហឿត ចន្ត្រា (HOEURT CHANTRA)</v>
          </cell>
          <cell r="S195" t="str">
            <v>អតិថិជនទូទៅ (General Customer)</v>
          </cell>
          <cell r="T195">
            <v>4047</v>
          </cell>
          <cell r="V195">
            <v>0</v>
          </cell>
          <cell r="Y195">
            <v>60.63</v>
          </cell>
          <cell r="Z195">
            <v>0</v>
          </cell>
          <cell r="AA195">
            <v>0</v>
          </cell>
          <cell r="AB195">
            <v>0</v>
          </cell>
          <cell r="AC195">
            <v>60.63</v>
          </cell>
          <cell r="AD195">
            <v>1</v>
          </cell>
          <cell r="AF195">
            <v>1</v>
          </cell>
          <cell r="AG195">
            <v>1</v>
          </cell>
          <cell r="AH195">
            <v>8</v>
          </cell>
          <cell r="AI195">
            <v>2026</v>
          </cell>
          <cell r="AJ195">
            <v>188</v>
          </cell>
        </row>
        <row r="196">
          <cell r="E196" t="str">
            <v>CI2026-0380</v>
          </cell>
          <cell r="F196">
            <v>46238</v>
          </cell>
          <cell r="G196">
            <v>46275.540937500002</v>
          </cell>
          <cell r="H196">
            <v>1</v>
          </cell>
          <cell r="I196">
            <v>1</v>
          </cell>
          <cell r="J196">
            <v>1</v>
          </cell>
          <cell r="K196">
            <v>2</v>
          </cell>
          <cell r="L196">
            <v>1</v>
          </cell>
          <cell r="M196">
            <v>1</v>
          </cell>
          <cell r="N196">
            <v>1</v>
          </cell>
          <cell r="O196">
            <v>1</v>
          </cell>
          <cell r="P196">
            <v>1</v>
          </cell>
          <cell r="Q196">
            <v>2</v>
          </cell>
          <cell r="R196" t="str">
            <v>ហឿត ចន្ត្រា (HOEURT CHANTRA)</v>
          </cell>
          <cell r="S196" t="str">
            <v>អតិថិជនទូទៅ (General Customer)</v>
          </cell>
          <cell r="T196">
            <v>4051</v>
          </cell>
          <cell r="V196">
            <v>0</v>
          </cell>
          <cell r="Y196">
            <v>54.93</v>
          </cell>
          <cell r="Z196">
            <v>0</v>
          </cell>
          <cell r="AA196">
            <v>0</v>
          </cell>
          <cell r="AB196">
            <v>0</v>
          </cell>
          <cell r="AC196">
            <v>54.93</v>
          </cell>
          <cell r="AD196">
            <v>1</v>
          </cell>
          <cell r="AF196">
            <v>1</v>
          </cell>
          <cell r="AG196">
            <v>1</v>
          </cell>
          <cell r="AH196">
            <v>8</v>
          </cell>
          <cell r="AI196">
            <v>2026</v>
          </cell>
          <cell r="AJ196">
            <v>189</v>
          </cell>
        </row>
        <row r="197">
          <cell r="E197" t="str">
            <v>CI2026-0381</v>
          </cell>
          <cell r="F197">
            <v>46238</v>
          </cell>
          <cell r="G197">
            <v>46275.577685185184</v>
          </cell>
          <cell r="H197">
            <v>1</v>
          </cell>
          <cell r="I197">
            <v>1</v>
          </cell>
          <cell r="J197">
            <v>1</v>
          </cell>
          <cell r="K197">
            <v>2</v>
          </cell>
          <cell r="L197">
            <v>1</v>
          </cell>
          <cell r="M197">
            <v>1</v>
          </cell>
          <cell r="N197">
            <v>1</v>
          </cell>
          <cell r="O197">
            <v>1</v>
          </cell>
          <cell r="P197">
            <v>1</v>
          </cell>
          <cell r="Q197">
            <v>2</v>
          </cell>
          <cell r="R197" t="str">
            <v>ហឿត ចន្ត្រា (HOEURT CHANTRA)</v>
          </cell>
          <cell r="S197" t="str">
            <v>អតិថិជនទូទៅ (General Customer)</v>
          </cell>
          <cell r="T197">
            <v>4051</v>
          </cell>
          <cell r="V197">
            <v>0</v>
          </cell>
          <cell r="Y197">
            <v>41.47</v>
          </cell>
          <cell r="Z197">
            <v>0</v>
          </cell>
          <cell r="AA197">
            <v>0</v>
          </cell>
          <cell r="AB197">
            <v>0</v>
          </cell>
          <cell r="AC197">
            <v>41.47</v>
          </cell>
          <cell r="AD197">
            <v>1</v>
          </cell>
          <cell r="AF197">
            <v>1</v>
          </cell>
          <cell r="AG197">
            <v>1</v>
          </cell>
          <cell r="AH197">
            <v>8</v>
          </cell>
          <cell r="AI197">
            <v>2026</v>
          </cell>
          <cell r="AJ197">
            <v>190</v>
          </cell>
        </row>
        <row r="198">
          <cell r="E198" t="str">
            <v>CI2026-0382</v>
          </cell>
          <cell r="F198">
            <v>46238</v>
          </cell>
          <cell r="G198">
            <v>46275.584340277775</v>
          </cell>
          <cell r="H198">
            <v>1</v>
          </cell>
          <cell r="I198">
            <v>1</v>
          </cell>
          <cell r="J198">
            <v>1</v>
          </cell>
          <cell r="K198">
            <v>2</v>
          </cell>
          <cell r="L198">
            <v>1</v>
          </cell>
          <cell r="M198">
            <v>1</v>
          </cell>
          <cell r="N198">
            <v>1</v>
          </cell>
          <cell r="O198">
            <v>1</v>
          </cell>
          <cell r="P198">
            <v>1</v>
          </cell>
          <cell r="Q198">
            <v>2</v>
          </cell>
          <cell r="R198" t="str">
            <v>ហឿត ចន្ត្រា (HOEURT CHANTRA)</v>
          </cell>
          <cell r="S198" t="str">
            <v>អតិថិជនទូទៅ (General Customer)</v>
          </cell>
          <cell r="T198">
            <v>4051</v>
          </cell>
          <cell r="V198">
            <v>0</v>
          </cell>
          <cell r="Y198">
            <v>50.94</v>
          </cell>
          <cell r="Z198">
            <v>0</v>
          </cell>
          <cell r="AA198">
            <v>0</v>
          </cell>
          <cell r="AB198">
            <v>0</v>
          </cell>
          <cell r="AC198">
            <v>50.94</v>
          </cell>
          <cell r="AD198">
            <v>1</v>
          </cell>
          <cell r="AF198">
            <v>1</v>
          </cell>
          <cell r="AG198">
            <v>1</v>
          </cell>
          <cell r="AH198">
            <v>8</v>
          </cell>
          <cell r="AI198">
            <v>2026</v>
          </cell>
          <cell r="AJ198">
            <v>191</v>
          </cell>
        </row>
        <row r="199">
          <cell r="E199" t="str">
            <v>CI2026-0383</v>
          </cell>
          <cell r="F199">
            <v>46238</v>
          </cell>
          <cell r="G199">
            <v>46275.5940162037</v>
          </cell>
          <cell r="H199">
            <v>1</v>
          </cell>
          <cell r="I199">
            <v>1</v>
          </cell>
          <cell r="J199">
            <v>1</v>
          </cell>
          <cell r="K199">
            <v>2</v>
          </cell>
          <cell r="L199">
            <v>1</v>
          </cell>
          <cell r="M199">
            <v>1</v>
          </cell>
          <cell r="N199">
            <v>1</v>
          </cell>
          <cell r="O199">
            <v>1</v>
          </cell>
          <cell r="P199">
            <v>1</v>
          </cell>
          <cell r="Q199">
            <v>2</v>
          </cell>
          <cell r="R199" t="str">
            <v>ហឿត ចន្ត្រា (HOEURT CHANTRA)</v>
          </cell>
          <cell r="S199" t="str">
            <v>អតិថិជនទូទៅ (General Customer)</v>
          </cell>
          <cell r="T199">
            <v>4051</v>
          </cell>
          <cell r="V199">
            <v>0</v>
          </cell>
          <cell r="Y199">
            <v>83.89</v>
          </cell>
          <cell r="Z199">
            <v>0</v>
          </cell>
          <cell r="AA199">
            <v>0</v>
          </cell>
          <cell r="AB199">
            <v>0</v>
          </cell>
          <cell r="AC199">
            <v>83.89</v>
          </cell>
          <cell r="AD199">
            <v>1</v>
          </cell>
          <cell r="AF199">
            <v>1</v>
          </cell>
          <cell r="AG199">
            <v>1</v>
          </cell>
          <cell r="AH199">
            <v>8</v>
          </cell>
          <cell r="AI199">
            <v>2026</v>
          </cell>
          <cell r="AJ199">
            <v>192</v>
          </cell>
        </row>
        <row r="200">
          <cell r="E200" t="str">
            <v>CI2026-0384</v>
          </cell>
          <cell r="F200">
            <v>46239</v>
          </cell>
          <cell r="G200">
            <v>46275.622361111113</v>
          </cell>
          <cell r="H200">
            <v>1</v>
          </cell>
          <cell r="I200">
            <v>1</v>
          </cell>
          <cell r="J200">
            <v>1</v>
          </cell>
          <cell r="K200">
            <v>2</v>
          </cell>
          <cell r="L200">
            <v>1</v>
          </cell>
          <cell r="M200">
            <v>1</v>
          </cell>
          <cell r="N200">
            <v>1</v>
          </cell>
          <cell r="O200">
            <v>1</v>
          </cell>
          <cell r="P200">
            <v>1</v>
          </cell>
          <cell r="Q200">
            <v>2</v>
          </cell>
          <cell r="R200" t="str">
            <v>ហឿត ចន្ត្រា (HOEURT CHANTRA)</v>
          </cell>
          <cell r="S200" t="str">
            <v>អតិថិជនទូទៅ (General Customer)</v>
          </cell>
          <cell r="T200">
            <v>4053</v>
          </cell>
          <cell r="V200">
            <v>0</v>
          </cell>
          <cell r="Y200">
            <v>65</v>
          </cell>
          <cell r="Z200">
            <v>0</v>
          </cell>
          <cell r="AA200">
            <v>0</v>
          </cell>
          <cell r="AB200">
            <v>0</v>
          </cell>
          <cell r="AC200">
            <v>65</v>
          </cell>
          <cell r="AD200">
            <v>1</v>
          </cell>
          <cell r="AF200">
            <v>1</v>
          </cell>
          <cell r="AG200">
            <v>1</v>
          </cell>
          <cell r="AH200">
            <v>8</v>
          </cell>
          <cell r="AI200">
            <v>2026</v>
          </cell>
          <cell r="AJ200">
            <v>193</v>
          </cell>
        </row>
        <row r="201">
          <cell r="E201" t="str">
            <v>CI2026-0385</v>
          </cell>
          <cell r="F201">
            <v>46239</v>
          </cell>
          <cell r="G201">
            <v>46275.655509259261</v>
          </cell>
          <cell r="H201">
            <v>1</v>
          </cell>
          <cell r="I201">
            <v>1</v>
          </cell>
          <cell r="J201">
            <v>1</v>
          </cell>
          <cell r="K201">
            <v>2</v>
          </cell>
          <cell r="L201">
            <v>1</v>
          </cell>
          <cell r="M201">
            <v>1</v>
          </cell>
          <cell r="N201">
            <v>1</v>
          </cell>
          <cell r="O201">
            <v>1</v>
          </cell>
          <cell r="P201">
            <v>1</v>
          </cell>
          <cell r="Q201">
            <v>2</v>
          </cell>
          <cell r="R201" t="str">
            <v>ហឿត ចន្ត្រា (HOEURT CHANTRA)</v>
          </cell>
          <cell r="S201" t="str">
            <v>អតិថិជនទូទៅ (General Customer)</v>
          </cell>
          <cell r="T201">
            <v>4053</v>
          </cell>
          <cell r="V201">
            <v>0</v>
          </cell>
          <cell r="Y201">
            <v>42.22</v>
          </cell>
          <cell r="Z201">
            <v>0</v>
          </cell>
          <cell r="AA201">
            <v>0</v>
          </cell>
          <cell r="AB201">
            <v>0</v>
          </cell>
          <cell r="AC201">
            <v>42.22</v>
          </cell>
          <cell r="AD201">
            <v>1</v>
          </cell>
          <cell r="AF201">
            <v>1</v>
          </cell>
          <cell r="AG201">
            <v>1</v>
          </cell>
          <cell r="AH201">
            <v>8</v>
          </cell>
          <cell r="AI201">
            <v>2026</v>
          </cell>
          <cell r="AJ201">
            <v>194</v>
          </cell>
        </row>
        <row r="202">
          <cell r="E202" t="str">
            <v>CI2026-0386</v>
          </cell>
          <cell r="F202">
            <v>46239</v>
          </cell>
          <cell r="G202">
            <v>46275.660694444443</v>
          </cell>
          <cell r="H202">
            <v>1</v>
          </cell>
          <cell r="I202">
            <v>1</v>
          </cell>
          <cell r="J202">
            <v>1</v>
          </cell>
          <cell r="K202">
            <v>2</v>
          </cell>
          <cell r="L202">
            <v>1</v>
          </cell>
          <cell r="M202">
            <v>1</v>
          </cell>
          <cell r="N202">
            <v>1</v>
          </cell>
          <cell r="O202">
            <v>1</v>
          </cell>
          <cell r="P202">
            <v>1</v>
          </cell>
          <cell r="Q202">
            <v>2</v>
          </cell>
          <cell r="R202" t="str">
            <v>ហឿត ចន្ត្រា (HOEURT CHANTRA)</v>
          </cell>
          <cell r="S202" t="str">
            <v>អតិថិជនទូទៅ (General Customer)</v>
          </cell>
          <cell r="T202">
            <v>4053</v>
          </cell>
          <cell r="V202">
            <v>0</v>
          </cell>
          <cell r="Y202">
            <v>73.34</v>
          </cell>
          <cell r="Z202">
            <v>0</v>
          </cell>
          <cell r="AA202">
            <v>0</v>
          </cell>
          <cell r="AB202">
            <v>0</v>
          </cell>
          <cell r="AC202">
            <v>73.34</v>
          </cell>
          <cell r="AD202">
            <v>1</v>
          </cell>
          <cell r="AF202">
            <v>1</v>
          </cell>
          <cell r="AG202">
            <v>1</v>
          </cell>
          <cell r="AH202">
            <v>8</v>
          </cell>
          <cell r="AI202">
            <v>2026</v>
          </cell>
          <cell r="AJ202">
            <v>195</v>
          </cell>
        </row>
        <row r="203">
          <cell r="E203" t="str">
            <v>CI2026-0387</v>
          </cell>
          <cell r="F203">
            <v>46240</v>
          </cell>
          <cell r="G203">
            <v>46277.326967592591</v>
          </cell>
          <cell r="H203">
            <v>1</v>
          </cell>
          <cell r="I203">
            <v>1</v>
          </cell>
          <cell r="J203">
            <v>1</v>
          </cell>
          <cell r="K203">
            <v>2</v>
          </cell>
          <cell r="L203">
            <v>1</v>
          </cell>
          <cell r="M203">
            <v>1</v>
          </cell>
          <cell r="N203">
            <v>1</v>
          </cell>
          <cell r="O203">
            <v>1</v>
          </cell>
          <cell r="P203">
            <v>1</v>
          </cell>
          <cell r="Q203">
            <v>2</v>
          </cell>
          <cell r="R203" t="str">
            <v>ហឿត ចន្ត្រា (HOEURT CHANTRA)</v>
          </cell>
          <cell r="S203" t="str">
            <v>អតិថិជនទូទៅ (General Customer)</v>
          </cell>
          <cell r="T203">
            <v>4055</v>
          </cell>
          <cell r="V203">
            <v>0</v>
          </cell>
          <cell r="Y203">
            <v>43.5</v>
          </cell>
          <cell r="Z203">
            <v>0</v>
          </cell>
          <cell r="AA203">
            <v>0</v>
          </cell>
          <cell r="AB203">
            <v>0</v>
          </cell>
          <cell r="AC203">
            <v>43.5</v>
          </cell>
          <cell r="AD203">
            <v>1</v>
          </cell>
          <cell r="AF203">
            <v>1</v>
          </cell>
          <cell r="AG203">
            <v>1</v>
          </cell>
          <cell r="AH203">
            <v>8</v>
          </cell>
          <cell r="AI203">
            <v>2026</v>
          </cell>
          <cell r="AJ203">
            <v>196</v>
          </cell>
        </row>
        <row r="204">
          <cell r="E204" t="str">
            <v>CI2026-0388</v>
          </cell>
          <cell r="F204">
            <v>46240</v>
          </cell>
          <cell r="G204">
            <v>46277.37703703704</v>
          </cell>
          <cell r="H204">
            <v>1</v>
          </cell>
          <cell r="I204">
            <v>1</v>
          </cell>
          <cell r="J204">
            <v>1</v>
          </cell>
          <cell r="K204">
            <v>2</v>
          </cell>
          <cell r="L204">
            <v>1</v>
          </cell>
          <cell r="M204">
            <v>1</v>
          </cell>
          <cell r="N204">
            <v>1</v>
          </cell>
          <cell r="O204">
            <v>1</v>
          </cell>
          <cell r="P204">
            <v>1</v>
          </cell>
          <cell r="Q204">
            <v>2</v>
          </cell>
          <cell r="R204" t="str">
            <v>ហឿត ចន្ត្រា (HOEURT CHANTRA)</v>
          </cell>
          <cell r="S204" t="str">
            <v>អតិថិជនទូទៅ (General Customer)</v>
          </cell>
          <cell r="T204">
            <v>4055</v>
          </cell>
          <cell r="V204">
            <v>0</v>
          </cell>
          <cell r="Y204">
            <v>30.16</v>
          </cell>
          <cell r="Z204">
            <v>0</v>
          </cell>
          <cell r="AA204">
            <v>0</v>
          </cell>
          <cell r="AB204">
            <v>0</v>
          </cell>
          <cell r="AC204">
            <v>30.16</v>
          </cell>
          <cell r="AD204">
            <v>1</v>
          </cell>
          <cell r="AF204">
            <v>1</v>
          </cell>
          <cell r="AG204">
            <v>1</v>
          </cell>
          <cell r="AH204">
            <v>8</v>
          </cell>
          <cell r="AI204">
            <v>2026</v>
          </cell>
          <cell r="AJ204">
            <v>197</v>
          </cell>
        </row>
        <row r="205">
          <cell r="E205" t="str">
            <v>CI2026-0389</v>
          </cell>
          <cell r="F205">
            <v>46240</v>
          </cell>
          <cell r="G205">
            <v>46277.391157407408</v>
          </cell>
          <cell r="H205">
            <v>1</v>
          </cell>
          <cell r="I205">
            <v>1</v>
          </cell>
          <cell r="J205">
            <v>1</v>
          </cell>
          <cell r="K205">
            <v>2</v>
          </cell>
          <cell r="L205">
            <v>1</v>
          </cell>
          <cell r="M205">
            <v>1</v>
          </cell>
          <cell r="N205">
            <v>1</v>
          </cell>
          <cell r="O205">
            <v>1</v>
          </cell>
          <cell r="P205">
            <v>1</v>
          </cell>
          <cell r="Q205">
            <v>2</v>
          </cell>
          <cell r="R205" t="str">
            <v>ហឿត ចន្ត្រា (HOEURT CHANTRA)</v>
          </cell>
          <cell r="S205" t="str">
            <v>អតិថិជនទូទៅ (General Customer)</v>
          </cell>
          <cell r="T205">
            <v>4055</v>
          </cell>
          <cell r="V205">
            <v>0</v>
          </cell>
          <cell r="Y205">
            <v>82.09</v>
          </cell>
          <cell r="Z205">
            <v>0</v>
          </cell>
          <cell r="AA205">
            <v>0</v>
          </cell>
          <cell r="AB205">
            <v>0</v>
          </cell>
          <cell r="AC205">
            <v>82.09</v>
          </cell>
          <cell r="AD205">
            <v>1</v>
          </cell>
          <cell r="AF205">
            <v>1</v>
          </cell>
          <cell r="AG205">
            <v>1</v>
          </cell>
          <cell r="AH205">
            <v>8</v>
          </cell>
          <cell r="AI205">
            <v>2026</v>
          </cell>
          <cell r="AJ205">
            <v>198</v>
          </cell>
        </row>
        <row r="206">
          <cell r="E206" t="str">
            <v>CI2026-0390</v>
          </cell>
          <cell r="F206">
            <v>46240</v>
          </cell>
          <cell r="G206">
            <v>46277.420960648145</v>
          </cell>
          <cell r="H206">
            <v>1</v>
          </cell>
          <cell r="I206">
            <v>1</v>
          </cell>
          <cell r="J206">
            <v>1</v>
          </cell>
          <cell r="K206">
            <v>2</v>
          </cell>
          <cell r="L206">
            <v>1</v>
          </cell>
          <cell r="M206">
            <v>1</v>
          </cell>
          <cell r="N206">
            <v>1</v>
          </cell>
          <cell r="O206">
            <v>1</v>
          </cell>
          <cell r="P206">
            <v>1</v>
          </cell>
          <cell r="Q206">
            <v>2</v>
          </cell>
          <cell r="R206" t="str">
            <v>ហឿត ចន្ត្រា (HOEURT CHANTRA)</v>
          </cell>
          <cell r="S206" t="str">
            <v>អតិថិជនទូទៅ (General Customer)</v>
          </cell>
          <cell r="T206">
            <v>4055</v>
          </cell>
          <cell r="V206">
            <v>0</v>
          </cell>
          <cell r="Y206">
            <v>43.5</v>
          </cell>
          <cell r="Z206">
            <v>0</v>
          </cell>
          <cell r="AA206">
            <v>0</v>
          </cell>
          <cell r="AB206">
            <v>0</v>
          </cell>
          <cell r="AC206">
            <v>43.5</v>
          </cell>
          <cell r="AD206">
            <v>1</v>
          </cell>
          <cell r="AF206">
            <v>1</v>
          </cell>
          <cell r="AG206">
            <v>1</v>
          </cell>
          <cell r="AH206">
            <v>8</v>
          </cell>
          <cell r="AI206">
            <v>2026</v>
          </cell>
          <cell r="AJ206">
            <v>199</v>
          </cell>
        </row>
        <row r="207">
          <cell r="E207" t="str">
            <v>CI2026-0391</v>
          </cell>
          <cell r="F207">
            <v>46240</v>
          </cell>
          <cell r="G207">
            <v>46277.422233796293</v>
          </cell>
          <cell r="H207">
            <v>1</v>
          </cell>
          <cell r="I207">
            <v>1</v>
          </cell>
          <cell r="J207">
            <v>1</v>
          </cell>
          <cell r="K207">
            <v>2</v>
          </cell>
          <cell r="L207">
            <v>1</v>
          </cell>
          <cell r="M207">
            <v>1</v>
          </cell>
          <cell r="N207">
            <v>1</v>
          </cell>
          <cell r="O207">
            <v>1</v>
          </cell>
          <cell r="P207">
            <v>1</v>
          </cell>
          <cell r="Q207">
            <v>2</v>
          </cell>
          <cell r="R207" t="str">
            <v>ហឿត ចន្ត្រា (HOEURT CHANTRA)</v>
          </cell>
          <cell r="S207" t="str">
            <v>អតិថិជនទូទៅ (General Customer)</v>
          </cell>
          <cell r="T207">
            <v>4055</v>
          </cell>
          <cell r="V207">
            <v>0</v>
          </cell>
          <cell r="Y207">
            <v>40.799999999999997</v>
          </cell>
          <cell r="Z207">
            <v>0</v>
          </cell>
          <cell r="AA207">
            <v>0</v>
          </cell>
          <cell r="AB207">
            <v>0</v>
          </cell>
          <cell r="AC207">
            <v>40.799999999999997</v>
          </cell>
          <cell r="AD207">
            <v>1</v>
          </cell>
          <cell r="AF207">
            <v>1</v>
          </cell>
          <cell r="AG207">
            <v>1</v>
          </cell>
          <cell r="AH207">
            <v>8</v>
          </cell>
          <cell r="AI207">
            <v>2026</v>
          </cell>
          <cell r="AJ207">
            <v>200</v>
          </cell>
        </row>
        <row r="208">
          <cell r="E208" t="str">
            <v>CI2026-0392</v>
          </cell>
          <cell r="F208">
            <v>46241</v>
          </cell>
          <cell r="G208">
            <v>46279.447592592594</v>
          </cell>
          <cell r="H208">
            <v>1</v>
          </cell>
          <cell r="I208">
            <v>1</v>
          </cell>
          <cell r="J208">
            <v>1</v>
          </cell>
          <cell r="K208">
            <v>2</v>
          </cell>
          <cell r="L208">
            <v>1</v>
          </cell>
          <cell r="M208">
            <v>1</v>
          </cell>
          <cell r="N208">
            <v>1</v>
          </cell>
          <cell r="O208">
            <v>1</v>
          </cell>
          <cell r="P208">
            <v>1</v>
          </cell>
          <cell r="Q208">
            <v>2</v>
          </cell>
          <cell r="R208" t="str">
            <v>ហឿត ចន្ត្រា (HOEURT CHANTRA)</v>
          </cell>
          <cell r="S208" t="str">
            <v>អតិថិជនទូទៅ (General Customer)</v>
          </cell>
          <cell r="T208">
            <v>4054</v>
          </cell>
          <cell r="V208">
            <v>0</v>
          </cell>
          <cell r="Y208">
            <v>77.400000000000006</v>
          </cell>
          <cell r="Z208">
            <v>0</v>
          </cell>
          <cell r="AA208">
            <v>0</v>
          </cell>
          <cell r="AB208">
            <v>0</v>
          </cell>
          <cell r="AC208">
            <v>77.400000000000006</v>
          </cell>
          <cell r="AD208">
            <v>1</v>
          </cell>
          <cell r="AF208">
            <v>1</v>
          </cell>
          <cell r="AG208">
            <v>1</v>
          </cell>
          <cell r="AH208">
            <v>8</v>
          </cell>
          <cell r="AI208">
            <v>2026</v>
          </cell>
          <cell r="AJ208">
            <v>201</v>
          </cell>
        </row>
        <row r="209">
          <cell r="E209" t="str">
            <v>CI2026-0393</v>
          </cell>
          <cell r="F209">
            <v>46241</v>
          </cell>
          <cell r="G209">
            <v>46279.586770833332</v>
          </cell>
          <cell r="H209">
            <v>1</v>
          </cell>
          <cell r="I209">
            <v>1</v>
          </cell>
          <cell r="J209">
            <v>1</v>
          </cell>
          <cell r="K209">
            <v>2</v>
          </cell>
          <cell r="L209">
            <v>1</v>
          </cell>
          <cell r="M209">
            <v>1</v>
          </cell>
          <cell r="N209">
            <v>1</v>
          </cell>
          <cell r="O209">
            <v>1</v>
          </cell>
          <cell r="P209">
            <v>1</v>
          </cell>
          <cell r="Q209">
            <v>2</v>
          </cell>
          <cell r="R209" t="str">
            <v>ហឿត ចន្ត្រា (HOEURT CHANTRA)</v>
          </cell>
          <cell r="S209" t="str">
            <v>អតិថិជនទូទៅ (General Customer)</v>
          </cell>
          <cell r="T209">
            <v>4054</v>
          </cell>
          <cell r="V209">
            <v>0</v>
          </cell>
          <cell r="Y209">
            <v>57.49</v>
          </cell>
          <cell r="Z209">
            <v>0</v>
          </cell>
          <cell r="AA209">
            <v>0</v>
          </cell>
          <cell r="AB209">
            <v>0</v>
          </cell>
          <cell r="AC209">
            <v>57.49</v>
          </cell>
          <cell r="AD209">
            <v>1</v>
          </cell>
          <cell r="AF209">
            <v>1</v>
          </cell>
          <cell r="AG209">
            <v>1</v>
          </cell>
          <cell r="AH209">
            <v>8</v>
          </cell>
          <cell r="AI209">
            <v>2026</v>
          </cell>
          <cell r="AJ209">
            <v>202</v>
          </cell>
        </row>
        <row r="210">
          <cell r="E210" t="str">
            <v>CI2026-0394</v>
          </cell>
          <cell r="F210">
            <v>46241</v>
          </cell>
          <cell r="G210">
            <v>46279.588310185187</v>
          </cell>
          <cell r="H210">
            <v>1</v>
          </cell>
          <cell r="I210">
            <v>1</v>
          </cell>
          <cell r="J210">
            <v>1</v>
          </cell>
          <cell r="K210">
            <v>2</v>
          </cell>
          <cell r="L210">
            <v>1</v>
          </cell>
          <cell r="M210">
            <v>1</v>
          </cell>
          <cell r="N210">
            <v>1</v>
          </cell>
          <cell r="O210">
            <v>1</v>
          </cell>
          <cell r="P210">
            <v>1</v>
          </cell>
          <cell r="Q210">
            <v>2</v>
          </cell>
          <cell r="R210" t="str">
            <v>ហឿត ចន្ត្រា (HOEURT CHANTRA)</v>
          </cell>
          <cell r="S210" t="str">
            <v>អតិថិជនទូទៅ (General Customer)</v>
          </cell>
          <cell r="T210">
            <v>4054</v>
          </cell>
          <cell r="V210">
            <v>0</v>
          </cell>
          <cell r="Y210">
            <v>60</v>
          </cell>
          <cell r="Z210">
            <v>0</v>
          </cell>
          <cell r="AA210">
            <v>0</v>
          </cell>
          <cell r="AB210">
            <v>0</v>
          </cell>
          <cell r="AC210">
            <v>60</v>
          </cell>
          <cell r="AD210">
            <v>1</v>
          </cell>
          <cell r="AF210">
            <v>1</v>
          </cell>
          <cell r="AG210">
            <v>1</v>
          </cell>
          <cell r="AH210">
            <v>8</v>
          </cell>
          <cell r="AI210">
            <v>2026</v>
          </cell>
          <cell r="AJ210">
            <v>203</v>
          </cell>
        </row>
        <row r="211">
          <cell r="E211" t="str">
            <v>CI2026-0395</v>
          </cell>
          <cell r="F211">
            <v>46242</v>
          </cell>
          <cell r="G211">
            <v>46279.595324074071</v>
          </cell>
          <cell r="H211">
            <v>1</v>
          </cell>
          <cell r="I211">
            <v>1</v>
          </cell>
          <cell r="J211">
            <v>1</v>
          </cell>
          <cell r="K211">
            <v>2</v>
          </cell>
          <cell r="L211">
            <v>1</v>
          </cell>
          <cell r="M211">
            <v>1</v>
          </cell>
          <cell r="N211">
            <v>1</v>
          </cell>
          <cell r="O211">
            <v>1</v>
          </cell>
          <cell r="P211">
            <v>1</v>
          </cell>
          <cell r="Q211">
            <v>2</v>
          </cell>
          <cell r="R211" t="str">
            <v>ហឿត ចន្ត្រា (HOEURT CHANTRA)</v>
          </cell>
          <cell r="S211" t="str">
            <v>អតិថិជនទូទៅ (General Customer)</v>
          </cell>
          <cell r="T211">
            <v>4054</v>
          </cell>
          <cell r="V211">
            <v>0</v>
          </cell>
          <cell r="Y211">
            <v>45.69</v>
          </cell>
          <cell r="Z211">
            <v>0</v>
          </cell>
          <cell r="AA211">
            <v>0</v>
          </cell>
          <cell r="AB211">
            <v>0</v>
          </cell>
          <cell r="AC211">
            <v>45.69</v>
          </cell>
          <cell r="AD211">
            <v>1</v>
          </cell>
          <cell r="AF211">
            <v>1</v>
          </cell>
          <cell r="AG211">
            <v>2</v>
          </cell>
          <cell r="AH211">
            <v>8</v>
          </cell>
          <cell r="AI211">
            <v>2026</v>
          </cell>
          <cell r="AJ211">
            <v>204</v>
          </cell>
        </row>
        <row r="212">
          <cell r="E212" t="str">
            <v>CI2026-0396</v>
          </cell>
          <cell r="F212">
            <v>46242</v>
          </cell>
          <cell r="G212">
            <v>46279.619039351855</v>
          </cell>
          <cell r="H212">
            <v>1</v>
          </cell>
          <cell r="I212">
            <v>1</v>
          </cell>
          <cell r="J212">
            <v>1</v>
          </cell>
          <cell r="K212">
            <v>2</v>
          </cell>
          <cell r="L212">
            <v>1</v>
          </cell>
          <cell r="M212">
            <v>1</v>
          </cell>
          <cell r="N212">
            <v>1</v>
          </cell>
          <cell r="O212">
            <v>1</v>
          </cell>
          <cell r="P212">
            <v>1</v>
          </cell>
          <cell r="Q212">
            <v>2</v>
          </cell>
          <cell r="R212" t="str">
            <v>ហឿត ចន្ត្រា (HOEURT CHANTRA)</v>
          </cell>
          <cell r="S212" t="str">
            <v>អតិថិជនទូទៅ (General Customer)</v>
          </cell>
          <cell r="T212">
            <v>4054</v>
          </cell>
          <cell r="V212">
            <v>0</v>
          </cell>
          <cell r="Y212">
            <v>41.26</v>
          </cell>
          <cell r="Z212">
            <v>0</v>
          </cell>
          <cell r="AA212">
            <v>0</v>
          </cell>
          <cell r="AB212">
            <v>0</v>
          </cell>
          <cell r="AC212">
            <v>41.26</v>
          </cell>
          <cell r="AD212">
            <v>1</v>
          </cell>
          <cell r="AF212">
            <v>1</v>
          </cell>
          <cell r="AG212">
            <v>2</v>
          </cell>
          <cell r="AH212">
            <v>8</v>
          </cell>
          <cell r="AI212">
            <v>2026</v>
          </cell>
          <cell r="AJ212">
            <v>205</v>
          </cell>
        </row>
        <row r="213">
          <cell r="E213" t="str">
            <v>CI2026-0397</v>
          </cell>
          <cell r="F213">
            <v>46242</v>
          </cell>
          <cell r="G213">
            <v>46279.633587962962</v>
          </cell>
          <cell r="H213">
            <v>1</v>
          </cell>
          <cell r="I213">
            <v>1</v>
          </cell>
          <cell r="J213">
            <v>1</v>
          </cell>
          <cell r="K213">
            <v>2</v>
          </cell>
          <cell r="L213">
            <v>1</v>
          </cell>
          <cell r="M213">
            <v>1</v>
          </cell>
          <cell r="N213">
            <v>1</v>
          </cell>
          <cell r="O213">
            <v>1</v>
          </cell>
          <cell r="P213">
            <v>1</v>
          </cell>
          <cell r="Q213">
            <v>2</v>
          </cell>
          <cell r="R213" t="str">
            <v>ហឿត ចន្ត្រា (HOEURT CHANTRA)</v>
          </cell>
          <cell r="S213" t="str">
            <v>អតិថិជនទូទៅ (General Customer)</v>
          </cell>
          <cell r="T213">
            <v>4054</v>
          </cell>
          <cell r="V213">
            <v>0</v>
          </cell>
          <cell r="Y213">
            <v>40.200000000000003</v>
          </cell>
          <cell r="Z213">
            <v>0</v>
          </cell>
          <cell r="AA213">
            <v>0</v>
          </cell>
          <cell r="AB213">
            <v>0</v>
          </cell>
          <cell r="AC213">
            <v>40.200000000000003</v>
          </cell>
          <cell r="AD213">
            <v>1</v>
          </cell>
          <cell r="AF213">
            <v>1</v>
          </cell>
          <cell r="AG213">
            <v>2</v>
          </cell>
          <cell r="AH213">
            <v>8</v>
          </cell>
          <cell r="AI213">
            <v>2026</v>
          </cell>
          <cell r="AJ213">
            <v>206</v>
          </cell>
        </row>
        <row r="214">
          <cell r="E214" t="str">
            <v>CI2026-0398</v>
          </cell>
          <cell r="F214">
            <v>46243</v>
          </cell>
          <cell r="G214">
            <v>46279.649768518517</v>
          </cell>
          <cell r="H214">
            <v>1</v>
          </cell>
          <cell r="I214">
            <v>1</v>
          </cell>
          <cell r="J214">
            <v>1</v>
          </cell>
          <cell r="K214">
            <v>2</v>
          </cell>
          <cell r="L214">
            <v>1</v>
          </cell>
          <cell r="M214">
            <v>1</v>
          </cell>
          <cell r="N214">
            <v>1</v>
          </cell>
          <cell r="O214">
            <v>1</v>
          </cell>
          <cell r="P214">
            <v>1</v>
          </cell>
          <cell r="Q214">
            <v>2</v>
          </cell>
          <cell r="R214" t="str">
            <v>ហឿត ចន្ត្រា (HOEURT CHANTRA)</v>
          </cell>
          <cell r="S214" t="str">
            <v>អតិថិជនទូទៅ (General Customer)</v>
          </cell>
          <cell r="T214">
            <v>4054</v>
          </cell>
          <cell r="V214">
            <v>0</v>
          </cell>
          <cell r="Y214">
            <v>60.55</v>
          </cell>
          <cell r="Z214">
            <v>0</v>
          </cell>
          <cell r="AA214">
            <v>0</v>
          </cell>
          <cell r="AB214">
            <v>0</v>
          </cell>
          <cell r="AC214">
            <v>60.55</v>
          </cell>
          <cell r="AD214">
            <v>1</v>
          </cell>
          <cell r="AF214">
            <v>1</v>
          </cell>
          <cell r="AG214">
            <v>2</v>
          </cell>
          <cell r="AH214">
            <v>8</v>
          </cell>
          <cell r="AI214">
            <v>2026</v>
          </cell>
          <cell r="AJ214">
            <v>207</v>
          </cell>
        </row>
        <row r="215">
          <cell r="E215" t="str">
            <v>CI2026-0399</v>
          </cell>
          <cell r="F215">
            <v>46243</v>
          </cell>
          <cell r="G215">
            <v>46279.654004629629</v>
          </cell>
          <cell r="H215">
            <v>1</v>
          </cell>
          <cell r="I215">
            <v>1</v>
          </cell>
          <cell r="J215">
            <v>1</v>
          </cell>
          <cell r="K215">
            <v>2</v>
          </cell>
          <cell r="L215">
            <v>1</v>
          </cell>
          <cell r="M215">
            <v>1</v>
          </cell>
          <cell r="N215">
            <v>1</v>
          </cell>
          <cell r="O215">
            <v>1</v>
          </cell>
          <cell r="P215">
            <v>1</v>
          </cell>
          <cell r="Q215">
            <v>2</v>
          </cell>
          <cell r="R215" t="str">
            <v>ហឿត ចន្ត្រា (HOEURT CHANTRA)</v>
          </cell>
          <cell r="S215" t="str">
            <v>អតិថិជនទូទៅ (General Customer)</v>
          </cell>
          <cell r="T215">
            <v>4054</v>
          </cell>
          <cell r="V215">
            <v>0</v>
          </cell>
          <cell r="Y215">
            <v>123.42</v>
          </cell>
          <cell r="Z215">
            <v>0</v>
          </cell>
          <cell r="AA215">
            <v>0</v>
          </cell>
          <cell r="AB215">
            <v>0</v>
          </cell>
          <cell r="AC215">
            <v>123.42</v>
          </cell>
          <cell r="AD215">
            <v>1</v>
          </cell>
          <cell r="AF215">
            <v>1</v>
          </cell>
          <cell r="AG215">
            <v>2</v>
          </cell>
          <cell r="AH215">
            <v>8</v>
          </cell>
          <cell r="AI215">
            <v>2026</v>
          </cell>
          <cell r="AJ215">
            <v>208</v>
          </cell>
        </row>
        <row r="216">
          <cell r="E216" t="str">
            <v>CI2026-0400</v>
          </cell>
          <cell r="F216">
            <v>46244</v>
          </cell>
          <cell r="G216">
            <v>46279.659097222226</v>
          </cell>
          <cell r="H216">
            <v>1</v>
          </cell>
          <cell r="I216">
            <v>1</v>
          </cell>
          <cell r="J216">
            <v>1</v>
          </cell>
          <cell r="K216">
            <v>2</v>
          </cell>
          <cell r="L216">
            <v>1</v>
          </cell>
          <cell r="M216">
            <v>1</v>
          </cell>
          <cell r="N216">
            <v>1</v>
          </cell>
          <cell r="O216">
            <v>1</v>
          </cell>
          <cell r="P216">
            <v>1</v>
          </cell>
          <cell r="Q216">
            <v>2</v>
          </cell>
          <cell r="R216" t="str">
            <v>ហឿត ចន្ត្រា (HOEURT CHANTRA)</v>
          </cell>
          <cell r="S216" t="str">
            <v>អតិថិជនទូទៅ (General Customer)</v>
          </cell>
          <cell r="T216" t="str">
            <v>4053</v>
          </cell>
          <cell r="V216">
            <v>0</v>
          </cell>
          <cell r="Y216">
            <v>56</v>
          </cell>
          <cell r="Z216">
            <v>0</v>
          </cell>
          <cell r="AA216">
            <v>0</v>
          </cell>
          <cell r="AB216">
            <v>0</v>
          </cell>
          <cell r="AC216">
            <v>56</v>
          </cell>
          <cell r="AD216">
            <v>1</v>
          </cell>
          <cell r="AF216">
            <v>1</v>
          </cell>
          <cell r="AG216">
            <v>2</v>
          </cell>
          <cell r="AH216">
            <v>8</v>
          </cell>
          <cell r="AI216">
            <v>2026</v>
          </cell>
          <cell r="AJ216">
            <v>209</v>
          </cell>
        </row>
        <row r="217">
          <cell r="E217" t="str">
            <v>CI2026-0401</v>
          </cell>
          <cell r="F217">
            <v>46244</v>
          </cell>
          <cell r="G217">
            <v>46279.662557870368</v>
          </cell>
          <cell r="H217">
            <v>1</v>
          </cell>
          <cell r="I217">
            <v>1</v>
          </cell>
          <cell r="J217">
            <v>1</v>
          </cell>
          <cell r="K217">
            <v>2</v>
          </cell>
          <cell r="L217">
            <v>1</v>
          </cell>
          <cell r="M217">
            <v>1</v>
          </cell>
          <cell r="N217">
            <v>1</v>
          </cell>
          <cell r="O217">
            <v>1</v>
          </cell>
          <cell r="P217">
            <v>1</v>
          </cell>
          <cell r="Q217">
            <v>2</v>
          </cell>
          <cell r="R217" t="str">
            <v>ហឿត ចន្ត្រា (HOEURT CHANTRA)</v>
          </cell>
          <cell r="S217" t="str">
            <v>អតិថិជនទូទៅ (General Customer)</v>
          </cell>
          <cell r="T217">
            <v>4053</v>
          </cell>
          <cell r="V217">
            <v>0</v>
          </cell>
          <cell r="Y217">
            <v>54.35</v>
          </cell>
          <cell r="Z217">
            <v>0</v>
          </cell>
          <cell r="AA217">
            <v>0</v>
          </cell>
          <cell r="AB217">
            <v>0</v>
          </cell>
          <cell r="AC217">
            <v>54.35</v>
          </cell>
          <cell r="AD217">
            <v>1</v>
          </cell>
          <cell r="AF217">
            <v>1</v>
          </cell>
          <cell r="AG217">
            <v>2</v>
          </cell>
          <cell r="AH217">
            <v>8</v>
          </cell>
          <cell r="AI217">
            <v>2026</v>
          </cell>
          <cell r="AJ217">
            <v>210</v>
          </cell>
        </row>
        <row r="218">
          <cell r="E218" t="str">
            <v>CI2026-0402</v>
          </cell>
          <cell r="F218">
            <v>46245</v>
          </cell>
          <cell r="G218">
            <v>46279.666851851849</v>
          </cell>
          <cell r="H218">
            <v>1</v>
          </cell>
          <cell r="I218">
            <v>1</v>
          </cell>
          <cell r="J218">
            <v>1</v>
          </cell>
          <cell r="K218">
            <v>2</v>
          </cell>
          <cell r="L218">
            <v>1</v>
          </cell>
          <cell r="M218">
            <v>1</v>
          </cell>
          <cell r="N218">
            <v>1</v>
          </cell>
          <cell r="O218">
            <v>1</v>
          </cell>
          <cell r="P218">
            <v>1</v>
          </cell>
          <cell r="Q218">
            <v>2</v>
          </cell>
          <cell r="R218" t="str">
            <v>ហឿត ចន្ត្រា (HOEURT CHANTRA)</v>
          </cell>
          <cell r="S218" t="str">
            <v>អតិថិជនទូទៅ (General Customer)</v>
          </cell>
          <cell r="T218">
            <v>4051</v>
          </cell>
          <cell r="V218">
            <v>0</v>
          </cell>
          <cell r="Y218">
            <v>72.099999999999994</v>
          </cell>
          <cell r="Z218">
            <v>0</v>
          </cell>
          <cell r="AA218">
            <v>0</v>
          </cell>
          <cell r="AB218">
            <v>0</v>
          </cell>
          <cell r="AC218">
            <v>72.099999999999994</v>
          </cell>
          <cell r="AD218">
            <v>1</v>
          </cell>
          <cell r="AF218">
            <v>1</v>
          </cell>
          <cell r="AG218">
            <v>2</v>
          </cell>
          <cell r="AH218">
            <v>8</v>
          </cell>
          <cell r="AI218">
            <v>2026</v>
          </cell>
          <cell r="AJ218">
            <v>211</v>
          </cell>
        </row>
        <row r="219">
          <cell r="E219" t="str">
            <v>CI2026-0403</v>
          </cell>
          <cell r="F219">
            <v>46245</v>
          </cell>
          <cell r="G219">
            <v>46279.677210648151</v>
          </cell>
          <cell r="H219">
            <v>1</v>
          </cell>
          <cell r="I219">
            <v>1</v>
          </cell>
          <cell r="J219">
            <v>1</v>
          </cell>
          <cell r="K219">
            <v>2</v>
          </cell>
          <cell r="L219">
            <v>1</v>
          </cell>
          <cell r="M219">
            <v>1</v>
          </cell>
          <cell r="N219">
            <v>1</v>
          </cell>
          <cell r="O219">
            <v>1</v>
          </cell>
          <cell r="P219">
            <v>1</v>
          </cell>
          <cell r="Q219">
            <v>2</v>
          </cell>
          <cell r="R219" t="str">
            <v>ហឿត ចន្ត្រា (HOEURT CHANTRA)</v>
          </cell>
          <cell r="S219" t="str">
            <v>អតិថិជនទូទៅ (General Customer)</v>
          </cell>
          <cell r="T219">
            <v>4051</v>
          </cell>
          <cell r="V219">
            <v>0</v>
          </cell>
          <cell r="Y219">
            <v>47.88</v>
          </cell>
          <cell r="Z219">
            <v>0</v>
          </cell>
          <cell r="AA219">
            <v>0</v>
          </cell>
          <cell r="AB219">
            <v>0</v>
          </cell>
          <cell r="AC219">
            <v>47.88</v>
          </cell>
          <cell r="AD219">
            <v>1</v>
          </cell>
          <cell r="AF219">
            <v>1</v>
          </cell>
          <cell r="AG219">
            <v>2</v>
          </cell>
          <cell r="AH219">
            <v>8</v>
          </cell>
          <cell r="AI219">
            <v>2026</v>
          </cell>
          <cell r="AJ219">
            <v>212</v>
          </cell>
        </row>
        <row r="220">
          <cell r="E220" t="str">
            <v>CI2026-0404</v>
          </cell>
          <cell r="F220">
            <v>46245</v>
          </cell>
          <cell r="G220">
            <v>46279.678506944445</v>
          </cell>
          <cell r="H220">
            <v>1</v>
          </cell>
          <cell r="I220">
            <v>1</v>
          </cell>
          <cell r="J220">
            <v>1</v>
          </cell>
          <cell r="K220">
            <v>2</v>
          </cell>
          <cell r="L220">
            <v>1</v>
          </cell>
          <cell r="M220">
            <v>1</v>
          </cell>
          <cell r="N220">
            <v>1</v>
          </cell>
          <cell r="O220">
            <v>1</v>
          </cell>
          <cell r="P220">
            <v>1</v>
          </cell>
          <cell r="Q220">
            <v>2</v>
          </cell>
          <cell r="R220" t="str">
            <v>ហឿត ចន្ត្រា (HOEURT CHANTRA)</v>
          </cell>
          <cell r="S220" t="str">
            <v>អតិថិជនទូទៅ (General Customer)</v>
          </cell>
          <cell r="T220">
            <v>4051</v>
          </cell>
          <cell r="V220">
            <v>0</v>
          </cell>
          <cell r="Y220">
            <v>54.2</v>
          </cell>
          <cell r="Z220">
            <v>0</v>
          </cell>
          <cell r="AA220">
            <v>0</v>
          </cell>
          <cell r="AB220">
            <v>0</v>
          </cell>
          <cell r="AC220">
            <v>54.2</v>
          </cell>
          <cell r="AD220">
            <v>1</v>
          </cell>
          <cell r="AF220">
            <v>1</v>
          </cell>
          <cell r="AG220">
            <v>2</v>
          </cell>
          <cell r="AH220">
            <v>8</v>
          </cell>
          <cell r="AI220">
            <v>2026</v>
          </cell>
          <cell r="AJ220">
            <v>213</v>
          </cell>
        </row>
        <row r="221">
          <cell r="E221" t="str">
            <v>CI2026-0405</v>
          </cell>
          <cell r="F221">
            <v>46245</v>
          </cell>
          <cell r="G221">
            <v>46279.685937499999</v>
          </cell>
          <cell r="H221">
            <v>1</v>
          </cell>
          <cell r="I221">
            <v>1</v>
          </cell>
          <cell r="J221">
            <v>1</v>
          </cell>
          <cell r="K221">
            <v>2</v>
          </cell>
          <cell r="L221">
            <v>1</v>
          </cell>
          <cell r="M221">
            <v>1</v>
          </cell>
          <cell r="N221">
            <v>1</v>
          </cell>
          <cell r="O221">
            <v>1</v>
          </cell>
          <cell r="P221">
            <v>1</v>
          </cell>
          <cell r="Q221">
            <v>2</v>
          </cell>
          <cell r="R221" t="str">
            <v>ហឿត ចន្ត្រា (HOEURT CHANTRA)</v>
          </cell>
          <cell r="S221" t="str">
            <v>អតិថិជនទូទៅ (General Customer)</v>
          </cell>
          <cell r="T221">
            <v>4051</v>
          </cell>
          <cell r="V221">
            <v>0</v>
          </cell>
          <cell r="Y221">
            <v>54.17</v>
          </cell>
          <cell r="Z221">
            <v>0</v>
          </cell>
          <cell r="AA221">
            <v>0</v>
          </cell>
          <cell r="AB221">
            <v>0</v>
          </cell>
          <cell r="AC221">
            <v>54.17</v>
          </cell>
          <cell r="AD221">
            <v>1</v>
          </cell>
          <cell r="AF221">
            <v>1</v>
          </cell>
          <cell r="AG221">
            <v>2</v>
          </cell>
          <cell r="AH221">
            <v>8</v>
          </cell>
          <cell r="AI221">
            <v>2026</v>
          </cell>
          <cell r="AJ221">
            <v>214</v>
          </cell>
        </row>
        <row r="222">
          <cell r="E222" t="str">
            <v>CI2026-0406</v>
          </cell>
          <cell r="F222">
            <v>46246</v>
          </cell>
          <cell r="G222">
            <v>46279.699513888889</v>
          </cell>
          <cell r="H222">
            <v>1</v>
          </cell>
          <cell r="I222">
            <v>1</v>
          </cell>
          <cell r="J222">
            <v>1</v>
          </cell>
          <cell r="K222">
            <v>2</v>
          </cell>
          <cell r="L222">
            <v>1</v>
          </cell>
          <cell r="M222">
            <v>1</v>
          </cell>
          <cell r="N222">
            <v>1</v>
          </cell>
          <cell r="O222">
            <v>1</v>
          </cell>
          <cell r="P222">
            <v>1</v>
          </cell>
          <cell r="Q222">
            <v>2</v>
          </cell>
          <cell r="R222" t="str">
            <v>ហឿត ចន្ត្រា (HOEURT CHANTRA)</v>
          </cell>
          <cell r="S222" t="str">
            <v>អតិថិជនទូទៅ (General Customer)</v>
          </cell>
          <cell r="T222">
            <v>4048</v>
          </cell>
          <cell r="V222">
            <v>0</v>
          </cell>
          <cell r="Y222">
            <v>97.79</v>
          </cell>
          <cell r="Z222">
            <v>0</v>
          </cell>
          <cell r="AA222">
            <v>0</v>
          </cell>
          <cell r="AB222">
            <v>0</v>
          </cell>
          <cell r="AC222">
            <v>97.79</v>
          </cell>
          <cell r="AD222">
            <v>1</v>
          </cell>
          <cell r="AF222">
            <v>1</v>
          </cell>
          <cell r="AG222">
            <v>2</v>
          </cell>
          <cell r="AH222">
            <v>8</v>
          </cell>
          <cell r="AI222">
            <v>2026</v>
          </cell>
          <cell r="AJ222">
            <v>215</v>
          </cell>
        </row>
        <row r="223">
          <cell r="E223" t="str">
            <v>CI2026-0407</v>
          </cell>
          <cell r="F223">
            <v>46246</v>
          </cell>
          <cell r="G223">
            <v>46279.711076388892</v>
          </cell>
          <cell r="H223">
            <v>1</v>
          </cell>
          <cell r="I223">
            <v>1</v>
          </cell>
          <cell r="J223">
            <v>1</v>
          </cell>
          <cell r="K223">
            <v>2</v>
          </cell>
          <cell r="L223">
            <v>1</v>
          </cell>
          <cell r="M223">
            <v>1</v>
          </cell>
          <cell r="N223">
            <v>1</v>
          </cell>
          <cell r="O223">
            <v>1</v>
          </cell>
          <cell r="P223">
            <v>1</v>
          </cell>
          <cell r="Q223">
            <v>2</v>
          </cell>
          <cell r="R223" t="str">
            <v>ហឿត ចន្ត្រា (HOEURT CHANTRA)</v>
          </cell>
          <cell r="S223" t="str">
            <v>អតិថិជនទូទៅ (General Customer)</v>
          </cell>
          <cell r="T223">
            <v>4048</v>
          </cell>
          <cell r="V223">
            <v>0</v>
          </cell>
          <cell r="Y223">
            <v>32.9</v>
          </cell>
          <cell r="Z223">
            <v>0</v>
          </cell>
          <cell r="AA223">
            <v>0</v>
          </cell>
          <cell r="AB223">
            <v>0</v>
          </cell>
          <cell r="AC223">
            <v>32.9</v>
          </cell>
          <cell r="AD223">
            <v>1</v>
          </cell>
          <cell r="AF223">
            <v>1</v>
          </cell>
          <cell r="AG223">
            <v>2</v>
          </cell>
          <cell r="AH223">
            <v>8</v>
          </cell>
          <cell r="AI223">
            <v>2026</v>
          </cell>
          <cell r="AJ223">
            <v>216</v>
          </cell>
        </row>
        <row r="224">
          <cell r="E224" t="str">
            <v>CI2026-0408</v>
          </cell>
          <cell r="F224">
            <v>46247</v>
          </cell>
          <cell r="G224">
            <v>46279.880659722221</v>
          </cell>
          <cell r="H224">
            <v>1</v>
          </cell>
          <cell r="I224">
            <v>1</v>
          </cell>
          <cell r="J224">
            <v>1</v>
          </cell>
          <cell r="K224">
            <v>2</v>
          </cell>
          <cell r="L224">
            <v>1</v>
          </cell>
          <cell r="M224">
            <v>1</v>
          </cell>
          <cell r="N224">
            <v>1</v>
          </cell>
          <cell r="O224">
            <v>1</v>
          </cell>
          <cell r="P224">
            <v>1</v>
          </cell>
          <cell r="Q224">
            <v>2</v>
          </cell>
          <cell r="R224" t="str">
            <v>ហឿត ចន្ត្រា (HOEURT CHANTRA)</v>
          </cell>
          <cell r="S224" t="str">
            <v>អតិថិជនទូទៅ (General Customer)</v>
          </cell>
          <cell r="T224">
            <v>4046</v>
          </cell>
          <cell r="V224">
            <v>0</v>
          </cell>
          <cell r="Y224">
            <v>60.55</v>
          </cell>
          <cell r="Z224">
            <v>0</v>
          </cell>
          <cell r="AA224">
            <v>0</v>
          </cell>
          <cell r="AB224">
            <v>0</v>
          </cell>
          <cell r="AC224">
            <v>60.55</v>
          </cell>
          <cell r="AD224">
            <v>1</v>
          </cell>
          <cell r="AF224">
            <v>1</v>
          </cell>
          <cell r="AG224">
            <v>2</v>
          </cell>
          <cell r="AH224">
            <v>8</v>
          </cell>
          <cell r="AI224">
            <v>2026</v>
          </cell>
          <cell r="AJ224">
            <v>217</v>
          </cell>
        </row>
        <row r="225">
          <cell r="E225" t="str">
            <v>CI2026-0409</v>
          </cell>
          <cell r="F225">
            <v>46247</v>
          </cell>
          <cell r="G225">
            <v>46279.889513888891</v>
          </cell>
          <cell r="H225">
            <v>1</v>
          </cell>
          <cell r="I225">
            <v>1</v>
          </cell>
          <cell r="J225">
            <v>1</v>
          </cell>
          <cell r="K225">
            <v>2</v>
          </cell>
          <cell r="L225">
            <v>1</v>
          </cell>
          <cell r="M225">
            <v>1</v>
          </cell>
          <cell r="N225">
            <v>1</v>
          </cell>
          <cell r="O225">
            <v>1</v>
          </cell>
          <cell r="P225">
            <v>1</v>
          </cell>
          <cell r="Q225">
            <v>2</v>
          </cell>
          <cell r="R225" t="str">
            <v>ហឿត ចន្ត្រា (HOEURT CHANTRA)</v>
          </cell>
          <cell r="S225" t="str">
            <v>អតិថិជនទូទៅ (General Customer)</v>
          </cell>
          <cell r="T225">
            <v>4046</v>
          </cell>
          <cell r="V225">
            <v>0</v>
          </cell>
          <cell r="Y225">
            <v>65.11</v>
          </cell>
          <cell r="Z225">
            <v>0</v>
          </cell>
          <cell r="AA225">
            <v>0</v>
          </cell>
          <cell r="AB225">
            <v>0</v>
          </cell>
          <cell r="AC225">
            <v>65.11</v>
          </cell>
          <cell r="AD225">
            <v>1</v>
          </cell>
          <cell r="AF225">
            <v>1</v>
          </cell>
          <cell r="AG225">
            <v>2</v>
          </cell>
          <cell r="AH225">
            <v>8</v>
          </cell>
          <cell r="AI225">
            <v>2026</v>
          </cell>
          <cell r="AJ225">
            <v>218</v>
          </cell>
        </row>
        <row r="226">
          <cell r="E226" t="str">
            <v>CI2026-0410</v>
          </cell>
          <cell r="F226">
            <v>46247</v>
          </cell>
          <cell r="G226">
            <v>46279.896122685182</v>
          </cell>
          <cell r="H226">
            <v>1</v>
          </cell>
          <cell r="I226">
            <v>1</v>
          </cell>
          <cell r="J226">
            <v>1</v>
          </cell>
          <cell r="K226">
            <v>2</v>
          </cell>
          <cell r="L226">
            <v>1</v>
          </cell>
          <cell r="M226">
            <v>1</v>
          </cell>
          <cell r="N226">
            <v>1</v>
          </cell>
          <cell r="O226">
            <v>1</v>
          </cell>
          <cell r="P226">
            <v>1</v>
          </cell>
          <cell r="Q226">
            <v>2</v>
          </cell>
          <cell r="R226" t="str">
            <v>ហឿត ចន្ត្រា (HOEURT CHANTRA)</v>
          </cell>
          <cell r="S226" t="str">
            <v>អតិថិជនទូទៅ (General Customer)</v>
          </cell>
          <cell r="T226">
            <v>4046</v>
          </cell>
          <cell r="V226">
            <v>0</v>
          </cell>
          <cell r="Y226">
            <v>57.35</v>
          </cell>
          <cell r="Z226">
            <v>0</v>
          </cell>
          <cell r="AA226">
            <v>0</v>
          </cell>
          <cell r="AB226">
            <v>0</v>
          </cell>
          <cell r="AC226">
            <v>57.35</v>
          </cell>
          <cell r="AD226">
            <v>1</v>
          </cell>
          <cell r="AF226">
            <v>1</v>
          </cell>
          <cell r="AG226">
            <v>2</v>
          </cell>
          <cell r="AH226">
            <v>8</v>
          </cell>
          <cell r="AI226">
            <v>2026</v>
          </cell>
          <cell r="AJ226">
            <v>219</v>
          </cell>
        </row>
        <row r="227">
          <cell r="E227" t="str">
            <v>CI2026-0411</v>
          </cell>
          <cell r="F227">
            <v>46248</v>
          </cell>
          <cell r="G227">
            <v>46279.907083333332</v>
          </cell>
          <cell r="H227">
            <v>1</v>
          </cell>
          <cell r="I227">
            <v>1</v>
          </cell>
          <cell r="J227">
            <v>1</v>
          </cell>
          <cell r="K227">
            <v>2</v>
          </cell>
          <cell r="L227">
            <v>1</v>
          </cell>
          <cell r="M227">
            <v>1</v>
          </cell>
          <cell r="N227">
            <v>1</v>
          </cell>
          <cell r="O227">
            <v>1</v>
          </cell>
          <cell r="P227">
            <v>1</v>
          </cell>
          <cell r="Q227">
            <v>2</v>
          </cell>
          <cell r="R227" t="str">
            <v>ហឿត ចន្ត្រា (HOEURT CHANTRA)</v>
          </cell>
          <cell r="S227" t="str">
            <v>អតិថិជនទូទៅ (General Customer)</v>
          </cell>
          <cell r="T227">
            <v>4044</v>
          </cell>
          <cell r="V227">
            <v>0</v>
          </cell>
          <cell r="Y227">
            <v>34.65</v>
          </cell>
          <cell r="Z227">
            <v>0</v>
          </cell>
          <cell r="AA227">
            <v>0</v>
          </cell>
          <cell r="AB227">
            <v>0</v>
          </cell>
          <cell r="AC227">
            <v>34.65</v>
          </cell>
          <cell r="AD227">
            <v>1</v>
          </cell>
          <cell r="AF227">
            <v>1</v>
          </cell>
          <cell r="AG227">
            <v>2</v>
          </cell>
          <cell r="AH227">
            <v>8</v>
          </cell>
          <cell r="AI227">
            <v>2026</v>
          </cell>
          <cell r="AJ227">
            <v>220</v>
          </cell>
        </row>
        <row r="228">
          <cell r="E228" t="str">
            <v>CI2026-0412</v>
          </cell>
          <cell r="F228">
            <v>46248</v>
          </cell>
          <cell r="G228">
            <v>46279.92465277778</v>
          </cell>
          <cell r="H228">
            <v>1</v>
          </cell>
          <cell r="I228">
            <v>1</v>
          </cell>
          <cell r="J228">
            <v>1</v>
          </cell>
          <cell r="K228">
            <v>2</v>
          </cell>
          <cell r="L228">
            <v>1</v>
          </cell>
          <cell r="M228">
            <v>1</v>
          </cell>
          <cell r="N228">
            <v>1</v>
          </cell>
          <cell r="O228">
            <v>1</v>
          </cell>
          <cell r="P228">
            <v>1</v>
          </cell>
          <cell r="Q228">
            <v>2</v>
          </cell>
          <cell r="R228" t="str">
            <v>ហឿត ចន្ត្រា (HOEURT CHANTRA)</v>
          </cell>
          <cell r="S228" t="str">
            <v>អតិថិជនទូទៅ (General Customer)</v>
          </cell>
          <cell r="T228">
            <v>4044</v>
          </cell>
          <cell r="V228">
            <v>0</v>
          </cell>
          <cell r="Y228">
            <v>56.13</v>
          </cell>
          <cell r="Z228">
            <v>0</v>
          </cell>
          <cell r="AA228">
            <v>0</v>
          </cell>
          <cell r="AB228">
            <v>0</v>
          </cell>
          <cell r="AC228">
            <v>56.13</v>
          </cell>
          <cell r="AD228">
            <v>1</v>
          </cell>
          <cell r="AF228">
            <v>1</v>
          </cell>
          <cell r="AG228">
            <v>2</v>
          </cell>
          <cell r="AH228">
            <v>8</v>
          </cell>
          <cell r="AI228">
            <v>2026</v>
          </cell>
          <cell r="AJ228">
            <v>221</v>
          </cell>
        </row>
        <row r="229">
          <cell r="E229" t="str">
            <v>CI2026-0413</v>
          </cell>
          <cell r="F229">
            <v>46248</v>
          </cell>
          <cell r="G229">
            <v>46279.978726851848</v>
          </cell>
          <cell r="H229">
            <v>1</v>
          </cell>
          <cell r="I229">
            <v>1</v>
          </cell>
          <cell r="J229">
            <v>1</v>
          </cell>
          <cell r="K229">
            <v>2</v>
          </cell>
          <cell r="L229">
            <v>1</v>
          </cell>
          <cell r="M229">
            <v>1</v>
          </cell>
          <cell r="N229">
            <v>1</v>
          </cell>
          <cell r="O229">
            <v>1</v>
          </cell>
          <cell r="P229">
            <v>1</v>
          </cell>
          <cell r="Q229">
            <v>2</v>
          </cell>
          <cell r="R229" t="str">
            <v>ហឿត ចន្ត្រា (HOEURT CHANTRA)</v>
          </cell>
          <cell r="S229" t="str">
            <v>អតិថិជនទូទៅ (General Customer)</v>
          </cell>
          <cell r="T229">
            <v>4044</v>
          </cell>
          <cell r="V229">
            <v>0</v>
          </cell>
          <cell r="Y229">
            <v>36.799999999999997</v>
          </cell>
          <cell r="Z229">
            <v>0</v>
          </cell>
          <cell r="AA229">
            <v>0</v>
          </cell>
          <cell r="AB229">
            <v>0</v>
          </cell>
          <cell r="AC229">
            <v>36.799999999999997</v>
          </cell>
          <cell r="AD229">
            <v>1</v>
          </cell>
          <cell r="AF229">
            <v>1</v>
          </cell>
          <cell r="AG229">
            <v>2</v>
          </cell>
          <cell r="AH229">
            <v>8</v>
          </cell>
          <cell r="AI229">
            <v>2026</v>
          </cell>
          <cell r="AJ229">
            <v>222</v>
          </cell>
        </row>
        <row r="230">
          <cell r="E230" t="str">
            <v>CI2026-0414</v>
          </cell>
          <cell r="F230">
            <v>46249</v>
          </cell>
          <cell r="G230">
            <v>46280.356134259258</v>
          </cell>
          <cell r="H230">
            <v>1</v>
          </cell>
          <cell r="I230">
            <v>1</v>
          </cell>
          <cell r="J230">
            <v>1</v>
          </cell>
          <cell r="K230">
            <v>2</v>
          </cell>
          <cell r="L230">
            <v>1</v>
          </cell>
          <cell r="M230">
            <v>1</v>
          </cell>
          <cell r="N230">
            <v>1</v>
          </cell>
          <cell r="O230">
            <v>1</v>
          </cell>
          <cell r="P230">
            <v>1</v>
          </cell>
          <cell r="Q230">
            <v>2</v>
          </cell>
          <cell r="R230" t="str">
            <v>ហឿត ចន្ត្រា (HOEURT CHANTRA)</v>
          </cell>
          <cell r="S230" t="str">
            <v>អតិថិជនទូទៅ (General Customer)</v>
          </cell>
          <cell r="T230">
            <v>4044</v>
          </cell>
          <cell r="V230">
            <v>0</v>
          </cell>
          <cell r="Y230">
            <v>46.69</v>
          </cell>
          <cell r="Z230">
            <v>0</v>
          </cell>
          <cell r="AA230">
            <v>0</v>
          </cell>
          <cell r="AB230">
            <v>0</v>
          </cell>
          <cell r="AC230">
            <v>46.69</v>
          </cell>
          <cell r="AD230">
            <v>1</v>
          </cell>
          <cell r="AF230">
            <v>1</v>
          </cell>
          <cell r="AG230">
            <v>3</v>
          </cell>
          <cell r="AH230">
            <v>8</v>
          </cell>
          <cell r="AI230">
            <v>2026</v>
          </cell>
          <cell r="AJ230">
            <v>223</v>
          </cell>
        </row>
        <row r="231">
          <cell r="E231" t="str">
            <v>CI2026-0415</v>
          </cell>
          <cell r="F231">
            <v>46249</v>
          </cell>
          <cell r="G231">
            <v>46280.361527777779</v>
          </cell>
          <cell r="H231">
            <v>1</v>
          </cell>
          <cell r="I231">
            <v>1</v>
          </cell>
          <cell r="J231">
            <v>1</v>
          </cell>
          <cell r="K231">
            <v>2</v>
          </cell>
          <cell r="L231">
            <v>1</v>
          </cell>
          <cell r="M231">
            <v>1</v>
          </cell>
          <cell r="N231">
            <v>1</v>
          </cell>
          <cell r="O231">
            <v>1</v>
          </cell>
          <cell r="P231">
            <v>1</v>
          </cell>
          <cell r="Q231">
            <v>2</v>
          </cell>
          <cell r="R231" t="str">
            <v>ហឿត ចន្ត្រា (HOEURT CHANTRA)</v>
          </cell>
          <cell r="S231" t="str">
            <v>អតិថិជនទូទៅ (General Customer)</v>
          </cell>
          <cell r="T231">
            <v>4044</v>
          </cell>
          <cell r="V231">
            <v>0</v>
          </cell>
          <cell r="Y231">
            <v>37.22</v>
          </cell>
          <cell r="Z231">
            <v>0</v>
          </cell>
          <cell r="AA231">
            <v>0</v>
          </cell>
          <cell r="AB231">
            <v>0</v>
          </cell>
          <cell r="AC231">
            <v>37.22</v>
          </cell>
          <cell r="AD231">
            <v>1</v>
          </cell>
          <cell r="AF231">
            <v>1</v>
          </cell>
          <cell r="AG231">
            <v>3</v>
          </cell>
          <cell r="AH231">
            <v>8</v>
          </cell>
          <cell r="AI231">
            <v>2026</v>
          </cell>
          <cell r="AJ231">
            <v>224</v>
          </cell>
        </row>
        <row r="232">
          <cell r="E232" t="str">
            <v>CI2026-0416</v>
          </cell>
          <cell r="F232">
            <v>46249</v>
          </cell>
          <cell r="G232">
            <v>46280.362372685187</v>
          </cell>
          <cell r="H232">
            <v>1</v>
          </cell>
          <cell r="I232">
            <v>1</v>
          </cell>
          <cell r="J232">
            <v>1</v>
          </cell>
          <cell r="K232">
            <v>2</v>
          </cell>
          <cell r="L232">
            <v>1</v>
          </cell>
          <cell r="M232">
            <v>1</v>
          </cell>
          <cell r="N232">
            <v>1</v>
          </cell>
          <cell r="O232">
            <v>1</v>
          </cell>
          <cell r="P232">
            <v>1</v>
          </cell>
          <cell r="Q232">
            <v>2</v>
          </cell>
          <cell r="R232" t="str">
            <v>ហឿត ចន្ត្រា (HOEURT CHANTRA)</v>
          </cell>
          <cell r="S232" t="str">
            <v>អតិថិជនទូទៅ (General Customer)</v>
          </cell>
          <cell r="T232">
            <v>4044</v>
          </cell>
          <cell r="V232">
            <v>0</v>
          </cell>
          <cell r="Y232">
            <v>72.599999999999994</v>
          </cell>
          <cell r="Z232">
            <v>0</v>
          </cell>
          <cell r="AA232">
            <v>0</v>
          </cell>
          <cell r="AB232">
            <v>0</v>
          </cell>
          <cell r="AC232">
            <v>72.599999999999994</v>
          </cell>
          <cell r="AD232">
            <v>1</v>
          </cell>
          <cell r="AF232">
            <v>1</v>
          </cell>
          <cell r="AG232">
            <v>3</v>
          </cell>
          <cell r="AH232">
            <v>8</v>
          </cell>
          <cell r="AI232">
            <v>2026</v>
          </cell>
          <cell r="AJ232">
            <v>225</v>
          </cell>
        </row>
        <row r="233">
          <cell r="E233" t="str">
            <v>CI2026-0417</v>
          </cell>
          <cell r="F233">
            <v>46250</v>
          </cell>
          <cell r="G233">
            <v>46281.444212962961</v>
          </cell>
          <cell r="H233">
            <v>1</v>
          </cell>
          <cell r="I233">
            <v>1</v>
          </cell>
          <cell r="J233">
            <v>1</v>
          </cell>
          <cell r="K233">
            <v>2</v>
          </cell>
          <cell r="L233">
            <v>1</v>
          </cell>
          <cell r="M233">
            <v>1</v>
          </cell>
          <cell r="N233">
            <v>1</v>
          </cell>
          <cell r="O233">
            <v>1</v>
          </cell>
          <cell r="P233">
            <v>1</v>
          </cell>
          <cell r="Q233">
            <v>2</v>
          </cell>
          <cell r="R233" t="str">
            <v>ហឿត ចន្ត្រា (HOEURT CHANTRA)</v>
          </cell>
          <cell r="S233" t="str">
            <v>អតិថិជនទូទៅ (General Customer)</v>
          </cell>
          <cell r="T233">
            <v>4044</v>
          </cell>
          <cell r="V233">
            <v>0</v>
          </cell>
          <cell r="Y233">
            <v>66.45</v>
          </cell>
          <cell r="Z233">
            <v>0</v>
          </cell>
          <cell r="AA233">
            <v>0</v>
          </cell>
          <cell r="AB233">
            <v>0</v>
          </cell>
          <cell r="AC233">
            <v>66.45</v>
          </cell>
          <cell r="AD233">
            <v>1</v>
          </cell>
          <cell r="AF233">
            <v>1</v>
          </cell>
          <cell r="AG233">
            <v>3</v>
          </cell>
          <cell r="AH233">
            <v>8</v>
          </cell>
          <cell r="AI233">
            <v>2026</v>
          </cell>
          <cell r="AJ233">
            <v>226</v>
          </cell>
        </row>
        <row r="234">
          <cell r="E234" t="str">
            <v>CI2026-0418</v>
          </cell>
          <cell r="F234">
            <v>46250</v>
          </cell>
          <cell r="G234">
            <v>46281.446331018517</v>
          </cell>
          <cell r="H234">
            <v>1</v>
          </cell>
          <cell r="I234">
            <v>1</v>
          </cell>
          <cell r="J234">
            <v>1</v>
          </cell>
          <cell r="K234">
            <v>2</v>
          </cell>
          <cell r="L234">
            <v>1</v>
          </cell>
          <cell r="M234">
            <v>1</v>
          </cell>
          <cell r="N234">
            <v>1</v>
          </cell>
          <cell r="O234">
            <v>1</v>
          </cell>
          <cell r="P234">
            <v>1</v>
          </cell>
          <cell r="Q234">
            <v>2</v>
          </cell>
          <cell r="R234" t="str">
            <v>ហឿត ចន្ត្រា (HOEURT CHANTRA)</v>
          </cell>
          <cell r="S234" t="str">
            <v>អតិថិជនទូទៅ (General Customer)</v>
          </cell>
          <cell r="T234">
            <v>4044</v>
          </cell>
          <cell r="V234">
            <v>0</v>
          </cell>
          <cell r="Y234">
            <v>68.5</v>
          </cell>
          <cell r="Z234">
            <v>0</v>
          </cell>
          <cell r="AA234">
            <v>0</v>
          </cell>
          <cell r="AB234">
            <v>0</v>
          </cell>
          <cell r="AC234">
            <v>68.5</v>
          </cell>
          <cell r="AD234">
            <v>1</v>
          </cell>
          <cell r="AF234">
            <v>1</v>
          </cell>
          <cell r="AG234">
            <v>3</v>
          </cell>
          <cell r="AH234">
            <v>8</v>
          </cell>
          <cell r="AI234">
            <v>2026</v>
          </cell>
          <cell r="AJ234">
            <v>227</v>
          </cell>
        </row>
        <row r="235">
          <cell r="E235" t="str">
            <v>CI2026-0419</v>
          </cell>
          <cell r="F235">
            <v>46250</v>
          </cell>
          <cell r="G235">
            <v>46281.449884259258</v>
          </cell>
          <cell r="H235">
            <v>1</v>
          </cell>
          <cell r="I235">
            <v>1</v>
          </cell>
          <cell r="J235">
            <v>1</v>
          </cell>
          <cell r="K235">
            <v>2</v>
          </cell>
          <cell r="L235">
            <v>1</v>
          </cell>
          <cell r="M235">
            <v>1</v>
          </cell>
          <cell r="N235">
            <v>1</v>
          </cell>
          <cell r="O235">
            <v>1</v>
          </cell>
          <cell r="P235">
            <v>1</v>
          </cell>
          <cell r="Q235">
            <v>2</v>
          </cell>
          <cell r="R235" t="str">
            <v>ហឿត ចន្ត្រា (HOEURT CHANTRA)</v>
          </cell>
          <cell r="S235" t="str">
            <v>អតិថិជនទូទៅ (General Customer)</v>
          </cell>
          <cell r="T235">
            <v>4044</v>
          </cell>
          <cell r="V235">
            <v>0</v>
          </cell>
          <cell r="Y235">
            <v>30.35</v>
          </cell>
          <cell r="Z235">
            <v>0</v>
          </cell>
          <cell r="AA235">
            <v>0</v>
          </cell>
          <cell r="AB235">
            <v>0</v>
          </cell>
          <cell r="AC235">
            <v>30.35</v>
          </cell>
          <cell r="AD235">
            <v>1</v>
          </cell>
          <cell r="AF235">
            <v>1</v>
          </cell>
          <cell r="AG235">
            <v>3</v>
          </cell>
          <cell r="AH235">
            <v>8</v>
          </cell>
          <cell r="AI235">
            <v>2026</v>
          </cell>
          <cell r="AJ235">
            <v>228</v>
          </cell>
        </row>
        <row r="236">
          <cell r="E236" t="str">
            <v>CI2026-0420</v>
          </cell>
          <cell r="F236">
            <v>46251</v>
          </cell>
          <cell r="G236">
            <v>46281.592847222222</v>
          </cell>
          <cell r="H236">
            <v>1</v>
          </cell>
          <cell r="I236">
            <v>1</v>
          </cell>
          <cell r="J236">
            <v>1</v>
          </cell>
          <cell r="K236">
            <v>2</v>
          </cell>
          <cell r="L236">
            <v>1</v>
          </cell>
          <cell r="M236">
            <v>1</v>
          </cell>
          <cell r="N236">
            <v>1</v>
          </cell>
          <cell r="O236">
            <v>1</v>
          </cell>
          <cell r="P236">
            <v>1</v>
          </cell>
          <cell r="Q236">
            <v>2</v>
          </cell>
          <cell r="R236" t="str">
            <v>ហឿត ចន្ត្រា (HOEURT CHANTRA)</v>
          </cell>
          <cell r="S236" t="str">
            <v>អតិថិជនទូទៅ (General Customer)</v>
          </cell>
          <cell r="T236">
            <v>4044</v>
          </cell>
          <cell r="V236">
            <v>0</v>
          </cell>
          <cell r="Y236">
            <v>60.4</v>
          </cell>
          <cell r="Z236">
            <v>0</v>
          </cell>
          <cell r="AA236">
            <v>0</v>
          </cell>
          <cell r="AB236">
            <v>0</v>
          </cell>
          <cell r="AC236">
            <v>60.4</v>
          </cell>
          <cell r="AD236">
            <v>1</v>
          </cell>
          <cell r="AF236">
            <v>1</v>
          </cell>
          <cell r="AG236">
            <v>3</v>
          </cell>
          <cell r="AH236">
            <v>8</v>
          </cell>
          <cell r="AI236">
            <v>2026</v>
          </cell>
          <cell r="AJ236">
            <v>229</v>
          </cell>
        </row>
        <row r="237">
          <cell r="E237" t="str">
            <v>CI2026-0421</v>
          </cell>
          <cell r="F237">
            <v>46251</v>
          </cell>
          <cell r="G237">
            <v>46281.597638888888</v>
          </cell>
          <cell r="H237">
            <v>1</v>
          </cell>
          <cell r="I237">
            <v>1</v>
          </cell>
          <cell r="J237">
            <v>1</v>
          </cell>
          <cell r="K237">
            <v>2</v>
          </cell>
          <cell r="L237">
            <v>1</v>
          </cell>
          <cell r="M237">
            <v>1</v>
          </cell>
          <cell r="N237">
            <v>1</v>
          </cell>
          <cell r="O237">
            <v>1</v>
          </cell>
          <cell r="P237">
            <v>1</v>
          </cell>
          <cell r="Q237">
            <v>2</v>
          </cell>
          <cell r="R237" t="str">
            <v>ហឿត ចន្ត្រា (HOEURT CHANTRA)</v>
          </cell>
          <cell r="S237" t="str">
            <v>អតិថិជនទូទៅ (General Customer)</v>
          </cell>
          <cell r="T237">
            <v>4044</v>
          </cell>
          <cell r="V237">
            <v>0</v>
          </cell>
          <cell r="Y237">
            <v>45.13</v>
          </cell>
          <cell r="Z237">
            <v>0</v>
          </cell>
          <cell r="AA237">
            <v>0</v>
          </cell>
          <cell r="AB237">
            <v>0</v>
          </cell>
          <cell r="AC237">
            <v>45.13</v>
          </cell>
          <cell r="AD237">
            <v>1</v>
          </cell>
          <cell r="AF237">
            <v>1</v>
          </cell>
          <cell r="AG237">
            <v>3</v>
          </cell>
          <cell r="AH237">
            <v>8</v>
          </cell>
          <cell r="AI237">
            <v>2026</v>
          </cell>
          <cell r="AJ237">
            <v>230</v>
          </cell>
        </row>
        <row r="238">
          <cell r="E238" t="str">
            <v>CI2026-0422</v>
          </cell>
          <cell r="F238">
            <v>46251</v>
          </cell>
          <cell r="G238">
            <v>46281.601678240739</v>
          </cell>
          <cell r="H238">
            <v>1</v>
          </cell>
          <cell r="I238">
            <v>1</v>
          </cell>
          <cell r="J238">
            <v>1</v>
          </cell>
          <cell r="K238">
            <v>2</v>
          </cell>
          <cell r="L238">
            <v>1</v>
          </cell>
          <cell r="M238">
            <v>1</v>
          </cell>
          <cell r="N238">
            <v>1</v>
          </cell>
          <cell r="O238">
            <v>1</v>
          </cell>
          <cell r="P238">
            <v>1</v>
          </cell>
          <cell r="Q238">
            <v>2</v>
          </cell>
          <cell r="R238" t="str">
            <v>ហឿត ចន្ត្រា (HOEURT CHANTRA)</v>
          </cell>
          <cell r="S238" t="str">
            <v>អតិថិជនទូទៅ (General Customer)</v>
          </cell>
          <cell r="T238">
            <v>4044</v>
          </cell>
          <cell r="V238">
            <v>0</v>
          </cell>
          <cell r="Y238">
            <v>43.2</v>
          </cell>
          <cell r="Z238">
            <v>0</v>
          </cell>
          <cell r="AA238">
            <v>0</v>
          </cell>
          <cell r="AB238">
            <v>0</v>
          </cell>
          <cell r="AC238">
            <v>43.2</v>
          </cell>
          <cell r="AD238">
            <v>1</v>
          </cell>
          <cell r="AF238">
            <v>1</v>
          </cell>
          <cell r="AG238">
            <v>3</v>
          </cell>
          <cell r="AH238">
            <v>8</v>
          </cell>
          <cell r="AI238">
            <v>2026</v>
          </cell>
          <cell r="AJ238">
            <v>231</v>
          </cell>
        </row>
        <row r="239">
          <cell r="E239" t="str">
            <v>CI2026-0423</v>
          </cell>
          <cell r="F239">
            <v>46251</v>
          </cell>
          <cell r="G239">
            <v>46281.617083333331</v>
          </cell>
          <cell r="H239">
            <v>1</v>
          </cell>
          <cell r="I239">
            <v>1</v>
          </cell>
          <cell r="J239">
            <v>1</v>
          </cell>
          <cell r="K239">
            <v>2</v>
          </cell>
          <cell r="L239">
            <v>1</v>
          </cell>
          <cell r="M239">
            <v>1</v>
          </cell>
          <cell r="N239">
            <v>1</v>
          </cell>
          <cell r="O239">
            <v>1</v>
          </cell>
          <cell r="P239">
            <v>1</v>
          </cell>
          <cell r="Q239">
            <v>2</v>
          </cell>
          <cell r="R239" t="str">
            <v>ហឿត ចន្ត្រា (HOEURT CHANTRA)</v>
          </cell>
          <cell r="S239" t="str">
            <v>អតិថិជនទូទៅ (General Customer)</v>
          </cell>
          <cell r="T239">
            <v>4044</v>
          </cell>
          <cell r="V239">
            <v>0</v>
          </cell>
          <cell r="Y239">
            <v>59.65</v>
          </cell>
          <cell r="Z239">
            <v>0</v>
          </cell>
          <cell r="AA239">
            <v>0</v>
          </cell>
          <cell r="AB239">
            <v>0</v>
          </cell>
          <cell r="AC239">
            <v>59.65</v>
          </cell>
          <cell r="AD239">
            <v>1</v>
          </cell>
          <cell r="AF239">
            <v>1</v>
          </cell>
          <cell r="AG239">
            <v>3</v>
          </cell>
          <cell r="AH239">
            <v>8</v>
          </cell>
          <cell r="AI239">
            <v>2026</v>
          </cell>
          <cell r="AJ239">
            <v>232</v>
          </cell>
        </row>
        <row r="240">
          <cell r="E240" t="str">
            <v>CI2026-0424</v>
          </cell>
          <cell r="F240">
            <v>46252</v>
          </cell>
          <cell r="G240">
            <v>46281.952476851853</v>
          </cell>
          <cell r="H240">
            <v>1</v>
          </cell>
          <cell r="I240">
            <v>1</v>
          </cell>
          <cell r="J240">
            <v>1</v>
          </cell>
          <cell r="K240">
            <v>2</v>
          </cell>
          <cell r="L240">
            <v>1</v>
          </cell>
          <cell r="M240">
            <v>1</v>
          </cell>
          <cell r="N240">
            <v>1</v>
          </cell>
          <cell r="O240">
            <v>1</v>
          </cell>
          <cell r="P240">
            <v>1</v>
          </cell>
          <cell r="Q240">
            <v>2</v>
          </cell>
          <cell r="R240" t="str">
            <v>ហឿត ចន្ត្រា (HOEURT CHANTRA)</v>
          </cell>
          <cell r="S240" t="str">
            <v>អតិថិជនទូទៅ (General Customer)</v>
          </cell>
          <cell r="T240">
            <v>4043</v>
          </cell>
          <cell r="V240">
            <v>0</v>
          </cell>
          <cell r="Y240">
            <v>64.95</v>
          </cell>
          <cell r="Z240">
            <v>0</v>
          </cell>
          <cell r="AA240">
            <v>0</v>
          </cell>
          <cell r="AB240">
            <v>0</v>
          </cell>
          <cell r="AC240">
            <v>64.95</v>
          </cell>
          <cell r="AD240">
            <v>1</v>
          </cell>
          <cell r="AF240">
            <v>1</v>
          </cell>
          <cell r="AG240">
            <v>3</v>
          </cell>
          <cell r="AH240">
            <v>8</v>
          </cell>
          <cell r="AI240">
            <v>2026</v>
          </cell>
          <cell r="AJ240">
            <v>233</v>
          </cell>
        </row>
        <row r="241">
          <cell r="E241" t="str">
            <v>CI2026-0425</v>
          </cell>
          <cell r="F241">
            <v>46252</v>
          </cell>
          <cell r="G241">
            <v>46282.450416666667</v>
          </cell>
          <cell r="H241">
            <v>1</v>
          </cell>
          <cell r="I241">
            <v>1</v>
          </cell>
          <cell r="J241">
            <v>1</v>
          </cell>
          <cell r="K241">
            <v>2</v>
          </cell>
          <cell r="L241">
            <v>1</v>
          </cell>
          <cell r="M241">
            <v>1</v>
          </cell>
          <cell r="N241">
            <v>1</v>
          </cell>
          <cell r="O241">
            <v>1</v>
          </cell>
          <cell r="P241">
            <v>1</v>
          </cell>
          <cell r="Q241">
            <v>2</v>
          </cell>
          <cell r="R241" t="str">
            <v>ហឿត ចន្ត្រា (HOEURT CHANTRA)</v>
          </cell>
          <cell r="S241" t="str">
            <v>អតិថិជនទូទៅ (General Customer)</v>
          </cell>
          <cell r="T241">
            <v>4043</v>
          </cell>
          <cell r="V241">
            <v>0</v>
          </cell>
          <cell r="Y241">
            <v>45.16</v>
          </cell>
          <cell r="Z241">
            <v>0</v>
          </cell>
          <cell r="AA241">
            <v>0</v>
          </cell>
          <cell r="AB241">
            <v>0</v>
          </cell>
          <cell r="AC241">
            <v>45.16</v>
          </cell>
          <cell r="AD241">
            <v>1</v>
          </cell>
          <cell r="AF241">
            <v>1</v>
          </cell>
          <cell r="AG241">
            <v>3</v>
          </cell>
          <cell r="AH241">
            <v>8</v>
          </cell>
          <cell r="AI241">
            <v>2026</v>
          </cell>
          <cell r="AJ241">
            <v>234</v>
          </cell>
        </row>
        <row r="242">
          <cell r="E242" t="str">
            <v>CI2026-0426</v>
          </cell>
          <cell r="F242">
            <v>46252</v>
          </cell>
          <cell r="G242">
            <v>46282.454305555555</v>
          </cell>
          <cell r="H242">
            <v>1</v>
          </cell>
          <cell r="I242">
            <v>1</v>
          </cell>
          <cell r="J242">
            <v>1</v>
          </cell>
          <cell r="K242">
            <v>2</v>
          </cell>
          <cell r="L242">
            <v>1</v>
          </cell>
          <cell r="M242">
            <v>1</v>
          </cell>
          <cell r="N242">
            <v>1</v>
          </cell>
          <cell r="O242">
            <v>1</v>
          </cell>
          <cell r="P242">
            <v>1</v>
          </cell>
          <cell r="Q242">
            <v>2</v>
          </cell>
          <cell r="R242" t="str">
            <v>ហឿត ចន្ត្រា (HOEURT CHANTRA)</v>
          </cell>
          <cell r="S242" t="str">
            <v>អតិថិជនទូទៅ (General Customer)</v>
          </cell>
          <cell r="T242">
            <v>4043</v>
          </cell>
          <cell r="V242">
            <v>0</v>
          </cell>
          <cell r="Y242">
            <v>32.5</v>
          </cell>
          <cell r="Z242">
            <v>0</v>
          </cell>
          <cell r="AA242">
            <v>0</v>
          </cell>
          <cell r="AB242">
            <v>0</v>
          </cell>
          <cell r="AC242">
            <v>32.5</v>
          </cell>
          <cell r="AD242">
            <v>1</v>
          </cell>
          <cell r="AF242">
            <v>1</v>
          </cell>
          <cell r="AG242">
            <v>3</v>
          </cell>
          <cell r="AH242">
            <v>8</v>
          </cell>
          <cell r="AI242">
            <v>2026</v>
          </cell>
          <cell r="AJ242">
            <v>235</v>
          </cell>
        </row>
        <row r="243">
          <cell r="E243" t="str">
            <v>CI2026-0427</v>
          </cell>
          <cell r="F243">
            <v>46253</v>
          </cell>
          <cell r="G243">
            <v>46282.550335648149</v>
          </cell>
          <cell r="H243">
            <v>1</v>
          </cell>
          <cell r="I243">
            <v>1</v>
          </cell>
          <cell r="J243">
            <v>1</v>
          </cell>
          <cell r="K243">
            <v>2</v>
          </cell>
          <cell r="L243">
            <v>1</v>
          </cell>
          <cell r="M243">
            <v>1</v>
          </cell>
          <cell r="N243">
            <v>1</v>
          </cell>
          <cell r="O243">
            <v>1</v>
          </cell>
          <cell r="P243">
            <v>1</v>
          </cell>
          <cell r="Q243">
            <v>2</v>
          </cell>
          <cell r="R243" t="str">
            <v>ហឿត ចន្ត្រា (HOEURT CHANTRA)</v>
          </cell>
          <cell r="S243" t="str">
            <v>អតិថិជនទូទៅ (General Customer)</v>
          </cell>
          <cell r="T243">
            <v>4043</v>
          </cell>
          <cell r="V243">
            <v>0</v>
          </cell>
          <cell r="Y243">
            <v>67.349999999999994</v>
          </cell>
          <cell r="Z243">
            <v>0</v>
          </cell>
          <cell r="AA243">
            <v>0</v>
          </cell>
          <cell r="AB243">
            <v>0</v>
          </cell>
          <cell r="AC243">
            <v>67.349999999999994</v>
          </cell>
          <cell r="AD243">
            <v>1</v>
          </cell>
          <cell r="AF243">
            <v>1</v>
          </cell>
          <cell r="AG243">
            <v>3</v>
          </cell>
          <cell r="AH243">
            <v>8</v>
          </cell>
          <cell r="AI243">
            <v>2026</v>
          </cell>
          <cell r="AJ243">
            <v>236</v>
          </cell>
        </row>
        <row r="244">
          <cell r="E244" t="str">
            <v>CI2026-0428</v>
          </cell>
          <cell r="F244">
            <v>46253</v>
          </cell>
          <cell r="G244">
            <v>46282.557928240742</v>
          </cell>
          <cell r="H244">
            <v>1</v>
          </cell>
          <cell r="I244">
            <v>1</v>
          </cell>
          <cell r="J244">
            <v>1</v>
          </cell>
          <cell r="K244">
            <v>2</v>
          </cell>
          <cell r="L244">
            <v>1</v>
          </cell>
          <cell r="M244">
            <v>1</v>
          </cell>
          <cell r="N244">
            <v>1</v>
          </cell>
          <cell r="O244">
            <v>1</v>
          </cell>
          <cell r="P244">
            <v>1</v>
          </cell>
          <cell r="Q244">
            <v>2</v>
          </cell>
          <cell r="R244" t="str">
            <v>ហឿត ចន្ត្រា (HOEURT CHANTRA)</v>
          </cell>
          <cell r="S244" t="str">
            <v>អតិថិជនទូទៅ (General Customer)</v>
          </cell>
          <cell r="T244">
            <v>4043</v>
          </cell>
          <cell r="V244">
            <v>0</v>
          </cell>
          <cell r="Y244">
            <v>48.5</v>
          </cell>
          <cell r="Z244">
            <v>0</v>
          </cell>
          <cell r="AA244">
            <v>0</v>
          </cell>
          <cell r="AB244">
            <v>0</v>
          </cell>
          <cell r="AC244">
            <v>48.5</v>
          </cell>
          <cell r="AD244">
            <v>1</v>
          </cell>
          <cell r="AF244">
            <v>1</v>
          </cell>
          <cell r="AG244">
            <v>3</v>
          </cell>
          <cell r="AH244">
            <v>8</v>
          </cell>
          <cell r="AI244">
            <v>2026</v>
          </cell>
          <cell r="AJ244">
            <v>237</v>
          </cell>
        </row>
        <row r="245">
          <cell r="E245" t="str">
            <v>CI2026-0429</v>
          </cell>
          <cell r="F245">
            <v>46253</v>
          </cell>
          <cell r="G245">
            <v>46282.564375000002</v>
          </cell>
          <cell r="H245">
            <v>1</v>
          </cell>
          <cell r="I245">
            <v>1</v>
          </cell>
          <cell r="J245">
            <v>1</v>
          </cell>
          <cell r="K245">
            <v>2</v>
          </cell>
          <cell r="L245">
            <v>1</v>
          </cell>
          <cell r="M245">
            <v>1</v>
          </cell>
          <cell r="N245">
            <v>1</v>
          </cell>
          <cell r="O245">
            <v>1</v>
          </cell>
          <cell r="P245">
            <v>1</v>
          </cell>
          <cell r="Q245">
            <v>2</v>
          </cell>
          <cell r="R245" t="str">
            <v>ហឿត ចន្ត្រា (HOEURT CHANTRA)</v>
          </cell>
          <cell r="S245" t="str">
            <v>អតិថិជនទូទៅ (General Customer)</v>
          </cell>
          <cell r="T245">
            <v>4043</v>
          </cell>
          <cell r="V245">
            <v>0</v>
          </cell>
          <cell r="Y245">
            <v>28.65</v>
          </cell>
          <cell r="Z245">
            <v>0</v>
          </cell>
          <cell r="AA245">
            <v>0</v>
          </cell>
          <cell r="AB245">
            <v>0</v>
          </cell>
          <cell r="AC245">
            <v>28.65</v>
          </cell>
          <cell r="AD245">
            <v>1</v>
          </cell>
          <cell r="AF245">
            <v>1</v>
          </cell>
          <cell r="AG245">
            <v>3</v>
          </cell>
          <cell r="AH245">
            <v>8</v>
          </cell>
          <cell r="AI245">
            <v>2026</v>
          </cell>
          <cell r="AJ245">
            <v>238</v>
          </cell>
        </row>
        <row r="246">
          <cell r="E246" t="str">
            <v>CI2026-0430</v>
          </cell>
          <cell r="F246">
            <v>46254</v>
          </cell>
          <cell r="G246">
            <v>46282.567696759259</v>
          </cell>
          <cell r="H246">
            <v>1</v>
          </cell>
          <cell r="I246">
            <v>1</v>
          </cell>
          <cell r="J246">
            <v>1</v>
          </cell>
          <cell r="K246">
            <v>2</v>
          </cell>
          <cell r="L246">
            <v>1</v>
          </cell>
          <cell r="M246">
            <v>1</v>
          </cell>
          <cell r="N246">
            <v>1</v>
          </cell>
          <cell r="O246">
            <v>1</v>
          </cell>
          <cell r="P246">
            <v>1</v>
          </cell>
          <cell r="Q246">
            <v>2</v>
          </cell>
          <cell r="R246" t="str">
            <v>ហឿត ចន្ត្រា (HOEURT CHANTRA)</v>
          </cell>
          <cell r="S246" t="str">
            <v>អតិថិជនទូទៅ (General Customer)</v>
          </cell>
          <cell r="T246">
            <v>4044</v>
          </cell>
          <cell r="V246">
            <v>0</v>
          </cell>
          <cell r="Y246">
            <v>38.5</v>
          </cell>
          <cell r="Z246">
            <v>0</v>
          </cell>
          <cell r="AA246">
            <v>0</v>
          </cell>
          <cell r="AB246">
            <v>0</v>
          </cell>
          <cell r="AC246">
            <v>38.5</v>
          </cell>
          <cell r="AD246">
            <v>1</v>
          </cell>
          <cell r="AF246">
            <v>1</v>
          </cell>
          <cell r="AG246">
            <v>3</v>
          </cell>
          <cell r="AH246">
            <v>8</v>
          </cell>
          <cell r="AI246">
            <v>2026</v>
          </cell>
          <cell r="AJ246">
            <v>239</v>
          </cell>
        </row>
        <row r="247">
          <cell r="E247" t="str">
            <v>CI2026-0431</v>
          </cell>
          <cell r="F247">
            <v>46254</v>
          </cell>
          <cell r="G247">
            <v>46282.584652777776</v>
          </cell>
          <cell r="H247">
            <v>1</v>
          </cell>
          <cell r="I247">
            <v>1</v>
          </cell>
          <cell r="J247">
            <v>1</v>
          </cell>
          <cell r="K247">
            <v>2</v>
          </cell>
          <cell r="L247">
            <v>1</v>
          </cell>
          <cell r="M247">
            <v>1</v>
          </cell>
          <cell r="N247">
            <v>1</v>
          </cell>
          <cell r="O247">
            <v>1</v>
          </cell>
          <cell r="P247">
            <v>1</v>
          </cell>
          <cell r="Q247">
            <v>2</v>
          </cell>
          <cell r="R247" t="str">
            <v>ហឿត ចន្ត្រា (HOEURT CHANTRA)</v>
          </cell>
          <cell r="S247" t="str">
            <v>អតិថិជនទូទៅ (General Customer)</v>
          </cell>
          <cell r="T247">
            <v>4044</v>
          </cell>
          <cell r="V247">
            <v>0</v>
          </cell>
          <cell r="Y247">
            <v>46.25</v>
          </cell>
          <cell r="Z247">
            <v>0</v>
          </cell>
          <cell r="AA247">
            <v>0</v>
          </cell>
          <cell r="AB247">
            <v>0</v>
          </cell>
          <cell r="AC247">
            <v>46.25</v>
          </cell>
          <cell r="AD247">
            <v>1</v>
          </cell>
          <cell r="AF247">
            <v>1</v>
          </cell>
          <cell r="AG247">
            <v>3</v>
          </cell>
          <cell r="AH247">
            <v>8</v>
          </cell>
          <cell r="AI247">
            <v>2026</v>
          </cell>
          <cell r="AJ247">
            <v>240</v>
          </cell>
        </row>
        <row r="248">
          <cell r="E248" t="str">
            <v>CI2026-0432</v>
          </cell>
          <cell r="F248">
            <v>46254</v>
          </cell>
          <cell r="G248">
            <v>46282.590624999997</v>
          </cell>
          <cell r="H248">
            <v>1</v>
          </cell>
          <cell r="I248">
            <v>1</v>
          </cell>
          <cell r="J248">
            <v>1</v>
          </cell>
          <cell r="K248">
            <v>2</v>
          </cell>
          <cell r="L248">
            <v>1</v>
          </cell>
          <cell r="M248">
            <v>1</v>
          </cell>
          <cell r="N248">
            <v>1</v>
          </cell>
          <cell r="O248">
            <v>1</v>
          </cell>
          <cell r="P248">
            <v>1</v>
          </cell>
          <cell r="Q248">
            <v>2</v>
          </cell>
          <cell r="R248" t="str">
            <v>ហឿត ចន្ត្រា (HOEURT CHANTRA)</v>
          </cell>
          <cell r="S248" t="str">
            <v>អតិថិជនទូទៅ (General Customer)</v>
          </cell>
          <cell r="T248">
            <v>4044</v>
          </cell>
          <cell r="V248">
            <v>0</v>
          </cell>
          <cell r="Y248">
            <v>49</v>
          </cell>
          <cell r="Z248">
            <v>0</v>
          </cell>
          <cell r="AA248">
            <v>0</v>
          </cell>
          <cell r="AB248">
            <v>0</v>
          </cell>
          <cell r="AC248">
            <v>49</v>
          </cell>
          <cell r="AD248">
            <v>1</v>
          </cell>
          <cell r="AF248">
            <v>1</v>
          </cell>
          <cell r="AG248">
            <v>3</v>
          </cell>
          <cell r="AH248">
            <v>8</v>
          </cell>
          <cell r="AI248">
            <v>2026</v>
          </cell>
          <cell r="AJ248">
            <v>241</v>
          </cell>
        </row>
        <row r="249">
          <cell r="E249" t="str">
            <v>CI2026-0433</v>
          </cell>
          <cell r="F249">
            <v>46255</v>
          </cell>
          <cell r="G249">
            <v>46282.602893518517</v>
          </cell>
          <cell r="H249">
            <v>1</v>
          </cell>
          <cell r="I249">
            <v>1</v>
          </cell>
          <cell r="J249">
            <v>1</v>
          </cell>
          <cell r="K249">
            <v>2</v>
          </cell>
          <cell r="L249">
            <v>1</v>
          </cell>
          <cell r="M249">
            <v>1</v>
          </cell>
          <cell r="N249">
            <v>1</v>
          </cell>
          <cell r="O249">
            <v>1</v>
          </cell>
          <cell r="P249">
            <v>1</v>
          </cell>
          <cell r="Q249">
            <v>2</v>
          </cell>
          <cell r="R249" t="str">
            <v>ហឿត ចន្ត្រា (HOEURT CHANTRA)</v>
          </cell>
          <cell r="S249" t="str">
            <v>អតិថិជនទូទៅ (General Customer)</v>
          </cell>
          <cell r="T249">
            <v>4046</v>
          </cell>
          <cell r="V249">
            <v>0</v>
          </cell>
          <cell r="Y249">
            <v>76.8</v>
          </cell>
          <cell r="Z249">
            <v>0</v>
          </cell>
          <cell r="AA249">
            <v>0</v>
          </cell>
          <cell r="AB249">
            <v>0</v>
          </cell>
          <cell r="AC249">
            <v>76.8</v>
          </cell>
          <cell r="AD249">
            <v>1</v>
          </cell>
          <cell r="AF249">
            <v>1</v>
          </cell>
          <cell r="AG249">
            <v>3</v>
          </cell>
          <cell r="AH249">
            <v>8</v>
          </cell>
          <cell r="AI249">
            <v>2026</v>
          </cell>
          <cell r="AJ249">
            <v>242</v>
          </cell>
        </row>
        <row r="250">
          <cell r="E250" t="str">
            <v>CI2026-0434</v>
          </cell>
          <cell r="F250">
            <v>46255</v>
          </cell>
          <cell r="G250">
            <v>46282.655891203707</v>
          </cell>
          <cell r="H250">
            <v>1</v>
          </cell>
          <cell r="I250">
            <v>1</v>
          </cell>
          <cell r="J250">
            <v>1</v>
          </cell>
          <cell r="K250">
            <v>2</v>
          </cell>
          <cell r="L250">
            <v>1</v>
          </cell>
          <cell r="M250">
            <v>1</v>
          </cell>
          <cell r="N250">
            <v>1</v>
          </cell>
          <cell r="O250">
            <v>1</v>
          </cell>
          <cell r="P250">
            <v>1</v>
          </cell>
          <cell r="Q250">
            <v>2</v>
          </cell>
          <cell r="R250" t="str">
            <v>ហឿត ចន្ត្រា (HOEURT CHANTRA)</v>
          </cell>
          <cell r="S250" t="str">
            <v>អតិថិជនទូទៅ (General Customer)</v>
          </cell>
          <cell r="T250">
            <v>4046</v>
          </cell>
          <cell r="V250">
            <v>0</v>
          </cell>
          <cell r="Y250">
            <v>22.03</v>
          </cell>
          <cell r="Z250">
            <v>0</v>
          </cell>
          <cell r="AA250">
            <v>0</v>
          </cell>
          <cell r="AB250">
            <v>0</v>
          </cell>
          <cell r="AC250">
            <v>22.03</v>
          </cell>
          <cell r="AD250">
            <v>1</v>
          </cell>
          <cell r="AF250">
            <v>1</v>
          </cell>
          <cell r="AG250">
            <v>3</v>
          </cell>
          <cell r="AH250">
            <v>8</v>
          </cell>
          <cell r="AI250">
            <v>2026</v>
          </cell>
          <cell r="AJ250">
            <v>243</v>
          </cell>
        </row>
        <row r="251">
          <cell r="E251" t="str">
            <v>CI2026-0435</v>
          </cell>
          <cell r="F251">
            <v>46255</v>
          </cell>
          <cell r="G251">
            <v>46282.663321759261</v>
          </cell>
          <cell r="H251">
            <v>1</v>
          </cell>
          <cell r="I251">
            <v>1</v>
          </cell>
          <cell r="J251">
            <v>1</v>
          </cell>
          <cell r="K251">
            <v>2</v>
          </cell>
          <cell r="L251">
            <v>1</v>
          </cell>
          <cell r="M251">
            <v>1</v>
          </cell>
          <cell r="N251">
            <v>1</v>
          </cell>
          <cell r="O251">
            <v>1</v>
          </cell>
          <cell r="P251">
            <v>1</v>
          </cell>
          <cell r="Q251">
            <v>2</v>
          </cell>
          <cell r="R251" t="str">
            <v>ហឿត ចន្ត្រា (HOEURT CHANTRA)</v>
          </cell>
          <cell r="S251" t="str">
            <v>អតិថិជនទូទៅ (General Customer)</v>
          </cell>
          <cell r="T251">
            <v>4046</v>
          </cell>
          <cell r="V251">
            <v>0</v>
          </cell>
          <cell r="Y251">
            <v>89.85</v>
          </cell>
          <cell r="Z251">
            <v>0</v>
          </cell>
          <cell r="AA251">
            <v>0</v>
          </cell>
          <cell r="AB251">
            <v>0</v>
          </cell>
          <cell r="AC251">
            <v>89.85</v>
          </cell>
          <cell r="AD251">
            <v>1</v>
          </cell>
          <cell r="AF251">
            <v>1</v>
          </cell>
          <cell r="AG251">
            <v>3</v>
          </cell>
          <cell r="AH251">
            <v>8</v>
          </cell>
          <cell r="AI251">
            <v>2026</v>
          </cell>
          <cell r="AJ251">
            <v>244</v>
          </cell>
        </row>
        <row r="252">
          <cell r="E252" t="str">
            <v>CI2026-0436</v>
          </cell>
          <cell r="F252">
            <v>46256</v>
          </cell>
          <cell r="G252">
            <v>46282.711828703701</v>
          </cell>
          <cell r="H252">
            <v>1</v>
          </cell>
          <cell r="I252">
            <v>1</v>
          </cell>
          <cell r="J252">
            <v>1</v>
          </cell>
          <cell r="K252">
            <v>2</v>
          </cell>
          <cell r="L252">
            <v>1</v>
          </cell>
          <cell r="M252">
            <v>1</v>
          </cell>
          <cell r="N252">
            <v>1</v>
          </cell>
          <cell r="O252">
            <v>1</v>
          </cell>
          <cell r="P252">
            <v>1</v>
          </cell>
          <cell r="Q252">
            <v>2</v>
          </cell>
          <cell r="R252" t="str">
            <v>ហឿត ចន្ត្រា (HOEURT CHANTRA)</v>
          </cell>
          <cell r="S252" t="str">
            <v>អតិថិជនទូទៅ (General Customer)</v>
          </cell>
          <cell r="T252">
            <v>4046</v>
          </cell>
          <cell r="V252">
            <v>0</v>
          </cell>
          <cell r="Y252">
            <v>46.97</v>
          </cell>
          <cell r="Z252">
            <v>0</v>
          </cell>
          <cell r="AA252">
            <v>0</v>
          </cell>
          <cell r="AB252">
            <v>0</v>
          </cell>
          <cell r="AC252">
            <v>46.97</v>
          </cell>
          <cell r="AD252">
            <v>1</v>
          </cell>
          <cell r="AF252">
            <v>1</v>
          </cell>
          <cell r="AG252">
            <v>4</v>
          </cell>
          <cell r="AH252">
            <v>8</v>
          </cell>
          <cell r="AI252">
            <v>2026</v>
          </cell>
          <cell r="AJ252">
            <v>245</v>
          </cell>
        </row>
        <row r="253">
          <cell r="E253" t="str">
            <v>CI2026-0437</v>
          </cell>
          <cell r="F253">
            <v>46256</v>
          </cell>
          <cell r="G253">
            <v>46282.71429398148</v>
          </cell>
          <cell r="H253">
            <v>1</v>
          </cell>
          <cell r="I253">
            <v>1</v>
          </cell>
          <cell r="J253">
            <v>1</v>
          </cell>
          <cell r="K253">
            <v>2</v>
          </cell>
          <cell r="L253">
            <v>1</v>
          </cell>
          <cell r="M253">
            <v>1</v>
          </cell>
          <cell r="N253">
            <v>1</v>
          </cell>
          <cell r="O253">
            <v>1</v>
          </cell>
          <cell r="P253">
            <v>1</v>
          </cell>
          <cell r="Q253">
            <v>2</v>
          </cell>
          <cell r="R253" t="str">
            <v>ហឿត ចន្ត្រា (HOEURT CHANTRA)</v>
          </cell>
          <cell r="S253" t="str">
            <v>អតិថិជនទូទៅ (General Customer)</v>
          </cell>
          <cell r="T253">
            <v>4046</v>
          </cell>
          <cell r="V253">
            <v>0</v>
          </cell>
          <cell r="Y253">
            <v>40.229999999999997</v>
          </cell>
          <cell r="Z253">
            <v>0</v>
          </cell>
          <cell r="AA253">
            <v>0</v>
          </cell>
          <cell r="AB253">
            <v>0</v>
          </cell>
          <cell r="AC253">
            <v>40.229999999999997</v>
          </cell>
          <cell r="AD253">
            <v>1</v>
          </cell>
          <cell r="AF253">
            <v>1</v>
          </cell>
          <cell r="AG253">
            <v>4</v>
          </cell>
          <cell r="AH253">
            <v>8</v>
          </cell>
          <cell r="AI253">
            <v>2026</v>
          </cell>
          <cell r="AJ253">
            <v>246</v>
          </cell>
        </row>
        <row r="254">
          <cell r="E254" t="str">
            <v>CI2026-0438</v>
          </cell>
          <cell r="F254">
            <v>46256</v>
          </cell>
          <cell r="G254">
            <v>46282.717164351852</v>
          </cell>
          <cell r="H254">
            <v>1</v>
          </cell>
          <cell r="I254">
            <v>1</v>
          </cell>
          <cell r="J254">
            <v>1</v>
          </cell>
          <cell r="K254">
            <v>2</v>
          </cell>
          <cell r="L254">
            <v>1</v>
          </cell>
          <cell r="M254">
            <v>1</v>
          </cell>
          <cell r="N254">
            <v>1</v>
          </cell>
          <cell r="O254">
            <v>1</v>
          </cell>
          <cell r="P254">
            <v>1</v>
          </cell>
          <cell r="Q254">
            <v>2</v>
          </cell>
          <cell r="R254" t="str">
            <v>ហឿត ចន្ត្រា (HOEURT CHANTRA)</v>
          </cell>
          <cell r="S254" t="str">
            <v>អតិថិជនទូទៅ (General Customer)</v>
          </cell>
          <cell r="T254">
            <v>4046</v>
          </cell>
          <cell r="V254">
            <v>0</v>
          </cell>
          <cell r="Y254">
            <v>42.62</v>
          </cell>
          <cell r="Z254">
            <v>0</v>
          </cell>
          <cell r="AA254">
            <v>0</v>
          </cell>
          <cell r="AB254">
            <v>0</v>
          </cell>
          <cell r="AC254">
            <v>42.62</v>
          </cell>
          <cell r="AD254">
            <v>1</v>
          </cell>
          <cell r="AF254">
            <v>1</v>
          </cell>
          <cell r="AG254">
            <v>4</v>
          </cell>
          <cell r="AH254">
            <v>8</v>
          </cell>
          <cell r="AI254">
            <v>2026</v>
          </cell>
          <cell r="AJ254">
            <v>247</v>
          </cell>
        </row>
        <row r="255">
          <cell r="E255" t="str">
            <v>CI2026-0439</v>
          </cell>
          <cell r="F255">
            <v>46256</v>
          </cell>
          <cell r="G255">
            <v>46284.352777777778</v>
          </cell>
          <cell r="H255">
            <v>1</v>
          </cell>
          <cell r="I255">
            <v>1</v>
          </cell>
          <cell r="J255">
            <v>1</v>
          </cell>
          <cell r="K255">
            <v>2</v>
          </cell>
          <cell r="L255">
            <v>1</v>
          </cell>
          <cell r="M255">
            <v>1</v>
          </cell>
          <cell r="N255">
            <v>1</v>
          </cell>
          <cell r="O255">
            <v>1</v>
          </cell>
          <cell r="P255">
            <v>1</v>
          </cell>
          <cell r="Q255">
            <v>2</v>
          </cell>
          <cell r="R255" t="str">
            <v>ហឿត ចន្ត្រា (HOEURT CHANTRA)</v>
          </cell>
          <cell r="S255" t="str">
            <v>អតិថិជនទូទៅ (General Customer)</v>
          </cell>
          <cell r="T255">
            <v>4046</v>
          </cell>
          <cell r="V255">
            <v>0</v>
          </cell>
          <cell r="Y255">
            <v>51.26</v>
          </cell>
          <cell r="Z255">
            <v>0</v>
          </cell>
          <cell r="AA255">
            <v>0</v>
          </cell>
          <cell r="AB255">
            <v>0</v>
          </cell>
          <cell r="AC255">
            <v>51.26</v>
          </cell>
          <cell r="AD255">
            <v>1</v>
          </cell>
          <cell r="AF255">
            <v>1</v>
          </cell>
          <cell r="AG255">
            <v>4</v>
          </cell>
          <cell r="AH255">
            <v>8</v>
          </cell>
          <cell r="AI255">
            <v>2026</v>
          </cell>
          <cell r="AJ255">
            <v>248</v>
          </cell>
        </row>
        <row r="256">
          <cell r="E256" t="str">
            <v>CI2026-0440</v>
          </cell>
          <cell r="F256">
            <v>46256</v>
          </cell>
          <cell r="G256">
            <v>46284.366782407407</v>
          </cell>
          <cell r="H256">
            <v>1</v>
          </cell>
          <cell r="I256">
            <v>1</v>
          </cell>
          <cell r="J256">
            <v>1</v>
          </cell>
          <cell r="K256">
            <v>2</v>
          </cell>
          <cell r="L256">
            <v>1</v>
          </cell>
          <cell r="M256">
            <v>1</v>
          </cell>
          <cell r="N256">
            <v>1</v>
          </cell>
          <cell r="O256">
            <v>1</v>
          </cell>
          <cell r="P256">
            <v>1</v>
          </cell>
          <cell r="Q256">
            <v>2</v>
          </cell>
          <cell r="R256" t="str">
            <v>ហឿត ចន្ត្រា (HOEURT CHANTRA)</v>
          </cell>
          <cell r="S256" t="str">
            <v>អតិថិជនទូទៅ (General Customer)</v>
          </cell>
          <cell r="T256">
            <v>4046</v>
          </cell>
          <cell r="V256">
            <v>0</v>
          </cell>
          <cell r="Y256">
            <v>51.99</v>
          </cell>
          <cell r="Z256">
            <v>0</v>
          </cell>
          <cell r="AA256">
            <v>0</v>
          </cell>
          <cell r="AB256">
            <v>0</v>
          </cell>
          <cell r="AC256">
            <v>51.99</v>
          </cell>
          <cell r="AD256">
            <v>1</v>
          </cell>
          <cell r="AF256">
            <v>1</v>
          </cell>
          <cell r="AG256">
            <v>4</v>
          </cell>
          <cell r="AH256">
            <v>8</v>
          </cell>
          <cell r="AI256">
            <v>2026</v>
          </cell>
          <cell r="AJ256">
            <v>249</v>
          </cell>
        </row>
        <row r="257">
          <cell r="E257" t="str">
            <v>CI2026-0441</v>
          </cell>
          <cell r="F257">
            <v>46257</v>
          </cell>
          <cell r="G257">
            <v>46284.698379629626</v>
          </cell>
          <cell r="H257">
            <v>1</v>
          </cell>
          <cell r="I257">
            <v>1</v>
          </cell>
          <cell r="J257">
            <v>1</v>
          </cell>
          <cell r="K257">
            <v>2</v>
          </cell>
          <cell r="L257">
            <v>1</v>
          </cell>
          <cell r="M257">
            <v>1</v>
          </cell>
          <cell r="N257">
            <v>1</v>
          </cell>
          <cell r="O257">
            <v>1</v>
          </cell>
          <cell r="P257">
            <v>1</v>
          </cell>
          <cell r="Q257">
            <v>2</v>
          </cell>
          <cell r="R257" t="str">
            <v>ហឿត ចន្ត្រា (HOEURT CHANTRA)</v>
          </cell>
          <cell r="S257" t="str">
            <v>អតិថិជនទូទៅ (General Customer)</v>
          </cell>
          <cell r="T257">
            <v>4046</v>
          </cell>
          <cell r="V257">
            <v>0</v>
          </cell>
          <cell r="Y257">
            <v>41.79</v>
          </cell>
          <cell r="Z257">
            <v>0</v>
          </cell>
          <cell r="AA257">
            <v>0</v>
          </cell>
          <cell r="AB257">
            <v>0</v>
          </cell>
          <cell r="AC257">
            <v>41.79</v>
          </cell>
          <cell r="AD257">
            <v>1</v>
          </cell>
          <cell r="AF257">
            <v>1</v>
          </cell>
          <cell r="AG257">
            <v>4</v>
          </cell>
          <cell r="AH257">
            <v>8</v>
          </cell>
          <cell r="AI257">
            <v>2026</v>
          </cell>
          <cell r="AJ257">
            <v>250</v>
          </cell>
        </row>
        <row r="258">
          <cell r="E258" t="str">
            <v>CI2026-0442</v>
          </cell>
          <cell r="F258">
            <v>46257</v>
          </cell>
          <cell r="G258">
            <v>46284.825370370374</v>
          </cell>
          <cell r="H258">
            <v>1</v>
          </cell>
          <cell r="I258">
            <v>1</v>
          </cell>
          <cell r="J258">
            <v>1</v>
          </cell>
          <cell r="K258">
            <v>2</v>
          </cell>
          <cell r="L258">
            <v>1</v>
          </cell>
          <cell r="M258">
            <v>1</v>
          </cell>
          <cell r="N258">
            <v>1</v>
          </cell>
          <cell r="O258">
            <v>1</v>
          </cell>
          <cell r="P258">
            <v>1</v>
          </cell>
          <cell r="Q258">
            <v>2</v>
          </cell>
          <cell r="R258" t="str">
            <v>ហឿត ចន្ត្រា (HOEURT CHANTRA)</v>
          </cell>
          <cell r="S258" t="str">
            <v>អតិថិជនទូទៅ (General Customer)</v>
          </cell>
          <cell r="T258">
            <v>4046</v>
          </cell>
          <cell r="V258">
            <v>0</v>
          </cell>
          <cell r="Y258">
            <v>65.260000000000005</v>
          </cell>
          <cell r="Z258">
            <v>0</v>
          </cell>
          <cell r="AA258">
            <v>0</v>
          </cell>
          <cell r="AB258">
            <v>0</v>
          </cell>
          <cell r="AC258">
            <v>65.260000000000005</v>
          </cell>
          <cell r="AD258">
            <v>1</v>
          </cell>
          <cell r="AF258">
            <v>1</v>
          </cell>
          <cell r="AG258">
            <v>4</v>
          </cell>
          <cell r="AH258">
            <v>8</v>
          </cell>
          <cell r="AI258">
            <v>2026</v>
          </cell>
          <cell r="AJ258">
            <v>251</v>
          </cell>
        </row>
        <row r="259">
          <cell r="E259" t="str">
            <v>CI2026-0443</v>
          </cell>
          <cell r="F259">
            <v>46258</v>
          </cell>
          <cell r="G259">
            <v>46284.845752314817</v>
          </cell>
          <cell r="H259">
            <v>1</v>
          </cell>
          <cell r="I259">
            <v>1</v>
          </cell>
          <cell r="J259">
            <v>1</v>
          </cell>
          <cell r="K259">
            <v>2</v>
          </cell>
          <cell r="L259">
            <v>1</v>
          </cell>
          <cell r="M259">
            <v>1</v>
          </cell>
          <cell r="N259">
            <v>1</v>
          </cell>
          <cell r="O259">
            <v>1</v>
          </cell>
          <cell r="P259">
            <v>1</v>
          </cell>
          <cell r="Q259">
            <v>2</v>
          </cell>
          <cell r="R259" t="str">
            <v>ហឿត ចន្ត្រា (HOEURT CHANTRA)</v>
          </cell>
          <cell r="S259" t="str">
            <v>អតិថិជនទូទៅ (General Customer)</v>
          </cell>
          <cell r="T259">
            <v>4047</v>
          </cell>
          <cell r="V259">
            <v>0</v>
          </cell>
          <cell r="Y259">
            <v>58.25</v>
          </cell>
          <cell r="Z259">
            <v>0</v>
          </cell>
          <cell r="AA259">
            <v>0</v>
          </cell>
          <cell r="AB259">
            <v>0</v>
          </cell>
          <cell r="AC259">
            <v>58.25</v>
          </cell>
          <cell r="AD259">
            <v>1</v>
          </cell>
          <cell r="AF259">
            <v>1</v>
          </cell>
          <cell r="AG259">
            <v>4</v>
          </cell>
          <cell r="AH259">
            <v>8</v>
          </cell>
          <cell r="AI259">
            <v>2026</v>
          </cell>
          <cell r="AJ259">
            <v>252</v>
          </cell>
        </row>
        <row r="260">
          <cell r="E260" t="str">
            <v>CI2026-0444</v>
          </cell>
          <cell r="F260">
            <v>46258</v>
          </cell>
          <cell r="G260">
            <v>46284.85119212963</v>
          </cell>
          <cell r="H260">
            <v>1</v>
          </cell>
          <cell r="I260">
            <v>1</v>
          </cell>
          <cell r="J260">
            <v>1</v>
          </cell>
          <cell r="K260">
            <v>2</v>
          </cell>
          <cell r="L260">
            <v>1</v>
          </cell>
          <cell r="M260">
            <v>1</v>
          </cell>
          <cell r="N260">
            <v>1</v>
          </cell>
          <cell r="O260">
            <v>1</v>
          </cell>
          <cell r="P260">
            <v>1</v>
          </cell>
          <cell r="Q260">
            <v>2</v>
          </cell>
          <cell r="R260" t="str">
            <v>ហឿត ចន្ត្រា (HOEURT CHANTRA)</v>
          </cell>
          <cell r="S260" t="str">
            <v>អតិថិជនទូទៅ (General Customer)</v>
          </cell>
          <cell r="T260">
            <v>4047</v>
          </cell>
          <cell r="V260">
            <v>0</v>
          </cell>
          <cell r="Y260">
            <v>72.650000000000006</v>
          </cell>
          <cell r="Z260">
            <v>0</v>
          </cell>
          <cell r="AA260">
            <v>0</v>
          </cell>
          <cell r="AB260">
            <v>0</v>
          </cell>
          <cell r="AC260">
            <v>72.650000000000006</v>
          </cell>
          <cell r="AD260">
            <v>1</v>
          </cell>
          <cell r="AF260">
            <v>1</v>
          </cell>
          <cell r="AG260">
            <v>4</v>
          </cell>
          <cell r="AH260">
            <v>8</v>
          </cell>
          <cell r="AI260">
            <v>2026</v>
          </cell>
          <cell r="AJ260">
            <v>253</v>
          </cell>
        </row>
        <row r="261">
          <cell r="E261" t="str">
            <v>CI2026-0445</v>
          </cell>
          <cell r="F261">
            <v>46258</v>
          </cell>
          <cell r="G261">
            <v>46284.855914351851</v>
          </cell>
          <cell r="H261">
            <v>1</v>
          </cell>
          <cell r="I261">
            <v>1</v>
          </cell>
          <cell r="J261">
            <v>1</v>
          </cell>
          <cell r="K261">
            <v>2</v>
          </cell>
          <cell r="L261">
            <v>1</v>
          </cell>
          <cell r="M261">
            <v>1</v>
          </cell>
          <cell r="N261">
            <v>1</v>
          </cell>
          <cell r="O261">
            <v>1</v>
          </cell>
          <cell r="P261">
            <v>1</v>
          </cell>
          <cell r="Q261">
            <v>2</v>
          </cell>
          <cell r="R261" t="str">
            <v>ហឿត ចន្ត្រា (HOEURT CHANTRA)</v>
          </cell>
          <cell r="S261" t="str">
            <v>អតិថិជនទូទៅ (General Customer)</v>
          </cell>
          <cell r="T261">
            <v>4047</v>
          </cell>
          <cell r="V261">
            <v>0</v>
          </cell>
          <cell r="Y261">
            <v>18.77</v>
          </cell>
          <cell r="Z261">
            <v>0</v>
          </cell>
          <cell r="AA261">
            <v>0</v>
          </cell>
          <cell r="AB261">
            <v>0</v>
          </cell>
          <cell r="AC261">
            <v>18.77</v>
          </cell>
          <cell r="AD261">
            <v>1</v>
          </cell>
          <cell r="AF261">
            <v>1</v>
          </cell>
          <cell r="AG261">
            <v>4</v>
          </cell>
          <cell r="AH261">
            <v>8</v>
          </cell>
          <cell r="AI261">
            <v>2026</v>
          </cell>
          <cell r="AJ261">
            <v>254</v>
          </cell>
        </row>
        <row r="262">
          <cell r="E262" t="str">
            <v>CI2026-0446</v>
          </cell>
          <cell r="F262">
            <v>46259</v>
          </cell>
          <cell r="G262">
            <v>46285.202499999999</v>
          </cell>
          <cell r="H262">
            <v>1</v>
          </cell>
          <cell r="I262">
            <v>1</v>
          </cell>
          <cell r="J262">
            <v>1</v>
          </cell>
          <cell r="K262">
            <v>2</v>
          </cell>
          <cell r="L262">
            <v>1</v>
          </cell>
          <cell r="M262">
            <v>1</v>
          </cell>
          <cell r="N262">
            <v>1</v>
          </cell>
          <cell r="O262">
            <v>1</v>
          </cell>
          <cell r="P262">
            <v>1</v>
          </cell>
          <cell r="Q262">
            <v>2</v>
          </cell>
          <cell r="R262" t="str">
            <v>ហឿត ចន្ត្រា (HOEURT CHANTRA)</v>
          </cell>
          <cell r="S262" t="str">
            <v>អតិថិជនទូទៅ (General Customer)</v>
          </cell>
          <cell r="T262">
            <v>4048</v>
          </cell>
          <cell r="V262">
            <v>0</v>
          </cell>
          <cell r="Y262">
            <v>54.6</v>
          </cell>
          <cell r="Z262">
            <v>0</v>
          </cell>
          <cell r="AA262">
            <v>0</v>
          </cell>
          <cell r="AB262">
            <v>0</v>
          </cell>
          <cell r="AC262">
            <v>54.6</v>
          </cell>
          <cell r="AD262">
            <v>1</v>
          </cell>
          <cell r="AF262">
            <v>1</v>
          </cell>
          <cell r="AG262">
            <v>4</v>
          </cell>
          <cell r="AH262">
            <v>8</v>
          </cell>
          <cell r="AI262">
            <v>2026</v>
          </cell>
          <cell r="AJ262">
            <v>255</v>
          </cell>
        </row>
        <row r="263">
          <cell r="E263" t="str">
            <v>CI2026-0447</v>
          </cell>
          <cell r="F263">
            <v>46259</v>
          </cell>
          <cell r="G263">
            <v>46285.212997685187</v>
          </cell>
          <cell r="H263">
            <v>1</v>
          </cell>
          <cell r="I263">
            <v>1</v>
          </cell>
          <cell r="J263">
            <v>1</v>
          </cell>
          <cell r="K263">
            <v>2</v>
          </cell>
          <cell r="L263">
            <v>1</v>
          </cell>
          <cell r="M263">
            <v>1</v>
          </cell>
          <cell r="N263">
            <v>1</v>
          </cell>
          <cell r="O263">
            <v>1</v>
          </cell>
          <cell r="P263">
            <v>1</v>
          </cell>
          <cell r="Q263">
            <v>2</v>
          </cell>
          <cell r="R263" t="str">
            <v>ហឿត ចន្ត្រា (HOEURT CHANTRA)</v>
          </cell>
          <cell r="S263" t="str">
            <v>អតិថិជនទូទៅ (General Customer)</v>
          </cell>
          <cell r="T263">
            <v>4048</v>
          </cell>
          <cell r="V263">
            <v>0</v>
          </cell>
          <cell r="Y263">
            <v>33.03</v>
          </cell>
          <cell r="Z263">
            <v>0</v>
          </cell>
          <cell r="AA263">
            <v>0</v>
          </cell>
          <cell r="AB263">
            <v>0</v>
          </cell>
          <cell r="AC263">
            <v>33.03</v>
          </cell>
          <cell r="AD263">
            <v>1</v>
          </cell>
          <cell r="AF263">
            <v>1</v>
          </cell>
          <cell r="AG263">
            <v>4</v>
          </cell>
          <cell r="AH263">
            <v>8</v>
          </cell>
          <cell r="AI263">
            <v>2026</v>
          </cell>
          <cell r="AJ263">
            <v>256</v>
          </cell>
        </row>
        <row r="264">
          <cell r="E264" t="str">
            <v>CI2026-0448</v>
          </cell>
          <cell r="F264">
            <v>46259</v>
          </cell>
          <cell r="G264">
            <v>46285.218032407407</v>
          </cell>
          <cell r="H264">
            <v>1</v>
          </cell>
          <cell r="I264">
            <v>1</v>
          </cell>
          <cell r="J264">
            <v>1</v>
          </cell>
          <cell r="K264">
            <v>2</v>
          </cell>
          <cell r="L264">
            <v>1</v>
          </cell>
          <cell r="M264">
            <v>1</v>
          </cell>
          <cell r="N264">
            <v>1</v>
          </cell>
          <cell r="O264">
            <v>1</v>
          </cell>
          <cell r="P264">
            <v>1</v>
          </cell>
          <cell r="Q264">
            <v>2</v>
          </cell>
          <cell r="R264" t="str">
            <v>ហឿត ចន្ត្រា (HOEURT CHANTRA)</v>
          </cell>
          <cell r="S264" t="str">
            <v>អតិថិជនទូទៅ (General Customer)</v>
          </cell>
          <cell r="T264">
            <v>4048</v>
          </cell>
          <cell r="V264">
            <v>0</v>
          </cell>
          <cell r="Y264">
            <v>25.03</v>
          </cell>
          <cell r="Z264">
            <v>0</v>
          </cell>
          <cell r="AA264">
            <v>0</v>
          </cell>
          <cell r="AB264">
            <v>0</v>
          </cell>
          <cell r="AC264">
            <v>25.03</v>
          </cell>
          <cell r="AD264">
            <v>1</v>
          </cell>
          <cell r="AF264">
            <v>1</v>
          </cell>
          <cell r="AG264">
            <v>4</v>
          </cell>
          <cell r="AH264">
            <v>8</v>
          </cell>
          <cell r="AI264">
            <v>2026</v>
          </cell>
          <cell r="AJ264">
            <v>257</v>
          </cell>
        </row>
        <row r="265">
          <cell r="E265" t="str">
            <v>CI2026-0449</v>
          </cell>
          <cell r="F265">
            <v>46259</v>
          </cell>
          <cell r="G265">
            <v>46285.91983796296</v>
          </cell>
          <cell r="H265">
            <v>1</v>
          </cell>
          <cell r="I265">
            <v>1</v>
          </cell>
          <cell r="J265">
            <v>1</v>
          </cell>
          <cell r="K265">
            <v>2</v>
          </cell>
          <cell r="L265">
            <v>1</v>
          </cell>
          <cell r="M265">
            <v>1</v>
          </cell>
          <cell r="N265">
            <v>1</v>
          </cell>
          <cell r="O265">
            <v>1</v>
          </cell>
          <cell r="P265">
            <v>1</v>
          </cell>
          <cell r="Q265">
            <v>2</v>
          </cell>
          <cell r="R265" t="str">
            <v>ហឿត ចន្ត្រា (HOEURT CHANTRA)</v>
          </cell>
          <cell r="S265" t="str">
            <v>អតិថិជនទូទៅ (General Customer)</v>
          </cell>
          <cell r="T265">
            <v>4048</v>
          </cell>
          <cell r="V265">
            <v>0</v>
          </cell>
          <cell r="Y265">
            <v>32.65</v>
          </cell>
          <cell r="Z265">
            <v>0</v>
          </cell>
          <cell r="AA265">
            <v>0</v>
          </cell>
          <cell r="AB265">
            <v>0</v>
          </cell>
          <cell r="AC265">
            <v>32.65</v>
          </cell>
          <cell r="AD265">
            <v>1</v>
          </cell>
          <cell r="AF265">
            <v>1</v>
          </cell>
          <cell r="AG265">
            <v>4</v>
          </cell>
          <cell r="AH265">
            <v>8</v>
          </cell>
          <cell r="AI265">
            <v>2026</v>
          </cell>
          <cell r="AJ265">
            <v>258</v>
          </cell>
        </row>
        <row r="266">
          <cell r="E266" t="str">
            <v>CI2026-0450</v>
          </cell>
          <cell r="F266">
            <v>46260</v>
          </cell>
          <cell r="G266">
            <v>46285.974780092591</v>
          </cell>
          <cell r="H266">
            <v>1</v>
          </cell>
          <cell r="I266">
            <v>1</v>
          </cell>
          <cell r="J266">
            <v>1</v>
          </cell>
          <cell r="K266">
            <v>2</v>
          </cell>
          <cell r="L266">
            <v>1</v>
          </cell>
          <cell r="M266">
            <v>1</v>
          </cell>
          <cell r="N266">
            <v>1</v>
          </cell>
          <cell r="O266">
            <v>1</v>
          </cell>
          <cell r="P266">
            <v>1</v>
          </cell>
          <cell r="Q266">
            <v>2</v>
          </cell>
          <cell r="R266" t="str">
            <v>ហឿត ចន្ត្រា (HOEURT CHANTRA)</v>
          </cell>
          <cell r="S266" t="str">
            <v>អតិថិជនទូទៅ (General Customer)</v>
          </cell>
          <cell r="T266">
            <v>4047</v>
          </cell>
          <cell r="V266">
            <v>0</v>
          </cell>
          <cell r="Y266">
            <v>42.43</v>
          </cell>
          <cell r="Z266">
            <v>0</v>
          </cell>
          <cell r="AA266">
            <v>0</v>
          </cell>
          <cell r="AB266">
            <v>0</v>
          </cell>
          <cell r="AC266">
            <v>42.43</v>
          </cell>
          <cell r="AD266">
            <v>1</v>
          </cell>
          <cell r="AF266">
            <v>1</v>
          </cell>
          <cell r="AG266">
            <v>4</v>
          </cell>
          <cell r="AH266">
            <v>8</v>
          </cell>
          <cell r="AI266">
            <v>2026</v>
          </cell>
          <cell r="AJ266">
            <v>259</v>
          </cell>
        </row>
        <row r="267">
          <cell r="E267" t="str">
            <v>CI2026-0451</v>
          </cell>
          <cell r="F267">
            <v>46260</v>
          </cell>
          <cell r="G267">
            <v>46285.983900462961</v>
          </cell>
          <cell r="H267">
            <v>1</v>
          </cell>
          <cell r="I267">
            <v>1</v>
          </cell>
          <cell r="J267">
            <v>1</v>
          </cell>
          <cell r="K267">
            <v>2</v>
          </cell>
          <cell r="L267">
            <v>1</v>
          </cell>
          <cell r="M267">
            <v>1</v>
          </cell>
          <cell r="N267">
            <v>1</v>
          </cell>
          <cell r="O267">
            <v>1</v>
          </cell>
          <cell r="P267">
            <v>1</v>
          </cell>
          <cell r="Q267">
            <v>2</v>
          </cell>
          <cell r="R267" t="str">
            <v>ហឿត ចន្ត្រា (HOEURT CHANTRA)</v>
          </cell>
          <cell r="S267" t="str">
            <v>អតិថិជនទូទៅ (General Customer)</v>
          </cell>
          <cell r="T267">
            <v>4047</v>
          </cell>
          <cell r="V267">
            <v>0</v>
          </cell>
          <cell r="Y267">
            <v>20.58</v>
          </cell>
          <cell r="Z267">
            <v>0</v>
          </cell>
          <cell r="AA267">
            <v>0</v>
          </cell>
          <cell r="AB267">
            <v>0</v>
          </cell>
          <cell r="AC267">
            <v>20.58</v>
          </cell>
          <cell r="AD267">
            <v>1</v>
          </cell>
          <cell r="AF267">
            <v>1</v>
          </cell>
          <cell r="AG267">
            <v>4</v>
          </cell>
          <cell r="AH267">
            <v>8</v>
          </cell>
          <cell r="AI267">
            <v>2026</v>
          </cell>
          <cell r="AJ267">
            <v>260</v>
          </cell>
        </row>
        <row r="268">
          <cell r="E268" t="str">
            <v>CI2026-0452</v>
          </cell>
          <cell r="F268">
            <v>46260</v>
          </cell>
          <cell r="G268">
            <v>46285.989849537036</v>
          </cell>
          <cell r="H268">
            <v>1</v>
          </cell>
          <cell r="I268">
            <v>1</v>
          </cell>
          <cell r="J268">
            <v>1</v>
          </cell>
          <cell r="K268">
            <v>2</v>
          </cell>
          <cell r="L268">
            <v>1</v>
          </cell>
          <cell r="M268">
            <v>1</v>
          </cell>
          <cell r="N268">
            <v>1</v>
          </cell>
          <cell r="O268">
            <v>1</v>
          </cell>
          <cell r="P268">
            <v>1</v>
          </cell>
          <cell r="Q268">
            <v>2</v>
          </cell>
          <cell r="R268" t="str">
            <v>ហឿត ចន្ត្រា (HOEURT CHANTRA)</v>
          </cell>
          <cell r="S268" t="str">
            <v>អតិថិជនទូទៅ (General Customer)</v>
          </cell>
          <cell r="T268">
            <v>4047</v>
          </cell>
          <cell r="V268">
            <v>0</v>
          </cell>
          <cell r="Y268">
            <v>42.87</v>
          </cell>
          <cell r="Z268">
            <v>0</v>
          </cell>
          <cell r="AA268">
            <v>0</v>
          </cell>
          <cell r="AB268">
            <v>0</v>
          </cell>
          <cell r="AC268">
            <v>42.87</v>
          </cell>
          <cell r="AD268">
            <v>1</v>
          </cell>
          <cell r="AF268">
            <v>1</v>
          </cell>
          <cell r="AG268">
            <v>4</v>
          </cell>
          <cell r="AH268">
            <v>8</v>
          </cell>
          <cell r="AI268">
            <v>2026</v>
          </cell>
          <cell r="AJ268">
            <v>261</v>
          </cell>
        </row>
        <row r="269">
          <cell r="E269" t="str">
            <v>CI2026-0453</v>
          </cell>
          <cell r="F269">
            <v>46260</v>
          </cell>
          <cell r="G269">
            <v>46286.006168981483</v>
          </cell>
          <cell r="H269">
            <v>1</v>
          </cell>
          <cell r="I269">
            <v>1</v>
          </cell>
          <cell r="J269">
            <v>1</v>
          </cell>
          <cell r="K269">
            <v>2</v>
          </cell>
          <cell r="L269">
            <v>1</v>
          </cell>
          <cell r="M269">
            <v>1</v>
          </cell>
          <cell r="N269">
            <v>1</v>
          </cell>
          <cell r="O269">
            <v>1</v>
          </cell>
          <cell r="P269">
            <v>1</v>
          </cell>
          <cell r="Q269">
            <v>2</v>
          </cell>
          <cell r="R269" t="str">
            <v>ហឿត ចន្ត្រា (HOEURT CHANTRA)</v>
          </cell>
          <cell r="S269" t="str">
            <v>អតិថិជនទូទៅ (General Customer)</v>
          </cell>
          <cell r="T269">
            <v>4047</v>
          </cell>
          <cell r="V269">
            <v>0</v>
          </cell>
          <cell r="Y269">
            <v>39.049999999999997</v>
          </cell>
          <cell r="Z269">
            <v>0</v>
          </cell>
          <cell r="AA269">
            <v>0</v>
          </cell>
          <cell r="AB269">
            <v>0</v>
          </cell>
          <cell r="AC269">
            <v>39.049999999999997</v>
          </cell>
          <cell r="AD269">
            <v>1</v>
          </cell>
          <cell r="AF269">
            <v>1</v>
          </cell>
          <cell r="AG269">
            <v>4</v>
          </cell>
          <cell r="AH269">
            <v>8</v>
          </cell>
          <cell r="AI269">
            <v>2026</v>
          </cell>
          <cell r="AJ269">
            <v>262</v>
          </cell>
        </row>
        <row r="270">
          <cell r="E270" t="str">
            <v>CI2026-0454</v>
          </cell>
          <cell r="F270">
            <v>46261</v>
          </cell>
          <cell r="G270">
            <v>46286.646319444444</v>
          </cell>
          <cell r="H270">
            <v>1</v>
          </cell>
          <cell r="I270">
            <v>1</v>
          </cell>
          <cell r="J270">
            <v>1</v>
          </cell>
          <cell r="K270">
            <v>2</v>
          </cell>
          <cell r="L270">
            <v>1</v>
          </cell>
          <cell r="M270">
            <v>1</v>
          </cell>
          <cell r="N270">
            <v>1</v>
          </cell>
          <cell r="O270">
            <v>1</v>
          </cell>
          <cell r="P270">
            <v>1</v>
          </cell>
          <cell r="Q270">
            <v>2</v>
          </cell>
          <cell r="R270" t="str">
            <v>ហឿត ចន្ត្រា (HOEURT CHANTRA)</v>
          </cell>
          <cell r="S270" t="str">
            <v>អតិថិជនទូទៅ (General Customer)</v>
          </cell>
          <cell r="T270">
            <v>4046</v>
          </cell>
          <cell r="V270">
            <v>0</v>
          </cell>
          <cell r="Y270">
            <v>35.28</v>
          </cell>
          <cell r="Z270">
            <v>0</v>
          </cell>
          <cell r="AA270">
            <v>0</v>
          </cell>
          <cell r="AB270">
            <v>0</v>
          </cell>
          <cell r="AC270">
            <v>35.28</v>
          </cell>
          <cell r="AD270">
            <v>1</v>
          </cell>
          <cell r="AF270">
            <v>1</v>
          </cell>
          <cell r="AG270">
            <v>4</v>
          </cell>
          <cell r="AH270">
            <v>8</v>
          </cell>
          <cell r="AI270">
            <v>2026</v>
          </cell>
          <cell r="AJ270">
            <v>263</v>
          </cell>
        </row>
        <row r="271">
          <cell r="E271" t="str">
            <v>CI2026-0455</v>
          </cell>
          <cell r="F271">
            <v>46261</v>
          </cell>
          <cell r="G271">
            <v>46286.654618055552</v>
          </cell>
          <cell r="H271">
            <v>1</v>
          </cell>
          <cell r="I271">
            <v>1</v>
          </cell>
          <cell r="J271">
            <v>1</v>
          </cell>
          <cell r="K271">
            <v>2</v>
          </cell>
          <cell r="L271">
            <v>1</v>
          </cell>
          <cell r="M271">
            <v>1</v>
          </cell>
          <cell r="N271">
            <v>1</v>
          </cell>
          <cell r="O271">
            <v>1</v>
          </cell>
          <cell r="P271">
            <v>1</v>
          </cell>
          <cell r="Q271">
            <v>2</v>
          </cell>
          <cell r="R271" t="str">
            <v>ហឿត ចន្ត្រា (HOEURT CHANTRA)</v>
          </cell>
          <cell r="S271" t="str">
            <v>អតិថិជនទូទៅ (General Customer)</v>
          </cell>
          <cell r="T271">
            <v>4046</v>
          </cell>
          <cell r="V271">
            <v>0</v>
          </cell>
          <cell r="Y271">
            <v>51.94</v>
          </cell>
          <cell r="Z271">
            <v>0</v>
          </cell>
          <cell r="AA271">
            <v>0</v>
          </cell>
          <cell r="AB271">
            <v>0</v>
          </cell>
          <cell r="AC271">
            <v>51.94</v>
          </cell>
          <cell r="AD271">
            <v>1</v>
          </cell>
          <cell r="AF271">
            <v>1</v>
          </cell>
          <cell r="AG271">
            <v>4</v>
          </cell>
          <cell r="AH271">
            <v>8</v>
          </cell>
          <cell r="AI271">
            <v>2026</v>
          </cell>
          <cell r="AJ271">
            <v>264</v>
          </cell>
        </row>
        <row r="272">
          <cell r="E272" t="str">
            <v>CI2026-0456</v>
          </cell>
          <cell r="F272">
            <v>46261</v>
          </cell>
          <cell r="G272">
            <v>46286.693611111114</v>
          </cell>
          <cell r="H272">
            <v>1</v>
          </cell>
          <cell r="I272">
            <v>1</v>
          </cell>
          <cell r="J272">
            <v>1</v>
          </cell>
          <cell r="K272">
            <v>2</v>
          </cell>
          <cell r="L272">
            <v>1</v>
          </cell>
          <cell r="M272">
            <v>1</v>
          </cell>
          <cell r="N272">
            <v>1</v>
          </cell>
          <cell r="O272">
            <v>1</v>
          </cell>
          <cell r="P272">
            <v>1</v>
          </cell>
          <cell r="Q272">
            <v>2</v>
          </cell>
          <cell r="R272" t="str">
            <v>ហឿត ចន្ត្រា (HOEURT CHANTRA)</v>
          </cell>
          <cell r="S272" t="str">
            <v>អតិថិជនទូទៅ (General Customer)</v>
          </cell>
          <cell r="T272">
            <v>4046</v>
          </cell>
          <cell r="V272">
            <v>0</v>
          </cell>
          <cell r="Y272">
            <v>27.82</v>
          </cell>
          <cell r="Z272">
            <v>0</v>
          </cell>
          <cell r="AA272">
            <v>0</v>
          </cell>
          <cell r="AB272">
            <v>0</v>
          </cell>
          <cell r="AC272">
            <v>27.82</v>
          </cell>
          <cell r="AD272">
            <v>1</v>
          </cell>
          <cell r="AF272">
            <v>1</v>
          </cell>
          <cell r="AG272">
            <v>4</v>
          </cell>
          <cell r="AH272">
            <v>8</v>
          </cell>
          <cell r="AI272">
            <v>2026</v>
          </cell>
          <cell r="AJ272">
            <v>265</v>
          </cell>
        </row>
        <row r="273">
          <cell r="E273" t="str">
            <v>CI2026-0457</v>
          </cell>
          <cell r="F273">
            <v>46261</v>
          </cell>
          <cell r="G273">
            <v>46286.70784722222</v>
          </cell>
          <cell r="H273">
            <v>1</v>
          </cell>
          <cell r="I273">
            <v>1</v>
          </cell>
          <cell r="J273">
            <v>1</v>
          </cell>
          <cell r="K273">
            <v>2</v>
          </cell>
          <cell r="L273">
            <v>1</v>
          </cell>
          <cell r="M273">
            <v>1</v>
          </cell>
          <cell r="N273">
            <v>1</v>
          </cell>
          <cell r="O273">
            <v>1</v>
          </cell>
          <cell r="P273">
            <v>1</v>
          </cell>
          <cell r="Q273">
            <v>2</v>
          </cell>
          <cell r="R273" t="str">
            <v>ហឿត ចន្ត្រា (HOEURT CHANTRA)</v>
          </cell>
          <cell r="S273" t="str">
            <v>អតិថិជនទូទៅ (General Customer)</v>
          </cell>
          <cell r="T273">
            <v>4046</v>
          </cell>
          <cell r="V273">
            <v>0</v>
          </cell>
          <cell r="Y273">
            <v>39.21</v>
          </cell>
          <cell r="Z273">
            <v>0</v>
          </cell>
          <cell r="AA273">
            <v>0</v>
          </cell>
          <cell r="AB273">
            <v>0</v>
          </cell>
          <cell r="AC273">
            <v>39.21</v>
          </cell>
          <cell r="AD273">
            <v>1</v>
          </cell>
          <cell r="AF273">
            <v>1</v>
          </cell>
          <cell r="AG273">
            <v>4</v>
          </cell>
          <cell r="AH273">
            <v>8</v>
          </cell>
          <cell r="AI273">
            <v>2026</v>
          </cell>
          <cell r="AJ273">
            <v>266</v>
          </cell>
        </row>
        <row r="274">
          <cell r="E274" t="str">
            <v>CI2026-0458</v>
          </cell>
          <cell r="F274">
            <v>46262</v>
          </cell>
          <cell r="G274">
            <v>46286.71197916667</v>
          </cell>
          <cell r="H274">
            <v>1</v>
          </cell>
          <cell r="I274">
            <v>1</v>
          </cell>
          <cell r="J274">
            <v>1</v>
          </cell>
          <cell r="K274">
            <v>2</v>
          </cell>
          <cell r="L274">
            <v>1</v>
          </cell>
          <cell r="M274">
            <v>1</v>
          </cell>
          <cell r="N274">
            <v>1</v>
          </cell>
          <cell r="O274">
            <v>1</v>
          </cell>
          <cell r="P274">
            <v>1</v>
          </cell>
          <cell r="Q274">
            <v>2</v>
          </cell>
          <cell r="R274" t="str">
            <v>ហឿត ចន្ត្រា (HOEURT CHANTRA)</v>
          </cell>
          <cell r="S274" t="str">
            <v>អតិថិជនទូទៅ (General Customer)</v>
          </cell>
          <cell r="T274">
            <v>4046</v>
          </cell>
          <cell r="V274">
            <v>0</v>
          </cell>
          <cell r="Y274">
            <v>44.99</v>
          </cell>
          <cell r="Z274">
            <v>0</v>
          </cell>
          <cell r="AA274">
            <v>0</v>
          </cell>
          <cell r="AB274">
            <v>0</v>
          </cell>
          <cell r="AC274">
            <v>44.99</v>
          </cell>
          <cell r="AD274">
            <v>1</v>
          </cell>
          <cell r="AF274">
            <v>1</v>
          </cell>
          <cell r="AG274">
            <v>4</v>
          </cell>
          <cell r="AH274">
            <v>8</v>
          </cell>
          <cell r="AI274">
            <v>2026</v>
          </cell>
          <cell r="AJ274">
            <v>267</v>
          </cell>
        </row>
        <row r="275">
          <cell r="E275" t="str">
            <v>CI2026-0459</v>
          </cell>
          <cell r="F275">
            <v>46262</v>
          </cell>
          <cell r="G275">
            <v>46286.71601851852</v>
          </cell>
          <cell r="H275">
            <v>1</v>
          </cell>
          <cell r="I275">
            <v>1</v>
          </cell>
          <cell r="J275">
            <v>1</v>
          </cell>
          <cell r="K275">
            <v>2</v>
          </cell>
          <cell r="L275">
            <v>1</v>
          </cell>
          <cell r="M275">
            <v>1</v>
          </cell>
          <cell r="N275">
            <v>1</v>
          </cell>
          <cell r="O275">
            <v>1</v>
          </cell>
          <cell r="P275">
            <v>1</v>
          </cell>
          <cell r="Q275">
            <v>2</v>
          </cell>
          <cell r="R275" t="str">
            <v>ហឿត ចន្ត្រា (HOEURT CHANTRA)</v>
          </cell>
          <cell r="S275" t="str">
            <v>អតិថិជនទូទៅ (General Customer)</v>
          </cell>
          <cell r="T275">
            <v>4046</v>
          </cell>
          <cell r="V275">
            <v>0</v>
          </cell>
          <cell r="Y275">
            <v>34.590000000000003</v>
          </cell>
          <cell r="Z275">
            <v>0</v>
          </cell>
          <cell r="AA275">
            <v>0</v>
          </cell>
          <cell r="AB275">
            <v>0</v>
          </cell>
          <cell r="AC275">
            <v>34.590000000000003</v>
          </cell>
          <cell r="AD275">
            <v>1</v>
          </cell>
          <cell r="AF275">
            <v>1</v>
          </cell>
          <cell r="AG275">
            <v>4</v>
          </cell>
          <cell r="AH275">
            <v>8</v>
          </cell>
          <cell r="AI275">
            <v>2026</v>
          </cell>
          <cell r="AJ275">
            <v>268</v>
          </cell>
        </row>
        <row r="276">
          <cell r="E276" t="str">
            <v>CI2026-0460</v>
          </cell>
          <cell r="F276">
            <v>46262</v>
          </cell>
          <cell r="G276">
            <v>46286.720694444448</v>
          </cell>
          <cell r="H276">
            <v>1</v>
          </cell>
          <cell r="I276">
            <v>1</v>
          </cell>
          <cell r="J276">
            <v>1</v>
          </cell>
          <cell r="K276">
            <v>2</v>
          </cell>
          <cell r="L276">
            <v>1</v>
          </cell>
          <cell r="M276">
            <v>1</v>
          </cell>
          <cell r="N276">
            <v>1</v>
          </cell>
          <cell r="O276">
            <v>1</v>
          </cell>
          <cell r="P276">
            <v>1</v>
          </cell>
          <cell r="Q276">
            <v>2</v>
          </cell>
          <cell r="R276" t="str">
            <v>ហឿត ចន្ត្រា (HOEURT CHANTRA)</v>
          </cell>
          <cell r="S276" t="str">
            <v>អតិថិជនទូទៅ (General Customer)</v>
          </cell>
          <cell r="T276">
            <v>4046</v>
          </cell>
          <cell r="V276">
            <v>0</v>
          </cell>
          <cell r="Y276">
            <v>41.83</v>
          </cell>
          <cell r="Z276">
            <v>0</v>
          </cell>
          <cell r="AA276">
            <v>0</v>
          </cell>
          <cell r="AB276">
            <v>0</v>
          </cell>
          <cell r="AC276">
            <v>41.83</v>
          </cell>
          <cell r="AD276">
            <v>1</v>
          </cell>
          <cell r="AF276">
            <v>1</v>
          </cell>
          <cell r="AG276">
            <v>4</v>
          </cell>
          <cell r="AH276">
            <v>8</v>
          </cell>
          <cell r="AI276">
            <v>2026</v>
          </cell>
          <cell r="AJ276">
            <v>269</v>
          </cell>
        </row>
        <row r="277">
          <cell r="E277" t="str">
            <v>CI2026-0461</v>
          </cell>
          <cell r="F277">
            <v>46262</v>
          </cell>
          <cell r="G277">
            <v>46286.929097222222</v>
          </cell>
          <cell r="H277">
            <v>1</v>
          </cell>
          <cell r="I277">
            <v>1</v>
          </cell>
          <cell r="J277">
            <v>1</v>
          </cell>
          <cell r="K277">
            <v>2</v>
          </cell>
          <cell r="L277">
            <v>1</v>
          </cell>
          <cell r="M277">
            <v>1</v>
          </cell>
          <cell r="N277">
            <v>1</v>
          </cell>
          <cell r="O277">
            <v>1</v>
          </cell>
          <cell r="P277">
            <v>1</v>
          </cell>
          <cell r="Q277">
            <v>2</v>
          </cell>
          <cell r="R277" t="str">
            <v>ហឿត ចន្ត្រា (HOEURT CHANTRA)</v>
          </cell>
          <cell r="S277" t="str">
            <v>អតិថិជនទូទៅ (General Customer)</v>
          </cell>
          <cell r="T277">
            <v>4046</v>
          </cell>
          <cell r="V277">
            <v>0</v>
          </cell>
          <cell r="Y277">
            <v>25.02</v>
          </cell>
          <cell r="Z277">
            <v>0</v>
          </cell>
          <cell r="AA277">
            <v>0</v>
          </cell>
          <cell r="AB277">
            <v>0</v>
          </cell>
          <cell r="AC277">
            <v>25.02</v>
          </cell>
          <cell r="AD277">
            <v>1</v>
          </cell>
          <cell r="AF277">
            <v>1</v>
          </cell>
          <cell r="AG277">
            <v>4</v>
          </cell>
          <cell r="AH277">
            <v>8</v>
          </cell>
          <cell r="AI277">
            <v>2026</v>
          </cell>
          <cell r="AJ277">
            <v>270</v>
          </cell>
        </row>
        <row r="278">
          <cell r="E278" t="str">
            <v>CI2026-0462</v>
          </cell>
          <cell r="F278">
            <v>46263</v>
          </cell>
          <cell r="G278">
            <v>46286.939456018517</v>
          </cell>
          <cell r="H278">
            <v>1</v>
          </cell>
          <cell r="I278">
            <v>1</v>
          </cell>
          <cell r="J278">
            <v>1</v>
          </cell>
          <cell r="K278">
            <v>2</v>
          </cell>
          <cell r="L278">
            <v>1</v>
          </cell>
          <cell r="M278">
            <v>1</v>
          </cell>
          <cell r="N278">
            <v>1</v>
          </cell>
          <cell r="O278">
            <v>1</v>
          </cell>
          <cell r="P278">
            <v>1</v>
          </cell>
          <cell r="Q278">
            <v>2</v>
          </cell>
          <cell r="R278" t="str">
            <v>ហឿត ចន្ត្រា (HOEURT CHANTRA)</v>
          </cell>
          <cell r="S278" t="str">
            <v>អតិថិជនទូទៅ (General Customer)</v>
          </cell>
          <cell r="T278">
            <v>4046</v>
          </cell>
          <cell r="V278">
            <v>0</v>
          </cell>
          <cell r="Y278">
            <v>32.83</v>
          </cell>
          <cell r="Z278">
            <v>0</v>
          </cell>
          <cell r="AA278">
            <v>0</v>
          </cell>
          <cell r="AB278">
            <v>0</v>
          </cell>
          <cell r="AC278">
            <v>32.83</v>
          </cell>
          <cell r="AD278">
            <v>1</v>
          </cell>
          <cell r="AF278">
            <v>1</v>
          </cell>
          <cell r="AG278">
            <v>4</v>
          </cell>
          <cell r="AH278">
            <v>8</v>
          </cell>
          <cell r="AI278">
            <v>2026</v>
          </cell>
          <cell r="AJ278">
            <v>271</v>
          </cell>
        </row>
        <row r="279">
          <cell r="E279" t="str">
            <v>CI2026-0463</v>
          </cell>
          <cell r="F279">
            <v>46263</v>
          </cell>
          <cell r="G279">
            <v>46286.944502314815</v>
          </cell>
          <cell r="H279">
            <v>1</v>
          </cell>
          <cell r="I279">
            <v>1</v>
          </cell>
          <cell r="J279">
            <v>1</v>
          </cell>
          <cell r="K279">
            <v>2</v>
          </cell>
          <cell r="L279">
            <v>1</v>
          </cell>
          <cell r="M279">
            <v>1</v>
          </cell>
          <cell r="N279">
            <v>1</v>
          </cell>
          <cell r="O279">
            <v>1</v>
          </cell>
          <cell r="P279">
            <v>1</v>
          </cell>
          <cell r="Q279">
            <v>2</v>
          </cell>
          <cell r="R279" t="str">
            <v>ហឿត ចន្ត្រា (HOEURT CHANTRA)</v>
          </cell>
          <cell r="S279" t="str">
            <v>អតិថិជនទូទៅ (General Customer)</v>
          </cell>
          <cell r="T279">
            <v>4046</v>
          </cell>
          <cell r="V279">
            <v>0</v>
          </cell>
          <cell r="Y279">
            <v>55.51</v>
          </cell>
          <cell r="Z279">
            <v>0</v>
          </cell>
          <cell r="AA279">
            <v>0</v>
          </cell>
          <cell r="AB279">
            <v>0</v>
          </cell>
          <cell r="AC279">
            <v>55.51</v>
          </cell>
          <cell r="AD279">
            <v>1</v>
          </cell>
          <cell r="AF279">
            <v>1</v>
          </cell>
          <cell r="AG279">
            <v>4</v>
          </cell>
          <cell r="AH279">
            <v>8</v>
          </cell>
          <cell r="AI279">
            <v>2026</v>
          </cell>
          <cell r="AJ279">
            <v>272</v>
          </cell>
        </row>
        <row r="280">
          <cell r="E280" t="str">
            <v>CI2026-0464</v>
          </cell>
          <cell r="F280">
            <v>46263</v>
          </cell>
          <cell r="G280">
            <v>46286.947488425925</v>
          </cell>
          <cell r="H280">
            <v>1</v>
          </cell>
          <cell r="I280">
            <v>1</v>
          </cell>
          <cell r="J280">
            <v>1</v>
          </cell>
          <cell r="K280">
            <v>2</v>
          </cell>
          <cell r="L280">
            <v>1</v>
          </cell>
          <cell r="M280">
            <v>1</v>
          </cell>
          <cell r="N280">
            <v>1</v>
          </cell>
          <cell r="O280">
            <v>1</v>
          </cell>
          <cell r="P280">
            <v>1</v>
          </cell>
          <cell r="Q280">
            <v>2</v>
          </cell>
          <cell r="R280" t="str">
            <v>ហឿត ចន្ត្រា (HOEURT CHANTRA)</v>
          </cell>
          <cell r="S280" t="str">
            <v>អតិថិជនទូទៅ (General Customer)</v>
          </cell>
          <cell r="T280">
            <v>4046</v>
          </cell>
          <cell r="V280">
            <v>0</v>
          </cell>
          <cell r="Y280">
            <v>26.39</v>
          </cell>
          <cell r="Z280">
            <v>0</v>
          </cell>
          <cell r="AA280">
            <v>0</v>
          </cell>
          <cell r="AB280">
            <v>0</v>
          </cell>
          <cell r="AC280">
            <v>26.39</v>
          </cell>
          <cell r="AD280">
            <v>1</v>
          </cell>
          <cell r="AF280">
            <v>1</v>
          </cell>
          <cell r="AG280">
            <v>4</v>
          </cell>
          <cell r="AH280">
            <v>8</v>
          </cell>
          <cell r="AI280">
            <v>2026</v>
          </cell>
          <cell r="AJ280">
            <v>273</v>
          </cell>
        </row>
        <row r="281">
          <cell r="E281" t="str">
            <v>CI2026-0465</v>
          </cell>
          <cell r="F281">
            <v>46263</v>
          </cell>
          <cell r="G281">
            <v>46286.961770833332</v>
          </cell>
          <cell r="H281">
            <v>1</v>
          </cell>
          <cell r="I281">
            <v>1</v>
          </cell>
          <cell r="J281">
            <v>1</v>
          </cell>
          <cell r="K281">
            <v>2</v>
          </cell>
          <cell r="L281">
            <v>1</v>
          </cell>
          <cell r="M281">
            <v>1</v>
          </cell>
          <cell r="N281">
            <v>1</v>
          </cell>
          <cell r="O281">
            <v>1</v>
          </cell>
          <cell r="P281">
            <v>1</v>
          </cell>
          <cell r="Q281">
            <v>2</v>
          </cell>
          <cell r="R281" t="str">
            <v>ហឿត ចន្ត្រា (HOEURT CHANTRA)</v>
          </cell>
          <cell r="S281" t="str">
            <v>អតិថិជនទូទៅ (General Customer)</v>
          </cell>
          <cell r="T281">
            <v>4046</v>
          </cell>
          <cell r="V281">
            <v>0</v>
          </cell>
          <cell r="Y281">
            <v>42.93</v>
          </cell>
          <cell r="Z281">
            <v>0</v>
          </cell>
          <cell r="AA281">
            <v>0</v>
          </cell>
          <cell r="AB281">
            <v>0</v>
          </cell>
          <cell r="AC281">
            <v>42.93</v>
          </cell>
          <cell r="AD281">
            <v>1</v>
          </cell>
          <cell r="AF281">
            <v>1</v>
          </cell>
          <cell r="AG281">
            <v>4</v>
          </cell>
          <cell r="AH281">
            <v>8</v>
          </cell>
          <cell r="AI281">
            <v>2026</v>
          </cell>
          <cell r="AJ281">
            <v>274</v>
          </cell>
        </row>
        <row r="282">
          <cell r="E282" t="str">
            <v>CI2026-0466</v>
          </cell>
          <cell r="F282">
            <v>46264</v>
          </cell>
          <cell r="G282">
            <v>46287.213958333334</v>
          </cell>
          <cell r="H282">
            <v>1</v>
          </cell>
          <cell r="I282">
            <v>1</v>
          </cell>
          <cell r="J282">
            <v>1</v>
          </cell>
          <cell r="K282">
            <v>2</v>
          </cell>
          <cell r="L282">
            <v>1</v>
          </cell>
          <cell r="M282">
            <v>1</v>
          </cell>
          <cell r="N282">
            <v>1</v>
          </cell>
          <cell r="O282">
            <v>1</v>
          </cell>
          <cell r="P282">
            <v>1</v>
          </cell>
          <cell r="Q282">
            <v>2</v>
          </cell>
          <cell r="R282" t="str">
            <v>ហឿត ចន្ត្រា (HOEURT CHANTRA)</v>
          </cell>
          <cell r="S282" t="str">
            <v>អតិថិជនទូទៅ (General Customer)</v>
          </cell>
          <cell r="T282">
            <v>4046</v>
          </cell>
          <cell r="V282">
            <v>0</v>
          </cell>
          <cell r="Y282">
            <v>8.9600000000000009</v>
          </cell>
          <cell r="Z282">
            <v>0</v>
          </cell>
          <cell r="AA282">
            <v>0</v>
          </cell>
          <cell r="AB282">
            <v>0</v>
          </cell>
          <cell r="AC282">
            <v>8.9600000000000009</v>
          </cell>
          <cell r="AD282">
            <v>1</v>
          </cell>
          <cell r="AF282">
            <v>1</v>
          </cell>
          <cell r="AG282">
            <v>4</v>
          </cell>
          <cell r="AH282">
            <v>8</v>
          </cell>
          <cell r="AI282">
            <v>2026</v>
          </cell>
          <cell r="AJ282">
            <v>275</v>
          </cell>
        </row>
        <row r="283">
          <cell r="E283" t="str">
            <v>CI2026-0467</v>
          </cell>
          <cell r="F283">
            <v>46264</v>
          </cell>
          <cell r="G283">
            <v>46287.2190625</v>
          </cell>
          <cell r="H283">
            <v>1</v>
          </cell>
          <cell r="I283">
            <v>1</v>
          </cell>
          <cell r="J283">
            <v>1</v>
          </cell>
          <cell r="K283">
            <v>2</v>
          </cell>
          <cell r="L283">
            <v>1</v>
          </cell>
          <cell r="M283">
            <v>1</v>
          </cell>
          <cell r="N283">
            <v>1</v>
          </cell>
          <cell r="O283">
            <v>1</v>
          </cell>
          <cell r="P283">
            <v>1</v>
          </cell>
          <cell r="Q283">
            <v>2</v>
          </cell>
          <cell r="R283" t="str">
            <v>ហឿត ចន្ត្រា (HOEURT CHANTRA)</v>
          </cell>
          <cell r="S283" t="str">
            <v>អតិថិជនទូទៅ (General Customer)</v>
          </cell>
          <cell r="T283">
            <v>4046</v>
          </cell>
          <cell r="V283">
            <v>0</v>
          </cell>
          <cell r="Y283">
            <v>56.55</v>
          </cell>
          <cell r="Z283">
            <v>0</v>
          </cell>
          <cell r="AA283">
            <v>0</v>
          </cell>
          <cell r="AB283">
            <v>0</v>
          </cell>
          <cell r="AC283">
            <v>56.55</v>
          </cell>
          <cell r="AD283">
            <v>1</v>
          </cell>
          <cell r="AF283">
            <v>1</v>
          </cell>
          <cell r="AG283">
            <v>4</v>
          </cell>
          <cell r="AH283">
            <v>8</v>
          </cell>
          <cell r="AI283">
            <v>2026</v>
          </cell>
          <cell r="AJ283">
            <v>276</v>
          </cell>
        </row>
        <row r="284">
          <cell r="E284" t="str">
            <v>CI2026-0468</v>
          </cell>
          <cell r="F284">
            <v>46264</v>
          </cell>
          <cell r="G284">
            <v>46287.225578703707</v>
          </cell>
          <cell r="H284">
            <v>1</v>
          </cell>
          <cell r="I284">
            <v>1</v>
          </cell>
          <cell r="J284">
            <v>1</v>
          </cell>
          <cell r="K284">
            <v>2</v>
          </cell>
          <cell r="L284">
            <v>1</v>
          </cell>
          <cell r="M284">
            <v>1</v>
          </cell>
          <cell r="N284">
            <v>1</v>
          </cell>
          <cell r="O284">
            <v>1</v>
          </cell>
          <cell r="P284">
            <v>1</v>
          </cell>
          <cell r="Q284">
            <v>2</v>
          </cell>
          <cell r="R284" t="str">
            <v>ហឿត ចន្ត្រា (HOEURT CHANTRA)</v>
          </cell>
          <cell r="S284" t="str">
            <v>អតិថិជនទូទៅ (General Customer)</v>
          </cell>
          <cell r="T284">
            <v>4046</v>
          </cell>
          <cell r="V284">
            <v>0</v>
          </cell>
          <cell r="Y284">
            <v>43.75</v>
          </cell>
          <cell r="Z284">
            <v>0</v>
          </cell>
          <cell r="AA284">
            <v>0</v>
          </cell>
          <cell r="AB284">
            <v>0</v>
          </cell>
          <cell r="AC284">
            <v>43.75</v>
          </cell>
          <cell r="AD284">
            <v>1</v>
          </cell>
          <cell r="AF284">
            <v>1</v>
          </cell>
          <cell r="AG284">
            <v>4</v>
          </cell>
          <cell r="AH284">
            <v>8</v>
          </cell>
          <cell r="AI284">
            <v>2026</v>
          </cell>
          <cell r="AJ284">
            <v>277</v>
          </cell>
        </row>
        <row r="285">
          <cell r="E285" t="str">
            <v>CI2026-0469</v>
          </cell>
          <cell r="F285">
            <v>46264</v>
          </cell>
          <cell r="G285">
            <v>46287.231469907405</v>
          </cell>
          <cell r="H285">
            <v>1</v>
          </cell>
          <cell r="I285">
            <v>1</v>
          </cell>
          <cell r="J285">
            <v>1</v>
          </cell>
          <cell r="K285">
            <v>2</v>
          </cell>
          <cell r="L285">
            <v>1</v>
          </cell>
          <cell r="M285">
            <v>1</v>
          </cell>
          <cell r="N285">
            <v>1</v>
          </cell>
          <cell r="O285">
            <v>1</v>
          </cell>
          <cell r="P285">
            <v>1</v>
          </cell>
          <cell r="Q285">
            <v>2</v>
          </cell>
          <cell r="R285" t="str">
            <v>ហឿត ចន្ត្រា (HOEURT CHANTRA)</v>
          </cell>
          <cell r="S285" t="str">
            <v>អតិថិជនទូទៅ (General Customer)</v>
          </cell>
          <cell r="T285">
            <v>4046</v>
          </cell>
          <cell r="V285">
            <v>0</v>
          </cell>
          <cell r="Y285">
            <v>21.23</v>
          </cell>
          <cell r="Z285">
            <v>0</v>
          </cell>
          <cell r="AA285">
            <v>0</v>
          </cell>
          <cell r="AB285">
            <v>0</v>
          </cell>
          <cell r="AC285">
            <v>21.23</v>
          </cell>
          <cell r="AD285">
            <v>1</v>
          </cell>
          <cell r="AF285">
            <v>1</v>
          </cell>
          <cell r="AG285">
            <v>4</v>
          </cell>
          <cell r="AH285">
            <v>8</v>
          </cell>
          <cell r="AI285">
            <v>2026</v>
          </cell>
          <cell r="AJ285">
            <v>278</v>
          </cell>
        </row>
        <row r="286">
          <cell r="E286" t="str">
            <v>CI2026-0470</v>
          </cell>
          <cell r="F286">
            <v>46265</v>
          </cell>
          <cell r="G286">
            <v>46287.241111111114</v>
          </cell>
          <cell r="H286">
            <v>1</v>
          </cell>
          <cell r="I286">
            <v>1</v>
          </cell>
          <cell r="J286">
            <v>1</v>
          </cell>
          <cell r="K286">
            <v>2</v>
          </cell>
          <cell r="L286">
            <v>1</v>
          </cell>
          <cell r="M286">
            <v>1</v>
          </cell>
          <cell r="N286">
            <v>1</v>
          </cell>
          <cell r="O286">
            <v>1</v>
          </cell>
          <cell r="P286">
            <v>1</v>
          </cell>
          <cell r="Q286">
            <v>2</v>
          </cell>
          <cell r="R286" t="str">
            <v>ហឿត ចន្ត្រា (HOEURT CHANTRA)</v>
          </cell>
          <cell r="S286" t="str">
            <v>អតិថិជនទូទៅ (General Customer)</v>
          </cell>
          <cell r="T286">
            <v>4047</v>
          </cell>
          <cell r="V286">
            <v>0</v>
          </cell>
          <cell r="Y286">
            <v>62.24</v>
          </cell>
          <cell r="Z286">
            <v>0</v>
          </cell>
          <cell r="AA286">
            <v>0</v>
          </cell>
          <cell r="AB286">
            <v>0</v>
          </cell>
          <cell r="AC286">
            <v>62.24</v>
          </cell>
          <cell r="AD286">
            <v>1</v>
          </cell>
          <cell r="AF286">
            <v>1</v>
          </cell>
          <cell r="AG286">
            <v>4</v>
          </cell>
          <cell r="AH286">
            <v>8</v>
          </cell>
          <cell r="AI286">
            <v>2026</v>
          </cell>
          <cell r="AJ286">
            <v>279</v>
          </cell>
        </row>
        <row r="287">
          <cell r="E287" t="str">
            <v>CI2026-0471</v>
          </cell>
          <cell r="F287">
            <v>46265</v>
          </cell>
          <cell r="G287">
            <v>46287.258229166669</v>
          </cell>
          <cell r="H287">
            <v>1</v>
          </cell>
          <cell r="I287">
            <v>1</v>
          </cell>
          <cell r="J287">
            <v>1</v>
          </cell>
          <cell r="K287">
            <v>2</v>
          </cell>
          <cell r="L287">
            <v>1</v>
          </cell>
          <cell r="M287">
            <v>1</v>
          </cell>
          <cell r="N287">
            <v>1</v>
          </cell>
          <cell r="O287">
            <v>1</v>
          </cell>
          <cell r="P287">
            <v>1</v>
          </cell>
          <cell r="Q287">
            <v>2</v>
          </cell>
          <cell r="R287" t="str">
            <v>ហឿត ចន្ត្រា (HOEURT CHANTRA)</v>
          </cell>
          <cell r="S287" t="str">
            <v>អតិថិជនទូទៅ (General Customer)</v>
          </cell>
          <cell r="T287">
            <v>4047</v>
          </cell>
          <cell r="V287">
            <v>0</v>
          </cell>
          <cell r="Y287">
            <v>57.62</v>
          </cell>
          <cell r="Z287">
            <v>0</v>
          </cell>
          <cell r="AA287">
            <v>0</v>
          </cell>
          <cell r="AB287">
            <v>0</v>
          </cell>
          <cell r="AC287">
            <v>57.62</v>
          </cell>
          <cell r="AD287">
            <v>1</v>
          </cell>
          <cell r="AF287">
            <v>1</v>
          </cell>
          <cell r="AG287">
            <v>4</v>
          </cell>
          <cell r="AH287">
            <v>8</v>
          </cell>
          <cell r="AI287">
            <v>2026</v>
          </cell>
          <cell r="AJ287">
            <v>280</v>
          </cell>
        </row>
        <row r="288">
          <cell r="E288" t="str">
            <v>CI2026-0472</v>
          </cell>
          <cell r="F288">
            <v>46265</v>
          </cell>
          <cell r="G288">
            <v>46287.262731481482</v>
          </cell>
          <cell r="H288">
            <v>1</v>
          </cell>
          <cell r="I288">
            <v>1</v>
          </cell>
          <cell r="J288">
            <v>1</v>
          </cell>
          <cell r="K288">
            <v>2</v>
          </cell>
          <cell r="L288">
            <v>1</v>
          </cell>
          <cell r="M288">
            <v>1</v>
          </cell>
          <cell r="N288">
            <v>1</v>
          </cell>
          <cell r="O288">
            <v>1</v>
          </cell>
          <cell r="P288">
            <v>1</v>
          </cell>
          <cell r="Q288">
            <v>2</v>
          </cell>
          <cell r="R288" t="str">
            <v>ហឿត ចន្ត្រា (HOEURT CHANTRA)</v>
          </cell>
          <cell r="S288" t="str">
            <v>អតិថិជនទូទៅ (General Customer)</v>
          </cell>
          <cell r="T288">
            <v>4047</v>
          </cell>
          <cell r="V288">
            <v>0</v>
          </cell>
          <cell r="Y288">
            <v>64.59</v>
          </cell>
          <cell r="Z288">
            <v>0</v>
          </cell>
          <cell r="AA288">
            <v>0</v>
          </cell>
          <cell r="AB288">
            <v>0</v>
          </cell>
          <cell r="AC288">
            <v>64.59</v>
          </cell>
          <cell r="AD288">
            <v>1</v>
          </cell>
          <cell r="AF288">
            <v>1</v>
          </cell>
          <cell r="AG288">
            <v>4</v>
          </cell>
          <cell r="AH288">
            <v>8</v>
          </cell>
          <cell r="AI288">
            <v>2026</v>
          </cell>
          <cell r="AJ288">
            <v>281</v>
          </cell>
        </row>
        <row r="289">
          <cell r="G289"/>
          <cell r="AJ289" t="str">
            <v/>
          </cell>
        </row>
        <row r="290">
          <cell r="G290"/>
          <cell r="AJ290" t="str">
            <v/>
          </cell>
        </row>
        <row r="291">
          <cell r="G291"/>
          <cell r="AJ291" t="str">
            <v/>
          </cell>
        </row>
        <row r="292">
          <cell r="G292"/>
          <cell r="AJ292" t="str">
            <v/>
          </cell>
        </row>
        <row r="293">
          <cell r="G293"/>
          <cell r="AJ293" t="str">
            <v/>
          </cell>
        </row>
        <row r="294">
          <cell r="G294"/>
          <cell r="AJ294" t="str">
            <v/>
          </cell>
        </row>
        <row r="295">
          <cell r="G295"/>
          <cell r="AJ295" t="str">
            <v/>
          </cell>
        </row>
        <row r="296">
          <cell r="G296"/>
          <cell r="AJ296" t="str">
            <v/>
          </cell>
        </row>
        <row r="297">
          <cell r="G297"/>
          <cell r="AJ297" t="str">
            <v/>
          </cell>
        </row>
        <row r="298">
          <cell r="G298"/>
          <cell r="AJ298" t="str">
            <v/>
          </cell>
        </row>
        <row r="299">
          <cell r="G299"/>
          <cell r="AJ299" t="str">
            <v/>
          </cell>
        </row>
        <row r="300">
          <cell r="G300"/>
          <cell r="AJ300" t="str">
            <v/>
          </cell>
        </row>
        <row r="301">
          <cell r="G301"/>
          <cell r="AJ301" t="str">
            <v/>
          </cell>
        </row>
        <row r="302">
          <cell r="G302"/>
          <cell r="AJ302" t="str">
            <v/>
          </cell>
        </row>
        <row r="303">
          <cell r="G303"/>
          <cell r="AJ303" t="str">
            <v/>
          </cell>
        </row>
        <row r="304">
          <cell r="G304"/>
          <cell r="AJ304" t="str">
            <v/>
          </cell>
        </row>
        <row r="305">
          <cell r="G305"/>
          <cell r="AJ305" t="str">
            <v/>
          </cell>
        </row>
        <row r="306">
          <cell r="G306"/>
          <cell r="AJ306" t="str">
            <v/>
          </cell>
        </row>
        <row r="307">
          <cell r="G307"/>
          <cell r="AJ307" t="str">
            <v/>
          </cell>
        </row>
        <row r="308">
          <cell r="G308"/>
          <cell r="AJ308" t="str">
            <v/>
          </cell>
        </row>
        <row r="309">
          <cell r="G309"/>
          <cell r="AJ309" t="str">
            <v/>
          </cell>
        </row>
        <row r="310">
          <cell r="G310"/>
          <cell r="AJ310" t="str">
            <v/>
          </cell>
        </row>
        <row r="311">
          <cell r="G311"/>
          <cell r="AJ311" t="str">
            <v/>
          </cell>
        </row>
        <row r="312">
          <cell r="G312"/>
          <cell r="AJ312" t="str">
            <v/>
          </cell>
        </row>
        <row r="313">
          <cell r="G313"/>
          <cell r="AJ313" t="str">
            <v/>
          </cell>
        </row>
        <row r="314">
          <cell r="G314"/>
          <cell r="AJ314" t="str">
            <v/>
          </cell>
        </row>
        <row r="315">
          <cell r="G315"/>
          <cell r="AJ315" t="str">
            <v/>
          </cell>
        </row>
        <row r="316">
          <cell r="G316"/>
          <cell r="AJ316" t="str">
            <v/>
          </cell>
        </row>
        <row r="317">
          <cell r="G317"/>
          <cell r="AJ317" t="str">
            <v/>
          </cell>
        </row>
        <row r="318">
          <cell r="G318"/>
          <cell r="H318"/>
          <cell r="I318"/>
          <cell r="J318"/>
          <cell r="K318"/>
          <cell r="L318"/>
          <cell r="M318"/>
          <cell r="AJ318" t="str">
            <v/>
          </cell>
        </row>
        <row r="319">
          <cell r="G319"/>
          <cell r="AJ319" t="str">
            <v/>
          </cell>
        </row>
        <row r="320">
          <cell r="G320"/>
          <cell r="AJ320" t="str">
            <v/>
          </cell>
        </row>
        <row r="321">
          <cell r="G321"/>
          <cell r="AJ321" t="str">
            <v/>
          </cell>
        </row>
        <row r="322">
          <cell r="G322"/>
          <cell r="AJ322" t="str">
            <v/>
          </cell>
        </row>
        <row r="323">
          <cell r="G323"/>
          <cell r="AJ323" t="str">
            <v/>
          </cell>
        </row>
        <row r="324">
          <cell r="G324"/>
          <cell r="AJ324" t="str">
            <v/>
          </cell>
        </row>
        <row r="325">
          <cell r="G325"/>
          <cell r="AJ325" t="str">
            <v/>
          </cell>
        </row>
        <row r="326">
          <cell r="G326"/>
          <cell r="AJ326" t="str">
            <v/>
          </cell>
        </row>
        <row r="327">
          <cell r="G327"/>
          <cell r="AJ327" t="str">
            <v/>
          </cell>
        </row>
        <row r="328">
          <cell r="G328"/>
          <cell r="AJ328" t="str">
            <v/>
          </cell>
        </row>
        <row r="329">
          <cell r="G329"/>
          <cell r="AJ329" t="str">
            <v/>
          </cell>
        </row>
        <row r="330">
          <cell r="G330"/>
          <cell r="AJ330" t="str">
            <v/>
          </cell>
        </row>
        <row r="331">
          <cell r="G331"/>
          <cell r="AJ331" t="str">
            <v/>
          </cell>
        </row>
        <row r="332">
          <cell r="G332"/>
          <cell r="AJ332" t="str">
            <v/>
          </cell>
        </row>
        <row r="333">
          <cell r="G333"/>
          <cell r="AJ333" t="str">
            <v/>
          </cell>
        </row>
        <row r="334">
          <cell r="G334"/>
          <cell r="AJ334" t="str">
            <v/>
          </cell>
        </row>
        <row r="335">
          <cell r="G335"/>
          <cell r="AJ335" t="str">
            <v/>
          </cell>
        </row>
        <row r="336">
          <cell r="G336"/>
          <cell r="AJ336" t="str">
            <v/>
          </cell>
        </row>
        <row r="337">
          <cell r="G337"/>
          <cell r="AJ337" t="str">
            <v/>
          </cell>
        </row>
        <row r="338">
          <cell r="G338"/>
          <cell r="AJ338" t="str">
            <v/>
          </cell>
        </row>
        <row r="339">
          <cell r="G339"/>
          <cell r="AJ339" t="str">
            <v/>
          </cell>
        </row>
        <row r="340">
          <cell r="G340"/>
          <cell r="AJ340" t="str">
            <v/>
          </cell>
        </row>
        <row r="341">
          <cell r="G341"/>
          <cell r="AJ341" t="str">
            <v/>
          </cell>
        </row>
        <row r="342">
          <cell r="G342"/>
          <cell r="AJ342" t="str">
            <v/>
          </cell>
        </row>
        <row r="343">
          <cell r="G343"/>
          <cell r="AJ343" t="str">
            <v/>
          </cell>
        </row>
        <row r="344">
          <cell r="G344"/>
          <cell r="AJ344" t="str">
            <v/>
          </cell>
        </row>
        <row r="345">
          <cell r="G345"/>
          <cell r="AJ345" t="str">
            <v/>
          </cell>
        </row>
        <row r="346">
          <cell r="G346"/>
          <cell r="AJ346" t="str">
            <v/>
          </cell>
        </row>
        <row r="347">
          <cell r="G347"/>
          <cell r="AJ347" t="str">
            <v/>
          </cell>
        </row>
        <row r="348">
          <cell r="G348"/>
          <cell r="AJ348" t="str">
            <v/>
          </cell>
        </row>
        <row r="349">
          <cell r="G349"/>
          <cell r="AJ349" t="str">
            <v/>
          </cell>
        </row>
        <row r="350">
          <cell r="G350"/>
          <cell r="AJ350" t="str">
            <v/>
          </cell>
        </row>
        <row r="351">
          <cell r="G351"/>
          <cell r="AJ351" t="str">
            <v/>
          </cell>
        </row>
        <row r="352">
          <cell r="G352"/>
          <cell r="AJ352" t="str">
            <v/>
          </cell>
        </row>
        <row r="353">
          <cell r="G353"/>
          <cell r="AJ353" t="str">
            <v/>
          </cell>
        </row>
        <row r="354">
          <cell r="G354"/>
          <cell r="AJ354" t="str">
            <v/>
          </cell>
        </row>
        <row r="355">
          <cell r="G355"/>
          <cell r="AJ355" t="str">
            <v/>
          </cell>
        </row>
        <row r="356">
          <cell r="G356"/>
          <cell r="AJ356" t="str">
            <v/>
          </cell>
        </row>
        <row r="357">
          <cell r="G357"/>
          <cell r="AJ357" t="str">
            <v/>
          </cell>
        </row>
        <row r="358">
          <cell r="G358"/>
          <cell r="AJ358" t="str">
            <v/>
          </cell>
        </row>
        <row r="359">
          <cell r="G359"/>
          <cell r="AJ359" t="str">
            <v/>
          </cell>
        </row>
        <row r="360">
          <cell r="G360"/>
          <cell r="AJ360" t="str">
            <v/>
          </cell>
        </row>
        <row r="361">
          <cell r="G361"/>
          <cell r="AJ361" t="str">
            <v/>
          </cell>
        </row>
        <row r="362">
          <cell r="G362"/>
          <cell r="AJ362" t="str">
            <v/>
          </cell>
        </row>
        <row r="363">
          <cell r="G363"/>
          <cell r="AJ363" t="str">
            <v/>
          </cell>
        </row>
        <row r="364">
          <cell r="G364"/>
          <cell r="AJ364" t="str">
            <v/>
          </cell>
        </row>
        <row r="365">
          <cell r="G365"/>
          <cell r="AJ365" t="str">
            <v/>
          </cell>
        </row>
        <row r="366">
          <cell r="G366"/>
          <cell r="AJ366" t="str">
            <v/>
          </cell>
        </row>
        <row r="367">
          <cell r="G367"/>
          <cell r="AJ367" t="str">
            <v/>
          </cell>
        </row>
        <row r="368">
          <cell r="G368"/>
          <cell r="AJ368" t="str">
            <v/>
          </cell>
        </row>
        <row r="369">
          <cell r="G369"/>
          <cell r="AJ369" t="str">
            <v/>
          </cell>
        </row>
        <row r="370">
          <cell r="G370"/>
          <cell r="AJ370" t="str">
            <v/>
          </cell>
        </row>
        <row r="371">
          <cell r="G371"/>
          <cell r="AJ371" t="str">
            <v/>
          </cell>
        </row>
        <row r="372">
          <cell r="G372"/>
          <cell r="AJ372" t="str">
            <v/>
          </cell>
        </row>
        <row r="373">
          <cell r="G373"/>
          <cell r="AJ373" t="str">
            <v/>
          </cell>
        </row>
        <row r="374">
          <cell r="G374"/>
          <cell r="AJ374" t="str">
            <v/>
          </cell>
        </row>
        <row r="375">
          <cell r="G375"/>
          <cell r="AJ375" t="str">
            <v/>
          </cell>
        </row>
        <row r="376">
          <cell r="G376"/>
          <cell r="AJ376" t="str">
            <v/>
          </cell>
        </row>
        <row r="377">
          <cell r="G377"/>
          <cell r="AJ377" t="str">
            <v/>
          </cell>
        </row>
        <row r="378">
          <cell r="G378"/>
          <cell r="AJ378" t="str">
            <v/>
          </cell>
        </row>
        <row r="379">
          <cell r="G379"/>
          <cell r="AJ379" t="str">
            <v/>
          </cell>
        </row>
        <row r="380">
          <cell r="G380"/>
          <cell r="AJ380" t="str">
            <v/>
          </cell>
        </row>
        <row r="381">
          <cell r="G381"/>
          <cell r="AJ381" t="str">
            <v/>
          </cell>
        </row>
        <row r="382">
          <cell r="G382"/>
          <cell r="AJ382" t="str">
            <v/>
          </cell>
        </row>
        <row r="383">
          <cell r="G383"/>
          <cell r="AJ383" t="str">
            <v/>
          </cell>
        </row>
        <row r="384">
          <cell r="G384"/>
          <cell r="AJ384" t="str">
            <v/>
          </cell>
        </row>
        <row r="385">
          <cell r="G385"/>
          <cell r="AJ385" t="str">
            <v/>
          </cell>
        </row>
        <row r="386">
          <cell r="G386"/>
          <cell r="AJ386" t="str">
            <v/>
          </cell>
        </row>
        <row r="387">
          <cell r="G387"/>
          <cell r="AJ387" t="str">
            <v/>
          </cell>
        </row>
        <row r="388">
          <cell r="G388"/>
          <cell r="AJ388" t="str">
            <v/>
          </cell>
        </row>
        <row r="389">
          <cell r="G389"/>
          <cell r="AJ389" t="str">
            <v/>
          </cell>
        </row>
        <row r="390">
          <cell r="G390"/>
          <cell r="AJ390" t="str">
            <v/>
          </cell>
        </row>
        <row r="391">
          <cell r="G391"/>
          <cell r="AJ391" t="str">
            <v/>
          </cell>
        </row>
        <row r="392">
          <cell r="G392"/>
          <cell r="AJ392" t="str">
            <v/>
          </cell>
        </row>
        <row r="393">
          <cell r="G393"/>
          <cell r="AJ393" t="str">
            <v/>
          </cell>
        </row>
        <row r="394">
          <cell r="G394"/>
          <cell r="AJ394" t="str">
            <v/>
          </cell>
        </row>
        <row r="395">
          <cell r="G395"/>
          <cell r="AJ395" t="str">
            <v/>
          </cell>
        </row>
        <row r="396">
          <cell r="G396"/>
          <cell r="AJ396" t="str">
            <v/>
          </cell>
        </row>
        <row r="397">
          <cell r="G397"/>
          <cell r="AJ397" t="str">
            <v/>
          </cell>
        </row>
        <row r="398">
          <cell r="G398"/>
          <cell r="AJ398" t="str">
            <v/>
          </cell>
        </row>
        <row r="399">
          <cell r="G399"/>
          <cell r="AJ399" t="str">
            <v/>
          </cell>
        </row>
        <row r="400">
          <cell r="G400"/>
          <cell r="AJ400" t="str">
            <v/>
          </cell>
        </row>
        <row r="401">
          <cell r="G401"/>
          <cell r="AJ401" t="str">
            <v/>
          </cell>
        </row>
        <row r="402">
          <cell r="G402"/>
          <cell r="AJ402" t="str">
            <v/>
          </cell>
        </row>
        <row r="403">
          <cell r="G403"/>
          <cell r="AJ403" t="str">
            <v/>
          </cell>
        </row>
        <row r="404">
          <cell r="G404"/>
          <cell r="AJ404" t="str">
            <v/>
          </cell>
        </row>
        <row r="405">
          <cell r="G405"/>
          <cell r="AJ405" t="str">
            <v/>
          </cell>
        </row>
        <row r="406">
          <cell r="G406"/>
          <cell r="AJ406" t="str">
            <v/>
          </cell>
        </row>
        <row r="407">
          <cell r="G407"/>
          <cell r="AJ407" t="str">
            <v/>
          </cell>
        </row>
        <row r="408">
          <cell r="G408"/>
          <cell r="AJ408" t="str">
            <v/>
          </cell>
        </row>
        <row r="409">
          <cell r="G409"/>
          <cell r="AJ409" t="str">
            <v/>
          </cell>
        </row>
        <row r="410">
          <cell r="G410"/>
          <cell r="AJ410" t="str">
            <v/>
          </cell>
        </row>
        <row r="411">
          <cell r="G411"/>
          <cell r="AJ411" t="str">
            <v/>
          </cell>
        </row>
        <row r="412">
          <cell r="G412"/>
          <cell r="AJ412" t="str">
            <v/>
          </cell>
        </row>
        <row r="413">
          <cell r="G413"/>
          <cell r="AJ413" t="str">
            <v/>
          </cell>
        </row>
        <row r="414">
          <cell r="G414"/>
          <cell r="AJ414" t="str">
            <v/>
          </cell>
        </row>
        <row r="415">
          <cell r="G415"/>
          <cell r="AJ415" t="str">
            <v/>
          </cell>
        </row>
        <row r="416">
          <cell r="G416"/>
          <cell r="AJ416" t="str">
            <v/>
          </cell>
        </row>
        <row r="417">
          <cell r="G417"/>
          <cell r="AJ417" t="str">
            <v/>
          </cell>
        </row>
        <row r="418">
          <cell r="G418"/>
          <cell r="AJ418" t="str">
            <v/>
          </cell>
        </row>
        <row r="419">
          <cell r="G419"/>
          <cell r="AJ419" t="str">
            <v/>
          </cell>
        </row>
        <row r="420">
          <cell r="G420"/>
          <cell r="AJ420" t="str">
            <v/>
          </cell>
        </row>
        <row r="421">
          <cell r="G421"/>
          <cell r="AJ421" t="str">
            <v/>
          </cell>
        </row>
        <row r="422">
          <cell r="G422"/>
          <cell r="AJ422" t="str">
            <v/>
          </cell>
        </row>
        <row r="423">
          <cell r="G423"/>
          <cell r="AJ423" t="str">
            <v/>
          </cell>
        </row>
        <row r="424">
          <cell r="G424"/>
          <cell r="AJ424" t="str">
            <v/>
          </cell>
        </row>
        <row r="425">
          <cell r="G425"/>
          <cell r="AJ425" t="str">
            <v/>
          </cell>
        </row>
        <row r="426">
          <cell r="G426"/>
          <cell r="AJ426" t="str">
            <v/>
          </cell>
        </row>
        <row r="427">
          <cell r="G427"/>
          <cell r="AJ427" t="str">
            <v/>
          </cell>
        </row>
        <row r="428">
          <cell r="G428"/>
          <cell r="AJ428" t="str">
            <v/>
          </cell>
        </row>
        <row r="429">
          <cell r="G429"/>
          <cell r="AJ429" t="str">
            <v/>
          </cell>
        </row>
        <row r="430">
          <cell r="G430"/>
          <cell r="AJ430" t="str">
            <v/>
          </cell>
        </row>
        <row r="431">
          <cell r="G431"/>
          <cell r="AJ431" t="str">
            <v/>
          </cell>
        </row>
        <row r="432">
          <cell r="G432"/>
          <cell r="AJ432" t="str">
            <v/>
          </cell>
        </row>
        <row r="433">
          <cell r="G433"/>
          <cell r="AJ433" t="str">
            <v/>
          </cell>
        </row>
        <row r="434">
          <cell r="G434"/>
          <cell r="AJ434" t="str">
            <v/>
          </cell>
        </row>
        <row r="435">
          <cell r="G435"/>
          <cell r="AJ435" t="str">
            <v/>
          </cell>
        </row>
        <row r="436">
          <cell r="G436"/>
          <cell r="AJ436" t="str">
            <v/>
          </cell>
        </row>
        <row r="437">
          <cell r="G437"/>
          <cell r="AJ437" t="str">
            <v/>
          </cell>
        </row>
        <row r="438">
          <cell r="G438"/>
          <cell r="AJ438" t="str">
            <v/>
          </cell>
        </row>
        <row r="439">
          <cell r="G439"/>
          <cell r="AJ439" t="str">
            <v/>
          </cell>
        </row>
        <row r="440">
          <cell r="G440"/>
          <cell r="AJ440" t="str">
            <v/>
          </cell>
        </row>
        <row r="441">
          <cell r="G441"/>
          <cell r="AJ441" t="str">
            <v/>
          </cell>
        </row>
        <row r="442">
          <cell r="G442"/>
          <cell r="AJ442" t="str">
            <v/>
          </cell>
        </row>
        <row r="443">
          <cell r="G443"/>
          <cell r="AJ443" t="str">
            <v/>
          </cell>
        </row>
        <row r="444">
          <cell r="G444"/>
          <cell r="AJ444" t="str">
            <v/>
          </cell>
        </row>
        <row r="445">
          <cell r="G445"/>
          <cell r="AJ445" t="str">
            <v/>
          </cell>
        </row>
        <row r="446">
          <cell r="G446"/>
          <cell r="AJ446" t="str">
            <v/>
          </cell>
        </row>
        <row r="447">
          <cell r="G447"/>
          <cell r="AJ447" t="str">
            <v/>
          </cell>
        </row>
        <row r="448">
          <cell r="G448"/>
          <cell r="AJ448" t="str">
            <v/>
          </cell>
        </row>
        <row r="449">
          <cell r="G449"/>
          <cell r="AJ449" t="str">
            <v/>
          </cell>
        </row>
        <row r="450">
          <cell r="G450"/>
          <cell r="AJ450" t="str">
            <v/>
          </cell>
        </row>
        <row r="451">
          <cell r="G451"/>
          <cell r="AJ451" t="str">
            <v/>
          </cell>
        </row>
        <row r="452">
          <cell r="G452"/>
          <cell r="AJ452" t="str">
            <v/>
          </cell>
        </row>
        <row r="453">
          <cell r="G453"/>
          <cell r="AJ453" t="str">
            <v/>
          </cell>
        </row>
        <row r="454">
          <cell r="G454"/>
          <cell r="AJ454" t="str">
            <v/>
          </cell>
        </row>
        <row r="455">
          <cell r="G455"/>
          <cell r="AJ455" t="str">
            <v/>
          </cell>
        </row>
        <row r="456">
          <cell r="G456"/>
          <cell r="AJ456" t="str">
            <v/>
          </cell>
        </row>
        <row r="457">
          <cell r="G457"/>
          <cell r="AJ457" t="str">
            <v/>
          </cell>
        </row>
        <row r="458">
          <cell r="G458"/>
          <cell r="AJ458" t="str">
            <v/>
          </cell>
        </row>
        <row r="459">
          <cell r="G459"/>
          <cell r="AJ459" t="str">
            <v/>
          </cell>
        </row>
        <row r="460">
          <cell r="G460"/>
          <cell r="AJ460" t="str">
            <v/>
          </cell>
        </row>
        <row r="461">
          <cell r="G461"/>
          <cell r="AJ461" t="str">
            <v/>
          </cell>
        </row>
        <row r="462">
          <cell r="G462"/>
          <cell r="AJ462" t="str">
            <v/>
          </cell>
        </row>
        <row r="463">
          <cell r="G463"/>
          <cell r="AJ463" t="str">
            <v/>
          </cell>
        </row>
        <row r="464">
          <cell r="G464"/>
          <cell r="AJ464" t="str">
            <v/>
          </cell>
        </row>
        <row r="465">
          <cell r="G465"/>
          <cell r="AJ465" t="str">
            <v/>
          </cell>
        </row>
        <row r="466">
          <cell r="G466"/>
          <cell r="AJ466" t="str">
            <v/>
          </cell>
        </row>
        <row r="467">
          <cell r="G467"/>
          <cell r="AJ467" t="str">
            <v/>
          </cell>
        </row>
        <row r="468">
          <cell r="G468"/>
          <cell r="AJ468" t="str">
            <v/>
          </cell>
        </row>
        <row r="469">
          <cell r="G469"/>
          <cell r="AJ469" t="str">
            <v/>
          </cell>
        </row>
        <row r="470">
          <cell r="G470"/>
          <cell r="AJ470" t="str">
            <v/>
          </cell>
        </row>
        <row r="471">
          <cell r="G471"/>
          <cell r="AJ471" t="str">
            <v/>
          </cell>
        </row>
        <row r="472">
          <cell r="G472"/>
          <cell r="AJ472" t="str">
            <v/>
          </cell>
        </row>
        <row r="473">
          <cell r="G473"/>
          <cell r="AJ473" t="str">
            <v/>
          </cell>
        </row>
        <row r="474">
          <cell r="G474"/>
          <cell r="AJ474" t="str">
            <v/>
          </cell>
        </row>
        <row r="475">
          <cell r="G475"/>
          <cell r="AJ475" t="str">
            <v/>
          </cell>
        </row>
        <row r="476">
          <cell r="G476"/>
          <cell r="AJ476" t="str">
            <v/>
          </cell>
        </row>
        <row r="477">
          <cell r="G477"/>
          <cell r="AJ477" t="str">
            <v/>
          </cell>
        </row>
        <row r="478">
          <cell r="G478"/>
          <cell r="AJ478" t="str">
            <v/>
          </cell>
        </row>
        <row r="479">
          <cell r="G479"/>
          <cell r="AJ479" t="str">
            <v/>
          </cell>
        </row>
        <row r="480">
          <cell r="G480"/>
          <cell r="AJ480" t="str">
            <v/>
          </cell>
        </row>
        <row r="481">
          <cell r="G481"/>
          <cell r="AJ481" t="str">
            <v/>
          </cell>
        </row>
        <row r="482">
          <cell r="G482"/>
          <cell r="AJ482" t="str">
            <v/>
          </cell>
        </row>
        <row r="483">
          <cell r="G483"/>
          <cell r="AJ483" t="str">
            <v/>
          </cell>
        </row>
        <row r="484">
          <cell r="G484"/>
          <cell r="AJ484" t="str">
            <v/>
          </cell>
        </row>
        <row r="485">
          <cell r="G485"/>
          <cell r="AJ485" t="str">
            <v/>
          </cell>
        </row>
        <row r="486">
          <cell r="G486"/>
          <cell r="AJ486" t="str">
            <v/>
          </cell>
        </row>
        <row r="487">
          <cell r="G487"/>
          <cell r="AJ487" t="str">
            <v/>
          </cell>
        </row>
        <row r="488">
          <cell r="G488"/>
          <cell r="AJ488" t="str">
            <v/>
          </cell>
        </row>
        <row r="489">
          <cell r="G489"/>
          <cell r="AJ489" t="str">
            <v/>
          </cell>
        </row>
        <row r="490">
          <cell r="G490"/>
          <cell r="AJ490" t="str">
            <v/>
          </cell>
        </row>
        <row r="491">
          <cell r="G491"/>
          <cell r="AJ491" t="str">
            <v/>
          </cell>
        </row>
        <row r="492">
          <cell r="G492"/>
          <cell r="AJ492" t="str">
            <v/>
          </cell>
        </row>
        <row r="493">
          <cell r="G493"/>
          <cell r="AJ493" t="str">
            <v/>
          </cell>
        </row>
        <row r="494">
          <cell r="G494"/>
          <cell r="AJ494" t="str">
            <v/>
          </cell>
        </row>
        <row r="495">
          <cell r="G495"/>
          <cell r="AJ495" t="str">
            <v/>
          </cell>
        </row>
        <row r="496">
          <cell r="G496"/>
          <cell r="AJ496" t="str">
            <v/>
          </cell>
        </row>
        <row r="497">
          <cell r="G497"/>
          <cell r="AJ497" t="str">
            <v/>
          </cell>
        </row>
        <row r="498">
          <cell r="G498"/>
          <cell r="AJ498" t="str">
            <v/>
          </cell>
        </row>
        <row r="499">
          <cell r="G499"/>
          <cell r="AJ499" t="str">
            <v/>
          </cell>
        </row>
        <row r="500">
          <cell r="G500"/>
          <cell r="AJ500" t="str">
            <v/>
          </cell>
        </row>
        <row r="501">
          <cell r="G501"/>
          <cell r="AJ501" t="str">
            <v/>
          </cell>
        </row>
        <row r="502">
          <cell r="G502"/>
          <cell r="AJ502" t="str">
            <v/>
          </cell>
        </row>
        <row r="503">
          <cell r="G503"/>
          <cell r="AJ503" t="str">
            <v/>
          </cell>
        </row>
        <row r="504">
          <cell r="G504"/>
          <cell r="AJ504" t="str">
            <v/>
          </cell>
        </row>
        <row r="505">
          <cell r="G505"/>
          <cell r="AJ505" t="str">
            <v/>
          </cell>
        </row>
        <row r="506">
          <cell r="G506"/>
          <cell r="AJ506" t="str">
            <v/>
          </cell>
        </row>
        <row r="507">
          <cell r="G507"/>
          <cell r="AJ507" t="str">
            <v/>
          </cell>
        </row>
        <row r="508">
          <cell r="G508"/>
          <cell r="AJ508" t="str">
            <v/>
          </cell>
        </row>
        <row r="509">
          <cell r="G509"/>
          <cell r="AJ509" t="str">
            <v/>
          </cell>
        </row>
        <row r="510">
          <cell r="G510"/>
          <cell r="AJ510" t="str">
            <v/>
          </cell>
        </row>
        <row r="511">
          <cell r="G511"/>
          <cell r="AJ511" t="str">
            <v/>
          </cell>
        </row>
        <row r="512">
          <cell r="G512"/>
          <cell r="AJ512" t="str">
            <v/>
          </cell>
        </row>
        <row r="513">
          <cell r="G513"/>
          <cell r="AJ513" t="str">
            <v/>
          </cell>
        </row>
        <row r="514">
          <cell r="G514"/>
          <cell r="AJ514" t="str">
            <v/>
          </cell>
        </row>
        <row r="515">
          <cell r="G515"/>
          <cell r="AJ515" t="str">
            <v/>
          </cell>
        </row>
        <row r="516">
          <cell r="G516"/>
          <cell r="AJ516" t="str">
            <v/>
          </cell>
        </row>
        <row r="517">
          <cell r="G517"/>
          <cell r="AJ517" t="str">
            <v/>
          </cell>
        </row>
        <row r="518">
          <cell r="G518"/>
          <cell r="AJ518" t="str">
            <v/>
          </cell>
        </row>
        <row r="519">
          <cell r="G519"/>
          <cell r="AJ519" t="str">
            <v/>
          </cell>
        </row>
        <row r="520">
          <cell r="G520"/>
          <cell r="AJ520" t="str">
            <v/>
          </cell>
        </row>
        <row r="521">
          <cell r="G521"/>
          <cell r="AJ521" t="str">
            <v/>
          </cell>
        </row>
        <row r="522">
          <cell r="G522"/>
          <cell r="AJ522" t="str">
            <v/>
          </cell>
        </row>
        <row r="523">
          <cell r="G523"/>
          <cell r="AJ523" t="str">
            <v/>
          </cell>
        </row>
        <row r="524">
          <cell r="G524"/>
          <cell r="AJ524" t="str">
            <v/>
          </cell>
        </row>
        <row r="525">
          <cell r="G525"/>
          <cell r="AJ525" t="str">
            <v/>
          </cell>
        </row>
        <row r="526">
          <cell r="G526"/>
          <cell r="AJ526" t="str">
            <v/>
          </cell>
        </row>
        <row r="527">
          <cell r="G527"/>
          <cell r="AJ527" t="str">
            <v/>
          </cell>
        </row>
        <row r="528">
          <cell r="G528"/>
          <cell r="AJ528" t="str">
            <v/>
          </cell>
        </row>
        <row r="529">
          <cell r="G529"/>
          <cell r="AJ529" t="str">
            <v/>
          </cell>
        </row>
        <row r="530">
          <cell r="G530"/>
          <cell r="AJ530" t="str">
            <v/>
          </cell>
        </row>
        <row r="531">
          <cell r="G531"/>
          <cell r="AJ531" t="str">
            <v/>
          </cell>
        </row>
        <row r="532">
          <cell r="G532"/>
          <cell r="AJ532" t="str">
            <v/>
          </cell>
        </row>
        <row r="533">
          <cell r="G533"/>
          <cell r="AJ533" t="str">
            <v/>
          </cell>
        </row>
        <row r="534">
          <cell r="G534"/>
          <cell r="AJ534" t="str">
            <v/>
          </cell>
        </row>
        <row r="535">
          <cell r="G535"/>
          <cell r="AJ535" t="str">
            <v/>
          </cell>
        </row>
        <row r="536">
          <cell r="G536"/>
          <cell r="AJ536" t="str">
            <v/>
          </cell>
        </row>
        <row r="537">
          <cell r="G537"/>
          <cell r="AJ537" t="str">
            <v/>
          </cell>
        </row>
        <row r="538">
          <cell r="G538"/>
          <cell r="AJ538" t="str">
            <v/>
          </cell>
        </row>
        <row r="539">
          <cell r="G539"/>
          <cell r="AJ539" t="str">
            <v/>
          </cell>
        </row>
        <row r="540">
          <cell r="G540"/>
          <cell r="AJ540" t="str">
            <v/>
          </cell>
        </row>
        <row r="541">
          <cell r="G541"/>
          <cell r="AJ541" t="str">
            <v/>
          </cell>
        </row>
        <row r="542">
          <cell r="G542"/>
          <cell r="AJ542" t="str">
            <v/>
          </cell>
        </row>
        <row r="543">
          <cell r="G543"/>
          <cell r="AJ543" t="str">
            <v/>
          </cell>
        </row>
        <row r="544">
          <cell r="G544"/>
          <cell r="AJ544" t="str">
            <v/>
          </cell>
        </row>
        <row r="545">
          <cell r="G545"/>
          <cell r="AJ545" t="str">
            <v/>
          </cell>
        </row>
        <row r="546">
          <cell r="G546"/>
          <cell r="AJ546" t="str">
            <v/>
          </cell>
        </row>
        <row r="547">
          <cell r="G547"/>
          <cell r="AJ547" t="str">
            <v/>
          </cell>
        </row>
        <row r="548">
          <cell r="G548"/>
          <cell r="AJ548" t="str">
            <v/>
          </cell>
        </row>
        <row r="549">
          <cell r="G549"/>
          <cell r="AJ549" t="str">
            <v/>
          </cell>
        </row>
        <row r="550">
          <cell r="G550"/>
          <cell r="AJ550" t="str">
            <v/>
          </cell>
        </row>
        <row r="551">
          <cell r="G551"/>
          <cell r="AJ551" t="str">
            <v/>
          </cell>
        </row>
        <row r="552">
          <cell r="G552"/>
          <cell r="AJ552" t="str">
            <v/>
          </cell>
        </row>
        <row r="553">
          <cell r="G553"/>
          <cell r="AJ553" t="str">
            <v/>
          </cell>
        </row>
        <row r="554">
          <cell r="G554"/>
          <cell r="AJ554" t="str">
            <v/>
          </cell>
        </row>
        <row r="555">
          <cell r="G555"/>
          <cell r="AJ555" t="str">
            <v/>
          </cell>
        </row>
        <row r="556">
          <cell r="G556"/>
          <cell r="AJ556" t="str">
            <v/>
          </cell>
        </row>
        <row r="557">
          <cell r="G557"/>
          <cell r="AJ557" t="str">
            <v/>
          </cell>
        </row>
        <row r="558">
          <cell r="G558"/>
          <cell r="AJ558" t="str">
            <v/>
          </cell>
        </row>
        <row r="559">
          <cell r="G559"/>
          <cell r="AJ559" t="str">
            <v/>
          </cell>
        </row>
        <row r="560">
          <cell r="G560"/>
          <cell r="AJ560" t="str">
            <v/>
          </cell>
        </row>
        <row r="561">
          <cell r="G561"/>
          <cell r="AJ561" t="str">
            <v/>
          </cell>
        </row>
        <row r="562">
          <cell r="G562"/>
          <cell r="AJ562" t="str">
            <v/>
          </cell>
        </row>
        <row r="563">
          <cell r="G563"/>
          <cell r="AJ563" t="str">
            <v/>
          </cell>
        </row>
        <row r="564">
          <cell r="G564"/>
          <cell r="AJ564" t="str">
            <v/>
          </cell>
        </row>
        <row r="565">
          <cell r="G565"/>
          <cell r="AJ565" t="str">
            <v/>
          </cell>
        </row>
        <row r="566">
          <cell r="G566"/>
          <cell r="AJ566" t="str">
            <v/>
          </cell>
        </row>
        <row r="567">
          <cell r="G567"/>
          <cell r="AJ567" t="str">
            <v/>
          </cell>
        </row>
        <row r="568">
          <cell r="G568"/>
          <cell r="AJ568" t="str">
            <v/>
          </cell>
        </row>
        <row r="569">
          <cell r="G569"/>
          <cell r="AJ569" t="str">
            <v/>
          </cell>
        </row>
        <row r="570">
          <cell r="G570"/>
          <cell r="AJ570" t="str">
            <v/>
          </cell>
        </row>
        <row r="571">
          <cell r="G571"/>
          <cell r="AJ571" t="str">
            <v/>
          </cell>
        </row>
        <row r="572">
          <cell r="G572"/>
          <cell r="AJ572" t="str">
            <v/>
          </cell>
        </row>
        <row r="573">
          <cell r="G573"/>
          <cell r="AJ573" t="str">
            <v/>
          </cell>
        </row>
        <row r="574">
          <cell r="G574"/>
          <cell r="AJ574" t="str">
            <v/>
          </cell>
        </row>
        <row r="575">
          <cell r="G575"/>
          <cell r="AJ575" t="str">
            <v/>
          </cell>
        </row>
        <row r="576">
          <cell r="G576"/>
          <cell r="AJ576" t="str">
            <v/>
          </cell>
        </row>
        <row r="577">
          <cell r="G577"/>
          <cell r="AJ577" t="str">
            <v/>
          </cell>
        </row>
        <row r="578">
          <cell r="G578"/>
          <cell r="AJ578" t="str">
            <v/>
          </cell>
        </row>
        <row r="579">
          <cell r="G579"/>
          <cell r="AJ579" t="str">
            <v/>
          </cell>
        </row>
        <row r="580">
          <cell r="G580"/>
          <cell r="AJ580" t="str">
            <v/>
          </cell>
        </row>
        <row r="581">
          <cell r="G581"/>
          <cell r="AJ581" t="str">
            <v/>
          </cell>
        </row>
        <row r="582">
          <cell r="G582"/>
          <cell r="AJ582" t="str">
            <v/>
          </cell>
        </row>
        <row r="583">
          <cell r="G583"/>
          <cell r="AJ583" t="str">
            <v/>
          </cell>
        </row>
        <row r="584">
          <cell r="G584"/>
          <cell r="AJ584" t="str">
            <v/>
          </cell>
        </row>
        <row r="585">
          <cell r="G585"/>
          <cell r="AJ585" t="str">
            <v/>
          </cell>
        </row>
        <row r="586">
          <cell r="G586"/>
          <cell r="AJ586" t="str">
            <v/>
          </cell>
        </row>
        <row r="587">
          <cell r="G587"/>
          <cell r="AJ587" t="str">
            <v/>
          </cell>
        </row>
        <row r="588">
          <cell r="G588"/>
          <cell r="AJ588" t="str">
            <v/>
          </cell>
        </row>
        <row r="589">
          <cell r="G589"/>
          <cell r="AJ589" t="str">
            <v/>
          </cell>
        </row>
        <row r="590">
          <cell r="G590"/>
          <cell r="AJ590" t="str">
            <v/>
          </cell>
        </row>
        <row r="591">
          <cell r="G591"/>
          <cell r="AJ591" t="str">
            <v/>
          </cell>
        </row>
        <row r="592">
          <cell r="G592"/>
          <cell r="AJ592" t="str">
            <v/>
          </cell>
        </row>
        <row r="593">
          <cell r="G593"/>
          <cell r="AJ593" t="str">
            <v/>
          </cell>
        </row>
        <row r="594">
          <cell r="G594"/>
          <cell r="AJ594" t="str">
            <v/>
          </cell>
        </row>
        <row r="595">
          <cell r="G595"/>
          <cell r="AJ595" t="str">
            <v/>
          </cell>
        </row>
        <row r="596">
          <cell r="G596"/>
          <cell r="AJ596" t="str">
            <v/>
          </cell>
        </row>
        <row r="597">
          <cell r="G597"/>
          <cell r="AJ597" t="str">
            <v/>
          </cell>
        </row>
        <row r="598">
          <cell r="G598"/>
          <cell r="AJ598" t="str">
            <v/>
          </cell>
        </row>
        <row r="599">
          <cell r="G599"/>
          <cell r="AJ599" t="str">
            <v/>
          </cell>
        </row>
        <row r="600">
          <cell r="G600"/>
          <cell r="AJ600" t="str">
            <v/>
          </cell>
        </row>
        <row r="601">
          <cell r="G601"/>
          <cell r="AJ601" t="str">
            <v/>
          </cell>
        </row>
        <row r="602">
          <cell r="G602"/>
          <cell r="AJ602" t="str">
            <v/>
          </cell>
        </row>
        <row r="603">
          <cell r="G603"/>
          <cell r="AJ603" t="str">
            <v/>
          </cell>
        </row>
        <row r="604">
          <cell r="G604"/>
          <cell r="AJ604" t="str">
            <v/>
          </cell>
        </row>
        <row r="605">
          <cell r="G605"/>
          <cell r="AJ605" t="str">
            <v/>
          </cell>
        </row>
        <row r="606">
          <cell r="G606"/>
          <cell r="AJ606" t="str">
            <v/>
          </cell>
        </row>
        <row r="607">
          <cell r="G607"/>
          <cell r="AJ607" t="str">
            <v/>
          </cell>
        </row>
        <row r="608">
          <cell r="G608"/>
          <cell r="AJ608" t="str">
            <v/>
          </cell>
        </row>
        <row r="609">
          <cell r="G609"/>
          <cell r="AJ609" t="str">
            <v/>
          </cell>
        </row>
        <row r="610">
          <cell r="G610"/>
          <cell r="AJ610" t="str">
            <v/>
          </cell>
        </row>
        <row r="611">
          <cell r="G611"/>
          <cell r="AJ611" t="str">
            <v/>
          </cell>
        </row>
        <row r="612">
          <cell r="G612"/>
          <cell r="AJ612" t="str">
            <v/>
          </cell>
        </row>
        <row r="613">
          <cell r="G613"/>
          <cell r="AJ613" t="str">
            <v/>
          </cell>
        </row>
        <row r="614">
          <cell r="G614"/>
          <cell r="AJ614" t="str">
            <v/>
          </cell>
        </row>
        <row r="615">
          <cell r="G615"/>
          <cell r="AJ615" t="str">
            <v/>
          </cell>
        </row>
        <row r="616">
          <cell r="G616"/>
          <cell r="AJ616" t="str">
            <v/>
          </cell>
        </row>
        <row r="617">
          <cell r="G617"/>
          <cell r="AJ617" t="str">
            <v/>
          </cell>
        </row>
        <row r="618">
          <cell r="G618"/>
          <cell r="AJ618" t="str">
            <v/>
          </cell>
        </row>
        <row r="619">
          <cell r="G619"/>
          <cell r="AJ619" t="str">
            <v/>
          </cell>
        </row>
        <row r="620">
          <cell r="G620"/>
          <cell r="AJ620" t="str">
            <v/>
          </cell>
        </row>
        <row r="621">
          <cell r="G621"/>
          <cell r="AJ621" t="str">
            <v/>
          </cell>
        </row>
        <row r="622">
          <cell r="G622"/>
          <cell r="AJ622" t="str">
            <v/>
          </cell>
        </row>
        <row r="623">
          <cell r="G623"/>
          <cell r="AJ623" t="str">
            <v/>
          </cell>
        </row>
        <row r="624">
          <cell r="G624"/>
          <cell r="AJ624" t="str">
            <v/>
          </cell>
        </row>
        <row r="625">
          <cell r="G625"/>
          <cell r="AJ625" t="str">
            <v/>
          </cell>
        </row>
        <row r="626">
          <cell r="G626"/>
          <cell r="AJ626" t="str">
            <v/>
          </cell>
        </row>
        <row r="627">
          <cell r="G627"/>
          <cell r="AJ627" t="str">
            <v/>
          </cell>
        </row>
        <row r="628">
          <cell r="G628"/>
          <cell r="AJ628" t="str">
            <v/>
          </cell>
        </row>
        <row r="629">
          <cell r="G629"/>
          <cell r="AJ629" t="str">
            <v/>
          </cell>
        </row>
        <row r="630">
          <cell r="G630"/>
          <cell r="AJ630" t="str">
            <v/>
          </cell>
        </row>
        <row r="631">
          <cell r="G631"/>
          <cell r="AJ631" t="str">
            <v/>
          </cell>
        </row>
        <row r="632">
          <cell r="G632"/>
          <cell r="AJ632" t="str">
            <v/>
          </cell>
        </row>
        <row r="633">
          <cell r="G633"/>
          <cell r="AJ633" t="str">
            <v/>
          </cell>
        </row>
        <row r="634">
          <cell r="G634"/>
          <cell r="AJ634" t="str">
            <v/>
          </cell>
        </row>
        <row r="635">
          <cell r="G635"/>
          <cell r="AJ635" t="str">
            <v/>
          </cell>
        </row>
        <row r="636">
          <cell r="G636"/>
          <cell r="AJ636" t="str">
            <v/>
          </cell>
        </row>
        <row r="637">
          <cell r="G637"/>
          <cell r="AJ637" t="str">
            <v/>
          </cell>
        </row>
        <row r="638">
          <cell r="G638"/>
          <cell r="AJ638" t="str">
            <v/>
          </cell>
        </row>
        <row r="639">
          <cell r="G639"/>
          <cell r="AJ639" t="str">
            <v/>
          </cell>
        </row>
        <row r="640">
          <cell r="G640"/>
          <cell r="AJ640" t="str">
            <v/>
          </cell>
        </row>
        <row r="641">
          <cell r="G641"/>
          <cell r="AJ641" t="str">
            <v/>
          </cell>
        </row>
        <row r="642">
          <cell r="G642"/>
          <cell r="AJ642" t="str">
            <v/>
          </cell>
        </row>
        <row r="643">
          <cell r="G643"/>
          <cell r="AJ643" t="str">
            <v/>
          </cell>
        </row>
        <row r="644">
          <cell r="G644"/>
          <cell r="AJ644" t="str">
            <v/>
          </cell>
        </row>
        <row r="645">
          <cell r="G645"/>
          <cell r="AJ645" t="str">
            <v/>
          </cell>
        </row>
        <row r="646">
          <cell r="G646"/>
          <cell r="AJ646" t="str">
            <v/>
          </cell>
        </row>
        <row r="647">
          <cell r="G647"/>
          <cell r="AJ647" t="str">
            <v/>
          </cell>
        </row>
        <row r="648">
          <cell r="G648"/>
          <cell r="AJ648" t="str">
            <v/>
          </cell>
        </row>
        <row r="649">
          <cell r="G649"/>
          <cell r="AJ649" t="str">
            <v/>
          </cell>
        </row>
        <row r="650">
          <cell r="G650"/>
          <cell r="AJ650" t="str">
            <v/>
          </cell>
        </row>
        <row r="651">
          <cell r="G651"/>
          <cell r="AJ651" t="str">
            <v/>
          </cell>
        </row>
        <row r="652">
          <cell r="G652"/>
          <cell r="AJ652" t="str">
            <v/>
          </cell>
        </row>
        <row r="653">
          <cell r="G653"/>
          <cell r="AJ653" t="str">
            <v/>
          </cell>
        </row>
        <row r="654">
          <cell r="G654"/>
          <cell r="AJ654" t="str">
            <v/>
          </cell>
        </row>
        <row r="655">
          <cell r="G655"/>
          <cell r="AJ655" t="str">
            <v/>
          </cell>
        </row>
        <row r="656">
          <cell r="G656"/>
          <cell r="AJ656" t="str">
            <v/>
          </cell>
        </row>
        <row r="657">
          <cell r="E657"/>
          <cell r="F657"/>
          <cell r="G657"/>
          <cell r="H657"/>
          <cell r="I657"/>
          <cell r="J657"/>
          <cell r="K657"/>
          <cell r="L657"/>
          <cell r="M657"/>
          <cell r="N657"/>
          <cell r="O657"/>
          <cell r="P657"/>
          <cell r="Q657"/>
          <cell r="R657"/>
          <cell r="S657"/>
          <cell r="T657"/>
          <cell r="U657"/>
          <cell r="V657"/>
          <cell r="W657"/>
          <cell r="X657"/>
          <cell r="Y657"/>
          <cell r="Z657"/>
          <cell r="AA657"/>
          <cell r="AB657"/>
          <cell r="AC657"/>
          <cell r="AD657"/>
          <cell r="AE657"/>
          <cell r="AF657"/>
          <cell r="AG657"/>
          <cell r="AH657"/>
          <cell r="AI657"/>
          <cell r="AJ657" t="str">
            <v/>
          </cell>
        </row>
        <row r="658">
          <cell r="G658"/>
          <cell r="AJ658" t="str">
            <v/>
          </cell>
        </row>
        <row r="659">
          <cell r="G659"/>
          <cell r="AJ659" t="str">
            <v/>
          </cell>
        </row>
        <row r="660">
          <cell r="G660"/>
          <cell r="AJ660" t="str">
            <v/>
          </cell>
        </row>
        <row r="661">
          <cell r="G661"/>
          <cell r="AJ661" t="str">
            <v/>
          </cell>
        </row>
        <row r="662">
          <cell r="G662"/>
          <cell r="AJ662" t="str">
            <v/>
          </cell>
        </row>
        <row r="663">
          <cell r="G663"/>
          <cell r="AJ663" t="str">
            <v/>
          </cell>
        </row>
        <row r="664">
          <cell r="G664"/>
          <cell r="AJ664" t="str">
            <v/>
          </cell>
        </row>
        <row r="665">
          <cell r="G665"/>
          <cell r="AJ665" t="str">
            <v/>
          </cell>
        </row>
        <row r="666">
          <cell r="G666"/>
          <cell r="AJ666" t="str">
            <v/>
          </cell>
        </row>
        <row r="667">
          <cell r="G667"/>
          <cell r="AJ667" t="str">
            <v/>
          </cell>
        </row>
        <row r="668">
          <cell r="G668"/>
          <cell r="AJ668" t="str">
            <v/>
          </cell>
        </row>
        <row r="669">
          <cell r="G669"/>
          <cell r="AJ669" t="str">
            <v/>
          </cell>
        </row>
        <row r="670">
          <cell r="G670"/>
          <cell r="AJ670" t="str">
            <v/>
          </cell>
        </row>
        <row r="671">
          <cell r="G671"/>
          <cell r="AJ671" t="str">
            <v/>
          </cell>
        </row>
        <row r="672">
          <cell r="G672"/>
          <cell r="AJ672" t="str">
            <v/>
          </cell>
        </row>
        <row r="673">
          <cell r="G673"/>
          <cell r="AJ673" t="str">
            <v/>
          </cell>
        </row>
        <row r="674">
          <cell r="G674"/>
          <cell r="AJ674" t="str">
            <v/>
          </cell>
        </row>
        <row r="675">
          <cell r="G675"/>
          <cell r="AJ675" t="str">
            <v/>
          </cell>
        </row>
        <row r="676">
          <cell r="G676"/>
          <cell r="AJ676" t="str">
            <v/>
          </cell>
        </row>
        <row r="677">
          <cell r="G677"/>
          <cell r="AJ677" t="str">
            <v/>
          </cell>
        </row>
        <row r="678">
          <cell r="G678"/>
          <cell r="AJ678" t="str">
            <v/>
          </cell>
        </row>
        <row r="679">
          <cell r="G679"/>
          <cell r="AJ679" t="str">
            <v/>
          </cell>
        </row>
        <row r="680">
          <cell r="G680"/>
          <cell r="AJ680" t="str">
            <v/>
          </cell>
        </row>
        <row r="681">
          <cell r="G681"/>
          <cell r="AJ681" t="str">
            <v/>
          </cell>
        </row>
        <row r="682">
          <cell r="G682"/>
          <cell r="AJ682" t="str">
            <v/>
          </cell>
        </row>
        <row r="683">
          <cell r="G683"/>
          <cell r="AJ683" t="str">
            <v/>
          </cell>
        </row>
        <row r="684">
          <cell r="G684"/>
          <cell r="AJ684" t="str">
            <v/>
          </cell>
        </row>
        <row r="685">
          <cell r="G685"/>
          <cell r="AJ685" t="str">
            <v/>
          </cell>
        </row>
        <row r="686">
          <cell r="G686"/>
          <cell r="AJ686" t="str">
            <v/>
          </cell>
        </row>
        <row r="687">
          <cell r="G687"/>
          <cell r="AJ687" t="str">
            <v/>
          </cell>
        </row>
        <row r="688">
          <cell r="G688"/>
          <cell r="AJ688" t="str">
            <v/>
          </cell>
        </row>
        <row r="689">
          <cell r="G689"/>
          <cell r="AJ689" t="str">
            <v/>
          </cell>
        </row>
        <row r="690">
          <cell r="G690"/>
          <cell r="AJ690" t="str">
            <v/>
          </cell>
        </row>
        <row r="691">
          <cell r="G691"/>
          <cell r="AJ691" t="str">
            <v/>
          </cell>
        </row>
        <row r="692">
          <cell r="G692"/>
          <cell r="AJ692" t="str">
            <v/>
          </cell>
        </row>
        <row r="693">
          <cell r="G693"/>
          <cell r="AJ693" t="str">
            <v/>
          </cell>
        </row>
        <row r="694">
          <cell r="G694"/>
          <cell r="AJ694" t="str">
            <v/>
          </cell>
        </row>
        <row r="695">
          <cell r="G695"/>
          <cell r="AJ695" t="str">
            <v/>
          </cell>
        </row>
        <row r="696">
          <cell r="G696"/>
          <cell r="AJ696" t="str">
            <v/>
          </cell>
        </row>
        <row r="697">
          <cell r="G697"/>
          <cell r="AJ697" t="str">
            <v/>
          </cell>
        </row>
        <row r="698">
          <cell r="G698"/>
          <cell r="AJ698" t="str">
            <v/>
          </cell>
        </row>
        <row r="699">
          <cell r="G699"/>
          <cell r="AJ699" t="str">
            <v/>
          </cell>
        </row>
        <row r="700">
          <cell r="G700"/>
          <cell r="AJ700" t="str">
            <v/>
          </cell>
        </row>
        <row r="701">
          <cell r="G701"/>
          <cell r="AJ701" t="str">
            <v/>
          </cell>
        </row>
        <row r="702">
          <cell r="G702"/>
          <cell r="AJ702" t="str">
            <v/>
          </cell>
        </row>
        <row r="703">
          <cell r="G703"/>
          <cell r="AJ703" t="str">
            <v/>
          </cell>
        </row>
        <row r="704">
          <cell r="G704"/>
          <cell r="AJ704" t="str">
            <v/>
          </cell>
        </row>
        <row r="705">
          <cell r="G705"/>
          <cell r="AJ705" t="str">
            <v/>
          </cell>
        </row>
        <row r="706">
          <cell r="G706"/>
          <cell r="AJ706" t="str">
            <v/>
          </cell>
        </row>
        <row r="707">
          <cell r="G707"/>
          <cell r="AJ707" t="str">
            <v/>
          </cell>
        </row>
        <row r="708">
          <cell r="G708"/>
          <cell r="AJ708" t="str">
            <v/>
          </cell>
        </row>
        <row r="709">
          <cell r="G709"/>
          <cell r="AJ709" t="str">
            <v/>
          </cell>
        </row>
        <row r="710">
          <cell r="G710"/>
          <cell r="AJ710" t="str">
            <v/>
          </cell>
        </row>
        <row r="711">
          <cell r="G711"/>
          <cell r="AJ711" t="str">
            <v/>
          </cell>
        </row>
        <row r="712">
          <cell r="G712"/>
          <cell r="AJ712" t="str">
            <v/>
          </cell>
        </row>
        <row r="713">
          <cell r="G713"/>
          <cell r="AJ713" t="str">
            <v/>
          </cell>
        </row>
        <row r="714">
          <cell r="G714"/>
          <cell r="AJ714" t="str">
            <v/>
          </cell>
        </row>
        <row r="715">
          <cell r="G715"/>
          <cell r="AJ715" t="str">
            <v/>
          </cell>
        </row>
        <row r="716">
          <cell r="G716"/>
          <cell r="AJ716" t="str">
            <v/>
          </cell>
        </row>
        <row r="717">
          <cell r="G717"/>
          <cell r="AJ717" t="str">
            <v/>
          </cell>
        </row>
        <row r="718">
          <cell r="G718"/>
          <cell r="AJ718" t="str">
            <v/>
          </cell>
        </row>
        <row r="719">
          <cell r="G719"/>
          <cell r="AJ719" t="str">
            <v/>
          </cell>
        </row>
        <row r="720">
          <cell r="G720"/>
          <cell r="AJ720" t="str">
            <v/>
          </cell>
        </row>
        <row r="721">
          <cell r="G721"/>
          <cell r="AJ721" t="str">
            <v/>
          </cell>
        </row>
        <row r="722">
          <cell r="G722"/>
          <cell r="AJ722" t="str">
            <v/>
          </cell>
        </row>
        <row r="723">
          <cell r="G723"/>
          <cell r="AJ723" t="str">
            <v/>
          </cell>
        </row>
        <row r="724">
          <cell r="G724"/>
          <cell r="AJ724" t="str">
            <v/>
          </cell>
        </row>
        <row r="725">
          <cell r="G725"/>
          <cell r="AJ725" t="str">
            <v/>
          </cell>
        </row>
        <row r="726">
          <cell r="G726"/>
          <cell r="AJ726" t="str">
            <v/>
          </cell>
        </row>
        <row r="727">
          <cell r="G727"/>
          <cell r="AJ727" t="str">
            <v/>
          </cell>
        </row>
        <row r="728">
          <cell r="G728"/>
          <cell r="AJ728" t="str">
            <v/>
          </cell>
        </row>
        <row r="729">
          <cell r="G729"/>
          <cell r="AJ729" t="str">
            <v/>
          </cell>
        </row>
        <row r="730">
          <cell r="G730"/>
          <cell r="AJ730" t="str">
            <v/>
          </cell>
        </row>
        <row r="731">
          <cell r="G731"/>
          <cell r="AJ731" t="str">
            <v/>
          </cell>
        </row>
        <row r="732">
          <cell r="G732"/>
          <cell r="AJ732" t="str">
            <v/>
          </cell>
        </row>
        <row r="733">
          <cell r="G733"/>
          <cell r="AJ733" t="str">
            <v/>
          </cell>
        </row>
        <row r="734">
          <cell r="G734"/>
          <cell r="AJ734" t="str">
            <v/>
          </cell>
        </row>
        <row r="735">
          <cell r="G735"/>
          <cell r="AJ735" t="str">
            <v/>
          </cell>
        </row>
        <row r="736">
          <cell r="G736"/>
          <cell r="AJ736" t="str">
            <v/>
          </cell>
        </row>
        <row r="737">
          <cell r="G737"/>
          <cell r="AJ737" t="str">
            <v/>
          </cell>
        </row>
        <row r="738">
          <cell r="G738"/>
          <cell r="AJ738" t="str">
            <v/>
          </cell>
        </row>
        <row r="739">
          <cell r="G739"/>
          <cell r="AJ739" t="str">
            <v/>
          </cell>
        </row>
        <row r="740">
          <cell r="G740"/>
          <cell r="AJ740" t="str">
            <v/>
          </cell>
        </row>
        <row r="741">
          <cell r="G741"/>
          <cell r="AJ741" t="str">
            <v/>
          </cell>
        </row>
        <row r="742">
          <cell r="G742"/>
          <cell r="AJ742" t="str">
            <v/>
          </cell>
        </row>
        <row r="743">
          <cell r="G743"/>
          <cell r="AJ743" t="str">
            <v/>
          </cell>
        </row>
        <row r="744">
          <cell r="G744"/>
          <cell r="AJ744" t="str">
            <v/>
          </cell>
        </row>
        <row r="745">
          <cell r="G745"/>
          <cell r="AJ745" t="str">
            <v/>
          </cell>
        </row>
        <row r="746">
          <cell r="G746"/>
          <cell r="AJ746" t="str">
            <v/>
          </cell>
        </row>
        <row r="747">
          <cell r="G747"/>
          <cell r="AJ747" t="str">
            <v/>
          </cell>
        </row>
        <row r="748">
          <cell r="G748"/>
          <cell r="AJ748" t="str">
            <v/>
          </cell>
        </row>
        <row r="749">
          <cell r="G749"/>
          <cell r="AJ749" t="str">
            <v/>
          </cell>
        </row>
        <row r="750">
          <cell r="G750"/>
          <cell r="AJ750" t="str">
            <v/>
          </cell>
        </row>
        <row r="751">
          <cell r="G751"/>
          <cell r="AJ751" t="str">
            <v/>
          </cell>
        </row>
        <row r="752">
          <cell r="G752"/>
          <cell r="AJ752" t="str">
            <v/>
          </cell>
        </row>
        <row r="753">
          <cell r="G753"/>
          <cell r="AJ753" t="str">
            <v/>
          </cell>
        </row>
        <row r="754">
          <cell r="G754"/>
          <cell r="AJ754" t="str">
            <v/>
          </cell>
        </row>
        <row r="755">
          <cell r="G755"/>
          <cell r="AJ755" t="str">
            <v/>
          </cell>
        </row>
        <row r="756">
          <cell r="G756"/>
          <cell r="AJ756" t="str">
            <v/>
          </cell>
        </row>
        <row r="757">
          <cell r="G757"/>
          <cell r="AJ757" t="str">
            <v/>
          </cell>
        </row>
        <row r="758">
          <cell r="G758"/>
          <cell r="AJ758" t="str">
            <v/>
          </cell>
        </row>
        <row r="759">
          <cell r="G759"/>
          <cell r="AJ759" t="str">
            <v/>
          </cell>
        </row>
        <row r="760">
          <cell r="G760"/>
          <cell r="AJ760" t="str">
            <v/>
          </cell>
        </row>
        <row r="761">
          <cell r="G761"/>
          <cell r="AJ761" t="str">
            <v/>
          </cell>
        </row>
        <row r="762">
          <cell r="G762"/>
          <cell r="AJ762" t="str">
            <v/>
          </cell>
        </row>
        <row r="763">
          <cell r="G763"/>
          <cell r="AJ763" t="str">
            <v/>
          </cell>
        </row>
        <row r="764">
          <cell r="G764"/>
          <cell r="S764"/>
          <cell r="AJ764" t="str">
            <v/>
          </cell>
        </row>
        <row r="765">
          <cell r="G765"/>
          <cell r="AJ765" t="str">
            <v/>
          </cell>
        </row>
        <row r="766">
          <cell r="G766"/>
          <cell r="AJ766" t="str">
            <v/>
          </cell>
        </row>
        <row r="767">
          <cell r="G767"/>
          <cell r="AJ767" t="str">
            <v/>
          </cell>
        </row>
        <row r="768">
          <cell r="G768"/>
          <cell r="AJ768" t="str">
            <v/>
          </cell>
        </row>
        <row r="769">
          <cell r="G769"/>
          <cell r="AJ769" t="str">
            <v/>
          </cell>
        </row>
        <row r="770">
          <cell r="G770"/>
          <cell r="AJ770" t="str">
            <v/>
          </cell>
        </row>
        <row r="771">
          <cell r="G771"/>
          <cell r="AJ771" t="str">
            <v/>
          </cell>
        </row>
        <row r="772">
          <cell r="G772"/>
          <cell r="AJ772" t="str">
            <v/>
          </cell>
        </row>
        <row r="773">
          <cell r="G773"/>
          <cell r="AJ773" t="str">
            <v/>
          </cell>
        </row>
        <row r="774">
          <cell r="G774"/>
          <cell r="AJ774" t="str">
            <v/>
          </cell>
        </row>
        <row r="775">
          <cell r="G775"/>
          <cell r="AJ775" t="str">
            <v/>
          </cell>
        </row>
        <row r="776">
          <cell r="G776"/>
          <cell r="AJ776" t="str">
            <v/>
          </cell>
        </row>
        <row r="777">
          <cell r="G777"/>
          <cell r="AJ777" t="str">
            <v/>
          </cell>
        </row>
        <row r="778">
          <cell r="G778"/>
          <cell r="AJ778" t="str">
            <v/>
          </cell>
        </row>
        <row r="779">
          <cell r="G779"/>
          <cell r="AJ779" t="str">
            <v/>
          </cell>
        </row>
        <row r="780">
          <cell r="G780"/>
          <cell r="AJ780" t="str">
            <v/>
          </cell>
        </row>
        <row r="781">
          <cell r="G781"/>
          <cell r="AJ781" t="str">
            <v/>
          </cell>
        </row>
        <row r="782">
          <cell r="G782"/>
          <cell r="AJ782" t="str">
            <v/>
          </cell>
        </row>
        <row r="783">
          <cell r="G783"/>
          <cell r="AJ783" t="str">
            <v/>
          </cell>
        </row>
        <row r="784">
          <cell r="G784"/>
          <cell r="AJ784" t="str">
            <v/>
          </cell>
        </row>
        <row r="785">
          <cell r="G785"/>
          <cell r="AJ785" t="str">
            <v/>
          </cell>
        </row>
        <row r="786">
          <cell r="G786"/>
          <cell r="AJ786" t="str">
            <v/>
          </cell>
        </row>
        <row r="787">
          <cell r="G787"/>
          <cell r="AJ787" t="str">
            <v/>
          </cell>
        </row>
        <row r="788">
          <cell r="G788"/>
          <cell r="AJ788" t="str">
            <v/>
          </cell>
        </row>
        <row r="789">
          <cell r="G789"/>
          <cell r="AJ789" t="str">
            <v/>
          </cell>
        </row>
        <row r="790">
          <cell r="G790"/>
          <cell r="AJ790" t="str">
            <v/>
          </cell>
        </row>
        <row r="791">
          <cell r="G791"/>
          <cell r="AJ791" t="str">
            <v/>
          </cell>
        </row>
        <row r="792">
          <cell r="G792"/>
          <cell r="AJ792" t="str">
            <v/>
          </cell>
        </row>
        <row r="793">
          <cell r="G793"/>
          <cell r="AJ793" t="str">
            <v/>
          </cell>
        </row>
        <row r="794">
          <cell r="G794"/>
          <cell r="AJ794" t="str">
            <v/>
          </cell>
        </row>
        <row r="795">
          <cell r="G795"/>
          <cell r="AJ795" t="str">
            <v/>
          </cell>
        </row>
        <row r="796">
          <cell r="G796"/>
          <cell r="AJ796" t="str">
            <v/>
          </cell>
        </row>
        <row r="797">
          <cell r="G797"/>
          <cell r="AJ797" t="str">
            <v/>
          </cell>
        </row>
        <row r="798">
          <cell r="G798"/>
          <cell r="AJ798" t="str">
            <v/>
          </cell>
        </row>
        <row r="799">
          <cell r="G799"/>
          <cell r="AJ799" t="str">
            <v/>
          </cell>
        </row>
        <row r="800">
          <cell r="G800"/>
          <cell r="AJ800" t="str">
            <v/>
          </cell>
        </row>
        <row r="801">
          <cell r="G801"/>
          <cell r="AJ801" t="str">
            <v/>
          </cell>
        </row>
        <row r="802">
          <cell r="G802"/>
          <cell r="AJ802" t="str">
            <v/>
          </cell>
        </row>
        <row r="803">
          <cell r="G803"/>
          <cell r="AJ803" t="str">
            <v/>
          </cell>
        </row>
        <row r="804">
          <cell r="G804"/>
          <cell r="AJ804" t="str">
            <v/>
          </cell>
        </row>
        <row r="805">
          <cell r="G805"/>
          <cell r="AJ805" t="str">
            <v/>
          </cell>
        </row>
        <row r="806">
          <cell r="G806"/>
          <cell r="AJ806" t="str">
            <v/>
          </cell>
        </row>
        <row r="807">
          <cell r="G807"/>
          <cell r="AJ807" t="str">
            <v/>
          </cell>
        </row>
        <row r="808">
          <cell r="G808"/>
          <cell r="AJ808" t="str">
            <v/>
          </cell>
        </row>
        <row r="809">
          <cell r="G809"/>
          <cell r="AJ809" t="str">
            <v/>
          </cell>
        </row>
        <row r="810">
          <cell r="G810"/>
          <cell r="AJ810" t="str">
            <v/>
          </cell>
        </row>
        <row r="811">
          <cell r="G811"/>
          <cell r="AJ811" t="str">
            <v/>
          </cell>
        </row>
        <row r="812">
          <cell r="G812"/>
          <cell r="AJ812" t="str">
            <v/>
          </cell>
        </row>
        <row r="813">
          <cell r="G813"/>
          <cell r="AJ813" t="str">
            <v/>
          </cell>
        </row>
        <row r="814">
          <cell r="G814"/>
          <cell r="AJ814" t="str">
            <v/>
          </cell>
        </row>
        <row r="815">
          <cell r="G815"/>
          <cell r="AJ815" t="str">
            <v/>
          </cell>
        </row>
        <row r="816">
          <cell r="G816"/>
          <cell r="AJ816" t="str">
            <v/>
          </cell>
        </row>
        <row r="817">
          <cell r="G817"/>
          <cell r="AJ817" t="str">
            <v/>
          </cell>
        </row>
        <row r="818">
          <cell r="G818"/>
          <cell r="AJ818" t="str">
            <v/>
          </cell>
        </row>
        <row r="819">
          <cell r="G819"/>
          <cell r="AJ819" t="str">
            <v/>
          </cell>
        </row>
        <row r="820">
          <cell r="G820"/>
          <cell r="AJ820" t="str">
            <v/>
          </cell>
        </row>
        <row r="821">
          <cell r="G821"/>
          <cell r="AJ821" t="str">
            <v/>
          </cell>
        </row>
        <row r="822">
          <cell r="G822"/>
          <cell r="AJ822" t="str">
            <v/>
          </cell>
        </row>
        <row r="823">
          <cell r="G823"/>
          <cell r="AJ823" t="str">
            <v/>
          </cell>
        </row>
        <row r="824">
          <cell r="G824"/>
          <cell r="AJ824" t="str">
            <v/>
          </cell>
        </row>
        <row r="825">
          <cell r="G825"/>
          <cell r="AJ825" t="str">
            <v/>
          </cell>
        </row>
        <row r="826">
          <cell r="G826"/>
          <cell r="AJ826" t="str">
            <v/>
          </cell>
        </row>
        <row r="827">
          <cell r="G827"/>
          <cell r="AJ827" t="str">
            <v/>
          </cell>
        </row>
        <row r="828">
          <cell r="G828"/>
          <cell r="AJ828" t="str">
            <v/>
          </cell>
        </row>
        <row r="829">
          <cell r="G829"/>
          <cell r="AJ829" t="str">
            <v/>
          </cell>
        </row>
        <row r="830">
          <cell r="G830"/>
          <cell r="S830"/>
          <cell r="AJ830" t="str">
            <v/>
          </cell>
        </row>
        <row r="831">
          <cell r="G831"/>
          <cell r="AJ831" t="str">
            <v/>
          </cell>
        </row>
        <row r="832">
          <cell r="G832"/>
          <cell r="AJ832" t="str">
            <v/>
          </cell>
        </row>
        <row r="833">
          <cell r="G833"/>
          <cell r="AJ833" t="str">
            <v/>
          </cell>
        </row>
        <row r="834">
          <cell r="G834"/>
          <cell r="AJ834" t="str">
            <v/>
          </cell>
        </row>
        <row r="835">
          <cell r="G835"/>
          <cell r="AJ835" t="str">
            <v/>
          </cell>
        </row>
        <row r="836">
          <cell r="G836"/>
          <cell r="AJ836" t="str">
            <v/>
          </cell>
        </row>
        <row r="837">
          <cell r="G837"/>
          <cell r="AJ837" t="str">
            <v/>
          </cell>
        </row>
        <row r="838">
          <cell r="G838"/>
          <cell r="AJ838" t="str">
            <v/>
          </cell>
        </row>
        <row r="839">
          <cell r="G839"/>
          <cell r="AJ839" t="str">
            <v/>
          </cell>
        </row>
        <row r="840">
          <cell r="G840"/>
          <cell r="AJ840" t="str">
            <v/>
          </cell>
        </row>
        <row r="841">
          <cell r="G841"/>
          <cell r="AJ841" t="str">
            <v/>
          </cell>
        </row>
        <row r="842">
          <cell r="G842"/>
          <cell r="AJ842" t="str">
            <v/>
          </cell>
        </row>
        <row r="843">
          <cell r="G843"/>
          <cell r="AJ843" t="str">
            <v/>
          </cell>
        </row>
        <row r="844">
          <cell r="G844"/>
          <cell r="AJ844" t="str">
            <v/>
          </cell>
        </row>
        <row r="845">
          <cell r="G845"/>
          <cell r="AJ845" t="str">
            <v/>
          </cell>
        </row>
        <row r="846">
          <cell r="G846"/>
          <cell r="AJ846" t="str">
            <v/>
          </cell>
        </row>
        <row r="847">
          <cell r="G847"/>
          <cell r="AJ847" t="str">
            <v/>
          </cell>
        </row>
        <row r="848">
          <cell r="G848"/>
          <cell r="AJ848" t="str">
            <v/>
          </cell>
        </row>
        <row r="849">
          <cell r="G849"/>
          <cell r="AJ849" t="str">
            <v/>
          </cell>
        </row>
        <row r="850">
          <cell r="G850"/>
          <cell r="AJ850" t="str">
            <v/>
          </cell>
        </row>
        <row r="851">
          <cell r="G851"/>
          <cell r="AJ851" t="str">
            <v/>
          </cell>
        </row>
        <row r="852">
          <cell r="G852"/>
          <cell r="AJ852" t="str">
            <v/>
          </cell>
        </row>
        <row r="853">
          <cell r="G853"/>
          <cell r="AJ853" t="str">
            <v/>
          </cell>
        </row>
        <row r="854">
          <cell r="G854"/>
          <cell r="AJ854" t="str">
            <v/>
          </cell>
        </row>
        <row r="855">
          <cell r="G855"/>
          <cell r="AJ855" t="str">
            <v/>
          </cell>
        </row>
        <row r="856">
          <cell r="G856"/>
          <cell r="AJ856" t="str">
            <v/>
          </cell>
        </row>
        <row r="857">
          <cell r="G857"/>
          <cell r="AJ857" t="str">
            <v/>
          </cell>
        </row>
        <row r="858">
          <cell r="G858"/>
          <cell r="AJ858" t="str">
            <v/>
          </cell>
        </row>
        <row r="859">
          <cell r="G859"/>
          <cell r="AJ859" t="str">
            <v/>
          </cell>
        </row>
        <row r="860">
          <cell r="G860"/>
          <cell r="AJ860" t="str">
            <v/>
          </cell>
        </row>
        <row r="861">
          <cell r="G861"/>
          <cell r="AJ861" t="str">
            <v/>
          </cell>
        </row>
        <row r="862">
          <cell r="G862"/>
          <cell r="AJ862" t="str">
            <v/>
          </cell>
        </row>
        <row r="863">
          <cell r="G863"/>
          <cell r="AJ863" t="str">
            <v/>
          </cell>
        </row>
        <row r="864">
          <cell r="G864"/>
          <cell r="AJ864" t="str">
            <v/>
          </cell>
        </row>
        <row r="865">
          <cell r="G865"/>
          <cell r="AJ865" t="str">
            <v/>
          </cell>
        </row>
        <row r="866">
          <cell r="G866"/>
          <cell r="AJ866" t="str">
            <v/>
          </cell>
        </row>
        <row r="867">
          <cell r="G867"/>
          <cell r="AJ867" t="str">
            <v/>
          </cell>
        </row>
        <row r="868">
          <cell r="G868"/>
          <cell r="AJ868" t="str">
            <v/>
          </cell>
        </row>
        <row r="869">
          <cell r="G869"/>
          <cell r="AJ869" t="str">
            <v/>
          </cell>
        </row>
        <row r="870">
          <cell r="G870"/>
          <cell r="AJ870" t="str">
            <v/>
          </cell>
        </row>
        <row r="871">
          <cell r="G871"/>
          <cell r="AJ871" t="str">
            <v/>
          </cell>
        </row>
        <row r="872">
          <cell r="G872"/>
          <cell r="AJ872" t="str">
            <v/>
          </cell>
        </row>
        <row r="873">
          <cell r="G873"/>
          <cell r="AJ873" t="str">
            <v/>
          </cell>
        </row>
        <row r="874">
          <cell r="G874"/>
          <cell r="AJ874" t="str">
            <v/>
          </cell>
        </row>
        <row r="875">
          <cell r="G875"/>
          <cell r="AJ875" t="str">
            <v/>
          </cell>
        </row>
        <row r="876">
          <cell r="G876"/>
          <cell r="AJ876" t="str">
            <v/>
          </cell>
        </row>
        <row r="877">
          <cell r="G877"/>
          <cell r="AJ877" t="str">
            <v/>
          </cell>
        </row>
        <row r="878">
          <cell r="G878"/>
          <cell r="AJ878" t="str">
            <v/>
          </cell>
        </row>
        <row r="879">
          <cell r="G879"/>
          <cell r="AJ879" t="str">
            <v/>
          </cell>
        </row>
        <row r="880">
          <cell r="G880"/>
          <cell r="AJ880" t="str">
            <v/>
          </cell>
        </row>
        <row r="881">
          <cell r="G881"/>
          <cell r="AJ881" t="str">
            <v/>
          </cell>
        </row>
        <row r="882">
          <cell r="G882"/>
          <cell r="AJ882" t="str">
            <v/>
          </cell>
        </row>
        <row r="883">
          <cell r="G883"/>
          <cell r="AJ883" t="str">
            <v/>
          </cell>
        </row>
        <row r="884">
          <cell r="G884"/>
          <cell r="AJ884" t="str">
            <v/>
          </cell>
        </row>
        <row r="885">
          <cell r="G885"/>
          <cell r="AJ885" t="str">
            <v/>
          </cell>
        </row>
        <row r="886">
          <cell r="G886"/>
          <cell r="AJ886" t="str">
            <v/>
          </cell>
        </row>
        <row r="887">
          <cell r="G887"/>
          <cell r="AJ887" t="str">
            <v/>
          </cell>
        </row>
        <row r="888">
          <cell r="G888"/>
          <cell r="AJ888" t="str">
            <v/>
          </cell>
        </row>
        <row r="889">
          <cell r="G889"/>
          <cell r="AJ889" t="str">
            <v/>
          </cell>
        </row>
        <row r="890">
          <cell r="G890"/>
          <cell r="AJ890" t="str">
            <v/>
          </cell>
        </row>
        <row r="891">
          <cell r="G891"/>
          <cell r="AJ891" t="str">
            <v/>
          </cell>
        </row>
        <row r="892">
          <cell r="G892"/>
          <cell r="AJ892" t="str">
            <v/>
          </cell>
        </row>
        <row r="893">
          <cell r="G893"/>
          <cell r="AJ893" t="str">
            <v/>
          </cell>
        </row>
        <row r="894">
          <cell r="G894"/>
          <cell r="AJ894" t="str">
            <v/>
          </cell>
        </row>
        <row r="895">
          <cell r="AJ895" t="str">
            <v/>
          </cell>
        </row>
        <row r="896">
          <cell r="AJ896" t="str">
            <v/>
          </cell>
        </row>
        <row r="897">
          <cell r="AJ897" t="str">
            <v/>
          </cell>
        </row>
        <row r="898">
          <cell r="AJ898" t="str">
            <v/>
          </cell>
        </row>
        <row r="899">
          <cell r="AJ899" t="str">
            <v/>
          </cell>
        </row>
        <row r="900">
          <cell r="AJ900" t="str">
            <v/>
          </cell>
        </row>
        <row r="901">
          <cell r="AJ901" t="str">
            <v/>
          </cell>
        </row>
        <row r="902">
          <cell r="AJ902" t="str">
            <v/>
          </cell>
        </row>
        <row r="903">
          <cell r="AJ903" t="str">
            <v/>
          </cell>
        </row>
        <row r="904">
          <cell r="AJ904" t="str">
            <v/>
          </cell>
        </row>
        <row r="905">
          <cell r="AJ905" t="str">
            <v/>
          </cell>
        </row>
        <row r="906">
          <cell r="AJ906" t="str">
            <v/>
          </cell>
        </row>
        <row r="907">
          <cell r="AJ907" t="str">
            <v/>
          </cell>
        </row>
        <row r="908">
          <cell r="AJ908" t="str">
            <v/>
          </cell>
        </row>
        <row r="909">
          <cell r="AJ909" t="str">
            <v/>
          </cell>
        </row>
        <row r="910">
          <cell r="AJ910" t="str">
            <v/>
          </cell>
        </row>
        <row r="911">
          <cell r="AJ911" t="str">
            <v/>
          </cell>
        </row>
        <row r="912">
          <cell r="AJ912" t="str">
            <v/>
          </cell>
        </row>
        <row r="913">
          <cell r="AJ913" t="str">
            <v/>
          </cell>
        </row>
        <row r="914">
          <cell r="AJ914" t="str">
            <v/>
          </cell>
        </row>
        <row r="915">
          <cell r="AJ915" t="str">
            <v/>
          </cell>
        </row>
        <row r="916">
          <cell r="AJ916" t="str">
            <v/>
          </cell>
        </row>
        <row r="917">
          <cell r="AJ917" t="str">
            <v/>
          </cell>
        </row>
        <row r="918">
          <cell r="AJ918" t="str">
            <v/>
          </cell>
        </row>
        <row r="919">
          <cell r="AJ919" t="str">
            <v/>
          </cell>
        </row>
        <row r="920">
          <cell r="AJ920" t="str">
            <v/>
          </cell>
        </row>
        <row r="921">
          <cell r="AJ921" t="str">
            <v/>
          </cell>
        </row>
        <row r="922">
          <cell r="AJ922" t="str">
            <v/>
          </cell>
        </row>
        <row r="923">
          <cell r="AJ923" t="str">
            <v/>
          </cell>
        </row>
        <row r="924">
          <cell r="AJ924" t="str">
            <v/>
          </cell>
        </row>
        <row r="925">
          <cell r="AJ925" t="str">
            <v/>
          </cell>
        </row>
        <row r="926">
          <cell r="AJ926" t="str">
            <v/>
          </cell>
        </row>
        <row r="927">
          <cell r="AJ927" t="str">
            <v/>
          </cell>
        </row>
        <row r="928">
          <cell r="AJ928" t="str">
            <v/>
          </cell>
        </row>
        <row r="929">
          <cell r="AJ929" t="str">
            <v/>
          </cell>
        </row>
        <row r="930">
          <cell r="AJ930" t="str">
            <v/>
          </cell>
        </row>
        <row r="931">
          <cell r="AJ931" t="str">
            <v/>
          </cell>
        </row>
        <row r="932">
          <cell r="AJ932" t="str">
            <v/>
          </cell>
        </row>
        <row r="933">
          <cell r="AJ933" t="str">
            <v/>
          </cell>
        </row>
        <row r="934">
          <cell r="AJ934" t="str">
            <v/>
          </cell>
        </row>
        <row r="935">
          <cell r="AJ935" t="str">
            <v/>
          </cell>
        </row>
        <row r="936">
          <cell r="AJ936" t="str">
            <v/>
          </cell>
        </row>
        <row r="937">
          <cell r="AJ937" t="str">
            <v/>
          </cell>
        </row>
        <row r="938">
          <cell r="AJ938" t="str">
            <v/>
          </cell>
        </row>
        <row r="939">
          <cell r="AJ939" t="str">
            <v/>
          </cell>
        </row>
        <row r="940">
          <cell r="AJ940" t="str">
            <v/>
          </cell>
        </row>
        <row r="941">
          <cell r="AJ941" t="str">
            <v/>
          </cell>
        </row>
        <row r="942">
          <cell r="AJ942" t="str">
            <v/>
          </cell>
        </row>
        <row r="943">
          <cell r="AJ943" t="str">
            <v/>
          </cell>
        </row>
        <row r="944">
          <cell r="AJ944" t="str">
            <v/>
          </cell>
        </row>
        <row r="945">
          <cell r="AJ945" t="str">
            <v/>
          </cell>
        </row>
        <row r="946">
          <cell r="AJ946" t="str">
            <v/>
          </cell>
        </row>
        <row r="947">
          <cell r="AJ947" t="str">
            <v/>
          </cell>
        </row>
        <row r="948">
          <cell r="AJ948" t="str">
            <v/>
          </cell>
        </row>
        <row r="949">
          <cell r="AJ949" t="str">
            <v/>
          </cell>
        </row>
        <row r="950">
          <cell r="AJ950" t="str">
            <v/>
          </cell>
        </row>
        <row r="951">
          <cell r="AJ951" t="str">
            <v/>
          </cell>
        </row>
        <row r="952">
          <cell r="AJ952" t="str">
            <v/>
          </cell>
        </row>
        <row r="953">
          <cell r="AJ953" t="str">
            <v/>
          </cell>
        </row>
        <row r="954">
          <cell r="AJ954" t="str">
            <v/>
          </cell>
        </row>
        <row r="955">
          <cell r="AJ955" t="str">
            <v/>
          </cell>
        </row>
        <row r="956">
          <cell r="AJ956" t="str">
            <v/>
          </cell>
        </row>
        <row r="957">
          <cell r="AJ957" t="str">
            <v/>
          </cell>
        </row>
        <row r="958">
          <cell r="AJ958" t="str">
            <v/>
          </cell>
        </row>
        <row r="959">
          <cell r="AJ959" t="str">
            <v/>
          </cell>
        </row>
        <row r="960">
          <cell r="AJ960" t="str">
            <v/>
          </cell>
        </row>
        <row r="961">
          <cell r="AJ961" t="str">
            <v/>
          </cell>
        </row>
        <row r="962">
          <cell r="AJ962" t="str">
            <v/>
          </cell>
        </row>
        <row r="963">
          <cell r="AJ963" t="str">
            <v/>
          </cell>
        </row>
        <row r="964">
          <cell r="AJ964" t="str">
            <v/>
          </cell>
        </row>
        <row r="965">
          <cell r="AJ965" t="str">
            <v/>
          </cell>
        </row>
        <row r="966">
          <cell r="AJ966" t="str">
            <v/>
          </cell>
        </row>
        <row r="967">
          <cell r="AJ967" t="str">
            <v/>
          </cell>
        </row>
        <row r="968">
          <cell r="AJ968" t="str">
            <v/>
          </cell>
        </row>
        <row r="969">
          <cell r="AJ969" t="str">
            <v/>
          </cell>
        </row>
        <row r="970">
          <cell r="AJ970" t="str">
            <v/>
          </cell>
        </row>
        <row r="971">
          <cell r="AJ971" t="str">
            <v/>
          </cell>
        </row>
        <row r="972">
          <cell r="AJ972" t="str">
            <v/>
          </cell>
        </row>
        <row r="973">
          <cell r="AJ973" t="str">
            <v/>
          </cell>
        </row>
        <row r="974">
          <cell r="AJ974" t="str">
            <v/>
          </cell>
        </row>
        <row r="975">
          <cell r="AJ975" t="str">
            <v/>
          </cell>
        </row>
        <row r="976">
          <cell r="AJ976" t="str">
            <v/>
          </cell>
        </row>
        <row r="977">
          <cell r="AJ977" t="str">
            <v/>
          </cell>
        </row>
        <row r="978">
          <cell r="AJ978" t="str">
            <v/>
          </cell>
        </row>
        <row r="979">
          <cell r="AJ979" t="str">
            <v/>
          </cell>
        </row>
        <row r="980">
          <cell r="AJ980" t="str">
            <v/>
          </cell>
        </row>
        <row r="981">
          <cell r="AJ981" t="str">
            <v/>
          </cell>
        </row>
        <row r="982">
          <cell r="AJ982" t="str">
            <v/>
          </cell>
        </row>
        <row r="983">
          <cell r="AJ983" t="str">
            <v/>
          </cell>
        </row>
        <row r="984">
          <cell r="AJ984" t="str">
            <v/>
          </cell>
        </row>
        <row r="985">
          <cell r="AJ985" t="str">
            <v/>
          </cell>
        </row>
        <row r="986">
          <cell r="AJ986" t="str">
            <v/>
          </cell>
        </row>
        <row r="987">
          <cell r="AJ987" t="str">
            <v/>
          </cell>
        </row>
        <row r="988">
          <cell r="AJ988" t="str">
            <v/>
          </cell>
        </row>
        <row r="989">
          <cell r="AJ989" t="str">
            <v/>
          </cell>
        </row>
        <row r="990">
          <cell r="AJ990" t="str">
            <v/>
          </cell>
        </row>
        <row r="991">
          <cell r="AJ991" t="str">
            <v/>
          </cell>
        </row>
        <row r="992">
          <cell r="AJ992" t="str">
            <v/>
          </cell>
        </row>
        <row r="993">
          <cell r="AJ993" t="str">
            <v/>
          </cell>
        </row>
        <row r="994">
          <cell r="AJ994" t="str">
            <v/>
          </cell>
        </row>
        <row r="995">
          <cell r="AJ995" t="str">
            <v/>
          </cell>
        </row>
        <row r="996">
          <cell r="AJ996" t="str">
            <v/>
          </cell>
        </row>
        <row r="997">
          <cell r="AJ997" t="str">
            <v/>
          </cell>
        </row>
        <row r="998">
          <cell r="AJ998" t="str">
            <v/>
          </cell>
        </row>
        <row r="999">
          <cell r="AJ999" t="str">
            <v/>
          </cell>
        </row>
        <row r="1000">
          <cell r="AJ1000" t="str">
            <v/>
          </cell>
        </row>
        <row r="1001">
          <cell r="AJ1001" t="str">
            <v/>
          </cell>
        </row>
        <row r="1002">
          <cell r="AJ1002" t="str">
            <v/>
          </cell>
        </row>
        <row r="1003">
          <cell r="AJ1003" t="str">
            <v/>
          </cell>
        </row>
        <row r="1004">
          <cell r="AJ1004" t="str">
            <v/>
          </cell>
        </row>
        <row r="1005">
          <cell r="AJ1005" t="str">
            <v/>
          </cell>
        </row>
        <row r="1006">
          <cell r="AJ1006" t="str">
            <v/>
          </cell>
        </row>
        <row r="1007">
          <cell r="AJ1007" t="str">
            <v/>
          </cell>
        </row>
        <row r="1008">
          <cell r="AJ1008" t="str">
            <v/>
          </cell>
        </row>
        <row r="1009">
          <cell r="AJ1009" t="str">
            <v/>
          </cell>
        </row>
        <row r="1010">
          <cell r="AJ1010" t="str">
            <v/>
          </cell>
        </row>
        <row r="1011">
          <cell r="AJ1011" t="str">
            <v/>
          </cell>
        </row>
        <row r="1012">
          <cell r="AJ1012" t="str">
            <v/>
          </cell>
        </row>
        <row r="1013">
          <cell r="AJ1013" t="str">
            <v/>
          </cell>
        </row>
        <row r="1014">
          <cell r="AJ1014" t="str">
            <v/>
          </cell>
        </row>
        <row r="1015">
          <cell r="AJ1015" t="str">
            <v/>
          </cell>
        </row>
        <row r="1016">
          <cell r="AJ1016" t="str">
            <v/>
          </cell>
        </row>
        <row r="1017">
          <cell r="AJ1017" t="str">
            <v/>
          </cell>
        </row>
        <row r="1018">
          <cell r="AJ1018" t="str">
            <v/>
          </cell>
        </row>
        <row r="1019">
          <cell r="AJ1019" t="str">
            <v/>
          </cell>
        </row>
        <row r="1020">
          <cell r="AJ1020" t="str">
            <v/>
          </cell>
        </row>
        <row r="1021">
          <cell r="AJ1021" t="str">
            <v/>
          </cell>
        </row>
        <row r="1022">
          <cell r="AJ1022" t="str">
            <v/>
          </cell>
        </row>
        <row r="1023">
          <cell r="AJ1023" t="str">
            <v/>
          </cell>
        </row>
        <row r="1024">
          <cell r="AJ1024" t="str">
            <v/>
          </cell>
        </row>
        <row r="1025">
          <cell r="AJ1025" t="str">
            <v/>
          </cell>
        </row>
        <row r="1026">
          <cell r="AJ1026" t="str">
            <v/>
          </cell>
        </row>
        <row r="1027">
          <cell r="AJ1027" t="str">
            <v/>
          </cell>
        </row>
        <row r="1028">
          <cell r="AJ1028" t="str">
            <v/>
          </cell>
        </row>
        <row r="1029">
          <cell r="AJ1029" t="str">
            <v/>
          </cell>
        </row>
        <row r="1030">
          <cell r="AJ1030" t="str">
            <v/>
          </cell>
        </row>
        <row r="1031">
          <cell r="AJ1031" t="str">
            <v/>
          </cell>
        </row>
        <row r="1032">
          <cell r="AJ1032" t="str">
            <v/>
          </cell>
        </row>
        <row r="1033">
          <cell r="AJ1033" t="str">
            <v/>
          </cell>
        </row>
        <row r="1034">
          <cell r="AJ1034" t="str">
            <v/>
          </cell>
        </row>
        <row r="1035">
          <cell r="AJ1035" t="str">
            <v/>
          </cell>
        </row>
        <row r="1036">
          <cell r="AJ1036" t="str">
            <v/>
          </cell>
        </row>
        <row r="1037">
          <cell r="AJ1037" t="str">
            <v/>
          </cell>
        </row>
        <row r="1038">
          <cell r="AJ1038" t="str">
            <v/>
          </cell>
        </row>
        <row r="1039">
          <cell r="AJ1039" t="str">
            <v/>
          </cell>
        </row>
        <row r="1040">
          <cell r="AJ1040" t="str">
            <v/>
          </cell>
        </row>
        <row r="1041">
          <cell r="AJ1041" t="str">
            <v/>
          </cell>
        </row>
        <row r="1042">
          <cell r="AJ1042" t="str">
            <v/>
          </cell>
        </row>
        <row r="1043">
          <cell r="AJ1043" t="str">
            <v/>
          </cell>
        </row>
        <row r="1044">
          <cell r="AJ1044" t="str">
            <v/>
          </cell>
        </row>
        <row r="1045">
          <cell r="AJ1045" t="str">
            <v/>
          </cell>
        </row>
        <row r="1046">
          <cell r="AJ1046" t="str">
            <v/>
          </cell>
        </row>
        <row r="1047">
          <cell r="AJ1047" t="str">
            <v/>
          </cell>
        </row>
        <row r="1048">
          <cell r="AJ1048" t="str">
            <v/>
          </cell>
        </row>
        <row r="1049">
          <cell r="AJ1049" t="str">
            <v/>
          </cell>
        </row>
        <row r="1050">
          <cell r="AJ1050" t="str">
            <v/>
          </cell>
        </row>
        <row r="1051">
          <cell r="AJ1051" t="str">
            <v/>
          </cell>
        </row>
        <row r="1052">
          <cell r="AJ1052" t="str">
            <v/>
          </cell>
        </row>
        <row r="1053">
          <cell r="AJ1053" t="str">
            <v/>
          </cell>
        </row>
        <row r="1054">
          <cell r="AJ1054" t="str">
            <v/>
          </cell>
        </row>
        <row r="1055">
          <cell r="AJ1055" t="str">
            <v/>
          </cell>
        </row>
        <row r="1056">
          <cell r="AJ1056" t="str">
            <v/>
          </cell>
        </row>
        <row r="1057">
          <cell r="AJ1057" t="str">
            <v/>
          </cell>
        </row>
        <row r="1058">
          <cell r="AJ1058" t="str">
            <v/>
          </cell>
        </row>
        <row r="1059">
          <cell r="AJ1059" t="str">
            <v/>
          </cell>
        </row>
        <row r="1060">
          <cell r="AJ1060" t="str">
            <v/>
          </cell>
        </row>
        <row r="1061">
          <cell r="AJ1061" t="str">
            <v/>
          </cell>
        </row>
        <row r="1062">
          <cell r="AJ1062" t="str">
            <v/>
          </cell>
        </row>
        <row r="1063">
          <cell r="AJ1063" t="str">
            <v/>
          </cell>
        </row>
        <row r="1064">
          <cell r="AJ1064" t="str">
            <v/>
          </cell>
        </row>
        <row r="1065">
          <cell r="AJ1065" t="str">
            <v/>
          </cell>
        </row>
        <row r="1066">
          <cell r="AJ1066" t="str">
            <v/>
          </cell>
        </row>
        <row r="1067">
          <cell r="AJ1067" t="str">
            <v/>
          </cell>
        </row>
        <row r="1068">
          <cell r="AJ1068" t="str">
            <v/>
          </cell>
        </row>
        <row r="1069">
          <cell r="AJ1069" t="str">
            <v/>
          </cell>
        </row>
        <row r="1070">
          <cell r="AJ1070" t="str">
            <v/>
          </cell>
        </row>
        <row r="1071">
          <cell r="AJ1071" t="str">
            <v/>
          </cell>
        </row>
        <row r="1072">
          <cell r="AJ1072" t="str">
            <v/>
          </cell>
        </row>
        <row r="1073">
          <cell r="AJ1073" t="str">
            <v/>
          </cell>
        </row>
        <row r="1074">
          <cell r="AJ1074" t="str">
            <v/>
          </cell>
        </row>
        <row r="1075">
          <cell r="AJ1075" t="str">
            <v/>
          </cell>
        </row>
        <row r="1076">
          <cell r="AJ1076" t="str">
            <v/>
          </cell>
        </row>
        <row r="1077">
          <cell r="AJ1077" t="str">
            <v/>
          </cell>
        </row>
        <row r="1078">
          <cell r="AJ1078" t="str">
            <v/>
          </cell>
        </row>
        <row r="1079">
          <cell r="AJ1079" t="str">
            <v/>
          </cell>
        </row>
        <row r="1080">
          <cell r="AJ1080" t="str">
            <v/>
          </cell>
        </row>
        <row r="1081">
          <cell r="AJ1081" t="str">
            <v/>
          </cell>
        </row>
        <row r="1082">
          <cell r="AJ1082" t="str">
            <v/>
          </cell>
        </row>
        <row r="1083">
          <cell r="AJ1083" t="str">
            <v/>
          </cell>
        </row>
        <row r="1084">
          <cell r="AJ1084" t="str">
            <v/>
          </cell>
        </row>
        <row r="1085">
          <cell r="AJ1085" t="str">
            <v/>
          </cell>
        </row>
        <row r="1086">
          <cell r="AJ1086" t="str">
            <v/>
          </cell>
        </row>
        <row r="1087">
          <cell r="AJ1087" t="str">
            <v/>
          </cell>
        </row>
        <row r="1088">
          <cell r="AJ1088" t="str">
            <v/>
          </cell>
        </row>
        <row r="1089">
          <cell r="AJ1089" t="str">
            <v/>
          </cell>
        </row>
        <row r="1090">
          <cell r="AJ1090" t="str">
            <v/>
          </cell>
        </row>
        <row r="1091">
          <cell r="AJ1091" t="str">
            <v/>
          </cell>
        </row>
        <row r="1092">
          <cell r="AJ1092" t="str">
            <v/>
          </cell>
        </row>
        <row r="1093">
          <cell r="AJ1093" t="str">
            <v/>
          </cell>
        </row>
        <row r="1094">
          <cell r="AJ1094" t="str">
            <v/>
          </cell>
        </row>
        <row r="1095">
          <cell r="AJ1095" t="str">
            <v/>
          </cell>
        </row>
        <row r="1096">
          <cell r="AJ1096" t="str">
            <v/>
          </cell>
        </row>
        <row r="1097">
          <cell r="AJ1097" t="str">
            <v/>
          </cell>
        </row>
        <row r="1098">
          <cell r="AJ1098" t="str">
            <v/>
          </cell>
        </row>
        <row r="1099">
          <cell r="AJ1099" t="str">
            <v/>
          </cell>
        </row>
        <row r="1100">
          <cell r="AJ1100" t="str">
            <v/>
          </cell>
        </row>
        <row r="1101">
          <cell r="AJ1101" t="str">
            <v/>
          </cell>
        </row>
        <row r="1102">
          <cell r="AJ1102" t="str">
            <v/>
          </cell>
        </row>
        <row r="1103">
          <cell r="AJ1103" t="str">
            <v/>
          </cell>
        </row>
        <row r="1104">
          <cell r="AJ1104" t="str">
            <v/>
          </cell>
        </row>
        <row r="1105">
          <cell r="AJ1105" t="str">
            <v/>
          </cell>
        </row>
        <row r="1106">
          <cell r="AJ1106" t="str">
            <v/>
          </cell>
        </row>
        <row r="1107">
          <cell r="AJ1107" t="str">
            <v/>
          </cell>
        </row>
        <row r="1108">
          <cell r="AJ1108" t="str">
            <v/>
          </cell>
        </row>
        <row r="1109">
          <cell r="AJ1109" t="str">
            <v/>
          </cell>
        </row>
        <row r="1110">
          <cell r="AJ1110" t="str">
            <v/>
          </cell>
        </row>
        <row r="1111">
          <cell r="AJ1111" t="str">
            <v/>
          </cell>
        </row>
        <row r="1112">
          <cell r="AJ1112" t="str">
            <v/>
          </cell>
        </row>
        <row r="1113">
          <cell r="AJ1113" t="str">
            <v/>
          </cell>
        </row>
        <row r="1114">
          <cell r="AJ1114" t="str">
            <v/>
          </cell>
        </row>
        <row r="1115">
          <cell r="AJ1115" t="str">
            <v/>
          </cell>
        </row>
        <row r="1116">
          <cell r="AJ1116" t="str">
            <v/>
          </cell>
        </row>
        <row r="1117">
          <cell r="AJ1117" t="str">
            <v/>
          </cell>
        </row>
        <row r="1118">
          <cell r="AJ1118" t="str">
            <v/>
          </cell>
        </row>
        <row r="1119">
          <cell r="AJ1119" t="str">
            <v/>
          </cell>
        </row>
        <row r="1120">
          <cell r="AJ1120" t="str">
            <v/>
          </cell>
        </row>
        <row r="1121">
          <cell r="AJ1121" t="str">
            <v/>
          </cell>
        </row>
        <row r="1122">
          <cell r="AJ1122" t="str">
            <v/>
          </cell>
        </row>
        <row r="1123">
          <cell r="AJ1123" t="str">
            <v/>
          </cell>
        </row>
        <row r="1124">
          <cell r="AJ1124" t="str">
            <v/>
          </cell>
        </row>
        <row r="1125">
          <cell r="AJ1125" t="str">
            <v/>
          </cell>
        </row>
        <row r="1126">
          <cell r="AJ1126" t="str">
            <v/>
          </cell>
        </row>
        <row r="1127">
          <cell r="AJ1127" t="str">
            <v/>
          </cell>
        </row>
        <row r="1128">
          <cell r="AJ1128" t="str">
            <v/>
          </cell>
        </row>
        <row r="1129">
          <cell r="AJ1129" t="str">
            <v/>
          </cell>
        </row>
        <row r="1130">
          <cell r="AJ1130" t="str">
            <v/>
          </cell>
        </row>
        <row r="1131">
          <cell r="AJ1131" t="str">
            <v/>
          </cell>
        </row>
        <row r="1132">
          <cell r="AJ1132" t="str">
            <v/>
          </cell>
        </row>
        <row r="1133">
          <cell r="AJ1133" t="str">
            <v/>
          </cell>
        </row>
        <row r="1134">
          <cell r="AJ1134" t="str">
            <v/>
          </cell>
        </row>
        <row r="1135">
          <cell r="AJ1135" t="str">
            <v/>
          </cell>
        </row>
        <row r="1136">
          <cell r="AJ1136" t="str">
            <v/>
          </cell>
        </row>
        <row r="1137">
          <cell r="AJ1137" t="str">
            <v/>
          </cell>
        </row>
        <row r="1138">
          <cell r="AJ1138" t="str">
            <v/>
          </cell>
        </row>
        <row r="1139">
          <cell r="AJ1139" t="str">
            <v/>
          </cell>
        </row>
        <row r="1140">
          <cell r="AJ1140" t="str">
            <v/>
          </cell>
        </row>
        <row r="1141">
          <cell r="AJ1141" t="str">
            <v/>
          </cell>
        </row>
        <row r="1142">
          <cell r="AJ1142" t="str">
            <v/>
          </cell>
        </row>
        <row r="1143">
          <cell r="AJ1143" t="str">
            <v/>
          </cell>
        </row>
        <row r="1144">
          <cell r="AJ1144" t="str">
            <v/>
          </cell>
        </row>
        <row r="1145">
          <cell r="AJ1145" t="str">
            <v/>
          </cell>
        </row>
        <row r="1146">
          <cell r="AJ1146" t="str">
            <v/>
          </cell>
        </row>
        <row r="1147">
          <cell r="AJ1147" t="str">
            <v/>
          </cell>
        </row>
        <row r="1148">
          <cell r="AJ1148" t="str">
            <v/>
          </cell>
        </row>
        <row r="1149">
          <cell r="AJ1149" t="str">
            <v/>
          </cell>
        </row>
        <row r="1150">
          <cell r="AJ1150" t="str">
            <v/>
          </cell>
        </row>
        <row r="1151">
          <cell r="AJ1151" t="str">
            <v/>
          </cell>
        </row>
        <row r="1152">
          <cell r="AJ1152" t="str">
            <v/>
          </cell>
        </row>
        <row r="1153">
          <cell r="AJ1153" t="str">
            <v/>
          </cell>
        </row>
        <row r="1154">
          <cell r="AJ1154" t="str">
            <v/>
          </cell>
        </row>
        <row r="1155">
          <cell r="AJ1155" t="str">
            <v/>
          </cell>
        </row>
        <row r="1156">
          <cell r="AJ1156" t="str">
            <v/>
          </cell>
        </row>
        <row r="1157">
          <cell r="AJ1157" t="str">
            <v/>
          </cell>
        </row>
        <row r="1158">
          <cell r="AJ1158" t="str">
            <v/>
          </cell>
        </row>
        <row r="1159">
          <cell r="AJ1159" t="str">
            <v/>
          </cell>
        </row>
        <row r="1160">
          <cell r="AJ1160" t="str">
            <v/>
          </cell>
        </row>
        <row r="1161">
          <cell r="AJ1161" t="str">
            <v/>
          </cell>
        </row>
        <row r="1162">
          <cell r="AJ1162" t="str">
            <v/>
          </cell>
        </row>
        <row r="1163">
          <cell r="AJ1163" t="str">
            <v/>
          </cell>
        </row>
        <row r="1164">
          <cell r="AJ1164" t="str">
            <v/>
          </cell>
        </row>
        <row r="1165">
          <cell r="AJ1165" t="str">
            <v/>
          </cell>
        </row>
        <row r="1166">
          <cell r="AJ1166" t="str">
            <v/>
          </cell>
        </row>
        <row r="1167">
          <cell r="AJ1167" t="str">
            <v/>
          </cell>
        </row>
        <row r="1168">
          <cell r="AJ1168" t="str">
            <v/>
          </cell>
        </row>
        <row r="1169">
          <cell r="AJ1169" t="str">
            <v/>
          </cell>
        </row>
        <row r="1170">
          <cell r="AJ1170" t="str">
            <v/>
          </cell>
        </row>
        <row r="1171">
          <cell r="AJ1171" t="str">
            <v/>
          </cell>
        </row>
        <row r="1172">
          <cell r="AJ1172" t="str">
            <v/>
          </cell>
        </row>
        <row r="1173">
          <cell r="AJ1173" t="str">
            <v/>
          </cell>
        </row>
        <row r="1174">
          <cell r="AJ1174" t="str">
            <v/>
          </cell>
        </row>
        <row r="1175">
          <cell r="AJ1175" t="str">
            <v/>
          </cell>
        </row>
        <row r="1176">
          <cell r="AJ1176" t="str">
            <v/>
          </cell>
        </row>
        <row r="1177">
          <cell r="AJ1177" t="str">
            <v/>
          </cell>
        </row>
        <row r="1178">
          <cell r="AJ1178" t="str">
            <v/>
          </cell>
        </row>
        <row r="1179">
          <cell r="AJ1179" t="str">
            <v/>
          </cell>
        </row>
        <row r="1180">
          <cell r="AJ1180" t="str">
            <v/>
          </cell>
        </row>
        <row r="1181">
          <cell r="AJ1181" t="str">
            <v/>
          </cell>
        </row>
        <row r="1182">
          <cell r="AJ1182" t="str">
            <v/>
          </cell>
        </row>
        <row r="1183">
          <cell r="AJ1183" t="str">
            <v/>
          </cell>
        </row>
        <row r="1184">
          <cell r="AJ1184" t="str">
            <v/>
          </cell>
        </row>
        <row r="1185">
          <cell r="AJ1185" t="str">
            <v/>
          </cell>
        </row>
        <row r="1186">
          <cell r="AJ1186" t="str">
            <v/>
          </cell>
        </row>
        <row r="1187">
          <cell r="AJ1187" t="str">
            <v/>
          </cell>
        </row>
        <row r="1188">
          <cell r="AJ1188" t="str">
            <v/>
          </cell>
        </row>
        <row r="1189">
          <cell r="AJ1189" t="str">
            <v/>
          </cell>
        </row>
        <row r="1190">
          <cell r="AJ1190" t="str">
            <v/>
          </cell>
        </row>
        <row r="1191">
          <cell r="AJ1191" t="str">
            <v/>
          </cell>
        </row>
        <row r="1192">
          <cell r="AJ1192" t="str">
            <v/>
          </cell>
        </row>
        <row r="1193">
          <cell r="AJ1193" t="str">
            <v/>
          </cell>
        </row>
        <row r="1194">
          <cell r="AJ1194" t="str">
            <v/>
          </cell>
        </row>
        <row r="1195">
          <cell r="AJ1195" t="str">
            <v/>
          </cell>
        </row>
        <row r="1196">
          <cell r="AJ1196" t="str">
            <v/>
          </cell>
        </row>
        <row r="1197">
          <cell r="AJ1197" t="str">
            <v/>
          </cell>
        </row>
        <row r="1198">
          <cell r="AJ1198" t="str">
            <v/>
          </cell>
        </row>
        <row r="1199">
          <cell r="AJ1199" t="str">
            <v/>
          </cell>
        </row>
        <row r="1200">
          <cell r="AJ1200" t="str">
            <v/>
          </cell>
        </row>
        <row r="1201">
          <cell r="AJ1201" t="str">
            <v/>
          </cell>
        </row>
        <row r="1202">
          <cell r="AJ1202" t="str">
            <v/>
          </cell>
        </row>
        <row r="1203">
          <cell r="AJ1203" t="str">
            <v/>
          </cell>
        </row>
        <row r="1204">
          <cell r="AJ1204" t="str">
            <v/>
          </cell>
        </row>
        <row r="1205">
          <cell r="AJ1205" t="str">
            <v/>
          </cell>
        </row>
        <row r="1206">
          <cell r="AJ1206" t="str">
            <v/>
          </cell>
        </row>
        <row r="1207">
          <cell r="AJ1207" t="str">
            <v/>
          </cell>
        </row>
        <row r="1208">
          <cell r="AJ1208" t="str">
            <v/>
          </cell>
        </row>
        <row r="1209">
          <cell r="AJ1209" t="str">
            <v/>
          </cell>
        </row>
        <row r="1210">
          <cell r="AJ1210" t="str">
            <v/>
          </cell>
        </row>
        <row r="1211">
          <cell r="AJ1211" t="str">
            <v/>
          </cell>
        </row>
        <row r="1212">
          <cell r="AJ1212" t="str">
            <v/>
          </cell>
        </row>
        <row r="1213">
          <cell r="AJ1213" t="str">
            <v/>
          </cell>
        </row>
        <row r="1214">
          <cell r="AJ1214" t="str">
            <v/>
          </cell>
        </row>
        <row r="1215">
          <cell r="AJ1215" t="str">
            <v/>
          </cell>
        </row>
        <row r="1216">
          <cell r="AJ1216" t="str">
            <v/>
          </cell>
        </row>
        <row r="1217">
          <cell r="AJ1217" t="str">
            <v/>
          </cell>
        </row>
        <row r="1218">
          <cell r="AJ1218" t="str">
            <v/>
          </cell>
        </row>
        <row r="1219">
          <cell r="AJ1219" t="str">
            <v/>
          </cell>
        </row>
        <row r="1220">
          <cell r="AJ1220" t="str">
            <v/>
          </cell>
        </row>
        <row r="1221">
          <cell r="AJ1221" t="str">
            <v/>
          </cell>
        </row>
        <row r="1222">
          <cell r="AJ1222" t="str">
            <v/>
          </cell>
        </row>
        <row r="1223">
          <cell r="AJ1223" t="str">
            <v/>
          </cell>
        </row>
        <row r="1224">
          <cell r="AJ1224" t="str">
            <v/>
          </cell>
        </row>
        <row r="1225">
          <cell r="AJ1225" t="str">
            <v/>
          </cell>
        </row>
        <row r="1226">
          <cell r="AJ1226" t="str">
            <v/>
          </cell>
        </row>
        <row r="1227">
          <cell r="AJ1227" t="str">
            <v/>
          </cell>
        </row>
        <row r="1228">
          <cell r="AJ1228" t="str">
            <v/>
          </cell>
        </row>
        <row r="1229">
          <cell r="AJ1229" t="str">
            <v/>
          </cell>
        </row>
        <row r="1230">
          <cell r="AJ1230" t="str">
            <v/>
          </cell>
        </row>
        <row r="1231">
          <cell r="AJ1231" t="str">
            <v/>
          </cell>
        </row>
        <row r="1232">
          <cell r="AJ1232" t="str">
            <v/>
          </cell>
        </row>
        <row r="1233">
          <cell r="AJ1233" t="str">
            <v/>
          </cell>
        </row>
        <row r="1234">
          <cell r="AJ1234" t="str">
            <v/>
          </cell>
        </row>
        <row r="1235">
          <cell r="AJ1235" t="str">
            <v/>
          </cell>
        </row>
        <row r="1236">
          <cell r="AJ1236" t="str">
            <v/>
          </cell>
        </row>
        <row r="1237">
          <cell r="AJ1237" t="str">
            <v/>
          </cell>
        </row>
        <row r="1238">
          <cell r="AJ1238" t="str">
            <v/>
          </cell>
        </row>
        <row r="1239">
          <cell r="AJ1239" t="str">
            <v/>
          </cell>
        </row>
        <row r="1240">
          <cell r="AJ1240" t="str">
            <v/>
          </cell>
        </row>
        <row r="1241">
          <cell r="AJ1241" t="str">
            <v/>
          </cell>
        </row>
        <row r="1242">
          <cell r="AJ1242" t="str">
            <v/>
          </cell>
        </row>
        <row r="1243">
          <cell r="AJ1243" t="str">
            <v/>
          </cell>
        </row>
        <row r="1244">
          <cell r="AJ1244" t="str">
            <v/>
          </cell>
        </row>
        <row r="1245">
          <cell r="AJ1245" t="str">
            <v/>
          </cell>
        </row>
        <row r="1246">
          <cell r="AJ1246" t="str">
            <v/>
          </cell>
        </row>
        <row r="1247">
          <cell r="AJ1247" t="str">
            <v/>
          </cell>
        </row>
        <row r="1248">
          <cell r="AJ1248" t="str">
            <v/>
          </cell>
        </row>
        <row r="1249">
          <cell r="AJ1249" t="str">
            <v/>
          </cell>
        </row>
        <row r="1250">
          <cell r="AJ1250" t="str">
            <v/>
          </cell>
        </row>
        <row r="1251">
          <cell r="AJ1251" t="str">
            <v/>
          </cell>
        </row>
        <row r="1252">
          <cell r="AJ1252" t="str">
            <v/>
          </cell>
        </row>
        <row r="1253">
          <cell r="AJ1253" t="str">
            <v/>
          </cell>
        </row>
        <row r="1254">
          <cell r="AJ1254" t="str">
            <v/>
          </cell>
        </row>
        <row r="1255">
          <cell r="AJ1255" t="str">
            <v/>
          </cell>
        </row>
        <row r="1256">
          <cell r="AJ1256" t="str">
            <v/>
          </cell>
        </row>
        <row r="1257">
          <cell r="AJ1257" t="str">
            <v/>
          </cell>
        </row>
        <row r="1258">
          <cell r="AJ1258" t="str">
            <v/>
          </cell>
        </row>
        <row r="1259">
          <cell r="AJ1259" t="str">
            <v/>
          </cell>
        </row>
        <row r="1260">
          <cell r="AJ1260" t="str">
            <v/>
          </cell>
        </row>
        <row r="1261">
          <cell r="AJ1261" t="str">
            <v/>
          </cell>
        </row>
        <row r="1262">
          <cell r="AJ1262" t="str">
            <v/>
          </cell>
        </row>
        <row r="1263">
          <cell r="AJ1263" t="str">
            <v/>
          </cell>
        </row>
        <row r="1264">
          <cell r="AJ1264" t="str">
            <v/>
          </cell>
        </row>
        <row r="1265">
          <cell r="AJ1265" t="str">
            <v/>
          </cell>
        </row>
        <row r="1266">
          <cell r="AJ1266" t="str">
            <v/>
          </cell>
        </row>
        <row r="1267">
          <cell r="AJ1267" t="str">
            <v/>
          </cell>
        </row>
        <row r="1268">
          <cell r="AJ1268" t="str">
            <v/>
          </cell>
        </row>
        <row r="1269">
          <cell r="AJ1269" t="str">
            <v/>
          </cell>
        </row>
        <row r="1270">
          <cell r="AJ1270" t="str">
            <v/>
          </cell>
        </row>
        <row r="1271">
          <cell r="AJ1271" t="str">
            <v/>
          </cell>
        </row>
        <row r="1272">
          <cell r="AJ1272" t="str">
            <v/>
          </cell>
        </row>
        <row r="1273">
          <cell r="AJ1273" t="str">
            <v/>
          </cell>
        </row>
        <row r="1274">
          <cell r="AJ1274" t="str">
            <v/>
          </cell>
        </row>
        <row r="1275">
          <cell r="AJ1275" t="str">
            <v/>
          </cell>
        </row>
        <row r="1276">
          <cell r="AJ1276" t="str">
            <v/>
          </cell>
        </row>
        <row r="1277">
          <cell r="AJ1277" t="str">
            <v/>
          </cell>
        </row>
        <row r="1278">
          <cell r="AJ1278" t="str">
            <v/>
          </cell>
        </row>
        <row r="1279">
          <cell r="AJ1279" t="str">
            <v/>
          </cell>
        </row>
        <row r="1280">
          <cell r="AJ1280" t="str">
            <v/>
          </cell>
        </row>
        <row r="1281">
          <cell r="AJ1281" t="str">
            <v/>
          </cell>
        </row>
        <row r="1282">
          <cell r="AJ1282" t="str">
            <v/>
          </cell>
        </row>
        <row r="1283">
          <cell r="AJ1283" t="str">
            <v/>
          </cell>
        </row>
        <row r="1284">
          <cell r="AJ1284" t="str">
            <v/>
          </cell>
        </row>
        <row r="1285">
          <cell r="AJ1285" t="str">
            <v/>
          </cell>
        </row>
        <row r="1286">
          <cell r="AJ1286" t="str">
            <v/>
          </cell>
        </row>
        <row r="1287">
          <cell r="AJ1287" t="str">
            <v/>
          </cell>
        </row>
        <row r="1288">
          <cell r="AJ1288" t="str">
            <v/>
          </cell>
        </row>
        <row r="1289">
          <cell r="AJ1289" t="str">
            <v/>
          </cell>
        </row>
        <row r="1290">
          <cell r="AJ1290" t="str">
            <v/>
          </cell>
        </row>
        <row r="1291">
          <cell r="AJ1291" t="str">
            <v/>
          </cell>
        </row>
        <row r="1292">
          <cell r="AJ1292" t="str">
            <v/>
          </cell>
        </row>
        <row r="1293">
          <cell r="AJ1293" t="str">
            <v/>
          </cell>
        </row>
        <row r="1294">
          <cell r="AJ1294" t="str">
            <v/>
          </cell>
        </row>
        <row r="1295">
          <cell r="AJ1295" t="str">
            <v/>
          </cell>
        </row>
        <row r="1296">
          <cell r="AJ1296" t="str">
            <v/>
          </cell>
        </row>
        <row r="1297">
          <cell r="AJ1297" t="str">
            <v/>
          </cell>
        </row>
        <row r="1298">
          <cell r="AJ1298" t="str">
            <v/>
          </cell>
        </row>
        <row r="1299">
          <cell r="AJ1299" t="str">
            <v/>
          </cell>
        </row>
        <row r="1300">
          <cell r="AJ1300" t="str">
            <v/>
          </cell>
        </row>
        <row r="1301">
          <cell r="AJ1301" t="str">
            <v/>
          </cell>
        </row>
        <row r="1302">
          <cell r="AJ1302" t="str">
            <v/>
          </cell>
        </row>
        <row r="1303">
          <cell r="AJ1303" t="str">
            <v/>
          </cell>
        </row>
        <row r="1304">
          <cell r="AJ1304" t="str">
            <v/>
          </cell>
        </row>
        <row r="1305">
          <cell r="AJ1305" t="str">
            <v/>
          </cell>
        </row>
        <row r="1306">
          <cell r="AJ1306" t="str">
            <v/>
          </cell>
        </row>
        <row r="1307">
          <cell r="AJ1307" t="str">
            <v/>
          </cell>
        </row>
        <row r="1308">
          <cell r="AJ1308" t="str">
            <v/>
          </cell>
        </row>
        <row r="1309">
          <cell r="AJ1309" t="str">
            <v/>
          </cell>
        </row>
        <row r="1310">
          <cell r="AJ1310" t="str">
            <v/>
          </cell>
        </row>
        <row r="1311">
          <cell r="AJ1311" t="str">
            <v/>
          </cell>
        </row>
        <row r="1312">
          <cell r="AJ1312" t="str">
            <v/>
          </cell>
        </row>
        <row r="1313">
          <cell r="AJ1313" t="str">
            <v/>
          </cell>
        </row>
        <row r="1314">
          <cell r="AJ1314" t="str">
            <v/>
          </cell>
        </row>
        <row r="1315">
          <cell r="AJ1315" t="str">
            <v/>
          </cell>
        </row>
        <row r="1316">
          <cell r="AJ1316" t="str">
            <v/>
          </cell>
        </row>
        <row r="1317">
          <cell r="AJ1317" t="str">
            <v/>
          </cell>
        </row>
        <row r="1318">
          <cell r="AJ1318" t="str">
            <v/>
          </cell>
        </row>
        <row r="1319">
          <cell r="AJ1319" t="str">
            <v/>
          </cell>
        </row>
        <row r="1320">
          <cell r="AJ1320" t="str">
            <v/>
          </cell>
        </row>
        <row r="1321">
          <cell r="AJ1321" t="str">
            <v/>
          </cell>
        </row>
        <row r="1322">
          <cell r="AJ1322" t="str">
            <v/>
          </cell>
        </row>
        <row r="1323">
          <cell r="AJ1323" t="str">
            <v/>
          </cell>
        </row>
        <row r="1324">
          <cell r="AJ1324" t="str">
            <v/>
          </cell>
        </row>
        <row r="1325">
          <cell r="AJ1325" t="str">
            <v/>
          </cell>
        </row>
        <row r="1326">
          <cell r="AJ1326" t="str">
            <v/>
          </cell>
        </row>
        <row r="1327">
          <cell r="AJ1327" t="str">
            <v/>
          </cell>
        </row>
        <row r="1328">
          <cell r="AJ1328" t="str">
            <v/>
          </cell>
        </row>
        <row r="1329">
          <cell r="AJ1329" t="str">
            <v/>
          </cell>
        </row>
        <row r="1330">
          <cell r="AJ1330" t="str">
            <v/>
          </cell>
        </row>
        <row r="1331">
          <cell r="AJ1331" t="str">
            <v/>
          </cell>
        </row>
        <row r="1332">
          <cell r="AJ1332" t="str">
            <v/>
          </cell>
        </row>
        <row r="1333">
          <cell r="AJ1333" t="str">
            <v/>
          </cell>
        </row>
        <row r="1334">
          <cell r="AJ1334" t="str">
            <v/>
          </cell>
        </row>
        <row r="1335">
          <cell r="AJ1335" t="str">
            <v/>
          </cell>
        </row>
        <row r="1336">
          <cell r="AJ1336" t="str">
            <v/>
          </cell>
        </row>
        <row r="1337">
          <cell r="AJ1337" t="str">
            <v/>
          </cell>
        </row>
        <row r="1338">
          <cell r="AJ1338" t="str">
            <v/>
          </cell>
        </row>
        <row r="1339">
          <cell r="AJ1339" t="str">
            <v/>
          </cell>
        </row>
        <row r="1340">
          <cell r="AJ1340" t="str">
            <v/>
          </cell>
        </row>
        <row r="1341">
          <cell r="AJ1341" t="str">
            <v/>
          </cell>
        </row>
        <row r="1342">
          <cell r="AJ1342" t="str">
            <v/>
          </cell>
        </row>
        <row r="1343">
          <cell r="AJ1343" t="str">
            <v/>
          </cell>
        </row>
        <row r="1344">
          <cell r="AJ1344" t="str">
            <v/>
          </cell>
        </row>
        <row r="1345">
          <cell r="AJ1345" t="str">
            <v/>
          </cell>
        </row>
        <row r="1346">
          <cell r="AJ1346" t="str">
            <v/>
          </cell>
        </row>
        <row r="1347">
          <cell r="AJ1347" t="str">
            <v/>
          </cell>
        </row>
        <row r="1348">
          <cell r="AJ1348" t="str">
            <v/>
          </cell>
        </row>
        <row r="1349">
          <cell r="AJ1349" t="str">
            <v/>
          </cell>
        </row>
        <row r="1350">
          <cell r="AJ1350" t="str">
            <v/>
          </cell>
        </row>
        <row r="1351">
          <cell r="AJ1351" t="str">
            <v/>
          </cell>
        </row>
        <row r="1352">
          <cell r="AJ1352" t="str">
            <v/>
          </cell>
        </row>
        <row r="1353">
          <cell r="AJ1353" t="str">
            <v/>
          </cell>
        </row>
        <row r="1354">
          <cell r="AJ1354" t="str">
            <v/>
          </cell>
        </row>
        <row r="1355">
          <cell r="AJ1355" t="str">
            <v/>
          </cell>
        </row>
        <row r="1356">
          <cell r="AJ1356" t="str">
            <v/>
          </cell>
        </row>
        <row r="1357">
          <cell r="AJ1357" t="str">
            <v/>
          </cell>
        </row>
        <row r="1358">
          <cell r="AJ1358" t="str">
            <v/>
          </cell>
        </row>
        <row r="1359">
          <cell r="AJ1359" t="str">
            <v/>
          </cell>
        </row>
        <row r="1360">
          <cell r="AJ1360" t="str">
            <v/>
          </cell>
        </row>
        <row r="1361">
          <cell r="AJ1361" t="str">
            <v/>
          </cell>
        </row>
        <row r="1362">
          <cell r="AJ1362" t="str">
            <v/>
          </cell>
        </row>
        <row r="1363">
          <cell r="AJ1363" t="str">
            <v/>
          </cell>
        </row>
        <row r="1364">
          <cell r="AJ1364" t="str">
            <v/>
          </cell>
        </row>
        <row r="1365">
          <cell r="AJ1365" t="str">
            <v/>
          </cell>
        </row>
        <row r="1366">
          <cell r="AJ1366" t="str">
            <v/>
          </cell>
        </row>
        <row r="1367">
          <cell r="AJ1367" t="str">
            <v/>
          </cell>
        </row>
        <row r="1368">
          <cell r="AJ1368" t="str">
            <v/>
          </cell>
        </row>
        <row r="1369">
          <cell r="AJ1369" t="str">
            <v/>
          </cell>
        </row>
        <row r="1370">
          <cell r="AJ1370" t="str">
            <v/>
          </cell>
        </row>
        <row r="1371">
          <cell r="AJ1371" t="str">
            <v/>
          </cell>
        </row>
        <row r="1372">
          <cell r="AJ1372" t="str">
            <v/>
          </cell>
        </row>
        <row r="1373">
          <cell r="AJ1373" t="str">
            <v/>
          </cell>
        </row>
        <row r="1374">
          <cell r="AJ1374" t="str">
            <v/>
          </cell>
        </row>
        <row r="1375">
          <cell r="AJ1375" t="str">
            <v/>
          </cell>
        </row>
        <row r="1376">
          <cell r="AJ1376" t="str">
            <v/>
          </cell>
        </row>
        <row r="1377">
          <cell r="AJ1377" t="str">
            <v/>
          </cell>
        </row>
        <row r="1378">
          <cell r="AJ1378" t="str">
            <v/>
          </cell>
        </row>
        <row r="1379">
          <cell r="AJ1379" t="str">
            <v/>
          </cell>
        </row>
        <row r="1380">
          <cell r="AJ1380" t="str">
            <v/>
          </cell>
        </row>
        <row r="1381">
          <cell r="AJ1381" t="str">
            <v/>
          </cell>
        </row>
        <row r="1382">
          <cell r="AJ1382" t="str">
            <v/>
          </cell>
        </row>
        <row r="1383">
          <cell r="AJ1383" t="str">
            <v/>
          </cell>
        </row>
        <row r="1384">
          <cell r="AJ1384" t="str">
            <v/>
          </cell>
        </row>
        <row r="1385">
          <cell r="AJ1385" t="str">
            <v/>
          </cell>
        </row>
        <row r="1386">
          <cell r="AJ1386" t="str">
            <v/>
          </cell>
        </row>
        <row r="1387">
          <cell r="AJ1387" t="str">
            <v/>
          </cell>
        </row>
        <row r="1388">
          <cell r="AJ1388" t="str">
            <v/>
          </cell>
        </row>
        <row r="1389">
          <cell r="AJ1389" t="str">
            <v/>
          </cell>
        </row>
        <row r="1390">
          <cell r="AJ1390" t="str">
            <v/>
          </cell>
        </row>
        <row r="1391">
          <cell r="AJ1391" t="str">
            <v/>
          </cell>
        </row>
        <row r="1392">
          <cell r="AJ1392" t="str">
            <v/>
          </cell>
        </row>
        <row r="1393">
          <cell r="AJ1393" t="str">
            <v/>
          </cell>
        </row>
        <row r="1394">
          <cell r="AJ1394" t="str">
            <v/>
          </cell>
        </row>
        <row r="1395">
          <cell r="AJ1395" t="str">
            <v/>
          </cell>
        </row>
        <row r="1396">
          <cell r="AJ1396" t="str">
            <v/>
          </cell>
        </row>
        <row r="1397">
          <cell r="AJ1397" t="str">
            <v/>
          </cell>
        </row>
        <row r="1398">
          <cell r="AJ1398" t="str">
            <v/>
          </cell>
        </row>
        <row r="1399">
          <cell r="AJ1399" t="str">
            <v/>
          </cell>
        </row>
        <row r="1400">
          <cell r="AJ1400" t="str">
            <v/>
          </cell>
        </row>
        <row r="1401">
          <cell r="AJ1401" t="str">
            <v/>
          </cell>
        </row>
        <row r="1402">
          <cell r="AJ1402" t="str">
            <v/>
          </cell>
        </row>
        <row r="1403">
          <cell r="AJ1403" t="str">
            <v/>
          </cell>
        </row>
        <row r="1404">
          <cell r="AJ1404" t="str">
            <v/>
          </cell>
        </row>
        <row r="1405">
          <cell r="AJ1405" t="str">
            <v/>
          </cell>
        </row>
        <row r="1406">
          <cell r="AJ1406" t="str">
            <v/>
          </cell>
        </row>
        <row r="1407">
          <cell r="AJ1407" t="str">
            <v/>
          </cell>
        </row>
        <row r="1408">
          <cell r="AJ1408" t="str">
            <v/>
          </cell>
        </row>
        <row r="1409">
          <cell r="AJ1409" t="str">
            <v/>
          </cell>
        </row>
        <row r="1410">
          <cell r="AJ1410" t="str">
            <v/>
          </cell>
        </row>
        <row r="1411">
          <cell r="AJ1411" t="str">
            <v/>
          </cell>
        </row>
        <row r="1412">
          <cell r="AJ1412" t="str">
            <v/>
          </cell>
        </row>
        <row r="1413">
          <cell r="AJ1413" t="str">
            <v/>
          </cell>
        </row>
        <row r="1414">
          <cell r="AJ1414" t="str">
            <v/>
          </cell>
        </row>
        <row r="1415">
          <cell r="AJ1415" t="str">
            <v/>
          </cell>
        </row>
        <row r="1416">
          <cell r="AJ1416" t="str">
            <v/>
          </cell>
        </row>
        <row r="1417">
          <cell r="AJ1417" t="str">
            <v/>
          </cell>
        </row>
        <row r="1418">
          <cell r="AJ1418" t="str">
            <v/>
          </cell>
        </row>
        <row r="1419">
          <cell r="AJ1419" t="str">
            <v/>
          </cell>
        </row>
        <row r="1420">
          <cell r="AJ1420" t="str">
            <v/>
          </cell>
        </row>
        <row r="1421">
          <cell r="AJ1421" t="str">
            <v/>
          </cell>
        </row>
        <row r="1422">
          <cell r="AJ1422" t="str">
            <v/>
          </cell>
        </row>
        <row r="1423">
          <cell r="AJ1423" t="str">
            <v/>
          </cell>
        </row>
        <row r="1424">
          <cell r="AJ1424" t="str">
            <v/>
          </cell>
        </row>
        <row r="1425">
          <cell r="AJ1425" t="str">
            <v/>
          </cell>
        </row>
        <row r="1426">
          <cell r="AJ1426" t="str">
            <v/>
          </cell>
        </row>
        <row r="1427">
          <cell r="AJ1427" t="str">
            <v/>
          </cell>
        </row>
        <row r="1428">
          <cell r="AJ1428" t="str">
            <v/>
          </cell>
        </row>
        <row r="1429">
          <cell r="AJ1429" t="str">
            <v/>
          </cell>
        </row>
        <row r="1430">
          <cell r="AJ1430" t="str">
            <v/>
          </cell>
        </row>
        <row r="1431">
          <cell r="AJ1431" t="str">
            <v/>
          </cell>
        </row>
        <row r="1432">
          <cell r="AJ1432" t="str">
            <v/>
          </cell>
        </row>
        <row r="1433">
          <cell r="AJ1433" t="str">
            <v/>
          </cell>
        </row>
        <row r="1434">
          <cell r="AJ1434" t="str">
            <v/>
          </cell>
        </row>
        <row r="1435">
          <cell r="AJ1435" t="str">
            <v/>
          </cell>
        </row>
        <row r="1436">
          <cell r="AJ1436" t="str">
            <v/>
          </cell>
        </row>
        <row r="1437">
          <cell r="AJ1437" t="str">
            <v/>
          </cell>
        </row>
        <row r="1438">
          <cell r="AJ1438" t="str">
            <v/>
          </cell>
        </row>
        <row r="1439">
          <cell r="AJ1439" t="str">
            <v/>
          </cell>
        </row>
        <row r="1440">
          <cell r="AJ1440" t="str">
            <v/>
          </cell>
        </row>
        <row r="1441">
          <cell r="AJ1441" t="str">
            <v/>
          </cell>
        </row>
        <row r="1442">
          <cell r="AJ1442" t="str">
            <v/>
          </cell>
        </row>
        <row r="1443">
          <cell r="AJ1443" t="str">
            <v/>
          </cell>
        </row>
        <row r="1444">
          <cell r="AJ1444" t="str">
            <v/>
          </cell>
        </row>
        <row r="1445">
          <cell r="AJ1445" t="str">
            <v/>
          </cell>
        </row>
        <row r="1446">
          <cell r="AJ1446" t="str">
            <v/>
          </cell>
        </row>
        <row r="1447">
          <cell r="AJ1447" t="str">
            <v/>
          </cell>
        </row>
        <row r="1448">
          <cell r="AJ1448" t="str">
            <v/>
          </cell>
        </row>
        <row r="1449">
          <cell r="AJ1449" t="str">
            <v/>
          </cell>
        </row>
        <row r="1450">
          <cell r="AJ1450" t="str">
            <v/>
          </cell>
        </row>
        <row r="1451">
          <cell r="AJ1451" t="str">
            <v/>
          </cell>
        </row>
        <row r="1452">
          <cell r="AJ1452" t="str">
            <v/>
          </cell>
        </row>
        <row r="1453">
          <cell r="AJ1453" t="str">
            <v/>
          </cell>
        </row>
        <row r="1454">
          <cell r="AJ1454" t="str">
            <v/>
          </cell>
        </row>
        <row r="1455">
          <cell r="AJ1455" t="str">
            <v/>
          </cell>
        </row>
        <row r="1456">
          <cell r="AJ1456" t="str">
            <v/>
          </cell>
        </row>
        <row r="1457">
          <cell r="AJ1457" t="str">
            <v/>
          </cell>
        </row>
        <row r="1458">
          <cell r="AJ1458" t="str">
            <v/>
          </cell>
        </row>
        <row r="1459">
          <cell r="AJ1459" t="str">
            <v/>
          </cell>
        </row>
        <row r="1460">
          <cell r="AJ1460" t="str">
            <v/>
          </cell>
        </row>
        <row r="1461">
          <cell r="AJ1461" t="str">
            <v/>
          </cell>
        </row>
        <row r="1462">
          <cell r="AJ1462" t="str">
            <v/>
          </cell>
        </row>
        <row r="1463">
          <cell r="AJ1463" t="str">
            <v/>
          </cell>
        </row>
        <row r="1464">
          <cell r="AJ1464" t="str">
            <v/>
          </cell>
        </row>
        <row r="1465">
          <cell r="AJ1465" t="str">
            <v/>
          </cell>
        </row>
        <row r="1466">
          <cell r="AJ1466" t="str">
            <v/>
          </cell>
        </row>
        <row r="1467">
          <cell r="AJ1467" t="str">
            <v/>
          </cell>
        </row>
        <row r="1468">
          <cell r="AJ1468" t="str">
            <v/>
          </cell>
        </row>
        <row r="1469">
          <cell r="AJ1469" t="str">
            <v/>
          </cell>
        </row>
        <row r="1470">
          <cell r="AJ1470" t="str">
            <v/>
          </cell>
        </row>
        <row r="1471">
          <cell r="AJ1471" t="str">
            <v/>
          </cell>
        </row>
        <row r="1472">
          <cell r="AJ1472" t="str">
            <v/>
          </cell>
        </row>
        <row r="1473">
          <cell r="AJ1473" t="str">
            <v/>
          </cell>
        </row>
        <row r="1474">
          <cell r="AJ1474" t="str">
            <v/>
          </cell>
        </row>
        <row r="1475">
          <cell r="AJ1475" t="str">
            <v/>
          </cell>
        </row>
        <row r="1476">
          <cell r="AJ1476" t="str">
            <v/>
          </cell>
        </row>
        <row r="1477">
          <cell r="AJ1477" t="str">
            <v/>
          </cell>
        </row>
        <row r="1478">
          <cell r="AJ1478" t="str">
            <v/>
          </cell>
        </row>
        <row r="1479">
          <cell r="AJ1479" t="str">
            <v/>
          </cell>
        </row>
        <row r="1480">
          <cell r="AJ1480" t="str">
            <v/>
          </cell>
        </row>
        <row r="1481">
          <cell r="AJ1481" t="str">
            <v/>
          </cell>
        </row>
        <row r="1482">
          <cell r="AJ1482" t="str">
            <v/>
          </cell>
        </row>
        <row r="1483">
          <cell r="AJ1483" t="str">
            <v/>
          </cell>
        </row>
        <row r="1484">
          <cell r="AJ1484" t="str">
            <v/>
          </cell>
        </row>
        <row r="1485">
          <cell r="AJ1485" t="str">
            <v/>
          </cell>
        </row>
        <row r="1486">
          <cell r="AJ1486" t="str">
            <v/>
          </cell>
        </row>
        <row r="1487">
          <cell r="AJ1487" t="str">
            <v/>
          </cell>
        </row>
        <row r="1488">
          <cell r="AJ1488" t="str">
            <v/>
          </cell>
        </row>
        <row r="1489">
          <cell r="AJ1489" t="str">
            <v/>
          </cell>
        </row>
        <row r="1490">
          <cell r="AJ1490" t="str">
            <v/>
          </cell>
        </row>
        <row r="1491">
          <cell r="AJ1491" t="str">
            <v/>
          </cell>
        </row>
        <row r="1492">
          <cell r="AJ1492" t="str">
            <v/>
          </cell>
        </row>
        <row r="1493">
          <cell r="AJ1493" t="str">
            <v/>
          </cell>
        </row>
        <row r="1494">
          <cell r="AJ1494" t="str">
            <v/>
          </cell>
        </row>
        <row r="1495">
          <cell r="AJ1495" t="str">
            <v/>
          </cell>
        </row>
        <row r="1496">
          <cell r="AJ1496" t="str">
            <v/>
          </cell>
        </row>
        <row r="1497">
          <cell r="AJ1497" t="str">
            <v/>
          </cell>
        </row>
        <row r="1498">
          <cell r="AJ1498" t="str">
            <v/>
          </cell>
        </row>
        <row r="1499">
          <cell r="AJ1499" t="str">
            <v/>
          </cell>
        </row>
        <row r="1500">
          <cell r="AJ1500" t="str">
            <v/>
          </cell>
        </row>
        <row r="1501">
          <cell r="AJ1501" t="str">
            <v/>
          </cell>
        </row>
        <row r="1502">
          <cell r="AJ1502" t="str">
            <v/>
          </cell>
        </row>
        <row r="1503">
          <cell r="AJ1503" t="str">
            <v/>
          </cell>
        </row>
        <row r="1504">
          <cell r="AJ1504" t="str">
            <v/>
          </cell>
        </row>
        <row r="1505">
          <cell r="AJ1505" t="str">
            <v/>
          </cell>
        </row>
        <row r="1506">
          <cell r="AJ1506" t="str">
            <v/>
          </cell>
        </row>
        <row r="1507">
          <cell r="AJ1507" t="str">
            <v/>
          </cell>
        </row>
        <row r="1508">
          <cell r="AJ1508" t="str">
            <v/>
          </cell>
        </row>
        <row r="1509">
          <cell r="AJ1509" t="str">
            <v/>
          </cell>
        </row>
        <row r="1510">
          <cell r="AJ1510" t="str">
            <v/>
          </cell>
        </row>
        <row r="1511">
          <cell r="AJ1511" t="str">
            <v/>
          </cell>
        </row>
        <row r="1512">
          <cell r="AJ1512" t="str">
            <v/>
          </cell>
        </row>
        <row r="1513">
          <cell r="AJ1513" t="str">
            <v/>
          </cell>
        </row>
        <row r="1514">
          <cell r="AJ1514" t="str">
            <v/>
          </cell>
        </row>
        <row r="1515">
          <cell r="AJ1515" t="str">
            <v/>
          </cell>
        </row>
        <row r="1516">
          <cell r="AJ1516" t="str">
            <v/>
          </cell>
        </row>
        <row r="1517">
          <cell r="AJ1517" t="str">
            <v/>
          </cell>
        </row>
        <row r="1518">
          <cell r="AJ1518" t="str">
            <v/>
          </cell>
        </row>
        <row r="1519">
          <cell r="AJ1519" t="str">
            <v/>
          </cell>
        </row>
        <row r="1520">
          <cell r="AJ1520" t="str">
            <v/>
          </cell>
        </row>
        <row r="1521">
          <cell r="AJ1521" t="str">
            <v/>
          </cell>
        </row>
        <row r="1522">
          <cell r="AJ1522" t="str">
            <v/>
          </cell>
        </row>
        <row r="1523">
          <cell r="AJ1523" t="str">
            <v/>
          </cell>
        </row>
        <row r="1524">
          <cell r="AJ1524" t="str">
            <v/>
          </cell>
        </row>
        <row r="1525">
          <cell r="AJ1525" t="str">
            <v/>
          </cell>
        </row>
        <row r="1526">
          <cell r="AJ1526" t="str">
            <v/>
          </cell>
        </row>
        <row r="1527">
          <cell r="AJ1527" t="str">
            <v/>
          </cell>
        </row>
        <row r="1528">
          <cell r="AJ1528" t="str">
            <v/>
          </cell>
        </row>
        <row r="1529">
          <cell r="AJ1529" t="str">
            <v/>
          </cell>
        </row>
        <row r="1530">
          <cell r="AJ1530" t="str">
            <v/>
          </cell>
        </row>
        <row r="1531">
          <cell r="AJ1531" t="str">
            <v/>
          </cell>
        </row>
        <row r="1532">
          <cell r="AJ1532" t="str">
            <v/>
          </cell>
        </row>
        <row r="1533">
          <cell r="AJ1533" t="str">
            <v/>
          </cell>
        </row>
        <row r="1534">
          <cell r="AJ1534" t="str">
            <v/>
          </cell>
        </row>
        <row r="1535">
          <cell r="AJ1535" t="str">
            <v/>
          </cell>
        </row>
        <row r="1536">
          <cell r="AJ1536" t="str">
            <v/>
          </cell>
        </row>
        <row r="1537">
          <cell r="AJ1537" t="str">
            <v/>
          </cell>
        </row>
        <row r="1538">
          <cell r="AJ1538" t="str">
            <v/>
          </cell>
        </row>
        <row r="1539">
          <cell r="AJ1539" t="str">
            <v/>
          </cell>
        </row>
        <row r="1540">
          <cell r="AJ1540" t="str">
            <v/>
          </cell>
        </row>
        <row r="1541">
          <cell r="AJ1541" t="str">
            <v/>
          </cell>
        </row>
        <row r="1542">
          <cell r="AJ1542" t="str">
            <v/>
          </cell>
        </row>
        <row r="1543">
          <cell r="AJ1543" t="str">
            <v/>
          </cell>
        </row>
        <row r="1544">
          <cell r="AJ1544" t="str">
            <v/>
          </cell>
        </row>
        <row r="1545">
          <cell r="AJ1545" t="str">
            <v/>
          </cell>
        </row>
        <row r="1546">
          <cell r="AJ1546" t="str">
            <v/>
          </cell>
        </row>
        <row r="1547">
          <cell r="AJ1547" t="str">
            <v/>
          </cell>
        </row>
        <row r="1548">
          <cell r="AJ1548" t="str">
            <v/>
          </cell>
        </row>
        <row r="1549">
          <cell r="AJ1549" t="str">
            <v/>
          </cell>
        </row>
        <row r="1550">
          <cell r="AJ1550" t="str">
            <v/>
          </cell>
        </row>
        <row r="1551">
          <cell r="AJ1551" t="str">
            <v/>
          </cell>
        </row>
        <row r="1552">
          <cell r="AJ1552" t="str">
            <v/>
          </cell>
        </row>
        <row r="1553">
          <cell r="AJ1553" t="str">
            <v/>
          </cell>
        </row>
        <row r="1554">
          <cell r="AJ1554" t="str">
            <v/>
          </cell>
        </row>
        <row r="1555">
          <cell r="AJ1555" t="str">
            <v/>
          </cell>
        </row>
        <row r="1556">
          <cell r="AJ1556" t="str">
            <v/>
          </cell>
        </row>
        <row r="1557">
          <cell r="AJ1557" t="str">
            <v/>
          </cell>
        </row>
        <row r="1558">
          <cell r="AJ1558" t="str">
            <v/>
          </cell>
        </row>
        <row r="1559">
          <cell r="AJ1559" t="str">
            <v/>
          </cell>
        </row>
        <row r="1560">
          <cell r="AJ1560" t="str">
            <v/>
          </cell>
        </row>
        <row r="1561">
          <cell r="AJ1561" t="str">
            <v/>
          </cell>
        </row>
        <row r="1562">
          <cell r="AJ1562" t="str">
            <v/>
          </cell>
        </row>
        <row r="1563">
          <cell r="AJ1563" t="str">
            <v/>
          </cell>
        </row>
        <row r="1564">
          <cell r="AJ1564" t="str">
            <v/>
          </cell>
        </row>
        <row r="1565">
          <cell r="AJ1565" t="str">
            <v/>
          </cell>
        </row>
        <row r="1566">
          <cell r="AJ1566" t="str">
            <v/>
          </cell>
        </row>
        <row r="1567">
          <cell r="AJ1567" t="str">
            <v/>
          </cell>
        </row>
        <row r="1568">
          <cell r="AJ1568" t="str">
            <v/>
          </cell>
        </row>
        <row r="1569">
          <cell r="AJ1569" t="str">
            <v/>
          </cell>
        </row>
        <row r="1570">
          <cell r="AJ1570" t="str">
            <v/>
          </cell>
        </row>
        <row r="1571">
          <cell r="AJ1571" t="str">
            <v/>
          </cell>
        </row>
        <row r="1572">
          <cell r="AJ1572" t="str">
            <v/>
          </cell>
        </row>
        <row r="1573">
          <cell r="AJ1573" t="str">
            <v/>
          </cell>
        </row>
        <row r="1574">
          <cell r="AJ1574" t="str">
            <v/>
          </cell>
        </row>
        <row r="1575">
          <cell r="AJ1575" t="str">
            <v/>
          </cell>
        </row>
        <row r="1576">
          <cell r="AJ1576" t="str">
            <v/>
          </cell>
        </row>
        <row r="1577">
          <cell r="AJ1577" t="str">
            <v/>
          </cell>
        </row>
        <row r="1578">
          <cell r="AJ1578" t="str">
            <v/>
          </cell>
        </row>
        <row r="1579">
          <cell r="AJ1579" t="str">
            <v/>
          </cell>
        </row>
        <row r="1580">
          <cell r="AJ1580" t="str">
            <v/>
          </cell>
        </row>
        <row r="1581">
          <cell r="AJ1581" t="str">
            <v/>
          </cell>
        </row>
        <row r="1582">
          <cell r="AJ1582" t="str">
            <v/>
          </cell>
        </row>
        <row r="1583">
          <cell r="AJ1583" t="str">
            <v/>
          </cell>
        </row>
        <row r="1584">
          <cell r="AJ1584" t="str">
            <v/>
          </cell>
        </row>
        <row r="1585">
          <cell r="AJ1585" t="str">
            <v/>
          </cell>
        </row>
        <row r="1586">
          <cell r="AJ1586" t="str">
            <v/>
          </cell>
        </row>
        <row r="1587">
          <cell r="AJ1587" t="str">
            <v/>
          </cell>
        </row>
        <row r="1588">
          <cell r="AJ1588" t="str">
            <v/>
          </cell>
        </row>
        <row r="1589">
          <cell r="AJ1589" t="str">
            <v/>
          </cell>
        </row>
        <row r="1590">
          <cell r="AJ1590" t="str">
            <v/>
          </cell>
        </row>
        <row r="1591">
          <cell r="AJ1591" t="str">
            <v/>
          </cell>
        </row>
        <row r="1592">
          <cell r="AJ1592" t="str">
            <v/>
          </cell>
        </row>
        <row r="1593">
          <cell r="AJ1593" t="str">
            <v/>
          </cell>
        </row>
        <row r="1594">
          <cell r="AJ1594" t="str">
            <v/>
          </cell>
        </row>
        <row r="1595">
          <cell r="AJ1595" t="str">
            <v/>
          </cell>
        </row>
        <row r="1596">
          <cell r="AJ1596" t="str">
            <v/>
          </cell>
        </row>
        <row r="1597">
          <cell r="AJ1597" t="str">
            <v/>
          </cell>
        </row>
        <row r="1598">
          <cell r="AJ1598" t="str">
            <v/>
          </cell>
        </row>
        <row r="1599">
          <cell r="AJ1599" t="str">
            <v/>
          </cell>
        </row>
        <row r="1600">
          <cell r="AJ1600" t="str">
            <v/>
          </cell>
        </row>
        <row r="1601">
          <cell r="AJ1601" t="str">
            <v/>
          </cell>
        </row>
        <row r="1602">
          <cell r="AJ1602" t="str">
            <v/>
          </cell>
        </row>
        <row r="1603">
          <cell r="AJ1603" t="str">
            <v/>
          </cell>
        </row>
        <row r="1604">
          <cell r="AJ1604" t="str">
            <v/>
          </cell>
        </row>
        <row r="1605">
          <cell r="AJ1605" t="str">
            <v/>
          </cell>
        </row>
        <row r="1606">
          <cell r="AJ1606" t="str">
            <v/>
          </cell>
        </row>
        <row r="1607">
          <cell r="AJ1607" t="str">
            <v/>
          </cell>
        </row>
        <row r="1608">
          <cell r="AJ1608" t="str">
            <v/>
          </cell>
        </row>
        <row r="1609">
          <cell r="AJ1609" t="str">
            <v/>
          </cell>
        </row>
        <row r="1610">
          <cell r="AJ1610" t="str">
            <v/>
          </cell>
        </row>
        <row r="1611">
          <cell r="AJ1611" t="str">
            <v/>
          </cell>
        </row>
        <row r="1612">
          <cell r="AJ1612" t="str">
            <v/>
          </cell>
        </row>
        <row r="1613">
          <cell r="AJ1613" t="str">
            <v/>
          </cell>
        </row>
        <row r="1614">
          <cell r="AJ1614" t="str">
            <v/>
          </cell>
        </row>
        <row r="1615">
          <cell r="AJ1615" t="str">
            <v/>
          </cell>
        </row>
        <row r="1616">
          <cell r="AJ1616" t="str">
            <v/>
          </cell>
        </row>
        <row r="1617">
          <cell r="AJ1617" t="str">
            <v/>
          </cell>
        </row>
        <row r="1618">
          <cell r="AJ1618" t="str">
            <v/>
          </cell>
        </row>
        <row r="1619">
          <cell r="AJ1619" t="str">
            <v/>
          </cell>
        </row>
        <row r="1620">
          <cell r="AJ1620" t="str">
            <v/>
          </cell>
        </row>
        <row r="1621">
          <cell r="AJ1621" t="str">
            <v/>
          </cell>
        </row>
        <row r="1622">
          <cell r="AJ1622" t="str">
            <v/>
          </cell>
        </row>
        <row r="1623">
          <cell r="AJ1623" t="str">
            <v/>
          </cell>
        </row>
        <row r="1624">
          <cell r="AJ1624" t="str">
            <v/>
          </cell>
        </row>
        <row r="1625">
          <cell r="AJ1625" t="str">
            <v/>
          </cell>
        </row>
        <row r="1626">
          <cell r="AJ1626" t="str">
            <v/>
          </cell>
        </row>
        <row r="1627">
          <cell r="AJ1627" t="str">
            <v/>
          </cell>
        </row>
        <row r="1628">
          <cell r="AJ1628" t="str">
            <v/>
          </cell>
        </row>
        <row r="1629">
          <cell r="AJ1629" t="str">
            <v/>
          </cell>
        </row>
        <row r="1630">
          <cell r="AJ1630" t="str">
            <v/>
          </cell>
        </row>
        <row r="1631">
          <cell r="AJ1631" t="str">
            <v/>
          </cell>
        </row>
        <row r="1632">
          <cell r="AJ1632" t="str">
            <v/>
          </cell>
        </row>
        <row r="1633">
          <cell r="AJ1633" t="str">
            <v/>
          </cell>
        </row>
        <row r="1634">
          <cell r="AJ1634" t="str">
            <v/>
          </cell>
        </row>
        <row r="1635">
          <cell r="AJ1635" t="str">
            <v/>
          </cell>
        </row>
        <row r="1636">
          <cell r="AJ1636" t="str">
            <v/>
          </cell>
        </row>
        <row r="1637">
          <cell r="AJ1637" t="str">
            <v/>
          </cell>
        </row>
        <row r="1638">
          <cell r="AJ1638" t="str">
            <v/>
          </cell>
        </row>
        <row r="1639">
          <cell r="AJ1639" t="str">
            <v/>
          </cell>
        </row>
        <row r="1640">
          <cell r="AJ1640" t="str">
            <v/>
          </cell>
        </row>
        <row r="1641">
          <cell r="AJ1641" t="str">
            <v/>
          </cell>
        </row>
        <row r="1642">
          <cell r="AJ1642" t="str">
            <v/>
          </cell>
        </row>
        <row r="1643">
          <cell r="AJ1643" t="str">
            <v/>
          </cell>
        </row>
        <row r="1644">
          <cell r="AJ1644" t="str">
            <v/>
          </cell>
        </row>
        <row r="1645">
          <cell r="AJ1645" t="str">
            <v/>
          </cell>
        </row>
        <row r="1646">
          <cell r="AJ1646" t="str">
            <v/>
          </cell>
        </row>
        <row r="1647">
          <cell r="AJ1647" t="str">
            <v/>
          </cell>
        </row>
        <row r="1648">
          <cell r="AJ1648" t="str">
            <v/>
          </cell>
        </row>
        <row r="1649">
          <cell r="AJ1649" t="str">
            <v/>
          </cell>
        </row>
        <row r="1650">
          <cell r="AJ1650" t="str">
            <v/>
          </cell>
        </row>
        <row r="1651">
          <cell r="AJ1651" t="str">
            <v/>
          </cell>
        </row>
        <row r="1652">
          <cell r="AJ1652" t="str">
            <v/>
          </cell>
        </row>
        <row r="1653">
          <cell r="AJ1653" t="str">
            <v/>
          </cell>
        </row>
        <row r="1654">
          <cell r="AJ1654" t="str">
            <v/>
          </cell>
        </row>
        <row r="1655">
          <cell r="AJ1655" t="str">
            <v/>
          </cell>
        </row>
        <row r="1656">
          <cell r="AJ1656" t="str">
            <v/>
          </cell>
        </row>
        <row r="1657">
          <cell r="AJ1657" t="str">
            <v/>
          </cell>
        </row>
        <row r="1658">
          <cell r="AJ1658" t="str">
            <v/>
          </cell>
        </row>
        <row r="1659">
          <cell r="AJ1659" t="str">
            <v/>
          </cell>
        </row>
        <row r="1660">
          <cell r="AJ1660" t="str">
            <v/>
          </cell>
        </row>
        <row r="1661">
          <cell r="AJ1661" t="str">
            <v/>
          </cell>
        </row>
        <row r="1662">
          <cell r="AJ1662" t="str">
            <v/>
          </cell>
        </row>
        <row r="1663">
          <cell r="AJ1663" t="str">
            <v/>
          </cell>
        </row>
        <row r="1664">
          <cell r="AJ1664" t="str">
            <v/>
          </cell>
        </row>
        <row r="1665">
          <cell r="AJ1665" t="str">
            <v/>
          </cell>
        </row>
        <row r="1666">
          <cell r="AJ1666" t="str">
            <v/>
          </cell>
        </row>
        <row r="1667">
          <cell r="AJ1667" t="str">
            <v/>
          </cell>
        </row>
        <row r="1668">
          <cell r="AJ1668" t="str">
            <v/>
          </cell>
        </row>
        <row r="1669">
          <cell r="AJ1669" t="str">
            <v/>
          </cell>
        </row>
        <row r="1670">
          <cell r="AJ1670" t="str">
            <v/>
          </cell>
        </row>
        <row r="1671">
          <cell r="AJ1671" t="str">
            <v/>
          </cell>
        </row>
        <row r="1672">
          <cell r="AJ1672" t="str">
            <v/>
          </cell>
        </row>
        <row r="1673">
          <cell r="AJ1673" t="str">
            <v/>
          </cell>
        </row>
        <row r="1674">
          <cell r="AJ1674" t="str">
            <v/>
          </cell>
        </row>
        <row r="1675">
          <cell r="AJ1675" t="str">
            <v/>
          </cell>
        </row>
        <row r="1676">
          <cell r="AJ1676" t="str">
            <v/>
          </cell>
        </row>
        <row r="1677">
          <cell r="AJ1677" t="str">
            <v/>
          </cell>
        </row>
        <row r="1678">
          <cell r="AJ1678" t="str">
            <v/>
          </cell>
        </row>
        <row r="1679">
          <cell r="AJ1679" t="str">
            <v/>
          </cell>
        </row>
        <row r="1680">
          <cell r="AJ1680" t="str">
            <v/>
          </cell>
        </row>
        <row r="1681">
          <cell r="AJ1681" t="str">
            <v/>
          </cell>
        </row>
        <row r="1682">
          <cell r="AJ1682" t="str">
            <v/>
          </cell>
        </row>
        <row r="1683">
          <cell r="AJ1683" t="str">
            <v/>
          </cell>
        </row>
        <row r="1684">
          <cell r="AJ1684" t="str">
            <v/>
          </cell>
        </row>
        <row r="1685">
          <cell r="AJ1685" t="str">
            <v/>
          </cell>
        </row>
        <row r="1686">
          <cell r="AJ1686" t="str">
            <v/>
          </cell>
        </row>
        <row r="1687">
          <cell r="AJ1687" t="str">
            <v/>
          </cell>
        </row>
        <row r="1688">
          <cell r="AJ1688" t="str">
            <v/>
          </cell>
        </row>
        <row r="1689">
          <cell r="AJ1689" t="str">
            <v/>
          </cell>
        </row>
        <row r="1690">
          <cell r="AJ1690" t="str">
            <v/>
          </cell>
        </row>
        <row r="1691">
          <cell r="AJ1691" t="str">
            <v/>
          </cell>
        </row>
        <row r="1692">
          <cell r="AJ1692" t="str">
            <v/>
          </cell>
        </row>
        <row r="1693">
          <cell r="AJ1693" t="str">
            <v/>
          </cell>
        </row>
        <row r="1694">
          <cell r="AJ1694" t="str">
            <v/>
          </cell>
        </row>
        <row r="1695">
          <cell r="AJ1695" t="str">
            <v/>
          </cell>
        </row>
        <row r="1696">
          <cell r="AJ1696" t="str">
            <v/>
          </cell>
        </row>
        <row r="1697">
          <cell r="AJ1697" t="str">
            <v/>
          </cell>
        </row>
        <row r="1698">
          <cell r="AJ1698" t="str">
            <v/>
          </cell>
        </row>
        <row r="1699">
          <cell r="AJ1699" t="str">
            <v/>
          </cell>
        </row>
        <row r="1700">
          <cell r="AJ1700" t="str">
            <v/>
          </cell>
        </row>
        <row r="1701">
          <cell r="AJ1701" t="str">
            <v/>
          </cell>
        </row>
        <row r="1702">
          <cell r="AJ1702" t="str">
            <v/>
          </cell>
        </row>
        <row r="1703">
          <cell r="AJ1703" t="str">
            <v/>
          </cell>
        </row>
        <row r="1704">
          <cell r="AJ1704" t="str">
            <v/>
          </cell>
        </row>
        <row r="1705">
          <cell r="AJ1705" t="str">
            <v/>
          </cell>
        </row>
        <row r="1706">
          <cell r="AJ1706" t="str">
            <v/>
          </cell>
        </row>
        <row r="1707">
          <cell r="AJ1707" t="str">
            <v/>
          </cell>
        </row>
        <row r="1708">
          <cell r="AJ1708" t="str">
            <v/>
          </cell>
        </row>
        <row r="1709">
          <cell r="AJ1709" t="str">
            <v/>
          </cell>
        </row>
        <row r="1710">
          <cell r="AJ1710" t="str">
            <v/>
          </cell>
        </row>
        <row r="1711">
          <cell r="AJ1711" t="str">
            <v/>
          </cell>
        </row>
        <row r="1712">
          <cell r="AJ1712" t="str">
            <v/>
          </cell>
        </row>
        <row r="1713">
          <cell r="AJ1713" t="str">
            <v/>
          </cell>
        </row>
        <row r="1714">
          <cell r="AJ1714" t="str">
            <v/>
          </cell>
        </row>
        <row r="1715">
          <cell r="AJ1715" t="str">
            <v/>
          </cell>
        </row>
        <row r="1716">
          <cell r="AJ1716" t="str">
            <v/>
          </cell>
        </row>
        <row r="1717">
          <cell r="AJ1717" t="str">
            <v/>
          </cell>
        </row>
        <row r="1718">
          <cell r="AJ1718" t="str">
            <v/>
          </cell>
        </row>
        <row r="1719">
          <cell r="AJ1719" t="str">
            <v/>
          </cell>
        </row>
        <row r="1720">
          <cell r="AJ1720" t="str">
            <v/>
          </cell>
        </row>
        <row r="1721">
          <cell r="AJ1721" t="str">
            <v/>
          </cell>
        </row>
        <row r="1722">
          <cell r="AJ1722" t="str">
            <v/>
          </cell>
        </row>
        <row r="1723">
          <cell r="AJ1723" t="str">
            <v/>
          </cell>
        </row>
        <row r="1724">
          <cell r="AJ1724" t="str">
            <v/>
          </cell>
        </row>
        <row r="1725">
          <cell r="AJ1725" t="str">
            <v/>
          </cell>
        </row>
        <row r="1726">
          <cell r="AJ1726" t="str">
            <v/>
          </cell>
        </row>
        <row r="1727">
          <cell r="AJ1727" t="str">
            <v/>
          </cell>
        </row>
        <row r="1728">
          <cell r="AJ1728" t="str">
            <v/>
          </cell>
        </row>
        <row r="1729">
          <cell r="AJ1729" t="str">
            <v/>
          </cell>
        </row>
        <row r="1730">
          <cell r="AJ1730" t="str">
            <v/>
          </cell>
        </row>
        <row r="1731">
          <cell r="AJ1731" t="str">
            <v/>
          </cell>
        </row>
        <row r="1732">
          <cell r="AJ1732" t="str">
            <v/>
          </cell>
        </row>
        <row r="1733">
          <cell r="AJ1733" t="str">
            <v/>
          </cell>
        </row>
        <row r="1734">
          <cell r="AJ1734" t="str">
            <v/>
          </cell>
        </row>
        <row r="1735">
          <cell r="AJ1735" t="str">
            <v/>
          </cell>
        </row>
        <row r="1736">
          <cell r="AJ1736" t="str">
            <v/>
          </cell>
        </row>
        <row r="1737">
          <cell r="AJ1737" t="str">
            <v/>
          </cell>
        </row>
        <row r="1738">
          <cell r="AJ1738" t="str">
            <v/>
          </cell>
        </row>
        <row r="1739">
          <cell r="AJ1739" t="str">
            <v/>
          </cell>
        </row>
        <row r="1740">
          <cell r="AJ1740" t="str">
            <v/>
          </cell>
        </row>
        <row r="1741">
          <cell r="AJ1741" t="str">
            <v/>
          </cell>
        </row>
        <row r="1742">
          <cell r="AJ1742" t="str">
            <v/>
          </cell>
        </row>
        <row r="1743">
          <cell r="AJ1743" t="str">
            <v/>
          </cell>
        </row>
        <row r="1744">
          <cell r="AJ1744" t="str">
            <v/>
          </cell>
        </row>
        <row r="1745">
          <cell r="AJ1745" t="str">
            <v/>
          </cell>
        </row>
        <row r="1746">
          <cell r="AJ1746" t="str">
            <v/>
          </cell>
        </row>
        <row r="1747">
          <cell r="AJ1747" t="str">
            <v/>
          </cell>
        </row>
        <row r="1748">
          <cell r="AJ1748" t="str">
            <v/>
          </cell>
        </row>
        <row r="1749">
          <cell r="AJ1749" t="str">
            <v/>
          </cell>
        </row>
        <row r="1750">
          <cell r="AJ1750" t="str">
            <v/>
          </cell>
        </row>
        <row r="1751">
          <cell r="AJ1751" t="str">
            <v/>
          </cell>
        </row>
        <row r="1752">
          <cell r="AJ1752" t="str">
            <v/>
          </cell>
        </row>
        <row r="1753">
          <cell r="AJ1753" t="str">
            <v/>
          </cell>
        </row>
        <row r="1754">
          <cell r="AJ1754" t="str">
            <v/>
          </cell>
        </row>
        <row r="1755">
          <cell r="AJ1755" t="str">
            <v/>
          </cell>
        </row>
        <row r="1756">
          <cell r="AJ1756" t="str">
            <v/>
          </cell>
        </row>
        <row r="1757">
          <cell r="AJ1757" t="str">
            <v/>
          </cell>
        </row>
        <row r="1758">
          <cell r="AJ1758" t="str">
            <v/>
          </cell>
        </row>
        <row r="1759">
          <cell r="AJ1759" t="str">
            <v/>
          </cell>
        </row>
        <row r="1760">
          <cell r="AJ1760" t="str">
            <v/>
          </cell>
        </row>
        <row r="1761">
          <cell r="AJ1761" t="str">
            <v/>
          </cell>
        </row>
        <row r="1762">
          <cell r="AJ1762" t="str">
            <v/>
          </cell>
        </row>
        <row r="1763">
          <cell r="AJ1763" t="str">
            <v/>
          </cell>
        </row>
        <row r="1764">
          <cell r="AJ1764" t="str">
            <v/>
          </cell>
        </row>
        <row r="1765">
          <cell r="AJ1765" t="str">
            <v/>
          </cell>
        </row>
        <row r="1766">
          <cell r="AJ1766" t="str">
            <v/>
          </cell>
        </row>
        <row r="1767">
          <cell r="AJ1767" t="str">
            <v/>
          </cell>
        </row>
        <row r="1768">
          <cell r="AJ1768" t="str">
            <v/>
          </cell>
        </row>
        <row r="1769">
          <cell r="AJ1769" t="str">
            <v/>
          </cell>
        </row>
        <row r="1770">
          <cell r="AJ1770" t="str">
            <v/>
          </cell>
        </row>
        <row r="1771">
          <cell r="AJ1771" t="str">
            <v/>
          </cell>
        </row>
        <row r="1772">
          <cell r="AJ1772" t="str">
            <v/>
          </cell>
        </row>
        <row r="1773">
          <cell r="AJ1773" t="str">
            <v/>
          </cell>
        </row>
        <row r="1774">
          <cell r="AJ1774" t="str">
            <v/>
          </cell>
        </row>
        <row r="1775">
          <cell r="AJ1775" t="str">
            <v/>
          </cell>
        </row>
        <row r="1776">
          <cell r="AJ1776" t="str">
            <v/>
          </cell>
        </row>
        <row r="1777">
          <cell r="AJ1777" t="str">
            <v/>
          </cell>
        </row>
        <row r="1778">
          <cell r="AJ1778" t="str">
            <v/>
          </cell>
        </row>
        <row r="1779">
          <cell r="AJ1779" t="str">
            <v/>
          </cell>
        </row>
        <row r="1780">
          <cell r="AJ1780" t="str">
            <v/>
          </cell>
        </row>
        <row r="1781">
          <cell r="AJ1781" t="str">
            <v/>
          </cell>
        </row>
        <row r="1782">
          <cell r="AJ1782" t="str">
            <v/>
          </cell>
        </row>
        <row r="1783">
          <cell r="AJ1783" t="str">
            <v/>
          </cell>
        </row>
        <row r="1784">
          <cell r="AJ1784" t="str">
            <v/>
          </cell>
        </row>
        <row r="1785">
          <cell r="AJ1785" t="str">
            <v/>
          </cell>
        </row>
        <row r="1786">
          <cell r="AJ1786" t="str">
            <v/>
          </cell>
        </row>
        <row r="1787">
          <cell r="AJ1787" t="str">
            <v/>
          </cell>
        </row>
        <row r="1788">
          <cell r="AJ1788" t="str">
            <v/>
          </cell>
        </row>
        <row r="1789">
          <cell r="AJ1789" t="str">
            <v/>
          </cell>
        </row>
        <row r="1790">
          <cell r="AJ1790" t="str">
            <v/>
          </cell>
        </row>
        <row r="1791">
          <cell r="AJ1791" t="str">
            <v/>
          </cell>
        </row>
        <row r="1792">
          <cell r="AJ1792" t="str">
            <v/>
          </cell>
        </row>
        <row r="1793">
          <cell r="AJ1793" t="str">
            <v/>
          </cell>
        </row>
        <row r="1794">
          <cell r="AJ1794" t="str">
            <v/>
          </cell>
        </row>
        <row r="1795">
          <cell r="AJ1795" t="str">
            <v/>
          </cell>
        </row>
        <row r="1796">
          <cell r="AJ1796" t="str">
            <v/>
          </cell>
        </row>
        <row r="1797">
          <cell r="AJ1797" t="str">
            <v/>
          </cell>
        </row>
        <row r="1798">
          <cell r="AJ1798" t="str">
            <v/>
          </cell>
        </row>
        <row r="1799">
          <cell r="AJ1799" t="str">
            <v/>
          </cell>
        </row>
        <row r="1800">
          <cell r="AJ1800" t="str">
            <v/>
          </cell>
        </row>
        <row r="1801">
          <cell r="AJ1801" t="str">
            <v/>
          </cell>
        </row>
        <row r="1802">
          <cell r="AJ1802" t="str">
            <v/>
          </cell>
        </row>
        <row r="1803">
          <cell r="AJ1803" t="str">
            <v/>
          </cell>
        </row>
        <row r="1804">
          <cell r="AJ1804" t="str">
            <v/>
          </cell>
        </row>
        <row r="1805">
          <cell r="AJ1805" t="str">
            <v/>
          </cell>
        </row>
        <row r="1806">
          <cell r="AJ1806" t="str">
            <v/>
          </cell>
        </row>
        <row r="1807">
          <cell r="AJ1807" t="str">
            <v/>
          </cell>
        </row>
        <row r="1808">
          <cell r="AJ1808" t="str">
            <v/>
          </cell>
        </row>
        <row r="1809">
          <cell r="AJ1809" t="str">
            <v/>
          </cell>
        </row>
        <row r="1810">
          <cell r="AJ1810" t="str">
            <v/>
          </cell>
        </row>
        <row r="1811">
          <cell r="AJ1811" t="str">
            <v/>
          </cell>
        </row>
        <row r="1812">
          <cell r="AJ1812" t="str">
            <v/>
          </cell>
        </row>
        <row r="1813">
          <cell r="AJ1813" t="str">
            <v/>
          </cell>
        </row>
        <row r="1814">
          <cell r="AJ1814" t="str">
            <v/>
          </cell>
        </row>
        <row r="1815">
          <cell r="AJ1815" t="str">
            <v/>
          </cell>
        </row>
        <row r="1816">
          <cell r="AJ1816" t="str">
            <v/>
          </cell>
        </row>
        <row r="1817">
          <cell r="AJ1817" t="str">
            <v/>
          </cell>
        </row>
        <row r="1818">
          <cell r="AJ1818" t="str">
            <v/>
          </cell>
        </row>
        <row r="1819">
          <cell r="AJ1819" t="str">
            <v/>
          </cell>
        </row>
        <row r="1820">
          <cell r="AJ1820" t="str">
            <v/>
          </cell>
        </row>
        <row r="1821">
          <cell r="AJ1821" t="str">
            <v/>
          </cell>
        </row>
        <row r="1822">
          <cell r="AJ1822" t="str">
            <v/>
          </cell>
        </row>
        <row r="1823">
          <cell r="AJ1823" t="str">
            <v/>
          </cell>
        </row>
        <row r="1824">
          <cell r="AJ1824" t="str">
            <v/>
          </cell>
        </row>
        <row r="1825">
          <cell r="AJ1825" t="str">
            <v/>
          </cell>
        </row>
        <row r="1826">
          <cell r="AJ1826" t="str">
            <v/>
          </cell>
        </row>
        <row r="1827">
          <cell r="AJ1827" t="str">
            <v/>
          </cell>
        </row>
        <row r="1828">
          <cell r="AJ1828" t="str">
            <v/>
          </cell>
        </row>
      </sheetData>
      <sheetData sheetId="11"/>
      <sheetData sheetId="12">
        <row r="8">
          <cell r="L8">
            <v>2</v>
          </cell>
        </row>
        <row r="9">
          <cell r="L9">
            <v>2</v>
          </cell>
        </row>
        <row r="10">
          <cell r="L10">
            <v>2</v>
          </cell>
        </row>
        <row r="11">
          <cell r="L11">
            <v>2</v>
          </cell>
        </row>
        <row r="12">
          <cell r="L12">
            <v>2</v>
          </cell>
        </row>
        <row r="13">
          <cell r="L13">
            <v>2</v>
          </cell>
        </row>
        <row r="14">
          <cell r="L14">
            <v>2</v>
          </cell>
        </row>
        <row r="15">
          <cell r="L15">
            <v>2</v>
          </cell>
        </row>
        <row r="16">
          <cell r="L16">
            <v>2</v>
          </cell>
        </row>
        <row r="17">
          <cell r="L17">
            <v>2</v>
          </cell>
        </row>
        <row r="258">
          <cell r="J258"/>
          <cell r="L258"/>
        </row>
      </sheetData>
      <sheetData sheetId="13"/>
      <sheetData sheetId="14">
        <row r="8">
          <cell r="C8">
            <v>6</v>
          </cell>
          <cell r="F8">
            <v>1</v>
          </cell>
          <cell r="G8">
            <v>1</v>
          </cell>
          <cell r="J8">
            <v>-30</v>
          </cell>
          <cell r="K8">
            <v>0</v>
          </cell>
          <cell r="L8">
            <v>50</v>
          </cell>
          <cell r="M8">
            <v>0</v>
          </cell>
          <cell r="N8">
            <v>20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</row>
        <row r="9">
          <cell r="C9">
            <v>153</v>
          </cell>
          <cell r="F9">
            <v>1</v>
          </cell>
          <cell r="G9">
            <v>1</v>
          </cell>
          <cell r="J9">
            <v>0</v>
          </cell>
          <cell r="K9">
            <v>0</v>
          </cell>
          <cell r="L9">
            <v>14</v>
          </cell>
          <cell r="M9">
            <v>0</v>
          </cell>
          <cell r="N9">
            <v>14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</row>
        <row r="10">
          <cell r="C10">
            <v>179</v>
          </cell>
          <cell r="F10">
            <v>1</v>
          </cell>
          <cell r="G10">
            <v>1</v>
          </cell>
          <cell r="J10">
            <v>0</v>
          </cell>
          <cell r="K10">
            <v>0</v>
          </cell>
          <cell r="L10">
            <v>4500</v>
          </cell>
          <cell r="M10">
            <v>0</v>
          </cell>
          <cell r="N10">
            <v>4500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</row>
        <row r="11">
          <cell r="C11">
            <v>192</v>
          </cell>
          <cell r="F11">
            <v>1</v>
          </cell>
          <cell r="G11">
            <v>1</v>
          </cell>
          <cell r="J11">
            <v>0</v>
          </cell>
          <cell r="K11">
            <v>0</v>
          </cell>
          <cell r="L11">
            <v>12</v>
          </cell>
          <cell r="M11">
            <v>0</v>
          </cell>
          <cell r="N11">
            <v>12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</row>
        <row r="12">
          <cell r="C12">
            <v>187</v>
          </cell>
          <cell r="F12">
            <v>1</v>
          </cell>
          <cell r="G12">
            <v>1</v>
          </cell>
          <cell r="J12">
            <v>0</v>
          </cell>
          <cell r="K12">
            <v>0</v>
          </cell>
          <cell r="L12">
            <v>492</v>
          </cell>
          <cell r="M12">
            <v>0</v>
          </cell>
          <cell r="N12">
            <v>492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</row>
        <row r="13">
          <cell r="C13">
            <v>4</v>
          </cell>
          <cell r="F13">
            <v>1</v>
          </cell>
          <cell r="G13">
            <v>1</v>
          </cell>
          <cell r="J13">
            <v>-1</v>
          </cell>
          <cell r="K13">
            <v>0</v>
          </cell>
          <cell r="L13">
            <v>1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</row>
        <row r="14">
          <cell r="C14">
            <v>10</v>
          </cell>
          <cell r="F14">
            <v>1</v>
          </cell>
          <cell r="G14">
            <v>1</v>
          </cell>
          <cell r="J14">
            <v>-15</v>
          </cell>
          <cell r="K14">
            <v>0</v>
          </cell>
          <cell r="L14">
            <v>25</v>
          </cell>
          <cell r="M14">
            <v>0</v>
          </cell>
          <cell r="N14">
            <v>10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</row>
        <row r="15">
          <cell r="C15">
            <v>105</v>
          </cell>
          <cell r="F15">
            <v>1</v>
          </cell>
          <cell r="G15">
            <v>1</v>
          </cell>
          <cell r="J15">
            <v>0</v>
          </cell>
          <cell r="K15">
            <v>0</v>
          </cell>
          <cell r="L15">
            <v>4</v>
          </cell>
          <cell r="M15">
            <v>0</v>
          </cell>
          <cell r="N15">
            <v>4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</row>
        <row r="16">
          <cell r="C16">
            <v>48</v>
          </cell>
          <cell r="F16">
            <v>1</v>
          </cell>
          <cell r="G16">
            <v>1</v>
          </cell>
          <cell r="J16">
            <v>0</v>
          </cell>
          <cell r="K16">
            <v>0</v>
          </cell>
          <cell r="L16">
            <v>14</v>
          </cell>
          <cell r="M16">
            <v>0</v>
          </cell>
          <cell r="N16">
            <v>14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</row>
        <row r="17">
          <cell r="C17">
            <v>169</v>
          </cell>
          <cell r="F17">
            <v>1</v>
          </cell>
          <cell r="G17">
            <v>1</v>
          </cell>
          <cell r="J17">
            <v>2</v>
          </cell>
          <cell r="K17">
            <v>0</v>
          </cell>
          <cell r="L17">
            <v>30</v>
          </cell>
          <cell r="M17">
            <v>0</v>
          </cell>
          <cell r="N17">
            <v>32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</row>
        <row r="18">
          <cell r="C18">
            <v>195</v>
          </cell>
          <cell r="F18">
            <v>1</v>
          </cell>
          <cell r="G18">
            <v>1</v>
          </cell>
          <cell r="J18">
            <v>0</v>
          </cell>
          <cell r="K18">
            <v>0</v>
          </cell>
          <cell r="L18">
            <v>256</v>
          </cell>
          <cell r="M18">
            <v>0</v>
          </cell>
          <cell r="N18">
            <v>256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</row>
        <row r="19">
          <cell r="C19">
            <v>186</v>
          </cell>
          <cell r="F19">
            <v>1</v>
          </cell>
          <cell r="G19">
            <v>1</v>
          </cell>
          <cell r="J19">
            <v>0</v>
          </cell>
          <cell r="K19">
            <v>0</v>
          </cell>
          <cell r="L19">
            <v>36</v>
          </cell>
          <cell r="M19">
            <v>0</v>
          </cell>
          <cell r="N19">
            <v>36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</row>
        <row r="20">
          <cell r="C20">
            <v>182</v>
          </cell>
          <cell r="F20">
            <v>1</v>
          </cell>
          <cell r="G20">
            <v>1</v>
          </cell>
          <cell r="J20">
            <v>72</v>
          </cell>
          <cell r="K20">
            <v>0</v>
          </cell>
          <cell r="L20">
            <v>312</v>
          </cell>
          <cell r="M20">
            <v>0</v>
          </cell>
          <cell r="N20">
            <v>384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</row>
        <row r="21">
          <cell r="C21">
            <v>96</v>
          </cell>
          <cell r="F21">
            <v>1</v>
          </cell>
          <cell r="G21">
            <v>1</v>
          </cell>
          <cell r="J21">
            <v>7</v>
          </cell>
          <cell r="K21">
            <v>0</v>
          </cell>
          <cell r="L21">
            <v>39</v>
          </cell>
          <cell r="M21">
            <v>0</v>
          </cell>
          <cell r="N21">
            <v>46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</row>
        <row r="22">
          <cell r="C22">
            <v>97</v>
          </cell>
          <cell r="F22">
            <v>1</v>
          </cell>
          <cell r="G22">
            <v>1</v>
          </cell>
          <cell r="J22">
            <v>0</v>
          </cell>
          <cell r="K22">
            <v>0</v>
          </cell>
          <cell r="L22">
            <v>8</v>
          </cell>
          <cell r="M22">
            <v>0</v>
          </cell>
          <cell r="N22">
            <v>8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</row>
        <row r="23">
          <cell r="C23">
            <v>22</v>
          </cell>
          <cell r="F23">
            <v>1</v>
          </cell>
          <cell r="G23">
            <v>1</v>
          </cell>
          <cell r="J23">
            <v>-6</v>
          </cell>
          <cell r="K23">
            <v>4</v>
          </cell>
          <cell r="L23">
            <v>17</v>
          </cell>
          <cell r="M23">
            <v>0</v>
          </cell>
          <cell r="N23">
            <v>7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</row>
        <row r="24">
          <cell r="C24">
            <v>46</v>
          </cell>
          <cell r="F24">
            <v>1</v>
          </cell>
          <cell r="G24">
            <v>1</v>
          </cell>
          <cell r="J24">
            <v>0</v>
          </cell>
          <cell r="K24">
            <v>0</v>
          </cell>
          <cell r="L24">
            <v>60</v>
          </cell>
          <cell r="M24">
            <v>0</v>
          </cell>
          <cell r="N24">
            <v>60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</row>
        <row r="25">
          <cell r="C25">
            <v>197</v>
          </cell>
          <cell r="F25">
            <v>1</v>
          </cell>
          <cell r="G25">
            <v>1</v>
          </cell>
          <cell r="J25">
            <v>0</v>
          </cell>
          <cell r="K25">
            <v>0</v>
          </cell>
          <cell r="L25">
            <v>124</v>
          </cell>
          <cell r="M25">
            <v>0</v>
          </cell>
          <cell r="N25">
            <v>124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</row>
        <row r="26">
          <cell r="C26">
            <v>17</v>
          </cell>
          <cell r="F26">
            <v>1</v>
          </cell>
          <cell r="G26">
            <v>1</v>
          </cell>
          <cell r="J26">
            <v>-45</v>
          </cell>
          <cell r="K26">
            <v>0</v>
          </cell>
          <cell r="L26">
            <v>65</v>
          </cell>
          <cell r="M26">
            <v>0</v>
          </cell>
          <cell r="N26">
            <v>20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</row>
        <row r="27">
          <cell r="C27">
            <v>155</v>
          </cell>
          <cell r="F27">
            <v>1</v>
          </cell>
          <cell r="G27">
            <v>1</v>
          </cell>
          <cell r="J27">
            <v>0</v>
          </cell>
          <cell r="K27">
            <v>0</v>
          </cell>
          <cell r="L27">
            <v>3</v>
          </cell>
          <cell r="M27">
            <v>0</v>
          </cell>
          <cell r="N27">
            <v>3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</row>
        <row r="28">
          <cell r="C28">
            <v>1</v>
          </cell>
          <cell r="F28">
            <v>1</v>
          </cell>
          <cell r="G28">
            <v>1</v>
          </cell>
          <cell r="J28">
            <v>4</v>
          </cell>
          <cell r="K28">
            <v>0</v>
          </cell>
          <cell r="L28">
            <v>0</v>
          </cell>
          <cell r="M28">
            <v>0</v>
          </cell>
          <cell r="N28">
            <v>4</v>
          </cell>
          <cell r="O28">
            <v>0</v>
          </cell>
          <cell r="P28">
            <v>0</v>
          </cell>
          <cell r="Q28">
            <v>0</v>
          </cell>
          <cell r="R28">
            <v>0</v>
          </cell>
        </row>
        <row r="29">
          <cell r="C29">
            <v>2</v>
          </cell>
          <cell r="F29">
            <v>1</v>
          </cell>
          <cell r="G29">
            <v>1</v>
          </cell>
          <cell r="J29">
            <v>5</v>
          </cell>
          <cell r="K29">
            <v>0</v>
          </cell>
          <cell r="L29">
            <v>0</v>
          </cell>
          <cell r="M29">
            <v>0</v>
          </cell>
          <cell r="N29">
            <v>5</v>
          </cell>
          <cell r="O29">
            <v>0</v>
          </cell>
          <cell r="P29">
            <v>0</v>
          </cell>
          <cell r="Q29">
            <v>0</v>
          </cell>
          <cell r="R29">
            <v>0</v>
          </cell>
        </row>
        <row r="30">
          <cell r="C30">
            <v>4</v>
          </cell>
          <cell r="F30">
            <v>1</v>
          </cell>
          <cell r="G30">
            <v>1</v>
          </cell>
          <cell r="J30">
            <v>7</v>
          </cell>
          <cell r="K30">
            <v>0</v>
          </cell>
          <cell r="L30">
            <v>0</v>
          </cell>
          <cell r="M30">
            <v>0</v>
          </cell>
          <cell r="N30">
            <v>7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</row>
        <row r="31">
          <cell r="C31">
            <v>5</v>
          </cell>
          <cell r="F31">
            <v>1</v>
          </cell>
          <cell r="G31">
            <v>1</v>
          </cell>
          <cell r="J31">
            <v>6</v>
          </cell>
          <cell r="K31">
            <v>0</v>
          </cell>
          <cell r="L31">
            <v>0</v>
          </cell>
          <cell r="M31">
            <v>0</v>
          </cell>
          <cell r="N31">
            <v>6</v>
          </cell>
          <cell r="O31">
            <v>0</v>
          </cell>
          <cell r="P31">
            <v>0</v>
          </cell>
          <cell r="Q31">
            <v>0</v>
          </cell>
          <cell r="R31">
            <v>0</v>
          </cell>
        </row>
        <row r="32">
          <cell r="C32">
            <v>11</v>
          </cell>
          <cell r="F32">
            <v>1</v>
          </cell>
          <cell r="G32">
            <v>1</v>
          </cell>
          <cell r="J32">
            <v>-9</v>
          </cell>
          <cell r="K32">
            <v>8</v>
          </cell>
          <cell r="L32">
            <v>33</v>
          </cell>
          <cell r="M32">
            <v>0</v>
          </cell>
          <cell r="N32">
            <v>16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</row>
        <row r="33">
          <cell r="C33">
            <v>13</v>
          </cell>
          <cell r="F33">
            <v>1</v>
          </cell>
          <cell r="G33">
            <v>1</v>
          </cell>
          <cell r="J33">
            <v>-21</v>
          </cell>
          <cell r="K33">
            <v>0</v>
          </cell>
          <cell r="L33">
            <v>29</v>
          </cell>
          <cell r="M33">
            <v>0</v>
          </cell>
          <cell r="N33">
            <v>8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</row>
        <row r="34">
          <cell r="C34">
            <v>14</v>
          </cell>
          <cell r="F34">
            <v>1</v>
          </cell>
          <cell r="G34">
            <v>1</v>
          </cell>
          <cell r="J34">
            <v>-3</v>
          </cell>
          <cell r="K34">
            <v>24</v>
          </cell>
          <cell r="L34">
            <v>39</v>
          </cell>
          <cell r="M34">
            <v>0</v>
          </cell>
          <cell r="N34">
            <v>12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</row>
        <row r="35">
          <cell r="C35">
            <v>16</v>
          </cell>
          <cell r="F35">
            <v>1</v>
          </cell>
          <cell r="G35">
            <v>1</v>
          </cell>
          <cell r="J35">
            <v>-46</v>
          </cell>
          <cell r="K35">
            <v>0</v>
          </cell>
          <cell r="L35">
            <v>91</v>
          </cell>
          <cell r="M35">
            <v>0</v>
          </cell>
          <cell r="N35">
            <v>45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</row>
        <row r="36">
          <cell r="C36">
            <v>18</v>
          </cell>
          <cell r="F36">
            <v>1</v>
          </cell>
          <cell r="G36">
            <v>1</v>
          </cell>
          <cell r="J36">
            <v>-3</v>
          </cell>
          <cell r="K36">
            <v>4</v>
          </cell>
          <cell r="L36">
            <v>27</v>
          </cell>
          <cell r="M36">
            <v>0</v>
          </cell>
          <cell r="N36">
            <v>20</v>
          </cell>
          <cell r="O36">
            <v>0</v>
          </cell>
          <cell r="P36">
            <v>0</v>
          </cell>
          <cell r="Q36">
            <v>0</v>
          </cell>
          <cell r="R36">
            <v>0</v>
          </cell>
        </row>
        <row r="37">
          <cell r="C37">
            <v>19</v>
          </cell>
          <cell r="F37">
            <v>1</v>
          </cell>
          <cell r="G37">
            <v>1</v>
          </cell>
          <cell r="J37">
            <v>-3</v>
          </cell>
          <cell r="K37">
            <v>24</v>
          </cell>
          <cell r="L37">
            <v>52</v>
          </cell>
          <cell r="M37">
            <v>0</v>
          </cell>
          <cell r="N37">
            <v>25</v>
          </cell>
          <cell r="O37">
            <v>0</v>
          </cell>
          <cell r="P37">
            <v>0</v>
          </cell>
          <cell r="Q37">
            <v>0</v>
          </cell>
          <cell r="R37">
            <v>0</v>
          </cell>
        </row>
        <row r="38">
          <cell r="C38">
            <v>20</v>
          </cell>
          <cell r="F38">
            <v>1</v>
          </cell>
          <cell r="G38">
            <v>1</v>
          </cell>
          <cell r="J38">
            <v>-21</v>
          </cell>
          <cell r="K38">
            <v>0</v>
          </cell>
          <cell r="L38">
            <v>38</v>
          </cell>
          <cell r="M38">
            <v>0</v>
          </cell>
          <cell r="N38">
            <v>17</v>
          </cell>
          <cell r="O38">
            <v>0</v>
          </cell>
          <cell r="P38">
            <v>0</v>
          </cell>
          <cell r="Q38">
            <v>0</v>
          </cell>
          <cell r="R38">
            <v>0</v>
          </cell>
        </row>
        <row r="39">
          <cell r="C39">
            <v>26</v>
          </cell>
          <cell r="F39">
            <v>1</v>
          </cell>
          <cell r="G39">
            <v>1</v>
          </cell>
          <cell r="J39">
            <v>0</v>
          </cell>
          <cell r="K39">
            <v>0</v>
          </cell>
          <cell r="L39">
            <v>15</v>
          </cell>
          <cell r="M39">
            <v>0</v>
          </cell>
          <cell r="N39">
            <v>15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</row>
        <row r="40">
          <cell r="C40">
            <v>101</v>
          </cell>
          <cell r="F40">
            <v>1</v>
          </cell>
          <cell r="G40">
            <v>1</v>
          </cell>
          <cell r="J40">
            <v>998</v>
          </cell>
          <cell r="K40">
            <v>0</v>
          </cell>
          <cell r="L40">
            <v>21502</v>
          </cell>
          <cell r="M40">
            <v>0</v>
          </cell>
          <cell r="N40">
            <v>22500</v>
          </cell>
          <cell r="O40">
            <v>0</v>
          </cell>
          <cell r="P40">
            <v>0</v>
          </cell>
          <cell r="Q40">
            <v>0</v>
          </cell>
          <cell r="R40">
            <v>0</v>
          </cell>
        </row>
        <row r="41">
          <cell r="C41">
            <v>102</v>
          </cell>
          <cell r="F41">
            <v>1</v>
          </cell>
          <cell r="G41">
            <v>1</v>
          </cell>
          <cell r="J41">
            <v>0</v>
          </cell>
          <cell r="K41">
            <v>0</v>
          </cell>
          <cell r="L41">
            <v>4</v>
          </cell>
          <cell r="M41">
            <v>0</v>
          </cell>
          <cell r="N41">
            <v>4</v>
          </cell>
          <cell r="O41">
            <v>0</v>
          </cell>
          <cell r="P41">
            <v>0</v>
          </cell>
          <cell r="Q41">
            <v>0</v>
          </cell>
          <cell r="R41">
            <v>0</v>
          </cell>
        </row>
        <row r="42">
          <cell r="C42">
            <v>125</v>
          </cell>
          <cell r="F42">
            <v>1</v>
          </cell>
          <cell r="G42">
            <v>1</v>
          </cell>
          <cell r="J42">
            <v>179</v>
          </cell>
          <cell r="K42">
            <v>0</v>
          </cell>
          <cell r="L42">
            <v>521</v>
          </cell>
          <cell r="M42">
            <v>0</v>
          </cell>
          <cell r="N42">
            <v>700</v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</row>
        <row r="43">
          <cell r="C43">
            <v>152</v>
          </cell>
          <cell r="F43">
            <v>1</v>
          </cell>
          <cell r="G43">
            <v>1</v>
          </cell>
          <cell r="J43">
            <v>0</v>
          </cell>
          <cell r="K43">
            <v>0</v>
          </cell>
          <cell r="L43">
            <v>3</v>
          </cell>
          <cell r="M43">
            <v>0</v>
          </cell>
          <cell r="N43">
            <v>3</v>
          </cell>
          <cell r="O43">
            <v>0</v>
          </cell>
          <cell r="P43">
            <v>0</v>
          </cell>
          <cell r="Q43">
            <v>0</v>
          </cell>
          <cell r="R43">
            <v>0</v>
          </cell>
        </row>
        <row r="44">
          <cell r="C44">
            <v>156</v>
          </cell>
          <cell r="F44">
            <v>1</v>
          </cell>
          <cell r="G44">
            <v>1</v>
          </cell>
          <cell r="J44">
            <v>0</v>
          </cell>
          <cell r="K44">
            <v>0</v>
          </cell>
          <cell r="L44">
            <v>9</v>
          </cell>
          <cell r="M44">
            <v>0</v>
          </cell>
          <cell r="N44">
            <v>9</v>
          </cell>
          <cell r="O44">
            <v>0</v>
          </cell>
          <cell r="P44">
            <v>0</v>
          </cell>
          <cell r="Q44">
            <v>0</v>
          </cell>
          <cell r="R44">
            <v>0</v>
          </cell>
        </row>
        <row r="45">
          <cell r="C45">
            <v>160</v>
          </cell>
          <cell r="F45">
            <v>1</v>
          </cell>
          <cell r="G45">
            <v>1</v>
          </cell>
          <cell r="J45">
            <v>0</v>
          </cell>
          <cell r="K45">
            <v>0</v>
          </cell>
          <cell r="L45">
            <v>10</v>
          </cell>
          <cell r="M45">
            <v>0</v>
          </cell>
          <cell r="N45">
            <v>10</v>
          </cell>
          <cell r="O45">
            <v>0</v>
          </cell>
          <cell r="P45">
            <v>0</v>
          </cell>
          <cell r="Q45">
            <v>0</v>
          </cell>
          <cell r="R45">
            <v>0</v>
          </cell>
        </row>
        <row r="46">
          <cell r="C46">
            <v>162</v>
          </cell>
          <cell r="F46">
            <v>1</v>
          </cell>
          <cell r="G46">
            <v>1</v>
          </cell>
          <cell r="J46">
            <v>0</v>
          </cell>
          <cell r="K46">
            <v>0</v>
          </cell>
          <cell r="L46">
            <v>2</v>
          </cell>
          <cell r="M46">
            <v>0</v>
          </cell>
          <cell r="N46">
            <v>2</v>
          </cell>
          <cell r="O46">
            <v>0</v>
          </cell>
          <cell r="P46">
            <v>0</v>
          </cell>
          <cell r="Q46">
            <v>0</v>
          </cell>
          <cell r="R46">
            <v>0</v>
          </cell>
        </row>
        <row r="47">
          <cell r="C47">
            <v>163</v>
          </cell>
          <cell r="F47">
            <v>1</v>
          </cell>
          <cell r="G47">
            <v>1</v>
          </cell>
          <cell r="J47">
            <v>0</v>
          </cell>
          <cell r="K47">
            <v>0</v>
          </cell>
          <cell r="L47">
            <v>6</v>
          </cell>
          <cell r="M47">
            <v>0</v>
          </cell>
          <cell r="N47">
            <v>6</v>
          </cell>
          <cell r="O47">
            <v>0</v>
          </cell>
          <cell r="P47">
            <v>0</v>
          </cell>
          <cell r="Q47">
            <v>0</v>
          </cell>
          <cell r="R47">
            <v>0</v>
          </cell>
        </row>
        <row r="48">
          <cell r="C48">
            <v>176</v>
          </cell>
          <cell r="F48">
            <v>1</v>
          </cell>
          <cell r="G48">
            <v>1</v>
          </cell>
          <cell r="J48">
            <v>0</v>
          </cell>
          <cell r="K48">
            <v>0</v>
          </cell>
          <cell r="L48">
            <v>9500</v>
          </cell>
          <cell r="M48">
            <v>0</v>
          </cell>
          <cell r="N48">
            <v>9500</v>
          </cell>
          <cell r="O48">
            <v>0</v>
          </cell>
          <cell r="P48">
            <v>0</v>
          </cell>
          <cell r="Q48">
            <v>0</v>
          </cell>
          <cell r="R48">
            <v>0</v>
          </cell>
        </row>
        <row r="49">
          <cell r="C49">
            <v>177</v>
          </cell>
          <cell r="F49">
            <v>1</v>
          </cell>
          <cell r="G49">
            <v>1</v>
          </cell>
          <cell r="J49">
            <v>75</v>
          </cell>
          <cell r="K49">
            <v>0</v>
          </cell>
          <cell r="L49">
            <v>26925</v>
          </cell>
          <cell r="M49">
            <v>0</v>
          </cell>
          <cell r="N49">
            <v>27000</v>
          </cell>
          <cell r="O49">
            <v>0</v>
          </cell>
          <cell r="P49">
            <v>0</v>
          </cell>
          <cell r="Q49">
            <v>0</v>
          </cell>
          <cell r="R49">
            <v>0</v>
          </cell>
        </row>
        <row r="50">
          <cell r="C50">
            <v>178</v>
          </cell>
          <cell r="F50">
            <v>1</v>
          </cell>
          <cell r="G50">
            <v>1</v>
          </cell>
          <cell r="J50">
            <v>0</v>
          </cell>
          <cell r="K50">
            <v>0</v>
          </cell>
          <cell r="L50">
            <v>6500</v>
          </cell>
          <cell r="M50">
            <v>0</v>
          </cell>
          <cell r="N50">
            <v>6500</v>
          </cell>
          <cell r="O50">
            <v>0</v>
          </cell>
          <cell r="P50">
            <v>0</v>
          </cell>
          <cell r="Q50">
            <v>0</v>
          </cell>
          <cell r="R50">
            <v>0</v>
          </cell>
        </row>
        <row r="51">
          <cell r="C51">
            <v>181</v>
          </cell>
          <cell r="F51">
            <v>1</v>
          </cell>
          <cell r="G51">
            <v>1</v>
          </cell>
          <cell r="J51">
            <v>11</v>
          </cell>
          <cell r="K51">
            <v>0</v>
          </cell>
          <cell r="L51">
            <v>505</v>
          </cell>
          <cell r="M51">
            <v>0</v>
          </cell>
          <cell r="N51">
            <v>516</v>
          </cell>
          <cell r="O51">
            <v>0</v>
          </cell>
          <cell r="P51">
            <v>0</v>
          </cell>
          <cell r="Q51">
            <v>0</v>
          </cell>
          <cell r="R51">
            <v>0</v>
          </cell>
        </row>
        <row r="52">
          <cell r="C52">
            <v>183</v>
          </cell>
          <cell r="F52">
            <v>1</v>
          </cell>
          <cell r="G52">
            <v>1</v>
          </cell>
          <cell r="J52">
            <v>0</v>
          </cell>
          <cell r="K52">
            <v>0</v>
          </cell>
          <cell r="L52">
            <v>1080</v>
          </cell>
          <cell r="M52">
            <v>0</v>
          </cell>
          <cell r="N52">
            <v>1080</v>
          </cell>
          <cell r="O52">
            <v>0</v>
          </cell>
          <cell r="P52">
            <v>0</v>
          </cell>
          <cell r="Q52">
            <v>0</v>
          </cell>
          <cell r="R52">
            <v>0</v>
          </cell>
        </row>
        <row r="53">
          <cell r="C53">
            <v>184</v>
          </cell>
          <cell r="F53">
            <v>1</v>
          </cell>
          <cell r="G53">
            <v>1</v>
          </cell>
          <cell r="J53">
            <v>0</v>
          </cell>
          <cell r="K53">
            <v>0</v>
          </cell>
          <cell r="L53">
            <v>360</v>
          </cell>
          <cell r="M53">
            <v>0</v>
          </cell>
          <cell r="N53">
            <v>360</v>
          </cell>
          <cell r="O53">
            <v>0</v>
          </cell>
          <cell r="P53">
            <v>0</v>
          </cell>
          <cell r="Q53">
            <v>0</v>
          </cell>
          <cell r="R53">
            <v>0</v>
          </cell>
        </row>
        <row r="54">
          <cell r="C54">
            <v>185</v>
          </cell>
          <cell r="F54">
            <v>1</v>
          </cell>
          <cell r="G54">
            <v>1</v>
          </cell>
          <cell r="J54">
            <v>0</v>
          </cell>
          <cell r="K54">
            <v>0</v>
          </cell>
          <cell r="L54">
            <v>84</v>
          </cell>
          <cell r="M54">
            <v>0</v>
          </cell>
          <cell r="N54">
            <v>84</v>
          </cell>
          <cell r="O54">
            <v>0</v>
          </cell>
          <cell r="P54">
            <v>0</v>
          </cell>
          <cell r="Q54">
            <v>0</v>
          </cell>
          <cell r="R54">
            <v>0</v>
          </cell>
        </row>
        <row r="55">
          <cell r="C55">
            <v>189</v>
          </cell>
          <cell r="F55">
            <v>1</v>
          </cell>
          <cell r="G55">
            <v>1</v>
          </cell>
          <cell r="J55">
            <v>0</v>
          </cell>
          <cell r="K55">
            <v>0</v>
          </cell>
          <cell r="L55">
            <v>180</v>
          </cell>
          <cell r="M55">
            <v>0</v>
          </cell>
          <cell r="N55">
            <v>180</v>
          </cell>
          <cell r="O55">
            <v>0</v>
          </cell>
          <cell r="P55">
            <v>0</v>
          </cell>
          <cell r="Q55">
            <v>0</v>
          </cell>
          <cell r="R55">
            <v>0</v>
          </cell>
        </row>
        <row r="56">
          <cell r="C56">
            <v>191</v>
          </cell>
          <cell r="F56">
            <v>1</v>
          </cell>
          <cell r="G56">
            <v>1</v>
          </cell>
          <cell r="J56">
            <v>0</v>
          </cell>
          <cell r="K56">
            <v>0</v>
          </cell>
          <cell r="L56">
            <v>64</v>
          </cell>
          <cell r="M56">
            <v>0</v>
          </cell>
          <cell r="N56">
            <v>64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</row>
        <row r="57">
          <cell r="C57">
            <v>193</v>
          </cell>
          <cell r="F57">
            <v>1</v>
          </cell>
          <cell r="G57">
            <v>1</v>
          </cell>
          <cell r="J57">
            <v>0</v>
          </cell>
          <cell r="K57">
            <v>4</v>
          </cell>
          <cell r="L57">
            <v>64</v>
          </cell>
          <cell r="M57">
            <v>0</v>
          </cell>
          <cell r="N57">
            <v>60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</row>
        <row r="58">
          <cell r="C58">
            <v>142</v>
          </cell>
          <cell r="F58">
            <v>1</v>
          </cell>
          <cell r="G58">
            <v>1</v>
          </cell>
          <cell r="J58">
            <v>0</v>
          </cell>
          <cell r="K58">
            <v>0</v>
          </cell>
          <cell r="L58">
            <v>14</v>
          </cell>
          <cell r="M58">
            <v>0</v>
          </cell>
          <cell r="N58">
            <v>14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</row>
        <row r="59">
          <cell r="C59">
            <v>50</v>
          </cell>
          <cell r="F59">
            <v>1</v>
          </cell>
          <cell r="G59">
            <v>1</v>
          </cell>
          <cell r="J59">
            <v>5</v>
          </cell>
          <cell r="K59">
            <v>0</v>
          </cell>
          <cell r="L59">
            <v>133</v>
          </cell>
          <cell r="M59">
            <v>0</v>
          </cell>
          <cell r="N59">
            <v>138</v>
          </cell>
          <cell r="O59">
            <v>0</v>
          </cell>
          <cell r="P59">
            <v>0</v>
          </cell>
          <cell r="Q59">
            <v>0</v>
          </cell>
          <cell r="R59">
            <v>0</v>
          </cell>
        </row>
        <row r="60">
          <cell r="C60">
            <v>41</v>
          </cell>
          <cell r="F60">
            <v>1</v>
          </cell>
          <cell r="G60">
            <v>1</v>
          </cell>
          <cell r="J60">
            <v>2</v>
          </cell>
          <cell r="K60">
            <v>0</v>
          </cell>
          <cell r="L60">
            <v>14</v>
          </cell>
          <cell r="M60">
            <v>0</v>
          </cell>
          <cell r="N60">
            <v>16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</row>
        <row r="61">
          <cell r="C61">
            <v>49</v>
          </cell>
          <cell r="F61">
            <v>1</v>
          </cell>
          <cell r="G61">
            <v>1</v>
          </cell>
          <cell r="J61">
            <v>1</v>
          </cell>
          <cell r="K61">
            <v>0</v>
          </cell>
          <cell r="L61">
            <v>29</v>
          </cell>
          <cell r="M61">
            <v>0</v>
          </cell>
          <cell r="N61">
            <v>30</v>
          </cell>
          <cell r="O61">
            <v>0</v>
          </cell>
          <cell r="P61">
            <v>0</v>
          </cell>
          <cell r="Q61">
            <v>0</v>
          </cell>
          <cell r="R61">
            <v>0</v>
          </cell>
        </row>
        <row r="62">
          <cell r="C62">
            <v>7</v>
          </cell>
          <cell r="F62">
            <v>1</v>
          </cell>
          <cell r="G62">
            <v>1</v>
          </cell>
          <cell r="J62">
            <v>-28</v>
          </cell>
          <cell r="K62">
            <v>0</v>
          </cell>
          <cell r="L62">
            <v>46</v>
          </cell>
          <cell r="M62">
            <v>0</v>
          </cell>
          <cell r="N62">
            <v>18</v>
          </cell>
          <cell r="O62">
            <v>0</v>
          </cell>
          <cell r="P62">
            <v>0</v>
          </cell>
          <cell r="Q62">
            <v>0</v>
          </cell>
          <cell r="R62">
            <v>0</v>
          </cell>
        </row>
        <row r="63">
          <cell r="C63">
            <v>145</v>
          </cell>
          <cell r="F63">
            <v>1</v>
          </cell>
          <cell r="G63">
            <v>1</v>
          </cell>
          <cell r="J63">
            <v>0</v>
          </cell>
          <cell r="K63">
            <v>0</v>
          </cell>
          <cell r="L63">
            <v>20</v>
          </cell>
          <cell r="M63">
            <v>0</v>
          </cell>
          <cell r="N63">
            <v>20</v>
          </cell>
          <cell r="O63">
            <v>0</v>
          </cell>
          <cell r="P63">
            <v>0</v>
          </cell>
          <cell r="Q63">
            <v>0</v>
          </cell>
          <cell r="R63">
            <v>0</v>
          </cell>
        </row>
        <row r="64">
          <cell r="C64">
            <v>99</v>
          </cell>
          <cell r="F64">
            <v>1</v>
          </cell>
          <cell r="G64">
            <v>1</v>
          </cell>
          <cell r="J64">
            <v>0</v>
          </cell>
          <cell r="K64">
            <v>0</v>
          </cell>
          <cell r="L64">
            <v>10</v>
          </cell>
          <cell r="M64">
            <v>0</v>
          </cell>
          <cell r="N64">
            <v>10</v>
          </cell>
          <cell r="O64">
            <v>0</v>
          </cell>
          <cell r="P64">
            <v>0</v>
          </cell>
          <cell r="Q64">
            <v>0</v>
          </cell>
          <cell r="R64">
            <v>0</v>
          </cell>
        </row>
        <row r="65">
          <cell r="C65">
            <v>70</v>
          </cell>
          <cell r="F65">
            <v>1</v>
          </cell>
          <cell r="G65">
            <v>1</v>
          </cell>
          <cell r="J65">
            <v>0</v>
          </cell>
          <cell r="K65">
            <v>0</v>
          </cell>
          <cell r="L65">
            <v>8</v>
          </cell>
          <cell r="M65">
            <v>0</v>
          </cell>
          <cell r="N65">
            <v>8</v>
          </cell>
          <cell r="O65">
            <v>0</v>
          </cell>
          <cell r="P65">
            <v>0</v>
          </cell>
          <cell r="Q65">
            <v>0</v>
          </cell>
          <cell r="R65">
            <v>0</v>
          </cell>
        </row>
        <row r="66">
          <cell r="C66">
            <v>52</v>
          </cell>
          <cell r="F66">
            <v>1</v>
          </cell>
          <cell r="G66">
            <v>1</v>
          </cell>
          <cell r="J66">
            <v>0</v>
          </cell>
          <cell r="K66">
            <v>0</v>
          </cell>
          <cell r="L66">
            <v>22</v>
          </cell>
          <cell r="M66">
            <v>0</v>
          </cell>
          <cell r="N66">
            <v>22</v>
          </cell>
          <cell r="O66">
            <v>0</v>
          </cell>
          <cell r="P66">
            <v>0</v>
          </cell>
          <cell r="Q66">
            <v>0</v>
          </cell>
          <cell r="R66">
            <v>0</v>
          </cell>
        </row>
        <row r="67">
          <cell r="C67">
            <v>42</v>
          </cell>
          <cell r="F67">
            <v>1</v>
          </cell>
          <cell r="G67">
            <v>1</v>
          </cell>
          <cell r="J67">
            <v>-5</v>
          </cell>
          <cell r="K67">
            <v>0</v>
          </cell>
          <cell r="L67">
            <v>37</v>
          </cell>
          <cell r="M67">
            <v>0</v>
          </cell>
          <cell r="N67">
            <v>32</v>
          </cell>
          <cell r="O67">
            <v>0</v>
          </cell>
          <cell r="P67">
            <v>0</v>
          </cell>
          <cell r="Q67">
            <v>0</v>
          </cell>
          <cell r="R67">
            <v>0</v>
          </cell>
        </row>
        <row r="68">
          <cell r="C68">
            <v>45</v>
          </cell>
          <cell r="F68">
            <v>1</v>
          </cell>
          <cell r="G68">
            <v>1</v>
          </cell>
          <cell r="J68">
            <v>1</v>
          </cell>
          <cell r="K68">
            <v>0</v>
          </cell>
          <cell r="L68">
            <v>29</v>
          </cell>
          <cell r="M68">
            <v>0</v>
          </cell>
          <cell r="N68">
            <v>30</v>
          </cell>
          <cell r="O68">
            <v>0</v>
          </cell>
          <cell r="P68">
            <v>0</v>
          </cell>
          <cell r="Q68">
            <v>0</v>
          </cell>
          <cell r="R68">
            <v>0</v>
          </cell>
        </row>
        <row r="69">
          <cell r="C69">
            <v>144</v>
          </cell>
          <cell r="F69">
            <v>1</v>
          </cell>
          <cell r="G69">
            <v>1</v>
          </cell>
          <cell r="J69">
            <v>0</v>
          </cell>
          <cell r="K69">
            <v>0</v>
          </cell>
          <cell r="L69">
            <v>30</v>
          </cell>
          <cell r="M69">
            <v>0</v>
          </cell>
          <cell r="N69">
            <v>30</v>
          </cell>
          <cell r="O69">
            <v>0</v>
          </cell>
          <cell r="P69">
            <v>0</v>
          </cell>
          <cell r="Q69">
            <v>0</v>
          </cell>
          <cell r="R69">
            <v>0</v>
          </cell>
        </row>
        <row r="70">
          <cell r="C70">
            <v>108</v>
          </cell>
          <cell r="F70">
            <v>1</v>
          </cell>
          <cell r="G70">
            <v>1</v>
          </cell>
          <cell r="J70">
            <v>4</v>
          </cell>
          <cell r="K70">
            <v>0</v>
          </cell>
          <cell r="L70">
            <v>40</v>
          </cell>
          <cell r="M70">
            <v>0</v>
          </cell>
          <cell r="N70">
            <v>44</v>
          </cell>
          <cell r="O70">
            <v>0</v>
          </cell>
          <cell r="P70">
            <v>0</v>
          </cell>
          <cell r="Q70">
            <v>0</v>
          </cell>
          <cell r="R70">
            <v>0</v>
          </cell>
        </row>
        <row r="71">
          <cell r="C71">
            <v>103</v>
          </cell>
          <cell r="F71">
            <v>1</v>
          </cell>
          <cell r="G71">
            <v>1</v>
          </cell>
          <cell r="J71">
            <v>-1</v>
          </cell>
          <cell r="K71">
            <v>0</v>
          </cell>
          <cell r="L71">
            <v>7</v>
          </cell>
          <cell r="M71">
            <v>0</v>
          </cell>
          <cell r="N71">
            <v>6</v>
          </cell>
          <cell r="O71">
            <v>0</v>
          </cell>
          <cell r="P71">
            <v>0</v>
          </cell>
          <cell r="Q71">
            <v>0</v>
          </cell>
          <cell r="R71">
            <v>0</v>
          </cell>
        </row>
        <row r="72">
          <cell r="C72">
            <v>167</v>
          </cell>
          <cell r="F72">
            <v>1</v>
          </cell>
          <cell r="G72">
            <v>1</v>
          </cell>
          <cell r="J72">
            <v>0</v>
          </cell>
          <cell r="K72">
            <v>0</v>
          </cell>
          <cell r="L72">
            <v>18</v>
          </cell>
          <cell r="M72">
            <v>0</v>
          </cell>
          <cell r="N72">
            <v>18</v>
          </cell>
          <cell r="O72">
            <v>0</v>
          </cell>
          <cell r="P72">
            <v>0</v>
          </cell>
          <cell r="Q72">
            <v>0</v>
          </cell>
          <cell r="R72">
            <v>0</v>
          </cell>
        </row>
        <row r="73">
          <cell r="C73">
            <v>63</v>
          </cell>
          <cell r="F73">
            <v>1</v>
          </cell>
          <cell r="G73">
            <v>1</v>
          </cell>
          <cell r="J73">
            <v>5</v>
          </cell>
          <cell r="K73">
            <v>0</v>
          </cell>
          <cell r="L73">
            <v>7</v>
          </cell>
          <cell r="M73">
            <v>0</v>
          </cell>
          <cell r="N73">
            <v>12</v>
          </cell>
          <cell r="O73">
            <v>0</v>
          </cell>
          <cell r="P73">
            <v>0</v>
          </cell>
          <cell r="Q73">
            <v>0</v>
          </cell>
          <cell r="R73">
            <v>0</v>
          </cell>
        </row>
        <row r="74">
          <cell r="C74">
            <v>40</v>
          </cell>
          <cell r="F74">
            <v>1</v>
          </cell>
          <cell r="G74">
            <v>1</v>
          </cell>
          <cell r="J74">
            <v>0</v>
          </cell>
          <cell r="K74">
            <v>0</v>
          </cell>
          <cell r="L74">
            <v>4</v>
          </cell>
          <cell r="M74">
            <v>0</v>
          </cell>
          <cell r="N74">
            <v>4</v>
          </cell>
          <cell r="O74">
            <v>0</v>
          </cell>
          <cell r="P74">
            <v>0</v>
          </cell>
          <cell r="Q74">
            <v>0</v>
          </cell>
          <cell r="R74">
            <v>0</v>
          </cell>
        </row>
        <row r="75">
          <cell r="C75">
            <v>38</v>
          </cell>
          <cell r="F75">
            <v>1</v>
          </cell>
          <cell r="G75">
            <v>1</v>
          </cell>
          <cell r="J75">
            <v>-1</v>
          </cell>
          <cell r="K75">
            <v>0</v>
          </cell>
          <cell r="L75">
            <v>5</v>
          </cell>
          <cell r="M75">
            <v>0</v>
          </cell>
          <cell r="N75">
            <v>4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</row>
        <row r="76">
          <cell r="C76">
            <v>5</v>
          </cell>
          <cell r="F76">
            <v>1</v>
          </cell>
          <cell r="G76">
            <v>1</v>
          </cell>
          <cell r="J76">
            <v>-1</v>
          </cell>
          <cell r="K76">
            <v>0</v>
          </cell>
          <cell r="L76">
            <v>1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</row>
        <row r="77">
          <cell r="C77">
            <v>8</v>
          </cell>
          <cell r="F77">
            <v>1</v>
          </cell>
          <cell r="G77">
            <v>1</v>
          </cell>
          <cell r="J77">
            <v>-21</v>
          </cell>
          <cell r="K77">
            <v>0</v>
          </cell>
          <cell r="L77">
            <v>35</v>
          </cell>
          <cell r="M77">
            <v>0</v>
          </cell>
          <cell r="N77">
            <v>14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</row>
        <row r="78">
          <cell r="C78">
            <v>76</v>
          </cell>
          <cell r="F78">
            <v>1</v>
          </cell>
          <cell r="G78">
            <v>1</v>
          </cell>
          <cell r="J78">
            <v>0</v>
          </cell>
          <cell r="K78">
            <v>0</v>
          </cell>
          <cell r="L78">
            <v>12</v>
          </cell>
          <cell r="M78">
            <v>0</v>
          </cell>
          <cell r="N78">
            <v>12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</row>
        <row r="79">
          <cell r="C79">
            <v>90</v>
          </cell>
          <cell r="F79">
            <v>1</v>
          </cell>
          <cell r="G79">
            <v>1</v>
          </cell>
          <cell r="J79">
            <v>0</v>
          </cell>
          <cell r="K79">
            <v>0</v>
          </cell>
          <cell r="L79">
            <v>16</v>
          </cell>
          <cell r="M79">
            <v>0</v>
          </cell>
          <cell r="N79">
            <v>16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</row>
        <row r="80">
          <cell r="C80">
            <v>39</v>
          </cell>
          <cell r="F80">
            <v>1</v>
          </cell>
          <cell r="G80">
            <v>1</v>
          </cell>
          <cell r="J80">
            <v>0</v>
          </cell>
          <cell r="K80">
            <v>0</v>
          </cell>
          <cell r="L80">
            <v>6</v>
          </cell>
          <cell r="M80">
            <v>0</v>
          </cell>
          <cell r="N80">
            <v>6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</row>
        <row r="81">
          <cell r="C81">
            <v>131</v>
          </cell>
          <cell r="F81">
            <v>1</v>
          </cell>
          <cell r="G81">
            <v>1</v>
          </cell>
          <cell r="J81">
            <v>0</v>
          </cell>
          <cell r="K81">
            <v>0</v>
          </cell>
          <cell r="L81">
            <v>2</v>
          </cell>
          <cell r="M81">
            <v>0</v>
          </cell>
          <cell r="N81">
            <v>2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</row>
        <row r="82">
          <cell r="C82">
            <v>198</v>
          </cell>
          <cell r="F82">
            <v>1</v>
          </cell>
          <cell r="G82">
            <v>1</v>
          </cell>
          <cell r="J82">
            <v>0</v>
          </cell>
          <cell r="K82">
            <v>0</v>
          </cell>
          <cell r="L82">
            <v>32</v>
          </cell>
          <cell r="M82">
            <v>0</v>
          </cell>
          <cell r="N82">
            <v>32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</row>
        <row r="83">
          <cell r="C83">
            <v>2</v>
          </cell>
          <cell r="F83">
            <v>1</v>
          </cell>
          <cell r="G83">
            <v>1</v>
          </cell>
          <cell r="J83">
            <v>-2</v>
          </cell>
          <cell r="K83">
            <v>0</v>
          </cell>
          <cell r="L83">
            <v>2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</row>
        <row r="84">
          <cell r="C84">
            <v>30</v>
          </cell>
          <cell r="F84">
            <v>1</v>
          </cell>
          <cell r="G84">
            <v>1</v>
          </cell>
          <cell r="J84">
            <v>-8</v>
          </cell>
          <cell r="K84">
            <v>0</v>
          </cell>
          <cell r="L84">
            <v>14</v>
          </cell>
          <cell r="M84">
            <v>0</v>
          </cell>
          <cell r="N84">
            <v>6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</row>
        <row r="85">
          <cell r="C85">
            <v>34</v>
          </cell>
          <cell r="F85">
            <v>1</v>
          </cell>
          <cell r="G85">
            <v>1</v>
          </cell>
          <cell r="J85">
            <v>0</v>
          </cell>
          <cell r="K85">
            <v>0</v>
          </cell>
          <cell r="L85">
            <v>20</v>
          </cell>
          <cell r="M85">
            <v>0</v>
          </cell>
          <cell r="N85">
            <v>20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</row>
        <row r="86">
          <cell r="C86">
            <v>33</v>
          </cell>
          <cell r="F86">
            <v>1</v>
          </cell>
          <cell r="G86">
            <v>1</v>
          </cell>
          <cell r="J86">
            <v>0</v>
          </cell>
          <cell r="K86">
            <v>0</v>
          </cell>
          <cell r="L86">
            <v>2</v>
          </cell>
          <cell r="M86">
            <v>0</v>
          </cell>
          <cell r="N86">
            <v>2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</row>
        <row r="87">
          <cell r="C87">
            <v>56</v>
          </cell>
          <cell r="F87">
            <v>1</v>
          </cell>
          <cell r="G87">
            <v>1</v>
          </cell>
          <cell r="J87">
            <v>4</v>
          </cell>
          <cell r="K87">
            <v>0</v>
          </cell>
          <cell r="L87">
            <v>10</v>
          </cell>
          <cell r="M87">
            <v>0</v>
          </cell>
          <cell r="N87">
            <v>14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</row>
        <row r="88">
          <cell r="C88">
            <v>53</v>
          </cell>
          <cell r="F88">
            <v>1</v>
          </cell>
          <cell r="G88">
            <v>1</v>
          </cell>
          <cell r="J88">
            <v>2</v>
          </cell>
          <cell r="K88">
            <v>0</v>
          </cell>
          <cell r="L88">
            <v>2</v>
          </cell>
          <cell r="M88">
            <v>0</v>
          </cell>
          <cell r="N88">
            <v>4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</row>
        <row r="89">
          <cell r="C89">
            <v>66</v>
          </cell>
          <cell r="F89">
            <v>1</v>
          </cell>
          <cell r="G89">
            <v>1</v>
          </cell>
          <cell r="J89">
            <v>9</v>
          </cell>
          <cell r="K89">
            <v>0</v>
          </cell>
          <cell r="L89">
            <v>8</v>
          </cell>
          <cell r="M89">
            <v>0</v>
          </cell>
          <cell r="N89">
            <v>17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</row>
        <row r="90">
          <cell r="C90">
            <v>64</v>
          </cell>
          <cell r="F90">
            <v>1</v>
          </cell>
          <cell r="G90">
            <v>1</v>
          </cell>
          <cell r="J90">
            <v>-1</v>
          </cell>
          <cell r="K90">
            <v>0</v>
          </cell>
          <cell r="L90">
            <v>3</v>
          </cell>
          <cell r="M90">
            <v>0</v>
          </cell>
          <cell r="N90">
            <v>2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</row>
        <row r="91">
          <cell r="C91">
            <v>44</v>
          </cell>
          <cell r="F91">
            <v>1</v>
          </cell>
          <cell r="G91">
            <v>1</v>
          </cell>
          <cell r="J91">
            <v>0</v>
          </cell>
          <cell r="K91">
            <v>0</v>
          </cell>
          <cell r="L91">
            <v>8</v>
          </cell>
          <cell r="M91">
            <v>0</v>
          </cell>
          <cell r="N91">
            <v>8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</row>
        <row r="92">
          <cell r="C92">
            <v>69</v>
          </cell>
          <cell r="F92">
            <v>1</v>
          </cell>
          <cell r="G92">
            <v>1</v>
          </cell>
          <cell r="J92">
            <v>0</v>
          </cell>
          <cell r="K92">
            <v>0</v>
          </cell>
          <cell r="L92">
            <v>14</v>
          </cell>
          <cell r="M92">
            <v>0</v>
          </cell>
          <cell r="N92">
            <v>14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</row>
        <row r="93">
          <cell r="C93">
            <v>68</v>
          </cell>
          <cell r="F93">
            <v>1</v>
          </cell>
          <cell r="G93">
            <v>1</v>
          </cell>
          <cell r="J93">
            <v>4</v>
          </cell>
          <cell r="K93">
            <v>0</v>
          </cell>
          <cell r="L93">
            <v>8</v>
          </cell>
          <cell r="M93">
            <v>0</v>
          </cell>
          <cell r="N93">
            <v>12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</row>
        <row r="94">
          <cell r="C94">
            <v>25</v>
          </cell>
          <cell r="F94">
            <v>1</v>
          </cell>
          <cell r="G94">
            <v>1</v>
          </cell>
          <cell r="J94">
            <v>-3</v>
          </cell>
          <cell r="K94">
            <v>0</v>
          </cell>
          <cell r="L94">
            <v>5</v>
          </cell>
          <cell r="M94">
            <v>0</v>
          </cell>
          <cell r="N94">
            <v>2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</row>
        <row r="95">
          <cell r="C95">
            <v>73</v>
          </cell>
          <cell r="F95">
            <v>1</v>
          </cell>
          <cell r="G95">
            <v>1</v>
          </cell>
          <cell r="J95">
            <v>0</v>
          </cell>
          <cell r="K95">
            <v>0</v>
          </cell>
          <cell r="L95">
            <v>2</v>
          </cell>
          <cell r="M95">
            <v>0</v>
          </cell>
          <cell r="N95">
            <v>2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</row>
        <row r="96">
          <cell r="C96">
            <v>92</v>
          </cell>
          <cell r="F96">
            <v>1</v>
          </cell>
          <cell r="G96">
            <v>1</v>
          </cell>
          <cell r="J96">
            <v>0</v>
          </cell>
          <cell r="K96">
            <v>0</v>
          </cell>
          <cell r="L96">
            <v>40</v>
          </cell>
          <cell r="M96">
            <v>0</v>
          </cell>
          <cell r="N96">
            <v>40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</row>
        <row r="97">
          <cell r="C97">
            <v>94</v>
          </cell>
          <cell r="F97">
            <v>1</v>
          </cell>
          <cell r="G97">
            <v>1</v>
          </cell>
          <cell r="J97">
            <v>10</v>
          </cell>
          <cell r="K97">
            <v>0</v>
          </cell>
          <cell r="L97">
            <v>72</v>
          </cell>
          <cell r="M97">
            <v>0</v>
          </cell>
          <cell r="N97">
            <v>82</v>
          </cell>
          <cell r="O97">
            <v>0</v>
          </cell>
          <cell r="P97">
            <v>0</v>
          </cell>
          <cell r="Q97">
            <v>0</v>
          </cell>
          <cell r="R97">
            <v>0</v>
          </cell>
        </row>
        <row r="98">
          <cell r="C98">
            <v>51</v>
          </cell>
          <cell r="F98">
            <v>1</v>
          </cell>
          <cell r="G98">
            <v>1</v>
          </cell>
          <cell r="J98">
            <v>16</v>
          </cell>
          <cell r="K98">
            <v>0</v>
          </cell>
          <cell r="L98">
            <v>18</v>
          </cell>
          <cell r="M98">
            <v>0</v>
          </cell>
          <cell r="N98">
            <v>34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</row>
        <row r="99">
          <cell r="C99">
            <v>74</v>
          </cell>
          <cell r="F99">
            <v>1</v>
          </cell>
          <cell r="G99">
            <v>1</v>
          </cell>
          <cell r="J99">
            <v>0</v>
          </cell>
          <cell r="K99">
            <v>0</v>
          </cell>
          <cell r="L99">
            <v>12</v>
          </cell>
          <cell r="M99">
            <v>0</v>
          </cell>
          <cell r="N99">
            <v>12</v>
          </cell>
          <cell r="O99">
            <v>0</v>
          </cell>
          <cell r="P99">
            <v>0</v>
          </cell>
          <cell r="Q99">
            <v>0</v>
          </cell>
          <cell r="R99">
            <v>0</v>
          </cell>
        </row>
        <row r="100">
          <cell r="C100">
            <v>75</v>
          </cell>
          <cell r="F100">
            <v>1</v>
          </cell>
          <cell r="G100">
            <v>1</v>
          </cell>
          <cell r="J100">
            <v>2</v>
          </cell>
          <cell r="K100">
            <v>0</v>
          </cell>
          <cell r="L100">
            <v>6</v>
          </cell>
          <cell r="M100">
            <v>0</v>
          </cell>
          <cell r="N100">
            <v>8</v>
          </cell>
          <cell r="O100">
            <v>0</v>
          </cell>
          <cell r="P100">
            <v>0</v>
          </cell>
          <cell r="Q100">
            <v>0</v>
          </cell>
          <cell r="R100">
            <v>0</v>
          </cell>
        </row>
        <row r="101">
          <cell r="C101">
            <v>150</v>
          </cell>
          <cell r="F101">
            <v>1</v>
          </cell>
          <cell r="G101">
            <v>1</v>
          </cell>
          <cell r="J101">
            <v>15</v>
          </cell>
          <cell r="K101">
            <v>0</v>
          </cell>
          <cell r="L101">
            <v>73</v>
          </cell>
          <cell r="M101">
            <v>0</v>
          </cell>
          <cell r="N101">
            <v>88</v>
          </cell>
          <cell r="O101">
            <v>0</v>
          </cell>
          <cell r="P101">
            <v>0</v>
          </cell>
          <cell r="Q101">
            <v>0</v>
          </cell>
          <cell r="R101">
            <v>0</v>
          </cell>
        </row>
        <row r="102">
          <cell r="C102">
            <v>37</v>
          </cell>
          <cell r="F102">
            <v>1</v>
          </cell>
          <cell r="G102">
            <v>1</v>
          </cell>
          <cell r="J102">
            <v>-1</v>
          </cell>
          <cell r="K102">
            <v>0</v>
          </cell>
          <cell r="L102">
            <v>5</v>
          </cell>
          <cell r="M102">
            <v>0</v>
          </cell>
          <cell r="N102">
            <v>4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</row>
        <row r="103">
          <cell r="C103">
            <v>29</v>
          </cell>
          <cell r="F103">
            <v>1</v>
          </cell>
          <cell r="G103">
            <v>1</v>
          </cell>
          <cell r="J103">
            <v>7</v>
          </cell>
          <cell r="K103">
            <v>0</v>
          </cell>
          <cell r="L103">
            <v>17</v>
          </cell>
          <cell r="M103">
            <v>0</v>
          </cell>
          <cell r="N103">
            <v>24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</row>
        <row r="104">
          <cell r="C104">
            <v>4</v>
          </cell>
          <cell r="F104">
            <v>1</v>
          </cell>
          <cell r="G104">
            <v>1</v>
          </cell>
          <cell r="J104">
            <v>-2</v>
          </cell>
          <cell r="K104">
            <v>0</v>
          </cell>
          <cell r="L104">
            <v>2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</row>
        <row r="105">
          <cell r="C105">
            <v>170</v>
          </cell>
          <cell r="F105">
            <v>1</v>
          </cell>
          <cell r="G105">
            <v>1</v>
          </cell>
          <cell r="J105">
            <v>2</v>
          </cell>
          <cell r="K105">
            <v>0</v>
          </cell>
          <cell r="L105">
            <v>18</v>
          </cell>
          <cell r="M105">
            <v>0</v>
          </cell>
          <cell r="N105">
            <v>20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</row>
        <row r="106">
          <cell r="C106">
            <v>158</v>
          </cell>
          <cell r="F106">
            <v>1</v>
          </cell>
          <cell r="G106">
            <v>1</v>
          </cell>
          <cell r="J106">
            <v>0</v>
          </cell>
          <cell r="K106">
            <v>0</v>
          </cell>
          <cell r="L106">
            <v>2</v>
          </cell>
          <cell r="M106">
            <v>0</v>
          </cell>
          <cell r="N106">
            <v>2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</row>
        <row r="107">
          <cell r="C107">
            <v>165</v>
          </cell>
          <cell r="F107">
            <v>1</v>
          </cell>
          <cell r="G107">
            <v>1</v>
          </cell>
          <cell r="J107">
            <v>0</v>
          </cell>
          <cell r="K107">
            <v>0</v>
          </cell>
          <cell r="L107">
            <v>2</v>
          </cell>
          <cell r="M107">
            <v>0</v>
          </cell>
          <cell r="N107">
            <v>2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</row>
        <row r="108">
          <cell r="C108">
            <v>54</v>
          </cell>
          <cell r="F108">
            <v>1</v>
          </cell>
          <cell r="G108">
            <v>1</v>
          </cell>
          <cell r="J108">
            <v>5</v>
          </cell>
          <cell r="K108">
            <v>0</v>
          </cell>
          <cell r="L108">
            <v>11</v>
          </cell>
          <cell r="M108">
            <v>0</v>
          </cell>
          <cell r="N108">
            <v>16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</row>
        <row r="109">
          <cell r="C109">
            <v>32</v>
          </cell>
          <cell r="F109">
            <v>1</v>
          </cell>
          <cell r="G109">
            <v>1</v>
          </cell>
          <cell r="J109">
            <v>0</v>
          </cell>
          <cell r="K109">
            <v>0</v>
          </cell>
          <cell r="L109">
            <v>4</v>
          </cell>
          <cell r="M109">
            <v>0</v>
          </cell>
          <cell r="N109">
            <v>4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</row>
        <row r="110">
          <cell r="C110">
            <v>9</v>
          </cell>
          <cell r="F110">
            <v>1</v>
          </cell>
          <cell r="G110">
            <v>1</v>
          </cell>
          <cell r="J110">
            <v>-54</v>
          </cell>
          <cell r="K110">
            <v>0</v>
          </cell>
          <cell r="L110">
            <v>90</v>
          </cell>
          <cell r="M110">
            <v>0</v>
          </cell>
          <cell r="N110">
            <v>36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</row>
        <row r="111">
          <cell r="C111">
            <v>4</v>
          </cell>
          <cell r="F111">
            <v>1</v>
          </cell>
          <cell r="G111">
            <v>1</v>
          </cell>
          <cell r="J111">
            <v>-7</v>
          </cell>
          <cell r="K111">
            <v>0</v>
          </cell>
          <cell r="L111">
            <v>7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</row>
        <row r="112">
          <cell r="C112">
            <v>61</v>
          </cell>
          <cell r="F112">
            <v>1</v>
          </cell>
          <cell r="G112">
            <v>1</v>
          </cell>
          <cell r="J112">
            <v>0</v>
          </cell>
          <cell r="K112">
            <v>0</v>
          </cell>
          <cell r="L112">
            <v>2</v>
          </cell>
          <cell r="M112">
            <v>0</v>
          </cell>
          <cell r="N112">
            <v>2</v>
          </cell>
          <cell r="O112">
            <v>0</v>
          </cell>
          <cell r="P112">
            <v>0</v>
          </cell>
          <cell r="Q112">
            <v>0</v>
          </cell>
          <cell r="R112">
            <v>0</v>
          </cell>
        </row>
        <row r="113">
          <cell r="C113">
            <v>146</v>
          </cell>
          <cell r="F113">
            <v>1</v>
          </cell>
          <cell r="G113">
            <v>1</v>
          </cell>
          <cell r="J113">
            <v>5</v>
          </cell>
          <cell r="K113">
            <v>0</v>
          </cell>
          <cell r="L113">
            <v>5</v>
          </cell>
          <cell r="M113">
            <v>0</v>
          </cell>
          <cell r="N113">
            <v>10</v>
          </cell>
          <cell r="O113">
            <v>0</v>
          </cell>
          <cell r="P113">
            <v>0</v>
          </cell>
          <cell r="Q113">
            <v>0</v>
          </cell>
          <cell r="R113">
            <v>0</v>
          </cell>
        </row>
        <row r="114">
          <cell r="C114">
            <v>1</v>
          </cell>
          <cell r="F114">
            <v>1</v>
          </cell>
          <cell r="G114">
            <v>1</v>
          </cell>
          <cell r="J114">
            <v>-1</v>
          </cell>
          <cell r="K114">
            <v>0</v>
          </cell>
          <cell r="L114">
            <v>1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0</v>
          </cell>
          <cell r="R114">
            <v>0</v>
          </cell>
        </row>
        <row r="115">
          <cell r="C115">
            <v>4</v>
          </cell>
          <cell r="F115">
            <v>1</v>
          </cell>
          <cell r="G115">
            <v>1</v>
          </cell>
          <cell r="J115">
            <v>-1</v>
          </cell>
          <cell r="K115">
            <v>0</v>
          </cell>
          <cell r="L115">
            <v>1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0</v>
          </cell>
          <cell r="R115">
            <v>0</v>
          </cell>
        </row>
        <row r="116">
          <cell r="C116">
            <v>71</v>
          </cell>
          <cell r="F116">
            <v>1</v>
          </cell>
          <cell r="G116">
            <v>1</v>
          </cell>
          <cell r="J116">
            <v>1</v>
          </cell>
          <cell r="K116">
            <v>0</v>
          </cell>
          <cell r="L116">
            <v>3</v>
          </cell>
          <cell r="M116">
            <v>0</v>
          </cell>
          <cell r="N116">
            <v>4</v>
          </cell>
          <cell r="O116">
            <v>0</v>
          </cell>
          <cell r="P116">
            <v>0</v>
          </cell>
          <cell r="Q116">
            <v>0</v>
          </cell>
          <cell r="R116">
            <v>0</v>
          </cell>
        </row>
        <row r="117">
          <cell r="C117">
            <v>79</v>
          </cell>
          <cell r="F117">
            <v>1</v>
          </cell>
          <cell r="G117">
            <v>1</v>
          </cell>
          <cell r="J117">
            <v>0</v>
          </cell>
          <cell r="K117">
            <v>0</v>
          </cell>
          <cell r="L117">
            <v>100</v>
          </cell>
          <cell r="M117">
            <v>0</v>
          </cell>
          <cell r="N117">
            <v>100</v>
          </cell>
          <cell r="O117">
            <v>0</v>
          </cell>
          <cell r="P117">
            <v>0</v>
          </cell>
          <cell r="Q117">
            <v>0</v>
          </cell>
          <cell r="R117">
            <v>0</v>
          </cell>
        </row>
        <row r="118">
          <cell r="C118">
            <v>77</v>
          </cell>
          <cell r="F118">
            <v>1</v>
          </cell>
          <cell r="G118">
            <v>1</v>
          </cell>
          <cell r="J118">
            <v>0</v>
          </cell>
          <cell r="K118">
            <v>0</v>
          </cell>
          <cell r="L118">
            <v>100</v>
          </cell>
          <cell r="M118">
            <v>0</v>
          </cell>
          <cell r="N118">
            <v>100</v>
          </cell>
          <cell r="O118">
            <v>0</v>
          </cell>
          <cell r="P118">
            <v>0</v>
          </cell>
          <cell r="Q118">
            <v>0</v>
          </cell>
          <cell r="R118">
            <v>0</v>
          </cell>
        </row>
        <row r="119">
          <cell r="C119">
            <v>112</v>
          </cell>
          <cell r="F119">
            <v>1</v>
          </cell>
          <cell r="G119">
            <v>1</v>
          </cell>
          <cell r="J119">
            <v>0</v>
          </cell>
          <cell r="K119">
            <v>0</v>
          </cell>
          <cell r="L119">
            <v>2</v>
          </cell>
          <cell r="M119">
            <v>0</v>
          </cell>
          <cell r="N119">
            <v>2</v>
          </cell>
          <cell r="O119">
            <v>0</v>
          </cell>
          <cell r="P119">
            <v>0</v>
          </cell>
          <cell r="Q119">
            <v>0</v>
          </cell>
          <cell r="R119">
            <v>0</v>
          </cell>
        </row>
        <row r="120">
          <cell r="C120">
            <v>1</v>
          </cell>
          <cell r="F120">
            <v>1</v>
          </cell>
          <cell r="G120">
            <v>1</v>
          </cell>
          <cell r="J120">
            <v>-1</v>
          </cell>
          <cell r="K120">
            <v>0</v>
          </cell>
          <cell r="L120">
            <v>1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0</v>
          </cell>
          <cell r="R120">
            <v>0</v>
          </cell>
        </row>
        <row r="121">
          <cell r="C121">
            <v>174</v>
          </cell>
          <cell r="F121">
            <v>1</v>
          </cell>
          <cell r="G121">
            <v>1</v>
          </cell>
          <cell r="J121">
            <v>0</v>
          </cell>
          <cell r="K121">
            <v>0</v>
          </cell>
          <cell r="L121">
            <v>4</v>
          </cell>
          <cell r="M121">
            <v>0</v>
          </cell>
          <cell r="N121">
            <v>4</v>
          </cell>
          <cell r="O121">
            <v>0</v>
          </cell>
          <cell r="P121">
            <v>0</v>
          </cell>
          <cell r="Q121">
            <v>0</v>
          </cell>
          <cell r="R121">
            <v>0</v>
          </cell>
        </row>
        <row r="122">
          <cell r="C122">
            <v>168</v>
          </cell>
          <cell r="F122">
            <v>1</v>
          </cell>
          <cell r="G122">
            <v>1</v>
          </cell>
          <cell r="J122">
            <v>0</v>
          </cell>
          <cell r="K122">
            <v>0</v>
          </cell>
          <cell r="L122">
            <v>4</v>
          </cell>
          <cell r="M122">
            <v>0</v>
          </cell>
          <cell r="N122">
            <v>4</v>
          </cell>
          <cell r="O122">
            <v>0</v>
          </cell>
          <cell r="P122">
            <v>0</v>
          </cell>
          <cell r="Q122">
            <v>0</v>
          </cell>
          <cell r="R122">
            <v>0</v>
          </cell>
        </row>
        <row r="123">
          <cell r="C123">
            <v>172</v>
          </cell>
          <cell r="F123">
            <v>1</v>
          </cell>
          <cell r="G123">
            <v>1</v>
          </cell>
          <cell r="J123">
            <v>0</v>
          </cell>
          <cell r="K123">
            <v>0</v>
          </cell>
          <cell r="L123">
            <v>4</v>
          </cell>
          <cell r="M123">
            <v>0</v>
          </cell>
          <cell r="N123">
            <v>4</v>
          </cell>
          <cell r="O123">
            <v>0</v>
          </cell>
          <cell r="P123">
            <v>0</v>
          </cell>
          <cell r="Q123">
            <v>0</v>
          </cell>
          <cell r="R123">
            <v>0</v>
          </cell>
        </row>
        <row r="124">
          <cell r="C124">
            <v>136</v>
          </cell>
          <cell r="F124">
            <v>1</v>
          </cell>
          <cell r="G124">
            <v>1</v>
          </cell>
          <cell r="J124">
            <v>0</v>
          </cell>
          <cell r="K124">
            <v>0</v>
          </cell>
          <cell r="L124">
            <v>4</v>
          </cell>
          <cell r="M124">
            <v>0</v>
          </cell>
          <cell r="N124">
            <v>4</v>
          </cell>
          <cell r="O124">
            <v>0</v>
          </cell>
          <cell r="P124">
            <v>0</v>
          </cell>
          <cell r="Q124">
            <v>0</v>
          </cell>
          <cell r="R124">
            <v>0</v>
          </cell>
        </row>
        <row r="125">
          <cell r="C125">
            <v>4</v>
          </cell>
          <cell r="F125">
            <v>1</v>
          </cell>
          <cell r="G125">
            <v>1</v>
          </cell>
          <cell r="J125">
            <v>8</v>
          </cell>
          <cell r="K125">
            <v>0</v>
          </cell>
          <cell r="L125">
            <v>0</v>
          </cell>
          <cell r="M125">
            <v>0</v>
          </cell>
          <cell r="N125">
            <v>8</v>
          </cell>
          <cell r="O125">
            <v>0</v>
          </cell>
          <cell r="P125">
            <v>0</v>
          </cell>
          <cell r="Q125">
            <v>0</v>
          </cell>
          <cell r="R125">
            <v>0</v>
          </cell>
        </row>
        <row r="126">
          <cell r="C126">
            <v>1</v>
          </cell>
          <cell r="F126">
            <v>1</v>
          </cell>
          <cell r="G126">
            <v>1</v>
          </cell>
          <cell r="J126">
            <v>-2</v>
          </cell>
          <cell r="K126">
            <v>-2</v>
          </cell>
          <cell r="L126">
            <v>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Q126">
            <v>0</v>
          </cell>
          <cell r="R126">
            <v>0</v>
          </cell>
        </row>
        <row r="127">
          <cell r="C127">
            <v>2</v>
          </cell>
          <cell r="F127">
            <v>1</v>
          </cell>
          <cell r="G127">
            <v>1</v>
          </cell>
          <cell r="J127">
            <v>-3</v>
          </cell>
          <cell r="K127">
            <v>-3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0</v>
          </cell>
          <cell r="R127">
            <v>0</v>
          </cell>
        </row>
        <row r="128">
          <cell r="C128">
            <v>3</v>
          </cell>
          <cell r="F128">
            <v>1</v>
          </cell>
          <cell r="G128">
            <v>1</v>
          </cell>
          <cell r="J128">
            <v>0</v>
          </cell>
          <cell r="K128">
            <v>0</v>
          </cell>
          <cell r="L128">
            <v>0</v>
          </cell>
          <cell r="M128">
            <v>0</v>
          </cell>
          <cell r="N128">
            <v>0</v>
          </cell>
          <cell r="O128">
            <v>0</v>
          </cell>
          <cell r="P128">
            <v>0</v>
          </cell>
          <cell r="Q128">
            <v>0</v>
          </cell>
          <cell r="R128">
            <v>0</v>
          </cell>
        </row>
        <row r="129">
          <cell r="C129">
            <v>4</v>
          </cell>
          <cell r="F129">
            <v>1</v>
          </cell>
          <cell r="G129">
            <v>1</v>
          </cell>
          <cell r="J129">
            <v>-4</v>
          </cell>
          <cell r="K129">
            <v>-4</v>
          </cell>
          <cell r="L129">
            <v>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  <cell r="Q129">
            <v>0</v>
          </cell>
          <cell r="R129">
            <v>0</v>
          </cell>
        </row>
        <row r="130">
          <cell r="C130">
            <v>5</v>
          </cell>
          <cell r="F130">
            <v>1</v>
          </cell>
          <cell r="G130">
            <v>1</v>
          </cell>
          <cell r="J130">
            <v>-5</v>
          </cell>
          <cell r="K130">
            <v>-5</v>
          </cell>
          <cell r="L130">
            <v>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Q130">
            <v>0</v>
          </cell>
          <cell r="R130">
            <v>0</v>
          </cell>
        </row>
        <row r="131">
          <cell r="C131">
            <v>6</v>
          </cell>
          <cell r="F131">
            <v>1</v>
          </cell>
          <cell r="G131">
            <v>1</v>
          </cell>
          <cell r="J131">
            <v>-10</v>
          </cell>
          <cell r="K131">
            <v>-10</v>
          </cell>
          <cell r="L131">
            <v>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  <cell r="Q131">
            <v>0</v>
          </cell>
          <cell r="R131">
            <v>0</v>
          </cell>
        </row>
        <row r="132">
          <cell r="C132">
            <v>7</v>
          </cell>
          <cell r="F132">
            <v>1</v>
          </cell>
          <cell r="G132">
            <v>1</v>
          </cell>
          <cell r="J132">
            <v>-9</v>
          </cell>
          <cell r="K132">
            <v>-9</v>
          </cell>
          <cell r="L132">
            <v>0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Q132">
            <v>0</v>
          </cell>
          <cell r="R132">
            <v>0</v>
          </cell>
        </row>
        <row r="133">
          <cell r="C133">
            <v>8</v>
          </cell>
          <cell r="F133">
            <v>1</v>
          </cell>
          <cell r="G133">
            <v>1</v>
          </cell>
          <cell r="J133">
            <v>-7</v>
          </cell>
          <cell r="K133">
            <v>-7</v>
          </cell>
          <cell r="L133">
            <v>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  <cell r="Q133">
            <v>0</v>
          </cell>
          <cell r="R133">
            <v>0</v>
          </cell>
        </row>
        <row r="134">
          <cell r="C134">
            <v>9</v>
          </cell>
          <cell r="F134">
            <v>1</v>
          </cell>
          <cell r="G134">
            <v>1</v>
          </cell>
          <cell r="J134">
            <v>-18</v>
          </cell>
          <cell r="K134">
            <v>-18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0</v>
          </cell>
          <cell r="R134">
            <v>0</v>
          </cell>
        </row>
        <row r="135">
          <cell r="C135">
            <v>10</v>
          </cell>
          <cell r="F135">
            <v>1</v>
          </cell>
          <cell r="G135">
            <v>1</v>
          </cell>
          <cell r="J135">
            <v>-5</v>
          </cell>
          <cell r="K135">
            <v>-5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0</v>
          </cell>
          <cell r="R135">
            <v>0</v>
          </cell>
        </row>
        <row r="136">
          <cell r="C136">
            <v>11</v>
          </cell>
          <cell r="F136">
            <v>1</v>
          </cell>
          <cell r="G136">
            <v>1</v>
          </cell>
          <cell r="J136">
            <v>-3</v>
          </cell>
          <cell r="K136">
            <v>-3</v>
          </cell>
          <cell r="L136">
            <v>0</v>
          </cell>
          <cell r="M136">
            <v>0</v>
          </cell>
          <cell r="N136">
            <v>0</v>
          </cell>
          <cell r="O136">
            <v>0</v>
          </cell>
          <cell r="P136">
            <v>0</v>
          </cell>
          <cell r="Q136">
            <v>0</v>
          </cell>
          <cell r="R136">
            <v>0</v>
          </cell>
        </row>
        <row r="137">
          <cell r="C137">
            <v>12</v>
          </cell>
          <cell r="F137">
            <v>1</v>
          </cell>
          <cell r="G137">
            <v>1</v>
          </cell>
          <cell r="J137">
            <v>0</v>
          </cell>
          <cell r="K137">
            <v>0</v>
          </cell>
          <cell r="L137">
            <v>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>
            <v>0</v>
          </cell>
          <cell r="R137">
            <v>0</v>
          </cell>
        </row>
        <row r="138">
          <cell r="C138">
            <v>13</v>
          </cell>
          <cell r="F138">
            <v>1</v>
          </cell>
          <cell r="G138">
            <v>1</v>
          </cell>
          <cell r="J138">
            <v>-7</v>
          </cell>
          <cell r="K138">
            <v>-7</v>
          </cell>
          <cell r="L138">
            <v>0</v>
          </cell>
          <cell r="M138">
            <v>0</v>
          </cell>
          <cell r="N138">
            <v>0</v>
          </cell>
          <cell r="O138">
            <v>0</v>
          </cell>
          <cell r="P138">
            <v>0</v>
          </cell>
          <cell r="Q138">
            <v>0</v>
          </cell>
          <cell r="R138">
            <v>0</v>
          </cell>
        </row>
        <row r="139">
          <cell r="C139">
            <v>14</v>
          </cell>
          <cell r="F139">
            <v>1</v>
          </cell>
          <cell r="G139">
            <v>1</v>
          </cell>
          <cell r="J139">
            <v>-1</v>
          </cell>
          <cell r="K139">
            <v>-1</v>
          </cell>
          <cell r="L139">
            <v>0</v>
          </cell>
          <cell r="M139">
            <v>0</v>
          </cell>
          <cell r="N139">
            <v>0</v>
          </cell>
          <cell r="O139">
            <v>0</v>
          </cell>
          <cell r="P139">
            <v>0</v>
          </cell>
          <cell r="Q139">
            <v>0</v>
          </cell>
          <cell r="R139">
            <v>0</v>
          </cell>
        </row>
        <row r="140">
          <cell r="C140">
            <v>15</v>
          </cell>
          <cell r="F140">
            <v>1</v>
          </cell>
          <cell r="G140">
            <v>1</v>
          </cell>
          <cell r="J140">
            <v>0</v>
          </cell>
          <cell r="K140">
            <v>0</v>
          </cell>
          <cell r="L140">
            <v>0</v>
          </cell>
          <cell r="M140">
            <v>0</v>
          </cell>
          <cell r="N140">
            <v>0</v>
          </cell>
          <cell r="O140">
            <v>0</v>
          </cell>
          <cell r="P140">
            <v>0</v>
          </cell>
          <cell r="Q140">
            <v>0</v>
          </cell>
          <cell r="R140">
            <v>0</v>
          </cell>
        </row>
        <row r="141">
          <cell r="C141">
            <v>16</v>
          </cell>
          <cell r="F141">
            <v>1</v>
          </cell>
          <cell r="G141">
            <v>1</v>
          </cell>
          <cell r="J141">
            <v>-15</v>
          </cell>
          <cell r="K141">
            <v>-15</v>
          </cell>
          <cell r="L141">
            <v>0</v>
          </cell>
          <cell r="M141">
            <v>0</v>
          </cell>
          <cell r="N141">
            <v>0</v>
          </cell>
          <cell r="O141">
            <v>0</v>
          </cell>
          <cell r="P141">
            <v>0</v>
          </cell>
          <cell r="Q141">
            <v>0</v>
          </cell>
          <cell r="R141">
            <v>0</v>
          </cell>
        </row>
        <row r="142">
          <cell r="C142">
            <v>17</v>
          </cell>
          <cell r="F142">
            <v>1</v>
          </cell>
          <cell r="G142">
            <v>1</v>
          </cell>
          <cell r="J142">
            <v>-15</v>
          </cell>
          <cell r="K142">
            <v>-15</v>
          </cell>
          <cell r="L142">
            <v>0</v>
          </cell>
          <cell r="M142">
            <v>0</v>
          </cell>
          <cell r="N142">
            <v>0</v>
          </cell>
          <cell r="O142">
            <v>0</v>
          </cell>
          <cell r="P142">
            <v>0</v>
          </cell>
          <cell r="Q142">
            <v>0</v>
          </cell>
          <cell r="R142">
            <v>0</v>
          </cell>
        </row>
        <row r="143">
          <cell r="C143">
            <v>18</v>
          </cell>
          <cell r="F143">
            <v>1</v>
          </cell>
          <cell r="G143">
            <v>1</v>
          </cell>
          <cell r="J143">
            <v>-1</v>
          </cell>
          <cell r="K143">
            <v>-1</v>
          </cell>
          <cell r="L143">
            <v>0</v>
          </cell>
          <cell r="M143">
            <v>0</v>
          </cell>
          <cell r="N143">
            <v>0</v>
          </cell>
          <cell r="O143">
            <v>0</v>
          </cell>
          <cell r="P143">
            <v>0</v>
          </cell>
          <cell r="Q143">
            <v>0</v>
          </cell>
          <cell r="R143">
            <v>0</v>
          </cell>
        </row>
        <row r="144">
          <cell r="C144">
            <v>19</v>
          </cell>
          <cell r="F144">
            <v>1</v>
          </cell>
          <cell r="G144">
            <v>1</v>
          </cell>
          <cell r="J144">
            <v>-1</v>
          </cell>
          <cell r="K144">
            <v>-1</v>
          </cell>
          <cell r="L144">
            <v>0</v>
          </cell>
          <cell r="M144">
            <v>0</v>
          </cell>
          <cell r="N144">
            <v>0</v>
          </cell>
          <cell r="O144">
            <v>0</v>
          </cell>
          <cell r="P144">
            <v>0</v>
          </cell>
          <cell r="Q144">
            <v>0</v>
          </cell>
          <cell r="R144">
            <v>0</v>
          </cell>
        </row>
        <row r="145">
          <cell r="C145">
            <v>20</v>
          </cell>
          <cell r="F145">
            <v>1</v>
          </cell>
          <cell r="G145">
            <v>1</v>
          </cell>
          <cell r="J145">
            <v>-7</v>
          </cell>
          <cell r="K145">
            <v>-7</v>
          </cell>
          <cell r="L145">
            <v>0</v>
          </cell>
          <cell r="M145">
            <v>0</v>
          </cell>
          <cell r="N145">
            <v>0</v>
          </cell>
          <cell r="O145">
            <v>0</v>
          </cell>
          <cell r="P145">
            <v>0</v>
          </cell>
          <cell r="Q145">
            <v>0</v>
          </cell>
          <cell r="R145">
            <v>0</v>
          </cell>
        </row>
        <row r="146">
          <cell r="C146">
            <v>21</v>
          </cell>
          <cell r="F146">
            <v>1</v>
          </cell>
          <cell r="G146">
            <v>1</v>
          </cell>
          <cell r="J146">
            <v>0</v>
          </cell>
          <cell r="K146">
            <v>0</v>
          </cell>
          <cell r="L146">
            <v>0</v>
          </cell>
          <cell r="M146">
            <v>0</v>
          </cell>
          <cell r="N146">
            <v>0</v>
          </cell>
          <cell r="O146">
            <v>0</v>
          </cell>
          <cell r="P146">
            <v>0</v>
          </cell>
          <cell r="Q146">
            <v>0</v>
          </cell>
          <cell r="R146">
            <v>0</v>
          </cell>
        </row>
        <row r="147">
          <cell r="C147">
            <v>22</v>
          </cell>
          <cell r="F147">
            <v>1</v>
          </cell>
          <cell r="G147">
            <v>1</v>
          </cell>
          <cell r="J147">
            <v>-2</v>
          </cell>
          <cell r="K147">
            <v>-2</v>
          </cell>
          <cell r="L147">
            <v>0</v>
          </cell>
          <cell r="M147">
            <v>0</v>
          </cell>
          <cell r="N147">
            <v>0</v>
          </cell>
          <cell r="O147">
            <v>0</v>
          </cell>
          <cell r="P147">
            <v>0</v>
          </cell>
          <cell r="Q147">
            <v>0</v>
          </cell>
          <cell r="R147">
            <v>0</v>
          </cell>
        </row>
        <row r="148">
          <cell r="C148">
            <v>23</v>
          </cell>
          <cell r="F148">
            <v>1</v>
          </cell>
          <cell r="G148">
            <v>1</v>
          </cell>
          <cell r="J148">
            <v>0</v>
          </cell>
          <cell r="K148">
            <v>0</v>
          </cell>
          <cell r="L148">
            <v>0</v>
          </cell>
          <cell r="M148">
            <v>0</v>
          </cell>
          <cell r="N148">
            <v>0</v>
          </cell>
          <cell r="O148">
            <v>0</v>
          </cell>
          <cell r="P148">
            <v>0</v>
          </cell>
          <cell r="Q148">
            <v>0</v>
          </cell>
          <cell r="R148">
            <v>0</v>
          </cell>
        </row>
        <row r="149">
          <cell r="C149">
            <v>24</v>
          </cell>
          <cell r="F149">
            <v>1</v>
          </cell>
          <cell r="G149">
            <v>1</v>
          </cell>
          <cell r="J149">
            <v>0</v>
          </cell>
          <cell r="K149">
            <v>0</v>
          </cell>
          <cell r="L149">
            <v>0</v>
          </cell>
          <cell r="M149">
            <v>0</v>
          </cell>
          <cell r="N149">
            <v>0</v>
          </cell>
          <cell r="O149">
            <v>0</v>
          </cell>
          <cell r="P149">
            <v>0</v>
          </cell>
          <cell r="Q149">
            <v>0</v>
          </cell>
          <cell r="R149">
            <v>0</v>
          </cell>
        </row>
        <row r="150">
          <cell r="C150">
            <v>25</v>
          </cell>
          <cell r="F150">
            <v>1</v>
          </cell>
          <cell r="G150">
            <v>1</v>
          </cell>
          <cell r="J150">
            <v>-1</v>
          </cell>
          <cell r="K150">
            <v>-1</v>
          </cell>
          <cell r="L150">
            <v>0</v>
          </cell>
          <cell r="M150">
            <v>0</v>
          </cell>
          <cell r="N150">
            <v>0</v>
          </cell>
          <cell r="O150">
            <v>0</v>
          </cell>
          <cell r="P150">
            <v>0</v>
          </cell>
          <cell r="Q150">
            <v>0</v>
          </cell>
          <cell r="R150">
            <v>0</v>
          </cell>
        </row>
        <row r="151">
          <cell r="C151">
            <v>1</v>
          </cell>
          <cell r="F151">
            <v>1</v>
          </cell>
          <cell r="G151">
            <v>1</v>
          </cell>
          <cell r="J151">
            <v>8</v>
          </cell>
          <cell r="K151">
            <v>8</v>
          </cell>
          <cell r="L151">
            <v>0</v>
          </cell>
          <cell r="M151">
            <v>0</v>
          </cell>
          <cell r="N151">
            <v>0</v>
          </cell>
          <cell r="O151">
            <v>0</v>
          </cell>
          <cell r="P151">
            <v>0</v>
          </cell>
          <cell r="Q151">
            <v>0</v>
          </cell>
          <cell r="R151">
            <v>0</v>
          </cell>
        </row>
        <row r="152">
          <cell r="C152">
            <v>2</v>
          </cell>
          <cell r="F152">
            <v>1</v>
          </cell>
          <cell r="G152">
            <v>1</v>
          </cell>
          <cell r="J152">
            <v>12</v>
          </cell>
          <cell r="K152">
            <v>12</v>
          </cell>
          <cell r="L152">
            <v>0</v>
          </cell>
          <cell r="M152">
            <v>0</v>
          </cell>
          <cell r="N152">
            <v>0</v>
          </cell>
          <cell r="O152">
            <v>0</v>
          </cell>
          <cell r="P152">
            <v>0</v>
          </cell>
          <cell r="Q152">
            <v>0</v>
          </cell>
          <cell r="R152">
            <v>0</v>
          </cell>
        </row>
        <row r="153">
          <cell r="C153">
            <v>3</v>
          </cell>
          <cell r="F153">
            <v>1</v>
          </cell>
          <cell r="G153">
            <v>1</v>
          </cell>
          <cell r="J153">
            <v>0</v>
          </cell>
          <cell r="K153">
            <v>0</v>
          </cell>
          <cell r="L153">
            <v>0</v>
          </cell>
          <cell r="M153">
            <v>0</v>
          </cell>
          <cell r="N153">
            <v>0</v>
          </cell>
          <cell r="O153">
            <v>0</v>
          </cell>
          <cell r="P153">
            <v>0</v>
          </cell>
          <cell r="Q153">
            <v>0</v>
          </cell>
          <cell r="R153">
            <v>0</v>
          </cell>
        </row>
        <row r="154">
          <cell r="C154">
            <v>4</v>
          </cell>
          <cell r="F154">
            <v>1</v>
          </cell>
          <cell r="G154">
            <v>1</v>
          </cell>
          <cell r="J154">
            <v>16</v>
          </cell>
          <cell r="K154">
            <v>16</v>
          </cell>
          <cell r="L154">
            <v>0</v>
          </cell>
          <cell r="M154">
            <v>0</v>
          </cell>
          <cell r="N154">
            <v>0</v>
          </cell>
          <cell r="O154">
            <v>0</v>
          </cell>
          <cell r="P154">
            <v>0</v>
          </cell>
          <cell r="Q154">
            <v>0</v>
          </cell>
          <cell r="R154">
            <v>0</v>
          </cell>
        </row>
        <row r="155">
          <cell r="C155">
            <v>5</v>
          </cell>
          <cell r="F155">
            <v>1</v>
          </cell>
          <cell r="G155">
            <v>1</v>
          </cell>
          <cell r="J155">
            <v>20</v>
          </cell>
          <cell r="K155">
            <v>20</v>
          </cell>
          <cell r="L155">
            <v>0</v>
          </cell>
          <cell r="M155">
            <v>0</v>
          </cell>
          <cell r="N155">
            <v>0</v>
          </cell>
          <cell r="O155">
            <v>0</v>
          </cell>
          <cell r="P155">
            <v>0</v>
          </cell>
          <cell r="Q155">
            <v>0</v>
          </cell>
          <cell r="R155">
            <v>0</v>
          </cell>
        </row>
        <row r="156">
          <cell r="C156">
            <v>6</v>
          </cell>
          <cell r="F156">
            <v>1</v>
          </cell>
          <cell r="G156">
            <v>1</v>
          </cell>
          <cell r="J156">
            <v>40</v>
          </cell>
          <cell r="K156">
            <v>40</v>
          </cell>
          <cell r="L156">
            <v>0</v>
          </cell>
          <cell r="M156">
            <v>0</v>
          </cell>
          <cell r="N156">
            <v>0</v>
          </cell>
          <cell r="O156">
            <v>0</v>
          </cell>
          <cell r="P156">
            <v>0</v>
          </cell>
          <cell r="Q156">
            <v>0</v>
          </cell>
          <cell r="R156">
            <v>0</v>
          </cell>
        </row>
        <row r="157">
          <cell r="C157">
            <v>7</v>
          </cell>
          <cell r="F157">
            <v>1</v>
          </cell>
          <cell r="G157">
            <v>1</v>
          </cell>
          <cell r="J157">
            <v>36</v>
          </cell>
          <cell r="K157">
            <v>36</v>
          </cell>
          <cell r="L157">
            <v>0</v>
          </cell>
          <cell r="M157">
            <v>0</v>
          </cell>
          <cell r="N157">
            <v>0</v>
          </cell>
          <cell r="O157">
            <v>0</v>
          </cell>
          <cell r="P157">
            <v>0</v>
          </cell>
          <cell r="Q157">
            <v>0</v>
          </cell>
          <cell r="R157">
            <v>0</v>
          </cell>
        </row>
        <row r="158">
          <cell r="C158">
            <v>8</v>
          </cell>
          <cell r="F158">
            <v>1</v>
          </cell>
          <cell r="G158">
            <v>1</v>
          </cell>
          <cell r="J158">
            <v>28</v>
          </cell>
          <cell r="K158">
            <v>28</v>
          </cell>
          <cell r="L158">
            <v>0</v>
          </cell>
          <cell r="M158">
            <v>0</v>
          </cell>
          <cell r="N158">
            <v>0</v>
          </cell>
          <cell r="O158">
            <v>0</v>
          </cell>
          <cell r="P158">
            <v>0</v>
          </cell>
          <cell r="Q158">
            <v>0</v>
          </cell>
          <cell r="R158">
            <v>0</v>
          </cell>
        </row>
        <row r="159">
          <cell r="C159">
            <v>9</v>
          </cell>
          <cell r="F159">
            <v>1</v>
          </cell>
          <cell r="G159">
            <v>1</v>
          </cell>
          <cell r="J159">
            <v>72</v>
          </cell>
          <cell r="K159">
            <v>72</v>
          </cell>
          <cell r="L159">
            <v>0</v>
          </cell>
          <cell r="M159">
            <v>0</v>
          </cell>
          <cell r="N159">
            <v>0</v>
          </cell>
          <cell r="O159">
            <v>0</v>
          </cell>
          <cell r="P159">
            <v>0</v>
          </cell>
          <cell r="Q159">
            <v>0</v>
          </cell>
          <cell r="R159">
            <v>0</v>
          </cell>
        </row>
        <row r="160">
          <cell r="C160">
            <v>10</v>
          </cell>
          <cell r="F160">
            <v>1</v>
          </cell>
          <cell r="G160">
            <v>1</v>
          </cell>
          <cell r="J160">
            <v>20</v>
          </cell>
          <cell r="K160">
            <v>20</v>
          </cell>
          <cell r="L160">
            <v>0</v>
          </cell>
          <cell r="M160">
            <v>0</v>
          </cell>
          <cell r="N160">
            <v>0</v>
          </cell>
          <cell r="O160">
            <v>0</v>
          </cell>
          <cell r="P160">
            <v>0</v>
          </cell>
          <cell r="Q160">
            <v>0</v>
          </cell>
          <cell r="R160">
            <v>0</v>
          </cell>
        </row>
        <row r="161">
          <cell r="C161">
            <v>11</v>
          </cell>
          <cell r="F161">
            <v>1</v>
          </cell>
          <cell r="G161">
            <v>1</v>
          </cell>
          <cell r="J161">
            <v>12</v>
          </cell>
          <cell r="K161">
            <v>12</v>
          </cell>
          <cell r="L161">
            <v>0</v>
          </cell>
          <cell r="M161">
            <v>0</v>
          </cell>
          <cell r="N161">
            <v>0</v>
          </cell>
          <cell r="O161">
            <v>0</v>
          </cell>
          <cell r="P161">
            <v>0</v>
          </cell>
          <cell r="Q161">
            <v>0</v>
          </cell>
          <cell r="R161">
            <v>0</v>
          </cell>
        </row>
        <row r="162">
          <cell r="C162">
            <v>12</v>
          </cell>
          <cell r="F162">
            <v>1</v>
          </cell>
          <cell r="G162">
            <v>1</v>
          </cell>
          <cell r="J162">
            <v>0</v>
          </cell>
          <cell r="K162">
            <v>0</v>
          </cell>
          <cell r="L162">
            <v>0</v>
          </cell>
          <cell r="M162">
            <v>0</v>
          </cell>
          <cell r="N162">
            <v>0</v>
          </cell>
          <cell r="O162">
            <v>0</v>
          </cell>
          <cell r="P162">
            <v>0</v>
          </cell>
          <cell r="Q162">
            <v>0</v>
          </cell>
          <cell r="R162">
            <v>0</v>
          </cell>
        </row>
        <row r="163">
          <cell r="C163">
            <v>13</v>
          </cell>
          <cell r="F163">
            <v>1</v>
          </cell>
          <cell r="G163">
            <v>1</v>
          </cell>
          <cell r="J163">
            <v>28</v>
          </cell>
          <cell r="K163">
            <v>28</v>
          </cell>
          <cell r="L163">
            <v>0</v>
          </cell>
          <cell r="M163">
            <v>0</v>
          </cell>
          <cell r="N163">
            <v>0</v>
          </cell>
          <cell r="O163">
            <v>0</v>
          </cell>
          <cell r="P163">
            <v>0</v>
          </cell>
          <cell r="Q163">
            <v>0</v>
          </cell>
          <cell r="R163">
            <v>0</v>
          </cell>
        </row>
        <row r="164">
          <cell r="C164">
            <v>14</v>
          </cell>
          <cell r="F164">
            <v>1</v>
          </cell>
          <cell r="G164">
            <v>1</v>
          </cell>
          <cell r="J164">
            <v>4</v>
          </cell>
          <cell r="K164">
            <v>4</v>
          </cell>
          <cell r="L164">
            <v>0</v>
          </cell>
          <cell r="M164">
            <v>0</v>
          </cell>
          <cell r="N164">
            <v>0</v>
          </cell>
          <cell r="O164">
            <v>0</v>
          </cell>
          <cell r="P164">
            <v>0</v>
          </cell>
          <cell r="Q164">
            <v>0</v>
          </cell>
          <cell r="R164">
            <v>0</v>
          </cell>
        </row>
        <row r="165">
          <cell r="C165">
            <v>15</v>
          </cell>
          <cell r="F165">
            <v>1</v>
          </cell>
          <cell r="G165">
            <v>1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  <cell r="N165">
            <v>0</v>
          </cell>
          <cell r="O165">
            <v>0</v>
          </cell>
          <cell r="P165">
            <v>0</v>
          </cell>
          <cell r="Q165">
            <v>0</v>
          </cell>
          <cell r="R165">
            <v>0</v>
          </cell>
        </row>
        <row r="166">
          <cell r="C166">
            <v>16</v>
          </cell>
          <cell r="F166">
            <v>1</v>
          </cell>
          <cell r="G166">
            <v>1</v>
          </cell>
          <cell r="J166">
            <v>60</v>
          </cell>
          <cell r="K166">
            <v>60</v>
          </cell>
          <cell r="L166">
            <v>0</v>
          </cell>
          <cell r="M166">
            <v>0</v>
          </cell>
          <cell r="N166">
            <v>0</v>
          </cell>
          <cell r="O166">
            <v>0</v>
          </cell>
          <cell r="P166">
            <v>0</v>
          </cell>
          <cell r="Q166">
            <v>0</v>
          </cell>
          <cell r="R166">
            <v>0</v>
          </cell>
        </row>
        <row r="167">
          <cell r="C167">
            <v>17</v>
          </cell>
          <cell r="F167">
            <v>1</v>
          </cell>
          <cell r="G167">
            <v>1</v>
          </cell>
          <cell r="J167">
            <v>60</v>
          </cell>
          <cell r="K167">
            <v>60</v>
          </cell>
          <cell r="L167">
            <v>0</v>
          </cell>
          <cell r="M167">
            <v>0</v>
          </cell>
          <cell r="N167">
            <v>0</v>
          </cell>
          <cell r="O167">
            <v>0</v>
          </cell>
          <cell r="P167">
            <v>0</v>
          </cell>
          <cell r="Q167">
            <v>0</v>
          </cell>
          <cell r="R167">
            <v>0</v>
          </cell>
        </row>
        <row r="168">
          <cell r="C168">
            <v>18</v>
          </cell>
          <cell r="F168">
            <v>1</v>
          </cell>
          <cell r="G168">
            <v>1</v>
          </cell>
          <cell r="J168">
            <v>4</v>
          </cell>
          <cell r="K168">
            <v>4</v>
          </cell>
          <cell r="L168">
            <v>0</v>
          </cell>
          <cell r="M168">
            <v>0</v>
          </cell>
          <cell r="N168">
            <v>0</v>
          </cell>
          <cell r="O168">
            <v>0</v>
          </cell>
          <cell r="P168">
            <v>0</v>
          </cell>
          <cell r="Q168">
            <v>0</v>
          </cell>
          <cell r="R168">
            <v>0</v>
          </cell>
        </row>
        <row r="169">
          <cell r="C169">
            <v>19</v>
          </cell>
          <cell r="F169">
            <v>1</v>
          </cell>
          <cell r="G169">
            <v>1</v>
          </cell>
          <cell r="J169">
            <v>4</v>
          </cell>
          <cell r="K169">
            <v>4</v>
          </cell>
          <cell r="L169">
            <v>0</v>
          </cell>
          <cell r="M169">
            <v>0</v>
          </cell>
          <cell r="N169">
            <v>0</v>
          </cell>
          <cell r="O169">
            <v>0</v>
          </cell>
          <cell r="P169">
            <v>0</v>
          </cell>
          <cell r="Q169">
            <v>0</v>
          </cell>
          <cell r="R169">
            <v>0</v>
          </cell>
        </row>
        <row r="170">
          <cell r="C170">
            <v>20</v>
          </cell>
          <cell r="F170">
            <v>1</v>
          </cell>
          <cell r="G170">
            <v>1</v>
          </cell>
          <cell r="J170">
            <v>28</v>
          </cell>
          <cell r="K170">
            <v>28</v>
          </cell>
          <cell r="L170">
            <v>0</v>
          </cell>
          <cell r="M170">
            <v>0</v>
          </cell>
          <cell r="N170">
            <v>0</v>
          </cell>
          <cell r="O170">
            <v>0</v>
          </cell>
          <cell r="P170">
            <v>0</v>
          </cell>
          <cell r="Q170">
            <v>0</v>
          </cell>
          <cell r="R170">
            <v>0</v>
          </cell>
        </row>
        <row r="171">
          <cell r="C171">
            <v>21</v>
          </cell>
          <cell r="F171">
            <v>1</v>
          </cell>
          <cell r="G171">
            <v>1</v>
          </cell>
          <cell r="J171">
            <v>0</v>
          </cell>
          <cell r="K171">
            <v>0</v>
          </cell>
          <cell r="L171">
            <v>0</v>
          </cell>
          <cell r="M171">
            <v>0</v>
          </cell>
          <cell r="N171">
            <v>0</v>
          </cell>
          <cell r="O171">
            <v>0</v>
          </cell>
          <cell r="P171">
            <v>0</v>
          </cell>
          <cell r="Q171">
            <v>0</v>
          </cell>
          <cell r="R171">
            <v>0</v>
          </cell>
        </row>
        <row r="172">
          <cell r="C172">
            <v>22</v>
          </cell>
          <cell r="F172">
            <v>1</v>
          </cell>
          <cell r="G172">
            <v>1</v>
          </cell>
          <cell r="J172">
            <v>8</v>
          </cell>
          <cell r="K172">
            <v>8</v>
          </cell>
          <cell r="L172">
            <v>0</v>
          </cell>
          <cell r="M172">
            <v>0</v>
          </cell>
          <cell r="N172">
            <v>0</v>
          </cell>
          <cell r="O172">
            <v>0</v>
          </cell>
          <cell r="P172">
            <v>0</v>
          </cell>
          <cell r="Q172">
            <v>0</v>
          </cell>
          <cell r="R172">
            <v>0</v>
          </cell>
        </row>
        <row r="173">
          <cell r="C173">
            <v>23</v>
          </cell>
          <cell r="F173">
            <v>1</v>
          </cell>
          <cell r="G173">
            <v>1</v>
          </cell>
          <cell r="J173">
            <v>0</v>
          </cell>
          <cell r="K173">
            <v>0</v>
          </cell>
          <cell r="L173">
            <v>0</v>
          </cell>
          <cell r="M173">
            <v>0</v>
          </cell>
          <cell r="N173">
            <v>0</v>
          </cell>
          <cell r="O173">
            <v>0</v>
          </cell>
          <cell r="P173">
            <v>0</v>
          </cell>
          <cell r="Q173">
            <v>0</v>
          </cell>
          <cell r="R173">
            <v>0</v>
          </cell>
        </row>
        <row r="174">
          <cell r="C174">
            <v>24</v>
          </cell>
          <cell r="F174">
            <v>1</v>
          </cell>
          <cell r="G174">
            <v>1</v>
          </cell>
          <cell r="J174">
            <v>0</v>
          </cell>
          <cell r="K174">
            <v>0</v>
          </cell>
          <cell r="L174">
            <v>0</v>
          </cell>
          <cell r="M174">
            <v>0</v>
          </cell>
          <cell r="N174">
            <v>0</v>
          </cell>
          <cell r="O174">
            <v>0</v>
          </cell>
          <cell r="P174">
            <v>0</v>
          </cell>
          <cell r="Q174">
            <v>0</v>
          </cell>
          <cell r="R174">
            <v>0</v>
          </cell>
        </row>
        <row r="175">
          <cell r="C175">
            <v>25</v>
          </cell>
          <cell r="F175">
            <v>1</v>
          </cell>
          <cell r="G175">
            <v>1</v>
          </cell>
          <cell r="J175">
            <v>4</v>
          </cell>
          <cell r="K175">
            <v>4</v>
          </cell>
          <cell r="L175">
            <v>0</v>
          </cell>
          <cell r="M175">
            <v>0</v>
          </cell>
          <cell r="N175">
            <v>0</v>
          </cell>
          <cell r="O175">
            <v>0</v>
          </cell>
          <cell r="P175">
            <v>0</v>
          </cell>
          <cell r="Q175">
            <v>0</v>
          </cell>
          <cell r="R175">
            <v>0</v>
          </cell>
        </row>
        <row r="176">
          <cell r="C176">
            <v>235</v>
          </cell>
          <cell r="F176">
            <v>1</v>
          </cell>
          <cell r="G176">
            <v>1</v>
          </cell>
          <cell r="J176">
            <v>0</v>
          </cell>
          <cell r="K176">
            <v>0</v>
          </cell>
          <cell r="L176">
            <v>18</v>
          </cell>
          <cell r="M176">
            <v>0</v>
          </cell>
          <cell r="N176">
            <v>18</v>
          </cell>
          <cell r="O176">
            <v>0</v>
          </cell>
          <cell r="P176">
            <v>0</v>
          </cell>
          <cell r="Q176">
            <v>0</v>
          </cell>
          <cell r="R176">
            <v>0</v>
          </cell>
        </row>
        <row r="177">
          <cell r="C177">
            <v>241</v>
          </cell>
          <cell r="F177">
            <v>1</v>
          </cell>
          <cell r="G177">
            <v>1</v>
          </cell>
          <cell r="J177">
            <v>9</v>
          </cell>
          <cell r="K177">
            <v>0</v>
          </cell>
          <cell r="L177">
            <v>29</v>
          </cell>
          <cell r="M177">
            <v>0</v>
          </cell>
          <cell r="N177">
            <v>38</v>
          </cell>
          <cell r="O177">
            <v>0</v>
          </cell>
          <cell r="P177">
            <v>0</v>
          </cell>
          <cell r="Q177">
            <v>0</v>
          </cell>
          <cell r="R177">
            <v>0</v>
          </cell>
        </row>
        <row r="178">
          <cell r="C178">
            <v>287</v>
          </cell>
          <cell r="F178">
            <v>1</v>
          </cell>
          <cell r="G178">
            <v>1</v>
          </cell>
          <cell r="J178">
            <v>5</v>
          </cell>
          <cell r="K178">
            <v>0</v>
          </cell>
          <cell r="L178">
            <v>75</v>
          </cell>
          <cell r="M178">
            <v>0</v>
          </cell>
          <cell r="N178">
            <v>80</v>
          </cell>
          <cell r="O178">
            <v>0</v>
          </cell>
          <cell r="P178">
            <v>0</v>
          </cell>
          <cell r="Q178">
            <v>0</v>
          </cell>
          <cell r="R178">
            <v>0</v>
          </cell>
        </row>
        <row r="179">
          <cell r="C179">
            <v>298</v>
          </cell>
          <cell r="F179">
            <v>1</v>
          </cell>
          <cell r="G179">
            <v>1</v>
          </cell>
          <cell r="J179">
            <v>0</v>
          </cell>
          <cell r="K179">
            <v>0</v>
          </cell>
          <cell r="L179">
            <v>60</v>
          </cell>
          <cell r="M179">
            <v>0</v>
          </cell>
          <cell r="N179">
            <v>60</v>
          </cell>
          <cell r="O179">
            <v>0</v>
          </cell>
          <cell r="P179">
            <v>0</v>
          </cell>
          <cell r="Q179">
            <v>0</v>
          </cell>
          <cell r="R179">
            <v>0</v>
          </cell>
        </row>
        <row r="180">
          <cell r="C180">
            <v>295</v>
          </cell>
          <cell r="F180">
            <v>1</v>
          </cell>
          <cell r="G180">
            <v>1</v>
          </cell>
          <cell r="J180">
            <v>0</v>
          </cell>
          <cell r="K180">
            <v>0</v>
          </cell>
          <cell r="L180">
            <v>8</v>
          </cell>
          <cell r="M180">
            <v>0</v>
          </cell>
          <cell r="N180">
            <v>8</v>
          </cell>
          <cell r="O180">
            <v>0</v>
          </cell>
          <cell r="P180">
            <v>0</v>
          </cell>
          <cell r="Q180">
            <v>0</v>
          </cell>
          <cell r="R180">
            <v>0</v>
          </cell>
        </row>
        <row r="181">
          <cell r="C181">
            <v>327</v>
          </cell>
          <cell r="F181">
            <v>1</v>
          </cell>
          <cell r="G181">
            <v>1</v>
          </cell>
          <cell r="J181">
            <v>0</v>
          </cell>
          <cell r="K181">
            <v>1</v>
          </cell>
          <cell r="L181">
            <v>1</v>
          </cell>
          <cell r="M181">
            <v>0</v>
          </cell>
          <cell r="N181">
            <v>0</v>
          </cell>
          <cell r="O181">
            <v>0</v>
          </cell>
          <cell r="P181">
            <v>0</v>
          </cell>
          <cell r="Q181">
            <v>0</v>
          </cell>
          <cell r="R181">
            <v>0</v>
          </cell>
        </row>
        <row r="182">
          <cell r="C182">
            <v>213</v>
          </cell>
          <cell r="F182">
            <v>1</v>
          </cell>
          <cell r="G182">
            <v>1</v>
          </cell>
          <cell r="J182">
            <v>0</v>
          </cell>
          <cell r="K182">
            <v>3</v>
          </cell>
          <cell r="L182">
            <v>3</v>
          </cell>
          <cell r="M182">
            <v>0</v>
          </cell>
          <cell r="N182">
            <v>0</v>
          </cell>
          <cell r="O182">
            <v>0</v>
          </cell>
          <cell r="P182">
            <v>0</v>
          </cell>
          <cell r="Q182">
            <v>0</v>
          </cell>
          <cell r="R182">
            <v>0</v>
          </cell>
        </row>
        <row r="183">
          <cell r="C183">
            <v>228</v>
          </cell>
          <cell r="F183">
            <v>1</v>
          </cell>
          <cell r="G183">
            <v>1</v>
          </cell>
          <cell r="J183">
            <v>0</v>
          </cell>
          <cell r="K183">
            <v>11</v>
          </cell>
          <cell r="L183">
            <v>11</v>
          </cell>
          <cell r="M183">
            <v>0</v>
          </cell>
          <cell r="N183">
            <v>0</v>
          </cell>
          <cell r="O183">
            <v>0</v>
          </cell>
          <cell r="P183">
            <v>0</v>
          </cell>
          <cell r="Q183">
            <v>0</v>
          </cell>
          <cell r="R183">
            <v>0</v>
          </cell>
        </row>
        <row r="184">
          <cell r="C184">
            <v>252</v>
          </cell>
          <cell r="F184">
            <v>1</v>
          </cell>
          <cell r="G184">
            <v>1</v>
          </cell>
          <cell r="J184">
            <v>-7</v>
          </cell>
          <cell r="K184">
            <v>21</v>
          </cell>
          <cell r="L184">
            <v>28</v>
          </cell>
          <cell r="M184">
            <v>0</v>
          </cell>
          <cell r="N184">
            <v>0</v>
          </cell>
          <cell r="O184">
            <v>0</v>
          </cell>
          <cell r="P184">
            <v>0</v>
          </cell>
          <cell r="Q184">
            <v>0</v>
          </cell>
          <cell r="R184">
            <v>0</v>
          </cell>
        </row>
        <row r="185">
          <cell r="C185">
            <v>244</v>
          </cell>
          <cell r="F185">
            <v>1</v>
          </cell>
          <cell r="G185">
            <v>1</v>
          </cell>
          <cell r="J185">
            <v>-2</v>
          </cell>
          <cell r="K185">
            <v>0</v>
          </cell>
          <cell r="L185">
            <v>2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  <cell r="Q185">
            <v>0</v>
          </cell>
          <cell r="R185">
            <v>0</v>
          </cell>
        </row>
        <row r="186">
          <cell r="C186">
            <v>255</v>
          </cell>
          <cell r="F186">
            <v>1</v>
          </cell>
          <cell r="G186">
            <v>1</v>
          </cell>
          <cell r="J186">
            <v>-3</v>
          </cell>
          <cell r="K186">
            <v>0</v>
          </cell>
          <cell r="L186">
            <v>3</v>
          </cell>
          <cell r="M186">
            <v>0</v>
          </cell>
          <cell r="N186">
            <v>0</v>
          </cell>
          <cell r="O186">
            <v>0</v>
          </cell>
          <cell r="P186">
            <v>0</v>
          </cell>
          <cell r="Q186">
            <v>0</v>
          </cell>
          <cell r="R186">
            <v>0</v>
          </cell>
        </row>
        <row r="187">
          <cell r="C187">
            <v>218</v>
          </cell>
          <cell r="F187">
            <v>1</v>
          </cell>
          <cell r="G187">
            <v>1</v>
          </cell>
          <cell r="J187">
            <v>-2</v>
          </cell>
          <cell r="K187">
            <v>0</v>
          </cell>
          <cell r="L187">
            <v>2</v>
          </cell>
          <cell r="M187">
            <v>0</v>
          </cell>
          <cell r="N187">
            <v>0</v>
          </cell>
          <cell r="O187">
            <v>0</v>
          </cell>
          <cell r="P187">
            <v>0</v>
          </cell>
          <cell r="Q187">
            <v>0</v>
          </cell>
          <cell r="R187">
            <v>0</v>
          </cell>
        </row>
        <row r="188">
          <cell r="C188">
            <v>230</v>
          </cell>
          <cell r="F188">
            <v>1</v>
          </cell>
          <cell r="G188">
            <v>1</v>
          </cell>
          <cell r="J188">
            <v>-3</v>
          </cell>
          <cell r="K188">
            <v>0</v>
          </cell>
          <cell r="L188">
            <v>3</v>
          </cell>
          <cell r="M188">
            <v>0</v>
          </cell>
          <cell r="N188">
            <v>0</v>
          </cell>
          <cell r="O188">
            <v>0</v>
          </cell>
          <cell r="P188">
            <v>0</v>
          </cell>
          <cell r="Q188">
            <v>0</v>
          </cell>
          <cell r="R188">
            <v>0</v>
          </cell>
        </row>
        <row r="189">
          <cell r="C189">
            <v>294</v>
          </cell>
          <cell r="F189">
            <v>1</v>
          </cell>
          <cell r="G189">
            <v>1</v>
          </cell>
          <cell r="J189">
            <v>15</v>
          </cell>
          <cell r="K189">
            <v>0</v>
          </cell>
          <cell r="L189">
            <v>755</v>
          </cell>
          <cell r="M189">
            <v>0</v>
          </cell>
          <cell r="N189">
            <v>770</v>
          </cell>
          <cell r="O189">
            <v>0</v>
          </cell>
          <cell r="P189">
            <v>0</v>
          </cell>
          <cell r="Q189">
            <v>0</v>
          </cell>
          <cell r="R189">
            <v>0</v>
          </cell>
        </row>
        <row r="190">
          <cell r="C190">
            <v>276</v>
          </cell>
          <cell r="F190">
            <v>1</v>
          </cell>
          <cell r="G190">
            <v>1</v>
          </cell>
          <cell r="J190">
            <v>4</v>
          </cell>
          <cell r="K190">
            <v>0</v>
          </cell>
          <cell r="L190">
            <v>56</v>
          </cell>
          <cell r="M190">
            <v>0</v>
          </cell>
          <cell r="N190">
            <v>60</v>
          </cell>
          <cell r="O190">
            <v>0</v>
          </cell>
          <cell r="P190">
            <v>0</v>
          </cell>
          <cell r="Q190">
            <v>0</v>
          </cell>
          <cell r="R190">
            <v>0</v>
          </cell>
        </row>
        <row r="191">
          <cell r="C191">
            <v>231</v>
          </cell>
          <cell r="F191">
            <v>1</v>
          </cell>
          <cell r="G191">
            <v>1</v>
          </cell>
          <cell r="J191">
            <v>-1</v>
          </cell>
          <cell r="K191">
            <v>0</v>
          </cell>
          <cell r="L191">
            <v>1</v>
          </cell>
          <cell r="M191">
            <v>0</v>
          </cell>
          <cell r="N191">
            <v>0</v>
          </cell>
          <cell r="O191">
            <v>0</v>
          </cell>
          <cell r="P191">
            <v>0</v>
          </cell>
          <cell r="Q191">
            <v>0</v>
          </cell>
          <cell r="R191">
            <v>0</v>
          </cell>
        </row>
        <row r="192">
          <cell r="C192">
            <v>293</v>
          </cell>
          <cell r="F192">
            <v>1</v>
          </cell>
          <cell r="G192">
            <v>1</v>
          </cell>
          <cell r="J192">
            <v>0</v>
          </cell>
          <cell r="K192">
            <v>0</v>
          </cell>
          <cell r="L192">
            <v>1505</v>
          </cell>
          <cell r="M192">
            <v>0</v>
          </cell>
          <cell r="N192">
            <v>1505</v>
          </cell>
          <cell r="O192">
            <v>0</v>
          </cell>
          <cell r="P192">
            <v>0</v>
          </cell>
          <cell r="Q192">
            <v>0</v>
          </cell>
          <cell r="R192">
            <v>0</v>
          </cell>
        </row>
        <row r="193">
          <cell r="C193">
            <v>305</v>
          </cell>
          <cell r="F193">
            <v>1</v>
          </cell>
          <cell r="G193">
            <v>1</v>
          </cell>
          <cell r="J193">
            <v>1148</v>
          </cell>
          <cell r="K193">
            <v>0</v>
          </cell>
          <cell r="L193">
            <v>23852</v>
          </cell>
          <cell r="M193">
            <v>0</v>
          </cell>
          <cell r="N193">
            <v>25000</v>
          </cell>
          <cell r="O193">
            <v>0</v>
          </cell>
          <cell r="P193">
            <v>0</v>
          </cell>
          <cell r="Q193">
            <v>0</v>
          </cell>
          <cell r="R193">
            <v>0</v>
          </cell>
        </row>
        <row r="194">
          <cell r="C194">
            <v>290</v>
          </cell>
          <cell r="F194">
            <v>1</v>
          </cell>
          <cell r="G194">
            <v>1</v>
          </cell>
          <cell r="J194">
            <v>0</v>
          </cell>
          <cell r="K194">
            <v>0</v>
          </cell>
          <cell r="L194">
            <v>68</v>
          </cell>
          <cell r="M194">
            <v>0</v>
          </cell>
          <cell r="N194">
            <v>68</v>
          </cell>
          <cell r="O194">
            <v>0</v>
          </cell>
          <cell r="P194">
            <v>0</v>
          </cell>
          <cell r="Q194">
            <v>0</v>
          </cell>
          <cell r="R194">
            <v>0</v>
          </cell>
        </row>
        <row r="195">
          <cell r="C195">
            <v>207</v>
          </cell>
          <cell r="F195">
            <v>1</v>
          </cell>
          <cell r="G195">
            <v>1</v>
          </cell>
          <cell r="J195">
            <v>-1</v>
          </cell>
          <cell r="K195">
            <v>0</v>
          </cell>
          <cell r="L195">
            <v>1</v>
          </cell>
          <cell r="M195">
            <v>0</v>
          </cell>
          <cell r="N195">
            <v>0</v>
          </cell>
          <cell r="O195">
            <v>0</v>
          </cell>
          <cell r="P195">
            <v>0</v>
          </cell>
          <cell r="Q195">
            <v>0</v>
          </cell>
          <cell r="R195">
            <v>0</v>
          </cell>
        </row>
        <row r="196">
          <cell r="C196">
            <v>280</v>
          </cell>
          <cell r="F196">
            <v>1</v>
          </cell>
          <cell r="G196">
            <v>1</v>
          </cell>
          <cell r="J196">
            <v>-6</v>
          </cell>
          <cell r="K196">
            <v>0</v>
          </cell>
          <cell r="L196">
            <v>6</v>
          </cell>
          <cell r="M196">
            <v>0</v>
          </cell>
          <cell r="N196">
            <v>0</v>
          </cell>
          <cell r="O196">
            <v>0</v>
          </cell>
          <cell r="P196">
            <v>0</v>
          </cell>
          <cell r="Q196">
            <v>0</v>
          </cell>
          <cell r="R196">
            <v>0</v>
          </cell>
        </row>
        <row r="197">
          <cell r="C197">
            <v>203</v>
          </cell>
          <cell r="F197">
            <v>1</v>
          </cell>
          <cell r="G197">
            <v>1</v>
          </cell>
          <cell r="J197">
            <v>-1</v>
          </cell>
          <cell r="K197">
            <v>0</v>
          </cell>
          <cell r="L197">
            <v>1</v>
          </cell>
          <cell r="M197">
            <v>0</v>
          </cell>
          <cell r="N197">
            <v>0</v>
          </cell>
          <cell r="O197">
            <v>0</v>
          </cell>
          <cell r="P197">
            <v>0</v>
          </cell>
          <cell r="Q197">
            <v>0</v>
          </cell>
          <cell r="R197">
            <v>0</v>
          </cell>
        </row>
        <row r="198">
          <cell r="C198">
            <v>274</v>
          </cell>
          <cell r="F198">
            <v>1</v>
          </cell>
          <cell r="G198">
            <v>1</v>
          </cell>
          <cell r="J198">
            <v>-1</v>
          </cell>
          <cell r="K198">
            <v>0</v>
          </cell>
          <cell r="L198">
            <v>1</v>
          </cell>
          <cell r="M198">
            <v>0</v>
          </cell>
          <cell r="N198">
            <v>0</v>
          </cell>
          <cell r="O198">
            <v>0</v>
          </cell>
          <cell r="P198">
            <v>0</v>
          </cell>
          <cell r="Q198">
            <v>0</v>
          </cell>
          <cell r="R198">
            <v>0</v>
          </cell>
        </row>
        <row r="199">
          <cell r="C199">
            <v>334</v>
          </cell>
          <cell r="F199">
            <v>1</v>
          </cell>
          <cell r="G199">
            <v>1</v>
          </cell>
          <cell r="J199">
            <v>-2</v>
          </cell>
          <cell r="K199">
            <v>1</v>
          </cell>
          <cell r="L199">
            <v>3</v>
          </cell>
          <cell r="M199">
            <v>0</v>
          </cell>
          <cell r="N199">
            <v>0</v>
          </cell>
          <cell r="O199">
            <v>0</v>
          </cell>
          <cell r="P199">
            <v>0</v>
          </cell>
          <cell r="Q199">
            <v>0</v>
          </cell>
          <cell r="R199">
            <v>0</v>
          </cell>
        </row>
        <row r="200">
          <cell r="C200">
            <v>208</v>
          </cell>
          <cell r="F200">
            <v>1</v>
          </cell>
          <cell r="G200">
            <v>1</v>
          </cell>
          <cell r="J200">
            <v>-1</v>
          </cell>
          <cell r="K200">
            <v>0</v>
          </cell>
          <cell r="L200">
            <v>1</v>
          </cell>
          <cell r="M200">
            <v>0</v>
          </cell>
          <cell r="N200">
            <v>0</v>
          </cell>
          <cell r="O200">
            <v>0</v>
          </cell>
          <cell r="P200">
            <v>0</v>
          </cell>
          <cell r="Q200">
            <v>0</v>
          </cell>
          <cell r="R200">
            <v>0</v>
          </cell>
        </row>
        <row r="201">
          <cell r="C201">
            <v>323</v>
          </cell>
          <cell r="F201">
            <v>1</v>
          </cell>
          <cell r="G201">
            <v>1</v>
          </cell>
          <cell r="J201">
            <v>-18</v>
          </cell>
          <cell r="K201">
            <v>0</v>
          </cell>
          <cell r="L201">
            <v>18</v>
          </cell>
          <cell r="M201">
            <v>0</v>
          </cell>
          <cell r="N201">
            <v>0</v>
          </cell>
          <cell r="O201">
            <v>0</v>
          </cell>
          <cell r="P201">
            <v>0</v>
          </cell>
          <cell r="Q201">
            <v>0</v>
          </cell>
          <cell r="R201">
            <v>0</v>
          </cell>
        </row>
        <row r="202">
          <cell r="C202">
            <v>291</v>
          </cell>
          <cell r="F202">
            <v>1</v>
          </cell>
          <cell r="G202">
            <v>1</v>
          </cell>
          <cell r="J202">
            <v>0</v>
          </cell>
          <cell r="K202">
            <v>0</v>
          </cell>
          <cell r="L202">
            <v>2</v>
          </cell>
          <cell r="M202">
            <v>0</v>
          </cell>
          <cell r="N202">
            <v>2</v>
          </cell>
          <cell r="O202">
            <v>0</v>
          </cell>
          <cell r="P202">
            <v>0</v>
          </cell>
          <cell r="Q202">
            <v>0</v>
          </cell>
          <cell r="R202">
            <v>0</v>
          </cell>
        </row>
        <row r="203">
          <cell r="C203">
            <v>238</v>
          </cell>
          <cell r="F203">
            <v>1</v>
          </cell>
          <cell r="G203">
            <v>1</v>
          </cell>
          <cell r="J203">
            <v>0</v>
          </cell>
          <cell r="K203">
            <v>0</v>
          </cell>
          <cell r="L203">
            <v>12</v>
          </cell>
          <cell r="M203">
            <v>0</v>
          </cell>
          <cell r="N203">
            <v>12</v>
          </cell>
          <cell r="O203">
            <v>0</v>
          </cell>
          <cell r="P203">
            <v>0</v>
          </cell>
          <cell r="Q203">
            <v>0</v>
          </cell>
          <cell r="R203">
            <v>0</v>
          </cell>
        </row>
        <row r="204">
          <cell r="C204">
            <v>289</v>
          </cell>
          <cell r="F204">
            <v>1</v>
          </cell>
          <cell r="G204">
            <v>1</v>
          </cell>
          <cell r="J204">
            <v>0</v>
          </cell>
          <cell r="K204">
            <v>0</v>
          </cell>
          <cell r="L204">
            <v>128</v>
          </cell>
          <cell r="M204">
            <v>0</v>
          </cell>
          <cell r="N204">
            <v>128</v>
          </cell>
          <cell r="O204">
            <v>0</v>
          </cell>
          <cell r="P204">
            <v>0</v>
          </cell>
          <cell r="Q204">
            <v>0</v>
          </cell>
          <cell r="R204">
            <v>0</v>
          </cell>
        </row>
        <row r="205">
          <cell r="C205">
            <v>269</v>
          </cell>
          <cell r="F205">
            <v>1</v>
          </cell>
          <cell r="G205">
            <v>1</v>
          </cell>
          <cell r="J205">
            <v>-10</v>
          </cell>
          <cell r="K205">
            <v>0</v>
          </cell>
          <cell r="L205">
            <v>10</v>
          </cell>
          <cell r="M205">
            <v>0</v>
          </cell>
          <cell r="N205">
            <v>0</v>
          </cell>
          <cell r="O205">
            <v>0</v>
          </cell>
          <cell r="P205">
            <v>0</v>
          </cell>
          <cell r="Q205">
            <v>0</v>
          </cell>
          <cell r="R205">
            <v>0</v>
          </cell>
        </row>
        <row r="206">
          <cell r="C206">
            <v>271</v>
          </cell>
          <cell r="F206">
            <v>1</v>
          </cell>
          <cell r="G206">
            <v>1</v>
          </cell>
          <cell r="J206">
            <v>-2</v>
          </cell>
          <cell r="K206">
            <v>0</v>
          </cell>
          <cell r="L206">
            <v>2</v>
          </cell>
          <cell r="M206">
            <v>0</v>
          </cell>
          <cell r="N206">
            <v>0</v>
          </cell>
          <cell r="O206">
            <v>0</v>
          </cell>
          <cell r="P206">
            <v>0</v>
          </cell>
          <cell r="Q206">
            <v>0</v>
          </cell>
          <cell r="R206">
            <v>0</v>
          </cell>
        </row>
        <row r="207">
          <cell r="C207">
            <v>282</v>
          </cell>
          <cell r="F207">
            <v>1</v>
          </cell>
          <cell r="G207">
            <v>1</v>
          </cell>
          <cell r="J207">
            <v>-6</v>
          </cell>
          <cell r="K207">
            <v>0</v>
          </cell>
          <cell r="L207">
            <v>6</v>
          </cell>
          <cell r="M207">
            <v>0</v>
          </cell>
          <cell r="N207">
            <v>0</v>
          </cell>
          <cell r="O207">
            <v>0</v>
          </cell>
          <cell r="P207">
            <v>0</v>
          </cell>
          <cell r="Q207">
            <v>0</v>
          </cell>
          <cell r="R207">
            <v>0</v>
          </cell>
        </row>
        <row r="208">
          <cell r="C208">
            <v>278</v>
          </cell>
          <cell r="F208">
            <v>1</v>
          </cell>
          <cell r="G208">
            <v>1</v>
          </cell>
          <cell r="J208">
            <v>-6</v>
          </cell>
          <cell r="K208">
            <v>0</v>
          </cell>
          <cell r="L208">
            <v>6</v>
          </cell>
          <cell r="M208">
            <v>0</v>
          </cell>
          <cell r="N208">
            <v>0</v>
          </cell>
          <cell r="O208">
            <v>0</v>
          </cell>
          <cell r="P208">
            <v>0</v>
          </cell>
          <cell r="Q208">
            <v>0</v>
          </cell>
          <cell r="R208">
            <v>0</v>
          </cell>
        </row>
        <row r="209">
          <cell r="C209">
            <v>247</v>
          </cell>
          <cell r="F209">
            <v>1</v>
          </cell>
          <cell r="G209">
            <v>1</v>
          </cell>
          <cell r="J209">
            <v>-7</v>
          </cell>
          <cell r="K209">
            <v>0</v>
          </cell>
          <cell r="L209">
            <v>7</v>
          </cell>
          <cell r="M209">
            <v>0</v>
          </cell>
          <cell r="N209">
            <v>0</v>
          </cell>
          <cell r="O209">
            <v>0</v>
          </cell>
          <cell r="P209">
            <v>0</v>
          </cell>
          <cell r="Q209">
            <v>0</v>
          </cell>
          <cell r="R209">
            <v>0</v>
          </cell>
        </row>
        <row r="210">
          <cell r="C210">
            <v>279</v>
          </cell>
          <cell r="F210">
            <v>1</v>
          </cell>
          <cell r="G210">
            <v>1</v>
          </cell>
          <cell r="J210">
            <v>-4</v>
          </cell>
          <cell r="K210">
            <v>0</v>
          </cell>
          <cell r="L210">
            <v>4</v>
          </cell>
          <cell r="M210">
            <v>0</v>
          </cell>
          <cell r="N210">
            <v>0</v>
          </cell>
          <cell r="O210">
            <v>0</v>
          </cell>
          <cell r="P210">
            <v>0</v>
          </cell>
          <cell r="Q210">
            <v>0</v>
          </cell>
          <cell r="R210">
            <v>0</v>
          </cell>
        </row>
        <row r="211">
          <cell r="C211">
            <v>209</v>
          </cell>
          <cell r="F211">
            <v>1</v>
          </cell>
          <cell r="G211">
            <v>1</v>
          </cell>
          <cell r="J211">
            <v>-5</v>
          </cell>
          <cell r="K211">
            <v>0</v>
          </cell>
          <cell r="L211">
            <v>5</v>
          </cell>
          <cell r="M211">
            <v>0</v>
          </cell>
          <cell r="N211">
            <v>0</v>
          </cell>
          <cell r="O211">
            <v>0</v>
          </cell>
          <cell r="P211">
            <v>0</v>
          </cell>
          <cell r="Q211">
            <v>0</v>
          </cell>
          <cell r="R211">
            <v>0</v>
          </cell>
        </row>
        <row r="212">
          <cell r="C212">
            <v>273</v>
          </cell>
          <cell r="F212">
            <v>1</v>
          </cell>
          <cell r="G212">
            <v>1</v>
          </cell>
          <cell r="J212">
            <v>137</v>
          </cell>
          <cell r="K212">
            <v>0</v>
          </cell>
          <cell r="L212">
            <v>103</v>
          </cell>
          <cell r="M212">
            <v>0</v>
          </cell>
          <cell r="N212">
            <v>240</v>
          </cell>
          <cell r="O212">
            <v>0</v>
          </cell>
          <cell r="P212">
            <v>0</v>
          </cell>
          <cell r="Q212">
            <v>0</v>
          </cell>
          <cell r="R212">
            <v>0</v>
          </cell>
        </row>
        <row r="213">
          <cell r="C213">
            <v>268</v>
          </cell>
          <cell r="F213">
            <v>1</v>
          </cell>
          <cell r="G213">
            <v>1</v>
          </cell>
          <cell r="J213">
            <v>-3</v>
          </cell>
          <cell r="K213">
            <v>0</v>
          </cell>
          <cell r="L213">
            <v>3</v>
          </cell>
          <cell r="M213">
            <v>0</v>
          </cell>
          <cell r="N213">
            <v>0</v>
          </cell>
          <cell r="O213">
            <v>0</v>
          </cell>
          <cell r="P213">
            <v>0</v>
          </cell>
          <cell r="Q213">
            <v>0</v>
          </cell>
          <cell r="R213">
            <v>0</v>
          </cell>
        </row>
        <row r="214">
          <cell r="C214">
            <v>333</v>
          </cell>
          <cell r="F214">
            <v>1</v>
          </cell>
          <cell r="G214">
            <v>1</v>
          </cell>
          <cell r="J214">
            <v>-6</v>
          </cell>
          <cell r="K214">
            <v>0</v>
          </cell>
          <cell r="L214">
            <v>6</v>
          </cell>
          <cell r="M214">
            <v>0</v>
          </cell>
          <cell r="N214">
            <v>0</v>
          </cell>
          <cell r="O214">
            <v>0</v>
          </cell>
          <cell r="P214">
            <v>0</v>
          </cell>
          <cell r="Q214">
            <v>0</v>
          </cell>
          <cell r="R214">
            <v>0</v>
          </cell>
        </row>
        <row r="215">
          <cell r="C215">
            <v>234</v>
          </cell>
          <cell r="F215">
            <v>1</v>
          </cell>
          <cell r="G215">
            <v>1</v>
          </cell>
          <cell r="J215">
            <v>0</v>
          </cell>
          <cell r="K215">
            <v>0</v>
          </cell>
          <cell r="L215">
            <v>84</v>
          </cell>
          <cell r="M215">
            <v>0</v>
          </cell>
          <cell r="N215">
            <v>84</v>
          </cell>
          <cell r="O215">
            <v>0</v>
          </cell>
          <cell r="P215">
            <v>0</v>
          </cell>
          <cell r="Q215">
            <v>0</v>
          </cell>
          <cell r="R215">
            <v>0</v>
          </cell>
        </row>
        <row r="216">
          <cell r="C216">
            <v>303</v>
          </cell>
          <cell r="F216">
            <v>1</v>
          </cell>
          <cell r="G216">
            <v>1</v>
          </cell>
          <cell r="J216">
            <v>0</v>
          </cell>
          <cell r="K216">
            <v>0</v>
          </cell>
          <cell r="L216">
            <v>400</v>
          </cell>
          <cell r="M216">
            <v>0</v>
          </cell>
          <cell r="N216">
            <v>400</v>
          </cell>
          <cell r="O216">
            <v>0</v>
          </cell>
          <cell r="P216">
            <v>0</v>
          </cell>
          <cell r="Q216">
            <v>0</v>
          </cell>
          <cell r="R216">
            <v>0</v>
          </cell>
        </row>
        <row r="217">
          <cell r="C217">
            <v>205</v>
          </cell>
          <cell r="F217">
            <v>1</v>
          </cell>
          <cell r="G217">
            <v>1</v>
          </cell>
          <cell r="J217">
            <v>-1</v>
          </cell>
          <cell r="K217">
            <v>0</v>
          </cell>
          <cell r="L217">
            <v>1</v>
          </cell>
          <cell r="M217">
            <v>0</v>
          </cell>
          <cell r="N217">
            <v>0</v>
          </cell>
          <cell r="O217">
            <v>0</v>
          </cell>
          <cell r="P217">
            <v>0</v>
          </cell>
          <cell r="Q217">
            <v>0</v>
          </cell>
          <cell r="R217">
            <v>0</v>
          </cell>
        </row>
        <row r="218">
          <cell r="C218">
            <v>281</v>
          </cell>
          <cell r="F218">
            <v>1</v>
          </cell>
          <cell r="G218">
            <v>1</v>
          </cell>
          <cell r="J218">
            <v>-1</v>
          </cell>
          <cell r="K218">
            <v>0</v>
          </cell>
          <cell r="L218">
            <v>1</v>
          </cell>
          <cell r="M218">
            <v>0</v>
          </cell>
          <cell r="N218">
            <v>0</v>
          </cell>
          <cell r="O218">
            <v>0</v>
          </cell>
          <cell r="P218">
            <v>0</v>
          </cell>
          <cell r="Q218">
            <v>0</v>
          </cell>
          <cell r="R218">
            <v>0</v>
          </cell>
        </row>
        <row r="219">
          <cell r="C219">
            <v>332</v>
          </cell>
          <cell r="F219">
            <v>1</v>
          </cell>
          <cell r="G219">
            <v>1</v>
          </cell>
          <cell r="J219">
            <v>-222</v>
          </cell>
          <cell r="K219">
            <v>0</v>
          </cell>
          <cell r="L219">
            <v>222</v>
          </cell>
          <cell r="M219">
            <v>0</v>
          </cell>
          <cell r="N219">
            <v>0</v>
          </cell>
          <cell r="O219">
            <v>0</v>
          </cell>
          <cell r="P219">
            <v>0</v>
          </cell>
          <cell r="Q219">
            <v>0</v>
          </cell>
          <cell r="R219">
            <v>0</v>
          </cell>
        </row>
        <row r="220">
          <cell r="C220">
            <v>258</v>
          </cell>
          <cell r="F220">
            <v>1</v>
          </cell>
          <cell r="G220">
            <v>1</v>
          </cell>
          <cell r="J220">
            <v>-2</v>
          </cell>
          <cell r="K220">
            <v>0</v>
          </cell>
          <cell r="L220">
            <v>2</v>
          </cell>
          <cell r="M220">
            <v>0</v>
          </cell>
          <cell r="N220">
            <v>0</v>
          </cell>
          <cell r="O220">
            <v>0</v>
          </cell>
          <cell r="P220">
            <v>0</v>
          </cell>
          <cell r="Q220">
            <v>0</v>
          </cell>
          <cell r="R220">
            <v>0</v>
          </cell>
        </row>
        <row r="221">
          <cell r="C221">
            <v>300</v>
          </cell>
          <cell r="F221">
            <v>1</v>
          </cell>
          <cell r="G221">
            <v>1</v>
          </cell>
          <cell r="J221">
            <v>0</v>
          </cell>
          <cell r="K221">
            <v>0</v>
          </cell>
          <cell r="L221">
            <v>2</v>
          </cell>
          <cell r="M221">
            <v>0</v>
          </cell>
          <cell r="N221">
            <v>2</v>
          </cell>
          <cell r="O221">
            <v>0</v>
          </cell>
          <cell r="P221">
            <v>0</v>
          </cell>
          <cell r="Q221">
            <v>0</v>
          </cell>
          <cell r="R221">
            <v>0</v>
          </cell>
        </row>
        <row r="222">
          <cell r="C222">
            <v>314</v>
          </cell>
          <cell r="F222">
            <v>1</v>
          </cell>
          <cell r="G222">
            <v>1</v>
          </cell>
          <cell r="J222">
            <v>0</v>
          </cell>
          <cell r="K222">
            <v>0</v>
          </cell>
          <cell r="L222">
            <v>3</v>
          </cell>
          <cell r="M222">
            <v>0</v>
          </cell>
          <cell r="N222">
            <v>3</v>
          </cell>
          <cell r="O222">
            <v>0</v>
          </cell>
          <cell r="P222">
            <v>0</v>
          </cell>
          <cell r="Q222">
            <v>0</v>
          </cell>
          <cell r="R222">
            <v>0</v>
          </cell>
        </row>
        <row r="223">
          <cell r="C223">
            <v>335</v>
          </cell>
          <cell r="F223">
            <v>1</v>
          </cell>
          <cell r="G223">
            <v>1</v>
          </cell>
          <cell r="J223">
            <v>0</v>
          </cell>
          <cell r="K223">
            <v>0</v>
          </cell>
          <cell r="L223">
            <v>1</v>
          </cell>
          <cell r="M223">
            <v>0</v>
          </cell>
          <cell r="N223">
            <v>1</v>
          </cell>
          <cell r="O223">
            <v>0</v>
          </cell>
          <cell r="P223">
            <v>0</v>
          </cell>
          <cell r="Q223">
            <v>0</v>
          </cell>
          <cell r="R223">
            <v>0</v>
          </cell>
        </row>
        <row r="224">
          <cell r="C224">
            <v>308</v>
          </cell>
          <cell r="F224">
            <v>1</v>
          </cell>
          <cell r="G224">
            <v>1</v>
          </cell>
          <cell r="J224">
            <v>0</v>
          </cell>
          <cell r="K224">
            <v>0</v>
          </cell>
          <cell r="L224">
            <v>1</v>
          </cell>
          <cell r="M224">
            <v>0</v>
          </cell>
          <cell r="N224">
            <v>1</v>
          </cell>
          <cell r="O224">
            <v>0</v>
          </cell>
          <cell r="P224">
            <v>0</v>
          </cell>
          <cell r="Q224">
            <v>0</v>
          </cell>
          <cell r="R224">
            <v>0</v>
          </cell>
        </row>
        <row r="225">
          <cell r="C225">
            <v>210</v>
          </cell>
          <cell r="F225">
            <v>1</v>
          </cell>
          <cell r="G225">
            <v>1</v>
          </cell>
          <cell r="J225">
            <v>-6</v>
          </cell>
          <cell r="K225">
            <v>0</v>
          </cell>
          <cell r="L225">
            <v>6</v>
          </cell>
          <cell r="M225">
            <v>0</v>
          </cell>
          <cell r="N225">
            <v>0</v>
          </cell>
          <cell r="O225">
            <v>0</v>
          </cell>
          <cell r="P225">
            <v>0</v>
          </cell>
          <cell r="Q225">
            <v>0</v>
          </cell>
          <cell r="R225">
            <v>0</v>
          </cell>
        </row>
        <row r="226">
          <cell r="C226">
            <v>243</v>
          </cell>
          <cell r="F226">
            <v>1</v>
          </cell>
          <cell r="G226">
            <v>1</v>
          </cell>
          <cell r="J226">
            <v>0</v>
          </cell>
          <cell r="K226">
            <v>0</v>
          </cell>
          <cell r="L226">
            <v>10</v>
          </cell>
          <cell r="M226">
            <v>0</v>
          </cell>
          <cell r="N226">
            <v>10</v>
          </cell>
          <cell r="O226">
            <v>0</v>
          </cell>
          <cell r="P226">
            <v>0</v>
          </cell>
          <cell r="Q226">
            <v>0</v>
          </cell>
          <cell r="R226">
            <v>0</v>
          </cell>
        </row>
        <row r="227">
          <cell r="C227">
            <v>263</v>
          </cell>
          <cell r="F227">
            <v>1</v>
          </cell>
          <cell r="G227">
            <v>1</v>
          </cell>
          <cell r="J227">
            <v>-3</v>
          </cell>
          <cell r="K227">
            <v>0</v>
          </cell>
          <cell r="L227">
            <v>3</v>
          </cell>
          <cell r="M227">
            <v>0</v>
          </cell>
          <cell r="N227">
            <v>0</v>
          </cell>
          <cell r="O227">
            <v>0</v>
          </cell>
          <cell r="P227">
            <v>0</v>
          </cell>
          <cell r="Q227">
            <v>0</v>
          </cell>
          <cell r="R227">
            <v>0</v>
          </cell>
        </row>
        <row r="228">
          <cell r="C228">
            <v>245</v>
          </cell>
          <cell r="F228">
            <v>1</v>
          </cell>
          <cell r="G228">
            <v>1</v>
          </cell>
          <cell r="J228">
            <v>-1</v>
          </cell>
          <cell r="K228">
            <v>0</v>
          </cell>
          <cell r="L228">
            <v>1</v>
          </cell>
          <cell r="M228">
            <v>0</v>
          </cell>
          <cell r="N228">
            <v>0</v>
          </cell>
          <cell r="O228">
            <v>0</v>
          </cell>
          <cell r="P228">
            <v>0</v>
          </cell>
          <cell r="Q228">
            <v>0</v>
          </cell>
          <cell r="R228">
            <v>0</v>
          </cell>
        </row>
        <row r="229">
          <cell r="C229">
            <v>307</v>
          </cell>
          <cell r="F229">
            <v>1</v>
          </cell>
          <cell r="G229">
            <v>1</v>
          </cell>
          <cell r="J229">
            <v>0</v>
          </cell>
          <cell r="K229">
            <v>0</v>
          </cell>
          <cell r="L229">
            <v>4</v>
          </cell>
          <cell r="M229">
            <v>0</v>
          </cell>
          <cell r="N229">
            <v>4</v>
          </cell>
          <cell r="O229">
            <v>0</v>
          </cell>
          <cell r="P229">
            <v>0</v>
          </cell>
          <cell r="Q229">
            <v>0</v>
          </cell>
          <cell r="R229">
            <v>0</v>
          </cell>
        </row>
        <row r="230">
          <cell r="C230">
            <v>321</v>
          </cell>
          <cell r="F230">
            <v>1</v>
          </cell>
          <cell r="G230">
            <v>1</v>
          </cell>
          <cell r="J230">
            <v>-1</v>
          </cell>
          <cell r="K230">
            <v>0</v>
          </cell>
          <cell r="L230">
            <v>1</v>
          </cell>
          <cell r="M230">
            <v>0</v>
          </cell>
          <cell r="N230">
            <v>0</v>
          </cell>
          <cell r="O230">
            <v>0</v>
          </cell>
          <cell r="P230">
            <v>0</v>
          </cell>
          <cell r="Q230">
            <v>0</v>
          </cell>
          <cell r="R230">
            <v>0</v>
          </cell>
        </row>
        <row r="231">
          <cell r="C231">
            <v>310</v>
          </cell>
          <cell r="F231">
            <v>1</v>
          </cell>
          <cell r="G231">
            <v>1</v>
          </cell>
          <cell r="J231">
            <v>0</v>
          </cell>
          <cell r="K231">
            <v>0</v>
          </cell>
          <cell r="L231">
            <v>1</v>
          </cell>
          <cell r="M231">
            <v>0</v>
          </cell>
          <cell r="N231">
            <v>1</v>
          </cell>
          <cell r="O231">
            <v>0</v>
          </cell>
          <cell r="P231">
            <v>0</v>
          </cell>
          <cell r="Q231">
            <v>0</v>
          </cell>
          <cell r="R231">
            <v>0</v>
          </cell>
        </row>
        <row r="232">
          <cell r="C232">
            <v>275</v>
          </cell>
          <cell r="F232">
            <v>1</v>
          </cell>
          <cell r="G232">
            <v>1</v>
          </cell>
          <cell r="J232">
            <v>-11</v>
          </cell>
          <cell r="K232">
            <v>0</v>
          </cell>
          <cell r="L232">
            <v>11</v>
          </cell>
          <cell r="M232">
            <v>0</v>
          </cell>
          <cell r="N232">
            <v>0</v>
          </cell>
          <cell r="O232">
            <v>0</v>
          </cell>
          <cell r="P232">
            <v>0</v>
          </cell>
          <cell r="Q232">
            <v>0</v>
          </cell>
          <cell r="R232">
            <v>0</v>
          </cell>
        </row>
        <row r="233">
          <cell r="C233">
            <v>214</v>
          </cell>
          <cell r="F233">
            <v>1</v>
          </cell>
          <cell r="G233">
            <v>1</v>
          </cell>
          <cell r="J233">
            <v>-32</v>
          </cell>
          <cell r="K233">
            <v>0</v>
          </cell>
          <cell r="L233">
            <v>32</v>
          </cell>
          <cell r="M233">
            <v>0</v>
          </cell>
          <cell r="N233">
            <v>0</v>
          </cell>
          <cell r="O233">
            <v>0</v>
          </cell>
          <cell r="P233">
            <v>0</v>
          </cell>
          <cell r="Q233">
            <v>0</v>
          </cell>
          <cell r="R233">
            <v>0</v>
          </cell>
        </row>
        <row r="234">
          <cell r="C234">
            <v>206</v>
          </cell>
          <cell r="F234">
            <v>1</v>
          </cell>
          <cell r="G234">
            <v>1</v>
          </cell>
          <cell r="J234">
            <v>-4</v>
          </cell>
          <cell r="K234">
            <v>0</v>
          </cell>
          <cell r="L234">
            <v>4</v>
          </cell>
          <cell r="M234">
            <v>0</v>
          </cell>
          <cell r="N234">
            <v>0</v>
          </cell>
          <cell r="O234">
            <v>0</v>
          </cell>
          <cell r="P234">
            <v>0</v>
          </cell>
          <cell r="Q234">
            <v>0</v>
          </cell>
          <cell r="R234">
            <v>0</v>
          </cell>
        </row>
        <row r="235">
          <cell r="C235">
            <v>212</v>
          </cell>
          <cell r="F235">
            <v>1</v>
          </cell>
          <cell r="G235">
            <v>1</v>
          </cell>
          <cell r="J235">
            <v>-1</v>
          </cell>
          <cell r="K235">
            <v>0</v>
          </cell>
          <cell r="L235">
            <v>1</v>
          </cell>
          <cell r="M235">
            <v>0</v>
          </cell>
          <cell r="N235">
            <v>0</v>
          </cell>
          <cell r="O235">
            <v>0</v>
          </cell>
          <cell r="P235">
            <v>0</v>
          </cell>
          <cell r="Q235">
            <v>0</v>
          </cell>
          <cell r="R235">
            <v>0</v>
          </cell>
        </row>
        <row r="236">
          <cell r="C236">
            <v>325</v>
          </cell>
          <cell r="F236">
            <v>1</v>
          </cell>
          <cell r="G236">
            <v>1</v>
          </cell>
          <cell r="J236">
            <v>-1</v>
          </cell>
          <cell r="K236">
            <v>0</v>
          </cell>
          <cell r="L236">
            <v>1</v>
          </cell>
          <cell r="M236">
            <v>0</v>
          </cell>
          <cell r="N236">
            <v>0</v>
          </cell>
          <cell r="O236">
            <v>0</v>
          </cell>
          <cell r="P236">
            <v>0</v>
          </cell>
          <cell r="Q236">
            <v>0</v>
          </cell>
          <cell r="R236">
            <v>0</v>
          </cell>
        </row>
        <row r="237">
          <cell r="C237">
            <v>336</v>
          </cell>
          <cell r="F237">
            <v>1</v>
          </cell>
          <cell r="G237">
            <v>1</v>
          </cell>
          <cell r="J237">
            <v>-1</v>
          </cell>
          <cell r="K237">
            <v>0</v>
          </cell>
          <cell r="L237">
            <v>1</v>
          </cell>
          <cell r="M237">
            <v>0</v>
          </cell>
          <cell r="N237">
            <v>0</v>
          </cell>
          <cell r="O237">
            <v>0</v>
          </cell>
          <cell r="P237">
            <v>0</v>
          </cell>
          <cell r="Q237">
            <v>0</v>
          </cell>
          <cell r="R237">
            <v>0</v>
          </cell>
        </row>
        <row r="238">
          <cell r="C238">
            <v>266</v>
          </cell>
          <cell r="F238">
            <v>1</v>
          </cell>
          <cell r="G238">
            <v>1</v>
          </cell>
          <cell r="J238">
            <v>-7</v>
          </cell>
          <cell r="K238">
            <v>0</v>
          </cell>
          <cell r="L238">
            <v>7</v>
          </cell>
          <cell r="M238">
            <v>0</v>
          </cell>
          <cell r="N238">
            <v>0</v>
          </cell>
          <cell r="O238">
            <v>0</v>
          </cell>
          <cell r="P238">
            <v>0</v>
          </cell>
          <cell r="Q238">
            <v>0</v>
          </cell>
          <cell r="R238">
            <v>0</v>
          </cell>
        </row>
        <row r="239">
          <cell r="C239">
            <v>272</v>
          </cell>
          <cell r="F239">
            <v>1</v>
          </cell>
          <cell r="G239">
            <v>1</v>
          </cell>
          <cell r="J239">
            <v>-15</v>
          </cell>
          <cell r="K239">
            <v>0</v>
          </cell>
          <cell r="L239">
            <v>15</v>
          </cell>
          <cell r="M239">
            <v>0</v>
          </cell>
          <cell r="N239">
            <v>0</v>
          </cell>
          <cell r="O239">
            <v>0</v>
          </cell>
          <cell r="P239">
            <v>0</v>
          </cell>
          <cell r="Q239">
            <v>0</v>
          </cell>
          <cell r="R239">
            <v>0</v>
          </cell>
        </row>
        <row r="240">
          <cell r="C240">
            <v>306</v>
          </cell>
          <cell r="F240">
            <v>1</v>
          </cell>
          <cell r="G240">
            <v>1</v>
          </cell>
          <cell r="J240">
            <v>0</v>
          </cell>
          <cell r="K240">
            <v>0</v>
          </cell>
          <cell r="L240">
            <v>8</v>
          </cell>
          <cell r="M240">
            <v>0</v>
          </cell>
          <cell r="N240">
            <v>8</v>
          </cell>
          <cell r="O240">
            <v>0</v>
          </cell>
          <cell r="P240">
            <v>0</v>
          </cell>
          <cell r="Q240">
            <v>0</v>
          </cell>
          <cell r="R240">
            <v>0</v>
          </cell>
        </row>
        <row r="241">
          <cell r="C241">
            <v>151</v>
          </cell>
          <cell r="F241">
            <v>1</v>
          </cell>
          <cell r="G241">
            <v>1</v>
          </cell>
          <cell r="J241">
            <v>0</v>
          </cell>
          <cell r="K241">
            <v>0</v>
          </cell>
          <cell r="L241">
            <v>1</v>
          </cell>
          <cell r="M241">
            <v>0</v>
          </cell>
          <cell r="N241">
            <v>1</v>
          </cell>
          <cell r="O241">
            <v>0</v>
          </cell>
          <cell r="P241">
            <v>0</v>
          </cell>
          <cell r="Q241">
            <v>0</v>
          </cell>
          <cell r="R241">
            <v>0</v>
          </cell>
        </row>
        <row r="242">
          <cell r="C242">
            <v>288</v>
          </cell>
          <cell r="F242">
            <v>1</v>
          </cell>
          <cell r="G242">
            <v>1</v>
          </cell>
          <cell r="J242">
            <v>0</v>
          </cell>
          <cell r="K242">
            <v>0</v>
          </cell>
          <cell r="L242">
            <v>108</v>
          </cell>
          <cell r="M242">
            <v>0</v>
          </cell>
          <cell r="N242">
            <v>108</v>
          </cell>
          <cell r="O242">
            <v>0</v>
          </cell>
          <cell r="P242">
            <v>0</v>
          </cell>
          <cell r="Q242">
            <v>0</v>
          </cell>
          <cell r="R242">
            <v>0</v>
          </cell>
        </row>
        <row r="243">
          <cell r="C243">
            <v>250</v>
          </cell>
          <cell r="F243">
            <v>1</v>
          </cell>
          <cell r="G243">
            <v>1</v>
          </cell>
          <cell r="J243">
            <v>-6</v>
          </cell>
          <cell r="K243">
            <v>18</v>
          </cell>
          <cell r="L243">
            <v>24</v>
          </cell>
          <cell r="M243">
            <v>0</v>
          </cell>
          <cell r="N243">
            <v>0</v>
          </cell>
          <cell r="O243">
            <v>0</v>
          </cell>
          <cell r="P243">
            <v>0</v>
          </cell>
          <cell r="Q243">
            <v>0</v>
          </cell>
          <cell r="R243">
            <v>0</v>
          </cell>
        </row>
        <row r="244">
          <cell r="C244">
            <v>248</v>
          </cell>
          <cell r="F244">
            <v>1</v>
          </cell>
          <cell r="G244">
            <v>1</v>
          </cell>
          <cell r="J244">
            <v>-26</v>
          </cell>
          <cell r="K244">
            <v>0</v>
          </cell>
          <cell r="L244">
            <v>26</v>
          </cell>
          <cell r="M244">
            <v>0</v>
          </cell>
          <cell r="N244">
            <v>0</v>
          </cell>
          <cell r="O244">
            <v>0</v>
          </cell>
          <cell r="P244">
            <v>0</v>
          </cell>
          <cell r="Q244">
            <v>0</v>
          </cell>
          <cell r="R244">
            <v>0</v>
          </cell>
        </row>
        <row r="245">
          <cell r="C245">
            <v>254</v>
          </cell>
          <cell r="F245">
            <v>1</v>
          </cell>
          <cell r="G245">
            <v>1</v>
          </cell>
          <cell r="J245">
            <v>-5</v>
          </cell>
          <cell r="K245">
            <v>0</v>
          </cell>
          <cell r="L245">
            <v>5</v>
          </cell>
          <cell r="M245">
            <v>0</v>
          </cell>
          <cell r="N245">
            <v>0</v>
          </cell>
          <cell r="O245">
            <v>0</v>
          </cell>
          <cell r="P245">
            <v>0</v>
          </cell>
          <cell r="Q245">
            <v>0</v>
          </cell>
          <cell r="R245">
            <v>0</v>
          </cell>
        </row>
        <row r="246">
          <cell r="C246">
            <v>341</v>
          </cell>
          <cell r="F246">
            <v>1</v>
          </cell>
          <cell r="G246">
            <v>1</v>
          </cell>
          <cell r="J246">
            <v>-7</v>
          </cell>
          <cell r="K246">
            <v>0</v>
          </cell>
          <cell r="L246">
            <v>7</v>
          </cell>
          <cell r="M246">
            <v>0</v>
          </cell>
          <cell r="N246">
            <v>0</v>
          </cell>
          <cell r="O246">
            <v>0</v>
          </cell>
          <cell r="P246">
            <v>0</v>
          </cell>
          <cell r="Q246">
            <v>0</v>
          </cell>
          <cell r="R246">
            <v>0</v>
          </cell>
        </row>
        <row r="247">
          <cell r="C247">
            <v>317</v>
          </cell>
          <cell r="F247">
            <v>1</v>
          </cell>
          <cell r="G247">
            <v>1</v>
          </cell>
          <cell r="J247">
            <v>0</v>
          </cell>
          <cell r="K247">
            <v>0</v>
          </cell>
          <cell r="L247">
            <v>9</v>
          </cell>
          <cell r="M247">
            <v>0</v>
          </cell>
          <cell r="N247">
            <v>9</v>
          </cell>
          <cell r="O247">
            <v>0</v>
          </cell>
          <cell r="P247">
            <v>0</v>
          </cell>
          <cell r="Q247">
            <v>0</v>
          </cell>
          <cell r="R247">
            <v>0</v>
          </cell>
        </row>
        <row r="248">
          <cell r="C248">
            <v>225</v>
          </cell>
          <cell r="F248">
            <v>1</v>
          </cell>
          <cell r="G248">
            <v>1</v>
          </cell>
          <cell r="J248">
            <v>-2</v>
          </cell>
          <cell r="K248">
            <v>0</v>
          </cell>
          <cell r="L248">
            <v>2</v>
          </cell>
          <cell r="M248">
            <v>0</v>
          </cell>
          <cell r="N248">
            <v>0</v>
          </cell>
          <cell r="O248">
            <v>0</v>
          </cell>
          <cell r="P248">
            <v>0</v>
          </cell>
          <cell r="Q248">
            <v>0</v>
          </cell>
          <cell r="R248">
            <v>0</v>
          </cell>
        </row>
        <row r="249">
          <cell r="C249">
            <v>319</v>
          </cell>
          <cell r="F249">
            <v>1</v>
          </cell>
          <cell r="G249">
            <v>1</v>
          </cell>
          <cell r="J249">
            <v>0</v>
          </cell>
          <cell r="K249">
            <v>0</v>
          </cell>
          <cell r="L249">
            <v>2</v>
          </cell>
          <cell r="M249">
            <v>0</v>
          </cell>
          <cell r="N249">
            <v>2</v>
          </cell>
          <cell r="O249">
            <v>0</v>
          </cell>
          <cell r="P249">
            <v>0</v>
          </cell>
          <cell r="Q249">
            <v>0</v>
          </cell>
          <cell r="R249">
            <v>0</v>
          </cell>
        </row>
        <row r="250">
          <cell r="C250">
            <v>257</v>
          </cell>
          <cell r="F250">
            <v>1</v>
          </cell>
          <cell r="G250">
            <v>1</v>
          </cell>
          <cell r="J250">
            <v>-2</v>
          </cell>
          <cell r="K250">
            <v>0</v>
          </cell>
          <cell r="L250">
            <v>2</v>
          </cell>
          <cell r="M250">
            <v>0</v>
          </cell>
          <cell r="N250">
            <v>0</v>
          </cell>
          <cell r="O250">
            <v>0</v>
          </cell>
          <cell r="P250">
            <v>0</v>
          </cell>
          <cell r="Q250">
            <v>0</v>
          </cell>
          <cell r="R250">
            <v>0</v>
          </cell>
        </row>
        <row r="251">
          <cell r="C251">
            <v>253</v>
          </cell>
          <cell r="F251">
            <v>1</v>
          </cell>
          <cell r="G251">
            <v>1</v>
          </cell>
          <cell r="J251">
            <v>-3</v>
          </cell>
          <cell r="K251">
            <v>0</v>
          </cell>
          <cell r="L251">
            <v>3</v>
          </cell>
          <cell r="M251">
            <v>0</v>
          </cell>
          <cell r="N251">
            <v>0</v>
          </cell>
          <cell r="O251">
            <v>0</v>
          </cell>
          <cell r="P251">
            <v>0</v>
          </cell>
          <cell r="Q251">
            <v>0</v>
          </cell>
          <cell r="R251">
            <v>0</v>
          </cell>
        </row>
        <row r="252">
          <cell r="C252">
            <v>67</v>
          </cell>
          <cell r="F252">
            <v>1</v>
          </cell>
          <cell r="G252">
            <v>1</v>
          </cell>
          <cell r="J252">
            <v>-5</v>
          </cell>
          <cell r="K252">
            <v>0</v>
          </cell>
          <cell r="L252">
            <v>5</v>
          </cell>
          <cell r="M252">
            <v>0</v>
          </cell>
          <cell r="N252">
            <v>0</v>
          </cell>
          <cell r="O252">
            <v>0</v>
          </cell>
          <cell r="P252">
            <v>0</v>
          </cell>
          <cell r="Q252">
            <v>0</v>
          </cell>
          <cell r="R252">
            <v>0</v>
          </cell>
        </row>
        <row r="253">
          <cell r="C253">
            <v>267</v>
          </cell>
          <cell r="F253">
            <v>1</v>
          </cell>
          <cell r="G253">
            <v>1</v>
          </cell>
          <cell r="J253">
            <v>-4</v>
          </cell>
          <cell r="K253">
            <v>0</v>
          </cell>
          <cell r="L253">
            <v>4</v>
          </cell>
          <cell r="M253">
            <v>0</v>
          </cell>
          <cell r="N253">
            <v>0</v>
          </cell>
          <cell r="O253">
            <v>0</v>
          </cell>
          <cell r="P253">
            <v>0</v>
          </cell>
          <cell r="Q253">
            <v>0</v>
          </cell>
          <cell r="R253">
            <v>0</v>
          </cell>
        </row>
        <row r="254">
          <cell r="C254">
            <v>256</v>
          </cell>
          <cell r="F254">
            <v>1</v>
          </cell>
          <cell r="G254">
            <v>1</v>
          </cell>
          <cell r="J254">
            <v>-5</v>
          </cell>
          <cell r="K254">
            <v>0</v>
          </cell>
          <cell r="L254">
            <v>5</v>
          </cell>
          <cell r="M254">
            <v>0</v>
          </cell>
          <cell r="N254">
            <v>0</v>
          </cell>
          <cell r="O254">
            <v>0</v>
          </cell>
          <cell r="P254">
            <v>0</v>
          </cell>
          <cell r="Q254">
            <v>0</v>
          </cell>
          <cell r="R254">
            <v>0</v>
          </cell>
        </row>
        <row r="255">
          <cell r="C255">
            <v>328</v>
          </cell>
          <cell r="F255">
            <v>1</v>
          </cell>
          <cell r="G255">
            <v>1</v>
          </cell>
          <cell r="J255">
            <v>-1</v>
          </cell>
          <cell r="K255">
            <v>0</v>
          </cell>
          <cell r="L255">
            <v>1</v>
          </cell>
          <cell r="M255">
            <v>0</v>
          </cell>
          <cell r="N255">
            <v>0</v>
          </cell>
          <cell r="O255">
            <v>0</v>
          </cell>
          <cell r="P255">
            <v>0</v>
          </cell>
          <cell r="Q255">
            <v>0</v>
          </cell>
          <cell r="R255">
            <v>0</v>
          </cell>
        </row>
        <row r="256">
          <cell r="C256">
            <v>260</v>
          </cell>
          <cell r="F256">
            <v>1</v>
          </cell>
          <cell r="G256">
            <v>1</v>
          </cell>
          <cell r="J256">
            <v>-3</v>
          </cell>
          <cell r="K256">
            <v>0</v>
          </cell>
          <cell r="L256">
            <v>3</v>
          </cell>
          <cell r="M256">
            <v>0</v>
          </cell>
          <cell r="N256">
            <v>0</v>
          </cell>
          <cell r="O256">
            <v>0</v>
          </cell>
          <cell r="P256">
            <v>0</v>
          </cell>
          <cell r="Q256">
            <v>0</v>
          </cell>
          <cell r="R256">
            <v>0</v>
          </cell>
        </row>
        <row r="257">
          <cell r="C257">
            <v>261</v>
          </cell>
          <cell r="F257">
            <v>1</v>
          </cell>
          <cell r="G257">
            <v>1</v>
          </cell>
          <cell r="J257">
            <v>-1</v>
          </cell>
          <cell r="K257">
            <v>0</v>
          </cell>
          <cell r="L257">
            <v>1</v>
          </cell>
          <cell r="M257">
            <v>0</v>
          </cell>
          <cell r="N257">
            <v>0</v>
          </cell>
          <cell r="O257">
            <v>0</v>
          </cell>
          <cell r="P257">
            <v>0</v>
          </cell>
          <cell r="Q257">
            <v>0</v>
          </cell>
          <cell r="R257">
            <v>0</v>
          </cell>
        </row>
        <row r="258">
          <cell r="C258">
            <v>262</v>
          </cell>
          <cell r="F258">
            <v>1</v>
          </cell>
          <cell r="G258">
            <v>1</v>
          </cell>
          <cell r="J258">
            <v>-1</v>
          </cell>
          <cell r="K258">
            <v>0</v>
          </cell>
          <cell r="L258">
            <v>1</v>
          </cell>
          <cell r="M258">
            <v>0</v>
          </cell>
          <cell r="N258">
            <v>0</v>
          </cell>
          <cell r="O258">
            <v>0</v>
          </cell>
          <cell r="P258">
            <v>0</v>
          </cell>
          <cell r="Q258">
            <v>0</v>
          </cell>
          <cell r="R258">
            <v>0</v>
          </cell>
        </row>
        <row r="259">
          <cell r="C259">
            <v>297</v>
          </cell>
          <cell r="F259">
            <v>1</v>
          </cell>
          <cell r="G259">
            <v>1</v>
          </cell>
          <cell r="J259">
            <v>0</v>
          </cell>
          <cell r="K259">
            <v>0</v>
          </cell>
          <cell r="L259">
            <v>1</v>
          </cell>
          <cell r="M259">
            <v>0</v>
          </cell>
          <cell r="N259">
            <v>1</v>
          </cell>
          <cell r="O259">
            <v>0</v>
          </cell>
          <cell r="P259">
            <v>0</v>
          </cell>
          <cell r="Q259">
            <v>0</v>
          </cell>
          <cell r="R259">
            <v>0</v>
          </cell>
        </row>
        <row r="260">
          <cell r="C260">
            <v>221</v>
          </cell>
          <cell r="F260">
            <v>1</v>
          </cell>
          <cell r="G260">
            <v>1</v>
          </cell>
          <cell r="J260">
            <v>-8</v>
          </cell>
          <cell r="K260">
            <v>0</v>
          </cell>
          <cell r="L260">
            <v>8</v>
          </cell>
          <cell r="M260">
            <v>0</v>
          </cell>
          <cell r="N260">
            <v>0</v>
          </cell>
          <cell r="O260">
            <v>0</v>
          </cell>
          <cell r="P260">
            <v>0</v>
          </cell>
          <cell r="Q260">
            <v>0</v>
          </cell>
          <cell r="R260">
            <v>0</v>
          </cell>
        </row>
        <row r="261">
          <cell r="C261">
            <v>237</v>
          </cell>
          <cell r="F261">
            <v>1</v>
          </cell>
          <cell r="G261">
            <v>1</v>
          </cell>
          <cell r="J261">
            <v>0</v>
          </cell>
          <cell r="K261">
            <v>0</v>
          </cell>
          <cell r="L261">
            <v>12</v>
          </cell>
          <cell r="M261">
            <v>0</v>
          </cell>
          <cell r="N261">
            <v>12</v>
          </cell>
          <cell r="O261">
            <v>0</v>
          </cell>
          <cell r="P261">
            <v>0</v>
          </cell>
          <cell r="Q261">
            <v>0</v>
          </cell>
          <cell r="R261">
            <v>0</v>
          </cell>
        </row>
        <row r="262">
          <cell r="C262">
            <v>233</v>
          </cell>
          <cell r="F262">
            <v>1</v>
          </cell>
          <cell r="G262">
            <v>1</v>
          </cell>
          <cell r="J262">
            <v>-1</v>
          </cell>
          <cell r="K262">
            <v>0</v>
          </cell>
          <cell r="L262">
            <v>1</v>
          </cell>
          <cell r="M262">
            <v>0</v>
          </cell>
          <cell r="N262">
            <v>0</v>
          </cell>
          <cell r="O262">
            <v>0</v>
          </cell>
          <cell r="P262">
            <v>0</v>
          </cell>
          <cell r="Q262">
            <v>0</v>
          </cell>
          <cell r="R262">
            <v>0</v>
          </cell>
        </row>
        <row r="263">
          <cell r="C263">
            <v>239</v>
          </cell>
          <cell r="F263">
            <v>1</v>
          </cell>
          <cell r="G263">
            <v>1</v>
          </cell>
          <cell r="J263">
            <v>0</v>
          </cell>
          <cell r="K263">
            <v>0</v>
          </cell>
          <cell r="L263">
            <v>6</v>
          </cell>
          <cell r="M263">
            <v>0</v>
          </cell>
          <cell r="N263">
            <v>6</v>
          </cell>
          <cell r="O263">
            <v>0</v>
          </cell>
          <cell r="P263">
            <v>0</v>
          </cell>
          <cell r="Q263">
            <v>0</v>
          </cell>
          <cell r="R263">
            <v>0</v>
          </cell>
        </row>
        <row r="264">
          <cell r="C264">
            <v>226</v>
          </cell>
          <cell r="F264">
            <v>1</v>
          </cell>
          <cell r="G264">
            <v>1</v>
          </cell>
          <cell r="J264">
            <v>-3</v>
          </cell>
          <cell r="K264">
            <v>0</v>
          </cell>
          <cell r="L264">
            <v>3</v>
          </cell>
          <cell r="M264">
            <v>0</v>
          </cell>
          <cell r="N264">
            <v>0</v>
          </cell>
          <cell r="O264">
            <v>0</v>
          </cell>
          <cell r="P264">
            <v>0</v>
          </cell>
          <cell r="Q264">
            <v>0</v>
          </cell>
          <cell r="R264">
            <v>0</v>
          </cell>
        </row>
        <row r="265">
          <cell r="C265">
            <v>222</v>
          </cell>
          <cell r="F265">
            <v>1</v>
          </cell>
          <cell r="G265">
            <v>1</v>
          </cell>
          <cell r="J265">
            <v>-2</v>
          </cell>
          <cell r="K265">
            <v>0</v>
          </cell>
          <cell r="L265">
            <v>2</v>
          </cell>
          <cell r="M265">
            <v>0</v>
          </cell>
          <cell r="N265">
            <v>0</v>
          </cell>
          <cell r="O265">
            <v>0</v>
          </cell>
          <cell r="P265">
            <v>0</v>
          </cell>
          <cell r="Q265">
            <v>0</v>
          </cell>
          <cell r="R265">
            <v>0</v>
          </cell>
        </row>
        <row r="266">
          <cell r="C266">
            <v>146</v>
          </cell>
          <cell r="F266">
            <v>1</v>
          </cell>
          <cell r="G266">
            <v>1</v>
          </cell>
          <cell r="J266">
            <v>-5</v>
          </cell>
          <cell r="K266">
            <v>-5</v>
          </cell>
          <cell r="L266">
            <v>0</v>
          </cell>
          <cell r="M266">
            <v>0</v>
          </cell>
          <cell r="N266">
            <v>0</v>
          </cell>
          <cell r="O266">
            <v>0</v>
          </cell>
          <cell r="P266">
            <v>0</v>
          </cell>
          <cell r="Q266">
            <v>0</v>
          </cell>
          <cell r="R266">
            <v>0</v>
          </cell>
        </row>
        <row r="267">
          <cell r="C267">
            <v>337</v>
          </cell>
          <cell r="F267">
            <v>1</v>
          </cell>
          <cell r="G267">
            <v>1</v>
          </cell>
          <cell r="J267">
            <v>53</v>
          </cell>
          <cell r="K267">
            <v>5</v>
          </cell>
          <cell r="L267">
            <v>252</v>
          </cell>
          <cell r="M267">
            <v>0</v>
          </cell>
          <cell r="N267">
            <v>300</v>
          </cell>
          <cell r="O267">
            <v>0</v>
          </cell>
          <cell r="P267">
            <v>0</v>
          </cell>
          <cell r="Q267">
            <v>0</v>
          </cell>
          <cell r="R267">
            <v>0</v>
          </cell>
        </row>
        <row r="268">
          <cell r="C268">
            <v>318</v>
          </cell>
          <cell r="F268">
            <v>1</v>
          </cell>
          <cell r="G268">
            <v>1</v>
          </cell>
          <cell r="J268">
            <v>0</v>
          </cell>
          <cell r="K268">
            <v>0</v>
          </cell>
          <cell r="L268">
            <v>2</v>
          </cell>
          <cell r="M268">
            <v>0</v>
          </cell>
          <cell r="N268">
            <v>2</v>
          </cell>
          <cell r="O268">
            <v>0</v>
          </cell>
          <cell r="P268">
            <v>0</v>
          </cell>
          <cell r="Q268">
            <v>0</v>
          </cell>
          <cell r="R268">
            <v>0</v>
          </cell>
        </row>
        <row r="269">
          <cell r="C269">
            <v>316</v>
          </cell>
          <cell r="F269">
            <v>1</v>
          </cell>
          <cell r="G269">
            <v>1</v>
          </cell>
          <cell r="J269">
            <v>0</v>
          </cell>
          <cell r="K269">
            <v>0</v>
          </cell>
          <cell r="L269">
            <v>20</v>
          </cell>
          <cell r="M269">
            <v>0</v>
          </cell>
          <cell r="N269">
            <v>20</v>
          </cell>
          <cell r="O269">
            <v>0</v>
          </cell>
          <cell r="P269">
            <v>0</v>
          </cell>
          <cell r="Q269">
            <v>0</v>
          </cell>
          <cell r="R269">
            <v>0</v>
          </cell>
        </row>
        <row r="270">
          <cell r="C270">
            <v>201</v>
          </cell>
          <cell r="F270">
            <v>1</v>
          </cell>
          <cell r="G270">
            <v>1</v>
          </cell>
          <cell r="J270">
            <v>-1</v>
          </cell>
          <cell r="K270">
            <v>0</v>
          </cell>
          <cell r="L270">
            <v>1</v>
          </cell>
          <cell r="M270">
            <v>0</v>
          </cell>
          <cell r="N270">
            <v>0</v>
          </cell>
          <cell r="O270">
            <v>0</v>
          </cell>
          <cell r="P270">
            <v>0</v>
          </cell>
          <cell r="Q270">
            <v>0</v>
          </cell>
          <cell r="R270">
            <v>0</v>
          </cell>
        </row>
        <row r="271">
          <cell r="C271">
            <v>286</v>
          </cell>
          <cell r="F271">
            <v>1</v>
          </cell>
          <cell r="G271">
            <v>1</v>
          </cell>
          <cell r="J271">
            <v>-8</v>
          </cell>
          <cell r="K271">
            <v>0</v>
          </cell>
          <cell r="L271">
            <v>8</v>
          </cell>
          <cell r="M271">
            <v>0</v>
          </cell>
          <cell r="N271">
            <v>0</v>
          </cell>
          <cell r="O271">
            <v>0</v>
          </cell>
          <cell r="P271">
            <v>0</v>
          </cell>
          <cell r="Q271">
            <v>0</v>
          </cell>
          <cell r="R271">
            <v>0</v>
          </cell>
        </row>
        <row r="272">
          <cell r="C272">
            <v>285</v>
          </cell>
          <cell r="F272">
            <v>1</v>
          </cell>
          <cell r="G272">
            <v>1</v>
          </cell>
          <cell r="J272">
            <v>-8</v>
          </cell>
          <cell r="K272">
            <v>0</v>
          </cell>
          <cell r="L272">
            <v>8</v>
          </cell>
          <cell r="M272">
            <v>0</v>
          </cell>
          <cell r="N272">
            <v>0</v>
          </cell>
          <cell r="O272">
            <v>0</v>
          </cell>
          <cell r="P272">
            <v>0</v>
          </cell>
          <cell r="Q272">
            <v>0</v>
          </cell>
          <cell r="R272">
            <v>0</v>
          </cell>
        </row>
        <row r="273">
          <cell r="C273">
            <v>264</v>
          </cell>
          <cell r="F273">
            <v>1</v>
          </cell>
          <cell r="G273">
            <v>1</v>
          </cell>
          <cell r="J273">
            <v>-4</v>
          </cell>
          <cell r="K273">
            <v>0</v>
          </cell>
          <cell r="L273">
            <v>4</v>
          </cell>
          <cell r="M273">
            <v>0</v>
          </cell>
          <cell r="N273">
            <v>0</v>
          </cell>
          <cell r="O273">
            <v>0</v>
          </cell>
          <cell r="P273">
            <v>0</v>
          </cell>
          <cell r="Q273">
            <v>0</v>
          </cell>
          <cell r="R273">
            <v>0</v>
          </cell>
        </row>
        <row r="274">
          <cell r="C274">
            <v>342</v>
          </cell>
          <cell r="F274">
            <v>1</v>
          </cell>
          <cell r="G274">
            <v>1</v>
          </cell>
          <cell r="J274">
            <v>-16</v>
          </cell>
          <cell r="K274">
            <v>0</v>
          </cell>
          <cell r="L274">
            <v>16</v>
          </cell>
          <cell r="M274">
            <v>0</v>
          </cell>
          <cell r="N274">
            <v>0</v>
          </cell>
          <cell r="O274">
            <v>0</v>
          </cell>
          <cell r="P274">
            <v>0</v>
          </cell>
          <cell r="Q274">
            <v>0</v>
          </cell>
          <cell r="R274">
            <v>0</v>
          </cell>
        </row>
        <row r="275">
          <cell r="C275">
            <v>343</v>
          </cell>
          <cell r="F275">
            <v>1</v>
          </cell>
          <cell r="G275">
            <v>1</v>
          </cell>
          <cell r="J275">
            <v>7</v>
          </cell>
          <cell r="K275">
            <v>0</v>
          </cell>
          <cell r="L275">
            <v>13</v>
          </cell>
          <cell r="M275">
            <v>0</v>
          </cell>
          <cell r="N275">
            <v>20</v>
          </cell>
          <cell r="O275">
            <v>0</v>
          </cell>
          <cell r="P275">
            <v>0</v>
          </cell>
          <cell r="Q275">
            <v>0</v>
          </cell>
          <cell r="R275">
            <v>0</v>
          </cell>
        </row>
        <row r="276">
          <cell r="C276">
            <v>59</v>
          </cell>
          <cell r="F276">
            <v>1</v>
          </cell>
          <cell r="G276">
            <v>1</v>
          </cell>
          <cell r="J276">
            <v>-1</v>
          </cell>
          <cell r="K276">
            <v>0</v>
          </cell>
          <cell r="L276">
            <v>1</v>
          </cell>
          <cell r="M276">
            <v>0</v>
          </cell>
          <cell r="N276">
            <v>0</v>
          </cell>
          <cell r="O276">
            <v>0</v>
          </cell>
          <cell r="P276">
            <v>0</v>
          </cell>
          <cell r="Q276">
            <v>0</v>
          </cell>
          <cell r="R276">
            <v>0</v>
          </cell>
        </row>
        <row r="277">
          <cell r="C277">
            <v>251</v>
          </cell>
          <cell r="F277">
            <v>1</v>
          </cell>
          <cell r="G277">
            <v>1</v>
          </cell>
          <cell r="J277">
            <v>-5</v>
          </cell>
          <cell r="K277">
            <v>15</v>
          </cell>
          <cell r="L277">
            <v>20</v>
          </cell>
          <cell r="M277">
            <v>0</v>
          </cell>
          <cell r="N277">
            <v>0</v>
          </cell>
          <cell r="O277">
            <v>0</v>
          </cell>
          <cell r="P277">
            <v>0</v>
          </cell>
          <cell r="Q277">
            <v>0</v>
          </cell>
          <cell r="R277">
            <v>0</v>
          </cell>
        </row>
        <row r="278">
          <cell r="C278">
            <v>227</v>
          </cell>
          <cell r="F278">
            <v>1</v>
          </cell>
          <cell r="G278">
            <v>1</v>
          </cell>
          <cell r="J278">
            <v>-10</v>
          </cell>
          <cell r="K278">
            <v>0</v>
          </cell>
          <cell r="L278">
            <v>10</v>
          </cell>
          <cell r="M278">
            <v>0</v>
          </cell>
          <cell r="N278">
            <v>0</v>
          </cell>
          <cell r="O278">
            <v>0</v>
          </cell>
          <cell r="P278">
            <v>0</v>
          </cell>
          <cell r="Q278">
            <v>0</v>
          </cell>
          <cell r="R278">
            <v>0</v>
          </cell>
        </row>
        <row r="279">
          <cell r="C279">
            <v>344</v>
          </cell>
          <cell r="F279">
            <v>1</v>
          </cell>
          <cell r="G279">
            <v>1</v>
          </cell>
          <cell r="J279">
            <v>0</v>
          </cell>
          <cell r="K279">
            <v>0</v>
          </cell>
          <cell r="L279">
            <v>2</v>
          </cell>
          <cell r="M279">
            <v>0</v>
          </cell>
          <cell r="N279">
            <v>2</v>
          </cell>
          <cell r="O279">
            <v>0</v>
          </cell>
          <cell r="P279">
            <v>0</v>
          </cell>
          <cell r="Q279">
            <v>0</v>
          </cell>
          <cell r="R279">
            <v>0</v>
          </cell>
        </row>
        <row r="280">
          <cell r="C280">
            <v>345</v>
          </cell>
          <cell r="F280">
            <v>1</v>
          </cell>
          <cell r="G280">
            <v>1</v>
          </cell>
          <cell r="J280">
            <v>-1</v>
          </cell>
          <cell r="K280">
            <v>0</v>
          </cell>
          <cell r="L280">
            <v>1</v>
          </cell>
          <cell r="M280">
            <v>0</v>
          </cell>
          <cell r="N280">
            <v>0</v>
          </cell>
          <cell r="O280">
            <v>0</v>
          </cell>
          <cell r="P280">
            <v>0</v>
          </cell>
          <cell r="Q280">
            <v>0</v>
          </cell>
          <cell r="R280">
            <v>0</v>
          </cell>
        </row>
        <row r="281">
          <cell r="C281">
            <v>346</v>
          </cell>
          <cell r="F281">
            <v>1</v>
          </cell>
          <cell r="G281">
            <v>1</v>
          </cell>
          <cell r="J281">
            <v>-2</v>
          </cell>
          <cell r="K281">
            <v>0</v>
          </cell>
          <cell r="L281">
            <v>2</v>
          </cell>
          <cell r="M281">
            <v>0</v>
          </cell>
          <cell r="N281">
            <v>0</v>
          </cell>
          <cell r="O281">
            <v>0</v>
          </cell>
          <cell r="P281">
            <v>0</v>
          </cell>
          <cell r="Q281">
            <v>0</v>
          </cell>
          <cell r="R281">
            <v>0</v>
          </cell>
        </row>
        <row r="282">
          <cell r="C282">
            <v>329</v>
          </cell>
          <cell r="F282">
            <v>1</v>
          </cell>
          <cell r="G282">
            <v>1</v>
          </cell>
          <cell r="J282">
            <v>-1</v>
          </cell>
          <cell r="K282">
            <v>0</v>
          </cell>
          <cell r="L282">
            <v>1</v>
          </cell>
          <cell r="M282">
            <v>0</v>
          </cell>
          <cell r="N282">
            <v>0</v>
          </cell>
          <cell r="O282">
            <v>0</v>
          </cell>
          <cell r="P282">
            <v>0</v>
          </cell>
          <cell r="Q282">
            <v>0</v>
          </cell>
          <cell r="R282">
            <v>0</v>
          </cell>
        </row>
        <row r="283">
          <cell r="C283">
            <v>359</v>
          </cell>
          <cell r="F283">
            <v>1</v>
          </cell>
          <cell r="G283">
            <v>1</v>
          </cell>
          <cell r="J283">
            <v>-4</v>
          </cell>
          <cell r="K283">
            <v>0</v>
          </cell>
          <cell r="L283">
            <v>4</v>
          </cell>
          <cell r="M283">
            <v>0</v>
          </cell>
          <cell r="N283">
            <v>0</v>
          </cell>
          <cell r="O283">
            <v>0</v>
          </cell>
          <cell r="P283">
            <v>0</v>
          </cell>
          <cell r="Q283">
            <v>0</v>
          </cell>
          <cell r="R283">
            <v>0</v>
          </cell>
        </row>
        <row r="284">
          <cell r="C284">
            <v>240</v>
          </cell>
          <cell r="F284">
            <v>1</v>
          </cell>
          <cell r="G284">
            <v>1</v>
          </cell>
          <cell r="J284">
            <v>0</v>
          </cell>
          <cell r="K284">
            <v>0</v>
          </cell>
          <cell r="L284">
            <v>36</v>
          </cell>
          <cell r="M284">
            <v>0</v>
          </cell>
          <cell r="N284">
            <v>36</v>
          </cell>
          <cell r="O284">
            <v>0</v>
          </cell>
          <cell r="P284">
            <v>0</v>
          </cell>
          <cell r="Q284">
            <v>0</v>
          </cell>
          <cell r="R284">
            <v>0</v>
          </cell>
        </row>
        <row r="285">
          <cell r="C285">
            <v>296</v>
          </cell>
          <cell r="F285">
            <v>1</v>
          </cell>
          <cell r="G285">
            <v>1</v>
          </cell>
          <cell r="J285">
            <v>0</v>
          </cell>
          <cell r="K285">
            <v>0</v>
          </cell>
          <cell r="L285">
            <v>1</v>
          </cell>
          <cell r="M285">
            <v>0</v>
          </cell>
          <cell r="N285">
            <v>1</v>
          </cell>
          <cell r="O285">
            <v>0</v>
          </cell>
          <cell r="P285">
            <v>0</v>
          </cell>
          <cell r="Q285">
            <v>0</v>
          </cell>
          <cell r="R285">
            <v>0</v>
          </cell>
        </row>
        <row r="286">
          <cell r="C286">
            <v>339</v>
          </cell>
          <cell r="F286">
            <v>1</v>
          </cell>
          <cell r="G286">
            <v>1</v>
          </cell>
          <cell r="J286">
            <v>-10</v>
          </cell>
          <cell r="K286">
            <v>0</v>
          </cell>
          <cell r="L286">
            <v>10</v>
          </cell>
          <cell r="M286">
            <v>0</v>
          </cell>
          <cell r="N286">
            <v>0</v>
          </cell>
          <cell r="O286">
            <v>0</v>
          </cell>
          <cell r="P286">
            <v>0</v>
          </cell>
          <cell r="Q286">
            <v>0</v>
          </cell>
          <cell r="R286">
            <v>0</v>
          </cell>
        </row>
        <row r="287">
          <cell r="C287">
            <v>304</v>
          </cell>
          <cell r="F287">
            <v>1</v>
          </cell>
          <cell r="G287">
            <v>1</v>
          </cell>
          <cell r="J287">
            <v>0</v>
          </cell>
          <cell r="K287">
            <v>0</v>
          </cell>
          <cell r="L287">
            <v>12</v>
          </cell>
          <cell r="M287">
            <v>0</v>
          </cell>
          <cell r="N287">
            <v>12</v>
          </cell>
          <cell r="O287">
            <v>0</v>
          </cell>
          <cell r="P287">
            <v>0</v>
          </cell>
          <cell r="Q287">
            <v>0</v>
          </cell>
          <cell r="R287">
            <v>0</v>
          </cell>
        </row>
        <row r="288">
          <cell r="C288">
            <v>249</v>
          </cell>
          <cell r="F288">
            <v>1</v>
          </cell>
          <cell r="G288">
            <v>1</v>
          </cell>
          <cell r="J288">
            <v>-2</v>
          </cell>
          <cell r="K288">
            <v>0</v>
          </cell>
          <cell r="L288">
            <v>2</v>
          </cell>
          <cell r="M288">
            <v>0</v>
          </cell>
          <cell r="N288">
            <v>0</v>
          </cell>
          <cell r="O288">
            <v>0</v>
          </cell>
          <cell r="P288">
            <v>0</v>
          </cell>
          <cell r="Q288">
            <v>0</v>
          </cell>
          <cell r="R288">
            <v>0</v>
          </cell>
        </row>
        <row r="289">
          <cell r="C289">
            <v>284</v>
          </cell>
          <cell r="F289">
            <v>1</v>
          </cell>
          <cell r="G289">
            <v>1</v>
          </cell>
          <cell r="J289">
            <v>63</v>
          </cell>
          <cell r="K289">
            <v>0</v>
          </cell>
          <cell r="L289">
            <v>37</v>
          </cell>
          <cell r="M289">
            <v>0</v>
          </cell>
          <cell r="N289">
            <v>100</v>
          </cell>
          <cell r="O289">
            <v>0</v>
          </cell>
          <cell r="P289">
            <v>0</v>
          </cell>
          <cell r="Q289">
            <v>0</v>
          </cell>
          <cell r="R289">
            <v>0</v>
          </cell>
        </row>
        <row r="290">
          <cell r="C290">
            <v>259</v>
          </cell>
          <cell r="F290">
            <v>1</v>
          </cell>
          <cell r="G290">
            <v>1</v>
          </cell>
          <cell r="J290">
            <v>-2</v>
          </cell>
          <cell r="K290">
            <v>0</v>
          </cell>
          <cell r="L290">
            <v>2</v>
          </cell>
          <cell r="M290">
            <v>0</v>
          </cell>
          <cell r="N290">
            <v>0</v>
          </cell>
          <cell r="O290">
            <v>0</v>
          </cell>
          <cell r="P290">
            <v>0</v>
          </cell>
          <cell r="Q290">
            <v>0</v>
          </cell>
          <cell r="R290">
            <v>0</v>
          </cell>
        </row>
        <row r="291">
          <cell r="C291">
            <v>349</v>
          </cell>
          <cell r="F291">
            <v>1</v>
          </cell>
          <cell r="G291">
            <v>1</v>
          </cell>
          <cell r="J291">
            <v>0</v>
          </cell>
          <cell r="K291">
            <v>0</v>
          </cell>
          <cell r="L291">
            <v>10</v>
          </cell>
          <cell r="M291">
            <v>0</v>
          </cell>
          <cell r="N291">
            <v>10</v>
          </cell>
          <cell r="O291">
            <v>0</v>
          </cell>
          <cell r="P291">
            <v>0</v>
          </cell>
          <cell r="Q291">
            <v>0</v>
          </cell>
          <cell r="R291">
            <v>0</v>
          </cell>
        </row>
        <row r="292">
          <cell r="C292">
            <v>360</v>
          </cell>
          <cell r="F292">
            <v>1</v>
          </cell>
          <cell r="G292">
            <v>1</v>
          </cell>
          <cell r="J292">
            <v>-4</v>
          </cell>
          <cell r="K292">
            <v>0</v>
          </cell>
          <cell r="L292">
            <v>4</v>
          </cell>
          <cell r="M292">
            <v>0</v>
          </cell>
          <cell r="N292">
            <v>0</v>
          </cell>
          <cell r="O292">
            <v>0</v>
          </cell>
          <cell r="P292">
            <v>0</v>
          </cell>
          <cell r="Q292">
            <v>0</v>
          </cell>
          <cell r="R292">
            <v>0</v>
          </cell>
        </row>
        <row r="293">
          <cell r="C293">
            <v>324</v>
          </cell>
          <cell r="F293">
            <v>1</v>
          </cell>
          <cell r="G293">
            <v>1</v>
          </cell>
          <cell r="J293">
            <v>-1</v>
          </cell>
          <cell r="K293">
            <v>0</v>
          </cell>
          <cell r="L293">
            <v>1</v>
          </cell>
          <cell r="M293">
            <v>0</v>
          </cell>
          <cell r="N293">
            <v>0</v>
          </cell>
          <cell r="O293">
            <v>0</v>
          </cell>
          <cell r="P293">
            <v>0</v>
          </cell>
          <cell r="Q293">
            <v>0</v>
          </cell>
          <cell r="R293">
            <v>0</v>
          </cell>
        </row>
        <row r="294">
          <cell r="C294">
            <v>322</v>
          </cell>
          <cell r="F294">
            <v>1</v>
          </cell>
          <cell r="G294">
            <v>1</v>
          </cell>
          <cell r="J294">
            <v>-1</v>
          </cell>
          <cell r="K294">
            <v>0</v>
          </cell>
          <cell r="L294">
            <v>1</v>
          </cell>
          <cell r="M294">
            <v>0</v>
          </cell>
          <cell r="N294">
            <v>0</v>
          </cell>
          <cell r="O294">
            <v>0</v>
          </cell>
          <cell r="P294">
            <v>0</v>
          </cell>
          <cell r="Q294">
            <v>0</v>
          </cell>
          <cell r="R294">
            <v>0</v>
          </cell>
        </row>
        <row r="295">
          <cell r="C295">
            <v>219</v>
          </cell>
          <cell r="F295">
            <v>1</v>
          </cell>
          <cell r="G295">
            <v>1</v>
          </cell>
          <cell r="J295">
            <v>55</v>
          </cell>
          <cell r="K295">
            <v>0</v>
          </cell>
          <cell r="L295">
            <v>95</v>
          </cell>
          <cell r="M295">
            <v>0</v>
          </cell>
          <cell r="N295">
            <v>150</v>
          </cell>
          <cell r="O295">
            <v>0</v>
          </cell>
          <cell r="P295">
            <v>0</v>
          </cell>
          <cell r="Q295">
            <v>0</v>
          </cell>
          <cell r="R295">
            <v>0</v>
          </cell>
        </row>
        <row r="296">
          <cell r="C296">
            <v>215</v>
          </cell>
          <cell r="F296">
            <v>1</v>
          </cell>
          <cell r="G296">
            <v>1</v>
          </cell>
          <cell r="J296">
            <v>-1</v>
          </cell>
          <cell r="K296">
            <v>0</v>
          </cell>
          <cell r="L296">
            <v>1</v>
          </cell>
          <cell r="M296">
            <v>0</v>
          </cell>
          <cell r="N296">
            <v>0</v>
          </cell>
          <cell r="O296">
            <v>0</v>
          </cell>
          <cell r="P296">
            <v>0</v>
          </cell>
          <cell r="Q296">
            <v>0</v>
          </cell>
          <cell r="R296">
            <v>0</v>
          </cell>
        </row>
        <row r="297">
          <cell r="C297">
            <v>309</v>
          </cell>
          <cell r="F297">
            <v>1</v>
          </cell>
          <cell r="G297">
            <v>1</v>
          </cell>
          <cell r="J297">
            <v>0</v>
          </cell>
          <cell r="K297">
            <v>0</v>
          </cell>
          <cell r="L297">
            <v>1</v>
          </cell>
          <cell r="M297">
            <v>0</v>
          </cell>
          <cell r="N297">
            <v>1</v>
          </cell>
          <cell r="O297">
            <v>0</v>
          </cell>
          <cell r="P297">
            <v>0</v>
          </cell>
          <cell r="Q297">
            <v>0</v>
          </cell>
          <cell r="R297">
            <v>0</v>
          </cell>
        </row>
        <row r="298">
          <cell r="C298">
            <v>331</v>
          </cell>
          <cell r="F298">
            <v>1</v>
          </cell>
          <cell r="G298">
            <v>1</v>
          </cell>
          <cell r="J298">
            <v>-6</v>
          </cell>
          <cell r="K298">
            <v>0</v>
          </cell>
          <cell r="L298">
            <v>6</v>
          </cell>
          <cell r="M298">
            <v>0</v>
          </cell>
          <cell r="N298">
            <v>0</v>
          </cell>
          <cell r="O298">
            <v>0</v>
          </cell>
          <cell r="P298">
            <v>0</v>
          </cell>
          <cell r="Q298">
            <v>0</v>
          </cell>
          <cell r="R298">
            <v>0</v>
          </cell>
        </row>
        <row r="299">
          <cell r="C299">
            <v>232</v>
          </cell>
          <cell r="F299">
            <v>1</v>
          </cell>
          <cell r="G299">
            <v>1</v>
          </cell>
          <cell r="J299">
            <v>-1</v>
          </cell>
          <cell r="K299">
            <v>0</v>
          </cell>
          <cell r="L299">
            <v>1</v>
          </cell>
          <cell r="M299">
            <v>0</v>
          </cell>
          <cell r="N299">
            <v>0</v>
          </cell>
          <cell r="O299">
            <v>0</v>
          </cell>
          <cell r="P299">
            <v>0</v>
          </cell>
          <cell r="Q299">
            <v>0</v>
          </cell>
          <cell r="R299">
            <v>0</v>
          </cell>
        </row>
        <row r="300">
          <cell r="C300">
            <v>216</v>
          </cell>
          <cell r="F300">
            <v>1</v>
          </cell>
          <cell r="G300">
            <v>1</v>
          </cell>
          <cell r="J300">
            <v>-22</v>
          </cell>
          <cell r="K300">
            <v>0</v>
          </cell>
          <cell r="L300">
            <v>22</v>
          </cell>
          <cell r="M300">
            <v>0</v>
          </cell>
          <cell r="N300">
            <v>0</v>
          </cell>
          <cell r="O300">
            <v>0</v>
          </cell>
          <cell r="P300">
            <v>0</v>
          </cell>
          <cell r="Q300">
            <v>0</v>
          </cell>
          <cell r="R300">
            <v>0</v>
          </cell>
        </row>
        <row r="301">
          <cell r="C301">
            <v>229</v>
          </cell>
          <cell r="F301">
            <v>1</v>
          </cell>
          <cell r="G301">
            <v>1</v>
          </cell>
          <cell r="J301">
            <v>-5</v>
          </cell>
          <cell r="K301">
            <v>0</v>
          </cell>
          <cell r="L301">
            <v>5</v>
          </cell>
          <cell r="M301">
            <v>0</v>
          </cell>
          <cell r="N301">
            <v>0</v>
          </cell>
          <cell r="O301">
            <v>0</v>
          </cell>
          <cell r="P301">
            <v>0</v>
          </cell>
          <cell r="Q301">
            <v>0</v>
          </cell>
          <cell r="R301">
            <v>0</v>
          </cell>
        </row>
        <row r="302">
          <cell r="C302">
            <v>361</v>
          </cell>
          <cell r="F302">
            <v>1</v>
          </cell>
          <cell r="G302">
            <v>1</v>
          </cell>
          <cell r="J302">
            <v>0</v>
          </cell>
          <cell r="K302">
            <v>0</v>
          </cell>
          <cell r="L302">
            <v>10</v>
          </cell>
          <cell r="M302">
            <v>0</v>
          </cell>
          <cell r="N302">
            <v>10</v>
          </cell>
          <cell r="O302">
            <v>0</v>
          </cell>
          <cell r="P302">
            <v>0</v>
          </cell>
          <cell r="Q302">
            <v>0</v>
          </cell>
          <cell r="R302">
            <v>0</v>
          </cell>
        </row>
        <row r="303">
          <cell r="C303">
            <v>320</v>
          </cell>
          <cell r="F303">
            <v>1</v>
          </cell>
          <cell r="G303">
            <v>1</v>
          </cell>
          <cell r="J303">
            <v>0</v>
          </cell>
          <cell r="K303">
            <v>0</v>
          </cell>
          <cell r="L303">
            <v>2</v>
          </cell>
          <cell r="M303">
            <v>0</v>
          </cell>
          <cell r="N303">
            <v>2</v>
          </cell>
          <cell r="O303">
            <v>0</v>
          </cell>
          <cell r="P303">
            <v>0</v>
          </cell>
          <cell r="Q303">
            <v>0</v>
          </cell>
          <cell r="R303">
            <v>0</v>
          </cell>
        </row>
        <row r="304">
          <cell r="C304">
            <v>188</v>
          </cell>
          <cell r="F304">
            <v>1</v>
          </cell>
          <cell r="G304">
            <v>1</v>
          </cell>
          <cell r="J304">
            <v>0</v>
          </cell>
          <cell r="K304">
            <v>0</v>
          </cell>
          <cell r="L304">
            <v>12</v>
          </cell>
          <cell r="M304">
            <v>0</v>
          </cell>
          <cell r="N304">
            <v>12</v>
          </cell>
          <cell r="O304">
            <v>0</v>
          </cell>
          <cell r="P304">
            <v>0</v>
          </cell>
          <cell r="Q304">
            <v>0</v>
          </cell>
          <cell r="R304">
            <v>0</v>
          </cell>
        </row>
        <row r="305">
          <cell r="C305">
            <v>355</v>
          </cell>
          <cell r="F305">
            <v>1</v>
          </cell>
          <cell r="G305">
            <v>1</v>
          </cell>
          <cell r="J305">
            <v>0</v>
          </cell>
          <cell r="K305">
            <v>0</v>
          </cell>
          <cell r="L305">
            <v>1</v>
          </cell>
          <cell r="M305">
            <v>0</v>
          </cell>
          <cell r="N305">
            <v>1</v>
          </cell>
          <cell r="O305">
            <v>0</v>
          </cell>
          <cell r="P305">
            <v>0</v>
          </cell>
          <cell r="Q305">
            <v>0</v>
          </cell>
          <cell r="R305">
            <v>0</v>
          </cell>
        </row>
        <row r="306">
          <cell r="C306">
            <v>362</v>
          </cell>
          <cell r="F306">
            <v>1</v>
          </cell>
          <cell r="G306">
            <v>1</v>
          </cell>
          <cell r="J306">
            <v>0</v>
          </cell>
          <cell r="K306">
            <v>0</v>
          </cell>
          <cell r="L306">
            <v>12</v>
          </cell>
          <cell r="M306">
            <v>0</v>
          </cell>
          <cell r="N306">
            <v>12</v>
          </cell>
          <cell r="O306">
            <v>0</v>
          </cell>
          <cell r="P306">
            <v>0</v>
          </cell>
          <cell r="Q306">
            <v>0</v>
          </cell>
          <cell r="R306">
            <v>0</v>
          </cell>
        </row>
        <row r="307">
          <cell r="C307">
            <v>326</v>
          </cell>
          <cell r="F307">
            <v>1</v>
          </cell>
          <cell r="G307">
            <v>1</v>
          </cell>
          <cell r="J307">
            <v>-1</v>
          </cell>
          <cell r="K307">
            <v>0</v>
          </cell>
          <cell r="L307">
            <v>1</v>
          </cell>
          <cell r="M307">
            <v>0</v>
          </cell>
          <cell r="N307">
            <v>0</v>
          </cell>
          <cell r="O307">
            <v>0</v>
          </cell>
          <cell r="P307">
            <v>0</v>
          </cell>
          <cell r="Q307">
            <v>0</v>
          </cell>
          <cell r="R307">
            <v>0</v>
          </cell>
        </row>
        <row r="308">
          <cell r="C308">
            <v>330</v>
          </cell>
          <cell r="F308">
            <v>1</v>
          </cell>
          <cell r="G308">
            <v>1</v>
          </cell>
          <cell r="J308">
            <v>-2</v>
          </cell>
          <cell r="K308">
            <v>0</v>
          </cell>
          <cell r="L308">
            <v>2</v>
          </cell>
          <cell r="M308">
            <v>0</v>
          </cell>
          <cell r="N308">
            <v>0</v>
          </cell>
          <cell r="O308">
            <v>0</v>
          </cell>
          <cell r="P308">
            <v>0</v>
          </cell>
          <cell r="Q308">
            <v>0</v>
          </cell>
          <cell r="R308">
            <v>0</v>
          </cell>
        </row>
        <row r="309">
          <cell r="C309">
            <v>301</v>
          </cell>
          <cell r="F309">
            <v>1</v>
          </cell>
          <cell r="G309">
            <v>1</v>
          </cell>
          <cell r="J309">
            <v>0</v>
          </cell>
          <cell r="K309">
            <v>0</v>
          </cell>
          <cell r="L309">
            <v>5</v>
          </cell>
          <cell r="M309">
            <v>0</v>
          </cell>
          <cell r="N309">
            <v>5</v>
          </cell>
          <cell r="O309">
            <v>0</v>
          </cell>
          <cell r="P309">
            <v>0</v>
          </cell>
          <cell r="Q309">
            <v>0</v>
          </cell>
          <cell r="R309">
            <v>0</v>
          </cell>
        </row>
        <row r="310">
          <cell r="C310">
            <v>302</v>
          </cell>
          <cell r="F310">
            <v>1</v>
          </cell>
          <cell r="G310">
            <v>1</v>
          </cell>
          <cell r="J310">
            <v>0</v>
          </cell>
          <cell r="K310">
            <v>0</v>
          </cell>
          <cell r="L310">
            <v>1</v>
          </cell>
          <cell r="M310">
            <v>0</v>
          </cell>
          <cell r="N310">
            <v>1</v>
          </cell>
          <cell r="O310">
            <v>0</v>
          </cell>
          <cell r="P310">
            <v>0</v>
          </cell>
          <cell r="Q310">
            <v>0</v>
          </cell>
          <cell r="R310">
            <v>0</v>
          </cell>
        </row>
        <row r="311">
          <cell r="C311">
            <v>313</v>
          </cell>
          <cell r="F311">
            <v>1</v>
          </cell>
          <cell r="G311">
            <v>1</v>
          </cell>
          <cell r="J311">
            <v>0</v>
          </cell>
          <cell r="K311">
            <v>0</v>
          </cell>
          <cell r="L311">
            <v>1</v>
          </cell>
          <cell r="M311">
            <v>0</v>
          </cell>
          <cell r="N311">
            <v>1</v>
          </cell>
          <cell r="O311">
            <v>0</v>
          </cell>
          <cell r="P311">
            <v>0</v>
          </cell>
          <cell r="Q311">
            <v>0</v>
          </cell>
          <cell r="R311">
            <v>0</v>
          </cell>
        </row>
        <row r="312">
          <cell r="C312">
            <v>202</v>
          </cell>
          <cell r="F312">
            <v>1</v>
          </cell>
          <cell r="G312">
            <v>1</v>
          </cell>
          <cell r="J312">
            <v>-1</v>
          </cell>
          <cell r="K312">
            <v>0</v>
          </cell>
          <cell r="L312">
            <v>1</v>
          </cell>
          <cell r="M312">
            <v>0</v>
          </cell>
          <cell r="N312">
            <v>0</v>
          </cell>
          <cell r="O312">
            <v>0</v>
          </cell>
          <cell r="P312">
            <v>0</v>
          </cell>
          <cell r="Q312">
            <v>0</v>
          </cell>
          <cell r="R312">
            <v>0</v>
          </cell>
        </row>
        <row r="313">
          <cell r="C313">
            <v>220</v>
          </cell>
          <cell r="F313">
            <v>1</v>
          </cell>
          <cell r="G313">
            <v>1</v>
          </cell>
          <cell r="J313">
            <v>-1</v>
          </cell>
          <cell r="K313">
            <v>0</v>
          </cell>
          <cell r="L313">
            <v>1</v>
          </cell>
          <cell r="M313">
            <v>0</v>
          </cell>
          <cell r="N313">
            <v>0</v>
          </cell>
          <cell r="O313">
            <v>0</v>
          </cell>
          <cell r="P313">
            <v>0</v>
          </cell>
          <cell r="Q313">
            <v>0</v>
          </cell>
          <cell r="R313">
            <v>0</v>
          </cell>
        </row>
        <row r="314">
          <cell r="C314">
            <v>242</v>
          </cell>
          <cell r="F314">
            <v>1</v>
          </cell>
          <cell r="G314">
            <v>1</v>
          </cell>
          <cell r="J314">
            <v>0</v>
          </cell>
          <cell r="K314">
            <v>0</v>
          </cell>
          <cell r="L314">
            <v>1</v>
          </cell>
          <cell r="M314">
            <v>0</v>
          </cell>
          <cell r="N314">
            <v>1</v>
          </cell>
          <cell r="O314">
            <v>0</v>
          </cell>
          <cell r="P314">
            <v>0</v>
          </cell>
          <cell r="Q314">
            <v>0</v>
          </cell>
          <cell r="R314">
            <v>0</v>
          </cell>
        </row>
        <row r="315">
          <cell r="C315">
            <v>224</v>
          </cell>
          <cell r="F315">
            <v>1</v>
          </cell>
          <cell r="G315">
            <v>1</v>
          </cell>
          <cell r="J315">
            <v>-1</v>
          </cell>
          <cell r="K315">
            <v>0</v>
          </cell>
          <cell r="L315">
            <v>1</v>
          </cell>
          <cell r="M315">
            <v>0</v>
          </cell>
          <cell r="N315">
            <v>0</v>
          </cell>
          <cell r="O315">
            <v>0</v>
          </cell>
          <cell r="P315">
            <v>0</v>
          </cell>
          <cell r="Q315">
            <v>0</v>
          </cell>
          <cell r="R315">
            <v>0</v>
          </cell>
        </row>
        <row r="316">
          <cell r="C316">
            <v>384</v>
          </cell>
          <cell r="F316">
            <v>1</v>
          </cell>
          <cell r="G316">
            <v>1</v>
          </cell>
          <cell r="J316">
            <v>0</v>
          </cell>
          <cell r="K316">
            <v>0</v>
          </cell>
          <cell r="L316">
            <v>12</v>
          </cell>
          <cell r="M316">
            <v>0</v>
          </cell>
          <cell r="N316">
            <v>12</v>
          </cell>
          <cell r="O316">
            <v>0</v>
          </cell>
          <cell r="P316">
            <v>0</v>
          </cell>
          <cell r="Q316">
            <v>0</v>
          </cell>
          <cell r="R316">
            <v>0</v>
          </cell>
        </row>
        <row r="317">
          <cell r="C317">
            <v>385</v>
          </cell>
          <cell r="F317">
            <v>1</v>
          </cell>
          <cell r="G317">
            <v>1</v>
          </cell>
          <cell r="J317">
            <v>0</v>
          </cell>
          <cell r="K317">
            <v>0</v>
          </cell>
          <cell r="L317">
            <v>15</v>
          </cell>
          <cell r="M317">
            <v>0</v>
          </cell>
          <cell r="N317">
            <v>15</v>
          </cell>
          <cell r="O317">
            <v>0</v>
          </cell>
          <cell r="P317">
            <v>0</v>
          </cell>
          <cell r="Q317">
            <v>0</v>
          </cell>
          <cell r="R317">
            <v>0</v>
          </cell>
        </row>
        <row r="318">
          <cell r="C318">
            <v>386</v>
          </cell>
          <cell r="F318">
            <v>1</v>
          </cell>
          <cell r="G318">
            <v>1</v>
          </cell>
          <cell r="J318">
            <v>0</v>
          </cell>
          <cell r="K318">
            <v>0</v>
          </cell>
          <cell r="L318">
            <v>19</v>
          </cell>
          <cell r="M318">
            <v>0</v>
          </cell>
          <cell r="N318">
            <v>19</v>
          </cell>
          <cell r="O318">
            <v>0</v>
          </cell>
          <cell r="P318">
            <v>0</v>
          </cell>
          <cell r="Q318">
            <v>0</v>
          </cell>
          <cell r="R318">
            <v>0</v>
          </cell>
        </row>
        <row r="319">
          <cell r="C319">
            <v>381</v>
          </cell>
          <cell r="F319">
            <v>1</v>
          </cell>
          <cell r="G319">
            <v>1</v>
          </cell>
          <cell r="J319">
            <v>0</v>
          </cell>
          <cell r="K319">
            <v>0</v>
          </cell>
          <cell r="L319">
            <v>5</v>
          </cell>
          <cell r="M319">
            <v>0</v>
          </cell>
          <cell r="N319">
            <v>5</v>
          </cell>
          <cell r="O319">
            <v>0</v>
          </cell>
          <cell r="P319">
            <v>0</v>
          </cell>
          <cell r="Q319">
            <v>0</v>
          </cell>
          <cell r="R319">
            <v>0</v>
          </cell>
        </row>
        <row r="320">
          <cell r="C320">
            <v>380</v>
          </cell>
          <cell r="F320">
            <v>1</v>
          </cell>
          <cell r="G320">
            <v>1</v>
          </cell>
          <cell r="J320">
            <v>49</v>
          </cell>
          <cell r="K320">
            <v>0</v>
          </cell>
          <cell r="L320">
            <v>23</v>
          </cell>
          <cell r="M320">
            <v>0</v>
          </cell>
          <cell r="N320">
            <v>72</v>
          </cell>
          <cell r="O320">
            <v>0</v>
          </cell>
          <cell r="P320">
            <v>0</v>
          </cell>
          <cell r="Q320">
            <v>0</v>
          </cell>
          <cell r="R320">
            <v>0</v>
          </cell>
        </row>
        <row r="321">
          <cell r="C321">
            <v>379</v>
          </cell>
          <cell r="F321">
            <v>1</v>
          </cell>
          <cell r="G321">
            <v>1</v>
          </cell>
          <cell r="J321">
            <v>0</v>
          </cell>
          <cell r="K321">
            <v>0</v>
          </cell>
          <cell r="L321">
            <v>5</v>
          </cell>
          <cell r="M321">
            <v>0</v>
          </cell>
          <cell r="N321">
            <v>5</v>
          </cell>
          <cell r="O321">
            <v>0</v>
          </cell>
          <cell r="P321">
            <v>0</v>
          </cell>
          <cell r="Q321">
            <v>0</v>
          </cell>
          <cell r="R321">
            <v>0</v>
          </cell>
        </row>
        <row r="322">
          <cell r="C322">
            <v>388</v>
          </cell>
          <cell r="F322">
            <v>1</v>
          </cell>
          <cell r="G322">
            <v>1</v>
          </cell>
          <cell r="J322">
            <v>1</v>
          </cell>
          <cell r="K322">
            <v>0</v>
          </cell>
          <cell r="L322">
            <v>4</v>
          </cell>
          <cell r="M322">
            <v>0</v>
          </cell>
          <cell r="N322">
            <v>5</v>
          </cell>
          <cell r="O322">
            <v>0</v>
          </cell>
          <cell r="P322">
            <v>0</v>
          </cell>
          <cell r="Q322">
            <v>0</v>
          </cell>
          <cell r="R322">
            <v>0</v>
          </cell>
        </row>
        <row r="323">
          <cell r="C323">
            <v>369</v>
          </cell>
          <cell r="F323">
            <v>1</v>
          </cell>
          <cell r="G323">
            <v>1</v>
          </cell>
          <cell r="J323">
            <v>58</v>
          </cell>
          <cell r="K323">
            <v>0</v>
          </cell>
          <cell r="L323">
            <v>42</v>
          </cell>
          <cell r="M323">
            <v>0</v>
          </cell>
          <cell r="N323">
            <v>100</v>
          </cell>
          <cell r="O323">
            <v>0</v>
          </cell>
          <cell r="P323">
            <v>0</v>
          </cell>
          <cell r="Q323">
            <v>0</v>
          </cell>
          <cell r="R323">
            <v>0</v>
          </cell>
        </row>
        <row r="324">
          <cell r="C324">
            <v>370</v>
          </cell>
          <cell r="F324">
            <v>1</v>
          </cell>
          <cell r="G324">
            <v>1</v>
          </cell>
          <cell r="J324">
            <v>42</v>
          </cell>
          <cell r="K324">
            <v>0</v>
          </cell>
          <cell r="L324">
            <v>11</v>
          </cell>
          <cell r="M324">
            <v>0</v>
          </cell>
          <cell r="N324">
            <v>53</v>
          </cell>
          <cell r="O324">
            <v>0</v>
          </cell>
          <cell r="P324">
            <v>0</v>
          </cell>
          <cell r="Q324">
            <v>0</v>
          </cell>
          <cell r="R324">
            <v>0</v>
          </cell>
        </row>
        <row r="325">
          <cell r="C325">
            <v>374</v>
          </cell>
          <cell r="F325">
            <v>1</v>
          </cell>
          <cell r="G325">
            <v>1</v>
          </cell>
          <cell r="J325">
            <v>0</v>
          </cell>
          <cell r="K325">
            <v>0</v>
          </cell>
          <cell r="L325">
            <v>10</v>
          </cell>
          <cell r="M325">
            <v>0</v>
          </cell>
          <cell r="N325">
            <v>10</v>
          </cell>
          <cell r="O325">
            <v>0</v>
          </cell>
          <cell r="P325">
            <v>0</v>
          </cell>
          <cell r="Q325">
            <v>0</v>
          </cell>
          <cell r="R325">
            <v>0</v>
          </cell>
        </row>
        <row r="326">
          <cell r="C326">
            <v>387</v>
          </cell>
          <cell r="F326">
            <v>1</v>
          </cell>
          <cell r="G326">
            <v>1</v>
          </cell>
          <cell r="J326">
            <v>0</v>
          </cell>
          <cell r="K326">
            <v>0</v>
          </cell>
          <cell r="L326">
            <v>3</v>
          </cell>
          <cell r="M326">
            <v>0</v>
          </cell>
          <cell r="N326">
            <v>3</v>
          </cell>
          <cell r="O326">
            <v>0</v>
          </cell>
          <cell r="P326">
            <v>0</v>
          </cell>
          <cell r="Q326">
            <v>0</v>
          </cell>
          <cell r="R326">
            <v>0</v>
          </cell>
        </row>
        <row r="327">
          <cell r="C327">
            <v>366</v>
          </cell>
          <cell r="F327">
            <v>1</v>
          </cell>
          <cell r="G327">
            <v>1</v>
          </cell>
          <cell r="J327">
            <v>-1</v>
          </cell>
          <cell r="K327">
            <v>0</v>
          </cell>
          <cell r="L327">
            <v>11</v>
          </cell>
          <cell r="M327">
            <v>0</v>
          </cell>
          <cell r="N327">
            <v>10</v>
          </cell>
          <cell r="O327">
            <v>0</v>
          </cell>
          <cell r="P327">
            <v>0</v>
          </cell>
          <cell r="Q327">
            <v>0</v>
          </cell>
          <cell r="R327">
            <v>0</v>
          </cell>
        </row>
        <row r="328">
          <cell r="C328">
            <v>364</v>
          </cell>
          <cell r="F328">
            <v>1</v>
          </cell>
          <cell r="G328">
            <v>1</v>
          </cell>
          <cell r="J328">
            <v>0</v>
          </cell>
          <cell r="K328">
            <v>0</v>
          </cell>
          <cell r="L328">
            <v>6</v>
          </cell>
          <cell r="M328">
            <v>0</v>
          </cell>
          <cell r="N328">
            <v>6</v>
          </cell>
          <cell r="O328">
            <v>0</v>
          </cell>
          <cell r="P328">
            <v>0</v>
          </cell>
          <cell r="Q328">
            <v>0</v>
          </cell>
          <cell r="R328">
            <v>0</v>
          </cell>
        </row>
        <row r="329">
          <cell r="C329">
            <v>367</v>
          </cell>
          <cell r="F329">
            <v>1</v>
          </cell>
          <cell r="G329">
            <v>1</v>
          </cell>
          <cell r="J329">
            <v>2</v>
          </cell>
          <cell r="K329">
            <v>0</v>
          </cell>
          <cell r="L329">
            <v>10</v>
          </cell>
          <cell r="M329">
            <v>0</v>
          </cell>
          <cell r="N329">
            <v>12</v>
          </cell>
          <cell r="O329">
            <v>0</v>
          </cell>
          <cell r="P329">
            <v>0</v>
          </cell>
          <cell r="Q329">
            <v>0</v>
          </cell>
          <cell r="R329">
            <v>0</v>
          </cell>
        </row>
        <row r="330">
          <cell r="C330">
            <v>363</v>
          </cell>
          <cell r="F330">
            <v>1</v>
          </cell>
          <cell r="G330">
            <v>1</v>
          </cell>
          <cell r="J330">
            <v>0</v>
          </cell>
          <cell r="K330">
            <v>0</v>
          </cell>
          <cell r="L330">
            <v>6</v>
          </cell>
          <cell r="M330">
            <v>0</v>
          </cell>
          <cell r="N330">
            <v>6</v>
          </cell>
          <cell r="O330">
            <v>0</v>
          </cell>
          <cell r="P330">
            <v>0</v>
          </cell>
          <cell r="Q330">
            <v>0</v>
          </cell>
          <cell r="R330">
            <v>0</v>
          </cell>
        </row>
        <row r="331">
          <cell r="C331">
            <v>389</v>
          </cell>
          <cell r="F331">
            <v>1</v>
          </cell>
          <cell r="G331">
            <v>1</v>
          </cell>
          <cell r="J331">
            <v>24</v>
          </cell>
          <cell r="K331">
            <v>0</v>
          </cell>
          <cell r="L331">
            <v>12</v>
          </cell>
          <cell r="M331">
            <v>0</v>
          </cell>
          <cell r="N331">
            <v>36</v>
          </cell>
          <cell r="O331">
            <v>0</v>
          </cell>
          <cell r="P331">
            <v>0</v>
          </cell>
          <cell r="Q331">
            <v>0</v>
          </cell>
          <cell r="R331">
            <v>0</v>
          </cell>
        </row>
        <row r="332">
          <cell r="C332">
            <v>382</v>
          </cell>
          <cell r="F332">
            <v>1</v>
          </cell>
          <cell r="G332">
            <v>1</v>
          </cell>
          <cell r="J332">
            <v>0</v>
          </cell>
          <cell r="K332">
            <v>0</v>
          </cell>
          <cell r="L332">
            <v>5</v>
          </cell>
          <cell r="M332">
            <v>0</v>
          </cell>
          <cell r="N332">
            <v>5</v>
          </cell>
          <cell r="O332">
            <v>0</v>
          </cell>
          <cell r="P332">
            <v>0</v>
          </cell>
          <cell r="Q332">
            <v>0</v>
          </cell>
          <cell r="R332">
            <v>0</v>
          </cell>
        </row>
        <row r="333">
          <cell r="C333">
            <v>383</v>
          </cell>
          <cell r="F333">
            <v>1</v>
          </cell>
          <cell r="G333">
            <v>1</v>
          </cell>
          <cell r="J333">
            <v>0</v>
          </cell>
          <cell r="K333">
            <v>0</v>
          </cell>
          <cell r="L333">
            <v>2</v>
          </cell>
          <cell r="M333">
            <v>0</v>
          </cell>
          <cell r="N333">
            <v>2</v>
          </cell>
          <cell r="O333">
            <v>0</v>
          </cell>
          <cell r="P333">
            <v>0</v>
          </cell>
          <cell r="Q333">
            <v>0</v>
          </cell>
          <cell r="R333">
            <v>0</v>
          </cell>
        </row>
        <row r="334">
          <cell r="C334">
            <v>377</v>
          </cell>
          <cell r="F334">
            <v>1</v>
          </cell>
          <cell r="G334">
            <v>1</v>
          </cell>
          <cell r="J334">
            <v>-80</v>
          </cell>
          <cell r="K334">
            <v>0</v>
          </cell>
          <cell r="L334">
            <v>240</v>
          </cell>
          <cell r="M334">
            <v>0</v>
          </cell>
          <cell r="N334">
            <v>160</v>
          </cell>
          <cell r="O334">
            <v>0</v>
          </cell>
          <cell r="P334">
            <v>0</v>
          </cell>
          <cell r="Q334">
            <v>0</v>
          </cell>
          <cell r="R334">
            <v>0</v>
          </cell>
        </row>
        <row r="335">
          <cell r="C335">
            <v>377</v>
          </cell>
          <cell r="F335">
            <v>1</v>
          </cell>
          <cell r="G335">
            <v>1</v>
          </cell>
          <cell r="J335">
            <v>80</v>
          </cell>
          <cell r="K335">
            <v>0</v>
          </cell>
          <cell r="L335">
            <v>0</v>
          </cell>
          <cell r="M335">
            <v>0</v>
          </cell>
          <cell r="N335">
            <v>80</v>
          </cell>
          <cell r="O335">
            <v>0</v>
          </cell>
          <cell r="P335">
            <v>0</v>
          </cell>
          <cell r="Q335">
            <v>0</v>
          </cell>
          <cell r="R335">
            <v>0</v>
          </cell>
        </row>
        <row r="336">
          <cell r="C336">
            <v>372</v>
          </cell>
          <cell r="F336">
            <v>1</v>
          </cell>
          <cell r="G336">
            <v>1</v>
          </cell>
          <cell r="J336">
            <v>5</v>
          </cell>
          <cell r="K336">
            <v>0</v>
          </cell>
          <cell r="L336">
            <v>5</v>
          </cell>
          <cell r="M336">
            <v>0</v>
          </cell>
          <cell r="N336">
            <v>10</v>
          </cell>
          <cell r="O336">
            <v>0</v>
          </cell>
          <cell r="P336">
            <v>0</v>
          </cell>
          <cell r="Q336">
            <v>0</v>
          </cell>
          <cell r="R336">
            <v>0</v>
          </cell>
        </row>
        <row r="337">
          <cell r="C337">
            <v>378</v>
          </cell>
          <cell r="F337">
            <v>1</v>
          </cell>
          <cell r="G337">
            <v>1</v>
          </cell>
          <cell r="J337">
            <v>0</v>
          </cell>
          <cell r="K337">
            <v>0</v>
          </cell>
          <cell r="L337">
            <v>10</v>
          </cell>
          <cell r="M337">
            <v>0</v>
          </cell>
          <cell r="N337">
            <v>10</v>
          </cell>
          <cell r="O337">
            <v>0</v>
          </cell>
          <cell r="P337">
            <v>0</v>
          </cell>
          <cell r="Q337">
            <v>0</v>
          </cell>
          <cell r="R337">
            <v>0</v>
          </cell>
        </row>
        <row r="338">
          <cell r="C338">
            <v>368</v>
          </cell>
          <cell r="F338">
            <v>1</v>
          </cell>
          <cell r="G338">
            <v>1</v>
          </cell>
          <cell r="J338">
            <v>10</v>
          </cell>
          <cell r="K338">
            <v>0</v>
          </cell>
          <cell r="L338">
            <v>40</v>
          </cell>
          <cell r="M338">
            <v>0</v>
          </cell>
          <cell r="N338">
            <v>50</v>
          </cell>
          <cell r="O338">
            <v>0</v>
          </cell>
          <cell r="P338">
            <v>0</v>
          </cell>
          <cell r="Q338">
            <v>0</v>
          </cell>
          <cell r="R338">
            <v>0</v>
          </cell>
        </row>
        <row r="339">
          <cell r="C339">
            <v>375</v>
          </cell>
          <cell r="F339">
            <v>1</v>
          </cell>
          <cell r="G339">
            <v>1</v>
          </cell>
          <cell r="J339">
            <v>0</v>
          </cell>
          <cell r="K339">
            <v>0</v>
          </cell>
          <cell r="L339">
            <v>2</v>
          </cell>
          <cell r="M339">
            <v>0</v>
          </cell>
          <cell r="N339">
            <v>2</v>
          </cell>
          <cell r="O339">
            <v>0</v>
          </cell>
          <cell r="P339">
            <v>0</v>
          </cell>
          <cell r="Q339">
            <v>0</v>
          </cell>
          <cell r="R339">
            <v>0</v>
          </cell>
        </row>
        <row r="340">
          <cell r="C340">
            <v>365</v>
          </cell>
          <cell r="F340">
            <v>1</v>
          </cell>
          <cell r="G340">
            <v>1</v>
          </cell>
          <cell r="J340">
            <v>0</v>
          </cell>
          <cell r="K340">
            <v>0</v>
          </cell>
          <cell r="L340">
            <v>3</v>
          </cell>
          <cell r="M340">
            <v>0</v>
          </cell>
          <cell r="N340">
            <v>3</v>
          </cell>
          <cell r="O340">
            <v>0</v>
          </cell>
          <cell r="P340">
            <v>0</v>
          </cell>
          <cell r="Q340">
            <v>0</v>
          </cell>
          <cell r="R340">
            <v>0</v>
          </cell>
        </row>
        <row r="341">
          <cell r="C341">
            <v>376</v>
          </cell>
          <cell r="F341">
            <v>1</v>
          </cell>
          <cell r="G341">
            <v>1</v>
          </cell>
          <cell r="J341">
            <v>13</v>
          </cell>
          <cell r="K341">
            <v>0</v>
          </cell>
          <cell r="L341">
            <v>27</v>
          </cell>
          <cell r="M341">
            <v>0</v>
          </cell>
          <cell r="N341">
            <v>40</v>
          </cell>
          <cell r="O341">
            <v>0</v>
          </cell>
          <cell r="P341">
            <v>0</v>
          </cell>
          <cell r="Q341">
            <v>0</v>
          </cell>
          <cell r="R341">
            <v>0</v>
          </cell>
        </row>
        <row r="342">
          <cell r="C342">
            <v>373</v>
          </cell>
          <cell r="F342">
            <v>1</v>
          </cell>
          <cell r="G342">
            <v>1</v>
          </cell>
          <cell r="J342">
            <v>0</v>
          </cell>
          <cell r="K342">
            <v>0</v>
          </cell>
          <cell r="L342">
            <v>16</v>
          </cell>
          <cell r="M342">
            <v>0</v>
          </cell>
          <cell r="N342">
            <v>16</v>
          </cell>
          <cell r="O342">
            <v>0</v>
          </cell>
          <cell r="P342">
            <v>0</v>
          </cell>
          <cell r="Q342">
            <v>0</v>
          </cell>
          <cell r="R342">
            <v>0</v>
          </cell>
        </row>
        <row r="343">
          <cell r="C343">
            <v>371</v>
          </cell>
          <cell r="F343">
            <v>1</v>
          </cell>
          <cell r="G343">
            <v>1</v>
          </cell>
          <cell r="J343">
            <v>0</v>
          </cell>
          <cell r="K343">
            <v>0</v>
          </cell>
          <cell r="L343">
            <v>10</v>
          </cell>
          <cell r="M343">
            <v>0</v>
          </cell>
          <cell r="N343">
            <v>10</v>
          </cell>
          <cell r="O343">
            <v>0</v>
          </cell>
          <cell r="P343">
            <v>0</v>
          </cell>
          <cell r="Q343">
            <v>0</v>
          </cell>
          <cell r="R343">
            <v>0</v>
          </cell>
        </row>
        <row r="344">
          <cell r="C344">
            <v>1</v>
          </cell>
          <cell r="F344">
            <v>1</v>
          </cell>
          <cell r="G344">
            <v>1</v>
          </cell>
          <cell r="J344">
            <v>-4</v>
          </cell>
          <cell r="K344">
            <v>0</v>
          </cell>
          <cell r="L344">
            <v>4</v>
          </cell>
          <cell r="M344">
            <v>0</v>
          </cell>
          <cell r="N344">
            <v>0</v>
          </cell>
          <cell r="O344">
            <v>0</v>
          </cell>
          <cell r="P344">
            <v>0</v>
          </cell>
          <cell r="Q344">
            <v>0</v>
          </cell>
          <cell r="R344">
            <v>0</v>
          </cell>
        </row>
        <row r="345">
          <cell r="C345">
            <v>4</v>
          </cell>
          <cell r="F345">
            <v>1</v>
          </cell>
          <cell r="G345">
            <v>1</v>
          </cell>
          <cell r="J345">
            <v>-16</v>
          </cell>
          <cell r="K345">
            <v>0</v>
          </cell>
          <cell r="L345">
            <v>16</v>
          </cell>
          <cell r="M345">
            <v>0</v>
          </cell>
          <cell r="N345">
            <v>0</v>
          </cell>
          <cell r="O345">
            <v>0</v>
          </cell>
          <cell r="P345">
            <v>0</v>
          </cell>
          <cell r="Q345">
            <v>0</v>
          </cell>
          <cell r="R345">
            <v>0</v>
          </cell>
        </row>
        <row r="346">
          <cell r="C346">
            <v>1</v>
          </cell>
          <cell r="F346">
            <v>1</v>
          </cell>
          <cell r="G346">
            <v>1</v>
          </cell>
          <cell r="J346">
            <v>-4</v>
          </cell>
          <cell r="K346">
            <v>0</v>
          </cell>
          <cell r="L346">
            <v>4</v>
          </cell>
          <cell r="M346">
            <v>0</v>
          </cell>
          <cell r="N346">
            <v>0</v>
          </cell>
          <cell r="O346">
            <v>0</v>
          </cell>
          <cell r="P346">
            <v>0</v>
          </cell>
          <cell r="Q346">
            <v>0</v>
          </cell>
          <cell r="R346">
            <v>0</v>
          </cell>
        </row>
        <row r="347">
          <cell r="C347">
            <v>420</v>
          </cell>
          <cell r="F347">
            <v>1</v>
          </cell>
          <cell r="G347">
            <v>1</v>
          </cell>
          <cell r="J347">
            <v>2</v>
          </cell>
          <cell r="K347">
            <v>0</v>
          </cell>
          <cell r="L347">
            <v>10</v>
          </cell>
          <cell r="M347">
            <v>0</v>
          </cell>
          <cell r="N347">
            <v>12</v>
          </cell>
          <cell r="O347">
            <v>0</v>
          </cell>
          <cell r="P347">
            <v>0</v>
          </cell>
          <cell r="Q347">
            <v>0</v>
          </cell>
          <cell r="R347">
            <v>0</v>
          </cell>
        </row>
        <row r="348">
          <cell r="C348">
            <v>423</v>
          </cell>
          <cell r="F348">
            <v>1</v>
          </cell>
          <cell r="G348">
            <v>1</v>
          </cell>
          <cell r="J348">
            <v>14</v>
          </cell>
          <cell r="K348">
            <v>0</v>
          </cell>
          <cell r="L348">
            <v>6</v>
          </cell>
          <cell r="M348">
            <v>0</v>
          </cell>
          <cell r="N348">
            <v>20</v>
          </cell>
          <cell r="O348">
            <v>0</v>
          </cell>
          <cell r="P348">
            <v>0</v>
          </cell>
          <cell r="Q348">
            <v>0</v>
          </cell>
          <cell r="R348">
            <v>0</v>
          </cell>
        </row>
        <row r="349">
          <cell r="C349">
            <v>424</v>
          </cell>
          <cell r="F349">
            <v>1</v>
          </cell>
          <cell r="G349">
            <v>1</v>
          </cell>
          <cell r="J349">
            <v>15</v>
          </cell>
          <cell r="K349">
            <v>0</v>
          </cell>
          <cell r="L349">
            <v>5</v>
          </cell>
          <cell r="M349">
            <v>0</v>
          </cell>
          <cell r="N349">
            <v>20</v>
          </cell>
          <cell r="O349">
            <v>0</v>
          </cell>
          <cell r="P349">
            <v>0</v>
          </cell>
          <cell r="Q349">
            <v>0</v>
          </cell>
          <cell r="R349">
            <v>0</v>
          </cell>
        </row>
        <row r="350">
          <cell r="C350">
            <v>83</v>
          </cell>
          <cell r="F350">
            <v>1</v>
          </cell>
          <cell r="G350">
            <v>1</v>
          </cell>
          <cell r="J350">
            <v>17</v>
          </cell>
          <cell r="K350">
            <v>0</v>
          </cell>
          <cell r="L350">
            <v>3</v>
          </cell>
          <cell r="M350">
            <v>0</v>
          </cell>
          <cell r="N350">
            <v>20</v>
          </cell>
          <cell r="O350">
            <v>0</v>
          </cell>
          <cell r="P350">
            <v>0</v>
          </cell>
          <cell r="Q350">
            <v>0</v>
          </cell>
          <cell r="R350">
            <v>0</v>
          </cell>
        </row>
        <row r="351">
          <cell r="C351">
            <v>425</v>
          </cell>
          <cell r="F351">
            <v>1</v>
          </cell>
          <cell r="G351">
            <v>1</v>
          </cell>
          <cell r="J351">
            <v>11</v>
          </cell>
          <cell r="K351">
            <v>0</v>
          </cell>
          <cell r="L351">
            <v>9</v>
          </cell>
          <cell r="M351">
            <v>0</v>
          </cell>
          <cell r="N351">
            <v>20</v>
          </cell>
          <cell r="O351">
            <v>0</v>
          </cell>
          <cell r="P351">
            <v>0</v>
          </cell>
          <cell r="Q351">
            <v>0</v>
          </cell>
          <cell r="R351">
            <v>0</v>
          </cell>
        </row>
        <row r="352">
          <cell r="C352">
            <v>82</v>
          </cell>
          <cell r="F352">
            <v>1</v>
          </cell>
          <cell r="G352">
            <v>1</v>
          </cell>
          <cell r="J352">
            <v>9</v>
          </cell>
          <cell r="K352">
            <v>0</v>
          </cell>
          <cell r="L352">
            <v>11</v>
          </cell>
          <cell r="M352">
            <v>0</v>
          </cell>
          <cell r="N352">
            <v>20</v>
          </cell>
          <cell r="O352">
            <v>0</v>
          </cell>
          <cell r="P352">
            <v>0</v>
          </cell>
          <cell r="Q352">
            <v>0</v>
          </cell>
          <cell r="R352">
            <v>0</v>
          </cell>
        </row>
        <row r="353">
          <cell r="C353">
            <v>422</v>
          </cell>
          <cell r="F353">
            <v>1</v>
          </cell>
          <cell r="G353">
            <v>1</v>
          </cell>
          <cell r="J353">
            <v>15</v>
          </cell>
          <cell r="K353">
            <v>0</v>
          </cell>
          <cell r="L353">
            <v>5</v>
          </cell>
          <cell r="M353">
            <v>0</v>
          </cell>
          <cell r="N353">
            <v>20</v>
          </cell>
          <cell r="O353">
            <v>0</v>
          </cell>
          <cell r="P353">
            <v>0</v>
          </cell>
          <cell r="Q353">
            <v>0</v>
          </cell>
          <cell r="R353">
            <v>0</v>
          </cell>
        </row>
        <row r="354">
          <cell r="C354">
            <v>421</v>
          </cell>
          <cell r="F354">
            <v>1</v>
          </cell>
          <cell r="G354">
            <v>1</v>
          </cell>
          <cell r="J354">
            <v>14</v>
          </cell>
          <cell r="K354">
            <v>0</v>
          </cell>
          <cell r="L354">
            <v>6</v>
          </cell>
          <cell r="M354">
            <v>0</v>
          </cell>
          <cell r="N354">
            <v>20</v>
          </cell>
          <cell r="O354">
            <v>0</v>
          </cell>
          <cell r="P354">
            <v>0</v>
          </cell>
          <cell r="Q354">
            <v>0</v>
          </cell>
          <cell r="R354">
            <v>0</v>
          </cell>
        </row>
        <row r="355">
          <cell r="C355">
            <v>394</v>
          </cell>
          <cell r="F355">
            <v>1</v>
          </cell>
          <cell r="G355">
            <v>1</v>
          </cell>
          <cell r="J355">
            <v>0</v>
          </cell>
          <cell r="K355">
            <v>0</v>
          </cell>
          <cell r="L355">
            <v>10</v>
          </cell>
          <cell r="M355">
            <v>0</v>
          </cell>
          <cell r="N355">
            <v>10</v>
          </cell>
          <cell r="O355">
            <v>0</v>
          </cell>
          <cell r="P355">
            <v>0</v>
          </cell>
          <cell r="Q355">
            <v>0</v>
          </cell>
          <cell r="R355">
            <v>0</v>
          </cell>
        </row>
        <row r="356">
          <cell r="C356">
            <v>404</v>
          </cell>
          <cell r="F356">
            <v>1</v>
          </cell>
          <cell r="G356">
            <v>1</v>
          </cell>
          <cell r="J356">
            <v>3</v>
          </cell>
          <cell r="K356">
            <v>0</v>
          </cell>
          <cell r="L356">
            <v>2</v>
          </cell>
          <cell r="M356">
            <v>0</v>
          </cell>
          <cell r="N356">
            <v>5</v>
          </cell>
          <cell r="O356">
            <v>0</v>
          </cell>
          <cell r="P356">
            <v>0</v>
          </cell>
          <cell r="Q356">
            <v>0</v>
          </cell>
          <cell r="R356">
            <v>0</v>
          </cell>
        </row>
        <row r="357">
          <cell r="C357">
            <v>401</v>
          </cell>
          <cell r="F357">
            <v>1</v>
          </cell>
          <cell r="G357">
            <v>1</v>
          </cell>
          <cell r="J357">
            <v>1</v>
          </cell>
          <cell r="K357">
            <v>0</v>
          </cell>
          <cell r="L357">
            <v>11</v>
          </cell>
          <cell r="M357">
            <v>0</v>
          </cell>
          <cell r="N357">
            <v>12</v>
          </cell>
          <cell r="O357">
            <v>0</v>
          </cell>
          <cell r="P357">
            <v>0</v>
          </cell>
          <cell r="Q357">
            <v>0</v>
          </cell>
          <cell r="R357">
            <v>0</v>
          </cell>
        </row>
        <row r="358">
          <cell r="C358">
            <v>402</v>
          </cell>
          <cell r="F358">
            <v>1</v>
          </cell>
          <cell r="G358">
            <v>1</v>
          </cell>
          <cell r="J358">
            <v>16</v>
          </cell>
          <cell r="K358">
            <v>0</v>
          </cell>
          <cell r="L358">
            <v>8</v>
          </cell>
          <cell r="M358">
            <v>0</v>
          </cell>
          <cell r="N358">
            <v>24</v>
          </cell>
          <cell r="O358">
            <v>0</v>
          </cell>
          <cell r="P358">
            <v>0</v>
          </cell>
          <cell r="Q358">
            <v>0</v>
          </cell>
          <cell r="R358">
            <v>0</v>
          </cell>
        </row>
        <row r="359">
          <cell r="C359">
            <v>403</v>
          </cell>
          <cell r="F359">
            <v>1</v>
          </cell>
          <cell r="G359">
            <v>1</v>
          </cell>
          <cell r="J359">
            <v>15</v>
          </cell>
          <cell r="K359">
            <v>0</v>
          </cell>
          <cell r="L359">
            <v>9</v>
          </cell>
          <cell r="M359">
            <v>0</v>
          </cell>
          <cell r="N359">
            <v>24</v>
          </cell>
          <cell r="O359">
            <v>0</v>
          </cell>
          <cell r="P359">
            <v>0</v>
          </cell>
          <cell r="Q359">
            <v>0</v>
          </cell>
          <cell r="R359">
            <v>0</v>
          </cell>
        </row>
        <row r="360">
          <cell r="C360">
            <v>390</v>
          </cell>
          <cell r="F360">
            <v>1</v>
          </cell>
          <cell r="G360">
            <v>1</v>
          </cell>
          <cell r="J360">
            <v>37</v>
          </cell>
          <cell r="K360">
            <v>0</v>
          </cell>
          <cell r="L360">
            <v>23</v>
          </cell>
          <cell r="M360">
            <v>0</v>
          </cell>
          <cell r="N360">
            <v>60</v>
          </cell>
          <cell r="O360">
            <v>0</v>
          </cell>
          <cell r="P360">
            <v>0</v>
          </cell>
          <cell r="Q360">
            <v>0</v>
          </cell>
          <cell r="R360">
            <v>0</v>
          </cell>
        </row>
        <row r="361">
          <cell r="C361">
            <v>412</v>
          </cell>
          <cell r="F361">
            <v>1</v>
          </cell>
          <cell r="G361">
            <v>1</v>
          </cell>
          <cell r="J361">
            <v>0</v>
          </cell>
          <cell r="K361">
            <v>0</v>
          </cell>
          <cell r="L361">
            <v>1</v>
          </cell>
          <cell r="M361">
            <v>0</v>
          </cell>
          <cell r="N361">
            <v>1</v>
          </cell>
          <cell r="O361">
            <v>0</v>
          </cell>
          <cell r="P361">
            <v>0</v>
          </cell>
          <cell r="Q361">
            <v>0</v>
          </cell>
          <cell r="R361">
            <v>0</v>
          </cell>
        </row>
        <row r="362">
          <cell r="C362">
            <v>426</v>
          </cell>
          <cell r="F362">
            <v>1</v>
          </cell>
          <cell r="G362">
            <v>1</v>
          </cell>
          <cell r="J362">
            <v>7</v>
          </cell>
          <cell r="K362">
            <v>0</v>
          </cell>
          <cell r="L362">
            <v>3</v>
          </cell>
          <cell r="M362">
            <v>0</v>
          </cell>
          <cell r="N362">
            <v>10</v>
          </cell>
          <cell r="O362">
            <v>0</v>
          </cell>
          <cell r="P362">
            <v>0</v>
          </cell>
          <cell r="Q362">
            <v>0</v>
          </cell>
          <cell r="R362">
            <v>0</v>
          </cell>
        </row>
        <row r="363">
          <cell r="C363">
            <v>427</v>
          </cell>
          <cell r="F363">
            <v>1</v>
          </cell>
          <cell r="G363">
            <v>1</v>
          </cell>
          <cell r="J363">
            <v>8</v>
          </cell>
          <cell r="K363">
            <v>0</v>
          </cell>
          <cell r="L363">
            <v>2</v>
          </cell>
          <cell r="M363">
            <v>0</v>
          </cell>
          <cell r="N363">
            <v>10</v>
          </cell>
          <cell r="O363">
            <v>0</v>
          </cell>
          <cell r="P363">
            <v>0</v>
          </cell>
          <cell r="Q363">
            <v>0</v>
          </cell>
          <cell r="R363">
            <v>0</v>
          </cell>
        </row>
        <row r="364">
          <cell r="C364">
            <v>428</v>
          </cell>
          <cell r="F364">
            <v>1</v>
          </cell>
          <cell r="G364">
            <v>1</v>
          </cell>
          <cell r="J364">
            <v>7</v>
          </cell>
          <cell r="K364">
            <v>0</v>
          </cell>
          <cell r="L364">
            <v>3</v>
          </cell>
          <cell r="M364">
            <v>0</v>
          </cell>
          <cell r="N364">
            <v>10</v>
          </cell>
          <cell r="O364">
            <v>0</v>
          </cell>
          <cell r="P364">
            <v>0</v>
          </cell>
          <cell r="Q364">
            <v>0</v>
          </cell>
          <cell r="R364">
            <v>0</v>
          </cell>
        </row>
        <row r="365">
          <cell r="C365">
            <v>429</v>
          </cell>
          <cell r="F365">
            <v>1</v>
          </cell>
          <cell r="G365">
            <v>1</v>
          </cell>
          <cell r="J365">
            <v>5</v>
          </cell>
          <cell r="K365">
            <v>0</v>
          </cell>
          <cell r="L365">
            <v>7</v>
          </cell>
          <cell r="M365">
            <v>0</v>
          </cell>
          <cell r="N365">
            <v>12</v>
          </cell>
          <cell r="O365">
            <v>0</v>
          </cell>
          <cell r="P365">
            <v>0</v>
          </cell>
          <cell r="Q365">
            <v>0</v>
          </cell>
          <cell r="R365">
            <v>0</v>
          </cell>
        </row>
        <row r="366">
          <cell r="C366">
            <v>395</v>
          </cell>
          <cell r="F366">
            <v>1</v>
          </cell>
          <cell r="G366">
            <v>1</v>
          </cell>
          <cell r="J366">
            <v>-2</v>
          </cell>
          <cell r="K366">
            <v>0</v>
          </cell>
          <cell r="L366">
            <v>23</v>
          </cell>
          <cell r="M366">
            <v>0</v>
          </cell>
          <cell r="N366">
            <v>21</v>
          </cell>
          <cell r="O366">
            <v>0</v>
          </cell>
          <cell r="P366">
            <v>0</v>
          </cell>
          <cell r="Q366">
            <v>0</v>
          </cell>
          <cell r="R366">
            <v>0</v>
          </cell>
        </row>
        <row r="367">
          <cell r="C367">
            <v>399</v>
          </cell>
          <cell r="F367">
            <v>1</v>
          </cell>
          <cell r="G367">
            <v>1</v>
          </cell>
          <cell r="J367">
            <v>-1</v>
          </cell>
          <cell r="K367">
            <v>0</v>
          </cell>
          <cell r="L367">
            <v>22</v>
          </cell>
          <cell r="M367">
            <v>0</v>
          </cell>
          <cell r="N367">
            <v>21</v>
          </cell>
          <cell r="O367">
            <v>0</v>
          </cell>
          <cell r="P367">
            <v>0</v>
          </cell>
          <cell r="Q367">
            <v>0</v>
          </cell>
          <cell r="R367">
            <v>0</v>
          </cell>
        </row>
        <row r="368">
          <cell r="C368">
            <v>199</v>
          </cell>
          <cell r="F368">
            <v>1</v>
          </cell>
          <cell r="G368">
            <v>1</v>
          </cell>
          <cell r="J368">
            <v>0</v>
          </cell>
          <cell r="K368">
            <v>0</v>
          </cell>
          <cell r="L368">
            <v>40</v>
          </cell>
          <cell r="M368">
            <v>0</v>
          </cell>
          <cell r="N368">
            <v>40</v>
          </cell>
          <cell r="O368">
            <v>0</v>
          </cell>
          <cell r="P368">
            <v>0</v>
          </cell>
          <cell r="Q368">
            <v>0</v>
          </cell>
          <cell r="R368">
            <v>0</v>
          </cell>
        </row>
        <row r="369">
          <cell r="C369">
            <v>358</v>
          </cell>
          <cell r="F369">
            <v>1</v>
          </cell>
          <cell r="G369">
            <v>1</v>
          </cell>
          <cell r="J369">
            <v>5</v>
          </cell>
          <cell r="K369">
            <v>0</v>
          </cell>
          <cell r="L369">
            <v>15</v>
          </cell>
          <cell r="M369">
            <v>0</v>
          </cell>
          <cell r="N369">
            <v>20</v>
          </cell>
          <cell r="O369">
            <v>0</v>
          </cell>
          <cell r="P369">
            <v>0</v>
          </cell>
          <cell r="Q369">
            <v>0</v>
          </cell>
          <cell r="R369">
            <v>0</v>
          </cell>
        </row>
        <row r="370">
          <cell r="C370">
            <v>396</v>
          </cell>
          <cell r="F370">
            <v>1</v>
          </cell>
          <cell r="G370">
            <v>1</v>
          </cell>
          <cell r="J370">
            <v>14</v>
          </cell>
          <cell r="K370">
            <v>0</v>
          </cell>
          <cell r="L370">
            <v>6</v>
          </cell>
          <cell r="M370">
            <v>0</v>
          </cell>
          <cell r="N370">
            <v>20</v>
          </cell>
          <cell r="O370">
            <v>0</v>
          </cell>
          <cell r="P370">
            <v>0</v>
          </cell>
          <cell r="Q370">
            <v>0</v>
          </cell>
          <cell r="R370">
            <v>0</v>
          </cell>
        </row>
        <row r="371">
          <cell r="C371">
            <v>398</v>
          </cell>
          <cell r="F371">
            <v>1</v>
          </cell>
          <cell r="G371">
            <v>1</v>
          </cell>
          <cell r="J371">
            <v>15</v>
          </cell>
          <cell r="K371">
            <v>0</v>
          </cell>
          <cell r="L371">
            <v>10</v>
          </cell>
          <cell r="M371">
            <v>0</v>
          </cell>
          <cell r="N371">
            <v>25</v>
          </cell>
          <cell r="O371">
            <v>0</v>
          </cell>
          <cell r="P371">
            <v>0</v>
          </cell>
          <cell r="Q371">
            <v>0</v>
          </cell>
          <cell r="R371">
            <v>0</v>
          </cell>
        </row>
        <row r="372">
          <cell r="C372">
            <v>397</v>
          </cell>
          <cell r="F372">
            <v>1</v>
          </cell>
          <cell r="G372">
            <v>1</v>
          </cell>
          <cell r="J372">
            <v>721</v>
          </cell>
          <cell r="K372">
            <v>0</v>
          </cell>
          <cell r="L372">
            <v>79</v>
          </cell>
          <cell r="M372">
            <v>0</v>
          </cell>
          <cell r="N372">
            <v>800</v>
          </cell>
          <cell r="O372">
            <v>0</v>
          </cell>
          <cell r="P372">
            <v>0</v>
          </cell>
          <cell r="Q372">
            <v>0</v>
          </cell>
          <cell r="R372">
            <v>0</v>
          </cell>
        </row>
        <row r="373">
          <cell r="C373">
            <v>433</v>
          </cell>
          <cell r="F373">
            <v>1</v>
          </cell>
          <cell r="G373">
            <v>1</v>
          </cell>
          <cell r="J373">
            <v>721</v>
          </cell>
          <cell r="K373">
            <v>0</v>
          </cell>
          <cell r="L373">
            <v>79</v>
          </cell>
          <cell r="M373">
            <v>0</v>
          </cell>
          <cell r="N373">
            <v>800</v>
          </cell>
          <cell r="O373">
            <v>0</v>
          </cell>
          <cell r="P373">
            <v>0</v>
          </cell>
          <cell r="Q373">
            <v>0</v>
          </cell>
          <cell r="R373">
            <v>0</v>
          </cell>
        </row>
        <row r="374">
          <cell r="C374">
            <v>408</v>
          </cell>
          <cell r="F374">
            <v>1</v>
          </cell>
          <cell r="G374">
            <v>1</v>
          </cell>
          <cell r="J374">
            <v>0</v>
          </cell>
          <cell r="K374">
            <v>0</v>
          </cell>
          <cell r="L374">
            <v>10</v>
          </cell>
          <cell r="M374">
            <v>0</v>
          </cell>
          <cell r="N374">
            <v>10</v>
          </cell>
          <cell r="O374">
            <v>0</v>
          </cell>
          <cell r="P374">
            <v>0</v>
          </cell>
          <cell r="Q374">
            <v>0</v>
          </cell>
          <cell r="R374">
            <v>0</v>
          </cell>
        </row>
        <row r="375">
          <cell r="C375">
            <v>409</v>
          </cell>
          <cell r="F375">
            <v>1</v>
          </cell>
          <cell r="G375">
            <v>1</v>
          </cell>
          <cell r="J375">
            <v>6</v>
          </cell>
          <cell r="K375">
            <v>0</v>
          </cell>
          <cell r="L375">
            <v>4</v>
          </cell>
          <cell r="M375">
            <v>0</v>
          </cell>
          <cell r="N375">
            <v>10</v>
          </cell>
          <cell r="O375">
            <v>0</v>
          </cell>
          <cell r="P375">
            <v>0</v>
          </cell>
          <cell r="Q375">
            <v>0</v>
          </cell>
          <cell r="R375">
            <v>0</v>
          </cell>
        </row>
        <row r="376">
          <cell r="C376">
            <v>410</v>
          </cell>
          <cell r="F376">
            <v>1</v>
          </cell>
          <cell r="G376">
            <v>1</v>
          </cell>
          <cell r="J376">
            <v>6</v>
          </cell>
          <cell r="K376">
            <v>0</v>
          </cell>
          <cell r="L376">
            <v>4</v>
          </cell>
          <cell r="M376">
            <v>0</v>
          </cell>
          <cell r="N376">
            <v>10</v>
          </cell>
          <cell r="O376">
            <v>0</v>
          </cell>
          <cell r="P376">
            <v>0</v>
          </cell>
          <cell r="Q376">
            <v>0</v>
          </cell>
          <cell r="R376">
            <v>0</v>
          </cell>
        </row>
        <row r="377">
          <cell r="C377">
            <v>391</v>
          </cell>
          <cell r="F377">
            <v>1</v>
          </cell>
          <cell r="G377">
            <v>1</v>
          </cell>
          <cell r="J377">
            <v>5</v>
          </cell>
          <cell r="K377">
            <v>0</v>
          </cell>
          <cell r="L377">
            <v>5</v>
          </cell>
          <cell r="M377">
            <v>0</v>
          </cell>
          <cell r="N377">
            <v>10</v>
          </cell>
          <cell r="O377">
            <v>0</v>
          </cell>
          <cell r="P377">
            <v>0</v>
          </cell>
          <cell r="Q377">
            <v>0</v>
          </cell>
          <cell r="R377">
            <v>0</v>
          </cell>
        </row>
        <row r="378">
          <cell r="C378">
            <v>392</v>
          </cell>
          <cell r="F378">
            <v>1</v>
          </cell>
          <cell r="G378">
            <v>1</v>
          </cell>
          <cell r="J378">
            <v>7</v>
          </cell>
          <cell r="K378">
            <v>0</v>
          </cell>
          <cell r="L378">
            <v>3</v>
          </cell>
          <cell r="M378">
            <v>0</v>
          </cell>
          <cell r="N378">
            <v>10</v>
          </cell>
          <cell r="O378">
            <v>0</v>
          </cell>
          <cell r="P378">
            <v>0</v>
          </cell>
          <cell r="Q378">
            <v>0</v>
          </cell>
          <cell r="R378">
            <v>0</v>
          </cell>
        </row>
        <row r="379">
          <cell r="C379">
            <v>393</v>
          </cell>
          <cell r="F379">
            <v>1</v>
          </cell>
          <cell r="G379">
            <v>1</v>
          </cell>
          <cell r="J379">
            <v>8</v>
          </cell>
          <cell r="K379">
            <v>0</v>
          </cell>
          <cell r="L379">
            <v>2</v>
          </cell>
          <cell r="M379">
            <v>0</v>
          </cell>
          <cell r="N379">
            <v>10</v>
          </cell>
          <cell r="O379">
            <v>0</v>
          </cell>
          <cell r="P379">
            <v>0</v>
          </cell>
          <cell r="Q379">
            <v>0</v>
          </cell>
          <cell r="R379">
            <v>0</v>
          </cell>
        </row>
        <row r="380">
          <cell r="C380">
            <v>411</v>
          </cell>
          <cell r="F380">
            <v>1</v>
          </cell>
          <cell r="G380">
            <v>1</v>
          </cell>
          <cell r="J380">
            <v>0</v>
          </cell>
          <cell r="K380">
            <v>0</v>
          </cell>
          <cell r="L380">
            <v>10</v>
          </cell>
          <cell r="M380">
            <v>0</v>
          </cell>
          <cell r="N380">
            <v>10</v>
          </cell>
          <cell r="O380">
            <v>0</v>
          </cell>
          <cell r="P380">
            <v>0</v>
          </cell>
          <cell r="Q380">
            <v>0</v>
          </cell>
          <cell r="R380">
            <v>0</v>
          </cell>
        </row>
        <row r="381">
          <cell r="C381">
            <v>414</v>
          </cell>
          <cell r="F381">
            <v>1</v>
          </cell>
          <cell r="G381">
            <v>1</v>
          </cell>
          <cell r="J381">
            <v>0</v>
          </cell>
          <cell r="K381">
            <v>0</v>
          </cell>
          <cell r="L381">
            <v>10</v>
          </cell>
          <cell r="M381">
            <v>0</v>
          </cell>
          <cell r="N381">
            <v>10</v>
          </cell>
          <cell r="O381">
            <v>0</v>
          </cell>
          <cell r="P381">
            <v>0</v>
          </cell>
          <cell r="Q381">
            <v>0</v>
          </cell>
          <cell r="R381">
            <v>0</v>
          </cell>
        </row>
        <row r="382">
          <cell r="C382">
            <v>415</v>
          </cell>
          <cell r="F382">
            <v>1</v>
          </cell>
          <cell r="G382">
            <v>1</v>
          </cell>
          <cell r="J382">
            <v>5</v>
          </cell>
          <cell r="K382">
            <v>0</v>
          </cell>
          <cell r="L382">
            <v>5</v>
          </cell>
          <cell r="M382">
            <v>0</v>
          </cell>
          <cell r="N382">
            <v>10</v>
          </cell>
          <cell r="O382">
            <v>0</v>
          </cell>
          <cell r="P382">
            <v>0</v>
          </cell>
          <cell r="Q382">
            <v>0</v>
          </cell>
          <cell r="R382">
            <v>0</v>
          </cell>
        </row>
        <row r="383">
          <cell r="C383">
            <v>416</v>
          </cell>
          <cell r="F383">
            <v>1</v>
          </cell>
          <cell r="G383">
            <v>1</v>
          </cell>
          <cell r="J383">
            <v>2</v>
          </cell>
          <cell r="K383">
            <v>0</v>
          </cell>
          <cell r="L383">
            <v>3</v>
          </cell>
          <cell r="M383">
            <v>0</v>
          </cell>
          <cell r="N383">
            <v>5</v>
          </cell>
          <cell r="O383">
            <v>0</v>
          </cell>
          <cell r="P383">
            <v>0</v>
          </cell>
          <cell r="Q383">
            <v>0</v>
          </cell>
          <cell r="R383">
            <v>0</v>
          </cell>
        </row>
        <row r="384">
          <cell r="C384">
            <v>413</v>
          </cell>
          <cell r="F384">
            <v>1</v>
          </cell>
          <cell r="G384">
            <v>1</v>
          </cell>
          <cell r="J384">
            <v>0</v>
          </cell>
          <cell r="K384">
            <v>0</v>
          </cell>
          <cell r="L384">
            <v>10</v>
          </cell>
          <cell r="M384">
            <v>0</v>
          </cell>
          <cell r="N384">
            <v>10</v>
          </cell>
          <cell r="O384">
            <v>0</v>
          </cell>
          <cell r="P384">
            <v>0</v>
          </cell>
          <cell r="Q384">
            <v>0</v>
          </cell>
          <cell r="R384">
            <v>0</v>
          </cell>
        </row>
        <row r="385">
          <cell r="C385">
            <v>2</v>
          </cell>
          <cell r="F385">
            <v>1</v>
          </cell>
          <cell r="G385">
            <v>1</v>
          </cell>
          <cell r="J385">
            <v>-4</v>
          </cell>
          <cell r="K385">
            <v>0</v>
          </cell>
          <cell r="L385">
            <v>4</v>
          </cell>
          <cell r="M385">
            <v>0</v>
          </cell>
          <cell r="N385">
            <v>0</v>
          </cell>
          <cell r="O385">
            <v>0</v>
          </cell>
          <cell r="P385">
            <v>0</v>
          </cell>
          <cell r="Q385">
            <v>0</v>
          </cell>
          <cell r="R385">
            <v>0</v>
          </cell>
        </row>
        <row r="386">
          <cell r="C386">
            <v>2</v>
          </cell>
          <cell r="F386">
            <v>1</v>
          </cell>
          <cell r="G386">
            <v>1</v>
          </cell>
          <cell r="J386">
            <v>-4</v>
          </cell>
          <cell r="K386">
            <v>0</v>
          </cell>
          <cell r="L386">
            <v>4</v>
          </cell>
          <cell r="M386">
            <v>0</v>
          </cell>
          <cell r="N386">
            <v>0</v>
          </cell>
          <cell r="O386">
            <v>0</v>
          </cell>
          <cell r="P386">
            <v>0</v>
          </cell>
          <cell r="Q386">
            <v>0</v>
          </cell>
          <cell r="R386">
            <v>0</v>
          </cell>
        </row>
        <row r="387">
          <cell r="C387">
            <v>2</v>
          </cell>
          <cell r="F387">
            <v>1</v>
          </cell>
          <cell r="G387">
            <v>1</v>
          </cell>
          <cell r="J387">
            <v>-4</v>
          </cell>
          <cell r="K387">
            <v>0</v>
          </cell>
          <cell r="L387">
            <v>4</v>
          </cell>
          <cell r="M387">
            <v>0</v>
          </cell>
          <cell r="N387">
            <v>0</v>
          </cell>
          <cell r="O387">
            <v>0</v>
          </cell>
          <cell r="P387">
            <v>0</v>
          </cell>
          <cell r="Q387">
            <v>0</v>
          </cell>
          <cell r="R387">
            <v>0</v>
          </cell>
        </row>
        <row r="388">
          <cell r="C388">
            <v>5</v>
          </cell>
          <cell r="F388">
            <v>1</v>
          </cell>
          <cell r="G388">
            <v>1</v>
          </cell>
          <cell r="J388">
            <v>-4</v>
          </cell>
          <cell r="K388">
            <v>0</v>
          </cell>
          <cell r="L388">
            <v>4</v>
          </cell>
          <cell r="M388">
            <v>0</v>
          </cell>
          <cell r="N388">
            <v>0</v>
          </cell>
          <cell r="O388">
            <v>0</v>
          </cell>
          <cell r="P388">
            <v>0</v>
          </cell>
          <cell r="Q388">
            <v>0</v>
          </cell>
          <cell r="R388">
            <v>0</v>
          </cell>
        </row>
        <row r="389">
          <cell r="C389">
            <v>5</v>
          </cell>
          <cell r="F389">
            <v>1</v>
          </cell>
          <cell r="G389">
            <v>1</v>
          </cell>
          <cell r="J389">
            <v>-4</v>
          </cell>
          <cell r="K389">
            <v>0</v>
          </cell>
          <cell r="L389">
            <v>4</v>
          </cell>
          <cell r="M389">
            <v>0</v>
          </cell>
          <cell r="N389">
            <v>0</v>
          </cell>
          <cell r="O389">
            <v>0</v>
          </cell>
          <cell r="P389">
            <v>0</v>
          </cell>
          <cell r="Q389">
            <v>0</v>
          </cell>
          <cell r="R389">
            <v>0</v>
          </cell>
        </row>
        <row r="390">
          <cell r="C390">
            <v>5</v>
          </cell>
          <cell r="F390">
            <v>1</v>
          </cell>
          <cell r="G390">
            <v>1</v>
          </cell>
          <cell r="J390">
            <v>-4</v>
          </cell>
          <cell r="K390">
            <v>0</v>
          </cell>
          <cell r="L390">
            <v>4</v>
          </cell>
          <cell r="M390">
            <v>0</v>
          </cell>
          <cell r="N390">
            <v>0</v>
          </cell>
          <cell r="O390">
            <v>0</v>
          </cell>
          <cell r="P390">
            <v>0</v>
          </cell>
          <cell r="Q390">
            <v>0</v>
          </cell>
          <cell r="R390">
            <v>0</v>
          </cell>
        </row>
        <row r="391">
          <cell r="C391">
            <v>418</v>
          </cell>
          <cell r="F391">
            <v>1</v>
          </cell>
          <cell r="G391">
            <v>1</v>
          </cell>
          <cell r="J391">
            <v>2</v>
          </cell>
          <cell r="K391">
            <v>0</v>
          </cell>
          <cell r="L391">
            <v>0</v>
          </cell>
          <cell r="M391">
            <v>0</v>
          </cell>
          <cell r="N391">
            <v>2</v>
          </cell>
          <cell r="O391">
            <v>0</v>
          </cell>
          <cell r="P391">
            <v>0</v>
          </cell>
          <cell r="Q391">
            <v>0</v>
          </cell>
          <cell r="R391">
            <v>0</v>
          </cell>
        </row>
        <row r="392">
          <cell r="C392">
            <v>419</v>
          </cell>
          <cell r="F392">
            <v>1</v>
          </cell>
          <cell r="G392">
            <v>1</v>
          </cell>
          <cell r="J392">
            <v>2</v>
          </cell>
          <cell r="K392">
            <v>0</v>
          </cell>
          <cell r="L392">
            <v>0</v>
          </cell>
          <cell r="M392">
            <v>0</v>
          </cell>
          <cell r="N392">
            <v>2</v>
          </cell>
          <cell r="O392">
            <v>0</v>
          </cell>
          <cell r="P392">
            <v>0</v>
          </cell>
          <cell r="Q392">
            <v>0</v>
          </cell>
          <cell r="R392">
            <v>0</v>
          </cell>
        </row>
        <row r="393">
          <cell r="C393">
            <v>5</v>
          </cell>
          <cell r="F393">
            <v>1</v>
          </cell>
          <cell r="G393">
            <v>1</v>
          </cell>
          <cell r="J393">
            <v>-4</v>
          </cell>
          <cell r="K393">
            <v>0</v>
          </cell>
          <cell r="L393">
            <v>4</v>
          </cell>
          <cell r="M393">
            <v>0</v>
          </cell>
          <cell r="N393">
            <v>0</v>
          </cell>
          <cell r="O393">
            <v>0</v>
          </cell>
          <cell r="P393">
            <v>0</v>
          </cell>
          <cell r="Q393">
            <v>0</v>
          </cell>
          <cell r="R393">
            <v>0</v>
          </cell>
        </row>
        <row r="394">
          <cell r="C394">
            <v>5</v>
          </cell>
          <cell r="F394">
            <v>1</v>
          </cell>
          <cell r="G394">
            <v>1</v>
          </cell>
          <cell r="J394">
            <v>-4</v>
          </cell>
          <cell r="K394">
            <v>0</v>
          </cell>
          <cell r="L394">
            <v>4</v>
          </cell>
          <cell r="M394">
            <v>0</v>
          </cell>
          <cell r="N394">
            <v>0</v>
          </cell>
          <cell r="O394">
            <v>0</v>
          </cell>
          <cell r="P394">
            <v>0</v>
          </cell>
          <cell r="Q394">
            <v>0</v>
          </cell>
          <cell r="R394">
            <v>0</v>
          </cell>
        </row>
        <row r="395">
          <cell r="C395">
            <v>30</v>
          </cell>
          <cell r="F395">
            <v>1</v>
          </cell>
          <cell r="G395">
            <v>1</v>
          </cell>
          <cell r="J395">
            <v>8</v>
          </cell>
          <cell r="K395">
            <v>8</v>
          </cell>
          <cell r="L395">
            <v>0</v>
          </cell>
          <cell r="M395">
            <v>0</v>
          </cell>
          <cell r="N395">
            <v>0</v>
          </cell>
          <cell r="O395">
            <v>0</v>
          </cell>
          <cell r="P395">
            <v>0</v>
          </cell>
          <cell r="Q395">
            <v>0</v>
          </cell>
          <cell r="R395">
            <v>0</v>
          </cell>
        </row>
        <row r="396">
          <cell r="C396">
            <v>37</v>
          </cell>
          <cell r="F396">
            <v>1</v>
          </cell>
          <cell r="G396">
            <v>1</v>
          </cell>
          <cell r="J396">
            <v>1</v>
          </cell>
          <cell r="K396">
            <v>1</v>
          </cell>
          <cell r="L396">
            <v>0</v>
          </cell>
          <cell r="M396">
            <v>0</v>
          </cell>
          <cell r="N396">
            <v>0</v>
          </cell>
          <cell r="O396">
            <v>0</v>
          </cell>
          <cell r="P396">
            <v>0</v>
          </cell>
          <cell r="Q396">
            <v>0</v>
          </cell>
          <cell r="R396">
            <v>0</v>
          </cell>
        </row>
        <row r="397">
          <cell r="C397">
            <v>38</v>
          </cell>
          <cell r="F397">
            <v>1</v>
          </cell>
          <cell r="G397">
            <v>1</v>
          </cell>
          <cell r="J397">
            <v>1</v>
          </cell>
          <cell r="K397">
            <v>1</v>
          </cell>
          <cell r="L397">
            <v>0</v>
          </cell>
          <cell r="M397">
            <v>0</v>
          </cell>
          <cell r="N397">
            <v>0</v>
          </cell>
          <cell r="O397">
            <v>0</v>
          </cell>
          <cell r="P397">
            <v>0</v>
          </cell>
          <cell r="Q397">
            <v>0</v>
          </cell>
          <cell r="R397">
            <v>0</v>
          </cell>
        </row>
        <row r="398">
          <cell r="C398">
            <v>42</v>
          </cell>
          <cell r="F398">
            <v>1</v>
          </cell>
          <cell r="G398">
            <v>1</v>
          </cell>
          <cell r="J398">
            <v>5</v>
          </cell>
          <cell r="K398">
            <v>5</v>
          </cell>
          <cell r="L398">
            <v>0</v>
          </cell>
          <cell r="M398">
            <v>0</v>
          </cell>
          <cell r="N398">
            <v>0</v>
          </cell>
          <cell r="O398">
            <v>0</v>
          </cell>
          <cell r="P398">
            <v>0</v>
          </cell>
          <cell r="Q398">
            <v>0</v>
          </cell>
          <cell r="R398">
            <v>0</v>
          </cell>
        </row>
        <row r="399">
          <cell r="C399">
            <v>59</v>
          </cell>
          <cell r="F399">
            <v>1</v>
          </cell>
          <cell r="G399">
            <v>1</v>
          </cell>
          <cell r="J399">
            <v>1</v>
          </cell>
          <cell r="K399">
            <v>1</v>
          </cell>
          <cell r="L399">
            <v>0</v>
          </cell>
          <cell r="M399">
            <v>0</v>
          </cell>
          <cell r="N399">
            <v>0</v>
          </cell>
          <cell r="O399">
            <v>0</v>
          </cell>
          <cell r="P399">
            <v>0</v>
          </cell>
          <cell r="Q399">
            <v>0</v>
          </cell>
          <cell r="R399">
            <v>0</v>
          </cell>
        </row>
        <row r="400">
          <cell r="C400">
            <v>64</v>
          </cell>
          <cell r="F400">
            <v>1</v>
          </cell>
          <cell r="G400">
            <v>1</v>
          </cell>
          <cell r="J400">
            <v>1</v>
          </cell>
          <cell r="K400">
            <v>1</v>
          </cell>
          <cell r="L400">
            <v>0</v>
          </cell>
          <cell r="M400">
            <v>0</v>
          </cell>
          <cell r="N400">
            <v>0</v>
          </cell>
          <cell r="O400">
            <v>0</v>
          </cell>
          <cell r="P400">
            <v>0</v>
          </cell>
          <cell r="Q400">
            <v>0</v>
          </cell>
          <cell r="R400">
            <v>0</v>
          </cell>
        </row>
        <row r="401">
          <cell r="C401">
            <v>67</v>
          </cell>
          <cell r="F401">
            <v>1</v>
          </cell>
          <cell r="G401">
            <v>1</v>
          </cell>
          <cell r="J401">
            <v>5</v>
          </cell>
          <cell r="K401">
            <v>5</v>
          </cell>
          <cell r="L401">
            <v>0</v>
          </cell>
          <cell r="M401">
            <v>0</v>
          </cell>
          <cell r="N401">
            <v>0</v>
          </cell>
          <cell r="O401">
            <v>0</v>
          </cell>
          <cell r="P401">
            <v>0</v>
          </cell>
          <cell r="Q401">
            <v>0</v>
          </cell>
          <cell r="R401">
            <v>0</v>
          </cell>
        </row>
        <row r="402">
          <cell r="C402">
            <v>103</v>
          </cell>
          <cell r="F402">
            <v>1</v>
          </cell>
          <cell r="G402">
            <v>1</v>
          </cell>
          <cell r="J402">
            <v>1</v>
          </cell>
          <cell r="K402">
            <v>1</v>
          </cell>
          <cell r="L402">
            <v>0</v>
          </cell>
          <cell r="M402">
            <v>0</v>
          </cell>
          <cell r="N402">
            <v>0</v>
          </cell>
          <cell r="O402">
            <v>0</v>
          </cell>
          <cell r="P402">
            <v>0</v>
          </cell>
          <cell r="Q402">
            <v>0</v>
          </cell>
          <cell r="R402">
            <v>0</v>
          </cell>
        </row>
        <row r="403">
          <cell r="C403">
            <v>201</v>
          </cell>
          <cell r="F403">
            <v>1</v>
          </cell>
          <cell r="G403">
            <v>1</v>
          </cell>
          <cell r="J403">
            <v>1</v>
          </cell>
          <cell r="K403">
            <v>1</v>
          </cell>
          <cell r="L403">
            <v>0</v>
          </cell>
          <cell r="M403">
            <v>0</v>
          </cell>
          <cell r="N403">
            <v>0</v>
          </cell>
          <cell r="O403">
            <v>0</v>
          </cell>
          <cell r="P403">
            <v>0</v>
          </cell>
          <cell r="Q403">
            <v>0</v>
          </cell>
          <cell r="R403">
            <v>0</v>
          </cell>
        </row>
        <row r="404">
          <cell r="C404">
            <v>202</v>
          </cell>
          <cell r="F404">
            <v>1</v>
          </cell>
          <cell r="G404">
            <v>1</v>
          </cell>
          <cell r="J404">
            <v>1</v>
          </cell>
          <cell r="K404">
            <v>1</v>
          </cell>
          <cell r="L404">
            <v>0</v>
          </cell>
          <cell r="M404">
            <v>0</v>
          </cell>
          <cell r="N404">
            <v>0</v>
          </cell>
          <cell r="O404">
            <v>0</v>
          </cell>
          <cell r="P404">
            <v>0</v>
          </cell>
          <cell r="Q404">
            <v>0</v>
          </cell>
          <cell r="R404">
            <v>0</v>
          </cell>
        </row>
        <row r="405">
          <cell r="C405">
            <v>203</v>
          </cell>
          <cell r="F405">
            <v>1</v>
          </cell>
          <cell r="G405">
            <v>1</v>
          </cell>
          <cell r="J405">
            <v>1</v>
          </cell>
          <cell r="K405">
            <v>1</v>
          </cell>
          <cell r="L405">
            <v>0</v>
          </cell>
          <cell r="M405">
            <v>0</v>
          </cell>
          <cell r="N405">
            <v>0</v>
          </cell>
          <cell r="O405">
            <v>0</v>
          </cell>
          <cell r="P405">
            <v>0</v>
          </cell>
          <cell r="Q405">
            <v>0</v>
          </cell>
          <cell r="R405">
            <v>0</v>
          </cell>
        </row>
        <row r="406">
          <cell r="C406">
            <v>205</v>
          </cell>
          <cell r="F406">
            <v>1</v>
          </cell>
          <cell r="G406">
            <v>1</v>
          </cell>
          <cell r="J406">
            <v>1</v>
          </cell>
          <cell r="K406">
            <v>1</v>
          </cell>
          <cell r="L406">
            <v>0</v>
          </cell>
          <cell r="M406">
            <v>0</v>
          </cell>
          <cell r="N406">
            <v>0</v>
          </cell>
          <cell r="O406">
            <v>0</v>
          </cell>
          <cell r="P406">
            <v>0</v>
          </cell>
          <cell r="Q406">
            <v>0</v>
          </cell>
          <cell r="R406">
            <v>0</v>
          </cell>
        </row>
        <row r="407">
          <cell r="C407">
            <v>206</v>
          </cell>
          <cell r="F407">
            <v>1</v>
          </cell>
          <cell r="G407">
            <v>1</v>
          </cell>
          <cell r="J407">
            <v>4</v>
          </cell>
          <cell r="K407">
            <v>4</v>
          </cell>
          <cell r="L407">
            <v>0</v>
          </cell>
          <cell r="M407">
            <v>0</v>
          </cell>
          <cell r="N407">
            <v>0</v>
          </cell>
          <cell r="O407">
            <v>0</v>
          </cell>
          <cell r="P407">
            <v>0</v>
          </cell>
          <cell r="Q407">
            <v>0</v>
          </cell>
          <cell r="R407">
            <v>0</v>
          </cell>
        </row>
        <row r="408">
          <cell r="C408">
            <v>207</v>
          </cell>
          <cell r="F408">
            <v>1</v>
          </cell>
          <cell r="G408">
            <v>1</v>
          </cell>
          <cell r="J408">
            <v>1</v>
          </cell>
          <cell r="K408">
            <v>1</v>
          </cell>
          <cell r="L408">
            <v>0</v>
          </cell>
          <cell r="M408">
            <v>0</v>
          </cell>
          <cell r="N408">
            <v>0</v>
          </cell>
          <cell r="O408">
            <v>0</v>
          </cell>
          <cell r="P408">
            <v>0</v>
          </cell>
          <cell r="Q408">
            <v>0</v>
          </cell>
          <cell r="R408">
            <v>0</v>
          </cell>
        </row>
        <row r="409">
          <cell r="C409">
            <v>208</v>
          </cell>
          <cell r="F409">
            <v>1</v>
          </cell>
          <cell r="G409">
            <v>1</v>
          </cell>
          <cell r="J409">
            <v>1</v>
          </cell>
          <cell r="K409">
            <v>1</v>
          </cell>
          <cell r="L409">
            <v>0</v>
          </cell>
          <cell r="M409">
            <v>0</v>
          </cell>
          <cell r="N409">
            <v>0</v>
          </cell>
          <cell r="O409">
            <v>0</v>
          </cell>
          <cell r="P409">
            <v>0</v>
          </cell>
          <cell r="Q409">
            <v>0</v>
          </cell>
          <cell r="R409">
            <v>0</v>
          </cell>
        </row>
        <row r="410">
          <cell r="C410">
            <v>209</v>
          </cell>
          <cell r="F410">
            <v>1</v>
          </cell>
          <cell r="G410">
            <v>1</v>
          </cell>
          <cell r="J410">
            <v>5</v>
          </cell>
          <cell r="K410">
            <v>5</v>
          </cell>
          <cell r="L410">
            <v>0</v>
          </cell>
          <cell r="M410">
            <v>0</v>
          </cell>
          <cell r="N410">
            <v>0</v>
          </cell>
          <cell r="O410">
            <v>0</v>
          </cell>
          <cell r="P410">
            <v>0</v>
          </cell>
          <cell r="Q410">
            <v>0</v>
          </cell>
          <cell r="R410">
            <v>0</v>
          </cell>
        </row>
        <row r="411">
          <cell r="C411">
            <v>210</v>
          </cell>
          <cell r="F411">
            <v>1</v>
          </cell>
          <cell r="G411">
            <v>1</v>
          </cell>
          <cell r="J411">
            <v>6</v>
          </cell>
          <cell r="K411">
            <v>6</v>
          </cell>
          <cell r="L411">
            <v>0</v>
          </cell>
          <cell r="M411">
            <v>0</v>
          </cell>
          <cell r="N411">
            <v>0</v>
          </cell>
          <cell r="O411">
            <v>0</v>
          </cell>
          <cell r="P411">
            <v>0</v>
          </cell>
          <cell r="Q411">
            <v>0</v>
          </cell>
          <cell r="R411">
            <v>0</v>
          </cell>
        </row>
        <row r="412">
          <cell r="C412">
            <v>212</v>
          </cell>
          <cell r="F412">
            <v>1</v>
          </cell>
          <cell r="G412">
            <v>1</v>
          </cell>
          <cell r="J412">
            <v>1</v>
          </cell>
          <cell r="K412">
            <v>1</v>
          </cell>
          <cell r="L412">
            <v>0</v>
          </cell>
          <cell r="M412">
            <v>0</v>
          </cell>
          <cell r="N412">
            <v>0</v>
          </cell>
          <cell r="O412">
            <v>0</v>
          </cell>
          <cell r="P412">
            <v>0</v>
          </cell>
          <cell r="Q412">
            <v>0</v>
          </cell>
          <cell r="R412">
            <v>0</v>
          </cell>
        </row>
        <row r="413">
          <cell r="C413">
            <v>214</v>
          </cell>
          <cell r="F413">
            <v>1</v>
          </cell>
          <cell r="G413">
            <v>1</v>
          </cell>
          <cell r="J413">
            <v>32</v>
          </cell>
          <cell r="K413">
            <v>32</v>
          </cell>
          <cell r="L413">
            <v>0</v>
          </cell>
          <cell r="M413">
            <v>0</v>
          </cell>
          <cell r="N413">
            <v>0</v>
          </cell>
          <cell r="O413">
            <v>0</v>
          </cell>
          <cell r="P413">
            <v>0</v>
          </cell>
          <cell r="Q413">
            <v>0</v>
          </cell>
          <cell r="R413">
            <v>0</v>
          </cell>
        </row>
        <row r="414">
          <cell r="C414">
            <v>215</v>
          </cell>
          <cell r="F414">
            <v>1</v>
          </cell>
          <cell r="G414">
            <v>1</v>
          </cell>
          <cell r="J414">
            <v>1</v>
          </cell>
          <cell r="K414">
            <v>1</v>
          </cell>
          <cell r="L414">
            <v>0</v>
          </cell>
          <cell r="M414">
            <v>0</v>
          </cell>
          <cell r="N414">
            <v>0</v>
          </cell>
          <cell r="O414">
            <v>0</v>
          </cell>
          <cell r="P414">
            <v>0</v>
          </cell>
          <cell r="Q414">
            <v>0</v>
          </cell>
          <cell r="R414">
            <v>0</v>
          </cell>
        </row>
        <row r="415">
          <cell r="C415">
            <v>216</v>
          </cell>
          <cell r="F415">
            <v>1</v>
          </cell>
          <cell r="G415">
            <v>1</v>
          </cell>
          <cell r="J415">
            <v>22</v>
          </cell>
          <cell r="K415">
            <v>22</v>
          </cell>
          <cell r="L415">
            <v>0</v>
          </cell>
          <cell r="M415">
            <v>0</v>
          </cell>
          <cell r="N415">
            <v>0</v>
          </cell>
          <cell r="O415">
            <v>0</v>
          </cell>
          <cell r="P415">
            <v>0</v>
          </cell>
          <cell r="Q415">
            <v>0</v>
          </cell>
          <cell r="R415">
            <v>0</v>
          </cell>
        </row>
        <row r="416">
          <cell r="C416">
            <v>218</v>
          </cell>
          <cell r="F416">
            <v>1</v>
          </cell>
          <cell r="G416">
            <v>1</v>
          </cell>
          <cell r="J416">
            <v>2</v>
          </cell>
          <cell r="K416">
            <v>2</v>
          </cell>
          <cell r="L416">
            <v>0</v>
          </cell>
          <cell r="M416">
            <v>0</v>
          </cell>
          <cell r="N416">
            <v>0</v>
          </cell>
          <cell r="O416">
            <v>0</v>
          </cell>
          <cell r="P416">
            <v>0</v>
          </cell>
          <cell r="Q416">
            <v>0</v>
          </cell>
          <cell r="R416">
            <v>0</v>
          </cell>
        </row>
        <row r="417">
          <cell r="C417">
            <v>220</v>
          </cell>
          <cell r="F417">
            <v>1</v>
          </cell>
          <cell r="G417">
            <v>1</v>
          </cell>
          <cell r="J417">
            <v>1</v>
          </cell>
          <cell r="K417">
            <v>1</v>
          </cell>
          <cell r="L417">
            <v>0</v>
          </cell>
          <cell r="M417">
            <v>0</v>
          </cell>
          <cell r="N417">
            <v>0</v>
          </cell>
          <cell r="O417">
            <v>0</v>
          </cell>
          <cell r="P417">
            <v>0</v>
          </cell>
          <cell r="Q417">
            <v>0</v>
          </cell>
          <cell r="R417">
            <v>0</v>
          </cell>
        </row>
        <row r="418">
          <cell r="C418">
            <v>221</v>
          </cell>
          <cell r="F418">
            <v>1</v>
          </cell>
          <cell r="G418">
            <v>1</v>
          </cell>
          <cell r="J418">
            <v>8</v>
          </cell>
          <cell r="K418">
            <v>8</v>
          </cell>
          <cell r="L418">
            <v>0</v>
          </cell>
          <cell r="M418">
            <v>0</v>
          </cell>
          <cell r="N418">
            <v>0</v>
          </cell>
          <cell r="O418">
            <v>0</v>
          </cell>
          <cell r="P418">
            <v>0</v>
          </cell>
          <cell r="Q418">
            <v>0</v>
          </cell>
          <cell r="R418">
            <v>0</v>
          </cell>
        </row>
        <row r="419">
          <cell r="C419">
            <v>222</v>
          </cell>
          <cell r="F419">
            <v>1</v>
          </cell>
          <cell r="G419">
            <v>1</v>
          </cell>
          <cell r="J419">
            <v>2</v>
          </cell>
          <cell r="K419">
            <v>2</v>
          </cell>
          <cell r="L419">
            <v>0</v>
          </cell>
          <cell r="M419">
            <v>0</v>
          </cell>
          <cell r="N419">
            <v>0</v>
          </cell>
          <cell r="O419">
            <v>0</v>
          </cell>
          <cell r="P419">
            <v>0</v>
          </cell>
          <cell r="Q419">
            <v>0</v>
          </cell>
          <cell r="R419">
            <v>0</v>
          </cell>
        </row>
        <row r="420">
          <cell r="C420">
            <v>224</v>
          </cell>
          <cell r="F420">
            <v>1</v>
          </cell>
          <cell r="G420">
            <v>1</v>
          </cell>
          <cell r="J420">
            <v>1</v>
          </cell>
          <cell r="K420">
            <v>1</v>
          </cell>
          <cell r="L420">
            <v>0</v>
          </cell>
          <cell r="M420">
            <v>0</v>
          </cell>
          <cell r="N420">
            <v>0</v>
          </cell>
          <cell r="O420">
            <v>0</v>
          </cell>
          <cell r="P420">
            <v>0</v>
          </cell>
          <cell r="Q420">
            <v>0</v>
          </cell>
          <cell r="R420">
            <v>0</v>
          </cell>
        </row>
        <row r="421">
          <cell r="C421">
            <v>225</v>
          </cell>
          <cell r="F421">
            <v>1</v>
          </cell>
          <cell r="G421">
            <v>1</v>
          </cell>
          <cell r="J421">
            <v>2</v>
          </cell>
          <cell r="K421">
            <v>2</v>
          </cell>
          <cell r="L421">
            <v>0</v>
          </cell>
          <cell r="M421">
            <v>0</v>
          </cell>
          <cell r="N421">
            <v>0</v>
          </cell>
          <cell r="O421">
            <v>0</v>
          </cell>
          <cell r="P421">
            <v>0</v>
          </cell>
          <cell r="Q421">
            <v>0</v>
          </cell>
          <cell r="R421">
            <v>0</v>
          </cell>
        </row>
        <row r="422">
          <cell r="C422">
            <v>226</v>
          </cell>
          <cell r="F422">
            <v>1</v>
          </cell>
          <cell r="G422">
            <v>1</v>
          </cell>
          <cell r="J422">
            <v>3</v>
          </cell>
          <cell r="K422">
            <v>3</v>
          </cell>
          <cell r="L422">
            <v>0</v>
          </cell>
          <cell r="M422">
            <v>0</v>
          </cell>
          <cell r="N422">
            <v>0</v>
          </cell>
          <cell r="O422">
            <v>0</v>
          </cell>
          <cell r="P422">
            <v>0</v>
          </cell>
          <cell r="Q422">
            <v>0</v>
          </cell>
          <cell r="R422">
            <v>0</v>
          </cell>
        </row>
        <row r="423">
          <cell r="C423">
            <v>227</v>
          </cell>
          <cell r="F423">
            <v>1</v>
          </cell>
          <cell r="G423">
            <v>1</v>
          </cell>
          <cell r="J423">
            <v>10</v>
          </cell>
          <cell r="K423">
            <v>10</v>
          </cell>
          <cell r="L423">
            <v>0</v>
          </cell>
          <cell r="M423">
            <v>0</v>
          </cell>
          <cell r="N423">
            <v>0</v>
          </cell>
          <cell r="O423">
            <v>0</v>
          </cell>
          <cell r="P423">
            <v>0</v>
          </cell>
          <cell r="Q423">
            <v>0</v>
          </cell>
          <cell r="R423">
            <v>0</v>
          </cell>
        </row>
        <row r="424">
          <cell r="C424">
            <v>229</v>
          </cell>
          <cell r="F424">
            <v>1</v>
          </cell>
          <cell r="G424">
            <v>1</v>
          </cell>
          <cell r="J424">
            <v>5</v>
          </cell>
          <cell r="K424">
            <v>5</v>
          </cell>
          <cell r="L424">
            <v>0</v>
          </cell>
          <cell r="M424">
            <v>0</v>
          </cell>
          <cell r="N424">
            <v>0</v>
          </cell>
          <cell r="O424">
            <v>0</v>
          </cell>
          <cell r="P424">
            <v>0</v>
          </cell>
          <cell r="Q424">
            <v>0</v>
          </cell>
          <cell r="R424">
            <v>0</v>
          </cell>
        </row>
        <row r="425">
          <cell r="C425">
            <v>230</v>
          </cell>
          <cell r="F425">
            <v>1</v>
          </cell>
          <cell r="G425">
            <v>1</v>
          </cell>
          <cell r="J425">
            <v>3</v>
          </cell>
          <cell r="K425">
            <v>3</v>
          </cell>
          <cell r="L425">
            <v>0</v>
          </cell>
          <cell r="M425">
            <v>0</v>
          </cell>
          <cell r="N425">
            <v>0</v>
          </cell>
          <cell r="O425">
            <v>0</v>
          </cell>
          <cell r="P425">
            <v>0</v>
          </cell>
          <cell r="Q425">
            <v>0</v>
          </cell>
          <cell r="R425">
            <v>0</v>
          </cell>
        </row>
        <row r="426">
          <cell r="C426">
            <v>231</v>
          </cell>
          <cell r="F426">
            <v>1</v>
          </cell>
          <cell r="G426">
            <v>1</v>
          </cell>
          <cell r="J426">
            <v>1</v>
          </cell>
          <cell r="K426">
            <v>1</v>
          </cell>
          <cell r="L426">
            <v>0</v>
          </cell>
          <cell r="M426">
            <v>0</v>
          </cell>
          <cell r="N426">
            <v>0</v>
          </cell>
          <cell r="O426">
            <v>0</v>
          </cell>
          <cell r="P426">
            <v>0</v>
          </cell>
          <cell r="Q426">
            <v>0</v>
          </cell>
          <cell r="R426">
            <v>0</v>
          </cell>
        </row>
        <row r="427">
          <cell r="C427">
            <v>232</v>
          </cell>
          <cell r="F427">
            <v>1</v>
          </cell>
          <cell r="G427">
            <v>1</v>
          </cell>
          <cell r="J427">
            <v>1</v>
          </cell>
          <cell r="K427">
            <v>1</v>
          </cell>
          <cell r="L427">
            <v>0</v>
          </cell>
          <cell r="M427">
            <v>0</v>
          </cell>
          <cell r="N427">
            <v>0</v>
          </cell>
          <cell r="O427">
            <v>0</v>
          </cell>
          <cell r="P427">
            <v>0</v>
          </cell>
          <cell r="Q427">
            <v>0</v>
          </cell>
          <cell r="R427">
            <v>0</v>
          </cell>
        </row>
        <row r="428">
          <cell r="C428">
            <v>233</v>
          </cell>
          <cell r="F428">
            <v>1</v>
          </cell>
          <cell r="G428">
            <v>1</v>
          </cell>
          <cell r="J428">
            <v>1</v>
          </cell>
          <cell r="K428">
            <v>1</v>
          </cell>
          <cell r="L428">
            <v>0</v>
          </cell>
          <cell r="M428">
            <v>0</v>
          </cell>
          <cell r="N428">
            <v>0</v>
          </cell>
          <cell r="O428">
            <v>0</v>
          </cell>
          <cell r="P428">
            <v>0</v>
          </cell>
          <cell r="Q428">
            <v>0</v>
          </cell>
          <cell r="R428">
            <v>0</v>
          </cell>
        </row>
        <row r="429">
          <cell r="C429">
            <v>244</v>
          </cell>
          <cell r="F429">
            <v>1</v>
          </cell>
          <cell r="G429">
            <v>1</v>
          </cell>
          <cell r="J429">
            <v>2</v>
          </cell>
          <cell r="K429">
            <v>2</v>
          </cell>
          <cell r="L429">
            <v>0</v>
          </cell>
          <cell r="M429">
            <v>0</v>
          </cell>
          <cell r="N429">
            <v>0</v>
          </cell>
          <cell r="O429">
            <v>0</v>
          </cell>
          <cell r="P429">
            <v>0</v>
          </cell>
          <cell r="Q429">
            <v>0</v>
          </cell>
          <cell r="R429">
            <v>0</v>
          </cell>
        </row>
        <row r="430">
          <cell r="C430">
            <v>245</v>
          </cell>
          <cell r="F430">
            <v>1</v>
          </cell>
          <cell r="G430">
            <v>1</v>
          </cell>
          <cell r="J430">
            <v>1</v>
          </cell>
          <cell r="K430">
            <v>1</v>
          </cell>
          <cell r="L430">
            <v>0</v>
          </cell>
          <cell r="M430">
            <v>0</v>
          </cell>
          <cell r="N430">
            <v>0</v>
          </cell>
          <cell r="O430">
            <v>0</v>
          </cell>
          <cell r="P430">
            <v>0</v>
          </cell>
          <cell r="Q430">
            <v>0</v>
          </cell>
          <cell r="R430">
            <v>0</v>
          </cell>
        </row>
        <row r="431">
          <cell r="C431">
            <v>247</v>
          </cell>
          <cell r="F431">
            <v>1</v>
          </cell>
          <cell r="G431">
            <v>1</v>
          </cell>
          <cell r="J431">
            <v>7</v>
          </cell>
          <cell r="K431">
            <v>7</v>
          </cell>
          <cell r="L431">
            <v>0</v>
          </cell>
          <cell r="M431">
            <v>0</v>
          </cell>
          <cell r="N431">
            <v>0</v>
          </cell>
          <cell r="O431">
            <v>0</v>
          </cell>
          <cell r="P431">
            <v>0</v>
          </cell>
          <cell r="Q431">
            <v>0</v>
          </cell>
          <cell r="R431">
            <v>0</v>
          </cell>
        </row>
        <row r="432">
          <cell r="C432">
            <v>248</v>
          </cell>
          <cell r="F432">
            <v>1</v>
          </cell>
          <cell r="G432">
            <v>1</v>
          </cell>
          <cell r="J432">
            <v>26</v>
          </cell>
          <cell r="K432">
            <v>26</v>
          </cell>
          <cell r="L432">
            <v>0</v>
          </cell>
          <cell r="M432">
            <v>0</v>
          </cell>
          <cell r="N432">
            <v>0</v>
          </cell>
          <cell r="O432">
            <v>0</v>
          </cell>
          <cell r="P432">
            <v>0</v>
          </cell>
          <cell r="Q432">
            <v>0</v>
          </cell>
          <cell r="R432">
            <v>0</v>
          </cell>
        </row>
        <row r="433">
          <cell r="C433">
            <v>249</v>
          </cell>
          <cell r="F433">
            <v>1</v>
          </cell>
          <cell r="G433">
            <v>1</v>
          </cell>
          <cell r="J433">
            <v>2</v>
          </cell>
          <cell r="K433">
            <v>2</v>
          </cell>
          <cell r="L433">
            <v>0</v>
          </cell>
          <cell r="M433">
            <v>0</v>
          </cell>
          <cell r="N433">
            <v>0</v>
          </cell>
          <cell r="O433">
            <v>0</v>
          </cell>
          <cell r="P433">
            <v>0</v>
          </cell>
          <cell r="Q433">
            <v>0</v>
          </cell>
          <cell r="R433">
            <v>0</v>
          </cell>
        </row>
        <row r="434">
          <cell r="C434">
            <v>250</v>
          </cell>
          <cell r="F434">
            <v>1</v>
          </cell>
          <cell r="G434">
            <v>1</v>
          </cell>
          <cell r="J434">
            <v>6</v>
          </cell>
          <cell r="K434">
            <v>6</v>
          </cell>
          <cell r="L434">
            <v>0</v>
          </cell>
          <cell r="M434">
            <v>0</v>
          </cell>
          <cell r="N434">
            <v>0</v>
          </cell>
          <cell r="O434">
            <v>0</v>
          </cell>
          <cell r="P434">
            <v>0</v>
          </cell>
          <cell r="Q434">
            <v>0</v>
          </cell>
          <cell r="R434">
            <v>0</v>
          </cell>
        </row>
        <row r="435">
          <cell r="C435">
            <v>251</v>
          </cell>
          <cell r="F435">
            <v>1</v>
          </cell>
          <cell r="G435">
            <v>1</v>
          </cell>
          <cell r="J435">
            <v>5</v>
          </cell>
          <cell r="K435">
            <v>5</v>
          </cell>
          <cell r="L435">
            <v>0</v>
          </cell>
          <cell r="M435">
            <v>0</v>
          </cell>
          <cell r="N435">
            <v>0</v>
          </cell>
          <cell r="O435">
            <v>0</v>
          </cell>
          <cell r="P435">
            <v>0</v>
          </cell>
          <cell r="Q435">
            <v>0</v>
          </cell>
          <cell r="R435">
            <v>0</v>
          </cell>
        </row>
        <row r="436">
          <cell r="C436">
            <v>252</v>
          </cell>
          <cell r="F436">
            <v>1</v>
          </cell>
          <cell r="G436">
            <v>1</v>
          </cell>
          <cell r="J436">
            <v>7</v>
          </cell>
          <cell r="K436">
            <v>7</v>
          </cell>
          <cell r="L436">
            <v>0</v>
          </cell>
          <cell r="M436">
            <v>0</v>
          </cell>
          <cell r="N436">
            <v>0</v>
          </cell>
          <cell r="O436">
            <v>0</v>
          </cell>
          <cell r="P436">
            <v>0</v>
          </cell>
          <cell r="Q436">
            <v>0</v>
          </cell>
          <cell r="R436">
            <v>0</v>
          </cell>
        </row>
        <row r="437">
          <cell r="C437">
            <v>253</v>
          </cell>
          <cell r="F437">
            <v>1</v>
          </cell>
          <cell r="G437">
            <v>1</v>
          </cell>
          <cell r="J437">
            <v>3</v>
          </cell>
          <cell r="K437">
            <v>3</v>
          </cell>
          <cell r="L437">
            <v>0</v>
          </cell>
          <cell r="M437">
            <v>0</v>
          </cell>
          <cell r="N437">
            <v>0</v>
          </cell>
          <cell r="O437">
            <v>0</v>
          </cell>
          <cell r="P437">
            <v>0</v>
          </cell>
          <cell r="Q437">
            <v>0</v>
          </cell>
          <cell r="R437">
            <v>0</v>
          </cell>
        </row>
        <row r="438">
          <cell r="C438">
            <v>254</v>
          </cell>
          <cell r="F438">
            <v>1</v>
          </cell>
          <cell r="G438">
            <v>1</v>
          </cell>
          <cell r="J438">
            <v>5</v>
          </cell>
          <cell r="K438">
            <v>5</v>
          </cell>
          <cell r="L438">
            <v>0</v>
          </cell>
          <cell r="M438">
            <v>0</v>
          </cell>
          <cell r="N438">
            <v>0</v>
          </cell>
          <cell r="O438">
            <v>0</v>
          </cell>
          <cell r="P438">
            <v>0</v>
          </cell>
          <cell r="Q438">
            <v>0</v>
          </cell>
          <cell r="R438">
            <v>0</v>
          </cell>
        </row>
        <row r="439">
          <cell r="C439">
            <v>255</v>
          </cell>
          <cell r="F439">
            <v>1</v>
          </cell>
          <cell r="G439">
            <v>1</v>
          </cell>
          <cell r="J439">
            <v>3</v>
          </cell>
          <cell r="K439">
            <v>3</v>
          </cell>
          <cell r="L439">
            <v>0</v>
          </cell>
          <cell r="M439">
            <v>0</v>
          </cell>
          <cell r="N439">
            <v>0</v>
          </cell>
          <cell r="O439">
            <v>0</v>
          </cell>
          <cell r="P439">
            <v>0</v>
          </cell>
          <cell r="Q439">
            <v>0</v>
          </cell>
          <cell r="R439">
            <v>0</v>
          </cell>
        </row>
        <row r="440">
          <cell r="C440">
            <v>256</v>
          </cell>
          <cell r="F440">
            <v>1</v>
          </cell>
          <cell r="G440">
            <v>1</v>
          </cell>
          <cell r="J440">
            <v>5</v>
          </cell>
          <cell r="K440">
            <v>5</v>
          </cell>
          <cell r="L440">
            <v>0</v>
          </cell>
          <cell r="M440">
            <v>0</v>
          </cell>
          <cell r="N440">
            <v>0</v>
          </cell>
          <cell r="O440">
            <v>0</v>
          </cell>
          <cell r="P440">
            <v>0</v>
          </cell>
          <cell r="Q440">
            <v>0</v>
          </cell>
          <cell r="R440">
            <v>0</v>
          </cell>
        </row>
        <row r="441">
          <cell r="C441">
            <v>257</v>
          </cell>
          <cell r="F441">
            <v>1</v>
          </cell>
          <cell r="G441">
            <v>1</v>
          </cell>
          <cell r="J441">
            <v>2</v>
          </cell>
          <cell r="K441">
            <v>2</v>
          </cell>
          <cell r="L441">
            <v>0</v>
          </cell>
          <cell r="M441">
            <v>0</v>
          </cell>
          <cell r="N441">
            <v>0</v>
          </cell>
          <cell r="O441">
            <v>0</v>
          </cell>
          <cell r="P441">
            <v>0</v>
          </cell>
          <cell r="Q441">
            <v>0</v>
          </cell>
          <cell r="R441">
            <v>0</v>
          </cell>
        </row>
        <row r="442">
          <cell r="C442">
            <v>258</v>
          </cell>
          <cell r="F442">
            <v>1</v>
          </cell>
          <cell r="G442">
            <v>1</v>
          </cell>
          <cell r="J442">
            <v>2</v>
          </cell>
          <cell r="K442">
            <v>2</v>
          </cell>
          <cell r="L442">
            <v>0</v>
          </cell>
          <cell r="M442">
            <v>0</v>
          </cell>
          <cell r="N442">
            <v>0</v>
          </cell>
          <cell r="O442">
            <v>0</v>
          </cell>
          <cell r="P442">
            <v>0</v>
          </cell>
          <cell r="Q442">
            <v>0</v>
          </cell>
          <cell r="R442">
            <v>0</v>
          </cell>
        </row>
        <row r="443">
          <cell r="C443">
            <v>259</v>
          </cell>
          <cell r="F443">
            <v>1</v>
          </cell>
          <cell r="G443">
            <v>1</v>
          </cell>
          <cell r="J443">
            <v>2</v>
          </cell>
          <cell r="K443">
            <v>2</v>
          </cell>
          <cell r="L443">
            <v>0</v>
          </cell>
          <cell r="M443">
            <v>0</v>
          </cell>
          <cell r="N443">
            <v>0</v>
          </cell>
          <cell r="O443">
            <v>0</v>
          </cell>
          <cell r="P443">
            <v>0</v>
          </cell>
          <cell r="Q443">
            <v>0</v>
          </cell>
          <cell r="R443">
            <v>0</v>
          </cell>
        </row>
        <row r="444">
          <cell r="C444">
            <v>260</v>
          </cell>
          <cell r="F444">
            <v>1</v>
          </cell>
          <cell r="G444">
            <v>1</v>
          </cell>
          <cell r="J444">
            <v>3</v>
          </cell>
          <cell r="K444">
            <v>3</v>
          </cell>
          <cell r="L444">
            <v>0</v>
          </cell>
          <cell r="M444">
            <v>0</v>
          </cell>
          <cell r="N444">
            <v>0</v>
          </cell>
          <cell r="O444">
            <v>0</v>
          </cell>
          <cell r="P444">
            <v>0</v>
          </cell>
          <cell r="Q444">
            <v>0</v>
          </cell>
          <cell r="R444">
            <v>0</v>
          </cell>
        </row>
        <row r="445">
          <cell r="C445">
            <v>261</v>
          </cell>
          <cell r="F445">
            <v>1</v>
          </cell>
          <cell r="G445">
            <v>1</v>
          </cell>
          <cell r="J445">
            <v>1</v>
          </cell>
          <cell r="K445">
            <v>1</v>
          </cell>
          <cell r="L445">
            <v>0</v>
          </cell>
          <cell r="M445">
            <v>0</v>
          </cell>
          <cell r="N445">
            <v>0</v>
          </cell>
          <cell r="O445">
            <v>0</v>
          </cell>
          <cell r="P445">
            <v>0</v>
          </cell>
          <cell r="Q445">
            <v>0</v>
          </cell>
          <cell r="R445">
            <v>0</v>
          </cell>
        </row>
        <row r="446">
          <cell r="C446">
            <v>262</v>
          </cell>
          <cell r="F446">
            <v>1</v>
          </cell>
          <cell r="G446">
            <v>1</v>
          </cell>
          <cell r="J446">
            <v>1</v>
          </cell>
          <cell r="K446">
            <v>1</v>
          </cell>
          <cell r="L446">
            <v>0</v>
          </cell>
          <cell r="M446">
            <v>0</v>
          </cell>
          <cell r="N446">
            <v>0</v>
          </cell>
          <cell r="O446">
            <v>0</v>
          </cell>
          <cell r="P446">
            <v>0</v>
          </cell>
          <cell r="Q446">
            <v>0</v>
          </cell>
          <cell r="R446">
            <v>0</v>
          </cell>
        </row>
        <row r="447">
          <cell r="C447">
            <v>263</v>
          </cell>
          <cell r="F447">
            <v>1</v>
          </cell>
          <cell r="G447">
            <v>1</v>
          </cell>
          <cell r="J447">
            <v>3</v>
          </cell>
          <cell r="K447">
            <v>3</v>
          </cell>
          <cell r="L447">
            <v>0</v>
          </cell>
          <cell r="M447">
            <v>0</v>
          </cell>
          <cell r="N447">
            <v>0</v>
          </cell>
          <cell r="O447">
            <v>0</v>
          </cell>
          <cell r="P447">
            <v>0</v>
          </cell>
          <cell r="Q447">
            <v>0</v>
          </cell>
          <cell r="R447">
            <v>0</v>
          </cell>
        </row>
        <row r="448">
          <cell r="C448">
            <v>264</v>
          </cell>
          <cell r="F448">
            <v>1</v>
          </cell>
          <cell r="G448">
            <v>1</v>
          </cell>
          <cell r="J448">
            <v>4</v>
          </cell>
          <cell r="K448">
            <v>4</v>
          </cell>
          <cell r="L448">
            <v>0</v>
          </cell>
          <cell r="M448">
            <v>0</v>
          </cell>
          <cell r="N448">
            <v>0</v>
          </cell>
          <cell r="O448">
            <v>0</v>
          </cell>
          <cell r="P448">
            <v>0</v>
          </cell>
          <cell r="Q448">
            <v>0</v>
          </cell>
          <cell r="R448">
            <v>0</v>
          </cell>
        </row>
        <row r="449">
          <cell r="C449">
            <v>266</v>
          </cell>
          <cell r="F449">
            <v>1</v>
          </cell>
          <cell r="G449">
            <v>1</v>
          </cell>
          <cell r="J449">
            <v>7</v>
          </cell>
          <cell r="K449">
            <v>7</v>
          </cell>
          <cell r="L449">
            <v>0</v>
          </cell>
          <cell r="M449">
            <v>0</v>
          </cell>
          <cell r="N449">
            <v>0</v>
          </cell>
          <cell r="O449">
            <v>0</v>
          </cell>
          <cell r="P449">
            <v>0</v>
          </cell>
          <cell r="Q449">
            <v>0</v>
          </cell>
          <cell r="R449">
            <v>0</v>
          </cell>
        </row>
        <row r="450">
          <cell r="C450">
            <v>267</v>
          </cell>
          <cell r="F450">
            <v>1</v>
          </cell>
          <cell r="G450">
            <v>1</v>
          </cell>
          <cell r="J450">
            <v>4</v>
          </cell>
          <cell r="K450">
            <v>4</v>
          </cell>
          <cell r="L450">
            <v>0</v>
          </cell>
          <cell r="M450">
            <v>0</v>
          </cell>
          <cell r="N450">
            <v>0</v>
          </cell>
          <cell r="O450">
            <v>0</v>
          </cell>
          <cell r="P450">
            <v>0</v>
          </cell>
          <cell r="Q450">
            <v>0</v>
          </cell>
          <cell r="R450">
            <v>0</v>
          </cell>
        </row>
        <row r="451">
          <cell r="C451">
            <v>268</v>
          </cell>
          <cell r="F451">
            <v>1</v>
          </cell>
          <cell r="G451">
            <v>1</v>
          </cell>
          <cell r="J451">
            <v>3</v>
          </cell>
          <cell r="K451">
            <v>3</v>
          </cell>
          <cell r="L451">
            <v>0</v>
          </cell>
          <cell r="M451">
            <v>0</v>
          </cell>
          <cell r="N451">
            <v>0</v>
          </cell>
          <cell r="O451">
            <v>0</v>
          </cell>
          <cell r="P451">
            <v>0</v>
          </cell>
          <cell r="Q451">
            <v>0</v>
          </cell>
          <cell r="R451">
            <v>0</v>
          </cell>
        </row>
        <row r="452">
          <cell r="C452">
            <v>269</v>
          </cell>
          <cell r="F452">
            <v>1</v>
          </cell>
          <cell r="G452">
            <v>1</v>
          </cell>
          <cell r="J452">
            <v>10</v>
          </cell>
          <cell r="K452">
            <v>10</v>
          </cell>
          <cell r="L452">
            <v>0</v>
          </cell>
          <cell r="M452">
            <v>0</v>
          </cell>
          <cell r="N452">
            <v>0</v>
          </cell>
          <cell r="O452">
            <v>0</v>
          </cell>
          <cell r="P452">
            <v>0</v>
          </cell>
          <cell r="Q452">
            <v>0</v>
          </cell>
          <cell r="R452">
            <v>0</v>
          </cell>
        </row>
        <row r="453">
          <cell r="C453">
            <v>271</v>
          </cell>
          <cell r="F453">
            <v>1</v>
          </cell>
          <cell r="G453">
            <v>1</v>
          </cell>
          <cell r="J453">
            <v>2</v>
          </cell>
          <cell r="K453">
            <v>2</v>
          </cell>
          <cell r="L453">
            <v>0</v>
          </cell>
          <cell r="M453">
            <v>0</v>
          </cell>
          <cell r="N453">
            <v>0</v>
          </cell>
          <cell r="O453">
            <v>0</v>
          </cell>
          <cell r="P453">
            <v>0</v>
          </cell>
          <cell r="Q453">
            <v>0</v>
          </cell>
          <cell r="R453">
            <v>0</v>
          </cell>
        </row>
        <row r="454">
          <cell r="C454">
            <v>272</v>
          </cell>
          <cell r="F454">
            <v>1</v>
          </cell>
          <cell r="G454">
            <v>1</v>
          </cell>
          <cell r="J454">
            <v>15</v>
          </cell>
          <cell r="K454">
            <v>15</v>
          </cell>
          <cell r="L454">
            <v>0</v>
          </cell>
          <cell r="M454">
            <v>0</v>
          </cell>
          <cell r="N454">
            <v>0</v>
          </cell>
          <cell r="O454">
            <v>0</v>
          </cell>
          <cell r="P454">
            <v>0</v>
          </cell>
          <cell r="Q454">
            <v>0</v>
          </cell>
          <cell r="R454">
            <v>0</v>
          </cell>
        </row>
        <row r="455">
          <cell r="C455">
            <v>273</v>
          </cell>
          <cell r="F455">
            <v>1</v>
          </cell>
          <cell r="G455">
            <v>1</v>
          </cell>
          <cell r="J455">
            <v>28</v>
          </cell>
          <cell r="K455">
            <v>28</v>
          </cell>
          <cell r="L455">
            <v>0</v>
          </cell>
          <cell r="M455">
            <v>0</v>
          </cell>
          <cell r="N455">
            <v>0</v>
          </cell>
          <cell r="O455">
            <v>0</v>
          </cell>
          <cell r="P455">
            <v>0</v>
          </cell>
          <cell r="Q455">
            <v>0</v>
          </cell>
          <cell r="R455">
            <v>0</v>
          </cell>
        </row>
        <row r="456">
          <cell r="C456">
            <v>274</v>
          </cell>
          <cell r="F456">
            <v>1</v>
          </cell>
          <cell r="G456">
            <v>1</v>
          </cell>
          <cell r="J456">
            <v>1</v>
          </cell>
          <cell r="K456">
            <v>1</v>
          </cell>
          <cell r="L456">
            <v>0</v>
          </cell>
          <cell r="M456">
            <v>0</v>
          </cell>
          <cell r="N456">
            <v>0</v>
          </cell>
          <cell r="O456">
            <v>0</v>
          </cell>
          <cell r="P456">
            <v>0</v>
          </cell>
          <cell r="Q456">
            <v>0</v>
          </cell>
          <cell r="R456">
            <v>0</v>
          </cell>
        </row>
        <row r="457">
          <cell r="C457">
            <v>275</v>
          </cell>
          <cell r="F457">
            <v>1</v>
          </cell>
          <cell r="G457">
            <v>1</v>
          </cell>
          <cell r="J457">
            <v>11</v>
          </cell>
          <cell r="K457">
            <v>11</v>
          </cell>
          <cell r="L457">
            <v>0</v>
          </cell>
          <cell r="M457">
            <v>0</v>
          </cell>
          <cell r="N457">
            <v>0</v>
          </cell>
          <cell r="O457">
            <v>0</v>
          </cell>
          <cell r="P457">
            <v>0</v>
          </cell>
          <cell r="Q457">
            <v>0</v>
          </cell>
          <cell r="R457">
            <v>0</v>
          </cell>
        </row>
        <row r="458">
          <cell r="C458">
            <v>278</v>
          </cell>
          <cell r="F458">
            <v>1</v>
          </cell>
          <cell r="G458">
            <v>1</v>
          </cell>
          <cell r="J458">
            <v>6</v>
          </cell>
          <cell r="K458">
            <v>6</v>
          </cell>
          <cell r="L458">
            <v>0</v>
          </cell>
          <cell r="M458">
            <v>0</v>
          </cell>
          <cell r="N458">
            <v>0</v>
          </cell>
          <cell r="O458">
            <v>0</v>
          </cell>
          <cell r="P458">
            <v>0</v>
          </cell>
          <cell r="Q458">
            <v>0</v>
          </cell>
          <cell r="R458">
            <v>0</v>
          </cell>
        </row>
        <row r="459">
          <cell r="C459">
            <v>279</v>
          </cell>
          <cell r="F459">
            <v>1</v>
          </cell>
          <cell r="G459">
            <v>1</v>
          </cell>
          <cell r="J459">
            <v>4</v>
          </cell>
          <cell r="K459">
            <v>4</v>
          </cell>
          <cell r="L459">
            <v>0</v>
          </cell>
          <cell r="M459">
            <v>0</v>
          </cell>
          <cell r="N459">
            <v>0</v>
          </cell>
          <cell r="O459">
            <v>0</v>
          </cell>
          <cell r="P459">
            <v>0</v>
          </cell>
          <cell r="Q459">
            <v>0</v>
          </cell>
          <cell r="R459">
            <v>0</v>
          </cell>
        </row>
        <row r="460">
          <cell r="C460">
            <v>280</v>
          </cell>
          <cell r="F460">
            <v>1</v>
          </cell>
          <cell r="G460">
            <v>1</v>
          </cell>
          <cell r="J460">
            <v>6</v>
          </cell>
          <cell r="K460">
            <v>6</v>
          </cell>
          <cell r="L460">
            <v>0</v>
          </cell>
          <cell r="M460">
            <v>0</v>
          </cell>
          <cell r="N460">
            <v>0</v>
          </cell>
          <cell r="O460">
            <v>0</v>
          </cell>
          <cell r="P460">
            <v>0</v>
          </cell>
          <cell r="Q460">
            <v>0</v>
          </cell>
          <cell r="R460">
            <v>0</v>
          </cell>
        </row>
        <row r="461">
          <cell r="C461">
            <v>281</v>
          </cell>
          <cell r="F461">
            <v>1</v>
          </cell>
          <cell r="G461">
            <v>1</v>
          </cell>
          <cell r="J461">
            <v>1</v>
          </cell>
          <cell r="K461">
            <v>1</v>
          </cell>
          <cell r="L461">
            <v>0</v>
          </cell>
          <cell r="M461">
            <v>0</v>
          </cell>
          <cell r="N461">
            <v>0</v>
          </cell>
          <cell r="O461">
            <v>0</v>
          </cell>
          <cell r="P461">
            <v>0</v>
          </cell>
          <cell r="Q461">
            <v>0</v>
          </cell>
          <cell r="R461">
            <v>0</v>
          </cell>
        </row>
        <row r="462">
          <cell r="C462">
            <v>282</v>
          </cell>
          <cell r="F462">
            <v>1</v>
          </cell>
          <cell r="G462">
            <v>1</v>
          </cell>
          <cell r="J462">
            <v>6</v>
          </cell>
          <cell r="K462">
            <v>6</v>
          </cell>
          <cell r="L462">
            <v>0</v>
          </cell>
          <cell r="M462">
            <v>0</v>
          </cell>
          <cell r="N462">
            <v>0</v>
          </cell>
          <cell r="O462">
            <v>0</v>
          </cell>
          <cell r="P462">
            <v>0</v>
          </cell>
          <cell r="Q462">
            <v>0</v>
          </cell>
          <cell r="R462">
            <v>0</v>
          </cell>
        </row>
        <row r="463">
          <cell r="C463">
            <v>285</v>
          </cell>
          <cell r="F463">
            <v>1</v>
          </cell>
          <cell r="G463">
            <v>1</v>
          </cell>
          <cell r="J463">
            <v>8</v>
          </cell>
          <cell r="K463">
            <v>8</v>
          </cell>
          <cell r="L463">
            <v>0</v>
          </cell>
          <cell r="M463">
            <v>0</v>
          </cell>
          <cell r="N463">
            <v>0</v>
          </cell>
          <cell r="O463">
            <v>0</v>
          </cell>
          <cell r="P463">
            <v>0</v>
          </cell>
          <cell r="Q463">
            <v>0</v>
          </cell>
          <cell r="R463">
            <v>0</v>
          </cell>
        </row>
        <row r="464">
          <cell r="C464">
            <v>286</v>
          </cell>
          <cell r="F464">
            <v>1</v>
          </cell>
          <cell r="G464">
            <v>1</v>
          </cell>
          <cell r="J464">
            <v>8</v>
          </cell>
          <cell r="K464">
            <v>8</v>
          </cell>
          <cell r="L464">
            <v>0</v>
          </cell>
          <cell r="M464">
            <v>0</v>
          </cell>
          <cell r="N464">
            <v>0</v>
          </cell>
          <cell r="O464">
            <v>0</v>
          </cell>
          <cell r="P464">
            <v>0</v>
          </cell>
          <cell r="Q464">
            <v>0</v>
          </cell>
          <cell r="R464">
            <v>0</v>
          </cell>
        </row>
        <row r="465">
          <cell r="C465">
            <v>321</v>
          </cell>
          <cell r="F465">
            <v>1</v>
          </cell>
          <cell r="G465">
            <v>1</v>
          </cell>
          <cell r="J465">
            <v>1</v>
          </cell>
          <cell r="K465">
            <v>1</v>
          </cell>
          <cell r="L465">
            <v>0</v>
          </cell>
          <cell r="M465">
            <v>0</v>
          </cell>
          <cell r="N465">
            <v>0</v>
          </cell>
          <cell r="O465">
            <v>0</v>
          </cell>
          <cell r="P465">
            <v>0</v>
          </cell>
          <cell r="Q465">
            <v>0</v>
          </cell>
          <cell r="R465">
            <v>0</v>
          </cell>
        </row>
        <row r="466">
          <cell r="C466">
            <v>322</v>
          </cell>
          <cell r="F466">
            <v>1</v>
          </cell>
          <cell r="G466">
            <v>1</v>
          </cell>
          <cell r="J466">
            <v>1</v>
          </cell>
          <cell r="K466">
            <v>1</v>
          </cell>
          <cell r="L466">
            <v>0</v>
          </cell>
          <cell r="M466">
            <v>0</v>
          </cell>
          <cell r="N466">
            <v>0</v>
          </cell>
          <cell r="O466">
            <v>0</v>
          </cell>
          <cell r="P466">
            <v>0</v>
          </cell>
          <cell r="Q466">
            <v>0</v>
          </cell>
          <cell r="R466">
            <v>0</v>
          </cell>
        </row>
        <row r="467">
          <cell r="C467">
            <v>323</v>
          </cell>
          <cell r="F467">
            <v>1</v>
          </cell>
          <cell r="G467">
            <v>1</v>
          </cell>
          <cell r="J467">
            <v>18</v>
          </cell>
          <cell r="K467">
            <v>18</v>
          </cell>
          <cell r="L467">
            <v>0</v>
          </cell>
          <cell r="M467">
            <v>0</v>
          </cell>
          <cell r="N467">
            <v>0</v>
          </cell>
          <cell r="O467">
            <v>0</v>
          </cell>
          <cell r="P467">
            <v>0</v>
          </cell>
          <cell r="Q467">
            <v>0</v>
          </cell>
          <cell r="R467">
            <v>0</v>
          </cell>
        </row>
        <row r="468">
          <cell r="C468">
            <v>324</v>
          </cell>
          <cell r="F468">
            <v>1</v>
          </cell>
          <cell r="G468">
            <v>1</v>
          </cell>
          <cell r="J468">
            <v>1</v>
          </cell>
          <cell r="K468">
            <v>1</v>
          </cell>
          <cell r="L468">
            <v>0</v>
          </cell>
          <cell r="M468">
            <v>0</v>
          </cell>
          <cell r="N468">
            <v>0</v>
          </cell>
          <cell r="O468">
            <v>0</v>
          </cell>
          <cell r="P468">
            <v>0</v>
          </cell>
          <cell r="Q468">
            <v>0</v>
          </cell>
          <cell r="R468">
            <v>0</v>
          </cell>
        </row>
        <row r="469">
          <cell r="C469">
            <v>325</v>
          </cell>
          <cell r="F469">
            <v>1</v>
          </cell>
          <cell r="G469">
            <v>1</v>
          </cell>
          <cell r="J469">
            <v>1</v>
          </cell>
          <cell r="K469">
            <v>1</v>
          </cell>
          <cell r="L469">
            <v>0</v>
          </cell>
          <cell r="M469">
            <v>0</v>
          </cell>
          <cell r="N469">
            <v>0</v>
          </cell>
          <cell r="O469">
            <v>0</v>
          </cell>
          <cell r="P469">
            <v>0</v>
          </cell>
          <cell r="Q469">
            <v>0</v>
          </cell>
          <cell r="R469">
            <v>0</v>
          </cell>
        </row>
        <row r="470">
          <cell r="C470">
            <v>326</v>
          </cell>
          <cell r="F470">
            <v>1</v>
          </cell>
          <cell r="G470">
            <v>1</v>
          </cell>
          <cell r="J470">
            <v>1</v>
          </cell>
          <cell r="K470">
            <v>1</v>
          </cell>
          <cell r="L470">
            <v>0</v>
          </cell>
          <cell r="M470">
            <v>0</v>
          </cell>
          <cell r="N470">
            <v>0</v>
          </cell>
          <cell r="O470">
            <v>0</v>
          </cell>
          <cell r="P470">
            <v>0</v>
          </cell>
          <cell r="Q470">
            <v>0</v>
          </cell>
          <cell r="R470">
            <v>0</v>
          </cell>
        </row>
        <row r="471">
          <cell r="C471">
            <v>328</v>
          </cell>
          <cell r="F471">
            <v>1</v>
          </cell>
          <cell r="G471">
            <v>1</v>
          </cell>
          <cell r="J471">
            <v>1</v>
          </cell>
          <cell r="K471">
            <v>1</v>
          </cell>
          <cell r="L471">
            <v>0</v>
          </cell>
          <cell r="M471">
            <v>0</v>
          </cell>
          <cell r="N471">
            <v>0</v>
          </cell>
          <cell r="O471">
            <v>0</v>
          </cell>
          <cell r="P471">
            <v>0</v>
          </cell>
          <cell r="Q471">
            <v>0</v>
          </cell>
          <cell r="R471">
            <v>0</v>
          </cell>
        </row>
        <row r="472">
          <cell r="C472">
            <v>329</v>
          </cell>
          <cell r="F472">
            <v>1</v>
          </cell>
          <cell r="G472">
            <v>1</v>
          </cell>
          <cell r="J472">
            <v>1</v>
          </cell>
          <cell r="K472">
            <v>1</v>
          </cell>
          <cell r="L472">
            <v>0</v>
          </cell>
          <cell r="M472">
            <v>0</v>
          </cell>
          <cell r="N472">
            <v>0</v>
          </cell>
          <cell r="O472">
            <v>0</v>
          </cell>
          <cell r="P472">
            <v>0</v>
          </cell>
          <cell r="Q472">
            <v>0</v>
          </cell>
          <cell r="R472">
            <v>0</v>
          </cell>
        </row>
        <row r="473">
          <cell r="C473">
            <v>330</v>
          </cell>
          <cell r="F473">
            <v>1</v>
          </cell>
          <cell r="G473">
            <v>1</v>
          </cell>
          <cell r="J473">
            <v>2</v>
          </cell>
          <cell r="K473">
            <v>2</v>
          </cell>
          <cell r="L473">
            <v>0</v>
          </cell>
          <cell r="M473">
            <v>0</v>
          </cell>
          <cell r="N473">
            <v>0</v>
          </cell>
          <cell r="O473">
            <v>0</v>
          </cell>
          <cell r="P473">
            <v>0</v>
          </cell>
          <cell r="Q473">
            <v>0</v>
          </cell>
          <cell r="R473">
            <v>0</v>
          </cell>
        </row>
        <row r="474">
          <cell r="C474">
            <v>331</v>
          </cell>
          <cell r="F474">
            <v>1</v>
          </cell>
          <cell r="G474">
            <v>1</v>
          </cell>
          <cell r="J474">
            <v>6</v>
          </cell>
          <cell r="K474">
            <v>6</v>
          </cell>
          <cell r="L474">
            <v>0</v>
          </cell>
          <cell r="M474">
            <v>0</v>
          </cell>
          <cell r="N474">
            <v>0</v>
          </cell>
          <cell r="O474">
            <v>0</v>
          </cell>
          <cell r="P474">
            <v>0</v>
          </cell>
          <cell r="Q474">
            <v>0</v>
          </cell>
          <cell r="R474">
            <v>0</v>
          </cell>
        </row>
        <row r="475">
          <cell r="C475">
            <v>332</v>
          </cell>
          <cell r="F475">
            <v>1</v>
          </cell>
          <cell r="G475">
            <v>1</v>
          </cell>
          <cell r="J475">
            <v>220</v>
          </cell>
          <cell r="K475">
            <v>220</v>
          </cell>
          <cell r="L475">
            <v>0</v>
          </cell>
          <cell r="M475">
            <v>0</v>
          </cell>
          <cell r="N475">
            <v>0</v>
          </cell>
          <cell r="O475">
            <v>0</v>
          </cell>
          <cell r="P475">
            <v>0</v>
          </cell>
          <cell r="Q475">
            <v>0</v>
          </cell>
          <cell r="R475">
            <v>0</v>
          </cell>
        </row>
        <row r="476">
          <cell r="C476">
            <v>333</v>
          </cell>
          <cell r="F476">
            <v>1</v>
          </cell>
          <cell r="G476">
            <v>1</v>
          </cell>
          <cell r="J476">
            <v>6</v>
          </cell>
          <cell r="K476">
            <v>6</v>
          </cell>
          <cell r="L476">
            <v>0</v>
          </cell>
          <cell r="M476">
            <v>0</v>
          </cell>
          <cell r="N476">
            <v>0</v>
          </cell>
          <cell r="O476">
            <v>0</v>
          </cell>
          <cell r="P476">
            <v>0</v>
          </cell>
          <cell r="Q476">
            <v>0</v>
          </cell>
          <cell r="R476">
            <v>0</v>
          </cell>
        </row>
        <row r="477">
          <cell r="C477">
            <v>334</v>
          </cell>
          <cell r="F477">
            <v>1</v>
          </cell>
          <cell r="G477">
            <v>1</v>
          </cell>
          <cell r="J477">
            <v>2</v>
          </cell>
          <cell r="K477">
            <v>2</v>
          </cell>
          <cell r="L477">
            <v>0</v>
          </cell>
          <cell r="M477">
            <v>0</v>
          </cell>
          <cell r="N477">
            <v>0</v>
          </cell>
          <cell r="O477">
            <v>0</v>
          </cell>
          <cell r="P477">
            <v>0</v>
          </cell>
          <cell r="Q477">
            <v>0</v>
          </cell>
          <cell r="R477">
            <v>0</v>
          </cell>
        </row>
        <row r="478">
          <cell r="C478">
            <v>336</v>
          </cell>
          <cell r="F478">
            <v>1</v>
          </cell>
          <cell r="G478">
            <v>1</v>
          </cell>
          <cell r="J478">
            <v>1</v>
          </cell>
          <cell r="K478">
            <v>1</v>
          </cell>
          <cell r="L478">
            <v>0</v>
          </cell>
          <cell r="M478">
            <v>0</v>
          </cell>
          <cell r="N478">
            <v>0</v>
          </cell>
          <cell r="O478">
            <v>0</v>
          </cell>
          <cell r="P478">
            <v>0</v>
          </cell>
          <cell r="Q478">
            <v>0</v>
          </cell>
          <cell r="R478">
            <v>0</v>
          </cell>
        </row>
        <row r="479">
          <cell r="C479">
            <v>339</v>
          </cell>
          <cell r="F479">
            <v>1</v>
          </cell>
          <cell r="G479">
            <v>1</v>
          </cell>
          <cell r="J479">
            <v>10</v>
          </cell>
          <cell r="K479">
            <v>10</v>
          </cell>
          <cell r="L479">
            <v>0</v>
          </cell>
          <cell r="M479">
            <v>0</v>
          </cell>
          <cell r="N479">
            <v>0</v>
          </cell>
          <cell r="O479">
            <v>0</v>
          </cell>
          <cell r="P479">
            <v>0</v>
          </cell>
          <cell r="Q479">
            <v>0</v>
          </cell>
          <cell r="R479">
            <v>0</v>
          </cell>
        </row>
        <row r="480">
          <cell r="C480">
            <v>341</v>
          </cell>
          <cell r="F480">
            <v>1</v>
          </cell>
          <cell r="G480">
            <v>1</v>
          </cell>
          <cell r="J480">
            <v>7</v>
          </cell>
          <cell r="K480">
            <v>7</v>
          </cell>
          <cell r="L480">
            <v>0</v>
          </cell>
          <cell r="M480">
            <v>0</v>
          </cell>
          <cell r="N480">
            <v>0</v>
          </cell>
          <cell r="O480">
            <v>0</v>
          </cell>
          <cell r="P480">
            <v>0</v>
          </cell>
          <cell r="Q480">
            <v>0</v>
          </cell>
          <cell r="R480">
            <v>0</v>
          </cell>
        </row>
        <row r="481">
          <cell r="C481">
            <v>342</v>
          </cell>
          <cell r="F481">
            <v>1</v>
          </cell>
          <cell r="G481">
            <v>1</v>
          </cell>
          <cell r="J481">
            <v>16</v>
          </cell>
          <cell r="K481">
            <v>16</v>
          </cell>
          <cell r="L481">
            <v>0</v>
          </cell>
          <cell r="M481">
            <v>0</v>
          </cell>
          <cell r="N481">
            <v>0</v>
          </cell>
          <cell r="O481">
            <v>0</v>
          </cell>
          <cell r="P481">
            <v>0</v>
          </cell>
          <cell r="Q481">
            <v>0</v>
          </cell>
          <cell r="R481">
            <v>0</v>
          </cell>
        </row>
        <row r="482">
          <cell r="C482">
            <v>345</v>
          </cell>
          <cell r="F482">
            <v>1</v>
          </cell>
          <cell r="G482">
            <v>1</v>
          </cell>
          <cell r="J482">
            <v>1</v>
          </cell>
          <cell r="K482">
            <v>1</v>
          </cell>
          <cell r="L482">
            <v>0</v>
          </cell>
          <cell r="M482">
            <v>0</v>
          </cell>
          <cell r="N482">
            <v>0</v>
          </cell>
          <cell r="O482">
            <v>0</v>
          </cell>
          <cell r="P482">
            <v>0</v>
          </cell>
          <cell r="Q482">
            <v>0</v>
          </cell>
          <cell r="R482">
            <v>0</v>
          </cell>
        </row>
        <row r="483">
          <cell r="C483">
            <v>346</v>
          </cell>
          <cell r="F483">
            <v>1</v>
          </cell>
          <cell r="G483">
            <v>1</v>
          </cell>
          <cell r="J483">
            <v>2</v>
          </cell>
          <cell r="K483">
            <v>2</v>
          </cell>
          <cell r="L483">
            <v>0</v>
          </cell>
          <cell r="M483">
            <v>0</v>
          </cell>
          <cell r="N483">
            <v>0</v>
          </cell>
          <cell r="O483">
            <v>0</v>
          </cell>
          <cell r="P483">
            <v>0</v>
          </cell>
          <cell r="Q483">
            <v>0</v>
          </cell>
          <cell r="R483">
            <v>0</v>
          </cell>
        </row>
        <row r="484">
          <cell r="C484">
            <v>359</v>
          </cell>
          <cell r="F484">
            <v>1</v>
          </cell>
          <cell r="G484">
            <v>1</v>
          </cell>
          <cell r="J484">
            <v>4</v>
          </cell>
          <cell r="K484">
            <v>4</v>
          </cell>
          <cell r="L484">
            <v>0</v>
          </cell>
          <cell r="M484">
            <v>0</v>
          </cell>
          <cell r="N484">
            <v>0</v>
          </cell>
          <cell r="O484">
            <v>0</v>
          </cell>
          <cell r="P484">
            <v>0</v>
          </cell>
          <cell r="Q484">
            <v>0</v>
          </cell>
          <cell r="R484">
            <v>0</v>
          </cell>
        </row>
        <row r="485">
          <cell r="C485">
            <v>360</v>
          </cell>
          <cell r="F485">
            <v>1</v>
          </cell>
          <cell r="G485">
            <v>1</v>
          </cell>
          <cell r="J485">
            <v>4</v>
          </cell>
          <cell r="K485">
            <v>4</v>
          </cell>
          <cell r="L485">
            <v>0</v>
          </cell>
          <cell r="M485">
            <v>0</v>
          </cell>
          <cell r="N485">
            <v>0</v>
          </cell>
          <cell r="O485">
            <v>0</v>
          </cell>
          <cell r="P485">
            <v>0</v>
          </cell>
          <cell r="Q485">
            <v>0</v>
          </cell>
          <cell r="R485">
            <v>0</v>
          </cell>
        </row>
        <row r="486">
          <cell r="C486">
            <v>366</v>
          </cell>
          <cell r="F486">
            <v>1</v>
          </cell>
          <cell r="G486">
            <v>1</v>
          </cell>
          <cell r="J486">
            <v>1</v>
          </cell>
          <cell r="K486">
            <v>1</v>
          </cell>
          <cell r="L486">
            <v>0</v>
          </cell>
          <cell r="M486">
            <v>0</v>
          </cell>
          <cell r="N486">
            <v>0</v>
          </cell>
          <cell r="O486">
            <v>0</v>
          </cell>
          <cell r="P486">
            <v>0</v>
          </cell>
          <cell r="Q486">
            <v>0</v>
          </cell>
          <cell r="R486">
            <v>0</v>
          </cell>
        </row>
        <row r="487">
          <cell r="C487">
            <v>405</v>
          </cell>
          <cell r="F487">
            <v>1</v>
          </cell>
          <cell r="G487">
            <v>1</v>
          </cell>
          <cell r="J487">
            <v>10</v>
          </cell>
          <cell r="K487">
            <v>0</v>
          </cell>
          <cell r="L487">
            <v>0</v>
          </cell>
          <cell r="M487">
            <v>0</v>
          </cell>
          <cell r="N487">
            <v>10</v>
          </cell>
          <cell r="O487">
            <v>0</v>
          </cell>
          <cell r="P487">
            <v>0</v>
          </cell>
          <cell r="Q487">
            <v>0</v>
          </cell>
          <cell r="R487">
            <v>0</v>
          </cell>
        </row>
        <row r="488">
          <cell r="C488">
            <v>406</v>
          </cell>
          <cell r="F488">
            <v>1</v>
          </cell>
          <cell r="G488">
            <v>1</v>
          </cell>
          <cell r="J488">
            <v>5</v>
          </cell>
          <cell r="K488">
            <v>0</v>
          </cell>
          <cell r="L488">
            <v>0</v>
          </cell>
          <cell r="M488">
            <v>0</v>
          </cell>
          <cell r="N488">
            <v>5</v>
          </cell>
          <cell r="O488">
            <v>0</v>
          </cell>
          <cell r="P488">
            <v>0</v>
          </cell>
          <cell r="Q488">
            <v>0</v>
          </cell>
          <cell r="R488">
            <v>0</v>
          </cell>
        </row>
        <row r="489">
          <cell r="C489">
            <v>407</v>
          </cell>
          <cell r="F489">
            <v>1</v>
          </cell>
          <cell r="G489">
            <v>1</v>
          </cell>
          <cell r="J489">
            <v>3</v>
          </cell>
          <cell r="K489">
            <v>0</v>
          </cell>
          <cell r="L489">
            <v>2</v>
          </cell>
          <cell r="M489">
            <v>0</v>
          </cell>
          <cell r="N489">
            <v>5</v>
          </cell>
          <cell r="O489">
            <v>0</v>
          </cell>
          <cell r="P489">
            <v>0</v>
          </cell>
          <cell r="Q489">
            <v>0</v>
          </cell>
          <cell r="R489">
            <v>0</v>
          </cell>
        </row>
      </sheetData>
      <sheetData sheetId="15">
        <row r="8">
          <cell r="C8">
            <v>6</v>
          </cell>
          <cell r="F8">
            <v>1</v>
          </cell>
          <cell r="G8">
            <v>1</v>
          </cell>
          <cell r="H8">
            <v>46174</v>
          </cell>
          <cell r="I8">
            <v>0</v>
          </cell>
          <cell r="J8">
            <v>10</v>
          </cell>
          <cell r="K8">
            <v>0</v>
          </cell>
          <cell r="L8">
            <v>20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</row>
        <row r="9">
          <cell r="C9">
            <v>153</v>
          </cell>
          <cell r="F9">
            <v>1</v>
          </cell>
          <cell r="G9">
            <v>1</v>
          </cell>
          <cell r="H9">
            <v>46174</v>
          </cell>
          <cell r="I9">
            <v>0</v>
          </cell>
          <cell r="J9">
            <v>1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</row>
        <row r="10">
          <cell r="C10">
            <v>179</v>
          </cell>
          <cell r="F10">
            <v>1</v>
          </cell>
          <cell r="G10">
            <v>1</v>
          </cell>
          <cell r="H10">
            <v>46174</v>
          </cell>
          <cell r="I10">
            <v>0</v>
          </cell>
          <cell r="J10">
            <v>15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</row>
        <row r="11">
          <cell r="C11">
            <v>192</v>
          </cell>
          <cell r="F11">
            <v>1</v>
          </cell>
          <cell r="G11">
            <v>1</v>
          </cell>
          <cell r="H11">
            <v>46174</v>
          </cell>
          <cell r="I11">
            <v>0</v>
          </cell>
          <cell r="J11">
            <v>4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</row>
        <row r="12">
          <cell r="C12">
            <v>187</v>
          </cell>
          <cell r="F12">
            <v>1</v>
          </cell>
          <cell r="G12">
            <v>1</v>
          </cell>
          <cell r="H12">
            <v>46174</v>
          </cell>
          <cell r="I12">
            <v>0</v>
          </cell>
          <cell r="J12">
            <v>12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</row>
        <row r="13">
          <cell r="C13">
            <v>4</v>
          </cell>
          <cell r="F13">
            <v>1</v>
          </cell>
          <cell r="G13">
            <v>1</v>
          </cell>
          <cell r="H13">
            <v>46174</v>
          </cell>
          <cell r="I13">
            <v>0</v>
          </cell>
          <cell r="J13">
            <v>1</v>
          </cell>
          <cell r="K13">
            <v>0</v>
          </cell>
          <cell r="L13">
            <v>8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</row>
        <row r="14">
          <cell r="C14">
            <v>10</v>
          </cell>
          <cell r="F14">
            <v>1</v>
          </cell>
          <cell r="G14">
            <v>1</v>
          </cell>
          <cell r="H14">
            <v>46174</v>
          </cell>
          <cell r="I14">
            <v>0</v>
          </cell>
          <cell r="J14">
            <v>1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</row>
        <row r="15">
          <cell r="C15">
            <v>105</v>
          </cell>
          <cell r="F15">
            <v>1</v>
          </cell>
          <cell r="G15">
            <v>1</v>
          </cell>
          <cell r="H15">
            <v>46174</v>
          </cell>
          <cell r="I15">
            <v>0</v>
          </cell>
          <cell r="J15">
            <v>1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</row>
        <row r="16">
          <cell r="C16">
            <v>48</v>
          </cell>
          <cell r="F16">
            <v>1</v>
          </cell>
          <cell r="G16">
            <v>1</v>
          </cell>
          <cell r="H16">
            <v>46174</v>
          </cell>
          <cell r="I16">
            <v>0</v>
          </cell>
          <cell r="J16">
            <v>3</v>
          </cell>
          <cell r="K16">
            <v>0</v>
          </cell>
          <cell r="L16">
            <v>14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</row>
        <row r="17">
          <cell r="C17">
            <v>169</v>
          </cell>
          <cell r="F17">
            <v>1</v>
          </cell>
          <cell r="G17">
            <v>1</v>
          </cell>
          <cell r="H17">
            <v>46174</v>
          </cell>
          <cell r="I17">
            <v>0</v>
          </cell>
          <cell r="J17">
            <v>1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</row>
        <row r="18">
          <cell r="C18">
            <v>195</v>
          </cell>
          <cell r="F18">
            <v>1</v>
          </cell>
          <cell r="G18">
            <v>1</v>
          </cell>
          <cell r="H18">
            <v>46175</v>
          </cell>
          <cell r="I18">
            <v>0</v>
          </cell>
          <cell r="J18">
            <v>24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</row>
        <row r="19">
          <cell r="C19">
            <v>187</v>
          </cell>
          <cell r="F19">
            <v>1</v>
          </cell>
          <cell r="G19">
            <v>1</v>
          </cell>
          <cell r="H19">
            <v>46175</v>
          </cell>
          <cell r="I19">
            <v>0</v>
          </cell>
          <cell r="J19">
            <v>44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</row>
        <row r="20">
          <cell r="C20">
            <v>186</v>
          </cell>
          <cell r="F20">
            <v>1</v>
          </cell>
          <cell r="G20">
            <v>1</v>
          </cell>
          <cell r="H20">
            <v>46175</v>
          </cell>
          <cell r="I20">
            <v>0</v>
          </cell>
          <cell r="J20">
            <v>12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</row>
        <row r="21">
          <cell r="C21">
            <v>182</v>
          </cell>
          <cell r="F21">
            <v>1</v>
          </cell>
          <cell r="G21">
            <v>1</v>
          </cell>
          <cell r="H21">
            <v>46175</v>
          </cell>
          <cell r="I21">
            <v>0</v>
          </cell>
          <cell r="J21">
            <v>60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</row>
        <row r="22">
          <cell r="C22">
            <v>96</v>
          </cell>
          <cell r="F22">
            <v>1</v>
          </cell>
          <cell r="G22">
            <v>1</v>
          </cell>
          <cell r="H22">
            <v>46175</v>
          </cell>
          <cell r="I22">
            <v>0</v>
          </cell>
          <cell r="J22">
            <v>2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</row>
        <row r="23">
          <cell r="C23">
            <v>97</v>
          </cell>
          <cell r="F23">
            <v>1</v>
          </cell>
          <cell r="G23">
            <v>1</v>
          </cell>
          <cell r="H23">
            <v>46175</v>
          </cell>
          <cell r="I23">
            <v>0</v>
          </cell>
          <cell r="J23">
            <v>2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</row>
        <row r="24">
          <cell r="C24">
            <v>22</v>
          </cell>
          <cell r="F24">
            <v>1</v>
          </cell>
          <cell r="G24">
            <v>1</v>
          </cell>
          <cell r="H24">
            <v>46175</v>
          </cell>
          <cell r="I24">
            <v>0</v>
          </cell>
          <cell r="J24">
            <v>1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</row>
        <row r="25">
          <cell r="C25">
            <v>46</v>
          </cell>
          <cell r="F25">
            <v>1</v>
          </cell>
          <cell r="G25">
            <v>1</v>
          </cell>
          <cell r="H25">
            <v>46175</v>
          </cell>
          <cell r="I25">
            <v>0</v>
          </cell>
          <cell r="J25">
            <v>10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</row>
        <row r="26">
          <cell r="C26">
            <v>197</v>
          </cell>
          <cell r="F26">
            <v>1</v>
          </cell>
          <cell r="G26">
            <v>1</v>
          </cell>
          <cell r="H26">
            <v>46175</v>
          </cell>
          <cell r="I26">
            <v>0</v>
          </cell>
          <cell r="J26">
            <v>4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</row>
        <row r="27">
          <cell r="C27">
            <v>17</v>
          </cell>
          <cell r="F27">
            <v>1</v>
          </cell>
          <cell r="G27">
            <v>1</v>
          </cell>
          <cell r="H27">
            <v>46175</v>
          </cell>
          <cell r="I27">
            <v>0</v>
          </cell>
          <cell r="J27">
            <v>1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</row>
        <row r="28">
          <cell r="C28">
            <v>155</v>
          </cell>
          <cell r="F28">
            <v>1</v>
          </cell>
          <cell r="G28">
            <v>1</v>
          </cell>
          <cell r="H28">
            <v>46175</v>
          </cell>
          <cell r="I28">
            <v>0</v>
          </cell>
          <cell r="J28">
            <v>1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</row>
        <row r="29">
          <cell r="C29">
            <v>1</v>
          </cell>
          <cell r="F29">
            <v>1</v>
          </cell>
          <cell r="G29">
            <v>1</v>
          </cell>
          <cell r="H29">
            <v>46143</v>
          </cell>
          <cell r="I29">
            <v>0</v>
          </cell>
          <cell r="J29">
            <v>0</v>
          </cell>
          <cell r="K29">
            <v>0</v>
          </cell>
          <cell r="L29">
            <v>4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</row>
        <row r="30">
          <cell r="C30">
            <v>2</v>
          </cell>
          <cell r="F30">
            <v>1</v>
          </cell>
          <cell r="G30">
            <v>1</v>
          </cell>
          <cell r="H30">
            <v>46143</v>
          </cell>
          <cell r="I30">
            <v>0</v>
          </cell>
          <cell r="J30">
            <v>0</v>
          </cell>
          <cell r="K30">
            <v>0</v>
          </cell>
          <cell r="L30">
            <v>5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</row>
        <row r="31">
          <cell r="C31">
            <v>4</v>
          </cell>
          <cell r="F31">
            <v>1</v>
          </cell>
          <cell r="G31">
            <v>1</v>
          </cell>
          <cell r="H31">
            <v>46143</v>
          </cell>
          <cell r="I31">
            <v>0</v>
          </cell>
          <cell r="J31">
            <v>0</v>
          </cell>
          <cell r="K31">
            <v>0</v>
          </cell>
          <cell r="L31">
            <v>7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</row>
        <row r="32">
          <cell r="C32">
            <v>5</v>
          </cell>
          <cell r="F32">
            <v>1</v>
          </cell>
          <cell r="G32">
            <v>1</v>
          </cell>
          <cell r="H32">
            <v>46143</v>
          </cell>
          <cell r="I32">
            <v>0</v>
          </cell>
          <cell r="J32">
            <v>0</v>
          </cell>
          <cell r="K32">
            <v>0</v>
          </cell>
          <cell r="L32">
            <v>6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</row>
        <row r="33">
          <cell r="C33">
            <v>10</v>
          </cell>
          <cell r="F33">
            <v>1</v>
          </cell>
          <cell r="G33">
            <v>1</v>
          </cell>
          <cell r="H33">
            <v>46143</v>
          </cell>
          <cell r="I33">
            <v>0</v>
          </cell>
          <cell r="J33">
            <v>0</v>
          </cell>
          <cell r="K33">
            <v>0</v>
          </cell>
          <cell r="L33">
            <v>10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</row>
        <row r="34">
          <cell r="C34">
            <v>11</v>
          </cell>
          <cell r="F34">
            <v>1</v>
          </cell>
          <cell r="G34">
            <v>1</v>
          </cell>
          <cell r="H34">
            <v>46143</v>
          </cell>
          <cell r="I34">
            <v>0</v>
          </cell>
          <cell r="J34">
            <v>0</v>
          </cell>
          <cell r="K34">
            <v>0</v>
          </cell>
          <cell r="L34">
            <v>10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</row>
        <row r="35">
          <cell r="C35">
            <v>13</v>
          </cell>
          <cell r="F35">
            <v>1</v>
          </cell>
          <cell r="G35">
            <v>1</v>
          </cell>
          <cell r="H35">
            <v>46143</v>
          </cell>
          <cell r="I35">
            <v>0</v>
          </cell>
          <cell r="J35">
            <v>0</v>
          </cell>
          <cell r="K35">
            <v>0</v>
          </cell>
          <cell r="L35">
            <v>8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</row>
        <row r="36">
          <cell r="C36">
            <v>14</v>
          </cell>
          <cell r="F36">
            <v>1</v>
          </cell>
          <cell r="G36">
            <v>1</v>
          </cell>
          <cell r="H36">
            <v>46143</v>
          </cell>
          <cell r="I36">
            <v>0</v>
          </cell>
          <cell r="J36">
            <v>0</v>
          </cell>
          <cell r="K36">
            <v>0</v>
          </cell>
          <cell r="L36">
            <v>12</v>
          </cell>
          <cell r="M36">
            <v>0</v>
          </cell>
          <cell r="N36">
            <v>0</v>
          </cell>
          <cell r="O36">
            <v>0</v>
          </cell>
          <cell r="P36">
            <v>0</v>
          </cell>
        </row>
        <row r="37">
          <cell r="C37">
            <v>16</v>
          </cell>
          <cell r="F37">
            <v>1</v>
          </cell>
          <cell r="G37">
            <v>1</v>
          </cell>
          <cell r="H37">
            <v>46143</v>
          </cell>
          <cell r="I37">
            <v>0</v>
          </cell>
          <cell r="J37">
            <v>0</v>
          </cell>
          <cell r="K37">
            <v>0</v>
          </cell>
          <cell r="L37">
            <v>15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</row>
        <row r="38">
          <cell r="C38">
            <v>17</v>
          </cell>
          <cell r="F38">
            <v>1</v>
          </cell>
          <cell r="G38">
            <v>1</v>
          </cell>
          <cell r="H38">
            <v>46143</v>
          </cell>
          <cell r="I38">
            <v>0</v>
          </cell>
          <cell r="J38">
            <v>0</v>
          </cell>
          <cell r="K38">
            <v>0</v>
          </cell>
          <cell r="L38">
            <v>20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</row>
        <row r="39">
          <cell r="C39">
            <v>18</v>
          </cell>
          <cell r="F39">
            <v>1</v>
          </cell>
          <cell r="G39">
            <v>1</v>
          </cell>
          <cell r="H39">
            <v>46143</v>
          </cell>
          <cell r="I39">
            <v>0</v>
          </cell>
          <cell r="J39">
            <v>0</v>
          </cell>
          <cell r="K39">
            <v>0</v>
          </cell>
          <cell r="L39">
            <v>18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</row>
        <row r="40">
          <cell r="C40">
            <v>19</v>
          </cell>
          <cell r="F40">
            <v>1</v>
          </cell>
          <cell r="G40">
            <v>1</v>
          </cell>
          <cell r="H40">
            <v>46143</v>
          </cell>
          <cell r="I40">
            <v>0</v>
          </cell>
          <cell r="J40">
            <v>0</v>
          </cell>
          <cell r="K40">
            <v>0</v>
          </cell>
          <cell r="L40">
            <v>5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</row>
        <row r="41">
          <cell r="C41">
            <v>20</v>
          </cell>
          <cell r="F41">
            <v>1</v>
          </cell>
          <cell r="G41">
            <v>1</v>
          </cell>
          <cell r="H41">
            <v>46143</v>
          </cell>
          <cell r="I41">
            <v>0</v>
          </cell>
          <cell r="J41">
            <v>0</v>
          </cell>
          <cell r="K41">
            <v>0</v>
          </cell>
          <cell r="L41">
            <v>3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</row>
        <row r="42">
          <cell r="C42">
            <v>22</v>
          </cell>
          <cell r="F42">
            <v>1</v>
          </cell>
          <cell r="G42">
            <v>1</v>
          </cell>
          <cell r="H42">
            <v>46143</v>
          </cell>
          <cell r="I42">
            <v>0</v>
          </cell>
          <cell r="J42">
            <v>0</v>
          </cell>
          <cell r="K42">
            <v>0</v>
          </cell>
          <cell r="L42">
            <v>7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</row>
        <row r="43">
          <cell r="C43">
            <v>26</v>
          </cell>
          <cell r="F43">
            <v>1</v>
          </cell>
          <cell r="G43">
            <v>1</v>
          </cell>
          <cell r="H43">
            <v>46146</v>
          </cell>
          <cell r="I43">
            <v>0</v>
          </cell>
          <cell r="J43">
            <v>0</v>
          </cell>
          <cell r="K43">
            <v>0</v>
          </cell>
          <cell r="L43">
            <v>5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</row>
        <row r="44">
          <cell r="C44">
            <v>101</v>
          </cell>
          <cell r="F44">
            <v>1</v>
          </cell>
          <cell r="G44">
            <v>1</v>
          </cell>
          <cell r="H44">
            <v>46146</v>
          </cell>
          <cell r="I44">
            <v>0</v>
          </cell>
          <cell r="J44">
            <v>0</v>
          </cell>
          <cell r="K44">
            <v>0</v>
          </cell>
          <cell r="L44">
            <v>22500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</row>
        <row r="45">
          <cell r="C45">
            <v>102</v>
          </cell>
          <cell r="F45">
            <v>1</v>
          </cell>
          <cell r="G45">
            <v>1</v>
          </cell>
          <cell r="H45">
            <v>46146</v>
          </cell>
          <cell r="I45">
            <v>0</v>
          </cell>
          <cell r="J45">
            <v>0</v>
          </cell>
          <cell r="K45">
            <v>0</v>
          </cell>
          <cell r="L45">
            <v>4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</row>
        <row r="46">
          <cell r="C46">
            <v>125</v>
          </cell>
          <cell r="F46">
            <v>1</v>
          </cell>
          <cell r="G46">
            <v>1</v>
          </cell>
          <cell r="H46">
            <v>46146</v>
          </cell>
          <cell r="I46">
            <v>0</v>
          </cell>
          <cell r="J46">
            <v>0</v>
          </cell>
          <cell r="K46">
            <v>0</v>
          </cell>
          <cell r="L46">
            <v>700</v>
          </cell>
          <cell r="M46">
            <v>0</v>
          </cell>
          <cell r="N46">
            <v>0</v>
          </cell>
          <cell r="O46">
            <v>0</v>
          </cell>
          <cell r="P46">
            <v>0</v>
          </cell>
        </row>
        <row r="47">
          <cell r="C47">
            <v>152</v>
          </cell>
          <cell r="F47">
            <v>1</v>
          </cell>
          <cell r="G47">
            <v>1</v>
          </cell>
          <cell r="H47">
            <v>46146</v>
          </cell>
          <cell r="I47">
            <v>0</v>
          </cell>
          <cell r="J47">
            <v>0</v>
          </cell>
          <cell r="K47">
            <v>0</v>
          </cell>
          <cell r="L47">
            <v>3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</row>
        <row r="48">
          <cell r="C48">
            <v>155</v>
          </cell>
          <cell r="F48">
            <v>1</v>
          </cell>
          <cell r="G48">
            <v>1</v>
          </cell>
          <cell r="H48">
            <v>46146</v>
          </cell>
          <cell r="I48">
            <v>0</v>
          </cell>
          <cell r="J48">
            <v>0</v>
          </cell>
          <cell r="K48">
            <v>0</v>
          </cell>
          <cell r="L48">
            <v>3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</row>
        <row r="49">
          <cell r="C49">
            <v>156</v>
          </cell>
          <cell r="F49">
            <v>1</v>
          </cell>
          <cell r="G49">
            <v>1</v>
          </cell>
          <cell r="H49">
            <v>46146</v>
          </cell>
          <cell r="I49">
            <v>0</v>
          </cell>
          <cell r="J49">
            <v>0</v>
          </cell>
          <cell r="K49">
            <v>0</v>
          </cell>
          <cell r="L49">
            <v>5</v>
          </cell>
          <cell r="M49">
            <v>0</v>
          </cell>
          <cell r="N49">
            <v>0</v>
          </cell>
          <cell r="O49">
            <v>0</v>
          </cell>
          <cell r="P49">
            <v>0</v>
          </cell>
        </row>
        <row r="50">
          <cell r="C50">
            <v>160</v>
          </cell>
          <cell r="F50">
            <v>1</v>
          </cell>
          <cell r="G50">
            <v>1</v>
          </cell>
          <cell r="H50">
            <v>46146</v>
          </cell>
          <cell r="I50">
            <v>0</v>
          </cell>
          <cell r="J50">
            <v>0</v>
          </cell>
          <cell r="K50">
            <v>0</v>
          </cell>
          <cell r="L50">
            <v>2</v>
          </cell>
          <cell r="M50">
            <v>0</v>
          </cell>
          <cell r="N50">
            <v>0</v>
          </cell>
          <cell r="O50">
            <v>0</v>
          </cell>
          <cell r="P50">
            <v>0</v>
          </cell>
        </row>
        <row r="51">
          <cell r="C51">
            <v>162</v>
          </cell>
          <cell r="F51">
            <v>1</v>
          </cell>
          <cell r="G51">
            <v>1</v>
          </cell>
          <cell r="H51">
            <v>46146</v>
          </cell>
          <cell r="I51">
            <v>0</v>
          </cell>
          <cell r="J51">
            <v>0</v>
          </cell>
          <cell r="K51">
            <v>0</v>
          </cell>
          <cell r="L51">
            <v>2</v>
          </cell>
          <cell r="M51">
            <v>0</v>
          </cell>
          <cell r="N51">
            <v>0</v>
          </cell>
          <cell r="O51">
            <v>0</v>
          </cell>
          <cell r="P51">
            <v>0</v>
          </cell>
        </row>
        <row r="52">
          <cell r="C52">
            <v>163</v>
          </cell>
          <cell r="F52">
            <v>1</v>
          </cell>
          <cell r="G52">
            <v>1</v>
          </cell>
          <cell r="H52">
            <v>46146</v>
          </cell>
          <cell r="I52">
            <v>0</v>
          </cell>
          <cell r="J52">
            <v>0</v>
          </cell>
          <cell r="K52">
            <v>0</v>
          </cell>
          <cell r="L52">
            <v>2</v>
          </cell>
          <cell r="M52">
            <v>0</v>
          </cell>
          <cell r="N52">
            <v>0</v>
          </cell>
          <cell r="O52">
            <v>0</v>
          </cell>
          <cell r="P52">
            <v>0</v>
          </cell>
        </row>
        <row r="53">
          <cell r="C53">
            <v>176</v>
          </cell>
          <cell r="F53">
            <v>1</v>
          </cell>
          <cell r="G53">
            <v>1</v>
          </cell>
          <cell r="H53">
            <v>46146</v>
          </cell>
          <cell r="I53">
            <v>0</v>
          </cell>
          <cell r="J53">
            <v>0</v>
          </cell>
          <cell r="K53">
            <v>0</v>
          </cell>
          <cell r="L53">
            <v>5000</v>
          </cell>
          <cell r="M53">
            <v>0</v>
          </cell>
          <cell r="N53">
            <v>0</v>
          </cell>
          <cell r="O53">
            <v>0</v>
          </cell>
          <cell r="P53">
            <v>0</v>
          </cell>
        </row>
        <row r="54">
          <cell r="C54">
            <v>177</v>
          </cell>
          <cell r="F54">
            <v>1</v>
          </cell>
          <cell r="G54">
            <v>1</v>
          </cell>
          <cell r="H54">
            <v>46146</v>
          </cell>
          <cell r="I54">
            <v>0</v>
          </cell>
          <cell r="J54">
            <v>0</v>
          </cell>
          <cell r="K54">
            <v>0</v>
          </cell>
          <cell r="L54">
            <v>12000</v>
          </cell>
          <cell r="M54">
            <v>0</v>
          </cell>
          <cell r="N54">
            <v>0</v>
          </cell>
          <cell r="O54">
            <v>0</v>
          </cell>
          <cell r="P54">
            <v>0</v>
          </cell>
        </row>
        <row r="55">
          <cell r="C55">
            <v>178</v>
          </cell>
          <cell r="F55">
            <v>1</v>
          </cell>
          <cell r="G55">
            <v>1</v>
          </cell>
          <cell r="H55">
            <v>46146</v>
          </cell>
          <cell r="I55">
            <v>0</v>
          </cell>
          <cell r="J55">
            <v>0</v>
          </cell>
          <cell r="K55">
            <v>0</v>
          </cell>
          <cell r="L55">
            <v>6000</v>
          </cell>
          <cell r="M55">
            <v>0</v>
          </cell>
          <cell r="N55">
            <v>0</v>
          </cell>
          <cell r="O55">
            <v>0</v>
          </cell>
          <cell r="P55">
            <v>0</v>
          </cell>
        </row>
        <row r="56">
          <cell r="C56">
            <v>179</v>
          </cell>
          <cell r="F56">
            <v>1</v>
          </cell>
          <cell r="G56">
            <v>1</v>
          </cell>
          <cell r="H56">
            <v>46146</v>
          </cell>
          <cell r="I56">
            <v>0</v>
          </cell>
          <cell r="J56">
            <v>0</v>
          </cell>
          <cell r="K56">
            <v>0</v>
          </cell>
          <cell r="L56">
            <v>4000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</row>
        <row r="57">
          <cell r="C57">
            <v>181</v>
          </cell>
          <cell r="F57">
            <v>1</v>
          </cell>
          <cell r="G57">
            <v>1</v>
          </cell>
          <cell r="H57">
            <v>46148</v>
          </cell>
          <cell r="I57">
            <v>0</v>
          </cell>
          <cell r="J57">
            <v>0</v>
          </cell>
          <cell r="K57">
            <v>0</v>
          </cell>
          <cell r="L57">
            <v>180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</row>
        <row r="58">
          <cell r="C58">
            <v>182</v>
          </cell>
          <cell r="F58">
            <v>1</v>
          </cell>
          <cell r="G58">
            <v>1</v>
          </cell>
          <cell r="H58">
            <v>46148</v>
          </cell>
          <cell r="I58">
            <v>0</v>
          </cell>
          <cell r="J58">
            <v>0</v>
          </cell>
          <cell r="K58">
            <v>0</v>
          </cell>
          <cell r="L58">
            <v>120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</row>
        <row r="59">
          <cell r="C59">
            <v>183</v>
          </cell>
          <cell r="F59">
            <v>1</v>
          </cell>
          <cell r="G59">
            <v>1</v>
          </cell>
          <cell r="H59">
            <v>46148</v>
          </cell>
          <cell r="I59">
            <v>0</v>
          </cell>
          <cell r="J59">
            <v>0</v>
          </cell>
          <cell r="K59">
            <v>0</v>
          </cell>
          <cell r="L59">
            <v>240</v>
          </cell>
          <cell r="M59">
            <v>0</v>
          </cell>
          <cell r="N59">
            <v>0</v>
          </cell>
          <cell r="O59">
            <v>0</v>
          </cell>
          <cell r="P59">
            <v>0</v>
          </cell>
        </row>
        <row r="60">
          <cell r="C60">
            <v>184</v>
          </cell>
          <cell r="F60">
            <v>1</v>
          </cell>
          <cell r="G60">
            <v>1</v>
          </cell>
          <cell r="H60">
            <v>46148</v>
          </cell>
          <cell r="I60">
            <v>0</v>
          </cell>
          <cell r="J60">
            <v>0</v>
          </cell>
          <cell r="K60">
            <v>0</v>
          </cell>
          <cell r="L60">
            <v>168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</row>
        <row r="61">
          <cell r="C61">
            <v>185</v>
          </cell>
          <cell r="F61">
            <v>1</v>
          </cell>
          <cell r="G61">
            <v>1</v>
          </cell>
          <cell r="H61">
            <v>46148</v>
          </cell>
          <cell r="I61">
            <v>0</v>
          </cell>
          <cell r="J61">
            <v>0</v>
          </cell>
          <cell r="K61">
            <v>0</v>
          </cell>
          <cell r="L61">
            <v>60</v>
          </cell>
          <cell r="M61">
            <v>0</v>
          </cell>
          <cell r="N61">
            <v>0</v>
          </cell>
          <cell r="O61">
            <v>0</v>
          </cell>
          <cell r="P61">
            <v>0</v>
          </cell>
        </row>
        <row r="62">
          <cell r="C62">
            <v>186</v>
          </cell>
          <cell r="F62">
            <v>1</v>
          </cell>
          <cell r="G62">
            <v>1</v>
          </cell>
          <cell r="H62">
            <v>46148</v>
          </cell>
          <cell r="I62">
            <v>0</v>
          </cell>
          <cell r="J62">
            <v>0</v>
          </cell>
          <cell r="K62">
            <v>0</v>
          </cell>
          <cell r="L62">
            <v>36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</row>
        <row r="63">
          <cell r="C63">
            <v>187</v>
          </cell>
          <cell r="F63">
            <v>1</v>
          </cell>
          <cell r="G63">
            <v>1</v>
          </cell>
          <cell r="H63">
            <v>46148</v>
          </cell>
          <cell r="I63">
            <v>0</v>
          </cell>
          <cell r="J63">
            <v>0</v>
          </cell>
          <cell r="K63">
            <v>0</v>
          </cell>
          <cell r="L63">
            <v>128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</row>
        <row r="64">
          <cell r="C64">
            <v>189</v>
          </cell>
          <cell r="F64">
            <v>1</v>
          </cell>
          <cell r="G64">
            <v>1</v>
          </cell>
          <cell r="H64">
            <v>46148</v>
          </cell>
          <cell r="I64">
            <v>0</v>
          </cell>
          <cell r="J64">
            <v>0</v>
          </cell>
          <cell r="K64">
            <v>0</v>
          </cell>
          <cell r="L64">
            <v>52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</row>
        <row r="65">
          <cell r="C65">
            <v>191</v>
          </cell>
          <cell r="F65">
            <v>1</v>
          </cell>
          <cell r="G65">
            <v>1</v>
          </cell>
          <cell r="H65">
            <v>46148</v>
          </cell>
          <cell r="I65">
            <v>0</v>
          </cell>
          <cell r="J65">
            <v>0</v>
          </cell>
          <cell r="K65">
            <v>0</v>
          </cell>
          <cell r="L65">
            <v>64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</row>
        <row r="66">
          <cell r="C66">
            <v>193</v>
          </cell>
          <cell r="F66">
            <v>1</v>
          </cell>
          <cell r="G66">
            <v>1</v>
          </cell>
          <cell r="H66">
            <v>46148</v>
          </cell>
          <cell r="I66">
            <v>0</v>
          </cell>
          <cell r="J66">
            <v>0</v>
          </cell>
          <cell r="K66">
            <v>0</v>
          </cell>
          <cell r="L66">
            <v>60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</row>
        <row r="67">
          <cell r="C67">
            <v>195</v>
          </cell>
          <cell r="F67">
            <v>1</v>
          </cell>
          <cell r="G67">
            <v>1</v>
          </cell>
          <cell r="H67">
            <v>46148</v>
          </cell>
          <cell r="I67">
            <v>0</v>
          </cell>
          <cell r="J67">
            <v>0</v>
          </cell>
          <cell r="K67">
            <v>0</v>
          </cell>
          <cell r="L67">
            <v>100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</row>
        <row r="68">
          <cell r="C68">
            <v>197</v>
          </cell>
          <cell r="F68">
            <v>1</v>
          </cell>
          <cell r="G68">
            <v>1</v>
          </cell>
          <cell r="H68">
            <v>46148</v>
          </cell>
          <cell r="I68">
            <v>0</v>
          </cell>
          <cell r="J68">
            <v>0</v>
          </cell>
          <cell r="K68">
            <v>0</v>
          </cell>
          <cell r="L68">
            <v>72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</row>
        <row r="69">
          <cell r="C69">
            <v>176</v>
          </cell>
          <cell r="F69">
            <v>1</v>
          </cell>
          <cell r="G69">
            <v>1</v>
          </cell>
          <cell r="H69">
            <v>46176</v>
          </cell>
          <cell r="I69">
            <v>0</v>
          </cell>
          <cell r="J69">
            <v>500</v>
          </cell>
          <cell r="K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</row>
        <row r="70">
          <cell r="C70">
            <v>142</v>
          </cell>
          <cell r="F70">
            <v>1</v>
          </cell>
          <cell r="G70">
            <v>1</v>
          </cell>
          <cell r="H70">
            <v>46176</v>
          </cell>
          <cell r="I70">
            <v>0</v>
          </cell>
          <cell r="J70">
            <v>1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</row>
        <row r="71">
          <cell r="C71">
            <v>50</v>
          </cell>
          <cell r="F71">
            <v>1</v>
          </cell>
          <cell r="G71">
            <v>1</v>
          </cell>
          <cell r="H71">
            <v>46176</v>
          </cell>
          <cell r="I71">
            <v>0</v>
          </cell>
          <cell r="J71">
            <v>4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</row>
        <row r="72">
          <cell r="C72">
            <v>41</v>
          </cell>
          <cell r="F72">
            <v>1</v>
          </cell>
          <cell r="G72">
            <v>1</v>
          </cell>
          <cell r="H72">
            <v>46176</v>
          </cell>
          <cell r="I72">
            <v>0</v>
          </cell>
          <cell r="J72">
            <v>2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</row>
        <row r="73">
          <cell r="C73">
            <v>49</v>
          </cell>
          <cell r="F73">
            <v>1</v>
          </cell>
          <cell r="G73">
            <v>1</v>
          </cell>
          <cell r="H73">
            <v>46176</v>
          </cell>
          <cell r="I73">
            <v>0</v>
          </cell>
          <cell r="J73">
            <v>1</v>
          </cell>
          <cell r="K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</row>
        <row r="74">
          <cell r="C74">
            <v>7</v>
          </cell>
          <cell r="F74">
            <v>1</v>
          </cell>
          <cell r="G74">
            <v>1</v>
          </cell>
          <cell r="H74">
            <v>46176</v>
          </cell>
          <cell r="I74">
            <v>0</v>
          </cell>
          <cell r="J74">
            <v>1</v>
          </cell>
          <cell r="K74">
            <v>0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</row>
        <row r="75">
          <cell r="C75">
            <v>145</v>
          </cell>
          <cell r="F75">
            <v>1</v>
          </cell>
          <cell r="G75">
            <v>1</v>
          </cell>
          <cell r="H75">
            <v>46176</v>
          </cell>
          <cell r="I75">
            <v>0</v>
          </cell>
          <cell r="J75">
            <v>2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</row>
        <row r="76">
          <cell r="C76">
            <v>163</v>
          </cell>
          <cell r="F76">
            <v>1</v>
          </cell>
          <cell r="G76">
            <v>1</v>
          </cell>
          <cell r="H76">
            <v>46176</v>
          </cell>
          <cell r="I76">
            <v>0</v>
          </cell>
          <cell r="J76">
            <v>4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</row>
        <row r="77">
          <cell r="C77">
            <v>177</v>
          </cell>
          <cell r="F77">
            <v>1</v>
          </cell>
          <cell r="G77">
            <v>1</v>
          </cell>
          <cell r="H77">
            <v>46177</v>
          </cell>
          <cell r="I77">
            <v>0</v>
          </cell>
          <cell r="J77">
            <v>250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</row>
        <row r="78">
          <cell r="C78">
            <v>179</v>
          </cell>
          <cell r="F78">
            <v>1</v>
          </cell>
          <cell r="G78">
            <v>1</v>
          </cell>
          <cell r="H78">
            <v>46177</v>
          </cell>
          <cell r="I78">
            <v>0</v>
          </cell>
          <cell r="J78">
            <v>250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</row>
        <row r="79">
          <cell r="C79">
            <v>11</v>
          </cell>
          <cell r="F79">
            <v>1</v>
          </cell>
          <cell r="G79">
            <v>1</v>
          </cell>
          <cell r="H79">
            <v>46177</v>
          </cell>
          <cell r="I79">
            <v>0</v>
          </cell>
          <cell r="J79">
            <v>6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</row>
        <row r="80">
          <cell r="C80">
            <v>18</v>
          </cell>
          <cell r="F80">
            <v>1</v>
          </cell>
          <cell r="G80">
            <v>1</v>
          </cell>
          <cell r="H80">
            <v>46177</v>
          </cell>
          <cell r="I80">
            <v>0</v>
          </cell>
          <cell r="J80">
            <v>10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</row>
        <row r="81">
          <cell r="C81">
            <v>195</v>
          </cell>
          <cell r="F81">
            <v>1</v>
          </cell>
          <cell r="G81">
            <v>1</v>
          </cell>
          <cell r="H81">
            <v>46177</v>
          </cell>
          <cell r="I81">
            <v>0</v>
          </cell>
          <cell r="J81">
            <v>8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</row>
        <row r="82">
          <cell r="C82">
            <v>102</v>
          </cell>
          <cell r="F82">
            <v>1</v>
          </cell>
          <cell r="G82">
            <v>1</v>
          </cell>
          <cell r="H82">
            <v>46177</v>
          </cell>
          <cell r="I82">
            <v>0</v>
          </cell>
          <cell r="J82">
            <v>1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</row>
        <row r="83">
          <cell r="C83">
            <v>185</v>
          </cell>
          <cell r="F83">
            <v>1</v>
          </cell>
          <cell r="G83">
            <v>1</v>
          </cell>
          <cell r="H83">
            <v>46177</v>
          </cell>
          <cell r="I83">
            <v>0</v>
          </cell>
          <cell r="J83">
            <v>72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</row>
        <row r="84">
          <cell r="C84">
            <v>176</v>
          </cell>
          <cell r="F84">
            <v>1</v>
          </cell>
          <cell r="G84">
            <v>1</v>
          </cell>
          <cell r="H84">
            <v>46178</v>
          </cell>
          <cell r="I84">
            <v>0</v>
          </cell>
          <cell r="J84">
            <v>500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</row>
        <row r="85">
          <cell r="C85">
            <v>99</v>
          </cell>
          <cell r="F85">
            <v>1</v>
          </cell>
          <cell r="G85">
            <v>1</v>
          </cell>
          <cell r="H85">
            <v>46178</v>
          </cell>
          <cell r="I85">
            <v>0</v>
          </cell>
          <cell r="J85">
            <v>1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</row>
        <row r="86">
          <cell r="C86">
            <v>14</v>
          </cell>
          <cell r="F86">
            <v>1</v>
          </cell>
          <cell r="G86">
            <v>1</v>
          </cell>
          <cell r="H86">
            <v>46178</v>
          </cell>
          <cell r="I86">
            <v>0</v>
          </cell>
          <cell r="J86">
            <v>1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</row>
        <row r="87">
          <cell r="C87">
            <v>182</v>
          </cell>
          <cell r="F87">
            <v>1</v>
          </cell>
          <cell r="G87">
            <v>1</v>
          </cell>
          <cell r="H87">
            <v>46178</v>
          </cell>
          <cell r="I87">
            <v>0</v>
          </cell>
          <cell r="J87">
            <v>12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</row>
        <row r="88">
          <cell r="C88">
            <v>160</v>
          </cell>
          <cell r="F88">
            <v>1</v>
          </cell>
          <cell r="G88">
            <v>1</v>
          </cell>
          <cell r="H88">
            <v>46178</v>
          </cell>
          <cell r="I88">
            <v>0</v>
          </cell>
          <cell r="J88">
            <v>2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</row>
        <row r="89">
          <cell r="C89">
            <v>46</v>
          </cell>
          <cell r="F89">
            <v>1</v>
          </cell>
          <cell r="G89">
            <v>1</v>
          </cell>
          <cell r="H89">
            <v>46178</v>
          </cell>
          <cell r="I89">
            <v>0</v>
          </cell>
          <cell r="J89">
            <v>1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</row>
        <row r="90">
          <cell r="C90">
            <v>97</v>
          </cell>
          <cell r="F90">
            <v>1</v>
          </cell>
          <cell r="G90">
            <v>1</v>
          </cell>
          <cell r="H90">
            <v>46178</v>
          </cell>
          <cell r="I90">
            <v>0</v>
          </cell>
          <cell r="J90">
            <v>2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</row>
        <row r="91">
          <cell r="C91">
            <v>96</v>
          </cell>
          <cell r="F91">
            <v>1</v>
          </cell>
          <cell r="G91">
            <v>1</v>
          </cell>
          <cell r="H91">
            <v>46178</v>
          </cell>
          <cell r="I91">
            <v>0</v>
          </cell>
          <cell r="J91">
            <v>15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</row>
        <row r="92">
          <cell r="C92">
            <v>70</v>
          </cell>
          <cell r="F92">
            <v>1</v>
          </cell>
          <cell r="G92">
            <v>1</v>
          </cell>
          <cell r="H92">
            <v>46178</v>
          </cell>
          <cell r="I92">
            <v>0</v>
          </cell>
          <cell r="J92">
            <v>1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</row>
        <row r="93">
          <cell r="C93">
            <v>178</v>
          </cell>
          <cell r="F93">
            <v>1</v>
          </cell>
          <cell r="G93">
            <v>1</v>
          </cell>
          <cell r="H93">
            <v>46178</v>
          </cell>
          <cell r="I93">
            <v>0</v>
          </cell>
          <cell r="J93">
            <v>450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</row>
        <row r="94">
          <cell r="C94">
            <v>177</v>
          </cell>
          <cell r="F94">
            <v>1</v>
          </cell>
          <cell r="G94">
            <v>1</v>
          </cell>
          <cell r="H94">
            <v>46178</v>
          </cell>
          <cell r="I94">
            <v>0</v>
          </cell>
          <cell r="J94">
            <v>150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</row>
        <row r="95">
          <cell r="C95">
            <v>179</v>
          </cell>
          <cell r="F95">
            <v>1</v>
          </cell>
          <cell r="G95">
            <v>1</v>
          </cell>
          <cell r="H95">
            <v>46178</v>
          </cell>
          <cell r="I95">
            <v>0</v>
          </cell>
          <cell r="J95">
            <v>300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</row>
        <row r="96">
          <cell r="C96">
            <v>178</v>
          </cell>
          <cell r="F96">
            <v>1</v>
          </cell>
          <cell r="G96">
            <v>1</v>
          </cell>
          <cell r="H96">
            <v>46179</v>
          </cell>
          <cell r="I96">
            <v>0</v>
          </cell>
          <cell r="J96">
            <v>250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</row>
        <row r="97">
          <cell r="C97">
            <v>197</v>
          </cell>
          <cell r="F97">
            <v>1</v>
          </cell>
          <cell r="G97">
            <v>1</v>
          </cell>
          <cell r="H97">
            <v>46179</v>
          </cell>
          <cell r="I97">
            <v>0</v>
          </cell>
          <cell r="J97">
            <v>12</v>
          </cell>
          <cell r="K97">
            <v>0</v>
          </cell>
          <cell r="L97">
            <v>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</row>
        <row r="98">
          <cell r="C98">
            <v>52</v>
          </cell>
          <cell r="F98">
            <v>1</v>
          </cell>
          <cell r="G98">
            <v>1</v>
          </cell>
          <cell r="H98">
            <v>46179</v>
          </cell>
          <cell r="I98">
            <v>0</v>
          </cell>
          <cell r="J98">
            <v>11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</row>
        <row r="99">
          <cell r="C99">
            <v>177</v>
          </cell>
          <cell r="F99">
            <v>1</v>
          </cell>
          <cell r="G99">
            <v>1</v>
          </cell>
          <cell r="H99">
            <v>46179</v>
          </cell>
          <cell r="I99">
            <v>0</v>
          </cell>
          <cell r="J99">
            <v>1000</v>
          </cell>
          <cell r="K99">
            <v>0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</row>
        <row r="100">
          <cell r="C100">
            <v>177</v>
          </cell>
          <cell r="F100">
            <v>1</v>
          </cell>
          <cell r="G100">
            <v>1</v>
          </cell>
          <cell r="H100">
            <v>46180</v>
          </cell>
          <cell r="I100">
            <v>0</v>
          </cell>
          <cell r="J100">
            <v>750</v>
          </cell>
          <cell r="K100">
            <v>0</v>
          </cell>
          <cell r="L100">
            <v>0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</row>
        <row r="101">
          <cell r="C101">
            <v>183</v>
          </cell>
          <cell r="F101">
            <v>1</v>
          </cell>
          <cell r="G101">
            <v>1</v>
          </cell>
          <cell r="H101">
            <v>46180</v>
          </cell>
          <cell r="I101">
            <v>0</v>
          </cell>
          <cell r="J101">
            <v>60</v>
          </cell>
          <cell r="K101">
            <v>0</v>
          </cell>
          <cell r="L101">
            <v>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</row>
        <row r="102">
          <cell r="C102">
            <v>10</v>
          </cell>
          <cell r="F102">
            <v>1</v>
          </cell>
          <cell r="G102">
            <v>1</v>
          </cell>
          <cell r="H102">
            <v>46180</v>
          </cell>
          <cell r="I102">
            <v>0</v>
          </cell>
          <cell r="J102">
            <v>1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</row>
        <row r="103">
          <cell r="C103">
            <v>11</v>
          </cell>
          <cell r="F103">
            <v>1</v>
          </cell>
          <cell r="G103">
            <v>1</v>
          </cell>
          <cell r="H103">
            <v>46180</v>
          </cell>
          <cell r="I103">
            <v>0</v>
          </cell>
          <cell r="J103">
            <v>5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</row>
        <row r="104">
          <cell r="C104">
            <v>19</v>
          </cell>
          <cell r="F104">
            <v>1</v>
          </cell>
          <cell r="G104">
            <v>1</v>
          </cell>
          <cell r="H104">
            <v>46181</v>
          </cell>
          <cell r="I104">
            <v>0</v>
          </cell>
          <cell r="J104">
            <v>1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</row>
        <row r="105">
          <cell r="C105">
            <v>42</v>
          </cell>
          <cell r="F105">
            <v>1</v>
          </cell>
          <cell r="G105">
            <v>1</v>
          </cell>
          <cell r="H105">
            <v>46181</v>
          </cell>
          <cell r="I105">
            <v>0</v>
          </cell>
          <cell r="J105">
            <v>1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</row>
        <row r="106">
          <cell r="C106">
            <v>45</v>
          </cell>
          <cell r="F106">
            <v>1</v>
          </cell>
          <cell r="G106">
            <v>1</v>
          </cell>
          <cell r="H106">
            <v>46181</v>
          </cell>
          <cell r="I106">
            <v>0</v>
          </cell>
          <cell r="J106">
            <v>12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</row>
        <row r="107">
          <cell r="C107">
            <v>183</v>
          </cell>
          <cell r="F107">
            <v>1</v>
          </cell>
          <cell r="G107">
            <v>1</v>
          </cell>
          <cell r="H107">
            <v>46181</v>
          </cell>
          <cell r="I107">
            <v>0</v>
          </cell>
          <cell r="J107">
            <v>120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</row>
        <row r="108">
          <cell r="C108">
            <v>16</v>
          </cell>
          <cell r="F108">
            <v>1</v>
          </cell>
          <cell r="G108">
            <v>1</v>
          </cell>
          <cell r="H108">
            <v>46181</v>
          </cell>
          <cell r="I108">
            <v>0</v>
          </cell>
          <cell r="J108">
            <v>8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</row>
        <row r="109">
          <cell r="C109">
            <v>41</v>
          </cell>
          <cell r="F109">
            <v>1</v>
          </cell>
          <cell r="G109">
            <v>1</v>
          </cell>
          <cell r="H109">
            <v>46181</v>
          </cell>
          <cell r="I109">
            <v>0</v>
          </cell>
          <cell r="J109">
            <v>2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</row>
        <row r="110">
          <cell r="C110">
            <v>144</v>
          </cell>
          <cell r="F110">
            <v>1</v>
          </cell>
          <cell r="G110">
            <v>1</v>
          </cell>
          <cell r="H110">
            <v>46181</v>
          </cell>
          <cell r="I110">
            <v>0</v>
          </cell>
          <cell r="J110">
            <v>8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</row>
        <row r="111">
          <cell r="C111">
            <v>155</v>
          </cell>
          <cell r="F111">
            <v>1</v>
          </cell>
          <cell r="G111">
            <v>1</v>
          </cell>
          <cell r="H111">
            <v>46181</v>
          </cell>
          <cell r="I111">
            <v>0</v>
          </cell>
          <cell r="J111">
            <v>2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</row>
        <row r="112">
          <cell r="C112">
            <v>189</v>
          </cell>
          <cell r="F112">
            <v>1</v>
          </cell>
          <cell r="G112">
            <v>1</v>
          </cell>
          <cell r="H112">
            <v>46181</v>
          </cell>
          <cell r="I112">
            <v>0</v>
          </cell>
          <cell r="J112">
            <v>32</v>
          </cell>
          <cell r="K112">
            <v>0</v>
          </cell>
          <cell r="L112">
            <v>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</row>
        <row r="113">
          <cell r="C113">
            <v>108</v>
          </cell>
          <cell r="F113">
            <v>1</v>
          </cell>
          <cell r="G113">
            <v>1</v>
          </cell>
          <cell r="H113">
            <v>46181</v>
          </cell>
          <cell r="I113">
            <v>0</v>
          </cell>
          <cell r="J113">
            <v>4</v>
          </cell>
          <cell r="K113">
            <v>0</v>
          </cell>
          <cell r="L113">
            <v>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</row>
        <row r="114">
          <cell r="C114">
            <v>177</v>
          </cell>
          <cell r="F114">
            <v>1</v>
          </cell>
          <cell r="G114">
            <v>1</v>
          </cell>
          <cell r="H114">
            <v>46182</v>
          </cell>
          <cell r="I114">
            <v>0</v>
          </cell>
          <cell r="J114">
            <v>1200</v>
          </cell>
          <cell r="K114">
            <v>0</v>
          </cell>
          <cell r="L114">
            <v>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</row>
        <row r="115">
          <cell r="C115">
            <v>193</v>
          </cell>
          <cell r="F115">
            <v>1</v>
          </cell>
          <cell r="G115">
            <v>1</v>
          </cell>
          <cell r="H115">
            <v>46182</v>
          </cell>
          <cell r="I115">
            <v>0</v>
          </cell>
          <cell r="J115">
            <v>20</v>
          </cell>
          <cell r="K115">
            <v>0</v>
          </cell>
          <cell r="L115">
            <v>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</row>
        <row r="116">
          <cell r="C116">
            <v>103</v>
          </cell>
          <cell r="F116">
            <v>1</v>
          </cell>
          <cell r="G116">
            <v>1</v>
          </cell>
          <cell r="H116">
            <v>46182</v>
          </cell>
          <cell r="I116">
            <v>0</v>
          </cell>
          <cell r="J116">
            <v>2</v>
          </cell>
          <cell r="K116">
            <v>0</v>
          </cell>
          <cell r="L116">
            <v>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</row>
        <row r="117">
          <cell r="C117">
            <v>167</v>
          </cell>
          <cell r="F117">
            <v>1</v>
          </cell>
          <cell r="G117">
            <v>1</v>
          </cell>
          <cell r="H117">
            <v>46182</v>
          </cell>
          <cell r="I117">
            <v>0</v>
          </cell>
          <cell r="J117">
            <v>2</v>
          </cell>
          <cell r="K117">
            <v>0</v>
          </cell>
          <cell r="L117">
            <v>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</row>
        <row r="118">
          <cell r="C118">
            <v>184</v>
          </cell>
          <cell r="F118">
            <v>1</v>
          </cell>
          <cell r="G118">
            <v>1</v>
          </cell>
          <cell r="H118">
            <v>46182</v>
          </cell>
          <cell r="I118">
            <v>0</v>
          </cell>
          <cell r="J118">
            <v>24</v>
          </cell>
          <cell r="K118">
            <v>0</v>
          </cell>
          <cell r="L118">
            <v>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</row>
        <row r="119">
          <cell r="C119">
            <v>63</v>
          </cell>
          <cell r="F119">
            <v>1</v>
          </cell>
          <cell r="G119">
            <v>1</v>
          </cell>
          <cell r="H119">
            <v>46182</v>
          </cell>
          <cell r="I119">
            <v>0</v>
          </cell>
          <cell r="J119">
            <v>1</v>
          </cell>
          <cell r="K119">
            <v>0</v>
          </cell>
          <cell r="L119">
            <v>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</row>
        <row r="120">
          <cell r="C120">
            <v>182</v>
          </cell>
          <cell r="F120">
            <v>1</v>
          </cell>
          <cell r="G120">
            <v>1</v>
          </cell>
          <cell r="H120">
            <v>46182</v>
          </cell>
          <cell r="I120">
            <v>0</v>
          </cell>
          <cell r="J120">
            <v>24</v>
          </cell>
          <cell r="K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</row>
        <row r="121">
          <cell r="C121">
            <v>187</v>
          </cell>
          <cell r="F121">
            <v>1</v>
          </cell>
          <cell r="G121">
            <v>1</v>
          </cell>
          <cell r="H121">
            <v>46182</v>
          </cell>
          <cell r="I121">
            <v>0</v>
          </cell>
          <cell r="J121">
            <v>8</v>
          </cell>
          <cell r="K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</row>
        <row r="122">
          <cell r="C122">
            <v>195</v>
          </cell>
          <cell r="F122">
            <v>1</v>
          </cell>
          <cell r="G122">
            <v>1</v>
          </cell>
          <cell r="H122">
            <v>46182</v>
          </cell>
          <cell r="I122">
            <v>0</v>
          </cell>
          <cell r="J122">
            <v>4</v>
          </cell>
          <cell r="K122">
            <v>0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</row>
        <row r="123">
          <cell r="C123">
            <v>22</v>
          </cell>
          <cell r="F123">
            <v>1</v>
          </cell>
          <cell r="G123">
            <v>1</v>
          </cell>
          <cell r="H123">
            <v>46182</v>
          </cell>
          <cell r="I123">
            <v>0</v>
          </cell>
          <cell r="J123">
            <v>1</v>
          </cell>
          <cell r="K123">
            <v>0</v>
          </cell>
          <cell r="L123">
            <v>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</row>
        <row r="124">
          <cell r="C124">
            <v>177</v>
          </cell>
          <cell r="F124">
            <v>1</v>
          </cell>
          <cell r="G124">
            <v>1</v>
          </cell>
          <cell r="H124">
            <v>46183</v>
          </cell>
          <cell r="I124">
            <v>0</v>
          </cell>
          <cell r="J124">
            <v>500</v>
          </cell>
          <cell r="K124">
            <v>0</v>
          </cell>
          <cell r="L124">
            <v>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</row>
        <row r="125">
          <cell r="C125">
            <v>178</v>
          </cell>
          <cell r="F125">
            <v>1</v>
          </cell>
          <cell r="G125">
            <v>1</v>
          </cell>
          <cell r="H125">
            <v>46183</v>
          </cell>
          <cell r="I125">
            <v>0</v>
          </cell>
          <cell r="J125">
            <v>300</v>
          </cell>
          <cell r="K125">
            <v>0</v>
          </cell>
          <cell r="L125">
            <v>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</row>
        <row r="126">
          <cell r="C126">
            <v>183</v>
          </cell>
          <cell r="F126">
            <v>1</v>
          </cell>
          <cell r="G126">
            <v>1</v>
          </cell>
          <cell r="H126">
            <v>46183</v>
          </cell>
          <cell r="I126">
            <v>0</v>
          </cell>
          <cell r="J126">
            <v>24</v>
          </cell>
          <cell r="K126">
            <v>0</v>
          </cell>
          <cell r="L126">
            <v>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</row>
        <row r="127">
          <cell r="C127">
            <v>184</v>
          </cell>
          <cell r="F127">
            <v>1</v>
          </cell>
          <cell r="G127">
            <v>1</v>
          </cell>
          <cell r="H127">
            <v>46183</v>
          </cell>
          <cell r="I127">
            <v>0</v>
          </cell>
          <cell r="J127">
            <v>120</v>
          </cell>
          <cell r="K127">
            <v>0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</row>
        <row r="128">
          <cell r="C128">
            <v>19</v>
          </cell>
          <cell r="F128">
            <v>1</v>
          </cell>
          <cell r="G128">
            <v>1</v>
          </cell>
          <cell r="H128">
            <v>46183</v>
          </cell>
          <cell r="I128">
            <v>0</v>
          </cell>
          <cell r="J128">
            <v>2</v>
          </cell>
          <cell r="K128">
            <v>0</v>
          </cell>
          <cell r="L128">
            <v>0</v>
          </cell>
          <cell r="M128">
            <v>0</v>
          </cell>
          <cell r="N128">
            <v>0</v>
          </cell>
          <cell r="O128">
            <v>0</v>
          </cell>
          <cell r="P128">
            <v>0</v>
          </cell>
        </row>
        <row r="129">
          <cell r="C129">
            <v>14</v>
          </cell>
          <cell r="F129">
            <v>1</v>
          </cell>
          <cell r="G129">
            <v>1</v>
          </cell>
          <cell r="H129">
            <v>46183</v>
          </cell>
          <cell r="I129">
            <v>0</v>
          </cell>
          <cell r="J129">
            <v>1</v>
          </cell>
          <cell r="K129">
            <v>0</v>
          </cell>
          <cell r="L129">
            <v>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</row>
        <row r="130">
          <cell r="C130">
            <v>178</v>
          </cell>
          <cell r="F130">
            <v>1</v>
          </cell>
          <cell r="G130">
            <v>1</v>
          </cell>
          <cell r="H130">
            <v>46184</v>
          </cell>
          <cell r="I130">
            <v>0</v>
          </cell>
          <cell r="J130">
            <v>500</v>
          </cell>
          <cell r="K130">
            <v>0</v>
          </cell>
          <cell r="L130">
            <v>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</row>
        <row r="131">
          <cell r="C131">
            <v>17</v>
          </cell>
          <cell r="F131">
            <v>1</v>
          </cell>
          <cell r="G131">
            <v>1</v>
          </cell>
          <cell r="H131">
            <v>46184</v>
          </cell>
          <cell r="I131">
            <v>0</v>
          </cell>
          <cell r="J131">
            <v>3</v>
          </cell>
          <cell r="K131">
            <v>0</v>
          </cell>
          <cell r="L131">
            <v>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</row>
        <row r="132">
          <cell r="C132">
            <v>70</v>
          </cell>
          <cell r="F132">
            <v>1</v>
          </cell>
          <cell r="G132">
            <v>1</v>
          </cell>
          <cell r="H132">
            <v>46184</v>
          </cell>
          <cell r="I132">
            <v>0</v>
          </cell>
          <cell r="J132">
            <v>1</v>
          </cell>
          <cell r="K132">
            <v>0</v>
          </cell>
          <cell r="L132">
            <v>0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</row>
        <row r="133">
          <cell r="C133">
            <v>181</v>
          </cell>
          <cell r="F133">
            <v>1</v>
          </cell>
          <cell r="G133">
            <v>1</v>
          </cell>
          <cell r="H133">
            <v>46184</v>
          </cell>
          <cell r="I133">
            <v>0</v>
          </cell>
          <cell r="J133">
            <v>36</v>
          </cell>
          <cell r="K133">
            <v>0</v>
          </cell>
          <cell r="L133">
            <v>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</row>
        <row r="134">
          <cell r="C134">
            <v>40</v>
          </cell>
          <cell r="F134">
            <v>1</v>
          </cell>
          <cell r="G134">
            <v>1</v>
          </cell>
          <cell r="H134">
            <v>46184</v>
          </cell>
          <cell r="I134">
            <v>0</v>
          </cell>
          <cell r="J134">
            <v>2</v>
          </cell>
          <cell r="K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</row>
        <row r="135">
          <cell r="C135">
            <v>38</v>
          </cell>
          <cell r="F135">
            <v>1</v>
          </cell>
          <cell r="G135">
            <v>1</v>
          </cell>
          <cell r="H135">
            <v>46184</v>
          </cell>
          <cell r="I135">
            <v>0</v>
          </cell>
          <cell r="J135">
            <v>2</v>
          </cell>
          <cell r="K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</row>
        <row r="136">
          <cell r="C136">
            <v>5</v>
          </cell>
          <cell r="F136">
            <v>1</v>
          </cell>
          <cell r="G136">
            <v>1</v>
          </cell>
          <cell r="H136">
            <v>46184</v>
          </cell>
          <cell r="I136">
            <v>0</v>
          </cell>
          <cell r="J136">
            <v>1</v>
          </cell>
          <cell r="K136">
            <v>0</v>
          </cell>
          <cell r="L136">
            <v>0</v>
          </cell>
          <cell r="M136">
            <v>0</v>
          </cell>
          <cell r="N136">
            <v>0</v>
          </cell>
          <cell r="O136">
            <v>0</v>
          </cell>
          <cell r="P136">
            <v>0</v>
          </cell>
        </row>
        <row r="137">
          <cell r="C137">
            <v>182</v>
          </cell>
          <cell r="F137">
            <v>1</v>
          </cell>
          <cell r="G137">
            <v>1</v>
          </cell>
          <cell r="H137">
            <v>46184</v>
          </cell>
          <cell r="I137">
            <v>0</v>
          </cell>
          <cell r="J137">
            <v>36</v>
          </cell>
          <cell r="K137">
            <v>0</v>
          </cell>
          <cell r="L137">
            <v>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</row>
        <row r="138">
          <cell r="C138">
            <v>8</v>
          </cell>
          <cell r="F138">
            <v>1</v>
          </cell>
          <cell r="G138">
            <v>1</v>
          </cell>
          <cell r="H138">
            <v>46184</v>
          </cell>
          <cell r="I138">
            <v>0</v>
          </cell>
          <cell r="J138">
            <v>1</v>
          </cell>
          <cell r="K138">
            <v>0</v>
          </cell>
          <cell r="L138">
            <v>0</v>
          </cell>
          <cell r="M138">
            <v>0</v>
          </cell>
          <cell r="N138">
            <v>0</v>
          </cell>
          <cell r="O138">
            <v>0</v>
          </cell>
          <cell r="P138">
            <v>0</v>
          </cell>
        </row>
        <row r="139">
          <cell r="C139">
            <v>26</v>
          </cell>
          <cell r="F139">
            <v>1</v>
          </cell>
          <cell r="G139">
            <v>1</v>
          </cell>
          <cell r="H139">
            <v>46184</v>
          </cell>
          <cell r="I139">
            <v>0</v>
          </cell>
          <cell r="J139">
            <v>1</v>
          </cell>
          <cell r="K139">
            <v>0</v>
          </cell>
          <cell r="L139">
            <v>0</v>
          </cell>
          <cell r="M139">
            <v>0</v>
          </cell>
          <cell r="N139">
            <v>0</v>
          </cell>
          <cell r="O139">
            <v>0</v>
          </cell>
          <cell r="P139">
            <v>0</v>
          </cell>
        </row>
        <row r="140">
          <cell r="C140">
            <v>76</v>
          </cell>
          <cell r="F140">
            <v>1</v>
          </cell>
          <cell r="G140">
            <v>1</v>
          </cell>
          <cell r="H140">
            <v>46184</v>
          </cell>
          <cell r="I140">
            <v>0</v>
          </cell>
          <cell r="J140">
            <v>5</v>
          </cell>
          <cell r="K140">
            <v>0</v>
          </cell>
          <cell r="L140">
            <v>0</v>
          </cell>
          <cell r="M140">
            <v>0</v>
          </cell>
          <cell r="N140">
            <v>0</v>
          </cell>
          <cell r="O140">
            <v>0</v>
          </cell>
          <cell r="P140">
            <v>0</v>
          </cell>
        </row>
        <row r="141">
          <cell r="C141">
            <v>90</v>
          </cell>
          <cell r="F141">
            <v>1</v>
          </cell>
          <cell r="G141">
            <v>1</v>
          </cell>
          <cell r="H141">
            <v>46184</v>
          </cell>
          <cell r="I141">
            <v>0</v>
          </cell>
          <cell r="J141">
            <v>4</v>
          </cell>
          <cell r="K141">
            <v>0</v>
          </cell>
          <cell r="L141">
            <v>0</v>
          </cell>
          <cell r="M141">
            <v>0</v>
          </cell>
          <cell r="N141">
            <v>0</v>
          </cell>
          <cell r="O141">
            <v>0</v>
          </cell>
          <cell r="P141">
            <v>0</v>
          </cell>
        </row>
        <row r="142">
          <cell r="C142">
            <v>39</v>
          </cell>
          <cell r="F142">
            <v>1</v>
          </cell>
          <cell r="G142">
            <v>1</v>
          </cell>
          <cell r="H142">
            <v>46184</v>
          </cell>
          <cell r="I142">
            <v>0</v>
          </cell>
          <cell r="J142">
            <v>3</v>
          </cell>
          <cell r="K142">
            <v>0</v>
          </cell>
          <cell r="L142">
            <v>0</v>
          </cell>
          <cell r="M142">
            <v>0</v>
          </cell>
          <cell r="N142">
            <v>0</v>
          </cell>
          <cell r="O142">
            <v>0</v>
          </cell>
          <cell r="P142">
            <v>0</v>
          </cell>
        </row>
        <row r="143">
          <cell r="C143">
            <v>42</v>
          </cell>
          <cell r="F143">
            <v>1</v>
          </cell>
          <cell r="G143">
            <v>1</v>
          </cell>
          <cell r="H143">
            <v>46184</v>
          </cell>
          <cell r="I143">
            <v>0</v>
          </cell>
          <cell r="J143">
            <v>3</v>
          </cell>
          <cell r="K143">
            <v>0</v>
          </cell>
          <cell r="L143">
            <v>0</v>
          </cell>
          <cell r="M143">
            <v>0</v>
          </cell>
          <cell r="N143">
            <v>0</v>
          </cell>
          <cell r="O143">
            <v>0</v>
          </cell>
          <cell r="P143">
            <v>0</v>
          </cell>
        </row>
        <row r="144">
          <cell r="C144">
            <v>169</v>
          </cell>
          <cell r="F144">
            <v>1</v>
          </cell>
          <cell r="G144">
            <v>1</v>
          </cell>
          <cell r="H144">
            <v>46184</v>
          </cell>
          <cell r="I144">
            <v>0</v>
          </cell>
          <cell r="J144">
            <v>15</v>
          </cell>
          <cell r="K144">
            <v>0</v>
          </cell>
          <cell r="L144">
            <v>0</v>
          </cell>
          <cell r="M144">
            <v>0</v>
          </cell>
          <cell r="N144">
            <v>0</v>
          </cell>
          <cell r="O144">
            <v>0</v>
          </cell>
          <cell r="P144">
            <v>0</v>
          </cell>
        </row>
        <row r="145">
          <cell r="C145">
            <v>131</v>
          </cell>
          <cell r="F145">
            <v>1</v>
          </cell>
          <cell r="G145">
            <v>1</v>
          </cell>
          <cell r="H145">
            <v>46184</v>
          </cell>
          <cell r="I145">
            <v>0</v>
          </cell>
          <cell r="J145">
            <v>1</v>
          </cell>
          <cell r="K145">
            <v>0</v>
          </cell>
          <cell r="L145">
            <v>0</v>
          </cell>
          <cell r="M145">
            <v>0</v>
          </cell>
          <cell r="N145">
            <v>0</v>
          </cell>
          <cell r="O145">
            <v>0</v>
          </cell>
          <cell r="P145">
            <v>0</v>
          </cell>
        </row>
        <row r="146">
          <cell r="C146">
            <v>177</v>
          </cell>
          <cell r="F146">
            <v>1</v>
          </cell>
          <cell r="G146">
            <v>1</v>
          </cell>
          <cell r="H146">
            <v>46184</v>
          </cell>
          <cell r="I146">
            <v>0</v>
          </cell>
          <cell r="J146">
            <v>250</v>
          </cell>
          <cell r="K146">
            <v>0</v>
          </cell>
          <cell r="L146">
            <v>0</v>
          </cell>
          <cell r="M146">
            <v>0</v>
          </cell>
          <cell r="N146">
            <v>0</v>
          </cell>
          <cell r="O146">
            <v>0</v>
          </cell>
          <cell r="P146">
            <v>0</v>
          </cell>
        </row>
        <row r="147">
          <cell r="C147">
            <v>197</v>
          </cell>
          <cell r="F147">
            <v>1</v>
          </cell>
          <cell r="G147">
            <v>1</v>
          </cell>
          <cell r="H147">
            <v>46184</v>
          </cell>
          <cell r="I147">
            <v>0</v>
          </cell>
          <cell r="J147">
            <v>8</v>
          </cell>
          <cell r="K147">
            <v>0</v>
          </cell>
          <cell r="L147">
            <v>0</v>
          </cell>
          <cell r="M147">
            <v>0</v>
          </cell>
          <cell r="N147">
            <v>0</v>
          </cell>
          <cell r="O147">
            <v>0</v>
          </cell>
          <cell r="P147">
            <v>0</v>
          </cell>
        </row>
        <row r="148">
          <cell r="C148">
            <v>198</v>
          </cell>
          <cell r="F148">
            <v>1</v>
          </cell>
          <cell r="G148">
            <v>1</v>
          </cell>
          <cell r="H148">
            <v>46184</v>
          </cell>
          <cell r="I148">
            <v>0</v>
          </cell>
          <cell r="J148">
            <v>16</v>
          </cell>
          <cell r="K148">
            <v>0</v>
          </cell>
          <cell r="L148">
            <v>0</v>
          </cell>
          <cell r="M148">
            <v>0</v>
          </cell>
          <cell r="N148">
            <v>0</v>
          </cell>
          <cell r="O148">
            <v>0</v>
          </cell>
          <cell r="P148">
            <v>0</v>
          </cell>
        </row>
        <row r="149">
          <cell r="C149">
            <v>2</v>
          </cell>
          <cell r="F149">
            <v>1</v>
          </cell>
          <cell r="G149">
            <v>1</v>
          </cell>
          <cell r="H149">
            <v>46185</v>
          </cell>
          <cell r="I149">
            <v>0</v>
          </cell>
          <cell r="J149">
            <v>2</v>
          </cell>
          <cell r="K149">
            <v>0</v>
          </cell>
          <cell r="L149">
            <v>0</v>
          </cell>
          <cell r="M149">
            <v>0</v>
          </cell>
          <cell r="N149">
            <v>0</v>
          </cell>
          <cell r="O149">
            <v>0</v>
          </cell>
          <cell r="P149">
            <v>0</v>
          </cell>
        </row>
        <row r="150">
          <cell r="C150">
            <v>7</v>
          </cell>
          <cell r="F150">
            <v>1</v>
          </cell>
          <cell r="G150">
            <v>1</v>
          </cell>
          <cell r="H150">
            <v>46185</v>
          </cell>
          <cell r="I150">
            <v>0</v>
          </cell>
          <cell r="J150">
            <v>6</v>
          </cell>
          <cell r="K150">
            <v>0</v>
          </cell>
          <cell r="L150">
            <v>0</v>
          </cell>
          <cell r="M150">
            <v>0</v>
          </cell>
          <cell r="N150">
            <v>0</v>
          </cell>
          <cell r="O150">
            <v>0</v>
          </cell>
          <cell r="P150">
            <v>0</v>
          </cell>
        </row>
        <row r="151">
          <cell r="C151">
            <v>30</v>
          </cell>
          <cell r="F151">
            <v>1</v>
          </cell>
          <cell r="G151">
            <v>1</v>
          </cell>
          <cell r="H151">
            <v>46185</v>
          </cell>
          <cell r="I151">
            <v>0</v>
          </cell>
          <cell r="J151">
            <v>3</v>
          </cell>
          <cell r="K151">
            <v>0</v>
          </cell>
          <cell r="L151">
            <v>0</v>
          </cell>
          <cell r="M151">
            <v>0</v>
          </cell>
          <cell r="N151">
            <v>0</v>
          </cell>
          <cell r="O151">
            <v>0</v>
          </cell>
          <cell r="P151">
            <v>0</v>
          </cell>
        </row>
        <row r="152">
          <cell r="C152">
            <v>34</v>
          </cell>
          <cell r="F152">
            <v>1</v>
          </cell>
          <cell r="G152">
            <v>1</v>
          </cell>
          <cell r="H152">
            <v>46185</v>
          </cell>
          <cell r="I152">
            <v>0</v>
          </cell>
          <cell r="J152">
            <v>2</v>
          </cell>
          <cell r="K152">
            <v>0</v>
          </cell>
          <cell r="L152">
            <v>0</v>
          </cell>
          <cell r="M152">
            <v>0</v>
          </cell>
          <cell r="N152">
            <v>0</v>
          </cell>
          <cell r="O152">
            <v>0</v>
          </cell>
          <cell r="P152">
            <v>0</v>
          </cell>
        </row>
        <row r="153">
          <cell r="C153">
            <v>33</v>
          </cell>
          <cell r="F153">
            <v>1</v>
          </cell>
          <cell r="G153">
            <v>1</v>
          </cell>
          <cell r="H153">
            <v>46185</v>
          </cell>
          <cell r="I153">
            <v>0</v>
          </cell>
          <cell r="J153">
            <v>1</v>
          </cell>
          <cell r="K153">
            <v>0</v>
          </cell>
          <cell r="L153">
            <v>0</v>
          </cell>
          <cell r="M153">
            <v>0</v>
          </cell>
          <cell r="N153">
            <v>0</v>
          </cell>
          <cell r="O153">
            <v>0</v>
          </cell>
          <cell r="P153">
            <v>0</v>
          </cell>
        </row>
        <row r="154">
          <cell r="C154">
            <v>56</v>
          </cell>
          <cell r="F154">
            <v>1</v>
          </cell>
          <cell r="G154">
            <v>1</v>
          </cell>
          <cell r="H154">
            <v>46185</v>
          </cell>
          <cell r="I154">
            <v>0</v>
          </cell>
          <cell r="J154">
            <v>1</v>
          </cell>
          <cell r="K154">
            <v>0</v>
          </cell>
          <cell r="L154">
            <v>0</v>
          </cell>
          <cell r="M154">
            <v>0</v>
          </cell>
          <cell r="N154">
            <v>0</v>
          </cell>
          <cell r="O154">
            <v>0</v>
          </cell>
          <cell r="P154">
            <v>0</v>
          </cell>
        </row>
        <row r="155">
          <cell r="C155">
            <v>108</v>
          </cell>
          <cell r="F155">
            <v>1</v>
          </cell>
          <cell r="G155">
            <v>1</v>
          </cell>
          <cell r="H155">
            <v>46185</v>
          </cell>
          <cell r="I155">
            <v>0</v>
          </cell>
          <cell r="J155">
            <v>1</v>
          </cell>
          <cell r="K155">
            <v>0</v>
          </cell>
          <cell r="L155">
            <v>0</v>
          </cell>
          <cell r="M155">
            <v>0</v>
          </cell>
          <cell r="N155">
            <v>0</v>
          </cell>
          <cell r="O155">
            <v>0</v>
          </cell>
          <cell r="P155">
            <v>0</v>
          </cell>
        </row>
        <row r="156">
          <cell r="C156">
            <v>53</v>
          </cell>
          <cell r="F156">
            <v>1</v>
          </cell>
          <cell r="G156">
            <v>1</v>
          </cell>
          <cell r="H156">
            <v>46185</v>
          </cell>
          <cell r="I156">
            <v>0</v>
          </cell>
          <cell r="J156">
            <v>1</v>
          </cell>
          <cell r="K156">
            <v>0</v>
          </cell>
          <cell r="L156">
            <v>0</v>
          </cell>
          <cell r="M156">
            <v>0</v>
          </cell>
          <cell r="N156">
            <v>0</v>
          </cell>
          <cell r="O156">
            <v>0</v>
          </cell>
          <cell r="P156">
            <v>0</v>
          </cell>
        </row>
        <row r="157">
          <cell r="C157">
            <v>66</v>
          </cell>
          <cell r="F157">
            <v>1</v>
          </cell>
          <cell r="G157">
            <v>1</v>
          </cell>
          <cell r="H157">
            <v>46185</v>
          </cell>
          <cell r="I157">
            <v>0</v>
          </cell>
          <cell r="J157">
            <v>1</v>
          </cell>
          <cell r="K157">
            <v>0</v>
          </cell>
          <cell r="L157">
            <v>0</v>
          </cell>
          <cell r="M157">
            <v>0</v>
          </cell>
          <cell r="N157">
            <v>0</v>
          </cell>
          <cell r="O157">
            <v>0</v>
          </cell>
          <cell r="P157">
            <v>0</v>
          </cell>
        </row>
        <row r="158">
          <cell r="C158">
            <v>64</v>
          </cell>
          <cell r="F158">
            <v>1</v>
          </cell>
          <cell r="G158">
            <v>1</v>
          </cell>
          <cell r="H158">
            <v>46185</v>
          </cell>
          <cell r="I158">
            <v>0</v>
          </cell>
          <cell r="J158">
            <v>1</v>
          </cell>
          <cell r="K158">
            <v>0</v>
          </cell>
          <cell r="L158">
            <v>0</v>
          </cell>
          <cell r="M158">
            <v>0</v>
          </cell>
          <cell r="N158">
            <v>0</v>
          </cell>
          <cell r="O158">
            <v>0</v>
          </cell>
          <cell r="P158">
            <v>0</v>
          </cell>
        </row>
        <row r="159">
          <cell r="C159">
            <v>46</v>
          </cell>
          <cell r="F159">
            <v>1</v>
          </cell>
          <cell r="G159">
            <v>1</v>
          </cell>
          <cell r="H159">
            <v>46185</v>
          </cell>
          <cell r="I159">
            <v>0</v>
          </cell>
          <cell r="J159">
            <v>7</v>
          </cell>
          <cell r="K159">
            <v>0</v>
          </cell>
          <cell r="L159">
            <v>0</v>
          </cell>
          <cell r="M159">
            <v>0</v>
          </cell>
          <cell r="N159">
            <v>0</v>
          </cell>
          <cell r="O159">
            <v>0</v>
          </cell>
          <cell r="P159">
            <v>0</v>
          </cell>
        </row>
        <row r="160">
          <cell r="C160">
            <v>44</v>
          </cell>
          <cell r="F160">
            <v>1</v>
          </cell>
          <cell r="G160">
            <v>1</v>
          </cell>
          <cell r="H160">
            <v>46185</v>
          </cell>
          <cell r="I160">
            <v>0</v>
          </cell>
          <cell r="J160">
            <v>2</v>
          </cell>
          <cell r="K160">
            <v>0</v>
          </cell>
          <cell r="L160">
            <v>0</v>
          </cell>
          <cell r="M160">
            <v>0</v>
          </cell>
          <cell r="N160">
            <v>0</v>
          </cell>
          <cell r="O160">
            <v>0</v>
          </cell>
          <cell r="P160">
            <v>0</v>
          </cell>
        </row>
        <row r="161">
          <cell r="C161">
            <v>69</v>
          </cell>
          <cell r="F161">
            <v>1</v>
          </cell>
          <cell r="G161">
            <v>1</v>
          </cell>
          <cell r="H161">
            <v>46185</v>
          </cell>
          <cell r="I161">
            <v>0</v>
          </cell>
          <cell r="J161">
            <v>2</v>
          </cell>
          <cell r="K161">
            <v>0</v>
          </cell>
          <cell r="L161">
            <v>0</v>
          </cell>
          <cell r="M161">
            <v>0</v>
          </cell>
          <cell r="N161">
            <v>0</v>
          </cell>
          <cell r="O161">
            <v>0</v>
          </cell>
          <cell r="P161">
            <v>0</v>
          </cell>
        </row>
        <row r="162">
          <cell r="C162">
            <v>70</v>
          </cell>
          <cell r="F162">
            <v>1</v>
          </cell>
          <cell r="G162">
            <v>1</v>
          </cell>
          <cell r="H162">
            <v>46185</v>
          </cell>
          <cell r="I162">
            <v>0</v>
          </cell>
          <cell r="J162">
            <v>1</v>
          </cell>
          <cell r="K162">
            <v>0</v>
          </cell>
          <cell r="L162">
            <v>0</v>
          </cell>
          <cell r="M162">
            <v>0</v>
          </cell>
          <cell r="N162">
            <v>0</v>
          </cell>
          <cell r="O162">
            <v>0</v>
          </cell>
          <cell r="P162">
            <v>0</v>
          </cell>
        </row>
        <row r="163">
          <cell r="C163">
            <v>68</v>
          </cell>
          <cell r="F163">
            <v>1</v>
          </cell>
          <cell r="G163">
            <v>1</v>
          </cell>
          <cell r="H163">
            <v>46185</v>
          </cell>
          <cell r="I163">
            <v>0</v>
          </cell>
          <cell r="J163">
            <v>1</v>
          </cell>
          <cell r="K163">
            <v>0</v>
          </cell>
          <cell r="L163">
            <v>0</v>
          </cell>
          <cell r="M163">
            <v>0</v>
          </cell>
          <cell r="N163">
            <v>0</v>
          </cell>
          <cell r="O163">
            <v>0</v>
          </cell>
          <cell r="P163">
            <v>0</v>
          </cell>
        </row>
        <row r="164">
          <cell r="C164">
            <v>156</v>
          </cell>
          <cell r="F164">
            <v>1</v>
          </cell>
          <cell r="G164">
            <v>1</v>
          </cell>
          <cell r="H164">
            <v>46185</v>
          </cell>
          <cell r="I164">
            <v>0</v>
          </cell>
          <cell r="J164">
            <v>1</v>
          </cell>
          <cell r="K164">
            <v>0</v>
          </cell>
          <cell r="L164">
            <v>0</v>
          </cell>
          <cell r="M164">
            <v>0</v>
          </cell>
          <cell r="N164">
            <v>0</v>
          </cell>
          <cell r="O164">
            <v>0</v>
          </cell>
          <cell r="P164">
            <v>0</v>
          </cell>
        </row>
        <row r="165">
          <cell r="C165">
            <v>177</v>
          </cell>
          <cell r="F165">
            <v>1</v>
          </cell>
          <cell r="G165">
            <v>1</v>
          </cell>
          <cell r="H165">
            <v>46185</v>
          </cell>
          <cell r="I165">
            <v>0</v>
          </cell>
          <cell r="J165">
            <v>500</v>
          </cell>
          <cell r="K165">
            <v>0</v>
          </cell>
          <cell r="L165">
            <v>0</v>
          </cell>
          <cell r="M165">
            <v>0</v>
          </cell>
          <cell r="N165">
            <v>0</v>
          </cell>
          <cell r="O165">
            <v>0</v>
          </cell>
          <cell r="P165">
            <v>0</v>
          </cell>
        </row>
        <row r="166">
          <cell r="C166">
            <v>179</v>
          </cell>
          <cell r="F166">
            <v>1</v>
          </cell>
          <cell r="G166">
            <v>1</v>
          </cell>
          <cell r="H166">
            <v>46185</v>
          </cell>
          <cell r="I166">
            <v>0</v>
          </cell>
          <cell r="J166">
            <v>1000</v>
          </cell>
          <cell r="K166">
            <v>0</v>
          </cell>
          <cell r="L166">
            <v>0</v>
          </cell>
          <cell r="M166">
            <v>0</v>
          </cell>
          <cell r="N166">
            <v>0</v>
          </cell>
          <cell r="O166">
            <v>0</v>
          </cell>
          <cell r="P166">
            <v>0</v>
          </cell>
        </row>
        <row r="167">
          <cell r="C167">
            <v>177</v>
          </cell>
          <cell r="F167">
            <v>1</v>
          </cell>
          <cell r="G167">
            <v>1</v>
          </cell>
          <cell r="H167">
            <v>46186</v>
          </cell>
          <cell r="I167">
            <v>0</v>
          </cell>
          <cell r="J167">
            <v>250</v>
          </cell>
          <cell r="K167">
            <v>0</v>
          </cell>
          <cell r="L167">
            <v>0</v>
          </cell>
          <cell r="M167">
            <v>0</v>
          </cell>
          <cell r="N167">
            <v>0</v>
          </cell>
          <cell r="O167">
            <v>0</v>
          </cell>
          <cell r="P167">
            <v>0</v>
          </cell>
        </row>
        <row r="168">
          <cell r="C168">
            <v>191</v>
          </cell>
          <cell r="F168">
            <v>1</v>
          </cell>
          <cell r="G168">
            <v>1</v>
          </cell>
          <cell r="H168">
            <v>46186</v>
          </cell>
          <cell r="I168">
            <v>0</v>
          </cell>
          <cell r="J168">
            <v>20</v>
          </cell>
          <cell r="K168">
            <v>0</v>
          </cell>
          <cell r="L168">
            <v>0</v>
          </cell>
          <cell r="M168">
            <v>0</v>
          </cell>
          <cell r="N168">
            <v>0</v>
          </cell>
          <cell r="O168">
            <v>0</v>
          </cell>
          <cell r="P168">
            <v>0</v>
          </cell>
        </row>
        <row r="169">
          <cell r="C169">
            <v>41</v>
          </cell>
          <cell r="F169">
            <v>1</v>
          </cell>
          <cell r="G169">
            <v>1</v>
          </cell>
          <cell r="H169">
            <v>46186</v>
          </cell>
          <cell r="I169">
            <v>0</v>
          </cell>
          <cell r="J169">
            <v>2</v>
          </cell>
          <cell r="K169">
            <v>0</v>
          </cell>
          <cell r="L169">
            <v>0</v>
          </cell>
          <cell r="M169">
            <v>0</v>
          </cell>
          <cell r="N169">
            <v>0</v>
          </cell>
          <cell r="O169">
            <v>0</v>
          </cell>
          <cell r="P169">
            <v>0</v>
          </cell>
        </row>
        <row r="170">
          <cell r="C170">
            <v>8</v>
          </cell>
          <cell r="F170">
            <v>1</v>
          </cell>
          <cell r="G170">
            <v>1</v>
          </cell>
          <cell r="H170">
            <v>46186</v>
          </cell>
          <cell r="I170">
            <v>0</v>
          </cell>
          <cell r="J170">
            <v>2</v>
          </cell>
          <cell r="K170">
            <v>0</v>
          </cell>
          <cell r="L170">
            <v>0</v>
          </cell>
          <cell r="M170">
            <v>0</v>
          </cell>
          <cell r="N170">
            <v>0</v>
          </cell>
          <cell r="O170">
            <v>0</v>
          </cell>
          <cell r="P170">
            <v>0</v>
          </cell>
        </row>
        <row r="171">
          <cell r="C171">
            <v>45</v>
          </cell>
          <cell r="F171">
            <v>1</v>
          </cell>
          <cell r="G171">
            <v>1</v>
          </cell>
          <cell r="H171">
            <v>46186</v>
          </cell>
          <cell r="I171">
            <v>0</v>
          </cell>
          <cell r="J171">
            <v>3</v>
          </cell>
          <cell r="K171">
            <v>0</v>
          </cell>
          <cell r="L171">
            <v>0</v>
          </cell>
          <cell r="M171">
            <v>0</v>
          </cell>
          <cell r="N171">
            <v>0</v>
          </cell>
          <cell r="O171">
            <v>0</v>
          </cell>
          <cell r="P171">
            <v>0</v>
          </cell>
        </row>
        <row r="172">
          <cell r="C172">
            <v>42</v>
          </cell>
          <cell r="F172">
            <v>1</v>
          </cell>
          <cell r="G172">
            <v>1</v>
          </cell>
          <cell r="H172">
            <v>46186</v>
          </cell>
          <cell r="I172">
            <v>0</v>
          </cell>
          <cell r="J172">
            <v>2</v>
          </cell>
          <cell r="K172">
            <v>0</v>
          </cell>
          <cell r="L172">
            <v>0</v>
          </cell>
          <cell r="M172">
            <v>0</v>
          </cell>
          <cell r="N172">
            <v>0</v>
          </cell>
          <cell r="O172">
            <v>0</v>
          </cell>
          <cell r="P172">
            <v>0</v>
          </cell>
        </row>
        <row r="173">
          <cell r="C173">
            <v>56</v>
          </cell>
          <cell r="F173">
            <v>1</v>
          </cell>
          <cell r="G173">
            <v>1</v>
          </cell>
          <cell r="H173">
            <v>46186</v>
          </cell>
          <cell r="I173">
            <v>0</v>
          </cell>
          <cell r="J173">
            <v>1</v>
          </cell>
          <cell r="K173">
            <v>0</v>
          </cell>
          <cell r="L173">
            <v>0</v>
          </cell>
          <cell r="M173">
            <v>0</v>
          </cell>
          <cell r="N173">
            <v>0</v>
          </cell>
          <cell r="O173">
            <v>0</v>
          </cell>
          <cell r="P173">
            <v>0</v>
          </cell>
        </row>
        <row r="174">
          <cell r="C174">
            <v>68</v>
          </cell>
          <cell r="F174">
            <v>1</v>
          </cell>
          <cell r="G174">
            <v>1</v>
          </cell>
          <cell r="H174">
            <v>46186</v>
          </cell>
          <cell r="I174">
            <v>0</v>
          </cell>
          <cell r="J174">
            <v>2</v>
          </cell>
          <cell r="K174">
            <v>0</v>
          </cell>
          <cell r="L174">
            <v>0</v>
          </cell>
          <cell r="M174">
            <v>0</v>
          </cell>
          <cell r="N174">
            <v>0</v>
          </cell>
          <cell r="O174">
            <v>0</v>
          </cell>
          <cell r="P174">
            <v>0</v>
          </cell>
        </row>
        <row r="175">
          <cell r="C175">
            <v>49</v>
          </cell>
          <cell r="F175">
            <v>1</v>
          </cell>
          <cell r="G175">
            <v>1</v>
          </cell>
          <cell r="H175">
            <v>46186</v>
          </cell>
          <cell r="I175">
            <v>0</v>
          </cell>
          <cell r="J175">
            <v>1</v>
          </cell>
          <cell r="K175">
            <v>0</v>
          </cell>
          <cell r="L175">
            <v>0</v>
          </cell>
          <cell r="M175">
            <v>0</v>
          </cell>
          <cell r="N175">
            <v>0</v>
          </cell>
          <cell r="O175">
            <v>0</v>
          </cell>
          <cell r="P175">
            <v>0</v>
          </cell>
        </row>
        <row r="176">
          <cell r="C176">
            <v>69</v>
          </cell>
          <cell r="F176">
            <v>1</v>
          </cell>
          <cell r="G176">
            <v>1</v>
          </cell>
          <cell r="H176">
            <v>46186</v>
          </cell>
          <cell r="I176">
            <v>0</v>
          </cell>
          <cell r="J176">
            <v>1</v>
          </cell>
          <cell r="K176">
            <v>0</v>
          </cell>
          <cell r="L176">
            <v>0</v>
          </cell>
          <cell r="M176">
            <v>0</v>
          </cell>
          <cell r="N176">
            <v>0</v>
          </cell>
          <cell r="O176">
            <v>0</v>
          </cell>
          <cell r="P176">
            <v>0</v>
          </cell>
        </row>
        <row r="177">
          <cell r="C177">
            <v>25</v>
          </cell>
          <cell r="F177">
            <v>1</v>
          </cell>
          <cell r="G177">
            <v>1</v>
          </cell>
          <cell r="H177">
            <v>46186</v>
          </cell>
          <cell r="I177">
            <v>0</v>
          </cell>
          <cell r="J177">
            <v>1</v>
          </cell>
          <cell r="K177">
            <v>0</v>
          </cell>
          <cell r="L177">
            <v>0</v>
          </cell>
          <cell r="M177">
            <v>0</v>
          </cell>
          <cell r="N177">
            <v>0</v>
          </cell>
          <cell r="O177">
            <v>0</v>
          </cell>
          <cell r="P177">
            <v>0</v>
          </cell>
        </row>
        <row r="178">
          <cell r="C178">
            <v>7</v>
          </cell>
          <cell r="F178">
            <v>1</v>
          </cell>
          <cell r="G178">
            <v>1</v>
          </cell>
          <cell r="H178">
            <v>46186</v>
          </cell>
          <cell r="I178">
            <v>0</v>
          </cell>
          <cell r="J178">
            <v>1</v>
          </cell>
          <cell r="K178">
            <v>0</v>
          </cell>
          <cell r="L178">
            <v>0</v>
          </cell>
          <cell r="M178">
            <v>0</v>
          </cell>
          <cell r="N178">
            <v>0</v>
          </cell>
          <cell r="O178">
            <v>0</v>
          </cell>
          <cell r="P178">
            <v>0</v>
          </cell>
        </row>
        <row r="179">
          <cell r="C179">
            <v>73</v>
          </cell>
          <cell r="F179">
            <v>1</v>
          </cell>
          <cell r="G179">
            <v>1</v>
          </cell>
          <cell r="H179">
            <v>46186</v>
          </cell>
          <cell r="I179">
            <v>0</v>
          </cell>
          <cell r="J179">
            <v>1</v>
          </cell>
          <cell r="K179">
            <v>0</v>
          </cell>
          <cell r="L179">
            <v>0</v>
          </cell>
          <cell r="M179">
            <v>0</v>
          </cell>
          <cell r="N179">
            <v>0</v>
          </cell>
          <cell r="O179">
            <v>0</v>
          </cell>
          <cell r="P179">
            <v>0</v>
          </cell>
        </row>
        <row r="180">
          <cell r="C180">
            <v>108</v>
          </cell>
          <cell r="F180">
            <v>1</v>
          </cell>
          <cell r="G180">
            <v>1</v>
          </cell>
          <cell r="H180">
            <v>46186</v>
          </cell>
          <cell r="I180">
            <v>0</v>
          </cell>
          <cell r="J180">
            <v>1</v>
          </cell>
          <cell r="K180">
            <v>0</v>
          </cell>
          <cell r="L180">
            <v>0</v>
          </cell>
          <cell r="M180">
            <v>0</v>
          </cell>
          <cell r="N180">
            <v>0</v>
          </cell>
          <cell r="O180">
            <v>0</v>
          </cell>
          <cell r="P180">
            <v>0</v>
          </cell>
        </row>
        <row r="181">
          <cell r="C181">
            <v>92</v>
          </cell>
          <cell r="F181">
            <v>1</v>
          </cell>
          <cell r="G181">
            <v>1</v>
          </cell>
          <cell r="H181">
            <v>46186</v>
          </cell>
          <cell r="I181">
            <v>0</v>
          </cell>
          <cell r="J181">
            <v>20</v>
          </cell>
          <cell r="K181">
            <v>0</v>
          </cell>
          <cell r="L181">
            <v>0</v>
          </cell>
          <cell r="M181">
            <v>0</v>
          </cell>
          <cell r="N181">
            <v>0</v>
          </cell>
          <cell r="O181">
            <v>0</v>
          </cell>
          <cell r="P181">
            <v>0</v>
          </cell>
        </row>
        <row r="182">
          <cell r="C182">
            <v>50</v>
          </cell>
          <cell r="F182">
            <v>1</v>
          </cell>
          <cell r="G182">
            <v>1</v>
          </cell>
          <cell r="H182">
            <v>46186</v>
          </cell>
          <cell r="I182">
            <v>0</v>
          </cell>
          <cell r="J182">
            <v>30</v>
          </cell>
          <cell r="K182">
            <v>0</v>
          </cell>
          <cell r="L182">
            <v>0</v>
          </cell>
          <cell r="M182">
            <v>0</v>
          </cell>
          <cell r="N182">
            <v>0</v>
          </cell>
          <cell r="O182">
            <v>0</v>
          </cell>
          <cell r="P182">
            <v>0</v>
          </cell>
        </row>
        <row r="183">
          <cell r="C183">
            <v>101</v>
          </cell>
          <cell r="F183">
            <v>1</v>
          </cell>
          <cell r="G183">
            <v>1</v>
          </cell>
          <cell r="H183">
            <v>46186</v>
          </cell>
          <cell r="I183">
            <v>0</v>
          </cell>
          <cell r="J183">
            <v>20</v>
          </cell>
          <cell r="K183">
            <v>0</v>
          </cell>
          <cell r="L183">
            <v>0</v>
          </cell>
          <cell r="M183">
            <v>0</v>
          </cell>
          <cell r="N183">
            <v>0</v>
          </cell>
          <cell r="O183">
            <v>0</v>
          </cell>
          <cell r="P183">
            <v>0</v>
          </cell>
        </row>
        <row r="184">
          <cell r="C184">
            <v>94</v>
          </cell>
          <cell r="F184">
            <v>1</v>
          </cell>
          <cell r="G184">
            <v>1</v>
          </cell>
          <cell r="H184">
            <v>46186</v>
          </cell>
          <cell r="I184">
            <v>0</v>
          </cell>
          <cell r="J184">
            <v>40</v>
          </cell>
          <cell r="K184">
            <v>0</v>
          </cell>
          <cell r="L184">
            <v>0</v>
          </cell>
          <cell r="M184">
            <v>0</v>
          </cell>
          <cell r="N184">
            <v>0</v>
          </cell>
          <cell r="O184">
            <v>0</v>
          </cell>
          <cell r="P184">
            <v>0</v>
          </cell>
        </row>
        <row r="185">
          <cell r="C185">
            <v>177</v>
          </cell>
          <cell r="F185">
            <v>1</v>
          </cell>
          <cell r="G185">
            <v>1</v>
          </cell>
          <cell r="H185">
            <v>46187</v>
          </cell>
          <cell r="I185">
            <v>0</v>
          </cell>
          <cell r="J185">
            <v>1250</v>
          </cell>
          <cell r="K185">
            <v>0</v>
          </cell>
          <cell r="L185">
            <v>0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</row>
        <row r="186">
          <cell r="C186">
            <v>51</v>
          </cell>
          <cell r="F186">
            <v>1</v>
          </cell>
          <cell r="G186">
            <v>1</v>
          </cell>
          <cell r="H186">
            <v>46187</v>
          </cell>
          <cell r="I186">
            <v>0</v>
          </cell>
          <cell r="J186">
            <v>3</v>
          </cell>
          <cell r="K186">
            <v>0</v>
          </cell>
          <cell r="L186">
            <v>0</v>
          </cell>
          <cell r="M186">
            <v>0</v>
          </cell>
          <cell r="N186">
            <v>0</v>
          </cell>
          <cell r="O186">
            <v>0</v>
          </cell>
          <cell r="P186">
            <v>0</v>
          </cell>
        </row>
        <row r="187">
          <cell r="C187">
            <v>184</v>
          </cell>
          <cell r="F187">
            <v>1</v>
          </cell>
          <cell r="G187">
            <v>1</v>
          </cell>
          <cell r="H187">
            <v>46187</v>
          </cell>
          <cell r="I187">
            <v>0</v>
          </cell>
          <cell r="J187">
            <v>120</v>
          </cell>
          <cell r="K187">
            <v>0</v>
          </cell>
          <cell r="L187">
            <v>0</v>
          </cell>
          <cell r="M187">
            <v>0</v>
          </cell>
          <cell r="N187">
            <v>0</v>
          </cell>
          <cell r="O187">
            <v>0</v>
          </cell>
          <cell r="P187">
            <v>0</v>
          </cell>
        </row>
        <row r="188">
          <cell r="C188">
            <v>177</v>
          </cell>
          <cell r="F188">
            <v>1</v>
          </cell>
          <cell r="G188">
            <v>1</v>
          </cell>
          <cell r="H188">
            <v>46188</v>
          </cell>
          <cell r="I188">
            <v>0</v>
          </cell>
          <cell r="J188">
            <v>800</v>
          </cell>
          <cell r="K188">
            <v>0</v>
          </cell>
          <cell r="L188">
            <v>0</v>
          </cell>
          <cell r="M188">
            <v>0</v>
          </cell>
          <cell r="N188">
            <v>0</v>
          </cell>
          <cell r="O188">
            <v>0</v>
          </cell>
          <cell r="P188">
            <v>0</v>
          </cell>
        </row>
        <row r="189">
          <cell r="C189">
            <v>179</v>
          </cell>
          <cell r="F189">
            <v>1</v>
          </cell>
          <cell r="G189">
            <v>1</v>
          </cell>
          <cell r="H189">
            <v>46188</v>
          </cell>
          <cell r="I189">
            <v>0</v>
          </cell>
          <cell r="J189">
            <v>750</v>
          </cell>
          <cell r="K189">
            <v>0</v>
          </cell>
          <cell r="L189">
            <v>0</v>
          </cell>
          <cell r="M189">
            <v>0</v>
          </cell>
          <cell r="N189">
            <v>0</v>
          </cell>
          <cell r="O189">
            <v>0</v>
          </cell>
          <cell r="P189">
            <v>0</v>
          </cell>
        </row>
        <row r="190">
          <cell r="C190">
            <v>69</v>
          </cell>
          <cell r="F190">
            <v>1</v>
          </cell>
          <cell r="G190">
            <v>1</v>
          </cell>
          <cell r="H190">
            <v>46188</v>
          </cell>
          <cell r="I190">
            <v>0</v>
          </cell>
          <cell r="J190">
            <v>4</v>
          </cell>
          <cell r="K190">
            <v>0</v>
          </cell>
          <cell r="L190">
            <v>0</v>
          </cell>
          <cell r="M190">
            <v>0</v>
          </cell>
          <cell r="N190">
            <v>0</v>
          </cell>
          <cell r="O190">
            <v>0</v>
          </cell>
          <cell r="P190">
            <v>0</v>
          </cell>
        </row>
        <row r="191">
          <cell r="C191">
            <v>181</v>
          </cell>
          <cell r="F191">
            <v>1</v>
          </cell>
          <cell r="G191">
            <v>1</v>
          </cell>
          <cell r="H191">
            <v>46188</v>
          </cell>
          <cell r="I191">
            <v>0</v>
          </cell>
          <cell r="J191">
            <v>12</v>
          </cell>
          <cell r="K191">
            <v>0</v>
          </cell>
          <cell r="L191">
            <v>0</v>
          </cell>
          <cell r="M191">
            <v>0</v>
          </cell>
          <cell r="N191">
            <v>0</v>
          </cell>
          <cell r="O191">
            <v>0</v>
          </cell>
          <cell r="P191">
            <v>0</v>
          </cell>
        </row>
        <row r="192">
          <cell r="C192">
            <v>42</v>
          </cell>
          <cell r="F192">
            <v>1</v>
          </cell>
          <cell r="G192">
            <v>1</v>
          </cell>
          <cell r="H192">
            <v>46188</v>
          </cell>
          <cell r="I192">
            <v>0</v>
          </cell>
          <cell r="J192">
            <v>4</v>
          </cell>
          <cell r="K192">
            <v>0</v>
          </cell>
          <cell r="L192">
            <v>0</v>
          </cell>
          <cell r="M192">
            <v>0</v>
          </cell>
          <cell r="N192">
            <v>0</v>
          </cell>
          <cell r="O192">
            <v>0</v>
          </cell>
          <cell r="P192">
            <v>0</v>
          </cell>
        </row>
        <row r="193">
          <cell r="C193">
            <v>74</v>
          </cell>
          <cell r="F193">
            <v>1</v>
          </cell>
          <cell r="G193">
            <v>1</v>
          </cell>
          <cell r="H193">
            <v>46188</v>
          </cell>
          <cell r="I193">
            <v>0</v>
          </cell>
          <cell r="J193">
            <v>2</v>
          </cell>
          <cell r="K193">
            <v>0</v>
          </cell>
          <cell r="L193">
            <v>0</v>
          </cell>
          <cell r="M193">
            <v>0</v>
          </cell>
          <cell r="N193">
            <v>0</v>
          </cell>
          <cell r="O193">
            <v>0</v>
          </cell>
          <cell r="P193">
            <v>0</v>
          </cell>
        </row>
        <row r="194">
          <cell r="C194">
            <v>44</v>
          </cell>
          <cell r="F194">
            <v>1</v>
          </cell>
          <cell r="G194">
            <v>1</v>
          </cell>
          <cell r="H194">
            <v>46188</v>
          </cell>
          <cell r="I194">
            <v>0</v>
          </cell>
          <cell r="J194">
            <v>2</v>
          </cell>
          <cell r="K194">
            <v>0</v>
          </cell>
          <cell r="L194">
            <v>0</v>
          </cell>
          <cell r="M194">
            <v>0</v>
          </cell>
          <cell r="N194">
            <v>0</v>
          </cell>
          <cell r="O194">
            <v>0</v>
          </cell>
          <cell r="P194">
            <v>0</v>
          </cell>
        </row>
        <row r="195">
          <cell r="C195">
            <v>46</v>
          </cell>
          <cell r="F195">
            <v>1</v>
          </cell>
          <cell r="G195">
            <v>1</v>
          </cell>
          <cell r="H195">
            <v>46188</v>
          </cell>
          <cell r="I195">
            <v>0</v>
          </cell>
          <cell r="J195">
            <v>4</v>
          </cell>
          <cell r="K195">
            <v>0</v>
          </cell>
          <cell r="L195">
            <v>0</v>
          </cell>
          <cell r="M195">
            <v>0</v>
          </cell>
          <cell r="N195">
            <v>0</v>
          </cell>
          <cell r="O195">
            <v>0</v>
          </cell>
          <cell r="P195">
            <v>0</v>
          </cell>
        </row>
        <row r="196">
          <cell r="C196">
            <v>103</v>
          </cell>
          <cell r="F196">
            <v>1</v>
          </cell>
          <cell r="G196">
            <v>1</v>
          </cell>
          <cell r="H196">
            <v>46188</v>
          </cell>
          <cell r="I196">
            <v>0</v>
          </cell>
          <cell r="J196">
            <v>1</v>
          </cell>
          <cell r="K196">
            <v>0</v>
          </cell>
          <cell r="L196">
            <v>0</v>
          </cell>
          <cell r="M196">
            <v>0</v>
          </cell>
          <cell r="N196">
            <v>0</v>
          </cell>
          <cell r="O196">
            <v>0</v>
          </cell>
          <cell r="P196">
            <v>0</v>
          </cell>
        </row>
        <row r="197">
          <cell r="C197">
            <v>75</v>
          </cell>
          <cell r="F197">
            <v>1</v>
          </cell>
          <cell r="G197">
            <v>1</v>
          </cell>
          <cell r="H197">
            <v>46188</v>
          </cell>
          <cell r="I197">
            <v>0</v>
          </cell>
          <cell r="J197">
            <v>1</v>
          </cell>
          <cell r="K197">
            <v>0</v>
          </cell>
          <cell r="L197">
            <v>0</v>
          </cell>
          <cell r="M197">
            <v>0</v>
          </cell>
          <cell r="N197">
            <v>0</v>
          </cell>
          <cell r="O197">
            <v>0</v>
          </cell>
          <cell r="P197">
            <v>0</v>
          </cell>
        </row>
        <row r="198">
          <cell r="C198">
            <v>68</v>
          </cell>
          <cell r="F198">
            <v>1</v>
          </cell>
          <cell r="G198">
            <v>1</v>
          </cell>
          <cell r="H198">
            <v>46188</v>
          </cell>
          <cell r="I198">
            <v>0</v>
          </cell>
          <cell r="J198">
            <v>1</v>
          </cell>
          <cell r="K198">
            <v>0</v>
          </cell>
          <cell r="L198">
            <v>0</v>
          </cell>
          <cell r="M198">
            <v>0</v>
          </cell>
          <cell r="N198">
            <v>0</v>
          </cell>
          <cell r="O198">
            <v>0</v>
          </cell>
          <cell r="P198">
            <v>0</v>
          </cell>
        </row>
        <row r="199">
          <cell r="C199">
            <v>150</v>
          </cell>
          <cell r="F199">
            <v>1</v>
          </cell>
          <cell r="G199">
            <v>1</v>
          </cell>
          <cell r="H199">
            <v>46188</v>
          </cell>
          <cell r="I199">
            <v>0</v>
          </cell>
          <cell r="J199">
            <v>24</v>
          </cell>
          <cell r="K199">
            <v>0</v>
          </cell>
          <cell r="L199">
            <v>0</v>
          </cell>
          <cell r="M199">
            <v>0</v>
          </cell>
          <cell r="N199">
            <v>0</v>
          </cell>
          <cell r="O199">
            <v>0</v>
          </cell>
          <cell r="P199">
            <v>0</v>
          </cell>
        </row>
        <row r="200">
          <cell r="C200">
            <v>18</v>
          </cell>
          <cell r="F200">
            <v>1</v>
          </cell>
          <cell r="G200">
            <v>1</v>
          </cell>
          <cell r="H200">
            <v>46188</v>
          </cell>
          <cell r="I200">
            <v>0</v>
          </cell>
          <cell r="J200">
            <v>2</v>
          </cell>
          <cell r="K200">
            <v>0</v>
          </cell>
          <cell r="L200">
            <v>0</v>
          </cell>
          <cell r="M200">
            <v>0</v>
          </cell>
          <cell r="N200">
            <v>0</v>
          </cell>
          <cell r="O200">
            <v>0</v>
          </cell>
          <cell r="P200">
            <v>0</v>
          </cell>
        </row>
        <row r="201">
          <cell r="C201">
            <v>108</v>
          </cell>
          <cell r="F201">
            <v>1</v>
          </cell>
          <cell r="G201">
            <v>1</v>
          </cell>
          <cell r="H201">
            <v>46188</v>
          </cell>
          <cell r="I201">
            <v>0</v>
          </cell>
          <cell r="J201">
            <v>1</v>
          </cell>
          <cell r="K201">
            <v>0</v>
          </cell>
          <cell r="L201">
            <v>0</v>
          </cell>
          <cell r="M201">
            <v>0</v>
          </cell>
          <cell r="N201">
            <v>0</v>
          </cell>
          <cell r="O201">
            <v>0</v>
          </cell>
          <cell r="P201">
            <v>0</v>
          </cell>
        </row>
        <row r="202">
          <cell r="C202">
            <v>22</v>
          </cell>
          <cell r="F202">
            <v>1</v>
          </cell>
          <cell r="G202">
            <v>1</v>
          </cell>
          <cell r="H202">
            <v>46188</v>
          </cell>
          <cell r="I202">
            <v>0</v>
          </cell>
          <cell r="J202">
            <v>2</v>
          </cell>
          <cell r="K202">
            <v>0</v>
          </cell>
          <cell r="L202">
            <v>0</v>
          </cell>
          <cell r="M202">
            <v>0</v>
          </cell>
          <cell r="N202">
            <v>0</v>
          </cell>
          <cell r="O202">
            <v>0</v>
          </cell>
          <cell r="P202">
            <v>0</v>
          </cell>
        </row>
        <row r="203">
          <cell r="C203">
            <v>14</v>
          </cell>
          <cell r="F203">
            <v>1</v>
          </cell>
          <cell r="G203">
            <v>1</v>
          </cell>
          <cell r="H203">
            <v>46188</v>
          </cell>
          <cell r="I203">
            <v>0</v>
          </cell>
          <cell r="J203">
            <v>1</v>
          </cell>
          <cell r="K203">
            <v>0</v>
          </cell>
          <cell r="L203">
            <v>0</v>
          </cell>
          <cell r="M203">
            <v>0</v>
          </cell>
          <cell r="N203">
            <v>0</v>
          </cell>
          <cell r="O203">
            <v>0</v>
          </cell>
          <cell r="P203">
            <v>0</v>
          </cell>
        </row>
        <row r="204">
          <cell r="C204">
            <v>16</v>
          </cell>
          <cell r="F204">
            <v>1</v>
          </cell>
          <cell r="G204">
            <v>1</v>
          </cell>
          <cell r="H204">
            <v>46188</v>
          </cell>
          <cell r="I204">
            <v>0</v>
          </cell>
          <cell r="J204">
            <v>1</v>
          </cell>
          <cell r="K204">
            <v>0</v>
          </cell>
          <cell r="L204">
            <v>0</v>
          </cell>
          <cell r="M204">
            <v>0</v>
          </cell>
          <cell r="N204">
            <v>0</v>
          </cell>
          <cell r="O204">
            <v>0</v>
          </cell>
          <cell r="P204">
            <v>0</v>
          </cell>
        </row>
        <row r="205">
          <cell r="C205">
            <v>50</v>
          </cell>
          <cell r="F205">
            <v>1</v>
          </cell>
          <cell r="G205">
            <v>1</v>
          </cell>
          <cell r="H205">
            <v>46188</v>
          </cell>
          <cell r="I205">
            <v>0</v>
          </cell>
          <cell r="J205">
            <v>3</v>
          </cell>
          <cell r="K205">
            <v>0</v>
          </cell>
          <cell r="L205">
            <v>0</v>
          </cell>
          <cell r="M205">
            <v>0</v>
          </cell>
          <cell r="N205">
            <v>0</v>
          </cell>
          <cell r="O205">
            <v>0</v>
          </cell>
          <cell r="P205">
            <v>0</v>
          </cell>
        </row>
        <row r="206">
          <cell r="C206">
            <v>177</v>
          </cell>
          <cell r="F206">
            <v>1</v>
          </cell>
          <cell r="G206">
            <v>1</v>
          </cell>
          <cell r="H206">
            <v>46189</v>
          </cell>
          <cell r="I206">
            <v>0</v>
          </cell>
          <cell r="J206">
            <v>650</v>
          </cell>
          <cell r="K206">
            <v>0</v>
          </cell>
          <cell r="L206">
            <v>0</v>
          </cell>
          <cell r="M206">
            <v>0</v>
          </cell>
          <cell r="N206">
            <v>0</v>
          </cell>
          <cell r="O206">
            <v>0</v>
          </cell>
          <cell r="P206">
            <v>0</v>
          </cell>
        </row>
        <row r="207">
          <cell r="C207">
            <v>179</v>
          </cell>
          <cell r="F207">
            <v>1</v>
          </cell>
          <cell r="G207">
            <v>1</v>
          </cell>
          <cell r="H207">
            <v>46189</v>
          </cell>
          <cell r="I207">
            <v>0</v>
          </cell>
          <cell r="J207">
            <v>300</v>
          </cell>
          <cell r="K207">
            <v>0</v>
          </cell>
          <cell r="L207">
            <v>0</v>
          </cell>
          <cell r="M207">
            <v>0</v>
          </cell>
          <cell r="N207">
            <v>0</v>
          </cell>
          <cell r="O207">
            <v>0</v>
          </cell>
          <cell r="P207">
            <v>0</v>
          </cell>
        </row>
        <row r="208">
          <cell r="C208">
            <v>187</v>
          </cell>
          <cell r="F208">
            <v>1</v>
          </cell>
          <cell r="G208">
            <v>1</v>
          </cell>
          <cell r="H208">
            <v>46189</v>
          </cell>
          <cell r="I208">
            <v>0</v>
          </cell>
          <cell r="J208">
            <v>40</v>
          </cell>
          <cell r="K208">
            <v>0</v>
          </cell>
          <cell r="L208">
            <v>0</v>
          </cell>
          <cell r="M208">
            <v>0</v>
          </cell>
          <cell r="N208">
            <v>0</v>
          </cell>
          <cell r="O208">
            <v>0</v>
          </cell>
          <cell r="P208">
            <v>0</v>
          </cell>
        </row>
        <row r="209">
          <cell r="C209">
            <v>195</v>
          </cell>
          <cell r="F209">
            <v>1</v>
          </cell>
          <cell r="G209">
            <v>1</v>
          </cell>
          <cell r="H209">
            <v>46189</v>
          </cell>
          <cell r="I209">
            <v>0</v>
          </cell>
          <cell r="J209">
            <v>12</v>
          </cell>
          <cell r="K209">
            <v>0</v>
          </cell>
          <cell r="L209">
            <v>0</v>
          </cell>
          <cell r="M209">
            <v>0</v>
          </cell>
          <cell r="N209">
            <v>0</v>
          </cell>
          <cell r="O209">
            <v>0</v>
          </cell>
          <cell r="P209">
            <v>0</v>
          </cell>
        </row>
        <row r="210">
          <cell r="C210">
            <v>16</v>
          </cell>
          <cell r="F210">
            <v>1</v>
          </cell>
          <cell r="G210">
            <v>1</v>
          </cell>
          <cell r="H210">
            <v>46189</v>
          </cell>
          <cell r="I210">
            <v>0</v>
          </cell>
          <cell r="J210">
            <v>10</v>
          </cell>
          <cell r="K210">
            <v>0</v>
          </cell>
          <cell r="L210">
            <v>0</v>
          </cell>
          <cell r="M210">
            <v>0</v>
          </cell>
          <cell r="N210">
            <v>0</v>
          </cell>
          <cell r="O210">
            <v>0</v>
          </cell>
          <cell r="P210">
            <v>0</v>
          </cell>
        </row>
        <row r="211">
          <cell r="C211">
            <v>10</v>
          </cell>
          <cell r="F211">
            <v>1</v>
          </cell>
          <cell r="G211">
            <v>1</v>
          </cell>
          <cell r="H211">
            <v>46189</v>
          </cell>
          <cell r="I211">
            <v>0</v>
          </cell>
          <cell r="J211">
            <v>1</v>
          </cell>
          <cell r="K211">
            <v>0</v>
          </cell>
          <cell r="L211">
            <v>0</v>
          </cell>
          <cell r="M211">
            <v>0</v>
          </cell>
          <cell r="N211">
            <v>0</v>
          </cell>
          <cell r="O211">
            <v>0</v>
          </cell>
          <cell r="P211">
            <v>0</v>
          </cell>
        </row>
        <row r="212">
          <cell r="C212">
            <v>178</v>
          </cell>
          <cell r="F212">
            <v>1</v>
          </cell>
          <cell r="G212">
            <v>1</v>
          </cell>
          <cell r="H212">
            <v>46189</v>
          </cell>
          <cell r="I212">
            <v>0</v>
          </cell>
          <cell r="J212">
            <v>200</v>
          </cell>
          <cell r="K212">
            <v>0</v>
          </cell>
          <cell r="L212">
            <v>0</v>
          </cell>
          <cell r="M212">
            <v>0</v>
          </cell>
          <cell r="N212">
            <v>0</v>
          </cell>
          <cell r="O212">
            <v>0</v>
          </cell>
          <cell r="P212">
            <v>0</v>
          </cell>
        </row>
        <row r="213">
          <cell r="C213">
            <v>197</v>
          </cell>
          <cell r="F213">
            <v>1</v>
          </cell>
          <cell r="G213">
            <v>1</v>
          </cell>
          <cell r="H213">
            <v>46190</v>
          </cell>
          <cell r="I213">
            <v>0</v>
          </cell>
          <cell r="J213">
            <v>8</v>
          </cell>
          <cell r="K213">
            <v>0</v>
          </cell>
          <cell r="L213">
            <v>0</v>
          </cell>
          <cell r="M213">
            <v>0</v>
          </cell>
          <cell r="N213">
            <v>0</v>
          </cell>
          <cell r="O213">
            <v>0</v>
          </cell>
          <cell r="P213">
            <v>0</v>
          </cell>
        </row>
        <row r="214">
          <cell r="C214">
            <v>181</v>
          </cell>
          <cell r="F214">
            <v>1</v>
          </cell>
          <cell r="G214">
            <v>1</v>
          </cell>
          <cell r="H214">
            <v>46190</v>
          </cell>
          <cell r="I214">
            <v>0</v>
          </cell>
          <cell r="J214">
            <v>120</v>
          </cell>
          <cell r="K214">
            <v>0</v>
          </cell>
          <cell r="L214">
            <v>0</v>
          </cell>
          <cell r="M214">
            <v>0</v>
          </cell>
          <cell r="N214">
            <v>0</v>
          </cell>
          <cell r="O214">
            <v>0</v>
          </cell>
          <cell r="P214">
            <v>0</v>
          </cell>
        </row>
        <row r="215">
          <cell r="C215">
            <v>178</v>
          </cell>
          <cell r="F215">
            <v>1</v>
          </cell>
          <cell r="G215">
            <v>1</v>
          </cell>
          <cell r="H215">
            <v>46190</v>
          </cell>
          <cell r="I215">
            <v>0</v>
          </cell>
          <cell r="J215">
            <v>1300</v>
          </cell>
          <cell r="K215">
            <v>0</v>
          </cell>
          <cell r="L215">
            <v>0</v>
          </cell>
          <cell r="M215">
            <v>0</v>
          </cell>
          <cell r="N215">
            <v>0</v>
          </cell>
          <cell r="O215">
            <v>0</v>
          </cell>
          <cell r="P215">
            <v>0</v>
          </cell>
        </row>
        <row r="216">
          <cell r="C216">
            <v>177</v>
          </cell>
          <cell r="F216">
            <v>1</v>
          </cell>
          <cell r="G216">
            <v>1</v>
          </cell>
          <cell r="H216">
            <v>46190</v>
          </cell>
          <cell r="I216">
            <v>0</v>
          </cell>
          <cell r="J216">
            <v>150</v>
          </cell>
          <cell r="K216">
            <v>0</v>
          </cell>
          <cell r="L216">
            <v>0</v>
          </cell>
          <cell r="M216">
            <v>0</v>
          </cell>
          <cell r="N216">
            <v>0</v>
          </cell>
          <cell r="O216">
            <v>0</v>
          </cell>
          <cell r="P216">
            <v>0</v>
          </cell>
        </row>
        <row r="217">
          <cell r="C217">
            <v>183</v>
          </cell>
          <cell r="F217">
            <v>1</v>
          </cell>
          <cell r="G217">
            <v>1</v>
          </cell>
          <cell r="H217">
            <v>46190</v>
          </cell>
          <cell r="I217">
            <v>0</v>
          </cell>
          <cell r="J217">
            <v>60</v>
          </cell>
          <cell r="K217">
            <v>0</v>
          </cell>
          <cell r="L217">
            <v>0</v>
          </cell>
          <cell r="M217">
            <v>0</v>
          </cell>
          <cell r="N217">
            <v>0</v>
          </cell>
          <cell r="O217">
            <v>0</v>
          </cell>
          <cell r="P217">
            <v>0</v>
          </cell>
        </row>
        <row r="218">
          <cell r="C218">
            <v>167</v>
          </cell>
          <cell r="F218">
            <v>1</v>
          </cell>
          <cell r="G218">
            <v>1</v>
          </cell>
          <cell r="H218">
            <v>46190</v>
          </cell>
          <cell r="I218">
            <v>0</v>
          </cell>
          <cell r="J218">
            <v>7</v>
          </cell>
          <cell r="K218">
            <v>0</v>
          </cell>
          <cell r="L218">
            <v>0</v>
          </cell>
          <cell r="M218">
            <v>0</v>
          </cell>
          <cell r="N218">
            <v>0</v>
          </cell>
          <cell r="O218">
            <v>0</v>
          </cell>
          <cell r="P218">
            <v>0</v>
          </cell>
        </row>
        <row r="219">
          <cell r="C219">
            <v>144</v>
          </cell>
          <cell r="F219">
            <v>1</v>
          </cell>
          <cell r="G219">
            <v>1</v>
          </cell>
          <cell r="H219">
            <v>46190</v>
          </cell>
          <cell r="I219">
            <v>0</v>
          </cell>
          <cell r="J219">
            <v>4</v>
          </cell>
          <cell r="K219">
            <v>0</v>
          </cell>
          <cell r="L219">
            <v>0</v>
          </cell>
          <cell r="M219">
            <v>0</v>
          </cell>
          <cell r="N219">
            <v>0</v>
          </cell>
          <cell r="O219">
            <v>0</v>
          </cell>
          <cell r="P219">
            <v>0</v>
          </cell>
        </row>
        <row r="220">
          <cell r="C220">
            <v>74</v>
          </cell>
          <cell r="F220">
            <v>1</v>
          </cell>
          <cell r="G220">
            <v>1</v>
          </cell>
          <cell r="H220">
            <v>46190</v>
          </cell>
          <cell r="I220">
            <v>0</v>
          </cell>
          <cell r="J220">
            <v>4</v>
          </cell>
          <cell r="K220">
            <v>0</v>
          </cell>
          <cell r="L220">
            <v>0</v>
          </cell>
          <cell r="M220">
            <v>0</v>
          </cell>
          <cell r="N220">
            <v>0</v>
          </cell>
          <cell r="O220">
            <v>0</v>
          </cell>
          <cell r="P220">
            <v>0</v>
          </cell>
        </row>
        <row r="221">
          <cell r="C221">
            <v>90</v>
          </cell>
          <cell r="F221">
            <v>1</v>
          </cell>
          <cell r="G221">
            <v>1</v>
          </cell>
          <cell r="H221">
            <v>46190</v>
          </cell>
          <cell r="I221">
            <v>0</v>
          </cell>
          <cell r="J221">
            <v>4</v>
          </cell>
          <cell r="K221">
            <v>0</v>
          </cell>
          <cell r="L221">
            <v>0</v>
          </cell>
          <cell r="M221">
            <v>0</v>
          </cell>
          <cell r="N221">
            <v>0</v>
          </cell>
          <cell r="O221">
            <v>0</v>
          </cell>
          <cell r="P221">
            <v>0</v>
          </cell>
        </row>
        <row r="222">
          <cell r="C222">
            <v>49</v>
          </cell>
          <cell r="F222">
            <v>1</v>
          </cell>
          <cell r="G222">
            <v>1</v>
          </cell>
          <cell r="H222">
            <v>46190</v>
          </cell>
          <cell r="I222">
            <v>0</v>
          </cell>
          <cell r="J222">
            <v>2</v>
          </cell>
          <cell r="K222">
            <v>0</v>
          </cell>
          <cell r="L222">
            <v>0</v>
          </cell>
          <cell r="M222">
            <v>0</v>
          </cell>
          <cell r="N222">
            <v>0</v>
          </cell>
          <cell r="O222">
            <v>0</v>
          </cell>
          <cell r="P222">
            <v>0</v>
          </cell>
        </row>
        <row r="223">
          <cell r="C223">
            <v>94</v>
          </cell>
          <cell r="F223">
            <v>1</v>
          </cell>
          <cell r="G223">
            <v>1</v>
          </cell>
          <cell r="H223">
            <v>46190</v>
          </cell>
          <cell r="I223">
            <v>0</v>
          </cell>
          <cell r="J223">
            <v>1</v>
          </cell>
          <cell r="K223">
            <v>0</v>
          </cell>
          <cell r="L223">
            <v>0</v>
          </cell>
          <cell r="M223">
            <v>0</v>
          </cell>
          <cell r="N223">
            <v>0</v>
          </cell>
          <cell r="O223">
            <v>0</v>
          </cell>
          <cell r="P223">
            <v>0</v>
          </cell>
        </row>
        <row r="224">
          <cell r="C224">
            <v>19</v>
          </cell>
          <cell r="F224">
            <v>1</v>
          </cell>
          <cell r="G224">
            <v>1</v>
          </cell>
          <cell r="H224">
            <v>46191</v>
          </cell>
          <cell r="I224">
            <v>0</v>
          </cell>
          <cell r="J224">
            <v>1</v>
          </cell>
          <cell r="K224">
            <v>0</v>
          </cell>
          <cell r="L224">
            <v>0</v>
          </cell>
          <cell r="M224">
            <v>0</v>
          </cell>
          <cell r="N224">
            <v>0</v>
          </cell>
          <cell r="O224">
            <v>0</v>
          </cell>
          <cell r="P224">
            <v>0</v>
          </cell>
        </row>
        <row r="225">
          <cell r="C225">
            <v>22</v>
          </cell>
          <cell r="F225">
            <v>1</v>
          </cell>
          <cell r="G225">
            <v>1</v>
          </cell>
          <cell r="H225">
            <v>46191</v>
          </cell>
          <cell r="I225">
            <v>0</v>
          </cell>
          <cell r="J225">
            <v>1</v>
          </cell>
          <cell r="K225">
            <v>0</v>
          </cell>
          <cell r="L225">
            <v>0</v>
          </cell>
          <cell r="M225">
            <v>0</v>
          </cell>
          <cell r="N225">
            <v>0</v>
          </cell>
          <cell r="O225">
            <v>0</v>
          </cell>
          <cell r="P225">
            <v>0</v>
          </cell>
        </row>
        <row r="226">
          <cell r="C226">
            <v>34</v>
          </cell>
          <cell r="F226">
            <v>1</v>
          </cell>
          <cell r="G226">
            <v>1</v>
          </cell>
          <cell r="H226">
            <v>46191</v>
          </cell>
          <cell r="I226">
            <v>0</v>
          </cell>
          <cell r="J226">
            <v>3</v>
          </cell>
          <cell r="K226">
            <v>0</v>
          </cell>
          <cell r="L226">
            <v>0</v>
          </cell>
          <cell r="M226">
            <v>0</v>
          </cell>
          <cell r="N226">
            <v>0</v>
          </cell>
          <cell r="O226">
            <v>0</v>
          </cell>
          <cell r="P226">
            <v>0</v>
          </cell>
        </row>
        <row r="227">
          <cell r="C227">
            <v>37</v>
          </cell>
          <cell r="F227">
            <v>1</v>
          </cell>
          <cell r="G227">
            <v>1</v>
          </cell>
          <cell r="H227">
            <v>46191</v>
          </cell>
          <cell r="I227">
            <v>0</v>
          </cell>
          <cell r="J227">
            <v>1</v>
          </cell>
          <cell r="K227">
            <v>0</v>
          </cell>
          <cell r="L227">
            <v>0</v>
          </cell>
          <cell r="M227">
            <v>0</v>
          </cell>
          <cell r="N227">
            <v>0</v>
          </cell>
          <cell r="O227">
            <v>0</v>
          </cell>
          <cell r="P227">
            <v>0</v>
          </cell>
        </row>
        <row r="228">
          <cell r="C228">
            <v>26</v>
          </cell>
          <cell r="F228">
            <v>1</v>
          </cell>
          <cell r="G228">
            <v>1</v>
          </cell>
          <cell r="H228">
            <v>46191</v>
          </cell>
          <cell r="I228">
            <v>0</v>
          </cell>
          <cell r="J228">
            <v>2</v>
          </cell>
          <cell r="K228">
            <v>0</v>
          </cell>
          <cell r="L228">
            <v>0</v>
          </cell>
          <cell r="M228">
            <v>0</v>
          </cell>
          <cell r="N228">
            <v>0</v>
          </cell>
          <cell r="O228">
            <v>0</v>
          </cell>
          <cell r="P228">
            <v>0</v>
          </cell>
        </row>
        <row r="229">
          <cell r="C229">
            <v>29</v>
          </cell>
          <cell r="F229">
            <v>1</v>
          </cell>
          <cell r="G229">
            <v>1</v>
          </cell>
          <cell r="H229">
            <v>46191</v>
          </cell>
          <cell r="I229">
            <v>0</v>
          </cell>
          <cell r="J229">
            <v>1</v>
          </cell>
          <cell r="K229">
            <v>0</v>
          </cell>
          <cell r="L229">
            <v>0</v>
          </cell>
          <cell r="M229">
            <v>0</v>
          </cell>
          <cell r="N229">
            <v>0</v>
          </cell>
          <cell r="O229">
            <v>0</v>
          </cell>
          <cell r="P229">
            <v>0</v>
          </cell>
        </row>
        <row r="230">
          <cell r="C230">
            <v>183</v>
          </cell>
          <cell r="F230">
            <v>1</v>
          </cell>
          <cell r="G230">
            <v>1</v>
          </cell>
          <cell r="H230">
            <v>46191</v>
          </cell>
          <cell r="I230">
            <v>0</v>
          </cell>
          <cell r="J230">
            <v>120</v>
          </cell>
          <cell r="K230">
            <v>0</v>
          </cell>
          <cell r="L230">
            <v>0</v>
          </cell>
          <cell r="M230">
            <v>0</v>
          </cell>
          <cell r="N230">
            <v>0</v>
          </cell>
          <cell r="O230">
            <v>0</v>
          </cell>
          <cell r="P230">
            <v>0</v>
          </cell>
        </row>
        <row r="231">
          <cell r="C231">
            <v>181</v>
          </cell>
          <cell r="F231">
            <v>1</v>
          </cell>
          <cell r="G231">
            <v>1</v>
          </cell>
          <cell r="H231">
            <v>46191</v>
          </cell>
          <cell r="I231">
            <v>0</v>
          </cell>
          <cell r="J231">
            <v>12</v>
          </cell>
          <cell r="K231">
            <v>0</v>
          </cell>
          <cell r="L231">
            <v>0</v>
          </cell>
          <cell r="M231">
            <v>0</v>
          </cell>
          <cell r="N231">
            <v>0</v>
          </cell>
          <cell r="O231">
            <v>0</v>
          </cell>
          <cell r="P231">
            <v>0</v>
          </cell>
        </row>
        <row r="232">
          <cell r="C232">
            <v>102</v>
          </cell>
          <cell r="F232">
            <v>1</v>
          </cell>
          <cell r="G232">
            <v>1</v>
          </cell>
          <cell r="H232">
            <v>46191</v>
          </cell>
          <cell r="I232">
            <v>0</v>
          </cell>
          <cell r="J232">
            <v>1</v>
          </cell>
          <cell r="K232">
            <v>0</v>
          </cell>
          <cell r="L232">
            <v>0</v>
          </cell>
          <cell r="M232">
            <v>0</v>
          </cell>
          <cell r="N232">
            <v>0</v>
          </cell>
          <cell r="O232">
            <v>0</v>
          </cell>
          <cell r="P232">
            <v>0</v>
          </cell>
        </row>
        <row r="233">
          <cell r="C233">
            <v>177</v>
          </cell>
          <cell r="F233">
            <v>1</v>
          </cell>
          <cell r="G233">
            <v>1</v>
          </cell>
          <cell r="H233">
            <v>46191</v>
          </cell>
          <cell r="I233">
            <v>0</v>
          </cell>
          <cell r="J233">
            <v>600</v>
          </cell>
          <cell r="K233">
            <v>0</v>
          </cell>
          <cell r="L233">
            <v>0</v>
          </cell>
          <cell r="M233">
            <v>0</v>
          </cell>
          <cell r="N233">
            <v>0</v>
          </cell>
          <cell r="O233">
            <v>0</v>
          </cell>
          <cell r="P233">
            <v>0</v>
          </cell>
        </row>
        <row r="234">
          <cell r="C234">
            <v>179</v>
          </cell>
          <cell r="F234">
            <v>1</v>
          </cell>
          <cell r="G234">
            <v>1</v>
          </cell>
          <cell r="H234">
            <v>46191</v>
          </cell>
          <cell r="I234">
            <v>0</v>
          </cell>
          <cell r="J234">
            <v>300</v>
          </cell>
          <cell r="K234">
            <v>0</v>
          </cell>
          <cell r="L234">
            <v>0</v>
          </cell>
          <cell r="M234">
            <v>0</v>
          </cell>
          <cell r="N234">
            <v>0</v>
          </cell>
          <cell r="O234">
            <v>0</v>
          </cell>
          <cell r="P234">
            <v>0</v>
          </cell>
        </row>
        <row r="235">
          <cell r="C235">
            <v>195</v>
          </cell>
          <cell r="F235">
            <v>1</v>
          </cell>
          <cell r="G235">
            <v>1</v>
          </cell>
          <cell r="H235">
            <v>46191</v>
          </cell>
          <cell r="I235">
            <v>0</v>
          </cell>
          <cell r="J235">
            <v>8</v>
          </cell>
          <cell r="K235">
            <v>0</v>
          </cell>
          <cell r="L235">
            <v>0</v>
          </cell>
          <cell r="M235">
            <v>0</v>
          </cell>
          <cell r="N235">
            <v>0</v>
          </cell>
          <cell r="O235">
            <v>0</v>
          </cell>
          <cell r="P235">
            <v>0</v>
          </cell>
        </row>
        <row r="236">
          <cell r="C236">
            <v>187</v>
          </cell>
          <cell r="F236">
            <v>1</v>
          </cell>
          <cell r="G236">
            <v>1</v>
          </cell>
          <cell r="H236">
            <v>46191</v>
          </cell>
          <cell r="I236">
            <v>0</v>
          </cell>
          <cell r="J236">
            <v>16</v>
          </cell>
          <cell r="K236">
            <v>0</v>
          </cell>
          <cell r="L236">
            <v>0</v>
          </cell>
          <cell r="M236">
            <v>0</v>
          </cell>
          <cell r="N236">
            <v>0</v>
          </cell>
          <cell r="O236">
            <v>0</v>
          </cell>
          <cell r="P236">
            <v>0</v>
          </cell>
        </row>
        <row r="237">
          <cell r="C237">
            <v>189</v>
          </cell>
          <cell r="F237">
            <v>1</v>
          </cell>
          <cell r="G237">
            <v>1</v>
          </cell>
          <cell r="H237">
            <v>46191</v>
          </cell>
          <cell r="I237">
            <v>0</v>
          </cell>
          <cell r="J237">
            <v>12</v>
          </cell>
          <cell r="K237">
            <v>0</v>
          </cell>
          <cell r="L237">
            <v>0</v>
          </cell>
          <cell r="M237">
            <v>0</v>
          </cell>
          <cell r="N237">
            <v>0</v>
          </cell>
          <cell r="O237">
            <v>0</v>
          </cell>
          <cell r="P237">
            <v>0</v>
          </cell>
        </row>
        <row r="238">
          <cell r="C238">
            <v>14</v>
          </cell>
          <cell r="F238">
            <v>1</v>
          </cell>
          <cell r="G238">
            <v>1</v>
          </cell>
          <cell r="H238">
            <v>46191</v>
          </cell>
          <cell r="I238">
            <v>0</v>
          </cell>
          <cell r="J238">
            <v>5</v>
          </cell>
          <cell r="K238">
            <v>0</v>
          </cell>
          <cell r="L238">
            <v>0</v>
          </cell>
          <cell r="M238">
            <v>0</v>
          </cell>
          <cell r="N238">
            <v>0</v>
          </cell>
          <cell r="O238">
            <v>0</v>
          </cell>
          <cell r="P238">
            <v>0</v>
          </cell>
        </row>
        <row r="239">
          <cell r="C239">
            <v>183</v>
          </cell>
          <cell r="F239">
            <v>1</v>
          </cell>
          <cell r="G239">
            <v>1</v>
          </cell>
          <cell r="H239">
            <v>46192</v>
          </cell>
          <cell r="I239">
            <v>0</v>
          </cell>
          <cell r="J239">
            <v>60</v>
          </cell>
          <cell r="K239">
            <v>0</v>
          </cell>
          <cell r="L239">
            <v>0</v>
          </cell>
          <cell r="M239">
            <v>0</v>
          </cell>
          <cell r="N239">
            <v>0</v>
          </cell>
          <cell r="O239">
            <v>0</v>
          </cell>
          <cell r="P239">
            <v>0</v>
          </cell>
        </row>
        <row r="240">
          <cell r="C240">
            <v>195</v>
          </cell>
          <cell r="F240">
            <v>1</v>
          </cell>
          <cell r="G240">
            <v>1</v>
          </cell>
          <cell r="H240">
            <v>46192</v>
          </cell>
          <cell r="I240">
            <v>0</v>
          </cell>
          <cell r="J240">
            <v>4</v>
          </cell>
          <cell r="K240">
            <v>0</v>
          </cell>
          <cell r="L240">
            <v>0</v>
          </cell>
          <cell r="M240">
            <v>0</v>
          </cell>
          <cell r="N240">
            <v>0</v>
          </cell>
          <cell r="O240">
            <v>0</v>
          </cell>
          <cell r="P240">
            <v>0</v>
          </cell>
        </row>
        <row r="241">
          <cell r="C241">
            <v>66</v>
          </cell>
          <cell r="F241">
            <v>1</v>
          </cell>
          <cell r="G241">
            <v>1</v>
          </cell>
          <cell r="H241">
            <v>46192</v>
          </cell>
          <cell r="I241">
            <v>0</v>
          </cell>
          <cell r="J241">
            <v>1</v>
          </cell>
          <cell r="K241">
            <v>0</v>
          </cell>
          <cell r="L241">
            <v>0</v>
          </cell>
          <cell r="M241">
            <v>0</v>
          </cell>
          <cell r="N241">
            <v>0</v>
          </cell>
          <cell r="O241">
            <v>0</v>
          </cell>
          <cell r="P241">
            <v>0</v>
          </cell>
        </row>
        <row r="242">
          <cell r="C242">
            <v>178</v>
          </cell>
          <cell r="F242">
            <v>1</v>
          </cell>
          <cell r="G242">
            <v>1</v>
          </cell>
          <cell r="H242">
            <v>46192</v>
          </cell>
          <cell r="I242">
            <v>0</v>
          </cell>
          <cell r="J242">
            <v>150</v>
          </cell>
          <cell r="K242">
            <v>0</v>
          </cell>
          <cell r="L242">
            <v>0</v>
          </cell>
          <cell r="M242">
            <v>0</v>
          </cell>
          <cell r="N242">
            <v>0</v>
          </cell>
          <cell r="O242">
            <v>0</v>
          </cell>
          <cell r="P242">
            <v>0</v>
          </cell>
        </row>
        <row r="243">
          <cell r="C243">
            <v>181</v>
          </cell>
          <cell r="F243">
            <v>1</v>
          </cell>
          <cell r="G243">
            <v>1</v>
          </cell>
          <cell r="H243">
            <v>46192</v>
          </cell>
          <cell r="I243">
            <v>0</v>
          </cell>
          <cell r="J243">
            <v>24</v>
          </cell>
          <cell r="K243">
            <v>0</v>
          </cell>
          <cell r="L243">
            <v>0</v>
          </cell>
          <cell r="M243">
            <v>0</v>
          </cell>
          <cell r="N243">
            <v>0</v>
          </cell>
          <cell r="O243">
            <v>0</v>
          </cell>
          <cell r="P243">
            <v>0</v>
          </cell>
        </row>
        <row r="244">
          <cell r="C244">
            <v>176</v>
          </cell>
          <cell r="F244">
            <v>1</v>
          </cell>
          <cell r="G244">
            <v>1</v>
          </cell>
          <cell r="H244">
            <v>46192</v>
          </cell>
          <cell r="I244">
            <v>0</v>
          </cell>
          <cell r="J244">
            <v>1000</v>
          </cell>
          <cell r="K244">
            <v>0</v>
          </cell>
          <cell r="L244">
            <v>0</v>
          </cell>
          <cell r="M244">
            <v>0</v>
          </cell>
          <cell r="N244">
            <v>0</v>
          </cell>
          <cell r="O244">
            <v>0</v>
          </cell>
          <cell r="P244">
            <v>0</v>
          </cell>
        </row>
        <row r="245">
          <cell r="C245">
            <v>4</v>
          </cell>
          <cell r="F245">
            <v>1</v>
          </cell>
          <cell r="G245">
            <v>1</v>
          </cell>
          <cell r="H245">
            <v>46192</v>
          </cell>
          <cell r="I245">
            <v>0</v>
          </cell>
          <cell r="J245">
            <v>2</v>
          </cell>
          <cell r="K245">
            <v>0</v>
          </cell>
          <cell r="L245">
            <v>0</v>
          </cell>
          <cell r="M245">
            <v>0</v>
          </cell>
          <cell r="N245">
            <v>0</v>
          </cell>
          <cell r="O245">
            <v>0</v>
          </cell>
          <cell r="P245">
            <v>0</v>
          </cell>
        </row>
        <row r="246">
          <cell r="C246">
            <v>34</v>
          </cell>
          <cell r="F246">
            <v>1</v>
          </cell>
          <cell r="G246">
            <v>1</v>
          </cell>
          <cell r="H246">
            <v>46192</v>
          </cell>
          <cell r="I246">
            <v>0</v>
          </cell>
          <cell r="J246">
            <v>2</v>
          </cell>
          <cell r="K246">
            <v>0</v>
          </cell>
          <cell r="L246">
            <v>0</v>
          </cell>
          <cell r="M246">
            <v>0</v>
          </cell>
          <cell r="N246">
            <v>0</v>
          </cell>
          <cell r="O246">
            <v>0</v>
          </cell>
          <cell r="P246">
            <v>0</v>
          </cell>
        </row>
        <row r="247">
          <cell r="C247">
            <v>178</v>
          </cell>
          <cell r="F247">
            <v>1</v>
          </cell>
          <cell r="G247">
            <v>1</v>
          </cell>
          <cell r="H247">
            <v>46193</v>
          </cell>
          <cell r="I247">
            <v>0</v>
          </cell>
          <cell r="J247">
            <v>600</v>
          </cell>
          <cell r="K247">
            <v>0</v>
          </cell>
          <cell r="L247">
            <v>0</v>
          </cell>
          <cell r="M247">
            <v>0</v>
          </cell>
          <cell r="N247">
            <v>0</v>
          </cell>
          <cell r="O247">
            <v>0</v>
          </cell>
          <cell r="P247">
            <v>0</v>
          </cell>
        </row>
        <row r="248">
          <cell r="C248">
            <v>197</v>
          </cell>
          <cell r="F248">
            <v>1</v>
          </cell>
          <cell r="G248">
            <v>1</v>
          </cell>
          <cell r="H248">
            <v>46193</v>
          </cell>
          <cell r="I248">
            <v>0</v>
          </cell>
          <cell r="J248">
            <v>12</v>
          </cell>
          <cell r="K248">
            <v>0</v>
          </cell>
          <cell r="L248">
            <v>0</v>
          </cell>
          <cell r="M248">
            <v>0</v>
          </cell>
          <cell r="N248">
            <v>0</v>
          </cell>
          <cell r="O248">
            <v>0</v>
          </cell>
          <cell r="P248">
            <v>0</v>
          </cell>
        </row>
        <row r="249">
          <cell r="C249">
            <v>189</v>
          </cell>
          <cell r="F249">
            <v>1</v>
          </cell>
          <cell r="G249">
            <v>1</v>
          </cell>
          <cell r="H249">
            <v>46193</v>
          </cell>
          <cell r="I249">
            <v>0</v>
          </cell>
          <cell r="J249">
            <v>24</v>
          </cell>
          <cell r="K249">
            <v>0</v>
          </cell>
          <cell r="L249">
            <v>0</v>
          </cell>
          <cell r="M249">
            <v>0</v>
          </cell>
          <cell r="N249">
            <v>0</v>
          </cell>
          <cell r="O249">
            <v>0</v>
          </cell>
          <cell r="P249">
            <v>0</v>
          </cell>
        </row>
        <row r="250">
          <cell r="C250">
            <v>16</v>
          </cell>
          <cell r="F250">
            <v>1</v>
          </cell>
          <cell r="G250">
            <v>1</v>
          </cell>
          <cell r="H250">
            <v>46193</v>
          </cell>
          <cell r="I250">
            <v>0</v>
          </cell>
          <cell r="J250">
            <v>2</v>
          </cell>
          <cell r="K250">
            <v>0</v>
          </cell>
          <cell r="L250">
            <v>0</v>
          </cell>
          <cell r="M250">
            <v>0</v>
          </cell>
          <cell r="N250">
            <v>0</v>
          </cell>
          <cell r="O250">
            <v>0</v>
          </cell>
          <cell r="P250">
            <v>0</v>
          </cell>
        </row>
        <row r="251">
          <cell r="C251">
            <v>99</v>
          </cell>
          <cell r="F251">
            <v>1</v>
          </cell>
          <cell r="G251">
            <v>1</v>
          </cell>
          <cell r="H251">
            <v>46193</v>
          </cell>
          <cell r="I251">
            <v>0</v>
          </cell>
          <cell r="J251">
            <v>4</v>
          </cell>
          <cell r="K251">
            <v>0</v>
          </cell>
          <cell r="L251">
            <v>0</v>
          </cell>
          <cell r="M251">
            <v>0</v>
          </cell>
          <cell r="N251">
            <v>0</v>
          </cell>
          <cell r="O251">
            <v>0</v>
          </cell>
          <cell r="P251">
            <v>0</v>
          </cell>
        </row>
        <row r="252">
          <cell r="C252">
            <v>8</v>
          </cell>
          <cell r="F252">
            <v>1</v>
          </cell>
          <cell r="G252">
            <v>1</v>
          </cell>
          <cell r="H252">
            <v>46193</v>
          </cell>
          <cell r="I252">
            <v>0</v>
          </cell>
          <cell r="J252">
            <v>1</v>
          </cell>
          <cell r="K252">
            <v>0</v>
          </cell>
          <cell r="L252">
            <v>0</v>
          </cell>
          <cell r="M252">
            <v>0</v>
          </cell>
          <cell r="N252">
            <v>0</v>
          </cell>
          <cell r="O252">
            <v>0</v>
          </cell>
          <cell r="P252">
            <v>0</v>
          </cell>
        </row>
        <row r="253">
          <cell r="C253">
            <v>142</v>
          </cell>
          <cell r="F253">
            <v>1</v>
          </cell>
          <cell r="G253">
            <v>1</v>
          </cell>
          <cell r="H253">
            <v>46193</v>
          </cell>
          <cell r="I253">
            <v>0</v>
          </cell>
          <cell r="J253">
            <v>1</v>
          </cell>
          <cell r="K253">
            <v>0</v>
          </cell>
          <cell r="L253">
            <v>0</v>
          </cell>
          <cell r="M253">
            <v>0</v>
          </cell>
          <cell r="N253">
            <v>0</v>
          </cell>
          <cell r="O253">
            <v>0</v>
          </cell>
          <cell r="P253">
            <v>0</v>
          </cell>
        </row>
        <row r="254">
          <cell r="C254">
            <v>177</v>
          </cell>
          <cell r="F254">
            <v>1</v>
          </cell>
          <cell r="G254">
            <v>1</v>
          </cell>
          <cell r="H254">
            <v>46193</v>
          </cell>
          <cell r="I254">
            <v>0</v>
          </cell>
          <cell r="J254">
            <v>500</v>
          </cell>
          <cell r="K254">
            <v>0</v>
          </cell>
          <cell r="L254">
            <v>0</v>
          </cell>
          <cell r="M254">
            <v>0</v>
          </cell>
          <cell r="N254">
            <v>0</v>
          </cell>
          <cell r="O254">
            <v>0</v>
          </cell>
          <cell r="P254">
            <v>0</v>
          </cell>
        </row>
        <row r="255">
          <cell r="C255">
            <v>187</v>
          </cell>
          <cell r="F255">
            <v>1</v>
          </cell>
          <cell r="G255">
            <v>1</v>
          </cell>
          <cell r="H255">
            <v>46194</v>
          </cell>
          <cell r="I255">
            <v>0</v>
          </cell>
          <cell r="J255">
            <v>32</v>
          </cell>
          <cell r="K255">
            <v>0</v>
          </cell>
          <cell r="L255">
            <v>0</v>
          </cell>
          <cell r="M255">
            <v>0</v>
          </cell>
          <cell r="N255">
            <v>0</v>
          </cell>
          <cell r="O255">
            <v>0</v>
          </cell>
          <cell r="P255">
            <v>0</v>
          </cell>
        </row>
        <row r="256">
          <cell r="C256">
            <v>191</v>
          </cell>
          <cell r="F256">
            <v>1</v>
          </cell>
          <cell r="G256">
            <v>1</v>
          </cell>
          <cell r="H256">
            <v>46194</v>
          </cell>
          <cell r="I256">
            <v>0</v>
          </cell>
          <cell r="J256">
            <v>16</v>
          </cell>
          <cell r="K256">
            <v>0</v>
          </cell>
          <cell r="L256">
            <v>0</v>
          </cell>
          <cell r="M256">
            <v>0</v>
          </cell>
          <cell r="N256">
            <v>0</v>
          </cell>
          <cell r="O256">
            <v>0</v>
          </cell>
          <cell r="P256">
            <v>0</v>
          </cell>
        </row>
        <row r="257">
          <cell r="C257">
            <v>189</v>
          </cell>
          <cell r="F257">
            <v>1</v>
          </cell>
          <cell r="G257">
            <v>1</v>
          </cell>
          <cell r="H257">
            <v>46194</v>
          </cell>
          <cell r="I257">
            <v>0</v>
          </cell>
          <cell r="J257">
            <v>20</v>
          </cell>
          <cell r="K257">
            <v>0</v>
          </cell>
          <cell r="L257">
            <v>0</v>
          </cell>
          <cell r="M257">
            <v>0</v>
          </cell>
          <cell r="N257">
            <v>0</v>
          </cell>
          <cell r="O257">
            <v>0</v>
          </cell>
          <cell r="P257">
            <v>0</v>
          </cell>
        </row>
        <row r="258">
          <cell r="C258">
            <v>197</v>
          </cell>
          <cell r="F258">
            <v>1</v>
          </cell>
          <cell r="G258">
            <v>1</v>
          </cell>
          <cell r="H258">
            <v>46194</v>
          </cell>
          <cell r="I258">
            <v>0</v>
          </cell>
          <cell r="J258">
            <v>8</v>
          </cell>
          <cell r="K258">
            <v>0</v>
          </cell>
          <cell r="L258">
            <v>0</v>
          </cell>
          <cell r="M258">
            <v>0</v>
          </cell>
          <cell r="N258">
            <v>0</v>
          </cell>
          <cell r="O258">
            <v>0</v>
          </cell>
          <cell r="P258">
            <v>0</v>
          </cell>
        </row>
        <row r="259">
          <cell r="C259">
            <v>160</v>
          </cell>
          <cell r="F259">
            <v>1</v>
          </cell>
          <cell r="G259">
            <v>1</v>
          </cell>
          <cell r="H259">
            <v>46194</v>
          </cell>
          <cell r="I259">
            <v>0</v>
          </cell>
          <cell r="J259">
            <v>4</v>
          </cell>
          <cell r="K259">
            <v>0</v>
          </cell>
          <cell r="L259">
            <v>0</v>
          </cell>
          <cell r="M259">
            <v>0</v>
          </cell>
          <cell r="N259">
            <v>0</v>
          </cell>
          <cell r="O259">
            <v>0</v>
          </cell>
          <cell r="P259">
            <v>0</v>
          </cell>
        </row>
        <row r="260">
          <cell r="C260">
            <v>170</v>
          </cell>
          <cell r="F260">
            <v>1</v>
          </cell>
          <cell r="G260">
            <v>1</v>
          </cell>
          <cell r="H260">
            <v>46194</v>
          </cell>
          <cell r="I260">
            <v>0</v>
          </cell>
          <cell r="J260">
            <v>10</v>
          </cell>
          <cell r="K260">
            <v>0</v>
          </cell>
          <cell r="L260">
            <v>0</v>
          </cell>
          <cell r="M260">
            <v>0</v>
          </cell>
          <cell r="N260">
            <v>0</v>
          </cell>
          <cell r="O260">
            <v>0</v>
          </cell>
          <cell r="P260">
            <v>0</v>
          </cell>
        </row>
        <row r="261">
          <cell r="C261">
            <v>176</v>
          </cell>
          <cell r="F261">
            <v>1</v>
          </cell>
          <cell r="G261">
            <v>1</v>
          </cell>
          <cell r="H261">
            <v>46195</v>
          </cell>
          <cell r="I261">
            <v>0</v>
          </cell>
          <cell r="J261">
            <v>1000</v>
          </cell>
          <cell r="K261">
            <v>0</v>
          </cell>
          <cell r="L261">
            <v>0</v>
          </cell>
          <cell r="M261">
            <v>0</v>
          </cell>
          <cell r="N261">
            <v>0</v>
          </cell>
          <cell r="O261">
            <v>0</v>
          </cell>
          <cell r="P261">
            <v>0</v>
          </cell>
        </row>
        <row r="262">
          <cell r="C262">
            <v>177</v>
          </cell>
          <cell r="F262">
            <v>1</v>
          </cell>
          <cell r="G262">
            <v>1</v>
          </cell>
          <cell r="H262">
            <v>46195</v>
          </cell>
          <cell r="I262">
            <v>0</v>
          </cell>
          <cell r="J262">
            <v>900</v>
          </cell>
          <cell r="K262">
            <v>0</v>
          </cell>
          <cell r="L262">
            <v>0</v>
          </cell>
          <cell r="M262">
            <v>0</v>
          </cell>
          <cell r="N262">
            <v>0</v>
          </cell>
          <cell r="O262">
            <v>0</v>
          </cell>
          <cell r="P262">
            <v>0</v>
          </cell>
        </row>
        <row r="263">
          <cell r="C263">
            <v>195</v>
          </cell>
          <cell r="F263">
            <v>1</v>
          </cell>
          <cell r="G263">
            <v>1</v>
          </cell>
          <cell r="H263">
            <v>46195</v>
          </cell>
          <cell r="I263">
            <v>0</v>
          </cell>
          <cell r="J263">
            <v>12</v>
          </cell>
          <cell r="K263">
            <v>0</v>
          </cell>
          <cell r="L263">
            <v>0</v>
          </cell>
          <cell r="M263">
            <v>0</v>
          </cell>
          <cell r="N263">
            <v>0</v>
          </cell>
          <cell r="O263">
            <v>0</v>
          </cell>
          <cell r="P263">
            <v>0</v>
          </cell>
        </row>
        <row r="264">
          <cell r="C264">
            <v>14</v>
          </cell>
          <cell r="F264">
            <v>1</v>
          </cell>
          <cell r="G264">
            <v>1</v>
          </cell>
          <cell r="H264">
            <v>46195</v>
          </cell>
          <cell r="I264">
            <v>0</v>
          </cell>
          <cell r="J264">
            <v>2</v>
          </cell>
          <cell r="K264">
            <v>0</v>
          </cell>
          <cell r="L264">
            <v>0</v>
          </cell>
          <cell r="M264">
            <v>0</v>
          </cell>
          <cell r="N264">
            <v>0</v>
          </cell>
          <cell r="O264">
            <v>0</v>
          </cell>
          <cell r="P264">
            <v>0</v>
          </cell>
        </row>
        <row r="265">
          <cell r="C265">
            <v>102</v>
          </cell>
          <cell r="F265">
            <v>1</v>
          </cell>
          <cell r="G265">
            <v>1</v>
          </cell>
          <cell r="H265">
            <v>46195</v>
          </cell>
          <cell r="I265">
            <v>0</v>
          </cell>
          <cell r="J265">
            <v>2</v>
          </cell>
          <cell r="K265">
            <v>0</v>
          </cell>
          <cell r="L265">
            <v>0</v>
          </cell>
          <cell r="M265">
            <v>0</v>
          </cell>
          <cell r="N265">
            <v>0</v>
          </cell>
          <cell r="O265">
            <v>0</v>
          </cell>
          <cell r="P265">
            <v>0</v>
          </cell>
        </row>
        <row r="266">
          <cell r="C266">
            <v>18</v>
          </cell>
          <cell r="F266">
            <v>1</v>
          </cell>
          <cell r="G266">
            <v>1</v>
          </cell>
          <cell r="H266">
            <v>46195</v>
          </cell>
          <cell r="I266">
            <v>0</v>
          </cell>
          <cell r="J266">
            <v>5</v>
          </cell>
          <cell r="K266">
            <v>0</v>
          </cell>
          <cell r="L266">
            <v>0</v>
          </cell>
          <cell r="M266">
            <v>0</v>
          </cell>
          <cell r="N266">
            <v>0</v>
          </cell>
          <cell r="O266">
            <v>0</v>
          </cell>
          <cell r="P266">
            <v>0</v>
          </cell>
        </row>
        <row r="267">
          <cell r="C267">
            <v>29</v>
          </cell>
          <cell r="F267">
            <v>1</v>
          </cell>
          <cell r="G267">
            <v>1</v>
          </cell>
          <cell r="H267">
            <v>46195</v>
          </cell>
          <cell r="I267">
            <v>0</v>
          </cell>
          <cell r="J267">
            <v>3</v>
          </cell>
          <cell r="K267">
            <v>0</v>
          </cell>
          <cell r="L267">
            <v>0</v>
          </cell>
          <cell r="M267">
            <v>0</v>
          </cell>
          <cell r="N267">
            <v>0</v>
          </cell>
          <cell r="O267">
            <v>0</v>
          </cell>
          <cell r="P267">
            <v>0</v>
          </cell>
        </row>
        <row r="268">
          <cell r="C268">
            <v>63</v>
          </cell>
          <cell r="F268">
            <v>1</v>
          </cell>
          <cell r="G268">
            <v>1</v>
          </cell>
          <cell r="H268">
            <v>46195</v>
          </cell>
          <cell r="I268">
            <v>0</v>
          </cell>
          <cell r="J268">
            <v>5</v>
          </cell>
          <cell r="K268">
            <v>0</v>
          </cell>
          <cell r="L268">
            <v>0</v>
          </cell>
          <cell r="M268">
            <v>0</v>
          </cell>
          <cell r="N268">
            <v>0</v>
          </cell>
          <cell r="O268">
            <v>0</v>
          </cell>
          <cell r="P268">
            <v>0</v>
          </cell>
        </row>
        <row r="269">
          <cell r="C269">
            <v>158</v>
          </cell>
          <cell r="F269">
            <v>1</v>
          </cell>
          <cell r="G269">
            <v>1</v>
          </cell>
          <cell r="H269">
            <v>46196</v>
          </cell>
          <cell r="I269">
            <v>0</v>
          </cell>
          <cell r="J269">
            <v>1</v>
          </cell>
          <cell r="K269">
            <v>0</v>
          </cell>
          <cell r="L269">
            <v>0</v>
          </cell>
          <cell r="M269">
            <v>0</v>
          </cell>
          <cell r="N269">
            <v>0</v>
          </cell>
          <cell r="O269">
            <v>0</v>
          </cell>
          <cell r="P269">
            <v>0</v>
          </cell>
        </row>
        <row r="270">
          <cell r="C270">
            <v>165</v>
          </cell>
          <cell r="F270">
            <v>1</v>
          </cell>
          <cell r="G270">
            <v>1</v>
          </cell>
          <cell r="H270">
            <v>46196</v>
          </cell>
          <cell r="I270">
            <v>0</v>
          </cell>
          <cell r="J270">
            <v>1</v>
          </cell>
          <cell r="K270">
            <v>0</v>
          </cell>
          <cell r="L270">
            <v>0</v>
          </cell>
          <cell r="M270">
            <v>0</v>
          </cell>
          <cell r="N270">
            <v>0</v>
          </cell>
          <cell r="O270">
            <v>0</v>
          </cell>
          <cell r="P270">
            <v>0</v>
          </cell>
        </row>
        <row r="271">
          <cell r="C271">
            <v>191</v>
          </cell>
          <cell r="F271">
            <v>1</v>
          </cell>
          <cell r="G271">
            <v>1</v>
          </cell>
          <cell r="H271">
            <v>46196</v>
          </cell>
          <cell r="I271">
            <v>0</v>
          </cell>
          <cell r="J271">
            <v>20</v>
          </cell>
          <cell r="K271">
            <v>0</v>
          </cell>
          <cell r="L271">
            <v>0</v>
          </cell>
          <cell r="M271">
            <v>0</v>
          </cell>
          <cell r="N271">
            <v>0</v>
          </cell>
          <cell r="O271">
            <v>0</v>
          </cell>
          <cell r="P271">
            <v>0</v>
          </cell>
        </row>
        <row r="272">
          <cell r="C272">
            <v>178</v>
          </cell>
          <cell r="F272">
            <v>1</v>
          </cell>
          <cell r="G272">
            <v>1</v>
          </cell>
          <cell r="H272">
            <v>46196</v>
          </cell>
          <cell r="I272">
            <v>0</v>
          </cell>
          <cell r="J272">
            <v>600</v>
          </cell>
          <cell r="K272">
            <v>0</v>
          </cell>
          <cell r="L272">
            <v>0</v>
          </cell>
          <cell r="M272">
            <v>0</v>
          </cell>
          <cell r="N272">
            <v>0</v>
          </cell>
          <cell r="O272">
            <v>0</v>
          </cell>
          <cell r="P272">
            <v>0</v>
          </cell>
        </row>
        <row r="273">
          <cell r="C273">
            <v>178</v>
          </cell>
          <cell r="F273">
            <v>1</v>
          </cell>
          <cell r="G273">
            <v>1</v>
          </cell>
          <cell r="H273">
            <v>46197</v>
          </cell>
          <cell r="I273">
            <v>0</v>
          </cell>
          <cell r="J273">
            <v>150</v>
          </cell>
          <cell r="K273">
            <v>0</v>
          </cell>
          <cell r="L273">
            <v>0</v>
          </cell>
          <cell r="M273">
            <v>0</v>
          </cell>
          <cell r="N273">
            <v>0</v>
          </cell>
          <cell r="O273">
            <v>0</v>
          </cell>
          <cell r="P273">
            <v>0</v>
          </cell>
        </row>
        <row r="274">
          <cell r="C274">
            <v>181</v>
          </cell>
          <cell r="F274">
            <v>1</v>
          </cell>
          <cell r="G274">
            <v>1</v>
          </cell>
          <cell r="H274">
            <v>46197</v>
          </cell>
          <cell r="I274">
            <v>0</v>
          </cell>
          <cell r="J274">
            <v>12</v>
          </cell>
          <cell r="K274">
            <v>0</v>
          </cell>
          <cell r="L274">
            <v>0</v>
          </cell>
          <cell r="M274">
            <v>0</v>
          </cell>
          <cell r="N274">
            <v>0</v>
          </cell>
          <cell r="O274">
            <v>0</v>
          </cell>
          <cell r="P274">
            <v>0</v>
          </cell>
        </row>
        <row r="275">
          <cell r="C275">
            <v>195</v>
          </cell>
          <cell r="F275">
            <v>1</v>
          </cell>
          <cell r="G275">
            <v>1</v>
          </cell>
          <cell r="H275">
            <v>46197</v>
          </cell>
          <cell r="I275">
            <v>0</v>
          </cell>
          <cell r="J275">
            <v>28</v>
          </cell>
          <cell r="K275">
            <v>0</v>
          </cell>
          <cell r="L275">
            <v>0</v>
          </cell>
          <cell r="M275">
            <v>0</v>
          </cell>
          <cell r="N275">
            <v>0</v>
          </cell>
          <cell r="O275">
            <v>0</v>
          </cell>
          <cell r="P275">
            <v>0</v>
          </cell>
        </row>
        <row r="276">
          <cell r="C276">
            <v>197</v>
          </cell>
          <cell r="F276">
            <v>1</v>
          </cell>
          <cell r="G276">
            <v>1</v>
          </cell>
          <cell r="H276">
            <v>46197</v>
          </cell>
          <cell r="I276">
            <v>0</v>
          </cell>
          <cell r="J276">
            <v>8</v>
          </cell>
          <cell r="K276">
            <v>0</v>
          </cell>
          <cell r="L276">
            <v>0</v>
          </cell>
          <cell r="M276">
            <v>0</v>
          </cell>
          <cell r="N276">
            <v>0</v>
          </cell>
          <cell r="O276">
            <v>0</v>
          </cell>
          <cell r="P276">
            <v>0</v>
          </cell>
        </row>
        <row r="277">
          <cell r="C277">
            <v>177</v>
          </cell>
          <cell r="F277">
            <v>1</v>
          </cell>
          <cell r="G277">
            <v>1</v>
          </cell>
          <cell r="H277">
            <v>46197</v>
          </cell>
          <cell r="I277">
            <v>0</v>
          </cell>
          <cell r="J277">
            <v>250</v>
          </cell>
          <cell r="K277">
            <v>0</v>
          </cell>
          <cell r="L277">
            <v>0</v>
          </cell>
          <cell r="M277">
            <v>0</v>
          </cell>
          <cell r="N277">
            <v>0</v>
          </cell>
          <cell r="O277">
            <v>0</v>
          </cell>
          <cell r="P277">
            <v>0</v>
          </cell>
        </row>
        <row r="278">
          <cell r="C278">
            <v>54</v>
          </cell>
          <cell r="F278">
            <v>1</v>
          </cell>
          <cell r="G278">
            <v>1</v>
          </cell>
          <cell r="H278">
            <v>46197</v>
          </cell>
          <cell r="I278">
            <v>0</v>
          </cell>
          <cell r="J278">
            <v>8</v>
          </cell>
          <cell r="K278">
            <v>0</v>
          </cell>
          <cell r="L278">
            <v>0</v>
          </cell>
          <cell r="M278">
            <v>0</v>
          </cell>
          <cell r="N278">
            <v>0</v>
          </cell>
          <cell r="O278">
            <v>0</v>
          </cell>
          <cell r="P278">
            <v>0</v>
          </cell>
        </row>
        <row r="279">
          <cell r="C279">
            <v>32</v>
          </cell>
          <cell r="F279">
            <v>1</v>
          </cell>
          <cell r="G279">
            <v>1</v>
          </cell>
          <cell r="H279">
            <v>46197</v>
          </cell>
          <cell r="I279">
            <v>0</v>
          </cell>
          <cell r="J279">
            <v>1</v>
          </cell>
          <cell r="K279">
            <v>0</v>
          </cell>
          <cell r="L279">
            <v>0</v>
          </cell>
          <cell r="M279">
            <v>0</v>
          </cell>
          <cell r="N279">
            <v>0</v>
          </cell>
          <cell r="O279">
            <v>0</v>
          </cell>
          <cell r="P279">
            <v>0</v>
          </cell>
        </row>
        <row r="280">
          <cell r="C280">
            <v>162</v>
          </cell>
          <cell r="F280">
            <v>1</v>
          </cell>
          <cell r="G280">
            <v>1</v>
          </cell>
          <cell r="H280">
            <v>46197</v>
          </cell>
          <cell r="I280">
            <v>0</v>
          </cell>
          <cell r="J280">
            <v>1</v>
          </cell>
          <cell r="K280">
            <v>0</v>
          </cell>
          <cell r="L280">
            <v>0</v>
          </cell>
          <cell r="M280">
            <v>0</v>
          </cell>
          <cell r="N280">
            <v>0</v>
          </cell>
          <cell r="O280">
            <v>0</v>
          </cell>
          <cell r="P280">
            <v>0</v>
          </cell>
        </row>
        <row r="281">
          <cell r="C281">
            <v>179</v>
          </cell>
          <cell r="F281">
            <v>1</v>
          </cell>
          <cell r="G281">
            <v>1</v>
          </cell>
          <cell r="H281">
            <v>46197</v>
          </cell>
          <cell r="I281">
            <v>0</v>
          </cell>
          <cell r="J281">
            <v>250</v>
          </cell>
          <cell r="K281">
            <v>0</v>
          </cell>
          <cell r="L281">
            <v>0</v>
          </cell>
          <cell r="M281">
            <v>0</v>
          </cell>
          <cell r="N281">
            <v>0</v>
          </cell>
          <cell r="O281">
            <v>0</v>
          </cell>
          <cell r="P281">
            <v>0</v>
          </cell>
        </row>
        <row r="282">
          <cell r="C282">
            <v>16</v>
          </cell>
          <cell r="F282">
            <v>1</v>
          </cell>
          <cell r="G282">
            <v>1</v>
          </cell>
          <cell r="H282">
            <v>46197</v>
          </cell>
          <cell r="I282">
            <v>0</v>
          </cell>
          <cell r="J282">
            <v>7</v>
          </cell>
          <cell r="K282">
            <v>0</v>
          </cell>
          <cell r="L282">
            <v>0</v>
          </cell>
          <cell r="M282">
            <v>0</v>
          </cell>
          <cell r="N282">
            <v>0</v>
          </cell>
          <cell r="O282">
            <v>0</v>
          </cell>
          <cell r="P282">
            <v>0</v>
          </cell>
        </row>
        <row r="283">
          <cell r="C283">
            <v>182</v>
          </cell>
          <cell r="F283">
            <v>1</v>
          </cell>
          <cell r="G283">
            <v>1</v>
          </cell>
          <cell r="H283">
            <v>46197</v>
          </cell>
          <cell r="I283">
            <v>0</v>
          </cell>
          <cell r="J283">
            <v>84</v>
          </cell>
          <cell r="K283">
            <v>0</v>
          </cell>
          <cell r="L283">
            <v>0</v>
          </cell>
          <cell r="M283">
            <v>0</v>
          </cell>
          <cell r="N283">
            <v>0</v>
          </cell>
          <cell r="O283">
            <v>0</v>
          </cell>
          <cell r="P283">
            <v>0</v>
          </cell>
        </row>
        <row r="284">
          <cell r="C284">
            <v>177</v>
          </cell>
          <cell r="F284">
            <v>1</v>
          </cell>
          <cell r="G284">
            <v>1</v>
          </cell>
          <cell r="H284">
            <v>46198</v>
          </cell>
          <cell r="I284">
            <v>0</v>
          </cell>
          <cell r="J284">
            <v>550</v>
          </cell>
          <cell r="K284">
            <v>0</v>
          </cell>
          <cell r="L284">
            <v>0</v>
          </cell>
          <cell r="M284">
            <v>0</v>
          </cell>
          <cell r="N284">
            <v>0</v>
          </cell>
          <cell r="O284">
            <v>0</v>
          </cell>
          <cell r="P284">
            <v>0</v>
          </cell>
        </row>
        <row r="285">
          <cell r="C285">
            <v>189</v>
          </cell>
          <cell r="F285">
            <v>1</v>
          </cell>
          <cell r="G285">
            <v>1</v>
          </cell>
          <cell r="H285">
            <v>46198</v>
          </cell>
          <cell r="I285">
            <v>0</v>
          </cell>
          <cell r="J285">
            <v>8</v>
          </cell>
          <cell r="K285">
            <v>0</v>
          </cell>
          <cell r="L285">
            <v>0</v>
          </cell>
          <cell r="M285">
            <v>0</v>
          </cell>
          <cell r="N285">
            <v>0</v>
          </cell>
          <cell r="O285">
            <v>0</v>
          </cell>
          <cell r="P285">
            <v>0</v>
          </cell>
        </row>
        <row r="286">
          <cell r="C286">
            <v>51</v>
          </cell>
          <cell r="F286">
            <v>1</v>
          </cell>
          <cell r="G286">
            <v>1</v>
          </cell>
          <cell r="H286">
            <v>46198</v>
          </cell>
          <cell r="I286">
            <v>0</v>
          </cell>
          <cell r="J286">
            <v>5</v>
          </cell>
          <cell r="K286">
            <v>0</v>
          </cell>
          <cell r="L286">
            <v>0</v>
          </cell>
          <cell r="M286">
            <v>0</v>
          </cell>
          <cell r="N286">
            <v>0</v>
          </cell>
          <cell r="O286">
            <v>0</v>
          </cell>
          <cell r="P286">
            <v>0</v>
          </cell>
        </row>
        <row r="287">
          <cell r="C287">
            <v>195</v>
          </cell>
          <cell r="F287">
            <v>1</v>
          </cell>
          <cell r="G287">
            <v>1</v>
          </cell>
          <cell r="H287">
            <v>46198</v>
          </cell>
          <cell r="I287">
            <v>0</v>
          </cell>
          <cell r="J287">
            <v>12</v>
          </cell>
          <cell r="K287">
            <v>0</v>
          </cell>
          <cell r="L287">
            <v>0</v>
          </cell>
          <cell r="M287">
            <v>0</v>
          </cell>
          <cell r="N287">
            <v>0</v>
          </cell>
          <cell r="O287">
            <v>0</v>
          </cell>
          <cell r="P287">
            <v>0</v>
          </cell>
        </row>
        <row r="288">
          <cell r="C288">
            <v>187</v>
          </cell>
          <cell r="F288">
            <v>1</v>
          </cell>
          <cell r="G288">
            <v>1</v>
          </cell>
          <cell r="H288">
            <v>46198</v>
          </cell>
          <cell r="I288">
            <v>0</v>
          </cell>
          <cell r="J288">
            <v>24</v>
          </cell>
          <cell r="K288">
            <v>0</v>
          </cell>
          <cell r="L288">
            <v>0</v>
          </cell>
          <cell r="M288">
            <v>0</v>
          </cell>
          <cell r="N288">
            <v>0</v>
          </cell>
          <cell r="O288">
            <v>0</v>
          </cell>
          <cell r="P288">
            <v>0</v>
          </cell>
        </row>
        <row r="289">
          <cell r="C289">
            <v>153</v>
          </cell>
          <cell r="F289">
            <v>1</v>
          </cell>
          <cell r="G289">
            <v>1</v>
          </cell>
          <cell r="H289">
            <v>46198</v>
          </cell>
          <cell r="I289">
            <v>0</v>
          </cell>
          <cell r="J289">
            <v>4</v>
          </cell>
          <cell r="K289">
            <v>0</v>
          </cell>
          <cell r="L289">
            <v>0</v>
          </cell>
          <cell r="M289">
            <v>0</v>
          </cell>
          <cell r="N289">
            <v>0</v>
          </cell>
          <cell r="O289">
            <v>0</v>
          </cell>
          <cell r="P289">
            <v>0</v>
          </cell>
        </row>
        <row r="290">
          <cell r="C290">
            <v>182</v>
          </cell>
          <cell r="F290">
            <v>1</v>
          </cell>
          <cell r="G290">
            <v>1</v>
          </cell>
          <cell r="H290">
            <v>46198</v>
          </cell>
          <cell r="I290">
            <v>0</v>
          </cell>
          <cell r="J290">
            <v>24</v>
          </cell>
          <cell r="K290">
            <v>0</v>
          </cell>
          <cell r="L290">
            <v>0</v>
          </cell>
          <cell r="M290">
            <v>0</v>
          </cell>
          <cell r="N290">
            <v>0</v>
          </cell>
          <cell r="O290">
            <v>0</v>
          </cell>
          <cell r="P290">
            <v>0</v>
          </cell>
        </row>
        <row r="291">
          <cell r="C291">
            <v>49</v>
          </cell>
          <cell r="F291">
            <v>1</v>
          </cell>
          <cell r="G291">
            <v>1</v>
          </cell>
          <cell r="H291">
            <v>46198</v>
          </cell>
          <cell r="I291">
            <v>0</v>
          </cell>
          <cell r="J291">
            <v>1</v>
          </cell>
          <cell r="K291">
            <v>0</v>
          </cell>
          <cell r="L291">
            <v>0</v>
          </cell>
          <cell r="M291">
            <v>0</v>
          </cell>
          <cell r="N291">
            <v>0</v>
          </cell>
          <cell r="O291">
            <v>0</v>
          </cell>
          <cell r="P291">
            <v>0</v>
          </cell>
        </row>
        <row r="292">
          <cell r="C292">
            <v>48</v>
          </cell>
          <cell r="F292">
            <v>1</v>
          </cell>
          <cell r="G292">
            <v>1</v>
          </cell>
          <cell r="H292">
            <v>46198</v>
          </cell>
          <cell r="I292">
            <v>0</v>
          </cell>
          <cell r="J292">
            <v>4</v>
          </cell>
          <cell r="K292">
            <v>0</v>
          </cell>
          <cell r="L292">
            <v>0</v>
          </cell>
          <cell r="M292">
            <v>0</v>
          </cell>
          <cell r="N292">
            <v>0</v>
          </cell>
          <cell r="O292">
            <v>0</v>
          </cell>
          <cell r="P292">
            <v>0</v>
          </cell>
        </row>
        <row r="293">
          <cell r="C293">
            <v>46</v>
          </cell>
          <cell r="F293">
            <v>1</v>
          </cell>
          <cell r="G293">
            <v>1</v>
          </cell>
          <cell r="H293">
            <v>46198</v>
          </cell>
          <cell r="I293">
            <v>0</v>
          </cell>
          <cell r="J293">
            <v>8</v>
          </cell>
          <cell r="K293">
            <v>0</v>
          </cell>
          <cell r="L293">
            <v>0</v>
          </cell>
          <cell r="M293">
            <v>0</v>
          </cell>
          <cell r="N293">
            <v>0</v>
          </cell>
          <cell r="O293">
            <v>0</v>
          </cell>
          <cell r="P293">
            <v>0</v>
          </cell>
        </row>
        <row r="294">
          <cell r="C294">
            <v>42</v>
          </cell>
          <cell r="F294">
            <v>1</v>
          </cell>
          <cell r="G294">
            <v>1</v>
          </cell>
          <cell r="H294">
            <v>46198</v>
          </cell>
          <cell r="I294">
            <v>0</v>
          </cell>
          <cell r="J294">
            <v>6</v>
          </cell>
          <cell r="K294">
            <v>0</v>
          </cell>
          <cell r="L294">
            <v>0</v>
          </cell>
          <cell r="M294">
            <v>0</v>
          </cell>
          <cell r="N294">
            <v>0</v>
          </cell>
          <cell r="O294">
            <v>0</v>
          </cell>
          <cell r="P294">
            <v>0</v>
          </cell>
        </row>
        <row r="295">
          <cell r="C295">
            <v>50</v>
          </cell>
          <cell r="F295">
            <v>1</v>
          </cell>
          <cell r="G295">
            <v>1</v>
          </cell>
          <cell r="H295">
            <v>46198</v>
          </cell>
          <cell r="I295">
            <v>0</v>
          </cell>
          <cell r="J295">
            <v>6</v>
          </cell>
          <cell r="K295">
            <v>0</v>
          </cell>
          <cell r="L295">
            <v>0</v>
          </cell>
          <cell r="M295">
            <v>0</v>
          </cell>
          <cell r="N295">
            <v>0</v>
          </cell>
          <cell r="O295">
            <v>0</v>
          </cell>
          <cell r="P295">
            <v>0</v>
          </cell>
        </row>
        <row r="296">
          <cell r="C296">
            <v>9</v>
          </cell>
          <cell r="F296">
            <v>1</v>
          </cell>
          <cell r="G296">
            <v>1</v>
          </cell>
          <cell r="H296">
            <v>46198</v>
          </cell>
          <cell r="I296">
            <v>0</v>
          </cell>
          <cell r="J296">
            <v>7</v>
          </cell>
          <cell r="K296">
            <v>0</v>
          </cell>
          <cell r="L296">
            <v>0</v>
          </cell>
          <cell r="M296">
            <v>0</v>
          </cell>
          <cell r="N296">
            <v>0</v>
          </cell>
          <cell r="O296">
            <v>0</v>
          </cell>
          <cell r="P296">
            <v>0</v>
          </cell>
        </row>
        <row r="297">
          <cell r="C297">
            <v>8</v>
          </cell>
          <cell r="F297">
            <v>1</v>
          </cell>
          <cell r="G297">
            <v>1</v>
          </cell>
          <cell r="H297">
            <v>46198</v>
          </cell>
          <cell r="I297">
            <v>0</v>
          </cell>
          <cell r="J297">
            <v>2</v>
          </cell>
          <cell r="K297">
            <v>0</v>
          </cell>
          <cell r="L297">
            <v>0</v>
          </cell>
          <cell r="M297">
            <v>0</v>
          </cell>
          <cell r="N297">
            <v>0</v>
          </cell>
          <cell r="O297">
            <v>0</v>
          </cell>
          <cell r="P297">
            <v>0</v>
          </cell>
        </row>
        <row r="298">
          <cell r="C298">
            <v>75</v>
          </cell>
          <cell r="F298">
            <v>1</v>
          </cell>
          <cell r="G298">
            <v>1</v>
          </cell>
          <cell r="H298">
            <v>46198</v>
          </cell>
          <cell r="I298">
            <v>0</v>
          </cell>
          <cell r="J298">
            <v>1</v>
          </cell>
          <cell r="K298">
            <v>0</v>
          </cell>
          <cell r="L298">
            <v>0</v>
          </cell>
          <cell r="M298">
            <v>0</v>
          </cell>
          <cell r="N298">
            <v>0</v>
          </cell>
          <cell r="O298">
            <v>0</v>
          </cell>
          <cell r="P298">
            <v>0</v>
          </cell>
        </row>
        <row r="299">
          <cell r="C299">
            <v>56</v>
          </cell>
          <cell r="F299">
            <v>1</v>
          </cell>
          <cell r="G299">
            <v>1</v>
          </cell>
          <cell r="H299">
            <v>46198</v>
          </cell>
          <cell r="I299">
            <v>0</v>
          </cell>
          <cell r="J299">
            <v>3</v>
          </cell>
          <cell r="K299">
            <v>0</v>
          </cell>
          <cell r="L299">
            <v>0</v>
          </cell>
          <cell r="M299">
            <v>0</v>
          </cell>
          <cell r="N299">
            <v>0</v>
          </cell>
          <cell r="O299">
            <v>0</v>
          </cell>
          <cell r="P299">
            <v>0</v>
          </cell>
        </row>
        <row r="300">
          <cell r="C300">
            <v>41</v>
          </cell>
          <cell r="F300">
            <v>1</v>
          </cell>
          <cell r="G300">
            <v>1</v>
          </cell>
          <cell r="H300">
            <v>46198</v>
          </cell>
          <cell r="I300">
            <v>0</v>
          </cell>
          <cell r="J300">
            <v>2</v>
          </cell>
          <cell r="K300">
            <v>0</v>
          </cell>
          <cell r="L300">
            <v>0</v>
          </cell>
          <cell r="M300">
            <v>0</v>
          </cell>
          <cell r="N300">
            <v>0</v>
          </cell>
          <cell r="O300">
            <v>0</v>
          </cell>
          <cell r="P300">
            <v>0</v>
          </cell>
        </row>
        <row r="301">
          <cell r="C301">
            <v>68</v>
          </cell>
          <cell r="F301">
            <v>1</v>
          </cell>
          <cell r="G301">
            <v>1</v>
          </cell>
          <cell r="H301">
            <v>46198</v>
          </cell>
          <cell r="I301">
            <v>0</v>
          </cell>
          <cell r="J301">
            <v>2</v>
          </cell>
          <cell r="K301">
            <v>0</v>
          </cell>
          <cell r="L301">
            <v>0</v>
          </cell>
          <cell r="M301">
            <v>0</v>
          </cell>
          <cell r="N301">
            <v>0</v>
          </cell>
          <cell r="O301">
            <v>0</v>
          </cell>
          <cell r="P301">
            <v>0</v>
          </cell>
        </row>
        <row r="302">
          <cell r="C302">
            <v>108</v>
          </cell>
          <cell r="F302">
            <v>1</v>
          </cell>
          <cell r="G302">
            <v>1</v>
          </cell>
          <cell r="H302">
            <v>46198</v>
          </cell>
          <cell r="I302">
            <v>0</v>
          </cell>
          <cell r="J302">
            <v>1</v>
          </cell>
          <cell r="K302">
            <v>0</v>
          </cell>
          <cell r="L302">
            <v>0</v>
          </cell>
          <cell r="M302">
            <v>0</v>
          </cell>
          <cell r="N302">
            <v>0</v>
          </cell>
          <cell r="O302">
            <v>0</v>
          </cell>
          <cell r="P302">
            <v>0</v>
          </cell>
        </row>
        <row r="303">
          <cell r="C303">
            <v>14</v>
          </cell>
          <cell r="F303">
            <v>1</v>
          </cell>
          <cell r="G303">
            <v>1</v>
          </cell>
          <cell r="H303">
            <v>46198</v>
          </cell>
          <cell r="I303">
            <v>0</v>
          </cell>
          <cell r="J303">
            <v>1</v>
          </cell>
          <cell r="K303">
            <v>0</v>
          </cell>
          <cell r="L303">
            <v>0</v>
          </cell>
          <cell r="M303">
            <v>0</v>
          </cell>
          <cell r="N303">
            <v>0</v>
          </cell>
          <cell r="O303">
            <v>0</v>
          </cell>
          <cell r="P303">
            <v>0</v>
          </cell>
        </row>
        <row r="304">
          <cell r="C304">
            <v>18</v>
          </cell>
          <cell r="F304">
            <v>1</v>
          </cell>
          <cell r="G304">
            <v>1</v>
          </cell>
          <cell r="H304">
            <v>46198</v>
          </cell>
          <cell r="I304">
            <v>0</v>
          </cell>
          <cell r="J304">
            <v>2</v>
          </cell>
          <cell r="K304">
            <v>0</v>
          </cell>
          <cell r="L304">
            <v>0</v>
          </cell>
          <cell r="M304">
            <v>0</v>
          </cell>
          <cell r="N304">
            <v>0</v>
          </cell>
          <cell r="O304">
            <v>0</v>
          </cell>
          <cell r="P304">
            <v>0</v>
          </cell>
        </row>
        <row r="305">
          <cell r="C305">
            <v>29</v>
          </cell>
          <cell r="F305">
            <v>1</v>
          </cell>
          <cell r="G305">
            <v>1</v>
          </cell>
          <cell r="H305">
            <v>46198</v>
          </cell>
          <cell r="I305">
            <v>0</v>
          </cell>
          <cell r="J305">
            <v>2</v>
          </cell>
          <cell r="K305">
            <v>0</v>
          </cell>
          <cell r="L305">
            <v>0</v>
          </cell>
          <cell r="M305">
            <v>0</v>
          </cell>
          <cell r="N305">
            <v>0</v>
          </cell>
          <cell r="O305">
            <v>0</v>
          </cell>
          <cell r="P305">
            <v>0</v>
          </cell>
        </row>
        <row r="306">
          <cell r="C306">
            <v>11</v>
          </cell>
          <cell r="F306">
            <v>1</v>
          </cell>
          <cell r="G306">
            <v>1</v>
          </cell>
          <cell r="H306">
            <v>46199</v>
          </cell>
          <cell r="I306">
            <v>0</v>
          </cell>
          <cell r="J306">
            <v>2</v>
          </cell>
          <cell r="K306">
            <v>0</v>
          </cell>
          <cell r="L306">
            <v>0</v>
          </cell>
          <cell r="M306">
            <v>0</v>
          </cell>
          <cell r="N306">
            <v>0</v>
          </cell>
          <cell r="O306">
            <v>0</v>
          </cell>
          <cell r="P306">
            <v>0</v>
          </cell>
        </row>
        <row r="307">
          <cell r="C307">
            <v>9</v>
          </cell>
          <cell r="F307">
            <v>1</v>
          </cell>
          <cell r="G307">
            <v>1</v>
          </cell>
          <cell r="H307">
            <v>46199</v>
          </cell>
          <cell r="I307">
            <v>0</v>
          </cell>
          <cell r="J307">
            <v>8</v>
          </cell>
          <cell r="K307">
            <v>0</v>
          </cell>
          <cell r="L307">
            <v>0</v>
          </cell>
          <cell r="M307">
            <v>0</v>
          </cell>
          <cell r="N307">
            <v>0</v>
          </cell>
          <cell r="O307">
            <v>0</v>
          </cell>
          <cell r="P307">
            <v>0</v>
          </cell>
        </row>
        <row r="308">
          <cell r="C308">
            <v>50</v>
          </cell>
          <cell r="F308">
            <v>1</v>
          </cell>
          <cell r="G308">
            <v>1</v>
          </cell>
          <cell r="H308">
            <v>46199</v>
          </cell>
          <cell r="I308">
            <v>0</v>
          </cell>
          <cell r="J308">
            <v>5</v>
          </cell>
          <cell r="K308">
            <v>0</v>
          </cell>
          <cell r="L308">
            <v>0</v>
          </cell>
          <cell r="M308">
            <v>0</v>
          </cell>
          <cell r="N308">
            <v>0</v>
          </cell>
          <cell r="O308">
            <v>0</v>
          </cell>
          <cell r="P308">
            <v>0</v>
          </cell>
        </row>
        <row r="309">
          <cell r="C309">
            <v>49</v>
          </cell>
          <cell r="F309">
            <v>1</v>
          </cell>
          <cell r="G309">
            <v>1</v>
          </cell>
          <cell r="H309">
            <v>46199</v>
          </cell>
          <cell r="I309">
            <v>0</v>
          </cell>
          <cell r="J309">
            <v>2</v>
          </cell>
          <cell r="K309">
            <v>0</v>
          </cell>
          <cell r="L309">
            <v>0</v>
          </cell>
          <cell r="M309">
            <v>0</v>
          </cell>
          <cell r="N309">
            <v>0</v>
          </cell>
          <cell r="O309">
            <v>0</v>
          </cell>
          <cell r="P309">
            <v>0</v>
          </cell>
        </row>
        <row r="310">
          <cell r="C310">
            <v>66</v>
          </cell>
          <cell r="F310">
            <v>1</v>
          </cell>
          <cell r="G310">
            <v>1</v>
          </cell>
          <cell r="H310">
            <v>46199</v>
          </cell>
          <cell r="I310">
            <v>0</v>
          </cell>
          <cell r="J310">
            <v>2</v>
          </cell>
          <cell r="K310">
            <v>0</v>
          </cell>
          <cell r="L310">
            <v>0</v>
          </cell>
          <cell r="M310">
            <v>0</v>
          </cell>
          <cell r="N310">
            <v>0</v>
          </cell>
          <cell r="O310">
            <v>0</v>
          </cell>
          <cell r="P310">
            <v>0</v>
          </cell>
        </row>
        <row r="311">
          <cell r="C311">
            <v>177</v>
          </cell>
          <cell r="F311">
            <v>1</v>
          </cell>
          <cell r="G311">
            <v>1</v>
          </cell>
          <cell r="H311">
            <v>46199</v>
          </cell>
          <cell r="I311">
            <v>0</v>
          </cell>
          <cell r="J311">
            <v>750</v>
          </cell>
          <cell r="K311">
            <v>0</v>
          </cell>
          <cell r="L311">
            <v>0</v>
          </cell>
          <cell r="M311">
            <v>0</v>
          </cell>
          <cell r="N311">
            <v>0</v>
          </cell>
          <cell r="O311">
            <v>0</v>
          </cell>
          <cell r="P311">
            <v>0</v>
          </cell>
        </row>
        <row r="312">
          <cell r="C312">
            <v>108</v>
          </cell>
          <cell r="F312">
            <v>1</v>
          </cell>
          <cell r="G312">
            <v>1</v>
          </cell>
          <cell r="H312">
            <v>46199</v>
          </cell>
          <cell r="I312">
            <v>0</v>
          </cell>
          <cell r="J312">
            <v>5</v>
          </cell>
          <cell r="K312">
            <v>0</v>
          </cell>
          <cell r="L312">
            <v>0</v>
          </cell>
          <cell r="M312">
            <v>0</v>
          </cell>
          <cell r="N312">
            <v>0</v>
          </cell>
          <cell r="O312">
            <v>0</v>
          </cell>
          <cell r="P312">
            <v>0</v>
          </cell>
        </row>
        <row r="313">
          <cell r="C313">
            <v>29</v>
          </cell>
          <cell r="F313">
            <v>1</v>
          </cell>
          <cell r="G313">
            <v>1</v>
          </cell>
          <cell r="H313">
            <v>46199</v>
          </cell>
          <cell r="I313">
            <v>0</v>
          </cell>
          <cell r="J313">
            <v>4</v>
          </cell>
          <cell r="K313">
            <v>0</v>
          </cell>
          <cell r="L313">
            <v>0</v>
          </cell>
          <cell r="M313">
            <v>0</v>
          </cell>
          <cell r="N313">
            <v>0</v>
          </cell>
          <cell r="O313">
            <v>0</v>
          </cell>
          <cell r="P313">
            <v>0</v>
          </cell>
        </row>
        <row r="314">
          <cell r="C314">
            <v>51</v>
          </cell>
          <cell r="F314">
            <v>1</v>
          </cell>
          <cell r="G314">
            <v>1</v>
          </cell>
          <cell r="H314">
            <v>46200</v>
          </cell>
          <cell r="I314">
            <v>0</v>
          </cell>
          <cell r="J314">
            <v>9</v>
          </cell>
          <cell r="K314">
            <v>0</v>
          </cell>
          <cell r="L314">
            <v>0</v>
          </cell>
          <cell r="M314">
            <v>0</v>
          </cell>
          <cell r="N314">
            <v>0</v>
          </cell>
          <cell r="O314">
            <v>0</v>
          </cell>
          <cell r="P314">
            <v>0</v>
          </cell>
        </row>
        <row r="315">
          <cell r="C315">
            <v>183</v>
          </cell>
          <cell r="F315">
            <v>1</v>
          </cell>
          <cell r="G315">
            <v>1</v>
          </cell>
          <cell r="H315">
            <v>46200</v>
          </cell>
          <cell r="I315">
            <v>0</v>
          </cell>
          <cell r="J315">
            <v>192</v>
          </cell>
          <cell r="K315">
            <v>0</v>
          </cell>
          <cell r="L315">
            <v>0</v>
          </cell>
          <cell r="M315">
            <v>0</v>
          </cell>
          <cell r="N315">
            <v>0</v>
          </cell>
          <cell r="O315">
            <v>0</v>
          </cell>
          <cell r="P315">
            <v>0</v>
          </cell>
        </row>
        <row r="316">
          <cell r="C316">
            <v>181</v>
          </cell>
          <cell r="F316">
            <v>1</v>
          </cell>
          <cell r="G316">
            <v>1</v>
          </cell>
          <cell r="H316">
            <v>46200</v>
          </cell>
          <cell r="I316">
            <v>0</v>
          </cell>
          <cell r="J316">
            <v>120</v>
          </cell>
          <cell r="K316">
            <v>0</v>
          </cell>
          <cell r="L316">
            <v>0</v>
          </cell>
          <cell r="M316">
            <v>0</v>
          </cell>
          <cell r="N316">
            <v>0</v>
          </cell>
          <cell r="O316">
            <v>0</v>
          </cell>
          <cell r="P316">
            <v>0</v>
          </cell>
        </row>
        <row r="317">
          <cell r="C317">
            <v>195</v>
          </cell>
          <cell r="F317">
            <v>1</v>
          </cell>
          <cell r="G317">
            <v>1</v>
          </cell>
          <cell r="H317">
            <v>46200</v>
          </cell>
          <cell r="I317">
            <v>0</v>
          </cell>
          <cell r="J317">
            <v>8</v>
          </cell>
          <cell r="K317">
            <v>0</v>
          </cell>
          <cell r="L317">
            <v>0</v>
          </cell>
          <cell r="M317">
            <v>0</v>
          </cell>
          <cell r="N317">
            <v>0</v>
          </cell>
          <cell r="O317">
            <v>0</v>
          </cell>
          <cell r="P317">
            <v>0</v>
          </cell>
        </row>
        <row r="318">
          <cell r="C318">
            <v>16</v>
          </cell>
          <cell r="F318">
            <v>1</v>
          </cell>
          <cell r="G318">
            <v>1</v>
          </cell>
          <cell r="H318">
            <v>46200</v>
          </cell>
          <cell r="I318">
            <v>0</v>
          </cell>
          <cell r="J318">
            <v>2</v>
          </cell>
          <cell r="K318">
            <v>0</v>
          </cell>
          <cell r="L318">
            <v>0</v>
          </cell>
          <cell r="M318">
            <v>0</v>
          </cell>
          <cell r="N318">
            <v>0</v>
          </cell>
          <cell r="O318">
            <v>0</v>
          </cell>
          <cell r="P318">
            <v>0</v>
          </cell>
        </row>
        <row r="319">
          <cell r="C319">
            <v>177</v>
          </cell>
          <cell r="F319">
            <v>1</v>
          </cell>
          <cell r="G319">
            <v>1</v>
          </cell>
          <cell r="H319">
            <v>46200</v>
          </cell>
          <cell r="I319">
            <v>0</v>
          </cell>
          <cell r="J319">
            <v>250</v>
          </cell>
          <cell r="K319">
            <v>0</v>
          </cell>
          <cell r="L319">
            <v>0</v>
          </cell>
          <cell r="M319">
            <v>0</v>
          </cell>
          <cell r="N319">
            <v>0</v>
          </cell>
          <cell r="O319">
            <v>0</v>
          </cell>
          <cell r="P319">
            <v>0</v>
          </cell>
        </row>
        <row r="320">
          <cell r="C320">
            <v>4</v>
          </cell>
          <cell r="F320">
            <v>1</v>
          </cell>
          <cell r="G320">
            <v>1</v>
          </cell>
          <cell r="H320">
            <v>46200</v>
          </cell>
          <cell r="I320">
            <v>0</v>
          </cell>
          <cell r="J320">
            <v>7</v>
          </cell>
          <cell r="K320">
            <v>0</v>
          </cell>
          <cell r="L320">
            <v>0</v>
          </cell>
          <cell r="M320">
            <v>0</v>
          </cell>
          <cell r="N320">
            <v>0</v>
          </cell>
          <cell r="O320">
            <v>0</v>
          </cell>
          <cell r="P320">
            <v>0</v>
          </cell>
        </row>
        <row r="321">
          <cell r="C321">
            <v>177</v>
          </cell>
          <cell r="F321">
            <v>1</v>
          </cell>
          <cell r="G321">
            <v>1</v>
          </cell>
          <cell r="H321">
            <v>46201</v>
          </cell>
          <cell r="I321">
            <v>0</v>
          </cell>
          <cell r="J321">
            <v>500</v>
          </cell>
          <cell r="K321">
            <v>0</v>
          </cell>
          <cell r="L321">
            <v>0</v>
          </cell>
          <cell r="M321">
            <v>0</v>
          </cell>
          <cell r="N321">
            <v>0</v>
          </cell>
          <cell r="O321">
            <v>0</v>
          </cell>
          <cell r="P321">
            <v>0</v>
          </cell>
        </row>
        <row r="322">
          <cell r="C322">
            <v>61</v>
          </cell>
          <cell r="F322">
            <v>1</v>
          </cell>
          <cell r="G322">
            <v>1</v>
          </cell>
          <cell r="H322">
            <v>46201</v>
          </cell>
          <cell r="I322">
            <v>0</v>
          </cell>
          <cell r="J322">
            <v>1</v>
          </cell>
          <cell r="K322">
            <v>0</v>
          </cell>
          <cell r="L322">
            <v>0</v>
          </cell>
          <cell r="M322">
            <v>0</v>
          </cell>
          <cell r="N322">
            <v>0</v>
          </cell>
          <cell r="O322">
            <v>0</v>
          </cell>
          <cell r="P322">
            <v>0</v>
          </cell>
        </row>
        <row r="323">
          <cell r="C323">
            <v>146</v>
          </cell>
          <cell r="F323">
            <v>1</v>
          </cell>
          <cell r="G323">
            <v>1</v>
          </cell>
          <cell r="H323">
            <v>46201</v>
          </cell>
          <cell r="I323">
            <v>0</v>
          </cell>
          <cell r="J323">
            <v>5</v>
          </cell>
          <cell r="K323">
            <v>0</v>
          </cell>
          <cell r="L323">
            <v>0</v>
          </cell>
          <cell r="M323">
            <v>0</v>
          </cell>
          <cell r="N323">
            <v>0</v>
          </cell>
          <cell r="O323">
            <v>0</v>
          </cell>
          <cell r="P323">
            <v>0</v>
          </cell>
        </row>
        <row r="324">
          <cell r="C324">
            <v>176</v>
          </cell>
          <cell r="F324">
            <v>1</v>
          </cell>
          <cell r="G324">
            <v>1</v>
          </cell>
          <cell r="H324">
            <v>46201</v>
          </cell>
          <cell r="I324">
            <v>0</v>
          </cell>
          <cell r="J324">
            <v>50</v>
          </cell>
          <cell r="K324">
            <v>0</v>
          </cell>
          <cell r="L324">
            <v>0</v>
          </cell>
          <cell r="M324">
            <v>0</v>
          </cell>
          <cell r="N324">
            <v>0</v>
          </cell>
          <cell r="O324">
            <v>0</v>
          </cell>
          <cell r="P324">
            <v>0</v>
          </cell>
        </row>
        <row r="325">
          <cell r="C325">
            <v>66</v>
          </cell>
          <cell r="F325">
            <v>1</v>
          </cell>
          <cell r="G325">
            <v>1</v>
          </cell>
          <cell r="H325">
            <v>46201</v>
          </cell>
          <cell r="I325">
            <v>0</v>
          </cell>
          <cell r="J325">
            <v>2</v>
          </cell>
          <cell r="K325">
            <v>0</v>
          </cell>
          <cell r="L325">
            <v>0</v>
          </cell>
          <cell r="M325">
            <v>0</v>
          </cell>
          <cell r="N325">
            <v>0</v>
          </cell>
          <cell r="O325">
            <v>0</v>
          </cell>
          <cell r="P325">
            <v>0</v>
          </cell>
        </row>
        <row r="326">
          <cell r="C326">
            <v>75</v>
          </cell>
          <cell r="F326">
            <v>1</v>
          </cell>
          <cell r="G326">
            <v>1</v>
          </cell>
          <cell r="H326">
            <v>46201</v>
          </cell>
          <cell r="I326">
            <v>0</v>
          </cell>
          <cell r="J326">
            <v>2</v>
          </cell>
          <cell r="K326">
            <v>0</v>
          </cell>
          <cell r="L326">
            <v>0</v>
          </cell>
          <cell r="M326">
            <v>0</v>
          </cell>
          <cell r="N326">
            <v>0</v>
          </cell>
          <cell r="O326">
            <v>0</v>
          </cell>
          <cell r="P326">
            <v>0</v>
          </cell>
        </row>
        <row r="327">
          <cell r="C327">
            <v>182</v>
          </cell>
          <cell r="F327">
            <v>1</v>
          </cell>
          <cell r="G327">
            <v>1</v>
          </cell>
          <cell r="H327">
            <v>46201</v>
          </cell>
          <cell r="I327">
            <v>0</v>
          </cell>
          <cell r="J327">
            <v>12</v>
          </cell>
          <cell r="K327">
            <v>0</v>
          </cell>
          <cell r="L327">
            <v>0</v>
          </cell>
          <cell r="M327">
            <v>0</v>
          </cell>
          <cell r="N327">
            <v>0</v>
          </cell>
          <cell r="O327">
            <v>0</v>
          </cell>
          <cell r="P327">
            <v>0</v>
          </cell>
        </row>
        <row r="328">
          <cell r="C328">
            <v>105</v>
          </cell>
          <cell r="F328">
            <v>1</v>
          </cell>
          <cell r="G328">
            <v>1</v>
          </cell>
          <cell r="H328">
            <v>46201</v>
          </cell>
          <cell r="I328">
            <v>0</v>
          </cell>
          <cell r="J328">
            <v>1</v>
          </cell>
          <cell r="K328">
            <v>0</v>
          </cell>
          <cell r="L328">
            <v>0</v>
          </cell>
          <cell r="M328">
            <v>0</v>
          </cell>
          <cell r="N328">
            <v>0</v>
          </cell>
          <cell r="O328">
            <v>0</v>
          </cell>
          <cell r="P328">
            <v>0</v>
          </cell>
        </row>
        <row r="329">
          <cell r="C329">
            <v>34</v>
          </cell>
          <cell r="F329">
            <v>1</v>
          </cell>
          <cell r="G329">
            <v>1</v>
          </cell>
          <cell r="H329">
            <v>46201</v>
          </cell>
          <cell r="I329">
            <v>0</v>
          </cell>
          <cell r="J329">
            <v>2</v>
          </cell>
          <cell r="K329">
            <v>0</v>
          </cell>
          <cell r="L329">
            <v>0</v>
          </cell>
          <cell r="M329">
            <v>0</v>
          </cell>
          <cell r="N329">
            <v>0</v>
          </cell>
          <cell r="O329">
            <v>0</v>
          </cell>
          <cell r="P329">
            <v>0</v>
          </cell>
        </row>
        <row r="330">
          <cell r="C330">
            <v>50</v>
          </cell>
          <cell r="F330">
            <v>1</v>
          </cell>
          <cell r="G330">
            <v>1</v>
          </cell>
          <cell r="H330">
            <v>46201</v>
          </cell>
          <cell r="I330">
            <v>0</v>
          </cell>
          <cell r="J330">
            <v>9</v>
          </cell>
          <cell r="K330">
            <v>0</v>
          </cell>
          <cell r="L330">
            <v>0</v>
          </cell>
          <cell r="M330">
            <v>0</v>
          </cell>
          <cell r="N330">
            <v>0</v>
          </cell>
          <cell r="O330">
            <v>0</v>
          </cell>
          <cell r="P330">
            <v>0</v>
          </cell>
        </row>
        <row r="331">
          <cell r="C331">
            <v>142</v>
          </cell>
          <cell r="F331">
            <v>1</v>
          </cell>
          <cell r="G331">
            <v>1</v>
          </cell>
          <cell r="H331">
            <v>46201</v>
          </cell>
          <cell r="I331">
            <v>0</v>
          </cell>
          <cell r="J331">
            <v>3</v>
          </cell>
          <cell r="K331">
            <v>0</v>
          </cell>
          <cell r="L331">
            <v>0</v>
          </cell>
          <cell r="M331">
            <v>0</v>
          </cell>
          <cell r="N331">
            <v>0</v>
          </cell>
          <cell r="O331">
            <v>0</v>
          </cell>
          <cell r="P331">
            <v>0</v>
          </cell>
        </row>
        <row r="332">
          <cell r="C332">
            <v>144</v>
          </cell>
          <cell r="F332">
            <v>1</v>
          </cell>
          <cell r="G332">
            <v>1</v>
          </cell>
          <cell r="H332">
            <v>46201</v>
          </cell>
          <cell r="I332">
            <v>0</v>
          </cell>
          <cell r="J332">
            <v>2</v>
          </cell>
          <cell r="K332">
            <v>0</v>
          </cell>
          <cell r="L332">
            <v>0</v>
          </cell>
          <cell r="M332">
            <v>0</v>
          </cell>
          <cell r="N332">
            <v>0</v>
          </cell>
          <cell r="O332">
            <v>0</v>
          </cell>
          <cell r="P332">
            <v>0</v>
          </cell>
        </row>
        <row r="333">
          <cell r="C333">
            <v>29</v>
          </cell>
          <cell r="F333">
            <v>1</v>
          </cell>
          <cell r="G333">
            <v>1</v>
          </cell>
          <cell r="H333">
            <v>46201</v>
          </cell>
          <cell r="I333">
            <v>0</v>
          </cell>
          <cell r="J333">
            <v>2</v>
          </cell>
          <cell r="K333">
            <v>0</v>
          </cell>
          <cell r="L333">
            <v>0</v>
          </cell>
          <cell r="M333">
            <v>0</v>
          </cell>
          <cell r="N333">
            <v>0</v>
          </cell>
          <cell r="O333">
            <v>0</v>
          </cell>
          <cell r="P333">
            <v>0</v>
          </cell>
        </row>
        <row r="334">
          <cell r="C334">
            <v>37</v>
          </cell>
          <cell r="F334">
            <v>1</v>
          </cell>
          <cell r="G334">
            <v>1</v>
          </cell>
          <cell r="H334">
            <v>46201</v>
          </cell>
          <cell r="I334">
            <v>0</v>
          </cell>
          <cell r="J334">
            <v>1</v>
          </cell>
          <cell r="K334">
            <v>0</v>
          </cell>
          <cell r="L334">
            <v>0</v>
          </cell>
          <cell r="M334">
            <v>0</v>
          </cell>
          <cell r="N334">
            <v>0</v>
          </cell>
          <cell r="O334">
            <v>0</v>
          </cell>
          <cell r="P334">
            <v>0</v>
          </cell>
        </row>
        <row r="335">
          <cell r="C335">
            <v>49</v>
          </cell>
          <cell r="F335">
            <v>1</v>
          </cell>
          <cell r="G335">
            <v>1</v>
          </cell>
          <cell r="H335">
            <v>46201</v>
          </cell>
          <cell r="I335">
            <v>0</v>
          </cell>
          <cell r="J335">
            <v>8</v>
          </cell>
          <cell r="K335">
            <v>0</v>
          </cell>
          <cell r="L335">
            <v>0</v>
          </cell>
          <cell r="M335">
            <v>0</v>
          </cell>
          <cell r="N335">
            <v>0</v>
          </cell>
          <cell r="O335">
            <v>0</v>
          </cell>
          <cell r="P335">
            <v>0</v>
          </cell>
        </row>
        <row r="336">
          <cell r="C336">
            <v>108</v>
          </cell>
          <cell r="F336">
            <v>1</v>
          </cell>
          <cell r="G336">
            <v>1</v>
          </cell>
          <cell r="H336">
            <v>46201</v>
          </cell>
          <cell r="I336">
            <v>0</v>
          </cell>
          <cell r="J336">
            <v>2</v>
          </cell>
          <cell r="K336">
            <v>0</v>
          </cell>
          <cell r="L336">
            <v>0</v>
          </cell>
          <cell r="M336">
            <v>0</v>
          </cell>
          <cell r="N336">
            <v>0</v>
          </cell>
          <cell r="O336">
            <v>0</v>
          </cell>
          <cell r="P336">
            <v>0</v>
          </cell>
        </row>
        <row r="337">
          <cell r="C337">
            <v>153</v>
          </cell>
          <cell r="F337">
            <v>1</v>
          </cell>
          <cell r="G337">
            <v>1</v>
          </cell>
          <cell r="H337">
            <v>46201</v>
          </cell>
          <cell r="I337">
            <v>0</v>
          </cell>
          <cell r="J337">
            <v>2</v>
          </cell>
          <cell r="K337">
            <v>0</v>
          </cell>
          <cell r="L337">
            <v>0</v>
          </cell>
          <cell r="M337">
            <v>0</v>
          </cell>
          <cell r="N337">
            <v>0</v>
          </cell>
          <cell r="O337">
            <v>0</v>
          </cell>
          <cell r="P337">
            <v>0</v>
          </cell>
        </row>
        <row r="338">
          <cell r="C338">
            <v>181</v>
          </cell>
          <cell r="F338">
            <v>1</v>
          </cell>
          <cell r="G338">
            <v>1</v>
          </cell>
          <cell r="H338">
            <v>46201</v>
          </cell>
          <cell r="I338">
            <v>0</v>
          </cell>
          <cell r="J338">
            <v>12</v>
          </cell>
          <cell r="K338">
            <v>0</v>
          </cell>
          <cell r="L338">
            <v>0</v>
          </cell>
          <cell r="M338">
            <v>0</v>
          </cell>
          <cell r="N338">
            <v>0</v>
          </cell>
          <cell r="O338">
            <v>0</v>
          </cell>
          <cell r="P338">
            <v>0</v>
          </cell>
        </row>
        <row r="339">
          <cell r="C339">
            <v>101</v>
          </cell>
          <cell r="F339">
            <v>1</v>
          </cell>
          <cell r="G339">
            <v>1</v>
          </cell>
          <cell r="H339">
            <v>46201</v>
          </cell>
          <cell r="I339">
            <v>0</v>
          </cell>
          <cell r="J339">
            <v>500</v>
          </cell>
          <cell r="K339">
            <v>0</v>
          </cell>
          <cell r="L339">
            <v>0</v>
          </cell>
          <cell r="M339">
            <v>0</v>
          </cell>
          <cell r="N339">
            <v>0</v>
          </cell>
          <cell r="O339">
            <v>0</v>
          </cell>
          <cell r="P339">
            <v>0</v>
          </cell>
        </row>
        <row r="340">
          <cell r="C340">
            <v>7</v>
          </cell>
          <cell r="F340">
            <v>1</v>
          </cell>
          <cell r="G340">
            <v>1</v>
          </cell>
          <cell r="H340">
            <v>46201</v>
          </cell>
          <cell r="I340">
            <v>0</v>
          </cell>
          <cell r="J340">
            <v>1</v>
          </cell>
          <cell r="K340">
            <v>0</v>
          </cell>
          <cell r="L340">
            <v>0</v>
          </cell>
          <cell r="M340">
            <v>0</v>
          </cell>
          <cell r="N340">
            <v>0</v>
          </cell>
          <cell r="O340">
            <v>0</v>
          </cell>
          <cell r="P340">
            <v>0</v>
          </cell>
        </row>
        <row r="341">
          <cell r="C341">
            <v>13</v>
          </cell>
          <cell r="F341">
            <v>1</v>
          </cell>
          <cell r="G341">
            <v>1</v>
          </cell>
          <cell r="H341">
            <v>46201</v>
          </cell>
          <cell r="I341">
            <v>0</v>
          </cell>
          <cell r="J341">
            <v>1</v>
          </cell>
          <cell r="K341">
            <v>0</v>
          </cell>
          <cell r="L341">
            <v>0</v>
          </cell>
          <cell r="M341">
            <v>0</v>
          </cell>
          <cell r="N341">
            <v>0</v>
          </cell>
          <cell r="O341">
            <v>0</v>
          </cell>
          <cell r="P341">
            <v>0</v>
          </cell>
        </row>
        <row r="342">
          <cell r="C342">
            <v>1</v>
          </cell>
          <cell r="F342">
            <v>1</v>
          </cell>
          <cell r="G342">
            <v>1</v>
          </cell>
          <cell r="H342">
            <v>46201</v>
          </cell>
          <cell r="I342">
            <v>0</v>
          </cell>
          <cell r="J342">
            <v>1</v>
          </cell>
          <cell r="K342">
            <v>0</v>
          </cell>
          <cell r="L342">
            <v>0</v>
          </cell>
          <cell r="M342">
            <v>0</v>
          </cell>
          <cell r="N342">
            <v>0</v>
          </cell>
          <cell r="O342">
            <v>0</v>
          </cell>
          <cell r="P342">
            <v>0</v>
          </cell>
        </row>
        <row r="343">
          <cell r="C343">
            <v>26</v>
          </cell>
          <cell r="F343">
            <v>1</v>
          </cell>
          <cell r="G343">
            <v>1</v>
          </cell>
          <cell r="H343">
            <v>46201</v>
          </cell>
          <cell r="I343">
            <v>0</v>
          </cell>
          <cell r="J343">
            <v>1</v>
          </cell>
          <cell r="K343">
            <v>0</v>
          </cell>
          <cell r="L343">
            <v>0</v>
          </cell>
          <cell r="M343">
            <v>0</v>
          </cell>
          <cell r="N343">
            <v>0</v>
          </cell>
          <cell r="O343">
            <v>0</v>
          </cell>
          <cell r="P343">
            <v>0</v>
          </cell>
        </row>
        <row r="344">
          <cell r="C344">
            <v>4</v>
          </cell>
          <cell r="F344">
            <v>1</v>
          </cell>
          <cell r="G344">
            <v>1</v>
          </cell>
          <cell r="H344">
            <v>46201</v>
          </cell>
          <cell r="I344">
            <v>0</v>
          </cell>
          <cell r="J344">
            <v>1</v>
          </cell>
          <cell r="K344">
            <v>0</v>
          </cell>
          <cell r="L344">
            <v>0</v>
          </cell>
          <cell r="M344">
            <v>0</v>
          </cell>
          <cell r="N344">
            <v>0</v>
          </cell>
          <cell r="O344">
            <v>0</v>
          </cell>
          <cell r="P344">
            <v>0</v>
          </cell>
        </row>
        <row r="345">
          <cell r="C345">
            <v>20</v>
          </cell>
          <cell r="F345">
            <v>1</v>
          </cell>
          <cell r="G345">
            <v>1</v>
          </cell>
          <cell r="H345">
            <v>46201</v>
          </cell>
          <cell r="I345">
            <v>0</v>
          </cell>
          <cell r="J345">
            <v>10</v>
          </cell>
          <cell r="K345">
            <v>0</v>
          </cell>
          <cell r="L345">
            <v>0</v>
          </cell>
          <cell r="M345">
            <v>0</v>
          </cell>
          <cell r="N345">
            <v>0</v>
          </cell>
          <cell r="O345">
            <v>0</v>
          </cell>
          <cell r="P345">
            <v>0</v>
          </cell>
        </row>
        <row r="346">
          <cell r="C346">
            <v>71</v>
          </cell>
          <cell r="F346">
            <v>1</v>
          </cell>
          <cell r="G346">
            <v>1</v>
          </cell>
          <cell r="H346">
            <v>46201</v>
          </cell>
          <cell r="I346">
            <v>0</v>
          </cell>
          <cell r="J346">
            <v>2</v>
          </cell>
          <cell r="K346">
            <v>0</v>
          </cell>
          <cell r="L346">
            <v>0</v>
          </cell>
          <cell r="M346">
            <v>0</v>
          </cell>
          <cell r="N346">
            <v>0</v>
          </cell>
          <cell r="O346">
            <v>0</v>
          </cell>
          <cell r="P346">
            <v>0</v>
          </cell>
        </row>
        <row r="347">
          <cell r="C347">
            <v>9</v>
          </cell>
          <cell r="F347">
            <v>1</v>
          </cell>
          <cell r="G347">
            <v>1</v>
          </cell>
          <cell r="H347">
            <v>46201</v>
          </cell>
          <cell r="I347">
            <v>0</v>
          </cell>
          <cell r="J347">
            <v>3</v>
          </cell>
          <cell r="K347">
            <v>0</v>
          </cell>
          <cell r="L347">
            <v>0</v>
          </cell>
          <cell r="M347">
            <v>0</v>
          </cell>
          <cell r="N347">
            <v>0</v>
          </cell>
          <cell r="O347">
            <v>0</v>
          </cell>
          <cell r="P347">
            <v>0</v>
          </cell>
        </row>
        <row r="348">
          <cell r="C348">
            <v>70</v>
          </cell>
          <cell r="F348">
            <v>1</v>
          </cell>
          <cell r="G348">
            <v>1</v>
          </cell>
          <cell r="H348">
            <v>46201</v>
          </cell>
          <cell r="I348">
            <v>0</v>
          </cell>
          <cell r="J348">
            <v>1</v>
          </cell>
          <cell r="K348">
            <v>0</v>
          </cell>
          <cell r="L348">
            <v>0</v>
          </cell>
          <cell r="M348">
            <v>0</v>
          </cell>
          <cell r="N348">
            <v>0</v>
          </cell>
          <cell r="O348">
            <v>0</v>
          </cell>
          <cell r="P348">
            <v>0</v>
          </cell>
        </row>
        <row r="349">
          <cell r="C349">
            <v>17</v>
          </cell>
          <cell r="F349">
            <v>1</v>
          </cell>
          <cell r="G349">
            <v>1</v>
          </cell>
          <cell r="H349">
            <v>46201</v>
          </cell>
          <cell r="I349">
            <v>0</v>
          </cell>
          <cell r="J349">
            <v>1</v>
          </cell>
          <cell r="K349">
            <v>0</v>
          </cell>
          <cell r="L349">
            <v>0</v>
          </cell>
          <cell r="M349">
            <v>0</v>
          </cell>
          <cell r="N349">
            <v>0</v>
          </cell>
          <cell r="O349">
            <v>0</v>
          </cell>
          <cell r="P349">
            <v>0</v>
          </cell>
        </row>
        <row r="350">
          <cell r="C350">
            <v>79</v>
          </cell>
          <cell r="F350">
            <v>1</v>
          </cell>
          <cell r="G350">
            <v>1</v>
          </cell>
          <cell r="H350">
            <v>46201</v>
          </cell>
          <cell r="I350">
            <v>0</v>
          </cell>
          <cell r="J350">
            <v>50</v>
          </cell>
          <cell r="K350">
            <v>0</v>
          </cell>
          <cell r="L350">
            <v>0</v>
          </cell>
          <cell r="M350">
            <v>0</v>
          </cell>
          <cell r="N350">
            <v>0</v>
          </cell>
          <cell r="O350">
            <v>0</v>
          </cell>
          <cell r="P350">
            <v>0</v>
          </cell>
        </row>
        <row r="351">
          <cell r="C351">
            <v>77</v>
          </cell>
          <cell r="F351">
            <v>1</v>
          </cell>
          <cell r="G351">
            <v>1</v>
          </cell>
          <cell r="H351">
            <v>46201</v>
          </cell>
          <cell r="I351">
            <v>0</v>
          </cell>
          <cell r="J351">
            <v>50</v>
          </cell>
          <cell r="K351">
            <v>0</v>
          </cell>
          <cell r="L351">
            <v>0</v>
          </cell>
          <cell r="M351">
            <v>0</v>
          </cell>
          <cell r="N351">
            <v>0</v>
          </cell>
          <cell r="O351">
            <v>0</v>
          </cell>
          <cell r="P351">
            <v>0</v>
          </cell>
        </row>
        <row r="352">
          <cell r="C352">
            <v>32</v>
          </cell>
          <cell r="F352">
            <v>1</v>
          </cell>
          <cell r="G352">
            <v>1</v>
          </cell>
          <cell r="H352">
            <v>46201</v>
          </cell>
          <cell r="I352">
            <v>0</v>
          </cell>
          <cell r="J352">
            <v>1</v>
          </cell>
          <cell r="K352">
            <v>0</v>
          </cell>
          <cell r="L352">
            <v>0</v>
          </cell>
          <cell r="M352">
            <v>0</v>
          </cell>
          <cell r="N352">
            <v>0</v>
          </cell>
          <cell r="O352">
            <v>0</v>
          </cell>
          <cell r="P352">
            <v>0</v>
          </cell>
        </row>
        <row r="353">
          <cell r="C353">
            <v>176</v>
          </cell>
          <cell r="F353">
            <v>1</v>
          </cell>
          <cell r="G353">
            <v>1</v>
          </cell>
          <cell r="H353">
            <v>46202</v>
          </cell>
          <cell r="I353">
            <v>0</v>
          </cell>
          <cell r="J353">
            <v>750</v>
          </cell>
          <cell r="K353">
            <v>0</v>
          </cell>
          <cell r="L353">
            <v>0</v>
          </cell>
          <cell r="M353">
            <v>0</v>
          </cell>
          <cell r="N353">
            <v>0</v>
          </cell>
          <cell r="O353">
            <v>0</v>
          </cell>
          <cell r="P353">
            <v>0</v>
          </cell>
        </row>
        <row r="354">
          <cell r="C354">
            <v>156</v>
          </cell>
          <cell r="F354">
            <v>1</v>
          </cell>
          <cell r="G354">
            <v>1</v>
          </cell>
          <cell r="H354">
            <v>46202</v>
          </cell>
          <cell r="I354">
            <v>0</v>
          </cell>
          <cell r="J354">
            <v>6</v>
          </cell>
          <cell r="K354">
            <v>0</v>
          </cell>
          <cell r="L354">
            <v>0</v>
          </cell>
          <cell r="M354">
            <v>0</v>
          </cell>
          <cell r="N354">
            <v>0</v>
          </cell>
          <cell r="O354">
            <v>0</v>
          </cell>
          <cell r="P354">
            <v>0</v>
          </cell>
        </row>
        <row r="355">
          <cell r="C355">
            <v>162</v>
          </cell>
          <cell r="F355">
            <v>1</v>
          </cell>
          <cell r="G355">
            <v>1</v>
          </cell>
          <cell r="H355">
            <v>46202</v>
          </cell>
          <cell r="I355">
            <v>0</v>
          </cell>
          <cell r="J355">
            <v>1</v>
          </cell>
          <cell r="K355">
            <v>0</v>
          </cell>
          <cell r="L355">
            <v>0</v>
          </cell>
          <cell r="M355">
            <v>0</v>
          </cell>
          <cell r="N355">
            <v>0</v>
          </cell>
          <cell r="O355">
            <v>0</v>
          </cell>
          <cell r="P355">
            <v>0</v>
          </cell>
        </row>
        <row r="356">
          <cell r="C356">
            <v>108</v>
          </cell>
          <cell r="F356">
            <v>1</v>
          </cell>
          <cell r="G356">
            <v>1</v>
          </cell>
          <cell r="H356">
            <v>46202</v>
          </cell>
          <cell r="I356">
            <v>0</v>
          </cell>
          <cell r="J356">
            <v>7</v>
          </cell>
          <cell r="K356">
            <v>0</v>
          </cell>
          <cell r="L356">
            <v>0</v>
          </cell>
          <cell r="M356">
            <v>0</v>
          </cell>
          <cell r="N356">
            <v>0</v>
          </cell>
          <cell r="O356">
            <v>0</v>
          </cell>
          <cell r="P356">
            <v>0</v>
          </cell>
        </row>
        <row r="357">
          <cell r="C357">
            <v>150</v>
          </cell>
          <cell r="F357">
            <v>1</v>
          </cell>
          <cell r="G357">
            <v>1</v>
          </cell>
          <cell r="H357">
            <v>46202</v>
          </cell>
          <cell r="I357">
            <v>0</v>
          </cell>
          <cell r="J357">
            <v>20</v>
          </cell>
          <cell r="K357">
            <v>0</v>
          </cell>
          <cell r="L357">
            <v>0</v>
          </cell>
          <cell r="M357">
            <v>0</v>
          </cell>
          <cell r="N357">
            <v>0</v>
          </cell>
          <cell r="O357">
            <v>0</v>
          </cell>
          <cell r="P357">
            <v>0</v>
          </cell>
        </row>
        <row r="358">
          <cell r="C358">
            <v>112</v>
          </cell>
          <cell r="F358">
            <v>1</v>
          </cell>
          <cell r="G358">
            <v>1</v>
          </cell>
          <cell r="H358">
            <v>46202</v>
          </cell>
          <cell r="I358">
            <v>0</v>
          </cell>
          <cell r="J358">
            <v>1</v>
          </cell>
          <cell r="K358">
            <v>0</v>
          </cell>
          <cell r="L358">
            <v>0</v>
          </cell>
          <cell r="M358">
            <v>0</v>
          </cell>
          <cell r="N358">
            <v>0</v>
          </cell>
          <cell r="O358">
            <v>0</v>
          </cell>
          <cell r="P358">
            <v>0</v>
          </cell>
        </row>
        <row r="359">
          <cell r="C359">
            <v>76</v>
          </cell>
          <cell r="F359">
            <v>1</v>
          </cell>
          <cell r="G359">
            <v>1</v>
          </cell>
          <cell r="H359">
            <v>46202</v>
          </cell>
          <cell r="I359">
            <v>0</v>
          </cell>
          <cell r="J359">
            <v>1</v>
          </cell>
          <cell r="K359">
            <v>0</v>
          </cell>
          <cell r="L359">
            <v>0</v>
          </cell>
          <cell r="M359">
            <v>0</v>
          </cell>
          <cell r="N359">
            <v>0</v>
          </cell>
          <cell r="O359">
            <v>0</v>
          </cell>
          <cell r="P359">
            <v>0</v>
          </cell>
        </row>
        <row r="360">
          <cell r="C360">
            <v>142</v>
          </cell>
          <cell r="F360">
            <v>1</v>
          </cell>
          <cell r="G360">
            <v>1</v>
          </cell>
          <cell r="H360">
            <v>46202</v>
          </cell>
          <cell r="I360">
            <v>0</v>
          </cell>
          <cell r="J360">
            <v>1</v>
          </cell>
          <cell r="K360">
            <v>0</v>
          </cell>
          <cell r="L360">
            <v>0</v>
          </cell>
          <cell r="M360">
            <v>0</v>
          </cell>
          <cell r="N360">
            <v>0</v>
          </cell>
          <cell r="O360">
            <v>0</v>
          </cell>
          <cell r="P360">
            <v>0</v>
          </cell>
        </row>
        <row r="361">
          <cell r="C361">
            <v>187</v>
          </cell>
          <cell r="F361">
            <v>1</v>
          </cell>
          <cell r="G361">
            <v>1</v>
          </cell>
          <cell r="H361">
            <v>46202</v>
          </cell>
          <cell r="I361">
            <v>0</v>
          </cell>
          <cell r="J361">
            <v>16</v>
          </cell>
          <cell r="K361">
            <v>0</v>
          </cell>
          <cell r="L361">
            <v>0</v>
          </cell>
          <cell r="M361">
            <v>0</v>
          </cell>
          <cell r="N361">
            <v>0</v>
          </cell>
          <cell r="O361">
            <v>0</v>
          </cell>
          <cell r="P361">
            <v>0</v>
          </cell>
        </row>
        <row r="362">
          <cell r="C362">
            <v>145</v>
          </cell>
          <cell r="F362">
            <v>1</v>
          </cell>
          <cell r="G362">
            <v>1</v>
          </cell>
          <cell r="H362">
            <v>46202</v>
          </cell>
          <cell r="I362">
            <v>0</v>
          </cell>
          <cell r="J362">
            <v>8</v>
          </cell>
          <cell r="K362">
            <v>0</v>
          </cell>
          <cell r="L362">
            <v>0</v>
          </cell>
          <cell r="M362">
            <v>0</v>
          </cell>
          <cell r="N362">
            <v>0</v>
          </cell>
          <cell r="O362">
            <v>0</v>
          </cell>
          <cell r="P362">
            <v>0</v>
          </cell>
        </row>
        <row r="363">
          <cell r="C363">
            <v>144</v>
          </cell>
          <cell r="F363">
            <v>1</v>
          </cell>
          <cell r="G363">
            <v>1</v>
          </cell>
          <cell r="H363">
            <v>46202</v>
          </cell>
          <cell r="I363">
            <v>0</v>
          </cell>
          <cell r="J363">
            <v>1</v>
          </cell>
          <cell r="K363">
            <v>0</v>
          </cell>
          <cell r="L363">
            <v>0</v>
          </cell>
          <cell r="M363">
            <v>0</v>
          </cell>
          <cell r="N363">
            <v>0</v>
          </cell>
          <cell r="O363">
            <v>0</v>
          </cell>
          <cell r="P363">
            <v>0</v>
          </cell>
        </row>
        <row r="364">
          <cell r="C364">
            <v>8</v>
          </cell>
          <cell r="F364">
            <v>1</v>
          </cell>
          <cell r="G364">
            <v>1</v>
          </cell>
          <cell r="H364">
            <v>46202</v>
          </cell>
          <cell r="I364">
            <v>0</v>
          </cell>
          <cell r="J364">
            <v>1</v>
          </cell>
          <cell r="K364">
            <v>0</v>
          </cell>
          <cell r="L364">
            <v>0</v>
          </cell>
          <cell r="M364">
            <v>0</v>
          </cell>
          <cell r="N364">
            <v>0</v>
          </cell>
          <cell r="O364">
            <v>0</v>
          </cell>
          <cell r="P364">
            <v>0</v>
          </cell>
        </row>
        <row r="365">
          <cell r="C365">
            <v>1</v>
          </cell>
          <cell r="F365">
            <v>1</v>
          </cell>
          <cell r="G365">
            <v>1</v>
          </cell>
          <cell r="H365">
            <v>46203</v>
          </cell>
          <cell r="I365">
            <v>0</v>
          </cell>
          <cell r="J365">
            <v>1</v>
          </cell>
          <cell r="K365">
            <v>0</v>
          </cell>
          <cell r="L365">
            <v>0</v>
          </cell>
          <cell r="M365">
            <v>0</v>
          </cell>
          <cell r="N365">
            <v>0</v>
          </cell>
          <cell r="O365">
            <v>0</v>
          </cell>
          <cell r="P365">
            <v>0</v>
          </cell>
        </row>
        <row r="366">
          <cell r="C366">
            <v>174</v>
          </cell>
          <cell r="F366">
            <v>1</v>
          </cell>
          <cell r="G366">
            <v>1</v>
          </cell>
          <cell r="H366">
            <v>46203</v>
          </cell>
          <cell r="I366">
            <v>0</v>
          </cell>
          <cell r="J366">
            <v>2</v>
          </cell>
          <cell r="K366">
            <v>0</v>
          </cell>
          <cell r="L366">
            <v>0</v>
          </cell>
          <cell r="M366">
            <v>0</v>
          </cell>
          <cell r="N366">
            <v>0</v>
          </cell>
          <cell r="O366">
            <v>0</v>
          </cell>
          <cell r="P366">
            <v>0</v>
          </cell>
        </row>
        <row r="367">
          <cell r="C367">
            <v>168</v>
          </cell>
          <cell r="F367">
            <v>1</v>
          </cell>
          <cell r="G367">
            <v>1</v>
          </cell>
          <cell r="H367">
            <v>46203</v>
          </cell>
          <cell r="I367">
            <v>0</v>
          </cell>
          <cell r="J367">
            <v>2</v>
          </cell>
          <cell r="K367">
            <v>0</v>
          </cell>
          <cell r="L367">
            <v>0</v>
          </cell>
          <cell r="M367">
            <v>0</v>
          </cell>
          <cell r="N367">
            <v>0</v>
          </cell>
          <cell r="O367">
            <v>0</v>
          </cell>
          <cell r="P367">
            <v>0</v>
          </cell>
        </row>
        <row r="368">
          <cell r="C368">
            <v>172</v>
          </cell>
          <cell r="F368">
            <v>1</v>
          </cell>
          <cell r="G368">
            <v>1</v>
          </cell>
          <cell r="H368">
            <v>46203</v>
          </cell>
          <cell r="I368">
            <v>0</v>
          </cell>
          <cell r="J368">
            <v>2</v>
          </cell>
          <cell r="K368">
            <v>0</v>
          </cell>
          <cell r="L368">
            <v>0</v>
          </cell>
          <cell r="M368">
            <v>0</v>
          </cell>
          <cell r="N368">
            <v>0</v>
          </cell>
          <cell r="O368">
            <v>0</v>
          </cell>
          <cell r="P368">
            <v>0</v>
          </cell>
        </row>
        <row r="369">
          <cell r="C369">
            <v>10</v>
          </cell>
          <cell r="F369">
            <v>1</v>
          </cell>
          <cell r="G369">
            <v>1</v>
          </cell>
          <cell r="H369">
            <v>46203</v>
          </cell>
          <cell r="I369">
            <v>0</v>
          </cell>
          <cell r="J369">
            <v>2</v>
          </cell>
          <cell r="K369">
            <v>0</v>
          </cell>
          <cell r="L369">
            <v>0</v>
          </cell>
          <cell r="M369">
            <v>0</v>
          </cell>
          <cell r="N369">
            <v>0</v>
          </cell>
          <cell r="O369">
            <v>0</v>
          </cell>
          <cell r="P369">
            <v>0</v>
          </cell>
        </row>
        <row r="370">
          <cell r="C370">
            <v>189</v>
          </cell>
          <cell r="F370">
            <v>1</v>
          </cell>
          <cell r="G370">
            <v>1</v>
          </cell>
          <cell r="H370">
            <v>46203</v>
          </cell>
          <cell r="I370">
            <v>0</v>
          </cell>
          <cell r="J370">
            <v>20</v>
          </cell>
          <cell r="K370">
            <v>0</v>
          </cell>
          <cell r="L370">
            <v>0</v>
          </cell>
          <cell r="M370">
            <v>0</v>
          </cell>
          <cell r="N370">
            <v>0</v>
          </cell>
          <cell r="O370">
            <v>0</v>
          </cell>
          <cell r="P370">
            <v>0</v>
          </cell>
        </row>
        <row r="371">
          <cell r="C371">
            <v>183</v>
          </cell>
          <cell r="F371">
            <v>1</v>
          </cell>
          <cell r="G371">
            <v>1</v>
          </cell>
          <cell r="H371">
            <v>46203</v>
          </cell>
          <cell r="I371">
            <v>0</v>
          </cell>
          <cell r="J371">
            <v>24</v>
          </cell>
          <cell r="K371">
            <v>0</v>
          </cell>
          <cell r="L371">
            <v>0</v>
          </cell>
          <cell r="M371">
            <v>0</v>
          </cell>
          <cell r="N371">
            <v>0</v>
          </cell>
          <cell r="O371">
            <v>0</v>
          </cell>
          <cell r="P371">
            <v>0</v>
          </cell>
        </row>
        <row r="372">
          <cell r="C372">
            <v>136</v>
          </cell>
          <cell r="F372">
            <v>1</v>
          </cell>
          <cell r="G372">
            <v>1</v>
          </cell>
          <cell r="H372">
            <v>46203</v>
          </cell>
          <cell r="I372">
            <v>0</v>
          </cell>
          <cell r="J372">
            <v>2</v>
          </cell>
          <cell r="K372">
            <v>0</v>
          </cell>
          <cell r="L372">
            <v>0</v>
          </cell>
          <cell r="M372">
            <v>0</v>
          </cell>
          <cell r="N372">
            <v>0</v>
          </cell>
          <cell r="O372">
            <v>0</v>
          </cell>
          <cell r="P372">
            <v>0</v>
          </cell>
        </row>
        <row r="373">
          <cell r="C373">
            <v>142</v>
          </cell>
          <cell r="F373">
            <v>1</v>
          </cell>
          <cell r="G373">
            <v>1</v>
          </cell>
          <cell r="H373">
            <v>46203</v>
          </cell>
          <cell r="I373">
            <v>0</v>
          </cell>
          <cell r="J373">
            <v>1</v>
          </cell>
          <cell r="K373">
            <v>0</v>
          </cell>
          <cell r="L373">
            <v>0</v>
          </cell>
          <cell r="M373">
            <v>0</v>
          </cell>
          <cell r="N373">
            <v>0</v>
          </cell>
          <cell r="O373">
            <v>0</v>
          </cell>
          <cell r="P373">
            <v>0</v>
          </cell>
        </row>
        <row r="374">
          <cell r="C374">
            <v>53</v>
          </cell>
          <cell r="F374">
            <v>1</v>
          </cell>
          <cell r="G374">
            <v>1</v>
          </cell>
          <cell r="H374">
            <v>46203</v>
          </cell>
          <cell r="I374">
            <v>0</v>
          </cell>
          <cell r="J374">
            <v>1</v>
          </cell>
          <cell r="K374">
            <v>0</v>
          </cell>
          <cell r="L374">
            <v>0</v>
          </cell>
          <cell r="M374">
            <v>0</v>
          </cell>
          <cell r="N374">
            <v>0</v>
          </cell>
          <cell r="O374">
            <v>0</v>
          </cell>
          <cell r="P374">
            <v>0</v>
          </cell>
        </row>
        <row r="375">
          <cell r="C375">
            <v>50</v>
          </cell>
          <cell r="F375">
            <v>1</v>
          </cell>
          <cell r="G375">
            <v>1</v>
          </cell>
          <cell r="H375">
            <v>46203</v>
          </cell>
          <cell r="I375">
            <v>0</v>
          </cell>
          <cell r="J375">
            <v>2</v>
          </cell>
          <cell r="K375">
            <v>0</v>
          </cell>
          <cell r="L375">
            <v>0</v>
          </cell>
          <cell r="M375">
            <v>0</v>
          </cell>
          <cell r="N375">
            <v>0</v>
          </cell>
          <cell r="O375">
            <v>0</v>
          </cell>
          <cell r="P375">
            <v>0</v>
          </cell>
        </row>
        <row r="376">
          <cell r="C376">
            <v>56</v>
          </cell>
          <cell r="F376">
            <v>1</v>
          </cell>
          <cell r="G376">
            <v>1</v>
          </cell>
          <cell r="H376">
            <v>46203</v>
          </cell>
          <cell r="I376">
            <v>0</v>
          </cell>
          <cell r="J376">
            <v>2</v>
          </cell>
          <cell r="K376">
            <v>0</v>
          </cell>
          <cell r="L376">
            <v>0</v>
          </cell>
          <cell r="M376">
            <v>0</v>
          </cell>
          <cell r="N376">
            <v>0</v>
          </cell>
          <cell r="O376">
            <v>0</v>
          </cell>
          <cell r="P376">
            <v>0</v>
          </cell>
        </row>
        <row r="377">
          <cell r="C377">
            <v>34</v>
          </cell>
          <cell r="F377">
            <v>1</v>
          </cell>
          <cell r="G377">
            <v>1</v>
          </cell>
          <cell r="H377">
            <v>46203</v>
          </cell>
          <cell r="I377">
            <v>0</v>
          </cell>
          <cell r="J377">
            <v>1</v>
          </cell>
          <cell r="K377">
            <v>0</v>
          </cell>
          <cell r="L377">
            <v>0</v>
          </cell>
          <cell r="M377">
            <v>0</v>
          </cell>
          <cell r="N377">
            <v>0</v>
          </cell>
          <cell r="O377">
            <v>0</v>
          </cell>
          <cell r="P377">
            <v>0</v>
          </cell>
        </row>
        <row r="378">
          <cell r="C378">
            <v>7</v>
          </cell>
          <cell r="F378">
            <v>1</v>
          </cell>
          <cell r="G378">
            <v>1</v>
          </cell>
          <cell r="H378">
            <v>46174</v>
          </cell>
          <cell r="I378">
            <v>0</v>
          </cell>
          <cell r="J378">
            <v>0</v>
          </cell>
          <cell r="K378">
            <v>0</v>
          </cell>
          <cell r="L378">
            <v>18</v>
          </cell>
          <cell r="M378">
            <v>0</v>
          </cell>
          <cell r="N378">
            <v>0</v>
          </cell>
          <cell r="O378">
            <v>0</v>
          </cell>
          <cell r="P378">
            <v>0</v>
          </cell>
        </row>
        <row r="379">
          <cell r="C379">
            <v>8</v>
          </cell>
          <cell r="F379">
            <v>1</v>
          </cell>
          <cell r="G379">
            <v>1</v>
          </cell>
          <cell r="H379">
            <v>46174</v>
          </cell>
          <cell r="I379">
            <v>0</v>
          </cell>
          <cell r="J379">
            <v>0</v>
          </cell>
          <cell r="K379">
            <v>0</v>
          </cell>
          <cell r="L379">
            <v>14</v>
          </cell>
          <cell r="M379">
            <v>0</v>
          </cell>
          <cell r="N379">
            <v>0</v>
          </cell>
          <cell r="O379">
            <v>0</v>
          </cell>
          <cell r="P379">
            <v>0</v>
          </cell>
        </row>
        <row r="380">
          <cell r="C380">
            <v>9</v>
          </cell>
          <cell r="F380">
            <v>1</v>
          </cell>
          <cell r="G380">
            <v>1</v>
          </cell>
          <cell r="H380">
            <v>46174</v>
          </cell>
          <cell r="I380">
            <v>0</v>
          </cell>
          <cell r="J380">
            <v>0</v>
          </cell>
          <cell r="K380">
            <v>0</v>
          </cell>
          <cell r="L380">
            <v>36</v>
          </cell>
          <cell r="M380">
            <v>0</v>
          </cell>
          <cell r="N380">
            <v>0</v>
          </cell>
          <cell r="O380">
            <v>0</v>
          </cell>
          <cell r="P380">
            <v>0</v>
          </cell>
        </row>
        <row r="381">
          <cell r="C381">
            <v>11</v>
          </cell>
          <cell r="F381">
            <v>1</v>
          </cell>
          <cell r="G381">
            <v>1</v>
          </cell>
          <cell r="H381">
            <v>46174</v>
          </cell>
          <cell r="I381">
            <v>0</v>
          </cell>
          <cell r="J381">
            <v>0</v>
          </cell>
          <cell r="K381">
            <v>0</v>
          </cell>
          <cell r="L381">
            <v>6</v>
          </cell>
          <cell r="M381">
            <v>0</v>
          </cell>
          <cell r="N381">
            <v>0</v>
          </cell>
          <cell r="O381">
            <v>0</v>
          </cell>
          <cell r="P381">
            <v>0</v>
          </cell>
        </row>
        <row r="382">
          <cell r="C382">
            <v>16</v>
          </cell>
          <cell r="F382">
            <v>1</v>
          </cell>
          <cell r="G382">
            <v>1</v>
          </cell>
          <cell r="H382">
            <v>46174</v>
          </cell>
          <cell r="I382">
            <v>0</v>
          </cell>
          <cell r="J382">
            <v>0</v>
          </cell>
          <cell r="K382">
            <v>0</v>
          </cell>
          <cell r="L382">
            <v>30</v>
          </cell>
          <cell r="M382">
            <v>0</v>
          </cell>
          <cell r="N382">
            <v>0</v>
          </cell>
          <cell r="O382">
            <v>0</v>
          </cell>
          <cell r="P382">
            <v>0</v>
          </cell>
        </row>
        <row r="383">
          <cell r="C383">
            <v>18</v>
          </cell>
          <cell r="F383">
            <v>1</v>
          </cell>
          <cell r="G383">
            <v>1</v>
          </cell>
          <cell r="H383">
            <v>46174</v>
          </cell>
          <cell r="I383">
            <v>0</v>
          </cell>
          <cell r="J383">
            <v>0</v>
          </cell>
          <cell r="K383">
            <v>0</v>
          </cell>
          <cell r="L383">
            <v>2</v>
          </cell>
          <cell r="M383">
            <v>0</v>
          </cell>
          <cell r="N383">
            <v>0</v>
          </cell>
          <cell r="O383">
            <v>0</v>
          </cell>
          <cell r="P383">
            <v>0</v>
          </cell>
        </row>
        <row r="384">
          <cell r="C384">
            <v>20</v>
          </cell>
          <cell r="F384">
            <v>1</v>
          </cell>
          <cell r="G384">
            <v>1</v>
          </cell>
          <cell r="H384">
            <v>46174</v>
          </cell>
          <cell r="I384">
            <v>0</v>
          </cell>
          <cell r="J384">
            <v>0</v>
          </cell>
          <cell r="K384">
            <v>0</v>
          </cell>
          <cell r="L384">
            <v>14</v>
          </cell>
          <cell r="M384">
            <v>0</v>
          </cell>
          <cell r="N384">
            <v>0</v>
          </cell>
          <cell r="O384">
            <v>0</v>
          </cell>
          <cell r="P384">
            <v>0</v>
          </cell>
        </row>
        <row r="385">
          <cell r="C385">
            <v>25</v>
          </cell>
          <cell r="F385">
            <v>1</v>
          </cell>
          <cell r="G385">
            <v>1</v>
          </cell>
          <cell r="H385">
            <v>46174</v>
          </cell>
          <cell r="I385">
            <v>0</v>
          </cell>
          <cell r="J385">
            <v>0</v>
          </cell>
          <cell r="K385">
            <v>0</v>
          </cell>
          <cell r="L385">
            <v>2</v>
          </cell>
          <cell r="M385">
            <v>0</v>
          </cell>
          <cell r="N385">
            <v>0</v>
          </cell>
          <cell r="O385">
            <v>0</v>
          </cell>
          <cell r="P385">
            <v>0</v>
          </cell>
        </row>
        <row r="386">
          <cell r="C386">
            <v>29</v>
          </cell>
          <cell r="F386">
            <v>1</v>
          </cell>
          <cell r="G386">
            <v>1</v>
          </cell>
          <cell r="H386">
            <v>46174</v>
          </cell>
          <cell r="I386">
            <v>0</v>
          </cell>
          <cell r="J386">
            <v>0</v>
          </cell>
          <cell r="K386">
            <v>0</v>
          </cell>
          <cell r="L386">
            <v>24</v>
          </cell>
          <cell r="M386">
            <v>0</v>
          </cell>
          <cell r="N386">
            <v>0</v>
          </cell>
          <cell r="O386">
            <v>0</v>
          </cell>
          <cell r="P386">
            <v>0</v>
          </cell>
        </row>
        <row r="387">
          <cell r="C387">
            <v>30</v>
          </cell>
          <cell r="F387">
            <v>1</v>
          </cell>
          <cell r="G387">
            <v>1</v>
          </cell>
          <cell r="H387">
            <v>46174</v>
          </cell>
          <cell r="I387">
            <v>0</v>
          </cell>
          <cell r="J387">
            <v>0</v>
          </cell>
          <cell r="K387">
            <v>0</v>
          </cell>
          <cell r="L387">
            <v>6</v>
          </cell>
          <cell r="M387">
            <v>0</v>
          </cell>
          <cell r="N387">
            <v>0</v>
          </cell>
          <cell r="O387">
            <v>0</v>
          </cell>
          <cell r="P387">
            <v>0</v>
          </cell>
        </row>
        <row r="388">
          <cell r="C388">
            <v>32</v>
          </cell>
          <cell r="F388">
            <v>1</v>
          </cell>
          <cell r="G388">
            <v>1</v>
          </cell>
          <cell r="H388">
            <v>46174</v>
          </cell>
          <cell r="I388">
            <v>0</v>
          </cell>
          <cell r="J388">
            <v>0</v>
          </cell>
          <cell r="K388">
            <v>0</v>
          </cell>
          <cell r="L388">
            <v>4</v>
          </cell>
          <cell r="M388">
            <v>0</v>
          </cell>
          <cell r="N388">
            <v>0</v>
          </cell>
          <cell r="O388">
            <v>0</v>
          </cell>
          <cell r="P388">
            <v>0</v>
          </cell>
        </row>
        <row r="389">
          <cell r="C389">
            <v>33</v>
          </cell>
          <cell r="F389">
            <v>1</v>
          </cell>
          <cell r="G389">
            <v>1</v>
          </cell>
          <cell r="H389">
            <v>46174</v>
          </cell>
          <cell r="I389">
            <v>0</v>
          </cell>
          <cell r="J389">
            <v>0</v>
          </cell>
          <cell r="K389">
            <v>0</v>
          </cell>
          <cell r="L389">
            <v>2</v>
          </cell>
          <cell r="M389">
            <v>0</v>
          </cell>
          <cell r="N389">
            <v>0</v>
          </cell>
          <cell r="O389">
            <v>0</v>
          </cell>
          <cell r="P389">
            <v>0</v>
          </cell>
        </row>
        <row r="390">
          <cell r="C390">
            <v>34</v>
          </cell>
          <cell r="F390">
            <v>1</v>
          </cell>
          <cell r="G390">
            <v>1</v>
          </cell>
          <cell r="H390">
            <v>46174</v>
          </cell>
          <cell r="I390">
            <v>0</v>
          </cell>
          <cell r="J390">
            <v>0</v>
          </cell>
          <cell r="K390">
            <v>0</v>
          </cell>
          <cell r="L390">
            <v>20</v>
          </cell>
          <cell r="M390">
            <v>0</v>
          </cell>
          <cell r="N390">
            <v>0</v>
          </cell>
          <cell r="O390">
            <v>0</v>
          </cell>
          <cell r="P390">
            <v>0</v>
          </cell>
        </row>
        <row r="391">
          <cell r="C391">
            <v>37</v>
          </cell>
          <cell r="F391">
            <v>1</v>
          </cell>
          <cell r="G391">
            <v>1</v>
          </cell>
          <cell r="H391">
            <v>46174</v>
          </cell>
          <cell r="I391">
            <v>0</v>
          </cell>
          <cell r="J391">
            <v>0</v>
          </cell>
          <cell r="K391">
            <v>0</v>
          </cell>
          <cell r="L391">
            <v>4</v>
          </cell>
          <cell r="M391">
            <v>0</v>
          </cell>
          <cell r="N391">
            <v>0</v>
          </cell>
          <cell r="O391">
            <v>0</v>
          </cell>
          <cell r="P391">
            <v>0</v>
          </cell>
        </row>
        <row r="392">
          <cell r="C392">
            <v>38</v>
          </cell>
          <cell r="F392">
            <v>1</v>
          </cell>
          <cell r="G392">
            <v>1</v>
          </cell>
          <cell r="H392">
            <v>46174</v>
          </cell>
          <cell r="I392">
            <v>0</v>
          </cell>
          <cell r="J392">
            <v>0</v>
          </cell>
          <cell r="K392">
            <v>0</v>
          </cell>
          <cell r="L392">
            <v>4</v>
          </cell>
          <cell r="M392">
            <v>0</v>
          </cell>
          <cell r="N392">
            <v>0</v>
          </cell>
          <cell r="O392">
            <v>0</v>
          </cell>
          <cell r="P392">
            <v>0</v>
          </cell>
        </row>
        <row r="393">
          <cell r="C393">
            <v>39</v>
          </cell>
          <cell r="F393">
            <v>1</v>
          </cell>
          <cell r="G393">
            <v>1</v>
          </cell>
          <cell r="H393">
            <v>46174</v>
          </cell>
          <cell r="I393">
            <v>0</v>
          </cell>
          <cell r="J393">
            <v>0</v>
          </cell>
          <cell r="K393">
            <v>0</v>
          </cell>
          <cell r="L393">
            <v>6</v>
          </cell>
          <cell r="M393">
            <v>0</v>
          </cell>
          <cell r="N393">
            <v>0</v>
          </cell>
          <cell r="O393">
            <v>0</v>
          </cell>
          <cell r="P393">
            <v>0</v>
          </cell>
        </row>
        <row r="394">
          <cell r="C394">
            <v>40</v>
          </cell>
          <cell r="F394">
            <v>1</v>
          </cell>
          <cell r="G394">
            <v>1</v>
          </cell>
          <cell r="H394">
            <v>46174</v>
          </cell>
          <cell r="I394">
            <v>0</v>
          </cell>
          <cell r="J394">
            <v>0</v>
          </cell>
          <cell r="K394">
            <v>0</v>
          </cell>
          <cell r="L394">
            <v>4</v>
          </cell>
          <cell r="M394">
            <v>0</v>
          </cell>
          <cell r="N394">
            <v>0</v>
          </cell>
          <cell r="O394">
            <v>0</v>
          </cell>
          <cell r="P394">
            <v>0</v>
          </cell>
        </row>
        <row r="395">
          <cell r="C395">
            <v>41</v>
          </cell>
          <cell r="F395">
            <v>1</v>
          </cell>
          <cell r="G395">
            <v>1</v>
          </cell>
          <cell r="H395">
            <v>46174</v>
          </cell>
          <cell r="I395">
            <v>0</v>
          </cell>
          <cell r="J395">
            <v>0</v>
          </cell>
          <cell r="K395">
            <v>0</v>
          </cell>
          <cell r="L395">
            <v>16</v>
          </cell>
          <cell r="M395">
            <v>0</v>
          </cell>
          <cell r="N395">
            <v>0</v>
          </cell>
          <cell r="O395">
            <v>0</v>
          </cell>
          <cell r="P395">
            <v>0</v>
          </cell>
        </row>
        <row r="396">
          <cell r="C396">
            <v>42</v>
          </cell>
          <cell r="F396">
            <v>1</v>
          </cell>
          <cell r="G396">
            <v>1</v>
          </cell>
          <cell r="H396">
            <v>46174</v>
          </cell>
          <cell r="I396">
            <v>0</v>
          </cell>
          <cell r="J396">
            <v>0</v>
          </cell>
          <cell r="K396">
            <v>0</v>
          </cell>
          <cell r="L396">
            <v>32</v>
          </cell>
          <cell r="M396">
            <v>0</v>
          </cell>
          <cell r="N396">
            <v>0</v>
          </cell>
          <cell r="O396">
            <v>0</v>
          </cell>
          <cell r="P396">
            <v>0</v>
          </cell>
        </row>
        <row r="397">
          <cell r="C397">
            <v>44</v>
          </cell>
          <cell r="F397">
            <v>1</v>
          </cell>
          <cell r="G397">
            <v>1</v>
          </cell>
          <cell r="H397">
            <v>46174</v>
          </cell>
          <cell r="I397">
            <v>0</v>
          </cell>
          <cell r="J397">
            <v>0</v>
          </cell>
          <cell r="K397">
            <v>0</v>
          </cell>
          <cell r="L397">
            <v>8</v>
          </cell>
          <cell r="M397">
            <v>0</v>
          </cell>
          <cell r="N397">
            <v>0</v>
          </cell>
          <cell r="O397">
            <v>0</v>
          </cell>
          <cell r="P397">
            <v>0</v>
          </cell>
        </row>
        <row r="398">
          <cell r="C398">
            <v>45</v>
          </cell>
          <cell r="F398">
            <v>1</v>
          </cell>
          <cell r="G398">
            <v>1</v>
          </cell>
          <cell r="H398">
            <v>46174</v>
          </cell>
          <cell r="I398">
            <v>0</v>
          </cell>
          <cell r="J398">
            <v>0</v>
          </cell>
          <cell r="K398">
            <v>0</v>
          </cell>
          <cell r="L398">
            <v>30</v>
          </cell>
          <cell r="M398">
            <v>0</v>
          </cell>
          <cell r="N398">
            <v>0</v>
          </cell>
          <cell r="O398">
            <v>0</v>
          </cell>
          <cell r="P398">
            <v>0</v>
          </cell>
        </row>
        <row r="399">
          <cell r="C399">
            <v>46</v>
          </cell>
          <cell r="F399">
            <v>1</v>
          </cell>
          <cell r="G399">
            <v>1</v>
          </cell>
          <cell r="H399">
            <v>46174</v>
          </cell>
          <cell r="I399">
            <v>0</v>
          </cell>
          <cell r="J399">
            <v>0</v>
          </cell>
          <cell r="K399">
            <v>0</v>
          </cell>
          <cell r="L399">
            <v>60</v>
          </cell>
          <cell r="M399">
            <v>0</v>
          </cell>
          <cell r="N399">
            <v>0</v>
          </cell>
          <cell r="O399">
            <v>0</v>
          </cell>
          <cell r="P399">
            <v>0</v>
          </cell>
        </row>
        <row r="400">
          <cell r="C400">
            <v>49</v>
          </cell>
          <cell r="F400">
            <v>1</v>
          </cell>
          <cell r="G400">
            <v>1</v>
          </cell>
          <cell r="H400">
            <v>46174</v>
          </cell>
          <cell r="I400">
            <v>0</v>
          </cell>
          <cell r="J400">
            <v>0</v>
          </cell>
          <cell r="K400">
            <v>0</v>
          </cell>
          <cell r="L400">
            <v>30</v>
          </cell>
          <cell r="M400">
            <v>0</v>
          </cell>
          <cell r="N400">
            <v>0</v>
          </cell>
          <cell r="O400">
            <v>0</v>
          </cell>
          <cell r="P400">
            <v>0</v>
          </cell>
        </row>
        <row r="401">
          <cell r="C401">
            <v>50</v>
          </cell>
          <cell r="F401">
            <v>1</v>
          </cell>
          <cell r="G401">
            <v>1</v>
          </cell>
          <cell r="H401">
            <v>46174</v>
          </cell>
          <cell r="I401">
            <v>0</v>
          </cell>
          <cell r="J401">
            <v>0</v>
          </cell>
          <cell r="K401">
            <v>0</v>
          </cell>
          <cell r="L401">
            <v>118</v>
          </cell>
          <cell r="M401">
            <v>0</v>
          </cell>
          <cell r="N401">
            <v>0</v>
          </cell>
          <cell r="O401">
            <v>0</v>
          </cell>
          <cell r="P401">
            <v>0</v>
          </cell>
        </row>
        <row r="402">
          <cell r="C402">
            <v>51</v>
          </cell>
          <cell r="F402">
            <v>1</v>
          </cell>
          <cell r="G402">
            <v>1</v>
          </cell>
          <cell r="H402">
            <v>46174</v>
          </cell>
          <cell r="I402">
            <v>0</v>
          </cell>
          <cell r="J402">
            <v>0</v>
          </cell>
          <cell r="K402">
            <v>0</v>
          </cell>
          <cell r="L402">
            <v>34</v>
          </cell>
          <cell r="M402">
            <v>0</v>
          </cell>
          <cell r="N402">
            <v>0</v>
          </cell>
          <cell r="O402">
            <v>0</v>
          </cell>
          <cell r="P402">
            <v>0</v>
          </cell>
        </row>
        <row r="403">
          <cell r="C403">
            <v>52</v>
          </cell>
          <cell r="F403">
            <v>1</v>
          </cell>
          <cell r="G403">
            <v>1</v>
          </cell>
          <cell r="H403">
            <v>46176</v>
          </cell>
          <cell r="I403">
            <v>0</v>
          </cell>
          <cell r="J403">
            <v>0</v>
          </cell>
          <cell r="K403">
            <v>0</v>
          </cell>
          <cell r="L403">
            <v>22</v>
          </cell>
          <cell r="M403">
            <v>0</v>
          </cell>
          <cell r="N403">
            <v>0</v>
          </cell>
          <cell r="O403">
            <v>0</v>
          </cell>
          <cell r="P403">
            <v>0</v>
          </cell>
        </row>
        <row r="404">
          <cell r="C404">
            <v>53</v>
          </cell>
          <cell r="F404">
            <v>1</v>
          </cell>
          <cell r="G404">
            <v>1</v>
          </cell>
          <cell r="H404">
            <v>46176</v>
          </cell>
          <cell r="I404">
            <v>0</v>
          </cell>
          <cell r="J404">
            <v>0</v>
          </cell>
          <cell r="K404">
            <v>0</v>
          </cell>
          <cell r="L404">
            <v>4</v>
          </cell>
          <cell r="M404">
            <v>0</v>
          </cell>
          <cell r="N404">
            <v>0</v>
          </cell>
          <cell r="O404">
            <v>0</v>
          </cell>
          <cell r="P404">
            <v>0</v>
          </cell>
        </row>
        <row r="405">
          <cell r="C405">
            <v>54</v>
          </cell>
          <cell r="F405">
            <v>1</v>
          </cell>
          <cell r="G405">
            <v>1</v>
          </cell>
          <cell r="H405">
            <v>46176</v>
          </cell>
          <cell r="I405">
            <v>0</v>
          </cell>
          <cell r="J405">
            <v>0</v>
          </cell>
          <cell r="K405">
            <v>0</v>
          </cell>
          <cell r="L405">
            <v>16</v>
          </cell>
          <cell r="M405">
            <v>0</v>
          </cell>
          <cell r="N405">
            <v>0</v>
          </cell>
          <cell r="O405">
            <v>0</v>
          </cell>
          <cell r="P405">
            <v>0</v>
          </cell>
        </row>
        <row r="406">
          <cell r="C406">
            <v>56</v>
          </cell>
          <cell r="F406">
            <v>1</v>
          </cell>
          <cell r="G406">
            <v>1</v>
          </cell>
          <cell r="H406">
            <v>46176</v>
          </cell>
          <cell r="I406">
            <v>0</v>
          </cell>
          <cell r="J406">
            <v>0</v>
          </cell>
          <cell r="K406">
            <v>0</v>
          </cell>
          <cell r="L406">
            <v>14</v>
          </cell>
          <cell r="M406">
            <v>0</v>
          </cell>
          <cell r="N406">
            <v>0</v>
          </cell>
          <cell r="O406">
            <v>0</v>
          </cell>
          <cell r="P406">
            <v>0</v>
          </cell>
        </row>
        <row r="407">
          <cell r="C407">
            <v>61</v>
          </cell>
          <cell r="F407">
            <v>1</v>
          </cell>
          <cell r="G407">
            <v>1</v>
          </cell>
          <cell r="H407">
            <v>46176</v>
          </cell>
          <cell r="I407">
            <v>0</v>
          </cell>
          <cell r="J407">
            <v>0</v>
          </cell>
          <cell r="K407">
            <v>0</v>
          </cell>
          <cell r="L407">
            <v>2</v>
          </cell>
          <cell r="M407">
            <v>0</v>
          </cell>
          <cell r="N407">
            <v>0</v>
          </cell>
          <cell r="O407">
            <v>0</v>
          </cell>
          <cell r="P407">
            <v>0</v>
          </cell>
        </row>
        <row r="408">
          <cell r="C408">
            <v>63</v>
          </cell>
          <cell r="F408">
            <v>1</v>
          </cell>
          <cell r="G408">
            <v>1</v>
          </cell>
          <cell r="H408">
            <v>46176</v>
          </cell>
          <cell r="I408">
            <v>0</v>
          </cell>
          <cell r="J408">
            <v>0</v>
          </cell>
          <cell r="K408">
            <v>0</v>
          </cell>
          <cell r="L408">
            <v>12</v>
          </cell>
          <cell r="M408">
            <v>0</v>
          </cell>
          <cell r="N408">
            <v>0</v>
          </cell>
          <cell r="O408">
            <v>0</v>
          </cell>
          <cell r="P408">
            <v>0</v>
          </cell>
        </row>
        <row r="409">
          <cell r="C409">
            <v>64</v>
          </cell>
          <cell r="F409">
            <v>1</v>
          </cell>
          <cell r="G409">
            <v>1</v>
          </cell>
          <cell r="H409">
            <v>46176</v>
          </cell>
          <cell r="I409">
            <v>0</v>
          </cell>
          <cell r="J409">
            <v>0</v>
          </cell>
          <cell r="K409">
            <v>0</v>
          </cell>
          <cell r="L409">
            <v>2</v>
          </cell>
          <cell r="M409">
            <v>0</v>
          </cell>
          <cell r="N409">
            <v>0</v>
          </cell>
          <cell r="O409">
            <v>0</v>
          </cell>
          <cell r="P409">
            <v>0</v>
          </cell>
        </row>
        <row r="410">
          <cell r="C410">
            <v>66</v>
          </cell>
          <cell r="F410">
            <v>1</v>
          </cell>
          <cell r="G410">
            <v>1</v>
          </cell>
          <cell r="H410">
            <v>46176</v>
          </cell>
          <cell r="I410">
            <v>0</v>
          </cell>
          <cell r="J410">
            <v>0</v>
          </cell>
          <cell r="K410">
            <v>0</v>
          </cell>
          <cell r="L410">
            <v>12</v>
          </cell>
          <cell r="M410">
            <v>0</v>
          </cell>
          <cell r="N410">
            <v>0</v>
          </cell>
          <cell r="O410">
            <v>0</v>
          </cell>
          <cell r="P410">
            <v>0</v>
          </cell>
        </row>
        <row r="411">
          <cell r="C411">
            <v>68</v>
          </cell>
          <cell r="F411">
            <v>1</v>
          </cell>
          <cell r="G411">
            <v>1</v>
          </cell>
          <cell r="H411">
            <v>46176</v>
          </cell>
          <cell r="I411">
            <v>0</v>
          </cell>
          <cell r="J411">
            <v>0</v>
          </cell>
          <cell r="K411">
            <v>0</v>
          </cell>
          <cell r="L411">
            <v>12</v>
          </cell>
          <cell r="M411">
            <v>0</v>
          </cell>
          <cell r="N411">
            <v>0</v>
          </cell>
          <cell r="O411">
            <v>0</v>
          </cell>
          <cell r="P411">
            <v>0</v>
          </cell>
        </row>
        <row r="412">
          <cell r="C412">
            <v>69</v>
          </cell>
          <cell r="F412">
            <v>1</v>
          </cell>
          <cell r="G412">
            <v>1</v>
          </cell>
          <cell r="H412">
            <v>46176</v>
          </cell>
          <cell r="I412">
            <v>0</v>
          </cell>
          <cell r="J412">
            <v>0</v>
          </cell>
          <cell r="K412">
            <v>0</v>
          </cell>
          <cell r="L412">
            <v>14</v>
          </cell>
          <cell r="M412">
            <v>0</v>
          </cell>
          <cell r="N412">
            <v>0</v>
          </cell>
          <cell r="O412">
            <v>0</v>
          </cell>
          <cell r="P412">
            <v>0</v>
          </cell>
        </row>
        <row r="413">
          <cell r="C413">
            <v>70</v>
          </cell>
          <cell r="F413">
            <v>1</v>
          </cell>
          <cell r="G413">
            <v>1</v>
          </cell>
          <cell r="H413">
            <v>46176</v>
          </cell>
          <cell r="I413">
            <v>0</v>
          </cell>
          <cell r="J413">
            <v>0</v>
          </cell>
          <cell r="K413">
            <v>0</v>
          </cell>
          <cell r="L413">
            <v>8</v>
          </cell>
          <cell r="M413">
            <v>0</v>
          </cell>
          <cell r="N413">
            <v>0</v>
          </cell>
          <cell r="O413">
            <v>0</v>
          </cell>
          <cell r="P413">
            <v>0</v>
          </cell>
        </row>
        <row r="414">
          <cell r="C414">
            <v>71</v>
          </cell>
          <cell r="F414">
            <v>1</v>
          </cell>
          <cell r="G414">
            <v>1</v>
          </cell>
          <cell r="H414">
            <v>46176</v>
          </cell>
          <cell r="I414">
            <v>0</v>
          </cell>
          <cell r="J414">
            <v>0</v>
          </cell>
          <cell r="K414">
            <v>0</v>
          </cell>
          <cell r="L414">
            <v>4</v>
          </cell>
          <cell r="M414">
            <v>0</v>
          </cell>
          <cell r="N414">
            <v>0</v>
          </cell>
          <cell r="O414">
            <v>0</v>
          </cell>
          <cell r="P414">
            <v>0</v>
          </cell>
        </row>
        <row r="415">
          <cell r="C415">
            <v>73</v>
          </cell>
          <cell r="F415">
            <v>1</v>
          </cell>
          <cell r="G415">
            <v>1</v>
          </cell>
          <cell r="H415">
            <v>46176</v>
          </cell>
          <cell r="I415">
            <v>0</v>
          </cell>
          <cell r="J415">
            <v>0</v>
          </cell>
          <cell r="K415">
            <v>0</v>
          </cell>
          <cell r="L415">
            <v>2</v>
          </cell>
          <cell r="M415">
            <v>0</v>
          </cell>
          <cell r="N415">
            <v>0</v>
          </cell>
          <cell r="O415">
            <v>0</v>
          </cell>
          <cell r="P415">
            <v>0</v>
          </cell>
        </row>
        <row r="416">
          <cell r="C416">
            <v>74</v>
          </cell>
          <cell r="F416">
            <v>1</v>
          </cell>
          <cell r="G416">
            <v>1</v>
          </cell>
          <cell r="H416">
            <v>46176</v>
          </cell>
          <cell r="I416">
            <v>0</v>
          </cell>
          <cell r="J416">
            <v>0</v>
          </cell>
          <cell r="K416">
            <v>0</v>
          </cell>
          <cell r="L416">
            <v>12</v>
          </cell>
          <cell r="M416">
            <v>0</v>
          </cell>
          <cell r="N416">
            <v>0</v>
          </cell>
          <cell r="O416">
            <v>0</v>
          </cell>
          <cell r="P416">
            <v>0</v>
          </cell>
        </row>
        <row r="417">
          <cell r="C417">
            <v>75</v>
          </cell>
          <cell r="F417">
            <v>1</v>
          </cell>
          <cell r="G417">
            <v>1</v>
          </cell>
          <cell r="H417">
            <v>46176</v>
          </cell>
          <cell r="I417">
            <v>0</v>
          </cell>
          <cell r="J417">
            <v>0</v>
          </cell>
          <cell r="K417">
            <v>0</v>
          </cell>
          <cell r="L417">
            <v>8</v>
          </cell>
          <cell r="M417">
            <v>0</v>
          </cell>
          <cell r="N417">
            <v>0</v>
          </cell>
          <cell r="O417">
            <v>0</v>
          </cell>
          <cell r="P417">
            <v>0</v>
          </cell>
        </row>
        <row r="418">
          <cell r="C418">
            <v>76</v>
          </cell>
          <cell r="F418">
            <v>1</v>
          </cell>
          <cell r="G418">
            <v>1</v>
          </cell>
          <cell r="H418">
            <v>46176</v>
          </cell>
          <cell r="I418">
            <v>0</v>
          </cell>
          <cell r="J418">
            <v>0</v>
          </cell>
          <cell r="K418">
            <v>0</v>
          </cell>
          <cell r="L418">
            <v>12</v>
          </cell>
          <cell r="M418">
            <v>0</v>
          </cell>
          <cell r="N418">
            <v>0</v>
          </cell>
          <cell r="O418">
            <v>0</v>
          </cell>
          <cell r="P418">
            <v>0</v>
          </cell>
        </row>
        <row r="419">
          <cell r="C419">
            <v>77</v>
          </cell>
          <cell r="F419">
            <v>1</v>
          </cell>
          <cell r="G419">
            <v>1</v>
          </cell>
          <cell r="H419">
            <v>46176</v>
          </cell>
          <cell r="I419">
            <v>0</v>
          </cell>
          <cell r="J419">
            <v>0</v>
          </cell>
          <cell r="K419">
            <v>0</v>
          </cell>
          <cell r="L419">
            <v>100</v>
          </cell>
          <cell r="M419">
            <v>0</v>
          </cell>
          <cell r="N419">
            <v>0</v>
          </cell>
          <cell r="O419">
            <v>0</v>
          </cell>
          <cell r="P419">
            <v>0</v>
          </cell>
        </row>
        <row r="420">
          <cell r="C420">
            <v>79</v>
          </cell>
          <cell r="F420">
            <v>1</v>
          </cell>
          <cell r="G420">
            <v>1</v>
          </cell>
          <cell r="H420">
            <v>46176</v>
          </cell>
          <cell r="I420">
            <v>0</v>
          </cell>
          <cell r="J420">
            <v>0</v>
          </cell>
          <cell r="K420">
            <v>0</v>
          </cell>
          <cell r="L420">
            <v>100</v>
          </cell>
          <cell r="M420">
            <v>0</v>
          </cell>
          <cell r="N420">
            <v>0</v>
          </cell>
          <cell r="O420">
            <v>0</v>
          </cell>
          <cell r="P420">
            <v>0</v>
          </cell>
        </row>
        <row r="421">
          <cell r="C421">
            <v>90</v>
          </cell>
          <cell r="F421">
            <v>1</v>
          </cell>
          <cell r="G421">
            <v>1</v>
          </cell>
          <cell r="H421">
            <v>46176</v>
          </cell>
          <cell r="I421">
            <v>0</v>
          </cell>
          <cell r="J421">
            <v>0</v>
          </cell>
          <cell r="K421">
            <v>0</v>
          </cell>
          <cell r="L421">
            <v>16</v>
          </cell>
          <cell r="M421">
            <v>0</v>
          </cell>
          <cell r="N421">
            <v>0</v>
          </cell>
          <cell r="O421">
            <v>0</v>
          </cell>
          <cell r="P421">
            <v>0</v>
          </cell>
        </row>
        <row r="422">
          <cell r="C422">
            <v>92</v>
          </cell>
          <cell r="F422">
            <v>1</v>
          </cell>
          <cell r="G422">
            <v>1</v>
          </cell>
          <cell r="H422">
            <v>46176</v>
          </cell>
          <cell r="I422">
            <v>0</v>
          </cell>
          <cell r="J422">
            <v>0</v>
          </cell>
          <cell r="K422">
            <v>0</v>
          </cell>
          <cell r="L422">
            <v>40</v>
          </cell>
          <cell r="M422">
            <v>0</v>
          </cell>
          <cell r="N422">
            <v>0</v>
          </cell>
          <cell r="O422">
            <v>0</v>
          </cell>
          <cell r="P422">
            <v>0</v>
          </cell>
        </row>
        <row r="423">
          <cell r="C423">
            <v>94</v>
          </cell>
          <cell r="F423">
            <v>1</v>
          </cell>
          <cell r="G423">
            <v>1</v>
          </cell>
          <cell r="H423">
            <v>46176</v>
          </cell>
          <cell r="I423">
            <v>0</v>
          </cell>
          <cell r="J423">
            <v>0</v>
          </cell>
          <cell r="K423">
            <v>0</v>
          </cell>
          <cell r="L423">
            <v>82</v>
          </cell>
          <cell r="M423">
            <v>0</v>
          </cell>
          <cell r="N423">
            <v>0</v>
          </cell>
          <cell r="O423">
            <v>0</v>
          </cell>
          <cell r="P423">
            <v>0</v>
          </cell>
        </row>
        <row r="424">
          <cell r="C424">
            <v>96</v>
          </cell>
          <cell r="F424">
            <v>1</v>
          </cell>
          <cell r="G424">
            <v>1</v>
          </cell>
          <cell r="H424">
            <v>46176</v>
          </cell>
          <cell r="I424">
            <v>0</v>
          </cell>
          <cell r="J424">
            <v>0</v>
          </cell>
          <cell r="K424">
            <v>0</v>
          </cell>
          <cell r="L424">
            <v>34</v>
          </cell>
          <cell r="M424">
            <v>0</v>
          </cell>
          <cell r="N424">
            <v>0</v>
          </cell>
          <cell r="O424">
            <v>0</v>
          </cell>
          <cell r="P424">
            <v>0</v>
          </cell>
        </row>
        <row r="425">
          <cell r="C425">
            <v>97</v>
          </cell>
          <cell r="F425">
            <v>1</v>
          </cell>
          <cell r="G425">
            <v>1</v>
          </cell>
          <cell r="H425">
            <v>46176</v>
          </cell>
          <cell r="I425">
            <v>0</v>
          </cell>
          <cell r="J425">
            <v>0</v>
          </cell>
          <cell r="K425">
            <v>0</v>
          </cell>
          <cell r="L425">
            <v>8</v>
          </cell>
          <cell r="M425">
            <v>0</v>
          </cell>
          <cell r="N425">
            <v>0</v>
          </cell>
          <cell r="O425">
            <v>0</v>
          </cell>
          <cell r="P425">
            <v>0</v>
          </cell>
        </row>
        <row r="426">
          <cell r="C426">
            <v>99</v>
          </cell>
          <cell r="F426">
            <v>1</v>
          </cell>
          <cell r="G426">
            <v>1</v>
          </cell>
          <cell r="H426">
            <v>46176</v>
          </cell>
          <cell r="I426">
            <v>0</v>
          </cell>
          <cell r="J426">
            <v>0</v>
          </cell>
          <cell r="K426">
            <v>0</v>
          </cell>
          <cell r="L426">
            <v>10</v>
          </cell>
          <cell r="M426">
            <v>0</v>
          </cell>
          <cell r="N426">
            <v>0</v>
          </cell>
          <cell r="O426">
            <v>0</v>
          </cell>
          <cell r="P426">
            <v>0</v>
          </cell>
        </row>
        <row r="427">
          <cell r="C427">
            <v>103</v>
          </cell>
          <cell r="F427">
            <v>1</v>
          </cell>
          <cell r="G427">
            <v>1</v>
          </cell>
          <cell r="H427">
            <v>46176</v>
          </cell>
          <cell r="I427">
            <v>0</v>
          </cell>
          <cell r="J427">
            <v>0</v>
          </cell>
          <cell r="K427">
            <v>0</v>
          </cell>
          <cell r="L427">
            <v>6</v>
          </cell>
          <cell r="M427">
            <v>0</v>
          </cell>
          <cell r="N427">
            <v>0</v>
          </cell>
          <cell r="O427">
            <v>0</v>
          </cell>
          <cell r="P427">
            <v>0</v>
          </cell>
        </row>
        <row r="428">
          <cell r="C428">
            <v>105</v>
          </cell>
          <cell r="F428">
            <v>1</v>
          </cell>
          <cell r="G428">
            <v>1</v>
          </cell>
          <cell r="H428">
            <v>46176</v>
          </cell>
          <cell r="I428">
            <v>0</v>
          </cell>
          <cell r="J428">
            <v>0</v>
          </cell>
          <cell r="K428">
            <v>0</v>
          </cell>
          <cell r="L428">
            <v>4</v>
          </cell>
          <cell r="M428">
            <v>0</v>
          </cell>
          <cell r="N428">
            <v>0</v>
          </cell>
          <cell r="O428">
            <v>0</v>
          </cell>
          <cell r="P428">
            <v>0</v>
          </cell>
        </row>
        <row r="429">
          <cell r="C429">
            <v>108</v>
          </cell>
          <cell r="F429">
            <v>1</v>
          </cell>
          <cell r="G429">
            <v>1</v>
          </cell>
          <cell r="H429">
            <v>46176</v>
          </cell>
          <cell r="I429">
            <v>0</v>
          </cell>
          <cell r="J429">
            <v>0</v>
          </cell>
          <cell r="K429">
            <v>0</v>
          </cell>
          <cell r="L429">
            <v>44</v>
          </cell>
          <cell r="M429">
            <v>0</v>
          </cell>
          <cell r="N429">
            <v>0</v>
          </cell>
          <cell r="O429">
            <v>0</v>
          </cell>
          <cell r="P429">
            <v>0</v>
          </cell>
        </row>
        <row r="430">
          <cell r="C430">
            <v>112</v>
          </cell>
          <cell r="F430">
            <v>1</v>
          </cell>
          <cell r="G430">
            <v>1</v>
          </cell>
          <cell r="H430">
            <v>46176</v>
          </cell>
          <cell r="I430">
            <v>0</v>
          </cell>
          <cell r="J430">
            <v>0</v>
          </cell>
          <cell r="K430">
            <v>0</v>
          </cell>
          <cell r="L430">
            <v>2</v>
          </cell>
          <cell r="M430">
            <v>0</v>
          </cell>
          <cell r="N430">
            <v>0</v>
          </cell>
          <cell r="O430">
            <v>0</v>
          </cell>
          <cell r="P430">
            <v>0</v>
          </cell>
        </row>
        <row r="431">
          <cell r="C431">
            <v>131</v>
          </cell>
          <cell r="F431">
            <v>1</v>
          </cell>
          <cell r="G431">
            <v>1</v>
          </cell>
          <cell r="H431">
            <v>46179</v>
          </cell>
          <cell r="I431">
            <v>0</v>
          </cell>
          <cell r="J431">
            <v>0</v>
          </cell>
          <cell r="K431">
            <v>0</v>
          </cell>
          <cell r="L431">
            <v>2</v>
          </cell>
          <cell r="M431">
            <v>0</v>
          </cell>
          <cell r="N431">
            <v>0</v>
          </cell>
          <cell r="O431">
            <v>0</v>
          </cell>
          <cell r="P431">
            <v>0</v>
          </cell>
        </row>
        <row r="432">
          <cell r="C432">
            <v>136</v>
          </cell>
          <cell r="F432">
            <v>1</v>
          </cell>
          <cell r="G432">
            <v>1</v>
          </cell>
          <cell r="H432">
            <v>46179</v>
          </cell>
          <cell r="I432">
            <v>0</v>
          </cell>
          <cell r="J432">
            <v>0</v>
          </cell>
          <cell r="K432">
            <v>0</v>
          </cell>
          <cell r="L432">
            <v>4</v>
          </cell>
          <cell r="M432">
            <v>0</v>
          </cell>
          <cell r="N432">
            <v>0</v>
          </cell>
          <cell r="O432">
            <v>0</v>
          </cell>
          <cell r="P432">
            <v>0</v>
          </cell>
        </row>
        <row r="433">
          <cell r="C433">
            <v>142</v>
          </cell>
          <cell r="F433">
            <v>1</v>
          </cell>
          <cell r="G433">
            <v>1</v>
          </cell>
          <cell r="H433">
            <v>46179</v>
          </cell>
          <cell r="I433">
            <v>0</v>
          </cell>
          <cell r="J433">
            <v>0</v>
          </cell>
          <cell r="K433">
            <v>0</v>
          </cell>
          <cell r="L433">
            <v>14</v>
          </cell>
          <cell r="M433">
            <v>0</v>
          </cell>
          <cell r="N433">
            <v>0</v>
          </cell>
          <cell r="O433">
            <v>0</v>
          </cell>
          <cell r="P433">
            <v>0</v>
          </cell>
        </row>
        <row r="434">
          <cell r="C434">
            <v>144</v>
          </cell>
          <cell r="F434">
            <v>1</v>
          </cell>
          <cell r="G434">
            <v>1</v>
          </cell>
          <cell r="H434">
            <v>46179</v>
          </cell>
          <cell r="I434">
            <v>0</v>
          </cell>
          <cell r="J434">
            <v>0</v>
          </cell>
          <cell r="K434">
            <v>0</v>
          </cell>
          <cell r="L434">
            <v>30</v>
          </cell>
          <cell r="M434">
            <v>0</v>
          </cell>
          <cell r="N434">
            <v>0</v>
          </cell>
          <cell r="O434">
            <v>0</v>
          </cell>
          <cell r="P434">
            <v>0</v>
          </cell>
        </row>
        <row r="435">
          <cell r="C435">
            <v>145</v>
          </cell>
          <cell r="F435">
            <v>1</v>
          </cell>
          <cell r="G435">
            <v>1</v>
          </cell>
          <cell r="H435">
            <v>46179</v>
          </cell>
          <cell r="I435">
            <v>0</v>
          </cell>
          <cell r="J435">
            <v>0</v>
          </cell>
          <cell r="K435">
            <v>0</v>
          </cell>
          <cell r="L435">
            <v>20</v>
          </cell>
          <cell r="M435">
            <v>0</v>
          </cell>
          <cell r="N435">
            <v>0</v>
          </cell>
          <cell r="O435">
            <v>0</v>
          </cell>
          <cell r="P435">
            <v>0</v>
          </cell>
        </row>
        <row r="436">
          <cell r="C436">
            <v>146</v>
          </cell>
          <cell r="F436">
            <v>1</v>
          </cell>
          <cell r="G436">
            <v>1</v>
          </cell>
          <cell r="H436">
            <v>46179</v>
          </cell>
          <cell r="I436">
            <v>0</v>
          </cell>
          <cell r="J436">
            <v>0</v>
          </cell>
          <cell r="K436">
            <v>0</v>
          </cell>
          <cell r="L436">
            <v>10</v>
          </cell>
          <cell r="M436">
            <v>0</v>
          </cell>
          <cell r="N436">
            <v>0</v>
          </cell>
          <cell r="O436">
            <v>0</v>
          </cell>
          <cell r="P436">
            <v>0</v>
          </cell>
        </row>
        <row r="437">
          <cell r="C437">
            <v>150</v>
          </cell>
          <cell r="F437">
            <v>1</v>
          </cell>
          <cell r="G437">
            <v>1</v>
          </cell>
          <cell r="H437">
            <v>46179</v>
          </cell>
          <cell r="I437">
            <v>0</v>
          </cell>
          <cell r="J437">
            <v>0</v>
          </cell>
          <cell r="K437">
            <v>0</v>
          </cell>
          <cell r="L437">
            <v>88</v>
          </cell>
          <cell r="M437">
            <v>0</v>
          </cell>
          <cell r="N437">
            <v>0</v>
          </cell>
          <cell r="O437">
            <v>0</v>
          </cell>
          <cell r="P437">
            <v>0</v>
          </cell>
        </row>
        <row r="438">
          <cell r="C438">
            <v>153</v>
          </cell>
          <cell r="F438">
            <v>1</v>
          </cell>
          <cell r="G438">
            <v>1</v>
          </cell>
          <cell r="H438">
            <v>46179</v>
          </cell>
          <cell r="I438">
            <v>0</v>
          </cell>
          <cell r="J438">
            <v>0</v>
          </cell>
          <cell r="K438">
            <v>0</v>
          </cell>
          <cell r="L438">
            <v>14</v>
          </cell>
          <cell r="M438">
            <v>0</v>
          </cell>
          <cell r="N438">
            <v>0</v>
          </cell>
          <cell r="O438">
            <v>0</v>
          </cell>
          <cell r="P438">
            <v>0</v>
          </cell>
        </row>
        <row r="439">
          <cell r="C439">
            <v>156</v>
          </cell>
          <cell r="F439">
            <v>1</v>
          </cell>
          <cell r="G439">
            <v>1</v>
          </cell>
          <cell r="H439">
            <v>46179</v>
          </cell>
          <cell r="I439">
            <v>0</v>
          </cell>
          <cell r="J439">
            <v>0</v>
          </cell>
          <cell r="K439">
            <v>0</v>
          </cell>
          <cell r="L439">
            <v>4</v>
          </cell>
          <cell r="M439">
            <v>0</v>
          </cell>
          <cell r="N439">
            <v>0</v>
          </cell>
          <cell r="O439">
            <v>0</v>
          </cell>
          <cell r="P439">
            <v>0</v>
          </cell>
        </row>
        <row r="440">
          <cell r="C440">
            <v>158</v>
          </cell>
          <cell r="F440">
            <v>1</v>
          </cell>
          <cell r="G440">
            <v>1</v>
          </cell>
          <cell r="H440">
            <v>46179</v>
          </cell>
          <cell r="I440">
            <v>0</v>
          </cell>
          <cell r="J440">
            <v>0</v>
          </cell>
          <cell r="K440">
            <v>0</v>
          </cell>
          <cell r="L440">
            <v>2</v>
          </cell>
          <cell r="M440">
            <v>0</v>
          </cell>
          <cell r="N440">
            <v>0</v>
          </cell>
          <cell r="O440">
            <v>0</v>
          </cell>
          <cell r="P440">
            <v>0</v>
          </cell>
        </row>
        <row r="441">
          <cell r="C441">
            <v>160</v>
          </cell>
          <cell r="F441">
            <v>1</v>
          </cell>
          <cell r="G441">
            <v>1</v>
          </cell>
          <cell r="H441">
            <v>46179</v>
          </cell>
          <cell r="I441">
            <v>0</v>
          </cell>
          <cell r="J441">
            <v>0</v>
          </cell>
          <cell r="K441">
            <v>0</v>
          </cell>
          <cell r="L441">
            <v>8</v>
          </cell>
          <cell r="M441">
            <v>0</v>
          </cell>
          <cell r="N441">
            <v>0</v>
          </cell>
          <cell r="O441">
            <v>0</v>
          </cell>
          <cell r="P441">
            <v>0</v>
          </cell>
        </row>
        <row r="442">
          <cell r="C442">
            <v>163</v>
          </cell>
          <cell r="F442">
            <v>1</v>
          </cell>
          <cell r="G442">
            <v>1</v>
          </cell>
          <cell r="H442">
            <v>46179</v>
          </cell>
          <cell r="I442">
            <v>0</v>
          </cell>
          <cell r="J442">
            <v>0</v>
          </cell>
          <cell r="K442">
            <v>0</v>
          </cell>
          <cell r="L442">
            <v>4</v>
          </cell>
          <cell r="M442">
            <v>0</v>
          </cell>
          <cell r="N442">
            <v>0</v>
          </cell>
          <cell r="O442">
            <v>0</v>
          </cell>
          <cell r="P442">
            <v>0</v>
          </cell>
        </row>
        <row r="443">
          <cell r="C443">
            <v>165</v>
          </cell>
          <cell r="F443">
            <v>1</v>
          </cell>
          <cell r="G443">
            <v>1</v>
          </cell>
          <cell r="H443">
            <v>46179</v>
          </cell>
          <cell r="I443">
            <v>0</v>
          </cell>
          <cell r="J443">
            <v>0</v>
          </cell>
          <cell r="K443">
            <v>0</v>
          </cell>
          <cell r="L443">
            <v>2</v>
          </cell>
          <cell r="M443">
            <v>0</v>
          </cell>
          <cell r="N443">
            <v>0</v>
          </cell>
          <cell r="O443">
            <v>0</v>
          </cell>
          <cell r="P443">
            <v>0</v>
          </cell>
        </row>
        <row r="444">
          <cell r="C444">
            <v>167</v>
          </cell>
          <cell r="F444">
            <v>1</v>
          </cell>
          <cell r="G444">
            <v>1</v>
          </cell>
          <cell r="H444">
            <v>46179</v>
          </cell>
          <cell r="I444">
            <v>0</v>
          </cell>
          <cell r="J444">
            <v>0</v>
          </cell>
          <cell r="K444">
            <v>0</v>
          </cell>
          <cell r="L444">
            <v>18</v>
          </cell>
          <cell r="M444">
            <v>0</v>
          </cell>
          <cell r="N444">
            <v>0</v>
          </cell>
          <cell r="O444">
            <v>0</v>
          </cell>
          <cell r="P444">
            <v>0</v>
          </cell>
        </row>
        <row r="445">
          <cell r="C445">
            <v>168</v>
          </cell>
          <cell r="F445">
            <v>1</v>
          </cell>
          <cell r="G445">
            <v>1</v>
          </cell>
          <cell r="H445">
            <v>46179</v>
          </cell>
          <cell r="I445">
            <v>0</v>
          </cell>
          <cell r="J445">
            <v>0</v>
          </cell>
          <cell r="K445">
            <v>0</v>
          </cell>
          <cell r="L445">
            <v>4</v>
          </cell>
          <cell r="M445">
            <v>0</v>
          </cell>
          <cell r="N445">
            <v>0</v>
          </cell>
          <cell r="O445">
            <v>0</v>
          </cell>
          <cell r="P445">
            <v>0</v>
          </cell>
        </row>
        <row r="446">
          <cell r="C446">
            <v>169</v>
          </cell>
          <cell r="F446">
            <v>1</v>
          </cell>
          <cell r="G446">
            <v>1</v>
          </cell>
          <cell r="H446">
            <v>46179</v>
          </cell>
          <cell r="I446">
            <v>0</v>
          </cell>
          <cell r="J446">
            <v>0</v>
          </cell>
          <cell r="K446">
            <v>0</v>
          </cell>
          <cell r="L446">
            <v>32</v>
          </cell>
          <cell r="M446">
            <v>0</v>
          </cell>
          <cell r="N446">
            <v>0</v>
          </cell>
          <cell r="O446">
            <v>0</v>
          </cell>
          <cell r="P446">
            <v>0</v>
          </cell>
        </row>
        <row r="447">
          <cell r="C447">
            <v>170</v>
          </cell>
          <cell r="F447">
            <v>1</v>
          </cell>
          <cell r="G447">
            <v>1</v>
          </cell>
          <cell r="H447">
            <v>46179</v>
          </cell>
          <cell r="I447">
            <v>0</v>
          </cell>
          <cell r="J447">
            <v>0</v>
          </cell>
          <cell r="K447">
            <v>0</v>
          </cell>
          <cell r="L447">
            <v>20</v>
          </cell>
          <cell r="M447">
            <v>0</v>
          </cell>
          <cell r="N447">
            <v>0</v>
          </cell>
          <cell r="O447">
            <v>0</v>
          </cell>
          <cell r="P447">
            <v>0</v>
          </cell>
        </row>
        <row r="448">
          <cell r="C448">
            <v>172</v>
          </cell>
          <cell r="F448">
            <v>1</v>
          </cell>
          <cell r="G448">
            <v>1</v>
          </cell>
          <cell r="H448">
            <v>46179</v>
          </cell>
          <cell r="I448">
            <v>0</v>
          </cell>
          <cell r="J448">
            <v>0</v>
          </cell>
          <cell r="K448">
            <v>0</v>
          </cell>
          <cell r="L448">
            <v>4</v>
          </cell>
          <cell r="M448">
            <v>0</v>
          </cell>
          <cell r="N448">
            <v>0</v>
          </cell>
          <cell r="O448">
            <v>0</v>
          </cell>
          <cell r="P448">
            <v>0</v>
          </cell>
        </row>
        <row r="449">
          <cell r="C449">
            <v>174</v>
          </cell>
          <cell r="F449">
            <v>1</v>
          </cell>
          <cell r="G449">
            <v>1</v>
          </cell>
          <cell r="H449">
            <v>46179</v>
          </cell>
          <cell r="I449">
            <v>0</v>
          </cell>
          <cell r="J449">
            <v>0</v>
          </cell>
          <cell r="K449">
            <v>0</v>
          </cell>
          <cell r="L449">
            <v>4</v>
          </cell>
          <cell r="M449">
            <v>0</v>
          </cell>
          <cell r="N449">
            <v>0</v>
          </cell>
          <cell r="O449">
            <v>0</v>
          </cell>
          <cell r="P449">
            <v>0</v>
          </cell>
        </row>
        <row r="450">
          <cell r="C450">
            <v>181</v>
          </cell>
          <cell r="F450">
            <v>1</v>
          </cell>
          <cell r="G450">
            <v>1</v>
          </cell>
          <cell r="H450">
            <v>46179</v>
          </cell>
          <cell r="I450">
            <v>0</v>
          </cell>
          <cell r="J450">
            <v>0</v>
          </cell>
          <cell r="K450">
            <v>0</v>
          </cell>
          <cell r="L450">
            <v>336</v>
          </cell>
          <cell r="M450">
            <v>0</v>
          </cell>
          <cell r="N450">
            <v>0</v>
          </cell>
          <cell r="O450">
            <v>0</v>
          </cell>
          <cell r="P450">
            <v>0</v>
          </cell>
        </row>
        <row r="451">
          <cell r="C451">
            <v>182</v>
          </cell>
          <cell r="F451">
            <v>1</v>
          </cell>
          <cell r="G451">
            <v>1</v>
          </cell>
          <cell r="H451">
            <v>46179</v>
          </cell>
          <cell r="I451">
            <v>0</v>
          </cell>
          <cell r="J451">
            <v>0</v>
          </cell>
          <cell r="K451">
            <v>0</v>
          </cell>
          <cell r="L451">
            <v>264</v>
          </cell>
          <cell r="M451">
            <v>0</v>
          </cell>
          <cell r="N451">
            <v>0</v>
          </cell>
          <cell r="O451">
            <v>0</v>
          </cell>
          <cell r="P451">
            <v>0</v>
          </cell>
        </row>
        <row r="452">
          <cell r="C452">
            <v>183</v>
          </cell>
          <cell r="F452">
            <v>1</v>
          </cell>
          <cell r="G452">
            <v>1</v>
          </cell>
          <cell r="H452">
            <v>46179</v>
          </cell>
          <cell r="I452">
            <v>0</v>
          </cell>
          <cell r="J452">
            <v>0</v>
          </cell>
          <cell r="K452">
            <v>0</v>
          </cell>
          <cell r="L452">
            <v>840</v>
          </cell>
          <cell r="M452">
            <v>0</v>
          </cell>
          <cell r="N452">
            <v>0</v>
          </cell>
          <cell r="O452">
            <v>0</v>
          </cell>
          <cell r="P452">
            <v>0</v>
          </cell>
        </row>
        <row r="453">
          <cell r="C453">
            <v>184</v>
          </cell>
          <cell r="F453">
            <v>1</v>
          </cell>
          <cell r="G453">
            <v>1</v>
          </cell>
          <cell r="H453">
            <v>46179</v>
          </cell>
          <cell r="I453">
            <v>0</v>
          </cell>
          <cell r="J453">
            <v>0</v>
          </cell>
          <cell r="K453">
            <v>0</v>
          </cell>
          <cell r="L453">
            <v>192</v>
          </cell>
          <cell r="M453">
            <v>0</v>
          </cell>
          <cell r="N453">
            <v>0</v>
          </cell>
          <cell r="O453">
            <v>0</v>
          </cell>
          <cell r="P453">
            <v>0</v>
          </cell>
        </row>
        <row r="454">
          <cell r="C454">
            <v>185</v>
          </cell>
          <cell r="F454">
            <v>1</v>
          </cell>
          <cell r="G454">
            <v>1</v>
          </cell>
          <cell r="H454">
            <v>46179</v>
          </cell>
          <cell r="I454">
            <v>0</v>
          </cell>
          <cell r="J454">
            <v>0</v>
          </cell>
          <cell r="K454">
            <v>0</v>
          </cell>
          <cell r="L454">
            <v>24</v>
          </cell>
          <cell r="M454">
            <v>0</v>
          </cell>
          <cell r="N454">
            <v>0</v>
          </cell>
          <cell r="O454">
            <v>0</v>
          </cell>
          <cell r="P454">
            <v>0</v>
          </cell>
        </row>
        <row r="455">
          <cell r="C455">
            <v>187</v>
          </cell>
          <cell r="F455">
            <v>1</v>
          </cell>
          <cell r="G455">
            <v>1</v>
          </cell>
          <cell r="H455">
            <v>46179</v>
          </cell>
          <cell r="I455">
            <v>0</v>
          </cell>
          <cell r="J455">
            <v>0</v>
          </cell>
          <cell r="K455">
            <v>0</v>
          </cell>
          <cell r="L455">
            <v>128</v>
          </cell>
          <cell r="M455">
            <v>0</v>
          </cell>
          <cell r="N455">
            <v>0</v>
          </cell>
          <cell r="O455">
            <v>0</v>
          </cell>
          <cell r="P455">
            <v>0</v>
          </cell>
        </row>
        <row r="456">
          <cell r="C456">
            <v>189</v>
          </cell>
          <cell r="F456">
            <v>1</v>
          </cell>
          <cell r="G456">
            <v>1</v>
          </cell>
          <cell r="H456">
            <v>46179</v>
          </cell>
          <cell r="I456">
            <v>0</v>
          </cell>
          <cell r="J456">
            <v>0</v>
          </cell>
          <cell r="K456">
            <v>0</v>
          </cell>
          <cell r="L456">
            <v>128</v>
          </cell>
          <cell r="M456">
            <v>0</v>
          </cell>
          <cell r="N456">
            <v>0</v>
          </cell>
          <cell r="O456">
            <v>0</v>
          </cell>
          <cell r="P456">
            <v>0</v>
          </cell>
        </row>
        <row r="457">
          <cell r="C457">
            <v>192</v>
          </cell>
          <cell r="F457">
            <v>1</v>
          </cell>
          <cell r="G457">
            <v>1</v>
          </cell>
          <cell r="H457">
            <v>46179</v>
          </cell>
          <cell r="I457">
            <v>0</v>
          </cell>
          <cell r="J457">
            <v>0</v>
          </cell>
          <cell r="K457">
            <v>0</v>
          </cell>
          <cell r="L457">
            <v>8</v>
          </cell>
          <cell r="M457">
            <v>0</v>
          </cell>
          <cell r="N457">
            <v>0</v>
          </cell>
          <cell r="O457">
            <v>0</v>
          </cell>
          <cell r="P457">
            <v>0</v>
          </cell>
        </row>
        <row r="458">
          <cell r="C458">
            <v>195</v>
          </cell>
          <cell r="F458">
            <v>1</v>
          </cell>
          <cell r="G458">
            <v>1</v>
          </cell>
          <cell r="H458">
            <v>46179</v>
          </cell>
          <cell r="I458">
            <v>0</v>
          </cell>
          <cell r="J458">
            <v>0</v>
          </cell>
          <cell r="K458">
            <v>0</v>
          </cell>
          <cell r="L458">
            <v>40</v>
          </cell>
          <cell r="M458">
            <v>0</v>
          </cell>
          <cell r="N458">
            <v>0</v>
          </cell>
          <cell r="O458">
            <v>0</v>
          </cell>
          <cell r="P458">
            <v>0</v>
          </cell>
        </row>
        <row r="459">
          <cell r="C459">
            <v>198</v>
          </cell>
          <cell r="F459">
            <v>1</v>
          </cell>
          <cell r="G459">
            <v>1</v>
          </cell>
          <cell r="H459">
            <v>46179</v>
          </cell>
          <cell r="I459">
            <v>0</v>
          </cell>
          <cell r="J459">
            <v>0</v>
          </cell>
          <cell r="K459">
            <v>0</v>
          </cell>
          <cell r="L459">
            <v>32</v>
          </cell>
          <cell r="M459">
            <v>0</v>
          </cell>
          <cell r="N459">
            <v>0</v>
          </cell>
          <cell r="O459">
            <v>0</v>
          </cell>
          <cell r="P459">
            <v>0</v>
          </cell>
        </row>
        <row r="460">
          <cell r="C460">
            <v>1</v>
          </cell>
          <cell r="F460">
            <v>1</v>
          </cell>
          <cell r="G460">
            <v>1</v>
          </cell>
          <cell r="H460">
            <v>46204</v>
          </cell>
          <cell r="I460">
            <v>-2</v>
          </cell>
          <cell r="J460">
            <v>0</v>
          </cell>
          <cell r="K460">
            <v>0</v>
          </cell>
          <cell r="L460">
            <v>0</v>
          </cell>
          <cell r="M460">
            <v>0</v>
          </cell>
          <cell r="N460">
            <v>0</v>
          </cell>
          <cell r="O460">
            <v>0</v>
          </cell>
          <cell r="P460">
            <v>0</v>
          </cell>
        </row>
        <row r="461">
          <cell r="C461">
            <v>2</v>
          </cell>
          <cell r="F461">
            <v>1</v>
          </cell>
          <cell r="G461">
            <v>1</v>
          </cell>
          <cell r="H461">
            <v>46204</v>
          </cell>
          <cell r="I461">
            <v>-3</v>
          </cell>
          <cell r="J461">
            <v>0</v>
          </cell>
          <cell r="K461">
            <v>0</v>
          </cell>
          <cell r="L461">
            <v>0</v>
          </cell>
          <cell r="M461">
            <v>0</v>
          </cell>
          <cell r="N461">
            <v>0</v>
          </cell>
          <cell r="O461">
            <v>0</v>
          </cell>
          <cell r="P461">
            <v>0</v>
          </cell>
        </row>
        <row r="462">
          <cell r="C462">
            <v>3</v>
          </cell>
          <cell r="F462">
            <v>1</v>
          </cell>
          <cell r="G462">
            <v>1</v>
          </cell>
          <cell r="H462">
            <v>46204</v>
          </cell>
          <cell r="I462">
            <v>0</v>
          </cell>
          <cell r="J462">
            <v>0</v>
          </cell>
          <cell r="K462">
            <v>0</v>
          </cell>
          <cell r="L462">
            <v>0</v>
          </cell>
          <cell r="M462">
            <v>0</v>
          </cell>
          <cell r="N462">
            <v>0</v>
          </cell>
          <cell r="O462">
            <v>0</v>
          </cell>
          <cell r="P462">
            <v>0</v>
          </cell>
        </row>
        <row r="463">
          <cell r="C463">
            <v>4</v>
          </cell>
          <cell r="F463">
            <v>1</v>
          </cell>
          <cell r="G463">
            <v>1</v>
          </cell>
          <cell r="H463">
            <v>46204</v>
          </cell>
          <cell r="I463">
            <v>-4</v>
          </cell>
          <cell r="J463">
            <v>0</v>
          </cell>
          <cell r="K463">
            <v>0</v>
          </cell>
          <cell r="L463">
            <v>0</v>
          </cell>
          <cell r="M463">
            <v>0</v>
          </cell>
          <cell r="N463">
            <v>0</v>
          </cell>
          <cell r="O463">
            <v>0</v>
          </cell>
          <cell r="P463">
            <v>0</v>
          </cell>
        </row>
        <row r="464">
          <cell r="C464">
            <v>5</v>
          </cell>
          <cell r="F464">
            <v>1</v>
          </cell>
          <cell r="G464">
            <v>1</v>
          </cell>
          <cell r="H464">
            <v>46204</v>
          </cell>
          <cell r="I464">
            <v>-5</v>
          </cell>
          <cell r="J464">
            <v>0</v>
          </cell>
          <cell r="K464">
            <v>0</v>
          </cell>
          <cell r="L464">
            <v>0</v>
          </cell>
          <cell r="M464">
            <v>0</v>
          </cell>
          <cell r="N464">
            <v>0</v>
          </cell>
          <cell r="O464">
            <v>0</v>
          </cell>
          <cell r="P464">
            <v>0</v>
          </cell>
        </row>
        <row r="465">
          <cell r="C465">
            <v>6</v>
          </cell>
          <cell r="F465">
            <v>1</v>
          </cell>
          <cell r="G465">
            <v>1</v>
          </cell>
          <cell r="H465">
            <v>46204</v>
          </cell>
          <cell r="I465">
            <v>-10</v>
          </cell>
          <cell r="J465">
            <v>0</v>
          </cell>
          <cell r="K465">
            <v>0</v>
          </cell>
          <cell r="L465">
            <v>0</v>
          </cell>
          <cell r="M465">
            <v>0</v>
          </cell>
          <cell r="N465">
            <v>0</v>
          </cell>
          <cell r="O465">
            <v>0</v>
          </cell>
          <cell r="P465">
            <v>0</v>
          </cell>
        </row>
        <row r="466">
          <cell r="C466">
            <v>7</v>
          </cell>
          <cell r="F466">
            <v>1</v>
          </cell>
          <cell r="G466">
            <v>1</v>
          </cell>
          <cell r="H466">
            <v>46204</v>
          </cell>
          <cell r="I466">
            <v>-9</v>
          </cell>
          <cell r="J466">
            <v>0</v>
          </cell>
          <cell r="K466">
            <v>0</v>
          </cell>
          <cell r="L466">
            <v>0</v>
          </cell>
          <cell r="M466">
            <v>0</v>
          </cell>
          <cell r="N466">
            <v>0</v>
          </cell>
          <cell r="O466">
            <v>0</v>
          </cell>
          <cell r="P466">
            <v>0</v>
          </cell>
        </row>
        <row r="467">
          <cell r="C467">
            <v>8</v>
          </cell>
          <cell r="F467">
            <v>1</v>
          </cell>
          <cell r="G467">
            <v>1</v>
          </cell>
          <cell r="H467">
            <v>46204</v>
          </cell>
          <cell r="I467">
            <v>-7</v>
          </cell>
          <cell r="J467">
            <v>0</v>
          </cell>
          <cell r="K467">
            <v>0</v>
          </cell>
          <cell r="L467">
            <v>0</v>
          </cell>
          <cell r="M467">
            <v>0</v>
          </cell>
          <cell r="N467">
            <v>0</v>
          </cell>
          <cell r="O467">
            <v>0</v>
          </cell>
          <cell r="P467">
            <v>0</v>
          </cell>
        </row>
        <row r="468">
          <cell r="C468">
            <v>9</v>
          </cell>
          <cell r="F468">
            <v>1</v>
          </cell>
          <cell r="G468">
            <v>1</v>
          </cell>
          <cell r="H468">
            <v>46204</v>
          </cell>
          <cell r="I468">
            <v>-18</v>
          </cell>
          <cell r="J468">
            <v>0</v>
          </cell>
          <cell r="K468">
            <v>0</v>
          </cell>
          <cell r="L468">
            <v>0</v>
          </cell>
          <cell r="M468">
            <v>0</v>
          </cell>
          <cell r="N468">
            <v>0</v>
          </cell>
          <cell r="O468">
            <v>0</v>
          </cell>
          <cell r="P468">
            <v>0</v>
          </cell>
        </row>
        <row r="469">
          <cell r="C469">
            <v>10</v>
          </cell>
          <cell r="F469">
            <v>1</v>
          </cell>
          <cell r="G469">
            <v>1</v>
          </cell>
          <cell r="H469">
            <v>46204</v>
          </cell>
          <cell r="I469">
            <v>-5</v>
          </cell>
          <cell r="J469">
            <v>0</v>
          </cell>
          <cell r="K469">
            <v>0</v>
          </cell>
          <cell r="L469">
            <v>0</v>
          </cell>
          <cell r="M469">
            <v>0</v>
          </cell>
          <cell r="N469">
            <v>0</v>
          </cell>
          <cell r="O469">
            <v>0</v>
          </cell>
          <cell r="P469">
            <v>0</v>
          </cell>
        </row>
        <row r="470">
          <cell r="C470">
            <v>11</v>
          </cell>
          <cell r="F470">
            <v>1</v>
          </cell>
          <cell r="G470">
            <v>1</v>
          </cell>
          <cell r="H470">
            <v>46204</v>
          </cell>
          <cell r="I470">
            <v>5</v>
          </cell>
          <cell r="J470">
            <v>0</v>
          </cell>
          <cell r="K470">
            <v>0</v>
          </cell>
          <cell r="L470">
            <v>0</v>
          </cell>
          <cell r="M470">
            <v>0</v>
          </cell>
          <cell r="N470">
            <v>0</v>
          </cell>
          <cell r="O470">
            <v>0</v>
          </cell>
          <cell r="P470">
            <v>0</v>
          </cell>
        </row>
        <row r="471">
          <cell r="C471">
            <v>12</v>
          </cell>
          <cell r="F471">
            <v>1</v>
          </cell>
          <cell r="G471">
            <v>1</v>
          </cell>
          <cell r="H471">
            <v>46204</v>
          </cell>
          <cell r="I471">
            <v>0</v>
          </cell>
          <cell r="J471">
            <v>0</v>
          </cell>
          <cell r="K471">
            <v>0</v>
          </cell>
          <cell r="L471">
            <v>0</v>
          </cell>
          <cell r="M471">
            <v>0</v>
          </cell>
          <cell r="N471">
            <v>0</v>
          </cell>
          <cell r="O471">
            <v>0</v>
          </cell>
          <cell r="P471">
            <v>0</v>
          </cell>
        </row>
        <row r="472">
          <cell r="C472">
            <v>13</v>
          </cell>
          <cell r="F472">
            <v>1</v>
          </cell>
          <cell r="G472">
            <v>1</v>
          </cell>
          <cell r="H472">
            <v>46204</v>
          </cell>
          <cell r="I472">
            <v>-7</v>
          </cell>
          <cell r="J472">
            <v>0</v>
          </cell>
          <cell r="K472">
            <v>0</v>
          </cell>
          <cell r="L472">
            <v>0</v>
          </cell>
          <cell r="M472">
            <v>0</v>
          </cell>
          <cell r="N472">
            <v>0</v>
          </cell>
          <cell r="O472">
            <v>0</v>
          </cell>
          <cell r="P472">
            <v>0</v>
          </cell>
        </row>
        <row r="473">
          <cell r="C473">
            <v>14</v>
          </cell>
          <cell r="F473">
            <v>1</v>
          </cell>
          <cell r="G473">
            <v>1</v>
          </cell>
          <cell r="H473">
            <v>46204</v>
          </cell>
          <cell r="I473">
            <v>23</v>
          </cell>
          <cell r="J473">
            <v>0</v>
          </cell>
          <cell r="K473">
            <v>0</v>
          </cell>
          <cell r="L473">
            <v>0</v>
          </cell>
          <cell r="M473">
            <v>0</v>
          </cell>
          <cell r="N473">
            <v>0</v>
          </cell>
          <cell r="O473">
            <v>0</v>
          </cell>
          <cell r="P473">
            <v>0</v>
          </cell>
        </row>
        <row r="474">
          <cell r="C474">
            <v>15</v>
          </cell>
          <cell r="F474">
            <v>1</v>
          </cell>
          <cell r="G474">
            <v>1</v>
          </cell>
          <cell r="H474">
            <v>46204</v>
          </cell>
          <cell r="I474">
            <v>0</v>
          </cell>
          <cell r="J474">
            <v>0</v>
          </cell>
          <cell r="K474">
            <v>0</v>
          </cell>
          <cell r="L474">
            <v>0</v>
          </cell>
          <cell r="M474">
            <v>0</v>
          </cell>
          <cell r="N474">
            <v>0</v>
          </cell>
          <cell r="O474">
            <v>0</v>
          </cell>
          <cell r="P474">
            <v>0</v>
          </cell>
        </row>
        <row r="475">
          <cell r="C475">
            <v>16</v>
          </cell>
          <cell r="F475">
            <v>1</v>
          </cell>
          <cell r="G475">
            <v>1</v>
          </cell>
          <cell r="H475">
            <v>46204</v>
          </cell>
          <cell r="I475">
            <v>-15</v>
          </cell>
          <cell r="J475">
            <v>0</v>
          </cell>
          <cell r="K475">
            <v>0</v>
          </cell>
          <cell r="L475">
            <v>0</v>
          </cell>
          <cell r="M475">
            <v>0</v>
          </cell>
          <cell r="N475">
            <v>0</v>
          </cell>
          <cell r="O475">
            <v>0</v>
          </cell>
          <cell r="P475">
            <v>0</v>
          </cell>
        </row>
        <row r="476">
          <cell r="C476">
            <v>17</v>
          </cell>
          <cell r="F476">
            <v>1</v>
          </cell>
          <cell r="G476">
            <v>1</v>
          </cell>
          <cell r="H476">
            <v>46204</v>
          </cell>
          <cell r="I476">
            <v>-15</v>
          </cell>
          <cell r="J476">
            <v>0</v>
          </cell>
          <cell r="K476">
            <v>0</v>
          </cell>
          <cell r="L476">
            <v>0</v>
          </cell>
          <cell r="M476">
            <v>0</v>
          </cell>
          <cell r="N476">
            <v>0</v>
          </cell>
          <cell r="O476">
            <v>0</v>
          </cell>
          <cell r="P476">
            <v>0</v>
          </cell>
        </row>
        <row r="477">
          <cell r="C477">
            <v>18</v>
          </cell>
          <cell r="F477">
            <v>1</v>
          </cell>
          <cell r="G477">
            <v>1</v>
          </cell>
          <cell r="H477">
            <v>46204</v>
          </cell>
          <cell r="I477">
            <v>3</v>
          </cell>
          <cell r="J477">
            <v>0</v>
          </cell>
          <cell r="K477">
            <v>0</v>
          </cell>
          <cell r="L477">
            <v>0</v>
          </cell>
          <cell r="M477">
            <v>0</v>
          </cell>
          <cell r="N477">
            <v>0</v>
          </cell>
          <cell r="O477">
            <v>0</v>
          </cell>
          <cell r="P477">
            <v>0</v>
          </cell>
        </row>
        <row r="478">
          <cell r="C478">
            <v>19</v>
          </cell>
          <cell r="F478">
            <v>1</v>
          </cell>
          <cell r="G478">
            <v>1</v>
          </cell>
          <cell r="H478">
            <v>46204</v>
          </cell>
          <cell r="I478">
            <v>23</v>
          </cell>
          <cell r="J478">
            <v>0</v>
          </cell>
          <cell r="K478">
            <v>0</v>
          </cell>
          <cell r="L478">
            <v>0</v>
          </cell>
          <cell r="M478">
            <v>0</v>
          </cell>
          <cell r="N478">
            <v>0</v>
          </cell>
          <cell r="O478">
            <v>0</v>
          </cell>
          <cell r="P478">
            <v>0</v>
          </cell>
        </row>
        <row r="479">
          <cell r="C479">
            <v>20</v>
          </cell>
          <cell r="F479">
            <v>1</v>
          </cell>
          <cell r="G479">
            <v>1</v>
          </cell>
          <cell r="H479">
            <v>46204</v>
          </cell>
          <cell r="I479">
            <v>-7</v>
          </cell>
          <cell r="J479">
            <v>0</v>
          </cell>
          <cell r="K479">
            <v>0</v>
          </cell>
          <cell r="L479">
            <v>0</v>
          </cell>
          <cell r="M479">
            <v>0</v>
          </cell>
          <cell r="N479">
            <v>0</v>
          </cell>
          <cell r="O479">
            <v>0</v>
          </cell>
          <cell r="P479">
            <v>0</v>
          </cell>
        </row>
        <row r="480">
          <cell r="C480">
            <v>21</v>
          </cell>
          <cell r="F480">
            <v>1</v>
          </cell>
          <cell r="G480">
            <v>1</v>
          </cell>
          <cell r="H480">
            <v>46204</v>
          </cell>
          <cell r="I480">
            <v>0</v>
          </cell>
          <cell r="J480">
            <v>0</v>
          </cell>
          <cell r="K480">
            <v>0</v>
          </cell>
          <cell r="L480">
            <v>0</v>
          </cell>
          <cell r="M480">
            <v>0</v>
          </cell>
          <cell r="N480">
            <v>0</v>
          </cell>
          <cell r="O480">
            <v>0</v>
          </cell>
          <cell r="P480">
            <v>0</v>
          </cell>
        </row>
        <row r="481">
          <cell r="C481">
            <v>22</v>
          </cell>
          <cell r="F481">
            <v>1</v>
          </cell>
          <cell r="G481">
            <v>1</v>
          </cell>
          <cell r="H481">
            <v>46204</v>
          </cell>
          <cell r="I481">
            <v>2</v>
          </cell>
          <cell r="J481">
            <v>0</v>
          </cell>
          <cell r="K481">
            <v>0</v>
          </cell>
          <cell r="L481">
            <v>0</v>
          </cell>
          <cell r="M481">
            <v>0</v>
          </cell>
          <cell r="N481">
            <v>0</v>
          </cell>
          <cell r="O481">
            <v>0</v>
          </cell>
          <cell r="P481">
            <v>0</v>
          </cell>
        </row>
        <row r="482">
          <cell r="C482">
            <v>23</v>
          </cell>
          <cell r="F482">
            <v>1</v>
          </cell>
          <cell r="G482">
            <v>1</v>
          </cell>
          <cell r="H482">
            <v>46204</v>
          </cell>
          <cell r="I482">
            <v>0</v>
          </cell>
          <cell r="J482">
            <v>0</v>
          </cell>
          <cell r="K482">
            <v>0</v>
          </cell>
          <cell r="L482">
            <v>0</v>
          </cell>
          <cell r="M482">
            <v>0</v>
          </cell>
          <cell r="N482">
            <v>0</v>
          </cell>
          <cell r="O482">
            <v>0</v>
          </cell>
          <cell r="P482">
            <v>0</v>
          </cell>
        </row>
        <row r="483">
          <cell r="C483">
            <v>24</v>
          </cell>
          <cell r="F483">
            <v>1</v>
          </cell>
          <cell r="G483">
            <v>1</v>
          </cell>
          <cell r="H483">
            <v>46204</v>
          </cell>
          <cell r="I483">
            <v>0</v>
          </cell>
          <cell r="J483">
            <v>0</v>
          </cell>
          <cell r="K483">
            <v>0</v>
          </cell>
          <cell r="L483">
            <v>0</v>
          </cell>
          <cell r="M483">
            <v>0</v>
          </cell>
          <cell r="N483">
            <v>0</v>
          </cell>
          <cell r="O483">
            <v>0</v>
          </cell>
          <cell r="P483">
            <v>0</v>
          </cell>
        </row>
        <row r="484">
          <cell r="C484">
            <v>25</v>
          </cell>
          <cell r="F484">
            <v>1</v>
          </cell>
          <cell r="G484">
            <v>1</v>
          </cell>
          <cell r="H484">
            <v>46204</v>
          </cell>
          <cell r="I484">
            <v>-1</v>
          </cell>
          <cell r="J484">
            <v>0</v>
          </cell>
          <cell r="K484">
            <v>0</v>
          </cell>
          <cell r="L484">
            <v>0</v>
          </cell>
          <cell r="M484">
            <v>0</v>
          </cell>
          <cell r="N484">
            <v>0</v>
          </cell>
          <cell r="O484">
            <v>0</v>
          </cell>
          <cell r="P484">
            <v>0</v>
          </cell>
        </row>
        <row r="485">
          <cell r="C485">
            <v>1</v>
          </cell>
          <cell r="F485">
            <v>1</v>
          </cell>
          <cell r="G485">
            <v>1</v>
          </cell>
          <cell r="H485">
            <v>46204</v>
          </cell>
          <cell r="I485">
            <v>8</v>
          </cell>
          <cell r="J485">
            <v>0</v>
          </cell>
          <cell r="K485">
            <v>0</v>
          </cell>
          <cell r="L485">
            <v>0</v>
          </cell>
          <cell r="M485">
            <v>0</v>
          </cell>
          <cell r="N485">
            <v>0</v>
          </cell>
          <cell r="O485">
            <v>0</v>
          </cell>
          <cell r="P485">
            <v>0</v>
          </cell>
        </row>
        <row r="486">
          <cell r="C486">
            <v>2</v>
          </cell>
          <cell r="F486">
            <v>1</v>
          </cell>
          <cell r="G486">
            <v>1</v>
          </cell>
          <cell r="H486">
            <v>46204</v>
          </cell>
          <cell r="I486">
            <v>12</v>
          </cell>
          <cell r="J486">
            <v>0</v>
          </cell>
          <cell r="K486">
            <v>0</v>
          </cell>
          <cell r="L486">
            <v>0</v>
          </cell>
          <cell r="M486">
            <v>0</v>
          </cell>
          <cell r="N486">
            <v>0</v>
          </cell>
          <cell r="O486">
            <v>0</v>
          </cell>
          <cell r="P486">
            <v>0</v>
          </cell>
        </row>
        <row r="487">
          <cell r="C487">
            <v>3</v>
          </cell>
          <cell r="F487">
            <v>1</v>
          </cell>
          <cell r="G487">
            <v>1</v>
          </cell>
          <cell r="H487">
            <v>46204</v>
          </cell>
          <cell r="I487">
            <v>0</v>
          </cell>
          <cell r="J487">
            <v>0</v>
          </cell>
          <cell r="K487">
            <v>0</v>
          </cell>
          <cell r="L487">
            <v>0</v>
          </cell>
          <cell r="M487">
            <v>0</v>
          </cell>
          <cell r="N487">
            <v>0</v>
          </cell>
          <cell r="O487">
            <v>0</v>
          </cell>
          <cell r="P487">
            <v>0</v>
          </cell>
        </row>
        <row r="488">
          <cell r="C488">
            <v>4</v>
          </cell>
          <cell r="F488">
            <v>1</v>
          </cell>
          <cell r="G488">
            <v>1</v>
          </cell>
          <cell r="H488">
            <v>46204</v>
          </cell>
          <cell r="I488">
            <v>16</v>
          </cell>
          <cell r="J488">
            <v>0</v>
          </cell>
          <cell r="K488">
            <v>0</v>
          </cell>
          <cell r="L488">
            <v>0</v>
          </cell>
          <cell r="M488">
            <v>0</v>
          </cell>
          <cell r="N488">
            <v>0</v>
          </cell>
          <cell r="O488">
            <v>0</v>
          </cell>
          <cell r="P488">
            <v>0</v>
          </cell>
        </row>
        <row r="489">
          <cell r="C489">
            <v>5</v>
          </cell>
          <cell r="F489">
            <v>1</v>
          </cell>
          <cell r="G489">
            <v>1</v>
          </cell>
          <cell r="H489">
            <v>46204</v>
          </cell>
          <cell r="I489">
            <v>20</v>
          </cell>
          <cell r="J489">
            <v>0</v>
          </cell>
          <cell r="K489">
            <v>0</v>
          </cell>
          <cell r="L489">
            <v>0</v>
          </cell>
          <cell r="M489">
            <v>0</v>
          </cell>
          <cell r="N489">
            <v>0</v>
          </cell>
          <cell r="O489">
            <v>0</v>
          </cell>
          <cell r="P489">
            <v>0</v>
          </cell>
        </row>
        <row r="490">
          <cell r="C490">
            <v>6</v>
          </cell>
          <cell r="F490">
            <v>1</v>
          </cell>
          <cell r="G490">
            <v>1</v>
          </cell>
          <cell r="H490">
            <v>46204</v>
          </cell>
          <cell r="I490">
            <v>40</v>
          </cell>
          <cell r="J490">
            <v>0</v>
          </cell>
          <cell r="K490">
            <v>0</v>
          </cell>
          <cell r="L490">
            <v>0</v>
          </cell>
          <cell r="M490">
            <v>0</v>
          </cell>
          <cell r="N490">
            <v>0</v>
          </cell>
          <cell r="O490">
            <v>0</v>
          </cell>
          <cell r="P490">
            <v>0</v>
          </cell>
        </row>
        <row r="491">
          <cell r="C491">
            <v>7</v>
          </cell>
          <cell r="F491">
            <v>1</v>
          </cell>
          <cell r="G491">
            <v>1</v>
          </cell>
          <cell r="H491">
            <v>46204</v>
          </cell>
          <cell r="I491">
            <v>36</v>
          </cell>
          <cell r="J491">
            <v>0</v>
          </cell>
          <cell r="K491">
            <v>0</v>
          </cell>
          <cell r="L491">
            <v>0</v>
          </cell>
          <cell r="M491">
            <v>0</v>
          </cell>
          <cell r="N491">
            <v>0</v>
          </cell>
          <cell r="O491">
            <v>0</v>
          </cell>
          <cell r="P491">
            <v>0</v>
          </cell>
        </row>
        <row r="492">
          <cell r="C492">
            <v>8</v>
          </cell>
          <cell r="F492">
            <v>1</v>
          </cell>
          <cell r="G492">
            <v>1</v>
          </cell>
          <cell r="H492">
            <v>46204</v>
          </cell>
          <cell r="I492">
            <v>28</v>
          </cell>
          <cell r="J492">
            <v>0</v>
          </cell>
          <cell r="K492">
            <v>0</v>
          </cell>
          <cell r="L492">
            <v>0</v>
          </cell>
          <cell r="M492">
            <v>0</v>
          </cell>
          <cell r="N492">
            <v>0</v>
          </cell>
          <cell r="O492">
            <v>0</v>
          </cell>
          <cell r="P492">
            <v>0</v>
          </cell>
        </row>
        <row r="493">
          <cell r="C493">
            <v>9</v>
          </cell>
          <cell r="F493">
            <v>1</v>
          </cell>
          <cell r="G493">
            <v>1</v>
          </cell>
          <cell r="H493">
            <v>46204</v>
          </cell>
          <cell r="I493">
            <v>72</v>
          </cell>
          <cell r="J493">
            <v>0</v>
          </cell>
          <cell r="K493">
            <v>0</v>
          </cell>
          <cell r="L493">
            <v>0</v>
          </cell>
          <cell r="M493">
            <v>0</v>
          </cell>
          <cell r="N493">
            <v>0</v>
          </cell>
          <cell r="O493">
            <v>0</v>
          </cell>
          <cell r="P493">
            <v>0</v>
          </cell>
        </row>
        <row r="494">
          <cell r="C494">
            <v>10</v>
          </cell>
          <cell r="F494">
            <v>1</v>
          </cell>
          <cell r="G494">
            <v>1</v>
          </cell>
          <cell r="H494">
            <v>46204</v>
          </cell>
          <cell r="I494">
            <v>20</v>
          </cell>
          <cell r="J494">
            <v>0</v>
          </cell>
          <cell r="K494">
            <v>0</v>
          </cell>
          <cell r="L494">
            <v>0</v>
          </cell>
          <cell r="M494">
            <v>0</v>
          </cell>
          <cell r="N494">
            <v>0</v>
          </cell>
          <cell r="O494">
            <v>0</v>
          </cell>
          <cell r="P494">
            <v>0</v>
          </cell>
        </row>
        <row r="495">
          <cell r="C495">
            <v>11</v>
          </cell>
          <cell r="F495">
            <v>1</v>
          </cell>
          <cell r="G495">
            <v>1</v>
          </cell>
          <cell r="H495">
            <v>46204</v>
          </cell>
          <cell r="I495">
            <v>12</v>
          </cell>
          <cell r="J495">
            <v>0</v>
          </cell>
          <cell r="K495">
            <v>0</v>
          </cell>
          <cell r="L495">
            <v>0</v>
          </cell>
          <cell r="M495">
            <v>0</v>
          </cell>
          <cell r="N495">
            <v>0</v>
          </cell>
          <cell r="O495">
            <v>0</v>
          </cell>
          <cell r="P495">
            <v>0</v>
          </cell>
        </row>
        <row r="496">
          <cell r="C496">
            <v>12</v>
          </cell>
          <cell r="F496">
            <v>1</v>
          </cell>
          <cell r="G496">
            <v>1</v>
          </cell>
          <cell r="H496">
            <v>46204</v>
          </cell>
          <cell r="I496">
            <v>0</v>
          </cell>
          <cell r="J496">
            <v>0</v>
          </cell>
          <cell r="K496">
            <v>0</v>
          </cell>
          <cell r="L496">
            <v>0</v>
          </cell>
          <cell r="M496">
            <v>0</v>
          </cell>
          <cell r="N496">
            <v>0</v>
          </cell>
          <cell r="O496">
            <v>0</v>
          </cell>
          <cell r="P496">
            <v>0</v>
          </cell>
        </row>
        <row r="497">
          <cell r="C497">
            <v>13</v>
          </cell>
          <cell r="F497">
            <v>1</v>
          </cell>
          <cell r="G497">
            <v>1</v>
          </cell>
          <cell r="H497">
            <v>46204</v>
          </cell>
          <cell r="I497">
            <v>28</v>
          </cell>
          <cell r="J497">
            <v>0</v>
          </cell>
          <cell r="K497">
            <v>0</v>
          </cell>
          <cell r="L497">
            <v>0</v>
          </cell>
          <cell r="M497">
            <v>0</v>
          </cell>
          <cell r="N497">
            <v>0</v>
          </cell>
          <cell r="O497">
            <v>0</v>
          </cell>
          <cell r="P497">
            <v>0</v>
          </cell>
        </row>
        <row r="498">
          <cell r="C498">
            <v>14</v>
          </cell>
          <cell r="F498">
            <v>1</v>
          </cell>
          <cell r="G498">
            <v>1</v>
          </cell>
          <cell r="H498">
            <v>46204</v>
          </cell>
          <cell r="I498">
            <v>4</v>
          </cell>
          <cell r="J498">
            <v>0</v>
          </cell>
          <cell r="K498">
            <v>0</v>
          </cell>
          <cell r="L498">
            <v>0</v>
          </cell>
          <cell r="M498">
            <v>0</v>
          </cell>
          <cell r="N498">
            <v>0</v>
          </cell>
          <cell r="O498">
            <v>0</v>
          </cell>
          <cell r="P498">
            <v>0</v>
          </cell>
        </row>
        <row r="499">
          <cell r="C499">
            <v>15</v>
          </cell>
          <cell r="F499">
            <v>1</v>
          </cell>
          <cell r="G499">
            <v>1</v>
          </cell>
          <cell r="H499">
            <v>46204</v>
          </cell>
          <cell r="I499">
            <v>0</v>
          </cell>
          <cell r="J499">
            <v>0</v>
          </cell>
          <cell r="K499">
            <v>0</v>
          </cell>
          <cell r="L499">
            <v>0</v>
          </cell>
          <cell r="M499">
            <v>0</v>
          </cell>
          <cell r="N499">
            <v>0</v>
          </cell>
          <cell r="O499">
            <v>0</v>
          </cell>
          <cell r="P499">
            <v>0</v>
          </cell>
        </row>
        <row r="500">
          <cell r="C500">
            <v>16</v>
          </cell>
          <cell r="F500">
            <v>1</v>
          </cell>
          <cell r="G500">
            <v>1</v>
          </cell>
          <cell r="H500">
            <v>46204</v>
          </cell>
          <cell r="I500">
            <v>60</v>
          </cell>
          <cell r="J500">
            <v>0</v>
          </cell>
          <cell r="K500">
            <v>0</v>
          </cell>
          <cell r="L500">
            <v>0</v>
          </cell>
          <cell r="M500">
            <v>0</v>
          </cell>
          <cell r="N500">
            <v>0</v>
          </cell>
          <cell r="O500">
            <v>0</v>
          </cell>
          <cell r="P500">
            <v>0</v>
          </cell>
        </row>
        <row r="501">
          <cell r="C501">
            <v>17</v>
          </cell>
          <cell r="F501">
            <v>1</v>
          </cell>
          <cell r="G501">
            <v>1</v>
          </cell>
          <cell r="H501">
            <v>46204</v>
          </cell>
          <cell r="I501">
            <v>60</v>
          </cell>
          <cell r="J501">
            <v>0</v>
          </cell>
          <cell r="K501">
            <v>0</v>
          </cell>
          <cell r="L501">
            <v>0</v>
          </cell>
          <cell r="M501">
            <v>0</v>
          </cell>
          <cell r="N501">
            <v>0</v>
          </cell>
          <cell r="O501">
            <v>0</v>
          </cell>
          <cell r="P501">
            <v>0</v>
          </cell>
        </row>
        <row r="502">
          <cell r="C502">
            <v>18</v>
          </cell>
          <cell r="F502">
            <v>1</v>
          </cell>
          <cell r="G502">
            <v>1</v>
          </cell>
          <cell r="H502">
            <v>46204</v>
          </cell>
          <cell r="I502">
            <v>4</v>
          </cell>
          <cell r="J502">
            <v>0</v>
          </cell>
          <cell r="K502">
            <v>0</v>
          </cell>
          <cell r="L502">
            <v>0</v>
          </cell>
          <cell r="M502">
            <v>0</v>
          </cell>
          <cell r="N502">
            <v>0</v>
          </cell>
          <cell r="O502">
            <v>0</v>
          </cell>
          <cell r="P502">
            <v>0</v>
          </cell>
        </row>
        <row r="503">
          <cell r="C503">
            <v>19</v>
          </cell>
          <cell r="F503">
            <v>1</v>
          </cell>
          <cell r="G503">
            <v>1</v>
          </cell>
          <cell r="H503">
            <v>46204</v>
          </cell>
          <cell r="I503">
            <v>4</v>
          </cell>
          <cell r="J503">
            <v>0</v>
          </cell>
          <cell r="K503">
            <v>0</v>
          </cell>
          <cell r="L503">
            <v>0</v>
          </cell>
          <cell r="M503">
            <v>0</v>
          </cell>
          <cell r="N503">
            <v>0</v>
          </cell>
          <cell r="O503">
            <v>0</v>
          </cell>
          <cell r="P503">
            <v>0</v>
          </cell>
        </row>
        <row r="504">
          <cell r="C504">
            <v>20</v>
          </cell>
          <cell r="F504">
            <v>1</v>
          </cell>
          <cell r="G504">
            <v>1</v>
          </cell>
          <cell r="H504">
            <v>46204</v>
          </cell>
          <cell r="I504">
            <v>28</v>
          </cell>
          <cell r="J504">
            <v>0</v>
          </cell>
          <cell r="K504">
            <v>0</v>
          </cell>
          <cell r="L504">
            <v>0</v>
          </cell>
          <cell r="M504">
            <v>0</v>
          </cell>
          <cell r="N504">
            <v>0</v>
          </cell>
          <cell r="O504">
            <v>0</v>
          </cell>
          <cell r="P504">
            <v>0</v>
          </cell>
        </row>
        <row r="505">
          <cell r="C505">
            <v>21</v>
          </cell>
          <cell r="F505">
            <v>1</v>
          </cell>
          <cell r="G505">
            <v>1</v>
          </cell>
          <cell r="H505">
            <v>46204</v>
          </cell>
          <cell r="I505">
            <v>0</v>
          </cell>
          <cell r="J505">
            <v>0</v>
          </cell>
          <cell r="K505">
            <v>0</v>
          </cell>
          <cell r="L505">
            <v>0</v>
          </cell>
          <cell r="M505">
            <v>0</v>
          </cell>
          <cell r="N505">
            <v>0</v>
          </cell>
          <cell r="O505">
            <v>0</v>
          </cell>
          <cell r="P505">
            <v>0</v>
          </cell>
        </row>
        <row r="506">
          <cell r="C506">
            <v>22</v>
          </cell>
          <cell r="F506">
            <v>1</v>
          </cell>
          <cell r="G506">
            <v>1</v>
          </cell>
          <cell r="H506">
            <v>46204</v>
          </cell>
          <cell r="I506">
            <v>8</v>
          </cell>
          <cell r="J506">
            <v>0</v>
          </cell>
          <cell r="K506">
            <v>0</v>
          </cell>
          <cell r="L506">
            <v>0</v>
          </cell>
          <cell r="M506">
            <v>0</v>
          </cell>
          <cell r="N506">
            <v>0</v>
          </cell>
          <cell r="O506">
            <v>0</v>
          </cell>
          <cell r="P506">
            <v>0</v>
          </cell>
        </row>
        <row r="507">
          <cell r="C507">
            <v>23</v>
          </cell>
          <cell r="F507">
            <v>1</v>
          </cell>
          <cell r="G507">
            <v>1</v>
          </cell>
          <cell r="H507">
            <v>46204</v>
          </cell>
          <cell r="I507">
            <v>0</v>
          </cell>
          <cell r="J507">
            <v>0</v>
          </cell>
          <cell r="K507">
            <v>0</v>
          </cell>
          <cell r="L507">
            <v>0</v>
          </cell>
          <cell r="M507">
            <v>0</v>
          </cell>
          <cell r="N507">
            <v>0</v>
          </cell>
          <cell r="O507">
            <v>0</v>
          </cell>
          <cell r="P507">
            <v>0</v>
          </cell>
        </row>
        <row r="508">
          <cell r="C508">
            <v>24</v>
          </cell>
          <cell r="F508">
            <v>1</v>
          </cell>
          <cell r="G508">
            <v>1</v>
          </cell>
          <cell r="H508">
            <v>46204</v>
          </cell>
          <cell r="I508">
            <v>0</v>
          </cell>
          <cell r="J508">
            <v>0</v>
          </cell>
          <cell r="K508">
            <v>0</v>
          </cell>
          <cell r="L508">
            <v>0</v>
          </cell>
          <cell r="M508">
            <v>0</v>
          </cell>
          <cell r="N508">
            <v>0</v>
          </cell>
          <cell r="O508">
            <v>0</v>
          </cell>
          <cell r="P508">
            <v>0</v>
          </cell>
        </row>
        <row r="509">
          <cell r="C509">
            <v>25</v>
          </cell>
          <cell r="F509">
            <v>1</v>
          </cell>
          <cell r="G509">
            <v>1</v>
          </cell>
          <cell r="H509">
            <v>46204</v>
          </cell>
          <cell r="I509">
            <v>4</v>
          </cell>
          <cell r="J509">
            <v>0</v>
          </cell>
          <cell r="K509">
            <v>0</v>
          </cell>
          <cell r="L509">
            <v>0</v>
          </cell>
          <cell r="M509">
            <v>0</v>
          </cell>
          <cell r="N509">
            <v>0</v>
          </cell>
          <cell r="O509">
            <v>0</v>
          </cell>
          <cell r="P509">
            <v>0</v>
          </cell>
        </row>
        <row r="510">
          <cell r="C510">
            <v>187</v>
          </cell>
          <cell r="F510">
            <v>1</v>
          </cell>
          <cell r="G510">
            <v>1</v>
          </cell>
          <cell r="H510">
            <v>46204</v>
          </cell>
          <cell r="I510">
            <v>0</v>
          </cell>
          <cell r="J510">
            <v>5</v>
          </cell>
          <cell r="K510">
            <v>0</v>
          </cell>
          <cell r="L510">
            <v>196</v>
          </cell>
          <cell r="M510">
            <v>0</v>
          </cell>
          <cell r="N510">
            <v>0</v>
          </cell>
          <cell r="O510">
            <v>0</v>
          </cell>
          <cell r="P510">
            <v>0</v>
          </cell>
        </row>
        <row r="511">
          <cell r="C511">
            <v>193</v>
          </cell>
          <cell r="F511">
            <v>1</v>
          </cell>
          <cell r="G511">
            <v>1</v>
          </cell>
          <cell r="H511">
            <v>46204</v>
          </cell>
          <cell r="I511">
            <v>4</v>
          </cell>
          <cell r="J511">
            <v>8</v>
          </cell>
          <cell r="K511">
            <v>0</v>
          </cell>
          <cell r="L511">
            <v>0</v>
          </cell>
          <cell r="M511">
            <v>0</v>
          </cell>
          <cell r="N511">
            <v>0</v>
          </cell>
          <cell r="O511">
            <v>0</v>
          </cell>
          <cell r="P511">
            <v>0</v>
          </cell>
        </row>
        <row r="512">
          <cell r="C512">
            <v>235</v>
          </cell>
          <cell r="F512">
            <v>1</v>
          </cell>
          <cell r="G512">
            <v>1</v>
          </cell>
          <cell r="H512">
            <v>46204</v>
          </cell>
          <cell r="I512">
            <v>0</v>
          </cell>
          <cell r="J512">
            <v>6</v>
          </cell>
          <cell r="K512">
            <v>0</v>
          </cell>
          <cell r="L512">
            <v>18</v>
          </cell>
          <cell r="M512">
            <v>0</v>
          </cell>
          <cell r="N512">
            <v>0</v>
          </cell>
          <cell r="O512">
            <v>0</v>
          </cell>
          <cell r="P512">
            <v>0</v>
          </cell>
        </row>
        <row r="513">
          <cell r="C513">
            <v>178</v>
          </cell>
          <cell r="F513">
            <v>1</v>
          </cell>
          <cell r="G513">
            <v>1</v>
          </cell>
          <cell r="H513">
            <v>46204</v>
          </cell>
          <cell r="I513">
            <v>0</v>
          </cell>
          <cell r="J513">
            <v>350</v>
          </cell>
          <cell r="K513">
            <v>0</v>
          </cell>
          <cell r="L513">
            <v>0</v>
          </cell>
          <cell r="M513">
            <v>0</v>
          </cell>
          <cell r="N513">
            <v>0</v>
          </cell>
          <cell r="O513">
            <v>0</v>
          </cell>
          <cell r="P513">
            <v>0</v>
          </cell>
        </row>
        <row r="514">
          <cell r="C514">
            <v>241</v>
          </cell>
          <cell r="F514">
            <v>1</v>
          </cell>
          <cell r="G514">
            <v>1</v>
          </cell>
          <cell r="H514">
            <v>46204</v>
          </cell>
          <cell r="I514">
            <v>0</v>
          </cell>
          <cell r="J514">
            <v>1</v>
          </cell>
          <cell r="K514">
            <v>0</v>
          </cell>
          <cell r="L514">
            <v>0</v>
          </cell>
          <cell r="M514">
            <v>0</v>
          </cell>
          <cell r="N514">
            <v>0</v>
          </cell>
          <cell r="O514">
            <v>0</v>
          </cell>
          <cell r="P514">
            <v>0</v>
          </cell>
        </row>
        <row r="515">
          <cell r="C515">
            <v>287</v>
          </cell>
          <cell r="F515">
            <v>1</v>
          </cell>
          <cell r="G515">
            <v>1</v>
          </cell>
          <cell r="H515">
            <v>46204</v>
          </cell>
          <cell r="I515">
            <v>0</v>
          </cell>
          <cell r="J515">
            <v>75</v>
          </cell>
          <cell r="K515">
            <v>0</v>
          </cell>
          <cell r="L515">
            <v>0</v>
          </cell>
          <cell r="M515">
            <v>0</v>
          </cell>
          <cell r="N515">
            <v>0</v>
          </cell>
          <cell r="O515">
            <v>0</v>
          </cell>
          <cell r="P515">
            <v>0</v>
          </cell>
        </row>
        <row r="516">
          <cell r="C516">
            <v>177</v>
          </cell>
          <cell r="F516">
            <v>1</v>
          </cell>
          <cell r="G516">
            <v>1</v>
          </cell>
          <cell r="H516">
            <v>46204</v>
          </cell>
          <cell r="I516">
            <v>0</v>
          </cell>
          <cell r="J516">
            <v>300</v>
          </cell>
          <cell r="K516">
            <v>0</v>
          </cell>
          <cell r="L516">
            <v>10000</v>
          </cell>
          <cell r="M516">
            <v>0</v>
          </cell>
          <cell r="N516">
            <v>0</v>
          </cell>
          <cell r="O516">
            <v>0</v>
          </cell>
          <cell r="P516">
            <v>0</v>
          </cell>
        </row>
        <row r="517">
          <cell r="C517">
            <v>298</v>
          </cell>
          <cell r="F517">
            <v>1</v>
          </cell>
          <cell r="G517">
            <v>1</v>
          </cell>
          <cell r="H517">
            <v>46204</v>
          </cell>
          <cell r="I517">
            <v>0</v>
          </cell>
          <cell r="J517">
            <v>60</v>
          </cell>
          <cell r="K517">
            <v>0</v>
          </cell>
          <cell r="L517">
            <v>0</v>
          </cell>
          <cell r="M517">
            <v>0</v>
          </cell>
          <cell r="N517">
            <v>0</v>
          </cell>
          <cell r="O517">
            <v>0</v>
          </cell>
          <cell r="P517">
            <v>0</v>
          </cell>
        </row>
        <row r="518">
          <cell r="C518">
            <v>295</v>
          </cell>
          <cell r="F518">
            <v>1</v>
          </cell>
          <cell r="G518">
            <v>1</v>
          </cell>
          <cell r="H518">
            <v>46204</v>
          </cell>
          <cell r="I518">
            <v>0</v>
          </cell>
          <cell r="J518">
            <v>2</v>
          </cell>
          <cell r="K518">
            <v>0</v>
          </cell>
          <cell r="L518">
            <v>0</v>
          </cell>
          <cell r="M518">
            <v>0</v>
          </cell>
          <cell r="N518">
            <v>0</v>
          </cell>
          <cell r="O518">
            <v>0</v>
          </cell>
          <cell r="P518">
            <v>0</v>
          </cell>
        </row>
        <row r="519">
          <cell r="C519">
            <v>327</v>
          </cell>
          <cell r="F519">
            <v>1</v>
          </cell>
          <cell r="G519">
            <v>1</v>
          </cell>
          <cell r="H519">
            <v>46204</v>
          </cell>
          <cell r="I519">
            <v>1</v>
          </cell>
          <cell r="J519">
            <v>1</v>
          </cell>
          <cell r="K519">
            <v>0</v>
          </cell>
          <cell r="L519">
            <v>0</v>
          </cell>
          <cell r="M519">
            <v>0</v>
          </cell>
          <cell r="N519">
            <v>0</v>
          </cell>
          <cell r="O519">
            <v>0</v>
          </cell>
          <cell r="P519">
            <v>0</v>
          </cell>
        </row>
        <row r="520">
          <cell r="C520">
            <v>213</v>
          </cell>
          <cell r="F520">
            <v>1</v>
          </cell>
          <cell r="G520">
            <v>1</v>
          </cell>
          <cell r="H520">
            <v>46204</v>
          </cell>
          <cell r="I520">
            <v>3</v>
          </cell>
          <cell r="J520">
            <v>3</v>
          </cell>
          <cell r="K520">
            <v>0</v>
          </cell>
          <cell r="L520">
            <v>0</v>
          </cell>
          <cell r="M520">
            <v>0</v>
          </cell>
          <cell r="N520">
            <v>0</v>
          </cell>
          <cell r="O520">
            <v>0</v>
          </cell>
          <cell r="P520">
            <v>0</v>
          </cell>
        </row>
        <row r="521">
          <cell r="C521">
            <v>228</v>
          </cell>
          <cell r="F521">
            <v>1</v>
          </cell>
          <cell r="G521">
            <v>1</v>
          </cell>
          <cell r="H521">
            <v>46204</v>
          </cell>
          <cell r="I521">
            <v>11</v>
          </cell>
          <cell r="J521">
            <v>1</v>
          </cell>
          <cell r="K521">
            <v>0</v>
          </cell>
          <cell r="L521">
            <v>0</v>
          </cell>
          <cell r="M521">
            <v>0</v>
          </cell>
          <cell r="N521">
            <v>0</v>
          </cell>
          <cell r="O521">
            <v>0</v>
          </cell>
          <cell r="P521">
            <v>0</v>
          </cell>
        </row>
        <row r="522">
          <cell r="C522">
            <v>195</v>
          </cell>
          <cell r="F522">
            <v>1</v>
          </cell>
          <cell r="G522">
            <v>1</v>
          </cell>
          <cell r="H522">
            <v>46205</v>
          </cell>
          <cell r="I522">
            <v>0</v>
          </cell>
          <cell r="J522">
            <v>36</v>
          </cell>
          <cell r="K522">
            <v>0</v>
          </cell>
          <cell r="L522">
            <v>0</v>
          </cell>
          <cell r="M522">
            <v>0</v>
          </cell>
          <cell r="N522">
            <v>0</v>
          </cell>
          <cell r="O522">
            <v>0</v>
          </cell>
          <cell r="P522">
            <v>0</v>
          </cell>
        </row>
        <row r="523">
          <cell r="C523">
            <v>187</v>
          </cell>
          <cell r="F523">
            <v>1</v>
          </cell>
          <cell r="G523">
            <v>1</v>
          </cell>
          <cell r="H523">
            <v>46205</v>
          </cell>
          <cell r="I523">
            <v>0</v>
          </cell>
          <cell r="J523">
            <v>40</v>
          </cell>
          <cell r="K523">
            <v>0</v>
          </cell>
          <cell r="L523">
            <v>0</v>
          </cell>
          <cell r="M523">
            <v>0</v>
          </cell>
          <cell r="N523">
            <v>0</v>
          </cell>
          <cell r="O523">
            <v>0</v>
          </cell>
          <cell r="P523">
            <v>0</v>
          </cell>
        </row>
        <row r="524">
          <cell r="C524">
            <v>197</v>
          </cell>
          <cell r="F524">
            <v>1</v>
          </cell>
          <cell r="G524">
            <v>1</v>
          </cell>
          <cell r="H524">
            <v>46205</v>
          </cell>
          <cell r="I524">
            <v>0</v>
          </cell>
          <cell r="J524">
            <v>8</v>
          </cell>
          <cell r="K524">
            <v>0</v>
          </cell>
          <cell r="L524">
            <v>0</v>
          </cell>
          <cell r="M524">
            <v>0</v>
          </cell>
          <cell r="N524">
            <v>0</v>
          </cell>
          <cell r="O524">
            <v>0</v>
          </cell>
          <cell r="P524">
            <v>0</v>
          </cell>
        </row>
        <row r="525">
          <cell r="C525">
            <v>252</v>
          </cell>
          <cell r="F525">
            <v>1</v>
          </cell>
          <cell r="G525">
            <v>1</v>
          </cell>
          <cell r="H525">
            <v>46205</v>
          </cell>
          <cell r="I525">
            <v>0</v>
          </cell>
          <cell r="J525">
            <v>28</v>
          </cell>
          <cell r="K525">
            <v>0</v>
          </cell>
          <cell r="L525">
            <v>0</v>
          </cell>
          <cell r="M525">
            <v>0</v>
          </cell>
          <cell r="N525">
            <v>0</v>
          </cell>
          <cell r="O525">
            <v>0</v>
          </cell>
          <cell r="P525">
            <v>0</v>
          </cell>
        </row>
        <row r="526">
          <cell r="C526">
            <v>10</v>
          </cell>
          <cell r="F526">
            <v>1</v>
          </cell>
          <cell r="G526">
            <v>1</v>
          </cell>
          <cell r="H526">
            <v>46205</v>
          </cell>
          <cell r="I526">
            <v>0</v>
          </cell>
          <cell r="J526">
            <v>6</v>
          </cell>
          <cell r="K526">
            <v>0</v>
          </cell>
          <cell r="L526">
            <v>0</v>
          </cell>
          <cell r="M526">
            <v>0</v>
          </cell>
          <cell r="N526">
            <v>0</v>
          </cell>
          <cell r="O526">
            <v>0</v>
          </cell>
          <cell r="P526">
            <v>0</v>
          </cell>
        </row>
        <row r="527">
          <cell r="C527">
            <v>244</v>
          </cell>
          <cell r="F527">
            <v>1</v>
          </cell>
          <cell r="G527">
            <v>1</v>
          </cell>
          <cell r="H527">
            <v>46205</v>
          </cell>
          <cell r="I527">
            <v>0</v>
          </cell>
          <cell r="J527">
            <v>1</v>
          </cell>
          <cell r="K527">
            <v>0</v>
          </cell>
          <cell r="L527">
            <v>0</v>
          </cell>
          <cell r="M527">
            <v>0</v>
          </cell>
          <cell r="N527">
            <v>0</v>
          </cell>
          <cell r="O527">
            <v>0</v>
          </cell>
          <cell r="P527">
            <v>0</v>
          </cell>
        </row>
        <row r="528">
          <cell r="C528">
            <v>46</v>
          </cell>
          <cell r="F528">
            <v>1</v>
          </cell>
          <cell r="G528">
            <v>1</v>
          </cell>
          <cell r="H528">
            <v>46205</v>
          </cell>
          <cell r="I528">
            <v>0</v>
          </cell>
          <cell r="J528">
            <v>11</v>
          </cell>
          <cell r="K528">
            <v>0</v>
          </cell>
          <cell r="L528">
            <v>0</v>
          </cell>
          <cell r="M528">
            <v>0</v>
          </cell>
          <cell r="N528">
            <v>0</v>
          </cell>
          <cell r="O528">
            <v>0</v>
          </cell>
          <cell r="P528">
            <v>0</v>
          </cell>
        </row>
        <row r="529">
          <cell r="C529">
            <v>49</v>
          </cell>
          <cell r="F529">
            <v>1</v>
          </cell>
          <cell r="G529">
            <v>1</v>
          </cell>
          <cell r="H529">
            <v>46205</v>
          </cell>
          <cell r="I529">
            <v>0</v>
          </cell>
          <cell r="J529">
            <v>3</v>
          </cell>
          <cell r="K529">
            <v>0</v>
          </cell>
          <cell r="L529">
            <v>0</v>
          </cell>
          <cell r="M529">
            <v>0</v>
          </cell>
          <cell r="N529">
            <v>0</v>
          </cell>
          <cell r="O529">
            <v>0</v>
          </cell>
          <cell r="P529">
            <v>0</v>
          </cell>
        </row>
        <row r="530">
          <cell r="C530">
            <v>255</v>
          </cell>
          <cell r="F530">
            <v>1</v>
          </cell>
          <cell r="G530">
            <v>1</v>
          </cell>
          <cell r="H530">
            <v>46205</v>
          </cell>
          <cell r="I530">
            <v>0</v>
          </cell>
          <cell r="J530">
            <v>2</v>
          </cell>
          <cell r="K530">
            <v>0</v>
          </cell>
          <cell r="L530">
            <v>0</v>
          </cell>
          <cell r="M530">
            <v>0</v>
          </cell>
          <cell r="N530">
            <v>0</v>
          </cell>
          <cell r="O530">
            <v>0</v>
          </cell>
          <cell r="P530">
            <v>0</v>
          </cell>
        </row>
        <row r="531">
          <cell r="C531">
            <v>218</v>
          </cell>
          <cell r="F531">
            <v>1</v>
          </cell>
          <cell r="G531">
            <v>1</v>
          </cell>
          <cell r="H531">
            <v>46205</v>
          </cell>
          <cell r="I531">
            <v>0</v>
          </cell>
          <cell r="J531">
            <v>1</v>
          </cell>
          <cell r="K531">
            <v>0</v>
          </cell>
          <cell r="L531">
            <v>0</v>
          </cell>
          <cell r="M531">
            <v>0</v>
          </cell>
          <cell r="N531">
            <v>0</v>
          </cell>
          <cell r="O531">
            <v>0</v>
          </cell>
          <cell r="P531">
            <v>0</v>
          </cell>
        </row>
        <row r="532">
          <cell r="C532">
            <v>230</v>
          </cell>
          <cell r="F532">
            <v>1</v>
          </cell>
          <cell r="G532">
            <v>1</v>
          </cell>
          <cell r="H532">
            <v>46205</v>
          </cell>
          <cell r="I532">
            <v>0</v>
          </cell>
          <cell r="J532">
            <v>1</v>
          </cell>
          <cell r="K532">
            <v>0</v>
          </cell>
          <cell r="L532">
            <v>0</v>
          </cell>
          <cell r="M532">
            <v>0</v>
          </cell>
          <cell r="N532">
            <v>0</v>
          </cell>
          <cell r="O532">
            <v>0</v>
          </cell>
          <cell r="P532">
            <v>0</v>
          </cell>
        </row>
        <row r="533">
          <cell r="C533">
            <v>177</v>
          </cell>
          <cell r="F533">
            <v>1</v>
          </cell>
          <cell r="G533">
            <v>1</v>
          </cell>
          <cell r="H533">
            <v>46205</v>
          </cell>
          <cell r="I533">
            <v>0</v>
          </cell>
          <cell r="J533">
            <v>350</v>
          </cell>
          <cell r="K533">
            <v>0</v>
          </cell>
          <cell r="L533">
            <v>0</v>
          </cell>
          <cell r="M533">
            <v>0</v>
          </cell>
          <cell r="N533">
            <v>0</v>
          </cell>
          <cell r="O533">
            <v>0</v>
          </cell>
          <cell r="P533">
            <v>0</v>
          </cell>
        </row>
        <row r="534">
          <cell r="C534">
            <v>294</v>
          </cell>
          <cell r="F534">
            <v>1</v>
          </cell>
          <cell r="G534">
            <v>1</v>
          </cell>
          <cell r="H534">
            <v>46205</v>
          </cell>
          <cell r="I534">
            <v>0</v>
          </cell>
          <cell r="J534">
            <v>3</v>
          </cell>
          <cell r="K534">
            <v>0</v>
          </cell>
          <cell r="L534">
            <v>0</v>
          </cell>
          <cell r="M534">
            <v>0</v>
          </cell>
          <cell r="N534">
            <v>0</v>
          </cell>
          <cell r="O534">
            <v>0</v>
          </cell>
          <cell r="P534">
            <v>0</v>
          </cell>
        </row>
        <row r="535">
          <cell r="C535">
            <v>276</v>
          </cell>
          <cell r="F535">
            <v>1</v>
          </cell>
          <cell r="G535">
            <v>1</v>
          </cell>
          <cell r="H535">
            <v>46205</v>
          </cell>
          <cell r="I535">
            <v>0</v>
          </cell>
          <cell r="J535">
            <v>1</v>
          </cell>
          <cell r="K535">
            <v>0</v>
          </cell>
          <cell r="L535">
            <v>0</v>
          </cell>
          <cell r="M535">
            <v>0</v>
          </cell>
          <cell r="N535">
            <v>0</v>
          </cell>
          <cell r="O535">
            <v>0</v>
          </cell>
          <cell r="P535">
            <v>0</v>
          </cell>
        </row>
        <row r="536">
          <cell r="C536">
            <v>231</v>
          </cell>
          <cell r="F536">
            <v>1</v>
          </cell>
          <cell r="G536">
            <v>1</v>
          </cell>
          <cell r="H536">
            <v>46205</v>
          </cell>
          <cell r="I536">
            <v>0</v>
          </cell>
          <cell r="J536">
            <v>1</v>
          </cell>
          <cell r="K536">
            <v>0</v>
          </cell>
          <cell r="L536">
            <v>0</v>
          </cell>
          <cell r="M536">
            <v>0</v>
          </cell>
          <cell r="N536">
            <v>0</v>
          </cell>
          <cell r="O536">
            <v>0</v>
          </cell>
          <cell r="P536">
            <v>0</v>
          </cell>
        </row>
        <row r="537">
          <cell r="C537">
            <v>293</v>
          </cell>
          <cell r="F537">
            <v>1</v>
          </cell>
          <cell r="G537">
            <v>1</v>
          </cell>
          <cell r="H537">
            <v>46205</v>
          </cell>
          <cell r="I537">
            <v>0</v>
          </cell>
          <cell r="J537">
            <v>70</v>
          </cell>
          <cell r="K537">
            <v>0</v>
          </cell>
          <cell r="L537">
            <v>0</v>
          </cell>
          <cell r="M537">
            <v>0</v>
          </cell>
          <cell r="N537">
            <v>0</v>
          </cell>
          <cell r="O537">
            <v>0</v>
          </cell>
          <cell r="P537">
            <v>0</v>
          </cell>
        </row>
        <row r="538">
          <cell r="C538">
            <v>305</v>
          </cell>
          <cell r="F538">
            <v>1</v>
          </cell>
          <cell r="G538">
            <v>1</v>
          </cell>
          <cell r="H538">
            <v>46205</v>
          </cell>
          <cell r="I538">
            <v>0</v>
          </cell>
          <cell r="J538">
            <v>200</v>
          </cell>
          <cell r="K538">
            <v>0</v>
          </cell>
          <cell r="L538">
            <v>0</v>
          </cell>
          <cell r="M538">
            <v>0</v>
          </cell>
          <cell r="N538">
            <v>0</v>
          </cell>
          <cell r="O538">
            <v>0</v>
          </cell>
          <cell r="P538">
            <v>0</v>
          </cell>
        </row>
        <row r="539">
          <cell r="C539">
            <v>290</v>
          </cell>
          <cell r="F539">
            <v>1</v>
          </cell>
          <cell r="G539">
            <v>1</v>
          </cell>
          <cell r="H539">
            <v>46206</v>
          </cell>
          <cell r="I539">
            <v>0</v>
          </cell>
          <cell r="J539">
            <v>48</v>
          </cell>
          <cell r="K539">
            <v>0</v>
          </cell>
          <cell r="L539">
            <v>0</v>
          </cell>
          <cell r="M539">
            <v>0</v>
          </cell>
          <cell r="N539">
            <v>0</v>
          </cell>
          <cell r="O539">
            <v>0</v>
          </cell>
          <cell r="P539">
            <v>0</v>
          </cell>
        </row>
        <row r="540">
          <cell r="C540">
            <v>177</v>
          </cell>
          <cell r="F540">
            <v>1</v>
          </cell>
          <cell r="G540">
            <v>1</v>
          </cell>
          <cell r="H540">
            <v>46206</v>
          </cell>
          <cell r="I540">
            <v>0</v>
          </cell>
          <cell r="J540">
            <v>250</v>
          </cell>
          <cell r="K540">
            <v>0</v>
          </cell>
          <cell r="L540">
            <v>0</v>
          </cell>
          <cell r="M540">
            <v>0</v>
          </cell>
          <cell r="N540">
            <v>0</v>
          </cell>
          <cell r="O540">
            <v>0</v>
          </cell>
          <cell r="P540">
            <v>0</v>
          </cell>
        </row>
        <row r="541">
          <cell r="C541">
            <v>207</v>
          </cell>
          <cell r="F541">
            <v>1</v>
          </cell>
          <cell r="G541">
            <v>1</v>
          </cell>
          <cell r="H541">
            <v>46206</v>
          </cell>
          <cell r="I541">
            <v>0</v>
          </cell>
          <cell r="J541">
            <v>1</v>
          </cell>
          <cell r="K541">
            <v>0</v>
          </cell>
          <cell r="L541">
            <v>0</v>
          </cell>
          <cell r="M541">
            <v>0</v>
          </cell>
          <cell r="N541">
            <v>0</v>
          </cell>
          <cell r="O541">
            <v>0</v>
          </cell>
          <cell r="P541">
            <v>0</v>
          </cell>
        </row>
        <row r="542">
          <cell r="C542">
            <v>280</v>
          </cell>
          <cell r="F542">
            <v>1</v>
          </cell>
          <cell r="G542">
            <v>1</v>
          </cell>
          <cell r="H542">
            <v>46206</v>
          </cell>
          <cell r="I542">
            <v>0</v>
          </cell>
          <cell r="J542">
            <v>2</v>
          </cell>
          <cell r="K542">
            <v>0</v>
          </cell>
          <cell r="L542">
            <v>0</v>
          </cell>
          <cell r="M542">
            <v>0</v>
          </cell>
          <cell r="N542">
            <v>0</v>
          </cell>
          <cell r="O542">
            <v>0</v>
          </cell>
          <cell r="P542">
            <v>0</v>
          </cell>
        </row>
        <row r="543">
          <cell r="C543">
            <v>276</v>
          </cell>
          <cell r="F543">
            <v>1</v>
          </cell>
          <cell r="G543">
            <v>1</v>
          </cell>
          <cell r="H543">
            <v>46206</v>
          </cell>
          <cell r="I543">
            <v>0</v>
          </cell>
          <cell r="J543">
            <v>2</v>
          </cell>
          <cell r="K543">
            <v>0</v>
          </cell>
          <cell r="L543">
            <v>0</v>
          </cell>
          <cell r="M543">
            <v>0</v>
          </cell>
          <cell r="N543">
            <v>0</v>
          </cell>
          <cell r="O543">
            <v>0</v>
          </cell>
          <cell r="P543">
            <v>0</v>
          </cell>
        </row>
        <row r="544">
          <cell r="C544">
            <v>203</v>
          </cell>
          <cell r="F544">
            <v>1</v>
          </cell>
          <cell r="G544">
            <v>1</v>
          </cell>
          <cell r="H544">
            <v>46206</v>
          </cell>
          <cell r="I544">
            <v>0</v>
          </cell>
          <cell r="J544">
            <v>1</v>
          </cell>
          <cell r="K544">
            <v>0</v>
          </cell>
          <cell r="L544">
            <v>0</v>
          </cell>
          <cell r="M544">
            <v>0</v>
          </cell>
          <cell r="N544">
            <v>0</v>
          </cell>
          <cell r="O544">
            <v>0</v>
          </cell>
          <cell r="P544">
            <v>0</v>
          </cell>
        </row>
        <row r="545">
          <cell r="C545">
            <v>274</v>
          </cell>
          <cell r="F545">
            <v>1</v>
          </cell>
          <cell r="G545">
            <v>1</v>
          </cell>
          <cell r="H545">
            <v>46206</v>
          </cell>
          <cell r="I545">
            <v>0</v>
          </cell>
          <cell r="J545">
            <v>1</v>
          </cell>
          <cell r="K545">
            <v>0</v>
          </cell>
          <cell r="L545">
            <v>0</v>
          </cell>
          <cell r="M545">
            <v>0</v>
          </cell>
          <cell r="N545">
            <v>0</v>
          </cell>
          <cell r="O545">
            <v>0</v>
          </cell>
          <cell r="P545">
            <v>0</v>
          </cell>
        </row>
        <row r="546">
          <cell r="C546">
            <v>230</v>
          </cell>
          <cell r="F546">
            <v>1</v>
          </cell>
          <cell r="G546">
            <v>1</v>
          </cell>
          <cell r="H546">
            <v>46206</v>
          </cell>
          <cell r="I546">
            <v>0</v>
          </cell>
          <cell r="J546">
            <v>1</v>
          </cell>
          <cell r="K546">
            <v>0</v>
          </cell>
          <cell r="L546">
            <v>0</v>
          </cell>
          <cell r="M546">
            <v>0</v>
          </cell>
          <cell r="N546">
            <v>0</v>
          </cell>
          <cell r="O546">
            <v>0</v>
          </cell>
          <cell r="P546">
            <v>0</v>
          </cell>
        </row>
        <row r="547">
          <cell r="C547">
            <v>334</v>
          </cell>
          <cell r="F547">
            <v>1</v>
          </cell>
          <cell r="G547">
            <v>1</v>
          </cell>
          <cell r="H547">
            <v>46206</v>
          </cell>
          <cell r="I547">
            <v>0</v>
          </cell>
          <cell r="J547">
            <v>1</v>
          </cell>
          <cell r="K547">
            <v>0</v>
          </cell>
          <cell r="L547">
            <v>0</v>
          </cell>
          <cell r="M547">
            <v>0</v>
          </cell>
          <cell r="N547">
            <v>0</v>
          </cell>
          <cell r="O547">
            <v>0</v>
          </cell>
          <cell r="P547">
            <v>0</v>
          </cell>
        </row>
        <row r="548">
          <cell r="C548">
            <v>208</v>
          </cell>
          <cell r="F548">
            <v>1</v>
          </cell>
          <cell r="G548">
            <v>1</v>
          </cell>
          <cell r="H548">
            <v>46206</v>
          </cell>
          <cell r="I548">
            <v>0</v>
          </cell>
          <cell r="J548">
            <v>1</v>
          </cell>
          <cell r="K548">
            <v>0</v>
          </cell>
          <cell r="L548">
            <v>0</v>
          </cell>
          <cell r="M548">
            <v>0</v>
          </cell>
          <cell r="N548">
            <v>0</v>
          </cell>
          <cell r="O548">
            <v>0</v>
          </cell>
          <cell r="P548">
            <v>0</v>
          </cell>
        </row>
        <row r="549">
          <cell r="C549">
            <v>323</v>
          </cell>
          <cell r="F549">
            <v>1</v>
          </cell>
          <cell r="G549">
            <v>1</v>
          </cell>
          <cell r="H549">
            <v>46206</v>
          </cell>
          <cell r="I549">
            <v>0</v>
          </cell>
          <cell r="J549">
            <v>6</v>
          </cell>
          <cell r="K549">
            <v>0</v>
          </cell>
          <cell r="L549">
            <v>0</v>
          </cell>
          <cell r="M549">
            <v>0</v>
          </cell>
          <cell r="N549">
            <v>0</v>
          </cell>
          <cell r="O549">
            <v>0</v>
          </cell>
          <cell r="P549">
            <v>0</v>
          </cell>
        </row>
        <row r="550">
          <cell r="C550">
            <v>291</v>
          </cell>
          <cell r="F550">
            <v>1</v>
          </cell>
          <cell r="G550">
            <v>1</v>
          </cell>
          <cell r="H550">
            <v>46206</v>
          </cell>
          <cell r="I550">
            <v>0</v>
          </cell>
          <cell r="J550">
            <v>1</v>
          </cell>
          <cell r="K550">
            <v>0</v>
          </cell>
          <cell r="L550">
            <v>0</v>
          </cell>
          <cell r="M550">
            <v>0</v>
          </cell>
          <cell r="N550">
            <v>0</v>
          </cell>
          <cell r="O550">
            <v>0</v>
          </cell>
          <cell r="P550">
            <v>0</v>
          </cell>
        </row>
        <row r="551">
          <cell r="C551">
            <v>238</v>
          </cell>
          <cell r="F551">
            <v>1</v>
          </cell>
          <cell r="G551">
            <v>1</v>
          </cell>
          <cell r="H551">
            <v>46206</v>
          </cell>
          <cell r="I551">
            <v>0</v>
          </cell>
          <cell r="J551">
            <v>12</v>
          </cell>
          <cell r="K551">
            <v>0</v>
          </cell>
          <cell r="L551">
            <v>0</v>
          </cell>
          <cell r="M551">
            <v>0</v>
          </cell>
          <cell r="N551">
            <v>0</v>
          </cell>
          <cell r="O551">
            <v>0</v>
          </cell>
          <cell r="P551">
            <v>0</v>
          </cell>
        </row>
        <row r="552">
          <cell r="C552">
            <v>295</v>
          </cell>
          <cell r="F552">
            <v>1</v>
          </cell>
          <cell r="G552">
            <v>1</v>
          </cell>
          <cell r="H552">
            <v>46207</v>
          </cell>
          <cell r="I552">
            <v>0</v>
          </cell>
          <cell r="J552">
            <v>2</v>
          </cell>
          <cell r="K552">
            <v>0</v>
          </cell>
          <cell r="L552">
            <v>8</v>
          </cell>
          <cell r="M552">
            <v>0</v>
          </cell>
          <cell r="N552">
            <v>0</v>
          </cell>
          <cell r="O552">
            <v>0</v>
          </cell>
          <cell r="P552">
            <v>0</v>
          </cell>
        </row>
        <row r="553">
          <cell r="C553">
            <v>289</v>
          </cell>
          <cell r="F553">
            <v>1</v>
          </cell>
          <cell r="G553">
            <v>1</v>
          </cell>
          <cell r="H553">
            <v>46207</v>
          </cell>
          <cell r="I553">
            <v>0</v>
          </cell>
          <cell r="J553">
            <v>24</v>
          </cell>
          <cell r="K553">
            <v>0</v>
          </cell>
          <cell r="L553">
            <v>128</v>
          </cell>
          <cell r="M553">
            <v>0</v>
          </cell>
          <cell r="N553">
            <v>0</v>
          </cell>
          <cell r="O553">
            <v>0</v>
          </cell>
          <cell r="P553">
            <v>0</v>
          </cell>
        </row>
        <row r="554">
          <cell r="C554">
            <v>189</v>
          </cell>
          <cell r="F554">
            <v>1</v>
          </cell>
          <cell r="G554">
            <v>1</v>
          </cell>
          <cell r="H554">
            <v>46207</v>
          </cell>
          <cell r="I554">
            <v>0</v>
          </cell>
          <cell r="J554">
            <v>8</v>
          </cell>
          <cell r="K554">
            <v>0</v>
          </cell>
          <cell r="L554">
            <v>0</v>
          </cell>
          <cell r="M554">
            <v>0</v>
          </cell>
          <cell r="N554">
            <v>0</v>
          </cell>
          <cell r="O554">
            <v>0</v>
          </cell>
          <cell r="P554">
            <v>0</v>
          </cell>
        </row>
        <row r="555">
          <cell r="C555">
            <v>19</v>
          </cell>
          <cell r="F555">
            <v>1</v>
          </cell>
          <cell r="G555">
            <v>1</v>
          </cell>
          <cell r="H555">
            <v>46207</v>
          </cell>
          <cell r="I555">
            <v>0</v>
          </cell>
          <cell r="J555">
            <v>10</v>
          </cell>
          <cell r="K555">
            <v>0</v>
          </cell>
          <cell r="L555">
            <v>0</v>
          </cell>
          <cell r="M555">
            <v>0</v>
          </cell>
          <cell r="N555">
            <v>0</v>
          </cell>
          <cell r="O555">
            <v>0</v>
          </cell>
          <cell r="P555">
            <v>0</v>
          </cell>
        </row>
        <row r="556">
          <cell r="C556">
            <v>64</v>
          </cell>
          <cell r="F556">
            <v>1</v>
          </cell>
          <cell r="G556">
            <v>1</v>
          </cell>
          <cell r="H556">
            <v>46207</v>
          </cell>
          <cell r="I556">
            <v>0</v>
          </cell>
          <cell r="J556">
            <v>1</v>
          </cell>
          <cell r="K556">
            <v>0</v>
          </cell>
          <cell r="L556">
            <v>0</v>
          </cell>
          <cell r="M556">
            <v>0</v>
          </cell>
          <cell r="N556">
            <v>0</v>
          </cell>
          <cell r="O556">
            <v>0</v>
          </cell>
          <cell r="P556">
            <v>0</v>
          </cell>
        </row>
        <row r="557">
          <cell r="C557">
            <v>177</v>
          </cell>
          <cell r="F557">
            <v>1</v>
          </cell>
          <cell r="G557">
            <v>1</v>
          </cell>
          <cell r="H557">
            <v>46207</v>
          </cell>
          <cell r="I557">
            <v>0</v>
          </cell>
          <cell r="J557">
            <v>250</v>
          </cell>
          <cell r="K557">
            <v>0</v>
          </cell>
          <cell r="L557">
            <v>0</v>
          </cell>
          <cell r="M557">
            <v>0</v>
          </cell>
          <cell r="N557">
            <v>0</v>
          </cell>
          <cell r="O557">
            <v>0</v>
          </cell>
          <cell r="P557">
            <v>0</v>
          </cell>
        </row>
        <row r="558">
          <cell r="C558">
            <v>269</v>
          </cell>
          <cell r="F558">
            <v>1</v>
          </cell>
          <cell r="G558">
            <v>1</v>
          </cell>
          <cell r="H558">
            <v>46207</v>
          </cell>
          <cell r="I558">
            <v>0</v>
          </cell>
          <cell r="J558">
            <v>8</v>
          </cell>
          <cell r="K558">
            <v>0</v>
          </cell>
          <cell r="L558">
            <v>0</v>
          </cell>
          <cell r="M558">
            <v>0</v>
          </cell>
          <cell r="N558">
            <v>0</v>
          </cell>
          <cell r="O558">
            <v>0</v>
          </cell>
          <cell r="P558">
            <v>0</v>
          </cell>
        </row>
        <row r="559">
          <cell r="C559">
            <v>271</v>
          </cell>
          <cell r="F559">
            <v>1</v>
          </cell>
          <cell r="G559">
            <v>1</v>
          </cell>
          <cell r="H559">
            <v>46207</v>
          </cell>
          <cell r="I559">
            <v>0</v>
          </cell>
          <cell r="J559">
            <v>2</v>
          </cell>
          <cell r="K559">
            <v>0</v>
          </cell>
          <cell r="L559">
            <v>0</v>
          </cell>
          <cell r="M559">
            <v>0</v>
          </cell>
          <cell r="N559">
            <v>0</v>
          </cell>
          <cell r="O559">
            <v>0</v>
          </cell>
          <cell r="P559">
            <v>0</v>
          </cell>
        </row>
        <row r="560">
          <cell r="C560">
            <v>282</v>
          </cell>
          <cell r="F560">
            <v>1</v>
          </cell>
          <cell r="G560">
            <v>1</v>
          </cell>
          <cell r="H560">
            <v>46207</v>
          </cell>
          <cell r="I560">
            <v>0</v>
          </cell>
          <cell r="J560">
            <v>6</v>
          </cell>
          <cell r="K560">
            <v>0</v>
          </cell>
          <cell r="L560">
            <v>0</v>
          </cell>
          <cell r="M560">
            <v>0</v>
          </cell>
          <cell r="N560">
            <v>0</v>
          </cell>
          <cell r="O560">
            <v>0</v>
          </cell>
          <cell r="P560">
            <v>0</v>
          </cell>
        </row>
        <row r="561">
          <cell r="C561">
            <v>278</v>
          </cell>
          <cell r="F561">
            <v>1</v>
          </cell>
          <cell r="G561">
            <v>1</v>
          </cell>
          <cell r="H561">
            <v>46207</v>
          </cell>
          <cell r="I561">
            <v>0</v>
          </cell>
          <cell r="J561">
            <v>6</v>
          </cell>
          <cell r="K561">
            <v>0</v>
          </cell>
          <cell r="L561">
            <v>0</v>
          </cell>
          <cell r="M561">
            <v>0</v>
          </cell>
          <cell r="N561">
            <v>0</v>
          </cell>
          <cell r="O561">
            <v>0</v>
          </cell>
          <cell r="P561">
            <v>0</v>
          </cell>
        </row>
        <row r="562">
          <cell r="C562">
            <v>228</v>
          </cell>
          <cell r="F562">
            <v>1</v>
          </cell>
          <cell r="G562">
            <v>1</v>
          </cell>
          <cell r="H562">
            <v>46207</v>
          </cell>
          <cell r="I562">
            <v>0</v>
          </cell>
          <cell r="J562">
            <v>10</v>
          </cell>
          <cell r="K562">
            <v>0</v>
          </cell>
          <cell r="L562">
            <v>0</v>
          </cell>
          <cell r="M562">
            <v>0</v>
          </cell>
          <cell r="N562">
            <v>0</v>
          </cell>
          <cell r="O562">
            <v>0</v>
          </cell>
          <cell r="P562">
            <v>0</v>
          </cell>
        </row>
        <row r="563">
          <cell r="C563">
            <v>230</v>
          </cell>
          <cell r="F563">
            <v>1</v>
          </cell>
          <cell r="G563">
            <v>1</v>
          </cell>
          <cell r="H563">
            <v>46207</v>
          </cell>
          <cell r="I563">
            <v>0</v>
          </cell>
          <cell r="J563">
            <v>1</v>
          </cell>
          <cell r="K563">
            <v>0</v>
          </cell>
          <cell r="L563">
            <v>0</v>
          </cell>
          <cell r="M563">
            <v>0</v>
          </cell>
          <cell r="N563">
            <v>0</v>
          </cell>
          <cell r="O563">
            <v>0</v>
          </cell>
          <cell r="P563">
            <v>0</v>
          </cell>
        </row>
        <row r="564">
          <cell r="C564">
            <v>247</v>
          </cell>
          <cell r="F564">
            <v>1</v>
          </cell>
          <cell r="G564">
            <v>1</v>
          </cell>
          <cell r="H564">
            <v>46207</v>
          </cell>
          <cell r="I564">
            <v>0</v>
          </cell>
          <cell r="J564">
            <v>1</v>
          </cell>
          <cell r="K564">
            <v>0</v>
          </cell>
          <cell r="L564">
            <v>0</v>
          </cell>
          <cell r="M564">
            <v>0</v>
          </cell>
          <cell r="N564">
            <v>0</v>
          </cell>
          <cell r="O564">
            <v>0</v>
          </cell>
          <cell r="P564">
            <v>0</v>
          </cell>
        </row>
        <row r="565">
          <cell r="C565">
            <v>37</v>
          </cell>
          <cell r="F565">
            <v>1</v>
          </cell>
          <cell r="G565">
            <v>1</v>
          </cell>
          <cell r="H565">
            <v>46207</v>
          </cell>
          <cell r="I565">
            <v>0</v>
          </cell>
          <cell r="J565">
            <v>1</v>
          </cell>
          <cell r="K565">
            <v>0</v>
          </cell>
          <cell r="L565">
            <v>0</v>
          </cell>
          <cell r="M565">
            <v>0</v>
          </cell>
          <cell r="N565">
            <v>0</v>
          </cell>
          <cell r="O565">
            <v>0</v>
          </cell>
          <cell r="P565">
            <v>0</v>
          </cell>
        </row>
        <row r="566">
          <cell r="C566">
            <v>279</v>
          </cell>
          <cell r="F566">
            <v>1</v>
          </cell>
          <cell r="G566">
            <v>1</v>
          </cell>
          <cell r="H566">
            <v>46207</v>
          </cell>
          <cell r="I566">
            <v>0</v>
          </cell>
          <cell r="J566">
            <v>4</v>
          </cell>
          <cell r="K566">
            <v>0</v>
          </cell>
          <cell r="L566">
            <v>0</v>
          </cell>
          <cell r="M566">
            <v>0</v>
          </cell>
          <cell r="N566">
            <v>0</v>
          </cell>
          <cell r="O566">
            <v>0</v>
          </cell>
          <cell r="P566">
            <v>0</v>
          </cell>
        </row>
        <row r="567">
          <cell r="C567">
            <v>209</v>
          </cell>
          <cell r="F567">
            <v>1</v>
          </cell>
          <cell r="G567">
            <v>1</v>
          </cell>
          <cell r="H567">
            <v>46207</v>
          </cell>
          <cell r="I567">
            <v>0</v>
          </cell>
          <cell r="J567">
            <v>1</v>
          </cell>
          <cell r="K567">
            <v>0</v>
          </cell>
          <cell r="L567">
            <v>0</v>
          </cell>
          <cell r="M567">
            <v>0</v>
          </cell>
          <cell r="N567">
            <v>0</v>
          </cell>
          <cell r="O567">
            <v>0</v>
          </cell>
          <cell r="P567">
            <v>0</v>
          </cell>
        </row>
        <row r="568">
          <cell r="C568">
            <v>273</v>
          </cell>
          <cell r="F568">
            <v>1</v>
          </cell>
          <cell r="G568">
            <v>1</v>
          </cell>
          <cell r="H568">
            <v>46207</v>
          </cell>
          <cell r="I568">
            <v>0</v>
          </cell>
          <cell r="J568">
            <v>28</v>
          </cell>
          <cell r="K568">
            <v>0</v>
          </cell>
          <cell r="L568">
            <v>0</v>
          </cell>
          <cell r="M568">
            <v>0</v>
          </cell>
          <cell r="N568">
            <v>0</v>
          </cell>
          <cell r="O568">
            <v>0</v>
          </cell>
          <cell r="P568">
            <v>0</v>
          </cell>
        </row>
        <row r="569">
          <cell r="C569">
            <v>268</v>
          </cell>
          <cell r="F569">
            <v>1</v>
          </cell>
          <cell r="G569">
            <v>1</v>
          </cell>
          <cell r="H569">
            <v>46207</v>
          </cell>
          <cell r="I569">
            <v>0</v>
          </cell>
          <cell r="J569">
            <v>1</v>
          </cell>
          <cell r="K569">
            <v>0</v>
          </cell>
          <cell r="L569">
            <v>0</v>
          </cell>
          <cell r="M569">
            <v>0</v>
          </cell>
          <cell r="N569">
            <v>0</v>
          </cell>
          <cell r="O569">
            <v>0</v>
          </cell>
          <cell r="P569">
            <v>0</v>
          </cell>
        </row>
        <row r="570">
          <cell r="C570">
            <v>280</v>
          </cell>
          <cell r="F570">
            <v>1</v>
          </cell>
          <cell r="G570">
            <v>1</v>
          </cell>
          <cell r="H570">
            <v>46207</v>
          </cell>
          <cell r="I570">
            <v>0</v>
          </cell>
          <cell r="J570">
            <v>4</v>
          </cell>
          <cell r="K570">
            <v>0</v>
          </cell>
          <cell r="L570">
            <v>0</v>
          </cell>
          <cell r="M570">
            <v>0</v>
          </cell>
          <cell r="N570">
            <v>0</v>
          </cell>
          <cell r="O570">
            <v>0</v>
          </cell>
          <cell r="P570">
            <v>0</v>
          </cell>
        </row>
        <row r="571">
          <cell r="C571">
            <v>90</v>
          </cell>
          <cell r="F571">
            <v>1</v>
          </cell>
          <cell r="G571">
            <v>1</v>
          </cell>
          <cell r="H571">
            <v>46207</v>
          </cell>
          <cell r="I571">
            <v>0</v>
          </cell>
          <cell r="J571">
            <v>4</v>
          </cell>
          <cell r="K571">
            <v>0</v>
          </cell>
          <cell r="L571">
            <v>0</v>
          </cell>
          <cell r="M571">
            <v>0</v>
          </cell>
          <cell r="N571">
            <v>0</v>
          </cell>
          <cell r="O571">
            <v>0</v>
          </cell>
          <cell r="P571">
            <v>0</v>
          </cell>
        </row>
        <row r="572">
          <cell r="C572">
            <v>333</v>
          </cell>
          <cell r="F572">
            <v>1</v>
          </cell>
          <cell r="G572">
            <v>1</v>
          </cell>
          <cell r="H572">
            <v>46207</v>
          </cell>
          <cell r="I572">
            <v>0</v>
          </cell>
          <cell r="J572">
            <v>1</v>
          </cell>
          <cell r="K572">
            <v>0</v>
          </cell>
          <cell r="L572">
            <v>0</v>
          </cell>
          <cell r="M572">
            <v>0</v>
          </cell>
          <cell r="N572">
            <v>0</v>
          </cell>
          <cell r="O572">
            <v>0</v>
          </cell>
          <cell r="P572">
            <v>0</v>
          </cell>
        </row>
        <row r="573">
          <cell r="C573">
            <v>294</v>
          </cell>
          <cell r="F573">
            <v>1</v>
          </cell>
          <cell r="G573">
            <v>1</v>
          </cell>
          <cell r="H573">
            <v>46208</v>
          </cell>
          <cell r="I573">
            <v>0</v>
          </cell>
          <cell r="J573">
            <v>35</v>
          </cell>
          <cell r="K573">
            <v>0</v>
          </cell>
          <cell r="L573">
            <v>0</v>
          </cell>
          <cell r="M573">
            <v>0</v>
          </cell>
          <cell r="N573">
            <v>0</v>
          </cell>
          <cell r="O573">
            <v>0</v>
          </cell>
          <cell r="P573">
            <v>0</v>
          </cell>
        </row>
        <row r="574">
          <cell r="C574">
            <v>177</v>
          </cell>
          <cell r="F574">
            <v>1</v>
          </cell>
          <cell r="G574">
            <v>1</v>
          </cell>
          <cell r="H574">
            <v>46208</v>
          </cell>
          <cell r="I574">
            <v>0</v>
          </cell>
          <cell r="J574">
            <v>500</v>
          </cell>
          <cell r="K574">
            <v>0</v>
          </cell>
          <cell r="L574">
            <v>0</v>
          </cell>
          <cell r="M574">
            <v>0</v>
          </cell>
          <cell r="N574">
            <v>0</v>
          </cell>
          <cell r="O574">
            <v>0</v>
          </cell>
          <cell r="P574">
            <v>0</v>
          </cell>
        </row>
        <row r="575">
          <cell r="C575">
            <v>197</v>
          </cell>
          <cell r="F575">
            <v>1</v>
          </cell>
          <cell r="G575">
            <v>1</v>
          </cell>
          <cell r="H575">
            <v>46208</v>
          </cell>
          <cell r="I575">
            <v>0</v>
          </cell>
          <cell r="J575">
            <v>4</v>
          </cell>
          <cell r="K575">
            <v>0</v>
          </cell>
          <cell r="L575">
            <v>0</v>
          </cell>
          <cell r="M575">
            <v>0</v>
          </cell>
          <cell r="N575">
            <v>0</v>
          </cell>
          <cell r="O575">
            <v>0</v>
          </cell>
          <cell r="P575">
            <v>0</v>
          </cell>
        </row>
        <row r="576">
          <cell r="C576">
            <v>195</v>
          </cell>
          <cell r="F576">
            <v>1</v>
          </cell>
          <cell r="G576">
            <v>1</v>
          </cell>
          <cell r="H576">
            <v>46208</v>
          </cell>
          <cell r="I576">
            <v>0</v>
          </cell>
          <cell r="J576">
            <v>28</v>
          </cell>
          <cell r="K576">
            <v>0</v>
          </cell>
          <cell r="L576">
            <v>0</v>
          </cell>
          <cell r="M576">
            <v>0</v>
          </cell>
          <cell r="N576">
            <v>0</v>
          </cell>
          <cell r="O576">
            <v>0</v>
          </cell>
          <cell r="P576">
            <v>0</v>
          </cell>
        </row>
        <row r="577">
          <cell r="C577">
            <v>187</v>
          </cell>
          <cell r="F577">
            <v>1</v>
          </cell>
          <cell r="G577">
            <v>1</v>
          </cell>
          <cell r="H577">
            <v>46208</v>
          </cell>
          <cell r="I577">
            <v>0</v>
          </cell>
          <cell r="J577">
            <v>32</v>
          </cell>
          <cell r="K577">
            <v>0</v>
          </cell>
          <cell r="L577">
            <v>0</v>
          </cell>
          <cell r="M577">
            <v>0</v>
          </cell>
          <cell r="N577">
            <v>0</v>
          </cell>
          <cell r="O577">
            <v>0</v>
          </cell>
          <cell r="P577">
            <v>0</v>
          </cell>
        </row>
        <row r="578">
          <cell r="C578">
            <v>293</v>
          </cell>
          <cell r="F578">
            <v>1</v>
          </cell>
          <cell r="G578">
            <v>1</v>
          </cell>
          <cell r="H578">
            <v>46209</v>
          </cell>
          <cell r="I578">
            <v>0</v>
          </cell>
          <cell r="J578">
            <v>175</v>
          </cell>
          <cell r="K578">
            <v>0</v>
          </cell>
          <cell r="L578">
            <v>0</v>
          </cell>
          <cell r="M578">
            <v>0</v>
          </cell>
          <cell r="N578">
            <v>0</v>
          </cell>
          <cell r="O578">
            <v>0</v>
          </cell>
          <cell r="P578">
            <v>0</v>
          </cell>
        </row>
        <row r="579">
          <cell r="C579">
            <v>234</v>
          </cell>
          <cell r="F579">
            <v>1</v>
          </cell>
          <cell r="G579">
            <v>1</v>
          </cell>
          <cell r="H579">
            <v>46209</v>
          </cell>
          <cell r="I579">
            <v>0</v>
          </cell>
          <cell r="J579">
            <v>24</v>
          </cell>
          <cell r="K579">
            <v>0</v>
          </cell>
          <cell r="L579">
            <v>0</v>
          </cell>
          <cell r="M579">
            <v>0</v>
          </cell>
          <cell r="N579">
            <v>0</v>
          </cell>
          <cell r="O579">
            <v>0</v>
          </cell>
          <cell r="P579">
            <v>0</v>
          </cell>
        </row>
        <row r="580">
          <cell r="C580">
            <v>303</v>
          </cell>
          <cell r="F580">
            <v>1</v>
          </cell>
          <cell r="G580">
            <v>1</v>
          </cell>
          <cell r="H580">
            <v>46209</v>
          </cell>
          <cell r="I580">
            <v>0</v>
          </cell>
          <cell r="J580">
            <v>350</v>
          </cell>
          <cell r="K580">
            <v>0</v>
          </cell>
          <cell r="L580">
            <v>0</v>
          </cell>
          <cell r="M580">
            <v>0</v>
          </cell>
          <cell r="N580">
            <v>0</v>
          </cell>
          <cell r="O580">
            <v>0</v>
          </cell>
          <cell r="P580">
            <v>0</v>
          </cell>
        </row>
        <row r="581">
          <cell r="C581">
            <v>205</v>
          </cell>
          <cell r="F581">
            <v>1</v>
          </cell>
          <cell r="G581">
            <v>1</v>
          </cell>
          <cell r="H581">
            <v>46209</v>
          </cell>
          <cell r="I581">
            <v>0</v>
          </cell>
          <cell r="J581">
            <v>1</v>
          </cell>
          <cell r="K581">
            <v>0</v>
          </cell>
          <cell r="L581">
            <v>0</v>
          </cell>
          <cell r="M581">
            <v>0</v>
          </cell>
          <cell r="N581">
            <v>0</v>
          </cell>
          <cell r="O581">
            <v>0</v>
          </cell>
          <cell r="P581">
            <v>0</v>
          </cell>
        </row>
        <row r="582">
          <cell r="C582">
            <v>281</v>
          </cell>
          <cell r="F582">
            <v>1</v>
          </cell>
          <cell r="G582">
            <v>1</v>
          </cell>
          <cell r="H582">
            <v>46209</v>
          </cell>
          <cell r="I582">
            <v>0</v>
          </cell>
          <cell r="J582">
            <v>1</v>
          </cell>
          <cell r="K582">
            <v>0</v>
          </cell>
          <cell r="L582">
            <v>0</v>
          </cell>
          <cell r="M582">
            <v>0</v>
          </cell>
          <cell r="N582">
            <v>0</v>
          </cell>
          <cell r="O582">
            <v>0</v>
          </cell>
          <cell r="P582">
            <v>0</v>
          </cell>
        </row>
        <row r="583">
          <cell r="C583">
            <v>332</v>
          </cell>
          <cell r="F583">
            <v>1</v>
          </cell>
          <cell r="G583">
            <v>1</v>
          </cell>
          <cell r="H583">
            <v>46209</v>
          </cell>
          <cell r="I583">
            <v>0</v>
          </cell>
          <cell r="J583">
            <v>2</v>
          </cell>
          <cell r="K583">
            <v>0</v>
          </cell>
          <cell r="L583">
            <v>0</v>
          </cell>
          <cell r="M583">
            <v>0</v>
          </cell>
          <cell r="N583">
            <v>0</v>
          </cell>
          <cell r="O583">
            <v>0</v>
          </cell>
          <cell r="P583">
            <v>0</v>
          </cell>
        </row>
        <row r="584">
          <cell r="C584">
            <v>177</v>
          </cell>
          <cell r="F584">
            <v>1</v>
          </cell>
          <cell r="G584">
            <v>1</v>
          </cell>
          <cell r="H584">
            <v>46209</v>
          </cell>
          <cell r="I584">
            <v>0</v>
          </cell>
          <cell r="J584">
            <v>250</v>
          </cell>
          <cell r="K584">
            <v>0</v>
          </cell>
          <cell r="L584">
            <v>0</v>
          </cell>
          <cell r="M584">
            <v>0</v>
          </cell>
          <cell r="N584">
            <v>0</v>
          </cell>
          <cell r="O584">
            <v>0</v>
          </cell>
          <cell r="P584">
            <v>0</v>
          </cell>
        </row>
        <row r="585">
          <cell r="C585">
            <v>305</v>
          </cell>
          <cell r="F585">
            <v>1</v>
          </cell>
          <cell r="G585">
            <v>1</v>
          </cell>
          <cell r="H585">
            <v>46209</v>
          </cell>
          <cell r="I585">
            <v>0</v>
          </cell>
          <cell r="J585">
            <v>50</v>
          </cell>
          <cell r="K585">
            <v>0</v>
          </cell>
          <cell r="L585">
            <v>0</v>
          </cell>
          <cell r="M585">
            <v>0</v>
          </cell>
          <cell r="N585">
            <v>0</v>
          </cell>
          <cell r="O585">
            <v>0</v>
          </cell>
          <cell r="P585">
            <v>0</v>
          </cell>
        </row>
        <row r="586">
          <cell r="C586">
            <v>177</v>
          </cell>
          <cell r="F586">
            <v>1</v>
          </cell>
          <cell r="G586">
            <v>1</v>
          </cell>
          <cell r="H586">
            <v>46210</v>
          </cell>
          <cell r="I586">
            <v>0</v>
          </cell>
          <cell r="J586">
            <v>1000</v>
          </cell>
          <cell r="K586">
            <v>0</v>
          </cell>
          <cell r="L586">
            <v>0</v>
          </cell>
          <cell r="M586">
            <v>0</v>
          </cell>
          <cell r="N586">
            <v>0</v>
          </cell>
          <cell r="O586">
            <v>0</v>
          </cell>
          <cell r="P586">
            <v>0</v>
          </cell>
        </row>
        <row r="587">
          <cell r="C587">
            <v>305</v>
          </cell>
          <cell r="F587">
            <v>1</v>
          </cell>
          <cell r="G587">
            <v>1</v>
          </cell>
          <cell r="H587">
            <v>46210</v>
          </cell>
          <cell r="I587">
            <v>0</v>
          </cell>
          <cell r="J587">
            <v>100</v>
          </cell>
          <cell r="K587">
            <v>0</v>
          </cell>
          <cell r="L587">
            <v>15000</v>
          </cell>
          <cell r="M587">
            <v>0</v>
          </cell>
          <cell r="N587">
            <v>0</v>
          </cell>
          <cell r="O587">
            <v>0</v>
          </cell>
          <cell r="P587">
            <v>0</v>
          </cell>
        </row>
        <row r="588">
          <cell r="C588">
            <v>258</v>
          </cell>
          <cell r="F588">
            <v>1</v>
          </cell>
          <cell r="G588">
            <v>1</v>
          </cell>
          <cell r="H588">
            <v>46210</v>
          </cell>
          <cell r="I588">
            <v>0</v>
          </cell>
          <cell r="J588">
            <v>1</v>
          </cell>
          <cell r="K588">
            <v>0</v>
          </cell>
          <cell r="L588">
            <v>0</v>
          </cell>
          <cell r="M588">
            <v>0</v>
          </cell>
          <cell r="N588">
            <v>0</v>
          </cell>
          <cell r="O588">
            <v>0</v>
          </cell>
          <cell r="P588">
            <v>0</v>
          </cell>
        </row>
        <row r="589">
          <cell r="C589">
            <v>189</v>
          </cell>
          <cell r="F589">
            <v>1</v>
          </cell>
          <cell r="G589">
            <v>1</v>
          </cell>
          <cell r="H589">
            <v>46210</v>
          </cell>
          <cell r="I589">
            <v>0</v>
          </cell>
          <cell r="J589">
            <v>8</v>
          </cell>
          <cell r="K589">
            <v>0</v>
          </cell>
          <cell r="L589">
            <v>0</v>
          </cell>
          <cell r="M589">
            <v>0</v>
          </cell>
          <cell r="N589">
            <v>0</v>
          </cell>
          <cell r="O589">
            <v>0</v>
          </cell>
          <cell r="P589">
            <v>0</v>
          </cell>
        </row>
        <row r="590">
          <cell r="C590">
            <v>300</v>
          </cell>
          <cell r="F590">
            <v>1</v>
          </cell>
          <cell r="G590">
            <v>1</v>
          </cell>
          <cell r="H590">
            <v>46210</v>
          </cell>
          <cell r="I590">
            <v>0</v>
          </cell>
          <cell r="J590">
            <v>1</v>
          </cell>
          <cell r="K590">
            <v>0</v>
          </cell>
          <cell r="L590">
            <v>2</v>
          </cell>
          <cell r="M590">
            <v>0</v>
          </cell>
          <cell r="N590">
            <v>0</v>
          </cell>
          <cell r="O590">
            <v>0</v>
          </cell>
          <cell r="P590">
            <v>0</v>
          </cell>
        </row>
        <row r="591">
          <cell r="C591">
            <v>158</v>
          </cell>
          <cell r="F591">
            <v>1</v>
          </cell>
          <cell r="G591">
            <v>1</v>
          </cell>
          <cell r="H591">
            <v>46210</v>
          </cell>
          <cell r="I591">
            <v>0</v>
          </cell>
          <cell r="J591">
            <v>1</v>
          </cell>
          <cell r="K591">
            <v>0</v>
          </cell>
          <cell r="L591">
            <v>0</v>
          </cell>
          <cell r="M591">
            <v>0</v>
          </cell>
          <cell r="N591">
            <v>0</v>
          </cell>
          <cell r="O591">
            <v>0</v>
          </cell>
          <cell r="P591">
            <v>0</v>
          </cell>
        </row>
        <row r="592">
          <cell r="C592">
            <v>314</v>
          </cell>
          <cell r="F592">
            <v>1</v>
          </cell>
          <cell r="G592">
            <v>1</v>
          </cell>
          <cell r="H592">
            <v>46210</v>
          </cell>
          <cell r="I592">
            <v>0</v>
          </cell>
          <cell r="J592">
            <v>1</v>
          </cell>
          <cell r="K592">
            <v>0</v>
          </cell>
          <cell r="L592">
            <v>3</v>
          </cell>
          <cell r="M592">
            <v>0</v>
          </cell>
          <cell r="N592">
            <v>0</v>
          </cell>
          <cell r="O592">
            <v>0</v>
          </cell>
          <cell r="P592">
            <v>0</v>
          </cell>
        </row>
        <row r="593">
          <cell r="C593">
            <v>177</v>
          </cell>
          <cell r="F593">
            <v>1</v>
          </cell>
          <cell r="G593">
            <v>1</v>
          </cell>
          <cell r="H593">
            <v>46211</v>
          </cell>
          <cell r="I593">
            <v>0</v>
          </cell>
          <cell r="J593">
            <v>750</v>
          </cell>
          <cell r="K593">
            <v>0</v>
          </cell>
          <cell r="L593">
            <v>0</v>
          </cell>
          <cell r="M593">
            <v>0</v>
          </cell>
          <cell r="N593">
            <v>0</v>
          </cell>
          <cell r="O593">
            <v>0</v>
          </cell>
          <cell r="P593">
            <v>0</v>
          </cell>
        </row>
        <row r="594">
          <cell r="C594">
            <v>335</v>
          </cell>
          <cell r="F594">
            <v>1</v>
          </cell>
          <cell r="G594">
            <v>1</v>
          </cell>
          <cell r="H594">
            <v>46211</v>
          </cell>
          <cell r="I594">
            <v>0</v>
          </cell>
          <cell r="J594">
            <v>1</v>
          </cell>
          <cell r="K594">
            <v>0</v>
          </cell>
          <cell r="L594">
            <v>0</v>
          </cell>
          <cell r="M594">
            <v>0</v>
          </cell>
          <cell r="N594">
            <v>0</v>
          </cell>
          <cell r="O594">
            <v>0</v>
          </cell>
          <cell r="P594">
            <v>0</v>
          </cell>
        </row>
        <row r="595">
          <cell r="C595">
            <v>187</v>
          </cell>
          <cell r="F595">
            <v>1</v>
          </cell>
          <cell r="G595">
            <v>1</v>
          </cell>
          <cell r="H595">
            <v>46211</v>
          </cell>
          <cell r="I595">
            <v>0</v>
          </cell>
          <cell r="J595">
            <v>4</v>
          </cell>
          <cell r="K595">
            <v>0</v>
          </cell>
          <cell r="L595">
            <v>0</v>
          </cell>
          <cell r="M595">
            <v>0</v>
          </cell>
          <cell r="N595">
            <v>0</v>
          </cell>
          <cell r="O595">
            <v>0</v>
          </cell>
          <cell r="P595">
            <v>0</v>
          </cell>
        </row>
        <row r="596">
          <cell r="C596">
            <v>308</v>
          </cell>
          <cell r="F596">
            <v>1</v>
          </cell>
          <cell r="G596">
            <v>1</v>
          </cell>
          <cell r="H596">
            <v>46211</v>
          </cell>
          <cell r="I596">
            <v>0</v>
          </cell>
          <cell r="J596">
            <v>1</v>
          </cell>
          <cell r="K596">
            <v>0</v>
          </cell>
          <cell r="L596">
            <v>0</v>
          </cell>
          <cell r="M596">
            <v>0</v>
          </cell>
          <cell r="N596">
            <v>0</v>
          </cell>
          <cell r="O596">
            <v>0</v>
          </cell>
          <cell r="P596">
            <v>0</v>
          </cell>
        </row>
        <row r="597">
          <cell r="C597">
            <v>210</v>
          </cell>
          <cell r="F597">
            <v>1</v>
          </cell>
          <cell r="G597">
            <v>1</v>
          </cell>
          <cell r="H597">
            <v>46211</v>
          </cell>
          <cell r="I597">
            <v>0</v>
          </cell>
          <cell r="J597">
            <v>6</v>
          </cell>
          <cell r="K597">
            <v>0</v>
          </cell>
          <cell r="L597">
            <v>0</v>
          </cell>
          <cell r="M597">
            <v>0</v>
          </cell>
          <cell r="N597">
            <v>0</v>
          </cell>
          <cell r="O597">
            <v>0</v>
          </cell>
          <cell r="P597">
            <v>0</v>
          </cell>
        </row>
        <row r="598">
          <cell r="C598">
            <v>305</v>
          </cell>
          <cell r="F598">
            <v>1</v>
          </cell>
          <cell r="G598">
            <v>1</v>
          </cell>
          <cell r="H598">
            <v>46211</v>
          </cell>
          <cell r="I598">
            <v>0</v>
          </cell>
          <cell r="J598">
            <v>1000</v>
          </cell>
          <cell r="K598">
            <v>0</v>
          </cell>
          <cell r="L598">
            <v>0</v>
          </cell>
          <cell r="M598">
            <v>0</v>
          </cell>
          <cell r="N598">
            <v>0</v>
          </cell>
          <cell r="O598">
            <v>0</v>
          </cell>
          <cell r="P598">
            <v>0</v>
          </cell>
        </row>
        <row r="599">
          <cell r="C599">
            <v>243</v>
          </cell>
          <cell r="F599">
            <v>1</v>
          </cell>
          <cell r="G599">
            <v>1</v>
          </cell>
          <cell r="H599">
            <v>46211</v>
          </cell>
          <cell r="I599">
            <v>0</v>
          </cell>
          <cell r="J599">
            <v>1</v>
          </cell>
          <cell r="K599">
            <v>0</v>
          </cell>
          <cell r="L599">
            <v>0</v>
          </cell>
          <cell r="M599">
            <v>0</v>
          </cell>
          <cell r="N599">
            <v>0</v>
          </cell>
          <cell r="O599">
            <v>0</v>
          </cell>
          <cell r="P599">
            <v>0</v>
          </cell>
        </row>
        <row r="600">
          <cell r="C600">
            <v>41</v>
          </cell>
          <cell r="F600">
            <v>1</v>
          </cell>
          <cell r="G600">
            <v>1</v>
          </cell>
          <cell r="H600">
            <v>46211</v>
          </cell>
          <cell r="I600">
            <v>0</v>
          </cell>
          <cell r="J600">
            <v>2</v>
          </cell>
          <cell r="K600">
            <v>0</v>
          </cell>
          <cell r="L600">
            <v>0</v>
          </cell>
          <cell r="M600">
            <v>0</v>
          </cell>
          <cell r="N600">
            <v>0</v>
          </cell>
          <cell r="O600">
            <v>0</v>
          </cell>
          <cell r="P600">
            <v>0</v>
          </cell>
        </row>
        <row r="601">
          <cell r="C601">
            <v>263</v>
          </cell>
          <cell r="F601">
            <v>1</v>
          </cell>
          <cell r="G601">
            <v>1</v>
          </cell>
          <cell r="H601">
            <v>46211</v>
          </cell>
          <cell r="I601">
            <v>0</v>
          </cell>
          <cell r="J601">
            <v>3</v>
          </cell>
          <cell r="K601">
            <v>0</v>
          </cell>
          <cell r="L601">
            <v>0</v>
          </cell>
          <cell r="M601">
            <v>0</v>
          </cell>
          <cell r="N601">
            <v>0</v>
          </cell>
          <cell r="O601">
            <v>0</v>
          </cell>
          <cell r="P601">
            <v>0</v>
          </cell>
        </row>
        <row r="602">
          <cell r="C602">
            <v>38</v>
          </cell>
          <cell r="F602">
            <v>1</v>
          </cell>
          <cell r="G602">
            <v>1</v>
          </cell>
          <cell r="H602">
            <v>46211</v>
          </cell>
          <cell r="I602">
            <v>0</v>
          </cell>
          <cell r="J602">
            <v>1</v>
          </cell>
          <cell r="K602">
            <v>0</v>
          </cell>
          <cell r="L602">
            <v>0</v>
          </cell>
          <cell r="M602">
            <v>0</v>
          </cell>
          <cell r="N602">
            <v>0</v>
          </cell>
          <cell r="O602">
            <v>0</v>
          </cell>
          <cell r="P602">
            <v>0</v>
          </cell>
        </row>
        <row r="603">
          <cell r="C603">
            <v>9</v>
          </cell>
          <cell r="F603">
            <v>1</v>
          </cell>
          <cell r="G603">
            <v>1</v>
          </cell>
          <cell r="H603">
            <v>46211</v>
          </cell>
          <cell r="I603">
            <v>0</v>
          </cell>
          <cell r="J603">
            <v>4</v>
          </cell>
          <cell r="K603">
            <v>0</v>
          </cell>
          <cell r="L603">
            <v>0</v>
          </cell>
          <cell r="M603">
            <v>0</v>
          </cell>
          <cell r="N603">
            <v>0</v>
          </cell>
          <cell r="O603">
            <v>0</v>
          </cell>
          <cell r="P603">
            <v>0</v>
          </cell>
        </row>
        <row r="604">
          <cell r="C604">
            <v>14</v>
          </cell>
          <cell r="F604">
            <v>1</v>
          </cell>
          <cell r="G604">
            <v>1</v>
          </cell>
          <cell r="H604">
            <v>46211</v>
          </cell>
          <cell r="I604">
            <v>0</v>
          </cell>
          <cell r="J604">
            <v>8</v>
          </cell>
          <cell r="K604">
            <v>0</v>
          </cell>
          <cell r="L604">
            <v>0</v>
          </cell>
          <cell r="M604">
            <v>0</v>
          </cell>
          <cell r="N604">
            <v>0</v>
          </cell>
          <cell r="O604">
            <v>0</v>
          </cell>
          <cell r="P604">
            <v>0</v>
          </cell>
        </row>
        <row r="605">
          <cell r="C605">
            <v>245</v>
          </cell>
          <cell r="F605">
            <v>1</v>
          </cell>
          <cell r="G605">
            <v>1</v>
          </cell>
          <cell r="H605">
            <v>46211</v>
          </cell>
          <cell r="I605">
            <v>0</v>
          </cell>
          <cell r="J605">
            <v>1</v>
          </cell>
          <cell r="K605">
            <v>0</v>
          </cell>
          <cell r="L605">
            <v>0</v>
          </cell>
          <cell r="M605">
            <v>0</v>
          </cell>
          <cell r="N605">
            <v>0</v>
          </cell>
          <cell r="O605">
            <v>0</v>
          </cell>
          <cell r="P605">
            <v>0</v>
          </cell>
        </row>
        <row r="606">
          <cell r="C606">
            <v>177</v>
          </cell>
          <cell r="F606">
            <v>1</v>
          </cell>
          <cell r="G606">
            <v>1</v>
          </cell>
          <cell r="H606">
            <v>46212</v>
          </cell>
          <cell r="I606">
            <v>0</v>
          </cell>
          <cell r="J606">
            <v>550</v>
          </cell>
          <cell r="K606">
            <v>0</v>
          </cell>
          <cell r="L606">
            <v>0</v>
          </cell>
          <cell r="M606">
            <v>0</v>
          </cell>
          <cell r="N606">
            <v>0</v>
          </cell>
          <cell r="O606">
            <v>0</v>
          </cell>
          <cell r="P606">
            <v>0</v>
          </cell>
        </row>
        <row r="607">
          <cell r="C607">
            <v>293</v>
          </cell>
          <cell r="F607">
            <v>1</v>
          </cell>
          <cell r="G607">
            <v>1</v>
          </cell>
          <cell r="H607">
            <v>46212</v>
          </cell>
          <cell r="I607">
            <v>0</v>
          </cell>
          <cell r="J607">
            <v>35</v>
          </cell>
          <cell r="K607">
            <v>0</v>
          </cell>
          <cell r="L607">
            <v>0</v>
          </cell>
          <cell r="M607">
            <v>0</v>
          </cell>
          <cell r="N607">
            <v>0</v>
          </cell>
          <cell r="O607">
            <v>0</v>
          </cell>
          <cell r="P607">
            <v>0</v>
          </cell>
        </row>
        <row r="608">
          <cell r="C608">
            <v>294</v>
          </cell>
          <cell r="F608">
            <v>1</v>
          </cell>
          <cell r="G608">
            <v>1</v>
          </cell>
          <cell r="H608">
            <v>46212</v>
          </cell>
          <cell r="I608">
            <v>0</v>
          </cell>
          <cell r="J608">
            <v>35</v>
          </cell>
          <cell r="K608">
            <v>0</v>
          </cell>
          <cell r="L608">
            <v>0</v>
          </cell>
          <cell r="M608">
            <v>0</v>
          </cell>
          <cell r="N608">
            <v>0</v>
          </cell>
          <cell r="O608">
            <v>0</v>
          </cell>
          <cell r="P608">
            <v>0</v>
          </cell>
        </row>
        <row r="609">
          <cell r="C609">
            <v>305</v>
          </cell>
          <cell r="F609">
            <v>1</v>
          </cell>
          <cell r="G609">
            <v>1</v>
          </cell>
          <cell r="H609">
            <v>46212</v>
          </cell>
          <cell r="I609">
            <v>0</v>
          </cell>
          <cell r="J609">
            <v>100</v>
          </cell>
          <cell r="K609">
            <v>0</v>
          </cell>
          <cell r="L609">
            <v>0</v>
          </cell>
          <cell r="M609">
            <v>0</v>
          </cell>
          <cell r="N609">
            <v>0</v>
          </cell>
          <cell r="O609">
            <v>0</v>
          </cell>
          <cell r="P609">
            <v>0</v>
          </cell>
        </row>
        <row r="610">
          <cell r="C610">
            <v>153</v>
          </cell>
          <cell r="F610">
            <v>1</v>
          </cell>
          <cell r="G610">
            <v>1</v>
          </cell>
          <cell r="H610">
            <v>46212</v>
          </cell>
          <cell r="I610">
            <v>0</v>
          </cell>
          <cell r="J610">
            <v>1</v>
          </cell>
          <cell r="K610">
            <v>0</v>
          </cell>
          <cell r="L610">
            <v>0</v>
          </cell>
          <cell r="M610">
            <v>0</v>
          </cell>
          <cell r="N610">
            <v>0</v>
          </cell>
          <cell r="O610">
            <v>0</v>
          </cell>
          <cell r="P610">
            <v>0</v>
          </cell>
        </row>
        <row r="611">
          <cell r="C611">
            <v>174</v>
          </cell>
          <cell r="F611">
            <v>1</v>
          </cell>
          <cell r="G611">
            <v>1</v>
          </cell>
          <cell r="H611">
            <v>46212</v>
          </cell>
          <cell r="I611">
            <v>0</v>
          </cell>
          <cell r="J611">
            <v>2</v>
          </cell>
          <cell r="K611">
            <v>0</v>
          </cell>
          <cell r="L611">
            <v>0</v>
          </cell>
          <cell r="M611">
            <v>0</v>
          </cell>
          <cell r="N611">
            <v>0</v>
          </cell>
          <cell r="O611">
            <v>0</v>
          </cell>
          <cell r="P611">
            <v>0</v>
          </cell>
        </row>
        <row r="612">
          <cell r="C612">
            <v>209</v>
          </cell>
          <cell r="F612">
            <v>1</v>
          </cell>
          <cell r="G612">
            <v>1</v>
          </cell>
          <cell r="H612">
            <v>46212</v>
          </cell>
          <cell r="I612">
            <v>0</v>
          </cell>
          <cell r="J612">
            <v>3</v>
          </cell>
          <cell r="K612">
            <v>0</v>
          </cell>
          <cell r="L612">
            <v>0</v>
          </cell>
          <cell r="M612">
            <v>0</v>
          </cell>
          <cell r="N612">
            <v>0</v>
          </cell>
          <cell r="O612">
            <v>0</v>
          </cell>
          <cell r="P612">
            <v>0</v>
          </cell>
        </row>
        <row r="613">
          <cell r="C613">
            <v>307</v>
          </cell>
          <cell r="F613">
            <v>1</v>
          </cell>
          <cell r="G613">
            <v>1</v>
          </cell>
          <cell r="H613">
            <v>46212</v>
          </cell>
          <cell r="I613">
            <v>0</v>
          </cell>
          <cell r="J613">
            <v>4</v>
          </cell>
          <cell r="K613">
            <v>0</v>
          </cell>
          <cell r="L613">
            <v>0</v>
          </cell>
          <cell r="M613">
            <v>0</v>
          </cell>
          <cell r="N613">
            <v>0</v>
          </cell>
          <cell r="O613">
            <v>0</v>
          </cell>
          <cell r="P613">
            <v>0</v>
          </cell>
        </row>
        <row r="614">
          <cell r="C614">
            <v>321</v>
          </cell>
          <cell r="F614">
            <v>1</v>
          </cell>
          <cell r="G614">
            <v>1</v>
          </cell>
          <cell r="H614">
            <v>46212</v>
          </cell>
          <cell r="I614">
            <v>0</v>
          </cell>
          <cell r="J614">
            <v>1</v>
          </cell>
          <cell r="K614">
            <v>0</v>
          </cell>
          <cell r="L614">
            <v>0</v>
          </cell>
          <cell r="M614">
            <v>0</v>
          </cell>
          <cell r="N614">
            <v>0</v>
          </cell>
          <cell r="O614">
            <v>0</v>
          </cell>
          <cell r="P614">
            <v>0</v>
          </cell>
        </row>
        <row r="615">
          <cell r="C615">
            <v>258</v>
          </cell>
          <cell r="F615">
            <v>1</v>
          </cell>
          <cell r="G615">
            <v>1</v>
          </cell>
          <cell r="H615">
            <v>46212</v>
          </cell>
          <cell r="I615">
            <v>0</v>
          </cell>
          <cell r="J615">
            <v>1</v>
          </cell>
          <cell r="K615">
            <v>0</v>
          </cell>
          <cell r="L615">
            <v>0</v>
          </cell>
          <cell r="M615">
            <v>0</v>
          </cell>
          <cell r="N615">
            <v>0</v>
          </cell>
          <cell r="O615">
            <v>0</v>
          </cell>
          <cell r="P615">
            <v>0</v>
          </cell>
        </row>
        <row r="616">
          <cell r="C616">
            <v>310</v>
          </cell>
          <cell r="F616">
            <v>1</v>
          </cell>
          <cell r="G616">
            <v>1</v>
          </cell>
          <cell r="H616">
            <v>46212</v>
          </cell>
          <cell r="I616">
            <v>0</v>
          </cell>
          <cell r="J616">
            <v>1</v>
          </cell>
          <cell r="K616">
            <v>0</v>
          </cell>
          <cell r="L616">
            <v>0</v>
          </cell>
          <cell r="M616">
            <v>0</v>
          </cell>
          <cell r="N616">
            <v>0</v>
          </cell>
          <cell r="O616">
            <v>0</v>
          </cell>
          <cell r="P616">
            <v>0</v>
          </cell>
        </row>
        <row r="617">
          <cell r="C617">
            <v>314</v>
          </cell>
          <cell r="F617">
            <v>1</v>
          </cell>
          <cell r="G617">
            <v>1</v>
          </cell>
          <cell r="H617">
            <v>46212</v>
          </cell>
          <cell r="I617">
            <v>0</v>
          </cell>
          <cell r="J617">
            <v>1</v>
          </cell>
          <cell r="K617">
            <v>0</v>
          </cell>
          <cell r="L617">
            <v>0</v>
          </cell>
          <cell r="M617">
            <v>0</v>
          </cell>
          <cell r="N617">
            <v>0</v>
          </cell>
          <cell r="O617">
            <v>0</v>
          </cell>
          <cell r="P617">
            <v>0</v>
          </cell>
        </row>
        <row r="618">
          <cell r="C618">
            <v>276</v>
          </cell>
          <cell r="F618">
            <v>1</v>
          </cell>
          <cell r="G618">
            <v>1</v>
          </cell>
          <cell r="H618">
            <v>46213</v>
          </cell>
          <cell r="I618">
            <v>0</v>
          </cell>
          <cell r="J618">
            <v>3</v>
          </cell>
          <cell r="K618">
            <v>0</v>
          </cell>
          <cell r="L618">
            <v>0</v>
          </cell>
          <cell r="M618">
            <v>0</v>
          </cell>
          <cell r="N618">
            <v>0</v>
          </cell>
          <cell r="O618">
            <v>0</v>
          </cell>
          <cell r="P618">
            <v>0</v>
          </cell>
        </row>
        <row r="619">
          <cell r="C619">
            <v>275</v>
          </cell>
          <cell r="F619">
            <v>1</v>
          </cell>
          <cell r="G619">
            <v>1</v>
          </cell>
          <cell r="H619">
            <v>46213</v>
          </cell>
          <cell r="I619">
            <v>0</v>
          </cell>
          <cell r="J619">
            <v>10</v>
          </cell>
          <cell r="K619">
            <v>0</v>
          </cell>
          <cell r="L619">
            <v>0</v>
          </cell>
          <cell r="M619">
            <v>0</v>
          </cell>
          <cell r="N619">
            <v>0</v>
          </cell>
          <cell r="O619">
            <v>0</v>
          </cell>
          <cell r="P619">
            <v>0</v>
          </cell>
        </row>
        <row r="620">
          <cell r="C620">
            <v>214</v>
          </cell>
          <cell r="F620">
            <v>1</v>
          </cell>
          <cell r="G620">
            <v>1</v>
          </cell>
          <cell r="H620">
            <v>46213</v>
          </cell>
          <cell r="I620">
            <v>0</v>
          </cell>
          <cell r="J620">
            <v>32</v>
          </cell>
          <cell r="K620">
            <v>0</v>
          </cell>
          <cell r="L620">
            <v>0</v>
          </cell>
          <cell r="M620">
            <v>0</v>
          </cell>
          <cell r="N620">
            <v>0</v>
          </cell>
          <cell r="O620">
            <v>0</v>
          </cell>
          <cell r="P620">
            <v>0</v>
          </cell>
        </row>
        <row r="621">
          <cell r="C621">
            <v>206</v>
          </cell>
          <cell r="F621">
            <v>1</v>
          </cell>
          <cell r="G621">
            <v>1</v>
          </cell>
          <cell r="H621">
            <v>46213</v>
          </cell>
          <cell r="I621">
            <v>0</v>
          </cell>
          <cell r="J621">
            <v>4</v>
          </cell>
          <cell r="K621">
            <v>0</v>
          </cell>
          <cell r="L621">
            <v>0</v>
          </cell>
          <cell r="M621">
            <v>0</v>
          </cell>
          <cell r="N621">
            <v>0</v>
          </cell>
          <cell r="O621">
            <v>0</v>
          </cell>
          <cell r="P621">
            <v>0</v>
          </cell>
        </row>
        <row r="622">
          <cell r="C622">
            <v>212</v>
          </cell>
          <cell r="F622">
            <v>1</v>
          </cell>
          <cell r="G622">
            <v>1</v>
          </cell>
          <cell r="H622">
            <v>46213</v>
          </cell>
          <cell r="I622">
            <v>0</v>
          </cell>
          <cell r="J622">
            <v>1</v>
          </cell>
          <cell r="K622">
            <v>0</v>
          </cell>
          <cell r="L622">
            <v>0</v>
          </cell>
          <cell r="M622">
            <v>0</v>
          </cell>
          <cell r="N622">
            <v>0</v>
          </cell>
          <cell r="O622">
            <v>0</v>
          </cell>
          <cell r="P622">
            <v>0</v>
          </cell>
        </row>
        <row r="623">
          <cell r="C623">
            <v>325</v>
          </cell>
          <cell r="F623">
            <v>1</v>
          </cell>
          <cell r="G623">
            <v>1</v>
          </cell>
          <cell r="H623">
            <v>46213</v>
          </cell>
          <cell r="I623">
            <v>0</v>
          </cell>
          <cell r="J623">
            <v>1</v>
          </cell>
          <cell r="K623">
            <v>0</v>
          </cell>
          <cell r="L623">
            <v>0</v>
          </cell>
          <cell r="M623">
            <v>0</v>
          </cell>
          <cell r="N623">
            <v>0</v>
          </cell>
          <cell r="O623">
            <v>0</v>
          </cell>
          <cell r="P623">
            <v>0</v>
          </cell>
        </row>
        <row r="624">
          <cell r="C624">
            <v>336</v>
          </cell>
          <cell r="F624">
            <v>1</v>
          </cell>
          <cell r="G624">
            <v>1</v>
          </cell>
          <cell r="H624">
            <v>46213</v>
          </cell>
          <cell r="I624">
            <v>0</v>
          </cell>
          <cell r="J624">
            <v>1</v>
          </cell>
          <cell r="K624">
            <v>0</v>
          </cell>
          <cell r="L624">
            <v>0</v>
          </cell>
          <cell r="M624">
            <v>0</v>
          </cell>
          <cell r="N624">
            <v>0</v>
          </cell>
          <cell r="O624">
            <v>0</v>
          </cell>
          <cell r="P624">
            <v>0</v>
          </cell>
        </row>
        <row r="625">
          <cell r="C625">
            <v>266</v>
          </cell>
          <cell r="F625">
            <v>1</v>
          </cell>
          <cell r="G625">
            <v>1</v>
          </cell>
          <cell r="H625">
            <v>46213</v>
          </cell>
          <cell r="I625">
            <v>0</v>
          </cell>
          <cell r="J625">
            <v>3</v>
          </cell>
          <cell r="K625">
            <v>0</v>
          </cell>
          <cell r="L625">
            <v>0</v>
          </cell>
          <cell r="M625">
            <v>0</v>
          </cell>
          <cell r="N625">
            <v>0</v>
          </cell>
          <cell r="O625">
            <v>0</v>
          </cell>
          <cell r="P625">
            <v>0</v>
          </cell>
        </row>
        <row r="626">
          <cell r="C626">
            <v>272</v>
          </cell>
          <cell r="F626">
            <v>1</v>
          </cell>
          <cell r="G626">
            <v>1</v>
          </cell>
          <cell r="H626">
            <v>46213</v>
          </cell>
          <cell r="I626">
            <v>0</v>
          </cell>
          <cell r="J626">
            <v>15</v>
          </cell>
          <cell r="K626">
            <v>0</v>
          </cell>
          <cell r="L626">
            <v>0</v>
          </cell>
          <cell r="M626">
            <v>0</v>
          </cell>
          <cell r="N626">
            <v>0</v>
          </cell>
          <cell r="O626">
            <v>0</v>
          </cell>
          <cell r="P626">
            <v>0</v>
          </cell>
        </row>
        <row r="627">
          <cell r="C627">
            <v>306</v>
          </cell>
          <cell r="F627">
            <v>1</v>
          </cell>
          <cell r="G627">
            <v>1</v>
          </cell>
          <cell r="H627">
            <v>46213</v>
          </cell>
          <cell r="I627">
            <v>0</v>
          </cell>
          <cell r="J627">
            <v>8</v>
          </cell>
          <cell r="K627">
            <v>0</v>
          </cell>
          <cell r="L627">
            <v>0</v>
          </cell>
          <cell r="M627">
            <v>0</v>
          </cell>
          <cell r="N627">
            <v>0</v>
          </cell>
          <cell r="O627">
            <v>0</v>
          </cell>
          <cell r="P627">
            <v>0</v>
          </cell>
        </row>
        <row r="628">
          <cell r="C628">
            <v>323</v>
          </cell>
          <cell r="F628">
            <v>1</v>
          </cell>
          <cell r="G628">
            <v>1</v>
          </cell>
          <cell r="H628">
            <v>46213</v>
          </cell>
          <cell r="I628">
            <v>0</v>
          </cell>
          <cell r="J628">
            <v>12</v>
          </cell>
          <cell r="K628">
            <v>0</v>
          </cell>
          <cell r="L628">
            <v>0</v>
          </cell>
          <cell r="M628">
            <v>0</v>
          </cell>
          <cell r="N628">
            <v>0</v>
          </cell>
          <cell r="O628">
            <v>0</v>
          </cell>
          <cell r="P628">
            <v>0</v>
          </cell>
        </row>
        <row r="629">
          <cell r="C629">
            <v>183</v>
          </cell>
          <cell r="F629">
            <v>1</v>
          </cell>
          <cell r="G629">
            <v>1</v>
          </cell>
          <cell r="H629">
            <v>46213</v>
          </cell>
          <cell r="I629">
            <v>0</v>
          </cell>
          <cell r="J629">
            <v>24</v>
          </cell>
          <cell r="K629">
            <v>0</v>
          </cell>
          <cell r="L629">
            <v>0</v>
          </cell>
          <cell r="M629">
            <v>0</v>
          </cell>
          <cell r="N629">
            <v>0</v>
          </cell>
          <cell r="O629">
            <v>0</v>
          </cell>
          <cell r="P629">
            <v>0</v>
          </cell>
        </row>
        <row r="630">
          <cell r="C630">
            <v>151</v>
          </cell>
          <cell r="F630">
            <v>1</v>
          </cell>
          <cell r="G630">
            <v>1</v>
          </cell>
          <cell r="H630">
            <v>46213</v>
          </cell>
          <cell r="I630">
            <v>0</v>
          </cell>
          <cell r="J630">
            <v>1</v>
          </cell>
          <cell r="K630">
            <v>0</v>
          </cell>
          <cell r="L630">
            <v>0</v>
          </cell>
          <cell r="M630">
            <v>0</v>
          </cell>
          <cell r="N630">
            <v>0</v>
          </cell>
          <cell r="O630">
            <v>0</v>
          </cell>
          <cell r="P630">
            <v>0</v>
          </cell>
        </row>
        <row r="631">
          <cell r="C631">
            <v>288</v>
          </cell>
          <cell r="F631">
            <v>1</v>
          </cell>
          <cell r="G631">
            <v>1</v>
          </cell>
          <cell r="H631">
            <v>46214</v>
          </cell>
          <cell r="I631">
            <v>0</v>
          </cell>
          <cell r="J631">
            <v>36</v>
          </cell>
          <cell r="K631">
            <v>0</v>
          </cell>
          <cell r="L631">
            <v>0</v>
          </cell>
          <cell r="M631">
            <v>0</v>
          </cell>
          <cell r="N631">
            <v>0</v>
          </cell>
          <cell r="O631">
            <v>0</v>
          </cell>
          <cell r="P631">
            <v>0</v>
          </cell>
        </row>
        <row r="632">
          <cell r="C632">
            <v>290</v>
          </cell>
          <cell r="F632">
            <v>1</v>
          </cell>
          <cell r="G632">
            <v>1</v>
          </cell>
          <cell r="H632">
            <v>46214</v>
          </cell>
          <cell r="I632">
            <v>0</v>
          </cell>
          <cell r="J632">
            <v>20</v>
          </cell>
          <cell r="K632">
            <v>0</v>
          </cell>
          <cell r="L632">
            <v>0</v>
          </cell>
          <cell r="M632">
            <v>0</v>
          </cell>
          <cell r="N632">
            <v>0</v>
          </cell>
          <cell r="O632">
            <v>0</v>
          </cell>
          <cell r="P632">
            <v>0</v>
          </cell>
        </row>
        <row r="633">
          <cell r="C633">
            <v>177</v>
          </cell>
          <cell r="F633">
            <v>1</v>
          </cell>
          <cell r="G633">
            <v>1</v>
          </cell>
          <cell r="H633">
            <v>46214</v>
          </cell>
          <cell r="I633">
            <v>0</v>
          </cell>
          <cell r="J633">
            <v>250</v>
          </cell>
          <cell r="K633">
            <v>0</v>
          </cell>
          <cell r="L633">
            <v>0</v>
          </cell>
          <cell r="M633">
            <v>0</v>
          </cell>
          <cell r="N633">
            <v>0</v>
          </cell>
          <cell r="O633">
            <v>0</v>
          </cell>
          <cell r="P633">
            <v>0</v>
          </cell>
        </row>
        <row r="634">
          <cell r="C634">
            <v>92</v>
          </cell>
          <cell r="F634">
            <v>1</v>
          </cell>
          <cell r="G634">
            <v>1</v>
          </cell>
          <cell r="H634">
            <v>46214</v>
          </cell>
          <cell r="I634">
            <v>0</v>
          </cell>
          <cell r="J634">
            <v>15</v>
          </cell>
          <cell r="K634">
            <v>0</v>
          </cell>
          <cell r="L634">
            <v>0</v>
          </cell>
          <cell r="M634">
            <v>0</v>
          </cell>
          <cell r="N634">
            <v>0</v>
          </cell>
          <cell r="O634">
            <v>0</v>
          </cell>
          <cell r="P634">
            <v>0</v>
          </cell>
        </row>
        <row r="635">
          <cell r="C635">
            <v>250</v>
          </cell>
          <cell r="F635">
            <v>1</v>
          </cell>
          <cell r="G635">
            <v>1</v>
          </cell>
          <cell r="H635">
            <v>46214</v>
          </cell>
          <cell r="I635">
            <v>0</v>
          </cell>
          <cell r="J635">
            <v>12</v>
          </cell>
          <cell r="K635">
            <v>0</v>
          </cell>
          <cell r="L635">
            <v>0</v>
          </cell>
          <cell r="M635">
            <v>0</v>
          </cell>
          <cell r="N635">
            <v>0</v>
          </cell>
          <cell r="O635">
            <v>0</v>
          </cell>
          <cell r="P635">
            <v>0</v>
          </cell>
        </row>
        <row r="636">
          <cell r="C636">
            <v>248</v>
          </cell>
          <cell r="F636">
            <v>1</v>
          </cell>
          <cell r="G636">
            <v>1</v>
          </cell>
          <cell r="H636">
            <v>46214</v>
          </cell>
          <cell r="I636">
            <v>0</v>
          </cell>
          <cell r="J636">
            <v>1</v>
          </cell>
          <cell r="K636">
            <v>0</v>
          </cell>
          <cell r="L636">
            <v>0</v>
          </cell>
          <cell r="M636">
            <v>0</v>
          </cell>
          <cell r="N636">
            <v>0</v>
          </cell>
          <cell r="O636">
            <v>0</v>
          </cell>
          <cell r="P636">
            <v>0</v>
          </cell>
        </row>
        <row r="637">
          <cell r="C637">
            <v>50</v>
          </cell>
          <cell r="F637">
            <v>1</v>
          </cell>
          <cell r="G637">
            <v>1</v>
          </cell>
          <cell r="H637">
            <v>46214</v>
          </cell>
          <cell r="I637">
            <v>0</v>
          </cell>
          <cell r="J637">
            <v>4</v>
          </cell>
          <cell r="K637">
            <v>0</v>
          </cell>
          <cell r="L637">
            <v>0</v>
          </cell>
          <cell r="M637">
            <v>0</v>
          </cell>
          <cell r="N637">
            <v>0</v>
          </cell>
          <cell r="O637">
            <v>0</v>
          </cell>
          <cell r="P637">
            <v>0</v>
          </cell>
        </row>
        <row r="638">
          <cell r="C638">
            <v>254</v>
          </cell>
          <cell r="F638">
            <v>1</v>
          </cell>
          <cell r="G638">
            <v>1</v>
          </cell>
          <cell r="H638">
            <v>46214</v>
          </cell>
          <cell r="I638">
            <v>0</v>
          </cell>
          <cell r="J638">
            <v>1</v>
          </cell>
          <cell r="K638">
            <v>0</v>
          </cell>
          <cell r="L638">
            <v>0</v>
          </cell>
          <cell r="M638">
            <v>0</v>
          </cell>
          <cell r="N638">
            <v>0</v>
          </cell>
          <cell r="O638">
            <v>0</v>
          </cell>
          <cell r="P638">
            <v>0</v>
          </cell>
        </row>
        <row r="639">
          <cell r="C639">
            <v>293</v>
          </cell>
          <cell r="F639">
            <v>1</v>
          </cell>
          <cell r="G639">
            <v>1</v>
          </cell>
          <cell r="H639">
            <v>46214</v>
          </cell>
          <cell r="I639">
            <v>0</v>
          </cell>
          <cell r="J639">
            <v>70</v>
          </cell>
          <cell r="K639">
            <v>0</v>
          </cell>
          <cell r="L639">
            <v>0</v>
          </cell>
          <cell r="M639">
            <v>0</v>
          </cell>
          <cell r="N639">
            <v>0</v>
          </cell>
          <cell r="O639">
            <v>0</v>
          </cell>
          <cell r="P639">
            <v>0</v>
          </cell>
        </row>
        <row r="640">
          <cell r="C640">
            <v>341</v>
          </cell>
          <cell r="F640">
            <v>1</v>
          </cell>
          <cell r="G640">
            <v>1</v>
          </cell>
          <cell r="H640">
            <v>46214</v>
          </cell>
          <cell r="I640">
            <v>0</v>
          </cell>
          <cell r="J640">
            <v>5</v>
          </cell>
          <cell r="K640">
            <v>0</v>
          </cell>
          <cell r="L640">
            <v>0</v>
          </cell>
          <cell r="M640">
            <v>0</v>
          </cell>
          <cell r="N640">
            <v>0</v>
          </cell>
          <cell r="O640">
            <v>0</v>
          </cell>
          <cell r="P640">
            <v>0</v>
          </cell>
        </row>
        <row r="641">
          <cell r="C641">
            <v>13</v>
          </cell>
          <cell r="F641">
            <v>1</v>
          </cell>
          <cell r="G641">
            <v>1</v>
          </cell>
          <cell r="H641">
            <v>46215</v>
          </cell>
          <cell r="I641">
            <v>0</v>
          </cell>
          <cell r="J641">
            <v>12</v>
          </cell>
          <cell r="K641">
            <v>0</v>
          </cell>
          <cell r="L641">
            <v>0</v>
          </cell>
          <cell r="M641">
            <v>0</v>
          </cell>
          <cell r="N641">
            <v>0</v>
          </cell>
          <cell r="O641">
            <v>0</v>
          </cell>
          <cell r="P641">
            <v>0</v>
          </cell>
        </row>
        <row r="642">
          <cell r="C642">
            <v>10</v>
          </cell>
          <cell r="F642">
            <v>1</v>
          </cell>
          <cell r="G642">
            <v>1</v>
          </cell>
          <cell r="H642">
            <v>46215</v>
          </cell>
          <cell r="I642">
            <v>0</v>
          </cell>
          <cell r="J642">
            <v>4</v>
          </cell>
          <cell r="K642">
            <v>0</v>
          </cell>
          <cell r="L642">
            <v>0</v>
          </cell>
          <cell r="M642">
            <v>0</v>
          </cell>
          <cell r="N642">
            <v>0</v>
          </cell>
          <cell r="O642">
            <v>0</v>
          </cell>
          <cell r="P642">
            <v>0</v>
          </cell>
        </row>
        <row r="643">
          <cell r="C643">
            <v>37</v>
          </cell>
          <cell r="F643">
            <v>1</v>
          </cell>
          <cell r="G643">
            <v>1</v>
          </cell>
          <cell r="H643">
            <v>46215</v>
          </cell>
          <cell r="I643">
            <v>0</v>
          </cell>
          <cell r="J643">
            <v>1</v>
          </cell>
          <cell r="K643">
            <v>0</v>
          </cell>
          <cell r="L643">
            <v>0</v>
          </cell>
          <cell r="M643">
            <v>0</v>
          </cell>
          <cell r="N643">
            <v>0</v>
          </cell>
          <cell r="O643">
            <v>0</v>
          </cell>
          <cell r="P643">
            <v>0</v>
          </cell>
        </row>
        <row r="644">
          <cell r="C644">
            <v>34</v>
          </cell>
          <cell r="F644">
            <v>1</v>
          </cell>
          <cell r="G644">
            <v>1</v>
          </cell>
          <cell r="H644">
            <v>46215</v>
          </cell>
          <cell r="I644">
            <v>0</v>
          </cell>
          <cell r="J644">
            <v>3</v>
          </cell>
          <cell r="K644">
            <v>0</v>
          </cell>
          <cell r="L644">
            <v>0</v>
          </cell>
          <cell r="M644">
            <v>0</v>
          </cell>
          <cell r="N644">
            <v>0</v>
          </cell>
          <cell r="O644">
            <v>0</v>
          </cell>
          <cell r="P644">
            <v>0</v>
          </cell>
        </row>
        <row r="645">
          <cell r="C645">
            <v>26</v>
          </cell>
          <cell r="F645">
            <v>1</v>
          </cell>
          <cell r="G645">
            <v>1</v>
          </cell>
          <cell r="H645">
            <v>46215</v>
          </cell>
          <cell r="I645">
            <v>0</v>
          </cell>
          <cell r="J645">
            <v>4</v>
          </cell>
          <cell r="K645">
            <v>0</v>
          </cell>
          <cell r="L645">
            <v>0</v>
          </cell>
          <cell r="M645">
            <v>0</v>
          </cell>
          <cell r="N645">
            <v>0</v>
          </cell>
          <cell r="O645">
            <v>0</v>
          </cell>
          <cell r="P645">
            <v>0</v>
          </cell>
        </row>
        <row r="646">
          <cell r="C646">
            <v>317</v>
          </cell>
          <cell r="F646">
            <v>1</v>
          </cell>
          <cell r="G646">
            <v>1</v>
          </cell>
          <cell r="H646">
            <v>46215</v>
          </cell>
          <cell r="I646">
            <v>0</v>
          </cell>
          <cell r="J646">
            <v>3</v>
          </cell>
          <cell r="K646">
            <v>0</v>
          </cell>
          <cell r="L646">
            <v>0</v>
          </cell>
          <cell r="M646">
            <v>0</v>
          </cell>
          <cell r="N646">
            <v>0</v>
          </cell>
          <cell r="O646">
            <v>0</v>
          </cell>
          <cell r="P646">
            <v>0</v>
          </cell>
        </row>
        <row r="647">
          <cell r="C647">
            <v>225</v>
          </cell>
          <cell r="F647">
            <v>1</v>
          </cell>
          <cell r="G647">
            <v>1</v>
          </cell>
          <cell r="H647">
            <v>46215</v>
          </cell>
          <cell r="I647">
            <v>0</v>
          </cell>
          <cell r="J647">
            <v>2</v>
          </cell>
          <cell r="K647">
            <v>0</v>
          </cell>
          <cell r="L647">
            <v>0</v>
          </cell>
          <cell r="M647">
            <v>0</v>
          </cell>
          <cell r="N647">
            <v>0</v>
          </cell>
          <cell r="O647">
            <v>0</v>
          </cell>
          <cell r="P647">
            <v>0</v>
          </cell>
        </row>
        <row r="648">
          <cell r="C648">
            <v>243</v>
          </cell>
          <cell r="F648">
            <v>1</v>
          </cell>
          <cell r="G648">
            <v>1</v>
          </cell>
          <cell r="H648">
            <v>46215</v>
          </cell>
          <cell r="I648">
            <v>0</v>
          </cell>
          <cell r="J648">
            <v>1</v>
          </cell>
          <cell r="K648">
            <v>0</v>
          </cell>
          <cell r="L648">
            <v>0</v>
          </cell>
          <cell r="M648">
            <v>0</v>
          </cell>
          <cell r="N648">
            <v>0</v>
          </cell>
          <cell r="O648">
            <v>0</v>
          </cell>
          <cell r="P648">
            <v>0</v>
          </cell>
        </row>
        <row r="649">
          <cell r="C649">
            <v>268</v>
          </cell>
          <cell r="F649">
            <v>1</v>
          </cell>
          <cell r="G649">
            <v>1</v>
          </cell>
          <cell r="H649">
            <v>46215</v>
          </cell>
          <cell r="I649">
            <v>0</v>
          </cell>
          <cell r="J649">
            <v>2</v>
          </cell>
          <cell r="K649">
            <v>0</v>
          </cell>
          <cell r="L649">
            <v>0</v>
          </cell>
          <cell r="M649">
            <v>0</v>
          </cell>
          <cell r="N649">
            <v>0</v>
          </cell>
          <cell r="O649">
            <v>0</v>
          </cell>
          <cell r="P649">
            <v>0</v>
          </cell>
        </row>
        <row r="650">
          <cell r="C650">
            <v>319</v>
          </cell>
          <cell r="F650">
            <v>1</v>
          </cell>
          <cell r="G650">
            <v>1</v>
          </cell>
          <cell r="H650">
            <v>46215</v>
          </cell>
          <cell r="I650">
            <v>0</v>
          </cell>
          <cell r="J650">
            <v>2</v>
          </cell>
          <cell r="K650">
            <v>0</v>
          </cell>
          <cell r="L650">
            <v>0</v>
          </cell>
          <cell r="M650">
            <v>0</v>
          </cell>
          <cell r="N650">
            <v>0</v>
          </cell>
          <cell r="O650">
            <v>0</v>
          </cell>
          <cell r="P650">
            <v>0</v>
          </cell>
        </row>
        <row r="651">
          <cell r="C651">
            <v>293</v>
          </cell>
          <cell r="F651">
            <v>1</v>
          </cell>
          <cell r="G651">
            <v>1</v>
          </cell>
          <cell r="H651">
            <v>46215</v>
          </cell>
          <cell r="I651">
            <v>0</v>
          </cell>
          <cell r="J651">
            <v>175</v>
          </cell>
          <cell r="K651">
            <v>0</v>
          </cell>
          <cell r="L651">
            <v>0</v>
          </cell>
          <cell r="M651">
            <v>0</v>
          </cell>
          <cell r="N651">
            <v>0</v>
          </cell>
          <cell r="O651">
            <v>0</v>
          </cell>
          <cell r="P651">
            <v>0</v>
          </cell>
        </row>
        <row r="652">
          <cell r="C652">
            <v>305</v>
          </cell>
          <cell r="F652">
            <v>1</v>
          </cell>
          <cell r="G652">
            <v>1</v>
          </cell>
          <cell r="H652">
            <v>46215</v>
          </cell>
          <cell r="I652">
            <v>0</v>
          </cell>
          <cell r="J652">
            <v>500</v>
          </cell>
          <cell r="K652">
            <v>0</v>
          </cell>
          <cell r="L652">
            <v>0</v>
          </cell>
          <cell r="M652">
            <v>0</v>
          </cell>
          <cell r="N652">
            <v>0</v>
          </cell>
          <cell r="O652">
            <v>0</v>
          </cell>
          <cell r="P652">
            <v>0</v>
          </cell>
        </row>
        <row r="653">
          <cell r="C653">
            <v>177</v>
          </cell>
          <cell r="F653">
            <v>1</v>
          </cell>
          <cell r="G653">
            <v>1</v>
          </cell>
          <cell r="H653">
            <v>46215</v>
          </cell>
          <cell r="I653">
            <v>0</v>
          </cell>
          <cell r="J653">
            <v>250</v>
          </cell>
          <cell r="K653">
            <v>0</v>
          </cell>
          <cell r="L653">
            <v>0</v>
          </cell>
          <cell r="M653">
            <v>0</v>
          </cell>
          <cell r="N653">
            <v>0</v>
          </cell>
          <cell r="O653">
            <v>0</v>
          </cell>
          <cell r="P653">
            <v>0</v>
          </cell>
        </row>
        <row r="654">
          <cell r="C654">
            <v>293</v>
          </cell>
          <cell r="F654">
            <v>1</v>
          </cell>
          <cell r="G654">
            <v>1</v>
          </cell>
          <cell r="H654">
            <v>46216</v>
          </cell>
          <cell r="I654">
            <v>0</v>
          </cell>
          <cell r="J654">
            <v>105</v>
          </cell>
          <cell r="K654">
            <v>0</v>
          </cell>
          <cell r="L654">
            <v>0</v>
          </cell>
          <cell r="M654">
            <v>0</v>
          </cell>
          <cell r="N654">
            <v>0</v>
          </cell>
          <cell r="O654">
            <v>0</v>
          </cell>
          <cell r="P654">
            <v>0</v>
          </cell>
        </row>
        <row r="655">
          <cell r="C655">
            <v>176</v>
          </cell>
          <cell r="F655">
            <v>1</v>
          </cell>
          <cell r="G655">
            <v>1</v>
          </cell>
          <cell r="H655">
            <v>46216</v>
          </cell>
          <cell r="I655">
            <v>0</v>
          </cell>
          <cell r="J655">
            <v>400</v>
          </cell>
          <cell r="K655">
            <v>0</v>
          </cell>
          <cell r="L655">
            <v>0</v>
          </cell>
          <cell r="M655">
            <v>0</v>
          </cell>
          <cell r="N655">
            <v>0</v>
          </cell>
          <cell r="O655">
            <v>0</v>
          </cell>
          <cell r="P655">
            <v>0</v>
          </cell>
        </row>
        <row r="656">
          <cell r="C656">
            <v>305</v>
          </cell>
          <cell r="F656">
            <v>1</v>
          </cell>
          <cell r="G656">
            <v>1</v>
          </cell>
          <cell r="H656">
            <v>46216</v>
          </cell>
          <cell r="I656">
            <v>0</v>
          </cell>
          <cell r="J656">
            <v>300</v>
          </cell>
          <cell r="K656">
            <v>0</v>
          </cell>
          <cell r="L656">
            <v>0</v>
          </cell>
          <cell r="M656">
            <v>0</v>
          </cell>
          <cell r="N656">
            <v>0</v>
          </cell>
          <cell r="O656">
            <v>0</v>
          </cell>
          <cell r="P656">
            <v>0</v>
          </cell>
        </row>
        <row r="657">
          <cell r="C657">
            <v>294</v>
          </cell>
          <cell r="F657">
            <v>1</v>
          </cell>
          <cell r="G657">
            <v>1</v>
          </cell>
          <cell r="H657">
            <v>46217</v>
          </cell>
          <cell r="I657">
            <v>0</v>
          </cell>
          <cell r="J657">
            <v>70</v>
          </cell>
          <cell r="K657">
            <v>0</v>
          </cell>
          <cell r="L657">
            <v>0</v>
          </cell>
          <cell r="M657">
            <v>0</v>
          </cell>
          <cell r="N657">
            <v>0</v>
          </cell>
          <cell r="O657">
            <v>0</v>
          </cell>
          <cell r="P657">
            <v>0</v>
          </cell>
        </row>
        <row r="658">
          <cell r="C658">
            <v>333</v>
          </cell>
          <cell r="F658">
            <v>1</v>
          </cell>
          <cell r="G658">
            <v>1</v>
          </cell>
          <cell r="H658">
            <v>46217</v>
          </cell>
          <cell r="I658">
            <v>0</v>
          </cell>
          <cell r="J658">
            <v>5</v>
          </cell>
          <cell r="K658">
            <v>0</v>
          </cell>
          <cell r="L658">
            <v>0</v>
          </cell>
          <cell r="M658">
            <v>0</v>
          </cell>
          <cell r="N658">
            <v>0</v>
          </cell>
          <cell r="O658">
            <v>0</v>
          </cell>
          <cell r="P658">
            <v>0</v>
          </cell>
        </row>
        <row r="659">
          <cell r="C659">
            <v>257</v>
          </cell>
          <cell r="F659">
            <v>1</v>
          </cell>
          <cell r="G659">
            <v>1</v>
          </cell>
          <cell r="H659">
            <v>46217</v>
          </cell>
          <cell r="I659">
            <v>0</v>
          </cell>
          <cell r="J659">
            <v>2</v>
          </cell>
          <cell r="K659">
            <v>0</v>
          </cell>
          <cell r="L659">
            <v>0</v>
          </cell>
          <cell r="M659">
            <v>0</v>
          </cell>
          <cell r="N659">
            <v>0</v>
          </cell>
          <cell r="O659">
            <v>0</v>
          </cell>
          <cell r="P659">
            <v>0</v>
          </cell>
        </row>
        <row r="660">
          <cell r="C660">
            <v>253</v>
          </cell>
          <cell r="F660">
            <v>1</v>
          </cell>
          <cell r="G660">
            <v>1</v>
          </cell>
          <cell r="H660">
            <v>46217</v>
          </cell>
          <cell r="I660">
            <v>0</v>
          </cell>
          <cell r="J660">
            <v>2</v>
          </cell>
          <cell r="K660">
            <v>0</v>
          </cell>
          <cell r="L660">
            <v>0</v>
          </cell>
          <cell r="M660">
            <v>0</v>
          </cell>
          <cell r="N660">
            <v>0</v>
          </cell>
          <cell r="O660">
            <v>0</v>
          </cell>
          <cell r="P660">
            <v>0</v>
          </cell>
        </row>
        <row r="661">
          <cell r="C661">
            <v>68</v>
          </cell>
          <cell r="F661">
            <v>1</v>
          </cell>
          <cell r="G661">
            <v>1</v>
          </cell>
          <cell r="H661">
            <v>46217</v>
          </cell>
          <cell r="I661">
            <v>0</v>
          </cell>
          <cell r="J661">
            <v>2</v>
          </cell>
          <cell r="K661">
            <v>0</v>
          </cell>
          <cell r="L661">
            <v>0</v>
          </cell>
          <cell r="M661">
            <v>0</v>
          </cell>
          <cell r="N661">
            <v>0</v>
          </cell>
          <cell r="O661">
            <v>0</v>
          </cell>
          <cell r="P661">
            <v>0</v>
          </cell>
        </row>
        <row r="662">
          <cell r="C662">
            <v>42</v>
          </cell>
          <cell r="F662">
            <v>1</v>
          </cell>
          <cell r="G662">
            <v>1</v>
          </cell>
          <cell r="H662">
            <v>46217</v>
          </cell>
          <cell r="I662">
            <v>0</v>
          </cell>
          <cell r="J662">
            <v>14</v>
          </cell>
          <cell r="K662">
            <v>0</v>
          </cell>
          <cell r="L662">
            <v>0</v>
          </cell>
          <cell r="M662">
            <v>0</v>
          </cell>
          <cell r="N662">
            <v>0</v>
          </cell>
          <cell r="O662">
            <v>0</v>
          </cell>
          <cell r="P662">
            <v>0</v>
          </cell>
        </row>
        <row r="663">
          <cell r="C663">
            <v>67</v>
          </cell>
          <cell r="F663">
            <v>1</v>
          </cell>
          <cell r="G663">
            <v>1</v>
          </cell>
          <cell r="H663">
            <v>46217</v>
          </cell>
          <cell r="I663">
            <v>0</v>
          </cell>
          <cell r="J663">
            <v>1</v>
          </cell>
          <cell r="K663">
            <v>0</v>
          </cell>
          <cell r="L663">
            <v>0</v>
          </cell>
          <cell r="M663">
            <v>0</v>
          </cell>
          <cell r="N663">
            <v>0</v>
          </cell>
          <cell r="O663">
            <v>0</v>
          </cell>
          <cell r="P663">
            <v>0</v>
          </cell>
        </row>
        <row r="664">
          <cell r="C664">
            <v>56</v>
          </cell>
          <cell r="F664">
            <v>1</v>
          </cell>
          <cell r="G664">
            <v>1</v>
          </cell>
          <cell r="H664">
            <v>46217</v>
          </cell>
          <cell r="I664">
            <v>0</v>
          </cell>
          <cell r="J664">
            <v>1</v>
          </cell>
          <cell r="K664">
            <v>0</v>
          </cell>
          <cell r="L664">
            <v>0</v>
          </cell>
          <cell r="M664">
            <v>0</v>
          </cell>
          <cell r="N664">
            <v>0</v>
          </cell>
          <cell r="O664">
            <v>0</v>
          </cell>
          <cell r="P664">
            <v>0</v>
          </cell>
        </row>
        <row r="665">
          <cell r="C665">
            <v>70</v>
          </cell>
          <cell r="F665">
            <v>1</v>
          </cell>
          <cell r="G665">
            <v>1</v>
          </cell>
          <cell r="H665">
            <v>46217</v>
          </cell>
          <cell r="I665">
            <v>0</v>
          </cell>
          <cell r="J665">
            <v>1</v>
          </cell>
          <cell r="K665">
            <v>0</v>
          </cell>
          <cell r="L665">
            <v>0</v>
          </cell>
          <cell r="M665">
            <v>0</v>
          </cell>
          <cell r="N665">
            <v>0</v>
          </cell>
          <cell r="O665">
            <v>0</v>
          </cell>
          <cell r="P665">
            <v>0</v>
          </cell>
        </row>
        <row r="666">
          <cell r="C666">
            <v>267</v>
          </cell>
          <cell r="F666">
            <v>1</v>
          </cell>
          <cell r="G666">
            <v>1</v>
          </cell>
          <cell r="H666">
            <v>46217</v>
          </cell>
          <cell r="I666">
            <v>0</v>
          </cell>
          <cell r="J666">
            <v>1</v>
          </cell>
          <cell r="K666">
            <v>0</v>
          </cell>
          <cell r="L666">
            <v>0</v>
          </cell>
          <cell r="M666">
            <v>0</v>
          </cell>
          <cell r="N666">
            <v>0</v>
          </cell>
          <cell r="O666">
            <v>0</v>
          </cell>
          <cell r="P666">
            <v>0</v>
          </cell>
        </row>
        <row r="667">
          <cell r="C667">
            <v>256</v>
          </cell>
          <cell r="F667">
            <v>1</v>
          </cell>
          <cell r="G667">
            <v>1</v>
          </cell>
          <cell r="H667">
            <v>46217</v>
          </cell>
          <cell r="I667">
            <v>0</v>
          </cell>
          <cell r="J667">
            <v>5</v>
          </cell>
          <cell r="K667">
            <v>0</v>
          </cell>
          <cell r="L667">
            <v>0</v>
          </cell>
          <cell r="M667">
            <v>0</v>
          </cell>
          <cell r="N667">
            <v>0</v>
          </cell>
          <cell r="O667">
            <v>0</v>
          </cell>
          <cell r="P667">
            <v>0</v>
          </cell>
        </row>
        <row r="668">
          <cell r="C668">
            <v>14</v>
          </cell>
          <cell r="F668">
            <v>1</v>
          </cell>
          <cell r="G668">
            <v>1</v>
          </cell>
          <cell r="H668">
            <v>46217</v>
          </cell>
          <cell r="I668">
            <v>0</v>
          </cell>
          <cell r="J668">
            <v>4</v>
          </cell>
          <cell r="K668">
            <v>0</v>
          </cell>
          <cell r="L668">
            <v>0</v>
          </cell>
          <cell r="M668">
            <v>0</v>
          </cell>
          <cell r="N668">
            <v>0</v>
          </cell>
          <cell r="O668">
            <v>0</v>
          </cell>
          <cell r="P668">
            <v>0</v>
          </cell>
        </row>
        <row r="669">
          <cell r="C669">
            <v>328</v>
          </cell>
          <cell r="F669">
            <v>1</v>
          </cell>
          <cell r="G669">
            <v>1</v>
          </cell>
          <cell r="H669">
            <v>46217</v>
          </cell>
          <cell r="I669">
            <v>0</v>
          </cell>
          <cell r="J669">
            <v>1</v>
          </cell>
          <cell r="K669">
            <v>0</v>
          </cell>
          <cell r="L669">
            <v>0</v>
          </cell>
          <cell r="M669">
            <v>0</v>
          </cell>
          <cell r="N669">
            <v>0</v>
          </cell>
          <cell r="O669">
            <v>0</v>
          </cell>
          <cell r="P669">
            <v>0</v>
          </cell>
        </row>
        <row r="670">
          <cell r="C670">
            <v>45</v>
          </cell>
          <cell r="F670">
            <v>1</v>
          </cell>
          <cell r="G670">
            <v>1</v>
          </cell>
          <cell r="H670">
            <v>46217</v>
          </cell>
          <cell r="I670">
            <v>0</v>
          </cell>
          <cell r="J670">
            <v>3</v>
          </cell>
          <cell r="K670">
            <v>0</v>
          </cell>
          <cell r="L670">
            <v>0</v>
          </cell>
          <cell r="M670">
            <v>0</v>
          </cell>
          <cell r="N670">
            <v>0</v>
          </cell>
          <cell r="O670">
            <v>0</v>
          </cell>
          <cell r="P670">
            <v>0</v>
          </cell>
        </row>
        <row r="671">
          <cell r="C671">
            <v>260</v>
          </cell>
          <cell r="F671">
            <v>1</v>
          </cell>
          <cell r="G671">
            <v>1</v>
          </cell>
          <cell r="H671">
            <v>46217</v>
          </cell>
          <cell r="I671">
            <v>0</v>
          </cell>
          <cell r="J671">
            <v>1</v>
          </cell>
          <cell r="K671">
            <v>0</v>
          </cell>
          <cell r="L671">
            <v>0</v>
          </cell>
          <cell r="M671">
            <v>0</v>
          </cell>
          <cell r="N671">
            <v>0</v>
          </cell>
          <cell r="O671">
            <v>0</v>
          </cell>
          <cell r="P671">
            <v>0</v>
          </cell>
        </row>
        <row r="672">
          <cell r="C672">
            <v>261</v>
          </cell>
          <cell r="F672">
            <v>1</v>
          </cell>
          <cell r="G672">
            <v>1</v>
          </cell>
          <cell r="H672">
            <v>46217</v>
          </cell>
          <cell r="I672">
            <v>0</v>
          </cell>
          <cell r="J672">
            <v>1</v>
          </cell>
          <cell r="K672">
            <v>0</v>
          </cell>
          <cell r="L672">
            <v>0</v>
          </cell>
          <cell r="M672">
            <v>0</v>
          </cell>
          <cell r="N672">
            <v>0</v>
          </cell>
          <cell r="O672">
            <v>0</v>
          </cell>
          <cell r="P672">
            <v>0</v>
          </cell>
        </row>
        <row r="673">
          <cell r="C673">
            <v>69</v>
          </cell>
          <cell r="F673">
            <v>1</v>
          </cell>
          <cell r="G673">
            <v>1</v>
          </cell>
          <cell r="H673">
            <v>46217</v>
          </cell>
          <cell r="I673">
            <v>0</v>
          </cell>
          <cell r="J673">
            <v>2</v>
          </cell>
          <cell r="K673">
            <v>0</v>
          </cell>
          <cell r="L673">
            <v>0</v>
          </cell>
          <cell r="M673">
            <v>0</v>
          </cell>
          <cell r="N673">
            <v>0</v>
          </cell>
          <cell r="O673">
            <v>0</v>
          </cell>
          <cell r="P673">
            <v>0</v>
          </cell>
        </row>
        <row r="674">
          <cell r="C674">
            <v>262</v>
          </cell>
          <cell r="F674">
            <v>1</v>
          </cell>
          <cell r="G674">
            <v>1</v>
          </cell>
          <cell r="H674">
            <v>46217</v>
          </cell>
          <cell r="I674">
            <v>0</v>
          </cell>
          <cell r="J674">
            <v>1</v>
          </cell>
          <cell r="K674">
            <v>0</v>
          </cell>
          <cell r="L674">
            <v>0</v>
          </cell>
          <cell r="M674">
            <v>0</v>
          </cell>
          <cell r="N674">
            <v>0</v>
          </cell>
          <cell r="O674">
            <v>0</v>
          </cell>
          <cell r="P674">
            <v>0</v>
          </cell>
        </row>
        <row r="675">
          <cell r="C675">
            <v>16</v>
          </cell>
          <cell r="F675">
            <v>1</v>
          </cell>
          <cell r="G675">
            <v>1</v>
          </cell>
          <cell r="H675">
            <v>46217</v>
          </cell>
          <cell r="I675">
            <v>0</v>
          </cell>
          <cell r="J675">
            <v>16</v>
          </cell>
          <cell r="K675">
            <v>0</v>
          </cell>
          <cell r="L675">
            <v>0</v>
          </cell>
          <cell r="M675">
            <v>0</v>
          </cell>
          <cell r="N675">
            <v>0</v>
          </cell>
          <cell r="O675">
            <v>0</v>
          </cell>
          <cell r="P675">
            <v>0</v>
          </cell>
        </row>
        <row r="676">
          <cell r="C676">
            <v>297</v>
          </cell>
          <cell r="F676">
            <v>1</v>
          </cell>
          <cell r="G676">
            <v>1</v>
          </cell>
          <cell r="H676">
            <v>46217</v>
          </cell>
          <cell r="I676">
            <v>0</v>
          </cell>
          <cell r="J676">
            <v>1</v>
          </cell>
          <cell r="K676">
            <v>0</v>
          </cell>
          <cell r="L676">
            <v>0</v>
          </cell>
          <cell r="M676">
            <v>0</v>
          </cell>
          <cell r="N676">
            <v>0</v>
          </cell>
          <cell r="O676">
            <v>0</v>
          </cell>
          <cell r="P676">
            <v>0</v>
          </cell>
        </row>
        <row r="677">
          <cell r="C677">
            <v>293</v>
          </cell>
          <cell r="F677">
            <v>1</v>
          </cell>
          <cell r="G677">
            <v>1</v>
          </cell>
          <cell r="H677">
            <v>46218</v>
          </cell>
          <cell r="I677">
            <v>0</v>
          </cell>
          <cell r="J677">
            <v>70</v>
          </cell>
          <cell r="K677">
            <v>0</v>
          </cell>
          <cell r="L677">
            <v>0</v>
          </cell>
          <cell r="M677">
            <v>0</v>
          </cell>
          <cell r="N677">
            <v>0</v>
          </cell>
          <cell r="O677">
            <v>0</v>
          </cell>
          <cell r="P677">
            <v>0</v>
          </cell>
        </row>
        <row r="678">
          <cell r="C678">
            <v>176</v>
          </cell>
          <cell r="F678">
            <v>1</v>
          </cell>
          <cell r="G678">
            <v>1</v>
          </cell>
          <cell r="H678">
            <v>46218</v>
          </cell>
          <cell r="I678">
            <v>0</v>
          </cell>
          <cell r="J678">
            <v>500</v>
          </cell>
          <cell r="K678">
            <v>0</v>
          </cell>
          <cell r="L678">
            <v>0</v>
          </cell>
          <cell r="M678">
            <v>0</v>
          </cell>
          <cell r="N678">
            <v>0</v>
          </cell>
          <cell r="O678">
            <v>0</v>
          </cell>
          <cell r="P678">
            <v>0</v>
          </cell>
        </row>
        <row r="679">
          <cell r="C679">
            <v>195</v>
          </cell>
          <cell r="F679">
            <v>1</v>
          </cell>
          <cell r="G679">
            <v>1</v>
          </cell>
          <cell r="H679">
            <v>46218</v>
          </cell>
          <cell r="I679">
            <v>0</v>
          </cell>
          <cell r="J679">
            <v>8</v>
          </cell>
          <cell r="K679">
            <v>0</v>
          </cell>
          <cell r="L679">
            <v>0</v>
          </cell>
          <cell r="M679">
            <v>0</v>
          </cell>
          <cell r="N679">
            <v>0</v>
          </cell>
          <cell r="O679">
            <v>0</v>
          </cell>
          <cell r="P679">
            <v>0</v>
          </cell>
        </row>
        <row r="680">
          <cell r="C680">
            <v>177</v>
          </cell>
          <cell r="F680">
            <v>1</v>
          </cell>
          <cell r="G680">
            <v>1</v>
          </cell>
          <cell r="H680">
            <v>46218</v>
          </cell>
          <cell r="I680">
            <v>0</v>
          </cell>
          <cell r="J680">
            <v>1000</v>
          </cell>
          <cell r="K680">
            <v>0</v>
          </cell>
          <cell r="L680">
            <v>0</v>
          </cell>
          <cell r="M680">
            <v>0</v>
          </cell>
          <cell r="N680">
            <v>0</v>
          </cell>
          <cell r="O680">
            <v>0</v>
          </cell>
          <cell r="P680">
            <v>0</v>
          </cell>
        </row>
        <row r="681">
          <cell r="C681">
            <v>289</v>
          </cell>
          <cell r="F681">
            <v>1</v>
          </cell>
          <cell r="G681">
            <v>1</v>
          </cell>
          <cell r="H681">
            <v>46218</v>
          </cell>
          <cell r="I681">
            <v>0</v>
          </cell>
          <cell r="J681">
            <v>8</v>
          </cell>
          <cell r="K681">
            <v>0</v>
          </cell>
          <cell r="L681">
            <v>0</v>
          </cell>
          <cell r="M681">
            <v>0</v>
          </cell>
          <cell r="N681">
            <v>0</v>
          </cell>
          <cell r="O681">
            <v>0</v>
          </cell>
          <cell r="P681">
            <v>0</v>
          </cell>
        </row>
        <row r="682">
          <cell r="C682">
            <v>293</v>
          </cell>
          <cell r="F682">
            <v>1</v>
          </cell>
          <cell r="G682">
            <v>1</v>
          </cell>
          <cell r="H682">
            <v>46219</v>
          </cell>
          <cell r="I682">
            <v>0</v>
          </cell>
          <cell r="J682">
            <v>70</v>
          </cell>
          <cell r="K682">
            <v>0</v>
          </cell>
          <cell r="L682">
            <v>0</v>
          </cell>
          <cell r="M682">
            <v>0</v>
          </cell>
          <cell r="N682">
            <v>0</v>
          </cell>
          <cell r="O682">
            <v>0</v>
          </cell>
          <cell r="P682">
            <v>0</v>
          </cell>
        </row>
        <row r="683">
          <cell r="C683">
            <v>305</v>
          </cell>
          <cell r="F683">
            <v>1</v>
          </cell>
          <cell r="G683">
            <v>1</v>
          </cell>
          <cell r="H683">
            <v>46219</v>
          </cell>
          <cell r="I683">
            <v>0</v>
          </cell>
          <cell r="J683">
            <v>1500</v>
          </cell>
          <cell r="K683">
            <v>0</v>
          </cell>
          <cell r="L683">
            <v>0</v>
          </cell>
          <cell r="M683">
            <v>0</v>
          </cell>
          <cell r="N683">
            <v>0</v>
          </cell>
          <cell r="O683">
            <v>0</v>
          </cell>
          <cell r="P683">
            <v>0</v>
          </cell>
        </row>
        <row r="684">
          <cell r="C684">
            <v>178</v>
          </cell>
          <cell r="F684">
            <v>1</v>
          </cell>
          <cell r="G684">
            <v>1</v>
          </cell>
          <cell r="H684">
            <v>46219</v>
          </cell>
          <cell r="I684">
            <v>0</v>
          </cell>
          <cell r="J684">
            <v>500</v>
          </cell>
          <cell r="K684">
            <v>0</v>
          </cell>
          <cell r="L684">
            <v>0</v>
          </cell>
          <cell r="M684">
            <v>0</v>
          </cell>
          <cell r="N684">
            <v>0</v>
          </cell>
          <cell r="O684">
            <v>0</v>
          </cell>
          <cell r="P684">
            <v>0</v>
          </cell>
        </row>
        <row r="685">
          <cell r="C685">
            <v>221</v>
          </cell>
          <cell r="F685">
            <v>1</v>
          </cell>
          <cell r="G685">
            <v>1</v>
          </cell>
          <cell r="H685">
            <v>46219</v>
          </cell>
          <cell r="I685">
            <v>0</v>
          </cell>
          <cell r="J685">
            <v>2</v>
          </cell>
          <cell r="K685">
            <v>0</v>
          </cell>
          <cell r="L685">
            <v>0</v>
          </cell>
          <cell r="M685">
            <v>0</v>
          </cell>
          <cell r="N685">
            <v>0</v>
          </cell>
          <cell r="O685">
            <v>0</v>
          </cell>
          <cell r="P685">
            <v>0</v>
          </cell>
        </row>
        <row r="686">
          <cell r="C686">
            <v>294</v>
          </cell>
          <cell r="F686">
            <v>1</v>
          </cell>
          <cell r="G686">
            <v>1</v>
          </cell>
          <cell r="H686">
            <v>46219</v>
          </cell>
          <cell r="I686">
            <v>0</v>
          </cell>
          <cell r="J686">
            <v>6</v>
          </cell>
          <cell r="K686">
            <v>0</v>
          </cell>
          <cell r="L686">
            <v>0</v>
          </cell>
          <cell r="M686">
            <v>0</v>
          </cell>
          <cell r="N686">
            <v>0</v>
          </cell>
          <cell r="O686">
            <v>0</v>
          </cell>
          <cell r="P686">
            <v>0</v>
          </cell>
        </row>
        <row r="687">
          <cell r="C687">
            <v>295</v>
          </cell>
          <cell r="F687">
            <v>1</v>
          </cell>
          <cell r="G687">
            <v>1</v>
          </cell>
          <cell r="H687">
            <v>46219</v>
          </cell>
          <cell r="I687">
            <v>0</v>
          </cell>
          <cell r="J687">
            <v>3</v>
          </cell>
          <cell r="K687">
            <v>0</v>
          </cell>
          <cell r="L687">
            <v>0</v>
          </cell>
          <cell r="M687">
            <v>0</v>
          </cell>
          <cell r="N687">
            <v>0</v>
          </cell>
          <cell r="O687">
            <v>0</v>
          </cell>
          <cell r="P687">
            <v>0</v>
          </cell>
        </row>
        <row r="688">
          <cell r="C688">
            <v>237</v>
          </cell>
          <cell r="F688">
            <v>1</v>
          </cell>
          <cell r="G688">
            <v>1</v>
          </cell>
          <cell r="H688">
            <v>46220</v>
          </cell>
          <cell r="I688">
            <v>0</v>
          </cell>
          <cell r="J688">
            <v>6</v>
          </cell>
          <cell r="K688">
            <v>0</v>
          </cell>
          <cell r="L688">
            <v>0</v>
          </cell>
          <cell r="M688">
            <v>0</v>
          </cell>
          <cell r="N688">
            <v>0</v>
          </cell>
          <cell r="O688">
            <v>0</v>
          </cell>
          <cell r="P688">
            <v>0</v>
          </cell>
        </row>
        <row r="689">
          <cell r="C689">
            <v>192</v>
          </cell>
          <cell r="F689">
            <v>1</v>
          </cell>
          <cell r="G689">
            <v>1</v>
          </cell>
          <cell r="H689">
            <v>46220</v>
          </cell>
          <cell r="I689">
            <v>0</v>
          </cell>
          <cell r="J689">
            <v>8</v>
          </cell>
          <cell r="K689">
            <v>0</v>
          </cell>
          <cell r="L689">
            <v>0</v>
          </cell>
          <cell r="M689">
            <v>0</v>
          </cell>
          <cell r="N689">
            <v>0</v>
          </cell>
          <cell r="O689">
            <v>0</v>
          </cell>
          <cell r="P689">
            <v>0</v>
          </cell>
        </row>
        <row r="690">
          <cell r="C690">
            <v>187</v>
          </cell>
          <cell r="F690">
            <v>1</v>
          </cell>
          <cell r="G690">
            <v>1</v>
          </cell>
          <cell r="H690">
            <v>46220</v>
          </cell>
          <cell r="I690">
            <v>0</v>
          </cell>
          <cell r="J690">
            <v>96</v>
          </cell>
          <cell r="K690">
            <v>0</v>
          </cell>
          <cell r="L690">
            <v>0</v>
          </cell>
          <cell r="M690">
            <v>0</v>
          </cell>
          <cell r="N690">
            <v>0</v>
          </cell>
          <cell r="O690">
            <v>0</v>
          </cell>
          <cell r="P690">
            <v>0</v>
          </cell>
        </row>
        <row r="691">
          <cell r="C691">
            <v>177</v>
          </cell>
          <cell r="F691">
            <v>1</v>
          </cell>
          <cell r="G691">
            <v>1</v>
          </cell>
          <cell r="H691">
            <v>46220</v>
          </cell>
          <cell r="I691">
            <v>0</v>
          </cell>
          <cell r="J691">
            <v>500</v>
          </cell>
          <cell r="K691">
            <v>0</v>
          </cell>
          <cell r="L691">
            <v>0</v>
          </cell>
          <cell r="M691">
            <v>0</v>
          </cell>
          <cell r="N691">
            <v>0</v>
          </cell>
          <cell r="O691">
            <v>0</v>
          </cell>
          <cell r="P691">
            <v>0</v>
          </cell>
        </row>
        <row r="692">
          <cell r="C692">
            <v>293</v>
          </cell>
          <cell r="F692">
            <v>1</v>
          </cell>
          <cell r="G692">
            <v>1</v>
          </cell>
          <cell r="H692">
            <v>46220</v>
          </cell>
          <cell r="I692">
            <v>0</v>
          </cell>
          <cell r="J692">
            <v>35</v>
          </cell>
          <cell r="K692">
            <v>0</v>
          </cell>
          <cell r="L692">
            <v>0</v>
          </cell>
          <cell r="M692">
            <v>0</v>
          </cell>
          <cell r="N692">
            <v>0</v>
          </cell>
          <cell r="O692">
            <v>0</v>
          </cell>
          <cell r="P692">
            <v>0</v>
          </cell>
        </row>
        <row r="693">
          <cell r="C693">
            <v>294</v>
          </cell>
          <cell r="F693">
            <v>1</v>
          </cell>
          <cell r="G693">
            <v>1</v>
          </cell>
          <cell r="H693">
            <v>46220</v>
          </cell>
          <cell r="I693">
            <v>0</v>
          </cell>
          <cell r="J693">
            <v>35</v>
          </cell>
          <cell r="K693">
            <v>0</v>
          </cell>
          <cell r="L693">
            <v>0</v>
          </cell>
          <cell r="M693">
            <v>0</v>
          </cell>
          <cell r="N693">
            <v>0</v>
          </cell>
          <cell r="O693">
            <v>0</v>
          </cell>
          <cell r="P693">
            <v>0</v>
          </cell>
        </row>
        <row r="694">
          <cell r="C694">
            <v>176</v>
          </cell>
          <cell r="F694">
            <v>1</v>
          </cell>
          <cell r="G694">
            <v>1</v>
          </cell>
          <cell r="H694">
            <v>46220</v>
          </cell>
          <cell r="I694">
            <v>0</v>
          </cell>
          <cell r="J694">
            <v>1150</v>
          </cell>
          <cell r="K694">
            <v>0</v>
          </cell>
          <cell r="L694">
            <v>0</v>
          </cell>
          <cell r="M694">
            <v>0</v>
          </cell>
          <cell r="N694">
            <v>0</v>
          </cell>
          <cell r="O694">
            <v>0</v>
          </cell>
          <cell r="P694">
            <v>0</v>
          </cell>
        </row>
        <row r="695">
          <cell r="C695">
            <v>293</v>
          </cell>
          <cell r="F695">
            <v>1</v>
          </cell>
          <cell r="G695">
            <v>1</v>
          </cell>
          <cell r="H695">
            <v>46221</v>
          </cell>
          <cell r="I695">
            <v>0</v>
          </cell>
          <cell r="J695">
            <v>35</v>
          </cell>
          <cell r="K695">
            <v>0</v>
          </cell>
          <cell r="L695">
            <v>0</v>
          </cell>
          <cell r="M695">
            <v>0</v>
          </cell>
          <cell r="N695">
            <v>0</v>
          </cell>
          <cell r="O695">
            <v>0</v>
          </cell>
          <cell r="P695">
            <v>0</v>
          </cell>
        </row>
        <row r="696">
          <cell r="C696">
            <v>305</v>
          </cell>
          <cell r="F696">
            <v>1</v>
          </cell>
          <cell r="G696">
            <v>1</v>
          </cell>
          <cell r="H696">
            <v>46221</v>
          </cell>
          <cell r="I696">
            <v>0</v>
          </cell>
          <cell r="J696">
            <v>500</v>
          </cell>
          <cell r="K696">
            <v>0</v>
          </cell>
          <cell r="L696">
            <v>0</v>
          </cell>
          <cell r="M696">
            <v>0</v>
          </cell>
          <cell r="N696">
            <v>0</v>
          </cell>
          <cell r="O696">
            <v>0</v>
          </cell>
          <cell r="P696">
            <v>0</v>
          </cell>
        </row>
        <row r="697">
          <cell r="C697">
            <v>177</v>
          </cell>
          <cell r="F697">
            <v>1</v>
          </cell>
          <cell r="G697">
            <v>1</v>
          </cell>
          <cell r="H697">
            <v>46221</v>
          </cell>
          <cell r="I697">
            <v>0</v>
          </cell>
          <cell r="J697">
            <v>150</v>
          </cell>
          <cell r="K697">
            <v>0</v>
          </cell>
          <cell r="L697">
            <v>0</v>
          </cell>
          <cell r="M697">
            <v>0</v>
          </cell>
          <cell r="N697">
            <v>0</v>
          </cell>
          <cell r="O697">
            <v>0</v>
          </cell>
          <cell r="P697">
            <v>0</v>
          </cell>
        </row>
        <row r="698">
          <cell r="C698">
            <v>233</v>
          </cell>
          <cell r="F698">
            <v>1</v>
          </cell>
          <cell r="G698">
            <v>1</v>
          </cell>
          <cell r="H698">
            <v>46221</v>
          </cell>
          <cell r="I698">
            <v>0</v>
          </cell>
          <cell r="J698">
            <v>1</v>
          </cell>
          <cell r="K698">
            <v>0</v>
          </cell>
          <cell r="L698">
            <v>0</v>
          </cell>
          <cell r="M698">
            <v>0</v>
          </cell>
          <cell r="N698">
            <v>0</v>
          </cell>
          <cell r="O698">
            <v>0</v>
          </cell>
          <cell r="P698">
            <v>0</v>
          </cell>
        </row>
        <row r="699">
          <cell r="C699">
            <v>305</v>
          </cell>
          <cell r="F699">
            <v>1</v>
          </cell>
          <cell r="G699">
            <v>1</v>
          </cell>
          <cell r="H699">
            <v>46222</v>
          </cell>
          <cell r="I699">
            <v>0</v>
          </cell>
          <cell r="J699">
            <v>1100</v>
          </cell>
          <cell r="K699">
            <v>0</v>
          </cell>
          <cell r="L699">
            <v>0</v>
          </cell>
          <cell r="M699">
            <v>0</v>
          </cell>
          <cell r="N699">
            <v>0</v>
          </cell>
          <cell r="O699">
            <v>0</v>
          </cell>
          <cell r="P699">
            <v>0</v>
          </cell>
        </row>
        <row r="700">
          <cell r="C700">
            <v>293</v>
          </cell>
          <cell r="F700">
            <v>1</v>
          </cell>
          <cell r="G700">
            <v>1</v>
          </cell>
          <cell r="H700">
            <v>46222</v>
          </cell>
          <cell r="I700">
            <v>0</v>
          </cell>
          <cell r="J700">
            <v>40</v>
          </cell>
          <cell r="K700">
            <v>0</v>
          </cell>
          <cell r="L700">
            <v>0</v>
          </cell>
          <cell r="M700">
            <v>0</v>
          </cell>
          <cell r="N700">
            <v>0</v>
          </cell>
          <cell r="O700">
            <v>0</v>
          </cell>
          <cell r="P700">
            <v>0</v>
          </cell>
        </row>
        <row r="701">
          <cell r="C701">
            <v>239</v>
          </cell>
          <cell r="F701">
            <v>1</v>
          </cell>
          <cell r="G701">
            <v>1</v>
          </cell>
          <cell r="H701">
            <v>46222</v>
          </cell>
          <cell r="I701">
            <v>0</v>
          </cell>
          <cell r="J701">
            <v>6</v>
          </cell>
          <cell r="K701">
            <v>0</v>
          </cell>
          <cell r="L701">
            <v>0</v>
          </cell>
          <cell r="M701">
            <v>0</v>
          </cell>
          <cell r="N701">
            <v>0</v>
          </cell>
          <cell r="O701">
            <v>0</v>
          </cell>
          <cell r="P701">
            <v>0</v>
          </cell>
        </row>
        <row r="702">
          <cell r="C702">
            <v>177</v>
          </cell>
          <cell r="F702">
            <v>1</v>
          </cell>
          <cell r="G702">
            <v>1</v>
          </cell>
          <cell r="H702">
            <v>46222</v>
          </cell>
          <cell r="I702">
            <v>0</v>
          </cell>
          <cell r="J702">
            <v>300</v>
          </cell>
          <cell r="K702">
            <v>0</v>
          </cell>
          <cell r="L702">
            <v>0</v>
          </cell>
          <cell r="M702">
            <v>0</v>
          </cell>
          <cell r="N702">
            <v>0</v>
          </cell>
          <cell r="O702">
            <v>0</v>
          </cell>
          <cell r="P702">
            <v>0</v>
          </cell>
        </row>
        <row r="703">
          <cell r="C703">
            <v>187</v>
          </cell>
          <cell r="F703">
            <v>1</v>
          </cell>
          <cell r="G703">
            <v>1</v>
          </cell>
          <cell r="H703">
            <v>46222</v>
          </cell>
          <cell r="I703">
            <v>0</v>
          </cell>
          <cell r="J703">
            <v>16</v>
          </cell>
          <cell r="K703">
            <v>0</v>
          </cell>
          <cell r="L703">
            <v>0</v>
          </cell>
          <cell r="M703">
            <v>0</v>
          </cell>
          <cell r="N703">
            <v>0</v>
          </cell>
          <cell r="O703">
            <v>0</v>
          </cell>
          <cell r="P703">
            <v>0</v>
          </cell>
        </row>
        <row r="704">
          <cell r="C704">
            <v>19</v>
          </cell>
          <cell r="F704">
            <v>1</v>
          </cell>
          <cell r="G704">
            <v>1</v>
          </cell>
          <cell r="H704">
            <v>46222</v>
          </cell>
          <cell r="I704">
            <v>0</v>
          </cell>
          <cell r="J704">
            <v>2</v>
          </cell>
          <cell r="K704">
            <v>0</v>
          </cell>
          <cell r="L704">
            <v>0</v>
          </cell>
          <cell r="M704">
            <v>0</v>
          </cell>
          <cell r="N704">
            <v>0</v>
          </cell>
          <cell r="O704">
            <v>0</v>
          </cell>
          <cell r="P704">
            <v>0</v>
          </cell>
        </row>
        <row r="705">
          <cell r="C705">
            <v>64</v>
          </cell>
          <cell r="F705">
            <v>1</v>
          </cell>
          <cell r="G705">
            <v>1</v>
          </cell>
          <cell r="H705">
            <v>46222</v>
          </cell>
          <cell r="I705">
            <v>0</v>
          </cell>
          <cell r="J705">
            <v>1</v>
          </cell>
          <cell r="K705">
            <v>0</v>
          </cell>
          <cell r="L705">
            <v>0</v>
          </cell>
          <cell r="M705">
            <v>0</v>
          </cell>
          <cell r="N705">
            <v>0</v>
          </cell>
          <cell r="O705">
            <v>0</v>
          </cell>
          <cell r="P705">
            <v>0</v>
          </cell>
        </row>
        <row r="706">
          <cell r="C706">
            <v>16</v>
          </cell>
          <cell r="F706">
            <v>1</v>
          </cell>
          <cell r="G706">
            <v>1</v>
          </cell>
          <cell r="H706">
            <v>46222</v>
          </cell>
          <cell r="I706">
            <v>0</v>
          </cell>
          <cell r="J706">
            <v>8</v>
          </cell>
          <cell r="K706">
            <v>0</v>
          </cell>
          <cell r="L706">
            <v>0</v>
          </cell>
          <cell r="M706">
            <v>0</v>
          </cell>
          <cell r="N706">
            <v>0</v>
          </cell>
          <cell r="O706">
            <v>0</v>
          </cell>
          <cell r="P706">
            <v>0</v>
          </cell>
        </row>
        <row r="707">
          <cell r="C707">
            <v>42</v>
          </cell>
          <cell r="F707">
            <v>1</v>
          </cell>
          <cell r="G707">
            <v>1</v>
          </cell>
          <cell r="H707">
            <v>46222</v>
          </cell>
          <cell r="I707">
            <v>0</v>
          </cell>
          <cell r="J707">
            <v>4</v>
          </cell>
          <cell r="K707">
            <v>0</v>
          </cell>
          <cell r="L707">
            <v>0</v>
          </cell>
          <cell r="M707">
            <v>0</v>
          </cell>
          <cell r="N707">
            <v>0</v>
          </cell>
          <cell r="O707">
            <v>0</v>
          </cell>
          <cell r="P707">
            <v>0</v>
          </cell>
        </row>
        <row r="708">
          <cell r="C708">
            <v>226</v>
          </cell>
          <cell r="F708">
            <v>1</v>
          </cell>
          <cell r="G708">
            <v>1</v>
          </cell>
          <cell r="H708">
            <v>46222</v>
          </cell>
          <cell r="I708">
            <v>0</v>
          </cell>
          <cell r="J708">
            <v>2</v>
          </cell>
          <cell r="K708">
            <v>0</v>
          </cell>
          <cell r="L708">
            <v>0</v>
          </cell>
          <cell r="M708">
            <v>0</v>
          </cell>
          <cell r="N708">
            <v>0</v>
          </cell>
          <cell r="O708">
            <v>0</v>
          </cell>
          <cell r="P708">
            <v>0</v>
          </cell>
        </row>
        <row r="709">
          <cell r="C709">
            <v>305</v>
          </cell>
          <cell r="F709">
            <v>1</v>
          </cell>
          <cell r="G709">
            <v>1</v>
          </cell>
          <cell r="H709">
            <v>46223</v>
          </cell>
          <cell r="I709">
            <v>0</v>
          </cell>
          <cell r="J709">
            <v>400</v>
          </cell>
          <cell r="K709">
            <v>0</v>
          </cell>
          <cell r="L709">
            <v>0</v>
          </cell>
          <cell r="M709">
            <v>0</v>
          </cell>
          <cell r="N709">
            <v>0</v>
          </cell>
          <cell r="O709">
            <v>0</v>
          </cell>
          <cell r="P709">
            <v>0</v>
          </cell>
        </row>
        <row r="710">
          <cell r="C710">
            <v>289</v>
          </cell>
          <cell r="F710">
            <v>1</v>
          </cell>
          <cell r="G710">
            <v>1</v>
          </cell>
          <cell r="H710">
            <v>46223</v>
          </cell>
          <cell r="I710">
            <v>0</v>
          </cell>
          <cell r="J710">
            <v>56</v>
          </cell>
          <cell r="K710">
            <v>0</v>
          </cell>
          <cell r="L710">
            <v>0</v>
          </cell>
          <cell r="M710">
            <v>0</v>
          </cell>
          <cell r="N710">
            <v>0</v>
          </cell>
          <cell r="O710">
            <v>0</v>
          </cell>
          <cell r="P710">
            <v>0</v>
          </cell>
        </row>
        <row r="711">
          <cell r="C711">
            <v>288</v>
          </cell>
          <cell r="F711">
            <v>1</v>
          </cell>
          <cell r="G711">
            <v>1</v>
          </cell>
          <cell r="H711">
            <v>46223</v>
          </cell>
          <cell r="I711">
            <v>0</v>
          </cell>
          <cell r="J711">
            <v>36</v>
          </cell>
          <cell r="K711">
            <v>0</v>
          </cell>
          <cell r="L711">
            <v>0</v>
          </cell>
          <cell r="M711">
            <v>0</v>
          </cell>
          <cell r="N711">
            <v>0</v>
          </cell>
          <cell r="O711">
            <v>0</v>
          </cell>
          <cell r="P711">
            <v>0</v>
          </cell>
        </row>
        <row r="712">
          <cell r="C712">
            <v>317</v>
          </cell>
          <cell r="F712">
            <v>1</v>
          </cell>
          <cell r="G712">
            <v>1</v>
          </cell>
          <cell r="H712">
            <v>46223</v>
          </cell>
          <cell r="I712">
            <v>0</v>
          </cell>
          <cell r="J712">
            <v>6</v>
          </cell>
          <cell r="K712">
            <v>0</v>
          </cell>
          <cell r="L712">
            <v>0</v>
          </cell>
          <cell r="M712">
            <v>0</v>
          </cell>
          <cell r="N712">
            <v>0</v>
          </cell>
          <cell r="O712">
            <v>0</v>
          </cell>
          <cell r="P712">
            <v>0</v>
          </cell>
        </row>
        <row r="713">
          <cell r="C713">
            <v>341</v>
          </cell>
          <cell r="F713">
            <v>1</v>
          </cell>
          <cell r="G713">
            <v>1</v>
          </cell>
          <cell r="H713">
            <v>46223</v>
          </cell>
          <cell r="I713">
            <v>0</v>
          </cell>
          <cell r="J713">
            <v>2</v>
          </cell>
          <cell r="K713">
            <v>0</v>
          </cell>
          <cell r="L713">
            <v>0</v>
          </cell>
          <cell r="M713">
            <v>0</v>
          </cell>
          <cell r="N713">
            <v>0</v>
          </cell>
          <cell r="O713">
            <v>0</v>
          </cell>
          <cell r="P713">
            <v>0</v>
          </cell>
        </row>
        <row r="714">
          <cell r="C714">
            <v>294</v>
          </cell>
          <cell r="F714">
            <v>1</v>
          </cell>
          <cell r="G714">
            <v>1</v>
          </cell>
          <cell r="H714">
            <v>46223</v>
          </cell>
          <cell r="I714">
            <v>0</v>
          </cell>
          <cell r="J714">
            <v>105</v>
          </cell>
          <cell r="K714">
            <v>0</v>
          </cell>
          <cell r="L714">
            <v>0</v>
          </cell>
          <cell r="M714">
            <v>0</v>
          </cell>
          <cell r="N714">
            <v>0</v>
          </cell>
          <cell r="O714">
            <v>0</v>
          </cell>
          <cell r="P714">
            <v>0</v>
          </cell>
        </row>
        <row r="715">
          <cell r="C715">
            <v>222</v>
          </cell>
          <cell r="F715">
            <v>1</v>
          </cell>
          <cell r="G715">
            <v>1</v>
          </cell>
          <cell r="H715">
            <v>46223</v>
          </cell>
          <cell r="I715">
            <v>0</v>
          </cell>
          <cell r="J715">
            <v>1</v>
          </cell>
          <cell r="K715">
            <v>0</v>
          </cell>
          <cell r="L715">
            <v>0</v>
          </cell>
          <cell r="M715">
            <v>0</v>
          </cell>
          <cell r="N715">
            <v>0</v>
          </cell>
          <cell r="O715">
            <v>0</v>
          </cell>
          <cell r="P715">
            <v>0</v>
          </cell>
        </row>
        <row r="716">
          <cell r="C716">
            <v>146</v>
          </cell>
          <cell r="F716">
            <v>1</v>
          </cell>
          <cell r="G716">
            <v>1</v>
          </cell>
          <cell r="H716">
            <v>46204</v>
          </cell>
          <cell r="I716">
            <v>-5</v>
          </cell>
          <cell r="J716">
            <v>0</v>
          </cell>
          <cell r="K716">
            <v>0</v>
          </cell>
          <cell r="L716">
            <v>0</v>
          </cell>
          <cell r="M716">
            <v>0</v>
          </cell>
          <cell r="N716">
            <v>0</v>
          </cell>
          <cell r="O716">
            <v>0</v>
          </cell>
          <cell r="P716">
            <v>0</v>
          </cell>
        </row>
        <row r="717">
          <cell r="C717">
            <v>337</v>
          </cell>
          <cell r="F717">
            <v>1</v>
          </cell>
          <cell r="G717">
            <v>1</v>
          </cell>
          <cell r="H717">
            <v>46204</v>
          </cell>
          <cell r="I717">
            <v>5</v>
          </cell>
          <cell r="J717">
            <v>0</v>
          </cell>
          <cell r="K717">
            <v>0</v>
          </cell>
          <cell r="L717">
            <v>0</v>
          </cell>
          <cell r="M717">
            <v>0</v>
          </cell>
          <cell r="N717">
            <v>0</v>
          </cell>
          <cell r="O717">
            <v>0</v>
          </cell>
          <cell r="P717">
            <v>0</v>
          </cell>
        </row>
        <row r="718">
          <cell r="C718">
            <v>318</v>
          </cell>
          <cell r="F718">
            <v>1</v>
          </cell>
          <cell r="G718">
            <v>1</v>
          </cell>
          <cell r="H718">
            <v>46223</v>
          </cell>
          <cell r="I718">
            <v>0</v>
          </cell>
          <cell r="J718">
            <v>2</v>
          </cell>
          <cell r="K718">
            <v>0</v>
          </cell>
          <cell r="L718">
            <v>0</v>
          </cell>
          <cell r="M718">
            <v>0</v>
          </cell>
          <cell r="N718">
            <v>0</v>
          </cell>
          <cell r="O718">
            <v>0</v>
          </cell>
          <cell r="P718">
            <v>0</v>
          </cell>
        </row>
        <row r="719">
          <cell r="C719">
            <v>316</v>
          </cell>
          <cell r="F719">
            <v>1</v>
          </cell>
          <cell r="G719">
            <v>1</v>
          </cell>
          <cell r="H719">
            <v>46223</v>
          </cell>
          <cell r="I719">
            <v>0</v>
          </cell>
          <cell r="J719">
            <v>20</v>
          </cell>
          <cell r="K719">
            <v>0</v>
          </cell>
          <cell r="L719">
            <v>0</v>
          </cell>
          <cell r="M719">
            <v>0</v>
          </cell>
          <cell r="N719">
            <v>0</v>
          </cell>
          <cell r="O719">
            <v>0</v>
          </cell>
          <cell r="P719">
            <v>0</v>
          </cell>
        </row>
        <row r="720">
          <cell r="C720">
            <v>337</v>
          </cell>
          <cell r="F720">
            <v>1</v>
          </cell>
          <cell r="G720">
            <v>1</v>
          </cell>
          <cell r="H720">
            <v>46223</v>
          </cell>
          <cell r="I720">
            <v>0</v>
          </cell>
          <cell r="J720">
            <v>10</v>
          </cell>
          <cell r="K720">
            <v>0</v>
          </cell>
          <cell r="L720">
            <v>0</v>
          </cell>
          <cell r="M720">
            <v>0</v>
          </cell>
          <cell r="N720">
            <v>0</v>
          </cell>
          <cell r="O720">
            <v>0</v>
          </cell>
          <cell r="P720">
            <v>0</v>
          </cell>
        </row>
        <row r="721">
          <cell r="C721">
            <v>201</v>
          </cell>
          <cell r="F721">
            <v>1</v>
          </cell>
          <cell r="G721">
            <v>1</v>
          </cell>
          <cell r="H721">
            <v>46223</v>
          </cell>
          <cell r="I721">
            <v>0</v>
          </cell>
          <cell r="J721">
            <v>1</v>
          </cell>
          <cell r="K721">
            <v>0</v>
          </cell>
          <cell r="L721">
            <v>0</v>
          </cell>
          <cell r="M721">
            <v>0</v>
          </cell>
          <cell r="N721">
            <v>0</v>
          </cell>
          <cell r="O721">
            <v>0</v>
          </cell>
          <cell r="P721">
            <v>0</v>
          </cell>
        </row>
        <row r="722">
          <cell r="C722">
            <v>267</v>
          </cell>
          <cell r="F722">
            <v>1</v>
          </cell>
          <cell r="G722">
            <v>1</v>
          </cell>
          <cell r="H722">
            <v>46223</v>
          </cell>
          <cell r="I722">
            <v>0</v>
          </cell>
          <cell r="J722">
            <v>2</v>
          </cell>
          <cell r="K722">
            <v>0</v>
          </cell>
          <cell r="L722">
            <v>0</v>
          </cell>
          <cell r="M722">
            <v>0</v>
          </cell>
          <cell r="N722">
            <v>0</v>
          </cell>
          <cell r="O722">
            <v>0</v>
          </cell>
          <cell r="P722">
            <v>0</v>
          </cell>
        </row>
        <row r="723">
          <cell r="C723">
            <v>37</v>
          </cell>
          <cell r="F723">
            <v>1</v>
          </cell>
          <cell r="G723">
            <v>1</v>
          </cell>
          <cell r="H723">
            <v>46223</v>
          </cell>
          <cell r="I723">
            <v>0</v>
          </cell>
          <cell r="J723">
            <v>1</v>
          </cell>
          <cell r="K723">
            <v>0</v>
          </cell>
          <cell r="L723">
            <v>0</v>
          </cell>
          <cell r="M723">
            <v>0</v>
          </cell>
          <cell r="N723">
            <v>0</v>
          </cell>
          <cell r="O723">
            <v>0</v>
          </cell>
          <cell r="P723">
            <v>0</v>
          </cell>
        </row>
        <row r="724">
          <cell r="C724">
            <v>42</v>
          </cell>
          <cell r="F724">
            <v>1</v>
          </cell>
          <cell r="G724">
            <v>1</v>
          </cell>
          <cell r="H724">
            <v>46223</v>
          </cell>
          <cell r="I724">
            <v>0</v>
          </cell>
          <cell r="J724">
            <v>2</v>
          </cell>
          <cell r="K724">
            <v>0</v>
          </cell>
          <cell r="L724">
            <v>0</v>
          </cell>
          <cell r="M724">
            <v>0</v>
          </cell>
          <cell r="N724">
            <v>0</v>
          </cell>
          <cell r="O724">
            <v>0</v>
          </cell>
          <cell r="P724">
            <v>0</v>
          </cell>
        </row>
        <row r="725">
          <cell r="C725">
            <v>286</v>
          </cell>
          <cell r="F725">
            <v>1</v>
          </cell>
          <cell r="G725">
            <v>1</v>
          </cell>
          <cell r="H725">
            <v>46223</v>
          </cell>
          <cell r="I725">
            <v>0</v>
          </cell>
          <cell r="J725">
            <v>8</v>
          </cell>
          <cell r="K725">
            <v>0</v>
          </cell>
          <cell r="L725">
            <v>0</v>
          </cell>
          <cell r="M725">
            <v>0</v>
          </cell>
          <cell r="N725">
            <v>0</v>
          </cell>
          <cell r="O725">
            <v>0</v>
          </cell>
          <cell r="P725">
            <v>0</v>
          </cell>
        </row>
        <row r="726">
          <cell r="C726">
            <v>285</v>
          </cell>
          <cell r="F726">
            <v>1</v>
          </cell>
          <cell r="G726">
            <v>1</v>
          </cell>
          <cell r="H726">
            <v>46223</v>
          </cell>
          <cell r="I726">
            <v>0</v>
          </cell>
          <cell r="J726">
            <v>8</v>
          </cell>
          <cell r="K726">
            <v>0</v>
          </cell>
          <cell r="L726">
            <v>0</v>
          </cell>
          <cell r="M726">
            <v>0</v>
          </cell>
          <cell r="N726">
            <v>0</v>
          </cell>
          <cell r="O726">
            <v>0</v>
          </cell>
          <cell r="P726">
            <v>0</v>
          </cell>
        </row>
        <row r="727">
          <cell r="C727">
            <v>209</v>
          </cell>
          <cell r="F727">
            <v>1</v>
          </cell>
          <cell r="G727">
            <v>1</v>
          </cell>
          <cell r="H727">
            <v>46223</v>
          </cell>
          <cell r="I727">
            <v>0</v>
          </cell>
          <cell r="J727">
            <v>1</v>
          </cell>
          <cell r="K727">
            <v>0</v>
          </cell>
          <cell r="L727">
            <v>0</v>
          </cell>
          <cell r="M727">
            <v>0</v>
          </cell>
          <cell r="N727">
            <v>0</v>
          </cell>
          <cell r="O727">
            <v>0</v>
          </cell>
          <cell r="P727">
            <v>0</v>
          </cell>
        </row>
        <row r="728">
          <cell r="C728">
            <v>30</v>
          </cell>
          <cell r="F728">
            <v>1</v>
          </cell>
          <cell r="G728">
            <v>1</v>
          </cell>
          <cell r="H728">
            <v>46224</v>
          </cell>
          <cell r="I728">
            <v>0</v>
          </cell>
          <cell r="J728">
            <v>10</v>
          </cell>
          <cell r="K728">
            <v>0</v>
          </cell>
          <cell r="L728">
            <v>0</v>
          </cell>
          <cell r="M728">
            <v>0</v>
          </cell>
          <cell r="N728">
            <v>0</v>
          </cell>
          <cell r="O728">
            <v>0</v>
          </cell>
          <cell r="P728">
            <v>0</v>
          </cell>
        </row>
        <row r="729">
          <cell r="C729">
            <v>34</v>
          </cell>
          <cell r="F729">
            <v>1</v>
          </cell>
          <cell r="G729">
            <v>1</v>
          </cell>
          <cell r="H729">
            <v>46224</v>
          </cell>
          <cell r="I729">
            <v>0</v>
          </cell>
          <cell r="J729">
            <v>4</v>
          </cell>
          <cell r="K729">
            <v>0</v>
          </cell>
          <cell r="L729">
            <v>0</v>
          </cell>
          <cell r="M729">
            <v>0</v>
          </cell>
          <cell r="N729">
            <v>0</v>
          </cell>
          <cell r="O729">
            <v>0</v>
          </cell>
          <cell r="P729">
            <v>0</v>
          </cell>
        </row>
        <row r="730">
          <cell r="C730">
            <v>67</v>
          </cell>
          <cell r="F730">
            <v>1</v>
          </cell>
          <cell r="G730">
            <v>1</v>
          </cell>
          <cell r="H730">
            <v>46224</v>
          </cell>
          <cell r="I730">
            <v>0</v>
          </cell>
          <cell r="J730">
            <v>4</v>
          </cell>
          <cell r="K730">
            <v>0</v>
          </cell>
          <cell r="L730">
            <v>0</v>
          </cell>
          <cell r="M730">
            <v>0</v>
          </cell>
          <cell r="N730">
            <v>0</v>
          </cell>
          <cell r="O730">
            <v>0</v>
          </cell>
          <cell r="P730">
            <v>0</v>
          </cell>
        </row>
        <row r="731">
          <cell r="C731">
            <v>264</v>
          </cell>
          <cell r="F731">
            <v>1</v>
          </cell>
          <cell r="G731">
            <v>1</v>
          </cell>
          <cell r="H731">
            <v>46224</v>
          </cell>
          <cell r="I731">
            <v>0</v>
          </cell>
          <cell r="J731">
            <v>4</v>
          </cell>
          <cell r="K731">
            <v>0</v>
          </cell>
          <cell r="L731">
            <v>0</v>
          </cell>
          <cell r="M731">
            <v>0</v>
          </cell>
          <cell r="N731">
            <v>0</v>
          </cell>
          <cell r="O731">
            <v>0</v>
          </cell>
          <cell r="P731">
            <v>0</v>
          </cell>
        </row>
        <row r="732">
          <cell r="C732">
            <v>50</v>
          </cell>
          <cell r="F732">
            <v>1</v>
          </cell>
          <cell r="G732">
            <v>1</v>
          </cell>
          <cell r="H732">
            <v>46224</v>
          </cell>
          <cell r="I732">
            <v>0</v>
          </cell>
          <cell r="J732">
            <v>30</v>
          </cell>
          <cell r="K732">
            <v>0</v>
          </cell>
          <cell r="L732">
            <v>0</v>
          </cell>
          <cell r="M732">
            <v>0</v>
          </cell>
          <cell r="N732">
            <v>0</v>
          </cell>
          <cell r="O732">
            <v>0</v>
          </cell>
          <cell r="P732">
            <v>0</v>
          </cell>
        </row>
        <row r="733">
          <cell r="C733">
            <v>248</v>
          </cell>
          <cell r="F733">
            <v>1</v>
          </cell>
          <cell r="G733">
            <v>1</v>
          </cell>
          <cell r="H733">
            <v>46224</v>
          </cell>
          <cell r="I733">
            <v>0</v>
          </cell>
          <cell r="J733">
            <v>20</v>
          </cell>
          <cell r="K733">
            <v>0</v>
          </cell>
          <cell r="L733">
            <v>0</v>
          </cell>
          <cell r="M733">
            <v>0</v>
          </cell>
          <cell r="N733">
            <v>0</v>
          </cell>
          <cell r="O733">
            <v>0</v>
          </cell>
          <cell r="P733">
            <v>0</v>
          </cell>
        </row>
        <row r="734">
          <cell r="C734">
            <v>342</v>
          </cell>
          <cell r="F734">
            <v>1</v>
          </cell>
          <cell r="G734">
            <v>1</v>
          </cell>
          <cell r="H734">
            <v>46224</v>
          </cell>
          <cell r="I734">
            <v>0</v>
          </cell>
          <cell r="J734">
            <v>12</v>
          </cell>
          <cell r="K734">
            <v>0</v>
          </cell>
          <cell r="L734">
            <v>0</v>
          </cell>
          <cell r="M734">
            <v>0</v>
          </cell>
          <cell r="N734">
            <v>0</v>
          </cell>
          <cell r="O734">
            <v>0</v>
          </cell>
          <cell r="P734">
            <v>0</v>
          </cell>
        </row>
        <row r="735">
          <cell r="C735">
            <v>343</v>
          </cell>
          <cell r="F735">
            <v>1</v>
          </cell>
          <cell r="G735">
            <v>1</v>
          </cell>
          <cell r="H735">
            <v>46224</v>
          </cell>
          <cell r="I735">
            <v>0</v>
          </cell>
          <cell r="J735">
            <v>4</v>
          </cell>
          <cell r="K735">
            <v>0</v>
          </cell>
          <cell r="L735">
            <v>0</v>
          </cell>
          <cell r="M735">
            <v>0</v>
          </cell>
          <cell r="N735">
            <v>0</v>
          </cell>
          <cell r="O735">
            <v>0</v>
          </cell>
          <cell r="P735">
            <v>0</v>
          </cell>
        </row>
        <row r="736">
          <cell r="C736">
            <v>59</v>
          </cell>
          <cell r="F736">
            <v>1</v>
          </cell>
          <cell r="G736">
            <v>1</v>
          </cell>
          <cell r="H736">
            <v>46224</v>
          </cell>
          <cell r="I736">
            <v>0</v>
          </cell>
          <cell r="J736">
            <v>1</v>
          </cell>
          <cell r="K736">
            <v>0</v>
          </cell>
          <cell r="L736">
            <v>0</v>
          </cell>
          <cell r="M736">
            <v>0</v>
          </cell>
          <cell r="N736">
            <v>0</v>
          </cell>
          <cell r="O736">
            <v>0</v>
          </cell>
          <cell r="P736">
            <v>0</v>
          </cell>
        </row>
        <row r="737">
          <cell r="C737">
            <v>244</v>
          </cell>
          <cell r="F737">
            <v>1</v>
          </cell>
          <cell r="G737">
            <v>1</v>
          </cell>
          <cell r="H737">
            <v>46224</v>
          </cell>
          <cell r="I737">
            <v>0</v>
          </cell>
          <cell r="J737">
            <v>1</v>
          </cell>
          <cell r="K737">
            <v>0</v>
          </cell>
          <cell r="L737">
            <v>0</v>
          </cell>
          <cell r="M737">
            <v>0</v>
          </cell>
          <cell r="N737">
            <v>0</v>
          </cell>
          <cell r="O737">
            <v>0</v>
          </cell>
          <cell r="P737">
            <v>0</v>
          </cell>
        </row>
        <row r="738">
          <cell r="C738">
            <v>251</v>
          </cell>
          <cell r="F738">
            <v>1</v>
          </cell>
          <cell r="G738">
            <v>1</v>
          </cell>
          <cell r="H738">
            <v>46224</v>
          </cell>
          <cell r="I738">
            <v>0</v>
          </cell>
          <cell r="J738">
            <v>20</v>
          </cell>
          <cell r="K738">
            <v>0</v>
          </cell>
          <cell r="L738">
            <v>0</v>
          </cell>
          <cell r="M738">
            <v>0</v>
          </cell>
          <cell r="N738">
            <v>0</v>
          </cell>
          <cell r="O738">
            <v>0</v>
          </cell>
          <cell r="P738">
            <v>0</v>
          </cell>
        </row>
        <row r="739">
          <cell r="C739">
            <v>195</v>
          </cell>
          <cell r="F739">
            <v>1</v>
          </cell>
          <cell r="G739">
            <v>1</v>
          </cell>
          <cell r="H739">
            <v>46224</v>
          </cell>
          <cell r="I739">
            <v>0</v>
          </cell>
          <cell r="J739">
            <v>8</v>
          </cell>
          <cell r="K739">
            <v>0</v>
          </cell>
          <cell r="L739">
            <v>0</v>
          </cell>
          <cell r="M739">
            <v>0</v>
          </cell>
          <cell r="N739">
            <v>0</v>
          </cell>
          <cell r="O739">
            <v>0</v>
          </cell>
          <cell r="P739">
            <v>0</v>
          </cell>
        </row>
        <row r="740">
          <cell r="C740">
            <v>187</v>
          </cell>
          <cell r="F740">
            <v>1</v>
          </cell>
          <cell r="G740">
            <v>1</v>
          </cell>
          <cell r="H740">
            <v>46224</v>
          </cell>
          <cell r="I740">
            <v>0</v>
          </cell>
          <cell r="J740">
            <v>16</v>
          </cell>
          <cell r="K740">
            <v>0</v>
          </cell>
          <cell r="L740">
            <v>0</v>
          </cell>
          <cell r="M740">
            <v>0</v>
          </cell>
          <cell r="N740">
            <v>0</v>
          </cell>
          <cell r="O740">
            <v>0</v>
          </cell>
          <cell r="P740">
            <v>0</v>
          </cell>
        </row>
        <row r="741">
          <cell r="C741">
            <v>305</v>
          </cell>
          <cell r="F741">
            <v>1</v>
          </cell>
          <cell r="G741">
            <v>1</v>
          </cell>
          <cell r="H741">
            <v>46224</v>
          </cell>
          <cell r="I741">
            <v>0</v>
          </cell>
          <cell r="J741">
            <v>500</v>
          </cell>
          <cell r="K741">
            <v>0</v>
          </cell>
          <cell r="L741">
            <v>0</v>
          </cell>
          <cell r="M741">
            <v>0</v>
          </cell>
          <cell r="N741">
            <v>0</v>
          </cell>
          <cell r="O741">
            <v>0</v>
          </cell>
          <cell r="P741">
            <v>0</v>
          </cell>
        </row>
        <row r="742">
          <cell r="C742">
            <v>177</v>
          </cell>
          <cell r="F742">
            <v>1</v>
          </cell>
          <cell r="G742">
            <v>1</v>
          </cell>
          <cell r="H742">
            <v>46224</v>
          </cell>
          <cell r="I742">
            <v>0</v>
          </cell>
          <cell r="J742">
            <v>300</v>
          </cell>
          <cell r="K742">
            <v>0</v>
          </cell>
          <cell r="L742">
            <v>0</v>
          </cell>
          <cell r="M742">
            <v>0</v>
          </cell>
          <cell r="N742">
            <v>0</v>
          </cell>
          <cell r="O742">
            <v>0</v>
          </cell>
          <cell r="P742">
            <v>0</v>
          </cell>
        </row>
        <row r="743">
          <cell r="C743">
            <v>294</v>
          </cell>
          <cell r="F743">
            <v>1</v>
          </cell>
          <cell r="G743">
            <v>1</v>
          </cell>
          <cell r="H743">
            <v>46224</v>
          </cell>
          <cell r="I743">
            <v>0</v>
          </cell>
          <cell r="J743">
            <v>35</v>
          </cell>
          <cell r="K743">
            <v>0</v>
          </cell>
          <cell r="L743">
            <v>0</v>
          </cell>
          <cell r="M743">
            <v>0</v>
          </cell>
          <cell r="N743">
            <v>0</v>
          </cell>
          <cell r="O743">
            <v>0</v>
          </cell>
          <cell r="P743">
            <v>0</v>
          </cell>
        </row>
        <row r="744">
          <cell r="C744">
            <v>183</v>
          </cell>
          <cell r="F744">
            <v>1</v>
          </cell>
          <cell r="G744">
            <v>1</v>
          </cell>
          <cell r="H744">
            <v>46224</v>
          </cell>
          <cell r="I744">
            <v>0</v>
          </cell>
          <cell r="J744">
            <v>24</v>
          </cell>
          <cell r="K744">
            <v>0</v>
          </cell>
          <cell r="L744">
            <v>0</v>
          </cell>
          <cell r="M744">
            <v>0</v>
          </cell>
          <cell r="N744">
            <v>0</v>
          </cell>
          <cell r="O744">
            <v>0</v>
          </cell>
          <cell r="P744">
            <v>0</v>
          </cell>
        </row>
        <row r="745">
          <cell r="C745">
            <v>234</v>
          </cell>
          <cell r="F745">
            <v>1</v>
          </cell>
          <cell r="G745">
            <v>1</v>
          </cell>
          <cell r="H745">
            <v>46225</v>
          </cell>
          <cell r="I745">
            <v>0</v>
          </cell>
          <cell r="J745">
            <v>60</v>
          </cell>
          <cell r="K745">
            <v>0</v>
          </cell>
          <cell r="L745">
            <v>0</v>
          </cell>
          <cell r="M745">
            <v>0</v>
          </cell>
          <cell r="N745">
            <v>0</v>
          </cell>
          <cell r="O745">
            <v>0</v>
          </cell>
          <cell r="P745">
            <v>0</v>
          </cell>
        </row>
        <row r="746">
          <cell r="C746">
            <v>227</v>
          </cell>
          <cell r="F746">
            <v>1</v>
          </cell>
          <cell r="G746">
            <v>1</v>
          </cell>
          <cell r="H746">
            <v>46225</v>
          </cell>
          <cell r="I746">
            <v>0</v>
          </cell>
          <cell r="J746">
            <v>10</v>
          </cell>
          <cell r="K746">
            <v>0</v>
          </cell>
          <cell r="L746">
            <v>0</v>
          </cell>
          <cell r="M746">
            <v>0</v>
          </cell>
          <cell r="N746">
            <v>0</v>
          </cell>
          <cell r="O746">
            <v>0</v>
          </cell>
          <cell r="P746">
            <v>0</v>
          </cell>
        </row>
        <row r="747">
          <cell r="C747">
            <v>300</v>
          </cell>
          <cell r="F747">
            <v>1</v>
          </cell>
          <cell r="G747">
            <v>1</v>
          </cell>
          <cell r="H747">
            <v>46225</v>
          </cell>
          <cell r="I747">
            <v>0</v>
          </cell>
          <cell r="J747">
            <v>1</v>
          </cell>
          <cell r="K747">
            <v>0</v>
          </cell>
          <cell r="L747">
            <v>0</v>
          </cell>
          <cell r="M747">
            <v>0</v>
          </cell>
          <cell r="N747">
            <v>0</v>
          </cell>
          <cell r="O747">
            <v>0</v>
          </cell>
          <cell r="P747">
            <v>0</v>
          </cell>
        </row>
        <row r="748">
          <cell r="C748">
            <v>344</v>
          </cell>
          <cell r="F748">
            <v>1</v>
          </cell>
          <cell r="G748">
            <v>1</v>
          </cell>
          <cell r="H748">
            <v>46225</v>
          </cell>
          <cell r="I748">
            <v>0</v>
          </cell>
          <cell r="J748">
            <v>2</v>
          </cell>
          <cell r="K748">
            <v>0</v>
          </cell>
          <cell r="L748">
            <v>0</v>
          </cell>
          <cell r="M748">
            <v>0</v>
          </cell>
          <cell r="N748">
            <v>0</v>
          </cell>
          <cell r="O748">
            <v>0</v>
          </cell>
          <cell r="P748">
            <v>0</v>
          </cell>
        </row>
        <row r="749">
          <cell r="C749">
            <v>305</v>
          </cell>
          <cell r="F749">
            <v>1</v>
          </cell>
          <cell r="G749">
            <v>1</v>
          </cell>
          <cell r="H749">
            <v>46225</v>
          </cell>
          <cell r="I749">
            <v>0</v>
          </cell>
          <cell r="J749">
            <v>500</v>
          </cell>
          <cell r="K749">
            <v>0</v>
          </cell>
          <cell r="L749">
            <v>0</v>
          </cell>
          <cell r="M749">
            <v>0</v>
          </cell>
          <cell r="N749">
            <v>0</v>
          </cell>
          <cell r="O749">
            <v>0</v>
          </cell>
          <cell r="P749">
            <v>0</v>
          </cell>
        </row>
        <row r="750">
          <cell r="C750">
            <v>177</v>
          </cell>
          <cell r="F750">
            <v>1</v>
          </cell>
          <cell r="G750">
            <v>1</v>
          </cell>
          <cell r="H750">
            <v>46225</v>
          </cell>
          <cell r="I750">
            <v>0</v>
          </cell>
          <cell r="J750">
            <v>300</v>
          </cell>
          <cell r="K750">
            <v>0</v>
          </cell>
          <cell r="L750">
            <v>0</v>
          </cell>
          <cell r="M750">
            <v>0</v>
          </cell>
          <cell r="N750">
            <v>0</v>
          </cell>
          <cell r="O750">
            <v>0</v>
          </cell>
          <cell r="P750">
            <v>0</v>
          </cell>
        </row>
        <row r="751">
          <cell r="C751">
            <v>294</v>
          </cell>
          <cell r="F751">
            <v>1</v>
          </cell>
          <cell r="G751">
            <v>1</v>
          </cell>
          <cell r="H751">
            <v>46225</v>
          </cell>
          <cell r="I751">
            <v>0</v>
          </cell>
          <cell r="J751">
            <v>35</v>
          </cell>
          <cell r="K751">
            <v>0</v>
          </cell>
          <cell r="L751">
            <v>0</v>
          </cell>
          <cell r="M751">
            <v>0</v>
          </cell>
          <cell r="N751">
            <v>0</v>
          </cell>
          <cell r="O751">
            <v>0</v>
          </cell>
          <cell r="P751">
            <v>0</v>
          </cell>
        </row>
        <row r="752">
          <cell r="C752">
            <v>183</v>
          </cell>
          <cell r="F752">
            <v>1</v>
          </cell>
          <cell r="G752">
            <v>1</v>
          </cell>
          <cell r="H752">
            <v>46225</v>
          </cell>
          <cell r="I752">
            <v>0</v>
          </cell>
          <cell r="J752">
            <v>24</v>
          </cell>
          <cell r="K752">
            <v>0</v>
          </cell>
          <cell r="L752">
            <v>0</v>
          </cell>
          <cell r="M752">
            <v>0</v>
          </cell>
          <cell r="N752">
            <v>0</v>
          </cell>
          <cell r="O752">
            <v>0</v>
          </cell>
          <cell r="P752">
            <v>0</v>
          </cell>
        </row>
        <row r="753">
          <cell r="C753">
            <v>14</v>
          </cell>
          <cell r="F753">
            <v>1</v>
          </cell>
          <cell r="G753">
            <v>1</v>
          </cell>
          <cell r="H753">
            <v>46225</v>
          </cell>
          <cell r="I753">
            <v>0</v>
          </cell>
          <cell r="J753">
            <v>16</v>
          </cell>
          <cell r="K753">
            <v>0</v>
          </cell>
          <cell r="L753">
            <v>0</v>
          </cell>
          <cell r="M753">
            <v>0</v>
          </cell>
          <cell r="N753">
            <v>0</v>
          </cell>
          <cell r="O753">
            <v>0</v>
          </cell>
          <cell r="P753">
            <v>0</v>
          </cell>
        </row>
        <row r="754">
          <cell r="C754">
            <v>18</v>
          </cell>
          <cell r="F754">
            <v>1</v>
          </cell>
          <cell r="G754">
            <v>1</v>
          </cell>
          <cell r="H754">
            <v>46225</v>
          </cell>
          <cell r="I754">
            <v>0</v>
          </cell>
          <cell r="J754">
            <v>8</v>
          </cell>
          <cell r="K754">
            <v>0</v>
          </cell>
          <cell r="L754">
            <v>0</v>
          </cell>
          <cell r="M754">
            <v>0</v>
          </cell>
          <cell r="N754">
            <v>0</v>
          </cell>
          <cell r="O754">
            <v>0</v>
          </cell>
          <cell r="P754">
            <v>0</v>
          </cell>
        </row>
        <row r="755">
          <cell r="C755">
            <v>38</v>
          </cell>
          <cell r="F755">
            <v>1</v>
          </cell>
          <cell r="G755">
            <v>1</v>
          </cell>
          <cell r="H755">
            <v>46225</v>
          </cell>
          <cell r="I755">
            <v>0</v>
          </cell>
          <cell r="J755">
            <v>2</v>
          </cell>
          <cell r="K755">
            <v>0</v>
          </cell>
          <cell r="L755">
            <v>0</v>
          </cell>
          <cell r="M755">
            <v>0</v>
          </cell>
          <cell r="N755">
            <v>0</v>
          </cell>
          <cell r="O755">
            <v>0</v>
          </cell>
          <cell r="P755">
            <v>0</v>
          </cell>
        </row>
        <row r="756">
          <cell r="C756">
            <v>40</v>
          </cell>
          <cell r="F756">
            <v>1</v>
          </cell>
          <cell r="G756">
            <v>1</v>
          </cell>
          <cell r="H756">
            <v>46225</v>
          </cell>
          <cell r="I756">
            <v>0</v>
          </cell>
          <cell r="J756">
            <v>1</v>
          </cell>
          <cell r="K756">
            <v>0</v>
          </cell>
          <cell r="L756">
            <v>0</v>
          </cell>
          <cell r="M756">
            <v>0</v>
          </cell>
          <cell r="N756">
            <v>0</v>
          </cell>
          <cell r="O756">
            <v>0</v>
          </cell>
          <cell r="P756">
            <v>0</v>
          </cell>
        </row>
        <row r="757">
          <cell r="C757">
            <v>260</v>
          </cell>
          <cell r="F757">
            <v>1</v>
          </cell>
          <cell r="G757">
            <v>1</v>
          </cell>
          <cell r="H757">
            <v>46225</v>
          </cell>
          <cell r="I757">
            <v>0</v>
          </cell>
          <cell r="J757">
            <v>2</v>
          </cell>
          <cell r="K757">
            <v>0</v>
          </cell>
          <cell r="L757">
            <v>0</v>
          </cell>
          <cell r="M757">
            <v>0</v>
          </cell>
          <cell r="N757">
            <v>0</v>
          </cell>
          <cell r="O757">
            <v>0</v>
          </cell>
          <cell r="P757">
            <v>0</v>
          </cell>
        </row>
        <row r="758">
          <cell r="C758">
            <v>253</v>
          </cell>
          <cell r="F758">
            <v>1</v>
          </cell>
          <cell r="G758">
            <v>1</v>
          </cell>
          <cell r="H758">
            <v>46225</v>
          </cell>
          <cell r="I758">
            <v>0</v>
          </cell>
          <cell r="J758">
            <v>1</v>
          </cell>
          <cell r="K758">
            <v>0</v>
          </cell>
          <cell r="L758">
            <v>0</v>
          </cell>
          <cell r="M758">
            <v>0</v>
          </cell>
          <cell r="N758">
            <v>0</v>
          </cell>
          <cell r="O758">
            <v>0</v>
          </cell>
          <cell r="P758">
            <v>0</v>
          </cell>
        </row>
        <row r="759">
          <cell r="C759">
            <v>345</v>
          </cell>
          <cell r="F759">
            <v>1</v>
          </cell>
          <cell r="G759">
            <v>1</v>
          </cell>
          <cell r="H759">
            <v>46225</v>
          </cell>
          <cell r="I759">
            <v>0</v>
          </cell>
          <cell r="J759">
            <v>1</v>
          </cell>
          <cell r="K759">
            <v>0</v>
          </cell>
          <cell r="L759">
            <v>0</v>
          </cell>
          <cell r="M759">
            <v>0</v>
          </cell>
          <cell r="N759">
            <v>0</v>
          </cell>
          <cell r="O759">
            <v>0</v>
          </cell>
          <cell r="P759">
            <v>0</v>
          </cell>
        </row>
        <row r="760">
          <cell r="C760">
            <v>45</v>
          </cell>
          <cell r="F760">
            <v>1</v>
          </cell>
          <cell r="G760">
            <v>1</v>
          </cell>
          <cell r="H760">
            <v>46225</v>
          </cell>
          <cell r="I760">
            <v>0</v>
          </cell>
          <cell r="J760">
            <v>1</v>
          </cell>
          <cell r="K760">
            <v>0</v>
          </cell>
          <cell r="L760">
            <v>0</v>
          </cell>
          <cell r="M760">
            <v>0</v>
          </cell>
          <cell r="N760">
            <v>0</v>
          </cell>
          <cell r="O760">
            <v>0</v>
          </cell>
          <cell r="P760">
            <v>0</v>
          </cell>
        </row>
        <row r="761">
          <cell r="C761">
            <v>50</v>
          </cell>
          <cell r="F761">
            <v>1</v>
          </cell>
          <cell r="G761">
            <v>1</v>
          </cell>
          <cell r="H761">
            <v>46225</v>
          </cell>
          <cell r="I761">
            <v>0</v>
          </cell>
          <cell r="J761">
            <v>3</v>
          </cell>
          <cell r="K761">
            <v>0</v>
          </cell>
          <cell r="L761">
            <v>0</v>
          </cell>
          <cell r="M761">
            <v>0</v>
          </cell>
          <cell r="N761">
            <v>0</v>
          </cell>
          <cell r="O761">
            <v>0</v>
          </cell>
          <cell r="P761">
            <v>0</v>
          </cell>
        </row>
        <row r="762">
          <cell r="C762">
            <v>346</v>
          </cell>
          <cell r="F762">
            <v>1</v>
          </cell>
          <cell r="G762">
            <v>1</v>
          </cell>
          <cell r="H762">
            <v>46225</v>
          </cell>
          <cell r="I762">
            <v>0</v>
          </cell>
          <cell r="J762">
            <v>1</v>
          </cell>
          <cell r="K762">
            <v>0</v>
          </cell>
          <cell r="L762">
            <v>0</v>
          </cell>
          <cell r="M762">
            <v>0</v>
          </cell>
          <cell r="N762">
            <v>0</v>
          </cell>
          <cell r="O762">
            <v>0</v>
          </cell>
          <cell r="P762">
            <v>0</v>
          </cell>
        </row>
        <row r="763">
          <cell r="C763">
            <v>255</v>
          </cell>
          <cell r="F763">
            <v>1</v>
          </cell>
          <cell r="G763">
            <v>1</v>
          </cell>
          <cell r="H763">
            <v>46225</v>
          </cell>
          <cell r="I763">
            <v>0</v>
          </cell>
          <cell r="J763">
            <v>1</v>
          </cell>
          <cell r="K763">
            <v>0</v>
          </cell>
          <cell r="L763">
            <v>0</v>
          </cell>
          <cell r="M763">
            <v>0</v>
          </cell>
          <cell r="N763">
            <v>0</v>
          </cell>
          <cell r="O763">
            <v>0</v>
          </cell>
          <cell r="P763">
            <v>0</v>
          </cell>
        </row>
        <row r="764">
          <cell r="C764">
            <v>254</v>
          </cell>
          <cell r="F764">
            <v>1</v>
          </cell>
          <cell r="G764">
            <v>1</v>
          </cell>
          <cell r="H764">
            <v>46225</v>
          </cell>
          <cell r="I764">
            <v>0</v>
          </cell>
          <cell r="J764">
            <v>1</v>
          </cell>
          <cell r="K764">
            <v>0</v>
          </cell>
          <cell r="L764">
            <v>0</v>
          </cell>
          <cell r="M764">
            <v>0</v>
          </cell>
          <cell r="N764">
            <v>0</v>
          </cell>
          <cell r="O764">
            <v>0</v>
          </cell>
          <cell r="P764">
            <v>0</v>
          </cell>
        </row>
        <row r="765">
          <cell r="C765">
            <v>248</v>
          </cell>
          <cell r="F765">
            <v>1</v>
          </cell>
          <cell r="G765">
            <v>1</v>
          </cell>
          <cell r="H765">
            <v>46225</v>
          </cell>
          <cell r="I765">
            <v>0</v>
          </cell>
          <cell r="J765">
            <v>1</v>
          </cell>
          <cell r="K765">
            <v>0</v>
          </cell>
          <cell r="L765">
            <v>0</v>
          </cell>
          <cell r="M765">
            <v>0</v>
          </cell>
          <cell r="N765">
            <v>0</v>
          </cell>
          <cell r="O765">
            <v>0</v>
          </cell>
          <cell r="P765">
            <v>0</v>
          </cell>
        </row>
        <row r="766">
          <cell r="C766">
            <v>44</v>
          </cell>
          <cell r="F766">
            <v>1</v>
          </cell>
          <cell r="G766">
            <v>1</v>
          </cell>
          <cell r="H766">
            <v>46225</v>
          </cell>
          <cell r="I766">
            <v>0</v>
          </cell>
          <cell r="J766">
            <v>2</v>
          </cell>
          <cell r="K766">
            <v>0</v>
          </cell>
          <cell r="L766">
            <v>0</v>
          </cell>
          <cell r="M766">
            <v>0</v>
          </cell>
          <cell r="N766">
            <v>0</v>
          </cell>
          <cell r="O766">
            <v>0</v>
          </cell>
          <cell r="P766">
            <v>0</v>
          </cell>
        </row>
        <row r="767">
          <cell r="C767">
            <v>329</v>
          </cell>
          <cell r="F767">
            <v>1</v>
          </cell>
          <cell r="G767">
            <v>1</v>
          </cell>
          <cell r="H767">
            <v>46225</v>
          </cell>
          <cell r="I767">
            <v>0</v>
          </cell>
          <cell r="J767">
            <v>1</v>
          </cell>
          <cell r="K767">
            <v>0</v>
          </cell>
          <cell r="L767">
            <v>0</v>
          </cell>
          <cell r="M767">
            <v>0</v>
          </cell>
          <cell r="N767">
            <v>0</v>
          </cell>
          <cell r="O767">
            <v>0</v>
          </cell>
          <cell r="P767">
            <v>0</v>
          </cell>
        </row>
        <row r="768">
          <cell r="C768">
            <v>177</v>
          </cell>
          <cell r="F768">
            <v>1</v>
          </cell>
          <cell r="G768">
            <v>1</v>
          </cell>
          <cell r="H768">
            <v>46226</v>
          </cell>
          <cell r="I768">
            <v>0</v>
          </cell>
          <cell r="J768">
            <v>1000</v>
          </cell>
          <cell r="K768">
            <v>0</v>
          </cell>
          <cell r="L768">
            <v>0</v>
          </cell>
          <cell r="M768">
            <v>0</v>
          </cell>
          <cell r="N768">
            <v>0</v>
          </cell>
          <cell r="O768">
            <v>0</v>
          </cell>
          <cell r="P768">
            <v>0</v>
          </cell>
        </row>
        <row r="769">
          <cell r="C769">
            <v>305</v>
          </cell>
          <cell r="F769">
            <v>1</v>
          </cell>
          <cell r="G769">
            <v>1</v>
          </cell>
          <cell r="H769">
            <v>46226</v>
          </cell>
          <cell r="I769">
            <v>0</v>
          </cell>
          <cell r="J769">
            <v>1000</v>
          </cell>
          <cell r="K769">
            <v>0</v>
          </cell>
          <cell r="L769">
            <v>0</v>
          </cell>
          <cell r="M769">
            <v>0</v>
          </cell>
          <cell r="N769">
            <v>0</v>
          </cell>
          <cell r="O769">
            <v>0</v>
          </cell>
          <cell r="P769">
            <v>0</v>
          </cell>
        </row>
        <row r="770">
          <cell r="C770">
            <v>293</v>
          </cell>
          <cell r="F770">
            <v>1</v>
          </cell>
          <cell r="G770">
            <v>1</v>
          </cell>
          <cell r="H770">
            <v>46227</v>
          </cell>
          <cell r="I770">
            <v>0</v>
          </cell>
          <cell r="J770">
            <v>35</v>
          </cell>
          <cell r="K770">
            <v>0</v>
          </cell>
          <cell r="L770">
            <v>0</v>
          </cell>
          <cell r="M770">
            <v>0</v>
          </cell>
          <cell r="N770">
            <v>0</v>
          </cell>
          <cell r="O770">
            <v>0</v>
          </cell>
          <cell r="P770">
            <v>0</v>
          </cell>
        </row>
        <row r="771">
          <cell r="C771">
            <v>177</v>
          </cell>
          <cell r="F771">
            <v>1</v>
          </cell>
          <cell r="G771">
            <v>1</v>
          </cell>
          <cell r="H771">
            <v>46227</v>
          </cell>
          <cell r="I771">
            <v>0</v>
          </cell>
          <cell r="J771">
            <v>200</v>
          </cell>
          <cell r="K771">
            <v>0</v>
          </cell>
          <cell r="L771">
            <v>0</v>
          </cell>
          <cell r="M771">
            <v>0</v>
          </cell>
          <cell r="N771">
            <v>0</v>
          </cell>
          <cell r="O771">
            <v>0</v>
          </cell>
          <cell r="P771">
            <v>0</v>
          </cell>
        </row>
        <row r="772">
          <cell r="C772">
            <v>305</v>
          </cell>
          <cell r="F772">
            <v>1</v>
          </cell>
          <cell r="G772">
            <v>1</v>
          </cell>
          <cell r="H772">
            <v>46227</v>
          </cell>
          <cell r="I772">
            <v>0</v>
          </cell>
          <cell r="J772">
            <v>350</v>
          </cell>
          <cell r="K772">
            <v>0</v>
          </cell>
          <cell r="L772">
            <v>0</v>
          </cell>
          <cell r="M772">
            <v>0</v>
          </cell>
          <cell r="N772">
            <v>0</v>
          </cell>
          <cell r="O772">
            <v>0</v>
          </cell>
          <cell r="P772">
            <v>0</v>
          </cell>
        </row>
        <row r="773">
          <cell r="C773">
            <v>178</v>
          </cell>
          <cell r="F773">
            <v>1</v>
          </cell>
          <cell r="G773">
            <v>1</v>
          </cell>
          <cell r="H773">
            <v>46227</v>
          </cell>
          <cell r="I773">
            <v>0</v>
          </cell>
          <cell r="J773">
            <v>300</v>
          </cell>
          <cell r="K773">
            <v>0</v>
          </cell>
          <cell r="L773">
            <v>0</v>
          </cell>
          <cell r="M773">
            <v>0</v>
          </cell>
          <cell r="N773">
            <v>0</v>
          </cell>
          <cell r="O773">
            <v>0</v>
          </cell>
          <cell r="P773">
            <v>0</v>
          </cell>
        </row>
        <row r="774">
          <cell r="C774">
            <v>295</v>
          </cell>
          <cell r="F774">
            <v>1</v>
          </cell>
          <cell r="G774">
            <v>1</v>
          </cell>
          <cell r="H774">
            <v>46227</v>
          </cell>
          <cell r="I774">
            <v>0</v>
          </cell>
          <cell r="J774">
            <v>1</v>
          </cell>
          <cell r="K774">
            <v>0</v>
          </cell>
          <cell r="L774">
            <v>0</v>
          </cell>
          <cell r="M774">
            <v>0</v>
          </cell>
          <cell r="N774">
            <v>0</v>
          </cell>
          <cell r="O774">
            <v>0</v>
          </cell>
          <cell r="P774">
            <v>0</v>
          </cell>
        </row>
        <row r="775">
          <cell r="C775">
            <v>19</v>
          </cell>
          <cell r="F775">
            <v>1</v>
          </cell>
          <cell r="G775">
            <v>1</v>
          </cell>
          <cell r="H775">
            <v>46227</v>
          </cell>
          <cell r="I775">
            <v>0</v>
          </cell>
          <cell r="J775">
            <v>36</v>
          </cell>
          <cell r="K775">
            <v>0</v>
          </cell>
          <cell r="L775">
            <v>0</v>
          </cell>
          <cell r="M775">
            <v>0</v>
          </cell>
          <cell r="N775">
            <v>0</v>
          </cell>
          <cell r="O775">
            <v>0</v>
          </cell>
          <cell r="P775">
            <v>0</v>
          </cell>
        </row>
        <row r="776">
          <cell r="C776">
            <v>29</v>
          </cell>
          <cell r="F776">
            <v>1</v>
          </cell>
          <cell r="G776">
            <v>1</v>
          </cell>
          <cell r="H776">
            <v>46227</v>
          </cell>
          <cell r="I776">
            <v>0</v>
          </cell>
          <cell r="J776">
            <v>1</v>
          </cell>
          <cell r="K776">
            <v>0</v>
          </cell>
          <cell r="L776">
            <v>0</v>
          </cell>
          <cell r="M776">
            <v>0</v>
          </cell>
          <cell r="N776">
            <v>0</v>
          </cell>
          <cell r="O776">
            <v>0</v>
          </cell>
          <cell r="P776">
            <v>0</v>
          </cell>
        </row>
        <row r="777">
          <cell r="C777">
            <v>359</v>
          </cell>
          <cell r="F777">
            <v>1</v>
          </cell>
          <cell r="G777">
            <v>1</v>
          </cell>
          <cell r="H777">
            <v>46227</v>
          </cell>
          <cell r="I777">
            <v>0</v>
          </cell>
          <cell r="J777">
            <v>4</v>
          </cell>
          <cell r="K777">
            <v>0</v>
          </cell>
          <cell r="L777">
            <v>0</v>
          </cell>
          <cell r="M777">
            <v>0</v>
          </cell>
          <cell r="N777">
            <v>0</v>
          </cell>
          <cell r="O777">
            <v>0</v>
          </cell>
          <cell r="P777">
            <v>0</v>
          </cell>
        </row>
        <row r="778">
          <cell r="C778">
            <v>26</v>
          </cell>
          <cell r="F778">
            <v>1</v>
          </cell>
          <cell r="G778">
            <v>1</v>
          </cell>
          <cell r="H778">
            <v>46227</v>
          </cell>
          <cell r="I778">
            <v>0</v>
          </cell>
          <cell r="J778">
            <v>2</v>
          </cell>
          <cell r="K778">
            <v>0</v>
          </cell>
          <cell r="L778">
            <v>0</v>
          </cell>
          <cell r="M778">
            <v>0</v>
          </cell>
          <cell r="N778">
            <v>0</v>
          </cell>
          <cell r="O778">
            <v>0</v>
          </cell>
          <cell r="P778">
            <v>0</v>
          </cell>
        </row>
        <row r="779">
          <cell r="C779">
            <v>176</v>
          </cell>
          <cell r="F779">
            <v>1</v>
          </cell>
          <cell r="G779">
            <v>1</v>
          </cell>
          <cell r="H779">
            <v>46227</v>
          </cell>
          <cell r="I779">
            <v>0</v>
          </cell>
          <cell r="J779">
            <v>50</v>
          </cell>
          <cell r="K779">
            <v>0</v>
          </cell>
          <cell r="L779">
            <v>0</v>
          </cell>
          <cell r="M779">
            <v>0</v>
          </cell>
          <cell r="N779">
            <v>0</v>
          </cell>
          <cell r="O779">
            <v>0</v>
          </cell>
          <cell r="P779">
            <v>0</v>
          </cell>
        </row>
        <row r="780">
          <cell r="C780">
            <v>235</v>
          </cell>
          <cell r="F780">
            <v>1</v>
          </cell>
          <cell r="G780">
            <v>1</v>
          </cell>
          <cell r="H780">
            <v>46228</v>
          </cell>
          <cell r="I780">
            <v>0</v>
          </cell>
          <cell r="J780">
            <v>12</v>
          </cell>
          <cell r="K780">
            <v>0</v>
          </cell>
          <cell r="L780">
            <v>0</v>
          </cell>
          <cell r="M780">
            <v>0</v>
          </cell>
          <cell r="N780">
            <v>0</v>
          </cell>
          <cell r="O780">
            <v>0</v>
          </cell>
          <cell r="P780">
            <v>0</v>
          </cell>
        </row>
        <row r="781">
          <cell r="C781">
            <v>197</v>
          </cell>
          <cell r="F781">
            <v>1</v>
          </cell>
          <cell r="G781">
            <v>1</v>
          </cell>
          <cell r="H781">
            <v>46228</v>
          </cell>
          <cell r="I781">
            <v>0</v>
          </cell>
          <cell r="J781">
            <v>12</v>
          </cell>
          <cell r="K781">
            <v>0</v>
          </cell>
          <cell r="L781">
            <v>0</v>
          </cell>
          <cell r="M781">
            <v>0</v>
          </cell>
          <cell r="N781">
            <v>0</v>
          </cell>
          <cell r="O781">
            <v>0</v>
          </cell>
          <cell r="P781">
            <v>0</v>
          </cell>
        </row>
        <row r="782">
          <cell r="C782">
            <v>187</v>
          </cell>
          <cell r="F782">
            <v>1</v>
          </cell>
          <cell r="G782">
            <v>1</v>
          </cell>
          <cell r="H782">
            <v>46228</v>
          </cell>
          <cell r="I782">
            <v>0</v>
          </cell>
          <cell r="J782">
            <v>40</v>
          </cell>
          <cell r="K782">
            <v>0</v>
          </cell>
          <cell r="L782">
            <v>0</v>
          </cell>
          <cell r="M782">
            <v>0</v>
          </cell>
          <cell r="N782">
            <v>0</v>
          </cell>
          <cell r="O782">
            <v>0</v>
          </cell>
          <cell r="P782">
            <v>0</v>
          </cell>
        </row>
        <row r="783">
          <cell r="C783">
            <v>181</v>
          </cell>
          <cell r="F783">
            <v>1</v>
          </cell>
          <cell r="G783">
            <v>1</v>
          </cell>
          <cell r="H783">
            <v>46228</v>
          </cell>
          <cell r="I783">
            <v>0</v>
          </cell>
          <cell r="J783">
            <v>12</v>
          </cell>
          <cell r="K783">
            <v>0</v>
          </cell>
          <cell r="L783">
            <v>0</v>
          </cell>
          <cell r="M783">
            <v>0</v>
          </cell>
          <cell r="N783">
            <v>0</v>
          </cell>
          <cell r="O783">
            <v>0</v>
          </cell>
          <cell r="P783">
            <v>0</v>
          </cell>
        </row>
        <row r="784">
          <cell r="C784">
            <v>195</v>
          </cell>
          <cell r="F784">
            <v>1</v>
          </cell>
          <cell r="G784">
            <v>1</v>
          </cell>
          <cell r="H784">
            <v>46228</v>
          </cell>
          <cell r="I784">
            <v>0</v>
          </cell>
          <cell r="J784">
            <v>16</v>
          </cell>
          <cell r="K784">
            <v>0</v>
          </cell>
          <cell r="L784">
            <v>0</v>
          </cell>
          <cell r="M784">
            <v>0</v>
          </cell>
          <cell r="N784">
            <v>0</v>
          </cell>
          <cell r="O784">
            <v>0</v>
          </cell>
          <cell r="P784">
            <v>0</v>
          </cell>
        </row>
        <row r="785">
          <cell r="C785">
            <v>177</v>
          </cell>
          <cell r="F785">
            <v>1</v>
          </cell>
          <cell r="G785">
            <v>1</v>
          </cell>
          <cell r="H785">
            <v>46228</v>
          </cell>
          <cell r="I785">
            <v>0</v>
          </cell>
          <cell r="J785">
            <v>50</v>
          </cell>
          <cell r="K785">
            <v>0</v>
          </cell>
          <cell r="L785">
            <v>0</v>
          </cell>
          <cell r="M785">
            <v>0</v>
          </cell>
          <cell r="N785">
            <v>0</v>
          </cell>
          <cell r="O785">
            <v>0</v>
          </cell>
          <cell r="P785">
            <v>0</v>
          </cell>
        </row>
        <row r="786">
          <cell r="C786">
            <v>179</v>
          </cell>
          <cell r="F786">
            <v>1</v>
          </cell>
          <cell r="G786">
            <v>1</v>
          </cell>
          <cell r="H786">
            <v>46228</v>
          </cell>
          <cell r="I786">
            <v>0</v>
          </cell>
          <cell r="J786">
            <v>500</v>
          </cell>
          <cell r="K786">
            <v>0</v>
          </cell>
          <cell r="L786">
            <v>0</v>
          </cell>
          <cell r="M786">
            <v>0</v>
          </cell>
          <cell r="N786">
            <v>0</v>
          </cell>
          <cell r="O786">
            <v>0</v>
          </cell>
          <cell r="P786">
            <v>0</v>
          </cell>
        </row>
        <row r="787">
          <cell r="C787">
            <v>240</v>
          </cell>
          <cell r="F787">
            <v>1</v>
          </cell>
          <cell r="G787">
            <v>1</v>
          </cell>
          <cell r="H787">
            <v>46228</v>
          </cell>
          <cell r="I787">
            <v>0</v>
          </cell>
          <cell r="J787">
            <v>36</v>
          </cell>
          <cell r="K787">
            <v>0</v>
          </cell>
          <cell r="L787">
            <v>0</v>
          </cell>
          <cell r="M787">
            <v>0</v>
          </cell>
          <cell r="N787">
            <v>0</v>
          </cell>
          <cell r="O787">
            <v>0</v>
          </cell>
          <cell r="P787">
            <v>0</v>
          </cell>
        </row>
        <row r="788">
          <cell r="C788">
            <v>305</v>
          </cell>
          <cell r="F788">
            <v>1</v>
          </cell>
          <cell r="G788">
            <v>1</v>
          </cell>
          <cell r="H788">
            <v>46229</v>
          </cell>
          <cell r="I788">
            <v>0</v>
          </cell>
          <cell r="J788">
            <v>1000</v>
          </cell>
          <cell r="K788">
            <v>0</v>
          </cell>
          <cell r="L788">
            <v>0</v>
          </cell>
          <cell r="M788">
            <v>0</v>
          </cell>
          <cell r="N788">
            <v>0</v>
          </cell>
          <cell r="O788">
            <v>0</v>
          </cell>
          <cell r="P788">
            <v>0</v>
          </cell>
        </row>
        <row r="789">
          <cell r="C789">
            <v>293</v>
          </cell>
          <cell r="F789">
            <v>1</v>
          </cell>
          <cell r="G789">
            <v>1</v>
          </cell>
          <cell r="H789">
            <v>46229</v>
          </cell>
          <cell r="I789">
            <v>0</v>
          </cell>
          <cell r="J789">
            <v>175</v>
          </cell>
          <cell r="K789">
            <v>0</v>
          </cell>
          <cell r="L789">
            <v>0</v>
          </cell>
          <cell r="M789">
            <v>0</v>
          </cell>
          <cell r="N789">
            <v>0</v>
          </cell>
          <cell r="O789">
            <v>0</v>
          </cell>
          <cell r="P789">
            <v>0</v>
          </cell>
        </row>
        <row r="790">
          <cell r="C790">
            <v>177</v>
          </cell>
          <cell r="F790">
            <v>1</v>
          </cell>
          <cell r="G790">
            <v>1</v>
          </cell>
          <cell r="H790">
            <v>46229</v>
          </cell>
          <cell r="I790">
            <v>0</v>
          </cell>
          <cell r="J790">
            <v>750</v>
          </cell>
          <cell r="K790">
            <v>0</v>
          </cell>
          <cell r="L790">
            <v>0</v>
          </cell>
          <cell r="M790">
            <v>0</v>
          </cell>
          <cell r="N790">
            <v>0</v>
          </cell>
          <cell r="O790">
            <v>0</v>
          </cell>
          <cell r="P790">
            <v>0</v>
          </cell>
        </row>
        <row r="791">
          <cell r="C791">
            <v>296</v>
          </cell>
          <cell r="F791">
            <v>1</v>
          </cell>
          <cell r="G791">
            <v>1</v>
          </cell>
          <cell r="H791">
            <v>46229</v>
          </cell>
          <cell r="I791">
            <v>0</v>
          </cell>
          <cell r="J791">
            <v>1</v>
          </cell>
          <cell r="K791">
            <v>0</v>
          </cell>
          <cell r="L791">
            <v>0</v>
          </cell>
          <cell r="M791">
            <v>0</v>
          </cell>
          <cell r="N791">
            <v>0</v>
          </cell>
          <cell r="O791">
            <v>0</v>
          </cell>
          <cell r="P791">
            <v>0</v>
          </cell>
        </row>
        <row r="792">
          <cell r="C792">
            <v>339</v>
          </cell>
          <cell r="F792">
            <v>1</v>
          </cell>
          <cell r="G792">
            <v>1</v>
          </cell>
          <cell r="H792">
            <v>46229</v>
          </cell>
          <cell r="I792">
            <v>0</v>
          </cell>
          <cell r="J792">
            <v>10</v>
          </cell>
          <cell r="K792">
            <v>0</v>
          </cell>
          <cell r="L792">
            <v>0</v>
          </cell>
          <cell r="M792">
            <v>0</v>
          </cell>
          <cell r="N792">
            <v>0</v>
          </cell>
          <cell r="O792">
            <v>0</v>
          </cell>
          <cell r="P792">
            <v>0</v>
          </cell>
        </row>
        <row r="793">
          <cell r="C793">
            <v>176</v>
          </cell>
          <cell r="F793">
            <v>1</v>
          </cell>
          <cell r="G793">
            <v>1</v>
          </cell>
          <cell r="H793">
            <v>46230</v>
          </cell>
          <cell r="I793">
            <v>0</v>
          </cell>
          <cell r="J793">
            <v>1050</v>
          </cell>
          <cell r="K793">
            <v>0</v>
          </cell>
          <cell r="L793">
            <v>0</v>
          </cell>
          <cell r="M793">
            <v>0</v>
          </cell>
          <cell r="N793">
            <v>0</v>
          </cell>
          <cell r="O793">
            <v>0</v>
          </cell>
          <cell r="P793">
            <v>0</v>
          </cell>
        </row>
        <row r="794">
          <cell r="C794">
            <v>288</v>
          </cell>
          <cell r="F794">
            <v>1</v>
          </cell>
          <cell r="G794">
            <v>1</v>
          </cell>
          <cell r="H794">
            <v>46230</v>
          </cell>
          <cell r="I794">
            <v>0</v>
          </cell>
          <cell r="J794">
            <v>36</v>
          </cell>
          <cell r="K794">
            <v>0</v>
          </cell>
          <cell r="L794">
            <v>0</v>
          </cell>
          <cell r="M794">
            <v>0</v>
          </cell>
          <cell r="N794">
            <v>0</v>
          </cell>
          <cell r="O794">
            <v>0</v>
          </cell>
          <cell r="P794">
            <v>0</v>
          </cell>
        </row>
        <row r="795">
          <cell r="C795">
            <v>289</v>
          </cell>
          <cell r="F795">
            <v>1</v>
          </cell>
          <cell r="G795">
            <v>1</v>
          </cell>
          <cell r="H795">
            <v>46230</v>
          </cell>
          <cell r="I795">
            <v>0</v>
          </cell>
          <cell r="J795">
            <v>40</v>
          </cell>
          <cell r="K795">
            <v>0</v>
          </cell>
          <cell r="L795">
            <v>0</v>
          </cell>
          <cell r="M795">
            <v>0</v>
          </cell>
          <cell r="N795">
            <v>0</v>
          </cell>
          <cell r="O795">
            <v>0</v>
          </cell>
          <cell r="P795">
            <v>0</v>
          </cell>
        </row>
        <row r="796">
          <cell r="C796">
            <v>304</v>
          </cell>
          <cell r="F796">
            <v>1</v>
          </cell>
          <cell r="G796">
            <v>1</v>
          </cell>
          <cell r="H796">
            <v>46230</v>
          </cell>
          <cell r="I796">
            <v>0</v>
          </cell>
          <cell r="J796">
            <v>12</v>
          </cell>
          <cell r="K796">
            <v>0</v>
          </cell>
          <cell r="L796">
            <v>0</v>
          </cell>
          <cell r="M796">
            <v>0</v>
          </cell>
          <cell r="N796">
            <v>0</v>
          </cell>
          <cell r="O796">
            <v>0</v>
          </cell>
          <cell r="P796">
            <v>0</v>
          </cell>
        </row>
        <row r="797">
          <cell r="C797">
            <v>243</v>
          </cell>
          <cell r="F797">
            <v>1</v>
          </cell>
          <cell r="G797">
            <v>1</v>
          </cell>
          <cell r="H797">
            <v>46230</v>
          </cell>
          <cell r="I797">
            <v>0</v>
          </cell>
          <cell r="J797">
            <v>1</v>
          </cell>
          <cell r="K797">
            <v>0</v>
          </cell>
          <cell r="L797">
            <v>0</v>
          </cell>
          <cell r="M797">
            <v>0</v>
          </cell>
          <cell r="N797">
            <v>0</v>
          </cell>
          <cell r="O797">
            <v>0</v>
          </cell>
          <cell r="P797">
            <v>0</v>
          </cell>
        </row>
        <row r="798">
          <cell r="C798">
            <v>56</v>
          </cell>
          <cell r="F798">
            <v>1</v>
          </cell>
          <cell r="G798">
            <v>1</v>
          </cell>
          <cell r="H798">
            <v>46230</v>
          </cell>
          <cell r="I798">
            <v>0</v>
          </cell>
          <cell r="J798">
            <v>1</v>
          </cell>
          <cell r="K798">
            <v>0</v>
          </cell>
          <cell r="L798">
            <v>0</v>
          </cell>
          <cell r="M798">
            <v>0</v>
          </cell>
          <cell r="N798">
            <v>0</v>
          </cell>
          <cell r="O798">
            <v>0</v>
          </cell>
          <cell r="P798">
            <v>0</v>
          </cell>
        </row>
        <row r="799">
          <cell r="C799">
            <v>266</v>
          </cell>
          <cell r="F799">
            <v>1</v>
          </cell>
          <cell r="G799">
            <v>1</v>
          </cell>
          <cell r="H799">
            <v>46230</v>
          </cell>
          <cell r="I799">
            <v>0</v>
          </cell>
          <cell r="J799">
            <v>4</v>
          </cell>
          <cell r="K799">
            <v>0</v>
          </cell>
          <cell r="L799">
            <v>0</v>
          </cell>
          <cell r="M799">
            <v>0</v>
          </cell>
          <cell r="N799">
            <v>0</v>
          </cell>
          <cell r="O799">
            <v>0</v>
          </cell>
          <cell r="P799">
            <v>0</v>
          </cell>
        </row>
        <row r="800">
          <cell r="C800">
            <v>50</v>
          </cell>
          <cell r="F800">
            <v>1</v>
          </cell>
          <cell r="G800">
            <v>1</v>
          </cell>
          <cell r="H800">
            <v>46230</v>
          </cell>
          <cell r="I800">
            <v>0</v>
          </cell>
          <cell r="J800">
            <v>13</v>
          </cell>
          <cell r="K800">
            <v>0</v>
          </cell>
          <cell r="L800">
            <v>0</v>
          </cell>
          <cell r="M800">
            <v>0</v>
          </cell>
          <cell r="N800">
            <v>0</v>
          </cell>
          <cell r="O800">
            <v>0</v>
          </cell>
          <cell r="P800">
            <v>0</v>
          </cell>
        </row>
        <row r="801">
          <cell r="C801">
            <v>249</v>
          </cell>
          <cell r="F801">
            <v>1</v>
          </cell>
          <cell r="G801">
            <v>1</v>
          </cell>
          <cell r="H801">
            <v>46230</v>
          </cell>
          <cell r="I801">
            <v>0</v>
          </cell>
          <cell r="J801">
            <v>2</v>
          </cell>
          <cell r="K801">
            <v>0</v>
          </cell>
          <cell r="L801">
            <v>0</v>
          </cell>
          <cell r="M801">
            <v>0</v>
          </cell>
          <cell r="N801">
            <v>0</v>
          </cell>
          <cell r="O801">
            <v>0</v>
          </cell>
          <cell r="P801">
            <v>0</v>
          </cell>
        </row>
        <row r="802">
          <cell r="C802">
            <v>248</v>
          </cell>
          <cell r="F802">
            <v>1</v>
          </cell>
          <cell r="G802">
            <v>1</v>
          </cell>
          <cell r="H802">
            <v>46230</v>
          </cell>
          <cell r="I802">
            <v>0</v>
          </cell>
          <cell r="J802">
            <v>4</v>
          </cell>
          <cell r="K802">
            <v>0</v>
          </cell>
          <cell r="L802">
            <v>0</v>
          </cell>
          <cell r="M802">
            <v>0</v>
          </cell>
          <cell r="N802">
            <v>0</v>
          </cell>
          <cell r="O802">
            <v>0</v>
          </cell>
          <cell r="P802">
            <v>0</v>
          </cell>
        </row>
        <row r="803">
          <cell r="C803">
            <v>342</v>
          </cell>
          <cell r="F803">
            <v>1</v>
          </cell>
          <cell r="G803">
            <v>1</v>
          </cell>
          <cell r="H803">
            <v>46230</v>
          </cell>
          <cell r="I803">
            <v>0</v>
          </cell>
          <cell r="J803">
            <v>4</v>
          </cell>
          <cell r="K803">
            <v>0</v>
          </cell>
          <cell r="L803">
            <v>0</v>
          </cell>
          <cell r="M803">
            <v>0</v>
          </cell>
          <cell r="N803">
            <v>0</v>
          </cell>
          <cell r="O803">
            <v>0</v>
          </cell>
          <cell r="P803">
            <v>0</v>
          </cell>
        </row>
        <row r="804">
          <cell r="C804">
            <v>250</v>
          </cell>
          <cell r="F804">
            <v>1</v>
          </cell>
          <cell r="G804">
            <v>1</v>
          </cell>
          <cell r="H804">
            <v>46230</v>
          </cell>
          <cell r="I804">
            <v>0</v>
          </cell>
          <cell r="J804">
            <v>12</v>
          </cell>
          <cell r="K804">
            <v>0</v>
          </cell>
          <cell r="L804">
            <v>0</v>
          </cell>
          <cell r="M804">
            <v>0</v>
          </cell>
          <cell r="N804">
            <v>0</v>
          </cell>
          <cell r="O804">
            <v>0</v>
          </cell>
          <cell r="P804">
            <v>0</v>
          </cell>
        </row>
        <row r="805">
          <cell r="C805">
            <v>284</v>
          </cell>
          <cell r="F805">
            <v>1</v>
          </cell>
          <cell r="G805">
            <v>1</v>
          </cell>
          <cell r="H805">
            <v>46230</v>
          </cell>
          <cell r="I805">
            <v>0</v>
          </cell>
          <cell r="J805">
            <v>10</v>
          </cell>
          <cell r="K805">
            <v>0</v>
          </cell>
          <cell r="L805">
            <v>0</v>
          </cell>
          <cell r="M805">
            <v>0</v>
          </cell>
          <cell r="N805">
            <v>0</v>
          </cell>
          <cell r="O805">
            <v>0</v>
          </cell>
          <cell r="P805">
            <v>0</v>
          </cell>
        </row>
        <row r="806">
          <cell r="C806">
            <v>254</v>
          </cell>
          <cell r="F806">
            <v>1</v>
          </cell>
          <cell r="G806">
            <v>1</v>
          </cell>
          <cell r="H806">
            <v>46230</v>
          </cell>
          <cell r="I806">
            <v>0</v>
          </cell>
          <cell r="J806">
            <v>3</v>
          </cell>
          <cell r="K806">
            <v>0</v>
          </cell>
          <cell r="L806">
            <v>0</v>
          </cell>
          <cell r="M806">
            <v>0</v>
          </cell>
          <cell r="N806">
            <v>0</v>
          </cell>
          <cell r="O806">
            <v>0</v>
          </cell>
          <cell r="P806">
            <v>0</v>
          </cell>
        </row>
        <row r="807">
          <cell r="C807">
            <v>343</v>
          </cell>
          <cell r="F807">
            <v>1</v>
          </cell>
          <cell r="G807">
            <v>1</v>
          </cell>
          <cell r="H807">
            <v>46230</v>
          </cell>
          <cell r="I807">
            <v>0</v>
          </cell>
          <cell r="J807">
            <v>1</v>
          </cell>
          <cell r="K807">
            <v>0</v>
          </cell>
          <cell r="L807">
            <v>0</v>
          </cell>
          <cell r="M807">
            <v>0</v>
          </cell>
          <cell r="N807">
            <v>0</v>
          </cell>
          <cell r="O807">
            <v>0</v>
          </cell>
          <cell r="P807">
            <v>0</v>
          </cell>
        </row>
        <row r="808">
          <cell r="C808">
            <v>46</v>
          </cell>
          <cell r="F808">
            <v>1</v>
          </cell>
          <cell r="G808">
            <v>1</v>
          </cell>
          <cell r="H808">
            <v>46230</v>
          </cell>
          <cell r="I808">
            <v>0</v>
          </cell>
          <cell r="J808">
            <v>2</v>
          </cell>
          <cell r="K808">
            <v>0</v>
          </cell>
          <cell r="L808">
            <v>0</v>
          </cell>
          <cell r="M808">
            <v>0</v>
          </cell>
          <cell r="N808">
            <v>0</v>
          </cell>
          <cell r="O808">
            <v>0</v>
          </cell>
          <cell r="P808">
            <v>0</v>
          </cell>
        </row>
        <row r="809">
          <cell r="C809">
            <v>259</v>
          </cell>
          <cell r="F809">
            <v>1</v>
          </cell>
          <cell r="G809">
            <v>1</v>
          </cell>
          <cell r="H809">
            <v>46230</v>
          </cell>
          <cell r="I809">
            <v>0</v>
          </cell>
          <cell r="J809">
            <v>2</v>
          </cell>
          <cell r="K809">
            <v>0</v>
          </cell>
          <cell r="L809">
            <v>0</v>
          </cell>
          <cell r="M809">
            <v>0</v>
          </cell>
          <cell r="N809">
            <v>0</v>
          </cell>
          <cell r="O809">
            <v>0</v>
          </cell>
          <cell r="P809">
            <v>0</v>
          </cell>
        </row>
        <row r="810">
          <cell r="C810">
            <v>226</v>
          </cell>
          <cell r="F810">
            <v>1</v>
          </cell>
          <cell r="G810">
            <v>1</v>
          </cell>
          <cell r="H810">
            <v>46230</v>
          </cell>
          <cell r="I810">
            <v>0</v>
          </cell>
          <cell r="J810">
            <v>1</v>
          </cell>
          <cell r="K810">
            <v>0</v>
          </cell>
          <cell r="L810">
            <v>0</v>
          </cell>
          <cell r="M810">
            <v>0</v>
          </cell>
          <cell r="N810">
            <v>0</v>
          </cell>
          <cell r="O810">
            <v>0</v>
          </cell>
          <cell r="P810">
            <v>0</v>
          </cell>
        </row>
        <row r="811">
          <cell r="C811">
            <v>349</v>
          </cell>
          <cell r="F811">
            <v>1</v>
          </cell>
          <cell r="G811">
            <v>1</v>
          </cell>
          <cell r="H811">
            <v>46230</v>
          </cell>
          <cell r="I811">
            <v>0</v>
          </cell>
          <cell r="J811">
            <v>1</v>
          </cell>
          <cell r="K811">
            <v>0</v>
          </cell>
          <cell r="L811">
            <v>0</v>
          </cell>
          <cell r="M811">
            <v>0</v>
          </cell>
          <cell r="N811">
            <v>0</v>
          </cell>
          <cell r="O811">
            <v>0</v>
          </cell>
          <cell r="P811">
            <v>0</v>
          </cell>
        </row>
        <row r="812">
          <cell r="C812">
            <v>267</v>
          </cell>
          <cell r="F812">
            <v>1</v>
          </cell>
          <cell r="G812">
            <v>1</v>
          </cell>
          <cell r="H812">
            <v>46230</v>
          </cell>
          <cell r="I812">
            <v>0</v>
          </cell>
          <cell r="J812">
            <v>1</v>
          </cell>
          <cell r="K812">
            <v>0</v>
          </cell>
          <cell r="L812">
            <v>0</v>
          </cell>
          <cell r="M812">
            <v>0</v>
          </cell>
          <cell r="N812">
            <v>0</v>
          </cell>
          <cell r="O812">
            <v>0</v>
          </cell>
          <cell r="P812">
            <v>0</v>
          </cell>
        </row>
        <row r="813">
          <cell r="C813">
            <v>360</v>
          </cell>
          <cell r="F813">
            <v>1</v>
          </cell>
          <cell r="G813">
            <v>1</v>
          </cell>
          <cell r="H813">
            <v>46230</v>
          </cell>
          <cell r="I813">
            <v>0</v>
          </cell>
          <cell r="J813">
            <v>4</v>
          </cell>
          <cell r="K813">
            <v>0</v>
          </cell>
          <cell r="L813">
            <v>0</v>
          </cell>
          <cell r="M813">
            <v>0</v>
          </cell>
          <cell r="N813">
            <v>0</v>
          </cell>
          <cell r="O813">
            <v>0</v>
          </cell>
          <cell r="P813">
            <v>0</v>
          </cell>
        </row>
        <row r="814">
          <cell r="C814">
            <v>324</v>
          </cell>
          <cell r="F814">
            <v>1</v>
          </cell>
          <cell r="G814">
            <v>1</v>
          </cell>
          <cell r="H814">
            <v>46230</v>
          </cell>
          <cell r="I814">
            <v>0</v>
          </cell>
          <cell r="J814">
            <v>1</v>
          </cell>
          <cell r="K814">
            <v>0</v>
          </cell>
          <cell r="L814">
            <v>0</v>
          </cell>
          <cell r="M814">
            <v>0</v>
          </cell>
          <cell r="N814">
            <v>0</v>
          </cell>
          <cell r="O814">
            <v>0</v>
          </cell>
          <cell r="P814">
            <v>0</v>
          </cell>
        </row>
        <row r="815">
          <cell r="C815">
            <v>291</v>
          </cell>
          <cell r="F815">
            <v>1</v>
          </cell>
          <cell r="G815">
            <v>1</v>
          </cell>
          <cell r="H815">
            <v>46230</v>
          </cell>
          <cell r="I815">
            <v>0</v>
          </cell>
          <cell r="J815">
            <v>1</v>
          </cell>
          <cell r="K815">
            <v>0</v>
          </cell>
          <cell r="L815">
            <v>0</v>
          </cell>
          <cell r="M815">
            <v>0</v>
          </cell>
          <cell r="N815">
            <v>0</v>
          </cell>
          <cell r="O815">
            <v>0</v>
          </cell>
          <cell r="P815">
            <v>0</v>
          </cell>
        </row>
        <row r="816">
          <cell r="C816">
            <v>346</v>
          </cell>
          <cell r="F816">
            <v>1</v>
          </cell>
          <cell r="G816">
            <v>1</v>
          </cell>
          <cell r="H816">
            <v>46230</v>
          </cell>
          <cell r="I816">
            <v>0</v>
          </cell>
          <cell r="J816">
            <v>1</v>
          </cell>
          <cell r="K816">
            <v>0</v>
          </cell>
          <cell r="L816">
            <v>0</v>
          </cell>
          <cell r="M816">
            <v>0</v>
          </cell>
          <cell r="N816">
            <v>0</v>
          </cell>
          <cell r="O816">
            <v>0</v>
          </cell>
          <cell r="P816">
            <v>0</v>
          </cell>
        </row>
        <row r="817">
          <cell r="C817">
            <v>322</v>
          </cell>
          <cell r="F817">
            <v>1</v>
          </cell>
          <cell r="G817">
            <v>1</v>
          </cell>
          <cell r="H817">
            <v>46230</v>
          </cell>
          <cell r="I817">
            <v>0</v>
          </cell>
          <cell r="J817">
            <v>1</v>
          </cell>
          <cell r="K817">
            <v>0</v>
          </cell>
          <cell r="L817">
            <v>0</v>
          </cell>
          <cell r="M817">
            <v>0</v>
          </cell>
          <cell r="N817">
            <v>0</v>
          </cell>
          <cell r="O817">
            <v>0</v>
          </cell>
          <cell r="P817">
            <v>0</v>
          </cell>
        </row>
        <row r="818">
          <cell r="C818">
            <v>219</v>
          </cell>
          <cell r="F818">
            <v>1</v>
          </cell>
          <cell r="G818">
            <v>1</v>
          </cell>
          <cell r="H818">
            <v>46230</v>
          </cell>
          <cell r="I818">
            <v>0</v>
          </cell>
          <cell r="J818">
            <v>50</v>
          </cell>
          <cell r="K818">
            <v>0</v>
          </cell>
          <cell r="L818">
            <v>0</v>
          </cell>
          <cell r="M818">
            <v>0</v>
          </cell>
          <cell r="N818">
            <v>0</v>
          </cell>
          <cell r="O818">
            <v>0</v>
          </cell>
          <cell r="P818">
            <v>0</v>
          </cell>
        </row>
        <row r="819">
          <cell r="C819">
            <v>293</v>
          </cell>
          <cell r="F819">
            <v>1</v>
          </cell>
          <cell r="G819">
            <v>1</v>
          </cell>
          <cell r="H819">
            <v>46230</v>
          </cell>
          <cell r="I819">
            <v>0</v>
          </cell>
          <cell r="J819">
            <v>2</v>
          </cell>
          <cell r="K819">
            <v>0</v>
          </cell>
          <cell r="L819">
            <v>0</v>
          </cell>
          <cell r="M819">
            <v>0</v>
          </cell>
          <cell r="N819">
            <v>0</v>
          </cell>
          <cell r="O819">
            <v>0</v>
          </cell>
          <cell r="P819">
            <v>0</v>
          </cell>
        </row>
        <row r="820">
          <cell r="C820">
            <v>215</v>
          </cell>
          <cell r="F820">
            <v>1</v>
          </cell>
          <cell r="G820">
            <v>1</v>
          </cell>
          <cell r="H820">
            <v>46230</v>
          </cell>
          <cell r="I820">
            <v>0</v>
          </cell>
          <cell r="J820">
            <v>1</v>
          </cell>
          <cell r="K820">
            <v>0</v>
          </cell>
          <cell r="L820">
            <v>0</v>
          </cell>
          <cell r="M820">
            <v>0</v>
          </cell>
          <cell r="N820">
            <v>0</v>
          </cell>
          <cell r="O820">
            <v>0</v>
          </cell>
          <cell r="P820">
            <v>0</v>
          </cell>
        </row>
        <row r="821">
          <cell r="C821">
            <v>305</v>
          </cell>
          <cell r="F821">
            <v>1</v>
          </cell>
          <cell r="G821">
            <v>1</v>
          </cell>
          <cell r="H821">
            <v>46230</v>
          </cell>
          <cell r="I821">
            <v>0</v>
          </cell>
          <cell r="J821">
            <v>1700</v>
          </cell>
          <cell r="K821">
            <v>0</v>
          </cell>
          <cell r="L821">
            <v>0</v>
          </cell>
          <cell r="M821">
            <v>0</v>
          </cell>
          <cell r="N821">
            <v>0</v>
          </cell>
          <cell r="O821">
            <v>0</v>
          </cell>
          <cell r="P821">
            <v>0</v>
          </cell>
        </row>
        <row r="822">
          <cell r="C822">
            <v>314</v>
          </cell>
          <cell r="F822">
            <v>1</v>
          </cell>
          <cell r="G822">
            <v>1</v>
          </cell>
          <cell r="H822">
            <v>46231</v>
          </cell>
          <cell r="I822">
            <v>0</v>
          </cell>
          <cell r="J822">
            <v>1</v>
          </cell>
          <cell r="K822">
            <v>0</v>
          </cell>
          <cell r="L822">
            <v>0</v>
          </cell>
          <cell r="M822">
            <v>0</v>
          </cell>
          <cell r="N822">
            <v>0</v>
          </cell>
          <cell r="O822">
            <v>0</v>
          </cell>
          <cell r="P822">
            <v>0</v>
          </cell>
        </row>
        <row r="823">
          <cell r="C823">
            <v>309</v>
          </cell>
          <cell r="F823">
            <v>1</v>
          </cell>
          <cell r="G823">
            <v>1</v>
          </cell>
          <cell r="H823">
            <v>46231</v>
          </cell>
          <cell r="I823">
            <v>0</v>
          </cell>
          <cell r="J823">
            <v>1</v>
          </cell>
          <cell r="K823">
            <v>0</v>
          </cell>
          <cell r="L823">
            <v>0</v>
          </cell>
          <cell r="M823">
            <v>0</v>
          </cell>
          <cell r="N823">
            <v>0</v>
          </cell>
          <cell r="O823">
            <v>0</v>
          </cell>
          <cell r="P823">
            <v>0</v>
          </cell>
        </row>
        <row r="824">
          <cell r="C824">
            <v>305</v>
          </cell>
          <cell r="F824">
            <v>1</v>
          </cell>
          <cell r="G824">
            <v>1</v>
          </cell>
          <cell r="H824">
            <v>46232</v>
          </cell>
          <cell r="I824">
            <v>0</v>
          </cell>
          <cell r="J824">
            <v>150</v>
          </cell>
          <cell r="K824">
            <v>0</v>
          </cell>
          <cell r="L824">
            <v>0</v>
          </cell>
          <cell r="M824">
            <v>0</v>
          </cell>
          <cell r="N824">
            <v>0</v>
          </cell>
          <cell r="O824">
            <v>0</v>
          </cell>
          <cell r="P824">
            <v>0</v>
          </cell>
        </row>
        <row r="825">
          <cell r="C825">
            <v>331</v>
          </cell>
          <cell r="F825">
            <v>1</v>
          </cell>
          <cell r="G825">
            <v>1</v>
          </cell>
          <cell r="H825">
            <v>46232</v>
          </cell>
          <cell r="I825">
            <v>0</v>
          </cell>
          <cell r="J825">
            <v>6</v>
          </cell>
          <cell r="K825">
            <v>0</v>
          </cell>
          <cell r="L825">
            <v>0</v>
          </cell>
          <cell r="M825">
            <v>0</v>
          </cell>
          <cell r="N825">
            <v>0</v>
          </cell>
          <cell r="O825">
            <v>0</v>
          </cell>
          <cell r="P825">
            <v>0</v>
          </cell>
        </row>
        <row r="826">
          <cell r="C826">
            <v>218</v>
          </cell>
          <cell r="F826">
            <v>1</v>
          </cell>
          <cell r="G826">
            <v>1</v>
          </cell>
          <cell r="H826">
            <v>46232</v>
          </cell>
          <cell r="I826">
            <v>0</v>
          </cell>
          <cell r="J826">
            <v>1</v>
          </cell>
          <cell r="K826">
            <v>0</v>
          </cell>
          <cell r="L826">
            <v>0</v>
          </cell>
          <cell r="M826">
            <v>0</v>
          </cell>
          <cell r="N826">
            <v>0</v>
          </cell>
          <cell r="O826">
            <v>0</v>
          </cell>
          <cell r="P826">
            <v>0</v>
          </cell>
        </row>
        <row r="827">
          <cell r="C827">
            <v>222</v>
          </cell>
          <cell r="F827">
            <v>1</v>
          </cell>
          <cell r="G827">
            <v>1</v>
          </cell>
          <cell r="H827">
            <v>46232</v>
          </cell>
          <cell r="I827">
            <v>0</v>
          </cell>
          <cell r="J827">
            <v>1</v>
          </cell>
          <cell r="K827">
            <v>0</v>
          </cell>
          <cell r="L827">
            <v>0</v>
          </cell>
          <cell r="M827">
            <v>0</v>
          </cell>
          <cell r="N827">
            <v>0</v>
          </cell>
          <cell r="O827">
            <v>0</v>
          </cell>
          <cell r="P827">
            <v>0</v>
          </cell>
        </row>
        <row r="828">
          <cell r="C828">
            <v>232</v>
          </cell>
          <cell r="F828">
            <v>1</v>
          </cell>
          <cell r="G828">
            <v>1</v>
          </cell>
          <cell r="H828">
            <v>46232</v>
          </cell>
          <cell r="I828">
            <v>0</v>
          </cell>
          <cell r="J828">
            <v>1</v>
          </cell>
          <cell r="K828">
            <v>0</v>
          </cell>
          <cell r="L828">
            <v>0</v>
          </cell>
          <cell r="M828">
            <v>0</v>
          </cell>
          <cell r="N828">
            <v>0</v>
          </cell>
          <cell r="O828">
            <v>0</v>
          </cell>
          <cell r="P828">
            <v>0</v>
          </cell>
        </row>
        <row r="829">
          <cell r="C829">
            <v>216</v>
          </cell>
          <cell r="F829">
            <v>1</v>
          </cell>
          <cell r="G829">
            <v>1</v>
          </cell>
          <cell r="H829">
            <v>46232</v>
          </cell>
          <cell r="I829">
            <v>0</v>
          </cell>
          <cell r="J829">
            <v>10</v>
          </cell>
          <cell r="K829">
            <v>0</v>
          </cell>
          <cell r="L829">
            <v>0</v>
          </cell>
          <cell r="M829">
            <v>0</v>
          </cell>
          <cell r="N829">
            <v>0</v>
          </cell>
          <cell r="O829">
            <v>0</v>
          </cell>
          <cell r="P829">
            <v>0</v>
          </cell>
        </row>
        <row r="830">
          <cell r="C830">
            <v>221</v>
          </cell>
          <cell r="F830">
            <v>1</v>
          </cell>
          <cell r="G830">
            <v>1</v>
          </cell>
          <cell r="H830">
            <v>46232</v>
          </cell>
          <cell r="I830">
            <v>0</v>
          </cell>
          <cell r="J830">
            <v>4</v>
          </cell>
          <cell r="K830">
            <v>0</v>
          </cell>
          <cell r="L830">
            <v>0</v>
          </cell>
          <cell r="M830">
            <v>0</v>
          </cell>
          <cell r="N830">
            <v>0</v>
          </cell>
          <cell r="O830">
            <v>0</v>
          </cell>
          <cell r="P830">
            <v>0</v>
          </cell>
        </row>
        <row r="831">
          <cell r="C831">
            <v>275</v>
          </cell>
          <cell r="F831">
            <v>1</v>
          </cell>
          <cell r="G831">
            <v>1</v>
          </cell>
          <cell r="H831">
            <v>46232</v>
          </cell>
          <cell r="I831">
            <v>0</v>
          </cell>
          <cell r="J831">
            <v>1</v>
          </cell>
          <cell r="K831">
            <v>0</v>
          </cell>
          <cell r="L831">
            <v>0</v>
          </cell>
          <cell r="M831">
            <v>0</v>
          </cell>
          <cell r="N831">
            <v>0</v>
          </cell>
          <cell r="O831">
            <v>0</v>
          </cell>
          <cell r="P831">
            <v>0</v>
          </cell>
        </row>
        <row r="832">
          <cell r="C832">
            <v>229</v>
          </cell>
          <cell r="F832">
            <v>1</v>
          </cell>
          <cell r="G832">
            <v>1</v>
          </cell>
          <cell r="H832">
            <v>46232</v>
          </cell>
          <cell r="I832">
            <v>0</v>
          </cell>
          <cell r="J832">
            <v>5</v>
          </cell>
          <cell r="K832">
            <v>0</v>
          </cell>
          <cell r="L832">
            <v>0</v>
          </cell>
          <cell r="M832">
            <v>0</v>
          </cell>
          <cell r="N832">
            <v>0</v>
          </cell>
          <cell r="O832">
            <v>0</v>
          </cell>
          <cell r="P832">
            <v>0</v>
          </cell>
        </row>
        <row r="833">
          <cell r="C833">
            <v>276</v>
          </cell>
          <cell r="F833">
            <v>1</v>
          </cell>
          <cell r="G833">
            <v>1</v>
          </cell>
          <cell r="H833">
            <v>46232</v>
          </cell>
          <cell r="I833">
            <v>0</v>
          </cell>
          <cell r="J833">
            <v>2</v>
          </cell>
          <cell r="K833">
            <v>0</v>
          </cell>
          <cell r="L833">
            <v>0</v>
          </cell>
          <cell r="M833">
            <v>0</v>
          </cell>
          <cell r="N833">
            <v>0</v>
          </cell>
          <cell r="O833">
            <v>0</v>
          </cell>
          <cell r="P833">
            <v>0</v>
          </cell>
        </row>
        <row r="834">
          <cell r="C834">
            <v>361</v>
          </cell>
          <cell r="F834">
            <v>1</v>
          </cell>
          <cell r="G834">
            <v>1</v>
          </cell>
          <cell r="H834">
            <v>46232</v>
          </cell>
          <cell r="I834">
            <v>0</v>
          </cell>
          <cell r="J834">
            <v>10</v>
          </cell>
          <cell r="K834">
            <v>0</v>
          </cell>
          <cell r="L834">
            <v>0</v>
          </cell>
          <cell r="M834">
            <v>0</v>
          </cell>
          <cell r="N834">
            <v>0</v>
          </cell>
          <cell r="O834">
            <v>0</v>
          </cell>
          <cell r="P834">
            <v>0</v>
          </cell>
        </row>
        <row r="835">
          <cell r="C835">
            <v>320</v>
          </cell>
          <cell r="F835">
            <v>1</v>
          </cell>
          <cell r="G835">
            <v>1</v>
          </cell>
          <cell r="H835">
            <v>46232</v>
          </cell>
          <cell r="I835">
            <v>0</v>
          </cell>
          <cell r="J835">
            <v>2</v>
          </cell>
          <cell r="K835">
            <v>0</v>
          </cell>
          <cell r="L835">
            <v>0</v>
          </cell>
          <cell r="M835">
            <v>0</v>
          </cell>
          <cell r="N835">
            <v>0</v>
          </cell>
          <cell r="O835">
            <v>0</v>
          </cell>
          <cell r="P835">
            <v>0</v>
          </cell>
        </row>
        <row r="836">
          <cell r="C836">
            <v>7</v>
          </cell>
          <cell r="F836">
            <v>1</v>
          </cell>
          <cell r="G836">
            <v>1</v>
          </cell>
          <cell r="H836">
            <v>46232</v>
          </cell>
          <cell r="I836">
            <v>0</v>
          </cell>
          <cell r="J836">
            <v>4</v>
          </cell>
          <cell r="K836">
            <v>0</v>
          </cell>
          <cell r="L836">
            <v>0</v>
          </cell>
          <cell r="M836">
            <v>0</v>
          </cell>
          <cell r="N836">
            <v>0</v>
          </cell>
          <cell r="O836">
            <v>0</v>
          </cell>
          <cell r="P836">
            <v>0</v>
          </cell>
        </row>
        <row r="837">
          <cell r="C837">
            <v>176</v>
          </cell>
          <cell r="F837">
            <v>1</v>
          </cell>
          <cell r="G837">
            <v>1</v>
          </cell>
          <cell r="H837">
            <v>46232</v>
          </cell>
          <cell r="I837">
            <v>0</v>
          </cell>
          <cell r="J837">
            <v>400</v>
          </cell>
          <cell r="K837">
            <v>0</v>
          </cell>
          <cell r="L837">
            <v>0</v>
          </cell>
          <cell r="M837">
            <v>0</v>
          </cell>
          <cell r="N837">
            <v>0</v>
          </cell>
          <cell r="O837">
            <v>0</v>
          </cell>
          <cell r="P837">
            <v>0</v>
          </cell>
        </row>
        <row r="838">
          <cell r="C838">
            <v>11</v>
          </cell>
          <cell r="F838">
            <v>1</v>
          </cell>
          <cell r="G838">
            <v>1</v>
          </cell>
          <cell r="H838">
            <v>46232</v>
          </cell>
          <cell r="I838">
            <v>0</v>
          </cell>
          <cell r="J838">
            <v>20</v>
          </cell>
          <cell r="K838">
            <v>0</v>
          </cell>
          <cell r="L838">
            <v>0</v>
          </cell>
          <cell r="M838">
            <v>0</v>
          </cell>
          <cell r="N838">
            <v>0</v>
          </cell>
          <cell r="O838">
            <v>0</v>
          </cell>
          <cell r="P838">
            <v>0</v>
          </cell>
        </row>
        <row r="839">
          <cell r="C839">
            <v>13</v>
          </cell>
          <cell r="F839">
            <v>1</v>
          </cell>
          <cell r="G839">
            <v>1</v>
          </cell>
          <cell r="H839">
            <v>46232</v>
          </cell>
          <cell r="I839">
            <v>0</v>
          </cell>
          <cell r="J839">
            <v>4</v>
          </cell>
          <cell r="K839">
            <v>0</v>
          </cell>
          <cell r="L839">
            <v>0</v>
          </cell>
          <cell r="M839">
            <v>0</v>
          </cell>
          <cell r="N839">
            <v>0</v>
          </cell>
          <cell r="O839">
            <v>0</v>
          </cell>
          <cell r="P839">
            <v>0</v>
          </cell>
        </row>
        <row r="840">
          <cell r="C840">
            <v>16</v>
          </cell>
          <cell r="F840">
            <v>1</v>
          </cell>
          <cell r="G840">
            <v>1</v>
          </cell>
          <cell r="H840">
            <v>46232</v>
          </cell>
          <cell r="I840">
            <v>0</v>
          </cell>
          <cell r="J840">
            <v>4</v>
          </cell>
          <cell r="K840">
            <v>0</v>
          </cell>
          <cell r="L840">
            <v>0</v>
          </cell>
          <cell r="M840">
            <v>0</v>
          </cell>
          <cell r="N840">
            <v>0</v>
          </cell>
          <cell r="O840">
            <v>0</v>
          </cell>
          <cell r="P840">
            <v>0</v>
          </cell>
        </row>
        <row r="841">
          <cell r="C841">
            <v>30</v>
          </cell>
          <cell r="F841">
            <v>1</v>
          </cell>
          <cell r="G841">
            <v>1</v>
          </cell>
          <cell r="H841">
            <v>46232</v>
          </cell>
          <cell r="I841">
            <v>0</v>
          </cell>
          <cell r="J841">
            <v>1</v>
          </cell>
          <cell r="K841">
            <v>0</v>
          </cell>
          <cell r="L841">
            <v>0</v>
          </cell>
          <cell r="M841">
            <v>0</v>
          </cell>
          <cell r="N841">
            <v>0</v>
          </cell>
          <cell r="O841">
            <v>0</v>
          </cell>
          <cell r="P841">
            <v>0</v>
          </cell>
        </row>
        <row r="842">
          <cell r="C842">
            <v>26</v>
          </cell>
          <cell r="F842">
            <v>1</v>
          </cell>
          <cell r="G842">
            <v>1</v>
          </cell>
          <cell r="H842">
            <v>46232</v>
          </cell>
          <cell r="I842">
            <v>0</v>
          </cell>
          <cell r="J842">
            <v>1</v>
          </cell>
          <cell r="K842">
            <v>0</v>
          </cell>
          <cell r="L842">
            <v>0</v>
          </cell>
          <cell r="M842">
            <v>0</v>
          </cell>
          <cell r="N842">
            <v>0</v>
          </cell>
          <cell r="O842">
            <v>0</v>
          </cell>
          <cell r="P842">
            <v>0</v>
          </cell>
        </row>
        <row r="843">
          <cell r="C843">
            <v>52</v>
          </cell>
          <cell r="F843">
            <v>1</v>
          </cell>
          <cell r="G843">
            <v>1</v>
          </cell>
          <cell r="H843">
            <v>46232</v>
          </cell>
          <cell r="I843">
            <v>0</v>
          </cell>
          <cell r="J843">
            <v>2</v>
          </cell>
          <cell r="K843">
            <v>0</v>
          </cell>
          <cell r="L843">
            <v>0</v>
          </cell>
          <cell r="M843">
            <v>0</v>
          </cell>
          <cell r="N843">
            <v>0</v>
          </cell>
          <cell r="O843">
            <v>0</v>
          </cell>
          <cell r="P843">
            <v>0</v>
          </cell>
        </row>
        <row r="844">
          <cell r="C844">
            <v>247</v>
          </cell>
          <cell r="F844">
            <v>1</v>
          </cell>
          <cell r="G844">
            <v>1</v>
          </cell>
          <cell r="H844">
            <v>46232</v>
          </cell>
          <cell r="I844">
            <v>0</v>
          </cell>
          <cell r="J844">
            <v>6</v>
          </cell>
          <cell r="K844">
            <v>0</v>
          </cell>
          <cell r="L844">
            <v>0</v>
          </cell>
          <cell r="M844">
            <v>0</v>
          </cell>
          <cell r="N844">
            <v>0</v>
          </cell>
          <cell r="O844">
            <v>0</v>
          </cell>
          <cell r="P844">
            <v>0</v>
          </cell>
        </row>
        <row r="845">
          <cell r="C845">
            <v>42</v>
          </cell>
          <cell r="F845">
            <v>1</v>
          </cell>
          <cell r="G845">
            <v>1</v>
          </cell>
          <cell r="H845">
            <v>46232</v>
          </cell>
          <cell r="I845">
            <v>0</v>
          </cell>
          <cell r="J845">
            <v>1</v>
          </cell>
          <cell r="K845">
            <v>0</v>
          </cell>
          <cell r="L845">
            <v>0</v>
          </cell>
          <cell r="M845">
            <v>0</v>
          </cell>
          <cell r="N845">
            <v>0</v>
          </cell>
          <cell r="O845">
            <v>0</v>
          </cell>
          <cell r="P845">
            <v>0</v>
          </cell>
        </row>
        <row r="846">
          <cell r="C846">
            <v>243</v>
          </cell>
          <cell r="F846">
            <v>1</v>
          </cell>
          <cell r="G846">
            <v>1</v>
          </cell>
          <cell r="H846">
            <v>46232</v>
          </cell>
          <cell r="I846">
            <v>0</v>
          </cell>
          <cell r="J846">
            <v>1</v>
          </cell>
          <cell r="K846">
            <v>0</v>
          </cell>
          <cell r="L846">
            <v>0</v>
          </cell>
          <cell r="M846">
            <v>0</v>
          </cell>
          <cell r="N846">
            <v>0</v>
          </cell>
          <cell r="O846">
            <v>0</v>
          </cell>
          <cell r="P846">
            <v>0</v>
          </cell>
        </row>
        <row r="847">
          <cell r="C847">
            <v>188</v>
          </cell>
          <cell r="F847">
            <v>1</v>
          </cell>
          <cell r="G847">
            <v>1</v>
          </cell>
          <cell r="H847">
            <v>46232</v>
          </cell>
          <cell r="I847">
            <v>0</v>
          </cell>
          <cell r="J847">
            <v>12</v>
          </cell>
          <cell r="K847">
            <v>0</v>
          </cell>
          <cell r="L847">
            <v>0</v>
          </cell>
          <cell r="M847">
            <v>0</v>
          </cell>
          <cell r="N847">
            <v>0</v>
          </cell>
          <cell r="O847">
            <v>0</v>
          </cell>
          <cell r="P847">
            <v>0</v>
          </cell>
        </row>
        <row r="848">
          <cell r="C848">
            <v>355</v>
          </cell>
          <cell r="F848">
            <v>1</v>
          </cell>
          <cell r="G848">
            <v>1</v>
          </cell>
          <cell r="H848">
            <v>46232</v>
          </cell>
          <cell r="I848">
            <v>0</v>
          </cell>
          <cell r="J848">
            <v>1</v>
          </cell>
          <cell r="K848">
            <v>0</v>
          </cell>
          <cell r="L848">
            <v>0</v>
          </cell>
          <cell r="M848">
            <v>0</v>
          </cell>
          <cell r="N848">
            <v>0</v>
          </cell>
          <cell r="O848">
            <v>0</v>
          </cell>
          <cell r="P848">
            <v>0</v>
          </cell>
        </row>
        <row r="849">
          <cell r="C849">
            <v>362</v>
          </cell>
          <cell r="F849">
            <v>1</v>
          </cell>
          <cell r="G849">
            <v>1</v>
          </cell>
          <cell r="H849">
            <v>46232</v>
          </cell>
          <cell r="I849">
            <v>0</v>
          </cell>
          <cell r="J849">
            <v>10</v>
          </cell>
          <cell r="K849">
            <v>0</v>
          </cell>
          <cell r="L849">
            <v>0</v>
          </cell>
          <cell r="M849">
            <v>0</v>
          </cell>
          <cell r="N849">
            <v>0</v>
          </cell>
          <cell r="O849">
            <v>0</v>
          </cell>
          <cell r="P849">
            <v>0</v>
          </cell>
        </row>
        <row r="850">
          <cell r="C850">
            <v>334</v>
          </cell>
          <cell r="F850">
            <v>1</v>
          </cell>
          <cell r="G850">
            <v>1</v>
          </cell>
          <cell r="H850">
            <v>46232</v>
          </cell>
          <cell r="I850">
            <v>0</v>
          </cell>
          <cell r="J850">
            <v>2</v>
          </cell>
          <cell r="K850">
            <v>0</v>
          </cell>
          <cell r="L850">
            <v>0</v>
          </cell>
          <cell r="M850">
            <v>0</v>
          </cell>
          <cell r="N850">
            <v>0</v>
          </cell>
          <cell r="O850">
            <v>0</v>
          </cell>
          <cell r="P850">
            <v>0</v>
          </cell>
        </row>
        <row r="851">
          <cell r="C851">
            <v>293</v>
          </cell>
          <cell r="F851">
            <v>1</v>
          </cell>
          <cell r="G851">
            <v>1</v>
          </cell>
          <cell r="H851">
            <v>46232</v>
          </cell>
          <cell r="I851">
            <v>0</v>
          </cell>
          <cell r="J851">
            <v>35</v>
          </cell>
          <cell r="K851">
            <v>0</v>
          </cell>
          <cell r="L851">
            <v>0</v>
          </cell>
          <cell r="M851">
            <v>0</v>
          </cell>
          <cell r="N851">
            <v>0</v>
          </cell>
          <cell r="O851">
            <v>0</v>
          </cell>
          <cell r="P851">
            <v>0</v>
          </cell>
        </row>
        <row r="852">
          <cell r="C852">
            <v>305</v>
          </cell>
          <cell r="F852">
            <v>1</v>
          </cell>
          <cell r="G852">
            <v>1</v>
          </cell>
          <cell r="H852">
            <v>46233</v>
          </cell>
          <cell r="I852">
            <v>0</v>
          </cell>
          <cell r="J852">
            <v>2000</v>
          </cell>
          <cell r="K852">
            <v>0</v>
          </cell>
          <cell r="L852">
            <v>0</v>
          </cell>
          <cell r="M852">
            <v>0</v>
          </cell>
          <cell r="N852">
            <v>0</v>
          </cell>
          <cell r="O852">
            <v>0</v>
          </cell>
          <cell r="P852">
            <v>0</v>
          </cell>
        </row>
        <row r="853">
          <cell r="C853">
            <v>176</v>
          </cell>
          <cell r="F853">
            <v>1</v>
          </cell>
          <cell r="G853">
            <v>1</v>
          </cell>
          <cell r="H853">
            <v>46233</v>
          </cell>
          <cell r="I853">
            <v>0</v>
          </cell>
          <cell r="J853">
            <v>500</v>
          </cell>
          <cell r="K853">
            <v>0</v>
          </cell>
          <cell r="L853">
            <v>0</v>
          </cell>
          <cell r="M853">
            <v>0</v>
          </cell>
          <cell r="N853">
            <v>0</v>
          </cell>
          <cell r="O853">
            <v>0</v>
          </cell>
          <cell r="P853">
            <v>0</v>
          </cell>
        </row>
        <row r="854">
          <cell r="C854">
            <v>305</v>
          </cell>
          <cell r="F854">
            <v>1</v>
          </cell>
          <cell r="G854">
            <v>1</v>
          </cell>
          <cell r="H854">
            <v>46234</v>
          </cell>
          <cell r="I854">
            <v>0</v>
          </cell>
          <cell r="J854">
            <v>2000</v>
          </cell>
          <cell r="K854">
            <v>0</v>
          </cell>
          <cell r="L854">
            <v>0</v>
          </cell>
          <cell r="M854">
            <v>0</v>
          </cell>
          <cell r="N854">
            <v>0</v>
          </cell>
          <cell r="O854">
            <v>0</v>
          </cell>
          <cell r="P854">
            <v>0</v>
          </cell>
        </row>
        <row r="855">
          <cell r="C855">
            <v>177</v>
          </cell>
          <cell r="F855">
            <v>1</v>
          </cell>
          <cell r="G855">
            <v>1</v>
          </cell>
          <cell r="H855">
            <v>46234</v>
          </cell>
          <cell r="I855">
            <v>0</v>
          </cell>
          <cell r="J855">
            <v>100</v>
          </cell>
          <cell r="K855">
            <v>0</v>
          </cell>
          <cell r="L855">
            <v>0</v>
          </cell>
          <cell r="M855">
            <v>0</v>
          </cell>
          <cell r="N855">
            <v>0</v>
          </cell>
          <cell r="O855">
            <v>0</v>
          </cell>
          <cell r="P855">
            <v>0</v>
          </cell>
        </row>
        <row r="856">
          <cell r="C856">
            <v>294</v>
          </cell>
          <cell r="F856">
            <v>1</v>
          </cell>
          <cell r="G856">
            <v>1</v>
          </cell>
          <cell r="H856">
            <v>46234</v>
          </cell>
          <cell r="I856">
            <v>0</v>
          </cell>
          <cell r="J856">
            <v>35</v>
          </cell>
          <cell r="K856">
            <v>0</v>
          </cell>
          <cell r="L856">
            <v>0</v>
          </cell>
          <cell r="M856">
            <v>0</v>
          </cell>
          <cell r="N856">
            <v>0</v>
          </cell>
          <cell r="O856">
            <v>0</v>
          </cell>
          <cell r="P856">
            <v>0</v>
          </cell>
        </row>
        <row r="857">
          <cell r="C857">
            <v>176</v>
          </cell>
          <cell r="F857">
            <v>1</v>
          </cell>
          <cell r="G857">
            <v>1</v>
          </cell>
          <cell r="H857">
            <v>46234</v>
          </cell>
          <cell r="I857">
            <v>0</v>
          </cell>
          <cell r="J857">
            <v>400</v>
          </cell>
          <cell r="K857">
            <v>0</v>
          </cell>
          <cell r="L857">
            <v>0</v>
          </cell>
          <cell r="M857">
            <v>0</v>
          </cell>
          <cell r="N857">
            <v>0</v>
          </cell>
          <cell r="O857">
            <v>0</v>
          </cell>
          <cell r="P857">
            <v>0</v>
          </cell>
        </row>
        <row r="858">
          <cell r="C858">
            <v>187</v>
          </cell>
          <cell r="F858">
            <v>1</v>
          </cell>
          <cell r="G858">
            <v>1</v>
          </cell>
          <cell r="H858">
            <v>46234</v>
          </cell>
          <cell r="I858">
            <v>0</v>
          </cell>
          <cell r="J858">
            <v>8</v>
          </cell>
          <cell r="K858">
            <v>0</v>
          </cell>
          <cell r="L858">
            <v>0</v>
          </cell>
          <cell r="M858">
            <v>0</v>
          </cell>
          <cell r="N858">
            <v>0</v>
          </cell>
          <cell r="O858">
            <v>0</v>
          </cell>
          <cell r="P858">
            <v>0</v>
          </cell>
        </row>
        <row r="859">
          <cell r="C859">
            <v>193</v>
          </cell>
          <cell r="F859">
            <v>1</v>
          </cell>
          <cell r="G859">
            <v>1</v>
          </cell>
          <cell r="H859">
            <v>46234</v>
          </cell>
          <cell r="I859">
            <v>0</v>
          </cell>
          <cell r="J859">
            <v>8</v>
          </cell>
          <cell r="K859">
            <v>0</v>
          </cell>
          <cell r="L859">
            <v>0</v>
          </cell>
          <cell r="M859">
            <v>0</v>
          </cell>
          <cell r="N859">
            <v>0</v>
          </cell>
          <cell r="O859">
            <v>0</v>
          </cell>
          <cell r="P859">
            <v>0</v>
          </cell>
        </row>
        <row r="860">
          <cell r="C860">
            <v>326</v>
          </cell>
          <cell r="F860">
            <v>1</v>
          </cell>
          <cell r="G860">
            <v>1</v>
          </cell>
          <cell r="H860">
            <v>46234</v>
          </cell>
          <cell r="I860">
            <v>0</v>
          </cell>
          <cell r="J860">
            <v>1</v>
          </cell>
          <cell r="K860">
            <v>0</v>
          </cell>
          <cell r="L860">
            <v>0</v>
          </cell>
          <cell r="M860">
            <v>0</v>
          </cell>
          <cell r="N860">
            <v>0</v>
          </cell>
          <cell r="O860">
            <v>0</v>
          </cell>
          <cell r="P860">
            <v>0</v>
          </cell>
        </row>
        <row r="861">
          <cell r="C861">
            <v>330</v>
          </cell>
          <cell r="F861">
            <v>1</v>
          </cell>
          <cell r="G861">
            <v>1</v>
          </cell>
          <cell r="H861">
            <v>46234</v>
          </cell>
          <cell r="I861">
            <v>0</v>
          </cell>
          <cell r="J861">
            <v>2</v>
          </cell>
          <cell r="K861">
            <v>0</v>
          </cell>
          <cell r="L861">
            <v>0</v>
          </cell>
          <cell r="M861">
            <v>0</v>
          </cell>
          <cell r="N861">
            <v>0</v>
          </cell>
          <cell r="O861">
            <v>0</v>
          </cell>
          <cell r="P861">
            <v>0</v>
          </cell>
        </row>
        <row r="862">
          <cell r="C862">
            <v>269</v>
          </cell>
          <cell r="F862">
            <v>1</v>
          </cell>
          <cell r="G862">
            <v>1</v>
          </cell>
          <cell r="H862">
            <v>46234</v>
          </cell>
          <cell r="I862">
            <v>0</v>
          </cell>
          <cell r="J862">
            <v>2</v>
          </cell>
          <cell r="K862">
            <v>0</v>
          </cell>
          <cell r="L862">
            <v>0</v>
          </cell>
          <cell r="M862">
            <v>0</v>
          </cell>
          <cell r="N862">
            <v>0</v>
          </cell>
          <cell r="O862">
            <v>0</v>
          </cell>
          <cell r="P862">
            <v>0</v>
          </cell>
        </row>
        <row r="863">
          <cell r="C863">
            <v>237</v>
          </cell>
          <cell r="F863">
            <v>1</v>
          </cell>
          <cell r="G863">
            <v>1</v>
          </cell>
          <cell r="H863">
            <v>46234</v>
          </cell>
          <cell r="I863">
            <v>0</v>
          </cell>
          <cell r="J863">
            <v>6</v>
          </cell>
          <cell r="K863">
            <v>0</v>
          </cell>
          <cell r="L863">
            <v>0</v>
          </cell>
          <cell r="M863">
            <v>0</v>
          </cell>
          <cell r="N863">
            <v>0</v>
          </cell>
          <cell r="O863">
            <v>0</v>
          </cell>
          <cell r="P863">
            <v>0</v>
          </cell>
        </row>
        <row r="864">
          <cell r="C864">
            <v>301</v>
          </cell>
          <cell r="F864">
            <v>1</v>
          </cell>
          <cell r="G864">
            <v>1</v>
          </cell>
          <cell r="H864">
            <v>46234</v>
          </cell>
          <cell r="I864">
            <v>0</v>
          </cell>
          <cell r="J864">
            <v>5</v>
          </cell>
          <cell r="K864">
            <v>0</v>
          </cell>
          <cell r="L864">
            <v>0</v>
          </cell>
          <cell r="M864">
            <v>0</v>
          </cell>
          <cell r="N864">
            <v>0</v>
          </cell>
          <cell r="O864">
            <v>0</v>
          </cell>
          <cell r="P864">
            <v>0</v>
          </cell>
        </row>
        <row r="865">
          <cell r="C865">
            <v>302</v>
          </cell>
          <cell r="F865">
            <v>1</v>
          </cell>
          <cell r="G865">
            <v>1</v>
          </cell>
          <cell r="H865">
            <v>46234</v>
          </cell>
          <cell r="I865">
            <v>0</v>
          </cell>
          <cell r="J865">
            <v>1</v>
          </cell>
          <cell r="K865">
            <v>0</v>
          </cell>
          <cell r="L865">
            <v>0</v>
          </cell>
          <cell r="M865">
            <v>0</v>
          </cell>
          <cell r="N865">
            <v>0</v>
          </cell>
          <cell r="O865">
            <v>0</v>
          </cell>
          <cell r="P865">
            <v>0</v>
          </cell>
        </row>
        <row r="866">
          <cell r="C866">
            <v>313</v>
          </cell>
          <cell r="F866">
            <v>1</v>
          </cell>
          <cell r="G866">
            <v>1</v>
          </cell>
          <cell r="H866">
            <v>46234</v>
          </cell>
          <cell r="I866">
            <v>0</v>
          </cell>
          <cell r="J866">
            <v>1</v>
          </cell>
          <cell r="K866">
            <v>0</v>
          </cell>
          <cell r="L866">
            <v>0</v>
          </cell>
          <cell r="M866">
            <v>0</v>
          </cell>
          <cell r="N866">
            <v>0</v>
          </cell>
          <cell r="O866">
            <v>0</v>
          </cell>
          <cell r="P866">
            <v>0</v>
          </cell>
        </row>
        <row r="867">
          <cell r="C867">
            <v>216</v>
          </cell>
          <cell r="F867">
            <v>1</v>
          </cell>
          <cell r="G867">
            <v>1</v>
          </cell>
          <cell r="H867">
            <v>46234</v>
          </cell>
          <cell r="I867">
            <v>0</v>
          </cell>
          <cell r="J867">
            <v>12</v>
          </cell>
          <cell r="K867">
            <v>0</v>
          </cell>
          <cell r="L867">
            <v>0</v>
          </cell>
          <cell r="M867">
            <v>0</v>
          </cell>
          <cell r="N867">
            <v>0</v>
          </cell>
          <cell r="O867">
            <v>0</v>
          </cell>
          <cell r="P867">
            <v>0</v>
          </cell>
        </row>
        <row r="868">
          <cell r="C868">
            <v>362</v>
          </cell>
          <cell r="F868">
            <v>1</v>
          </cell>
          <cell r="G868">
            <v>1</v>
          </cell>
          <cell r="H868">
            <v>46234</v>
          </cell>
          <cell r="I868">
            <v>0</v>
          </cell>
          <cell r="J868">
            <v>2</v>
          </cell>
          <cell r="K868">
            <v>0</v>
          </cell>
          <cell r="L868">
            <v>0</v>
          </cell>
          <cell r="M868">
            <v>0</v>
          </cell>
          <cell r="N868">
            <v>0</v>
          </cell>
          <cell r="O868">
            <v>0</v>
          </cell>
          <cell r="P868">
            <v>0</v>
          </cell>
        </row>
        <row r="869">
          <cell r="C869">
            <v>202</v>
          </cell>
          <cell r="F869">
            <v>1</v>
          </cell>
          <cell r="G869">
            <v>1</v>
          </cell>
          <cell r="H869">
            <v>46234</v>
          </cell>
          <cell r="I869">
            <v>0</v>
          </cell>
          <cell r="J869">
            <v>1</v>
          </cell>
          <cell r="K869">
            <v>0</v>
          </cell>
          <cell r="L869">
            <v>0</v>
          </cell>
          <cell r="M869">
            <v>0</v>
          </cell>
          <cell r="N869">
            <v>0</v>
          </cell>
          <cell r="O869">
            <v>0</v>
          </cell>
          <cell r="P869">
            <v>0</v>
          </cell>
        </row>
        <row r="870">
          <cell r="C870">
            <v>332</v>
          </cell>
          <cell r="F870">
            <v>1</v>
          </cell>
          <cell r="G870">
            <v>1</v>
          </cell>
          <cell r="H870">
            <v>46234</v>
          </cell>
          <cell r="I870">
            <v>0</v>
          </cell>
          <cell r="J870">
            <v>20</v>
          </cell>
          <cell r="K870">
            <v>0</v>
          </cell>
          <cell r="L870">
            <v>0</v>
          </cell>
          <cell r="M870">
            <v>0</v>
          </cell>
          <cell r="N870">
            <v>0</v>
          </cell>
          <cell r="O870">
            <v>0</v>
          </cell>
          <cell r="P870">
            <v>0</v>
          </cell>
        </row>
        <row r="871">
          <cell r="C871">
            <v>221</v>
          </cell>
          <cell r="F871">
            <v>1</v>
          </cell>
          <cell r="G871">
            <v>1</v>
          </cell>
          <cell r="H871">
            <v>46234</v>
          </cell>
          <cell r="I871">
            <v>0</v>
          </cell>
          <cell r="J871">
            <v>2</v>
          </cell>
          <cell r="K871">
            <v>0</v>
          </cell>
          <cell r="L871">
            <v>0</v>
          </cell>
          <cell r="M871">
            <v>0</v>
          </cell>
          <cell r="N871">
            <v>0</v>
          </cell>
          <cell r="O871">
            <v>0</v>
          </cell>
          <cell r="P871">
            <v>0</v>
          </cell>
        </row>
        <row r="872">
          <cell r="C872">
            <v>220</v>
          </cell>
          <cell r="F872">
            <v>1</v>
          </cell>
          <cell r="G872">
            <v>1</v>
          </cell>
          <cell r="H872">
            <v>46234</v>
          </cell>
          <cell r="I872">
            <v>0</v>
          </cell>
          <cell r="J872">
            <v>1</v>
          </cell>
          <cell r="K872">
            <v>0</v>
          </cell>
          <cell r="L872">
            <v>0</v>
          </cell>
          <cell r="M872">
            <v>0</v>
          </cell>
          <cell r="N872">
            <v>0</v>
          </cell>
          <cell r="O872">
            <v>0</v>
          </cell>
          <cell r="P872">
            <v>0</v>
          </cell>
        </row>
        <row r="873">
          <cell r="C873">
            <v>242</v>
          </cell>
          <cell r="F873">
            <v>1</v>
          </cell>
          <cell r="G873">
            <v>1</v>
          </cell>
          <cell r="H873">
            <v>46234</v>
          </cell>
          <cell r="I873">
            <v>0</v>
          </cell>
          <cell r="J873">
            <v>1</v>
          </cell>
          <cell r="K873">
            <v>0</v>
          </cell>
          <cell r="L873">
            <v>0</v>
          </cell>
          <cell r="M873">
            <v>0</v>
          </cell>
          <cell r="N873">
            <v>0</v>
          </cell>
          <cell r="O873">
            <v>0</v>
          </cell>
          <cell r="P873">
            <v>0</v>
          </cell>
        </row>
        <row r="874">
          <cell r="C874">
            <v>224</v>
          </cell>
          <cell r="F874">
            <v>1</v>
          </cell>
          <cell r="G874">
            <v>1</v>
          </cell>
          <cell r="H874">
            <v>46234</v>
          </cell>
          <cell r="I874">
            <v>0</v>
          </cell>
          <cell r="J874">
            <v>1</v>
          </cell>
          <cell r="K874">
            <v>0</v>
          </cell>
          <cell r="L874">
            <v>0</v>
          </cell>
          <cell r="M874">
            <v>0</v>
          </cell>
          <cell r="N874">
            <v>0</v>
          </cell>
          <cell r="O874">
            <v>0</v>
          </cell>
          <cell r="P874">
            <v>0</v>
          </cell>
        </row>
        <row r="875">
          <cell r="C875">
            <v>151</v>
          </cell>
          <cell r="F875">
            <v>1</v>
          </cell>
          <cell r="G875">
            <v>1</v>
          </cell>
          <cell r="H875">
            <v>46204</v>
          </cell>
          <cell r="I875">
            <v>0</v>
          </cell>
          <cell r="J875">
            <v>0</v>
          </cell>
          <cell r="K875">
            <v>0</v>
          </cell>
          <cell r="L875">
            <v>1</v>
          </cell>
          <cell r="M875">
            <v>0</v>
          </cell>
          <cell r="N875">
            <v>0</v>
          </cell>
          <cell r="O875">
            <v>0</v>
          </cell>
          <cell r="P875">
            <v>0</v>
          </cell>
        </row>
        <row r="876">
          <cell r="C876">
            <v>176</v>
          </cell>
          <cell r="F876">
            <v>1</v>
          </cell>
          <cell r="G876">
            <v>1</v>
          </cell>
          <cell r="H876">
            <v>46204</v>
          </cell>
          <cell r="I876">
            <v>0</v>
          </cell>
          <cell r="J876">
            <v>0</v>
          </cell>
          <cell r="K876">
            <v>0</v>
          </cell>
          <cell r="L876">
            <v>4000</v>
          </cell>
          <cell r="M876">
            <v>0</v>
          </cell>
          <cell r="N876">
            <v>0</v>
          </cell>
          <cell r="O876">
            <v>0</v>
          </cell>
          <cell r="P876">
            <v>0</v>
          </cell>
        </row>
        <row r="877">
          <cell r="C877">
            <v>188</v>
          </cell>
          <cell r="F877">
            <v>1</v>
          </cell>
          <cell r="G877">
            <v>1</v>
          </cell>
          <cell r="H877">
            <v>46204</v>
          </cell>
          <cell r="I877">
            <v>0</v>
          </cell>
          <cell r="J877">
            <v>0</v>
          </cell>
          <cell r="K877">
            <v>0</v>
          </cell>
          <cell r="L877">
            <v>12</v>
          </cell>
          <cell r="M877">
            <v>0</v>
          </cell>
          <cell r="N877">
            <v>0</v>
          </cell>
          <cell r="O877">
            <v>0</v>
          </cell>
          <cell r="P877">
            <v>0</v>
          </cell>
        </row>
        <row r="878">
          <cell r="C878">
            <v>192</v>
          </cell>
          <cell r="F878">
            <v>1</v>
          </cell>
          <cell r="G878">
            <v>1</v>
          </cell>
          <cell r="H878">
            <v>46204</v>
          </cell>
          <cell r="I878">
            <v>0</v>
          </cell>
          <cell r="J878">
            <v>0</v>
          </cell>
          <cell r="K878">
            <v>0</v>
          </cell>
          <cell r="L878">
            <v>4</v>
          </cell>
          <cell r="M878">
            <v>0</v>
          </cell>
          <cell r="N878">
            <v>0</v>
          </cell>
          <cell r="O878">
            <v>0</v>
          </cell>
          <cell r="P878">
            <v>0</v>
          </cell>
        </row>
        <row r="879">
          <cell r="C879">
            <v>195</v>
          </cell>
          <cell r="F879">
            <v>1</v>
          </cell>
          <cell r="G879">
            <v>1</v>
          </cell>
          <cell r="H879">
            <v>46204</v>
          </cell>
          <cell r="I879">
            <v>0</v>
          </cell>
          <cell r="J879">
            <v>0</v>
          </cell>
          <cell r="K879">
            <v>0</v>
          </cell>
          <cell r="L879">
            <v>76</v>
          </cell>
          <cell r="M879">
            <v>0</v>
          </cell>
          <cell r="N879">
            <v>0</v>
          </cell>
          <cell r="O879">
            <v>0</v>
          </cell>
          <cell r="P879">
            <v>0</v>
          </cell>
        </row>
        <row r="880">
          <cell r="C880">
            <v>197</v>
          </cell>
          <cell r="F880">
            <v>1</v>
          </cell>
          <cell r="G880">
            <v>1</v>
          </cell>
          <cell r="H880">
            <v>46204</v>
          </cell>
          <cell r="I880">
            <v>0</v>
          </cell>
          <cell r="J880">
            <v>0</v>
          </cell>
          <cell r="K880">
            <v>0</v>
          </cell>
          <cell r="L880">
            <v>12</v>
          </cell>
          <cell r="M880">
            <v>0</v>
          </cell>
          <cell r="N880">
            <v>0</v>
          </cell>
          <cell r="O880">
            <v>0</v>
          </cell>
          <cell r="P880">
            <v>0</v>
          </cell>
        </row>
        <row r="881">
          <cell r="C881">
            <v>234</v>
          </cell>
          <cell r="F881">
            <v>1</v>
          </cell>
          <cell r="G881">
            <v>1</v>
          </cell>
          <cell r="H881">
            <v>46204</v>
          </cell>
          <cell r="I881">
            <v>0</v>
          </cell>
          <cell r="J881">
            <v>0</v>
          </cell>
          <cell r="K881">
            <v>0</v>
          </cell>
          <cell r="L881">
            <v>84</v>
          </cell>
          <cell r="M881">
            <v>0</v>
          </cell>
          <cell r="N881">
            <v>0</v>
          </cell>
          <cell r="O881">
            <v>0</v>
          </cell>
          <cell r="P881">
            <v>0</v>
          </cell>
        </row>
        <row r="882">
          <cell r="C882">
            <v>237</v>
          </cell>
          <cell r="F882">
            <v>1</v>
          </cell>
          <cell r="G882">
            <v>1</v>
          </cell>
          <cell r="H882">
            <v>46204</v>
          </cell>
          <cell r="I882">
            <v>0</v>
          </cell>
          <cell r="J882">
            <v>0</v>
          </cell>
          <cell r="K882">
            <v>0</v>
          </cell>
          <cell r="L882">
            <v>12</v>
          </cell>
          <cell r="M882">
            <v>0</v>
          </cell>
          <cell r="N882">
            <v>0</v>
          </cell>
          <cell r="O882">
            <v>0</v>
          </cell>
          <cell r="P882">
            <v>0</v>
          </cell>
        </row>
        <row r="883">
          <cell r="C883">
            <v>238</v>
          </cell>
          <cell r="F883">
            <v>1</v>
          </cell>
          <cell r="G883">
            <v>1</v>
          </cell>
          <cell r="H883">
            <v>46204</v>
          </cell>
          <cell r="I883">
            <v>0</v>
          </cell>
          <cell r="J883">
            <v>0</v>
          </cell>
          <cell r="K883">
            <v>0</v>
          </cell>
          <cell r="L883">
            <v>12</v>
          </cell>
          <cell r="M883">
            <v>0</v>
          </cell>
          <cell r="N883">
            <v>0</v>
          </cell>
          <cell r="O883">
            <v>0</v>
          </cell>
          <cell r="P883">
            <v>0</v>
          </cell>
        </row>
        <row r="884">
          <cell r="C884">
            <v>239</v>
          </cell>
          <cell r="F884">
            <v>1</v>
          </cell>
          <cell r="G884">
            <v>1</v>
          </cell>
          <cell r="H884">
            <v>46204</v>
          </cell>
          <cell r="I884">
            <v>0</v>
          </cell>
          <cell r="J884">
            <v>0</v>
          </cell>
          <cell r="K884">
            <v>0</v>
          </cell>
          <cell r="L884">
            <v>6</v>
          </cell>
          <cell r="M884">
            <v>0</v>
          </cell>
          <cell r="N884">
            <v>0</v>
          </cell>
          <cell r="O884">
            <v>0</v>
          </cell>
          <cell r="P884">
            <v>0</v>
          </cell>
        </row>
        <row r="885">
          <cell r="C885">
            <v>240</v>
          </cell>
          <cell r="F885">
            <v>1</v>
          </cell>
          <cell r="G885">
            <v>1</v>
          </cell>
          <cell r="H885">
            <v>46207</v>
          </cell>
          <cell r="I885">
            <v>0</v>
          </cell>
          <cell r="J885">
            <v>0</v>
          </cell>
          <cell r="K885">
            <v>0</v>
          </cell>
          <cell r="L885">
            <v>36</v>
          </cell>
          <cell r="M885">
            <v>0</v>
          </cell>
          <cell r="N885">
            <v>0</v>
          </cell>
          <cell r="O885">
            <v>0</v>
          </cell>
          <cell r="P885">
            <v>0</v>
          </cell>
        </row>
        <row r="886">
          <cell r="C886">
            <v>241</v>
          </cell>
          <cell r="F886">
            <v>1</v>
          </cell>
          <cell r="G886">
            <v>1</v>
          </cell>
          <cell r="H886">
            <v>46207</v>
          </cell>
          <cell r="I886">
            <v>0</v>
          </cell>
          <cell r="J886">
            <v>0</v>
          </cell>
          <cell r="K886">
            <v>0</v>
          </cell>
          <cell r="L886">
            <v>1</v>
          </cell>
          <cell r="M886">
            <v>0</v>
          </cell>
          <cell r="N886">
            <v>0</v>
          </cell>
          <cell r="O886">
            <v>0</v>
          </cell>
          <cell r="P886">
            <v>0</v>
          </cell>
        </row>
        <row r="887">
          <cell r="C887">
            <v>242</v>
          </cell>
          <cell r="F887">
            <v>1</v>
          </cell>
          <cell r="G887">
            <v>1</v>
          </cell>
          <cell r="H887">
            <v>46207</v>
          </cell>
          <cell r="I887">
            <v>0</v>
          </cell>
          <cell r="J887">
            <v>0</v>
          </cell>
          <cell r="K887">
            <v>0</v>
          </cell>
          <cell r="L887">
            <v>1</v>
          </cell>
          <cell r="M887">
            <v>0</v>
          </cell>
          <cell r="N887">
            <v>0</v>
          </cell>
          <cell r="O887">
            <v>0</v>
          </cell>
          <cell r="P887">
            <v>0</v>
          </cell>
        </row>
        <row r="888">
          <cell r="C888">
            <v>287</v>
          </cell>
          <cell r="F888">
            <v>1</v>
          </cell>
          <cell r="G888">
            <v>1</v>
          </cell>
          <cell r="H888">
            <v>46207</v>
          </cell>
          <cell r="I888">
            <v>0</v>
          </cell>
          <cell r="J888">
            <v>0</v>
          </cell>
          <cell r="K888">
            <v>0</v>
          </cell>
          <cell r="L888">
            <v>80</v>
          </cell>
          <cell r="M888">
            <v>0</v>
          </cell>
          <cell r="N888">
            <v>0</v>
          </cell>
          <cell r="O888">
            <v>0</v>
          </cell>
          <cell r="P888">
            <v>0</v>
          </cell>
        </row>
        <row r="889">
          <cell r="C889">
            <v>288</v>
          </cell>
          <cell r="F889">
            <v>1</v>
          </cell>
          <cell r="G889">
            <v>1</v>
          </cell>
          <cell r="H889">
            <v>46207</v>
          </cell>
          <cell r="I889">
            <v>0</v>
          </cell>
          <cell r="J889">
            <v>0</v>
          </cell>
          <cell r="K889">
            <v>0</v>
          </cell>
          <cell r="L889">
            <v>108</v>
          </cell>
          <cell r="M889">
            <v>0</v>
          </cell>
          <cell r="N889">
            <v>0</v>
          </cell>
          <cell r="O889">
            <v>0</v>
          </cell>
          <cell r="P889">
            <v>0</v>
          </cell>
        </row>
        <row r="890">
          <cell r="C890">
            <v>290</v>
          </cell>
          <cell r="F890">
            <v>1</v>
          </cell>
          <cell r="G890">
            <v>1</v>
          </cell>
          <cell r="H890">
            <v>46207</v>
          </cell>
          <cell r="I890">
            <v>0</v>
          </cell>
          <cell r="J890">
            <v>0</v>
          </cell>
          <cell r="K890">
            <v>0</v>
          </cell>
          <cell r="L890">
            <v>68</v>
          </cell>
          <cell r="M890">
            <v>0</v>
          </cell>
          <cell r="N890">
            <v>0</v>
          </cell>
          <cell r="O890">
            <v>0</v>
          </cell>
          <cell r="P890">
            <v>0</v>
          </cell>
        </row>
        <row r="891">
          <cell r="C891">
            <v>291</v>
          </cell>
          <cell r="F891">
            <v>1</v>
          </cell>
          <cell r="G891">
            <v>1</v>
          </cell>
          <cell r="H891">
            <v>46207</v>
          </cell>
          <cell r="I891">
            <v>0</v>
          </cell>
          <cell r="J891">
            <v>0</v>
          </cell>
          <cell r="K891">
            <v>0</v>
          </cell>
          <cell r="L891">
            <v>2</v>
          </cell>
          <cell r="M891">
            <v>0</v>
          </cell>
          <cell r="N891">
            <v>0</v>
          </cell>
          <cell r="O891">
            <v>0</v>
          </cell>
          <cell r="P891">
            <v>0</v>
          </cell>
        </row>
        <row r="892">
          <cell r="C892">
            <v>293</v>
          </cell>
          <cell r="F892">
            <v>1</v>
          </cell>
          <cell r="G892">
            <v>1</v>
          </cell>
          <cell r="H892">
            <v>46207</v>
          </cell>
          <cell r="I892">
            <v>0</v>
          </cell>
          <cell r="J892">
            <v>0</v>
          </cell>
          <cell r="K892">
            <v>0</v>
          </cell>
          <cell r="L892">
            <v>1155</v>
          </cell>
          <cell r="M892">
            <v>0</v>
          </cell>
          <cell r="N892">
            <v>0</v>
          </cell>
          <cell r="O892">
            <v>0</v>
          </cell>
          <cell r="P892">
            <v>0</v>
          </cell>
        </row>
        <row r="893">
          <cell r="C893">
            <v>294</v>
          </cell>
          <cell r="F893">
            <v>1</v>
          </cell>
          <cell r="G893">
            <v>1</v>
          </cell>
          <cell r="H893">
            <v>46207</v>
          </cell>
          <cell r="I893">
            <v>0</v>
          </cell>
          <cell r="J893">
            <v>0</v>
          </cell>
          <cell r="K893">
            <v>0</v>
          </cell>
          <cell r="L893">
            <v>420</v>
          </cell>
          <cell r="M893">
            <v>0</v>
          </cell>
          <cell r="N893">
            <v>0</v>
          </cell>
          <cell r="O893">
            <v>0</v>
          </cell>
          <cell r="P893">
            <v>0</v>
          </cell>
        </row>
        <row r="894">
          <cell r="C894">
            <v>296</v>
          </cell>
          <cell r="F894">
            <v>1</v>
          </cell>
          <cell r="G894">
            <v>1</v>
          </cell>
          <cell r="H894">
            <v>46207</v>
          </cell>
          <cell r="I894">
            <v>0</v>
          </cell>
          <cell r="J894">
            <v>0</v>
          </cell>
          <cell r="K894">
            <v>0</v>
          </cell>
          <cell r="L894">
            <v>1</v>
          </cell>
          <cell r="M894">
            <v>0</v>
          </cell>
          <cell r="N894">
            <v>0</v>
          </cell>
          <cell r="O894">
            <v>0</v>
          </cell>
          <cell r="P894">
            <v>0</v>
          </cell>
        </row>
        <row r="895">
          <cell r="C895">
            <v>297</v>
          </cell>
          <cell r="F895">
            <v>1</v>
          </cell>
          <cell r="G895">
            <v>1</v>
          </cell>
          <cell r="H895">
            <v>46207</v>
          </cell>
          <cell r="I895">
            <v>0</v>
          </cell>
          <cell r="J895">
            <v>0</v>
          </cell>
          <cell r="K895">
            <v>0</v>
          </cell>
          <cell r="L895">
            <v>1</v>
          </cell>
          <cell r="M895">
            <v>0</v>
          </cell>
          <cell r="N895">
            <v>0</v>
          </cell>
          <cell r="O895">
            <v>0</v>
          </cell>
          <cell r="P895">
            <v>0</v>
          </cell>
        </row>
        <row r="896">
          <cell r="C896">
            <v>298</v>
          </cell>
          <cell r="F896">
            <v>1</v>
          </cell>
          <cell r="G896">
            <v>1</v>
          </cell>
          <cell r="H896">
            <v>46210</v>
          </cell>
          <cell r="I896">
            <v>0</v>
          </cell>
          <cell r="J896">
            <v>0</v>
          </cell>
          <cell r="K896">
            <v>0</v>
          </cell>
          <cell r="L896">
            <v>60</v>
          </cell>
          <cell r="M896">
            <v>0</v>
          </cell>
          <cell r="N896">
            <v>0</v>
          </cell>
          <cell r="O896">
            <v>0</v>
          </cell>
          <cell r="P896">
            <v>0</v>
          </cell>
        </row>
        <row r="897">
          <cell r="C897">
            <v>301</v>
          </cell>
          <cell r="F897">
            <v>1</v>
          </cell>
          <cell r="G897">
            <v>1</v>
          </cell>
          <cell r="H897">
            <v>46210</v>
          </cell>
          <cell r="I897">
            <v>0</v>
          </cell>
          <cell r="J897">
            <v>0</v>
          </cell>
          <cell r="K897">
            <v>0</v>
          </cell>
          <cell r="L897">
            <v>5</v>
          </cell>
          <cell r="M897">
            <v>0</v>
          </cell>
          <cell r="N897">
            <v>0</v>
          </cell>
          <cell r="O897">
            <v>0</v>
          </cell>
          <cell r="P897">
            <v>0</v>
          </cell>
        </row>
        <row r="898">
          <cell r="C898">
            <v>302</v>
          </cell>
          <cell r="F898">
            <v>1</v>
          </cell>
          <cell r="G898">
            <v>1</v>
          </cell>
          <cell r="H898">
            <v>46210</v>
          </cell>
          <cell r="I898">
            <v>0</v>
          </cell>
          <cell r="J898">
            <v>0</v>
          </cell>
          <cell r="K898">
            <v>0</v>
          </cell>
          <cell r="L898">
            <v>1</v>
          </cell>
          <cell r="M898">
            <v>0</v>
          </cell>
          <cell r="N898">
            <v>0</v>
          </cell>
          <cell r="O898">
            <v>0</v>
          </cell>
          <cell r="P898">
            <v>0</v>
          </cell>
        </row>
        <row r="899">
          <cell r="C899">
            <v>303</v>
          </cell>
          <cell r="F899">
            <v>1</v>
          </cell>
          <cell r="G899">
            <v>1</v>
          </cell>
          <cell r="H899">
            <v>46210</v>
          </cell>
          <cell r="I899">
            <v>0</v>
          </cell>
          <cell r="J899">
            <v>0</v>
          </cell>
          <cell r="K899">
            <v>0</v>
          </cell>
          <cell r="L899">
            <v>400</v>
          </cell>
          <cell r="M899">
            <v>0</v>
          </cell>
          <cell r="N899">
            <v>0</v>
          </cell>
          <cell r="O899">
            <v>0</v>
          </cell>
          <cell r="P899">
            <v>0</v>
          </cell>
        </row>
        <row r="900">
          <cell r="C900">
            <v>304</v>
          </cell>
          <cell r="F900">
            <v>1</v>
          </cell>
          <cell r="G900">
            <v>1</v>
          </cell>
          <cell r="H900">
            <v>46210</v>
          </cell>
          <cell r="I900">
            <v>0</v>
          </cell>
          <cell r="J900">
            <v>0</v>
          </cell>
          <cell r="K900">
            <v>0</v>
          </cell>
          <cell r="L900">
            <v>12</v>
          </cell>
          <cell r="M900">
            <v>0</v>
          </cell>
          <cell r="N900">
            <v>0</v>
          </cell>
          <cell r="O900">
            <v>0</v>
          </cell>
          <cell r="P900">
            <v>0</v>
          </cell>
        </row>
        <row r="901">
          <cell r="C901">
            <v>306</v>
          </cell>
          <cell r="F901">
            <v>1</v>
          </cell>
          <cell r="G901">
            <v>1</v>
          </cell>
          <cell r="H901">
            <v>46210</v>
          </cell>
          <cell r="I901">
            <v>0</v>
          </cell>
          <cell r="J901">
            <v>0</v>
          </cell>
          <cell r="K901">
            <v>0</v>
          </cell>
          <cell r="L901">
            <v>8</v>
          </cell>
          <cell r="M901">
            <v>0</v>
          </cell>
          <cell r="N901">
            <v>0</v>
          </cell>
          <cell r="O901">
            <v>0</v>
          </cell>
          <cell r="P901">
            <v>0</v>
          </cell>
        </row>
        <row r="902">
          <cell r="C902">
            <v>307</v>
          </cell>
          <cell r="F902">
            <v>1</v>
          </cell>
          <cell r="G902">
            <v>1</v>
          </cell>
          <cell r="H902">
            <v>46210</v>
          </cell>
          <cell r="I902">
            <v>0</v>
          </cell>
          <cell r="J902">
            <v>0</v>
          </cell>
          <cell r="K902">
            <v>0</v>
          </cell>
          <cell r="L902">
            <v>4</v>
          </cell>
          <cell r="M902">
            <v>0</v>
          </cell>
          <cell r="N902">
            <v>0</v>
          </cell>
          <cell r="O902">
            <v>0</v>
          </cell>
          <cell r="P902">
            <v>0</v>
          </cell>
        </row>
        <row r="903">
          <cell r="C903">
            <v>308</v>
          </cell>
          <cell r="F903">
            <v>1</v>
          </cell>
          <cell r="G903">
            <v>1</v>
          </cell>
          <cell r="H903">
            <v>46210</v>
          </cell>
          <cell r="I903">
            <v>0</v>
          </cell>
          <cell r="J903">
            <v>0</v>
          </cell>
          <cell r="K903">
            <v>0</v>
          </cell>
          <cell r="L903">
            <v>1</v>
          </cell>
          <cell r="M903">
            <v>0</v>
          </cell>
          <cell r="N903">
            <v>0</v>
          </cell>
          <cell r="O903">
            <v>0</v>
          </cell>
          <cell r="P903">
            <v>0</v>
          </cell>
        </row>
        <row r="904">
          <cell r="C904">
            <v>309</v>
          </cell>
          <cell r="F904">
            <v>1</v>
          </cell>
          <cell r="G904">
            <v>1</v>
          </cell>
          <cell r="H904">
            <v>46210</v>
          </cell>
          <cell r="I904">
            <v>0</v>
          </cell>
          <cell r="J904">
            <v>0</v>
          </cell>
          <cell r="K904">
            <v>0</v>
          </cell>
          <cell r="L904">
            <v>1</v>
          </cell>
          <cell r="M904">
            <v>0</v>
          </cell>
          <cell r="N904">
            <v>0</v>
          </cell>
          <cell r="O904">
            <v>0</v>
          </cell>
          <cell r="P904">
            <v>0</v>
          </cell>
        </row>
        <row r="905">
          <cell r="C905">
            <v>310</v>
          </cell>
          <cell r="F905">
            <v>1</v>
          </cell>
          <cell r="G905">
            <v>1</v>
          </cell>
          <cell r="H905">
            <v>46210</v>
          </cell>
          <cell r="I905">
            <v>0</v>
          </cell>
          <cell r="J905">
            <v>0</v>
          </cell>
          <cell r="K905">
            <v>0</v>
          </cell>
          <cell r="L905">
            <v>1</v>
          </cell>
          <cell r="M905">
            <v>0</v>
          </cell>
          <cell r="N905">
            <v>0</v>
          </cell>
          <cell r="O905">
            <v>0</v>
          </cell>
          <cell r="P905">
            <v>0</v>
          </cell>
        </row>
        <row r="906">
          <cell r="C906">
            <v>313</v>
          </cell>
          <cell r="F906">
            <v>1</v>
          </cell>
          <cell r="G906">
            <v>1</v>
          </cell>
          <cell r="H906">
            <v>46210</v>
          </cell>
          <cell r="I906">
            <v>0</v>
          </cell>
          <cell r="J906">
            <v>0</v>
          </cell>
          <cell r="K906">
            <v>0</v>
          </cell>
          <cell r="L906">
            <v>1</v>
          </cell>
          <cell r="M906">
            <v>0</v>
          </cell>
          <cell r="N906">
            <v>0</v>
          </cell>
          <cell r="O906">
            <v>0</v>
          </cell>
          <cell r="P906">
            <v>0</v>
          </cell>
        </row>
        <row r="907">
          <cell r="C907">
            <v>316</v>
          </cell>
          <cell r="F907">
            <v>1</v>
          </cell>
          <cell r="G907">
            <v>1</v>
          </cell>
          <cell r="H907">
            <v>46210</v>
          </cell>
          <cell r="I907">
            <v>0</v>
          </cell>
          <cell r="J907">
            <v>0</v>
          </cell>
          <cell r="K907">
            <v>0</v>
          </cell>
          <cell r="L907">
            <v>20</v>
          </cell>
          <cell r="M907">
            <v>0</v>
          </cell>
          <cell r="N907">
            <v>0</v>
          </cell>
          <cell r="O907">
            <v>0</v>
          </cell>
          <cell r="P907">
            <v>0</v>
          </cell>
        </row>
        <row r="908">
          <cell r="C908">
            <v>317</v>
          </cell>
          <cell r="F908">
            <v>1</v>
          </cell>
          <cell r="G908">
            <v>1</v>
          </cell>
          <cell r="H908">
            <v>46210</v>
          </cell>
          <cell r="I908">
            <v>0</v>
          </cell>
          <cell r="J908">
            <v>0</v>
          </cell>
          <cell r="K908">
            <v>0</v>
          </cell>
          <cell r="L908">
            <v>9</v>
          </cell>
          <cell r="M908">
            <v>0</v>
          </cell>
          <cell r="N908">
            <v>0</v>
          </cell>
          <cell r="O908">
            <v>0</v>
          </cell>
          <cell r="P908">
            <v>0</v>
          </cell>
        </row>
        <row r="909">
          <cell r="C909">
            <v>318</v>
          </cell>
          <cell r="F909">
            <v>1</v>
          </cell>
          <cell r="G909">
            <v>1</v>
          </cell>
          <cell r="H909">
            <v>46210</v>
          </cell>
          <cell r="I909">
            <v>0</v>
          </cell>
          <cell r="J909">
            <v>0</v>
          </cell>
          <cell r="K909">
            <v>0</v>
          </cell>
          <cell r="L909">
            <v>2</v>
          </cell>
          <cell r="M909">
            <v>0</v>
          </cell>
          <cell r="N909">
            <v>0</v>
          </cell>
          <cell r="O909">
            <v>0</v>
          </cell>
          <cell r="P909">
            <v>0</v>
          </cell>
        </row>
        <row r="910">
          <cell r="C910">
            <v>319</v>
          </cell>
          <cell r="F910">
            <v>1</v>
          </cell>
          <cell r="G910">
            <v>1</v>
          </cell>
          <cell r="H910">
            <v>46210</v>
          </cell>
          <cell r="I910">
            <v>0</v>
          </cell>
          <cell r="J910">
            <v>0</v>
          </cell>
          <cell r="K910">
            <v>0</v>
          </cell>
          <cell r="L910">
            <v>2</v>
          </cell>
          <cell r="M910">
            <v>0</v>
          </cell>
          <cell r="N910">
            <v>0</v>
          </cell>
          <cell r="O910">
            <v>0</v>
          </cell>
          <cell r="P910">
            <v>0</v>
          </cell>
        </row>
        <row r="911">
          <cell r="C911">
            <v>320</v>
          </cell>
          <cell r="F911">
            <v>1</v>
          </cell>
          <cell r="G911">
            <v>1</v>
          </cell>
          <cell r="H911">
            <v>46210</v>
          </cell>
          <cell r="I911">
            <v>0</v>
          </cell>
          <cell r="J911">
            <v>0</v>
          </cell>
          <cell r="K911">
            <v>0</v>
          </cell>
          <cell r="L911">
            <v>2</v>
          </cell>
          <cell r="M911">
            <v>0</v>
          </cell>
          <cell r="N911">
            <v>0</v>
          </cell>
          <cell r="O911">
            <v>0</v>
          </cell>
          <cell r="P911">
            <v>0</v>
          </cell>
        </row>
        <row r="912">
          <cell r="C912">
            <v>335</v>
          </cell>
          <cell r="F912">
            <v>1</v>
          </cell>
          <cell r="G912">
            <v>1</v>
          </cell>
          <cell r="H912">
            <v>46210</v>
          </cell>
          <cell r="I912">
            <v>0</v>
          </cell>
          <cell r="J912">
            <v>0</v>
          </cell>
          <cell r="K912">
            <v>0</v>
          </cell>
          <cell r="L912">
            <v>1</v>
          </cell>
          <cell r="M912">
            <v>0</v>
          </cell>
          <cell r="N912">
            <v>0</v>
          </cell>
          <cell r="O912">
            <v>0</v>
          </cell>
          <cell r="P912">
            <v>0</v>
          </cell>
        </row>
        <row r="913">
          <cell r="C913">
            <v>344</v>
          </cell>
          <cell r="F913">
            <v>1</v>
          </cell>
          <cell r="G913">
            <v>1</v>
          </cell>
          <cell r="H913">
            <v>46210</v>
          </cell>
          <cell r="I913">
            <v>0</v>
          </cell>
          <cell r="J913">
            <v>0</v>
          </cell>
          <cell r="K913">
            <v>0</v>
          </cell>
          <cell r="L913">
            <v>2</v>
          </cell>
          <cell r="M913">
            <v>0</v>
          </cell>
          <cell r="N913">
            <v>0</v>
          </cell>
          <cell r="O913">
            <v>0</v>
          </cell>
          <cell r="P913">
            <v>0</v>
          </cell>
        </row>
        <row r="914">
          <cell r="C914">
            <v>355</v>
          </cell>
          <cell r="F914">
            <v>1</v>
          </cell>
          <cell r="G914">
            <v>1</v>
          </cell>
          <cell r="H914">
            <v>46210</v>
          </cell>
          <cell r="I914">
            <v>0</v>
          </cell>
          <cell r="J914">
            <v>0</v>
          </cell>
          <cell r="K914">
            <v>0</v>
          </cell>
          <cell r="L914">
            <v>1</v>
          </cell>
          <cell r="M914">
            <v>0</v>
          </cell>
          <cell r="N914">
            <v>0</v>
          </cell>
          <cell r="O914">
            <v>0</v>
          </cell>
          <cell r="P914">
            <v>0</v>
          </cell>
        </row>
        <row r="915">
          <cell r="C915">
            <v>361</v>
          </cell>
          <cell r="F915">
            <v>1</v>
          </cell>
          <cell r="G915">
            <v>1</v>
          </cell>
          <cell r="H915">
            <v>46210</v>
          </cell>
          <cell r="I915">
            <v>0</v>
          </cell>
          <cell r="J915">
            <v>0</v>
          </cell>
          <cell r="K915">
            <v>0</v>
          </cell>
          <cell r="L915">
            <v>10</v>
          </cell>
          <cell r="M915">
            <v>0</v>
          </cell>
          <cell r="N915">
            <v>0</v>
          </cell>
          <cell r="O915">
            <v>0</v>
          </cell>
          <cell r="P915">
            <v>0</v>
          </cell>
        </row>
        <row r="916">
          <cell r="C916">
            <v>362</v>
          </cell>
          <cell r="F916">
            <v>1</v>
          </cell>
          <cell r="G916">
            <v>1</v>
          </cell>
          <cell r="H916">
            <v>46210</v>
          </cell>
          <cell r="I916">
            <v>0</v>
          </cell>
          <cell r="J916">
            <v>0</v>
          </cell>
          <cell r="K916">
            <v>0</v>
          </cell>
          <cell r="L916">
            <v>12</v>
          </cell>
          <cell r="M916">
            <v>0</v>
          </cell>
          <cell r="N916">
            <v>0</v>
          </cell>
          <cell r="O916">
            <v>0</v>
          </cell>
          <cell r="P916">
            <v>0</v>
          </cell>
        </row>
        <row r="917">
          <cell r="C917">
            <v>384</v>
          </cell>
          <cell r="F917">
            <v>1</v>
          </cell>
          <cell r="G917">
            <v>1</v>
          </cell>
          <cell r="H917">
            <v>46205</v>
          </cell>
          <cell r="I917">
            <v>0</v>
          </cell>
          <cell r="J917">
            <v>0</v>
          </cell>
          <cell r="K917">
            <v>0</v>
          </cell>
          <cell r="L917">
            <v>12</v>
          </cell>
          <cell r="M917">
            <v>0</v>
          </cell>
          <cell r="N917">
            <v>0</v>
          </cell>
          <cell r="O917">
            <v>0</v>
          </cell>
          <cell r="P917">
            <v>0</v>
          </cell>
        </row>
        <row r="918">
          <cell r="C918">
            <v>385</v>
          </cell>
          <cell r="F918">
            <v>1</v>
          </cell>
          <cell r="G918">
            <v>1</v>
          </cell>
          <cell r="H918">
            <v>46205</v>
          </cell>
          <cell r="I918">
            <v>0</v>
          </cell>
          <cell r="J918">
            <v>0</v>
          </cell>
          <cell r="K918">
            <v>0</v>
          </cell>
          <cell r="L918">
            <v>15</v>
          </cell>
          <cell r="M918">
            <v>0</v>
          </cell>
          <cell r="N918">
            <v>0</v>
          </cell>
          <cell r="O918">
            <v>0</v>
          </cell>
          <cell r="P918">
            <v>0</v>
          </cell>
        </row>
        <row r="919">
          <cell r="C919">
            <v>386</v>
          </cell>
          <cell r="F919">
            <v>1</v>
          </cell>
          <cell r="G919">
            <v>1</v>
          </cell>
          <cell r="H919">
            <v>46205</v>
          </cell>
          <cell r="I919">
            <v>0</v>
          </cell>
          <cell r="J919">
            <v>0</v>
          </cell>
          <cell r="K919">
            <v>0</v>
          </cell>
          <cell r="L919">
            <v>8</v>
          </cell>
          <cell r="M919">
            <v>0</v>
          </cell>
          <cell r="N919">
            <v>0</v>
          </cell>
          <cell r="O919">
            <v>0</v>
          </cell>
          <cell r="P919">
            <v>0</v>
          </cell>
        </row>
        <row r="920">
          <cell r="C920">
            <v>381</v>
          </cell>
          <cell r="F920">
            <v>1</v>
          </cell>
          <cell r="G920">
            <v>1</v>
          </cell>
          <cell r="H920">
            <v>46205</v>
          </cell>
          <cell r="I920">
            <v>0</v>
          </cell>
          <cell r="J920">
            <v>0</v>
          </cell>
          <cell r="K920">
            <v>0</v>
          </cell>
          <cell r="L920">
            <v>1</v>
          </cell>
          <cell r="M920">
            <v>0</v>
          </cell>
          <cell r="N920">
            <v>0</v>
          </cell>
          <cell r="O920">
            <v>0</v>
          </cell>
          <cell r="P920">
            <v>0</v>
          </cell>
        </row>
        <row r="921">
          <cell r="C921">
            <v>380</v>
          </cell>
          <cell r="F921">
            <v>1</v>
          </cell>
          <cell r="G921">
            <v>1</v>
          </cell>
          <cell r="H921">
            <v>46210</v>
          </cell>
          <cell r="I921">
            <v>0</v>
          </cell>
          <cell r="J921">
            <v>0</v>
          </cell>
          <cell r="K921">
            <v>0</v>
          </cell>
          <cell r="L921">
            <v>72</v>
          </cell>
          <cell r="M921">
            <v>0</v>
          </cell>
          <cell r="N921">
            <v>0</v>
          </cell>
          <cell r="O921">
            <v>0</v>
          </cell>
          <cell r="P921">
            <v>0</v>
          </cell>
        </row>
        <row r="922">
          <cell r="C922">
            <v>379</v>
          </cell>
          <cell r="F922">
            <v>1</v>
          </cell>
          <cell r="G922">
            <v>1</v>
          </cell>
          <cell r="H922">
            <v>46210</v>
          </cell>
          <cell r="I922">
            <v>0</v>
          </cell>
          <cell r="J922">
            <v>0</v>
          </cell>
          <cell r="K922">
            <v>0</v>
          </cell>
          <cell r="L922">
            <v>5</v>
          </cell>
          <cell r="M922">
            <v>0</v>
          </cell>
          <cell r="N922">
            <v>0</v>
          </cell>
          <cell r="O922">
            <v>0</v>
          </cell>
          <cell r="P922">
            <v>0</v>
          </cell>
        </row>
        <row r="923">
          <cell r="C923">
            <v>388</v>
          </cell>
          <cell r="F923">
            <v>1</v>
          </cell>
          <cell r="G923">
            <v>1</v>
          </cell>
          <cell r="H923">
            <v>46210</v>
          </cell>
          <cell r="I923">
            <v>0</v>
          </cell>
          <cell r="J923">
            <v>0</v>
          </cell>
          <cell r="K923">
            <v>0</v>
          </cell>
          <cell r="L923">
            <v>5</v>
          </cell>
          <cell r="M923">
            <v>0</v>
          </cell>
          <cell r="N923">
            <v>0</v>
          </cell>
          <cell r="O923">
            <v>0</v>
          </cell>
          <cell r="P923">
            <v>0</v>
          </cell>
        </row>
        <row r="924">
          <cell r="C924">
            <v>369</v>
          </cell>
          <cell r="F924">
            <v>1</v>
          </cell>
          <cell r="G924">
            <v>1</v>
          </cell>
          <cell r="H924">
            <v>46210</v>
          </cell>
          <cell r="I924">
            <v>0</v>
          </cell>
          <cell r="J924">
            <v>0</v>
          </cell>
          <cell r="K924">
            <v>0</v>
          </cell>
          <cell r="L924">
            <v>50</v>
          </cell>
          <cell r="M924">
            <v>0</v>
          </cell>
          <cell r="N924">
            <v>0</v>
          </cell>
          <cell r="O924">
            <v>0</v>
          </cell>
          <cell r="P924">
            <v>0</v>
          </cell>
        </row>
        <row r="925">
          <cell r="C925">
            <v>370</v>
          </cell>
          <cell r="F925">
            <v>1</v>
          </cell>
          <cell r="G925">
            <v>1</v>
          </cell>
          <cell r="H925">
            <v>46210</v>
          </cell>
          <cell r="I925">
            <v>0</v>
          </cell>
          <cell r="J925">
            <v>0</v>
          </cell>
          <cell r="K925">
            <v>0</v>
          </cell>
          <cell r="L925">
            <v>53</v>
          </cell>
          <cell r="M925">
            <v>0</v>
          </cell>
          <cell r="N925">
            <v>0</v>
          </cell>
          <cell r="O925">
            <v>0</v>
          </cell>
          <cell r="P925">
            <v>0</v>
          </cell>
        </row>
        <row r="926">
          <cell r="C926">
            <v>374</v>
          </cell>
          <cell r="F926">
            <v>1</v>
          </cell>
          <cell r="G926">
            <v>1</v>
          </cell>
          <cell r="H926">
            <v>46210</v>
          </cell>
          <cell r="I926">
            <v>0</v>
          </cell>
          <cell r="J926">
            <v>0</v>
          </cell>
          <cell r="K926">
            <v>0</v>
          </cell>
          <cell r="L926">
            <v>10</v>
          </cell>
          <cell r="M926">
            <v>0</v>
          </cell>
          <cell r="N926">
            <v>0</v>
          </cell>
          <cell r="O926">
            <v>0</v>
          </cell>
          <cell r="P926">
            <v>0</v>
          </cell>
        </row>
        <row r="927">
          <cell r="C927">
            <v>387</v>
          </cell>
          <cell r="F927">
            <v>1</v>
          </cell>
          <cell r="G927">
            <v>1</v>
          </cell>
          <cell r="H927">
            <v>46210</v>
          </cell>
          <cell r="I927">
            <v>0</v>
          </cell>
          <cell r="J927">
            <v>0</v>
          </cell>
          <cell r="K927">
            <v>0</v>
          </cell>
          <cell r="L927">
            <v>3</v>
          </cell>
          <cell r="M927">
            <v>0</v>
          </cell>
          <cell r="N927">
            <v>0</v>
          </cell>
          <cell r="O927">
            <v>0</v>
          </cell>
          <cell r="P927">
            <v>0</v>
          </cell>
        </row>
        <row r="928">
          <cell r="C928">
            <v>366</v>
          </cell>
          <cell r="F928">
            <v>1</v>
          </cell>
          <cell r="G928">
            <v>1</v>
          </cell>
          <cell r="H928">
            <v>46210</v>
          </cell>
          <cell r="I928">
            <v>0</v>
          </cell>
          <cell r="J928">
            <v>0</v>
          </cell>
          <cell r="K928">
            <v>0</v>
          </cell>
          <cell r="L928">
            <v>10</v>
          </cell>
          <cell r="M928">
            <v>0</v>
          </cell>
          <cell r="N928">
            <v>0</v>
          </cell>
          <cell r="O928">
            <v>0</v>
          </cell>
          <cell r="P928">
            <v>0</v>
          </cell>
        </row>
        <row r="929">
          <cell r="C929">
            <v>364</v>
          </cell>
          <cell r="F929">
            <v>1</v>
          </cell>
          <cell r="G929">
            <v>1</v>
          </cell>
          <cell r="H929">
            <v>46210</v>
          </cell>
          <cell r="I929">
            <v>0</v>
          </cell>
          <cell r="J929">
            <v>0</v>
          </cell>
          <cell r="K929">
            <v>0</v>
          </cell>
          <cell r="L929">
            <v>6</v>
          </cell>
          <cell r="M929">
            <v>0</v>
          </cell>
          <cell r="N929">
            <v>0</v>
          </cell>
          <cell r="O929">
            <v>0</v>
          </cell>
          <cell r="P929">
            <v>0</v>
          </cell>
        </row>
        <row r="930">
          <cell r="C930">
            <v>367</v>
          </cell>
          <cell r="F930">
            <v>1</v>
          </cell>
          <cell r="G930">
            <v>1</v>
          </cell>
          <cell r="H930">
            <v>46210</v>
          </cell>
          <cell r="I930">
            <v>0</v>
          </cell>
          <cell r="J930">
            <v>0</v>
          </cell>
          <cell r="K930">
            <v>0</v>
          </cell>
          <cell r="L930">
            <v>12</v>
          </cell>
          <cell r="M930">
            <v>0</v>
          </cell>
          <cell r="N930">
            <v>0</v>
          </cell>
          <cell r="O930">
            <v>0</v>
          </cell>
          <cell r="P930">
            <v>0</v>
          </cell>
        </row>
        <row r="931">
          <cell r="C931">
            <v>363</v>
          </cell>
          <cell r="F931">
            <v>1</v>
          </cell>
          <cell r="G931">
            <v>1</v>
          </cell>
          <cell r="H931">
            <v>46210</v>
          </cell>
          <cell r="I931">
            <v>0</v>
          </cell>
          <cell r="J931">
            <v>0</v>
          </cell>
          <cell r="K931">
            <v>0</v>
          </cell>
          <cell r="L931">
            <v>6</v>
          </cell>
          <cell r="M931">
            <v>0</v>
          </cell>
          <cell r="N931">
            <v>0</v>
          </cell>
          <cell r="O931">
            <v>0</v>
          </cell>
          <cell r="P931">
            <v>0</v>
          </cell>
        </row>
        <row r="932">
          <cell r="C932">
            <v>389</v>
          </cell>
          <cell r="F932">
            <v>1</v>
          </cell>
          <cell r="G932">
            <v>1</v>
          </cell>
          <cell r="H932">
            <v>46210</v>
          </cell>
          <cell r="I932">
            <v>0</v>
          </cell>
          <cell r="J932">
            <v>0</v>
          </cell>
          <cell r="K932">
            <v>0</v>
          </cell>
          <cell r="L932">
            <v>36</v>
          </cell>
          <cell r="M932">
            <v>0</v>
          </cell>
          <cell r="N932">
            <v>0</v>
          </cell>
          <cell r="O932">
            <v>0</v>
          </cell>
          <cell r="P932">
            <v>0</v>
          </cell>
        </row>
        <row r="933">
          <cell r="C933">
            <v>386</v>
          </cell>
          <cell r="F933">
            <v>1</v>
          </cell>
          <cell r="G933">
            <v>1</v>
          </cell>
          <cell r="H933">
            <v>46211</v>
          </cell>
          <cell r="I933">
            <v>0</v>
          </cell>
          <cell r="J933">
            <v>0</v>
          </cell>
          <cell r="K933">
            <v>0</v>
          </cell>
          <cell r="L933">
            <v>11</v>
          </cell>
          <cell r="M933">
            <v>0</v>
          </cell>
          <cell r="N933">
            <v>0</v>
          </cell>
          <cell r="O933">
            <v>0</v>
          </cell>
          <cell r="P933">
            <v>0</v>
          </cell>
        </row>
        <row r="934">
          <cell r="C934">
            <v>382</v>
          </cell>
          <cell r="F934">
            <v>1</v>
          </cell>
          <cell r="G934">
            <v>1</v>
          </cell>
          <cell r="H934">
            <v>46211</v>
          </cell>
          <cell r="I934">
            <v>0</v>
          </cell>
          <cell r="J934">
            <v>0</v>
          </cell>
          <cell r="K934">
            <v>0</v>
          </cell>
          <cell r="L934">
            <v>5</v>
          </cell>
          <cell r="M934">
            <v>0</v>
          </cell>
          <cell r="N934">
            <v>0</v>
          </cell>
          <cell r="O934">
            <v>0</v>
          </cell>
          <cell r="P934">
            <v>0</v>
          </cell>
        </row>
        <row r="935">
          <cell r="C935">
            <v>383</v>
          </cell>
          <cell r="F935">
            <v>1</v>
          </cell>
          <cell r="G935">
            <v>1</v>
          </cell>
          <cell r="H935">
            <v>46211</v>
          </cell>
          <cell r="I935">
            <v>0</v>
          </cell>
          <cell r="J935">
            <v>0</v>
          </cell>
          <cell r="K935">
            <v>0</v>
          </cell>
          <cell r="L935">
            <v>2</v>
          </cell>
          <cell r="M935">
            <v>0</v>
          </cell>
          <cell r="N935">
            <v>0</v>
          </cell>
          <cell r="O935">
            <v>0</v>
          </cell>
          <cell r="P935">
            <v>0</v>
          </cell>
        </row>
        <row r="936">
          <cell r="C936">
            <v>381</v>
          </cell>
          <cell r="F936">
            <v>1</v>
          </cell>
          <cell r="G936">
            <v>1</v>
          </cell>
          <cell r="H936">
            <v>46211</v>
          </cell>
          <cell r="I936">
            <v>0</v>
          </cell>
          <cell r="J936">
            <v>0</v>
          </cell>
          <cell r="K936">
            <v>0</v>
          </cell>
          <cell r="L936">
            <v>4</v>
          </cell>
          <cell r="M936">
            <v>0</v>
          </cell>
          <cell r="N936">
            <v>0</v>
          </cell>
          <cell r="O936">
            <v>0</v>
          </cell>
          <cell r="P936">
            <v>0</v>
          </cell>
        </row>
        <row r="937">
          <cell r="C937">
            <v>377</v>
          </cell>
          <cell r="F937">
            <v>1</v>
          </cell>
          <cell r="G937">
            <v>1</v>
          </cell>
          <cell r="H937">
            <v>46221</v>
          </cell>
          <cell r="I937">
            <v>0</v>
          </cell>
          <cell r="J937">
            <v>0</v>
          </cell>
          <cell r="K937">
            <v>0</v>
          </cell>
          <cell r="L937">
            <v>160</v>
          </cell>
          <cell r="M937">
            <v>0</v>
          </cell>
          <cell r="N937">
            <v>0</v>
          </cell>
          <cell r="O937">
            <v>0</v>
          </cell>
          <cell r="P937">
            <v>0</v>
          </cell>
        </row>
        <row r="938">
          <cell r="C938">
            <v>377</v>
          </cell>
          <cell r="F938">
            <v>1</v>
          </cell>
          <cell r="G938">
            <v>1</v>
          </cell>
          <cell r="H938">
            <v>46221</v>
          </cell>
          <cell r="I938">
            <v>0</v>
          </cell>
          <cell r="J938">
            <v>0</v>
          </cell>
          <cell r="K938">
            <v>0</v>
          </cell>
          <cell r="L938">
            <v>80</v>
          </cell>
          <cell r="M938">
            <v>0</v>
          </cell>
          <cell r="N938">
            <v>0</v>
          </cell>
          <cell r="O938">
            <v>0</v>
          </cell>
          <cell r="P938">
            <v>0</v>
          </cell>
        </row>
        <row r="939">
          <cell r="C939">
            <v>26</v>
          </cell>
          <cell r="F939">
            <v>1</v>
          </cell>
          <cell r="G939">
            <v>1</v>
          </cell>
          <cell r="H939">
            <v>46225</v>
          </cell>
          <cell r="I939">
            <v>0</v>
          </cell>
          <cell r="J939">
            <v>0</v>
          </cell>
          <cell r="K939">
            <v>0</v>
          </cell>
          <cell r="L939">
            <v>10</v>
          </cell>
          <cell r="M939">
            <v>0</v>
          </cell>
          <cell r="N939">
            <v>0</v>
          </cell>
          <cell r="O939">
            <v>0</v>
          </cell>
          <cell r="P939">
            <v>0</v>
          </cell>
        </row>
        <row r="940">
          <cell r="C940">
            <v>372</v>
          </cell>
          <cell r="F940">
            <v>1</v>
          </cell>
          <cell r="G940">
            <v>1</v>
          </cell>
          <cell r="H940">
            <v>46225</v>
          </cell>
          <cell r="I940">
            <v>0</v>
          </cell>
          <cell r="J940">
            <v>0</v>
          </cell>
          <cell r="K940">
            <v>0</v>
          </cell>
          <cell r="L940">
            <v>10</v>
          </cell>
          <cell r="M940">
            <v>0</v>
          </cell>
          <cell r="N940">
            <v>0</v>
          </cell>
          <cell r="O940">
            <v>0</v>
          </cell>
          <cell r="P940">
            <v>0</v>
          </cell>
        </row>
        <row r="941">
          <cell r="C941">
            <v>343</v>
          </cell>
          <cell r="F941">
            <v>1</v>
          </cell>
          <cell r="G941">
            <v>1</v>
          </cell>
          <cell r="H941">
            <v>46225</v>
          </cell>
          <cell r="I941">
            <v>0</v>
          </cell>
          <cell r="J941">
            <v>0</v>
          </cell>
          <cell r="K941">
            <v>0</v>
          </cell>
          <cell r="L941">
            <v>20</v>
          </cell>
          <cell r="M941">
            <v>0</v>
          </cell>
          <cell r="N941">
            <v>0</v>
          </cell>
          <cell r="O941">
            <v>0</v>
          </cell>
          <cell r="P941">
            <v>0</v>
          </cell>
        </row>
        <row r="942">
          <cell r="C942">
            <v>378</v>
          </cell>
          <cell r="F942">
            <v>1</v>
          </cell>
          <cell r="G942">
            <v>1</v>
          </cell>
          <cell r="H942">
            <v>46225</v>
          </cell>
          <cell r="I942">
            <v>0</v>
          </cell>
          <cell r="J942">
            <v>0</v>
          </cell>
          <cell r="K942">
            <v>0</v>
          </cell>
          <cell r="L942">
            <v>10</v>
          </cell>
          <cell r="M942">
            <v>0</v>
          </cell>
          <cell r="N942">
            <v>0</v>
          </cell>
          <cell r="O942">
            <v>0</v>
          </cell>
          <cell r="P942">
            <v>0</v>
          </cell>
        </row>
        <row r="943">
          <cell r="C943">
            <v>19</v>
          </cell>
          <cell r="F943">
            <v>1</v>
          </cell>
          <cell r="G943">
            <v>1</v>
          </cell>
          <cell r="H943">
            <v>46225</v>
          </cell>
          <cell r="I943">
            <v>0</v>
          </cell>
          <cell r="J943">
            <v>0</v>
          </cell>
          <cell r="K943">
            <v>0</v>
          </cell>
          <cell r="L943">
            <v>20</v>
          </cell>
          <cell r="M943">
            <v>0</v>
          </cell>
          <cell r="N943">
            <v>0</v>
          </cell>
          <cell r="O943">
            <v>0</v>
          </cell>
          <cell r="P943">
            <v>0</v>
          </cell>
        </row>
        <row r="944">
          <cell r="C944">
            <v>368</v>
          </cell>
          <cell r="F944">
            <v>1</v>
          </cell>
          <cell r="G944">
            <v>1</v>
          </cell>
          <cell r="H944">
            <v>46231</v>
          </cell>
          <cell r="I944">
            <v>0</v>
          </cell>
          <cell r="J944">
            <v>0</v>
          </cell>
          <cell r="K944">
            <v>0</v>
          </cell>
          <cell r="L944">
            <v>50</v>
          </cell>
          <cell r="M944">
            <v>0</v>
          </cell>
          <cell r="N944">
            <v>0</v>
          </cell>
          <cell r="O944">
            <v>0</v>
          </cell>
          <cell r="P944">
            <v>0</v>
          </cell>
        </row>
        <row r="945">
          <cell r="C945">
            <v>219</v>
          </cell>
          <cell r="F945">
            <v>1</v>
          </cell>
          <cell r="G945">
            <v>1</v>
          </cell>
          <cell r="H945">
            <v>46231</v>
          </cell>
          <cell r="I945">
            <v>0</v>
          </cell>
          <cell r="J945">
            <v>0</v>
          </cell>
          <cell r="K945">
            <v>0</v>
          </cell>
          <cell r="L945">
            <v>150</v>
          </cell>
          <cell r="M945">
            <v>0</v>
          </cell>
          <cell r="N945">
            <v>0</v>
          </cell>
          <cell r="O945">
            <v>0</v>
          </cell>
          <cell r="P945">
            <v>0</v>
          </cell>
        </row>
        <row r="946">
          <cell r="C946">
            <v>50</v>
          </cell>
          <cell r="F946">
            <v>1</v>
          </cell>
          <cell r="G946">
            <v>1</v>
          </cell>
          <cell r="H946">
            <v>46231</v>
          </cell>
          <cell r="I946">
            <v>0</v>
          </cell>
          <cell r="J946">
            <v>0</v>
          </cell>
          <cell r="K946">
            <v>0</v>
          </cell>
          <cell r="L946">
            <v>20</v>
          </cell>
          <cell r="M946">
            <v>0</v>
          </cell>
          <cell r="N946">
            <v>0</v>
          </cell>
          <cell r="O946">
            <v>0</v>
          </cell>
          <cell r="P946">
            <v>0</v>
          </cell>
        </row>
        <row r="947">
          <cell r="C947">
            <v>375</v>
          </cell>
          <cell r="F947">
            <v>1</v>
          </cell>
          <cell r="G947">
            <v>1</v>
          </cell>
          <cell r="H947">
            <v>46231</v>
          </cell>
          <cell r="I947">
            <v>0</v>
          </cell>
          <cell r="J947">
            <v>0</v>
          </cell>
          <cell r="K947">
            <v>0</v>
          </cell>
          <cell r="L947">
            <v>2</v>
          </cell>
          <cell r="M947">
            <v>0</v>
          </cell>
          <cell r="N947">
            <v>0</v>
          </cell>
          <cell r="O947">
            <v>0</v>
          </cell>
          <cell r="P947">
            <v>0</v>
          </cell>
        </row>
        <row r="948">
          <cell r="C948">
            <v>365</v>
          </cell>
          <cell r="F948">
            <v>1</v>
          </cell>
          <cell r="G948">
            <v>1</v>
          </cell>
          <cell r="H948">
            <v>46231</v>
          </cell>
          <cell r="I948">
            <v>0</v>
          </cell>
          <cell r="J948">
            <v>0</v>
          </cell>
          <cell r="K948">
            <v>0</v>
          </cell>
          <cell r="L948">
            <v>3</v>
          </cell>
          <cell r="M948">
            <v>0</v>
          </cell>
          <cell r="N948">
            <v>0</v>
          </cell>
          <cell r="O948">
            <v>0</v>
          </cell>
          <cell r="P948">
            <v>0</v>
          </cell>
        </row>
        <row r="949">
          <cell r="C949">
            <v>284</v>
          </cell>
          <cell r="F949">
            <v>1</v>
          </cell>
          <cell r="G949">
            <v>1</v>
          </cell>
          <cell r="H949">
            <v>46231</v>
          </cell>
          <cell r="I949">
            <v>0</v>
          </cell>
          <cell r="J949">
            <v>0</v>
          </cell>
          <cell r="K949">
            <v>0</v>
          </cell>
          <cell r="L949">
            <v>100</v>
          </cell>
          <cell r="M949">
            <v>0</v>
          </cell>
          <cell r="N949">
            <v>0</v>
          </cell>
          <cell r="O949">
            <v>0</v>
          </cell>
          <cell r="P949">
            <v>0</v>
          </cell>
        </row>
        <row r="950">
          <cell r="C950">
            <v>376</v>
          </cell>
          <cell r="F950">
            <v>1</v>
          </cell>
          <cell r="G950">
            <v>1</v>
          </cell>
          <cell r="H950">
            <v>46231</v>
          </cell>
          <cell r="I950">
            <v>0</v>
          </cell>
          <cell r="J950">
            <v>0</v>
          </cell>
          <cell r="K950">
            <v>0</v>
          </cell>
          <cell r="L950">
            <v>40</v>
          </cell>
          <cell r="M950">
            <v>0</v>
          </cell>
          <cell r="N950">
            <v>0</v>
          </cell>
          <cell r="O950">
            <v>0</v>
          </cell>
          <cell r="P950">
            <v>0</v>
          </cell>
        </row>
        <row r="951">
          <cell r="C951">
            <v>373</v>
          </cell>
          <cell r="F951">
            <v>1</v>
          </cell>
          <cell r="G951">
            <v>1</v>
          </cell>
          <cell r="H951">
            <v>46231</v>
          </cell>
          <cell r="I951">
            <v>0</v>
          </cell>
          <cell r="J951">
            <v>0</v>
          </cell>
          <cell r="K951">
            <v>0</v>
          </cell>
          <cell r="L951">
            <v>16</v>
          </cell>
          <cell r="M951">
            <v>0</v>
          </cell>
          <cell r="N951">
            <v>0</v>
          </cell>
          <cell r="O951">
            <v>0</v>
          </cell>
          <cell r="P951">
            <v>0</v>
          </cell>
        </row>
        <row r="952">
          <cell r="C952">
            <v>276</v>
          </cell>
          <cell r="F952">
            <v>1</v>
          </cell>
          <cell r="G952">
            <v>1</v>
          </cell>
          <cell r="H952">
            <v>46231</v>
          </cell>
          <cell r="I952">
            <v>0</v>
          </cell>
          <cell r="J952">
            <v>0</v>
          </cell>
          <cell r="K952">
            <v>0</v>
          </cell>
          <cell r="L952">
            <v>60</v>
          </cell>
          <cell r="M952">
            <v>0</v>
          </cell>
          <cell r="N952">
            <v>0</v>
          </cell>
          <cell r="O952">
            <v>0</v>
          </cell>
          <cell r="P952">
            <v>0</v>
          </cell>
        </row>
        <row r="953">
          <cell r="C953">
            <v>371</v>
          </cell>
          <cell r="F953">
            <v>1</v>
          </cell>
          <cell r="G953">
            <v>1</v>
          </cell>
          <cell r="H953">
            <v>46231</v>
          </cell>
          <cell r="I953">
            <v>0</v>
          </cell>
          <cell r="J953">
            <v>0</v>
          </cell>
          <cell r="K953">
            <v>0</v>
          </cell>
          <cell r="L953">
            <v>10</v>
          </cell>
          <cell r="M953">
            <v>0</v>
          </cell>
          <cell r="N953">
            <v>0</v>
          </cell>
          <cell r="O953">
            <v>0</v>
          </cell>
          <cell r="P953">
            <v>0</v>
          </cell>
        </row>
        <row r="954">
          <cell r="C954">
            <v>241</v>
          </cell>
          <cell r="F954">
            <v>1</v>
          </cell>
          <cell r="G954">
            <v>1</v>
          </cell>
          <cell r="H954">
            <v>46231</v>
          </cell>
          <cell r="I954">
            <v>0</v>
          </cell>
          <cell r="J954">
            <v>0</v>
          </cell>
          <cell r="K954">
            <v>0</v>
          </cell>
          <cell r="L954">
            <v>37</v>
          </cell>
          <cell r="M954">
            <v>0</v>
          </cell>
          <cell r="N954">
            <v>0</v>
          </cell>
          <cell r="O954">
            <v>0</v>
          </cell>
          <cell r="P954">
            <v>0</v>
          </cell>
        </row>
        <row r="955">
          <cell r="C955">
            <v>1</v>
          </cell>
          <cell r="F955">
            <v>1</v>
          </cell>
          <cell r="G955">
            <v>1</v>
          </cell>
          <cell r="H955">
            <v>46235</v>
          </cell>
          <cell r="I955">
            <v>0</v>
          </cell>
          <cell r="J955">
            <v>4</v>
          </cell>
          <cell r="K955">
            <v>0</v>
          </cell>
          <cell r="L955">
            <v>0</v>
          </cell>
          <cell r="M955">
            <v>0</v>
          </cell>
          <cell r="N955">
            <v>0</v>
          </cell>
          <cell r="O955">
            <v>0</v>
          </cell>
          <cell r="P955">
            <v>0</v>
          </cell>
        </row>
        <row r="956">
          <cell r="C956">
            <v>4</v>
          </cell>
          <cell r="F956">
            <v>1</v>
          </cell>
          <cell r="G956">
            <v>1</v>
          </cell>
          <cell r="H956">
            <v>46235</v>
          </cell>
          <cell r="I956">
            <v>0</v>
          </cell>
          <cell r="J956">
            <v>16</v>
          </cell>
          <cell r="K956">
            <v>0</v>
          </cell>
          <cell r="L956">
            <v>0</v>
          </cell>
          <cell r="M956">
            <v>0</v>
          </cell>
          <cell r="N956">
            <v>0</v>
          </cell>
          <cell r="O956">
            <v>0</v>
          </cell>
          <cell r="P956">
            <v>0</v>
          </cell>
        </row>
        <row r="957">
          <cell r="C957">
            <v>26</v>
          </cell>
          <cell r="F957">
            <v>1</v>
          </cell>
          <cell r="G957">
            <v>1</v>
          </cell>
          <cell r="H957">
            <v>46235</v>
          </cell>
          <cell r="I957">
            <v>0</v>
          </cell>
          <cell r="J957">
            <v>1</v>
          </cell>
          <cell r="K957">
            <v>0</v>
          </cell>
          <cell r="L957">
            <v>0</v>
          </cell>
          <cell r="M957">
            <v>0</v>
          </cell>
          <cell r="N957">
            <v>0</v>
          </cell>
          <cell r="O957">
            <v>0</v>
          </cell>
          <cell r="P957">
            <v>0</v>
          </cell>
        </row>
        <row r="958">
          <cell r="C958">
            <v>34</v>
          </cell>
          <cell r="F958">
            <v>1</v>
          </cell>
          <cell r="G958">
            <v>1</v>
          </cell>
          <cell r="H958">
            <v>46235</v>
          </cell>
          <cell r="I958">
            <v>0</v>
          </cell>
          <cell r="J958">
            <v>2</v>
          </cell>
          <cell r="K958">
            <v>0</v>
          </cell>
          <cell r="L958">
            <v>0</v>
          </cell>
          <cell r="M958">
            <v>0</v>
          </cell>
          <cell r="N958">
            <v>0</v>
          </cell>
          <cell r="O958">
            <v>0</v>
          </cell>
          <cell r="P958">
            <v>0</v>
          </cell>
        </row>
        <row r="959">
          <cell r="C959">
            <v>372</v>
          </cell>
          <cell r="F959">
            <v>1</v>
          </cell>
          <cell r="G959">
            <v>1</v>
          </cell>
          <cell r="H959">
            <v>46235</v>
          </cell>
          <cell r="I959">
            <v>0</v>
          </cell>
          <cell r="J959">
            <v>3</v>
          </cell>
          <cell r="K959">
            <v>0</v>
          </cell>
          <cell r="L959">
            <v>0</v>
          </cell>
          <cell r="M959">
            <v>0</v>
          </cell>
          <cell r="N959">
            <v>0</v>
          </cell>
          <cell r="O959">
            <v>0</v>
          </cell>
          <cell r="P959">
            <v>0</v>
          </cell>
        </row>
        <row r="960">
          <cell r="C960">
            <v>191</v>
          </cell>
          <cell r="F960">
            <v>1</v>
          </cell>
          <cell r="G960">
            <v>1</v>
          </cell>
          <cell r="H960">
            <v>46235</v>
          </cell>
          <cell r="I960">
            <v>0</v>
          </cell>
          <cell r="J960">
            <v>4</v>
          </cell>
          <cell r="K960">
            <v>0</v>
          </cell>
          <cell r="L960">
            <v>0</v>
          </cell>
          <cell r="M960">
            <v>0</v>
          </cell>
          <cell r="N960">
            <v>0</v>
          </cell>
          <cell r="O960">
            <v>0</v>
          </cell>
          <cell r="P960">
            <v>0</v>
          </cell>
        </row>
        <row r="961">
          <cell r="C961">
            <v>179</v>
          </cell>
          <cell r="F961">
            <v>1</v>
          </cell>
          <cell r="G961">
            <v>1</v>
          </cell>
          <cell r="H961">
            <v>46235</v>
          </cell>
          <cell r="I961">
            <v>0</v>
          </cell>
          <cell r="J961">
            <v>35</v>
          </cell>
          <cell r="K961">
            <v>0</v>
          </cell>
          <cell r="L961">
            <v>500</v>
          </cell>
          <cell r="M961">
            <v>0</v>
          </cell>
          <cell r="N961">
            <v>0</v>
          </cell>
          <cell r="O961">
            <v>0</v>
          </cell>
          <cell r="P961">
            <v>0</v>
          </cell>
        </row>
        <row r="962">
          <cell r="C962">
            <v>10</v>
          </cell>
          <cell r="F962">
            <v>1</v>
          </cell>
          <cell r="G962">
            <v>1</v>
          </cell>
          <cell r="H962">
            <v>46235</v>
          </cell>
          <cell r="I962">
            <v>0</v>
          </cell>
          <cell r="J962">
            <v>2</v>
          </cell>
          <cell r="K962">
            <v>0</v>
          </cell>
          <cell r="L962">
            <v>0</v>
          </cell>
          <cell r="M962">
            <v>0</v>
          </cell>
          <cell r="N962">
            <v>0</v>
          </cell>
          <cell r="O962">
            <v>0</v>
          </cell>
          <cell r="P962">
            <v>0</v>
          </cell>
        </row>
        <row r="963">
          <cell r="C963">
            <v>9</v>
          </cell>
          <cell r="F963">
            <v>1</v>
          </cell>
          <cell r="G963">
            <v>1</v>
          </cell>
          <cell r="H963">
            <v>46235</v>
          </cell>
          <cell r="I963">
            <v>0</v>
          </cell>
          <cell r="J963">
            <v>20</v>
          </cell>
          <cell r="K963">
            <v>0</v>
          </cell>
          <cell r="L963">
            <v>0</v>
          </cell>
          <cell r="M963">
            <v>0</v>
          </cell>
          <cell r="N963">
            <v>0</v>
          </cell>
          <cell r="O963">
            <v>0</v>
          </cell>
          <cell r="P963">
            <v>0</v>
          </cell>
        </row>
        <row r="964">
          <cell r="C964">
            <v>17</v>
          </cell>
          <cell r="F964">
            <v>1</v>
          </cell>
          <cell r="G964">
            <v>1</v>
          </cell>
          <cell r="H964">
            <v>46235</v>
          </cell>
          <cell r="I964">
            <v>0</v>
          </cell>
          <cell r="J964">
            <v>24</v>
          </cell>
          <cell r="K964">
            <v>0</v>
          </cell>
          <cell r="L964">
            <v>0</v>
          </cell>
          <cell r="M964">
            <v>0</v>
          </cell>
          <cell r="N964">
            <v>0</v>
          </cell>
          <cell r="O964">
            <v>0</v>
          </cell>
          <cell r="P964">
            <v>0</v>
          </cell>
        </row>
        <row r="965">
          <cell r="C965">
            <v>50</v>
          </cell>
          <cell r="F965">
            <v>1</v>
          </cell>
          <cell r="G965">
            <v>1</v>
          </cell>
          <cell r="H965">
            <v>46235</v>
          </cell>
          <cell r="I965">
            <v>0</v>
          </cell>
          <cell r="J965">
            <v>4</v>
          </cell>
          <cell r="K965">
            <v>0</v>
          </cell>
          <cell r="L965">
            <v>0</v>
          </cell>
          <cell r="M965">
            <v>0</v>
          </cell>
          <cell r="N965">
            <v>0</v>
          </cell>
          <cell r="O965">
            <v>0</v>
          </cell>
          <cell r="P965">
            <v>0</v>
          </cell>
        </row>
        <row r="966">
          <cell r="C966">
            <v>343</v>
          </cell>
          <cell r="F966">
            <v>1</v>
          </cell>
          <cell r="G966">
            <v>1</v>
          </cell>
          <cell r="H966">
            <v>46235</v>
          </cell>
          <cell r="I966">
            <v>0</v>
          </cell>
          <cell r="J966">
            <v>3</v>
          </cell>
          <cell r="K966">
            <v>0</v>
          </cell>
          <cell r="L966">
            <v>0</v>
          </cell>
          <cell r="M966">
            <v>0</v>
          </cell>
          <cell r="N966">
            <v>0</v>
          </cell>
          <cell r="O966">
            <v>0</v>
          </cell>
          <cell r="P966">
            <v>0</v>
          </cell>
        </row>
        <row r="967">
          <cell r="C967">
            <v>49</v>
          </cell>
          <cell r="F967">
            <v>1</v>
          </cell>
          <cell r="G967">
            <v>1</v>
          </cell>
          <cell r="H967">
            <v>46235</v>
          </cell>
          <cell r="I967">
            <v>0</v>
          </cell>
          <cell r="J967">
            <v>2</v>
          </cell>
          <cell r="K967">
            <v>0</v>
          </cell>
          <cell r="L967">
            <v>0</v>
          </cell>
          <cell r="M967">
            <v>0</v>
          </cell>
          <cell r="N967">
            <v>0</v>
          </cell>
          <cell r="O967">
            <v>0</v>
          </cell>
          <cell r="P967">
            <v>0</v>
          </cell>
        </row>
        <row r="968">
          <cell r="C968">
            <v>74</v>
          </cell>
          <cell r="F968">
            <v>1</v>
          </cell>
          <cell r="G968">
            <v>1</v>
          </cell>
          <cell r="H968">
            <v>46235</v>
          </cell>
          <cell r="I968">
            <v>0</v>
          </cell>
          <cell r="J968">
            <v>1</v>
          </cell>
          <cell r="K968">
            <v>0</v>
          </cell>
          <cell r="L968">
            <v>0</v>
          </cell>
          <cell r="M968">
            <v>0</v>
          </cell>
          <cell r="N968">
            <v>0</v>
          </cell>
          <cell r="O968">
            <v>0</v>
          </cell>
          <cell r="P968">
            <v>0</v>
          </cell>
        </row>
        <row r="969">
          <cell r="C969">
            <v>183</v>
          </cell>
          <cell r="F969">
            <v>1</v>
          </cell>
          <cell r="G969">
            <v>1</v>
          </cell>
          <cell r="H969">
            <v>46235</v>
          </cell>
          <cell r="I969">
            <v>0</v>
          </cell>
          <cell r="J969">
            <v>60</v>
          </cell>
          <cell r="K969">
            <v>0</v>
          </cell>
          <cell r="L969">
            <v>0</v>
          </cell>
          <cell r="M969">
            <v>0</v>
          </cell>
          <cell r="N969">
            <v>0</v>
          </cell>
          <cell r="O969">
            <v>0</v>
          </cell>
          <cell r="P969">
            <v>0</v>
          </cell>
        </row>
        <row r="970">
          <cell r="C970">
            <v>189</v>
          </cell>
          <cell r="F970">
            <v>1</v>
          </cell>
          <cell r="G970">
            <v>1</v>
          </cell>
          <cell r="H970">
            <v>46235</v>
          </cell>
          <cell r="I970">
            <v>0</v>
          </cell>
          <cell r="J970">
            <v>8</v>
          </cell>
          <cell r="K970">
            <v>0</v>
          </cell>
          <cell r="L970">
            <v>0</v>
          </cell>
          <cell r="M970">
            <v>0</v>
          </cell>
          <cell r="N970">
            <v>0</v>
          </cell>
          <cell r="O970">
            <v>0</v>
          </cell>
          <cell r="P970">
            <v>0</v>
          </cell>
        </row>
        <row r="971">
          <cell r="C971">
            <v>101</v>
          </cell>
          <cell r="F971">
            <v>1</v>
          </cell>
          <cell r="G971">
            <v>1</v>
          </cell>
          <cell r="H971">
            <v>46235</v>
          </cell>
          <cell r="I971">
            <v>0</v>
          </cell>
          <cell r="J971">
            <v>980</v>
          </cell>
          <cell r="K971">
            <v>0</v>
          </cell>
          <cell r="L971">
            <v>0</v>
          </cell>
          <cell r="M971">
            <v>0</v>
          </cell>
          <cell r="N971">
            <v>0</v>
          </cell>
          <cell r="O971">
            <v>0</v>
          </cell>
          <cell r="P971">
            <v>0</v>
          </cell>
        </row>
        <row r="972">
          <cell r="C972">
            <v>177</v>
          </cell>
          <cell r="F972">
            <v>1</v>
          </cell>
          <cell r="G972">
            <v>1</v>
          </cell>
          <cell r="H972">
            <v>46235</v>
          </cell>
          <cell r="I972">
            <v>0</v>
          </cell>
          <cell r="J972">
            <v>150</v>
          </cell>
          <cell r="K972">
            <v>0</v>
          </cell>
          <cell r="L972">
            <v>5000</v>
          </cell>
          <cell r="M972">
            <v>0</v>
          </cell>
          <cell r="N972">
            <v>0</v>
          </cell>
          <cell r="O972">
            <v>0</v>
          </cell>
          <cell r="P972">
            <v>0</v>
          </cell>
        </row>
        <row r="973">
          <cell r="C973">
            <v>92</v>
          </cell>
          <cell r="F973">
            <v>1</v>
          </cell>
          <cell r="G973">
            <v>1</v>
          </cell>
          <cell r="H973">
            <v>46235</v>
          </cell>
          <cell r="I973">
            <v>0</v>
          </cell>
          <cell r="J973">
            <v>2</v>
          </cell>
          <cell r="K973">
            <v>0</v>
          </cell>
          <cell r="L973">
            <v>0</v>
          </cell>
          <cell r="M973">
            <v>0</v>
          </cell>
          <cell r="N973">
            <v>0</v>
          </cell>
          <cell r="O973">
            <v>0</v>
          </cell>
          <cell r="P973">
            <v>0</v>
          </cell>
        </row>
        <row r="974">
          <cell r="C974">
            <v>96</v>
          </cell>
          <cell r="F974">
            <v>1</v>
          </cell>
          <cell r="G974">
            <v>1</v>
          </cell>
          <cell r="H974">
            <v>46235</v>
          </cell>
          <cell r="I974">
            <v>0</v>
          </cell>
          <cell r="J974">
            <v>5</v>
          </cell>
          <cell r="K974">
            <v>0</v>
          </cell>
          <cell r="L974">
            <v>0</v>
          </cell>
          <cell r="M974">
            <v>0</v>
          </cell>
          <cell r="N974">
            <v>0</v>
          </cell>
          <cell r="O974">
            <v>0</v>
          </cell>
          <cell r="P974">
            <v>0</v>
          </cell>
        </row>
        <row r="975">
          <cell r="C975">
            <v>79</v>
          </cell>
          <cell r="F975">
            <v>1</v>
          </cell>
          <cell r="G975">
            <v>1</v>
          </cell>
          <cell r="H975">
            <v>46235</v>
          </cell>
          <cell r="I975">
            <v>0</v>
          </cell>
          <cell r="J975">
            <v>10</v>
          </cell>
          <cell r="K975">
            <v>0</v>
          </cell>
          <cell r="L975">
            <v>0</v>
          </cell>
          <cell r="M975">
            <v>0</v>
          </cell>
          <cell r="N975">
            <v>0</v>
          </cell>
          <cell r="O975">
            <v>0</v>
          </cell>
          <cell r="P975">
            <v>0</v>
          </cell>
        </row>
        <row r="976">
          <cell r="C976">
            <v>377</v>
          </cell>
          <cell r="F976">
            <v>1</v>
          </cell>
          <cell r="G976">
            <v>1</v>
          </cell>
          <cell r="H976">
            <v>46235</v>
          </cell>
          <cell r="I976">
            <v>0</v>
          </cell>
          <cell r="J976">
            <v>20</v>
          </cell>
          <cell r="K976">
            <v>0</v>
          </cell>
          <cell r="L976">
            <v>0</v>
          </cell>
          <cell r="M976">
            <v>0</v>
          </cell>
          <cell r="N976">
            <v>0</v>
          </cell>
          <cell r="O976">
            <v>0</v>
          </cell>
          <cell r="P976">
            <v>0</v>
          </cell>
        </row>
        <row r="977">
          <cell r="C977">
            <v>378</v>
          </cell>
          <cell r="F977">
            <v>1</v>
          </cell>
          <cell r="G977">
            <v>1</v>
          </cell>
          <cell r="H977">
            <v>46235</v>
          </cell>
          <cell r="I977">
            <v>0</v>
          </cell>
          <cell r="J977">
            <v>2</v>
          </cell>
          <cell r="K977">
            <v>0</v>
          </cell>
          <cell r="L977">
            <v>0</v>
          </cell>
          <cell r="M977">
            <v>0</v>
          </cell>
          <cell r="N977">
            <v>0</v>
          </cell>
          <cell r="O977">
            <v>0</v>
          </cell>
          <cell r="P977">
            <v>0</v>
          </cell>
        </row>
        <row r="978">
          <cell r="C978">
            <v>276</v>
          </cell>
          <cell r="F978">
            <v>1</v>
          </cell>
          <cell r="G978">
            <v>1</v>
          </cell>
          <cell r="H978">
            <v>46235</v>
          </cell>
          <cell r="I978">
            <v>0</v>
          </cell>
          <cell r="J978">
            <v>10</v>
          </cell>
          <cell r="K978">
            <v>0</v>
          </cell>
          <cell r="L978">
            <v>0</v>
          </cell>
          <cell r="M978">
            <v>0</v>
          </cell>
          <cell r="N978">
            <v>0</v>
          </cell>
          <cell r="O978">
            <v>0</v>
          </cell>
          <cell r="P978">
            <v>0</v>
          </cell>
        </row>
        <row r="979">
          <cell r="C979">
            <v>176</v>
          </cell>
          <cell r="F979">
            <v>1</v>
          </cell>
          <cell r="G979">
            <v>1</v>
          </cell>
          <cell r="H979">
            <v>46235</v>
          </cell>
          <cell r="I979">
            <v>0</v>
          </cell>
          <cell r="J979">
            <v>250</v>
          </cell>
          <cell r="K979">
            <v>0</v>
          </cell>
          <cell r="L979">
            <v>500</v>
          </cell>
          <cell r="M979">
            <v>0</v>
          </cell>
          <cell r="N979">
            <v>0</v>
          </cell>
          <cell r="O979">
            <v>0</v>
          </cell>
          <cell r="P979">
            <v>0</v>
          </cell>
        </row>
        <row r="980">
          <cell r="C980">
            <v>293</v>
          </cell>
          <cell r="F980">
            <v>1</v>
          </cell>
          <cell r="G980">
            <v>1</v>
          </cell>
          <cell r="H980">
            <v>46235</v>
          </cell>
          <cell r="I980">
            <v>0</v>
          </cell>
          <cell r="J980">
            <v>8</v>
          </cell>
          <cell r="K980">
            <v>0</v>
          </cell>
          <cell r="L980">
            <v>350</v>
          </cell>
          <cell r="M980">
            <v>0</v>
          </cell>
          <cell r="N980">
            <v>0</v>
          </cell>
          <cell r="O980">
            <v>0</v>
          </cell>
          <cell r="P980">
            <v>0</v>
          </cell>
        </row>
        <row r="981">
          <cell r="C981">
            <v>182</v>
          </cell>
          <cell r="F981">
            <v>1</v>
          </cell>
          <cell r="G981">
            <v>1</v>
          </cell>
          <cell r="H981">
            <v>46235</v>
          </cell>
          <cell r="I981">
            <v>0</v>
          </cell>
          <cell r="J981">
            <v>36</v>
          </cell>
          <cell r="K981">
            <v>0</v>
          </cell>
          <cell r="L981">
            <v>0</v>
          </cell>
          <cell r="M981">
            <v>0</v>
          </cell>
          <cell r="N981">
            <v>0</v>
          </cell>
          <cell r="O981">
            <v>0</v>
          </cell>
          <cell r="P981">
            <v>0</v>
          </cell>
        </row>
        <row r="982">
          <cell r="C982">
            <v>294</v>
          </cell>
          <cell r="F982">
            <v>1</v>
          </cell>
          <cell r="G982">
            <v>1</v>
          </cell>
          <cell r="H982">
            <v>46235</v>
          </cell>
          <cell r="I982">
            <v>0</v>
          </cell>
          <cell r="J982">
            <v>6</v>
          </cell>
          <cell r="K982">
            <v>0</v>
          </cell>
          <cell r="L982">
            <v>350</v>
          </cell>
          <cell r="M982">
            <v>0</v>
          </cell>
          <cell r="N982">
            <v>0</v>
          </cell>
          <cell r="O982">
            <v>0</v>
          </cell>
          <cell r="P982">
            <v>0</v>
          </cell>
        </row>
        <row r="983">
          <cell r="C983">
            <v>150</v>
          </cell>
          <cell r="F983">
            <v>1</v>
          </cell>
          <cell r="G983">
            <v>1</v>
          </cell>
          <cell r="H983">
            <v>46235</v>
          </cell>
          <cell r="I983">
            <v>0</v>
          </cell>
          <cell r="J983">
            <v>5</v>
          </cell>
          <cell r="K983">
            <v>0</v>
          </cell>
          <cell r="L983">
            <v>0</v>
          </cell>
          <cell r="M983">
            <v>0</v>
          </cell>
          <cell r="N983">
            <v>0</v>
          </cell>
          <cell r="O983">
            <v>0</v>
          </cell>
          <cell r="P983">
            <v>0</v>
          </cell>
        </row>
        <row r="984">
          <cell r="C984">
            <v>379</v>
          </cell>
          <cell r="F984">
            <v>1</v>
          </cell>
          <cell r="G984">
            <v>1</v>
          </cell>
          <cell r="H984">
            <v>46235</v>
          </cell>
          <cell r="I984">
            <v>0</v>
          </cell>
          <cell r="J984">
            <v>1</v>
          </cell>
          <cell r="K984">
            <v>0</v>
          </cell>
          <cell r="L984">
            <v>0</v>
          </cell>
          <cell r="M984">
            <v>0</v>
          </cell>
          <cell r="N984">
            <v>0</v>
          </cell>
          <cell r="O984">
            <v>0</v>
          </cell>
          <cell r="P984">
            <v>0</v>
          </cell>
        </row>
        <row r="985">
          <cell r="C985">
            <v>176</v>
          </cell>
          <cell r="F985">
            <v>1</v>
          </cell>
          <cell r="G985">
            <v>1</v>
          </cell>
          <cell r="H985">
            <v>46236</v>
          </cell>
          <cell r="I985">
            <v>0</v>
          </cell>
          <cell r="J985">
            <v>100</v>
          </cell>
          <cell r="K985">
            <v>0</v>
          </cell>
          <cell r="L985">
            <v>0</v>
          </cell>
          <cell r="M985">
            <v>0</v>
          </cell>
          <cell r="N985">
            <v>0</v>
          </cell>
          <cell r="O985">
            <v>0</v>
          </cell>
          <cell r="P985">
            <v>0</v>
          </cell>
        </row>
        <row r="986">
          <cell r="C986">
            <v>293</v>
          </cell>
          <cell r="F986">
            <v>1</v>
          </cell>
          <cell r="G986">
            <v>1</v>
          </cell>
          <cell r="H986">
            <v>46236</v>
          </cell>
          <cell r="I986">
            <v>0</v>
          </cell>
          <cell r="J986">
            <v>10</v>
          </cell>
          <cell r="K986">
            <v>0</v>
          </cell>
          <cell r="L986">
            <v>0</v>
          </cell>
          <cell r="M986">
            <v>0</v>
          </cell>
          <cell r="N986">
            <v>0</v>
          </cell>
          <cell r="O986">
            <v>0</v>
          </cell>
          <cell r="P986">
            <v>0</v>
          </cell>
        </row>
        <row r="987">
          <cell r="C987">
            <v>294</v>
          </cell>
          <cell r="F987">
            <v>1</v>
          </cell>
          <cell r="G987">
            <v>1</v>
          </cell>
          <cell r="H987">
            <v>46236</v>
          </cell>
          <cell r="I987">
            <v>0</v>
          </cell>
          <cell r="J987">
            <v>10</v>
          </cell>
          <cell r="K987">
            <v>0</v>
          </cell>
          <cell r="L987">
            <v>0</v>
          </cell>
          <cell r="M987">
            <v>0</v>
          </cell>
          <cell r="N987">
            <v>0</v>
          </cell>
          <cell r="O987">
            <v>0</v>
          </cell>
          <cell r="P987">
            <v>0</v>
          </cell>
        </row>
        <row r="988">
          <cell r="C988">
            <v>1</v>
          </cell>
          <cell r="F988">
            <v>1</v>
          </cell>
          <cell r="G988">
            <v>1</v>
          </cell>
          <cell r="H988">
            <v>46236</v>
          </cell>
          <cell r="I988">
            <v>0</v>
          </cell>
          <cell r="J988">
            <v>4</v>
          </cell>
          <cell r="K988">
            <v>0</v>
          </cell>
          <cell r="L988">
            <v>0</v>
          </cell>
          <cell r="M988">
            <v>0</v>
          </cell>
          <cell r="N988">
            <v>0</v>
          </cell>
          <cell r="O988">
            <v>0</v>
          </cell>
          <cell r="P988">
            <v>0</v>
          </cell>
        </row>
        <row r="989">
          <cell r="C989">
            <v>29</v>
          </cell>
          <cell r="F989">
            <v>1</v>
          </cell>
          <cell r="G989">
            <v>1</v>
          </cell>
          <cell r="H989">
            <v>46236</v>
          </cell>
          <cell r="I989">
            <v>0</v>
          </cell>
          <cell r="J989">
            <v>1</v>
          </cell>
          <cell r="K989">
            <v>0</v>
          </cell>
          <cell r="L989">
            <v>0</v>
          </cell>
          <cell r="M989">
            <v>0</v>
          </cell>
          <cell r="N989">
            <v>0</v>
          </cell>
          <cell r="O989">
            <v>0</v>
          </cell>
          <cell r="P989">
            <v>0</v>
          </cell>
        </row>
        <row r="990">
          <cell r="C990">
            <v>61</v>
          </cell>
          <cell r="F990">
            <v>1</v>
          </cell>
          <cell r="G990">
            <v>1</v>
          </cell>
          <cell r="H990">
            <v>46236</v>
          </cell>
          <cell r="I990">
            <v>0</v>
          </cell>
          <cell r="J990">
            <v>1</v>
          </cell>
          <cell r="K990">
            <v>0</v>
          </cell>
          <cell r="L990">
            <v>0</v>
          </cell>
          <cell r="M990">
            <v>0</v>
          </cell>
          <cell r="N990">
            <v>0</v>
          </cell>
          <cell r="O990">
            <v>0</v>
          </cell>
          <cell r="P990">
            <v>0</v>
          </cell>
        </row>
        <row r="991">
          <cell r="C991">
            <v>186</v>
          </cell>
          <cell r="F991">
            <v>1</v>
          </cell>
          <cell r="G991">
            <v>1</v>
          </cell>
          <cell r="H991">
            <v>46236</v>
          </cell>
          <cell r="I991">
            <v>0</v>
          </cell>
          <cell r="J991">
            <v>24</v>
          </cell>
          <cell r="K991">
            <v>0</v>
          </cell>
          <cell r="L991">
            <v>0</v>
          </cell>
          <cell r="M991">
            <v>0</v>
          </cell>
          <cell r="N991">
            <v>0</v>
          </cell>
          <cell r="O991">
            <v>0</v>
          </cell>
          <cell r="P991">
            <v>0</v>
          </cell>
        </row>
        <row r="992">
          <cell r="C992">
            <v>191</v>
          </cell>
          <cell r="F992">
            <v>1</v>
          </cell>
          <cell r="G992">
            <v>1</v>
          </cell>
          <cell r="H992">
            <v>46236</v>
          </cell>
          <cell r="I992">
            <v>0</v>
          </cell>
          <cell r="J992">
            <v>4</v>
          </cell>
          <cell r="K992">
            <v>0</v>
          </cell>
          <cell r="L992">
            <v>0</v>
          </cell>
          <cell r="M992">
            <v>0</v>
          </cell>
          <cell r="N992">
            <v>0</v>
          </cell>
          <cell r="O992">
            <v>0</v>
          </cell>
          <cell r="P992">
            <v>0</v>
          </cell>
        </row>
        <row r="993">
          <cell r="C993">
            <v>76</v>
          </cell>
          <cell r="F993">
            <v>1</v>
          </cell>
          <cell r="G993">
            <v>1</v>
          </cell>
          <cell r="H993">
            <v>46236</v>
          </cell>
          <cell r="I993">
            <v>0</v>
          </cell>
          <cell r="J993">
            <v>2</v>
          </cell>
          <cell r="K993">
            <v>0</v>
          </cell>
          <cell r="L993">
            <v>0</v>
          </cell>
          <cell r="M993">
            <v>0</v>
          </cell>
          <cell r="N993">
            <v>0</v>
          </cell>
          <cell r="O993">
            <v>0</v>
          </cell>
          <cell r="P993">
            <v>0</v>
          </cell>
        </row>
        <row r="994">
          <cell r="C994">
            <v>77</v>
          </cell>
          <cell r="F994">
            <v>1</v>
          </cell>
          <cell r="G994">
            <v>1</v>
          </cell>
          <cell r="H994">
            <v>46236</v>
          </cell>
          <cell r="I994">
            <v>0</v>
          </cell>
          <cell r="J994">
            <v>10</v>
          </cell>
          <cell r="K994">
            <v>0</v>
          </cell>
          <cell r="L994">
            <v>0</v>
          </cell>
          <cell r="M994">
            <v>0</v>
          </cell>
          <cell r="N994">
            <v>0</v>
          </cell>
          <cell r="O994">
            <v>0</v>
          </cell>
          <cell r="P994">
            <v>0</v>
          </cell>
        </row>
        <row r="995">
          <cell r="C995">
            <v>276</v>
          </cell>
          <cell r="F995">
            <v>1</v>
          </cell>
          <cell r="G995">
            <v>1</v>
          </cell>
          <cell r="H995">
            <v>46236</v>
          </cell>
          <cell r="I995">
            <v>0</v>
          </cell>
          <cell r="J995">
            <v>4</v>
          </cell>
          <cell r="K995">
            <v>0</v>
          </cell>
          <cell r="L995">
            <v>0</v>
          </cell>
          <cell r="M995">
            <v>0</v>
          </cell>
          <cell r="N995">
            <v>0</v>
          </cell>
          <cell r="O995">
            <v>0</v>
          </cell>
          <cell r="P995">
            <v>0</v>
          </cell>
        </row>
        <row r="996">
          <cell r="C996">
            <v>125</v>
          </cell>
          <cell r="F996">
            <v>1</v>
          </cell>
          <cell r="G996">
            <v>1</v>
          </cell>
          <cell r="H996">
            <v>46236</v>
          </cell>
          <cell r="I996">
            <v>0</v>
          </cell>
          <cell r="J996">
            <v>100</v>
          </cell>
          <cell r="K996">
            <v>0</v>
          </cell>
          <cell r="L996">
            <v>0</v>
          </cell>
          <cell r="M996">
            <v>0</v>
          </cell>
          <cell r="N996">
            <v>0</v>
          </cell>
          <cell r="O996">
            <v>0</v>
          </cell>
          <cell r="P996">
            <v>0</v>
          </cell>
        </row>
        <row r="997">
          <cell r="C997">
            <v>377</v>
          </cell>
          <cell r="F997">
            <v>1</v>
          </cell>
          <cell r="G997">
            <v>1</v>
          </cell>
          <cell r="H997">
            <v>46236</v>
          </cell>
          <cell r="I997">
            <v>0</v>
          </cell>
          <cell r="J997">
            <v>40</v>
          </cell>
          <cell r="K997">
            <v>0</v>
          </cell>
          <cell r="L997">
            <v>0</v>
          </cell>
          <cell r="M997">
            <v>0</v>
          </cell>
          <cell r="N997">
            <v>0</v>
          </cell>
          <cell r="O997">
            <v>0</v>
          </cell>
          <cell r="P997">
            <v>0</v>
          </cell>
        </row>
        <row r="998">
          <cell r="C998">
            <v>376</v>
          </cell>
          <cell r="F998">
            <v>1</v>
          </cell>
          <cell r="G998">
            <v>1</v>
          </cell>
          <cell r="H998">
            <v>46236</v>
          </cell>
          <cell r="I998">
            <v>0</v>
          </cell>
          <cell r="J998">
            <v>5</v>
          </cell>
          <cell r="K998">
            <v>0</v>
          </cell>
          <cell r="L998">
            <v>0</v>
          </cell>
          <cell r="M998">
            <v>0</v>
          </cell>
          <cell r="N998">
            <v>0</v>
          </cell>
          <cell r="O998">
            <v>0</v>
          </cell>
          <cell r="P998">
            <v>0</v>
          </cell>
        </row>
        <row r="999">
          <cell r="C999">
            <v>303</v>
          </cell>
          <cell r="F999">
            <v>1</v>
          </cell>
          <cell r="G999">
            <v>1</v>
          </cell>
          <cell r="H999">
            <v>46236</v>
          </cell>
          <cell r="I999">
            <v>0</v>
          </cell>
          <cell r="J999">
            <v>50</v>
          </cell>
          <cell r="K999">
            <v>0</v>
          </cell>
          <cell r="L999">
            <v>0</v>
          </cell>
          <cell r="M999">
            <v>0</v>
          </cell>
          <cell r="N999">
            <v>0</v>
          </cell>
          <cell r="O999">
            <v>0</v>
          </cell>
          <cell r="P999">
            <v>0</v>
          </cell>
        </row>
        <row r="1000">
          <cell r="C1000">
            <v>177</v>
          </cell>
          <cell r="F1000">
            <v>1</v>
          </cell>
          <cell r="G1000">
            <v>1</v>
          </cell>
          <cell r="H1000">
            <v>46236</v>
          </cell>
          <cell r="I1000">
            <v>0</v>
          </cell>
          <cell r="J1000">
            <v>250</v>
          </cell>
          <cell r="K1000">
            <v>0</v>
          </cell>
          <cell r="L1000">
            <v>0</v>
          </cell>
          <cell r="M1000">
            <v>0</v>
          </cell>
          <cell r="N1000">
            <v>0</v>
          </cell>
          <cell r="O1000">
            <v>0</v>
          </cell>
          <cell r="P1000">
            <v>0</v>
          </cell>
        </row>
        <row r="1001">
          <cell r="C1001">
            <v>181</v>
          </cell>
          <cell r="F1001">
            <v>1</v>
          </cell>
          <cell r="G1001">
            <v>1</v>
          </cell>
          <cell r="H1001">
            <v>46236</v>
          </cell>
          <cell r="I1001">
            <v>0</v>
          </cell>
          <cell r="J1001">
            <v>36</v>
          </cell>
          <cell r="K1001">
            <v>0</v>
          </cell>
          <cell r="L1001">
            <v>0</v>
          </cell>
          <cell r="M1001">
            <v>0</v>
          </cell>
          <cell r="N1001">
            <v>0</v>
          </cell>
          <cell r="O1001">
            <v>0</v>
          </cell>
          <cell r="P1001">
            <v>0</v>
          </cell>
        </row>
        <row r="1002">
          <cell r="C1002">
            <v>184</v>
          </cell>
          <cell r="F1002">
            <v>1</v>
          </cell>
          <cell r="G1002">
            <v>1</v>
          </cell>
          <cell r="H1002">
            <v>46236</v>
          </cell>
          <cell r="I1002">
            <v>0</v>
          </cell>
          <cell r="J1002">
            <v>24</v>
          </cell>
          <cell r="K1002">
            <v>0</v>
          </cell>
          <cell r="L1002">
            <v>0</v>
          </cell>
          <cell r="M1002">
            <v>0</v>
          </cell>
          <cell r="N1002">
            <v>0</v>
          </cell>
          <cell r="O1002">
            <v>0</v>
          </cell>
          <cell r="P1002">
            <v>0</v>
          </cell>
        </row>
        <row r="1003">
          <cell r="C1003">
            <v>193</v>
          </cell>
          <cell r="F1003">
            <v>1</v>
          </cell>
          <cell r="G1003">
            <v>1</v>
          </cell>
          <cell r="H1003">
            <v>46236</v>
          </cell>
          <cell r="I1003">
            <v>0</v>
          </cell>
          <cell r="J1003">
            <v>4</v>
          </cell>
          <cell r="K1003">
            <v>0</v>
          </cell>
          <cell r="L1003">
            <v>0</v>
          </cell>
          <cell r="M1003">
            <v>0</v>
          </cell>
          <cell r="N1003">
            <v>0</v>
          </cell>
          <cell r="O1003">
            <v>0</v>
          </cell>
          <cell r="P1003">
            <v>0</v>
          </cell>
        </row>
        <row r="1004">
          <cell r="C1004">
            <v>152</v>
          </cell>
          <cell r="F1004">
            <v>1</v>
          </cell>
          <cell r="G1004">
            <v>1</v>
          </cell>
          <cell r="H1004">
            <v>46236</v>
          </cell>
          <cell r="I1004">
            <v>0</v>
          </cell>
          <cell r="J1004">
            <v>1</v>
          </cell>
          <cell r="K1004">
            <v>0</v>
          </cell>
          <cell r="L1004">
            <v>0</v>
          </cell>
          <cell r="M1004">
            <v>0</v>
          </cell>
          <cell r="N1004">
            <v>0</v>
          </cell>
          <cell r="O1004">
            <v>0</v>
          </cell>
          <cell r="P1004">
            <v>0</v>
          </cell>
        </row>
        <row r="1005">
          <cell r="C1005">
            <v>156</v>
          </cell>
          <cell r="F1005">
            <v>1</v>
          </cell>
          <cell r="G1005">
            <v>1</v>
          </cell>
          <cell r="H1005">
            <v>46236</v>
          </cell>
          <cell r="I1005">
            <v>0</v>
          </cell>
          <cell r="J1005">
            <v>1</v>
          </cell>
          <cell r="K1005">
            <v>0</v>
          </cell>
          <cell r="L1005">
            <v>0</v>
          </cell>
          <cell r="M1005">
            <v>0</v>
          </cell>
          <cell r="N1005">
            <v>0</v>
          </cell>
          <cell r="O1005">
            <v>0</v>
          </cell>
          <cell r="P1005">
            <v>0</v>
          </cell>
        </row>
        <row r="1006">
          <cell r="C1006">
            <v>169</v>
          </cell>
          <cell r="F1006">
            <v>1</v>
          </cell>
          <cell r="G1006">
            <v>1</v>
          </cell>
          <cell r="H1006">
            <v>46236</v>
          </cell>
          <cell r="I1006">
            <v>0</v>
          </cell>
          <cell r="J1006">
            <v>3</v>
          </cell>
          <cell r="K1006">
            <v>0</v>
          </cell>
          <cell r="L1006">
            <v>0</v>
          </cell>
          <cell r="M1006">
            <v>0</v>
          </cell>
          <cell r="N1006">
            <v>0</v>
          </cell>
          <cell r="O1006">
            <v>0</v>
          </cell>
          <cell r="P1006">
            <v>0</v>
          </cell>
        </row>
        <row r="1007">
          <cell r="C1007">
            <v>368</v>
          </cell>
          <cell r="F1007">
            <v>1</v>
          </cell>
          <cell r="G1007">
            <v>1</v>
          </cell>
          <cell r="H1007">
            <v>46236</v>
          </cell>
          <cell r="I1007">
            <v>0</v>
          </cell>
          <cell r="J1007">
            <v>10</v>
          </cell>
          <cell r="K1007">
            <v>0</v>
          </cell>
          <cell r="L1007">
            <v>0</v>
          </cell>
          <cell r="M1007">
            <v>0</v>
          </cell>
          <cell r="N1007">
            <v>0</v>
          </cell>
          <cell r="O1007">
            <v>0</v>
          </cell>
          <cell r="P1007">
            <v>0</v>
          </cell>
        </row>
        <row r="1008">
          <cell r="C1008">
            <v>144</v>
          </cell>
          <cell r="F1008">
            <v>1</v>
          </cell>
          <cell r="G1008">
            <v>1</v>
          </cell>
          <cell r="H1008">
            <v>46236</v>
          </cell>
          <cell r="I1008">
            <v>0</v>
          </cell>
          <cell r="J1008">
            <v>2</v>
          </cell>
          <cell r="K1008">
            <v>0</v>
          </cell>
          <cell r="L1008">
            <v>0</v>
          </cell>
          <cell r="M1008">
            <v>0</v>
          </cell>
          <cell r="N1008">
            <v>0</v>
          </cell>
          <cell r="O1008">
            <v>0</v>
          </cell>
          <cell r="P1008">
            <v>0</v>
          </cell>
        </row>
        <row r="1009">
          <cell r="C1009">
            <v>189</v>
          </cell>
          <cell r="F1009">
            <v>1</v>
          </cell>
          <cell r="G1009">
            <v>1</v>
          </cell>
          <cell r="H1009">
            <v>46236</v>
          </cell>
          <cell r="I1009">
            <v>0</v>
          </cell>
          <cell r="J1009">
            <v>12</v>
          </cell>
          <cell r="K1009">
            <v>0</v>
          </cell>
          <cell r="L1009">
            <v>0</v>
          </cell>
          <cell r="M1009">
            <v>0</v>
          </cell>
          <cell r="N1009">
            <v>0</v>
          </cell>
          <cell r="O1009">
            <v>0</v>
          </cell>
          <cell r="P1009">
            <v>0</v>
          </cell>
        </row>
        <row r="1010">
          <cell r="C1010">
            <v>6</v>
          </cell>
          <cell r="F1010">
            <v>1</v>
          </cell>
          <cell r="G1010">
            <v>1</v>
          </cell>
          <cell r="H1010">
            <v>46237</v>
          </cell>
          <cell r="I1010">
            <v>0</v>
          </cell>
          <cell r="J1010">
            <v>4</v>
          </cell>
          <cell r="K1010">
            <v>0</v>
          </cell>
          <cell r="L1010">
            <v>0</v>
          </cell>
          <cell r="M1010">
            <v>0</v>
          </cell>
          <cell r="N1010">
            <v>0</v>
          </cell>
          <cell r="O1010">
            <v>0</v>
          </cell>
          <cell r="P1010">
            <v>0</v>
          </cell>
        </row>
        <row r="1011">
          <cell r="C1011">
            <v>17</v>
          </cell>
          <cell r="F1011">
            <v>1</v>
          </cell>
          <cell r="G1011">
            <v>1</v>
          </cell>
          <cell r="H1011">
            <v>46237</v>
          </cell>
          <cell r="I1011">
            <v>0</v>
          </cell>
          <cell r="J1011">
            <v>12</v>
          </cell>
          <cell r="K1011">
            <v>0</v>
          </cell>
          <cell r="L1011">
            <v>0</v>
          </cell>
          <cell r="M1011">
            <v>0</v>
          </cell>
          <cell r="N1011">
            <v>0</v>
          </cell>
          <cell r="O1011">
            <v>0</v>
          </cell>
          <cell r="P1011">
            <v>0</v>
          </cell>
        </row>
        <row r="1012">
          <cell r="C1012">
            <v>49</v>
          </cell>
          <cell r="F1012">
            <v>1</v>
          </cell>
          <cell r="G1012">
            <v>1</v>
          </cell>
          <cell r="H1012">
            <v>46237</v>
          </cell>
          <cell r="I1012">
            <v>0</v>
          </cell>
          <cell r="J1012">
            <v>2</v>
          </cell>
          <cell r="K1012">
            <v>0</v>
          </cell>
          <cell r="L1012">
            <v>0</v>
          </cell>
          <cell r="M1012">
            <v>0</v>
          </cell>
          <cell r="N1012">
            <v>0</v>
          </cell>
          <cell r="O1012">
            <v>0</v>
          </cell>
          <cell r="P1012">
            <v>0</v>
          </cell>
        </row>
        <row r="1013">
          <cell r="C1013">
            <v>74</v>
          </cell>
          <cell r="F1013">
            <v>1</v>
          </cell>
          <cell r="G1013">
            <v>1</v>
          </cell>
          <cell r="H1013">
            <v>46237</v>
          </cell>
          <cell r="I1013">
            <v>0</v>
          </cell>
          <cell r="J1013">
            <v>3</v>
          </cell>
          <cell r="K1013">
            <v>0</v>
          </cell>
          <cell r="L1013">
            <v>0</v>
          </cell>
          <cell r="M1013">
            <v>0</v>
          </cell>
          <cell r="N1013">
            <v>0</v>
          </cell>
          <cell r="O1013">
            <v>0</v>
          </cell>
          <cell r="P1013">
            <v>0</v>
          </cell>
        </row>
        <row r="1014">
          <cell r="C1014">
            <v>46</v>
          </cell>
          <cell r="F1014">
            <v>1</v>
          </cell>
          <cell r="G1014">
            <v>1</v>
          </cell>
          <cell r="H1014">
            <v>46237</v>
          </cell>
          <cell r="I1014">
            <v>0</v>
          </cell>
          <cell r="J1014">
            <v>5</v>
          </cell>
          <cell r="K1014">
            <v>0</v>
          </cell>
          <cell r="L1014">
            <v>0</v>
          </cell>
          <cell r="M1014">
            <v>0</v>
          </cell>
          <cell r="N1014">
            <v>0</v>
          </cell>
          <cell r="O1014">
            <v>0</v>
          </cell>
          <cell r="P1014">
            <v>0</v>
          </cell>
        </row>
        <row r="1015">
          <cell r="C1015">
            <v>179</v>
          </cell>
          <cell r="F1015">
            <v>1</v>
          </cell>
          <cell r="G1015">
            <v>1</v>
          </cell>
          <cell r="H1015">
            <v>46237</v>
          </cell>
          <cell r="I1015">
            <v>0</v>
          </cell>
          <cell r="J1015">
            <v>100</v>
          </cell>
          <cell r="K1015">
            <v>0</v>
          </cell>
          <cell r="L1015">
            <v>0</v>
          </cell>
          <cell r="M1015">
            <v>0</v>
          </cell>
          <cell r="N1015">
            <v>0</v>
          </cell>
          <cell r="O1015">
            <v>0</v>
          </cell>
          <cell r="P1015">
            <v>0</v>
          </cell>
        </row>
        <row r="1016">
          <cell r="C1016">
            <v>293</v>
          </cell>
          <cell r="F1016">
            <v>1</v>
          </cell>
          <cell r="G1016">
            <v>1</v>
          </cell>
          <cell r="H1016">
            <v>46237</v>
          </cell>
          <cell r="I1016">
            <v>0</v>
          </cell>
          <cell r="J1016">
            <v>5</v>
          </cell>
          <cell r="K1016">
            <v>0</v>
          </cell>
          <cell r="L1016">
            <v>0</v>
          </cell>
          <cell r="M1016">
            <v>0</v>
          </cell>
          <cell r="N1016">
            <v>0</v>
          </cell>
          <cell r="O1016">
            <v>0</v>
          </cell>
          <cell r="P1016">
            <v>0</v>
          </cell>
        </row>
        <row r="1017">
          <cell r="C1017">
            <v>294</v>
          </cell>
          <cell r="F1017">
            <v>1</v>
          </cell>
          <cell r="G1017">
            <v>1</v>
          </cell>
          <cell r="H1017">
            <v>46237</v>
          </cell>
          <cell r="I1017">
            <v>0</v>
          </cell>
          <cell r="J1017">
            <v>5</v>
          </cell>
          <cell r="K1017">
            <v>0</v>
          </cell>
          <cell r="L1017">
            <v>0</v>
          </cell>
          <cell r="M1017">
            <v>0</v>
          </cell>
          <cell r="N1017">
            <v>0</v>
          </cell>
          <cell r="O1017">
            <v>0</v>
          </cell>
          <cell r="P1017">
            <v>0</v>
          </cell>
        </row>
        <row r="1018">
          <cell r="C1018">
            <v>103</v>
          </cell>
          <cell r="F1018">
            <v>1</v>
          </cell>
          <cell r="G1018">
            <v>1</v>
          </cell>
          <cell r="H1018">
            <v>46237</v>
          </cell>
          <cell r="I1018">
            <v>0</v>
          </cell>
          <cell r="J1018">
            <v>2</v>
          </cell>
          <cell r="K1018">
            <v>0</v>
          </cell>
          <cell r="L1018">
            <v>0</v>
          </cell>
          <cell r="M1018">
            <v>0</v>
          </cell>
          <cell r="N1018">
            <v>0</v>
          </cell>
          <cell r="O1018">
            <v>0</v>
          </cell>
          <cell r="P1018">
            <v>0</v>
          </cell>
        </row>
        <row r="1019">
          <cell r="C1019">
            <v>94</v>
          </cell>
          <cell r="F1019">
            <v>1</v>
          </cell>
          <cell r="G1019">
            <v>1</v>
          </cell>
          <cell r="H1019">
            <v>46237</v>
          </cell>
          <cell r="I1019">
            <v>0</v>
          </cell>
          <cell r="J1019">
            <v>10</v>
          </cell>
          <cell r="K1019">
            <v>0</v>
          </cell>
          <cell r="L1019">
            <v>0</v>
          </cell>
          <cell r="M1019">
            <v>0</v>
          </cell>
          <cell r="N1019">
            <v>0</v>
          </cell>
          <cell r="O1019">
            <v>0</v>
          </cell>
          <cell r="P1019">
            <v>0</v>
          </cell>
        </row>
        <row r="1020">
          <cell r="C1020">
            <v>79</v>
          </cell>
          <cell r="F1020">
            <v>1</v>
          </cell>
          <cell r="G1020">
            <v>1</v>
          </cell>
          <cell r="H1020">
            <v>46237</v>
          </cell>
          <cell r="I1020">
            <v>0</v>
          </cell>
          <cell r="J1020">
            <v>10</v>
          </cell>
          <cell r="K1020">
            <v>0</v>
          </cell>
          <cell r="L1020">
            <v>0</v>
          </cell>
          <cell r="M1020">
            <v>0</v>
          </cell>
          <cell r="N1020">
            <v>0</v>
          </cell>
          <cell r="O1020">
            <v>0</v>
          </cell>
          <cell r="P1020">
            <v>0</v>
          </cell>
        </row>
        <row r="1021">
          <cell r="C1021">
            <v>377</v>
          </cell>
          <cell r="F1021">
            <v>1</v>
          </cell>
          <cell r="G1021">
            <v>1</v>
          </cell>
          <cell r="H1021">
            <v>46237</v>
          </cell>
          <cell r="I1021">
            <v>0</v>
          </cell>
          <cell r="J1021">
            <v>35</v>
          </cell>
          <cell r="K1021">
            <v>0</v>
          </cell>
          <cell r="L1021">
            <v>0</v>
          </cell>
          <cell r="M1021">
            <v>0</v>
          </cell>
          <cell r="N1021">
            <v>0</v>
          </cell>
          <cell r="O1021">
            <v>0</v>
          </cell>
          <cell r="P1021">
            <v>0</v>
          </cell>
        </row>
        <row r="1022">
          <cell r="C1022">
            <v>376</v>
          </cell>
          <cell r="F1022">
            <v>1</v>
          </cell>
          <cell r="G1022">
            <v>1</v>
          </cell>
          <cell r="H1022">
            <v>46237</v>
          </cell>
          <cell r="I1022">
            <v>0</v>
          </cell>
          <cell r="J1022">
            <v>5</v>
          </cell>
          <cell r="K1022">
            <v>0</v>
          </cell>
          <cell r="L1022">
            <v>0</v>
          </cell>
          <cell r="M1022">
            <v>0</v>
          </cell>
          <cell r="N1022">
            <v>0</v>
          </cell>
          <cell r="O1022">
            <v>0</v>
          </cell>
          <cell r="P1022">
            <v>0</v>
          </cell>
        </row>
        <row r="1023">
          <cell r="C1023">
            <v>379</v>
          </cell>
          <cell r="F1023">
            <v>1</v>
          </cell>
          <cell r="G1023">
            <v>1</v>
          </cell>
          <cell r="H1023">
            <v>46237</v>
          </cell>
          <cell r="I1023">
            <v>0</v>
          </cell>
          <cell r="J1023">
            <v>1</v>
          </cell>
          <cell r="K1023">
            <v>0</v>
          </cell>
          <cell r="L1023">
            <v>0</v>
          </cell>
          <cell r="M1023">
            <v>0</v>
          </cell>
          <cell r="N1023">
            <v>0</v>
          </cell>
          <cell r="O1023">
            <v>0</v>
          </cell>
          <cell r="P1023">
            <v>0</v>
          </cell>
        </row>
        <row r="1024">
          <cell r="C1024">
            <v>20</v>
          </cell>
          <cell r="F1024">
            <v>1</v>
          </cell>
          <cell r="G1024">
            <v>1</v>
          </cell>
          <cell r="H1024">
            <v>46237</v>
          </cell>
          <cell r="I1024">
            <v>0</v>
          </cell>
          <cell r="J1024">
            <v>4</v>
          </cell>
          <cell r="K1024">
            <v>0</v>
          </cell>
          <cell r="L1024">
            <v>0</v>
          </cell>
          <cell r="M1024">
            <v>0</v>
          </cell>
          <cell r="N1024">
            <v>0</v>
          </cell>
          <cell r="O1024">
            <v>0</v>
          </cell>
          <cell r="P1024">
            <v>0</v>
          </cell>
        </row>
        <row r="1025">
          <cell r="C1025">
            <v>10</v>
          </cell>
          <cell r="F1025">
            <v>1</v>
          </cell>
          <cell r="G1025">
            <v>1</v>
          </cell>
          <cell r="H1025">
            <v>46237</v>
          </cell>
          <cell r="I1025">
            <v>0</v>
          </cell>
          <cell r="J1025">
            <v>4</v>
          </cell>
          <cell r="K1025">
            <v>0</v>
          </cell>
          <cell r="L1025">
            <v>0</v>
          </cell>
          <cell r="M1025">
            <v>0</v>
          </cell>
          <cell r="N1025">
            <v>0</v>
          </cell>
          <cell r="O1025">
            <v>0</v>
          </cell>
          <cell r="P1025">
            <v>0</v>
          </cell>
        </row>
        <row r="1026">
          <cell r="C1026">
            <v>26</v>
          </cell>
          <cell r="F1026">
            <v>1</v>
          </cell>
          <cell r="G1026">
            <v>1</v>
          </cell>
          <cell r="H1026">
            <v>46237</v>
          </cell>
          <cell r="I1026">
            <v>0</v>
          </cell>
          <cell r="J1026">
            <v>1</v>
          </cell>
          <cell r="K1026">
            <v>0</v>
          </cell>
          <cell r="L1026">
            <v>0</v>
          </cell>
          <cell r="M1026">
            <v>0</v>
          </cell>
          <cell r="N1026">
            <v>0</v>
          </cell>
          <cell r="O1026">
            <v>0</v>
          </cell>
          <cell r="P1026">
            <v>0</v>
          </cell>
        </row>
        <row r="1027">
          <cell r="C1027">
            <v>29</v>
          </cell>
          <cell r="F1027">
            <v>1</v>
          </cell>
          <cell r="G1027">
            <v>1</v>
          </cell>
          <cell r="H1027">
            <v>46237</v>
          </cell>
          <cell r="I1027">
            <v>0</v>
          </cell>
          <cell r="J1027">
            <v>1</v>
          </cell>
          <cell r="K1027">
            <v>0</v>
          </cell>
          <cell r="L1027">
            <v>0</v>
          </cell>
          <cell r="M1027">
            <v>0</v>
          </cell>
          <cell r="N1027">
            <v>0</v>
          </cell>
          <cell r="O1027">
            <v>0</v>
          </cell>
          <cell r="P1027">
            <v>0</v>
          </cell>
        </row>
        <row r="1028">
          <cell r="C1028">
            <v>183</v>
          </cell>
          <cell r="F1028">
            <v>1</v>
          </cell>
          <cell r="G1028">
            <v>1</v>
          </cell>
          <cell r="H1028">
            <v>46237</v>
          </cell>
          <cell r="I1028">
            <v>0</v>
          </cell>
          <cell r="J1028">
            <v>72</v>
          </cell>
          <cell r="K1028">
            <v>0</v>
          </cell>
          <cell r="L1028">
            <v>0</v>
          </cell>
          <cell r="M1028">
            <v>0</v>
          </cell>
          <cell r="N1028">
            <v>0</v>
          </cell>
          <cell r="O1028">
            <v>0</v>
          </cell>
          <cell r="P1028">
            <v>0</v>
          </cell>
        </row>
        <row r="1029">
          <cell r="C1029">
            <v>193</v>
          </cell>
          <cell r="F1029">
            <v>1</v>
          </cell>
          <cell r="G1029">
            <v>1</v>
          </cell>
          <cell r="H1029">
            <v>46237</v>
          </cell>
          <cell r="I1029">
            <v>0</v>
          </cell>
          <cell r="J1029">
            <v>12</v>
          </cell>
          <cell r="K1029">
            <v>0</v>
          </cell>
          <cell r="L1029">
            <v>0</v>
          </cell>
          <cell r="M1029">
            <v>0</v>
          </cell>
          <cell r="N1029">
            <v>0</v>
          </cell>
          <cell r="O1029">
            <v>0</v>
          </cell>
          <cell r="P1029">
            <v>0</v>
          </cell>
        </row>
        <row r="1030">
          <cell r="C1030">
            <v>178</v>
          </cell>
          <cell r="F1030">
            <v>1</v>
          </cell>
          <cell r="G1030">
            <v>1</v>
          </cell>
          <cell r="H1030">
            <v>46237</v>
          </cell>
          <cell r="I1030">
            <v>0</v>
          </cell>
          <cell r="J1030">
            <v>150</v>
          </cell>
          <cell r="K1030">
            <v>0</v>
          </cell>
          <cell r="L1030">
            <v>0</v>
          </cell>
          <cell r="M1030">
            <v>0</v>
          </cell>
          <cell r="N1030">
            <v>0</v>
          </cell>
          <cell r="O1030">
            <v>0</v>
          </cell>
          <cell r="P1030">
            <v>0</v>
          </cell>
        </row>
        <row r="1031">
          <cell r="C1031">
            <v>163</v>
          </cell>
          <cell r="F1031">
            <v>1</v>
          </cell>
          <cell r="G1031">
            <v>1</v>
          </cell>
          <cell r="H1031">
            <v>46237</v>
          </cell>
          <cell r="I1031">
            <v>0</v>
          </cell>
          <cell r="J1031">
            <v>1</v>
          </cell>
          <cell r="K1031">
            <v>0</v>
          </cell>
          <cell r="L1031">
            <v>0</v>
          </cell>
          <cell r="M1031">
            <v>0</v>
          </cell>
          <cell r="N1031">
            <v>0</v>
          </cell>
          <cell r="O1031">
            <v>0</v>
          </cell>
          <cell r="P1031">
            <v>0</v>
          </cell>
        </row>
        <row r="1032">
          <cell r="C1032">
            <v>170</v>
          </cell>
          <cell r="F1032">
            <v>1</v>
          </cell>
          <cell r="G1032">
            <v>1</v>
          </cell>
          <cell r="H1032">
            <v>46237</v>
          </cell>
          <cell r="I1032">
            <v>0</v>
          </cell>
          <cell r="J1032">
            <v>5</v>
          </cell>
          <cell r="K1032">
            <v>0</v>
          </cell>
          <cell r="L1032">
            <v>0</v>
          </cell>
          <cell r="M1032">
            <v>0</v>
          </cell>
          <cell r="N1032">
            <v>0</v>
          </cell>
          <cell r="O1032">
            <v>0</v>
          </cell>
          <cell r="P1032">
            <v>0</v>
          </cell>
        </row>
        <row r="1033">
          <cell r="C1033">
            <v>187</v>
          </cell>
          <cell r="F1033">
            <v>1</v>
          </cell>
          <cell r="G1033">
            <v>1</v>
          </cell>
          <cell r="H1033">
            <v>46237</v>
          </cell>
          <cell r="I1033">
            <v>0</v>
          </cell>
          <cell r="J1033">
            <v>3</v>
          </cell>
          <cell r="K1033">
            <v>0</v>
          </cell>
          <cell r="L1033">
            <v>0</v>
          </cell>
          <cell r="M1033">
            <v>0</v>
          </cell>
          <cell r="N1033">
            <v>0</v>
          </cell>
          <cell r="O1033">
            <v>0</v>
          </cell>
          <cell r="P1033">
            <v>0</v>
          </cell>
        </row>
        <row r="1034">
          <cell r="C1034">
            <v>144</v>
          </cell>
          <cell r="F1034">
            <v>1</v>
          </cell>
          <cell r="G1034">
            <v>1</v>
          </cell>
          <cell r="H1034">
            <v>46237</v>
          </cell>
          <cell r="I1034">
            <v>0</v>
          </cell>
          <cell r="J1034">
            <v>3</v>
          </cell>
          <cell r="K1034">
            <v>0</v>
          </cell>
          <cell r="L1034">
            <v>0</v>
          </cell>
          <cell r="M1034">
            <v>0</v>
          </cell>
          <cell r="N1034">
            <v>0</v>
          </cell>
          <cell r="O1034">
            <v>0</v>
          </cell>
          <cell r="P1034">
            <v>0</v>
          </cell>
        </row>
        <row r="1035">
          <cell r="C1035">
            <v>176</v>
          </cell>
          <cell r="F1035">
            <v>1</v>
          </cell>
          <cell r="G1035">
            <v>1</v>
          </cell>
          <cell r="H1035">
            <v>46237</v>
          </cell>
          <cell r="I1035">
            <v>0</v>
          </cell>
          <cell r="J1035">
            <v>150</v>
          </cell>
          <cell r="K1035">
            <v>0</v>
          </cell>
          <cell r="L1035">
            <v>0</v>
          </cell>
          <cell r="M1035">
            <v>0</v>
          </cell>
          <cell r="N1035">
            <v>0</v>
          </cell>
          <cell r="O1035">
            <v>0</v>
          </cell>
          <cell r="P1035">
            <v>0</v>
          </cell>
        </row>
        <row r="1036">
          <cell r="C1036">
            <v>172</v>
          </cell>
          <cell r="F1036">
            <v>1</v>
          </cell>
          <cell r="G1036">
            <v>1</v>
          </cell>
          <cell r="H1036">
            <v>46237</v>
          </cell>
          <cell r="I1036">
            <v>0</v>
          </cell>
          <cell r="J1036">
            <v>1</v>
          </cell>
          <cell r="K1036">
            <v>0</v>
          </cell>
          <cell r="L1036">
            <v>0</v>
          </cell>
          <cell r="M1036">
            <v>0</v>
          </cell>
          <cell r="N1036">
            <v>0</v>
          </cell>
          <cell r="O1036">
            <v>0</v>
          </cell>
          <cell r="P1036">
            <v>0</v>
          </cell>
        </row>
        <row r="1037">
          <cell r="C1037">
            <v>108</v>
          </cell>
          <cell r="F1037">
            <v>1</v>
          </cell>
          <cell r="G1037">
            <v>1</v>
          </cell>
          <cell r="H1037">
            <v>46237</v>
          </cell>
          <cell r="I1037">
            <v>0</v>
          </cell>
          <cell r="J1037">
            <v>2</v>
          </cell>
          <cell r="K1037">
            <v>0</v>
          </cell>
          <cell r="L1037">
            <v>0</v>
          </cell>
          <cell r="M1037">
            <v>0</v>
          </cell>
          <cell r="N1037">
            <v>0</v>
          </cell>
          <cell r="O1037">
            <v>0</v>
          </cell>
          <cell r="P1037">
            <v>0</v>
          </cell>
        </row>
        <row r="1038">
          <cell r="C1038">
            <v>420</v>
          </cell>
          <cell r="F1038">
            <v>1</v>
          </cell>
          <cell r="G1038">
            <v>1</v>
          </cell>
          <cell r="H1038">
            <v>46237</v>
          </cell>
          <cell r="I1038">
            <v>0</v>
          </cell>
          <cell r="J1038">
            <v>0</v>
          </cell>
          <cell r="K1038">
            <v>0</v>
          </cell>
          <cell r="L1038">
            <v>12</v>
          </cell>
          <cell r="M1038">
            <v>0</v>
          </cell>
          <cell r="N1038">
            <v>0</v>
          </cell>
          <cell r="O1038">
            <v>0</v>
          </cell>
          <cell r="P1038">
            <v>0</v>
          </cell>
        </row>
        <row r="1039">
          <cell r="C1039">
            <v>423</v>
          </cell>
          <cell r="F1039">
            <v>1</v>
          </cell>
          <cell r="G1039">
            <v>1</v>
          </cell>
          <cell r="H1039">
            <v>46237</v>
          </cell>
          <cell r="I1039">
            <v>0</v>
          </cell>
          <cell r="J1039">
            <v>0</v>
          </cell>
          <cell r="K1039">
            <v>0</v>
          </cell>
          <cell r="L1039">
            <v>20</v>
          </cell>
          <cell r="M1039">
            <v>0</v>
          </cell>
          <cell r="N1039">
            <v>0</v>
          </cell>
          <cell r="O1039">
            <v>0</v>
          </cell>
          <cell r="P1039">
            <v>0</v>
          </cell>
        </row>
        <row r="1040">
          <cell r="C1040">
            <v>424</v>
          </cell>
          <cell r="F1040">
            <v>1</v>
          </cell>
          <cell r="G1040">
            <v>1</v>
          </cell>
          <cell r="H1040">
            <v>46237</v>
          </cell>
          <cell r="I1040">
            <v>0</v>
          </cell>
          <cell r="J1040">
            <v>0</v>
          </cell>
          <cell r="K1040">
            <v>0</v>
          </cell>
          <cell r="L1040">
            <v>20</v>
          </cell>
          <cell r="M1040">
            <v>0</v>
          </cell>
          <cell r="N1040">
            <v>0</v>
          </cell>
          <cell r="O1040">
            <v>0</v>
          </cell>
          <cell r="P1040">
            <v>0</v>
          </cell>
        </row>
        <row r="1041">
          <cell r="C1041">
            <v>83</v>
          </cell>
          <cell r="F1041">
            <v>1</v>
          </cell>
          <cell r="G1041">
            <v>1</v>
          </cell>
          <cell r="H1041">
            <v>46237</v>
          </cell>
          <cell r="I1041">
            <v>0</v>
          </cell>
          <cell r="J1041">
            <v>0</v>
          </cell>
          <cell r="K1041">
            <v>0</v>
          </cell>
          <cell r="L1041">
            <v>20</v>
          </cell>
          <cell r="M1041">
            <v>0</v>
          </cell>
          <cell r="N1041">
            <v>0</v>
          </cell>
          <cell r="O1041">
            <v>0</v>
          </cell>
          <cell r="P1041">
            <v>0</v>
          </cell>
        </row>
        <row r="1042">
          <cell r="C1042">
            <v>425</v>
          </cell>
          <cell r="F1042">
            <v>1</v>
          </cell>
          <cell r="G1042">
            <v>1</v>
          </cell>
          <cell r="H1042">
            <v>46237</v>
          </cell>
          <cell r="I1042">
            <v>0</v>
          </cell>
          <cell r="J1042">
            <v>0</v>
          </cell>
          <cell r="K1042">
            <v>0</v>
          </cell>
          <cell r="L1042">
            <v>20</v>
          </cell>
          <cell r="M1042">
            <v>0</v>
          </cell>
          <cell r="N1042">
            <v>0</v>
          </cell>
          <cell r="O1042">
            <v>0</v>
          </cell>
          <cell r="P1042">
            <v>0</v>
          </cell>
        </row>
        <row r="1043">
          <cell r="C1043">
            <v>82</v>
          </cell>
          <cell r="F1043">
            <v>1</v>
          </cell>
          <cell r="G1043">
            <v>1</v>
          </cell>
          <cell r="H1043">
            <v>46237</v>
          </cell>
          <cell r="I1043">
            <v>0</v>
          </cell>
          <cell r="J1043">
            <v>0</v>
          </cell>
          <cell r="K1043">
            <v>0</v>
          </cell>
          <cell r="L1043">
            <v>20</v>
          </cell>
          <cell r="M1043">
            <v>0</v>
          </cell>
          <cell r="N1043">
            <v>0</v>
          </cell>
          <cell r="O1043">
            <v>0</v>
          </cell>
          <cell r="P1043">
            <v>0</v>
          </cell>
        </row>
        <row r="1044">
          <cell r="C1044">
            <v>422</v>
          </cell>
          <cell r="F1044">
            <v>1</v>
          </cell>
          <cell r="G1044">
            <v>1</v>
          </cell>
          <cell r="H1044">
            <v>46237</v>
          </cell>
          <cell r="I1044">
            <v>0</v>
          </cell>
          <cell r="J1044">
            <v>0</v>
          </cell>
          <cell r="K1044">
            <v>0</v>
          </cell>
          <cell r="L1044">
            <v>20</v>
          </cell>
          <cell r="M1044">
            <v>0</v>
          </cell>
          <cell r="N1044">
            <v>0</v>
          </cell>
          <cell r="O1044">
            <v>0</v>
          </cell>
          <cell r="P1044">
            <v>0</v>
          </cell>
        </row>
        <row r="1045">
          <cell r="C1045">
            <v>421</v>
          </cell>
          <cell r="F1045">
            <v>1</v>
          </cell>
          <cell r="G1045">
            <v>1</v>
          </cell>
          <cell r="H1045">
            <v>46237</v>
          </cell>
          <cell r="I1045">
            <v>0</v>
          </cell>
          <cell r="J1045">
            <v>0</v>
          </cell>
          <cell r="K1045">
            <v>0</v>
          </cell>
          <cell r="L1045">
            <v>20</v>
          </cell>
          <cell r="M1045">
            <v>0</v>
          </cell>
          <cell r="N1045">
            <v>0</v>
          </cell>
          <cell r="O1045">
            <v>0</v>
          </cell>
          <cell r="P1045">
            <v>0</v>
          </cell>
        </row>
        <row r="1046">
          <cell r="C1046">
            <v>394</v>
          </cell>
          <cell r="F1046">
            <v>1</v>
          </cell>
          <cell r="G1046">
            <v>1</v>
          </cell>
          <cell r="H1046">
            <v>46237</v>
          </cell>
          <cell r="I1046">
            <v>0</v>
          </cell>
          <cell r="J1046">
            <v>0</v>
          </cell>
          <cell r="K1046">
            <v>0</v>
          </cell>
          <cell r="L1046">
            <v>10</v>
          </cell>
          <cell r="M1046">
            <v>0</v>
          </cell>
          <cell r="N1046">
            <v>0</v>
          </cell>
          <cell r="O1046">
            <v>0</v>
          </cell>
          <cell r="P1046">
            <v>0</v>
          </cell>
        </row>
        <row r="1047">
          <cell r="C1047">
            <v>404</v>
          </cell>
          <cell r="F1047">
            <v>1</v>
          </cell>
          <cell r="G1047">
            <v>1</v>
          </cell>
          <cell r="H1047">
            <v>46237</v>
          </cell>
          <cell r="I1047">
            <v>0</v>
          </cell>
          <cell r="J1047">
            <v>0</v>
          </cell>
          <cell r="K1047">
            <v>0</v>
          </cell>
          <cell r="L1047">
            <v>5</v>
          </cell>
          <cell r="M1047">
            <v>0</v>
          </cell>
          <cell r="N1047">
            <v>0</v>
          </cell>
          <cell r="O1047">
            <v>0</v>
          </cell>
          <cell r="P1047">
            <v>0</v>
          </cell>
        </row>
        <row r="1048">
          <cell r="C1048">
            <v>401</v>
          </cell>
          <cell r="F1048">
            <v>1</v>
          </cell>
          <cell r="G1048">
            <v>1</v>
          </cell>
          <cell r="H1048">
            <v>46237</v>
          </cell>
          <cell r="I1048">
            <v>0</v>
          </cell>
          <cell r="J1048">
            <v>0</v>
          </cell>
          <cell r="K1048">
            <v>0</v>
          </cell>
          <cell r="L1048">
            <v>12</v>
          </cell>
          <cell r="M1048">
            <v>0</v>
          </cell>
          <cell r="N1048">
            <v>0</v>
          </cell>
          <cell r="O1048">
            <v>0</v>
          </cell>
          <cell r="P1048">
            <v>0</v>
          </cell>
        </row>
        <row r="1049">
          <cell r="C1049">
            <v>402</v>
          </cell>
          <cell r="F1049">
            <v>1</v>
          </cell>
          <cell r="G1049">
            <v>1</v>
          </cell>
          <cell r="H1049">
            <v>46237</v>
          </cell>
          <cell r="I1049">
            <v>0</v>
          </cell>
          <cell r="J1049">
            <v>0</v>
          </cell>
          <cell r="K1049">
            <v>0</v>
          </cell>
          <cell r="L1049">
            <v>24</v>
          </cell>
          <cell r="M1049">
            <v>0</v>
          </cell>
          <cell r="N1049">
            <v>0</v>
          </cell>
          <cell r="O1049">
            <v>0</v>
          </cell>
          <cell r="P1049">
            <v>0</v>
          </cell>
        </row>
        <row r="1050">
          <cell r="C1050">
            <v>403</v>
          </cell>
          <cell r="F1050">
            <v>1</v>
          </cell>
          <cell r="G1050">
            <v>1</v>
          </cell>
          <cell r="H1050">
            <v>46237</v>
          </cell>
          <cell r="I1050">
            <v>0</v>
          </cell>
          <cell r="J1050">
            <v>0</v>
          </cell>
          <cell r="K1050">
            <v>0</v>
          </cell>
          <cell r="L1050">
            <v>24</v>
          </cell>
          <cell r="M1050">
            <v>0</v>
          </cell>
          <cell r="N1050">
            <v>0</v>
          </cell>
          <cell r="O1050">
            <v>0</v>
          </cell>
          <cell r="P1050">
            <v>0</v>
          </cell>
        </row>
        <row r="1051">
          <cell r="C1051">
            <v>390</v>
          </cell>
          <cell r="F1051">
            <v>1</v>
          </cell>
          <cell r="G1051">
            <v>1</v>
          </cell>
          <cell r="H1051">
            <v>46237</v>
          </cell>
          <cell r="I1051">
            <v>0</v>
          </cell>
          <cell r="J1051">
            <v>0</v>
          </cell>
          <cell r="K1051">
            <v>0</v>
          </cell>
          <cell r="L1051">
            <v>60</v>
          </cell>
          <cell r="M1051">
            <v>0</v>
          </cell>
          <cell r="N1051">
            <v>0</v>
          </cell>
          <cell r="O1051">
            <v>0</v>
          </cell>
          <cell r="P1051">
            <v>0</v>
          </cell>
        </row>
        <row r="1052">
          <cell r="C1052">
            <v>369</v>
          </cell>
          <cell r="F1052">
            <v>1</v>
          </cell>
          <cell r="G1052">
            <v>1</v>
          </cell>
          <cell r="H1052">
            <v>46237</v>
          </cell>
          <cell r="I1052">
            <v>0</v>
          </cell>
          <cell r="J1052">
            <v>0</v>
          </cell>
          <cell r="K1052">
            <v>0</v>
          </cell>
          <cell r="L1052">
            <v>50</v>
          </cell>
          <cell r="M1052">
            <v>0</v>
          </cell>
          <cell r="N1052">
            <v>0</v>
          </cell>
          <cell r="O1052">
            <v>0</v>
          </cell>
          <cell r="P1052">
            <v>0</v>
          </cell>
        </row>
        <row r="1053">
          <cell r="C1053">
            <v>412</v>
          </cell>
          <cell r="F1053">
            <v>1</v>
          </cell>
          <cell r="G1053">
            <v>1</v>
          </cell>
          <cell r="H1053">
            <v>46237</v>
          </cell>
          <cell r="I1053">
            <v>0</v>
          </cell>
          <cell r="J1053">
            <v>0</v>
          </cell>
          <cell r="K1053">
            <v>0</v>
          </cell>
          <cell r="L1053">
            <v>1</v>
          </cell>
          <cell r="M1053">
            <v>0</v>
          </cell>
          <cell r="N1053">
            <v>0</v>
          </cell>
          <cell r="O1053">
            <v>0</v>
          </cell>
          <cell r="P1053">
            <v>0</v>
          </cell>
        </row>
        <row r="1054">
          <cell r="C1054">
            <v>337</v>
          </cell>
          <cell r="F1054">
            <v>1</v>
          </cell>
          <cell r="G1054">
            <v>1</v>
          </cell>
          <cell r="H1054">
            <v>46237</v>
          </cell>
          <cell r="I1054">
            <v>0</v>
          </cell>
          <cell r="J1054">
            <v>0</v>
          </cell>
          <cell r="K1054">
            <v>0</v>
          </cell>
          <cell r="L1054">
            <v>300</v>
          </cell>
          <cell r="M1054">
            <v>0</v>
          </cell>
          <cell r="N1054">
            <v>0</v>
          </cell>
          <cell r="O1054">
            <v>0</v>
          </cell>
          <cell r="P1054">
            <v>0</v>
          </cell>
        </row>
        <row r="1055">
          <cell r="C1055">
            <v>426</v>
          </cell>
          <cell r="F1055">
            <v>1</v>
          </cell>
          <cell r="G1055">
            <v>1</v>
          </cell>
          <cell r="H1055">
            <v>46237</v>
          </cell>
          <cell r="I1055">
            <v>0</v>
          </cell>
          <cell r="J1055">
            <v>0</v>
          </cell>
          <cell r="K1055">
            <v>0</v>
          </cell>
          <cell r="L1055">
            <v>10</v>
          </cell>
          <cell r="M1055">
            <v>0</v>
          </cell>
          <cell r="N1055">
            <v>0</v>
          </cell>
          <cell r="O1055">
            <v>0</v>
          </cell>
          <cell r="P1055">
            <v>0</v>
          </cell>
        </row>
        <row r="1056">
          <cell r="C1056">
            <v>427</v>
          </cell>
          <cell r="F1056">
            <v>1</v>
          </cell>
          <cell r="G1056">
            <v>1</v>
          </cell>
          <cell r="H1056">
            <v>46237</v>
          </cell>
          <cell r="I1056">
            <v>0</v>
          </cell>
          <cell r="J1056">
            <v>0</v>
          </cell>
          <cell r="K1056">
            <v>0</v>
          </cell>
          <cell r="L1056">
            <v>10</v>
          </cell>
          <cell r="M1056">
            <v>0</v>
          </cell>
          <cell r="N1056">
            <v>0</v>
          </cell>
          <cell r="O1056">
            <v>0</v>
          </cell>
          <cell r="P1056">
            <v>0</v>
          </cell>
        </row>
        <row r="1057">
          <cell r="C1057">
            <v>428</v>
          </cell>
          <cell r="F1057">
            <v>1</v>
          </cell>
          <cell r="G1057">
            <v>1</v>
          </cell>
          <cell r="H1057">
            <v>46237</v>
          </cell>
          <cell r="I1057">
            <v>0</v>
          </cell>
          <cell r="J1057">
            <v>0</v>
          </cell>
          <cell r="K1057">
            <v>0</v>
          </cell>
          <cell r="L1057">
            <v>10</v>
          </cell>
          <cell r="M1057">
            <v>0</v>
          </cell>
          <cell r="N1057">
            <v>0</v>
          </cell>
          <cell r="O1057">
            <v>0</v>
          </cell>
          <cell r="P1057">
            <v>0</v>
          </cell>
        </row>
        <row r="1058">
          <cell r="C1058">
            <v>429</v>
          </cell>
          <cell r="F1058">
            <v>1</v>
          </cell>
          <cell r="G1058">
            <v>1</v>
          </cell>
          <cell r="H1058">
            <v>46237</v>
          </cell>
          <cell r="I1058">
            <v>0</v>
          </cell>
          <cell r="J1058">
            <v>0</v>
          </cell>
          <cell r="K1058">
            <v>0</v>
          </cell>
          <cell r="L1058">
            <v>12</v>
          </cell>
          <cell r="M1058">
            <v>0</v>
          </cell>
          <cell r="N1058">
            <v>0</v>
          </cell>
          <cell r="O1058">
            <v>0</v>
          </cell>
          <cell r="P1058">
            <v>0</v>
          </cell>
        </row>
        <row r="1059">
          <cell r="C1059">
            <v>305</v>
          </cell>
          <cell r="F1059">
            <v>1</v>
          </cell>
          <cell r="G1059">
            <v>1</v>
          </cell>
          <cell r="H1059">
            <v>46238</v>
          </cell>
          <cell r="I1059">
            <v>0</v>
          </cell>
          <cell r="J1059">
            <v>50</v>
          </cell>
          <cell r="K1059">
            <v>0</v>
          </cell>
          <cell r="L1059">
            <v>0</v>
          </cell>
          <cell r="M1059">
            <v>0</v>
          </cell>
          <cell r="N1059">
            <v>0</v>
          </cell>
          <cell r="O1059">
            <v>0</v>
          </cell>
          <cell r="P1059">
            <v>0</v>
          </cell>
        </row>
        <row r="1060">
          <cell r="C1060">
            <v>293</v>
          </cell>
          <cell r="F1060">
            <v>1</v>
          </cell>
          <cell r="G1060">
            <v>1</v>
          </cell>
          <cell r="H1060">
            <v>46238</v>
          </cell>
          <cell r="I1060">
            <v>0</v>
          </cell>
          <cell r="J1060">
            <v>2</v>
          </cell>
          <cell r="K1060">
            <v>0</v>
          </cell>
          <cell r="L1060">
            <v>0</v>
          </cell>
          <cell r="M1060">
            <v>0</v>
          </cell>
          <cell r="N1060">
            <v>0</v>
          </cell>
          <cell r="O1060">
            <v>0</v>
          </cell>
          <cell r="P1060">
            <v>0</v>
          </cell>
        </row>
        <row r="1061">
          <cell r="C1061">
            <v>294</v>
          </cell>
          <cell r="F1061">
            <v>1</v>
          </cell>
          <cell r="G1061">
            <v>1</v>
          </cell>
          <cell r="H1061">
            <v>46238</v>
          </cell>
          <cell r="I1061">
            <v>0</v>
          </cell>
          <cell r="J1061">
            <v>2</v>
          </cell>
          <cell r="K1061">
            <v>0</v>
          </cell>
          <cell r="L1061">
            <v>0</v>
          </cell>
          <cell r="M1061">
            <v>0</v>
          </cell>
          <cell r="N1061">
            <v>0</v>
          </cell>
          <cell r="O1061">
            <v>0</v>
          </cell>
          <cell r="P1061">
            <v>0</v>
          </cell>
        </row>
        <row r="1062">
          <cell r="C1062">
            <v>179</v>
          </cell>
          <cell r="F1062">
            <v>1</v>
          </cell>
          <cell r="G1062">
            <v>1</v>
          </cell>
          <cell r="H1062">
            <v>46238</v>
          </cell>
          <cell r="I1062">
            <v>0</v>
          </cell>
          <cell r="J1062">
            <v>200</v>
          </cell>
          <cell r="K1062">
            <v>0</v>
          </cell>
          <cell r="L1062">
            <v>0</v>
          </cell>
          <cell r="M1062">
            <v>0</v>
          </cell>
          <cell r="N1062">
            <v>0</v>
          </cell>
          <cell r="O1062">
            <v>0</v>
          </cell>
          <cell r="P1062">
            <v>0</v>
          </cell>
        </row>
        <row r="1063">
          <cell r="C1063">
            <v>183</v>
          </cell>
          <cell r="F1063">
            <v>1</v>
          </cell>
          <cell r="G1063">
            <v>1</v>
          </cell>
          <cell r="H1063">
            <v>46238</v>
          </cell>
          <cell r="I1063">
            <v>0</v>
          </cell>
          <cell r="J1063">
            <v>72</v>
          </cell>
          <cell r="K1063">
            <v>0</v>
          </cell>
          <cell r="L1063">
            <v>0</v>
          </cell>
          <cell r="M1063">
            <v>0</v>
          </cell>
          <cell r="N1063">
            <v>0</v>
          </cell>
          <cell r="O1063">
            <v>0</v>
          </cell>
          <cell r="P1063">
            <v>0</v>
          </cell>
        </row>
        <row r="1064">
          <cell r="C1064">
            <v>193</v>
          </cell>
          <cell r="F1064">
            <v>1</v>
          </cell>
          <cell r="G1064">
            <v>1</v>
          </cell>
          <cell r="H1064">
            <v>46238</v>
          </cell>
          <cell r="I1064">
            <v>0</v>
          </cell>
          <cell r="J1064">
            <v>12</v>
          </cell>
          <cell r="K1064">
            <v>0</v>
          </cell>
          <cell r="L1064">
            <v>0</v>
          </cell>
          <cell r="M1064">
            <v>0</v>
          </cell>
          <cell r="N1064">
            <v>0</v>
          </cell>
          <cell r="O1064">
            <v>0</v>
          </cell>
          <cell r="P1064">
            <v>0</v>
          </cell>
        </row>
        <row r="1065">
          <cell r="C1065">
            <v>189</v>
          </cell>
          <cell r="F1065">
            <v>1</v>
          </cell>
          <cell r="G1065">
            <v>1</v>
          </cell>
          <cell r="H1065">
            <v>46238</v>
          </cell>
          <cell r="I1065">
            <v>0</v>
          </cell>
          <cell r="J1065">
            <v>20</v>
          </cell>
          <cell r="K1065">
            <v>0</v>
          </cell>
          <cell r="L1065">
            <v>0</v>
          </cell>
          <cell r="M1065">
            <v>0</v>
          </cell>
          <cell r="N1065">
            <v>0</v>
          </cell>
          <cell r="O1065">
            <v>0</v>
          </cell>
          <cell r="P1065">
            <v>0</v>
          </cell>
        </row>
        <row r="1066">
          <cell r="C1066">
            <v>6</v>
          </cell>
          <cell r="F1066">
            <v>1</v>
          </cell>
          <cell r="G1066">
            <v>1</v>
          </cell>
          <cell r="H1066">
            <v>46238</v>
          </cell>
          <cell r="I1066">
            <v>0</v>
          </cell>
          <cell r="J1066">
            <v>8</v>
          </cell>
          <cell r="K1066">
            <v>0</v>
          </cell>
          <cell r="L1066">
            <v>0</v>
          </cell>
          <cell r="M1066">
            <v>0</v>
          </cell>
          <cell r="N1066">
            <v>0</v>
          </cell>
          <cell r="O1066">
            <v>0</v>
          </cell>
          <cell r="P1066">
            <v>0</v>
          </cell>
        </row>
        <row r="1067">
          <cell r="C1067">
            <v>7</v>
          </cell>
          <cell r="F1067">
            <v>1</v>
          </cell>
          <cell r="G1067">
            <v>1</v>
          </cell>
          <cell r="H1067">
            <v>46238</v>
          </cell>
          <cell r="I1067">
            <v>0</v>
          </cell>
          <cell r="J1067">
            <v>12</v>
          </cell>
          <cell r="K1067">
            <v>0</v>
          </cell>
          <cell r="L1067">
            <v>0</v>
          </cell>
          <cell r="M1067">
            <v>0</v>
          </cell>
          <cell r="N1067">
            <v>0</v>
          </cell>
          <cell r="O1067">
            <v>0</v>
          </cell>
          <cell r="P1067">
            <v>0</v>
          </cell>
        </row>
        <row r="1068">
          <cell r="C1068">
            <v>25</v>
          </cell>
          <cell r="F1068">
            <v>1</v>
          </cell>
          <cell r="G1068">
            <v>1</v>
          </cell>
          <cell r="H1068">
            <v>46238</v>
          </cell>
          <cell r="I1068">
            <v>0</v>
          </cell>
          <cell r="J1068">
            <v>4</v>
          </cell>
          <cell r="K1068">
            <v>0</v>
          </cell>
          <cell r="L1068">
            <v>0</v>
          </cell>
          <cell r="M1068">
            <v>0</v>
          </cell>
          <cell r="N1068">
            <v>0</v>
          </cell>
          <cell r="O1068">
            <v>0</v>
          </cell>
          <cell r="P1068">
            <v>0</v>
          </cell>
        </row>
        <row r="1069">
          <cell r="C1069">
            <v>44</v>
          </cell>
          <cell r="F1069">
            <v>1</v>
          </cell>
          <cell r="G1069">
            <v>1</v>
          </cell>
          <cell r="H1069">
            <v>46238</v>
          </cell>
          <cell r="I1069">
            <v>0</v>
          </cell>
          <cell r="J1069">
            <v>1</v>
          </cell>
          <cell r="K1069">
            <v>0</v>
          </cell>
          <cell r="L1069">
            <v>0</v>
          </cell>
          <cell r="M1069">
            <v>0</v>
          </cell>
          <cell r="N1069">
            <v>0</v>
          </cell>
          <cell r="O1069">
            <v>0</v>
          </cell>
          <cell r="P1069">
            <v>0</v>
          </cell>
        </row>
        <row r="1070">
          <cell r="C1070">
            <v>73</v>
          </cell>
          <cell r="F1070">
            <v>1</v>
          </cell>
          <cell r="G1070">
            <v>1</v>
          </cell>
          <cell r="H1070">
            <v>46238</v>
          </cell>
          <cell r="I1070">
            <v>0</v>
          </cell>
          <cell r="J1070">
            <v>1</v>
          </cell>
          <cell r="K1070">
            <v>0</v>
          </cell>
          <cell r="L1070">
            <v>0</v>
          </cell>
          <cell r="M1070">
            <v>0</v>
          </cell>
          <cell r="N1070">
            <v>0</v>
          </cell>
          <cell r="O1070">
            <v>0</v>
          </cell>
          <cell r="P1070">
            <v>0</v>
          </cell>
        </row>
        <row r="1071">
          <cell r="C1071">
            <v>45</v>
          </cell>
          <cell r="F1071">
            <v>1</v>
          </cell>
          <cell r="G1071">
            <v>1</v>
          </cell>
          <cell r="H1071">
            <v>46238</v>
          </cell>
          <cell r="I1071">
            <v>0</v>
          </cell>
          <cell r="J1071">
            <v>1</v>
          </cell>
          <cell r="K1071">
            <v>0</v>
          </cell>
          <cell r="L1071">
            <v>0</v>
          </cell>
          <cell r="M1071">
            <v>0</v>
          </cell>
          <cell r="N1071">
            <v>0</v>
          </cell>
          <cell r="O1071">
            <v>0</v>
          </cell>
          <cell r="P1071">
            <v>0</v>
          </cell>
        </row>
        <row r="1072">
          <cell r="C1072">
            <v>181</v>
          </cell>
          <cell r="F1072">
            <v>1</v>
          </cell>
          <cell r="G1072">
            <v>1</v>
          </cell>
          <cell r="H1072">
            <v>46238</v>
          </cell>
          <cell r="I1072">
            <v>0</v>
          </cell>
          <cell r="J1072">
            <v>24</v>
          </cell>
          <cell r="K1072">
            <v>0</v>
          </cell>
          <cell r="L1072">
            <v>0</v>
          </cell>
          <cell r="M1072">
            <v>0</v>
          </cell>
          <cell r="N1072">
            <v>0</v>
          </cell>
          <cell r="O1072">
            <v>0</v>
          </cell>
          <cell r="P1072">
            <v>0</v>
          </cell>
        </row>
        <row r="1073">
          <cell r="C1073">
            <v>370</v>
          </cell>
          <cell r="F1073">
            <v>1</v>
          </cell>
          <cell r="G1073">
            <v>1</v>
          </cell>
          <cell r="H1073">
            <v>46238</v>
          </cell>
          <cell r="I1073">
            <v>0</v>
          </cell>
          <cell r="J1073">
            <v>5</v>
          </cell>
          <cell r="K1073">
            <v>0</v>
          </cell>
          <cell r="L1073">
            <v>0</v>
          </cell>
          <cell r="M1073">
            <v>0</v>
          </cell>
          <cell r="N1073">
            <v>0</v>
          </cell>
          <cell r="O1073">
            <v>0</v>
          </cell>
          <cell r="P1073">
            <v>0</v>
          </cell>
        </row>
        <row r="1074">
          <cell r="C1074">
            <v>82</v>
          </cell>
          <cell r="F1074">
            <v>1</v>
          </cell>
          <cell r="G1074">
            <v>1</v>
          </cell>
          <cell r="H1074">
            <v>46238</v>
          </cell>
          <cell r="I1074">
            <v>0</v>
          </cell>
          <cell r="J1074">
            <v>3</v>
          </cell>
          <cell r="K1074">
            <v>0</v>
          </cell>
          <cell r="L1074">
            <v>0</v>
          </cell>
          <cell r="M1074">
            <v>0</v>
          </cell>
          <cell r="N1074">
            <v>0</v>
          </cell>
          <cell r="O1074">
            <v>0</v>
          </cell>
          <cell r="P1074">
            <v>0</v>
          </cell>
        </row>
        <row r="1075">
          <cell r="C1075">
            <v>92</v>
          </cell>
          <cell r="F1075">
            <v>1</v>
          </cell>
          <cell r="G1075">
            <v>1</v>
          </cell>
          <cell r="H1075">
            <v>46238</v>
          </cell>
          <cell r="I1075">
            <v>0</v>
          </cell>
          <cell r="J1075">
            <v>2</v>
          </cell>
          <cell r="K1075">
            <v>0</v>
          </cell>
          <cell r="L1075">
            <v>0</v>
          </cell>
          <cell r="M1075">
            <v>0</v>
          </cell>
          <cell r="N1075">
            <v>0</v>
          </cell>
          <cell r="O1075">
            <v>0</v>
          </cell>
          <cell r="P1075">
            <v>0</v>
          </cell>
        </row>
        <row r="1076">
          <cell r="C1076">
            <v>97</v>
          </cell>
          <cell r="F1076">
            <v>1</v>
          </cell>
          <cell r="G1076">
            <v>1</v>
          </cell>
          <cell r="H1076">
            <v>46238</v>
          </cell>
          <cell r="I1076">
            <v>0</v>
          </cell>
          <cell r="J1076">
            <v>2</v>
          </cell>
          <cell r="K1076">
            <v>0</v>
          </cell>
          <cell r="L1076">
            <v>0</v>
          </cell>
          <cell r="M1076">
            <v>0</v>
          </cell>
          <cell r="N1076">
            <v>0</v>
          </cell>
          <cell r="O1076">
            <v>0</v>
          </cell>
          <cell r="P1076">
            <v>0</v>
          </cell>
        </row>
        <row r="1077">
          <cell r="C1077">
            <v>96</v>
          </cell>
          <cell r="F1077">
            <v>1</v>
          </cell>
          <cell r="G1077">
            <v>1</v>
          </cell>
          <cell r="H1077">
            <v>46238</v>
          </cell>
          <cell r="I1077">
            <v>0</v>
          </cell>
          <cell r="J1077">
            <v>3</v>
          </cell>
          <cell r="K1077">
            <v>0</v>
          </cell>
          <cell r="L1077">
            <v>0</v>
          </cell>
          <cell r="M1077">
            <v>0</v>
          </cell>
          <cell r="N1077">
            <v>0</v>
          </cell>
          <cell r="O1077">
            <v>0</v>
          </cell>
          <cell r="P1077">
            <v>0</v>
          </cell>
        </row>
        <row r="1078">
          <cell r="C1078">
            <v>276</v>
          </cell>
          <cell r="F1078">
            <v>1</v>
          </cell>
          <cell r="G1078">
            <v>1</v>
          </cell>
          <cell r="H1078">
            <v>46238</v>
          </cell>
          <cell r="I1078">
            <v>0</v>
          </cell>
          <cell r="J1078">
            <v>2</v>
          </cell>
          <cell r="K1078">
            <v>0</v>
          </cell>
          <cell r="L1078">
            <v>0</v>
          </cell>
          <cell r="M1078">
            <v>0</v>
          </cell>
          <cell r="N1078">
            <v>0</v>
          </cell>
          <cell r="O1078">
            <v>0</v>
          </cell>
          <cell r="P1078">
            <v>0</v>
          </cell>
        </row>
        <row r="1079">
          <cell r="C1079">
            <v>378</v>
          </cell>
          <cell r="F1079">
            <v>1</v>
          </cell>
          <cell r="G1079">
            <v>1</v>
          </cell>
          <cell r="H1079">
            <v>46238</v>
          </cell>
          <cell r="I1079">
            <v>0</v>
          </cell>
          <cell r="J1079">
            <v>1</v>
          </cell>
          <cell r="K1079">
            <v>0</v>
          </cell>
          <cell r="L1079">
            <v>0</v>
          </cell>
          <cell r="M1079">
            <v>0</v>
          </cell>
          <cell r="N1079">
            <v>0</v>
          </cell>
          <cell r="O1079">
            <v>0</v>
          </cell>
          <cell r="P1079">
            <v>0</v>
          </cell>
        </row>
        <row r="1080">
          <cell r="C1080">
            <v>376</v>
          </cell>
          <cell r="F1080">
            <v>1</v>
          </cell>
          <cell r="G1080">
            <v>1</v>
          </cell>
          <cell r="H1080">
            <v>46238</v>
          </cell>
          <cell r="I1080">
            <v>0</v>
          </cell>
          <cell r="J1080">
            <v>2</v>
          </cell>
          <cell r="K1080">
            <v>0</v>
          </cell>
          <cell r="L1080">
            <v>0</v>
          </cell>
          <cell r="M1080">
            <v>0</v>
          </cell>
          <cell r="N1080">
            <v>0</v>
          </cell>
          <cell r="O1080">
            <v>0</v>
          </cell>
          <cell r="P1080">
            <v>0</v>
          </cell>
        </row>
        <row r="1081">
          <cell r="C1081">
            <v>377</v>
          </cell>
          <cell r="F1081">
            <v>1</v>
          </cell>
          <cell r="G1081">
            <v>1</v>
          </cell>
          <cell r="H1081">
            <v>46238</v>
          </cell>
          <cell r="I1081">
            <v>0</v>
          </cell>
          <cell r="J1081">
            <v>30</v>
          </cell>
          <cell r="K1081">
            <v>0</v>
          </cell>
          <cell r="L1081">
            <v>0</v>
          </cell>
          <cell r="M1081">
            <v>0</v>
          </cell>
          <cell r="N1081">
            <v>0</v>
          </cell>
          <cell r="O1081">
            <v>0</v>
          </cell>
          <cell r="P1081">
            <v>0</v>
          </cell>
        </row>
        <row r="1082">
          <cell r="C1082">
            <v>379</v>
          </cell>
          <cell r="F1082">
            <v>1</v>
          </cell>
          <cell r="G1082">
            <v>1</v>
          </cell>
          <cell r="H1082">
            <v>46238</v>
          </cell>
          <cell r="I1082">
            <v>0</v>
          </cell>
          <cell r="J1082">
            <v>1</v>
          </cell>
          <cell r="K1082">
            <v>0</v>
          </cell>
          <cell r="L1082">
            <v>0</v>
          </cell>
          <cell r="M1082">
            <v>0</v>
          </cell>
          <cell r="N1082">
            <v>0</v>
          </cell>
          <cell r="O1082">
            <v>0</v>
          </cell>
          <cell r="P1082">
            <v>0</v>
          </cell>
        </row>
        <row r="1083">
          <cell r="C1083">
            <v>365</v>
          </cell>
          <cell r="F1083">
            <v>1</v>
          </cell>
          <cell r="G1083">
            <v>1</v>
          </cell>
          <cell r="H1083">
            <v>46238</v>
          </cell>
          <cell r="I1083">
            <v>0</v>
          </cell>
          <cell r="J1083">
            <v>1</v>
          </cell>
          <cell r="K1083">
            <v>0</v>
          </cell>
          <cell r="L1083">
            <v>0</v>
          </cell>
          <cell r="M1083">
            <v>0</v>
          </cell>
          <cell r="N1083">
            <v>0</v>
          </cell>
          <cell r="O1083">
            <v>0</v>
          </cell>
          <cell r="P1083">
            <v>0</v>
          </cell>
        </row>
        <row r="1084">
          <cell r="C1084">
            <v>101</v>
          </cell>
          <cell r="F1084">
            <v>1</v>
          </cell>
          <cell r="G1084">
            <v>1</v>
          </cell>
          <cell r="H1084">
            <v>46238</v>
          </cell>
          <cell r="I1084">
            <v>0</v>
          </cell>
          <cell r="J1084">
            <v>1000</v>
          </cell>
          <cell r="K1084">
            <v>0</v>
          </cell>
          <cell r="L1084">
            <v>0</v>
          </cell>
          <cell r="M1084">
            <v>0</v>
          </cell>
          <cell r="N1084">
            <v>0</v>
          </cell>
          <cell r="O1084">
            <v>0</v>
          </cell>
          <cell r="P1084">
            <v>0</v>
          </cell>
        </row>
        <row r="1085">
          <cell r="C1085">
            <v>103</v>
          </cell>
          <cell r="F1085">
            <v>1</v>
          </cell>
          <cell r="G1085">
            <v>1</v>
          </cell>
          <cell r="H1085">
            <v>46238</v>
          </cell>
          <cell r="I1085">
            <v>0</v>
          </cell>
          <cell r="J1085">
            <v>2</v>
          </cell>
          <cell r="K1085">
            <v>0</v>
          </cell>
          <cell r="L1085">
            <v>0</v>
          </cell>
          <cell r="M1085">
            <v>0</v>
          </cell>
          <cell r="N1085">
            <v>0</v>
          </cell>
          <cell r="O1085">
            <v>0</v>
          </cell>
          <cell r="P1085">
            <v>0</v>
          </cell>
        </row>
        <row r="1086">
          <cell r="C1086">
            <v>366</v>
          </cell>
          <cell r="F1086">
            <v>1</v>
          </cell>
          <cell r="G1086">
            <v>1</v>
          </cell>
          <cell r="H1086">
            <v>46238</v>
          </cell>
          <cell r="I1086">
            <v>0</v>
          </cell>
          <cell r="J1086">
            <v>2</v>
          </cell>
          <cell r="K1086">
            <v>0</v>
          </cell>
          <cell r="L1086">
            <v>0</v>
          </cell>
          <cell r="M1086">
            <v>0</v>
          </cell>
          <cell r="N1086">
            <v>0</v>
          </cell>
          <cell r="O1086">
            <v>0</v>
          </cell>
          <cell r="P1086">
            <v>0</v>
          </cell>
        </row>
        <row r="1087">
          <cell r="C1087">
            <v>165</v>
          </cell>
          <cell r="F1087">
            <v>1</v>
          </cell>
          <cell r="G1087">
            <v>1</v>
          </cell>
          <cell r="H1087">
            <v>46238</v>
          </cell>
          <cell r="I1087">
            <v>0</v>
          </cell>
          <cell r="J1087">
            <v>1</v>
          </cell>
          <cell r="K1087">
            <v>0</v>
          </cell>
          <cell r="L1087">
            <v>0</v>
          </cell>
          <cell r="M1087">
            <v>0</v>
          </cell>
          <cell r="N1087">
            <v>0</v>
          </cell>
          <cell r="O1087">
            <v>0</v>
          </cell>
          <cell r="P1087">
            <v>0</v>
          </cell>
        </row>
        <row r="1088">
          <cell r="C1088">
            <v>163</v>
          </cell>
          <cell r="F1088">
            <v>1</v>
          </cell>
          <cell r="G1088">
            <v>1</v>
          </cell>
          <cell r="H1088">
            <v>46238</v>
          </cell>
          <cell r="I1088">
            <v>0</v>
          </cell>
          <cell r="J1088">
            <v>1</v>
          </cell>
          <cell r="K1088">
            <v>0</v>
          </cell>
          <cell r="L1088">
            <v>0</v>
          </cell>
          <cell r="M1088">
            <v>0</v>
          </cell>
          <cell r="N1088">
            <v>0</v>
          </cell>
          <cell r="O1088">
            <v>0</v>
          </cell>
          <cell r="P1088">
            <v>0</v>
          </cell>
        </row>
        <row r="1089">
          <cell r="C1089">
            <v>169</v>
          </cell>
          <cell r="F1089">
            <v>1</v>
          </cell>
          <cell r="G1089">
            <v>1</v>
          </cell>
          <cell r="H1089">
            <v>46238</v>
          </cell>
          <cell r="I1089">
            <v>0</v>
          </cell>
          <cell r="J1089">
            <v>5</v>
          </cell>
          <cell r="K1089">
            <v>0</v>
          </cell>
          <cell r="L1089">
            <v>0</v>
          </cell>
          <cell r="M1089">
            <v>0</v>
          </cell>
          <cell r="N1089">
            <v>0</v>
          </cell>
          <cell r="O1089">
            <v>0</v>
          </cell>
          <cell r="P1089">
            <v>0</v>
          </cell>
        </row>
        <row r="1090">
          <cell r="C1090">
            <v>144</v>
          </cell>
          <cell r="F1090">
            <v>1</v>
          </cell>
          <cell r="G1090">
            <v>1</v>
          </cell>
          <cell r="H1090">
            <v>46238</v>
          </cell>
          <cell r="I1090">
            <v>0</v>
          </cell>
          <cell r="J1090">
            <v>2</v>
          </cell>
          <cell r="K1090">
            <v>0</v>
          </cell>
          <cell r="L1090">
            <v>0</v>
          </cell>
          <cell r="M1090">
            <v>0</v>
          </cell>
          <cell r="N1090">
            <v>0</v>
          </cell>
          <cell r="O1090">
            <v>0</v>
          </cell>
          <cell r="P1090">
            <v>0</v>
          </cell>
        </row>
        <row r="1091">
          <cell r="C1091">
            <v>145</v>
          </cell>
          <cell r="F1091">
            <v>1</v>
          </cell>
          <cell r="G1091">
            <v>1</v>
          </cell>
          <cell r="H1091">
            <v>46238</v>
          </cell>
          <cell r="I1091">
            <v>0</v>
          </cell>
          <cell r="J1091">
            <v>3</v>
          </cell>
          <cell r="K1091">
            <v>0</v>
          </cell>
          <cell r="L1091">
            <v>0</v>
          </cell>
          <cell r="M1091">
            <v>0</v>
          </cell>
          <cell r="N1091">
            <v>0</v>
          </cell>
          <cell r="O1091">
            <v>0</v>
          </cell>
          <cell r="P1091">
            <v>0</v>
          </cell>
        </row>
        <row r="1092">
          <cell r="C1092">
            <v>185</v>
          </cell>
          <cell r="F1092">
            <v>1</v>
          </cell>
          <cell r="G1092">
            <v>1</v>
          </cell>
          <cell r="H1092">
            <v>46238</v>
          </cell>
          <cell r="I1092">
            <v>0</v>
          </cell>
          <cell r="J1092">
            <v>12</v>
          </cell>
          <cell r="K1092">
            <v>0</v>
          </cell>
          <cell r="L1092">
            <v>0</v>
          </cell>
          <cell r="M1092">
            <v>0</v>
          </cell>
          <cell r="N1092">
            <v>0</v>
          </cell>
          <cell r="O1092">
            <v>0</v>
          </cell>
          <cell r="P1092">
            <v>0</v>
          </cell>
        </row>
        <row r="1093">
          <cell r="C1093">
            <v>182</v>
          </cell>
          <cell r="F1093">
            <v>1</v>
          </cell>
          <cell r="G1093">
            <v>1</v>
          </cell>
          <cell r="H1093">
            <v>46238</v>
          </cell>
          <cell r="I1093">
            <v>0</v>
          </cell>
          <cell r="J1093">
            <v>12</v>
          </cell>
          <cell r="K1093">
            <v>0</v>
          </cell>
          <cell r="L1093">
            <v>0</v>
          </cell>
          <cell r="M1093">
            <v>0</v>
          </cell>
          <cell r="N1093">
            <v>0</v>
          </cell>
          <cell r="O1093">
            <v>0</v>
          </cell>
          <cell r="P1093">
            <v>0</v>
          </cell>
        </row>
        <row r="1094">
          <cell r="C1094">
            <v>198</v>
          </cell>
          <cell r="F1094">
            <v>1</v>
          </cell>
          <cell r="G1094">
            <v>1</v>
          </cell>
          <cell r="H1094">
            <v>46238</v>
          </cell>
          <cell r="I1094">
            <v>0</v>
          </cell>
          <cell r="J1094">
            <v>4</v>
          </cell>
          <cell r="K1094">
            <v>0</v>
          </cell>
          <cell r="L1094">
            <v>0</v>
          </cell>
          <cell r="M1094">
            <v>0</v>
          </cell>
          <cell r="N1094">
            <v>0</v>
          </cell>
          <cell r="O1094">
            <v>0</v>
          </cell>
          <cell r="P1094">
            <v>0</v>
          </cell>
        </row>
        <row r="1095">
          <cell r="C1095">
            <v>241</v>
          </cell>
          <cell r="F1095">
            <v>1</v>
          </cell>
          <cell r="G1095">
            <v>1</v>
          </cell>
          <cell r="H1095">
            <v>46238</v>
          </cell>
          <cell r="I1095">
            <v>0</v>
          </cell>
          <cell r="J1095">
            <v>2</v>
          </cell>
          <cell r="K1095">
            <v>0</v>
          </cell>
          <cell r="L1095">
            <v>0</v>
          </cell>
          <cell r="M1095">
            <v>0</v>
          </cell>
          <cell r="N1095">
            <v>0</v>
          </cell>
          <cell r="O1095">
            <v>0</v>
          </cell>
          <cell r="P1095">
            <v>0</v>
          </cell>
        </row>
        <row r="1096">
          <cell r="C1096">
            <v>172</v>
          </cell>
          <cell r="F1096">
            <v>1</v>
          </cell>
          <cell r="G1096">
            <v>1</v>
          </cell>
          <cell r="H1096">
            <v>46238</v>
          </cell>
          <cell r="I1096">
            <v>0</v>
          </cell>
          <cell r="J1096">
            <v>1</v>
          </cell>
          <cell r="K1096">
            <v>0</v>
          </cell>
          <cell r="L1096">
            <v>0</v>
          </cell>
          <cell r="M1096">
            <v>0</v>
          </cell>
          <cell r="N1096">
            <v>0</v>
          </cell>
          <cell r="O1096">
            <v>0</v>
          </cell>
          <cell r="P1096">
            <v>0</v>
          </cell>
        </row>
        <row r="1097">
          <cell r="C1097">
            <v>367</v>
          </cell>
          <cell r="F1097">
            <v>1</v>
          </cell>
          <cell r="G1097">
            <v>1</v>
          </cell>
          <cell r="H1097">
            <v>46238</v>
          </cell>
          <cell r="I1097">
            <v>0</v>
          </cell>
          <cell r="J1097">
            <v>2</v>
          </cell>
          <cell r="K1097">
            <v>0</v>
          </cell>
          <cell r="L1097">
            <v>0</v>
          </cell>
          <cell r="M1097">
            <v>0</v>
          </cell>
          <cell r="N1097">
            <v>0</v>
          </cell>
          <cell r="O1097">
            <v>0</v>
          </cell>
          <cell r="P1097">
            <v>0</v>
          </cell>
        </row>
        <row r="1098">
          <cell r="C1098">
            <v>150</v>
          </cell>
          <cell r="F1098">
            <v>1</v>
          </cell>
          <cell r="G1098">
            <v>1</v>
          </cell>
          <cell r="H1098">
            <v>46238</v>
          </cell>
          <cell r="I1098">
            <v>0</v>
          </cell>
          <cell r="J1098">
            <v>2</v>
          </cell>
          <cell r="K1098">
            <v>0</v>
          </cell>
          <cell r="L1098">
            <v>0</v>
          </cell>
          <cell r="M1098">
            <v>0</v>
          </cell>
          <cell r="N1098">
            <v>0</v>
          </cell>
          <cell r="O1098">
            <v>0</v>
          </cell>
          <cell r="P1098">
            <v>0</v>
          </cell>
        </row>
        <row r="1099">
          <cell r="C1099">
            <v>385</v>
          </cell>
          <cell r="F1099">
            <v>1</v>
          </cell>
          <cell r="G1099">
            <v>1</v>
          </cell>
          <cell r="H1099">
            <v>46239</v>
          </cell>
          <cell r="I1099">
            <v>0</v>
          </cell>
          <cell r="J1099">
            <v>3</v>
          </cell>
          <cell r="K1099">
            <v>0</v>
          </cell>
          <cell r="L1099">
            <v>0</v>
          </cell>
          <cell r="M1099">
            <v>0</v>
          </cell>
          <cell r="N1099">
            <v>0</v>
          </cell>
          <cell r="O1099">
            <v>0</v>
          </cell>
          <cell r="P1099">
            <v>0</v>
          </cell>
        </row>
        <row r="1100">
          <cell r="C1100">
            <v>386</v>
          </cell>
          <cell r="F1100">
            <v>1</v>
          </cell>
          <cell r="G1100">
            <v>1</v>
          </cell>
          <cell r="H1100">
            <v>46239</v>
          </cell>
          <cell r="I1100">
            <v>0</v>
          </cell>
          <cell r="J1100">
            <v>4</v>
          </cell>
          <cell r="K1100">
            <v>0</v>
          </cell>
          <cell r="L1100">
            <v>0</v>
          </cell>
          <cell r="M1100">
            <v>0</v>
          </cell>
          <cell r="N1100">
            <v>0</v>
          </cell>
          <cell r="O1100">
            <v>0</v>
          </cell>
          <cell r="P1100">
            <v>0</v>
          </cell>
        </row>
        <row r="1101">
          <cell r="C1101">
            <v>381</v>
          </cell>
          <cell r="F1101">
            <v>1</v>
          </cell>
          <cell r="G1101">
            <v>1</v>
          </cell>
          <cell r="H1101">
            <v>46239</v>
          </cell>
          <cell r="I1101">
            <v>0</v>
          </cell>
          <cell r="J1101">
            <v>2</v>
          </cell>
          <cell r="K1101">
            <v>0</v>
          </cell>
          <cell r="L1101">
            <v>0</v>
          </cell>
          <cell r="M1101">
            <v>0</v>
          </cell>
          <cell r="N1101">
            <v>0</v>
          </cell>
          <cell r="O1101">
            <v>0</v>
          </cell>
          <cell r="P1101">
            <v>0</v>
          </cell>
        </row>
        <row r="1102">
          <cell r="C1102">
            <v>382</v>
          </cell>
          <cell r="F1102">
            <v>1</v>
          </cell>
          <cell r="G1102">
            <v>1</v>
          </cell>
          <cell r="H1102">
            <v>46239</v>
          </cell>
          <cell r="I1102">
            <v>0</v>
          </cell>
          <cell r="J1102">
            <v>3</v>
          </cell>
          <cell r="K1102">
            <v>0</v>
          </cell>
          <cell r="L1102">
            <v>0</v>
          </cell>
          <cell r="M1102">
            <v>0</v>
          </cell>
          <cell r="N1102">
            <v>0</v>
          </cell>
          <cell r="O1102">
            <v>0</v>
          </cell>
          <cell r="P1102">
            <v>0</v>
          </cell>
        </row>
        <row r="1103">
          <cell r="C1103">
            <v>412</v>
          </cell>
          <cell r="F1103">
            <v>1</v>
          </cell>
          <cell r="G1103">
            <v>1</v>
          </cell>
          <cell r="H1103">
            <v>46239</v>
          </cell>
          <cell r="I1103">
            <v>0</v>
          </cell>
          <cell r="J1103">
            <v>1</v>
          </cell>
          <cell r="K1103">
            <v>0</v>
          </cell>
          <cell r="L1103">
            <v>0</v>
          </cell>
          <cell r="M1103">
            <v>0</v>
          </cell>
          <cell r="N1103">
            <v>0</v>
          </cell>
          <cell r="O1103">
            <v>0</v>
          </cell>
          <cell r="P1103">
            <v>0</v>
          </cell>
        </row>
        <row r="1104">
          <cell r="C1104">
            <v>376</v>
          </cell>
          <cell r="F1104">
            <v>1</v>
          </cell>
          <cell r="G1104">
            <v>1</v>
          </cell>
          <cell r="H1104">
            <v>46239</v>
          </cell>
          <cell r="I1104">
            <v>0</v>
          </cell>
          <cell r="J1104">
            <v>4</v>
          </cell>
          <cell r="K1104">
            <v>0</v>
          </cell>
          <cell r="L1104">
            <v>0</v>
          </cell>
          <cell r="M1104">
            <v>0</v>
          </cell>
          <cell r="N1104">
            <v>0</v>
          </cell>
          <cell r="O1104">
            <v>0</v>
          </cell>
          <cell r="P1104">
            <v>0</v>
          </cell>
        </row>
        <row r="1105">
          <cell r="C1105">
            <v>276</v>
          </cell>
          <cell r="F1105">
            <v>1</v>
          </cell>
          <cell r="G1105">
            <v>1</v>
          </cell>
          <cell r="H1105">
            <v>46239</v>
          </cell>
          <cell r="I1105">
            <v>0</v>
          </cell>
          <cell r="J1105">
            <v>6</v>
          </cell>
          <cell r="K1105">
            <v>0</v>
          </cell>
          <cell r="L1105">
            <v>0</v>
          </cell>
          <cell r="M1105">
            <v>0</v>
          </cell>
          <cell r="N1105">
            <v>0</v>
          </cell>
          <cell r="O1105">
            <v>0</v>
          </cell>
          <cell r="P1105">
            <v>0</v>
          </cell>
        </row>
        <row r="1106">
          <cell r="C1106">
            <v>79</v>
          </cell>
          <cell r="F1106">
            <v>1</v>
          </cell>
          <cell r="G1106">
            <v>1</v>
          </cell>
          <cell r="H1106">
            <v>46239</v>
          </cell>
          <cell r="I1106">
            <v>0</v>
          </cell>
          <cell r="J1106">
            <v>20</v>
          </cell>
          <cell r="K1106">
            <v>0</v>
          </cell>
          <cell r="L1106">
            <v>0</v>
          </cell>
          <cell r="M1106">
            <v>0</v>
          </cell>
          <cell r="N1106">
            <v>0</v>
          </cell>
          <cell r="O1106">
            <v>0</v>
          </cell>
          <cell r="P1106">
            <v>0</v>
          </cell>
        </row>
        <row r="1107">
          <cell r="C1107">
            <v>108</v>
          </cell>
          <cell r="F1107">
            <v>1</v>
          </cell>
          <cell r="G1107">
            <v>1</v>
          </cell>
          <cell r="H1107">
            <v>46239</v>
          </cell>
          <cell r="I1107">
            <v>0</v>
          </cell>
          <cell r="J1107">
            <v>3</v>
          </cell>
          <cell r="K1107">
            <v>0</v>
          </cell>
          <cell r="L1107">
            <v>0</v>
          </cell>
          <cell r="M1107">
            <v>0</v>
          </cell>
          <cell r="N1107">
            <v>0</v>
          </cell>
          <cell r="O1107">
            <v>0</v>
          </cell>
          <cell r="P1107">
            <v>0</v>
          </cell>
        </row>
        <row r="1108">
          <cell r="C1108">
            <v>371</v>
          </cell>
          <cell r="F1108">
            <v>1</v>
          </cell>
          <cell r="G1108">
            <v>1</v>
          </cell>
          <cell r="H1108">
            <v>46239</v>
          </cell>
          <cell r="I1108">
            <v>0</v>
          </cell>
          <cell r="J1108">
            <v>1</v>
          </cell>
          <cell r="K1108">
            <v>0</v>
          </cell>
          <cell r="L1108">
            <v>0</v>
          </cell>
          <cell r="M1108">
            <v>0</v>
          </cell>
          <cell r="N1108">
            <v>0</v>
          </cell>
          <cell r="O1108">
            <v>0</v>
          </cell>
          <cell r="P1108">
            <v>0</v>
          </cell>
        </row>
        <row r="1109">
          <cell r="C1109">
            <v>390</v>
          </cell>
          <cell r="F1109">
            <v>1</v>
          </cell>
          <cell r="G1109">
            <v>1</v>
          </cell>
          <cell r="H1109">
            <v>46239</v>
          </cell>
          <cell r="I1109">
            <v>0</v>
          </cell>
          <cell r="J1109">
            <v>4</v>
          </cell>
          <cell r="K1109">
            <v>0</v>
          </cell>
          <cell r="L1109">
            <v>0</v>
          </cell>
          <cell r="M1109">
            <v>0</v>
          </cell>
          <cell r="N1109">
            <v>0</v>
          </cell>
          <cell r="O1109">
            <v>0</v>
          </cell>
          <cell r="P1109">
            <v>0</v>
          </cell>
        </row>
        <row r="1110">
          <cell r="C1110">
            <v>394</v>
          </cell>
          <cell r="F1110">
            <v>1</v>
          </cell>
          <cell r="G1110">
            <v>1</v>
          </cell>
          <cell r="H1110">
            <v>46239</v>
          </cell>
          <cell r="I1110">
            <v>0</v>
          </cell>
          <cell r="J1110">
            <v>1</v>
          </cell>
          <cell r="K1110">
            <v>0</v>
          </cell>
          <cell r="L1110">
            <v>0</v>
          </cell>
          <cell r="M1110">
            <v>0</v>
          </cell>
          <cell r="N1110">
            <v>0</v>
          </cell>
          <cell r="O1110">
            <v>0</v>
          </cell>
          <cell r="P1110">
            <v>0</v>
          </cell>
        </row>
        <row r="1111">
          <cell r="C1111">
            <v>401</v>
          </cell>
          <cell r="F1111">
            <v>1</v>
          </cell>
          <cell r="G1111">
            <v>1</v>
          </cell>
          <cell r="H1111">
            <v>46239</v>
          </cell>
          <cell r="I1111">
            <v>0</v>
          </cell>
          <cell r="J1111">
            <v>1</v>
          </cell>
          <cell r="K1111">
            <v>0</v>
          </cell>
          <cell r="L1111">
            <v>0</v>
          </cell>
          <cell r="M1111">
            <v>0</v>
          </cell>
          <cell r="N1111">
            <v>0</v>
          </cell>
          <cell r="O1111">
            <v>0</v>
          </cell>
          <cell r="P1111">
            <v>0</v>
          </cell>
        </row>
        <row r="1112">
          <cell r="C1112">
            <v>402</v>
          </cell>
          <cell r="F1112">
            <v>1</v>
          </cell>
          <cell r="G1112">
            <v>1</v>
          </cell>
          <cell r="H1112">
            <v>46239</v>
          </cell>
          <cell r="I1112">
            <v>0</v>
          </cell>
          <cell r="J1112">
            <v>1</v>
          </cell>
          <cell r="K1112">
            <v>0</v>
          </cell>
          <cell r="L1112">
            <v>0</v>
          </cell>
          <cell r="M1112">
            <v>0</v>
          </cell>
          <cell r="N1112">
            <v>0</v>
          </cell>
          <cell r="O1112">
            <v>0</v>
          </cell>
          <cell r="P1112">
            <v>0</v>
          </cell>
        </row>
        <row r="1113">
          <cell r="C1113">
            <v>380</v>
          </cell>
          <cell r="F1113">
            <v>1</v>
          </cell>
          <cell r="G1113">
            <v>1</v>
          </cell>
          <cell r="H1113">
            <v>46239</v>
          </cell>
          <cell r="I1113">
            <v>0</v>
          </cell>
          <cell r="J1113">
            <v>2</v>
          </cell>
          <cell r="K1113">
            <v>0</v>
          </cell>
          <cell r="L1113">
            <v>0</v>
          </cell>
          <cell r="M1113">
            <v>0</v>
          </cell>
          <cell r="N1113">
            <v>0</v>
          </cell>
          <cell r="O1113">
            <v>0</v>
          </cell>
          <cell r="P1113">
            <v>0</v>
          </cell>
        </row>
        <row r="1114">
          <cell r="C1114">
            <v>378</v>
          </cell>
          <cell r="F1114">
            <v>1</v>
          </cell>
          <cell r="G1114">
            <v>1</v>
          </cell>
          <cell r="H1114">
            <v>46239</v>
          </cell>
          <cell r="I1114">
            <v>0</v>
          </cell>
          <cell r="J1114">
            <v>1</v>
          </cell>
          <cell r="K1114">
            <v>0</v>
          </cell>
          <cell r="L1114">
            <v>0</v>
          </cell>
          <cell r="M1114">
            <v>0</v>
          </cell>
          <cell r="N1114">
            <v>0</v>
          </cell>
          <cell r="O1114">
            <v>0</v>
          </cell>
          <cell r="P1114">
            <v>0</v>
          </cell>
        </row>
        <row r="1115">
          <cell r="C1115">
            <v>368</v>
          </cell>
          <cell r="F1115">
            <v>1</v>
          </cell>
          <cell r="G1115">
            <v>1</v>
          </cell>
          <cell r="H1115">
            <v>46239</v>
          </cell>
          <cell r="I1115">
            <v>0</v>
          </cell>
          <cell r="J1115">
            <v>5</v>
          </cell>
          <cell r="K1115">
            <v>0</v>
          </cell>
          <cell r="L1115">
            <v>0</v>
          </cell>
          <cell r="M1115">
            <v>0</v>
          </cell>
          <cell r="N1115">
            <v>0</v>
          </cell>
          <cell r="O1115">
            <v>0</v>
          </cell>
          <cell r="P1115">
            <v>0</v>
          </cell>
        </row>
        <row r="1116">
          <cell r="C1116">
            <v>369</v>
          </cell>
          <cell r="F1116">
            <v>1</v>
          </cell>
          <cell r="G1116">
            <v>1</v>
          </cell>
          <cell r="H1116">
            <v>46239</v>
          </cell>
          <cell r="I1116">
            <v>0</v>
          </cell>
          <cell r="J1116">
            <v>4</v>
          </cell>
          <cell r="K1116">
            <v>0</v>
          </cell>
          <cell r="L1116">
            <v>0</v>
          </cell>
          <cell r="M1116">
            <v>0</v>
          </cell>
          <cell r="N1116">
            <v>0</v>
          </cell>
          <cell r="O1116">
            <v>0</v>
          </cell>
          <cell r="P1116">
            <v>0</v>
          </cell>
        </row>
        <row r="1117">
          <cell r="C1117">
            <v>97</v>
          </cell>
          <cell r="F1117">
            <v>1</v>
          </cell>
          <cell r="G1117">
            <v>1</v>
          </cell>
          <cell r="H1117">
            <v>46239</v>
          </cell>
          <cell r="I1117">
            <v>0</v>
          </cell>
          <cell r="J1117">
            <v>2</v>
          </cell>
          <cell r="K1117">
            <v>0</v>
          </cell>
          <cell r="L1117">
            <v>0</v>
          </cell>
          <cell r="M1117">
            <v>0</v>
          </cell>
          <cell r="N1117">
            <v>0</v>
          </cell>
          <cell r="O1117">
            <v>0</v>
          </cell>
          <cell r="P1117">
            <v>0</v>
          </cell>
        </row>
        <row r="1118">
          <cell r="C1118">
            <v>96</v>
          </cell>
          <cell r="F1118">
            <v>1</v>
          </cell>
          <cell r="G1118">
            <v>1</v>
          </cell>
          <cell r="H1118">
            <v>46239</v>
          </cell>
          <cell r="I1118">
            <v>0</v>
          </cell>
          <cell r="J1118">
            <v>6</v>
          </cell>
          <cell r="K1118">
            <v>0</v>
          </cell>
          <cell r="L1118">
            <v>0</v>
          </cell>
          <cell r="M1118">
            <v>0</v>
          </cell>
          <cell r="N1118">
            <v>0</v>
          </cell>
          <cell r="O1118">
            <v>0</v>
          </cell>
          <cell r="P1118">
            <v>0</v>
          </cell>
        </row>
        <row r="1119">
          <cell r="C1119">
            <v>377</v>
          </cell>
          <cell r="F1119">
            <v>1</v>
          </cell>
          <cell r="G1119">
            <v>1</v>
          </cell>
          <cell r="H1119">
            <v>46239</v>
          </cell>
          <cell r="I1119">
            <v>0</v>
          </cell>
          <cell r="J1119">
            <v>35</v>
          </cell>
          <cell r="K1119">
            <v>0</v>
          </cell>
          <cell r="L1119">
            <v>0</v>
          </cell>
          <cell r="M1119">
            <v>0</v>
          </cell>
          <cell r="N1119">
            <v>0</v>
          </cell>
          <cell r="O1119">
            <v>0</v>
          </cell>
          <cell r="P1119">
            <v>0</v>
          </cell>
        </row>
        <row r="1120">
          <cell r="C1120">
            <v>384</v>
          </cell>
          <cell r="F1120">
            <v>1</v>
          </cell>
          <cell r="G1120">
            <v>1</v>
          </cell>
          <cell r="H1120">
            <v>46239</v>
          </cell>
          <cell r="I1120">
            <v>0</v>
          </cell>
          <cell r="J1120">
            <v>4</v>
          </cell>
          <cell r="K1120">
            <v>0</v>
          </cell>
          <cell r="L1120">
            <v>0</v>
          </cell>
          <cell r="M1120">
            <v>0</v>
          </cell>
          <cell r="N1120">
            <v>0</v>
          </cell>
          <cell r="O1120">
            <v>0</v>
          </cell>
          <cell r="P1120">
            <v>0</v>
          </cell>
        </row>
        <row r="1121">
          <cell r="C1121">
            <v>77</v>
          </cell>
          <cell r="F1121">
            <v>1</v>
          </cell>
          <cell r="G1121">
            <v>1</v>
          </cell>
          <cell r="H1121">
            <v>46239</v>
          </cell>
          <cell r="I1121">
            <v>0</v>
          </cell>
          <cell r="J1121">
            <v>10</v>
          </cell>
          <cell r="K1121">
            <v>0</v>
          </cell>
          <cell r="L1121">
            <v>0</v>
          </cell>
          <cell r="M1121">
            <v>0</v>
          </cell>
          <cell r="N1121">
            <v>0</v>
          </cell>
          <cell r="O1121">
            <v>0</v>
          </cell>
          <cell r="P1121">
            <v>0</v>
          </cell>
        </row>
        <row r="1122">
          <cell r="C1122">
            <v>101</v>
          </cell>
          <cell r="F1122">
            <v>1</v>
          </cell>
          <cell r="G1122">
            <v>1</v>
          </cell>
          <cell r="H1122">
            <v>46239</v>
          </cell>
          <cell r="I1122">
            <v>0</v>
          </cell>
          <cell r="J1122">
            <v>1000</v>
          </cell>
          <cell r="K1122">
            <v>0</v>
          </cell>
          <cell r="L1122">
            <v>0</v>
          </cell>
          <cell r="M1122">
            <v>0</v>
          </cell>
          <cell r="N1122">
            <v>0</v>
          </cell>
          <cell r="O1122">
            <v>0</v>
          </cell>
          <cell r="P1122">
            <v>0</v>
          </cell>
        </row>
        <row r="1123">
          <cell r="C1123">
            <v>395</v>
          </cell>
          <cell r="F1123">
            <v>1</v>
          </cell>
          <cell r="G1123">
            <v>1</v>
          </cell>
          <cell r="H1123">
            <v>46238</v>
          </cell>
          <cell r="I1123">
            <v>0</v>
          </cell>
          <cell r="J1123">
            <v>0</v>
          </cell>
          <cell r="K1123">
            <v>0</v>
          </cell>
          <cell r="L1123">
            <v>21</v>
          </cell>
          <cell r="M1123">
            <v>0</v>
          </cell>
          <cell r="N1123">
            <v>0</v>
          </cell>
          <cell r="O1123">
            <v>0</v>
          </cell>
          <cell r="P1123">
            <v>0</v>
          </cell>
        </row>
        <row r="1124">
          <cell r="C1124">
            <v>399</v>
          </cell>
          <cell r="F1124">
            <v>1</v>
          </cell>
          <cell r="G1124">
            <v>1</v>
          </cell>
          <cell r="H1124">
            <v>46238</v>
          </cell>
          <cell r="I1124">
            <v>0</v>
          </cell>
          <cell r="J1124">
            <v>0</v>
          </cell>
          <cell r="K1124">
            <v>0</v>
          </cell>
          <cell r="L1124">
            <v>21</v>
          </cell>
          <cell r="M1124">
            <v>0</v>
          </cell>
          <cell r="N1124">
            <v>0</v>
          </cell>
          <cell r="O1124">
            <v>0</v>
          </cell>
          <cell r="P1124">
            <v>0</v>
          </cell>
        </row>
        <row r="1125">
          <cell r="C1125">
            <v>187</v>
          </cell>
          <cell r="F1125">
            <v>1</v>
          </cell>
          <cell r="G1125">
            <v>1</v>
          </cell>
          <cell r="H1125">
            <v>46235</v>
          </cell>
          <cell r="I1125">
            <v>0</v>
          </cell>
          <cell r="J1125">
            <v>0</v>
          </cell>
          <cell r="K1125">
            <v>0</v>
          </cell>
          <cell r="L1125">
            <v>40</v>
          </cell>
          <cell r="M1125">
            <v>0</v>
          </cell>
          <cell r="N1125">
            <v>0</v>
          </cell>
          <cell r="O1125">
            <v>0</v>
          </cell>
          <cell r="P1125">
            <v>0</v>
          </cell>
        </row>
        <row r="1126">
          <cell r="C1126">
            <v>195</v>
          </cell>
          <cell r="F1126">
            <v>1</v>
          </cell>
          <cell r="G1126">
            <v>1</v>
          </cell>
          <cell r="H1126">
            <v>46235</v>
          </cell>
          <cell r="I1126">
            <v>0</v>
          </cell>
          <cell r="J1126">
            <v>0</v>
          </cell>
          <cell r="K1126">
            <v>0</v>
          </cell>
          <cell r="L1126">
            <v>40</v>
          </cell>
          <cell r="M1126">
            <v>0</v>
          </cell>
          <cell r="N1126">
            <v>0</v>
          </cell>
          <cell r="O1126">
            <v>0</v>
          </cell>
          <cell r="P1126">
            <v>0</v>
          </cell>
        </row>
        <row r="1127">
          <cell r="C1127">
            <v>197</v>
          </cell>
          <cell r="F1127">
            <v>1</v>
          </cell>
          <cell r="G1127">
            <v>1</v>
          </cell>
          <cell r="H1127">
            <v>46235</v>
          </cell>
          <cell r="I1127">
            <v>0</v>
          </cell>
          <cell r="J1127">
            <v>0</v>
          </cell>
          <cell r="K1127">
            <v>0</v>
          </cell>
          <cell r="L1127">
            <v>40</v>
          </cell>
          <cell r="M1127">
            <v>0</v>
          </cell>
          <cell r="N1127">
            <v>0</v>
          </cell>
          <cell r="O1127">
            <v>0</v>
          </cell>
          <cell r="P1127">
            <v>0</v>
          </cell>
        </row>
        <row r="1128">
          <cell r="C1128">
            <v>199</v>
          </cell>
          <cell r="F1128">
            <v>1</v>
          </cell>
          <cell r="G1128">
            <v>1</v>
          </cell>
          <cell r="H1128">
            <v>46235</v>
          </cell>
          <cell r="I1128">
            <v>0</v>
          </cell>
          <cell r="J1128">
            <v>0</v>
          </cell>
          <cell r="K1128">
            <v>0</v>
          </cell>
          <cell r="L1128">
            <v>40</v>
          </cell>
          <cell r="M1128">
            <v>0</v>
          </cell>
          <cell r="N1128">
            <v>0</v>
          </cell>
          <cell r="O1128">
            <v>0</v>
          </cell>
          <cell r="P1128">
            <v>0</v>
          </cell>
        </row>
        <row r="1129">
          <cell r="C1129">
            <v>349</v>
          </cell>
          <cell r="F1129">
            <v>1</v>
          </cell>
          <cell r="G1129">
            <v>1</v>
          </cell>
          <cell r="H1129">
            <v>46235</v>
          </cell>
          <cell r="I1129">
            <v>0</v>
          </cell>
          <cell r="J1129">
            <v>0</v>
          </cell>
          <cell r="K1129">
            <v>0</v>
          </cell>
          <cell r="L1129">
            <v>10</v>
          </cell>
          <cell r="M1129">
            <v>0</v>
          </cell>
          <cell r="N1129">
            <v>0</v>
          </cell>
          <cell r="O1129">
            <v>0</v>
          </cell>
          <cell r="P1129">
            <v>0</v>
          </cell>
        </row>
        <row r="1130">
          <cell r="C1130">
            <v>243</v>
          </cell>
          <cell r="F1130">
            <v>1</v>
          </cell>
          <cell r="G1130">
            <v>1</v>
          </cell>
          <cell r="H1130">
            <v>46235</v>
          </cell>
          <cell r="I1130">
            <v>0</v>
          </cell>
          <cell r="J1130">
            <v>0</v>
          </cell>
          <cell r="K1130">
            <v>0</v>
          </cell>
          <cell r="L1130">
            <v>10</v>
          </cell>
          <cell r="M1130">
            <v>0</v>
          </cell>
          <cell r="N1130">
            <v>0</v>
          </cell>
          <cell r="O1130">
            <v>0</v>
          </cell>
          <cell r="P1130">
            <v>0</v>
          </cell>
        </row>
        <row r="1131">
          <cell r="C1131">
            <v>358</v>
          </cell>
          <cell r="F1131">
            <v>1</v>
          </cell>
          <cell r="G1131">
            <v>1</v>
          </cell>
          <cell r="H1131">
            <v>46235</v>
          </cell>
          <cell r="I1131">
            <v>0</v>
          </cell>
          <cell r="J1131">
            <v>0</v>
          </cell>
          <cell r="K1131">
            <v>0</v>
          </cell>
          <cell r="L1131">
            <v>20</v>
          </cell>
          <cell r="M1131">
            <v>0</v>
          </cell>
          <cell r="N1131">
            <v>0</v>
          </cell>
          <cell r="O1131">
            <v>0</v>
          </cell>
          <cell r="P1131">
            <v>0</v>
          </cell>
        </row>
        <row r="1132">
          <cell r="C1132">
            <v>178</v>
          </cell>
          <cell r="F1132">
            <v>1</v>
          </cell>
          <cell r="G1132">
            <v>1</v>
          </cell>
          <cell r="H1132">
            <v>46235</v>
          </cell>
          <cell r="I1132">
            <v>0</v>
          </cell>
          <cell r="J1132">
            <v>0</v>
          </cell>
          <cell r="K1132">
            <v>0</v>
          </cell>
          <cell r="L1132">
            <v>500</v>
          </cell>
          <cell r="M1132">
            <v>0</v>
          </cell>
          <cell r="N1132">
            <v>0</v>
          </cell>
          <cell r="O1132">
            <v>0</v>
          </cell>
          <cell r="P1132">
            <v>0</v>
          </cell>
        </row>
        <row r="1133">
          <cell r="C1133">
            <v>305</v>
          </cell>
          <cell r="F1133">
            <v>1</v>
          </cell>
          <cell r="G1133">
            <v>1</v>
          </cell>
          <cell r="H1133">
            <v>46235</v>
          </cell>
          <cell r="I1133">
            <v>0</v>
          </cell>
          <cell r="J1133">
            <v>0</v>
          </cell>
          <cell r="K1133">
            <v>0</v>
          </cell>
          <cell r="L1133">
            <v>10000</v>
          </cell>
          <cell r="M1133">
            <v>0</v>
          </cell>
          <cell r="N1133">
            <v>0</v>
          </cell>
          <cell r="O1133">
            <v>0</v>
          </cell>
          <cell r="P1133">
            <v>0</v>
          </cell>
        </row>
        <row r="1134">
          <cell r="C1134">
            <v>395</v>
          </cell>
          <cell r="F1134">
            <v>1</v>
          </cell>
          <cell r="G1134">
            <v>1</v>
          </cell>
          <cell r="H1134">
            <v>46240</v>
          </cell>
          <cell r="I1134">
            <v>0</v>
          </cell>
          <cell r="J1134">
            <v>3</v>
          </cell>
          <cell r="K1134">
            <v>0</v>
          </cell>
          <cell r="L1134">
            <v>0</v>
          </cell>
          <cell r="M1134">
            <v>0</v>
          </cell>
          <cell r="N1134">
            <v>0</v>
          </cell>
          <cell r="O1134">
            <v>0</v>
          </cell>
          <cell r="P1134">
            <v>0</v>
          </cell>
        </row>
        <row r="1135">
          <cell r="C1135">
            <v>399</v>
          </cell>
          <cell r="F1135">
            <v>1</v>
          </cell>
          <cell r="G1135">
            <v>1</v>
          </cell>
          <cell r="H1135">
            <v>46240</v>
          </cell>
          <cell r="I1135">
            <v>0</v>
          </cell>
          <cell r="J1135">
            <v>2</v>
          </cell>
          <cell r="K1135">
            <v>0</v>
          </cell>
          <cell r="L1135">
            <v>0</v>
          </cell>
          <cell r="M1135">
            <v>0</v>
          </cell>
          <cell r="N1135">
            <v>0</v>
          </cell>
          <cell r="O1135">
            <v>0</v>
          </cell>
          <cell r="P1135">
            <v>0</v>
          </cell>
        </row>
        <row r="1136">
          <cell r="C1136">
            <v>177</v>
          </cell>
          <cell r="F1136">
            <v>1</v>
          </cell>
          <cell r="G1136">
            <v>1</v>
          </cell>
          <cell r="H1136">
            <v>46240</v>
          </cell>
          <cell r="I1136">
            <v>0</v>
          </cell>
          <cell r="J1136">
            <v>800</v>
          </cell>
          <cell r="K1136">
            <v>0</v>
          </cell>
          <cell r="L1136">
            <v>0</v>
          </cell>
          <cell r="M1136">
            <v>0</v>
          </cell>
          <cell r="N1136">
            <v>0</v>
          </cell>
          <cell r="O1136">
            <v>0</v>
          </cell>
          <cell r="P1136">
            <v>0</v>
          </cell>
        </row>
        <row r="1137">
          <cell r="C1137">
            <v>183</v>
          </cell>
          <cell r="F1137">
            <v>1</v>
          </cell>
          <cell r="G1137">
            <v>1</v>
          </cell>
          <cell r="H1137">
            <v>46240</v>
          </cell>
          <cell r="I1137">
            <v>0</v>
          </cell>
          <cell r="J1137">
            <v>12</v>
          </cell>
          <cell r="K1137">
            <v>0</v>
          </cell>
          <cell r="L1137">
            <v>0</v>
          </cell>
          <cell r="M1137">
            <v>0</v>
          </cell>
          <cell r="N1137">
            <v>0</v>
          </cell>
          <cell r="O1137">
            <v>0</v>
          </cell>
          <cell r="P1137">
            <v>0</v>
          </cell>
        </row>
        <row r="1138">
          <cell r="C1138">
            <v>181</v>
          </cell>
          <cell r="F1138">
            <v>1</v>
          </cell>
          <cell r="G1138">
            <v>1</v>
          </cell>
          <cell r="H1138">
            <v>46240</v>
          </cell>
          <cell r="I1138">
            <v>0</v>
          </cell>
          <cell r="J1138">
            <v>24</v>
          </cell>
          <cell r="K1138">
            <v>0</v>
          </cell>
          <cell r="L1138">
            <v>0</v>
          </cell>
          <cell r="M1138">
            <v>0</v>
          </cell>
          <cell r="N1138">
            <v>0</v>
          </cell>
          <cell r="O1138">
            <v>0</v>
          </cell>
          <cell r="P1138">
            <v>0</v>
          </cell>
        </row>
        <row r="1139">
          <cell r="C1139">
            <v>198</v>
          </cell>
          <cell r="F1139">
            <v>1</v>
          </cell>
          <cell r="G1139">
            <v>1</v>
          </cell>
          <cell r="H1139">
            <v>46240</v>
          </cell>
          <cell r="I1139">
            <v>0</v>
          </cell>
          <cell r="J1139">
            <v>4</v>
          </cell>
          <cell r="K1139">
            <v>0</v>
          </cell>
          <cell r="L1139">
            <v>0</v>
          </cell>
          <cell r="M1139">
            <v>0</v>
          </cell>
          <cell r="N1139">
            <v>0</v>
          </cell>
          <cell r="O1139">
            <v>0</v>
          </cell>
          <cell r="P1139">
            <v>0</v>
          </cell>
        </row>
        <row r="1140">
          <cell r="C1140">
            <v>377</v>
          </cell>
          <cell r="F1140">
            <v>1</v>
          </cell>
          <cell r="G1140">
            <v>1</v>
          </cell>
          <cell r="H1140">
            <v>46240</v>
          </cell>
          <cell r="I1140">
            <v>0</v>
          </cell>
          <cell r="J1140">
            <v>20</v>
          </cell>
          <cell r="K1140">
            <v>0</v>
          </cell>
          <cell r="L1140">
            <v>0</v>
          </cell>
          <cell r="M1140">
            <v>0</v>
          </cell>
          <cell r="N1140">
            <v>0</v>
          </cell>
          <cell r="O1140">
            <v>0</v>
          </cell>
          <cell r="P1140">
            <v>0</v>
          </cell>
        </row>
        <row r="1141">
          <cell r="C1141">
            <v>92</v>
          </cell>
          <cell r="F1141">
            <v>1</v>
          </cell>
          <cell r="G1141">
            <v>1</v>
          </cell>
          <cell r="H1141">
            <v>46240</v>
          </cell>
          <cell r="I1141">
            <v>0</v>
          </cell>
          <cell r="J1141">
            <v>1</v>
          </cell>
          <cell r="K1141">
            <v>0</v>
          </cell>
          <cell r="L1141">
            <v>0</v>
          </cell>
          <cell r="M1141">
            <v>0</v>
          </cell>
          <cell r="N1141">
            <v>0</v>
          </cell>
          <cell r="O1141">
            <v>0</v>
          </cell>
          <cell r="P1141">
            <v>0</v>
          </cell>
        </row>
        <row r="1142">
          <cell r="C1142">
            <v>125</v>
          </cell>
          <cell r="F1142">
            <v>1</v>
          </cell>
          <cell r="G1142">
            <v>1</v>
          </cell>
          <cell r="H1142">
            <v>46240</v>
          </cell>
          <cell r="I1142">
            <v>0</v>
          </cell>
          <cell r="J1142">
            <v>25</v>
          </cell>
          <cell r="K1142">
            <v>0</v>
          </cell>
          <cell r="L1142">
            <v>0</v>
          </cell>
          <cell r="M1142">
            <v>0</v>
          </cell>
          <cell r="N1142">
            <v>0</v>
          </cell>
          <cell r="O1142">
            <v>0</v>
          </cell>
          <cell r="P1142">
            <v>0</v>
          </cell>
        </row>
        <row r="1143">
          <cell r="C1143">
            <v>284</v>
          </cell>
          <cell r="F1143">
            <v>1</v>
          </cell>
          <cell r="G1143">
            <v>1</v>
          </cell>
          <cell r="H1143">
            <v>46240</v>
          </cell>
          <cell r="I1143">
            <v>0</v>
          </cell>
          <cell r="J1143">
            <v>10</v>
          </cell>
          <cell r="K1143">
            <v>0</v>
          </cell>
          <cell r="L1143">
            <v>0</v>
          </cell>
          <cell r="M1143">
            <v>0</v>
          </cell>
          <cell r="N1143">
            <v>0</v>
          </cell>
          <cell r="O1143">
            <v>0</v>
          </cell>
          <cell r="P1143">
            <v>0</v>
          </cell>
        </row>
        <row r="1144">
          <cell r="C1144">
            <v>96</v>
          </cell>
          <cell r="F1144">
            <v>1</v>
          </cell>
          <cell r="G1144">
            <v>1</v>
          </cell>
          <cell r="H1144">
            <v>46240</v>
          </cell>
          <cell r="I1144">
            <v>0</v>
          </cell>
          <cell r="J1144">
            <v>2</v>
          </cell>
          <cell r="K1144">
            <v>0</v>
          </cell>
          <cell r="L1144">
            <v>0</v>
          </cell>
          <cell r="M1144">
            <v>0</v>
          </cell>
          <cell r="N1144">
            <v>0</v>
          </cell>
          <cell r="O1144">
            <v>0</v>
          </cell>
          <cell r="P1144">
            <v>0</v>
          </cell>
        </row>
        <row r="1145">
          <cell r="C1145">
            <v>424</v>
          </cell>
          <cell r="F1145">
            <v>1</v>
          </cell>
          <cell r="G1145">
            <v>1</v>
          </cell>
          <cell r="H1145">
            <v>46240</v>
          </cell>
          <cell r="I1145">
            <v>0</v>
          </cell>
          <cell r="J1145">
            <v>1</v>
          </cell>
          <cell r="K1145">
            <v>0</v>
          </cell>
          <cell r="L1145">
            <v>0</v>
          </cell>
          <cell r="M1145">
            <v>0</v>
          </cell>
          <cell r="N1145">
            <v>0</v>
          </cell>
          <cell r="O1145">
            <v>0</v>
          </cell>
          <cell r="P1145">
            <v>0</v>
          </cell>
        </row>
        <row r="1146">
          <cell r="C1146">
            <v>276</v>
          </cell>
          <cell r="F1146">
            <v>1</v>
          </cell>
          <cell r="G1146">
            <v>1</v>
          </cell>
          <cell r="H1146">
            <v>46240</v>
          </cell>
          <cell r="I1146">
            <v>0</v>
          </cell>
          <cell r="J1146">
            <v>2</v>
          </cell>
          <cell r="K1146">
            <v>0</v>
          </cell>
          <cell r="L1146">
            <v>0</v>
          </cell>
          <cell r="M1146">
            <v>0</v>
          </cell>
          <cell r="N1146">
            <v>0</v>
          </cell>
          <cell r="O1146">
            <v>0</v>
          </cell>
          <cell r="P1146">
            <v>0</v>
          </cell>
        </row>
        <row r="1147">
          <cell r="C1147">
            <v>101</v>
          </cell>
          <cell r="F1147">
            <v>1</v>
          </cell>
          <cell r="G1147">
            <v>1</v>
          </cell>
          <cell r="H1147">
            <v>46240</v>
          </cell>
          <cell r="I1147">
            <v>0</v>
          </cell>
          <cell r="J1147">
            <v>1000</v>
          </cell>
          <cell r="K1147">
            <v>0</v>
          </cell>
          <cell r="L1147">
            <v>0</v>
          </cell>
          <cell r="M1147">
            <v>0</v>
          </cell>
          <cell r="N1147">
            <v>0</v>
          </cell>
          <cell r="O1147">
            <v>0</v>
          </cell>
          <cell r="P1147">
            <v>0</v>
          </cell>
        </row>
        <row r="1148">
          <cell r="C1148">
            <v>378</v>
          </cell>
          <cell r="F1148">
            <v>1</v>
          </cell>
          <cell r="G1148">
            <v>1</v>
          </cell>
          <cell r="H1148">
            <v>46240</v>
          </cell>
          <cell r="I1148">
            <v>0</v>
          </cell>
          <cell r="J1148">
            <v>1</v>
          </cell>
          <cell r="K1148">
            <v>0</v>
          </cell>
          <cell r="L1148">
            <v>0</v>
          </cell>
          <cell r="M1148">
            <v>0</v>
          </cell>
          <cell r="N1148">
            <v>0</v>
          </cell>
          <cell r="O1148">
            <v>0</v>
          </cell>
          <cell r="P1148">
            <v>0</v>
          </cell>
        </row>
        <row r="1149">
          <cell r="C1149">
            <v>108</v>
          </cell>
          <cell r="F1149">
            <v>1</v>
          </cell>
          <cell r="G1149">
            <v>1</v>
          </cell>
          <cell r="H1149">
            <v>46240</v>
          </cell>
          <cell r="I1149">
            <v>0</v>
          </cell>
          <cell r="J1149">
            <v>1</v>
          </cell>
          <cell r="K1149">
            <v>0</v>
          </cell>
          <cell r="L1149">
            <v>0</v>
          </cell>
          <cell r="M1149">
            <v>0</v>
          </cell>
          <cell r="N1149">
            <v>0</v>
          </cell>
          <cell r="O1149">
            <v>0</v>
          </cell>
          <cell r="P1149">
            <v>0</v>
          </cell>
        </row>
        <row r="1150">
          <cell r="C1150">
            <v>366</v>
          </cell>
          <cell r="F1150">
            <v>1</v>
          </cell>
          <cell r="G1150">
            <v>1</v>
          </cell>
          <cell r="H1150">
            <v>46240</v>
          </cell>
          <cell r="I1150">
            <v>0</v>
          </cell>
          <cell r="J1150">
            <v>1</v>
          </cell>
          <cell r="K1150">
            <v>0</v>
          </cell>
          <cell r="L1150">
            <v>0</v>
          </cell>
          <cell r="M1150">
            <v>0</v>
          </cell>
          <cell r="N1150">
            <v>0</v>
          </cell>
          <cell r="O1150">
            <v>0</v>
          </cell>
          <cell r="P1150">
            <v>0</v>
          </cell>
        </row>
        <row r="1151">
          <cell r="C1151">
            <v>241</v>
          </cell>
          <cell r="F1151">
            <v>1</v>
          </cell>
          <cell r="G1151">
            <v>1</v>
          </cell>
          <cell r="H1151">
            <v>46240</v>
          </cell>
          <cell r="I1151">
            <v>0</v>
          </cell>
          <cell r="J1151">
            <v>1</v>
          </cell>
          <cell r="K1151">
            <v>0</v>
          </cell>
          <cell r="L1151">
            <v>0</v>
          </cell>
          <cell r="M1151">
            <v>0</v>
          </cell>
          <cell r="N1151">
            <v>0</v>
          </cell>
          <cell r="O1151">
            <v>0</v>
          </cell>
          <cell r="P1151">
            <v>0</v>
          </cell>
        </row>
        <row r="1152">
          <cell r="C1152">
            <v>9</v>
          </cell>
          <cell r="F1152">
            <v>1</v>
          </cell>
          <cell r="G1152">
            <v>1</v>
          </cell>
          <cell r="H1152">
            <v>46240</v>
          </cell>
          <cell r="I1152">
            <v>0</v>
          </cell>
          <cell r="J1152">
            <v>8</v>
          </cell>
          <cell r="K1152">
            <v>0</v>
          </cell>
          <cell r="L1152">
            <v>0</v>
          </cell>
          <cell r="M1152">
            <v>0</v>
          </cell>
          <cell r="N1152">
            <v>0</v>
          </cell>
          <cell r="O1152">
            <v>0</v>
          </cell>
          <cell r="P1152">
            <v>0</v>
          </cell>
        </row>
        <row r="1153">
          <cell r="C1153">
            <v>50</v>
          </cell>
          <cell r="F1153">
            <v>1</v>
          </cell>
          <cell r="G1153">
            <v>1</v>
          </cell>
          <cell r="H1153">
            <v>46240</v>
          </cell>
          <cell r="I1153">
            <v>0</v>
          </cell>
          <cell r="J1153">
            <v>8</v>
          </cell>
          <cell r="K1153">
            <v>0</v>
          </cell>
          <cell r="L1153">
            <v>0</v>
          </cell>
          <cell r="M1153">
            <v>0</v>
          </cell>
          <cell r="N1153">
            <v>0</v>
          </cell>
          <cell r="O1153">
            <v>0</v>
          </cell>
          <cell r="P1153">
            <v>0</v>
          </cell>
        </row>
        <row r="1154">
          <cell r="C1154">
            <v>8</v>
          </cell>
          <cell r="F1154">
            <v>1</v>
          </cell>
          <cell r="G1154">
            <v>1</v>
          </cell>
          <cell r="H1154">
            <v>46240</v>
          </cell>
          <cell r="I1154">
            <v>0</v>
          </cell>
          <cell r="J1154">
            <v>4</v>
          </cell>
          <cell r="K1154">
            <v>0</v>
          </cell>
          <cell r="L1154">
            <v>0</v>
          </cell>
          <cell r="M1154">
            <v>0</v>
          </cell>
          <cell r="N1154">
            <v>0</v>
          </cell>
          <cell r="O1154">
            <v>0</v>
          </cell>
          <cell r="P1154">
            <v>0</v>
          </cell>
        </row>
        <row r="1155">
          <cell r="C1155">
            <v>10</v>
          </cell>
          <cell r="F1155">
            <v>1</v>
          </cell>
          <cell r="G1155">
            <v>1</v>
          </cell>
          <cell r="H1155">
            <v>46240</v>
          </cell>
          <cell r="I1155">
            <v>0</v>
          </cell>
          <cell r="J1155">
            <v>4</v>
          </cell>
          <cell r="K1155">
            <v>0</v>
          </cell>
          <cell r="L1155">
            <v>0</v>
          </cell>
          <cell r="M1155">
            <v>0</v>
          </cell>
          <cell r="N1155">
            <v>0</v>
          </cell>
          <cell r="O1155">
            <v>0</v>
          </cell>
          <cell r="P1155">
            <v>0</v>
          </cell>
        </row>
        <row r="1156">
          <cell r="C1156">
            <v>26</v>
          </cell>
          <cell r="F1156">
            <v>1</v>
          </cell>
          <cell r="G1156">
            <v>1</v>
          </cell>
          <cell r="H1156">
            <v>46240</v>
          </cell>
          <cell r="I1156">
            <v>0</v>
          </cell>
          <cell r="J1156">
            <v>1</v>
          </cell>
          <cell r="K1156">
            <v>0</v>
          </cell>
          <cell r="L1156">
            <v>0</v>
          </cell>
          <cell r="M1156">
            <v>0</v>
          </cell>
          <cell r="N1156">
            <v>0</v>
          </cell>
          <cell r="O1156">
            <v>0</v>
          </cell>
          <cell r="P1156">
            <v>0</v>
          </cell>
        </row>
        <row r="1157">
          <cell r="C1157">
            <v>29</v>
          </cell>
          <cell r="F1157">
            <v>1</v>
          </cell>
          <cell r="G1157">
            <v>1</v>
          </cell>
          <cell r="H1157">
            <v>46240</v>
          </cell>
          <cell r="I1157">
            <v>0</v>
          </cell>
          <cell r="J1157">
            <v>1</v>
          </cell>
          <cell r="K1157">
            <v>0</v>
          </cell>
          <cell r="L1157">
            <v>0</v>
          </cell>
          <cell r="M1157">
            <v>0</v>
          </cell>
          <cell r="N1157">
            <v>0</v>
          </cell>
          <cell r="O1157">
            <v>0</v>
          </cell>
          <cell r="P1157">
            <v>0</v>
          </cell>
        </row>
        <row r="1158">
          <cell r="C1158">
            <v>343</v>
          </cell>
          <cell r="F1158">
            <v>1</v>
          </cell>
          <cell r="G1158">
            <v>1</v>
          </cell>
          <cell r="H1158">
            <v>46240</v>
          </cell>
          <cell r="I1158">
            <v>0</v>
          </cell>
          <cell r="J1158">
            <v>2</v>
          </cell>
          <cell r="K1158">
            <v>0</v>
          </cell>
          <cell r="L1158">
            <v>0</v>
          </cell>
          <cell r="M1158">
            <v>0</v>
          </cell>
          <cell r="N1158">
            <v>0</v>
          </cell>
          <cell r="O1158">
            <v>0</v>
          </cell>
          <cell r="P1158">
            <v>0</v>
          </cell>
        </row>
        <row r="1159">
          <cell r="C1159">
            <v>46</v>
          </cell>
          <cell r="F1159">
            <v>1</v>
          </cell>
          <cell r="G1159">
            <v>1</v>
          </cell>
          <cell r="H1159">
            <v>46240</v>
          </cell>
          <cell r="I1159">
            <v>0</v>
          </cell>
          <cell r="J1159">
            <v>1</v>
          </cell>
          <cell r="K1159">
            <v>0</v>
          </cell>
          <cell r="L1159">
            <v>0</v>
          </cell>
          <cell r="M1159">
            <v>0</v>
          </cell>
          <cell r="N1159">
            <v>0</v>
          </cell>
          <cell r="O1159">
            <v>0</v>
          </cell>
          <cell r="P1159">
            <v>0</v>
          </cell>
        </row>
        <row r="1160">
          <cell r="C1160">
            <v>48</v>
          </cell>
          <cell r="F1160">
            <v>1</v>
          </cell>
          <cell r="G1160">
            <v>1</v>
          </cell>
          <cell r="H1160">
            <v>46240</v>
          </cell>
          <cell r="I1160">
            <v>0</v>
          </cell>
          <cell r="J1160">
            <v>2</v>
          </cell>
          <cell r="K1160">
            <v>0</v>
          </cell>
          <cell r="L1160">
            <v>0</v>
          </cell>
          <cell r="M1160">
            <v>0</v>
          </cell>
          <cell r="N1160">
            <v>0</v>
          </cell>
          <cell r="O1160">
            <v>0</v>
          </cell>
          <cell r="P1160">
            <v>0</v>
          </cell>
        </row>
        <row r="1161">
          <cell r="C1161">
            <v>187</v>
          </cell>
          <cell r="F1161">
            <v>1</v>
          </cell>
          <cell r="G1161">
            <v>1</v>
          </cell>
          <cell r="H1161">
            <v>46240</v>
          </cell>
          <cell r="I1161">
            <v>0</v>
          </cell>
          <cell r="J1161">
            <v>8</v>
          </cell>
          <cell r="K1161">
            <v>0</v>
          </cell>
          <cell r="L1161">
            <v>0</v>
          </cell>
          <cell r="M1161">
            <v>0</v>
          </cell>
          <cell r="N1161">
            <v>0</v>
          </cell>
          <cell r="O1161">
            <v>0</v>
          </cell>
          <cell r="P1161">
            <v>0</v>
          </cell>
        </row>
        <row r="1162">
          <cell r="C1162">
            <v>293</v>
          </cell>
          <cell r="F1162">
            <v>1</v>
          </cell>
          <cell r="G1162">
            <v>1</v>
          </cell>
          <cell r="H1162">
            <v>46240</v>
          </cell>
          <cell r="I1162">
            <v>0</v>
          </cell>
          <cell r="J1162">
            <v>15</v>
          </cell>
          <cell r="K1162">
            <v>0</v>
          </cell>
          <cell r="L1162">
            <v>0</v>
          </cell>
          <cell r="M1162">
            <v>0</v>
          </cell>
          <cell r="N1162">
            <v>0</v>
          </cell>
          <cell r="O1162">
            <v>0</v>
          </cell>
          <cell r="P1162">
            <v>0</v>
          </cell>
        </row>
        <row r="1163">
          <cell r="C1163">
            <v>294</v>
          </cell>
          <cell r="F1163">
            <v>1</v>
          </cell>
          <cell r="G1163">
            <v>1</v>
          </cell>
          <cell r="H1163">
            <v>46240</v>
          </cell>
          <cell r="I1163">
            <v>0</v>
          </cell>
          <cell r="J1163">
            <v>15</v>
          </cell>
          <cell r="K1163">
            <v>0</v>
          </cell>
          <cell r="L1163">
            <v>0</v>
          </cell>
          <cell r="M1163">
            <v>0</v>
          </cell>
          <cell r="N1163">
            <v>0</v>
          </cell>
          <cell r="O1163">
            <v>0</v>
          </cell>
          <cell r="P1163">
            <v>0</v>
          </cell>
        </row>
        <row r="1164">
          <cell r="C1164">
            <v>152</v>
          </cell>
          <cell r="F1164">
            <v>1</v>
          </cell>
          <cell r="G1164">
            <v>1</v>
          </cell>
          <cell r="H1164">
            <v>46240</v>
          </cell>
          <cell r="I1164">
            <v>0</v>
          </cell>
          <cell r="J1164">
            <v>1</v>
          </cell>
          <cell r="K1164">
            <v>0</v>
          </cell>
          <cell r="L1164">
            <v>0</v>
          </cell>
          <cell r="M1164">
            <v>0</v>
          </cell>
          <cell r="N1164">
            <v>0</v>
          </cell>
          <cell r="O1164">
            <v>0</v>
          </cell>
          <cell r="P1164">
            <v>0</v>
          </cell>
        </row>
        <row r="1165">
          <cell r="C1165">
            <v>167</v>
          </cell>
          <cell r="F1165">
            <v>1</v>
          </cell>
          <cell r="G1165">
            <v>1</v>
          </cell>
          <cell r="H1165">
            <v>46240</v>
          </cell>
          <cell r="I1165">
            <v>0</v>
          </cell>
          <cell r="J1165">
            <v>1</v>
          </cell>
          <cell r="K1165">
            <v>0</v>
          </cell>
          <cell r="L1165">
            <v>0</v>
          </cell>
          <cell r="M1165">
            <v>0</v>
          </cell>
          <cell r="N1165">
            <v>0</v>
          </cell>
          <cell r="O1165">
            <v>0</v>
          </cell>
          <cell r="P1165">
            <v>0</v>
          </cell>
        </row>
        <row r="1166">
          <cell r="C1166">
            <v>386</v>
          </cell>
          <cell r="F1166">
            <v>1</v>
          </cell>
          <cell r="G1166">
            <v>1</v>
          </cell>
          <cell r="H1166">
            <v>46240</v>
          </cell>
          <cell r="I1166">
            <v>0</v>
          </cell>
          <cell r="J1166">
            <v>1</v>
          </cell>
          <cell r="K1166">
            <v>0</v>
          </cell>
          <cell r="L1166">
            <v>0</v>
          </cell>
          <cell r="M1166">
            <v>0</v>
          </cell>
          <cell r="N1166">
            <v>0</v>
          </cell>
          <cell r="O1166">
            <v>0</v>
          </cell>
          <cell r="P1166">
            <v>0</v>
          </cell>
        </row>
        <row r="1167">
          <cell r="C1167">
            <v>384</v>
          </cell>
          <cell r="F1167">
            <v>1</v>
          </cell>
          <cell r="G1167">
            <v>1</v>
          </cell>
          <cell r="H1167">
            <v>46240</v>
          </cell>
          <cell r="I1167">
            <v>0</v>
          </cell>
          <cell r="J1167">
            <v>1</v>
          </cell>
          <cell r="K1167">
            <v>0</v>
          </cell>
          <cell r="L1167">
            <v>0</v>
          </cell>
          <cell r="M1167">
            <v>0</v>
          </cell>
          <cell r="N1167">
            <v>0</v>
          </cell>
          <cell r="O1167">
            <v>0</v>
          </cell>
          <cell r="P1167">
            <v>0</v>
          </cell>
        </row>
        <row r="1168">
          <cell r="C1168">
            <v>385</v>
          </cell>
          <cell r="F1168">
            <v>1</v>
          </cell>
          <cell r="G1168">
            <v>1</v>
          </cell>
          <cell r="H1168">
            <v>46240</v>
          </cell>
          <cell r="I1168">
            <v>0</v>
          </cell>
          <cell r="J1168">
            <v>1</v>
          </cell>
          <cell r="K1168">
            <v>0</v>
          </cell>
          <cell r="L1168">
            <v>0</v>
          </cell>
          <cell r="M1168">
            <v>0</v>
          </cell>
          <cell r="N1168">
            <v>0</v>
          </cell>
          <cell r="O1168">
            <v>0</v>
          </cell>
          <cell r="P1168">
            <v>0</v>
          </cell>
        </row>
        <row r="1169">
          <cell r="C1169">
            <v>383</v>
          </cell>
          <cell r="F1169">
            <v>1</v>
          </cell>
          <cell r="G1169">
            <v>1</v>
          </cell>
          <cell r="H1169">
            <v>46240</v>
          </cell>
          <cell r="I1169">
            <v>0</v>
          </cell>
          <cell r="J1169">
            <v>1</v>
          </cell>
          <cell r="K1169">
            <v>0</v>
          </cell>
          <cell r="L1169">
            <v>0</v>
          </cell>
          <cell r="M1169">
            <v>0</v>
          </cell>
          <cell r="N1169">
            <v>0</v>
          </cell>
          <cell r="O1169">
            <v>0</v>
          </cell>
          <cell r="P1169">
            <v>0</v>
          </cell>
        </row>
        <row r="1170">
          <cell r="C1170">
            <v>382</v>
          </cell>
          <cell r="F1170">
            <v>1</v>
          </cell>
          <cell r="G1170">
            <v>1</v>
          </cell>
          <cell r="H1170">
            <v>46240</v>
          </cell>
          <cell r="I1170">
            <v>0</v>
          </cell>
          <cell r="J1170">
            <v>1</v>
          </cell>
          <cell r="K1170">
            <v>0</v>
          </cell>
          <cell r="L1170">
            <v>0</v>
          </cell>
          <cell r="M1170">
            <v>0</v>
          </cell>
          <cell r="N1170">
            <v>0</v>
          </cell>
          <cell r="O1170">
            <v>0</v>
          </cell>
          <cell r="P1170">
            <v>0</v>
          </cell>
        </row>
        <row r="1171">
          <cell r="C1171">
            <v>396</v>
          </cell>
          <cell r="F1171">
            <v>1</v>
          </cell>
          <cell r="G1171">
            <v>1</v>
          </cell>
          <cell r="H1171">
            <v>46241</v>
          </cell>
          <cell r="I1171">
            <v>0</v>
          </cell>
          <cell r="J1171">
            <v>0</v>
          </cell>
          <cell r="K1171">
            <v>0</v>
          </cell>
          <cell r="L1171">
            <v>20</v>
          </cell>
          <cell r="M1171">
            <v>0</v>
          </cell>
          <cell r="N1171">
            <v>0</v>
          </cell>
          <cell r="O1171">
            <v>0</v>
          </cell>
          <cell r="P1171">
            <v>0</v>
          </cell>
        </row>
        <row r="1172">
          <cell r="C1172">
            <v>398</v>
          </cell>
          <cell r="F1172">
            <v>1</v>
          </cell>
          <cell r="G1172">
            <v>1</v>
          </cell>
          <cell r="H1172">
            <v>46241</v>
          </cell>
          <cell r="I1172">
            <v>0</v>
          </cell>
          <cell r="J1172">
            <v>0</v>
          </cell>
          <cell r="K1172">
            <v>0</v>
          </cell>
          <cell r="L1172">
            <v>25</v>
          </cell>
          <cell r="M1172">
            <v>0</v>
          </cell>
          <cell r="N1172">
            <v>0</v>
          </cell>
          <cell r="O1172">
            <v>0</v>
          </cell>
          <cell r="P1172">
            <v>0</v>
          </cell>
        </row>
        <row r="1173">
          <cell r="C1173">
            <v>397</v>
          </cell>
          <cell r="F1173">
            <v>1</v>
          </cell>
          <cell r="G1173">
            <v>1</v>
          </cell>
          <cell r="H1173">
            <v>46241</v>
          </cell>
          <cell r="I1173">
            <v>0</v>
          </cell>
          <cell r="J1173">
            <v>0</v>
          </cell>
          <cell r="K1173">
            <v>0</v>
          </cell>
          <cell r="L1173">
            <v>800</v>
          </cell>
          <cell r="M1173">
            <v>0</v>
          </cell>
          <cell r="N1173">
            <v>0</v>
          </cell>
          <cell r="O1173">
            <v>0</v>
          </cell>
          <cell r="P1173">
            <v>0</v>
          </cell>
        </row>
        <row r="1174">
          <cell r="C1174">
            <v>433</v>
          </cell>
          <cell r="F1174">
            <v>1</v>
          </cell>
          <cell r="G1174">
            <v>1</v>
          </cell>
          <cell r="H1174">
            <v>46241</v>
          </cell>
          <cell r="I1174">
            <v>0</v>
          </cell>
          <cell r="J1174">
            <v>0</v>
          </cell>
          <cell r="K1174">
            <v>0</v>
          </cell>
          <cell r="L1174">
            <v>800</v>
          </cell>
          <cell r="M1174">
            <v>0</v>
          </cell>
          <cell r="N1174">
            <v>0</v>
          </cell>
          <cell r="O1174">
            <v>0</v>
          </cell>
          <cell r="P1174">
            <v>0</v>
          </cell>
        </row>
        <row r="1175">
          <cell r="C1175">
            <v>408</v>
          </cell>
          <cell r="F1175">
            <v>1</v>
          </cell>
          <cell r="G1175">
            <v>1</v>
          </cell>
          <cell r="H1175">
            <v>46241</v>
          </cell>
          <cell r="I1175">
            <v>0</v>
          </cell>
          <cell r="J1175">
            <v>0</v>
          </cell>
          <cell r="K1175">
            <v>0</v>
          </cell>
          <cell r="L1175">
            <v>10</v>
          </cell>
          <cell r="M1175">
            <v>0</v>
          </cell>
          <cell r="N1175">
            <v>0</v>
          </cell>
          <cell r="O1175">
            <v>0</v>
          </cell>
          <cell r="P1175">
            <v>0</v>
          </cell>
        </row>
        <row r="1176">
          <cell r="C1176">
            <v>409</v>
          </cell>
          <cell r="F1176">
            <v>1</v>
          </cell>
          <cell r="G1176">
            <v>1</v>
          </cell>
          <cell r="H1176">
            <v>46241</v>
          </cell>
          <cell r="I1176">
            <v>0</v>
          </cell>
          <cell r="J1176">
            <v>0</v>
          </cell>
          <cell r="K1176">
            <v>0</v>
          </cell>
          <cell r="L1176">
            <v>10</v>
          </cell>
          <cell r="M1176">
            <v>0</v>
          </cell>
          <cell r="N1176">
            <v>0</v>
          </cell>
          <cell r="O1176">
            <v>0</v>
          </cell>
          <cell r="P1176">
            <v>0</v>
          </cell>
        </row>
        <row r="1177">
          <cell r="C1177">
            <v>410</v>
          </cell>
          <cell r="F1177">
            <v>1</v>
          </cell>
          <cell r="G1177">
            <v>1</v>
          </cell>
          <cell r="H1177">
            <v>46241</v>
          </cell>
          <cell r="I1177">
            <v>0</v>
          </cell>
          <cell r="J1177">
            <v>0</v>
          </cell>
          <cell r="K1177">
            <v>0</v>
          </cell>
          <cell r="L1177">
            <v>10</v>
          </cell>
          <cell r="M1177">
            <v>0</v>
          </cell>
          <cell r="N1177">
            <v>0</v>
          </cell>
          <cell r="O1177">
            <v>0</v>
          </cell>
          <cell r="P1177">
            <v>0</v>
          </cell>
        </row>
        <row r="1178">
          <cell r="C1178">
            <v>391</v>
          </cell>
          <cell r="F1178">
            <v>1</v>
          </cell>
          <cell r="G1178">
            <v>1</v>
          </cell>
          <cell r="H1178">
            <v>46241</v>
          </cell>
          <cell r="I1178">
            <v>0</v>
          </cell>
          <cell r="J1178">
            <v>0</v>
          </cell>
          <cell r="K1178">
            <v>0</v>
          </cell>
          <cell r="L1178">
            <v>10</v>
          </cell>
          <cell r="M1178">
            <v>0</v>
          </cell>
          <cell r="N1178">
            <v>0</v>
          </cell>
          <cell r="O1178">
            <v>0</v>
          </cell>
          <cell r="P1178">
            <v>0</v>
          </cell>
        </row>
        <row r="1179">
          <cell r="C1179">
            <v>392</v>
          </cell>
          <cell r="F1179">
            <v>1</v>
          </cell>
          <cell r="G1179">
            <v>1</v>
          </cell>
          <cell r="H1179">
            <v>46241</v>
          </cell>
          <cell r="I1179">
            <v>0</v>
          </cell>
          <cell r="J1179">
            <v>0</v>
          </cell>
          <cell r="K1179">
            <v>0</v>
          </cell>
          <cell r="L1179">
            <v>10</v>
          </cell>
          <cell r="M1179">
            <v>0</v>
          </cell>
          <cell r="N1179">
            <v>0</v>
          </cell>
          <cell r="O1179">
            <v>0</v>
          </cell>
          <cell r="P1179">
            <v>0</v>
          </cell>
        </row>
        <row r="1180">
          <cell r="C1180">
            <v>393</v>
          </cell>
          <cell r="F1180">
            <v>1</v>
          </cell>
          <cell r="G1180">
            <v>1</v>
          </cell>
          <cell r="H1180">
            <v>46241</v>
          </cell>
          <cell r="I1180">
            <v>0</v>
          </cell>
          <cell r="J1180">
            <v>0</v>
          </cell>
          <cell r="K1180">
            <v>0</v>
          </cell>
          <cell r="L1180">
            <v>10</v>
          </cell>
          <cell r="M1180">
            <v>0</v>
          </cell>
          <cell r="N1180">
            <v>0</v>
          </cell>
          <cell r="O1180">
            <v>0</v>
          </cell>
          <cell r="P1180">
            <v>0</v>
          </cell>
        </row>
        <row r="1181">
          <cell r="C1181">
            <v>293</v>
          </cell>
          <cell r="F1181">
            <v>1</v>
          </cell>
          <cell r="G1181">
            <v>1</v>
          </cell>
          <cell r="H1181">
            <v>46241</v>
          </cell>
          <cell r="I1181">
            <v>0</v>
          </cell>
          <cell r="J1181">
            <v>93</v>
          </cell>
          <cell r="K1181">
            <v>0</v>
          </cell>
          <cell r="L1181">
            <v>0</v>
          </cell>
          <cell r="M1181">
            <v>0</v>
          </cell>
          <cell r="N1181">
            <v>0</v>
          </cell>
          <cell r="O1181">
            <v>0</v>
          </cell>
          <cell r="P1181">
            <v>0</v>
          </cell>
        </row>
        <row r="1182">
          <cell r="C1182">
            <v>176</v>
          </cell>
          <cell r="F1182">
            <v>1</v>
          </cell>
          <cell r="G1182">
            <v>1</v>
          </cell>
          <cell r="H1182">
            <v>46241</v>
          </cell>
          <cell r="I1182">
            <v>0</v>
          </cell>
          <cell r="J1182">
            <v>750</v>
          </cell>
          <cell r="K1182">
            <v>0</v>
          </cell>
          <cell r="L1182">
            <v>0</v>
          </cell>
          <cell r="M1182">
            <v>0</v>
          </cell>
          <cell r="N1182">
            <v>0</v>
          </cell>
          <cell r="O1182">
            <v>0</v>
          </cell>
          <cell r="P1182">
            <v>0</v>
          </cell>
        </row>
        <row r="1183">
          <cell r="C1183">
            <v>294</v>
          </cell>
          <cell r="F1183">
            <v>1</v>
          </cell>
          <cell r="G1183">
            <v>1</v>
          </cell>
          <cell r="H1183">
            <v>46241</v>
          </cell>
          <cell r="I1183">
            <v>0</v>
          </cell>
          <cell r="J1183">
            <v>23</v>
          </cell>
          <cell r="K1183">
            <v>0</v>
          </cell>
          <cell r="L1183">
            <v>0</v>
          </cell>
          <cell r="M1183">
            <v>0</v>
          </cell>
          <cell r="N1183">
            <v>0</v>
          </cell>
          <cell r="O1183">
            <v>0</v>
          </cell>
          <cell r="P1183">
            <v>0</v>
          </cell>
        </row>
        <row r="1184">
          <cell r="C1184">
            <v>358</v>
          </cell>
          <cell r="F1184">
            <v>1</v>
          </cell>
          <cell r="G1184">
            <v>1</v>
          </cell>
          <cell r="H1184">
            <v>46241</v>
          </cell>
          <cell r="I1184">
            <v>0</v>
          </cell>
          <cell r="J1184">
            <v>2</v>
          </cell>
          <cell r="K1184">
            <v>0</v>
          </cell>
          <cell r="L1184">
            <v>0</v>
          </cell>
          <cell r="M1184">
            <v>0</v>
          </cell>
          <cell r="N1184">
            <v>0</v>
          </cell>
          <cell r="O1184">
            <v>0</v>
          </cell>
          <cell r="P1184">
            <v>0</v>
          </cell>
        </row>
        <row r="1185">
          <cell r="C1185">
            <v>187</v>
          </cell>
          <cell r="F1185">
            <v>1</v>
          </cell>
          <cell r="G1185">
            <v>1</v>
          </cell>
          <cell r="H1185">
            <v>46241</v>
          </cell>
          <cell r="I1185">
            <v>0</v>
          </cell>
          <cell r="J1185">
            <v>4</v>
          </cell>
          <cell r="K1185">
            <v>0</v>
          </cell>
          <cell r="L1185">
            <v>0</v>
          </cell>
          <cell r="M1185">
            <v>0</v>
          </cell>
          <cell r="N1185">
            <v>0</v>
          </cell>
          <cell r="O1185">
            <v>0</v>
          </cell>
          <cell r="P1185">
            <v>0</v>
          </cell>
        </row>
        <row r="1186">
          <cell r="C1186">
            <v>183</v>
          </cell>
          <cell r="F1186">
            <v>1</v>
          </cell>
          <cell r="G1186">
            <v>1</v>
          </cell>
          <cell r="H1186">
            <v>46241</v>
          </cell>
          <cell r="I1186">
            <v>0</v>
          </cell>
          <cell r="J1186">
            <v>24</v>
          </cell>
          <cell r="K1186">
            <v>0</v>
          </cell>
          <cell r="L1186">
            <v>0</v>
          </cell>
          <cell r="M1186">
            <v>0</v>
          </cell>
          <cell r="N1186">
            <v>0</v>
          </cell>
          <cell r="O1186">
            <v>0</v>
          </cell>
          <cell r="P1186">
            <v>0</v>
          </cell>
        </row>
        <row r="1187">
          <cell r="C1187">
            <v>152</v>
          </cell>
          <cell r="F1187">
            <v>1</v>
          </cell>
          <cell r="G1187">
            <v>1</v>
          </cell>
          <cell r="H1187">
            <v>46241</v>
          </cell>
          <cell r="I1187">
            <v>0</v>
          </cell>
          <cell r="J1187">
            <v>1</v>
          </cell>
          <cell r="K1187">
            <v>0</v>
          </cell>
          <cell r="L1187">
            <v>0</v>
          </cell>
          <cell r="M1187">
            <v>0</v>
          </cell>
          <cell r="N1187">
            <v>0</v>
          </cell>
          <cell r="O1187">
            <v>0</v>
          </cell>
          <cell r="P1187">
            <v>0</v>
          </cell>
        </row>
        <row r="1188">
          <cell r="C1188">
            <v>305</v>
          </cell>
          <cell r="F1188">
            <v>1</v>
          </cell>
          <cell r="G1188">
            <v>1</v>
          </cell>
          <cell r="H1188">
            <v>46241</v>
          </cell>
          <cell r="I1188">
            <v>0</v>
          </cell>
          <cell r="J1188">
            <v>500</v>
          </cell>
          <cell r="K1188">
            <v>0</v>
          </cell>
          <cell r="L1188">
            <v>0</v>
          </cell>
          <cell r="M1188">
            <v>0</v>
          </cell>
          <cell r="N1188">
            <v>0</v>
          </cell>
          <cell r="O1188">
            <v>0</v>
          </cell>
          <cell r="P1188">
            <v>0</v>
          </cell>
        </row>
        <row r="1189">
          <cell r="C1189">
            <v>293</v>
          </cell>
          <cell r="F1189">
            <v>1</v>
          </cell>
          <cell r="G1189">
            <v>1</v>
          </cell>
          <cell r="H1189">
            <v>46242</v>
          </cell>
          <cell r="I1189">
            <v>0</v>
          </cell>
          <cell r="J1189">
            <v>1</v>
          </cell>
          <cell r="K1189">
            <v>0</v>
          </cell>
          <cell r="L1189">
            <v>0</v>
          </cell>
          <cell r="M1189">
            <v>0</v>
          </cell>
          <cell r="N1189">
            <v>0</v>
          </cell>
          <cell r="O1189">
            <v>0</v>
          </cell>
          <cell r="P1189">
            <v>0</v>
          </cell>
        </row>
        <row r="1190">
          <cell r="C1190">
            <v>177</v>
          </cell>
          <cell r="F1190">
            <v>1</v>
          </cell>
          <cell r="G1190">
            <v>1</v>
          </cell>
          <cell r="H1190">
            <v>46242</v>
          </cell>
          <cell r="I1190">
            <v>0</v>
          </cell>
          <cell r="J1190">
            <v>450</v>
          </cell>
          <cell r="K1190">
            <v>0</v>
          </cell>
          <cell r="L1190">
            <v>0</v>
          </cell>
          <cell r="M1190">
            <v>0</v>
          </cell>
          <cell r="N1190">
            <v>0</v>
          </cell>
          <cell r="O1190">
            <v>0</v>
          </cell>
          <cell r="P1190">
            <v>0</v>
          </cell>
        </row>
        <row r="1191">
          <cell r="C1191">
            <v>358</v>
          </cell>
          <cell r="F1191">
            <v>1</v>
          </cell>
          <cell r="G1191">
            <v>1</v>
          </cell>
          <cell r="H1191">
            <v>46242</v>
          </cell>
          <cell r="I1191">
            <v>0</v>
          </cell>
          <cell r="J1191">
            <v>1</v>
          </cell>
          <cell r="K1191">
            <v>0</v>
          </cell>
          <cell r="L1191">
            <v>0</v>
          </cell>
          <cell r="M1191">
            <v>0</v>
          </cell>
          <cell r="N1191">
            <v>0</v>
          </cell>
          <cell r="O1191">
            <v>0</v>
          </cell>
          <cell r="P1191">
            <v>0</v>
          </cell>
        </row>
        <row r="1192">
          <cell r="C1192">
            <v>197</v>
          </cell>
          <cell r="F1192">
            <v>1</v>
          </cell>
          <cell r="G1192">
            <v>1</v>
          </cell>
          <cell r="H1192">
            <v>46242</v>
          </cell>
          <cell r="I1192">
            <v>0</v>
          </cell>
          <cell r="J1192">
            <v>8</v>
          </cell>
          <cell r="K1192">
            <v>0</v>
          </cell>
          <cell r="L1192">
            <v>0</v>
          </cell>
          <cell r="M1192">
            <v>0</v>
          </cell>
          <cell r="N1192">
            <v>0</v>
          </cell>
          <cell r="O1192">
            <v>0</v>
          </cell>
          <cell r="P1192">
            <v>0</v>
          </cell>
        </row>
        <row r="1193">
          <cell r="C1193">
            <v>9</v>
          </cell>
          <cell r="F1193">
            <v>1</v>
          </cell>
          <cell r="G1193">
            <v>1</v>
          </cell>
          <cell r="H1193">
            <v>46242</v>
          </cell>
          <cell r="I1193">
            <v>0</v>
          </cell>
          <cell r="J1193">
            <v>8</v>
          </cell>
          <cell r="K1193">
            <v>0</v>
          </cell>
          <cell r="L1193">
            <v>0</v>
          </cell>
          <cell r="M1193">
            <v>0</v>
          </cell>
          <cell r="N1193">
            <v>0</v>
          </cell>
          <cell r="O1193">
            <v>0</v>
          </cell>
          <cell r="P1193">
            <v>0</v>
          </cell>
        </row>
        <row r="1194">
          <cell r="C1194">
            <v>16</v>
          </cell>
          <cell r="F1194">
            <v>1</v>
          </cell>
          <cell r="G1194">
            <v>1</v>
          </cell>
          <cell r="H1194">
            <v>46242</v>
          </cell>
          <cell r="I1194">
            <v>0</v>
          </cell>
          <cell r="J1194">
            <v>4</v>
          </cell>
          <cell r="K1194">
            <v>0</v>
          </cell>
          <cell r="L1194">
            <v>0</v>
          </cell>
          <cell r="M1194">
            <v>0</v>
          </cell>
          <cell r="N1194">
            <v>0</v>
          </cell>
          <cell r="O1194">
            <v>0</v>
          </cell>
          <cell r="P1194">
            <v>0</v>
          </cell>
        </row>
        <row r="1195">
          <cell r="C1195">
            <v>50</v>
          </cell>
          <cell r="F1195">
            <v>1</v>
          </cell>
          <cell r="G1195">
            <v>1</v>
          </cell>
          <cell r="H1195">
            <v>46242</v>
          </cell>
          <cell r="I1195">
            <v>0</v>
          </cell>
          <cell r="J1195">
            <v>1</v>
          </cell>
          <cell r="K1195">
            <v>0</v>
          </cell>
          <cell r="L1195">
            <v>0</v>
          </cell>
          <cell r="M1195">
            <v>0</v>
          </cell>
          <cell r="N1195">
            <v>0</v>
          </cell>
          <cell r="O1195">
            <v>0</v>
          </cell>
          <cell r="P1195">
            <v>0</v>
          </cell>
        </row>
        <row r="1196">
          <cell r="C1196">
            <v>44</v>
          </cell>
          <cell r="F1196">
            <v>1</v>
          </cell>
          <cell r="G1196">
            <v>1</v>
          </cell>
          <cell r="H1196">
            <v>46242</v>
          </cell>
          <cell r="I1196">
            <v>0</v>
          </cell>
          <cell r="J1196">
            <v>1</v>
          </cell>
          <cell r="K1196">
            <v>0</v>
          </cell>
          <cell r="L1196">
            <v>0</v>
          </cell>
          <cell r="M1196">
            <v>0</v>
          </cell>
          <cell r="N1196">
            <v>0</v>
          </cell>
          <cell r="O1196">
            <v>0</v>
          </cell>
          <cell r="P1196">
            <v>0</v>
          </cell>
        </row>
        <row r="1197">
          <cell r="C1197">
            <v>343</v>
          </cell>
          <cell r="F1197">
            <v>1</v>
          </cell>
          <cell r="G1197">
            <v>1</v>
          </cell>
          <cell r="H1197">
            <v>46242</v>
          </cell>
          <cell r="I1197">
            <v>0</v>
          </cell>
          <cell r="J1197">
            <v>1</v>
          </cell>
          <cell r="K1197">
            <v>0</v>
          </cell>
          <cell r="L1197">
            <v>0</v>
          </cell>
          <cell r="M1197">
            <v>0</v>
          </cell>
          <cell r="N1197">
            <v>0</v>
          </cell>
          <cell r="O1197">
            <v>0</v>
          </cell>
          <cell r="P1197">
            <v>0</v>
          </cell>
        </row>
        <row r="1198">
          <cell r="C1198">
            <v>401</v>
          </cell>
          <cell r="F1198">
            <v>1</v>
          </cell>
          <cell r="G1198">
            <v>1</v>
          </cell>
          <cell r="H1198">
            <v>46242</v>
          </cell>
          <cell r="I1198">
            <v>0</v>
          </cell>
          <cell r="J1198">
            <v>1</v>
          </cell>
          <cell r="K1198">
            <v>0</v>
          </cell>
          <cell r="L1198">
            <v>0</v>
          </cell>
          <cell r="M1198">
            <v>0</v>
          </cell>
          <cell r="N1198">
            <v>0</v>
          </cell>
          <cell r="O1198">
            <v>0</v>
          </cell>
          <cell r="P1198">
            <v>0</v>
          </cell>
        </row>
        <row r="1199">
          <cell r="C1199">
            <v>101</v>
          </cell>
          <cell r="F1199">
            <v>1</v>
          </cell>
          <cell r="G1199">
            <v>1</v>
          </cell>
          <cell r="H1199">
            <v>46242</v>
          </cell>
          <cell r="I1199">
            <v>0</v>
          </cell>
          <cell r="J1199">
            <v>4500</v>
          </cell>
          <cell r="K1199">
            <v>0</v>
          </cell>
          <cell r="L1199">
            <v>0</v>
          </cell>
          <cell r="M1199">
            <v>0</v>
          </cell>
          <cell r="N1199">
            <v>0</v>
          </cell>
          <cell r="O1199">
            <v>0</v>
          </cell>
          <cell r="P1199">
            <v>0</v>
          </cell>
        </row>
        <row r="1200">
          <cell r="C1200">
            <v>125</v>
          </cell>
          <cell r="F1200">
            <v>1</v>
          </cell>
          <cell r="G1200">
            <v>1</v>
          </cell>
          <cell r="H1200">
            <v>46242</v>
          </cell>
          <cell r="I1200">
            <v>0</v>
          </cell>
          <cell r="J1200">
            <v>100</v>
          </cell>
          <cell r="K1200">
            <v>0</v>
          </cell>
          <cell r="L1200">
            <v>0</v>
          </cell>
          <cell r="M1200">
            <v>0</v>
          </cell>
          <cell r="N1200">
            <v>0</v>
          </cell>
          <cell r="O1200">
            <v>0</v>
          </cell>
          <cell r="P1200">
            <v>0</v>
          </cell>
        </row>
        <row r="1201">
          <cell r="C1201">
            <v>131</v>
          </cell>
          <cell r="F1201">
            <v>1</v>
          </cell>
          <cell r="G1201">
            <v>1</v>
          </cell>
          <cell r="H1201">
            <v>46242</v>
          </cell>
          <cell r="I1201">
            <v>0</v>
          </cell>
          <cell r="J1201">
            <v>1</v>
          </cell>
          <cell r="K1201">
            <v>0</v>
          </cell>
          <cell r="L1201">
            <v>0</v>
          </cell>
          <cell r="M1201">
            <v>0</v>
          </cell>
          <cell r="N1201">
            <v>0</v>
          </cell>
          <cell r="O1201">
            <v>0</v>
          </cell>
          <cell r="P1201">
            <v>0</v>
          </cell>
        </row>
        <row r="1202">
          <cell r="C1202">
            <v>76</v>
          </cell>
          <cell r="F1202">
            <v>1</v>
          </cell>
          <cell r="G1202">
            <v>1</v>
          </cell>
          <cell r="H1202">
            <v>46242</v>
          </cell>
          <cell r="I1202">
            <v>0</v>
          </cell>
          <cell r="J1202">
            <v>1</v>
          </cell>
          <cell r="K1202">
            <v>0</v>
          </cell>
          <cell r="L1202">
            <v>0</v>
          </cell>
          <cell r="M1202">
            <v>0</v>
          </cell>
          <cell r="N1202">
            <v>0</v>
          </cell>
          <cell r="O1202">
            <v>0</v>
          </cell>
          <cell r="P1202">
            <v>0</v>
          </cell>
        </row>
        <row r="1203">
          <cell r="C1203">
            <v>77</v>
          </cell>
          <cell r="F1203">
            <v>1</v>
          </cell>
          <cell r="G1203">
            <v>1</v>
          </cell>
          <cell r="H1203">
            <v>46242</v>
          </cell>
          <cell r="I1203">
            <v>0</v>
          </cell>
          <cell r="J1203">
            <v>5</v>
          </cell>
          <cell r="K1203">
            <v>0</v>
          </cell>
          <cell r="L1203">
            <v>0</v>
          </cell>
          <cell r="M1203">
            <v>0</v>
          </cell>
          <cell r="N1203">
            <v>0</v>
          </cell>
          <cell r="O1203">
            <v>0</v>
          </cell>
          <cell r="P1203">
            <v>0</v>
          </cell>
        </row>
        <row r="1204">
          <cell r="C1204">
            <v>90</v>
          </cell>
          <cell r="F1204">
            <v>1</v>
          </cell>
          <cell r="G1204">
            <v>1</v>
          </cell>
          <cell r="H1204">
            <v>46242</v>
          </cell>
          <cell r="I1204">
            <v>0</v>
          </cell>
          <cell r="J1204">
            <v>2</v>
          </cell>
          <cell r="K1204">
            <v>0</v>
          </cell>
          <cell r="L1204">
            <v>0</v>
          </cell>
          <cell r="M1204">
            <v>0</v>
          </cell>
          <cell r="N1204">
            <v>0</v>
          </cell>
          <cell r="O1204">
            <v>0</v>
          </cell>
          <cell r="P1204">
            <v>0</v>
          </cell>
        </row>
        <row r="1205">
          <cell r="C1205">
            <v>83</v>
          </cell>
          <cell r="F1205">
            <v>1</v>
          </cell>
          <cell r="G1205">
            <v>1</v>
          </cell>
          <cell r="H1205">
            <v>46242</v>
          </cell>
          <cell r="I1205">
            <v>0</v>
          </cell>
          <cell r="J1205">
            <v>1</v>
          </cell>
          <cell r="K1205">
            <v>0</v>
          </cell>
          <cell r="L1205">
            <v>0</v>
          </cell>
          <cell r="M1205">
            <v>0</v>
          </cell>
          <cell r="N1205">
            <v>0</v>
          </cell>
          <cell r="O1205">
            <v>0</v>
          </cell>
          <cell r="P1205">
            <v>0</v>
          </cell>
        </row>
        <row r="1206">
          <cell r="C1206">
            <v>105</v>
          </cell>
          <cell r="F1206">
            <v>1</v>
          </cell>
          <cell r="G1206">
            <v>1</v>
          </cell>
          <cell r="H1206">
            <v>46242</v>
          </cell>
          <cell r="I1206">
            <v>0</v>
          </cell>
          <cell r="J1206">
            <v>1</v>
          </cell>
          <cell r="K1206">
            <v>0</v>
          </cell>
          <cell r="L1206">
            <v>0</v>
          </cell>
          <cell r="M1206">
            <v>0</v>
          </cell>
          <cell r="N1206">
            <v>0</v>
          </cell>
          <cell r="O1206">
            <v>0</v>
          </cell>
          <cell r="P1206">
            <v>0</v>
          </cell>
        </row>
        <row r="1207">
          <cell r="C1207">
            <v>276</v>
          </cell>
          <cell r="F1207">
            <v>1</v>
          </cell>
          <cell r="G1207">
            <v>1</v>
          </cell>
          <cell r="H1207">
            <v>46242</v>
          </cell>
          <cell r="I1207">
            <v>0</v>
          </cell>
          <cell r="J1207">
            <v>5</v>
          </cell>
          <cell r="K1207">
            <v>0</v>
          </cell>
          <cell r="L1207">
            <v>0</v>
          </cell>
          <cell r="M1207">
            <v>0</v>
          </cell>
          <cell r="N1207">
            <v>0</v>
          </cell>
          <cell r="O1207">
            <v>0</v>
          </cell>
          <cell r="P1207">
            <v>0</v>
          </cell>
        </row>
        <row r="1208">
          <cell r="C1208">
            <v>386</v>
          </cell>
          <cell r="F1208">
            <v>1</v>
          </cell>
          <cell r="G1208">
            <v>1</v>
          </cell>
          <cell r="H1208">
            <v>46242</v>
          </cell>
          <cell r="I1208">
            <v>0</v>
          </cell>
          <cell r="J1208">
            <v>1</v>
          </cell>
          <cell r="K1208">
            <v>0</v>
          </cell>
          <cell r="L1208">
            <v>0</v>
          </cell>
          <cell r="M1208">
            <v>0</v>
          </cell>
          <cell r="N1208">
            <v>0</v>
          </cell>
          <cell r="O1208">
            <v>0</v>
          </cell>
          <cell r="P1208">
            <v>0</v>
          </cell>
        </row>
        <row r="1209">
          <cell r="C1209">
            <v>385</v>
          </cell>
          <cell r="F1209">
            <v>1</v>
          </cell>
          <cell r="G1209">
            <v>1</v>
          </cell>
          <cell r="H1209">
            <v>46242</v>
          </cell>
          <cell r="I1209">
            <v>0</v>
          </cell>
          <cell r="J1209">
            <v>1</v>
          </cell>
          <cell r="K1209">
            <v>0</v>
          </cell>
          <cell r="L1209">
            <v>0</v>
          </cell>
          <cell r="M1209">
            <v>0</v>
          </cell>
          <cell r="N1209">
            <v>0</v>
          </cell>
          <cell r="O1209">
            <v>0</v>
          </cell>
          <cell r="P1209">
            <v>0</v>
          </cell>
        </row>
        <row r="1210">
          <cell r="C1210">
            <v>382</v>
          </cell>
          <cell r="F1210">
            <v>1</v>
          </cell>
          <cell r="G1210">
            <v>1</v>
          </cell>
          <cell r="H1210">
            <v>46242</v>
          </cell>
          <cell r="I1210">
            <v>0</v>
          </cell>
          <cell r="J1210">
            <v>1</v>
          </cell>
          <cell r="K1210">
            <v>0</v>
          </cell>
          <cell r="L1210">
            <v>0</v>
          </cell>
          <cell r="M1210">
            <v>0</v>
          </cell>
          <cell r="N1210">
            <v>0</v>
          </cell>
          <cell r="O1210">
            <v>0</v>
          </cell>
          <cell r="P1210">
            <v>0</v>
          </cell>
        </row>
        <row r="1211">
          <cell r="C1211">
            <v>399</v>
          </cell>
          <cell r="F1211">
            <v>1</v>
          </cell>
          <cell r="G1211">
            <v>1</v>
          </cell>
          <cell r="H1211">
            <v>46242</v>
          </cell>
          <cell r="I1211">
            <v>0</v>
          </cell>
          <cell r="J1211">
            <v>5</v>
          </cell>
          <cell r="K1211">
            <v>0</v>
          </cell>
          <cell r="L1211">
            <v>0</v>
          </cell>
          <cell r="M1211">
            <v>0</v>
          </cell>
          <cell r="N1211">
            <v>0</v>
          </cell>
          <cell r="O1211">
            <v>0</v>
          </cell>
          <cell r="P1211">
            <v>0</v>
          </cell>
        </row>
        <row r="1212">
          <cell r="C1212">
            <v>305</v>
          </cell>
          <cell r="F1212">
            <v>1</v>
          </cell>
          <cell r="G1212">
            <v>1</v>
          </cell>
          <cell r="H1212">
            <v>46243</v>
          </cell>
          <cell r="I1212">
            <v>0</v>
          </cell>
          <cell r="J1212">
            <v>1000</v>
          </cell>
          <cell r="K1212">
            <v>0</v>
          </cell>
          <cell r="L1212">
            <v>0</v>
          </cell>
          <cell r="M1212">
            <v>0</v>
          </cell>
          <cell r="N1212">
            <v>0</v>
          </cell>
          <cell r="O1212">
            <v>0</v>
          </cell>
          <cell r="P1212">
            <v>0</v>
          </cell>
        </row>
        <row r="1213">
          <cell r="C1213">
            <v>101</v>
          </cell>
          <cell r="F1213">
            <v>1</v>
          </cell>
          <cell r="G1213">
            <v>1</v>
          </cell>
          <cell r="H1213">
            <v>46243</v>
          </cell>
          <cell r="I1213">
            <v>0</v>
          </cell>
          <cell r="J1213">
            <v>1000</v>
          </cell>
          <cell r="K1213">
            <v>0</v>
          </cell>
          <cell r="L1213">
            <v>0</v>
          </cell>
          <cell r="M1213">
            <v>0</v>
          </cell>
          <cell r="N1213">
            <v>0</v>
          </cell>
          <cell r="O1213">
            <v>0</v>
          </cell>
          <cell r="P1213">
            <v>0</v>
          </cell>
        </row>
        <row r="1214">
          <cell r="C1214">
            <v>105</v>
          </cell>
          <cell r="F1214">
            <v>1</v>
          </cell>
          <cell r="G1214">
            <v>1</v>
          </cell>
          <cell r="H1214">
            <v>46243</v>
          </cell>
          <cell r="I1214">
            <v>0</v>
          </cell>
          <cell r="J1214">
            <v>1</v>
          </cell>
          <cell r="K1214">
            <v>0</v>
          </cell>
          <cell r="L1214">
            <v>0</v>
          </cell>
          <cell r="M1214">
            <v>0</v>
          </cell>
          <cell r="N1214">
            <v>0</v>
          </cell>
          <cell r="O1214">
            <v>0</v>
          </cell>
          <cell r="P1214">
            <v>0</v>
          </cell>
        </row>
        <row r="1215">
          <cell r="C1215">
            <v>181</v>
          </cell>
          <cell r="F1215">
            <v>1</v>
          </cell>
          <cell r="G1215">
            <v>1</v>
          </cell>
          <cell r="H1215">
            <v>46243</v>
          </cell>
          <cell r="I1215">
            <v>0</v>
          </cell>
          <cell r="J1215">
            <v>12</v>
          </cell>
          <cell r="K1215">
            <v>0</v>
          </cell>
          <cell r="L1215">
            <v>0</v>
          </cell>
          <cell r="M1215">
            <v>0</v>
          </cell>
          <cell r="N1215">
            <v>0</v>
          </cell>
          <cell r="O1215">
            <v>0</v>
          </cell>
          <cell r="P1215">
            <v>0</v>
          </cell>
        </row>
        <row r="1216">
          <cell r="C1216">
            <v>399</v>
          </cell>
          <cell r="F1216">
            <v>1</v>
          </cell>
          <cell r="G1216">
            <v>1</v>
          </cell>
          <cell r="H1216">
            <v>46243</v>
          </cell>
          <cell r="I1216">
            <v>0</v>
          </cell>
          <cell r="J1216">
            <v>2</v>
          </cell>
          <cell r="K1216">
            <v>0</v>
          </cell>
          <cell r="L1216">
            <v>0</v>
          </cell>
          <cell r="M1216">
            <v>0</v>
          </cell>
          <cell r="N1216">
            <v>0</v>
          </cell>
          <cell r="O1216">
            <v>0</v>
          </cell>
          <cell r="P1216">
            <v>0</v>
          </cell>
        </row>
        <row r="1217">
          <cell r="C1217">
            <v>433</v>
          </cell>
          <cell r="F1217">
            <v>1</v>
          </cell>
          <cell r="G1217">
            <v>1</v>
          </cell>
          <cell r="H1217">
            <v>46243</v>
          </cell>
          <cell r="I1217">
            <v>0</v>
          </cell>
          <cell r="J1217">
            <v>10</v>
          </cell>
          <cell r="K1217">
            <v>0</v>
          </cell>
          <cell r="L1217">
            <v>0</v>
          </cell>
          <cell r="M1217">
            <v>0</v>
          </cell>
          <cell r="N1217">
            <v>0</v>
          </cell>
          <cell r="O1217">
            <v>0</v>
          </cell>
          <cell r="P1217">
            <v>0</v>
          </cell>
        </row>
        <row r="1218">
          <cell r="C1218">
            <v>391</v>
          </cell>
          <cell r="F1218">
            <v>1</v>
          </cell>
          <cell r="G1218">
            <v>1</v>
          </cell>
          <cell r="H1218">
            <v>46243</v>
          </cell>
          <cell r="I1218">
            <v>0</v>
          </cell>
          <cell r="J1218">
            <v>1</v>
          </cell>
          <cell r="K1218">
            <v>0</v>
          </cell>
          <cell r="L1218">
            <v>0</v>
          </cell>
          <cell r="M1218">
            <v>0</v>
          </cell>
          <cell r="N1218">
            <v>0</v>
          </cell>
          <cell r="O1218">
            <v>0</v>
          </cell>
          <cell r="P1218">
            <v>0</v>
          </cell>
        </row>
        <row r="1219">
          <cell r="C1219">
            <v>293</v>
          </cell>
          <cell r="F1219">
            <v>1</v>
          </cell>
          <cell r="G1219">
            <v>1</v>
          </cell>
          <cell r="H1219">
            <v>46243</v>
          </cell>
          <cell r="I1219">
            <v>0</v>
          </cell>
          <cell r="J1219">
            <v>34</v>
          </cell>
          <cell r="K1219">
            <v>0</v>
          </cell>
          <cell r="L1219">
            <v>0</v>
          </cell>
          <cell r="M1219">
            <v>0</v>
          </cell>
          <cell r="N1219">
            <v>0</v>
          </cell>
          <cell r="O1219">
            <v>0</v>
          </cell>
          <cell r="P1219">
            <v>0</v>
          </cell>
        </row>
        <row r="1220">
          <cell r="C1220">
            <v>177</v>
          </cell>
          <cell r="F1220">
            <v>1</v>
          </cell>
          <cell r="G1220">
            <v>1</v>
          </cell>
          <cell r="H1220">
            <v>46243</v>
          </cell>
          <cell r="I1220">
            <v>0</v>
          </cell>
          <cell r="J1220">
            <v>500</v>
          </cell>
          <cell r="K1220">
            <v>0</v>
          </cell>
          <cell r="L1220">
            <v>0</v>
          </cell>
          <cell r="M1220">
            <v>0</v>
          </cell>
          <cell r="N1220">
            <v>0</v>
          </cell>
          <cell r="O1220">
            <v>0</v>
          </cell>
          <cell r="P1220">
            <v>0</v>
          </cell>
        </row>
        <row r="1221">
          <cell r="C1221">
            <v>199</v>
          </cell>
          <cell r="F1221">
            <v>1</v>
          </cell>
          <cell r="G1221">
            <v>1</v>
          </cell>
          <cell r="H1221">
            <v>46243</v>
          </cell>
          <cell r="I1221">
            <v>0</v>
          </cell>
          <cell r="J1221">
            <v>8</v>
          </cell>
          <cell r="K1221">
            <v>0</v>
          </cell>
          <cell r="L1221">
            <v>0</v>
          </cell>
          <cell r="M1221">
            <v>0</v>
          </cell>
          <cell r="N1221">
            <v>0</v>
          </cell>
          <cell r="O1221">
            <v>0</v>
          </cell>
          <cell r="P1221">
            <v>0</v>
          </cell>
        </row>
        <row r="1222">
          <cell r="C1222">
            <v>183</v>
          </cell>
          <cell r="F1222">
            <v>1</v>
          </cell>
          <cell r="G1222">
            <v>1</v>
          </cell>
          <cell r="H1222">
            <v>46243</v>
          </cell>
          <cell r="I1222">
            <v>0</v>
          </cell>
          <cell r="J1222">
            <v>24</v>
          </cell>
          <cell r="K1222">
            <v>0</v>
          </cell>
          <cell r="L1222">
            <v>0</v>
          </cell>
          <cell r="M1222">
            <v>0</v>
          </cell>
          <cell r="N1222">
            <v>0</v>
          </cell>
          <cell r="O1222">
            <v>0</v>
          </cell>
          <cell r="P1222">
            <v>0</v>
          </cell>
        </row>
        <row r="1223">
          <cell r="C1223">
            <v>358</v>
          </cell>
          <cell r="F1223">
            <v>1</v>
          </cell>
          <cell r="G1223">
            <v>1</v>
          </cell>
          <cell r="H1223">
            <v>46243</v>
          </cell>
          <cell r="I1223">
            <v>0</v>
          </cell>
          <cell r="J1223">
            <v>2</v>
          </cell>
          <cell r="K1223">
            <v>0</v>
          </cell>
          <cell r="L1223">
            <v>0</v>
          </cell>
          <cell r="M1223">
            <v>0</v>
          </cell>
          <cell r="N1223">
            <v>0</v>
          </cell>
          <cell r="O1223">
            <v>0</v>
          </cell>
          <cell r="P1223">
            <v>0</v>
          </cell>
        </row>
        <row r="1224">
          <cell r="C1224">
            <v>6</v>
          </cell>
          <cell r="F1224">
            <v>1</v>
          </cell>
          <cell r="G1224">
            <v>1</v>
          </cell>
          <cell r="H1224">
            <v>46243</v>
          </cell>
          <cell r="I1224">
            <v>0</v>
          </cell>
          <cell r="J1224">
            <v>8</v>
          </cell>
          <cell r="K1224">
            <v>0</v>
          </cell>
          <cell r="L1224">
            <v>0</v>
          </cell>
          <cell r="M1224">
            <v>0</v>
          </cell>
          <cell r="N1224">
            <v>0</v>
          </cell>
          <cell r="O1224">
            <v>0</v>
          </cell>
          <cell r="P1224">
            <v>0</v>
          </cell>
        </row>
        <row r="1225">
          <cell r="C1225">
            <v>305</v>
          </cell>
          <cell r="F1225">
            <v>1</v>
          </cell>
          <cell r="G1225">
            <v>1</v>
          </cell>
          <cell r="H1225">
            <v>46244</v>
          </cell>
          <cell r="I1225">
            <v>0</v>
          </cell>
          <cell r="J1225">
            <v>800</v>
          </cell>
          <cell r="K1225">
            <v>0</v>
          </cell>
          <cell r="L1225">
            <v>0</v>
          </cell>
          <cell r="M1225">
            <v>0</v>
          </cell>
          <cell r="N1225">
            <v>0</v>
          </cell>
          <cell r="O1225">
            <v>0</v>
          </cell>
          <cell r="P1225">
            <v>0</v>
          </cell>
        </row>
        <row r="1226">
          <cell r="C1226">
            <v>177</v>
          </cell>
          <cell r="F1226">
            <v>1</v>
          </cell>
          <cell r="G1226">
            <v>1</v>
          </cell>
          <cell r="H1226">
            <v>46244</v>
          </cell>
          <cell r="I1226">
            <v>0</v>
          </cell>
          <cell r="J1226">
            <v>350</v>
          </cell>
          <cell r="K1226">
            <v>0</v>
          </cell>
          <cell r="L1226">
            <v>0</v>
          </cell>
          <cell r="M1226">
            <v>0</v>
          </cell>
          <cell r="N1226">
            <v>0</v>
          </cell>
          <cell r="O1226">
            <v>0</v>
          </cell>
          <cell r="P1226">
            <v>0</v>
          </cell>
        </row>
        <row r="1227">
          <cell r="C1227">
            <v>293</v>
          </cell>
          <cell r="F1227">
            <v>1</v>
          </cell>
          <cell r="G1227">
            <v>1</v>
          </cell>
          <cell r="H1227">
            <v>46244</v>
          </cell>
          <cell r="I1227">
            <v>0</v>
          </cell>
          <cell r="J1227">
            <v>20</v>
          </cell>
          <cell r="K1227">
            <v>0</v>
          </cell>
          <cell r="L1227">
            <v>0</v>
          </cell>
          <cell r="M1227">
            <v>0</v>
          </cell>
          <cell r="N1227">
            <v>0</v>
          </cell>
          <cell r="O1227">
            <v>0</v>
          </cell>
          <cell r="P1227">
            <v>0</v>
          </cell>
        </row>
        <row r="1228">
          <cell r="C1228">
            <v>294</v>
          </cell>
          <cell r="F1228">
            <v>1</v>
          </cell>
          <cell r="G1228">
            <v>1</v>
          </cell>
          <cell r="H1228">
            <v>46244</v>
          </cell>
          <cell r="I1228">
            <v>0</v>
          </cell>
          <cell r="J1228">
            <v>20</v>
          </cell>
          <cell r="K1228">
            <v>0</v>
          </cell>
          <cell r="L1228">
            <v>0</v>
          </cell>
          <cell r="M1228">
            <v>0</v>
          </cell>
          <cell r="N1228">
            <v>0</v>
          </cell>
          <cell r="O1228">
            <v>0</v>
          </cell>
          <cell r="P1228">
            <v>0</v>
          </cell>
        </row>
        <row r="1229">
          <cell r="C1229">
            <v>16</v>
          </cell>
          <cell r="F1229">
            <v>1</v>
          </cell>
          <cell r="G1229">
            <v>1</v>
          </cell>
          <cell r="H1229">
            <v>46244</v>
          </cell>
          <cell r="I1229">
            <v>0</v>
          </cell>
          <cell r="J1229">
            <v>4</v>
          </cell>
          <cell r="K1229">
            <v>0</v>
          </cell>
          <cell r="L1229">
            <v>0</v>
          </cell>
          <cell r="M1229">
            <v>0</v>
          </cell>
          <cell r="N1229">
            <v>0</v>
          </cell>
          <cell r="O1229">
            <v>0</v>
          </cell>
          <cell r="P1229">
            <v>0</v>
          </cell>
        </row>
        <row r="1230">
          <cell r="C1230">
            <v>20</v>
          </cell>
          <cell r="F1230">
            <v>1</v>
          </cell>
          <cell r="G1230">
            <v>1</v>
          </cell>
          <cell r="H1230">
            <v>46244</v>
          </cell>
          <cell r="I1230">
            <v>0</v>
          </cell>
          <cell r="J1230">
            <v>4</v>
          </cell>
          <cell r="K1230">
            <v>0</v>
          </cell>
          <cell r="L1230">
            <v>0</v>
          </cell>
          <cell r="M1230">
            <v>0</v>
          </cell>
          <cell r="N1230">
            <v>0</v>
          </cell>
          <cell r="O1230">
            <v>0</v>
          </cell>
          <cell r="P1230">
            <v>0</v>
          </cell>
        </row>
        <row r="1231">
          <cell r="C1231">
            <v>45</v>
          </cell>
          <cell r="F1231">
            <v>1</v>
          </cell>
          <cell r="G1231">
            <v>1</v>
          </cell>
          <cell r="H1231">
            <v>46244</v>
          </cell>
          <cell r="I1231">
            <v>0</v>
          </cell>
          <cell r="J1231">
            <v>2</v>
          </cell>
          <cell r="K1231">
            <v>0</v>
          </cell>
          <cell r="L1231">
            <v>0</v>
          </cell>
          <cell r="M1231">
            <v>0</v>
          </cell>
          <cell r="N1231">
            <v>0</v>
          </cell>
          <cell r="O1231">
            <v>0</v>
          </cell>
          <cell r="P1231">
            <v>0</v>
          </cell>
        </row>
        <row r="1232">
          <cell r="C1232">
            <v>69</v>
          </cell>
          <cell r="F1232">
            <v>1</v>
          </cell>
          <cell r="G1232">
            <v>1</v>
          </cell>
          <cell r="H1232">
            <v>46244</v>
          </cell>
          <cell r="I1232">
            <v>0</v>
          </cell>
          <cell r="J1232">
            <v>1</v>
          </cell>
          <cell r="K1232">
            <v>0</v>
          </cell>
          <cell r="L1232">
            <v>0</v>
          </cell>
          <cell r="M1232">
            <v>0</v>
          </cell>
          <cell r="N1232">
            <v>0</v>
          </cell>
          <cell r="O1232">
            <v>0</v>
          </cell>
          <cell r="P1232">
            <v>0</v>
          </cell>
        </row>
        <row r="1233">
          <cell r="C1233">
            <v>33</v>
          </cell>
          <cell r="F1233">
            <v>1</v>
          </cell>
          <cell r="G1233">
            <v>1</v>
          </cell>
          <cell r="H1233">
            <v>46244</v>
          </cell>
          <cell r="I1233">
            <v>0</v>
          </cell>
          <cell r="J1233">
            <v>1</v>
          </cell>
          <cell r="K1233">
            <v>0</v>
          </cell>
          <cell r="L1233">
            <v>0</v>
          </cell>
          <cell r="M1233">
            <v>0</v>
          </cell>
          <cell r="N1233">
            <v>0</v>
          </cell>
          <cell r="O1233">
            <v>0</v>
          </cell>
          <cell r="P1233">
            <v>0</v>
          </cell>
        </row>
        <row r="1234">
          <cell r="C1234">
            <v>32</v>
          </cell>
          <cell r="F1234">
            <v>1</v>
          </cell>
          <cell r="G1234">
            <v>1</v>
          </cell>
          <cell r="H1234">
            <v>46244</v>
          </cell>
          <cell r="I1234">
            <v>0</v>
          </cell>
          <cell r="J1234">
            <v>1</v>
          </cell>
          <cell r="K1234">
            <v>0</v>
          </cell>
          <cell r="L1234">
            <v>0</v>
          </cell>
          <cell r="M1234">
            <v>0</v>
          </cell>
          <cell r="N1234">
            <v>0</v>
          </cell>
          <cell r="O1234">
            <v>0</v>
          </cell>
          <cell r="P1234">
            <v>0</v>
          </cell>
        </row>
        <row r="1235">
          <cell r="C1235">
            <v>195</v>
          </cell>
          <cell r="F1235">
            <v>1</v>
          </cell>
          <cell r="G1235">
            <v>1</v>
          </cell>
          <cell r="H1235">
            <v>46245</v>
          </cell>
          <cell r="I1235">
            <v>0</v>
          </cell>
          <cell r="J1235">
            <v>8</v>
          </cell>
          <cell r="K1235">
            <v>0</v>
          </cell>
          <cell r="L1235">
            <v>0</v>
          </cell>
          <cell r="M1235">
            <v>0</v>
          </cell>
          <cell r="N1235">
            <v>0</v>
          </cell>
          <cell r="O1235">
            <v>0</v>
          </cell>
          <cell r="P1235">
            <v>0</v>
          </cell>
        </row>
        <row r="1236">
          <cell r="C1236">
            <v>187</v>
          </cell>
          <cell r="F1236">
            <v>1</v>
          </cell>
          <cell r="G1236">
            <v>1</v>
          </cell>
          <cell r="H1236">
            <v>46245</v>
          </cell>
          <cell r="I1236">
            <v>0</v>
          </cell>
          <cell r="J1236">
            <v>8</v>
          </cell>
          <cell r="K1236">
            <v>0</v>
          </cell>
          <cell r="L1236">
            <v>0</v>
          </cell>
          <cell r="M1236">
            <v>0</v>
          </cell>
          <cell r="N1236">
            <v>0</v>
          </cell>
          <cell r="O1236">
            <v>0</v>
          </cell>
          <cell r="P1236">
            <v>0</v>
          </cell>
        </row>
        <row r="1237">
          <cell r="C1237">
            <v>368</v>
          </cell>
          <cell r="F1237">
            <v>1</v>
          </cell>
          <cell r="G1237">
            <v>1</v>
          </cell>
          <cell r="H1237">
            <v>46245</v>
          </cell>
          <cell r="I1237">
            <v>0</v>
          </cell>
          <cell r="J1237">
            <v>5</v>
          </cell>
          <cell r="K1237">
            <v>0</v>
          </cell>
          <cell r="L1237">
            <v>0</v>
          </cell>
          <cell r="M1237">
            <v>0</v>
          </cell>
          <cell r="N1237">
            <v>0</v>
          </cell>
          <cell r="O1237">
            <v>0</v>
          </cell>
          <cell r="P1237">
            <v>0</v>
          </cell>
        </row>
        <row r="1238">
          <cell r="C1238">
            <v>397</v>
          </cell>
          <cell r="F1238">
            <v>1</v>
          </cell>
          <cell r="G1238">
            <v>1</v>
          </cell>
          <cell r="H1238">
            <v>46245</v>
          </cell>
          <cell r="I1238">
            <v>0</v>
          </cell>
          <cell r="J1238">
            <v>15</v>
          </cell>
          <cell r="K1238">
            <v>0</v>
          </cell>
          <cell r="L1238">
            <v>0</v>
          </cell>
          <cell r="M1238">
            <v>0</v>
          </cell>
          <cell r="N1238">
            <v>0</v>
          </cell>
          <cell r="O1238">
            <v>0</v>
          </cell>
          <cell r="P1238">
            <v>0</v>
          </cell>
        </row>
        <row r="1239">
          <cell r="C1239">
            <v>395</v>
          </cell>
          <cell r="F1239">
            <v>1</v>
          </cell>
          <cell r="G1239">
            <v>1</v>
          </cell>
          <cell r="H1239">
            <v>46245</v>
          </cell>
          <cell r="I1239">
            <v>0</v>
          </cell>
          <cell r="J1239">
            <v>12</v>
          </cell>
          <cell r="K1239">
            <v>0</v>
          </cell>
          <cell r="L1239">
            <v>0</v>
          </cell>
          <cell r="M1239">
            <v>0</v>
          </cell>
          <cell r="N1239">
            <v>0</v>
          </cell>
          <cell r="O1239">
            <v>0</v>
          </cell>
          <cell r="P1239">
            <v>0</v>
          </cell>
        </row>
        <row r="1240">
          <cell r="C1240">
            <v>377</v>
          </cell>
          <cell r="F1240">
            <v>1</v>
          </cell>
          <cell r="G1240">
            <v>1</v>
          </cell>
          <cell r="H1240">
            <v>46245</v>
          </cell>
          <cell r="I1240">
            <v>0</v>
          </cell>
          <cell r="J1240">
            <v>10</v>
          </cell>
          <cell r="K1240">
            <v>0</v>
          </cell>
          <cell r="L1240">
            <v>0</v>
          </cell>
          <cell r="M1240">
            <v>0</v>
          </cell>
          <cell r="N1240">
            <v>0</v>
          </cell>
          <cell r="O1240">
            <v>0</v>
          </cell>
          <cell r="P1240">
            <v>0</v>
          </cell>
        </row>
        <row r="1241">
          <cell r="C1241">
            <v>379</v>
          </cell>
          <cell r="F1241">
            <v>1</v>
          </cell>
          <cell r="G1241">
            <v>1</v>
          </cell>
          <cell r="H1241">
            <v>46245</v>
          </cell>
          <cell r="I1241">
            <v>0</v>
          </cell>
          <cell r="J1241">
            <v>1</v>
          </cell>
          <cell r="K1241">
            <v>0</v>
          </cell>
          <cell r="L1241">
            <v>0</v>
          </cell>
          <cell r="M1241">
            <v>0</v>
          </cell>
          <cell r="N1241">
            <v>0</v>
          </cell>
          <cell r="O1241">
            <v>0</v>
          </cell>
          <cell r="P1241">
            <v>0</v>
          </cell>
        </row>
        <row r="1242">
          <cell r="C1242">
            <v>94</v>
          </cell>
          <cell r="F1242">
            <v>1</v>
          </cell>
          <cell r="G1242">
            <v>1</v>
          </cell>
          <cell r="H1242">
            <v>46245</v>
          </cell>
          <cell r="I1242">
            <v>0</v>
          </cell>
          <cell r="J1242">
            <v>10</v>
          </cell>
          <cell r="K1242">
            <v>0</v>
          </cell>
          <cell r="L1242">
            <v>0</v>
          </cell>
          <cell r="M1242">
            <v>0</v>
          </cell>
          <cell r="N1242">
            <v>0</v>
          </cell>
          <cell r="O1242">
            <v>0</v>
          </cell>
          <cell r="P1242">
            <v>0</v>
          </cell>
        </row>
        <row r="1243">
          <cell r="C1243">
            <v>96</v>
          </cell>
          <cell r="F1243">
            <v>1</v>
          </cell>
          <cell r="G1243">
            <v>1</v>
          </cell>
          <cell r="H1243">
            <v>46245</v>
          </cell>
          <cell r="I1243">
            <v>0</v>
          </cell>
          <cell r="J1243">
            <v>1</v>
          </cell>
          <cell r="K1243">
            <v>0</v>
          </cell>
          <cell r="L1243">
            <v>0</v>
          </cell>
          <cell r="M1243">
            <v>0</v>
          </cell>
          <cell r="N1243">
            <v>0</v>
          </cell>
          <cell r="O1243">
            <v>0</v>
          </cell>
          <cell r="P1243">
            <v>0</v>
          </cell>
        </row>
        <row r="1244">
          <cell r="C1244">
            <v>378</v>
          </cell>
          <cell r="F1244">
            <v>1</v>
          </cell>
          <cell r="G1244">
            <v>1</v>
          </cell>
          <cell r="H1244">
            <v>46245</v>
          </cell>
          <cell r="I1244">
            <v>0</v>
          </cell>
          <cell r="J1244">
            <v>1</v>
          </cell>
          <cell r="K1244">
            <v>0</v>
          </cell>
          <cell r="L1244">
            <v>0</v>
          </cell>
          <cell r="M1244">
            <v>0</v>
          </cell>
          <cell r="N1244">
            <v>0</v>
          </cell>
          <cell r="O1244">
            <v>0</v>
          </cell>
          <cell r="P1244">
            <v>0</v>
          </cell>
        </row>
        <row r="1245">
          <cell r="C1245">
            <v>365</v>
          </cell>
          <cell r="F1245">
            <v>1</v>
          </cell>
          <cell r="G1245">
            <v>1</v>
          </cell>
          <cell r="H1245">
            <v>46245</v>
          </cell>
          <cell r="I1245">
            <v>0</v>
          </cell>
          <cell r="J1245">
            <v>1</v>
          </cell>
          <cell r="K1245">
            <v>0</v>
          </cell>
          <cell r="L1245">
            <v>0</v>
          </cell>
          <cell r="M1245">
            <v>0</v>
          </cell>
          <cell r="N1245">
            <v>0</v>
          </cell>
          <cell r="O1245">
            <v>0</v>
          </cell>
          <cell r="P1245">
            <v>0</v>
          </cell>
        </row>
        <row r="1246">
          <cell r="C1246">
            <v>337</v>
          </cell>
          <cell r="F1246">
            <v>1</v>
          </cell>
          <cell r="G1246">
            <v>1</v>
          </cell>
          <cell r="H1246">
            <v>46245</v>
          </cell>
          <cell r="I1246">
            <v>0</v>
          </cell>
          <cell r="J1246">
            <v>30</v>
          </cell>
          <cell r="K1246">
            <v>0</v>
          </cell>
          <cell r="L1246">
            <v>0</v>
          </cell>
          <cell r="M1246">
            <v>0</v>
          </cell>
          <cell r="N1246">
            <v>0</v>
          </cell>
          <cell r="O1246">
            <v>0</v>
          </cell>
          <cell r="P1246">
            <v>0</v>
          </cell>
        </row>
        <row r="1247">
          <cell r="C1247">
            <v>421</v>
          </cell>
          <cell r="F1247">
            <v>1</v>
          </cell>
          <cell r="G1247">
            <v>1</v>
          </cell>
          <cell r="H1247">
            <v>46245</v>
          </cell>
          <cell r="I1247">
            <v>0</v>
          </cell>
          <cell r="J1247">
            <v>2</v>
          </cell>
          <cell r="K1247">
            <v>0</v>
          </cell>
          <cell r="L1247">
            <v>0</v>
          </cell>
          <cell r="M1247">
            <v>0</v>
          </cell>
          <cell r="N1247">
            <v>0</v>
          </cell>
          <cell r="O1247">
            <v>0</v>
          </cell>
          <cell r="P1247">
            <v>0</v>
          </cell>
        </row>
        <row r="1248">
          <cell r="C1248">
            <v>376</v>
          </cell>
          <cell r="F1248">
            <v>1</v>
          </cell>
          <cell r="G1248">
            <v>1</v>
          </cell>
          <cell r="H1248">
            <v>46245</v>
          </cell>
          <cell r="I1248">
            <v>0</v>
          </cell>
          <cell r="J1248">
            <v>5</v>
          </cell>
          <cell r="K1248">
            <v>0</v>
          </cell>
          <cell r="L1248">
            <v>0</v>
          </cell>
          <cell r="M1248">
            <v>0</v>
          </cell>
          <cell r="N1248">
            <v>0</v>
          </cell>
          <cell r="O1248">
            <v>0</v>
          </cell>
          <cell r="P1248">
            <v>0</v>
          </cell>
        </row>
        <row r="1249">
          <cell r="C1249">
            <v>349</v>
          </cell>
          <cell r="F1249">
            <v>1</v>
          </cell>
          <cell r="G1249">
            <v>1</v>
          </cell>
          <cell r="H1249">
            <v>46245</v>
          </cell>
          <cell r="I1249">
            <v>0</v>
          </cell>
          <cell r="J1249">
            <v>2</v>
          </cell>
          <cell r="K1249">
            <v>0</v>
          </cell>
          <cell r="L1249">
            <v>0</v>
          </cell>
          <cell r="M1249">
            <v>0</v>
          </cell>
          <cell r="N1249">
            <v>0</v>
          </cell>
          <cell r="O1249">
            <v>0</v>
          </cell>
          <cell r="P1249">
            <v>0</v>
          </cell>
        </row>
        <row r="1250">
          <cell r="C1250">
            <v>150</v>
          </cell>
          <cell r="F1250">
            <v>1</v>
          </cell>
          <cell r="G1250">
            <v>1</v>
          </cell>
          <cell r="H1250">
            <v>46245</v>
          </cell>
          <cell r="I1250">
            <v>0</v>
          </cell>
          <cell r="J1250">
            <v>10</v>
          </cell>
          <cell r="K1250">
            <v>0</v>
          </cell>
          <cell r="L1250">
            <v>0</v>
          </cell>
          <cell r="M1250">
            <v>0</v>
          </cell>
          <cell r="N1250">
            <v>0</v>
          </cell>
          <cell r="O1250">
            <v>0</v>
          </cell>
          <cell r="P1250">
            <v>0</v>
          </cell>
        </row>
        <row r="1251">
          <cell r="C1251">
            <v>276</v>
          </cell>
          <cell r="F1251">
            <v>1</v>
          </cell>
          <cell r="G1251">
            <v>1</v>
          </cell>
          <cell r="H1251">
            <v>46245</v>
          </cell>
          <cell r="I1251">
            <v>0</v>
          </cell>
          <cell r="J1251">
            <v>3</v>
          </cell>
          <cell r="K1251">
            <v>0</v>
          </cell>
          <cell r="L1251">
            <v>0</v>
          </cell>
          <cell r="M1251">
            <v>0</v>
          </cell>
          <cell r="N1251">
            <v>0</v>
          </cell>
          <cell r="O1251">
            <v>0</v>
          </cell>
          <cell r="P1251">
            <v>0</v>
          </cell>
        </row>
        <row r="1252">
          <cell r="C1252">
            <v>394</v>
          </cell>
          <cell r="F1252">
            <v>1</v>
          </cell>
          <cell r="G1252">
            <v>1</v>
          </cell>
          <cell r="H1252">
            <v>46245</v>
          </cell>
          <cell r="I1252">
            <v>0</v>
          </cell>
          <cell r="J1252">
            <v>2</v>
          </cell>
          <cell r="K1252">
            <v>0</v>
          </cell>
          <cell r="L1252">
            <v>0</v>
          </cell>
          <cell r="M1252">
            <v>0</v>
          </cell>
          <cell r="N1252">
            <v>0</v>
          </cell>
          <cell r="O1252">
            <v>0</v>
          </cell>
          <cell r="P1252">
            <v>0</v>
          </cell>
        </row>
        <row r="1253">
          <cell r="C1253">
            <v>293</v>
          </cell>
          <cell r="F1253">
            <v>1</v>
          </cell>
          <cell r="G1253">
            <v>1</v>
          </cell>
          <cell r="H1253">
            <v>46245</v>
          </cell>
          <cell r="I1253">
            <v>0</v>
          </cell>
          <cell r="J1253">
            <v>15</v>
          </cell>
          <cell r="K1253">
            <v>0</v>
          </cell>
          <cell r="L1253">
            <v>0</v>
          </cell>
          <cell r="M1253">
            <v>0</v>
          </cell>
          <cell r="N1253">
            <v>0</v>
          </cell>
          <cell r="O1253">
            <v>0</v>
          </cell>
          <cell r="P1253">
            <v>0</v>
          </cell>
        </row>
        <row r="1254">
          <cell r="C1254">
            <v>294</v>
          </cell>
          <cell r="F1254">
            <v>1</v>
          </cell>
          <cell r="G1254">
            <v>1</v>
          </cell>
          <cell r="H1254">
            <v>46245</v>
          </cell>
          <cell r="I1254">
            <v>0</v>
          </cell>
          <cell r="J1254">
            <v>15</v>
          </cell>
          <cell r="K1254">
            <v>0</v>
          </cell>
          <cell r="L1254">
            <v>0</v>
          </cell>
          <cell r="M1254">
            <v>0</v>
          </cell>
          <cell r="N1254">
            <v>0</v>
          </cell>
          <cell r="O1254">
            <v>0</v>
          </cell>
          <cell r="P1254">
            <v>0</v>
          </cell>
        </row>
        <row r="1255">
          <cell r="C1255">
            <v>305</v>
          </cell>
          <cell r="F1255">
            <v>1</v>
          </cell>
          <cell r="G1255">
            <v>1</v>
          </cell>
          <cell r="H1255">
            <v>46245</v>
          </cell>
          <cell r="I1255">
            <v>0</v>
          </cell>
          <cell r="J1255">
            <v>500</v>
          </cell>
          <cell r="K1255">
            <v>0</v>
          </cell>
          <cell r="L1255">
            <v>0</v>
          </cell>
          <cell r="M1255">
            <v>0</v>
          </cell>
          <cell r="N1255">
            <v>0</v>
          </cell>
          <cell r="O1255">
            <v>0</v>
          </cell>
          <cell r="P1255">
            <v>0</v>
          </cell>
        </row>
        <row r="1256">
          <cell r="C1256">
            <v>199</v>
          </cell>
          <cell r="F1256">
            <v>1</v>
          </cell>
          <cell r="G1256">
            <v>1</v>
          </cell>
          <cell r="H1256">
            <v>46245</v>
          </cell>
          <cell r="I1256">
            <v>0</v>
          </cell>
          <cell r="J1256">
            <v>4</v>
          </cell>
          <cell r="K1256">
            <v>0</v>
          </cell>
          <cell r="L1256">
            <v>0</v>
          </cell>
          <cell r="M1256">
            <v>0</v>
          </cell>
          <cell r="N1256">
            <v>0</v>
          </cell>
          <cell r="O1256">
            <v>0</v>
          </cell>
          <cell r="P1256">
            <v>0</v>
          </cell>
        </row>
        <row r="1257">
          <cell r="C1257">
            <v>101</v>
          </cell>
          <cell r="F1257">
            <v>1</v>
          </cell>
          <cell r="G1257">
            <v>1</v>
          </cell>
          <cell r="H1257">
            <v>46245</v>
          </cell>
          <cell r="I1257">
            <v>0</v>
          </cell>
          <cell r="J1257">
            <v>2000</v>
          </cell>
          <cell r="K1257">
            <v>0</v>
          </cell>
          <cell r="L1257">
            <v>0</v>
          </cell>
          <cell r="M1257">
            <v>0</v>
          </cell>
          <cell r="N1257">
            <v>0</v>
          </cell>
          <cell r="O1257">
            <v>0</v>
          </cell>
          <cell r="P1257">
            <v>0</v>
          </cell>
        </row>
        <row r="1258">
          <cell r="C1258">
            <v>79</v>
          </cell>
          <cell r="F1258">
            <v>1</v>
          </cell>
          <cell r="G1258">
            <v>1</v>
          </cell>
          <cell r="H1258">
            <v>46245</v>
          </cell>
          <cell r="I1258">
            <v>0</v>
          </cell>
          <cell r="J1258">
            <v>10</v>
          </cell>
          <cell r="K1258">
            <v>0</v>
          </cell>
          <cell r="L1258">
            <v>0</v>
          </cell>
          <cell r="M1258">
            <v>0</v>
          </cell>
          <cell r="N1258">
            <v>0</v>
          </cell>
          <cell r="O1258">
            <v>0</v>
          </cell>
          <cell r="P1258">
            <v>0</v>
          </cell>
        </row>
        <row r="1259">
          <cell r="C1259">
            <v>153</v>
          </cell>
          <cell r="F1259">
            <v>1</v>
          </cell>
          <cell r="G1259">
            <v>1</v>
          </cell>
          <cell r="H1259">
            <v>46245</v>
          </cell>
          <cell r="I1259">
            <v>0</v>
          </cell>
          <cell r="J1259">
            <v>1</v>
          </cell>
          <cell r="K1259">
            <v>0</v>
          </cell>
          <cell r="L1259">
            <v>0</v>
          </cell>
          <cell r="M1259">
            <v>0</v>
          </cell>
          <cell r="N1259">
            <v>0</v>
          </cell>
          <cell r="O1259">
            <v>0</v>
          </cell>
          <cell r="P1259">
            <v>0</v>
          </cell>
        </row>
        <row r="1260">
          <cell r="C1260">
            <v>167</v>
          </cell>
          <cell r="F1260">
            <v>1</v>
          </cell>
          <cell r="G1260">
            <v>1</v>
          </cell>
          <cell r="H1260">
            <v>46245</v>
          </cell>
          <cell r="I1260">
            <v>0</v>
          </cell>
          <cell r="J1260">
            <v>2</v>
          </cell>
          <cell r="K1260">
            <v>0</v>
          </cell>
          <cell r="L1260">
            <v>0</v>
          </cell>
          <cell r="M1260">
            <v>0</v>
          </cell>
          <cell r="N1260">
            <v>0</v>
          </cell>
          <cell r="O1260">
            <v>0</v>
          </cell>
          <cell r="P1260">
            <v>0</v>
          </cell>
        </row>
        <row r="1261">
          <cell r="C1261">
            <v>177</v>
          </cell>
          <cell r="F1261">
            <v>1</v>
          </cell>
          <cell r="G1261">
            <v>1</v>
          </cell>
          <cell r="H1261">
            <v>46245</v>
          </cell>
          <cell r="I1261">
            <v>0</v>
          </cell>
          <cell r="J1261">
            <v>250</v>
          </cell>
          <cell r="K1261">
            <v>0</v>
          </cell>
          <cell r="L1261">
            <v>0</v>
          </cell>
          <cell r="M1261">
            <v>0</v>
          </cell>
          <cell r="N1261">
            <v>0</v>
          </cell>
          <cell r="O1261">
            <v>0</v>
          </cell>
          <cell r="P1261">
            <v>0</v>
          </cell>
        </row>
        <row r="1262">
          <cell r="C1262">
            <v>403</v>
          </cell>
          <cell r="F1262">
            <v>1</v>
          </cell>
          <cell r="G1262">
            <v>1</v>
          </cell>
          <cell r="H1262">
            <v>46245</v>
          </cell>
          <cell r="I1262">
            <v>0</v>
          </cell>
          <cell r="J1262">
            <v>2</v>
          </cell>
          <cell r="K1262">
            <v>0</v>
          </cell>
          <cell r="L1262">
            <v>0</v>
          </cell>
          <cell r="M1262">
            <v>0</v>
          </cell>
          <cell r="N1262">
            <v>0</v>
          </cell>
          <cell r="O1262">
            <v>0</v>
          </cell>
          <cell r="P1262">
            <v>0</v>
          </cell>
        </row>
        <row r="1263">
          <cell r="C1263">
            <v>219</v>
          </cell>
          <cell r="F1263">
            <v>1</v>
          </cell>
          <cell r="G1263">
            <v>1</v>
          </cell>
          <cell r="H1263">
            <v>46245</v>
          </cell>
          <cell r="I1263">
            <v>0</v>
          </cell>
          <cell r="J1263">
            <v>1</v>
          </cell>
          <cell r="K1263">
            <v>0</v>
          </cell>
          <cell r="L1263">
            <v>0</v>
          </cell>
          <cell r="M1263">
            <v>0</v>
          </cell>
          <cell r="N1263">
            <v>0</v>
          </cell>
          <cell r="O1263">
            <v>0</v>
          </cell>
          <cell r="P1263">
            <v>0</v>
          </cell>
        </row>
        <row r="1264">
          <cell r="C1264">
            <v>9</v>
          </cell>
          <cell r="F1264">
            <v>1</v>
          </cell>
          <cell r="G1264">
            <v>1</v>
          </cell>
          <cell r="H1264">
            <v>46245</v>
          </cell>
          <cell r="I1264">
            <v>0</v>
          </cell>
          <cell r="J1264">
            <v>8</v>
          </cell>
          <cell r="K1264">
            <v>0</v>
          </cell>
          <cell r="L1264">
            <v>0</v>
          </cell>
          <cell r="M1264">
            <v>0</v>
          </cell>
          <cell r="N1264">
            <v>0</v>
          </cell>
          <cell r="O1264">
            <v>0</v>
          </cell>
          <cell r="P1264">
            <v>0</v>
          </cell>
        </row>
        <row r="1265">
          <cell r="C1265">
            <v>50</v>
          </cell>
          <cell r="F1265">
            <v>1</v>
          </cell>
          <cell r="G1265">
            <v>1</v>
          </cell>
          <cell r="H1265">
            <v>46245</v>
          </cell>
          <cell r="I1265">
            <v>0</v>
          </cell>
          <cell r="J1265">
            <v>5</v>
          </cell>
          <cell r="K1265">
            <v>0</v>
          </cell>
          <cell r="L1265">
            <v>0</v>
          </cell>
          <cell r="M1265">
            <v>0</v>
          </cell>
          <cell r="N1265">
            <v>0</v>
          </cell>
          <cell r="O1265">
            <v>0</v>
          </cell>
          <cell r="P1265">
            <v>0</v>
          </cell>
        </row>
        <row r="1266">
          <cell r="C1266">
            <v>284</v>
          </cell>
          <cell r="F1266">
            <v>1</v>
          </cell>
          <cell r="G1266">
            <v>1</v>
          </cell>
          <cell r="H1266">
            <v>46245</v>
          </cell>
          <cell r="I1266">
            <v>0</v>
          </cell>
          <cell r="J1266">
            <v>10</v>
          </cell>
          <cell r="K1266">
            <v>0</v>
          </cell>
          <cell r="L1266">
            <v>0</v>
          </cell>
          <cell r="M1266">
            <v>0</v>
          </cell>
          <cell r="N1266">
            <v>0</v>
          </cell>
          <cell r="O1266">
            <v>0</v>
          </cell>
          <cell r="P1266">
            <v>0</v>
          </cell>
        </row>
        <row r="1267">
          <cell r="C1267">
            <v>189</v>
          </cell>
          <cell r="F1267">
            <v>1</v>
          </cell>
          <cell r="G1267">
            <v>1</v>
          </cell>
          <cell r="H1267">
            <v>46246</v>
          </cell>
          <cell r="I1267">
            <v>0</v>
          </cell>
          <cell r="J1267">
            <v>4</v>
          </cell>
          <cell r="K1267">
            <v>0</v>
          </cell>
          <cell r="L1267">
            <v>0</v>
          </cell>
          <cell r="M1267">
            <v>0</v>
          </cell>
          <cell r="N1267">
            <v>0</v>
          </cell>
          <cell r="O1267">
            <v>0</v>
          </cell>
          <cell r="P1267">
            <v>0</v>
          </cell>
        </row>
        <row r="1268">
          <cell r="C1268">
            <v>182</v>
          </cell>
          <cell r="F1268">
            <v>1</v>
          </cell>
          <cell r="G1268">
            <v>1</v>
          </cell>
          <cell r="H1268">
            <v>46246</v>
          </cell>
          <cell r="I1268">
            <v>0</v>
          </cell>
          <cell r="J1268">
            <v>12</v>
          </cell>
          <cell r="K1268">
            <v>0</v>
          </cell>
          <cell r="L1268">
            <v>0</v>
          </cell>
          <cell r="M1268">
            <v>0</v>
          </cell>
          <cell r="N1268">
            <v>0</v>
          </cell>
          <cell r="O1268">
            <v>0</v>
          </cell>
          <cell r="P1268">
            <v>0</v>
          </cell>
        </row>
        <row r="1269">
          <cell r="C1269">
            <v>179</v>
          </cell>
          <cell r="F1269">
            <v>1</v>
          </cell>
          <cell r="G1269">
            <v>1</v>
          </cell>
          <cell r="H1269">
            <v>46246</v>
          </cell>
          <cell r="I1269">
            <v>0</v>
          </cell>
          <cell r="J1269">
            <v>500</v>
          </cell>
          <cell r="K1269">
            <v>0</v>
          </cell>
          <cell r="L1269">
            <v>0</v>
          </cell>
          <cell r="M1269">
            <v>0</v>
          </cell>
          <cell r="N1269">
            <v>0</v>
          </cell>
          <cell r="O1269">
            <v>0</v>
          </cell>
          <cell r="P1269">
            <v>0</v>
          </cell>
        </row>
        <row r="1270">
          <cell r="C1270">
            <v>293</v>
          </cell>
          <cell r="F1270">
            <v>1</v>
          </cell>
          <cell r="G1270">
            <v>1</v>
          </cell>
          <cell r="H1270">
            <v>46246</v>
          </cell>
          <cell r="I1270">
            <v>0</v>
          </cell>
          <cell r="J1270">
            <v>15</v>
          </cell>
          <cell r="K1270">
            <v>0</v>
          </cell>
          <cell r="L1270">
            <v>0</v>
          </cell>
          <cell r="M1270">
            <v>0</v>
          </cell>
          <cell r="N1270">
            <v>0</v>
          </cell>
          <cell r="O1270">
            <v>0</v>
          </cell>
          <cell r="P1270">
            <v>0</v>
          </cell>
        </row>
        <row r="1271">
          <cell r="C1271">
            <v>294</v>
          </cell>
          <cell r="F1271">
            <v>1</v>
          </cell>
          <cell r="G1271">
            <v>1</v>
          </cell>
          <cell r="H1271">
            <v>46246</v>
          </cell>
          <cell r="I1271">
            <v>0</v>
          </cell>
          <cell r="J1271">
            <v>15</v>
          </cell>
          <cell r="K1271">
            <v>0</v>
          </cell>
          <cell r="L1271">
            <v>0</v>
          </cell>
          <cell r="M1271">
            <v>0</v>
          </cell>
          <cell r="N1271">
            <v>0</v>
          </cell>
          <cell r="O1271">
            <v>0</v>
          </cell>
          <cell r="P1271">
            <v>0</v>
          </cell>
        </row>
        <row r="1272">
          <cell r="C1272">
            <v>398</v>
          </cell>
          <cell r="F1272">
            <v>1</v>
          </cell>
          <cell r="G1272">
            <v>1</v>
          </cell>
          <cell r="H1272">
            <v>46246</v>
          </cell>
          <cell r="I1272">
            <v>0</v>
          </cell>
          <cell r="J1272">
            <v>5</v>
          </cell>
          <cell r="K1272">
            <v>0</v>
          </cell>
          <cell r="L1272">
            <v>0</v>
          </cell>
          <cell r="M1272">
            <v>0</v>
          </cell>
          <cell r="N1272">
            <v>0</v>
          </cell>
          <cell r="O1272">
            <v>0</v>
          </cell>
          <cell r="P1272">
            <v>0</v>
          </cell>
        </row>
        <row r="1273">
          <cell r="C1273">
            <v>399</v>
          </cell>
          <cell r="F1273">
            <v>1</v>
          </cell>
          <cell r="G1273">
            <v>1</v>
          </cell>
          <cell r="H1273">
            <v>46246</v>
          </cell>
          <cell r="I1273">
            <v>0</v>
          </cell>
          <cell r="J1273">
            <v>2</v>
          </cell>
          <cell r="K1273">
            <v>0</v>
          </cell>
          <cell r="L1273">
            <v>0</v>
          </cell>
          <cell r="M1273">
            <v>0</v>
          </cell>
          <cell r="N1273">
            <v>0</v>
          </cell>
          <cell r="O1273">
            <v>0</v>
          </cell>
          <cell r="P1273">
            <v>0</v>
          </cell>
        </row>
        <row r="1274">
          <cell r="C1274">
            <v>337</v>
          </cell>
          <cell r="F1274">
            <v>1</v>
          </cell>
          <cell r="G1274">
            <v>1</v>
          </cell>
          <cell r="H1274">
            <v>46246</v>
          </cell>
          <cell r="I1274">
            <v>0</v>
          </cell>
          <cell r="J1274">
            <v>10</v>
          </cell>
          <cell r="K1274">
            <v>0</v>
          </cell>
          <cell r="L1274">
            <v>0</v>
          </cell>
          <cell r="M1274">
            <v>0</v>
          </cell>
          <cell r="N1274">
            <v>0</v>
          </cell>
          <cell r="O1274">
            <v>0</v>
          </cell>
          <cell r="P1274">
            <v>0</v>
          </cell>
        </row>
        <row r="1275">
          <cell r="C1275">
            <v>389</v>
          </cell>
          <cell r="F1275">
            <v>1</v>
          </cell>
          <cell r="G1275">
            <v>1</v>
          </cell>
          <cell r="H1275">
            <v>46246</v>
          </cell>
          <cell r="I1275">
            <v>0</v>
          </cell>
          <cell r="J1275">
            <v>1</v>
          </cell>
          <cell r="K1275">
            <v>0</v>
          </cell>
          <cell r="L1275">
            <v>0</v>
          </cell>
          <cell r="M1275">
            <v>0</v>
          </cell>
          <cell r="N1275">
            <v>0</v>
          </cell>
          <cell r="O1275">
            <v>0</v>
          </cell>
          <cell r="P1275">
            <v>0</v>
          </cell>
        </row>
        <row r="1276">
          <cell r="C1276">
            <v>378</v>
          </cell>
          <cell r="F1276">
            <v>1</v>
          </cell>
          <cell r="G1276">
            <v>1</v>
          </cell>
          <cell r="H1276">
            <v>46246</v>
          </cell>
          <cell r="I1276">
            <v>0</v>
          </cell>
          <cell r="J1276">
            <v>1</v>
          </cell>
          <cell r="K1276">
            <v>0</v>
          </cell>
          <cell r="L1276">
            <v>0</v>
          </cell>
          <cell r="M1276">
            <v>0</v>
          </cell>
          <cell r="N1276">
            <v>0</v>
          </cell>
          <cell r="O1276">
            <v>0</v>
          </cell>
          <cell r="P1276">
            <v>0</v>
          </cell>
        </row>
        <row r="1277">
          <cell r="C1277">
            <v>99</v>
          </cell>
          <cell r="F1277">
            <v>1</v>
          </cell>
          <cell r="G1277">
            <v>1</v>
          </cell>
          <cell r="H1277">
            <v>46246</v>
          </cell>
          <cell r="I1277">
            <v>0</v>
          </cell>
          <cell r="J1277">
            <v>1</v>
          </cell>
          <cell r="K1277">
            <v>0</v>
          </cell>
          <cell r="L1277">
            <v>0</v>
          </cell>
          <cell r="M1277">
            <v>0</v>
          </cell>
          <cell r="N1277">
            <v>0</v>
          </cell>
          <cell r="O1277">
            <v>0</v>
          </cell>
          <cell r="P1277">
            <v>0</v>
          </cell>
        </row>
        <row r="1278">
          <cell r="C1278">
            <v>144</v>
          </cell>
          <cell r="F1278">
            <v>1</v>
          </cell>
          <cell r="G1278">
            <v>1</v>
          </cell>
          <cell r="H1278">
            <v>46246</v>
          </cell>
          <cell r="I1278">
            <v>0</v>
          </cell>
          <cell r="J1278">
            <v>1</v>
          </cell>
          <cell r="K1278">
            <v>0</v>
          </cell>
          <cell r="L1278">
            <v>0</v>
          </cell>
          <cell r="M1278">
            <v>0</v>
          </cell>
          <cell r="N1278">
            <v>0</v>
          </cell>
          <cell r="O1278">
            <v>0</v>
          </cell>
          <cell r="P1278">
            <v>0</v>
          </cell>
        </row>
        <row r="1279">
          <cell r="C1279">
            <v>145</v>
          </cell>
          <cell r="F1279">
            <v>1</v>
          </cell>
          <cell r="G1279">
            <v>1</v>
          </cell>
          <cell r="H1279">
            <v>46246</v>
          </cell>
          <cell r="I1279">
            <v>0</v>
          </cell>
          <cell r="J1279">
            <v>1</v>
          </cell>
          <cell r="K1279">
            <v>0</v>
          </cell>
          <cell r="L1279">
            <v>0</v>
          </cell>
          <cell r="M1279">
            <v>0</v>
          </cell>
          <cell r="N1279">
            <v>0</v>
          </cell>
          <cell r="O1279">
            <v>0</v>
          </cell>
          <cell r="P1279">
            <v>0</v>
          </cell>
        </row>
        <row r="1280">
          <cell r="C1280">
            <v>377</v>
          </cell>
          <cell r="F1280">
            <v>1</v>
          </cell>
          <cell r="G1280">
            <v>1</v>
          </cell>
          <cell r="H1280">
            <v>46246</v>
          </cell>
          <cell r="I1280">
            <v>0</v>
          </cell>
          <cell r="J1280">
            <v>10</v>
          </cell>
          <cell r="K1280">
            <v>0</v>
          </cell>
          <cell r="L1280">
            <v>0</v>
          </cell>
          <cell r="M1280">
            <v>0</v>
          </cell>
          <cell r="N1280">
            <v>0</v>
          </cell>
          <cell r="O1280">
            <v>0</v>
          </cell>
          <cell r="P1280">
            <v>0</v>
          </cell>
        </row>
        <row r="1281">
          <cell r="C1281">
            <v>99</v>
          </cell>
          <cell r="F1281">
            <v>1</v>
          </cell>
          <cell r="G1281">
            <v>1</v>
          </cell>
          <cell r="H1281">
            <v>46246</v>
          </cell>
          <cell r="I1281">
            <v>0</v>
          </cell>
          <cell r="J1281">
            <v>2</v>
          </cell>
          <cell r="K1281">
            <v>0</v>
          </cell>
          <cell r="L1281">
            <v>0</v>
          </cell>
          <cell r="M1281">
            <v>0</v>
          </cell>
          <cell r="N1281">
            <v>0</v>
          </cell>
          <cell r="O1281">
            <v>0</v>
          </cell>
          <cell r="P1281">
            <v>0</v>
          </cell>
        </row>
        <row r="1282">
          <cell r="C1282">
            <v>401</v>
          </cell>
          <cell r="F1282">
            <v>1</v>
          </cell>
          <cell r="G1282">
            <v>1</v>
          </cell>
          <cell r="H1282">
            <v>46246</v>
          </cell>
          <cell r="I1282">
            <v>0</v>
          </cell>
          <cell r="J1282">
            <v>2</v>
          </cell>
          <cell r="K1282">
            <v>0</v>
          </cell>
          <cell r="L1282">
            <v>0</v>
          </cell>
          <cell r="M1282">
            <v>0</v>
          </cell>
          <cell r="N1282">
            <v>0</v>
          </cell>
          <cell r="O1282">
            <v>0</v>
          </cell>
          <cell r="P1282">
            <v>0</v>
          </cell>
        </row>
        <row r="1283">
          <cell r="C1283">
            <v>386</v>
          </cell>
          <cell r="F1283">
            <v>1</v>
          </cell>
          <cell r="G1283">
            <v>1</v>
          </cell>
          <cell r="H1283">
            <v>46246</v>
          </cell>
          <cell r="I1283">
            <v>0</v>
          </cell>
          <cell r="J1283">
            <v>1</v>
          </cell>
          <cell r="K1283">
            <v>0</v>
          </cell>
          <cell r="L1283">
            <v>0</v>
          </cell>
          <cell r="M1283">
            <v>0</v>
          </cell>
          <cell r="N1283">
            <v>0</v>
          </cell>
          <cell r="O1283">
            <v>0</v>
          </cell>
          <cell r="P1283">
            <v>0</v>
          </cell>
        </row>
        <row r="1284">
          <cell r="C1284">
            <v>385</v>
          </cell>
          <cell r="F1284">
            <v>1</v>
          </cell>
          <cell r="G1284">
            <v>1</v>
          </cell>
          <cell r="H1284">
            <v>46246</v>
          </cell>
          <cell r="I1284">
            <v>0</v>
          </cell>
          <cell r="J1284">
            <v>1</v>
          </cell>
          <cell r="K1284">
            <v>0</v>
          </cell>
          <cell r="L1284">
            <v>0</v>
          </cell>
          <cell r="M1284">
            <v>0</v>
          </cell>
          <cell r="N1284">
            <v>0</v>
          </cell>
          <cell r="O1284">
            <v>0</v>
          </cell>
          <cell r="P1284">
            <v>0</v>
          </cell>
        </row>
        <row r="1285">
          <cell r="C1285">
            <v>420</v>
          </cell>
          <cell r="F1285">
            <v>1</v>
          </cell>
          <cell r="G1285">
            <v>1</v>
          </cell>
          <cell r="H1285">
            <v>46246</v>
          </cell>
          <cell r="I1285">
            <v>0</v>
          </cell>
          <cell r="J1285">
            <v>1</v>
          </cell>
          <cell r="K1285">
            <v>0</v>
          </cell>
          <cell r="L1285">
            <v>0</v>
          </cell>
          <cell r="M1285">
            <v>0</v>
          </cell>
          <cell r="N1285">
            <v>0</v>
          </cell>
          <cell r="O1285">
            <v>0</v>
          </cell>
          <cell r="P1285">
            <v>0</v>
          </cell>
        </row>
        <row r="1286">
          <cell r="C1286">
            <v>411</v>
          </cell>
          <cell r="F1286">
            <v>1</v>
          </cell>
          <cell r="G1286">
            <v>1</v>
          </cell>
          <cell r="H1286">
            <v>46247</v>
          </cell>
          <cell r="I1286">
            <v>0</v>
          </cell>
          <cell r="J1286">
            <v>0</v>
          </cell>
          <cell r="K1286">
            <v>0</v>
          </cell>
          <cell r="L1286">
            <v>10</v>
          </cell>
          <cell r="M1286">
            <v>0</v>
          </cell>
          <cell r="N1286">
            <v>0</v>
          </cell>
          <cell r="O1286">
            <v>0</v>
          </cell>
          <cell r="P1286">
            <v>0</v>
          </cell>
        </row>
        <row r="1287">
          <cell r="C1287">
            <v>414</v>
          </cell>
          <cell r="F1287">
            <v>1</v>
          </cell>
          <cell r="G1287">
            <v>1</v>
          </cell>
          <cell r="H1287">
            <v>46247</v>
          </cell>
          <cell r="I1287">
            <v>0</v>
          </cell>
          <cell r="J1287">
            <v>0</v>
          </cell>
          <cell r="K1287">
            <v>0</v>
          </cell>
          <cell r="L1287">
            <v>10</v>
          </cell>
          <cell r="M1287">
            <v>0</v>
          </cell>
          <cell r="N1287">
            <v>0</v>
          </cell>
          <cell r="O1287">
            <v>0</v>
          </cell>
          <cell r="P1287">
            <v>0</v>
          </cell>
        </row>
        <row r="1288">
          <cell r="C1288">
            <v>415</v>
          </cell>
          <cell r="F1288">
            <v>1</v>
          </cell>
          <cell r="G1288">
            <v>1</v>
          </cell>
          <cell r="H1288">
            <v>46247</v>
          </cell>
          <cell r="I1288">
            <v>0</v>
          </cell>
          <cell r="J1288">
            <v>0</v>
          </cell>
          <cell r="K1288">
            <v>0</v>
          </cell>
          <cell r="L1288">
            <v>10</v>
          </cell>
          <cell r="M1288">
            <v>0</v>
          </cell>
          <cell r="N1288">
            <v>0</v>
          </cell>
          <cell r="O1288">
            <v>0</v>
          </cell>
          <cell r="P1288">
            <v>0</v>
          </cell>
        </row>
        <row r="1289">
          <cell r="C1289">
            <v>416</v>
          </cell>
          <cell r="F1289">
            <v>1</v>
          </cell>
          <cell r="G1289">
            <v>1</v>
          </cell>
          <cell r="H1289">
            <v>46247</v>
          </cell>
          <cell r="I1289">
            <v>0</v>
          </cell>
          <cell r="J1289">
            <v>0</v>
          </cell>
          <cell r="K1289">
            <v>0</v>
          </cell>
          <cell r="L1289">
            <v>5</v>
          </cell>
          <cell r="M1289">
            <v>0</v>
          </cell>
          <cell r="N1289">
            <v>0</v>
          </cell>
          <cell r="O1289">
            <v>0</v>
          </cell>
          <cell r="P1289">
            <v>0</v>
          </cell>
        </row>
        <row r="1290">
          <cell r="C1290">
            <v>413</v>
          </cell>
          <cell r="F1290">
            <v>1</v>
          </cell>
          <cell r="G1290">
            <v>1</v>
          </cell>
          <cell r="H1290">
            <v>46247</v>
          </cell>
          <cell r="I1290">
            <v>0</v>
          </cell>
          <cell r="J1290">
            <v>0</v>
          </cell>
          <cell r="K1290">
            <v>0</v>
          </cell>
          <cell r="L1290">
            <v>10</v>
          </cell>
          <cell r="M1290">
            <v>0</v>
          </cell>
          <cell r="N1290">
            <v>0</v>
          </cell>
          <cell r="O1290">
            <v>0</v>
          </cell>
          <cell r="P1290">
            <v>0</v>
          </cell>
        </row>
        <row r="1291">
          <cell r="C1291">
            <v>293</v>
          </cell>
          <cell r="F1291">
            <v>1</v>
          </cell>
          <cell r="G1291">
            <v>1</v>
          </cell>
          <cell r="H1291">
            <v>46247</v>
          </cell>
          <cell r="I1291">
            <v>0</v>
          </cell>
          <cell r="J1291">
            <v>10</v>
          </cell>
          <cell r="K1291">
            <v>0</v>
          </cell>
          <cell r="L1291">
            <v>0</v>
          </cell>
          <cell r="M1291">
            <v>0</v>
          </cell>
          <cell r="N1291">
            <v>0</v>
          </cell>
          <cell r="O1291">
            <v>0</v>
          </cell>
          <cell r="P1291">
            <v>0</v>
          </cell>
        </row>
        <row r="1292">
          <cell r="C1292">
            <v>294</v>
          </cell>
          <cell r="F1292">
            <v>1</v>
          </cell>
          <cell r="G1292">
            <v>1</v>
          </cell>
          <cell r="H1292">
            <v>46247</v>
          </cell>
          <cell r="I1292">
            <v>0</v>
          </cell>
          <cell r="J1292">
            <v>35</v>
          </cell>
          <cell r="K1292">
            <v>0</v>
          </cell>
          <cell r="L1292">
            <v>0</v>
          </cell>
          <cell r="M1292">
            <v>0</v>
          </cell>
          <cell r="N1292">
            <v>0</v>
          </cell>
          <cell r="O1292">
            <v>0</v>
          </cell>
          <cell r="P1292">
            <v>0</v>
          </cell>
        </row>
        <row r="1293">
          <cell r="C1293">
            <v>156</v>
          </cell>
          <cell r="F1293">
            <v>1</v>
          </cell>
          <cell r="G1293">
            <v>1</v>
          </cell>
          <cell r="H1293">
            <v>46247</v>
          </cell>
          <cell r="I1293">
            <v>0</v>
          </cell>
          <cell r="J1293">
            <v>1</v>
          </cell>
          <cell r="K1293">
            <v>0</v>
          </cell>
          <cell r="L1293">
            <v>0</v>
          </cell>
          <cell r="M1293">
            <v>0</v>
          </cell>
          <cell r="N1293">
            <v>0</v>
          </cell>
          <cell r="O1293">
            <v>0</v>
          </cell>
          <cell r="P1293">
            <v>0</v>
          </cell>
        </row>
        <row r="1294">
          <cell r="C1294">
            <v>199</v>
          </cell>
          <cell r="F1294">
            <v>1</v>
          </cell>
          <cell r="G1294">
            <v>1</v>
          </cell>
          <cell r="H1294">
            <v>46247</v>
          </cell>
          <cell r="I1294">
            <v>0</v>
          </cell>
          <cell r="J1294">
            <v>8</v>
          </cell>
          <cell r="K1294">
            <v>0</v>
          </cell>
          <cell r="L1294">
            <v>0</v>
          </cell>
          <cell r="M1294">
            <v>0</v>
          </cell>
          <cell r="N1294">
            <v>0</v>
          </cell>
          <cell r="O1294">
            <v>0</v>
          </cell>
          <cell r="P1294">
            <v>0</v>
          </cell>
        </row>
        <row r="1295">
          <cell r="C1295">
            <v>184</v>
          </cell>
          <cell r="F1295">
            <v>1</v>
          </cell>
          <cell r="G1295">
            <v>1</v>
          </cell>
          <cell r="H1295">
            <v>46247</v>
          </cell>
          <cell r="I1295">
            <v>0</v>
          </cell>
          <cell r="J1295">
            <v>12</v>
          </cell>
          <cell r="K1295">
            <v>0</v>
          </cell>
          <cell r="L1295">
            <v>0</v>
          </cell>
          <cell r="M1295">
            <v>0</v>
          </cell>
          <cell r="N1295">
            <v>0</v>
          </cell>
          <cell r="O1295">
            <v>0</v>
          </cell>
          <cell r="P1295">
            <v>0</v>
          </cell>
        </row>
        <row r="1296">
          <cell r="C1296">
            <v>433</v>
          </cell>
          <cell r="F1296">
            <v>1</v>
          </cell>
          <cell r="G1296">
            <v>1</v>
          </cell>
          <cell r="H1296">
            <v>46247</v>
          </cell>
          <cell r="I1296">
            <v>0</v>
          </cell>
          <cell r="J1296">
            <v>10</v>
          </cell>
          <cell r="K1296">
            <v>0</v>
          </cell>
          <cell r="L1296">
            <v>0</v>
          </cell>
          <cell r="M1296">
            <v>0</v>
          </cell>
          <cell r="N1296">
            <v>0</v>
          </cell>
          <cell r="O1296">
            <v>0</v>
          </cell>
          <cell r="P1296">
            <v>0</v>
          </cell>
        </row>
        <row r="1297">
          <cell r="C1297">
            <v>169</v>
          </cell>
          <cell r="F1297">
            <v>1</v>
          </cell>
          <cell r="G1297">
            <v>1</v>
          </cell>
          <cell r="H1297">
            <v>46247</v>
          </cell>
          <cell r="I1297">
            <v>0</v>
          </cell>
          <cell r="J1297">
            <v>2</v>
          </cell>
          <cell r="K1297">
            <v>0</v>
          </cell>
          <cell r="L1297">
            <v>0</v>
          </cell>
          <cell r="M1297">
            <v>0</v>
          </cell>
          <cell r="N1297">
            <v>0</v>
          </cell>
          <cell r="O1297">
            <v>0</v>
          </cell>
          <cell r="P1297">
            <v>0</v>
          </cell>
        </row>
        <row r="1298">
          <cell r="C1298">
            <v>219</v>
          </cell>
          <cell r="F1298">
            <v>1</v>
          </cell>
          <cell r="G1298">
            <v>1</v>
          </cell>
          <cell r="H1298">
            <v>46247</v>
          </cell>
          <cell r="I1298">
            <v>0</v>
          </cell>
          <cell r="J1298">
            <v>15</v>
          </cell>
          <cell r="K1298">
            <v>0</v>
          </cell>
          <cell r="L1298">
            <v>0</v>
          </cell>
          <cell r="M1298">
            <v>0</v>
          </cell>
          <cell r="N1298">
            <v>0</v>
          </cell>
          <cell r="O1298">
            <v>0</v>
          </cell>
          <cell r="P1298">
            <v>0</v>
          </cell>
        </row>
        <row r="1299">
          <cell r="C1299">
            <v>177</v>
          </cell>
          <cell r="F1299">
            <v>1</v>
          </cell>
          <cell r="G1299">
            <v>1</v>
          </cell>
          <cell r="H1299">
            <v>46247</v>
          </cell>
          <cell r="I1299">
            <v>0</v>
          </cell>
          <cell r="J1299">
            <v>100</v>
          </cell>
          <cell r="K1299">
            <v>0</v>
          </cell>
          <cell r="L1299">
            <v>0</v>
          </cell>
          <cell r="M1299">
            <v>0</v>
          </cell>
          <cell r="N1299">
            <v>0</v>
          </cell>
          <cell r="O1299">
            <v>0</v>
          </cell>
          <cell r="P1299">
            <v>0</v>
          </cell>
        </row>
        <row r="1300">
          <cell r="C1300">
            <v>305</v>
          </cell>
          <cell r="F1300">
            <v>1</v>
          </cell>
          <cell r="G1300">
            <v>1</v>
          </cell>
          <cell r="H1300">
            <v>46247</v>
          </cell>
          <cell r="I1300">
            <v>0</v>
          </cell>
          <cell r="J1300">
            <v>700</v>
          </cell>
          <cell r="K1300">
            <v>0</v>
          </cell>
          <cell r="L1300">
            <v>0</v>
          </cell>
          <cell r="M1300">
            <v>0</v>
          </cell>
          <cell r="N1300">
            <v>0</v>
          </cell>
          <cell r="O1300">
            <v>0</v>
          </cell>
          <cell r="P1300">
            <v>0</v>
          </cell>
        </row>
        <row r="1301">
          <cell r="C1301">
            <v>429</v>
          </cell>
          <cell r="F1301">
            <v>1</v>
          </cell>
          <cell r="G1301">
            <v>1</v>
          </cell>
          <cell r="H1301">
            <v>46247</v>
          </cell>
          <cell r="I1301">
            <v>0</v>
          </cell>
          <cell r="J1301">
            <v>1</v>
          </cell>
          <cell r="K1301">
            <v>0</v>
          </cell>
          <cell r="L1301">
            <v>0</v>
          </cell>
          <cell r="M1301">
            <v>0</v>
          </cell>
          <cell r="N1301">
            <v>0</v>
          </cell>
          <cell r="O1301">
            <v>0</v>
          </cell>
          <cell r="P1301">
            <v>0</v>
          </cell>
        </row>
        <row r="1302">
          <cell r="C1302">
            <v>369</v>
          </cell>
          <cell r="F1302">
            <v>1</v>
          </cell>
          <cell r="G1302">
            <v>1</v>
          </cell>
          <cell r="H1302">
            <v>46247</v>
          </cell>
          <cell r="I1302">
            <v>0</v>
          </cell>
          <cell r="J1302">
            <v>5</v>
          </cell>
          <cell r="K1302">
            <v>0</v>
          </cell>
          <cell r="L1302">
            <v>0</v>
          </cell>
          <cell r="M1302">
            <v>0</v>
          </cell>
          <cell r="N1302">
            <v>0</v>
          </cell>
          <cell r="O1302">
            <v>0</v>
          </cell>
          <cell r="P1302">
            <v>0</v>
          </cell>
        </row>
        <row r="1303">
          <cell r="C1303">
            <v>9</v>
          </cell>
          <cell r="F1303">
            <v>1</v>
          </cell>
          <cell r="G1303">
            <v>1</v>
          </cell>
          <cell r="H1303">
            <v>46247</v>
          </cell>
          <cell r="I1303">
            <v>0</v>
          </cell>
          <cell r="J1303">
            <v>4</v>
          </cell>
          <cell r="K1303">
            <v>0</v>
          </cell>
          <cell r="L1303">
            <v>0</v>
          </cell>
          <cell r="M1303">
            <v>0</v>
          </cell>
          <cell r="N1303">
            <v>0</v>
          </cell>
          <cell r="O1303">
            <v>0</v>
          </cell>
          <cell r="P1303">
            <v>0</v>
          </cell>
        </row>
        <row r="1304">
          <cell r="C1304">
            <v>8</v>
          </cell>
          <cell r="F1304">
            <v>1</v>
          </cell>
          <cell r="G1304">
            <v>1</v>
          </cell>
          <cell r="H1304">
            <v>46247</v>
          </cell>
          <cell r="I1304">
            <v>0</v>
          </cell>
          <cell r="J1304">
            <v>4</v>
          </cell>
          <cell r="K1304">
            <v>0</v>
          </cell>
          <cell r="L1304">
            <v>0</v>
          </cell>
          <cell r="M1304">
            <v>0</v>
          </cell>
          <cell r="N1304">
            <v>0</v>
          </cell>
          <cell r="O1304">
            <v>0</v>
          </cell>
          <cell r="P1304">
            <v>0</v>
          </cell>
        </row>
        <row r="1305">
          <cell r="C1305">
            <v>284</v>
          </cell>
          <cell r="F1305">
            <v>1</v>
          </cell>
          <cell r="G1305">
            <v>1</v>
          </cell>
          <cell r="H1305">
            <v>46247</v>
          </cell>
          <cell r="I1305">
            <v>0</v>
          </cell>
          <cell r="J1305">
            <v>5</v>
          </cell>
          <cell r="K1305">
            <v>0</v>
          </cell>
          <cell r="L1305">
            <v>0</v>
          </cell>
          <cell r="M1305">
            <v>0</v>
          </cell>
          <cell r="N1305">
            <v>0</v>
          </cell>
          <cell r="O1305">
            <v>0</v>
          </cell>
          <cell r="P1305">
            <v>0</v>
          </cell>
        </row>
        <row r="1306">
          <cell r="C1306">
            <v>50</v>
          </cell>
          <cell r="F1306">
            <v>1</v>
          </cell>
          <cell r="G1306">
            <v>1</v>
          </cell>
          <cell r="H1306">
            <v>46247</v>
          </cell>
          <cell r="I1306">
            <v>0</v>
          </cell>
          <cell r="J1306">
            <v>2</v>
          </cell>
          <cell r="K1306">
            <v>0</v>
          </cell>
          <cell r="L1306">
            <v>0</v>
          </cell>
          <cell r="M1306">
            <v>0</v>
          </cell>
          <cell r="N1306">
            <v>0</v>
          </cell>
          <cell r="O1306">
            <v>0</v>
          </cell>
          <cell r="P1306">
            <v>0</v>
          </cell>
        </row>
        <row r="1307">
          <cell r="C1307">
            <v>75</v>
          </cell>
          <cell r="F1307">
            <v>1</v>
          </cell>
          <cell r="G1307">
            <v>1</v>
          </cell>
          <cell r="H1307">
            <v>46247</v>
          </cell>
          <cell r="I1307">
            <v>0</v>
          </cell>
          <cell r="J1307">
            <v>1</v>
          </cell>
          <cell r="K1307">
            <v>0</v>
          </cell>
          <cell r="L1307">
            <v>0</v>
          </cell>
          <cell r="M1307">
            <v>0</v>
          </cell>
          <cell r="N1307">
            <v>0</v>
          </cell>
          <cell r="O1307">
            <v>0</v>
          </cell>
          <cell r="P1307">
            <v>0</v>
          </cell>
        </row>
        <row r="1308">
          <cell r="C1308">
            <v>46</v>
          </cell>
          <cell r="F1308">
            <v>1</v>
          </cell>
          <cell r="G1308">
            <v>1</v>
          </cell>
          <cell r="H1308">
            <v>46247</v>
          </cell>
          <cell r="I1308">
            <v>0</v>
          </cell>
          <cell r="J1308">
            <v>2</v>
          </cell>
          <cell r="K1308">
            <v>0</v>
          </cell>
          <cell r="L1308">
            <v>0</v>
          </cell>
          <cell r="M1308">
            <v>0</v>
          </cell>
          <cell r="N1308">
            <v>0</v>
          </cell>
          <cell r="O1308">
            <v>0</v>
          </cell>
          <cell r="P1308">
            <v>0</v>
          </cell>
        </row>
        <row r="1309">
          <cell r="C1309">
            <v>74</v>
          </cell>
          <cell r="F1309">
            <v>1</v>
          </cell>
          <cell r="G1309">
            <v>1</v>
          </cell>
          <cell r="H1309">
            <v>46247</v>
          </cell>
          <cell r="I1309">
            <v>0</v>
          </cell>
          <cell r="J1309">
            <v>1</v>
          </cell>
          <cell r="K1309">
            <v>0</v>
          </cell>
          <cell r="L1309">
            <v>0</v>
          </cell>
          <cell r="M1309">
            <v>0</v>
          </cell>
          <cell r="N1309">
            <v>0</v>
          </cell>
          <cell r="O1309">
            <v>0</v>
          </cell>
          <cell r="P1309">
            <v>0</v>
          </cell>
        </row>
        <row r="1310">
          <cell r="C1310">
            <v>241</v>
          </cell>
          <cell r="F1310">
            <v>1</v>
          </cell>
          <cell r="G1310">
            <v>1</v>
          </cell>
          <cell r="H1310">
            <v>46247</v>
          </cell>
          <cell r="I1310">
            <v>0</v>
          </cell>
          <cell r="J1310">
            <v>2</v>
          </cell>
          <cell r="K1310">
            <v>0</v>
          </cell>
          <cell r="L1310">
            <v>0</v>
          </cell>
          <cell r="M1310">
            <v>0</v>
          </cell>
          <cell r="N1310">
            <v>0</v>
          </cell>
          <cell r="O1310">
            <v>0</v>
          </cell>
          <cell r="P1310">
            <v>0</v>
          </cell>
        </row>
        <row r="1311">
          <cell r="C1311">
            <v>2</v>
          </cell>
          <cell r="F1311">
            <v>1</v>
          </cell>
          <cell r="G1311">
            <v>1</v>
          </cell>
          <cell r="H1311">
            <v>46247</v>
          </cell>
          <cell r="I1311">
            <v>0</v>
          </cell>
          <cell r="J1311">
            <v>4</v>
          </cell>
          <cell r="K1311">
            <v>0</v>
          </cell>
          <cell r="L1311">
            <v>0</v>
          </cell>
          <cell r="M1311">
            <v>0</v>
          </cell>
          <cell r="N1311">
            <v>0</v>
          </cell>
          <cell r="O1311">
            <v>0</v>
          </cell>
          <cell r="P1311">
            <v>0</v>
          </cell>
        </row>
        <row r="1312">
          <cell r="C1312">
            <v>243</v>
          </cell>
          <cell r="F1312">
            <v>1</v>
          </cell>
          <cell r="G1312">
            <v>1</v>
          </cell>
          <cell r="H1312">
            <v>46247</v>
          </cell>
          <cell r="I1312">
            <v>0</v>
          </cell>
          <cell r="J1312">
            <v>1</v>
          </cell>
          <cell r="K1312">
            <v>0</v>
          </cell>
          <cell r="L1312">
            <v>0</v>
          </cell>
          <cell r="M1312">
            <v>0</v>
          </cell>
          <cell r="N1312">
            <v>0</v>
          </cell>
          <cell r="O1312">
            <v>0</v>
          </cell>
          <cell r="P1312">
            <v>0</v>
          </cell>
        </row>
        <row r="1313">
          <cell r="C1313">
            <v>178</v>
          </cell>
          <cell r="F1313">
            <v>1</v>
          </cell>
          <cell r="G1313">
            <v>1</v>
          </cell>
          <cell r="H1313">
            <v>46247</v>
          </cell>
          <cell r="I1313">
            <v>0</v>
          </cell>
          <cell r="J1313">
            <v>250</v>
          </cell>
          <cell r="K1313">
            <v>0</v>
          </cell>
          <cell r="L1313">
            <v>0</v>
          </cell>
          <cell r="M1313">
            <v>0</v>
          </cell>
          <cell r="N1313">
            <v>0</v>
          </cell>
          <cell r="O1313">
            <v>0</v>
          </cell>
          <cell r="P1313">
            <v>0</v>
          </cell>
        </row>
        <row r="1314">
          <cell r="C1314">
            <v>337</v>
          </cell>
          <cell r="F1314">
            <v>1</v>
          </cell>
          <cell r="G1314">
            <v>1</v>
          </cell>
          <cell r="H1314">
            <v>46247</v>
          </cell>
          <cell r="I1314">
            <v>0</v>
          </cell>
          <cell r="J1314">
            <v>20</v>
          </cell>
          <cell r="K1314">
            <v>0</v>
          </cell>
          <cell r="L1314">
            <v>0</v>
          </cell>
          <cell r="M1314">
            <v>0</v>
          </cell>
          <cell r="N1314">
            <v>0</v>
          </cell>
          <cell r="O1314">
            <v>0</v>
          </cell>
          <cell r="P1314">
            <v>0</v>
          </cell>
        </row>
        <row r="1315">
          <cell r="C1315">
            <v>145</v>
          </cell>
          <cell r="F1315">
            <v>1</v>
          </cell>
          <cell r="G1315">
            <v>1</v>
          </cell>
          <cell r="H1315">
            <v>46247</v>
          </cell>
          <cell r="I1315">
            <v>0</v>
          </cell>
          <cell r="J1315">
            <v>2</v>
          </cell>
          <cell r="K1315">
            <v>0</v>
          </cell>
          <cell r="L1315">
            <v>0</v>
          </cell>
          <cell r="M1315">
            <v>0</v>
          </cell>
          <cell r="N1315">
            <v>0</v>
          </cell>
          <cell r="O1315">
            <v>0</v>
          </cell>
          <cell r="P1315">
            <v>0</v>
          </cell>
        </row>
        <row r="1316">
          <cell r="C1316">
            <v>150</v>
          </cell>
          <cell r="F1316">
            <v>1</v>
          </cell>
          <cell r="G1316">
            <v>1</v>
          </cell>
          <cell r="H1316">
            <v>46247</v>
          </cell>
          <cell r="I1316">
            <v>0</v>
          </cell>
          <cell r="J1316">
            <v>5</v>
          </cell>
          <cell r="K1316">
            <v>0</v>
          </cell>
          <cell r="L1316">
            <v>0</v>
          </cell>
          <cell r="M1316">
            <v>0</v>
          </cell>
          <cell r="N1316">
            <v>0</v>
          </cell>
          <cell r="O1316">
            <v>0</v>
          </cell>
          <cell r="P1316">
            <v>0</v>
          </cell>
        </row>
        <row r="1317">
          <cell r="C1317">
            <v>183</v>
          </cell>
          <cell r="F1317">
            <v>1</v>
          </cell>
          <cell r="G1317">
            <v>1</v>
          </cell>
          <cell r="H1317">
            <v>46247</v>
          </cell>
          <cell r="I1317">
            <v>0</v>
          </cell>
          <cell r="J1317">
            <v>12</v>
          </cell>
          <cell r="K1317">
            <v>0</v>
          </cell>
          <cell r="L1317">
            <v>0</v>
          </cell>
          <cell r="M1317">
            <v>0</v>
          </cell>
          <cell r="N1317">
            <v>0</v>
          </cell>
          <cell r="O1317">
            <v>0</v>
          </cell>
          <cell r="P1317">
            <v>0</v>
          </cell>
        </row>
        <row r="1318">
          <cell r="C1318">
            <v>112</v>
          </cell>
          <cell r="F1318">
            <v>1</v>
          </cell>
          <cell r="G1318">
            <v>1</v>
          </cell>
          <cell r="H1318">
            <v>46247</v>
          </cell>
          <cell r="I1318">
            <v>0</v>
          </cell>
          <cell r="J1318">
            <v>1</v>
          </cell>
          <cell r="K1318">
            <v>0</v>
          </cell>
          <cell r="L1318">
            <v>0</v>
          </cell>
          <cell r="M1318">
            <v>0</v>
          </cell>
          <cell r="N1318">
            <v>0</v>
          </cell>
          <cell r="O1318">
            <v>0</v>
          </cell>
          <cell r="P1318">
            <v>0</v>
          </cell>
        </row>
        <row r="1319">
          <cell r="C1319">
            <v>364</v>
          </cell>
          <cell r="F1319">
            <v>1</v>
          </cell>
          <cell r="G1319">
            <v>1</v>
          </cell>
          <cell r="H1319">
            <v>46247</v>
          </cell>
          <cell r="I1319">
            <v>0</v>
          </cell>
          <cell r="J1319">
            <v>1</v>
          </cell>
          <cell r="K1319">
            <v>0</v>
          </cell>
          <cell r="L1319">
            <v>0</v>
          </cell>
          <cell r="M1319">
            <v>0</v>
          </cell>
          <cell r="N1319">
            <v>0</v>
          </cell>
          <cell r="O1319">
            <v>0</v>
          </cell>
          <cell r="P1319">
            <v>0</v>
          </cell>
        </row>
        <row r="1320">
          <cell r="C1320">
            <v>368</v>
          </cell>
          <cell r="F1320">
            <v>1</v>
          </cell>
          <cell r="G1320">
            <v>1</v>
          </cell>
          <cell r="H1320">
            <v>46248</v>
          </cell>
          <cell r="I1320">
            <v>0</v>
          </cell>
          <cell r="J1320">
            <v>5</v>
          </cell>
          <cell r="K1320">
            <v>0</v>
          </cell>
          <cell r="L1320">
            <v>0</v>
          </cell>
          <cell r="M1320">
            <v>0</v>
          </cell>
          <cell r="N1320">
            <v>0</v>
          </cell>
          <cell r="O1320">
            <v>0</v>
          </cell>
          <cell r="P1320">
            <v>0</v>
          </cell>
        </row>
        <row r="1321">
          <cell r="C1321">
            <v>386</v>
          </cell>
          <cell r="F1321">
            <v>1</v>
          </cell>
          <cell r="G1321">
            <v>1</v>
          </cell>
          <cell r="H1321">
            <v>46248</v>
          </cell>
          <cell r="I1321">
            <v>0</v>
          </cell>
          <cell r="J1321">
            <v>1</v>
          </cell>
          <cell r="K1321">
            <v>0</v>
          </cell>
          <cell r="L1321">
            <v>0</v>
          </cell>
          <cell r="M1321">
            <v>0</v>
          </cell>
          <cell r="N1321">
            <v>0</v>
          </cell>
          <cell r="O1321">
            <v>0</v>
          </cell>
          <cell r="P1321">
            <v>0</v>
          </cell>
        </row>
        <row r="1322">
          <cell r="C1322">
            <v>385</v>
          </cell>
          <cell r="F1322">
            <v>1</v>
          </cell>
          <cell r="G1322">
            <v>1</v>
          </cell>
          <cell r="H1322">
            <v>46248</v>
          </cell>
          <cell r="I1322">
            <v>0</v>
          </cell>
          <cell r="J1322">
            <v>1</v>
          </cell>
          <cell r="K1322">
            <v>0</v>
          </cell>
          <cell r="L1322">
            <v>0</v>
          </cell>
          <cell r="M1322">
            <v>0</v>
          </cell>
          <cell r="N1322">
            <v>0</v>
          </cell>
          <cell r="O1322">
            <v>0</v>
          </cell>
          <cell r="P1322">
            <v>0</v>
          </cell>
        </row>
        <row r="1323">
          <cell r="C1323">
            <v>125</v>
          </cell>
          <cell r="F1323">
            <v>1</v>
          </cell>
          <cell r="G1323">
            <v>1</v>
          </cell>
          <cell r="H1323">
            <v>46248</v>
          </cell>
          <cell r="I1323">
            <v>0</v>
          </cell>
          <cell r="J1323">
            <v>75</v>
          </cell>
          <cell r="K1323">
            <v>0</v>
          </cell>
          <cell r="L1323">
            <v>0</v>
          </cell>
          <cell r="M1323">
            <v>0</v>
          </cell>
          <cell r="N1323">
            <v>0</v>
          </cell>
          <cell r="O1323">
            <v>0</v>
          </cell>
          <cell r="P1323">
            <v>0</v>
          </cell>
        </row>
        <row r="1324">
          <cell r="C1324">
            <v>391</v>
          </cell>
          <cell r="F1324">
            <v>1</v>
          </cell>
          <cell r="G1324">
            <v>1</v>
          </cell>
          <cell r="H1324">
            <v>46248</v>
          </cell>
          <cell r="I1324">
            <v>0</v>
          </cell>
          <cell r="J1324">
            <v>1</v>
          </cell>
          <cell r="K1324">
            <v>0</v>
          </cell>
          <cell r="L1324">
            <v>0</v>
          </cell>
          <cell r="M1324">
            <v>0</v>
          </cell>
          <cell r="N1324">
            <v>0</v>
          </cell>
          <cell r="O1324">
            <v>0</v>
          </cell>
          <cell r="P1324">
            <v>0</v>
          </cell>
        </row>
        <row r="1325">
          <cell r="C1325">
            <v>363</v>
          </cell>
          <cell r="F1325">
            <v>1</v>
          </cell>
          <cell r="G1325">
            <v>1</v>
          </cell>
          <cell r="H1325">
            <v>46248</v>
          </cell>
          <cell r="I1325">
            <v>0</v>
          </cell>
          <cell r="J1325">
            <v>2</v>
          </cell>
          <cell r="K1325">
            <v>0</v>
          </cell>
          <cell r="L1325">
            <v>0</v>
          </cell>
          <cell r="M1325">
            <v>0</v>
          </cell>
          <cell r="N1325">
            <v>0</v>
          </cell>
          <cell r="O1325">
            <v>0</v>
          </cell>
          <cell r="P1325">
            <v>0</v>
          </cell>
        </row>
        <row r="1326">
          <cell r="C1326">
            <v>433</v>
          </cell>
          <cell r="F1326">
            <v>1</v>
          </cell>
          <cell r="G1326">
            <v>1</v>
          </cell>
          <cell r="H1326">
            <v>46248</v>
          </cell>
          <cell r="I1326">
            <v>0</v>
          </cell>
          <cell r="J1326">
            <v>5</v>
          </cell>
          <cell r="K1326">
            <v>0</v>
          </cell>
          <cell r="L1326">
            <v>0</v>
          </cell>
          <cell r="M1326">
            <v>0</v>
          </cell>
          <cell r="N1326">
            <v>0</v>
          </cell>
          <cell r="O1326">
            <v>0</v>
          </cell>
          <cell r="P1326">
            <v>0</v>
          </cell>
        </row>
        <row r="1327">
          <cell r="C1327">
            <v>414</v>
          </cell>
          <cell r="F1327">
            <v>1</v>
          </cell>
          <cell r="G1327">
            <v>1</v>
          </cell>
          <cell r="H1327">
            <v>46248</v>
          </cell>
          <cell r="I1327">
            <v>0</v>
          </cell>
          <cell r="J1327">
            <v>1</v>
          </cell>
          <cell r="K1327">
            <v>0</v>
          </cell>
          <cell r="L1327">
            <v>0</v>
          </cell>
          <cell r="M1327">
            <v>0</v>
          </cell>
          <cell r="N1327">
            <v>0</v>
          </cell>
          <cell r="O1327">
            <v>0</v>
          </cell>
          <cell r="P1327">
            <v>0</v>
          </cell>
        </row>
        <row r="1328">
          <cell r="C1328">
            <v>142</v>
          </cell>
          <cell r="F1328">
            <v>1</v>
          </cell>
          <cell r="G1328">
            <v>1</v>
          </cell>
          <cell r="H1328">
            <v>46248</v>
          </cell>
          <cell r="I1328">
            <v>0</v>
          </cell>
          <cell r="J1328">
            <v>1</v>
          </cell>
          <cell r="K1328">
            <v>0</v>
          </cell>
          <cell r="L1328">
            <v>0</v>
          </cell>
          <cell r="M1328">
            <v>0</v>
          </cell>
          <cell r="N1328">
            <v>0</v>
          </cell>
          <cell r="O1328">
            <v>0</v>
          </cell>
          <cell r="P1328">
            <v>0</v>
          </cell>
        </row>
        <row r="1329">
          <cell r="C1329">
            <v>136</v>
          </cell>
          <cell r="F1329">
            <v>1</v>
          </cell>
          <cell r="G1329">
            <v>1</v>
          </cell>
          <cell r="H1329">
            <v>46248</v>
          </cell>
          <cell r="I1329">
            <v>0</v>
          </cell>
          <cell r="J1329">
            <v>2</v>
          </cell>
          <cell r="K1329">
            <v>0</v>
          </cell>
          <cell r="L1329">
            <v>0</v>
          </cell>
          <cell r="M1329">
            <v>0</v>
          </cell>
          <cell r="N1329">
            <v>0</v>
          </cell>
          <cell r="O1329">
            <v>0</v>
          </cell>
          <cell r="P1329">
            <v>0</v>
          </cell>
        </row>
        <row r="1330">
          <cell r="C1330">
            <v>195</v>
          </cell>
          <cell r="F1330">
            <v>1</v>
          </cell>
          <cell r="G1330">
            <v>1</v>
          </cell>
          <cell r="H1330">
            <v>46248</v>
          </cell>
          <cell r="I1330">
            <v>0</v>
          </cell>
          <cell r="J1330">
            <v>4</v>
          </cell>
          <cell r="K1330">
            <v>0</v>
          </cell>
          <cell r="L1330">
            <v>0</v>
          </cell>
          <cell r="M1330">
            <v>0</v>
          </cell>
          <cell r="N1330">
            <v>0</v>
          </cell>
          <cell r="O1330">
            <v>0</v>
          </cell>
          <cell r="P1330">
            <v>0</v>
          </cell>
        </row>
        <row r="1331">
          <cell r="C1331">
            <v>187</v>
          </cell>
          <cell r="F1331">
            <v>1</v>
          </cell>
          <cell r="G1331">
            <v>1</v>
          </cell>
          <cell r="H1331">
            <v>46248</v>
          </cell>
          <cell r="I1331">
            <v>0</v>
          </cell>
          <cell r="J1331">
            <v>4</v>
          </cell>
          <cell r="K1331">
            <v>0</v>
          </cell>
          <cell r="L1331">
            <v>0</v>
          </cell>
          <cell r="M1331">
            <v>0</v>
          </cell>
          <cell r="N1331">
            <v>0</v>
          </cell>
          <cell r="O1331">
            <v>0</v>
          </cell>
          <cell r="P1331">
            <v>0</v>
          </cell>
        </row>
        <row r="1332">
          <cell r="C1332">
            <v>197</v>
          </cell>
          <cell r="F1332">
            <v>1</v>
          </cell>
          <cell r="G1332">
            <v>1</v>
          </cell>
          <cell r="H1332">
            <v>46248</v>
          </cell>
          <cell r="I1332">
            <v>0</v>
          </cell>
          <cell r="J1332">
            <v>4</v>
          </cell>
          <cell r="K1332">
            <v>0</v>
          </cell>
          <cell r="L1332">
            <v>0</v>
          </cell>
          <cell r="M1332">
            <v>0</v>
          </cell>
          <cell r="N1332">
            <v>0</v>
          </cell>
          <cell r="O1332">
            <v>0</v>
          </cell>
          <cell r="P1332">
            <v>0</v>
          </cell>
        </row>
        <row r="1333">
          <cell r="C1333">
            <v>397</v>
          </cell>
          <cell r="F1333">
            <v>1</v>
          </cell>
          <cell r="G1333">
            <v>1</v>
          </cell>
          <cell r="H1333">
            <v>46248</v>
          </cell>
          <cell r="I1333">
            <v>0</v>
          </cell>
          <cell r="J1333">
            <v>10</v>
          </cell>
          <cell r="K1333">
            <v>0</v>
          </cell>
          <cell r="L1333">
            <v>0</v>
          </cell>
          <cell r="M1333">
            <v>0</v>
          </cell>
          <cell r="N1333">
            <v>0</v>
          </cell>
          <cell r="O1333">
            <v>0</v>
          </cell>
          <cell r="P1333">
            <v>0</v>
          </cell>
        </row>
        <row r="1334">
          <cell r="C1334">
            <v>160</v>
          </cell>
          <cell r="F1334">
            <v>1</v>
          </cell>
          <cell r="G1334">
            <v>1</v>
          </cell>
          <cell r="H1334">
            <v>46248</v>
          </cell>
          <cell r="I1334">
            <v>0</v>
          </cell>
          <cell r="J1334">
            <v>1</v>
          </cell>
          <cell r="K1334">
            <v>0</v>
          </cell>
          <cell r="L1334">
            <v>0</v>
          </cell>
          <cell r="M1334">
            <v>0</v>
          </cell>
          <cell r="N1334">
            <v>0</v>
          </cell>
          <cell r="O1334">
            <v>0</v>
          </cell>
          <cell r="P1334">
            <v>0</v>
          </cell>
        </row>
        <row r="1335">
          <cell r="C1335">
            <v>367</v>
          </cell>
          <cell r="F1335">
            <v>1</v>
          </cell>
          <cell r="G1335">
            <v>1</v>
          </cell>
          <cell r="H1335">
            <v>46248</v>
          </cell>
          <cell r="I1335">
            <v>0</v>
          </cell>
          <cell r="J1335">
            <v>1</v>
          </cell>
          <cell r="K1335">
            <v>0</v>
          </cell>
          <cell r="L1335">
            <v>0</v>
          </cell>
          <cell r="M1335">
            <v>0</v>
          </cell>
          <cell r="N1335">
            <v>0</v>
          </cell>
          <cell r="O1335">
            <v>0</v>
          </cell>
          <cell r="P1335">
            <v>0</v>
          </cell>
        </row>
        <row r="1336">
          <cell r="C1336">
            <v>380</v>
          </cell>
          <cell r="F1336">
            <v>1</v>
          </cell>
          <cell r="G1336">
            <v>1</v>
          </cell>
          <cell r="H1336">
            <v>46248</v>
          </cell>
          <cell r="I1336">
            <v>0</v>
          </cell>
          <cell r="J1336">
            <v>5</v>
          </cell>
          <cell r="K1336">
            <v>0</v>
          </cell>
          <cell r="L1336">
            <v>0</v>
          </cell>
          <cell r="M1336">
            <v>0</v>
          </cell>
          <cell r="N1336">
            <v>0</v>
          </cell>
          <cell r="O1336">
            <v>0</v>
          </cell>
          <cell r="P1336">
            <v>0</v>
          </cell>
        </row>
        <row r="1337">
          <cell r="C1337">
            <v>145</v>
          </cell>
          <cell r="F1337">
            <v>1</v>
          </cell>
          <cell r="G1337">
            <v>1</v>
          </cell>
          <cell r="H1337">
            <v>46248</v>
          </cell>
          <cell r="I1337">
            <v>0</v>
          </cell>
          <cell r="J1337">
            <v>1</v>
          </cell>
          <cell r="K1337">
            <v>0</v>
          </cell>
          <cell r="L1337">
            <v>0</v>
          </cell>
          <cell r="M1337">
            <v>0</v>
          </cell>
          <cell r="N1337">
            <v>0</v>
          </cell>
          <cell r="O1337">
            <v>0</v>
          </cell>
          <cell r="P1337">
            <v>0</v>
          </cell>
        </row>
        <row r="1338">
          <cell r="C1338">
            <v>374</v>
          </cell>
          <cell r="F1338">
            <v>1</v>
          </cell>
          <cell r="G1338">
            <v>1</v>
          </cell>
          <cell r="H1338">
            <v>46248</v>
          </cell>
          <cell r="I1338">
            <v>0</v>
          </cell>
          <cell r="J1338">
            <v>1</v>
          </cell>
          <cell r="K1338">
            <v>0</v>
          </cell>
          <cell r="L1338">
            <v>0</v>
          </cell>
          <cell r="M1338">
            <v>0</v>
          </cell>
          <cell r="N1338">
            <v>0</v>
          </cell>
          <cell r="O1338">
            <v>0</v>
          </cell>
          <cell r="P1338">
            <v>0</v>
          </cell>
        </row>
        <row r="1339">
          <cell r="C1339">
            <v>22</v>
          </cell>
          <cell r="F1339">
            <v>1</v>
          </cell>
          <cell r="G1339">
            <v>1</v>
          </cell>
          <cell r="H1339">
            <v>46248</v>
          </cell>
          <cell r="I1339">
            <v>0</v>
          </cell>
          <cell r="J1339">
            <v>4</v>
          </cell>
          <cell r="K1339">
            <v>0</v>
          </cell>
          <cell r="L1339">
            <v>0</v>
          </cell>
          <cell r="M1339">
            <v>0</v>
          </cell>
          <cell r="N1339">
            <v>0</v>
          </cell>
          <cell r="O1339">
            <v>0</v>
          </cell>
          <cell r="P1339">
            <v>0</v>
          </cell>
        </row>
        <row r="1340">
          <cell r="C1340">
            <v>293</v>
          </cell>
          <cell r="F1340">
            <v>1</v>
          </cell>
          <cell r="G1340">
            <v>1</v>
          </cell>
          <cell r="H1340">
            <v>46248</v>
          </cell>
          <cell r="I1340">
            <v>0</v>
          </cell>
          <cell r="J1340">
            <v>10</v>
          </cell>
          <cell r="K1340">
            <v>0</v>
          </cell>
          <cell r="L1340">
            <v>0</v>
          </cell>
          <cell r="M1340">
            <v>0</v>
          </cell>
          <cell r="N1340">
            <v>0</v>
          </cell>
          <cell r="O1340">
            <v>0</v>
          </cell>
          <cell r="P1340">
            <v>0</v>
          </cell>
        </row>
        <row r="1341">
          <cell r="C1341">
            <v>294</v>
          </cell>
          <cell r="F1341">
            <v>1</v>
          </cell>
          <cell r="G1341">
            <v>1</v>
          </cell>
          <cell r="H1341">
            <v>46248</v>
          </cell>
          <cell r="I1341">
            <v>0</v>
          </cell>
          <cell r="J1341">
            <v>20</v>
          </cell>
          <cell r="K1341">
            <v>0</v>
          </cell>
          <cell r="L1341">
            <v>0</v>
          </cell>
          <cell r="M1341">
            <v>0</v>
          </cell>
          <cell r="N1341">
            <v>0</v>
          </cell>
          <cell r="O1341">
            <v>0</v>
          </cell>
          <cell r="P1341">
            <v>0</v>
          </cell>
        </row>
        <row r="1342">
          <cell r="C1342">
            <v>177</v>
          </cell>
          <cell r="F1342">
            <v>1</v>
          </cell>
          <cell r="G1342">
            <v>1</v>
          </cell>
          <cell r="H1342">
            <v>46248</v>
          </cell>
          <cell r="I1342">
            <v>0</v>
          </cell>
          <cell r="J1342">
            <v>150</v>
          </cell>
          <cell r="K1342">
            <v>0</v>
          </cell>
          <cell r="L1342">
            <v>0</v>
          </cell>
          <cell r="M1342">
            <v>0</v>
          </cell>
          <cell r="N1342">
            <v>0</v>
          </cell>
          <cell r="O1342">
            <v>0</v>
          </cell>
          <cell r="P1342">
            <v>0</v>
          </cell>
        </row>
        <row r="1343">
          <cell r="C1343">
            <v>101</v>
          </cell>
          <cell r="F1343">
            <v>1</v>
          </cell>
          <cell r="G1343">
            <v>1</v>
          </cell>
          <cell r="H1343">
            <v>46248</v>
          </cell>
          <cell r="I1343">
            <v>0</v>
          </cell>
          <cell r="J1343">
            <v>1000</v>
          </cell>
          <cell r="K1343">
            <v>0</v>
          </cell>
          <cell r="L1343">
            <v>0</v>
          </cell>
          <cell r="M1343">
            <v>0</v>
          </cell>
          <cell r="N1343">
            <v>0</v>
          </cell>
          <cell r="O1343">
            <v>0</v>
          </cell>
          <cell r="P1343">
            <v>0</v>
          </cell>
        </row>
        <row r="1344">
          <cell r="C1344">
            <v>427</v>
          </cell>
          <cell r="F1344">
            <v>1</v>
          </cell>
          <cell r="G1344">
            <v>1</v>
          </cell>
          <cell r="H1344">
            <v>46248</v>
          </cell>
          <cell r="I1344">
            <v>0</v>
          </cell>
          <cell r="J1344">
            <v>1</v>
          </cell>
          <cell r="K1344">
            <v>0</v>
          </cell>
          <cell r="L1344">
            <v>0</v>
          </cell>
          <cell r="M1344">
            <v>0</v>
          </cell>
          <cell r="N1344">
            <v>0</v>
          </cell>
          <cell r="O1344">
            <v>0</v>
          </cell>
          <cell r="P1344">
            <v>0</v>
          </cell>
        </row>
        <row r="1345">
          <cell r="C1345">
            <v>368</v>
          </cell>
          <cell r="F1345">
            <v>1</v>
          </cell>
          <cell r="G1345">
            <v>1</v>
          </cell>
          <cell r="H1345">
            <v>46249</v>
          </cell>
          <cell r="I1345">
            <v>0</v>
          </cell>
          <cell r="J1345">
            <v>6</v>
          </cell>
          <cell r="K1345">
            <v>0</v>
          </cell>
          <cell r="L1345">
            <v>0</v>
          </cell>
          <cell r="M1345">
            <v>0</v>
          </cell>
          <cell r="N1345">
            <v>0</v>
          </cell>
          <cell r="O1345">
            <v>0</v>
          </cell>
          <cell r="P1345">
            <v>0</v>
          </cell>
        </row>
        <row r="1346">
          <cell r="C1346">
            <v>389</v>
          </cell>
          <cell r="F1346">
            <v>1</v>
          </cell>
          <cell r="G1346">
            <v>1</v>
          </cell>
          <cell r="H1346">
            <v>46249</v>
          </cell>
          <cell r="I1346">
            <v>0</v>
          </cell>
          <cell r="J1346">
            <v>5</v>
          </cell>
          <cell r="K1346">
            <v>0</v>
          </cell>
          <cell r="L1346">
            <v>0</v>
          </cell>
          <cell r="M1346">
            <v>0</v>
          </cell>
          <cell r="N1346">
            <v>0</v>
          </cell>
          <cell r="O1346">
            <v>0</v>
          </cell>
          <cell r="P1346">
            <v>0</v>
          </cell>
        </row>
        <row r="1347">
          <cell r="C1347">
            <v>189</v>
          </cell>
          <cell r="F1347">
            <v>1</v>
          </cell>
          <cell r="G1347">
            <v>1</v>
          </cell>
          <cell r="H1347">
            <v>46249</v>
          </cell>
          <cell r="I1347">
            <v>0</v>
          </cell>
          <cell r="J1347">
            <v>4</v>
          </cell>
          <cell r="K1347">
            <v>0</v>
          </cell>
          <cell r="L1347">
            <v>0</v>
          </cell>
          <cell r="M1347">
            <v>0</v>
          </cell>
          <cell r="N1347">
            <v>0</v>
          </cell>
          <cell r="O1347">
            <v>0</v>
          </cell>
          <cell r="P1347">
            <v>0</v>
          </cell>
        </row>
        <row r="1348">
          <cell r="C1348">
            <v>187</v>
          </cell>
          <cell r="F1348">
            <v>1</v>
          </cell>
          <cell r="G1348">
            <v>1</v>
          </cell>
          <cell r="H1348">
            <v>46249</v>
          </cell>
          <cell r="I1348">
            <v>0</v>
          </cell>
          <cell r="J1348">
            <v>4</v>
          </cell>
          <cell r="K1348">
            <v>0</v>
          </cell>
          <cell r="L1348">
            <v>0</v>
          </cell>
          <cell r="M1348">
            <v>0</v>
          </cell>
          <cell r="N1348">
            <v>0</v>
          </cell>
          <cell r="O1348">
            <v>0</v>
          </cell>
          <cell r="P1348">
            <v>0</v>
          </cell>
        </row>
        <row r="1349">
          <cell r="C1349">
            <v>75</v>
          </cell>
          <cell r="F1349">
            <v>1</v>
          </cell>
          <cell r="G1349">
            <v>1</v>
          </cell>
          <cell r="H1349">
            <v>46249</v>
          </cell>
          <cell r="I1349">
            <v>0</v>
          </cell>
          <cell r="J1349">
            <v>1</v>
          </cell>
          <cell r="K1349">
            <v>0</v>
          </cell>
          <cell r="L1349">
            <v>0</v>
          </cell>
          <cell r="M1349">
            <v>0</v>
          </cell>
          <cell r="N1349">
            <v>0</v>
          </cell>
          <cell r="O1349">
            <v>0</v>
          </cell>
          <cell r="P1349">
            <v>0</v>
          </cell>
        </row>
        <row r="1350">
          <cell r="C1350">
            <v>349</v>
          </cell>
          <cell r="F1350">
            <v>1</v>
          </cell>
          <cell r="G1350">
            <v>1</v>
          </cell>
          <cell r="H1350">
            <v>46249</v>
          </cell>
          <cell r="I1350">
            <v>0</v>
          </cell>
          <cell r="J1350">
            <v>1</v>
          </cell>
          <cell r="K1350">
            <v>0</v>
          </cell>
          <cell r="L1350">
            <v>0</v>
          </cell>
          <cell r="M1350">
            <v>0</v>
          </cell>
          <cell r="N1350">
            <v>0</v>
          </cell>
          <cell r="O1350">
            <v>0</v>
          </cell>
          <cell r="P1350">
            <v>0</v>
          </cell>
        </row>
        <row r="1351">
          <cell r="C1351">
            <v>177</v>
          </cell>
          <cell r="F1351">
            <v>1</v>
          </cell>
          <cell r="G1351">
            <v>1</v>
          </cell>
          <cell r="H1351">
            <v>46249</v>
          </cell>
          <cell r="I1351">
            <v>0</v>
          </cell>
          <cell r="J1351">
            <v>800</v>
          </cell>
          <cell r="K1351">
            <v>0</v>
          </cell>
          <cell r="L1351">
            <v>0</v>
          </cell>
          <cell r="M1351">
            <v>0</v>
          </cell>
          <cell r="N1351">
            <v>0</v>
          </cell>
          <cell r="O1351">
            <v>0</v>
          </cell>
          <cell r="P1351">
            <v>0</v>
          </cell>
        </row>
        <row r="1352">
          <cell r="C1352">
            <v>9</v>
          </cell>
          <cell r="F1352">
            <v>1</v>
          </cell>
          <cell r="G1352">
            <v>1</v>
          </cell>
          <cell r="H1352">
            <v>46249</v>
          </cell>
          <cell r="I1352">
            <v>0</v>
          </cell>
          <cell r="J1352">
            <v>8</v>
          </cell>
          <cell r="K1352">
            <v>0</v>
          </cell>
          <cell r="L1352">
            <v>0</v>
          </cell>
          <cell r="M1352">
            <v>0</v>
          </cell>
          <cell r="N1352">
            <v>0</v>
          </cell>
          <cell r="O1352">
            <v>0</v>
          </cell>
          <cell r="P1352">
            <v>0</v>
          </cell>
        </row>
        <row r="1353">
          <cell r="C1353">
            <v>293</v>
          </cell>
          <cell r="F1353">
            <v>1</v>
          </cell>
          <cell r="G1353">
            <v>1</v>
          </cell>
          <cell r="H1353">
            <v>46249</v>
          </cell>
          <cell r="I1353">
            <v>0</v>
          </cell>
          <cell r="J1353">
            <v>30</v>
          </cell>
          <cell r="K1353">
            <v>0</v>
          </cell>
          <cell r="L1353">
            <v>0</v>
          </cell>
          <cell r="M1353">
            <v>0</v>
          </cell>
          <cell r="N1353">
            <v>0</v>
          </cell>
          <cell r="O1353">
            <v>0</v>
          </cell>
          <cell r="P1353">
            <v>0</v>
          </cell>
        </row>
        <row r="1354">
          <cell r="C1354">
            <v>178</v>
          </cell>
          <cell r="F1354">
            <v>1</v>
          </cell>
          <cell r="G1354">
            <v>1</v>
          </cell>
          <cell r="H1354">
            <v>46249</v>
          </cell>
          <cell r="I1354">
            <v>0</v>
          </cell>
          <cell r="J1354">
            <v>100</v>
          </cell>
          <cell r="K1354">
            <v>0</v>
          </cell>
          <cell r="L1354">
            <v>0</v>
          </cell>
          <cell r="M1354">
            <v>0</v>
          </cell>
          <cell r="N1354">
            <v>0</v>
          </cell>
          <cell r="O1354">
            <v>0</v>
          </cell>
          <cell r="P1354">
            <v>0</v>
          </cell>
        </row>
        <row r="1355">
          <cell r="C1355">
            <v>305</v>
          </cell>
          <cell r="F1355">
            <v>1</v>
          </cell>
          <cell r="G1355">
            <v>1</v>
          </cell>
          <cell r="H1355">
            <v>46249</v>
          </cell>
          <cell r="I1355">
            <v>0</v>
          </cell>
          <cell r="J1355">
            <v>200</v>
          </cell>
          <cell r="K1355">
            <v>0</v>
          </cell>
          <cell r="L1355">
            <v>0</v>
          </cell>
          <cell r="M1355">
            <v>0</v>
          </cell>
          <cell r="N1355">
            <v>0</v>
          </cell>
          <cell r="O1355">
            <v>0</v>
          </cell>
          <cell r="P1355">
            <v>0</v>
          </cell>
        </row>
        <row r="1356">
          <cell r="C1356">
            <v>197</v>
          </cell>
          <cell r="F1356">
            <v>1</v>
          </cell>
          <cell r="G1356">
            <v>1</v>
          </cell>
          <cell r="H1356">
            <v>46249</v>
          </cell>
          <cell r="I1356">
            <v>0</v>
          </cell>
          <cell r="J1356">
            <v>4</v>
          </cell>
          <cell r="K1356">
            <v>0</v>
          </cell>
          <cell r="L1356">
            <v>0</v>
          </cell>
          <cell r="M1356">
            <v>0</v>
          </cell>
          <cell r="N1356">
            <v>0</v>
          </cell>
          <cell r="O1356">
            <v>0</v>
          </cell>
          <cell r="P1356">
            <v>0</v>
          </cell>
        </row>
        <row r="1357">
          <cell r="C1357">
            <v>74</v>
          </cell>
          <cell r="F1357">
            <v>1</v>
          </cell>
          <cell r="G1357">
            <v>1</v>
          </cell>
          <cell r="H1357">
            <v>46249</v>
          </cell>
          <cell r="I1357">
            <v>0</v>
          </cell>
          <cell r="J1357">
            <v>1</v>
          </cell>
          <cell r="K1357">
            <v>0</v>
          </cell>
          <cell r="L1357">
            <v>0</v>
          </cell>
          <cell r="M1357">
            <v>0</v>
          </cell>
          <cell r="N1357">
            <v>0</v>
          </cell>
          <cell r="O1357">
            <v>0</v>
          </cell>
          <cell r="P1357">
            <v>0</v>
          </cell>
        </row>
        <row r="1358">
          <cell r="C1358">
            <v>8</v>
          </cell>
          <cell r="F1358">
            <v>1</v>
          </cell>
          <cell r="G1358">
            <v>1</v>
          </cell>
          <cell r="H1358">
            <v>46249</v>
          </cell>
          <cell r="I1358">
            <v>0</v>
          </cell>
          <cell r="J1358">
            <v>4</v>
          </cell>
          <cell r="K1358">
            <v>0</v>
          </cell>
          <cell r="L1358">
            <v>0</v>
          </cell>
          <cell r="M1358">
            <v>0</v>
          </cell>
          <cell r="N1358">
            <v>0</v>
          </cell>
          <cell r="O1358">
            <v>0</v>
          </cell>
          <cell r="P1358">
            <v>0</v>
          </cell>
        </row>
        <row r="1359">
          <cell r="C1359">
            <v>46</v>
          </cell>
          <cell r="F1359">
            <v>1</v>
          </cell>
          <cell r="G1359">
            <v>1</v>
          </cell>
          <cell r="H1359">
            <v>46249</v>
          </cell>
          <cell r="I1359">
            <v>0</v>
          </cell>
          <cell r="J1359">
            <v>2</v>
          </cell>
          <cell r="K1359">
            <v>0</v>
          </cell>
          <cell r="L1359">
            <v>0</v>
          </cell>
          <cell r="M1359">
            <v>0</v>
          </cell>
          <cell r="N1359">
            <v>0</v>
          </cell>
          <cell r="O1359">
            <v>0</v>
          </cell>
          <cell r="P1359">
            <v>0</v>
          </cell>
        </row>
        <row r="1360">
          <cell r="C1360">
            <v>49</v>
          </cell>
          <cell r="F1360">
            <v>1</v>
          </cell>
          <cell r="G1360">
            <v>1</v>
          </cell>
          <cell r="H1360">
            <v>46249</v>
          </cell>
          <cell r="I1360">
            <v>0</v>
          </cell>
          <cell r="J1360">
            <v>1</v>
          </cell>
          <cell r="K1360">
            <v>0</v>
          </cell>
          <cell r="L1360">
            <v>0</v>
          </cell>
          <cell r="M1360">
            <v>0</v>
          </cell>
          <cell r="N1360">
            <v>0</v>
          </cell>
          <cell r="O1360">
            <v>0</v>
          </cell>
          <cell r="P1360">
            <v>0</v>
          </cell>
        </row>
        <row r="1361">
          <cell r="C1361">
            <v>294</v>
          </cell>
          <cell r="F1361">
            <v>1</v>
          </cell>
          <cell r="G1361">
            <v>1</v>
          </cell>
          <cell r="H1361">
            <v>46249</v>
          </cell>
          <cell r="I1361">
            <v>0</v>
          </cell>
          <cell r="J1361">
            <v>20</v>
          </cell>
          <cell r="K1361">
            <v>0</v>
          </cell>
          <cell r="L1361">
            <v>0</v>
          </cell>
          <cell r="M1361">
            <v>0</v>
          </cell>
          <cell r="N1361">
            <v>0</v>
          </cell>
          <cell r="O1361">
            <v>0</v>
          </cell>
          <cell r="P1361">
            <v>0</v>
          </cell>
        </row>
        <row r="1362">
          <cell r="C1362">
            <v>386</v>
          </cell>
          <cell r="F1362">
            <v>1</v>
          </cell>
          <cell r="G1362">
            <v>1</v>
          </cell>
          <cell r="H1362">
            <v>46250</v>
          </cell>
          <cell r="I1362">
            <v>0</v>
          </cell>
          <cell r="J1362">
            <v>1</v>
          </cell>
          <cell r="K1362">
            <v>0</v>
          </cell>
          <cell r="L1362">
            <v>0</v>
          </cell>
          <cell r="M1362">
            <v>0</v>
          </cell>
          <cell r="N1362">
            <v>0</v>
          </cell>
          <cell r="O1362">
            <v>0</v>
          </cell>
          <cell r="P1362">
            <v>0</v>
          </cell>
        </row>
        <row r="1363">
          <cell r="C1363">
            <v>385</v>
          </cell>
          <cell r="F1363">
            <v>1</v>
          </cell>
          <cell r="G1363">
            <v>1</v>
          </cell>
          <cell r="H1363">
            <v>46250</v>
          </cell>
          <cell r="I1363">
            <v>0</v>
          </cell>
          <cell r="J1363">
            <v>1</v>
          </cell>
          <cell r="K1363">
            <v>0</v>
          </cell>
          <cell r="L1363">
            <v>0</v>
          </cell>
          <cell r="M1363">
            <v>0</v>
          </cell>
          <cell r="N1363">
            <v>0</v>
          </cell>
          <cell r="O1363">
            <v>0</v>
          </cell>
          <cell r="P1363">
            <v>0</v>
          </cell>
        </row>
        <row r="1364">
          <cell r="C1364">
            <v>397</v>
          </cell>
          <cell r="F1364">
            <v>1</v>
          </cell>
          <cell r="G1364">
            <v>1</v>
          </cell>
          <cell r="H1364">
            <v>46250</v>
          </cell>
          <cell r="I1364">
            <v>0</v>
          </cell>
          <cell r="J1364">
            <v>5</v>
          </cell>
          <cell r="K1364">
            <v>0</v>
          </cell>
          <cell r="L1364">
            <v>0</v>
          </cell>
          <cell r="M1364">
            <v>0</v>
          </cell>
          <cell r="N1364">
            <v>0</v>
          </cell>
          <cell r="O1364">
            <v>0</v>
          </cell>
          <cell r="P1364">
            <v>0</v>
          </cell>
        </row>
        <row r="1365">
          <cell r="C1365">
            <v>378</v>
          </cell>
          <cell r="F1365">
            <v>1</v>
          </cell>
          <cell r="G1365">
            <v>1</v>
          </cell>
          <cell r="H1365">
            <v>46250</v>
          </cell>
          <cell r="I1365">
            <v>0</v>
          </cell>
          <cell r="J1365">
            <v>1</v>
          </cell>
          <cell r="K1365">
            <v>0</v>
          </cell>
          <cell r="L1365">
            <v>0</v>
          </cell>
          <cell r="M1365">
            <v>0</v>
          </cell>
          <cell r="N1365">
            <v>0</v>
          </cell>
          <cell r="O1365">
            <v>0</v>
          </cell>
          <cell r="P1365">
            <v>0</v>
          </cell>
        </row>
        <row r="1366">
          <cell r="C1366">
            <v>90</v>
          </cell>
          <cell r="F1366">
            <v>1</v>
          </cell>
          <cell r="G1366">
            <v>1</v>
          </cell>
          <cell r="H1366">
            <v>46250</v>
          </cell>
          <cell r="I1366">
            <v>0</v>
          </cell>
          <cell r="J1366">
            <v>2</v>
          </cell>
          <cell r="K1366">
            <v>0</v>
          </cell>
          <cell r="L1366">
            <v>0</v>
          </cell>
          <cell r="M1366">
            <v>0</v>
          </cell>
          <cell r="N1366">
            <v>0</v>
          </cell>
          <cell r="O1366">
            <v>0</v>
          </cell>
          <cell r="P1366">
            <v>0</v>
          </cell>
        </row>
        <row r="1367">
          <cell r="C1367">
            <v>377</v>
          </cell>
          <cell r="F1367">
            <v>1</v>
          </cell>
          <cell r="G1367">
            <v>1</v>
          </cell>
          <cell r="H1367">
            <v>46250</v>
          </cell>
          <cell r="I1367">
            <v>0</v>
          </cell>
          <cell r="J1367">
            <v>10</v>
          </cell>
          <cell r="K1367">
            <v>0</v>
          </cell>
          <cell r="L1367">
            <v>0</v>
          </cell>
          <cell r="M1367">
            <v>0</v>
          </cell>
          <cell r="N1367">
            <v>0</v>
          </cell>
          <cell r="O1367">
            <v>0</v>
          </cell>
          <cell r="P1367">
            <v>0</v>
          </cell>
        </row>
        <row r="1368">
          <cell r="C1368">
            <v>76</v>
          </cell>
          <cell r="F1368">
            <v>1</v>
          </cell>
          <cell r="G1368">
            <v>1</v>
          </cell>
          <cell r="H1368">
            <v>46250</v>
          </cell>
          <cell r="I1368">
            <v>0</v>
          </cell>
          <cell r="J1368">
            <v>1</v>
          </cell>
          <cell r="K1368">
            <v>0</v>
          </cell>
          <cell r="L1368">
            <v>0</v>
          </cell>
          <cell r="M1368">
            <v>0</v>
          </cell>
          <cell r="N1368">
            <v>0</v>
          </cell>
          <cell r="O1368">
            <v>0</v>
          </cell>
          <cell r="P1368">
            <v>0</v>
          </cell>
        </row>
        <row r="1369">
          <cell r="C1369">
            <v>276</v>
          </cell>
          <cell r="F1369">
            <v>1</v>
          </cell>
          <cell r="G1369">
            <v>1</v>
          </cell>
          <cell r="H1369">
            <v>46250</v>
          </cell>
          <cell r="I1369">
            <v>0</v>
          </cell>
          <cell r="J1369">
            <v>2</v>
          </cell>
          <cell r="K1369">
            <v>0</v>
          </cell>
          <cell r="L1369">
            <v>0</v>
          </cell>
          <cell r="M1369">
            <v>0</v>
          </cell>
          <cell r="N1369">
            <v>0</v>
          </cell>
          <cell r="O1369">
            <v>0</v>
          </cell>
          <cell r="P1369">
            <v>0</v>
          </cell>
        </row>
        <row r="1370">
          <cell r="C1370">
            <v>379</v>
          </cell>
          <cell r="F1370">
            <v>1</v>
          </cell>
          <cell r="G1370">
            <v>1</v>
          </cell>
          <cell r="H1370">
            <v>46250</v>
          </cell>
          <cell r="I1370">
            <v>0</v>
          </cell>
          <cell r="J1370">
            <v>1</v>
          </cell>
          <cell r="K1370">
            <v>0</v>
          </cell>
          <cell r="L1370">
            <v>0</v>
          </cell>
          <cell r="M1370">
            <v>0</v>
          </cell>
          <cell r="N1370">
            <v>0</v>
          </cell>
          <cell r="O1370">
            <v>0</v>
          </cell>
          <cell r="P1370">
            <v>0</v>
          </cell>
        </row>
        <row r="1371">
          <cell r="C1371">
            <v>108</v>
          </cell>
          <cell r="F1371">
            <v>1</v>
          </cell>
          <cell r="G1371">
            <v>1</v>
          </cell>
          <cell r="H1371">
            <v>46250</v>
          </cell>
          <cell r="I1371">
            <v>0</v>
          </cell>
          <cell r="J1371">
            <v>1</v>
          </cell>
          <cell r="K1371">
            <v>0</v>
          </cell>
          <cell r="L1371">
            <v>0</v>
          </cell>
          <cell r="M1371">
            <v>0</v>
          </cell>
          <cell r="N1371">
            <v>0</v>
          </cell>
          <cell r="O1371">
            <v>0</v>
          </cell>
          <cell r="P1371">
            <v>0</v>
          </cell>
        </row>
        <row r="1372">
          <cell r="C1372">
            <v>401</v>
          </cell>
          <cell r="F1372">
            <v>1</v>
          </cell>
          <cell r="G1372">
            <v>1</v>
          </cell>
          <cell r="H1372">
            <v>46250</v>
          </cell>
          <cell r="I1372">
            <v>0</v>
          </cell>
          <cell r="J1372">
            <v>1</v>
          </cell>
          <cell r="K1372">
            <v>0</v>
          </cell>
          <cell r="L1372">
            <v>0</v>
          </cell>
          <cell r="M1372">
            <v>0</v>
          </cell>
          <cell r="N1372">
            <v>0</v>
          </cell>
          <cell r="O1372">
            <v>0</v>
          </cell>
          <cell r="P1372">
            <v>0</v>
          </cell>
        </row>
        <row r="1373">
          <cell r="C1373">
            <v>101</v>
          </cell>
          <cell r="F1373">
            <v>1</v>
          </cell>
          <cell r="G1373">
            <v>1</v>
          </cell>
          <cell r="H1373">
            <v>46250</v>
          </cell>
          <cell r="I1373">
            <v>0</v>
          </cell>
          <cell r="J1373">
            <v>500</v>
          </cell>
          <cell r="K1373">
            <v>0</v>
          </cell>
          <cell r="L1373">
            <v>0</v>
          </cell>
          <cell r="M1373">
            <v>0</v>
          </cell>
          <cell r="N1373">
            <v>0</v>
          </cell>
          <cell r="O1373">
            <v>0</v>
          </cell>
          <cell r="P1373">
            <v>0</v>
          </cell>
        </row>
        <row r="1374">
          <cell r="C1374">
            <v>369</v>
          </cell>
          <cell r="F1374">
            <v>1</v>
          </cell>
          <cell r="G1374">
            <v>1</v>
          </cell>
          <cell r="H1374">
            <v>46250</v>
          </cell>
          <cell r="I1374">
            <v>0</v>
          </cell>
          <cell r="J1374">
            <v>10</v>
          </cell>
          <cell r="K1374">
            <v>0</v>
          </cell>
          <cell r="L1374">
            <v>0</v>
          </cell>
          <cell r="M1374">
            <v>0</v>
          </cell>
          <cell r="N1374">
            <v>0</v>
          </cell>
          <cell r="O1374">
            <v>0</v>
          </cell>
          <cell r="P1374">
            <v>0</v>
          </cell>
        </row>
        <row r="1375">
          <cell r="C1375">
            <v>177</v>
          </cell>
          <cell r="F1375">
            <v>1</v>
          </cell>
          <cell r="G1375">
            <v>1</v>
          </cell>
          <cell r="H1375">
            <v>46250</v>
          </cell>
          <cell r="I1375">
            <v>0</v>
          </cell>
          <cell r="J1375">
            <v>350</v>
          </cell>
          <cell r="K1375">
            <v>0</v>
          </cell>
          <cell r="L1375">
            <v>0</v>
          </cell>
          <cell r="M1375">
            <v>0</v>
          </cell>
          <cell r="N1375">
            <v>0</v>
          </cell>
          <cell r="O1375">
            <v>0</v>
          </cell>
          <cell r="P1375">
            <v>0</v>
          </cell>
        </row>
        <row r="1376">
          <cell r="C1376">
            <v>293</v>
          </cell>
          <cell r="F1376">
            <v>1</v>
          </cell>
          <cell r="G1376">
            <v>1</v>
          </cell>
          <cell r="H1376">
            <v>46250</v>
          </cell>
          <cell r="I1376">
            <v>0</v>
          </cell>
          <cell r="J1376">
            <v>25</v>
          </cell>
          <cell r="K1376">
            <v>0</v>
          </cell>
          <cell r="L1376">
            <v>0</v>
          </cell>
          <cell r="M1376">
            <v>0</v>
          </cell>
          <cell r="N1376">
            <v>0</v>
          </cell>
          <cell r="O1376">
            <v>0</v>
          </cell>
          <cell r="P1376">
            <v>0</v>
          </cell>
        </row>
        <row r="1377">
          <cell r="C1377">
            <v>393</v>
          </cell>
          <cell r="F1377">
            <v>1</v>
          </cell>
          <cell r="G1377">
            <v>1</v>
          </cell>
          <cell r="H1377">
            <v>46250</v>
          </cell>
          <cell r="I1377">
            <v>0</v>
          </cell>
          <cell r="J1377">
            <v>1</v>
          </cell>
          <cell r="K1377">
            <v>0</v>
          </cell>
          <cell r="L1377">
            <v>0</v>
          </cell>
          <cell r="M1377">
            <v>0</v>
          </cell>
          <cell r="N1377">
            <v>0</v>
          </cell>
          <cell r="O1377">
            <v>0</v>
          </cell>
          <cell r="P1377">
            <v>0</v>
          </cell>
        </row>
        <row r="1378">
          <cell r="C1378">
            <v>294</v>
          </cell>
          <cell r="F1378">
            <v>1</v>
          </cell>
          <cell r="G1378">
            <v>1</v>
          </cell>
          <cell r="H1378">
            <v>46250</v>
          </cell>
          <cell r="I1378">
            <v>0</v>
          </cell>
          <cell r="J1378">
            <v>25</v>
          </cell>
          <cell r="K1378">
            <v>0</v>
          </cell>
          <cell r="L1378">
            <v>0</v>
          </cell>
          <cell r="M1378">
            <v>0</v>
          </cell>
          <cell r="N1378">
            <v>0</v>
          </cell>
          <cell r="O1378">
            <v>0</v>
          </cell>
          <cell r="P1378">
            <v>0</v>
          </cell>
        </row>
        <row r="1379">
          <cell r="C1379">
            <v>358</v>
          </cell>
          <cell r="F1379">
            <v>1</v>
          </cell>
          <cell r="G1379">
            <v>1</v>
          </cell>
          <cell r="H1379">
            <v>46250</v>
          </cell>
          <cell r="I1379">
            <v>0</v>
          </cell>
          <cell r="J1379">
            <v>1</v>
          </cell>
          <cell r="K1379">
            <v>0</v>
          </cell>
          <cell r="L1379">
            <v>0</v>
          </cell>
          <cell r="M1379">
            <v>0</v>
          </cell>
          <cell r="N1379">
            <v>0</v>
          </cell>
          <cell r="O1379">
            <v>0</v>
          </cell>
          <cell r="P1379">
            <v>0</v>
          </cell>
        </row>
        <row r="1380">
          <cell r="C1380">
            <v>142</v>
          </cell>
          <cell r="F1380">
            <v>1</v>
          </cell>
          <cell r="G1380">
            <v>1</v>
          </cell>
          <cell r="H1380">
            <v>46250</v>
          </cell>
          <cell r="I1380">
            <v>0</v>
          </cell>
          <cell r="J1380">
            <v>1</v>
          </cell>
          <cell r="K1380">
            <v>0</v>
          </cell>
          <cell r="L1380">
            <v>0</v>
          </cell>
          <cell r="M1380">
            <v>0</v>
          </cell>
          <cell r="N1380">
            <v>0</v>
          </cell>
          <cell r="O1380">
            <v>0</v>
          </cell>
          <cell r="P1380">
            <v>0</v>
          </cell>
        </row>
        <row r="1381">
          <cell r="C1381">
            <v>183</v>
          </cell>
          <cell r="F1381">
            <v>1</v>
          </cell>
          <cell r="G1381">
            <v>1</v>
          </cell>
          <cell r="H1381">
            <v>46250</v>
          </cell>
          <cell r="I1381">
            <v>0</v>
          </cell>
          <cell r="J1381">
            <v>12</v>
          </cell>
          <cell r="K1381">
            <v>0</v>
          </cell>
          <cell r="L1381">
            <v>0</v>
          </cell>
          <cell r="M1381">
            <v>0</v>
          </cell>
          <cell r="N1381">
            <v>0</v>
          </cell>
          <cell r="O1381">
            <v>0</v>
          </cell>
          <cell r="P1381">
            <v>0</v>
          </cell>
        </row>
        <row r="1382">
          <cell r="C1382">
            <v>195</v>
          </cell>
          <cell r="F1382">
            <v>1</v>
          </cell>
          <cell r="G1382">
            <v>1</v>
          </cell>
          <cell r="H1382">
            <v>46250</v>
          </cell>
          <cell r="I1382">
            <v>0</v>
          </cell>
          <cell r="J1382">
            <v>4</v>
          </cell>
          <cell r="K1382">
            <v>0</v>
          </cell>
          <cell r="L1382">
            <v>0</v>
          </cell>
          <cell r="M1382">
            <v>0</v>
          </cell>
          <cell r="N1382">
            <v>0</v>
          </cell>
          <cell r="O1382">
            <v>0</v>
          </cell>
          <cell r="P1382">
            <v>0</v>
          </cell>
        </row>
        <row r="1383">
          <cell r="C1383">
            <v>153</v>
          </cell>
          <cell r="F1383">
            <v>1</v>
          </cell>
          <cell r="G1383">
            <v>1</v>
          </cell>
          <cell r="H1383">
            <v>46250</v>
          </cell>
          <cell r="I1383">
            <v>0</v>
          </cell>
          <cell r="J1383">
            <v>1</v>
          </cell>
          <cell r="K1383">
            <v>0</v>
          </cell>
          <cell r="L1383">
            <v>0</v>
          </cell>
          <cell r="M1383">
            <v>0</v>
          </cell>
          <cell r="N1383">
            <v>0</v>
          </cell>
          <cell r="O1383">
            <v>0</v>
          </cell>
          <cell r="P1383">
            <v>0</v>
          </cell>
        </row>
        <row r="1384">
          <cell r="C1384">
            <v>144</v>
          </cell>
          <cell r="F1384">
            <v>1</v>
          </cell>
          <cell r="G1384">
            <v>1</v>
          </cell>
          <cell r="H1384">
            <v>46250</v>
          </cell>
          <cell r="I1384">
            <v>0</v>
          </cell>
          <cell r="J1384">
            <v>1</v>
          </cell>
          <cell r="K1384">
            <v>0</v>
          </cell>
          <cell r="L1384">
            <v>0</v>
          </cell>
          <cell r="M1384">
            <v>0</v>
          </cell>
          <cell r="N1384">
            <v>0</v>
          </cell>
          <cell r="O1384">
            <v>0</v>
          </cell>
          <cell r="P1384">
            <v>0</v>
          </cell>
        </row>
        <row r="1385">
          <cell r="C1385">
            <v>167</v>
          </cell>
          <cell r="F1385">
            <v>1</v>
          </cell>
          <cell r="G1385">
            <v>1</v>
          </cell>
          <cell r="H1385">
            <v>46250</v>
          </cell>
          <cell r="I1385">
            <v>0</v>
          </cell>
          <cell r="J1385">
            <v>1</v>
          </cell>
          <cell r="K1385">
            <v>0</v>
          </cell>
          <cell r="L1385">
            <v>0</v>
          </cell>
          <cell r="M1385">
            <v>0</v>
          </cell>
          <cell r="N1385">
            <v>0</v>
          </cell>
          <cell r="O1385">
            <v>0</v>
          </cell>
          <cell r="P1385">
            <v>0</v>
          </cell>
        </row>
        <row r="1386">
          <cell r="C1386">
            <v>337</v>
          </cell>
          <cell r="F1386">
            <v>1</v>
          </cell>
          <cell r="G1386">
            <v>1</v>
          </cell>
          <cell r="H1386">
            <v>46250</v>
          </cell>
          <cell r="I1386">
            <v>0</v>
          </cell>
          <cell r="J1386">
            <v>10</v>
          </cell>
          <cell r="K1386">
            <v>0</v>
          </cell>
          <cell r="L1386">
            <v>0</v>
          </cell>
          <cell r="M1386">
            <v>0</v>
          </cell>
          <cell r="N1386">
            <v>0</v>
          </cell>
          <cell r="O1386">
            <v>0</v>
          </cell>
          <cell r="P1386">
            <v>0</v>
          </cell>
        </row>
        <row r="1387">
          <cell r="C1387">
            <v>371</v>
          </cell>
          <cell r="F1387">
            <v>1</v>
          </cell>
          <cell r="G1387">
            <v>1</v>
          </cell>
          <cell r="H1387">
            <v>46250</v>
          </cell>
          <cell r="I1387">
            <v>0</v>
          </cell>
          <cell r="J1387">
            <v>1</v>
          </cell>
          <cell r="K1387">
            <v>0</v>
          </cell>
          <cell r="L1387">
            <v>0</v>
          </cell>
          <cell r="M1387">
            <v>0</v>
          </cell>
          <cell r="N1387">
            <v>0</v>
          </cell>
          <cell r="O1387">
            <v>0</v>
          </cell>
          <cell r="P1387">
            <v>0</v>
          </cell>
        </row>
        <row r="1388">
          <cell r="C1388">
            <v>374</v>
          </cell>
          <cell r="F1388">
            <v>1</v>
          </cell>
          <cell r="G1388">
            <v>1</v>
          </cell>
          <cell r="H1388">
            <v>46250</v>
          </cell>
          <cell r="I1388">
            <v>0</v>
          </cell>
          <cell r="J1388">
            <v>1</v>
          </cell>
          <cell r="K1388">
            <v>0</v>
          </cell>
          <cell r="L1388">
            <v>0</v>
          </cell>
          <cell r="M1388">
            <v>0</v>
          </cell>
          <cell r="N1388">
            <v>0</v>
          </cell>
          <cell r="O1388">
            <v>0</v>
          </cell>
          <cell r="P1388">
            <v>0</v>
          </cell>
        </row>
        <row r="1389">
          <cell r="C1389">
            <v>411</v>
          </cell>
          <cell r="F1389">
            <v>1</v>
          </cell>
          <cell r="G1389">
            <v>1</v>
          </cell>
          <cell r="H1389">
            <v>46250</v>
          </cell>
          <cell r="I1389">
            <v>0</v>
          </cell>
          <cell r="J1389">
            <v>1</v>
          </cell>
          <cell r="K1389">
            <v>0</v>
          </cell>
          <cell r="L1389">
            <v>0</v>
          </cell>
          <cell r="M1389">
            <v>0</v>
          </cell>
          <cell r="N1389">
            <v>0</v>
          </cell>
          <cell r="O1389">
            <v>0</v>
          </cell>
          <cell r="P1389">
            <v>0</v>
          </cell>
        </row>
        <row r="1390">
          <cell r="C1390">
            <v>408</v>
          </cell>
          <cell r="F1390">
            <v>1</v>
          </cell>
          <cell r="G1390">
            <v>1</v>
          </cell>
          <cell r="H1390">
            <v>46250</v>
          </cell>
          <cell r="I1390">
            <v>0</v>
          </cell>
          <cell r="J1390">
            <v>1</v>
          </cell>
          <cell r="K1390">
            <v>0</v>
          </cell>
          <cell r="L1390">
            <v>0</v>
          </cell>
          <cell r="M1390">
            <v>0</v>
          </cell>
          <cell r="N1390">
            <v>0</v>
          </cell>
          <cell r="O1390">
            <v>0</v>
          </cell>
          <cell r="P1390">
            <v>0</v>
          </cell>
        </row>
        <row r="1391">
          <cell r="C1391">
            <v>199</v>
          </cell>
          <cell r="F1391">
            <v>1</v>
          </cell>
          <cell r="G1391">
            <v>1</v>
          </cell>
          <cell r="H1391">
            <v>46250</v>
          </cell>
          <cell r="I1391">
            <v>0</v>
          </cell>
          <cell r="J1391">
            <v>4</v>
          </cell>
          <cell r="K1391">
            <v>0</v>
          </cell>
          <cell r="L1391">
            <v>0</v>
          </cell>
          <cell r="M1391">
            <v>0</v>
          </cell>
          <cell r="N1391">
            <v>0</v>
          </cell>
          <cell r="O1391">
            <v>0</v>
          </cell>
          <cell r="P1391">
            <v>0</v>
          </cell>
        </row>
        <row r="1392">
          <cell r="C1392">
            <v>386</v>
          </cell>
          <cell r="F1392">
            <v>1</v>
          </cell>
          <cell r="G1392">
            <v>1</v>
          </cell>
          <cell r="H1392">
            <v>46251</v>
          </cell>
          <cell r="I1392">
            <v>0</v>
          </cell>
          <cell r="J1392">
            <v>2</v>
          </cell>
          <cell r="K1392">
            <v>0</v>
          </cell>
          <cell r="L1392">
            <v>0</v>
          </cell>
          <cell r="M1392">
            <v>0</v>
          </cell>
          <cell r="N1392">
            <v>0</v>
          </cell>
          <cell r="O1392">
            <v>0</v>
          </cell>
          <cell r="P1392">
            <v>0</v>
          </cell>
        </row>
        <row r="1393">
          <cell r="C1393">
            <v>385</v>
          </cell>
          <cell r="F1393">
            <v>1</v>
          </cell>
          <cell r="G1393">
            <v>1</v>
          </cell>
          <cell r="H1393">
            <v>46251</v>
          </cell>
          <cell r="I1393">
            <v>0</v>
          </cell>
          <cell r="J1393">
            <v>1</v>
          </cell>
          <cell r="K1393">
            <v>0</v>
          </cell>
          <cell r="L1393">
            <v>0</v>
          </cell>
          <cell r="M1393">
            <v>0</v>
          </cell>
          <cell r="N1393">
            <v>0</v>
          </cell>
          <cell r="O1393">
            <v>0</v>
          </cell>
          <cell r="P1393">
            <v>0</v>
          </cell>
        </row>
        <row r="1394">
          <cell r="C1394">
            <v>397</v>
          </cell>
          <cell r="F1394">
            <v>1</v>
          </cell>
          <cell r="G1394">
            <v>1</v>
          </cell>
          <cell r="H1394">
            <v>46251</v>
          </cell>
          <cell r="I1394">
            <v>0</v>
          </cell>
          <cell r="J1394">
            <v>5</v>
          </cell>
          <cell r="K1394">
            <v>0</v>
          </cell>
          <cell r="L1394">
            <v>0</v>
          </cell>
          <cell r="M1394">
            <v>0</v>
          </cell>
          <cell r="N1394">
            <v>0</v>
          </cell>
          <cell r="O1394">
            <v>0</v>
          </cell>
          <cell r="P1394">
            <v>0</v>
          </cell>
        </row>
        <row r="1395">
          <cell r="C1395">
            <v>378</v>
          </cell>
          <cell r="F1395">
            <v>1</v>
          </cell>
          <cell r="G1395">
            <v>1</v>
          </cell>
          <cell r="H1395">
            <v>46251</v>
          </cell>
          <cell r="I1395">
            <v>0</v>
          </cell>
          <cell r="J1395">
            <v>1</v>
          </cell>
          <cell r="K1395">
            <v>0</v>
          </cell>
          <cell r="L1395">
            <v>0</v>
          </cell>
          <cell r="M1395">
            <v>0</v>
          </cell>
          <cell r="N1395">
            <v>0</v>
          </cell>
          <cell r="O1395">
            <v>0</v>
          </cell>
          <cell r="P1395">
            <v>0</v>
          </cell>
        </row>
        <row r="1396">
          <cell r="C1396">
            <v>77</v>
          </cell>
          <cell r="F1396">
            <v>1</v>
          </cell>
          <cell r="G1396">
            <v>1</v>
          </cell>
          <cell r="H1396">
            <v>46251</v>
          </cell>
          <cell r="I1396">
            <v>0</v>
          </cell>
          <cell r="J1396">
            <v>5</v>
          </cell>
          <cell r="K1396">
            <v>0</v>
          </cell>
          <cell r="L1396">
            <v>0</v>
          </cell>
          <cell r="M1396">
            <v>0</v>
          </cell>
          <cell r="N1396">
            <v>0</v>
          </cell>
          <cell r="O1396">
            <v>0</v>
          </cell>
          <cell r="P1396">
            <v>0</v>
          </cell>
        </row>
        <row r="1397">
          <cell r="C1397">
            <v>377</v>
          </cell>
          <cell r="F1397">
            <v>1</v>
          </cell>
          <cell r="G1397">
            <v>1</v>
          </cell>
          <cell r="H1397">
            <v>46251</v>
          </cell>
          <cell r="I1397">
            <v>0</v>
          </cell>
          <cell r="J1397">
            <v>15</v>
          </cell>
          <cell r="K1397">
            <v>0</v>
          </cell>
          <cell r="L1397">
            <v>0</v>
          </cell>
          <cell r="M1397">
            <v>0</v>
          </cell>
          <cell r="N1397">
            <v>0</v>
          </cell>
          <cell r="O1397">
            <v>0</v>
          </cell>
          <cell r="P1397">
            <v>0</v>
          </cell>
        </row>
        <row r="1398">
          <cell r="C1398">
            <v>76</v>
          </cell>
          <cell r="F1398">
            <v>1</v>
          </cell>
          <cell r="G1398">
            <v>1</v>
          </cell>
          <cell r="H1398">
            <v>46251</v>
          </cell>
          <cell r="I1398">
            <v>0</v>
          </cell>
          <cell r="J1398">
            <v>1</v>
          </cell>
          <cell r="K1398">
            <v>0</v>
          </cell>
          <cell r="L1398">
            <v>0</v>
          </cell>
          <cell r="M1398">
            <v>0</v>
          </cell>
          <cell r="N1398">
            <v>0</v>
          </cell>
          <cell r="O1398">
            <v>0</v>
          </cell>
          <cell r="P1398">
            <v>0</v>
          </cell>
        </row>
        <row r="1399">
          <cell r="C1399">
            <v>276</v>
          </cell>
          <cell r="F1399">
            <v>1</v>
          </cell>
          <cell r="G1399">
            <v>1</v>
          </cell>
          <cell r="H1399">
            <v>46251</v>
          </cell>
          <cell r="I1399">
            <v>0</v>
          </cell>
          <cell r="J1399">
            <v>2</v>
          </cell>
          <cell r="K1399">
            <v>0</v>
          </cell>
          <cell r="L1399">
            <v>0</v>
          </cell>
          <cell r="M1399">
            <v>0</v>
          </cell>
          <cell r="N1399">
            <v>0</v>
          </cell>
          <cell r="O1399">
            <v>0</v>
          </cell>
          <cell r="P1399">
            <v>0</v>
          </cell>
        </row>
        <row r="1400">
          <cell r="C1400">
            <v>241</v>
          </cell>
          <cell r="F1400">
            <v>1</v>
          </cell>
          <cell r="G1400">
            <v>1</v>
          </cell>
          <cell r="H1400">
            <v>46251</v>
          </cell>
          <cell r="I1400">
            <v>0</v>
          </cell>
          <cell r="J1400">
            <v>1</v>
          </cell>
          <cell r="K1400">
            <v>0</v>
          </cell>
          <cell r="L1400">
            <v>0</v>
          </cell>
          <cell r="M1400">
            <v>0</v>
          </cell>
          <cell r="N1400">
            <v>0</v>
          </cell>
          <cell r="O1400">
            <v>0</v>
          </cell>
          <cell r="P1400">
            <v>0</v>
          </cell>
        </row>
        <row r="1401">
          <cell r="C1401">
            <v>108</v>
          </cell>
          <cell r="F1401">
            <v>1</v>
          </cell>
          <cell r="G1401">
            <v>1</v>
          </cell>
          <cell r="H1401">
            <v>46251</v>
          </cell>
          <cell r="I1401">
            <v>0</v>
          </cell>
          <cell r="J1401">
            <v>3</v>
          </cell>
          <cell r="K1401">
            <v>0</v>
          </cell>
          <cell r="L1401">
            <v>0</v>
          </cell>
          <cell r="M1401">
            <v>0</v>
          </cell>
          <cell r="N1401">
            <v>0</v>
          </cell>
          <cell r="O1401">
            <v>0</v>
          </cell>
          <cell r="P1401">
            <v>0</v>
          </cell>
        </row>
        <row r="1402">
          <cell r="C1402">
            <v>401</v>
          </cell>
          <cell r="F1402">
            <v>1</v>
          </cell>
          <cell r="G1402">
            <v>1</v>
          </cell>
          <cell r="H1402">
            <v>46251</v>
          </cell>
          <cell r="I1402">
            <v>0</v>
          </cell>
          <cell r="J1402">
            <v>1</v>
          </cell>
          <cell r="K1402">
            <v>0</v>
          </cell>
          <cell r="L1402">
            <v>0</v>
          </cell>
          <cell r="M1402">
            <v>0</v>
          </cell>
          <cell r="N1402">
            <v>0</v>
          </cell>
          <cell r="O1402">
            <v>0</v>
          </cell>
          <cell r="P1402">
            <v>0</v>
          </cell>
        </row>
        <row r="1403">
          <cell r="C1403">
            <v>101</v>
          </cell>
          <cell r="F1403">
            <v>1</v>
          </cell>
          <cell r="G1403">
            <v>1</v>
          </cell>
          <cell r="H1403">
            <v>46251</v>
          </cell>
          <cell r="I1403">
            <v>0</v>
          </cell>
          <cell r="J1403">
            <v>1500</v>
          </cell>
          <cell r="K1403">
            <v>0</v>
          </cell>
          <cell r="L1403">
            <v>0</v>
          </cell>
          <cell r="M1403">
            <v>0</v>
          </cell>
          <cell r="N1403">
            <v>0</v>
          </cell>
          <cell r="O1403">
            <v>0</v>
          </cell>
          <cell r="P1403">
            <v>0</v>
          </cell>
        </row>
        <row r="1404">
          <cell r="C1404">
            <v>369</v>
          </cell>
          <cell r="F1404">
            <v>1</v>
          </cell>
          <cell r="G1404">
            <v>1</v>
          </cell>
          <cell r="H1404">
            <v>46251</v>
          </cell>
          <cell r="I1404">
            <v>0</v>
          </cell>
          <cell r="J1404">
            <v>10</v>
          </cell>
          <cell r="K1404">
            <v>0</v>
          </cell>
          <cell r="L1404">
            <v>0</v>
          </cell>
          <cell r="M1404">
            <v>0</v>
          </cell>
          <cell r="N1404">
            <v>0</v>
          </cell>
          <cell r="O1404">
            <v>0</v>
          </cell>
          <cell r="P1404">
            <v>0</v>
          </cell>
        </row>
        <row r="1405">
          <cell r="C1405">
            <v>177</v>
          </cell>
          <cell r="F1405">
            <v>1</v>
          </cell>
          <cell r="G1405">
            <v>1</v>
          </cell>
          <cell r="H1405">
            <v>46251</v>
          </cell>
          <cell r="I1405">
            <v>0</v>
          </cell>
          <cell r="J1405">
            <v>350</v>
          </cell>
          <cell r="K1405">
            <v>0</v>
          </cell>
          <cell r="L1405">
            <v>0</v>
          </cell>
          <cell r="M1405">
            <v>0</v>
          </cell>
          <cell r="N1405">
            <v>0</v>
          </cell>
          <cell r="O1405">
            <v>0</v>
          </cell>
          <cell r="P1405">
            <v>0</v>
          </cell>
        </row>
        <row r="1406">
          <cell r="C1406">
            <v>195</v>
          </cell>
          <cell r="F1406">
            <v>1</v>
          </cell>
          <cell r="G1406">
            <v>1</v>
          </cell>
          <cell r="H1406">
            <v>46251</v>
          </cell>
          <cell r="I1406">
            <v>0</v>
          </cell>
          <cell r="J1406">
            <v>4</v>
          </cell>
          <cell r="K1406">
            <v>0</v>
          </cell>
          <cell r="L1406">
            <v>0</v>
          </cell>
          <cell r="M1406">
            <v>0</v>
          </cell>
          <cell r="N1406">
            <v>0</v>
          </cell>
          <cell r="O1406">
            <v>0</v>
          </cell>
          <cell r="P1406">
            <v>0</v>
          </cell>
        </row>
        <row r="1407">
          <cell r="C1407">
            <v>197</v>
          </cell>
          <cell r="F1407">
            <v>1</v>
          </cell>
          <cell r="G1407">
            <v>1</v>
          </cell>
          <cell r="H1407">
            <v>46251</v>
          </cell>
          <cell r="I1407">
            <v>0</v>
          </cell>
          <cell r="J1407">
            <v>4</v>
          </cell>
          <cell r="K1407">
            <v>0</v>
          </cell>
          <cell r="L1407">
            <v>0</v>
          </cell>
          <cell r="M1407">
            <v>0</v>
          </cell>
          <cell r="N1407">
            <v>0</v>
          </cell>
          <cell r="O1407">
            <v>0</v>
          </cell>
          <cell r="P1407">
            <v>0</v>
          </cell>
        </row>
        <row r="1408">
          <cell r="C1408">
            <v>178</v>
          </cell>
          <cell r="F1408">
            <v>1</v>
          </cell>
          <cell r="G1408">
            <v>1</v>
          </cell>
          <cell r="H1408">
            <v>46251</v>
          </cell>
          <cell r="I1408">
            <v>0</v>
          </cell>
          <cell r="J1408">
            <v>200</v>
          </cell>
          <cell r="K1408">
            <v>0</v>
          </cell>
          <cell r="L1408">
            <v>0</v>
          </cell>
          <cell r="M1408">
            <v>0</v>
          </cell>
          <cell r="N1408">
            <v>0</v>
          </cell>
          <cell r="O1408">
            <v>0</v>
          </cell>
          <cell r="P1408">
            <v>0</v>
          </cell>
        </row>
        <row r="1409">
          <cell r="C1409">
            <v>415</v>
          </cell>
          <cell r="F1409">
            <v>1</v>
          </cell>
          <cell r="G1409">
            <v>1</v>
          </cell>
          <cell r="H1409">
            <v>46251</v>
          </cell>
          <cell r="I1409">
            <v>0</v>
          </cell>
          <cell r="J1409">
            <v>1</v>
          </cell>
          <cell r="K1409">
            <v>0</v>
          </cell>
          <cell r="L1409">
            <v>0</v>
          </cell>
          <cell r="M1409">
            <v>0</v>
          </cell>
          <cell r="N1409">
            <v>0</v>
          </cell>
          <cell r="O1409">
            <v>0</v>
          </cell>
          <cell r="P1409">
            <v>0</v>
          </cell>
        </row>
        <row r="1410">
          <cell r="C1410">
            <v>293</v>
          </cell>
          <cell r="F1410">
            <v>1</v>
          </cell>
          <cell r="G1410">
            <v>1</v>
          </cell>
          <cell r="H1410">
            <v>46251</v>
          </cell>
          <cell r="I1410">
            <v>0</v>
          </cell>
          <cell r="J1410">
            <v>30</v>
          </cell>
          <cell r="K1410">
            <v>0</v>
          </cell>
          <cell r="L1410">
            <v>0</v>
          </cell>
          <cell r="M1410">
            <v>0</v>
          </cell>
          <cell r="N1410">
            <v>0</v>
          </cell>
          <cell r="O1410">
            <v>0</v>
          </cell>
          <cell r="P1410">
            <v>0</v>
          </cell>
        </row>
        <row r="1411">
          <cell r="C1411">
            <v>305</v>
          </cell>
          <cell r="F1411">
            <v>1</v>
          </cell>
          <cell r="G1411">
            <v>1</v>
          </cell>
          <cell r="H1411">
            <v>46251</v>
          </cell>
          <cell r="I1411">
            <v>0</v>
          </cell>
          <cell r="J1411">
            <v>250</v>
          </cell>
          <cell r="K1411">
            <v>0</v>
          </cell>
          <cell r="L1411">
            <v>0</v>
          </cell>
          <cell r="M1411">
            <v>0</v>
          </cell>
          <cell r="N1411">
            <v>0</v>
          </cell>
          <cell r="O1411">
            <v>0</v>
          </cell>
          <cell r="P1411">
            <v>0</v>
          </cell>
        </row>
        <row r="1412">
          <cell r="C1412">
            <v>153</v>
          </cell>
          <cell r="F1412">
            <v>1</v>
          </cell>
          <cell r="G1412">
            <v>1</v>
          </cell>
          <cell r="H1412">
            <v>46251</v>
          </cell>
          <cell r="I1412">
            <v>0</v>
          </cell>
          <cell r="J1412">
            <v>1</v>
          </cell>
          <cell r="K1412">
            <v>0</v>
          </cell>
          <cell r="L1412">
            <v>0</v>
          </cell>
          <cell r="M1412">
            <v>0</v>
          </cell>
          <cell r="N1412">
            <v>0</v>
          </cell>
          <cell r="O1412">
            <v>0</v>
          </cell>
          <cell r="P1412">
            <v>0</v>
          </cell>
        </row>
        <row r="1413">
          <cell r="C1413">
            <v>384</v>
          </cell>
          <cell r="F1413">
            <v>1</v>
          </cell>
          <cell r="G1413">
            <v>1</v>
          </cell>
          <cell r="H1413">
            <v>46251</v>
          </cell>
          <cell r="I1413">
            <v>0</v>
          </cell>
          <cell r="J1413">
            <v>1</v>
          </cell>
          <cell r="K1413">
            <v>0</v>
          </cell>
          <cell r="L1413">
            <v>0</v>
          </cell>
          <cell r="M1413">
            <v>0</v>
          </cell>
          <cell r="N1413">
            <v>0</v>
          </cell>
          <cell r="O1413">
            <v>0</v>
          </cell>
          <cell r="P1413">
            <v>0</v>
          </cell>
        </row>
        <row r="1414">
          <cell r="C1414">
            <v>422</v>
          </cell>
          <cell r="F1414">
            <v>1</v>
          </cell>
          <cell r="G1414">
            <v>1</v>
          </cell>
          <cell r="H1414">
            <v>46251</v>
          </cell>
          <cell r="I1414">
            <v>0</v>
          </cell>
          <cell r="J1414">
            <v>3</v>
          </cell>
          <cell r="K1414">
            <v>0</v>
          </cell>
          <cell r="L1414">
            <v>0</v>
          </cell>
          <cell r="M1414">
            <v>0</v>
          </cell>
          <cell r="N1414">
            <v>0</v>
          </cell>
          <cell r="O1414">
            <v>0</v>
          </cell>
          <cell r="P1414">
            <v>0</v>
          </cell>
        </row>
        <row r="1415">
          <cell r="C1415">
            <v>50</v>
          </cell>
          <cell r="F1415">
            <v>1</v>
          </cell>
          <cell r="G1415">
            <v>1</v>
          </cell>
          <cell r="H1415">
            <v>46251</v>
          </cell>
          <cell r="I1415">
            <v>0</v>
          </cell>
          <cell r="J1415">
            <v>1</v>
          </cell>
          <cell r="K1415">
            <v>0</v>
          </cell>
          <cell r="L1415">
            <v>0</v>
          </cell>
          <cell r="M1415">
            <v>0</v>
          </cell>
          <cell r="N1415">
            <v>0</v>
          </cell>
          <cell r="O1415">
            <v>0</v>
          </cell>
          <cell r="P1415">
            <v>0</v>
          </cell>
        </row>
        <row r="1416">
          <cell r="C1416">
            <v>374</v>
          </cell>
          <cell r="F1416">
            <v>1</v>
          </cell>
          <cell r="G1416">
            <v>1</v>
          </cell>
          <cell r="H1416">
            <v>46251</v>
          </cell>
          <cell r="I1416">
            <v>0</v>
          </cell>
          <cell r="J1416">
            <v>1</v>
          </cell>
          <cell r="K1416">
            <v>0</v>
          </cell>
          <cell r="L1416">
            <v>0</v>
          </cell>
          <cell r="M1416">
            <v>0</v>
          </cell>
          <cell r="N1416">
            <v>0</v>
          </cell>
          <cell r="O1416">
            <v>0</v>
          </cell>
          <cell r="P1416">
            <v>0</v>
          </cell>
        </row>
        <row r="1417">
          <cell r="C1417">
            <v>219</v>
          </cell>
          <cell r="F1417">
            <v>1</v>
          </cell>
          <cell r="G1417">
            <v>1</v>
          </cell>
          <cell r="H1417">
            <v>46251</v>
          </cell>
          <cell r="I1417">
            <v>0</v>
          </cell>
          <cell r="J1417">
            <v>5</v>
          </cell>
          <cell r="K1417">
            <v>0</v>
          </cell>
          <cell r="L1417">
            <v>0</v>
          </cell>
          <cell r="M1417">
            <v>0</v>
          </cell>
          <cell r="N1417">
            <v>0</v>
          </cell>
          <cell r="O1417">
            <v>0</v>
          </cell>
          <cell r="P1417">
            <v>0</v>
          </cell>
        </row>
        <row r="1418">
          <cell r="C1418">
            <v>144</v>
          </cell>
          <cell r="F1418">
            <v>1</v>
          </cell>
          <cell r="G1418">
            <v>1</v>
          </cell>
          <cell r="H1418">
            <v>46251</v>
          </cell>
          <cell r="I1418">
            <v>0</v>
          </cell>
          <cell r="J1418">
            <v>1</v>
          </cell>
          <cell r="K1418">
            <v>0</v>
          </cell>
          <cell r="L1418">
            <v>0</v>
          </cell>
          <cell r="M1418">
            <v>0</v>
          </cell>
          <cell r="N1418">
            <v>0</v>
          </cell>
          <cell r="O1418">
            <v>0</v>
          </cell>
          <cell r="P1418">
            <v>0</v>
          </cell>
        </row>
        <row r="1419">
          <cell r="C1419">
            <v>54</v>
          </cell>
          <cell r="F1419">
            <v>1</v>
          </cell>
          <cell r="G1419">
            <v>1</v>
          </cell>
          <cell r="H1419">
            <v>46251</v>
          </cell>
          <cell r="I1419">
            <v>0</v>
          </cell>
          <cell r="J1419">
            <v>1</v>
          </cell>
          <cell r="K1419">
            <v>0</v>
          </cell>
          <cell r="L1419">
            <v>0</v>
          </cell>
          <cell r="M1419">
            <v>0</v>
          </cell>
          <cell r="N1419">
            <v>0</v>
          </cell>
          <cell r="O1419">
            <v>0</v>
          </cell>
          <cell r="P1419">
            <v>0</v>
          </cell>
        </row>
        <row r="1420">
          <cell r="C1420">
            <v>63</v>
          </cell>
          <cell r="F1420">
            <v>1</v>
          </cell>
          <cell r="G1420">
            <v>1</v>
          </cell>
          <cell r="H1420">
            <v>46251</v>
          </cell>
          <cell r="I1420">
            <v>0</v>
          </cell>
          <cell r="J1420">
            <v>1</v>
          </cell>
          <cell r="K1420">
            <v>0</v>
          </cell>
          <cell r="L1420">
            <v>0</v>
          </cell>
          <cell r="M1420">
            <v>0</v>
          </cell>
          <cell r="N1420">
            <v>0</v>
          </cell>
          <cell r="O1420">
            <v>0</v>
          </cell>
          <cell r="P1420">
            <v>0</v>
          </cell>
        </row>
        <row r="1421">
          <cell r="C1421">
            <v>32</v>
          </cell>
          <cell r="F1421">
            <v>1</v>
          </cell>
          <cell r="G1421">
            <v>1</v>
          </cell>
          <cell r="H1421">
            <v>46251</v>
          </cell>
          <cell r="I1421">
            <v>0</v>
          </cell>
          <cell r="J1421">
            <v>1</v>
          </cell>
          <cell r="K1421">
            <v>0</v>
          </cell>
          <cell r="L1421">
            <v>0</v>
          </cell>
          <cell r="M1421">
            <v>0</v>
          </cell>
          <cell r="N1421">
            <v>0</v>
          </cell>
          <cell r="O1421">
            <v>0</v>
          </cell>
          <cell r="P1421">
            <v>0</v>
          </cell>
        </row>
        <row r="1422">
          <cell r="C1422">
            <v>199</v>
          </cell>
          <cell r="F1422">
            <v>1</v>
          </cell>
          <cell r="G1422">
            <v>1</v>
          </cell>
          <cell r="H1422">
            <v>46251</v>
          </cell>
          <cell r="I1422">
            <v>0</v>
          </cell>
          <cell r="J1422">
            <v>4</v>
          </cell>
          <cell r="K1422">
            <v>0</v>
          </cell>
          <cell r="L1422">
            <v>0</v>
          </cell>
          <cell r="M1422">
            <v>0</v>
          </cell>
          <cell r="N1422">
            <v>0</v>
          </cell>
          <cell r="O1422">
            <v>0</v>
          </cell>
          <cell r="P1422">
            <v>0</v>
          </cell>
        </row>
        <row r="1423">
          <cell r="C1423">
            <v>184</v>
          </cell>
          <cell r="F1423">
            <v>1</v>
          </cell>
          <cell r="G1423">
            <v>1</v>
          </cell>
          <cell r="H1423">
            <v>46251</v>
          </cell>
          <cell r="I1423">
            <v>0</v>
          </cell>
          <cell r="J1423">
            <v>12</v>
          </cell>
          <cell r="K1423">
            <v>0</v>
          </cell>
          <cell r="L1423">
            <v>0</v>
          </cell>
          <cell r="M1423">
            <v>0</v>
          </cell>
          <cell r="N1423">
            <v>0</v>
          </cell>
          <cell r="O1423">
            <v>0</v>
          </cell>
          <cell r="P1423">
            <v>0</v>
          </cell>
        </row>
        <row r="1424">
          <cell r="C1424">
            <v>433</v>
          </cell>
          <cell r="F1424">
            <v>1</v>
          </cell>
          <cell r="G1424">
            <v>1</v>
          </cell>
          <cell r="H1424">
            <v>46251</v>
          </cell>
          <cell r="I1424">
            <v>0</v>
          </cell>
          <cell r="J1424">
            <v>5</v>
          </cell>
          <cell r="K1424">
            <v>0</v>
          </cell>
          <cell r="L1424">
            <v>0</v>
          </cell>
          <cell r="M1424">
            <v>0</v>
          </cell>
          <cell r="N1424">
            <v>0</v>
          </cell>
          <cell r="O1424">
            <v>0</v>
          </cell>
          <cell r="P1424">
            <v>0</v>
          </cell>
        </row>
        <row r="1425">
          <cell r="C1425">
            <v>195</v>
          </cell>
          <cell r="F1425">
            <v>1</v>
          </cell>
          <cell r="G1425">
            <v>1</v>
          </cell>
          <cell r="H1425">
            <v>46252</v>
          </cell>
          <cell r="I1425">
            <v>0</v>
          </cell>
          <cell r="J1425">
            <v>4</v>
          </cell>
          <cell r="K1425">
            <v>0</v>
          </cell>
          <cell r="L1425">
            <v>0</v>
          </cell>
          <cell r="M1425">
            <v>0</v>
          </cell>
          <cell r="N1425">
            <v>0</v>
          </cell>
          <cell r="O1425">
            <v>0</v>
          </cell>
          <cell r="P1425">
            <v>0</v>
          </cell>
        </row>
        <row r="1426">
          <cell r="C1426">
            <v>187</v>
          </cell>
          <cell r="F1426">
            <v>1</v>
          </cell>
          <cell r="G1426">
            <v>1</v>
          </cell>
          <cell r="H1426">
            <v>46252</v>
          </cell>
          <cell r="I1426">
            <v>0</v>
          </cell>
          <cell r="J1426">
            <v>4</v>
          </cell>
          <cell r="K1426">
            <v>0</v>
          </cell>
          <cell r="L1426">
            <v>0</v>
          </cell>
          <cell r="M1426">
            <v>0</v>
          </cell>
          <cell r="N1426">
            <v>0</v>
          </cell>
          <cell r="O1426">
            <v>0</v>
          </cell>
          <cell r="P1426">
            <v>0</v>
          </cell>
        </row>
        <row r="1427">
          <cell r="C1427">
            <v>183</v>
          </cell>
          <cell r="F1427">
            <v>1</v>
          </cell>
          <cell r="G1427">
            <v>1</v>
          </cell>
          <cell r="H1427">
            <v>46252</v>
          </cell>
          <cell r="I1427">
            <v>0</v>
          </cell>
          <cell r="J1427">
            <v>12</v>
          </cell>
          <cell r="K1427">
            <v>0</v>
          </cell>
          <cell r="L1427">
            <v>0</v>
          </cell>
          <cell r="M1427">
            <v>0</v>
          </cell>
          <cell r="N1427">
            <v>0</v>
          </cell>
          <cell r="O1427">
            <v>0</v>
          </cell>
          <cell r="P1427">
            <v>0</v>
          </cell>
        </row>
        <row r="1428">
          <cell r="C1428">
            <v>177</v>
          </cell>
          <cell r="F1428">
            <v>1</v>
          </cell>
          <cell r="G1428">
            <v>1</v>
          </cell>
          <cell r="H1428">
            <v>46252</v>
          </cell>
          <cell r="I1428">
            <v>0</v>
          </cell>
          <cell r="J1428">
            <v>250</v>
          </cell>
          <cell r="K1428">
            <v>0</v>
          </cell>
          <cell r="L1428">
            <v>0</v>
          </cell>
          <cell r="M1428">
            <v>0</v>
          </cell>
          <cell r="N1428">
            <v>0</v>
          </cell>
          <cell r="O1428">
            <v>0</v>
          </cell>
          <cell r="P1428">
            <v>0</v>
          </cell>
        </row>
        <row r="1429">
          <cell r="C1429">
            <v>294</v>
          </cell>
          <cell r="F1429">
            <v>1</v>
          </cell>
          <cell r="G1429">
            <v>1</v>
          </cell>
          <cell r="H1429">
            <v>46252</v>
          </cell>
          <cell r="I1429">
            <v>0</v>
          </cell>
          <cell r="J1429">
            <v>20</v>
          </cell>
          <cell r="K1429">
            <v>0</v>
          </cell>
          <cell r="L1429">
            <v>0</v>
          </cell>
          <cell r="M1429">
            <v>0</v>
          </cell>
          <cell r="N1429">
            <v>0</v>
          </cell>
          <cell r="O1429">
            <v>0</v>
          </cell>
          <cell r="P1429">
            <v>0</v>
          </cell>
        </row>
        <row r="1430">
          <cell r="C1430">
            <v>305</v>
          </cell>
          <cell r="F1430">
            <v>1</v>
          </cell>
          <cell r="G1430">
            <v>1</v>
          </cell>
          <cell r="H1430">
            <v>46252</v>
          </cell>
          <cell r="I1430">
            <v>0</v>
          </cell>
          <cell r="J1430">
            <v>400</v>
          </cell>
          <cell r="K1430">
            <v>0</v>
          </cell>
          <cell r="L1430">
            <v>0</v>
          </cell>
          <cell r="M1430">
            <v>0</v>
          </cell>
          <cell r="N1430">
            <v>0</v>
          </cell>
          <cell r="O1430">
            <v>0</v>
          </cell>
          <cell r="P1430">
            <v>0</v>
          </cell>
        </row>
        <row r="1431">
          <cell r="C1431">
            <v>22</v>
          </cell>
          <cell r="F1431">
            <v>1</v>
          </cell>
          <cell r="G1431">
            <v>1</v>
          </cell>
          <cell r="H1431">
            <v>46252</v>
          </cell>
          <cell r="I1431">
            <v>0</v>
          </cell>
          <cell r="J1431">
            <v>4</v>
          </cell>
          <cell r="K1431">
            <v>0</v>
          </cell>
          <cell r="L1431">
            <v>0</v>
          </cell>
          <cell r="M1431">
            <v>0</v>
          </cell>
          <cell r="N1431">
            <v>0</v>
          </cell>
          <cell r="O1431">
            <v>0</v>
          </cell>
          <cell r="P1431">
            <v>0</v>
          </cell>
        </row>
        <row r="1432">
          <cell r="C1432">
            <v>26</v>
          </cell>
          <cell r="F1432">
            <v>1</v>
          </cell>
          <cell r="G1432">
            <v>1</v>
          </cell>
          <cell r="H1432">
            <v>46252</v>
          </cell>
          <cell r="I1432">
            <v>0</v>
          </cell>
          <cell r="J1432">
            <v>1</v>
          </cell>
          <cell r="K1432">
            <v>0</v>
          </cell>
          <cell r="L1432">
            <v>0</v>
          </cell>
          <cell r="M1432">
            <v>0</v>
          </cell>
          <cell r="N1432">
            <v>0</v>
          </cell>
          <cell r="O1432">
            <v>0</v>
          </cell>
          <cell r="P1432">
            <v>0</v>
          </cell>
        </row>
        <row r="1433">
          <cell r="C1433">
            <v>34</v>
          </cell>
          <cell r="F1433">
            <v>1</v>
          </cell>
          <cell r="G1433">
            <v>1</v>
          </cell>
          <cell r="H1433">
            <v>46252</v>
          </cell>
          <cell r="I1433">
            <v>0</v>
          </cell>
          <cell r="J1433">
            <v>1</v>
          </cell>
          <cell r="K1433">
            <v>0</v>
          </cell>
          <cell r="L1433">
            <v>0</v>
          </cell>
          <cell r="M1433">
            <v>0</v>
          </cell>
          <cell r="N1433">
            <v>0</v>
          </cell>
          <cell r="O1433">
            <v>0</v>
          </cell>
          <cell r="P1433">
            <v>0</v>
          </cell>
        </row>
        <row r="1434">
          <cell r="C1434">
            <v>22</v>
          </cell>
          <cell r="F1434">
            <v>1</v>
          </cell>
          <cell r="G1434">
            <v>1</v>
          </cell>
          <cell r="H1434">
            <v>46252</v>
          </cell>
          <cell r="I1434">
            <v>0</v>
          </cell>
          <cell r="J1434">
            <v>4</v>
          </cell>
          <cell r="K1434">
            <v>0</v>
          </cell>
          <cell r="L1434">
            <v>0</v>
          </cell>
          <cell r="M1434">
            <v>0</v>
          </cell>
          <cell r="N1434">
            <v>0</v>
          </cell>
          <cell r="O1434">
            <v>0</v>
          </cell>
          <cell r="P1434">
            <v>0</v>
          </cell>
        </row>
        <row r="1435">
          <cell r="C1435">
            <v>243</v>
          </cell>
          <cell r="F1435">
            <v>1</v>
          </cell>
          <cell r="G1435">
            <v>1</v>
          </cell>
          <cell r="H1435">
            <v>46252</v>
          </cell>
          <cell r="I1435">
            <v>0</v>
          </cell>
          <cell r="J1435">
            <v>1</v>
          </cell>
          <cell r="K1435">
            <v>0</v>
          </cell>
          <cell r="L1435">
            <v>0</v>
          </cell>
          <cell r="M1435">
            <v>0</v>
          </cell>
          <cell r="N1435">
            <v>0</v>
          </cell>
          <cell r="O1435">
            <v>0</v>
          </cell>
          <cell r="P1435">
            <v>0</v>
          </cell>
        </row>
        <row r="1436">
          <cell r="C1436">
            <v>433</v>
          </cell>
          <cell r="F1436">
            <v>1</v>
          </cell>
          <cell r="G1436">
            <v>1</v>
          </cell>
          <cell r="H1436">
            <v>46252</v>
          </cell>
          <cell r="I1436">
            <v>0</v>
          </cell>
          <cell r="J1436">
            <v>15</v>
          </cell>
          <cell r="K1436">
            <v>0</v>
          </cell>
          <cell r="L1436">
            <v>0</v>
          </cell>
          <cell r="M1436">
            <v>0</v>
          </cell>
          <cell r="N1436">
            <v>0</v>
          </cell>
          <cell r="O1436">
            <v>0</v>
          </cell>
          <cell r="P1436">
            <v>0</v>
          </cell>
        </row>
        <row r="1437">
          <cell r="C1437">
            <v>52</v>
          </cell>
          <cell r="F1437">
            <v>1</v>
          </cell>
          <cell r="G1437">
            <v>1</v>
          </cell>
          <cell r="H1437">
            <v>46252</v>
          </cell>
          <cell r="I1437">
            <v>0</v>
          </cell>
          <cell r="J1437">
            <v>1</v>
          </cell>
          <cell r="K1437">
            <v>0</v>
          </cell>
          <cell r="L1437">
            <v>0</v>
          </cell>
          <cell r="M1437">
            <v>0</v>
          </cell>
          <cell r="N1437">
            <v>0</v>
          </cell>
          <cell r="O1437">
            <v>0</v>
          </cell>
          <cell r="P1437">
            <v>0</v>
          </cell>
        </row>
        <row r="1438">
          <cell r="C1438">
            <v>9</v>
          </cell>
          <cell r="F1438">
            <v>1</v>
          </cell>
          <cell r="G1438">
            <v>1</v>
          </cell>
          <cell r="H1438">
            <v>46252</v>
          </cell>
          <cell r="I1438">
            <v>0</v>
          </cell>
          <cell r="J1438">
            <v>12</v>
          </cell>
          <cell r="K1438">
            <v>0</v>
          </cell>
          <cell r="L1438">
            <v>0</v>
          </cell>
          <cell r="M1438">
            <v>0</v>
          </cell>
          <cell r="N1438">
            <v>0</v>
          </cell>
          <cell r="O1438">
            <v>0</v>
          </cell>
          <cell r="P1438">
            <v>0</v>
          </cell>
        </row>
        <row r="1439">
          <cell r="C1439">
            <v>414</v>
          </cell>
          <cell r="F1439">
            <v>1</v>
          </cell>
          <cell r="G1439">
            <v>1</v>
          </cell>
          <cell r="H1439">
            <v>46252</v>
          </cell>
          <cell r="I1439">
            <v>0</v>
          </cell>
          <cell r="J1439">
            <v>1</v>
          </cell>
          <cell r="K1439">
            <v>0</v>
          </cell>
          <cell r="L1439">
            <v>0</v>
          </cell>
          <cell r="M1439">
            <v>0</v>
          </cell>
          <cell r="N1439">
            <v>0</v>
          </cell>
          <cell r="O1439">
            <v>0</v>
          </cell>
          <cell r="P1439">
            <v>0</v>
          </cell>
        </row>
        <row r="1440">
          <cell r="C1440">
            <v>411</v>
          </cell>
          <cell r="F1440">
            <v>1</v>
          </cell>
          <cell r="G1440">
            <v>1</v>
          </cell>
          <cell r="H1440">
            <v>46252</v>
          </cell>
          <cell r="I1440">
            <v>0</v>
          </cell>
          <cell r="J1440">
            <v>1</v>
          </cell>
          <cell r="K1440">
            <v>0</v>
          </cell>
          <cell r="L1440">
            <v>0</v>
          </cell>
          <cell r="M1440">
            <v>0</v>
          </cell>
          <cell r="N1440">
            <v>0</v>
          </cell>
          <cell r="O1440">
            <v>0</v>
          </cell>
          <cell r="P1440">
            <v>0</v>
          </cell>
        </row>
        <row r="1441">
          <cell r="C1441">
            <v>409</v>
          </cell>
          <cell r="F1441">
            <v>1</v>
          </cell>
          <cell r="G1441">
            <v>1</v>
          </cell>
          <cell r="H1441">
            <v>46252</v>
          </cell>
          <cell r="I1441">
            <v>0</v>
          </cell>
          <cell r="J1441">
            <v>1</v>
          </cell>
          <cell r="K1441">
            <v>0</v>
          </cell>
          <cell r="L1441">
            <v>0</v>
          </cell>
          <cell r="M1441">
            <v>0</v>
          </cell>
          <cell r="N1441">
            <v>0</v>
          </cell>
          <cell r="O1441">
            <v>0</v>
          </cell>
          <cell r="P1441">
            <v>0</v>
          </cell>
        </row>
        <row r="1442">
          <cell r="C1442">
            <v>402</v>
          </cell>
          <cell r="F1442">
            <v>1</v>
          </cell>
          <cell r="G1442">
            <v>1</v>
          </cell>
          <cell r="H1442">
            <v>46252</v>
          </cell>
          <cell r="I1442">
            <v>0</v>
          </cell>
          <cell r="J1442">
            <v>5</v>
          </cell>
          <cell r="K1442">
            <v>0</v>
          </cell>
          <cell r="L1442">
            <v>0</v>
          </cell>
          <cell r="M1442">
            <v>0</v>
          </cell>
          <cell r="N1442">
            <v>0</v>
          </cell>
          <cell r="O1442">
            <v>0</v>
          </cell>
          <cell r="P1442">
            <v>0</v>
          </cell>
        </row>
        <row r="1443">
          <cell r="C1443">
            <v>428</v>
          </cell>
          <cell r="F1443">
            <v>1</v>
          </cell>
          <cell r="G1443">
            <v>1</v>
          </cell>
          <cell r="H1443">
            <v>46252</v>
          </cell>
          <cell r="I1443">
            <v>0</v>
          </cell>
          <cell r="J1443">
            <v>2</v>
          </cell>
          <cell r="K1443">
            <v>0</v>
          </cell>
          <cell r="L1443">
            <v>0</v>
          </cell>
          <cell r="M1443">
            <v>0</v>
          </cell>
          <cell r="N1443">
            <v>0</v>
          </cell>
          <cell r="O1443">
            <v>0</v>
          </cell>
          <cell r="P1443">
            <v>0</v>
          </cell>
        </row>
        <row r="1444">
          <cell r="C1444">
            <v>429</v>
          </cell>
          <cell r="F1444">
            <v>1</v>
          </cell>
          <cell r="G1444">
            <v>1</v>
          </cell>
          <cell r="H1444">
            <v>46252</v>
          </cell>
          <cell r="I1444">
            <v>0</v>
          </cell>
          <cell r="J1444">
            <v>1</v>
          </cell>
          <cell r="K1444">
            <v>0</v>
          </cell>
          <cell r="L1444">
            <v>0</v>
          </cell>
          <cell r="M1444">
            <v>0</v>
          </cell>
          <cell r="N1444">
            <v>0</v>
          </cell>
          <cell r="O1444">
            <v>0</v>
          </cell>
          <cell r="P1444">
            <v>0</v>
          </cell>
        </row>
        <row r="1445">
          <cell r="C1445">
            <v>421</v>
          </cell>
          <cell r="F1445">
            <v>1</v>
          </cell>
          <cell r="G1445">
            <v>1</v>
          </cell>
          <cell r="H1445">
            <v>46252</v>
          </cell>
          <cell r="I1445">
            <v>0</v>
          </cell>
          <cell r="J1445">
            <v>2</v>
          </cell>
          <cell r="K1445">
            <v>0</v>
          </cell>
          <cell r="L1445">
            <v>0</v>
          </cell>
          <cell r="M1445">
            <v>0</v>
          </cell>
          <cell r="N1445">
            <v>0</v>
          </cell>
          <cell r="O1445">
            <v>0</v>
          </cell>
          <cell r="P1445">
            <v>0</v>
          </cell>
        </row>
        <row r="1446">
          <cell r="C1446">
            <v>371</v>
          </cell>
          <cell r="F1446">
            <v>1</v>
          </cell>
          <cell r="G1446">
            <v>1</v>
          </cell>
          <cell r="H1446">
            <v>46252</v>
          </cell>
          <cell r="I1446">
            <v>0</v>
          </cell>
          <cell r="J1446">
            <v>1</v>
          </cell>
          <cell r="K1446">
            <v>0</v>
          </cell>
          <cell r="L1446">
            <v>0</v>
          </cell>
          <cell r="M1446">
            <v>0</v>
          </cell>
          <cell r="N1446">
            <v>0</v>
          </cell>
          <cell r="O1446">
            <v>0</v>
          </cell>
          <cell r="P1446">
            <v>0</v>
          </cell>
        </row>
        <row r="1447">
          <cell r="C1447">
            <v>50</v>
          </cell>
          <cell r="F1447">
            <v>1</v>
          </cell>
          <cell r="G1447">
            <v>1</v>
          </cell>
          <cell r="H1447">
            <v>46252</v>
          </cell>
          <cell r="I1447">
            <v>0</v>
          </cell>
          <cell r="J1447">
            <v>2</v>
          </cell>
          <cell r="K1447">
            <v>0</v>
          </cell>
          <cell r="L1447">
            <v>0</v>
          </cell>
          <cell r="M1447">
            <v>0</v>
          </cell>
          <cell r="N1447">
            <v>0</v>
          </cell>
          <cell r="O1447">
            <v>0</v>
          </cell>
          <cell r="P1447">
            <v>0</v>
          </cell>
        </row>
        <row r="1448">
          <cell r="C1448">
            <v>343</v>
          </cell>
          <cell r="F1448">
            <v>1</v>
          </cell>
          <cell r="G1448">
            <v>1</v>
          </cell>
          <cell r="H1448">
            <v>46252</v>
          </cell>
          <cell r="I1448">
            <v>0</v>
          </cell>
          <cell r="J1448">
            <v>2</v>
          </cell>
          <cell r="K1448">
            <v>0</v>
          </cell>
          <cell r="L1448">
            <v>0</v>
          </cell>
          <cell r="M1448">
            <v>0</v>
          </cell>
          <cell r="N1448">
            <v>0</v>
          </cell>
          <cell r="O1448">
            <v>0</v>
          </cell>
          <cell r="P1448">
            <v>0</v>
          </cell>
        </row>
        <row r="1449">
          <cell r="C1449">
            <v>349</v>
          </cell>
          <cell r="F1449">
            <v>1</v>
          </cell>
          <cell r="G1449">
            <v>1</v>
          </cell>
          <cell r="H1449">
            <v>46252</v>
          </cell>
          <cell r="I1449">
            <v>0</v>
          </cell>
          <cell r="J1449">
            <v>1</v>
          </cell>
          <cell r="K1449">
            <v>0</v>
          </cell>
          <cell r="L1449">
            <v>0</v>
          </cell>
          <cell r="M1449">
            <v>0</v>
          </cell>
          <cell r="N1449">
            <v>0</v>
          </cell>
          <cell r="O1449">
            <v>0</v>
          </cell>
          <cell r="P1449">
            <v>0</v>
          </cell>
        </row>
        <row r="1450">
          <cell r="C1450">
            <v>241</v>
          </cell>
          <cell r="F1450">
            <v>1</v>
          </cell>
          <cell r="G1450">
            <v>1</v>
          </cell>
          <cell r="H1450">
            <v>46252</v>
          </cell>
          <cell r="I1450">
            <v>0</v>
          </cell>
          <cell r="J1450">
            <v>2</v>
          </cell>
          <cell r="K1450">
            <v>0</v>
          </cell>
          <cell r="L1450">
            <v>0</v>
          </cell>
          <cell r="M1450">
            <v>0</v>
          </cell>
          <cell r="N1450">
            <v>0</v>
          </cell>
          <cell r="O1450">
            <v>0</v>
          </cell>
          <cell r="P1450">
            <v>0</v>
          </cell>
        </row>
        <row r="1451">
          <cell r="C1451">
            <v>184</v>
          </cell>
          <cell r="F1451">
            <v>1</v>
          </cell>
          <cell r="G1451">
            <v>1</v>
          </cell>
          <cell r="H1451">
            <v>46252</v>
          </cell>
          <cell r="I1451">
            <v>0</v>
          </cell>
          <cell r="J1451">
            <v>12</v>
          </cell>
          <cell r="K1451">
            <v>0</v>
          </cell>
          <cell r="L1451">
            <v>0</v>
          </cell>
          <cell r="M1451">
            <v>0</v>
          </cell>
          <cell r="N1451">
            <v>0</v>
          </cell>
          <cell r="O1451">
            <v>0</v>
          </cell>
          <cell r="P1451">
            <v>0</v>
          </cell>
        </row>
        <row r="1452">
          <cell r="C1452">
            <v>358</v>
          </cell>
          <cell r="F1452">
            <v>1</v>
          </cell>
          <cell r="G1452">
            <v>1</v>
          </cell>
          <cell r="H1452">
            <v>46252</v>
          </cell>
          <cell r="I1452">
            <v>0</v>
          </cell>
          <cell r="J1452">
            <v>1</v>
          </cell>
          <cell r="K1452">
            <v>0</v>
          </cell>
          <cell r="L1452">
            <v>0</v>
          </cell>
          <cell r="M1452">
            <v>0</v>
          </cell>
          <cell r="N1452">
            <v>0</v>
          </cell>
          <cell r="O1452">
            <v>0</v>
          </cell>
          <cell r="P1452">
            <v>0</v>
          </cell>
        </row>
        <row r="1453">
          <cell r="C1453">
            <v>293</v>
          </cell>
          <cell r="F1453">
            <v>1</v>
          </cell>
          <cell r="G1453">
            <v>1</v>
          </cell>
          <cell r="H1453">
            <v>46253</v>
          </cell>
          <cell r="I1453">
            <v>0</v>
          </cell>
          <cell r="J1453">
            <v>20</v>
          </cell>
          <cell r="K1453">
            <v>0</v>
          </cell>
          <cell r="L1453">
            <v>0</v>
          </cell>
          <cell r="M1453">
            <v>0</v>
          </cell>
          <cell r="N1453">
            <v>0</v>
          </cell>
          <cell r="O1453">
            <v>0</v>
          </cell>
          <cell r="P1453">
            <v>0</v>
          </cell>
        </row>
        <row r="1454">
          <cell r="C1454">
            <v>177</v>
          </cell>
          <cell r="F1454">
            <v>1</v>
          </cell>
          <cell r="G1454">
            <v>1</v>
          </cell>
          <cell r="H1454">
            <v>46253</v>
          </cell>
          <cell r="I1454">
            <v>0</v>
          </cell>
          <cell r="J1454">
            <v>50</v>
          </cell>
          <cell r="K1454">
            <v>0</v>
          </cell>
          <cell r="L1454">
            <v>0</v>
          </cell>
          <cell r="M1454">
            <v>0</v>
          </cell>
          <cell r="N1454">
            <v>0</v>
          </cell>
          <cell r="O1454">
            <v>0</v>
          </cell>
          <cell r="P1454">
            <v>0</v>
          </cell>
        </row>
        <row r="1455">
          <cell r="C1455">
            <v>195</v>
          </cell>
          <cell r="F1455">
            <v>1</v>
          </cell>
          <cell r="G1455">
            <v>1</v>
          </cell>
          <cell r="H1455">
            <v>46253</v>
          </cell>
          <cell r="I1455">
            <v>0</v>
          </cell>
          <cell r="J1455">
            <v>8</v>
          </cell>
          <cell r="K1455">
            <v>0</v>
          </cell>
          <cell r="L1455">
            <v>0</v>
          </cell>
          <cell r="M1455">
            <v>0</v>
          </cell>
          <cell r="N1455">
            <v>0</v>
          </cell>
          <cell r="O1455">
            <v>0</v>
          </cell>
          <cell r="P1455">
            <v>0</v>
          </cell>
        </row>
        <row r="1456">
          <cell r="C1456">
            <v>187</v>
          </cell>
          <cell r="F1456">
            <v>1</v>
          </cell>
          <cell r="G1456">
            <v>1</v>
          </cell>
          <cell r="H1456">
            <v>46253</v>
          </cell>
          <cell r="I1456">
            <v>0</v>
          </cell>
          <cell r="J1456">
            <v>4</v>
          </cell>
          <cell r="K1456">
            <v>0</v>
          </cell>
          <cell r="L1456">
            <v>0</v>
          </cell>
          <cell r="M1456">
            <v>0</v>
          </cell>
          <cell r="N1456">
            <v>0</v>
          </cell>
          <cell r="O1456">
            <v>0</v>
          </cell>
          <cell r="P1456">
            <v>0</v>
          </cell>
        </row>
        <row r="1457">
          <cell r="C1457">
            <v>305</v>
          </cell>
          <cell r="F1457">
            <v>1</v>
          </cell>
          <cell r="G1457">
            <v>1</v>
          </cell>
          <cell r="H1457">
            <v>46253</v>
          </cell>
          <cell r="I1457">
            <v>0</v>
          </cell>
          <cell r="J1457">
            <v>100</v>
          </cell>
          <cell r="K1457">
            <v>0</v>
          </cell>
          <cell r="L1457">
            <v>0</v>
          </cell>
          <cell r="M1457">
            <v>0</v>
          </cell>
          <cell r="N1457">
            <v>0</v>
          </cell>
          <cell r="O1457">
            <v>0</v>
          </cell>
          <cell r="P1457">
            <v>0</v>
          </cell>
        </row>
        <row r="1458">
          <cell r="C1458">
            <v>358</v>
          </cell>
          <cell r="F1458">
            <v>1</v>
          </cell>
          <cell r="G1458">
            <v>1</v>
          </cell>
          <cell r="H1458">
            <v>46253</v>
          </cell>
          <cell r="I1458">
            <v>0</v>
          </cell>
          <cell r="J1458">
            <v>2</v>
          </cell>
          <cell r="K1458">
            <v>0</v>
          </cell>
          <cell r="L1458">
            <v>0</v>
          </cell>
          <cell r="M1458">
            <v>0</v>
          </cell>
          <cell r="N1458">
            <v>0</v>
          </cell>
          <cell r="O1458">
            <v>0</v>
          </cell>
          <cell r="P1458">
            <v>0</v>
          </cell>
        </row>
        <row r="1459">
          <cell r="C1459">
            <v>199</v>
          </cell>
          <cell r="F1459">
            <v>1</v>
          </cell>
          <cell r="G1459">
            <v>1</v>
          </cell>
          <cell r="H1459">
            <v>46253</v>
          </cell>
          <cell r="I1459">
            <v>0</v>
          </cell>
          <cell r="J1459">
            <v>4</v>
          </cell>
          <cell r="K1459">
            <v>0</v>
          </cell>
          <cell r="L1459">
            <v>0</v>
          </cell>
          <cell r="M1459">
            <v>0</v>
          </cell>
          <cell r="N1459">
            <v>0</v>
          </cell>
          <cell r="O1459">
            <v>0</v>
          </cell>
          <cell r="P1459">
            <v>0</v>
          </cell>
        </row>
        <row r="1460">
          <cell r="C1460">
            <v>363</v>
          </cell>
          <cell r="F1460">
            <v>1</v>
          </cell>
          <cell r="G1460">
            <v>1</v>
          </cell>
          <cell r="H1460">
            <v>46253</v>
          </cell>
          <cell r="I1460">
            <v>0</v>
          </cell>
          <cell r="J1460">
            <v>1</v>
          </cell>
          <cell r="K1460">
            <v>0</v>
          </cell>
          <cell r="L1460">
            <v>0</v>
          </cell>
          <cell r="M1460">
            <v>0</v>
          </cell>
          <cell r="N1460">
            <v>0</v>
          </cell>
          <cell r="O1460">
            <v>0</v>
          </cell>
          <cell r="P1460">
            <v>0</v>
          </cell>
        </row>
        <row r="1461">
          <cell r="C1461">
            <v>364</v>
          </cell>
          <cell r="F1461">
            <v>1</v>
          </cell>
          <cell r="G1461">
            <v>1</v>
          </cell>
          <cell r="H1461">
            <v>46253</v>
          </cell>
          <cell r="I1461">
            <v>0</v>
          </cell>
          <cell r="J1461">
            <v>1</v>
          </cell>
          <cell r="K1461">
            <v>0</v>
          </cell>
          <cell r="L1461">
            <v>0</v>
          </cell>
          <cell r="M1461">
            <v>0</v>
          </cell>
          <cell r="N1461">
            <v>0</v>
          </cell>
          <cell r="O1461">
            <v>0</v>
          </cell>
          <cell r="P1461">
            <v>0</v>
          </cell>
        </row>
        <row r="1462">
          <cell r="C1462">
            <v>369</v>
          </cell>
          <cell r="F1462">
            <v>1</v>
          </cell>
          <cell r="G1462">
            <v>1</v>
          </cell>
          <cell r="H1462">
            <v>46253</v>
          </cell>
          <cell r="I1462">
            <v>0</v>
          </cell>
          <cell r="J1462">
            <v>1</v>
          </cell>
          <cell r="K1462">
            <v>0</v>
          </cell>
          <cell r="L1462">
            <v>0</v>
          </cell>
          <cell r="M1462">
            <v>0</v>
          </cell>
          <cell r="N1462">
            <v>0</v>
          </cell>
          <cell r="O1462">
            <v>0</v>
          </cell>
          <cell r="P1462">
            <v>0</v>
          </cell>
        </row>
        <row r="1463">
          <cell r="C1463">
            <v>399</v>
          </cell>
          <cell r="F1463">
            <v>1</v>
          </cell>
          <cell r="G1463">
            <v>1</v>
          </cell>
          <cell r="H1463">
            <v>46253</v>
          </cell>
          <cell r="I1463">
            <v>0</v>
          </cell>
          <cell r="J1463">
            <v>3</v>
          </cell>
          <cell r="K1463">
            <v>0</v>
          </cell>
          <cell r="L1463">
            <v>0</v>
          </cell>
          <cell r="M1463">
            <v>0</v>
          </cell>
          <cell r="N1463">
            <v>0</v>
          </cell>
          <cell r="O1463">
            <v>0</v>
          </cell>
          <cell r="P1463">
            <v>0</v>
          </cell>
        </row>
        <row r="1464">
          <cell r="C1464">
            <v>183</v>
          </cell>
          <cell r="F1464">
            <v>1</v>
          </cell>
          <cell r="G1464">
            <v>1</v>
          </cell>
          <cell r="H1464">
            <v>46253</v>
          </cell>
          <cell r="I1464">
            <v>0</v>
          </cell>
          <cell r="J1464">
            <v>12</v>
          </cell>
          <cell r="K1464">
            <v>0</v>
          </cell>
          <cell r="L1464">
            <v>0</v>
          </cell>
          <cell r="M1464">
            <v>0</v>
          </cell>
          <cell r="N1464">
            <v>0</v>
          </cell>
          <cell r="O1464">
            <v>0</v>
          </cell>
          <cell r="P1464">
            <v>0</v>
          </cell>
        </row>
        <row r="1465">
          <cell r="C1465">
            <v>425</v>
          </cell>
          <cell r="F1465">
            <v>1</v>
          </cell>
          <cell r="G1465">
            <v>1</v>
          </cell>
          <cell r="H1465">
            <v>46253</v>
          </cell>
          <cell r="I1465">
            <v>0</v>
          </cell>
          <cell r="J1465">
            <v>5</v>
          </cell>
          <cell r="K1465">
            <v>0</v>
          </cell>
          <cell r="L1465">
            <v>0</v>
          </cell>
          <cell r="M1465">
            <v>0</v>
          </cell>
          <cell r="N1465">
            <v>0</v>
          </cell>
          <cell r="O1465">
            <v>0</v>
          </cell>
          <cell r="P1465">
            <v>0</v>
          </cell>
        </row>
        <row r="1466">
          <cell r="C1466">
            <v>101</v>
          </cell>
          <cell r="F1466">
            <v>1</v>
          </cell>
          <cell r="G1466">
            <v>1</v>
          </cell>
          <cell r="H1466">
            <v>46253</v>
          </cell>
          <cell r="I1466">
            <v>0</v>
          </cell>
          <cell r="J1466">
            <v>1000</v>
          </cell>
          <cell r="K1466">
            <v>0</v>
          </cell>
          <cell r="L1466">
            <v>0</v>
          </cell>
          <cell r="M1466">
            <v>0</v>
          </cell>
          <cell r="N1466">
            <v>0</v>
          </cell>
          <cell r="O1466">
            <v>0</v>
          </cell>
          <cell r="P1466">
            <v>0</v>
          </cell>
        </row>
        <row r="1467">
          <cell r="C1467">
            <v>386</v>
          </cell>
          <cell r="F1467">
            <v>1</v>
          </cell>
          <cell r="G1467">
            <v>1</v>
          </cell>
          <cell r="H1467">
            <v>46253</v>
          </cell>
          <cell r="I1467">
            <v>0</v>
          </cell>
          <cell r="J1467">
            <v>1</v>
          </cell>
          <cell r="K1467">
            <v>0</v>
          </cell>
          <cell r="L1467">
            <v>0</v>
          </cell>
          <cell r="M1467">
            <v>0</v>
          </cell>
          <cell r="N1467">
            <v>0</v>
          </cell>
          <cell r="O1467">
            <v>0</v>
          </cell>
          <cell r="P1467">
            <v>0</v>
          </cell>
        </row>
        <row r="1468">
          <cell r="C1468">
            <v>384</v>
          </cell>
          <cell r="F1468">
            <v>1</v>
          </cell>
          <cell r="G1468">
            <v>1</v>
          </cell>
          <cell r="H1468">
            <v>46253</v>
          </cell>
          <cell r="I1468">
            <v>0</v>
          </cell>
          <cell r="J1468">
            <v>1</v>
          </cell>
          <cell r="K1468">
            <v>0</v>
          </cell>
          <cell r="L1468">
            <v>0</v>
          </cell>
          <cell r="M1468">
            <v>0</v>
          </cell>
          <cell r="N1468">
            <v>0</v>
          </cell>
          <cell r="O1468">
            <v>0</v>
          </cell>
          <cell r="P1468">
            <v>0</v>
          </cell>
        </row>
        <row r="1469">
          <cell r="C1469">
            <v>410</v>
          </cell>
          <cell r="F1469">
            <v>1</v>
          </cell>
          <cell r="G1469">
            <v>1</v>
          </cell>
          <cell r="H1469">
            <v>46253</v>
          </cell>
          <cell r="I1469">
            <v>0</v>
          </cell>
          <cell r="J1469">
            <v>1</v>
          </cell>
          <cell r="K1469">
            <v>0</v>
          </cell>
          <cell r="L1469">
            <v>0</v>
          </cell>
          <cell r="M1469">
            <v>0</v>
          </cell>
          <cell r="N1469">
            <v>0</v>
          </cell>
          <cell r="O1469">
            <v>0</v>
          </cell>
          <cell r="P1469">
            <v>0</v>
          </cell>
        </row>
        <row r="1470">
          <cell r="C1470">
            <v>241</v>
          </cell>
          <cell r="F1470">
            <v>1</v>
          </cell>
          <cell r="G1470">
            <v>1</v>
          </cell>
          <cell r="H1470">
            <v>46253</v>
          </cell>
          <cell r="I1470">
            <v>0</v>
          </cell>
          <cell r="J1470">
            <v>1</v>
          </cell>
          <cell r="K1470">
            <v>0</v>
          </cell>
          <cell r="L1470">
            <v>0</v>
          </cell>
          <cell r="M1470">
            <v>0</v>
          </cell>
          <cell r="N1470">
            <v>0</v>
          </cell>
          <cell r="O1470">
            <v>0</v>
          </cell>
          <cell r="P1470">
            <v>0</v>
          </cell>
        </row>
        <row r="1471">
          <cell r="C1471">
            <v>108</v>
          </cell>
          <cell r="F1471">
            <v>1</v>
          </cell>
          <cell r="G1471">
            <v>1</v>
          </cell>
          <cell r="H1471">
            <v>46253</v>
          </cell>
          <cell r="I1471">
            <v>0</v>
          </cell>
          <cell r="J1471">
            <v>1</v>
          </cell>
          <cell r="K1471">
            <v>0</v>
          </cell>
          <cell r="L1471">
            <v>0</v>
          </cell>
          <cell r="M1471">
            <v>0</v>
          </cell>
          <cell r="N1471">
            <v>0</v>
          </cell>
          <cell r="O1471">
            <v>0</v>
          </cell>
          <cell r="P1471">
            <v>0</v>
          </cell>
        </row>
        <row r="1472">
          <cell r="C1472">
            <v>414</v>
          </cell>
          <cell r="F1472">
            <v>1</v>
          </cell>
          <cell r="G1472">
            <v>1</v>
          </cell>
          <cell r="H1472">
            <v>46253</v>
          </cell>
          <cell r="I1472">
            <v>0</v>
          </cell>
          <cell r="J1472">
            <v>1</v>
          </cell>
          <cell r="K1472">
            <v>0</v>
          </cell>
          <cell r="L1472">
            <v>0</v>
          </cell>
          <cell r="M1472">
            <v>0</v>
          </cell>
          <cell r="N1472">
            <v>0</v>
          </cell>
          <cell r="O1472">
            <v>0</v>
          </cell>
          <cell r="P1472">
            <v>0</v>
          </cell>
        </row>
        <row r="1473">
          <cell r="C1473">
            <v>371</v>
          </cell>
          <cell r="F1473">
            <v>1</v>
          </cell>
          <cell r="G1473">
            <v>1</v>
          </cell>
          <cell r="H1473">
            <v>46253</v>
          </cell>
          <cell r="I1473">
            <v>0</v>
          </cell>
          <cell r="J1473">
            <v>1</v>
          </cell>
          <cell r="K1473">
            <v>0</v>
          </cell>
          <cell r="L1473">
            <v>0</v>
          </cell>
          <cell r="M1473">
            <v>0</v>
          </cell>
          <cell r="N1473">
            <v>0</v>
          </cell>
          <cell r="O1473">
            <v>0</v>
          </cell>
          <cell r="P1473">
            <v>0</v>
          </cell>
        </row>
        <row r="1474">
          <cell r="C1474">
            <v>413</v>
          </cell>
          <cell r="F1474">
            <v>1</v>
          </cell>
          <cell r="G1474">
            <v>1</v>
          </cell>
          <cell r="H1474">
            <v>46253</v>
          </cell>
          <cell r="I1474">
            <v>0</v>
          </cell>
          <cell r="J1474">
            <v>1</v>
          </cell>
          <cell r="K1474">
            <v>0</v>
          </cell>
          <cell r="L1474">
            <v>0</v>
          </cell>
          <cell r="M1474">
            <v>0</v>
          </cell>
          <cell r="N1474">
            <v>0</v>
          </cell>
          <cell r="O1474">
            <v>0</v>
          </cell>
          <cell r="P1474">
            <v>0</v>
          </cell>
        </row>
        <row r="1475">
          <cell r="C1475">
            <v>411</v>
          </cell>
          <cell r="F1475">
            <v>1</v>
          </cell>
          <cell r="G1475">
            <v>1</v>
          </cell>
          <cell r="H1475">
            <v>46253</v>
          </cell>
          <cell r="I1475">
            <v>0</v>
          </cell>
          <cell r="J1475">
            <v>1</v>
          </cell>
          <cell r="K1475">
            <v>0</v>
          </cell>
          <cell r="L1475">
            <v>0</v>
          </cell>
          <cell r="M1475">
            <v>0</v>
          </cell>
          <cell r="N1475">
            <v>0</v>
          </cell>
          <cell r="O1475">
            <v>0</v>
          </cell>
          <cell r="P1475">
            <v>0</v>
          </cell>
        </row>
        <row r="1476">
          <cell r="C1476">
            <v>397</v>
          </cell>
          <cell r="F1476">
            <v>1</v>
          </cell>
          <cell r="G1476">
            <v>1</v>
          </cell>
          <cell r="H1476">
            <v>46253</v>
          </cell>
          <cell r="I1476">
            <v>0</v>
          </cell>
          <cell r="J1476">
            <v>5</v>
          </cell>
          <cell r="K1476">
            <v>0</v>
          </cell>
          <cell r="L1476">
            <v>0</v>
          </cell>
          <cell r="M1476">
            <v>0</v>
          </cell>
          <cell r="N1476">
            <v>0</v>
          </cell>
          <cell r="O1476">
            <v>0</v>
          </cell>
          <cell r="P1476">
            <v>0</v>
          </cell>
        </row>
        <row r="1477">
          <cell r="C1477">
            <v>294</v>
          </cell>
          <cell r="F1477">
            <v>1</v>
          </cell>
          <cell r="G1477">
            <v>1</v>
          </cell>
          <cell r="H1477">
            <v>46254</v>
          </cell>
          <cell r="I1477">
            <v>0</v>
          </cell>
          <cell r="J1477">
            <v>1</v>
          </cell>
          <cell r="K1477">
            <v>0</v>
          </cell>
          <cell r="L1477">
            <v>0</v>
          </cell>
          <cell r="M1477">
            <v>0</v>
          </cell>
          <cell r="N1477">
            <v>0</v>
          </cell>
          <cell r="O1477">
            <v>0</v>
          </cell>
          <cell r="P1477">
            <v>0</v>
          </cell>
        </row>
        <row r="1478">
          <cell r="C1478">
            <v>195</v>
          </cell>
          <cell r="F1478">
            <v>1</v>
          </cell>
          <cell r="G1478">
            <v>1</v>
          </cell>
          <cell r="H1478">
            <v>46254</v>
          </cell>
          <cell r="I1478">
            <v>0</v>
          </cell>
          <cell r="J1478">
            <v>8</v>
          </cell>
          <cell r="K1478">
            <v>0</v>
          </cell>
          <cell r="L1478">
            <v>0</v>
          </cell>
          <cell r="M1478">
            <v>0</v>
          </cell>
          <cell r="N1478">
            <v>0</v>
          </cell>
          <cell r="O1478">
            <v>0</v>
          </cell>
          <cell r="P1478">
            <v>0</v>
          </cell>
        </row>
        <row r="1479">
          <cell r="C1479">
            <v>384</v>
          </cell>
          <cell r="F1479">
            <v>1</v>
          </cell>
          <cell r="G1479">
            <v>1</v>
          </cell>
          <cell r="H1479">
            <v>46254</v>
          </cell>
          <cell r="I1479">
            <v>0</v>
          </cell>
          <cell r="J1479">
            <v>1</v>
          </cell>
          <cell r="K1479">
            <v>0</v>
          </cell>
          <cell r="L1479">
            <v>0</v>
          </cell>
          <cell r="M1479">
            <v>0</v>
          </cell>
          <cell r="N1479">
            <v>0</v>
          </cell>
          <cell r="O1479">
            <v>0</v>
          </cell>
          <cell r="P1479">
            <v>0</v>
          </cell>
        </row>
        <row r="1480">
          <cell r="C1480">
            <v>386</v>
          </cell>
          <cell r="F1480">
            <v>1</v>
          </cell>
          <cell r="G1480">
            <v>1</v>
          </cell>
          <cell r="H1480">
            <v>46254</v>
          </cell>
          <cell r="I1480">
            <v>0</v>
          </cell>
          <cell r="J1480">
            <v>2</v>
          </cell>
          <cell r="K1480">
            <v>0</v>
          </cell>
          <cell r="L1480">
            <v>0</v>
          </cell>
          <cell r="M1480">
            <v>0</v>
          </cell>
          <cell r="N1480">
            <v>0</v>
          </cell>
          <cell r="O1480">
            <v>0</v>
          </cell>
          <cell r="P1480">
            <v>0</v>
          </cell>
        </row>
        <row r="1481">
          <cell r="C1481">
            <v>381</v>
          </cell>
          <cell r="F1481">
            <v>1</v>
          </cell>
          <cell r="G1481">
            <v>1</v>
          </cell>
          <cell r="H1481">
            <v>46254</v>
          </cell>
          <cell r="I1481">
            <v>0</v>
          </cell>
          <cell r="J1481">
            <v>1</v>
          </cell>
          <cell r="K1481">
            <v>0</v>
          </cell>
          <cell r="L1481">
            <v>0</v>
          </cell>
          <cell r="M1481">
            <v>0</v>
          </cell>
          <cell r="N1481">
            <v>0</v>
          </cell>
          <cell r="O1481">
            <v>0</v>
          </cell>
          <cell r="P1481">
            <v>0</v>
          </cell>
        </row>
        <row r="1482">
          <cell r="C1482">
            <v>305</v>
          </cell>
          <cell r="F1482">
            <v>1</v>
          </cell>
          <cell r="G1482">
            <v>1</v>
          </cell>
          <cell r="H1482">
            <v>46254</v>
          </cell>
          <cell r="I1482">
            <v>0</v>
          </cell>
          <cell r="J1482">
            <v>100</v>
          </cell>
          <cell r="K1482">
            <v>0</v>
          </cell>
          <cell r="L1482">
            <v>0</v>
          </cell>
          <cell r="M1482">
            <v>0</v>
          </cell>
          <cell r="N1482">
            <v>0</v>
          </cell>
          <cell r="O1482">
            <v>0</v>
          </cell>
          <cell r="P1482">
            <v>0</v>
          </cell>
        </row>
        <row r="1483">
          <cell r="C1483">
            <v>178</v>
          </cell>
          <cell r="F1483">
            <v>1</v>
          </cell>
          <cell r="G1483">
            <v>1</v>
          </cell>
          <cell r="H1483">
            <v>46254</v>
          </cell>
          <cell r="I1483">
            <v>0</v>
          </cell>
          <cell r="J1483">
            <v>50</v>
          </cell>
          <cell r="K1483">
            <v>0</v>
          </cell>
          <cell r="L1483">
            <v>0</v>
          </cell>
          <cell r="M1483">
            <v>0</v>
          </cell>
          <cell r="N1483">
            <v>0</v>
          </cell>
          <cell r="O1483">
            <v>0</v>
          </cell>
          <cell r="P1483">
            <v>0</v>
          </cell>
        </row>
        <row r="1484">
          <cell r="C1484">
            <v>423</v>
          </cell>
          <cell r="F1484">
            <v>1</v>
          </cell>
          <cell r="G1484">
            <v>1</v>
          </cell>
          <cell r="H1484">
            <v>46254</v>
          </cell>
          <cell r="I1484">
            <v>0</v>
          </cell>
          <cell r="J1484">
            <v>2</v>
          </cell>
          <cell r="K1484">
            <v>0</v>
          </cell>
          <cell r="L1484">
            <v>0</v>
          </cell>
          <cell r="M1484">
            <v>0</v>
          </cell>
          <cell r="N1484">
            <v>0</v>
          </cell>
          <cell r="O1484">
            <v>0</v>
          </cell>
          <cell r="P1484">
            <v>0</v>
          </cell>
        </row>
        <row r="1485">
          <cell r="C1485">
            <v>377</v>
          </cell>
          <cell r="F1485">
            <v>1</v>
          </cell>
          <cell r="G1485">
            <v>1</v>
          </cell>
          <cell r="H1485">
            <v>46254</v>
          </cell>
          <cell r="I1485">
            <v>0</v>
          </cell>
          <cell r="J1485">
            <v>10</v>
          </cell>
          <cell r="K1485">
            <v>0</v>
          </cell>
          <cell r="L1485">
            <v>0</v>
          </cell>
          <cell r="M1485">
            <v>0</v>
          </cell>
          <cell r="N1485">
            <v>0</v>
          </cell>
          <cell r="O1485">
            <v>0</v>
          </cell>
          <cell r="P1485">
            <v>0</v>
          </cell>
        </row>
        <row r="1486">
          <cell r="C1486">
            <v>276</v>
          </cell>
          <cell r="F1486">
            <v>1</v>
          </cell>
          <cell r="G1486">
            <v>1</v>
          </cell>
          <cell r="H1486">
            <v>46254</v>
          </cell>
          <cell r="I1486">
            <v>0</v>
          </cell>
          <cell r="J1486">
            <v>1</v>
          </cell>
          <cell r="K1486">
            <v>0</v>
          </cell>
          <cell r="L1486">
            <v>0</v>
          </cell>
          <cell r="M1486">
            <v>0</v>
          </cell>
          <cell r="N1486">
            <v>0</v>
          </cell>
          <cell r="O1486">
            <v>0</v>
          </cell>
          <cell r="P1486">
            <v>0</v>
          </cell>
        </row>
        <row r="1487">
          <cell r="C1487">
            <v>77</v>
          </cell>
          <cell r="F1487">
            <v>1</v>
          </cell>
          <cell r="G1487">
            <v>1</v>
          </cell>
          <cell r="H1487">
            <v>46254</v>
          </cell>
          <cell r="I1487">
            <v>0</v>
          </cell>
          <cell r="J1487">
            <v>10</v>
          </cell>
          <cell r="K1487">
            <v>0</v>
          </cell>
          <cell r="L1487">
            <v>0</v>
          </cell>
          <cell r="M1487">
            <v>0</v>
          </cell>
          <cell r="N1487">
            <v>0</v>
          </cell>
          <cell r="O1487">
            <v>0</v>
          </cell>
          <cell r="P1487">
            <v>0</v>
          </cell>
        </row>
        <row r="1488">
          <cell r="C1488">
            <v>378</v>
          </cell>
          <cell r="F1488">
            <v>1</v>
          </cell>
          <cell r="G1488">
            <v>1</v>
          </cell>
          <cell r="H1488">
            <v>46254</v>
          </cell>
          <cell r="I1488">
            <v>0</v>
          </cell>
          <cell r="J1488">
            <v>1</v>
          </cell>
          <cell r="K1488">
            <v>0</v>
          </cell>
          <cell r="L1488">
            <v>0</v>
          </cell>
          <cell r="M1488">
            <v>0</v>
          </cell>
          <cell r="N1488">
            <v>0</v>
          </cell>
          <cell r="O1488">
            <v>0</v>
          </cell>
          <cell r="P1488">
            <v>0</v>
          </cell>
        </row>
        <row r="1489">
          <cell r="C1489">
            <v>94</v>
          </cell>
          <cell r="F1489">
            <v>1</v>
          </cell>
          <cell r="G1489">
            <v>1</v>
          </cell>
          <cell r="H1489">
            <v>46254</v>
          </cell>
          <cell r="I1489">
            <v>0</v>
          </cell>
          <cell r="J1489">
            <v>5</v>
          </cell>
          <cell r="K1489">
            <v>0</v>
          </cell>
          <cell r="L1489">
            <v>0</v>
          </cell>
          <cell r="M1489">
            <v>0</v>
          </cell>
          <cell r="N1489">
            <v>0</v>
          </cell>
          <cell r="O1489">
            <v>0</v>
          </cell>
          <cell r="P1489">
            <v>0</v>
          </cell>
        </row>
        <row r="1490">
          <cell r="C1490">
            <v>7</v>
          </cell>
          <cell r="F1490">
            <v>1</v>
          </cell>
          <cell r="G1490">
            <v>1</v>
          </cell>
          <cell r="H1490">
            <v>46254</v>
          </cell>
          <cell r="I1490">
            <v>0</v>
          </cell>
          <cell r="J1490">
            <v>4</v>
          </cell>
          <cell r="K1490">
            <v>0</v>
          </cell>
          <cell r="L1490">
            <v>0</v>
          </cell>
          <cell r="M1490">
            <v>0</v>
          </cell>
          <cell r="N1490">
            <v>0</v>
          </cell>
          <cell r="O1490">
            <v>0</v>
          </cell>
          <cell r="P1490">
            <v>0</v>
          </cell>
        </row>
        <row r="1491">
          <cell r="C1491">
            <v>376</v>
          </cell>
          <cell r="F1491">
            <v>1</v>
          </cell>
          <cell r="G1491">
            <v>1</v>
          </cell>
          <cell r="H1491">
            <v>46254</v>
          </cell>
          <cell r="I1491">
            <v>0</v>
          </cell>
          <cell r="J1491">
            <v>2</v>
          </cell>
          <cell r="K1491">
            <v>0</v>
          </cell>
          <cell r="L1491">
            <v>0</v>
          </cell>
          <cell r="M1491">
            <v>0</v>
          </cell>
          <cell r="N1491">
            <v>0</v>
          </cell>
          <cell r="O1491">
            <v>0</v>
          </cell>
          <cell r="P1491">
            <v>0</v>
          </cell>
        </row>
        <row r="1492">
          <cell r="C1492">
            <v>365</v>
          </cell>
          <cell r="F1492">
            <v>1</v>
          </cell>
          <cell r="G1492">
            <v>1</v>
          </cell>
          <cell r="H1492">
            <v>46254</v>
          </cell>
          <cell r="I1492">
            <v>0</v>
          </cell>
          <cell r="J1492">
            <v>1</v>
          </cell>
          <cell r="K1492">
            <v>0</v>
          </cell>
          <cell r="L1492">
            <v>0</v>
          </cell>
          <cell r="M1492">
            <v>0</v>
          </cell>
          <cell r="N1492">
            <v>0</v>
          </cell>
          <cell r="O1492">
            <v>0</v>
          </cell>
          <cell r="P1492">
            <v>0</v>
          </cell>
        </row>
        <row r="1493">
          <cell r="C1493">
            <v>385</v>
          </cell>
          <cell r="F1493">
            <v>1</v>
          </cell>
          <cell r="G1493">
            <v>1</v>
          </cell>
          <cell r="H1493">
            <v>46254</v>
          </cell>
          <cell r="I1493">
            <v>0</v>
          </cell>
          <cell r="J1493">
            <v>1</v>
          </cell>
          <cell r="K1493">
            <v>0</v>
          </cell>
          <cell r="L1493">
            <v>0</v>
          </cell>
          <cell r="M1493">
            <v>0</v>
          </cell>
          <cell r="N1493">
            <v>0</v>
          </cell>
          <cell r="O1493">
            <v>0</v>
          </cell>
          <cell r="P1493">
            <v>0</v>
          </cell>
        </row>
        <row r="1494">
          <cell r="C1494">
            <v>397</v>
          </cell>
          <cell r="F1494">
            <v>1</v>
          </cell>
          <cell r="G1494">
            <v>1</v>
          </cell>
          <cell r="H1494">
            <v>46254</v>
          </cell>
          <cell r="I1494">
            <v>0</v>
          </cell>
          <cell r="J1494">
            <v>10</v>
          </cell>
          <cell r="K1494">
            <v>0</v>
          </cell>
          <cell r="L1494">
            <v>0</v>
          </cell>
          <cell r="M1494">
            <v>0</v>
          </cell>
          <cell r="N1494">
            <v>0</v>
          </cell>
          <cell r="O1494">
            <v>0</v>
          </cell>
          <cell r="P1494">
            <v>0</v>
          </cell>
        </row>
        <row r="1495">
          <cell r="C1495">
            <v>413</v>
          </cell>
          <cell r="F1495">
            <v>1</v>
          </cell>
          <cell r="G1495">
            <v>1</v>
          </cell>
          <cell r="H1495">
            <v>46254</v>
          </cell>
          <cell r="I1495">
            <v>0</v>
          </cell>
          <cell r="J1495">
            <v>1</v>
          </cell>
          <cell r="K1495">
            <v>0</v>
          </cell>
          <cell r="L1495">
            <v>0</v>
          </cell>
          <cell r="M1495">
            <v>0</v>
          </cell>
          <cell r="N1495">
            <v>0</v>
          </cell>
          <cell r="O1495">
            <v>0</v>
          </cell>
          <cell r="P1495">
            <v>0</v>
          </cell>
        </row>
        <row r="1496">
          <cell r="C1496">
            <v>241</v>
          </cell>
          <cell r="F1496">
            <v>1</v>
          </cell>
          <cell r="G1496">
            <v>1</v>
          </cell>
          <cell r="H1496">
            <v>46254</v>
          </cell>
          <cell r="I1496">
            <v>0</v>
          </cell>
          <cell r="J1496">
            <v>1</v>
          </cell>
          <cell r="K1496">
            <v>0</v>
          </cell>
          <cell r="L1496">
            <v>0</v>
          </cell>
          <cell r="M1496">
            <v>0</v>
          </cell>
          <cell r="N1496">
            <v>0</v>
          </cell>
          <cell r="O1496">
            <v>0</v>
          </cell>
          <cell r="P1496">
            <v>0</v>
          </cell>
        </row>
        <row r="1497">
          <cell r="C1497">
            <v>29</v>
          </cell>
          <cell r="F1497">
            <v>1</v>
          </cell>
          <cell r="G1497">
            <v>1</v>
          </cell>
          <cell r="H1497">
            <v>46254</v>
          </cell>
          <cell r="I1497">
            <v>0</v>
          </cell>
          <cell r="J1497">
            <v>1</v>
          </cell>
          <cell r="K1497">
            <v>0</v>
          </cell>
          <cell r="L1497">
            <v>0</v>
          </cell>
          <cell r="M1497">
            <v>0</v>
          </cell>
          <cell r="N1497">
            <v>0</v>
          </cell>
          <cell r="O1497">
            <v>0</v>
          </cell>
          <cell r="P1497">
            <v>0</v>
          </cell>
        </row>
        <row r="1498">
          <cell r="C1498">
            <v>2</v>
          </cell>
          <cell r="F1498">
            <v>1</v>
          </cell>
          <cell r="G1498">
            <v>1</v>
          </cell>
          <cell r="H1498">
            <v>46254</v>
          </cell>
          <cell r="I1498">
            <v>0</v>
          </cell>
          <cell r="J1498">
            <v>4</v>
          </cell>
          <cell r="K1498">
            <v>0</v>
          </cell>
          <cell r="L1498">
            <v>0</v>
          </cell>
          <cell r="M1498">
            <v>0</v>
          </cell>
          <cell r="N1498">
            <v>0</v>
          </cell>
          <cell r="O1498">
            <v>0</v>
          </cell>
          <cell r="P1498">
            <v>0</v>
          </cell>
        </row>
        <row r="1499">
          <cell r="C1499">
            <v>51</v>
          </cell>
          <cell r="F1499">
            <v>1</v>
          </cell>
          <cell r="G1499">
            <v>1</v>
          </cell>
          <cell r="H1499">
            <v>46254</v>
          </cell>
          <cell r="I1499">
            <v>0</v>
          </cell>
          <cell r="J1499">
            <v>1</v>
          </cell>
          <cell r="K1499">
            <v>0</v>
          </cell>
          <cell r="L1499">
            <v>0</v>
          </cell>
          <cell r="M1499">
            <v>0</v>
          </cell>
          <cell r="N1499">
            <v>0</v>
          </cell>
          <cell r="O1499">
            <v>0</v>
          </cell>
          <cell r="P1499">
            <v>0</v>
          </cell>
        </row>
        <row r="1500">
          <cell r="C1500">
            <v>52</v>
          </cell>
          <cell r="F1500">
            <v>1</v>
          </cell>
          <cell r="G1500">
            <v>1</v>
          </cell>
          <cell r="H1500">
            <v>46254</v>
          </cell>
          <cell r="I1500">
            <v>0</v>
          </cell>
          <cell r="J1500">
            <v>1</v>
          </cell>
          <cell r="K1500">
            <v>0</v>
          </cell>
          <cell r="L1500">
            <v>0</v>
          </cell>
          <cell r="M1500">
            <v>0</v>
          </cell>
          <cell r="N1500">
            <v>0</v>
          </cell>
          <cell r="O1500">
            <v>0</v>
          </cell>
          <cell r="P1500">
            <v>0</v>
          </cell>
        </row>
        <row r="1501">
          <cell r="C1501">
            <v>13</v>
          </cell>
          <cell r="F1501">
            <v>1</v>
          </cell>
          <cell r="G1501">
            <v>1</v>
          </cell>
          <cell r="H1501">
            <v>46254</v>
          </cell>
          <cell r="I1501">
            <v>0</v>
          </cell>
          <cell r="J1501">
            <v>4</v>
          </cell>
          <cell r="K1501">
            <v>0</v>
          </cell>
          <cell r="L1501">
            <v>0</v>
          </cell>
          <cell r="M1501">
            <v>0</v>
          </cell>
          <cell r="N1501">
            <v>0</v>
          </cell>
          <cell r="O1501">
            <v>0</v>
          </cell>
          <cell r="P1501">
            <v>0</v>
          </cell>
        </row>
        <row r="1502">
          <cell r="C1502">
            <v>243</v>
          </cell>
          <cell r="F1502">
            <v>1</v>
          </cell>
          <cell r="G1502">
            <v>1</v>
          </cell>
          <cell r="H1502">
            <v>46254</v>
          </cell>
          <cell r="I1502">
            <v>0</v>
          </cell>
          <cell r="J1502">
            <v>1</v>
          </cell>
          <cell r="K1502">
            <v>0</v>
          </cell>
          <cell r="L1502">
            <v>0</v>
          </cell>
          <cell r="M1502">
            <v>0</v>
          </cell>
          <cell r="N1502">
            <v>0</v>
          </cell>
          <cell r="O1502">
            <v>0</v>
          </cell>
          <cell r="P1502">
            <v>0</v>
          </cell>
        </row>
        <row r="1503">
          <cell r="C1503">
            <v>177</v>
          </cell>
          <cell r="F1503">
            <v>1</v>
          </cell>
          <cell r="G1503">
            <v>1</v>
          </cell>
          <cell r="H1503">
            <v>46254</v>
          </cell>
          <cell r="I1503">
            <v>0</v>
          </cell>
          <cell r="J1503">
            <v>100</v>
          </cell>
          <cell r="K1503">
            <v>0</v>
          </cell>
          <cell r="L1503">
            <v>0</v>
          </cell>
          <cell r="M1503">
            <v>0</v>
          </cell>
          <cell r="N1503">
            <v>0</v>
          </cell>
          <cell r="O1503">
            <v>0</v>
          </cell>
          <cell r="P1503">
            <v>0</v>
          </cell>
        </row>
        <row r="1504">
          <cell r="C1504">
            <v>2</v>
          </cell>
          <cell r="F1504">
            <v>1</v>
          </cell>
          <cell r="G1504">
            <v>1</v>
          </cell>
          <cell r="H1504">
            <v>46255</v>
          </cell>
          <cell r="I1504">
            <v>0</v>
          </cell>
          <cell r="J1504">
            <v>4</v>
          </cell>
          <cell r="K1504">
            <v>0</v>
          </cell>
          <cell r="L1504">
            <v>0</v>
          </cell>
          <cell r="M1504">
            <v>0</v>
          </cell>
          <cell r="N1504">
            <v>0</v>
          </cell>
          <cell r="O1504">
            <v>0</v>
          </cell>
          <cell r="P1504">
            <v>0</v>
          </cell>
        </row>
        <row r="1505">
          <cell r="C1505">
            <v>16</v>
          </cell>
          <cell r="F1505">
            <v>1</v>
          </cell>
          <cell r="G1505">
            <v>1</v>
          </cell>
          <cell r="H1505">
            <v>46255</v>
          </cell>
          <cell r="I1505">
            <v>0</v>
          </cell>
          <cell r="J1505">
            <v>8</v>
          </cell>
          <cell r="K1505">
            <v>0</v>
          </cell>
          <cell r="L1505">
            <v>0</v>
          </cell>
          <cell r="M1505">
            <v>0</v>
          </cell>
          <cell r="N1505">
            <v>0</v>
          </cell>
          <cell r="O1505">
            <v>0</v>
          </cell>
          <cell r="P1505">
            <v>0</v>
          </cell>
        </row>
        <row r="1506">
          <cell r="C1506">
            <v>54</v>
          </cell>
          <cell r="F1506">
            <v>1</v>
          </cell>
          <cell r="G1506">
            <v>1</v>
          </cell>
          <cell r="H1506">
            <v>46255</v>
          </cell>
          <cell r="I1506">
            <v>0</v>
          </cell>
          <cell r="J1506">
            <v>2</v>
          </cell>
          <cell r="K1506">
            <v>0</v>
          </cell>
          <cell r="L1506">
            <v>0</v>
          </cell>
          <cell r="M1506">
            <v>0</v>
          </cell>
          <cell r="N1506">
            <v>0</v>
          </cell>
          <cell r="O1506">
            <v>0</v>
          </cell>
          <cell r="P1506">
            <v>0</v>
          </cell>
        </row>
        <row r="1507">
          <cell r="C1507">
            <v>13</v>
          </cell>
          <cell r="F1507">
            <v>1</v>
          </cell>
          <cell r="G1507">
            <v>1</v>
          </cell>
          <cell r="H1507">
            <v>46255</v>
          </cell>
          <cell r="I1507">
            <v>0</v>
          </cell>
          <cell r="J1507">
            <v>4</v>
          </cell>
          <cell r="K1507">
            <v>0</v>
          </cell>
          <cell r="L1507">
            <v>0</v>
          </cell>
          <cell r="M1507">
            <v>0</v>
          </cell>
          <cell r="N1507">
            <v>0</v>
          </cell>
          <cell r="O1507">
            <v>0</v>
          </cell>
          <cell r="P1507">
            <v>0</v>
          </cell>
        </row>
        <row r="1508">
          <cell r="C1508">
            <v>52</v>
          </cell>
          <cell r="F1508">
            <v>1</v>
          </cell>
          <cell r="G1508">
            <v>1</v>
          </cell>
          <cell r="H1508">
            <v>46255</v>
          </cell>
          <cell r="I1508">
            <v>0</v>
          </cell>
          <cell r="J1508">
            <v>2</v>
          </cell>
          <cell r="K1508">
            <v>0</v>
          </cell>
          <cell r="L1508">
            <v>0</v>
          </cell>
          <cell r="M1508">
            <v>0</v>
          </cell>
          <cell r="N1508">
            <v>0</v>
          </cell>
          <cell r="O1508">
            <v>0</v>
          </cell>
          <cell r="P1508">
            <v>0</v>
          </cell>
        </row>
        <row r="1509">
          <cell r="C1509">
            <v>69</v>
          </cell>
          <cell r="F1509">
            <v>1</v>
          </cell>
          <cell r="G1509">
            <v>1</v>
          </cell>
          <cell r="H1509">
            <v>46255</v>
          </cell>
          <cell r="I1509">
            <v>0</v>
          </cell>
          <cell r="J1509">
            <v>1</v>
          </cell>
          <cell r="K1509">
            <v>0</v>
          </cell>
          <cell r="L1509">
            <v>0</v>
          </cell>
          <cell r="M1509">
            <v>0</v>
          </cell>
          <cell r="N1509">
            <v>0</v>
          </cell>
          <cell r="O1509">
            <v>0</v>
          </cell>
          <cell r="P1509">
            <v>0</v>
          </cell>
        </row>
        <row r="1510">
          <cell r="C1510">
            <v>384</v>
          </cell>
          <cell r="F1510">
            <v>1</v>
          </cell>
          <cell r="G1510">
            <v>1</v>
          </cell>
          <cell r="H1510">
            <v>46255</v>
          </cell>
          <cell r="I1510">
            <v>0</v>
          </cell>
          <cell r="J1510">
            <v>1</v>
          </cell>
          <cell r="K1510">
            <v>0</v>
          </cell>
          <cell r="L1510">
            <v>0</v>
          </cell>
          <cell r="M1510">
            <v>0</v>
          </cell>
          <cell r="N1510">
            <v>0</v>
          </cell>
          <cell r="O1510">
            <v>0</v>
          </cell>
          <cell r="P1510">
            <v>0</v>
          </cell>
        </row>
        <row r="1511">
          <cell r="C1511">
            <v>385</v>
          </cell>
          <cell r="F1511">
            <v>1</v>
          </cell>
          <cell r="G1511">
            <v>1</v>
          </cell>
          <cell r="H1511">
            <v>46255</v>
          </cell>
          <cell r="I1511">
            <v>0</v>
          </cell>
          <cell r="J1511">
            <v>2</v>
          </cell>
          <cell r="K1511">
            <v>0</v>
          </cell>
          <cell r="L1511">
            <v>0</v>
          </cell>
          <cell r="M1511">
            <v>0</v>
          </cell>
          <cell r="N1511">
            <v>0</v>
          </cell>
          <cell r="O1511">
            <v>0</v>
          </cell>
          <cell r="P1511">
            <v>0</v>
          </cell>
        </row>
        <row r="1512">
          <cell r="C1512">
            <v>415</v>
          </cell>
          <cell r="F1512">
            <v>1</v>
          </cell>
          <cell r="G1512">
            <v>1</v>
          </cell>
          <cell r="H1512">
            <v>46255</v>
          </cell>
          <cell r="I1512">
            <v>0</v>
          </cell>
          <cell r="J1512">
            <v>1</v>
          </cell>
          <cell r="K1512">
            <v>0</v>
          </cell>
          <cell r="L1512">
            <v>0</v>
          </cell>
          <cell r="M1512">
            <v>0</v>
          </cell>
          <cell r="N1512">
            <v>0</v>
          </cell>
          <cell r="O1512">
            <v>0</v>
          </cell>
          <cell r="P1512">
            <v>0</v>
          </cell>
        </row>
        <row r="1513">
          <cell r="C1513">
            <v>413</v>
          </cell>
          <cell r="F1513">
            <v>1</v>
          </cell>
          <cell r="G1513">
            <v>1</v>
          </cell>
          <cell r="H1513">
            <v>46255</v>
          </cell>
          <cell r="I1513">
            <v>0</v>
          </cell>
          <cell r="J1513">
            <v>2</v>
          </cell>
          <cell r="K1513">
            <v>0</v>
          </cell>
          <cell r="L1513">
            <v>0</v>
          </cell>
          <cell r="M1513">
            <v>0</v>
          </cell>
          <cell r="N1513">
            <v>0</v>
          </cell>
          <cell r="O1513">
            <v>0</v>
          </cell>
          <cell r="P1513">
            <v>0</v>
          </cell>
        </row>
        <row r="1514">
          <cell r="C1514">
            <v>411</v>
          </cell>
          <cell r="F1514">
            <v>1</v>
          </cell>
          <cell r="G1514">
            <v>1</v>
          </cell>
          <cell r="H1514">
            <v>46255</v>
          </cell>
          <cell r="I1514">
            <v>0</v>
          </cell>
          <cell r="J1514">
            <v>1</v>
          </cell>
          <cell r="K1514">
            <v>0</v>
          </cell>
          <cell r="L1514">
            <v>0</v>
          </cell>
          <cell r="M1514">
            <v>0</v>
          </cell>
          <cell r="N1514">
            <v>0</v>
          </cell>
          <cell r="O1514">
            <v>0</v>
          </cell>
          <cell r="P1514">
            <v>0</v>
          </cell>
        </row>
        <row r="1515">
          <cell r="C1515">
            <v>408</v>
          </cell>
          <cell r="F1515">
            <v>1</v>
          </cell>
          <cell r="G1515">
            <v>1</v>
          </cell>
          <cell r="H1515">
            <v>46255</v>
          </cell>
          <cell r="I1515">
            <v>0</v>
          </cell>
          <cell r="J1515">
            <v>1</v>
          </cell>
          <cell r="K1515">
            <v>0</v>
          </cell>
          <cell r="L1515">
            <v>0</v>
          </cell>
          <cell r="M1515">
            <v>0</v>
          </cell>
          <cell r="N1515">
            <v>0</v>
          </cell>
          <cell r="O1515">
            <v>0</v>
          </cell>
          <cell r="P1515">
            <v>0</v>
          </cell>
        </row>
        <row r="1516">
          <cell r="C1516">
            <v>390</v>
          </cell>
          <cell r="F1516">
            <v>1</v>
          </cell>
          <cell r="G1516">
            <v>1</v>
          </cell>
          <cell r="H1516">
            <v>46255</v>
          </cell>
          <cell r="I1516">
            <v>0</v>
          </cell>
          <cell r="J1516">
            <v>10</v>
          </cell>
          <cell r="K1516">
            <v>0</v>
          </cell>
          <cell r="L1516">
            <v>0</v>
          </cell>
          <cell r="M1516">
            <v>0</v>
          </cell>
          <cell r="N1516">
            <v>0</v>
          </cell>
          <cell r="O1516">
            <v>0</v>
          </cell>
          <cell r="P1516">
            <v>0</v>
          </cell>
        </row>
        <row r="1517">
          <cell r="C1517">
            <v>160</v>
          </cell>
          <cell r="F1517">
            <v>1</v>
          </cell>
          <cell r="G1517">
            <v>1</v>
          </cell>
          <cell r="H1517">
            <v>46255</v>
          </cell>
          <cell r="I1517">
            <v>0</v>
          </cell>
          <cell r="J1517">
            <v>2</v>
          </cell>
          <cell r="K1517">
            <v>0</v>
          </cell>
          <cell r="L1517">
            <v>0</v>
          </cell>
          <cell r="M1517">
            <v>0</v>
          </cell>
          <cell r="N1517">
            <v>0</v>
          </cell>
          <cell r="O1517">
            <v>0</v>
          </cell>
          <cell r="P1517">
            <v>0</v>
          </cell>
        </row>
        <row r="1518">
          <cell r="C1518">
            <v>187</v>
          </cell>
          <cell r="F1518">
            <v>1</v>
          </cell>
          <cell r="G1518">
            <v>1</v>
          </cell>
          <cell r="H1518">
            <v>46255</v>
          </cell>
          <cell r="I1518">
            <v>0</v>
          </cell>
          <cell r="J1518">
            <v>4</v>
          </cell>
          <cell r="K1518">
            <v>0</v>
          </cell>
          <cell r="L1518">
            <v>0</v>
          </cell>
          <cell r="M1518">
            <v>0</v>
          </cell>
          <cell r="N1518">
            <v>0</v>
          </cell>
          <cell r="O1518">
            <v>0</v>
          </cell>
          <cell r="P1518">
            <v>0</v>
          </cell>
        </row>
        <row r="1519">
          <cell r="C1519">
            <v>5</v>
          </cell>
          <cell r="F1519">
            <v>1</v>
          </cell>
          <cell r="G1519">
            <v>1</v>
          </cell>
          <cell r="H1519">
            <v>46255</v>
          </cell>
          <cell r="I1519">
            <v>0</v>
          </cell>
          <cell r="J1519">
            <v>4</v>
          </cell>
          <cell r="K1519">
            <v>0</v>
          </cell>
          <cell r="L1519">
            <v>0</v>
          </cell>
          <cell r="M1519">
            <v>0</v>
          </cell>
          <cell r="N1519">
            <v>0</v>
          </cell>
          <cell r="O1519">
            <v>0</v>
          </cell>
          <cell r="P1519">
            <v>0</v>
          </cell>
        </row>
        <row r="1520">
          <cell r="C1520">
            <v>6</v>
          </cell>
          <cell r="F1520">
            <v>1</v>
          </cell>
          <cell r="G1520">
            <v>1</v>
          </cell>
          <cell r="H1520">
            <v>46255</v>
          </cell>
          <cell r="I1520">
            <v>0</v>
          </cell>
          <cell r="J1520">
            <v>4</v>
          </cell>
          <cell r="K1520">
            <v>0</v>
          </cell>
          <cell r="L1520">
            <v>0</v>
          </cell>
          <cell r="M1520">
            <v>0</v>
          </cell>
          <cell r="N1520">
            <v>0</v>
          </cell>
          <cell r="O1520">
            <v>0</v>
          </cell>
          <cell r="P1520">
            <v>0</v>
          </cell>
        </row>
        <row r="1521">
          <cell r="C1521">
            <v>41</v>
          </cell>
          <cell r="F1521">
            <v>1</v>
          </cell>
          <cell r="G1521">
            <v>1</v>
          </cell>
          <cell r="H1521">
            <v>46255</v>
          </cell>
          <cell r="I1521">
            <v>0</v>
          </cell>
          <cell r="J1521">
            <v>1</v>
          </cell>
          <cell r="K1521">
            <v>0</v>
          </cell>
          <cell r="L1521">
            <v>0</v>
          </cell>
          <cell r="M1521">
            <v>0</v>
          </cell>
          <cell r="N1521">
            <v>0</v>
          </cell>
          <cell r="O1521">
            <v>0</v>
          </cell>
          <cell r="P1521">
            <v>0</v>
          </cell>
        </row>
        <row r="1522">
          <cell r="C1522">
            <v>39</v>
          </cell>
          <cell r="F1522">
            <v>1</v>
          </cell>
          <cell r="G1522">
            <v>1</v>
          </cell>
          <cell r="H1522">
            <v>46255</v>
          </cell>
          <cell r="I1522">
            <v>0</v>
          </cell>
          <cell r="J1522">
            <v>1</v>
          </cell>
          <cell r="K1522">
            <v>0</v>
          </cell>
          <cell r="L1522">
            <v>0</v>
          </cell>
          <cell r="M1522">
            <v>0</v>
          </cell>
          <cell r="N1522">
            <v>0</v>
          </cell>
          <cell r="O1522">
            <v>0</v>
          </cell>
          <cell r="P1522">
            <v>0</v>
          </cell>
        </row>
        <row r="1523">
          <cell r="C1523">
            <v>66</v>
          </cell>
          <cell r="F1523">
            <v>1</v>
          </cell>
          <cell r="G1523">
            <v>1</v>
          </cell>
          <cell r="H1523">
            <v>46255</v>
          </cell>
          <cell r="I1523">
            <v>0</v>
          </cell>
          <cell r="J1523">
            <v>1</v>
          </cell>
          <cell r="K1523">
            <v>0</v>
          </cell>
          <cell r="L1523">
            <v>0</v>
          </cell>
          <cell r="M1523">
            <v>0</v>
          </cell>
          <cell r="N1523">
            <v>0</v>
          </cell>
          <cell r="O1523">
            <v>0</v>
          </cell>
          <cell r="P1523">
            <v>0</v>
          </cell>
        </row>
        <row r="1524">
          <cell r="C1524">
            <v>243</v>
          </cell>
          <cell r="F1524">
            <v>1</v>
          </cell>
          <cell r="G1524">
            <v>1</v>
          </cell>
          <cell r="H1524">
            <v>46255</v>
          </cell>
          <cell r="I1524">
            <v>0</v>
          </cell>
          <cell r="J1524">
            <v>1</v>
          </cell>
          <cell r="K1524">
            <v>0</v>
          </cell>
          <cell r="L1524">
            <v>0</v>
          </cell>
          <cell r="M1524">
            <v>0</v>
          </cell>
          <cell r="N1524">
            <v>0</v>
          </cell>
          <cell r="O1524">
            <v>0</v>
          </cell>
          <cell r="P1524">
            <v>0</v>
          </cell>
        </row>
        <row r="1525">
          <cell r="C1525">
            <v>366</v>
          </cell>
          <cell r="F1525">
            <v>1</v>
          </cell>
          <cell r="G1525">
            <v>1</v>
          </cell>
          <cell r="H1525">
            <v>46255</v>
          </cell>
          <cell r="I1525">
            <v>0</v>
          </cell>
          <cell r="J1525">
            <v>1</v>
          </cell>
          <cell r="K1525">
            <v>0</v>
          </cell>
          <cell r="L1525">
            <v>0</v>
          </cell>
          <cell r="M1525">
            <v>0</v>
          </cell>
          <cell r="N1525">
            <v>0</v>
          </cell>
          <cell r="O1525">
            <v>0</v>
          </cell>
          <cell r="P1525">
            <v>0</v>
          </cell>
        </row>
        <row r="1526">
          <cell r="C1526">
            <v>396</v>
          </cell>
          <cell r="F1526">
            <v>1</v>
          </cell>
          <cell r="G1526">
            <v>1</v>
          </cell>
          <cell r="H1526">
            <v>46255</v>
          </cell>
          <cell r="I1526">
            <v>0</v>
          </cell>
          <cell r="J1526">
            <v>1</v>
          </cell>
          <cell r="K1526">
            <v>0</v>
          </cell>
          <cell r="L1526">
            <v>0</v>
          </cell>
          <cell r="M1526">
            <v>0</v>
          </cell>
          <cell r="N1526">
            <v>0</v>
          </cell>
          <cell r="O1526">
            <v>0</v>
          </cell>
          <cell r="P1526">
            <v>0</v>
          </cell>
        </row>
        <row r="1527">
          <cell r="C1527">
            <v>170</v>
          </cell>
          <cell r="F1527">
            <v>1</v>
          </cell>
          <cell r="G1527">
            <v>1</v>
          </cell>
          <cell r="H1527">
            <v>46255</v>
          </cell>
          <cell r="I1527">
            <v>0</v>
          </cell>
          <cell r="J1527">
            <v>1</v>
          </cell>
          <cell r="K1527">
            <v>0</v>
          </cell>
          <cell r="L1527">
            <v>0</v>
          </cell>
          <cell r="M1527">
            <v>0</v>
          </cell>
          <cell r="N1527">
            <v>0</v>
          </cell>
          <cell r="O1527">
            <v>0</v>
          </cell>
          <cell r="P1527">
            <v>0</v>
          </cell>
        </row>
        <row r="1528">
          <cell r="C1528">
            <v>305</v>
          </cell>
          <cell r="F1528">
            <v>1</v>
          </cell>
          <cell r="G1528">
            <v>1</v>
          </cell>
          <cell r="H1528">
            <v>46255</v>
          </cell>
          <cell r="I1528">
            <v>0</v>
          </cell>
          <cell r="J1528">
            <v>500</v>
          </cell>
          <cell r="K1528">
            <v>0</v>
          </cell>
          <cell r="L1528">
            <v>0</v>
          </cell>
          <cell r="M1528">
            <v>0</v>
          </cell>
          <cell r="N1528">
            <v>0</v>
          </cell>
          <cell r="O1528">
            <v>0</v>
          </cell>
          <cell r="P1528">
            <v>0</v>
          </cell>
        </row>
        <row r="1529">
          <cell r="C1529">
            <v>293</v>
          </cell>
          <cell r="F1529">
            <v>1</v>
          </cell>
          <cell r="G1529">
            <v>1</v>
          </cell>
          <cell r="H1529">
            <v>46255</v>
          </cell>
          <cell r="I1529">
            <v>0</v>
          </cell>
          <cell r="J1529">
            <v>10</v>
          </cell>
          <cell r="K1529">
            <v>0</v>
          </cell>
          <cell r="L1529">
            <v>0</v>
          </cell>
          <cell r="M1529">
            <v>0</v>
          </cell>
          <cell r="N1529">
            <v>0</v>
          </cell>
          <cell r="O1529">
            <v>0</v>
          </cell>
          <cell r="P1529">
            <v>0</v>
          </cell>
        </row>
        <row r="1530">
          <cell r="C1530">
            <v>177</v>
          </cell>
          <cell r="F1530">
            <v>1</v>
          </cell>
          <cell r="G1530">
            <v>1</v>
          </cell>
          <cell r="H1530">
            <v>46255</v>
          </cell>
          <cell r="I1530">
            <v>0</v>
          </cell>
          <cell r="J1530">
            <v>100</v>
          </cell>
          <cell r="K1530">
            <v>0</v>
          </cell>
          <cell r="L1530">
            <v>0</v>
          </cell>
          <cell r="M1530">
            <v>0</v>
          </cell>
          <cell r="N1530">
            <v>0</v>
          </cell>
          <cell r="O1530">
            <v>0</v>
          </cell>
          <cell r="P1530">
            <v>0</v>
          </cell>
        </row>
        <row r="1531">
          <cell r="C1531">
            <v>425</v>
          </cell>
          <cell r="F1531">
            <v>1</v>
          </cell>
          <cell r="G1531">
            <v>1</v>
          </cell>
          <cell r="H1531">
            <v>46255</v>
          </cell>
          <cell r="I1531">
            <v>0</v>
          </cell>
          <cell r="J1531">
            <v>3</v>
          </cell>
          <cell r="K1531">
            <v>0</v>
          </cell>
          <cell r="L1531">
            <v>0</v>
          </cell>
          <cell r="M1531">
            <v>0</v>
          </cell>
          <cell r="N1531">
            <v>0</v>
          </cell>
          <cell r="O1531">
            <v>0</v>
          </cell>
          <cell r="P1531">
            <v>0</v>
          </cell>
        </row>
        <row r="1532">
          <cell r="C1532">
            <v>169</v>
          </cell>
          <cell r="F1532">
            <v>1</v>
          </cell>
          <cell r="G1532">
            <v>1</v>
          </cell>
          <cell r="H1532">
            <v>46255</v>
          </cell>
          <cell r="I1532">
            <v>0</v>
          </cell>
          <cell r="J1532">
            <v>1</v>
          </cell>
          <cell r="K1532">
            <v>0</v>
          </cell>
          <cell r="L1532">
            <v>0</v>
          </cell>
          <cell r="M1532">
            <v>0</v>
          </cell>
          <cell r="N1532">
            <v>0</v>
          </cell>
          <cell r="O1532">
            <v>0</v>
          </cell>
          <cell r="P1532">
            <v>0</v>
          </cell>
        </row>
        <row r="1533">
          <cell r="C1533">
            <v>416</v>
          </cell>
          <cell r="F1533">
            <v>1</v>
          </cell>
          <cell r="G1533">
            <v>1</v>
          </cell>
          <cell r="H1533">
            <v>46255</v>
          </cell>
          <cell r="I1533">
            <v>0</v>
          </cell>
          <cell r="J1533">
            <v>1</v>
          </cell>
          <cell r="K1533">
            <v>0</v>
          </cell>
          <cell r="L1533">
            <v>0</v>
          </cell>
          <cell r="M1533">
            <v>0</v>
          </cell>
          <cell r="N1533">
            <v>0</v>
          </cell>
          <cell r="O1533">
            <v>0</v>
          </cell>
          <cell r="P1533">
            <v>0</v>
          </cell>
        </row>
        <row r="1534">
          <cell r="C1534">
            <v>370</v>
          </cell>
          <cell r="F1534">
            <v>1</v>
          </cell>
          <cell r="G1534">
            <v>1</v>
          </cell>
          <cell r="H1534">
            <v>46255</v>
          </cell>
          <cell r="I1534">
            <v>0</v>
          </cell>
          <cell r="J1534">
            <v>1</v>
          </cell>
          <cell r="K1534">
            <v>0</v>
          </cell>
          <cell r="L1534">
            <v>0</v>
          </cell>
          <cell r="M1534">
            <v>0</v>
          </cell>
          <cell r="N1534">
            <v>0</v>
          </cell>
          <cell r="O1534">
            <v>0</v>
          </cell>
          <cell r="P1534">
            <v>0</v>
          </cell>
        </row>
        <row r="1535">
          <cell r="C1535">
            <v>101</v>
          </cell>
          <cell r="F1535">
            <v>1</v>
          </cell>
          <cell r="G1535">
            <v>1</v>
          </cell>
          <cell r="H1535">
            <v>46255</v>
          </cell>
          <cell r="I1535">
            <v>0</v>
          </cell>
          <cell r="J1535">
            <v>500</v>
          </cell>
          <cell r="K1535">
            <v>0</v>
          </cell>
          <cell r="L1535">
            <v>0</v>
          </cell>
          <cell r="M1535">
            <v>0</v>
          </cell>
          <cell r="N1535">
            <v>0</v>
          </cell>
          <cell r="O1535">
            <v>0</v>
          </cell>
          <cell r="P1535">
            <v>0</v>
          </cell>
        </row>
        <row r="1536">
          <cell r="C1536">
            <v>145</v>
          </cell>
          <cell r="F1536">
            <v>1</v>
          </cell>
          <cell r="G1536">
            <v>1</v>
          </cell>
          <cell r="H1536">
            <v>46255</v>
          </cell>
          <cell r="I1536">
            <v>0</v>
          </cell>
          <cell r="J1536">
            <v>1</v>
          </cell>
          <cell r="K1536">
            <v>0</v>
          </cell>
          <cell r="L1536">
            <v>0</v>
          </cell>
          <cell r="M1536">
            <v>0</v>
          </cell>
          <cell r="N1536">
            <v>0</v>
          </cell>
          <cell r="O1536">
            <v>0</v>
          </cell>
          <cell r="P1536">
            <v>0</v>
          </cell>
        </row>
        <row r="1537">
          <cell r="C1537">
            <v>433</v>
          </cell>
          <cell r="F1537">
            <v>1</v>
          </cell>
          <cell r="G1537">
            <v>1</v>
          </cell>
          <cell r="H1537">
            <v>46255</v>
          </cell>
          <cell r="I1537">
            <v>0</v>
          </cell>
          <cell r="J1537">
            <v>5</v>
          </cell>
          <cell r="K1537">
            <v>0</v>
          </cell>
          <cell r="L1537">
            <v>0</v>
          </cell>
          <cell r="M1537">
            <v>0</v>
          </cell>
          <cell r="N1537">
            <v>0</v>
          </cell>
          <cell r="O1537">
            <v>0</v>
          </cell>
          <cell r="P1537">
            <v>0</v>
          </cell>
        </row>
        <row r="1538">
          <cell r="C1538">
            <v>386</v>
          </cell>
          <cell r="F1538">
            <v>1</v>
          </cell>
          <cell r="G1538">
            <v>1</v>
          </cell>
          <cell r="H1538">
            <v>46255</v>
          </cell>
          <cell r="I1538">
            <v>0</v>
          </cell>
          <cell r="J1538">
            <v>1</v>
          </cell>
          <cell r="K1538">
            <v>0</v>
          </cell>
          <cell r="L1538">
            <v>0</v>
          </cell>
          <cell r="M1538">
            <v>0</v>
          </cell>
          <cell r="N1538">
            <v>0</v>
          </cell>
          <cell r="O1538">
            <v>0</v>
          </cell>
          <cell r="P1538">
            <v>0</v>
          </cell>
        </row>
        <row r="1539">
          <cell r="C1539">
            <v>392</v>
          </cell>
          <cell r="F1539">
            <v>1</v>
          </cell>
          <cell r="G1539">
            <v>1</v>
          </cell>
          <cell r="H1539">
            <v>46256</v>
          </cell>
          <cell r="I1539">
            <v>0</v>
          </cell>
          <cell r="J1539">
            <v>1</v>
          </cell>
          <cell r="K1539">
            <v>0</v>
          </cell>
          <cell r="L1539">
            <v>0</v>
          </cell>
          <cell r="M1539">
            <v>0</v>
          </cell>
          <cell r="N1539">
            <v>0</v>
          </cell>
          <cell r="O1539">
            <v>0</v>
          </cell>
          <cell r="P1539">
            <v>0</v>
          </cell>
        </row>
        <row r="1540">
          <cell r="C1540">
            <v>426</v>
          </cell>
          <cell r="F1540">
            <v>1</v>
          </cell>
          <cell r="G1540">
            <v>1</v>
          </cell>
          <cell r="H1540">
            <v>46256</v>
          </cell>
          <cell r="I1540">
            <v>0</v>
          </cell>
          <cell r="J1540">
            <v>1</v>
          </cell>
          <cell r="K1540">
            <v>0</v>
          </cell>
          <cell r="L1540">
            <v>0</v>
          </cell>
          <cell r="M1540">
            <v>0</v>
          </cell>
          <cell r="N1540">
            <v>0</v>
          </cell>
          <cell r="O1540">
            <v>0</v>
          </cell>
          <cell r="P1540">
            <v>0</v>
          </cell>
        </row>
        <row r="1541">
          <cell r="C1541">
            <v>399</v>
          </cell>
          <cell r="F1541">
            <v>1</v>
          </cell>
          <cell r="G1541">
            <v>1</v>
          </cell>
          <cell r="H1541">
            <v>46256</v>
          </cell>
          <cell r="I1541">
            <v>0</v>
          </cell>
          <cell r="J1541">
            <v>5</v>
          </cell>
          <cell r="K1541">
            <v>0</v>
          </cell>
          <cell r="L1541">
            <v>0</v>
          </cell>
          <cell r="M1541">
            <v>0</v>
          </cell>
          <cell r="N1541">
            <v>0</v>
          </cell>
          <cell r="O1541">
            <v>0</v>
          </cell>
          <cell r="P1541">
            <v>0</v>
          </cell>
        </row>
        <row r="1542">
          <cell r="C1542">
            <v>83</v>
          </cell>
          <cell r="F1542">
            <v>1</v>
          </cell>
          <cell r="G1542">
            <v>1</v>
          </cell>
          <cell r="H1542">
            <v>46256</v>
          </cell>
          <cell r="I1542">
            <v>0</v>
          </cell>
          <cell r="J1542">
            <v>2</v>
          </cell>
          <cell r="K1542">
            <v>0</v>
          </cell>
          <cell r="L1542">
            <v>0</v>
          </cell>
          <cell r="M1542">
            <v>0</v>
          </cell>
          <cell r="N1542">
            <v>0</v>
          </cell>
          <cell r="O1542">
            <v>0</v>
          </cell>
          <cell r="P1542">
            <v>0</v>
          </cell>
        </row>
        <row r="1543">
          <cell r="C1543">
            <v>377</v>
          </cell>
          <cell r="F1543">
            <v>1</v>
          </cell>
          <cell r="G1543">
            <v>1</v>
          </cell>
          <cell r="H1543">
            <v>46256</v>
          </cell>
          <cell r="I1543">
            <v>0</v>
          </cell>
          <cell r="J1543">
            <v>5</v>
          </cell>
          <cell r="K1543">
            <v>0</v>
          </cell>
          <cell r="L1543">
            <v>0</v>
          </cell>
          <cell r="M1543">
            <v>0</v>
          </cell>
          <cell r="N1543">
            <v>0</v>
          </cell>
          <cell r="O1543">
            <v>0</v>
          </cell>
          <cell r="P1543">
            <v>0</v>
          </cell>
        </row>
        <row r="1544">
          <cell r="C1544">
            <v>77</v>
          </cell>
          <cell r="F1544">
            <v>1</v>
          </cell>
          <cell r="G1544">
            <v>1</v>
          </cell>
          <cell r="H1544">
            <v>46256</v>
          </cell>
          <cell r="I1544">
            <v>0</v>
          </cell>
          <cell r="J1544">
            <v>10</v>
          </cell>
          <cell r="K1544">
            <v>0</v>
          </cell>
          <cell r="L1544">
            <v>0</v>
          </cell>
          <cell r="M1544">
            <v>0</v>
          </cell>
          <cell r="N1544">
            <v>0</v>
          </cell>
          <cell r="O1544">
            <v>0</v>
          </cell>
          <cell r="P1544">
            <v>0</v>
          </cell>
        </row>
        <row r="1545">
          <cell r="C1545">
            <v>99</v>
          </cell>
          <cell r="F1545">
            <v>1</v>
          </cell>
          <cell r="G1545">
            <v>1</v>
          </cell>
          <cell r="H1545">
            <v>46256</v>
          </cell>
          <cell r="I1545">
            <v>0</v>
          </cell>
          <cell r="J1545">
            <v>1</v>
          </cell>
          <cell r="K1545">
            <v>0</v>
          </cell>
          <cell r="L1545">
            <v>0</v>
          </cell>
          <cell r="M1545">
            <v>0</v>
          </cell>
          <cell r="N1545">
            <v>0</v>
          </cell>
          <cell r="O1545">
            <v>0</v>
          </cell>
          <cell r="P1545">
            <v>0</v>
          </cell>
        </row>
        <row r="1546">
          <cell r="C1546">
            <v>403</v>
          </cell>
          <cell r="F1546">
            <v>1</v>
          </cell>
          <cell r="G1546">
            <v>1</v>
          </cell>
          <cell r="H1546">
            <v>46256</v>
          </cell>
          <cell r="I1546">
            <v>0</v>
          </cell>
          <cell r="J1546">
            <v>2</v>
          </cell>
          <cell r="K1546">
            <v>0</v>
          </cell>
          <cell r="L1546">
            <v>0</v>
          </cell>
          <cell r="M1546">
            <v>0</v>
          </cell>
          <cell r="N1546">
            <v>0</v>
          </cell>
          <cell r="O1546">
            <v>0</v>
          </cell>
          <cell r="P1546">
            <v>0</v>
          </cell>
        </row>
        <row r="1547">
          <cell r="C1547">
            <v>394</v>
          </cell>
          <cell r="F1547">
            <v>1</v>
          </cell>
          <cell r="G1547">
            <v>1</v>
          </cell>
          <cell r="H1547">
            <v>46256</v>
          </cell>
          <cell r="I1547">
            <v>0</v>
          </cell>
          <cell r="J1547">
            <v>1</v>
          </cell>
          <cell r="K1547">
            <v>0</v>
          </cell>
          <cell r="L1547">
            <v>0</v>
          </cell>
          <cell r="M1547">
            <v>0</v>
          </cell>
          <cell r="N1547">
            <v>0</v>
          </cell>
          <cell r="O1547">
            <v>0</v>
          </cell>
          <cell r="P1547">
            <v>0</v>
          </cell>
        </row>
        <row r="1548">
          <cell r="C1548">
            <v>380</v>
          </cell>
          <cell r="F1548">
            <v>1</v>
          </cell>
          <cell r="G1548">
            <v>1</v>
          </cell>
          <cell r="H1548">
            <v>46256</v>
          </cell>
          <cell r="I1548">
            <v>0</v>
          </cell>
          <cell r="J1548">
            <v>8</v>
          </cell>
          <cell r="K1548">
            <v>0</v>
          </cell>
          <cell r="L1548">
            <v>0</v>
          </cell>
          <cell r="M1548">
            <v>0</v>
          </cell>
          <cell r="N1548">
            <v>0</v>
          </cell>
          <cell r="O1548">
            <v>0</v>
          </cell>
          <cell r="P1548">
            <v>0</v>
          </cell>
        </row>
        <row r="1549">
          <cell r="C1549">
            <v>108</v>
          </cell>
          <cell r="F1549">
            <v>1</v>
          </cell>
          <cell r="G1549">
            <v>1</v>
          </cell>
          <cell r="H1549">
            <v>46256</v>
          </cell>
          <cell r="I1549">
            <v>0</v>
          </cell>
          <cell r="J1549">
            <v>1</v>
          </cell>
          <cell r="K1549">
            <v>0</v>
          </cell>
          <cell r="L1549">
            <v>0</v>
          </cell>
          <cell r="M1549">
            <v>0</v>
          </cell>
          <cell r="N1549">
            <v>0</v>
          </cell>
          <cell r="O1549">
            <v>0</v>
          </cell>
          <cell r="P1549">
            <v>0</v>
          </cell>
        </row>
        <row r="1550">
          <cell r="C1550">
            <v>366</v>
          </cell>
          <cell r="F1550">
            <v>1</v>
          </cell>
          <cell r="G1550">
            <v>1</v>
          </cell>
          <cell r="H1550">
            <v>46256</v>
          </cell>
          <cell r="I1550">
            <v>0</v>
          </cell>
          <cell r="J1550">
            <v>3</v>
          </cell>
          <cell r="K1550">
            <v>0</v>
          </cell>
          <cell r="L1550">
            <v>0</v>
          </cell>
          <cell r="M1550">
            <v>0</v>
          </cell>
          <cell r="N1550">
            <v>0</v>
          </cell>
          <cell r="O1550">
            <v>0</v>
          </cell>
          <cell r="P1550">
            <v>0</v>
          </cell>
        </row>
        <row r="1551">
          <cell r="C1551">
            <v>276</v>
          </cell>
          <cell r="F1551">
            <v>1</v>
          </cell>
          <cell r="G1551">
            <v>1</v>
          </cell>
          <cell r="H1551">
            <v>46256</v>
          </cell>
          <cell r="I1551">
            <v>0</v>
          </cell>
          <cell r="J1551">
            <v>2</v>
          </cell>
          <cell r="K1551">
            <v>0</v>
          </cell>
          <cell r="L1551">
            <v>0</v>
          </cell>
          <cell r="M1551">
            <v>0</v>
          </cell>
          <cell r="N1551">
            <v>0</v>
          </cell>
          <cell r="O1551">
            <v>0</v>
          </cell>
          <cell r="P1551">
            <v>0</v>
          </cell>
        </row>
        <row r="1552">
          <cell r="C1552">
            <v>367</v>
          </cell>
          <cell r="F1552">
            <v>1</v>
          </cell>
          <cell r="G1552">
            <v>1</v>
          </cell>
          <cell r="H1552">
            <v>46256</v>
          </cell>
          <cell r="I1552">
            <v>0</v>
          </cell>
          <cell r="J1552">
            <v>1</v>
          </cell>
          <cell r="K1552">
            <v>0</v>
          </cell>
          <cell r="L1552">
            <v>0</v>
          </cell>
          <cell r="M1552">
            <v>0</v>
          </cell>
          <cell r="N1552">
            <v>0</v>
          </cell>
          <cell r="O1552">
            <v>0</v>
          </cell>
          <cell r="P1552">
            <v>0</v>
          </cell>
        </row>
        <row r="1553">
          <cell r="C1553">
            <v>305</v>
          </cell>
          <cell r="F1553">
            <v>1</v>
          </cell>
          <cell r="G1553">
            <v>1</v>
          </cell>
          <cell r="H1553">
            <v>46256</v>
          </cell>
          <cell r="I1553">
            <v>0</v>
          </cell>
          <cell r="J1553">
            <v>100</v>
          </cell>
          <cell r="K1553">
            <v>0</v>
          </cell>
          <cell r="L1553">
            <v>0</v>
          </cell>
          <cell r="M1553">
            <v>0</v>
          </cell>
          <cell r="N1553">
            <v>0</v>
          </cell>
          <cell r="O1553">
            <v>0</v>
          </cell>
          <cell r="P1553">
            <v>0</v>
          </cell>
        </row>
        <row r="1554">
          <cell r="C1554">
            <v>293</v>
          </cell>
          <cell r="F1554">
            <v>1</v>
          </cell>
          <cell r="G1554">
            <v>1</v>
          </cell>
          <cell r="H1554">
            <v>46256</v>
          </cell>
          <cell r="I1554">
            <v>0</v>
          </cell>
          <cell r="J1554">
            <v>25</v>
          </cell>
          <cell r="K1554">
            <v>0</v>
          </cell>
          <cell r="L1554">
            <v>0</v>
          </cell>
          <cell r="M1554">
            <v>0</v>
          </cell>
          <cell r="N1554">
            <v>0</v>
          </cell>
          <cell r="O1554">
            <v>0</v>
          </cell>
          <cell r="P1554">
            <v>0</v>
          </cell>
        </row>
        <row r="1555">
          <cell r="C1555">
            <v>177</v>
          </cell>
          <cell r="F1555">
            <v>1</v>
          </cell>
          <cell r="G1555">
            <v>1</v>
          </cell>
          <cell r="H1555">
            <v>46256</v>
          </cell>
          <cell r="I1555">
            <v>0</v>
          </cell>
          <cell r="J1555">
            <v>200</v>
          </cell>
          <cell r="K1555">
            <v>0</v>
          </cell>
          <cell r="L1555">
            <v>0</v>
          </cell>
          <cell r="M1555">
            <v>0</v>
          </cell>
          <cell r="N1555">
            <v>0</v>
          </cell>
          <cell r="O1555">
            <v>0</v>
          </cell>
          <cell r="P1555">
            <v>0</v>
          </cell>
        </row>
        <row r="1556">
          <cell r="C1556">
            <v>82</v>
          </cell>
          <cell r="F1556">
            <v>1</v>
          </cell>
          <cell r="G1556">
            <v>1</v>
          </cell>
          <cell r="H1556">
            <v>46256</v>
          </cell>
          <cell r="I1556">
            <v>0</v>
          </cell>
          <cell r="J1556">
            <v>1</v>
          </cell>
          <cell r="K1556">
            <v>0</v>
          </cell>
          <cell r="L1556">
            <v>0</v>
          </cell>
          <cell r="M1556">
            <v>0</v>
          </cell>
          <cell r="N1556">
            <v>0</v>
          </cell>
          <cell r="O1556">
            <v>0</v>
          </cell>
          <cell r="P1556">
            <v>0</v>
          </cell>
        </row>
        <row r="1557">
          <cell r="C1557">
            <v>371</v>
          </cell>
          <cell r="F1557">
            <v>1</v>
          </cell>
          <cell r="G1557">
            <v>1</v>
          </cell>
          <cell r="H1557">
            <v>46256</v>
          </cell>
          <cell r="I1557">
            <v>0</v>
          </cell>
          <cell r="J1557">
            <v>1</v>
          </cell>
          <cell r="K1557">
            <v>0</v>
          </cell>
          <cell r="L1557">
            <v>0</v>
          </cell>
          <cell r="M1557">
            <v>0</v>
          </cell>
          <cell r="N1557">
            <v>0</v>
          </cell>
          <cell r="O1557">
            <v>0</v>
          </cell>
          <cell r="P1557">
            <v>0</v>
          </cell>
        </row>
        <row r="1558">
          <cell r="C1558">
            <v>411</v>
          </cell>
          <cell r="F1558">
            <v>1</v>
          </cell>
          <cell r="G1558">
            <v>1</v>
          </cell>
          <cell r="H1558">
            <v>46256</v>
          </cell>
          <cell r="I1558">
            <v>0</v>
          </cell>
          <cell r="J1558">
            <v>1</v>
          </cell>
          <cell r="K1558">
            <v>0</v>
          </cell>
          <cell r="L1558">
            <v>0</v>
          </cell>
          <cell r="M1558">
            <v>0</v>
          </cell>
          <cell r="N1558">
            <v>0</v>
          </cell>
          <cell r="O1558">
            <v>0</v>
          </cell>
          <cell r="P1558">
            <v>0</v>
          </cell>
        </row>
        <row r="1559">
          <cell r="C1559">
            <v>410</v>
          </cell>
          <cell r="F1559">
            <v>1</v>
          </cell>
          <cell r="G1559">
            <v>1</v>
          </cell>
          <cell r="H1559">
            <v>46256</v>
          </cell>
          <cell r="I1559">
            <v>0</v>
          </cell>
          <cell r="J1559">
            <v>1</v>
          </cell>
          <cell r="K1559">
            <v>0</v>
          </cell>
          <cell r="L1559">
            <v>0</v>
          </cell>
          <cell r="M1559">
            <v>0</v>
          </cell>
          <cell r="N1559">
            <v>0</v>
          </cell>
          <cell r="O1559">
            <v>0</v>
          </cell>
          <cell r="P1559">
            <v>0</v>
          </cell>
        </row>
        <row r="1560">
          <cell r="C1560">
            <v>337</v>
          </cell>
          <cell r="F1560">
            <v>1</v>
          </cell>
          <cell r="G1560">
            <v>1</v>
          </cell>
          <cell r="H1560">
            <v>46256</v>
          </cell>
          <cell r="I1560">
            <v>0</v>
          </cell>
          <cell r="J1560">
            <v>1</v>
          </cell>
          <cell r="K1560">
            <v>0</v>
          </cell>
          <cell r="L1560">
            <v>0</v>
          </cell>
          <cell r="M1560">
            <v>0</v>
          </cell>
          <cell r="N1560">
            <v>0</v>
          </cell>
          <cell r="O1560">
            <v>0</v>
          </cell>
          <cell r="P1560">
            <v>0</v>
          </cell>
        </row>
        <row r="1561">
          <cell r="C1561">
            <v>369</v>
          </cell>
          <cell r="F1561">
            <v>1</v>
          </cell>
          <cell r="G1561">
            <v>1</v>
          </cell>
          <cell r="H1561">
            <v>46256</v>
          </cell>
          <cell r="I1561">
            <v>0</v>
          </cell>
          <cell r="J1561">
            <v>7</v>
          </cell>
          <cell r="K1561">
            <v>0</v>
          </cell>
          <cell r="L1561">
            <v>0</v>
          </cell>
          <cell r="M1561">
            <v>0</v>
          </cell>
          <cell r="N1561">
            <v>0</v>
          </cell>
          <cell r="O1561">
            <v>0</v>
          </cell>
          <cell r="P1561">
            <v>0</v>
          </cell>
        </row>
        <row r="1562">
          <cell r="C1562">
            <v>160</v>
          </cell>
          <cell r="F1562">
            <v>1</v>
          </cell>
          <cell r="G1562">
            <v>1</v>
          </cell>
          <cell r="H1562">
            <v>46256</v>
          </cell>
          <cell r="I1562">
            <v>0</v>
          </cell>
          <cell r="J1562">
            <v>1</v>
          </cell>
          <cell r="K1562">
            <v>0</v>
          </cell>
          <cell r="L1562">
            <v>0</v>
          </cell>
          <cell r="M1562">
            <v>0</v>
          </cell>
          <cell r="N1562">
            <v>0</v>
          </cell>
          <cell r="O1562">
            <v>0</v>
          </cell>
          <cell r="P1562">
            <v>0</v>
          </cell>
        </row>
        <row r="1563">
          <cell r="C1563">
            <v>169</v>
          </cell>
          <cell r="F1563">
            <v>1</v>
          </cell>
          <cell r="G1563">
            <v>1</v>
          </cell>
          <cell r="H1563">
            <v>46256</v>
          </cell>
          <cell r="I1563">
            <v>0</v>
          </cell>
          <cell r="J1563">
            <v>1</v>
          </cell>
          <cell r="K1563">
            <v>0</v>
          </cell>
          <cell r="L1563">
            <v>0</v>
          </cell>
          <cell r="M1563">
            <v>0</v>
          </cell>
          <cell r="N1563">
            <v>0</v>
          </cell>
          <cell r="O1563">
            <v>0</v>
          </cell>
          <cell r="P1563">
            <v>0</v>
          </cell>
        </row>
        <row r="1564">
          <cell r="C1564">
            <v>386</v>
          </cell>
          <cell r="F1564">
            <v>1</v>
          </cell>
          <cell r="G1564">
            <v>1</v>
          </cell>
          <cell r="H1564">
            <v>46256</v>
          </cell>
          <cell r="I1564">
            <v>0</v>
          </cell>
          <cell r="J1564">
            <v>2</v>
          </cell>
          <cell r="K1564">
            <v>0</v>
          </cell>
          <cell r="L1564">
            <v>0</v>
          </cell>
          <cell r="M1564">
            <v>0</v>
          </cell>
          <cell r="N1564">
            <v>0</v>
          </cell>
          <cell r="O1564">
            <v>0</v>
          </cell>
          <cell r="P1564">
            <v>0</v>
          </cell>
        </row>
        <row r="1565">
          <cell r="C1565">
            <v>415</v>
          </cell>
          <cell r="F1565">
            <v>1</v>
          </cell>
          <cell r="G1565">
            <v>1</v>
          </cell>
          <cell r="H1565">
            <v>46256</v>
          </cell>
          <cell r="I1565">
            <v>0</v>
          </cell>
          <cell r="J1565">
            <v>2</v>
          </cell>
          <cell r="K1565">
            <v>0</v>
          </cell>
          <cell r="L1565">
            <v>0</v>
          </cell>
          <cell r="M1565">
            <v>0</v>
          </cell>
          <cell r="N1565">
            <v>0</v>
          </cell>
          <cell r="O1565">
            <v>0</v>
          </cell>
          <cell r="P1565">
            <v>0</v>
          </cell>
        </row>
        <row r="1566">
          <cell r="C1566">
            <v>433</v>
          </cell>
          <cell r="F1566">
            <v>1</v>
          </cell>
          <cell r="G1566">
            <v>1</v>
          </cell>
          <cell r="H1566">
            <v>46256</v>
          </cell>
          <cell r="I1566">
            <v>0</v>
          </cell>
          <cell r="J1566">
            <v>2</v>
          </cell>
          <cell r="K1566">
            <v>0</v>
          </cell>
          <cell r="L1566">
            <v>0</v>
          </cell>
          <cell r="M1566">
            <v>0</v>
          </cell>
          <cell r="N1566">
            <v>0</v>
          </cell>
          <cell r="O1566">
            <v>0</v>
          </cell>
          <cell r="P1566">
            <v>0</v>
          </cell>
        </row>
        <row r="1567">
          <cell r="C1567">
            <v>20</v>
          </cell>
          <cell r="F1567">
            <v>1</v>
          </cell>
          <cell r="G1567">
            <v>1</v>
          </cell>
          <cell r="H1567">
            <v>46256</v>
          </cell>
          <cell r="I1567">
            <v>0</v>
          </cell>
          <cell r="J1567">
            <v>4</v>
          </cell>
          <cell r="K1567">
            <v>0</v>
          </cell>
          <cell r="L1567">
            <v>0</v>
          </cell>
          <cell r="M1567">
            <v>0</v>
          </cell>
          <cell r="N1567">
            <v>0</v>
          </cell>
          <cell r="O1567">
            <v>0</v>
          </cell>
          <cell r="P1567">
            <v>0</v>
          </cell>
        </row>
        <row r="1568">
          <cell r="C1568">
            <v>5</v>
          </cell>
          <cell r="F1568">
            <v>1</v>
          </cell>
          <cell r="G1568">
            <v>1</v>
          </cell>
          <cell r="H1568">
            <v>46256</v>
          </cell>
          <cell r="I1568">
            <v>0</v>
          </cell>
          <cell r="J1568">
            <v>8</v>
          </cell>
          <cell r="K1568">
            <v>0</v>
          </cell>
          <cell r="L1568">
            <v>0</v>
          </cell>
          <cell r="M1568">
            <v>0</v>
          </cell>
          <cell r="N1568">
            <v>0</v>
          </cell>
          <cell r="O1568">
            <v>0</v>
          </cell>
          <cell r="P1568">
            <v>0</v>
          </cell>
        </row>
        <row r="1569">
          <cell r="C1569">
            <v>39</v>
          </cell>
          <cell r="F1569">
            <v>1</v>
          </cell>
          <cell r="G1569">
            <v>1</v>
          </cell>
          <cell r="H1569">
            <v>46256</v>
          </cell>
          <cell r="I1569">
            <v>0</v>
          </cell>
          <cell r="J1569">
            <v>2</v>
          </cell>
          <cell r="K1569">
            <v>0</v>
          </cell>
          <cell r="L1569">
            <v>0</v>
          </cell>
          <cell r="M1569">
            <v>0</v>
          </cell>
          <cell r="N1569">
            <v>0</v>
          </cell>
          <cell r="O1569">
            <v>0</v>
          </cell>
          <cell r="P1569">
            <v>0</v>
          </cell>
        </row>
        <row r="1570">
          <cell r="C1570">
            <v>40</v>
          </cell>
          <cell r="F1570">
            <v>1</v>
          </cell>
          <cell r="G1570">
            <v>1</v>
          </cell>
          <cell r="H1570">
            <v>46256</v>
          </cell>
          <cell r="I1570">
            <v>0</v>
          </cell>
          <cell r="J1570">
            <v>1</v>
          </cell>
          <cell r="K1570">
            <v>0</v>
          </cell>
          <cell r="L1570">
            <v>0</v>
          </cell>
          <cell r="M1570">
            <v>0</v>
          </cell>
          <cell r="N1570">
            <v>0</v>
          </cell>
          <cell r="O1570">
            <v>0</v>
          </cell>
          <cell r="P1570">
            <v>0</v>
          </cell>
        </row>
        <row r="1571">
          <cell r="C1571">
            <v>52</v>
          </cell>
          <cell r="F1571">
            <v>1</v>
          </cell>
          <cell r="G1571">
            <v>1</v>
          </cell>
          <cell r="H1571">
            <v>46256</v>
          </cell>
          <cell r="I1571">
            <v>0</v>
          </cell>
          <cell r="J1571">
            <v>1</v>
          </cell>
          <cell r="K1571">
            <v>0</v>
          </cell>
          <cell r="L1571">
            <v>0</v>
          </cell>
          <cell r="M1571">
            <v>0</v>
          </cell>
          <cell r="N1571">
            <v>0</v>
          </cell>
          <cell r="O1571">
            <v>0</v>
          </cell>
          <cell r="P1571">
            <v>0</v>
          </cell>
        </row>
        <row r="1572">
          <cell r="C1572">
            <v>178</v>
          </cell>
          <cell r="F1572">
            <v>1</v>
          </cell>
          <cell r="G1572">
            <v>1</v>
          </cell>
          <cell r="H1572">
            <v>46256</v>
          </cell>
          <cell r="I1572">
            <v>0</v>
          </cell>
          <cell r="J1572">
            <v>50</v>
          </cell>
          <cell r="K1572">
            <v>0</v>
          </cell>
          <cell r="L1572">
            <v>0</v>
          </cell>
          <cell r="M1572">
            <v>0</v>
          </cell>
          <cell r="N1572">
            <v>0</v>
          </cell>
          <cell r="O1572">
            <v>0</v>
          </cell>
          <cell r="P1572">
            <v>0</v>
          </cell>
        </row>
        <row r="1573">
          <cell r="C1573">
            <v>358</v>
          </cell>
          <cell r="F1573">
            <v>1</v>
          </cell>
          <cell r="G1573">
            <v>1</v>
          </cell>
          <cell r="H1573">
            <v>46256</v>
          </cell>
          <cell r="I1573">
            <v>0</v>
          </cell>
          <cell r="J1573">
            <v>1</v>
          </cell>
          <cell r="K1573">
            <v>0</v>
          </cell>
          <cell r="L1573">
            <v>0</v>
          </cell>
          <cell r="M1573">
            <v>0</v>
          </cell>
          <cell r="N1573">
            <v>0</v>
          </cell>
          <cell r="O1573">
            <v>0</v>
          </cell>
          <cell r="P1573">
            <v>0</v>
          </cell>
        </row>
        <row r="1574">
          <cell r="C1574">
            <v>197</v>
          </cell>
          <cell r="F1574">
            <v>1</v>
          </cell>
          <cell r="G1574">
            <v>1</v>
          </cell>
          <cell r="H1574">
            <v>46256</v>
          </cell>
          <cell r="I1574">
            <v>0</v>
          </cell>
          <cell r="J1574">
            <v>8</v>
          </cell>
          <cell r="K1574">
            <v>0</v>
          </cell>
          <cell r="L1574">
            <v>0</v>
          </cell>
          <cell r="M1574">
            <v>0</v>
          </cell>
          <cell r="N1574">
            <v>0</v>
          </cell>
          <cell r="O1574">
            <v>0</v>
          </cell>
          <cell r="P1574">
            <v>0</v>
          </cell>
        </row>
        <row r="1575">
          <cell r="C1575">
            <v>198</v>
          </cell>
          <cell r="F1575">
            <v>1</v>
          </cell>
          <cell r="G1575">
            <v>1</v>
          </cell>
          <cell r="H1575">
            <v>46256</v>
          </cell>
          <cell r="I1575">
            <v>0</v>
          </cell>
          <cell r="J1575">
            <v>4</v>
          </cell>
          <cell r="K1575">
            <v>0</v>
          </cell>
          <cell r="L1575">
            <v>0</v>
          </cell>
          <cell r="M1575">
            <v>0</v>
          </cell>
          <cell r="N1575">
            <v>0</v>
          </cell>
          <cell r="O1575">
            <v>0</v>
          </cell>
          <cell r="P1575">
            <v>0</v>
          </cell>
        </row>
        <row r="1576">
          <cell r="C1576">
            <v>13</v>
          </cell>
          <cell r="F1576">
            <v>1</v>
          </cell>
          <cell r="G1576">
            <v>1</v>
          </cell>
          <cell r="H1576">
            <v>46256</v>
          </cell>
          <cell r="I1576">
            <v>0</v>
          </cell>
          <cell r="J1576">
            <v>4</v>
          </cell>
          <cell r="K1576">
            <v>0</v>
          </cell>
          <cell r="L1576">
            <v>0</v>
          </cell>
          <cell r="M1576">
            <v>0</v>
          </cell>
          <cell r="N1576">
            <v>0</v>
          </cell>
          <cell r="O1576">
            <v>0</v>
          </cell>
          <cell r="P1576">
            <v>0</v>
          </cell>
        </row>
        <row r="1577">
          <cell r="C1577">
            <v>375</v>
          </cell>
          <cell r="F1577">
            <v>1</v>
          </cell>
          <cell r="G1577">
            <v>1</v>
          </cell>
          <cell r="H1577">
            <v>46256</v>
          </cell>
          <cell r="I1577">
            <v>0</v>
          </cell>
          <cell r="J1577">
            <v>1</v>
          </cell>
          <cell r="K1577">
            <v>0</v>
          </cell>
          <cell r="L1577">
            <v>0</v>
          </cell>
          <cell r="M1577">
            <v>0</v>
          </cell>
          <cell r="N1577">
            <v>0</v>
          </cell>
          <cell r="O1577">
            <v>0</v>
          </cell>
          <cell r="P1577">
            <v>0</v>
          </cell>
        </row>
        <row r="1578">
          <cell r="C1578">
            <v>243</v>
          </cell>
          <cell r="F1578">
            <v>1</v>
          </cell>
          <cell r="G1578">
            <v>1</v>
          </cell>
          <cell r="H1578">
            <v>46256</v>
          </cell>
          <cell r="I1578">
            <v>0</v>
          </cell>
          <cell r="J1578">
            <v>1</v>
          </cell>
          <cell r="K1578">
            <v>0</v>
          </cell>
          <cell r="L1578">
            <v>0</v>
          </cell>
          <cell r="M1578">
            <v>0</v>
          </cell>
          <cell r="N1578">
            <v>0</v>
          </cell>
          <cell r="O1578">
            <v>0</v>
          </cell>
          <cell r="P1578">
            <v>0</v>
          </cell>
        </row>
        <row r="1579">
          <cell r="C1579">
            <v>420</v>
          </cell>
          <cell r="F1579">
            <v>1</v>
          </cell>
          <cell r="G1579">
            <v>1</v>
          </cell>
          <cell r="H1579">
            <v>46256</v>
          </cell>
          <cell r="I1579">
            <v>0</v>
          </cell>
          <cell r="J1579">
            <v>1</v>
          </cell>
          <cell r="K1579">
            <v>0</v>
          </cell>
          <cell r="L1579">
            <v>0</v>
          </cell>
          <cell r="M1579">
            <v>0</v>
          </cell>
          <cell r="N1579">
            <v>0</v>
          </cell>
          <cell r="O1579">
            <v>0</v>
          </cell>
          <cell r="P1579">
            <v>0</v>
          </cell>
        </row>
        <row r="1580">
          <cell r="C1580">
            <v>409</v>
          </cell>
          <cell r="F1580">
            <v>1</v>
          </cell>
          <cell r="G1580">
            <v>1</v>
          </cell>
          <cell r="H1580">
            <v>46256</v>
          </cell>
          <cell r="I1580">
            <v>0</v>
          </cell>
          <cell r="J1580">
            <v>1</v>
          </cell>
          <cell r="K1580">
            <v>0</v>
          </cell>
          <cell r="L1580">
            <v>0</v>
          </cell>
          <cell r="M1580">
            <v>0</v>
          </cell>
          <cell r="N1580">
            <v>0</v>
          </cell>
          <cell r="O1580">
            <v>0</v>
          </cell>
          <cell r="P1580">
            <v>0</v>
          </cell>
        </row>
        <row r="1581">
          <cell r="C1581">
            <v>398</v>
          </cell>
          <cell r="F1581">
            <v>1</v>
          </cell>
          <cell r="G1581">
            <v>1</v>
          </cell>
          <cell r="H1581">
            <v>46256</v>
          </cell>
          <cell r="I1581">
            <v>0</v>
          </cell>
          <cell r="J1581">
            <v>1</v>
          </cell>
          <cell r="K1581">
            <v>0</v>
          </cell>
          <cell r="L1581">
            <v>0</v>
          </cell>
          <cell r="M1581">
            <v>0</v>
          </cell>
          <cell r="N1581">
            <v>0</v>
          </cell>
          <cell r="O1581">
            <v>0</v>
          </cell>
          <cell r="P1581">
            <v>0</v>
          </cell>
        </row>
        <row r="1582">
          <cell r="C1582">
            <v>125</v>
          </cell>
          <cell r="F1582">
            <v>1</v>
          </cell>
          <cell r="G1582">
            <v>1</v>
          </cell>
          <cell r="H1582">
            <v>46256</v>
          </cell>
          <cell r="I1582">
            <v>0</v>
          </cell>
          <cell r="J1582">
            <v>100</v>
          </cell>
          <cell r="K1582">
            <v>0</v>
          </cell>
          <cell r="L1582">
            <v>0</v>
          </cell>
          <cell r="M1582">
            <v>0</v>
          </cell>
          <cell r="N1582">
            <v>0</v>
          </cell>
          <cell r="O1582">
            <v>0</v>
          </cell>
          <cell r="P1582">
            <v>0</v>
          </cell>
        </row>
        <row r="1583">
          <cell r="C1583">
            <v>8</v>
          </cell>
          <cell r="F1583">
            <v>1</v>
          </cell>
          <cell r="G1583">
            <v>1</v>
          </cell>
          <cell r="H1583">
            <v>46256</v>
          </cell>
          <cell r="I1583">
            <v>0</v>
          </cell>
          <cell r="J1583">
            <v>4</v>
          </cell>
          <cell r="K1583">
            <v>0</v>
          </cell>
          <cell r="L1583">
            <v>0</v>
          </cell>
          <cell r="M1583">
            <v>0</v>
          </cell>
          <cell r="N1583">
            <v>0</v>
          </cell>
          <cell r="O1583">
            <v>0</v>
          </cell>
          <cell r="P1583">
            <v>0</v>
          </cell>
        </row>
        <row r="1584">
          <cell r="C1584">
            <v>16</v>
          </cell>
          <cell r="F1584">
            <v>1</v>
          </cell>
          <cell r="G1584">
            <v>1</v>
          </cell>
          <cell r="H1584">
            <v>46256</v>
          </cell>
          <cell r="I1584">
            <v>0</v>
          </cell>
          <cell r="J1584">
            <v>1</v>
          </cell>
          <cell r="K1584">
            <v>0</v>
          </cell>
          <cell r="L1584">
            <v>0</v>
          </cell>
          <cell r="M1584">
            <v>0</v>
          </cell>
          <cell r="N1584">
            <v>0</v>
          </cell>
          <cell r="O1584">
            <v>0</v>
          </cell>
          <cell r="P1584">
            <v>0</v>
          </cell>
        </row>
        <row r="1585">
          <cell r="C1585">
            <v>48</v>
          </cell>
          <cell r="F1585">
            <v>1</v>
          </cell>
          <cell r="G1585">
            <v>1</v>
          </cell>
          <cell r="H1585">
            <v>46256</v>
          </cell>
          <cell r="I1585">
            <v>0</v>
          </cell>
          <cell r="J1585">
            <v>2</v>
          </cell>
          <cell r="K1585">
            <v>0</v>
          </cell>
          <cell r="L1585">
            <v>0</v>
          </cell>
          <cell r="M1585">
            <v>0</v>
          </cell>
          <cell r="N1585">
            <v>0</v>
          </cell>
          <cell r="O1585">
            <v>0</v>
          </cell>
          <cell r="P1585">
            <v>0</v>
          </cell>
        </row>
        <row r="1586">
          <cell r="C1586">
            <v>49</v>
          </cell>
          <cell r="F1586">
            <v>1</v>
          </cell>
          <cell r="G1586">
            <v>1</v>
          </cell>
          <cell r="H1586">
            <v>46256</v>
          </cell>
          <cell r="I1586">
            <v>0</v>
          </cell>
          <cell r="J1586">
            <v>2</v>
          </cell>
          <cell r="K1586">
            <v>0</v>
          </cell>
          <cell r="L1586">
            <v>0</v>
          </cell>
          <cell r="M1586">
            <v>0</v>
          </cell>
          <cell r="N1586">
            <v>0</v>
          </cell>
          <cell r="O1586">
            <v>0</v>
          </cell>
          <cell r="P1586">
            <v>0</v>
          </cell>
        </row>
        <row r="1587">
          <cell r="C1587">
            <v>46</v>
          </cell>
          <cell r="F1587">
            <v>1</v>
          </cell>
          <cell r="G1587">
            <v>1</v>
          </cell>
          <cell r="H1587">
            <v>46256</v>
          </cell>
          <cell r="I1587">
            <v>0</v>
          </cell>
          <cell r="J1587">
            <v>2</v>
          </cell>
          <cell r="K1587">
            <v>0</v>
          </cell>
          <cell r="L1587">
            <v>0</v>
          </cell>
          <cell r="M1587">
            <v>0</v>
          </cell>
          <cell r="N1587">
            <v>0</v>
          </cell>
          <cell r="O1587">
            <v>0</v>
          </cell>
          <cell r="P1587">
            <v>0</v>
          </cell>
        </row>
        <row r="1588">
          <cell r="C1588">
            <v>45</v>
          </cell>
          <cell r="F1588">
            <v>1</v>
          </cell>
          <cell r="G1588">
            <v>1</v>
          </cell>
          <cell r="H1588">
            <v>46256</v>
          </cell>
          <cell r="I1588">
            <v>0</v>
          </cell>
          <cell r="J1588">
            <v>2</v>
          </cell>
          <cell r="K1588">
            <v>0</v>
          </cell>
          <cell r="L1588">
            <v>0</v>
          </cell>
          <cell r="M1588">
            <v>0</v>
          </cell>
          <cell r="N1588">
            <v>0</v>
          </cell>
          <cell r="O1588">
            <v>0</v>
          </cell>
          <cell r="P1588">
            <v>0</v>
          </cell>
        </row>
        <row r="1589">
          <cell r="C1589">
            <v>69</v>
          </cell>
          <cell r="F1589">
            <v>1</v>
          </cell>
          <cell r="G1589">
            <v>1</v>
          </cell>
          <cell r="H1589">
            <v>46256</v>
          </cell>
          <cell r="I1589">
            <v>0</v>
          </cell>
          <cell r="J1589">
            <v>2</v>
          </cell>
          <cell r="K1589">
            <v>0</v>
          </cell>
          <cell r="L1589">
            <v>0</v>
          </cell>
          <cell r="M1589">
            <v>0</v>
          </cell>
          <cell r="N1589">
            <v>0</v>
          </cell>
          <cell r="O1589">
            <v>0</v>
          </cell>
          <cell r="P1589">
            <v>0</v>
          </cell>
        </row>
        <row r="1590">
          <cell r="C1590">
            <v>385</v>
          </cell>
          <cell r="F1590">
            <v>1</v>
          </cell>
          <cell r="G1590">
            <v>1</v>
          </cell>
          <cell r="H1590">
            <v>46256</v>
          </cell>
          <cell r="I1590">
            <v>0</v>
          </cell>
          <cell r="J1590">
            <v>1</v>
          </cell>
          <cell r="K1590">
            <v>0</v>
          </cell>
          <cell r="L1590">
            <v>0</v>
          </cell>
          <cell r="M1590">
            <v>0</v>
          </cell>
          <cell r="N1590">
            <v>0</v>
          </cell>
          <cell r="O1590">
            <v>0</v>
          </cell>
          <cell r="P1590">
            <v>0</v>
          </cell>
        </row>
        <row r="1591">
          <cell r="C1591">
            <v>153</v>
          </cell>
          <cell r="F1591">
            <v>1</v>
          </cell>
          <cell r="G1591">
            <v>1</v>
          </cell>
          <cell r="H1591">
            <v>46256</v>
          </cell>
          <cell r="I1591">
            <v>0</v>
          </cell>
          <cell r="J1591">
            <v>1</v>
          </cell>
          <cell r="K1591">
            <v>0</v>
          </cell>
          <cell r="L1591">
            <v>0</v>
          </cell>
          <cell r="M1591">
            <v>0</v>
          </cell>
          <cell r="N1591">
            <v>0</v>
          </cell>
          <cell r="O1591">
            <v>0</v>
          </cell>
          <cell r="P1591">
            <v>0</v>
          </cell>
        </row>
        <row r="1592">
          <cell r="C1592">
            <v>167</v>
          </cell>
          <cell r="F1592">
            <v>1</v>
          </cell>
          <cell r="G1592">
            <v>1</v>
          </cell>
          <cell r="H1592">
            <v>46256</v>
          </cell>
          <cell r="I1592">
            <v>0</v>
          </cell>
          <cell r="J1592">
            <v>2</v>
          </cell>
          <cell r="K1592">
            <v>0</v>
          </cell>
          <cell r="L1592">
            <v>0</v>
          </cell>
          <cell r="M1592">
            <v>0</v>
          </cell>
          <cell r="N1592">
            <v>0</v>
          </cell>
          <cell r="O1592">
            <v>0</v>
          </cell>
          <cell r="P1592">
            <v>0</v>
          </cell>
        </row>
        <row r="1593">
          <cell r="C1593">
            <v>198</v>
          </cell>
          <cell r="F1593">
            <v>1</v>
          </cell>
          <cell r="G1593">
            <v>1</v>
          </cell>
          <cell r="H1593">
            <v>46257</v>
          </cell>
          <cell r="I1593">
            <v>0</v>
          </cell>
          <cell r="J1593">
            <v>4</v>
          </cell>
          <cell r="K1593">
            <v>0</v>
          </cell>
          <cell r="L1593">
            <v>0</v>
          </cell>
          <cell r="M1593">
            <v>0</v>
          </cell>
          <cell r="N1593">
            <v>0</v>
          </cell>
          <cell r="O1593">
            <v>0</v>
          </cell>
          <cell r="P1593">
            <v>0</v>
          </cell>
        </row>
        <row r="1594">
          <cell r="C1594">
            <v>197</v>
          </cell>
          <cell r="F1594">
            <v>1</v>
          </cell>
          <cell r="G1594">
            <v>1</v>
          </cell>
          <cell r="H1594">
            <v>46257</v>
          </cell>
          <cell r="I1594">
            <v>0</v>
          </cell>
          <cell r="J1594">
            <v>8</v>
          </cell>
          <cell r="K1594">
            <v>0</v>
          </cell>
          <cell r="L1594">
            <v>0</v>
          </cell>
          <cell r="M1594">
            <v>0</v>
          </cell>
          <cell r="N1594">
            <v>0</v>
          </cell>
          <cell r="O1594">
            <v>0</v>
          </cell>
          <cell r="P1594">
            <v>0</v>
          </cell>
        </row>
        <row r="1595">
          <cell r="C1595">
            <v>16</v>
          </cell>
          <cell r="F1595">
            <v>1</v>
          </cell>
          <cell r="G1595">
            <v>1</v>
          </cell>
          <cell r="H1595">
            <v>46257</v>
          </cell>
          <cell r="I1595">
            <v>0</v>
          </cell>
          <cell r="J1595">
            <v>4</v>
          </cell>
          <cell r="K1595">
            <v>0</v>
          </cell>
          <cell r="L1595">
            <v>0</v>
          </cell>
          <cell r="M1595">
            <v>0</v>
          </cell>
          <cell r="N1595">
            <v>0</v>
          </cell>
          <cell r="O1595">
            <v>0</v>
          </cell>
          <cell r="P1595">
            <v>0</v>
          </cell>
        </row>
        <row r="1596">
          <cell r="C1596">
            <v>17</v>
          </cell>
          <cell r="F1596">
            <v>1</v>
          </cell>
          <cell r="G1596">
            <v>1</v>
          </cell>
          <cell r="H1596">
            <v>46257</v>
          </cell>
          <cell r="I1596">
            <v>0</v>
          </cell>
          <cell r="J1596">
            <v>4</v>
          </cell>
          <cell r="K1596">
            <v>0</v>
          </cell>
          <cell r="L1596">
            <v>0</v>
          </cell>
          <cell r="M1596">
            <v>0</v>
          </cell>
          <cell r="N1596">
            <v>0</v>
          </cell>
          <cell r="O1596">
            <v>0</v>
          </cell>
          <cell r="P1596">
            <v>0</v>
          </cell>
        </row>
        <row r="1597">
          <cell r="C1597">
            <v>45</v>
          </cell>
          <cell r="F1597">
            <v>1</v>
          </cell>
          <cell r="G1597">
            <v>1</v>
          </cell>
          <cell r="H1597">
            <v>46257</v>
          </cell>
          <cell r="I1597">
            <v>0</v>
          </cell>
          <cell r="J1597">
            <v>1</v>
          </cell>
          <cell r="K1597">
            <v>0</v>
          </cell>
          <cell r="L1597">
            <v>0</v>
          </cell>
          <cell r="M1597">
            <v>0</v>
          </cell>
          <cell r="N1597">
            <v>0</v>
          </cell>
          <cell r="O1597">
            <v>0</v>
          </cell>
          <cell r="P1597">
            <v>0</v>
          </cell>
        </row>
        <row r="1598">
          <cell r="C1598">
            <v>69</v>
          </cell>
          <cell r="F1598">
            <v>1</v>
          </cell>
          <cell r="G1598">
            <v>1</v>
          </cell>
          <cell r="H1598">
            <v>46257</v>
          </cell>
          <cell r="I1598">
            <v>0</v>
          </cell>
          <cell r="J1598">
            <v>1</v>
          </cell>
          <cell r="K1598">
            <v>0</v>
          </cell>
          <cell r="L1598">
            <v>0</v>
          </cell>
          <cell r="M1598">
            <v>0</v>
          </cell>
          <cell r="N1598">
            <v>0</v>
          </cell>
          <cell r="O1598">
            <v>0</v>
          </cell>
          <cell r="P1598">
            <v>0</v>
          </cell>
        </row>
        <row r="1599">
          <cell r="C1599">
            <v>49</v>
          </cell>
          <cell r="F1599">
            <v>1</v>
          </cell>
          <cell r="G1599">
            <v>1</v>
          </cell>
          <cell r="H1599">
            <v>46257</v>
          </cell>
          <cell r="I1599">
            <v>0</v>
          </cell>
          <cell r="J1599">
            <v>1</v>
          </cell>
          <cell r="K1599">
            <v>0</v>
          </cell>
          <cell r="L1599">
            <v>0</v>
          </cell>
          <cell r="M1599">
            <v>0</v>
          </cell>
          <cell r="N1599">
            <v>0</v>
          </cell>
          <cell r="O1599">
            <v>0</v>
          </cell>
          <cell r="P1599">
            <v>0</v>
          </cell>
        </row>
        <row r="1600">
          <cell r="C1600">
            <v>411</v>
          </cell>
          <cell r="F1600">
            <v>1</v>
          </cell>
          <cell r="G1600">
            <v>1</v>
          </cell>
          <cell r="H1600">
            <v>46257</v>
          </cell>
          <cell r="I1600">
            <v>0</v>
          </cell>
          <cell r="J1600">
            <v>1</v>
          </cell>
          <cell r="K1600">
            <v>0</v>
          </cell>
          <cell r="L1600">
            <v>0</v>
          </cell>
          <cell r="M1600">
            <v>0</v>
          </cell>
          <cell r="N1600">
            <v>0</v>
          </cell>
          <cell r="O1600">
            <v>0</v>
          </cell>
          <cell r="P1600">
            <v>0</v>
          </cell>
        </row>
        <row r="1601">
          <cell r="C1601">
            <v>413</v>
          </cell>
          <cell r="F1601">
            <v>1</v>
          </cell>
          <cell r="G1601">
            <v>1</v>
          </cell>
          <cell r="H1601">
            <v>46257</v>
          </cell>
          <cell r="I1601">
            <v>0</v>
          </cell>
          <cell r="J1601">
            <v>1</v>
          </cell>
          <cell r="K1601">
            <v>0</v>
          </cell>
          <cell r="L1601">
            <v>0</v>
          </cell>
          <cell r="M1601">
            <v>0</v>
          </cell>
          <cell r="N1601">
            <v>0</v>
          </cell>
          <cell r="O1601">
            <v>0</v>
          </cell>
          <cell r="P1601">
            <v>0</v>
          </cell>
        </row>
        <row r="1602">
          <cell r="C1602">
            <v>408</v>
          </cell>
          <cell r="F1602">
            <v>1</v>
          </cell>
          <cell r="G1602">
            <v>1</v>
          </cell>
          <cell r="H1602">
            <v>46257</v>
          </cell>
          <cell r="I1602">
            <v>0</v>
          </cell>
          <cell r="J1602">
            <v>1</v>
          </cell>
          <cell r="K1602">
            <v>0</v>
          </cell>
          <cell r="L1602">
            <v>0</v>
          </cell>
          <cell r="M1602">
            <v>0</v>
          </cell>
          <cell r="N1602">
            <v>0</v>
          </cell>
          <cell r="O1602">
            <v>0</v>
          </cell>
          <cell r="P1602">
            <v>0</v>
          </cell>
        </row>
        <row r="1603">
          <cell r="C1603">
            <v>414</v>
          </cell>
          <cell r="F1603">
            <v>1</v>
          </cell>
          <cell r="G1603">
            <v>1</v>
          </cell>
          <cell r="H1603">
            <v>46257</v>
          </cell>
          <cell r="I1603">
            <v>0</v>
          </cell>
          <cell r="J1603">
            <v>1</v>
          </cell>
          <cell r="K1603">
            <v>0</v>
          </cell>
          <cell r="L1603">
            <v>0</v>
          </cell>
          <cell r="M1603">
            <v>0</v>
          </cell>
          <cell r="N1603">
            <v>0</v>
          </cell>
          <cell r="O1603">
            <v>0</v>
          </cell>
          <cell r="P1603">
            <v>0</v>
          </cell>
        </row>
        <row r="1604">
          <cell r="C1604">
            <v>401</v>
          </cell>
          <cell r="F1604">
            <v>1</v>
          </cell>
          <cell r="G1604">
            <v>1</v>
          </cell>
          <cell r="H1604">
            <v>46257</v>
          </cell>
          <cell r="I1604">
            <v>0</v>
          </cell>
          <cell r="J1604">
            <v>1</v>
          </cell>
          <cell r="K1604">
            <v>0</v>
          </cell>
          <cell r="L1604">
            <v>0</v>
          </cell>
          <cell r="M1604">
            <v>0</v>
          </cell>
          <cell r="N1604">
            <v>0</v>
          </cell>
          <cell r="O1604">
            <v>0</v>
          </cell>
          <cell r="P1604">
            <v>0</v>
          </cell>
        </row>
        <row r="1605">
          <cell r="C1605">
            <v>395</v>
          </cell>
          <cell r="F1605">
            <v>1</v>
          </cell>
          <cell r="G1605">
            <v>1</v>
          </cell>
          <cell r="H1605">
            <v>46257</v>
          </cell>
          <cell r="I1605">
            <v>0</v>
          </cell>
          <cell r="J1605">
            <v>1</v>
          </cell>
          <cell r="K1605">
            <v>0</v>
          </cell>
          <cell r="L1605">
            <v>0</v>
          </cell>
          <cell r="M1605">
            <v>0</v>
          </cell>
          <cell r="N1605">
            <v>0</v>
          </cell>
          <cell r="O1605">
            <v>0</v>
          </cell>
          <cell r="P1605">
            <v>0</v>
          </cell>
        </row>
        <row r="1606">
          <cell r="C1606">
            <v>397</v>
          </cell>
          <cell r="F1606">
            <v>1</v>
          </cell>
          <cell r="G1606">
            <v>1</v>
          </cell>
          <cell r="H1606">
            <v>46257</v>
          </cell>
          <cell r="I1606">
            <v>0</v>
          </cell>
          <cell r="J1606">
            <v>1</v>
          </cell>
          <cell r="K1606">
            <v>0</v>
          </cell>
          <cell r="L1606">
            <v>0</v>
          </cell>
          <cell r="M1606">
            <v>0</v>
          </cell>
          <cell r="N1606">
            <v>0</v>
          </cell>
          <cell r="O1606">
            <v>0</v>
          </cell>
          <cell r="P1606">
            <v>0</v>
          </cell>
        </row>
        <row r="1607">
          <cell r="C1607">
            <v>381</v>
          </cell>
          <cell r="F1607">
            <v>1</v>
          </cell>
          <cell r="G1607">
            <v>1</v>
          </cell>
          <cell r="H1607">
            <v>46257</v>
          </cell>
          <cell r="I1607">
            <v>0</v>
          </cell>
          <cell r="J1607">
            <v>1</v>
          </cell>
          <cell r="K1607">
            <v>0</v>
          </cell>
          <cell r="L1607">
            <v>0</v>
          </cell>
          <cell r="M1607">
            <v>0</v>
          </cell>
          <cell r="N1607">
            <v>0</v>
          </cell>
          <cell r="O1607">
            <v>0</v>
          </cell>
          <cell r="P1607">
            <v>0</v>
          </cell>
        </row>
        <row r="1608">
          <cell r="C1608">
            <v>384</v>
          </cell>
          <cell r="F1608">
            <v>1</v>
          </cell>
          <cell r="G1608">
            <v>1</v>
          </cell>
          <cell r="H1608">
            <v>46257</v>
          </cell>
          <cell r="I1608">
            <v>0</v>
          </cell>
          <cell r="J1608">
            <v>1</v>
          </cell>
          <cell r="K1608">
            <v>0</v>
          </cell>
          <cell r="L1608">
            <v>0</v>
          </cell>
          <cell r="M1608">
            <v>0</v>
          </cell>
          <cell r="N1608">
            <v>0</v>
          </cell>
          <cell r="O1608">
            <v>0</v>
          </cell>
          <cell r="P1608">
            <v>0</v>
          </cell>
        </row>
        <row r="1609">
          <cell r="C1609">
            <v>375</v>
          </cell>
          <cell r="F1609">
            <v>1</v>
          </cell>
          <cell r="G1609">
            <v>1</v>
          </cell>
          <cell r="H1609">
            <v>46257</v>
          </cell>
          <cell r="I1609">
            <v>0</v>
          </cell>
          <cell r="J1609">
            <v>1</v>
          </cell>
          <cell r="K1609">
            <v>0</v>
          </cell>
          <cell r="L1609">
            <v>0</v>
          </cell>
          <cell r="M1609">
            <v>0</v>
          </cell>
          <cell r="N1609">
            <v>0</v>
          </cell>
          <cell r="O1609">
            <v>0</v>
          </cell>
          <cell r="P1609">
            <v>0</v>
          </cell>
        </row>
        <row r="1610">
          <cell r="C1610">
            <v>373</v>
          </cell>
          <cell r="F1610">
            <v>1</v>
          </cell>
          <cell r="G1610">
            <v>1</v>
          </cell>
          <cell r="H1610">
            <v>46257</v>
          </cell>
          <cell r="I1610">
            <v>0</v>
          </cell>
          <cell r="J1610">
            <v>4</v>
          </cell>
          <cell r="K1610">
            <v>0</v>
          </cell>
          <cell r="L1610">
            <v>0</v>
          </cell>
          <cell r="M1610">
            <v>0</v>
          </cell>
          <cell r="N1610">
            <v>0</v>
          </cell>
          <cell r="O1610">
            <v>0</v>
          </cell>
          <cell r="P1610">
            <v>0</v>
          </cell>
        </row>
        <row r="1611">
          <cell r="C1611">
            <v>433</v>
          </cell>
          <cell r="F1611">
            <v>1</v>
          </cell>
          <cell r="G1611">
            <v>1</v>
          </cell>
          <cell r="H1611">
            <v>46257</v>
          </cell>
          <cell r="I1611">
            <v>0</v>
          </cell>
          <cell r="J1611">
            <v>5</v>
          </cell>
          <cell r="K1611">
            <v>0</v>
          </cell>
          <cell r="L1611">
            <v>0</v>
          </cell>
          <cell r="M1611">
            <v>0</v>
          </cell>
          <cell r="N1611">
            <v>0</v>
          </cell>
          <cell r="O1611">
            <v>0</v>
          </cell>
          <cell r="P1611">
            <v>0</v>
          </cell>
        </row>
        <row r="1612">
          <cell r="C1612">
            <v>374</v>
          </cell>
          <cell r="F1612">
            <v>1</v>
          </cell>
          <cell r="G1612">
            <v>1</v>
          </cell>
          <cell r="H1612">
            <v>46257</v>
          </cell>
          <cell r="I1612">
            <v>0</v>
          </cell>
          <cell r="J1612">
            <v>1</v>
          </cell>
          <cell r="K1612">
            <v>0</v>
          </cell>
          <cell r="L1612">
            <v>0</v>
          </cell>
          <cell r="M1612">
            <v>0</v>
          </cell>
          <cell r="N1612">
            <v>0</v>
          </cell>
          <cell r="O1612">
            <v>0</v>
          </cell>
          <cell r="P1612">
            <v>0</v>
          </cell>
        </row>
        <row r="1613">
          <cell r="C1613">
            <v>125</v>
          </cell>
          <cell r="F1613">
            <v>1</v>
          </cell>
          <cell r="G1613">
            <v>1</v>
          </cell>
          <cell r="H1613">
            <v>46257</v>
          </cell>
          <cell r="I1613">
            <v>0</v>
          </cell>
          <cell r="J1613">
            <v>1</v>
          </cell>
          <cell r="K1613">
            <v>0</v>
          </cell>
          <cell r="L1613">
            <v>0</v>
          </cell>
          <cell r="M1613">
            <v>0</v>
          </cell>
          <cell r="N1613">
            <v>0</v>
          </cell>
          <cell r="O1613">
            <v>0</v>
          </cell>
          <cell r="P1613">
            <v>0</v>
          </cell>
        </row>
        <row r="1614">
          <cell r="C1614">
            <v>241</v>
          </cell>
          <cell r="F1614">
            <v>1</v>
          </cell>
          <cell r="G1614">
            <v>1</v>
          </cell>
          <cell r="H1614">
            <v>46257</v>
          </cell>
          <cell r="I1614">
            <v>0</v>
          </cell>
          <cell r="J1614">
            <v>2</v>
          </cell>
          <cell r="K1614">
            <v>0</v>
          </cell>
          <cell r="L1614">
            <v>0</v>
          </cell>
          <cell r="M1614">
            <v>0</v>
          </cell>
          <cell r="N1614">
            <v>0</v>
          </cell>
          <cell r="O1614">
            <v>0</v>
          </cell>
          <cell r="P1614">
            <v>0</v>
          </cell>
        </row>
        <row r="1615">
          <cell r="C1615">
            <v>403</v>
          </cell>
          <cell r="F1615">
            <v>1</v>
          </cell>
          <cell r="G1615">
            <v>1</v>
          </cell>
          <cell r="H1615">
            <v>46257</v>
          </cell>
          <cell r="I1615">
            <v>0</v>
          </cell>
          <cell r="J1615">
            <v>1</v>
          </cell>
          <cell r="K1615">
            <v>0</v>
          </cell>
          <cell r="L1615">
            <v>0</v>
          </cell>
          <cell r="M1615">
            <v>0</v>
          </cell>
          <cell r="N1615">
            <v>0</v>
          </cell>
          <cell r="O1615">
            <v>0</v>
          </cell>
          <cell r="P1615">
            <v>0</v>
          </cell>
        </row>
        <row r="1616">
          <cell r="C1616">
            <v>219</v>
          </cell>
          <cell r="F1616">
            <v>1</v>
          </cell>
          <cell r="G1616">
            <v>1</v>
          </cell>
          <cell r="H1616">
            <v>46257</v>
          </cell>
          <cell r="I1616">
            <v>0</v>
          </cell>
          <cell r="J1616">
            <v>2</v>
          </cell>
          <cell r="K1616">
            <v>0</v>
          </cell>
          <cell r="L1616">
            <v>0</v>
          </cell>
          <cell r="M1616">
            <v>0</v>
          </cell>
          <cell r="N1616">
            <v>0</v>
          </cell>
          <cell r="O1616">
            <v>0</v>
          </cell>
          <cell r="P1616">
            <v>0</v>
          </cell>
        </row>
        <row r="1617">
          <cell r="C1617">
            <v>337</v>
          </cell>
          <cell r="F1617">
            <v>1</v>
          </cell>
          <cell r="G1617">
            <v>1</v>
          </cell>
          <cell r="H1617">
            <v>46257</v>
          </cell>
          <cell r="I1617">
            <v>0</v>
          </cell>
          <cell r="J1617">
            <v>10</v>
          </cell>
          <cell r="K1617">
            <v>0</v>
          </cell>
          <cell r="L1617">
            <v>0</v>
          </cell>
          <cell r="M1617">
            <v>0</v>
          </cell>
          <cell r="N1617">
            <v>0</v>
          </cell>
          <cell r="O1617">
            <v>0</v>
          </cell>
          <cell r="P1617">
            <v>0</v>
          </cell>
        </row>
        <row r="1618">
          <cell r="C1618">
            <v>396</v>
          </cell>
          <cell r="F1618">
            <v>1</v>
          </cell>
          <cell r="G1618">
            <v>1</v>
          </cell>
          <cell r="H1618">
            <v>46257</v>
          </cell>
          <cell r="I1618">
            <v>0</v>
          </cell>
          <cell r="J1618">
            <v>1</v>
          </cell>
          <cell r="K1618">
            <v>0</v>
          </cell>
          <cell r="L1618">
            <v>0</v>
          </cell>
          <cell r="M1618">
            <v>0</v>
          </cell>
          <cell r="N1618">
            <v>0</v>
          </cell>
          <cell r="O1618">
            <v>0</v>
          </cell>
          <cell r="P1618">
            <v>0</v>
          </cell>
        </row>
        <row r="1619">
          <cell r="C1619">
            <v>294</v>
          </cell>
          <cell r="F1619">
            <v>1</v>
          </cell>
          <cell r="G1619">
            <v>1</v>
          </cell>
          <cell r="H1619">
            <v>46257</v>
          </cell>
          <cell r="I1619">
            <v>0</v>
          </cell>
          <cell r="J1619">
            <v>10</v>
          </cell>
          <cell r="K1619">
            <v>0</v>
          </cell>
          <cell r="L1619">
            <v>0</v>
          </cell>
          <cell r="M1619">
            <v>0</v>
          </cell>
          <cell r="N1619">
            <v>0</v>
          </cell>
          <cell r="O1619">
            <v>0</v>
          </cell>
          <cell r="P1619">
            <v>0</v>
          </cell>
        </row>
        <row r="1620">
          <cell r="C1620">
            <v>384</v>
          </cell>
          <cell r="F1620">
            <v>1</v>
          </cell>
          <cell r="G1620">
            <v>1</v>
          </cell>
          <cell r="H1620">
            <v>46258</v>
          </cell>
          <cell r="I1620">
            <v>0</v>
          </cell>
          <cell r="J1620">
            <v>1</v>
          </cell>
          <cell r="K1620">
            <v>0</v>
          </cell>
          <cell r="L1620">
            <v>0</v>
          </cell>
          <cell r="M1620">
            <v>0</v>
          </cell>
          <cell r="N1620">
            <v>0</v>
          </cell>
          <cell r="O1620">
            <v>0</v>
          </cell>
          <cell r="P1620">
            <v>0</v>
          </cell>
        </row>
        <row r="1621">
          <cell r="C1621">
            <v>386</v>
          </cell>
          <cell r="F1621">
            <v>1</v>
          </cell>
          <cell r="G1621">
            <v>1</v>
          </cell>
          <cell r="H1621">
            <v>46258</v>
          </cell>
          <cell r="I1621">
            <v>0</v>
          </cell>
          <cell r="J1621">
            <v>1</v>
          </cell>
          <cell r="K1621">
            <v>0</v>
          </cell>
          <cell r="L1621">
            <v>0</v>
          </cell>
          <cell r="M1621">
            <v>0</v>
          </cell>
          <cell r="N1621">
            <v>0</v>
          </cell>
          <cell r="O1621">
            <v>0</v>
          </cell>
          <cell r="P1621">
            <v>0</v>
          </cell>
        </row>
        <row r="1622">
          <cell r="C1622">
            <v>20</v>
          </cell>
          <cell r="F1622">
            <v>1</v>
          </cell>
          <cell r="G1622">
            <v>1</v>
          </cell>
          <cell r="H1622">
            <v>46258</v>
          </cell>
          <cell r="I1622">
            <v>0</v>
          </cell>
          <cell r="J1622">
            <v>4</v>
          </cell>
          <cell r="K1622">
            <v>0</v>
          </cell>
          <cell r="L1622">
            <v>0</v>
          </cell>
          <cell r="M1622">
            <v>0</v>
          </cell>
          <cell r="N1622">
            <v>0</v>
          </cell>
          <cell r="O1622">
            <v>0</v>
          </cell>
          <cell r="P1622">
            <v>0</v>
          </cell>
        </row>
        <row r="1623">
          <cell r="C1623">
            <v>6</v>
          </cell>
          <cell r="F1623">
            <v>1</v>
          </cell>
          <cell r="G1623">
            <v>1</v>
          </cell>
          <cell r="H1623">
            <v>46258</v>
          </cell>
          <cell r="I1623">
            <v>0</v>
          </cell>
          <cell r="J1623">
            <v>4</v>
          </cell>
          <cell r="K1623">
            <v>0</v>
          </cell>
          <cell r="L1623">
            <v>0</v>
          </cell>
          <cell r="M1623">
            <v>0</v>
          </cell>
          <cell r="N1623">
            <v>0</v>
          </cell>
          <cell r="O1623">
            <v>0</v>
          </cell>
          <cell r="P1623">
            <v>0</v>
          </cell>
        </row>
        <row r="1624">
          <cell r="C1624">
            <v>52</v>
          </cell>
          <cell r="F1624">
            <v>1</v>
          </cell>
          <cell r="G1624">
            <v>1</v>
          </cell>
          <cell r="H1624">
            <v>46258</v>
          </cell>
          <cell r="I1624">
            <v>0</v>
          </cell>
          <cell r="J1624">
            <v>1</v>
          </cell>
          <cell r="K1624">
            <v>0</v>
          </cell>
          <cell r="L1624">
            <v>0</v>
          </cell>
          <cell r="M1624">
            <v>0</v>
          </cell>
          <cell r="N1624">
            <v>0</v>
          </cell>
          <cell r="O1624">
            <v>0</v>
          </cell>
          <cell r="P1624">
            <v>0</v>
          </cell>
        </row>
        <row r="1625">
          <cell r="C1625">
            <v>243</v>
          </cell>
          <cell r="F1625">
            <v>1</v>
          </cell>
          <cell r="G1625">
            <v>1</v>
          </cell>
          <cell r="H1625">
            <v>46258</v>
          </cell>
          <cell r="I1625">
            <v>0</v>
          </cell>
          <cell r="J1625">
            <v>1</v>
          </cell>
          <cell r="K1625">
            <v>0</v>
          </cell>
          <cell r="L1625">
            <v>0</v>
          </cell>
          <cell r="M1625">
            <v>0</v>
          </cell>
          <cell r="N1625">
            <v>0</v>
          </cell>
          <cell r="O1625">
            <v>0</v>
          </cell>
          <cell r="P1625">
            <v>0</v>
          </cell>
        </row>
        <row r="1626">
          <cell r="C1626">
            <v>387</v>
          </cell>
          <cell r="F1626">
            <v>1</v>
          </cell>
          <cell r="G1626">
            <v>1</v>
          </cell>
          <cell r="H1626">
            <v>46258</v>
          </cell>
          <cell r="I1626">
            <v>0</v>
          </cell>
          <cell r="J1626">
            <v>1</v>
          </cell>
          <cell r="K1626">
            <v>0</v>
          </cell>
          <cell r="L1626">
            <v>0</v>
          </cell>
          <cell r="M1626">
            <v>0</v>
          </cell>
          <cell r="N1626">
            <v>0</v>
          </cell>
          <cell r="O1626">
            <v>0</v>
          </cell>
          <cell r="P1626">
            <v>0</v>
          </cell>
        </row>
        <row r="1627">
          <cell r="C1627">
            <v>374</v>
          </cell>
          <cell r="F1627">
            <v>1</v>
          </cell>
          <cell r="G1627">
            <v>1</v>
          </cell>
          <cell r="H1627">
            <v>46258</v>
          </cell>
          <cell r="I1627">
            <v>0</v>
          </cell>
          <cell r="J1627">
            <v>2</v>
          </cell>
          <cell r="K1627">
            <v>0</v>
          </cell>
          <cell r="L1627">
            <v>0</v>
          </cell>
          <cell r="M1627">
            <v>0</v>
          </cell>
          <cell r="N1627">
            <v>0</v>
          </cell>
          <cell r="O1627">
            <v>0</v>
          </cell>
          <cell r="P1627">
            <v>0</v>
          </cell>
        </row>
        <row r="1628">
          <cell r="C1628">
            <v>371</v>
          </cell>
          <cell r="F1628">
            <v>1</v>
          </cell>
          <cell r="G1628">
            <v>1</v>
          </cell>
          <cell r="H1628">
            <v>46258</v>
          </cell>
          <cell r="I1628">
            <v>0</v>
          </cell>
          <cell r="J1628">
            <v>2</v>
          </cell>
          <cell r="K1628">
            <v>0</v>
          </cell>
          <cell r="L1628">
            <v>0</v>
          </cell>
          <cell r="M1628">
            <v>0</v>
          </cell>
          <cell r="N1628">
            <v>0</v>
          </cell>
          <cell r="O1628">
            <v>0</v>
          </cell>
          <cell r="P1628">
            <v>0</v>
          </cell>
        </row>
        <row r="1629">
          <cell r="C1629">
            <v>408</v>
          </cell>
          <cell r="F1629">
            <v>1</v>
          </cell>
          <cell r="G1629">
            <v>1</v>
          </cell>
          <cell r="H1629">
            <v>46258</v>
          </cell>
          <cell r="I1629">
            <v>0</v>
          </cell>
          <cell r="J1629">
            <v>1</v>
          </cell>
          <cell r="K1629">
            <v>0</v>
          </cell>
          <cell r="L1629">
            <v>0</v>
          </cell>
          <cell r="M1629">
            <v>0</v>
          </cell>
          <cell r="N1629">
            <v>0</v>
          </cell>
          <cell r="O1629">
            <v>0</v>
          </cell>
          <cell r="P1629">
            <v>0</v>
          </cell>
        </row>
        <row r="1630">
          <cell r="C1630">
            <v>414</v>
          </cell>
          <cell r="F1630">
            <v>1</v>
          </cell>
          <cell r="G1630">
            <v>1</v>
          </cell>
          <cell r="H1630">
            <v>46258</v>
          </cell>
          <cell r="I1630">
            <v>0</v>
          </cell>
          <cell r="J1630">
            <v>2</v>
          </cell>
          <cell r="K1630">
            <v>0</v>
          </cell>
          <cell r="L1630">
            <v>0</v>
          </cell>
          <cell r="M1630">
            <v>0</v>
          </cell>
          <cell r="N1630">
            <v>0</v>
          </cell>
          <cell r="O1630">
            <v>0</v>
          </cell>
          <cell r="P1630">
            <v>0</v>
          </cell>
        </row>
        <row r="1631">
          <cell r="C1631">
            <v>395</v>
          </cell>
          <cell r="F1631">
            <v>1</v>
          </cell>
          <cell r="G1631">
            <v>1</v>
          </cell>
          <cell r="H1631">
            <v>46258</v>
          </cell>
          <cell r="I1631">
            <v>0</v>
          </cell>
          <cell r="J1631">
            <v>1</v>
          </cell>
          <cell r="K1631">
            <v>0</v>
          </cell>
          <cell r="L1631">
            <v>0</v>
          </cell>
          <cell r="M1631">
            <v>0</v>
          </cell>
          <cell r="N1631">
            <v>0</v>
          </cell>
          <cell r="O1631">
            <v>0</v>
          </cell>
          <cell r="P1631">
            <v>0</v>
          </cell>
        </row>
        <row r="1632">
          <cell r="C1632">
            <v>178</v>
          </cell>
          <cell r="F1632">
            <v>1</v>
          </cell>
          <cell r="G1632">
            <v>1</v>
          </cell>
          <cell r="H1632">
            <v>46258</v>
          </cell>
          <cell r="I1632">
            <v>0</v>
          </cell>
          <cell r="J1632">
            <v>50</v>
          </cell>
          <cell r="K1632">
            <v>0</v>
          </cell>
          <cell r="L1632">
            <v>0</v>
          </cell>
          <cell r="M1632">
            <v>0</v>
          </cell>
          <cell r="N1632">
            <v>0</v>
          </cell>
          <cell r="O1632">
            <v>0</v>
          </cell>
          <cell r="P1632">
            <v>0</v>
          </cell>
        </row>
        <row r="1633">
          <cell r="C1633">
            <v>398</v>
          </cell>
          <cell r="F1633">
            <v>1</v>
          </cell>
          <cell r="G1633">
            <v>1</v>
          </cell>
          <cell r="H1633">
            <v>46258</v>
          </cell>
          <cell r="I1633">
            <v>0</v>
          </cell>
          <cell r="J1633">
            <v>2</v>
          </cell>
          <cell r="K1633">
            <v>0</v>
          </cell>
          <cell r="L1633">
            <v>0</v>
          </cell>
          <cell r="M1633">
            <v>0</v>
          </cell>
          <cell r="N1633">
            <v>0</v>
          </cell>
          <cell r="O1633">
            <v>0</v>
          </cell>
          <cell r="P1633">
            <v>0</v>
          </cell>
        </row>
        <row r="1634">
          <cell r="C1634">
            <v>241</v>
          </cell>
          <cell r="F1634">
            <v>1</v>
          </cell>
          <cell r="G1634">
            <v>1</v>
          </cell>
          <cell r="H1634">
            <v>46258</v>
          </cell>
          <cell r="I1634">
            <v>0</v>
          </cell>
          <cell r="J1634">
            <v>2</v>
          </cell>
          <cell r="K1634">
            <v>0</v>
          </cell>
          <cell r="L1634">
            <v>0</v>
          </cell>
          <cell r="M1634">
            <v>0</v>
          </cell>
          <cell r="N1634">
            <v>0</v>
          </cell>
          <cell r="O1634">
            <v>0</v>
          </cell>
          <cell r="P1634">
            <v>0</v>
          </cell>
        </row>
        <row r="1635">
          <cell r="C1635">
            <v>184</v>
          </cell>
          <cell r="F1635">
            <v>1</v>
          </cell>
          <cell r="G1635">
            <v>1</v>
          </cell>
          <cell r="H1635">
            <v>46258</v>
          </cell>
          <cell r="I1635">
            <v>0</v>
          </cell>
          <cell r="J1635">
            <v>12</v>
          </cell>
          <cell r="K1635">
            <v>0</v>
          </cell>
          <cell r="L1635">
            <v>0</v>
          </cell>
          <cell r="M1635">
            <v>0</v>
          </cell>
          <cell r="N1635">
            <v>0</v>
          </cell>
          <cell r="O1635">
            <v>0</v>
          </cell>
          <cell r="P1635">
            <v>0</v>
          </cell>
        </row>
        <row r="1636">
          <cell r="C1636">
            <v>305</v>
          </cell>
          <cell r="F1636">
            <v>1</v>
          </cell>
          <cell r="G1636">
            <v>1</v>
          </cell>
          <cell r="H1636">
            <v>46258</v>
          </cell>
          <cell r="I1636">
            <v>0</v>
          </cell>
          <cell r="J1636">
            <v>500</v>
          </cell>
          <cell r="K1636">
            <v>0</v>
          </cell>
          <cell r="L1636">
            <v>0</v>
          </cell>
          <cell r="M1636">
            <v>0</v>
          </cell>
          <cell r="N1636">
            <v>0</v>
          </cell>
          <cell r="O1636">
            <v>0</v>
          </cell>
          <cell r="P1636">
            <v>0</v>
          </cell>
        </row>
        <row r="1637">
          <cell r="C1637">
            <v>177</v>
          </cell>
          <cell r="F1637">
            <v>1</v>
          </cell>
          <cell r="G1637">
            <v>1</v>
          </cell>
          <cell r="H1637">
            <v>46258</v>
          </cell>
          <cell r="I1637">
            <v>0</v>
          </cell>
          <cell r="J1637">
            <v>100</v>
          </cell>
          <cell r="K1637">
            <v>0</v>
          </cell>
          <cell r="L1637">
            <v>0</v>
          </cell>
          <cell r="M1637">
            <v>0</v>
          </cell>
          <cell r="N1637">
            <v>0</v>
          </cell>
          <cell r="O1637">
            <v>0</v>
          </cell>
          <cell r="P1637">
            <v>0</v>
          </cell>
        </row>
        <row r="1638">
          <cell r="C1638">
            <v>429</v>
          </cell>
          <cell r="F1638">
            <v>1</v>
          </cell>
          <cell r="G1638">
            <v>1</v>
          </cell>
          <cell r="H1638">
            <v>46258</v>
          </cell>
          <cell r="I1638">
            <v>0</v>
          </cell>
          <cell r="J1638">
            <v>1</v>
          </cell>
          <cell r="K1638">
            <v>0</v>
          </cell>
          <cell r="L1638">
            <v>0</v>
          </cell>
          <cell r="M1638">
            <v>0</v>
          </cell>
          <cell r="N1638">
            <v>0</v>
          </cell>
          <cell r="O1638">
            <v>0</v>
          </cell>
          <cell r="P1638">
            <v>0</v>
          </cell>
        </row>
        <row r="1639">
          <cell r="C1639">
            <v>433</v>
          </cell>
          <cell r="F1639">
            <v>1</v>
          </cell>
          <cell r="G1639">
            <v>1</v>
          </cell>
          <cell r="H1639">
            <v>46258</v>
          </cell>
          <cell r="I1639">
            <v>0</v>
          </cell>
          <cell r="J1639">
            <v>10</v>
          </cell>
          <cell r="K1639">
            <v>0</v>
          </cell>
          <cell r="L1639">
            <v>0</v>
          </cell>
          <cell r="M1639">
            <v>0</v>
          </cell>
          <cell r="N1639">
            <v>0</v>
          </cell>
          <cell r="O1639">
            <v>0</v>
          </cell>
          <cell r="P1639">
            <v>0</v>
          </cell>
        </row>
        <row r="1640">
          <cell r="C1640">
            <v>413</v>
          </cell>
          <cell r="F1640">
            <v>1</v>
          </cell>
          <cell r="G1640">
            <v>1</v>
          </cell>
          <cell r="H1640">
            <v>46258</v>
          </cell>
          <cell r="I1640">
            <v>0</v>
          </cell>
          <cell r="J1640">
            <v>1</v>
          </cell>
          <cell r="K1640">
            <v>0</v>
          </cell>
          <cell r="L1640">
            <v>0</v>
          </cell>
          <cell r="M1640">
            <v>0</v>
          </cell>
          <cell r="N1640">
            <v>0</v>
          </cell>
          <cell r="O1640">
            <v>0</v>
          </cell>
          <cell r="P1640">
            <v>0</v>
          </cell>
        </row>
        <row r="1641">
          <cell r="C1641">
            <v>394</v>
          </cell>
          <cell r="F1641">
            <v>1</v>
          </cell>
          <cell r="G1641">
            <v>1</v>
          </cell>
          <cell r="H1641">
            <v>46258</v>
          </cell>
          <cell r="I1641">
            <v>0</v>
          </cell>
          <cell r="J1641">
            <v>1</v>
          </cell>
          <cell r="K1641">
            <v>0</v>
          </cell>
          <cell r="L1641">
            <v>0</v>
          </cell>
          <cell r="M1641">
            <v>0</v>
          </cell>
          <cell r="N1641">
            <v>0</v>
          </cell>
          <cell r="O1641">
            <v>0</v>
          </cell>
          <cell r="P1641">
            <v>0</v>
          </cell>
        </row>
        <row r="1642">
          <cell r="C1642">
            <v>153</v>
          </cell>
          <cell r="F1642">
            <v>1</v>
          </cell>
          <cell r="G1642">
            <v>1</v>
          </cell>
          <cell r="H1642">
            <v>46258</v>
          </cell>
          <cell r="I1642">
            <v>0</v>
          </cell>
          <cell r="J1642">
            <v>1</v>
          </cell>
          <cell r="K1642">
            <v>0</v>
          </cell>
          <cell r="L1642">
            <v>0</v>
          </cell>
          <cell r="M1642">
            <v>0</v>
          </cell>
          <cell r="N1642">
            <v>0</v>
          </cell>
          <cell r="O1642">
            <v>0</v>
          </cell>
          <cell r="P1642">
            <v>0</v>
          </cell>
        </row>
        <row r="1643">
          <cell r="C1643">
            <v>167</v>
          </cell>
          <cell r="F1643">
            <v>1</v>
          </cell>
          <cell r="G1643">
            <v>1</v>
          </cell>
          <cell r="H1643">
            <v>46258</v>
          </cell>
          <cell r="I1643">
            <v>0</v>
          </cell>
          <cell r="J1643">
            <v>2</v>
          </cell>
          <cell r="K1643">
            <v>0</v>
          </cell>
          <cell r="L1643">
            <v>0</v>
          </cell>
          <cell r="M1643">
            <v>0</v>
          </cell>
          <cell r="N1643">
            <v>0</v>
          </cell>
          <cell r="O1643">
            <v>0</v>
          </cell>
          <cell r="P1643">
            <v>0</v>
          </cell>
        </row>
        <row r="1644">
          <cell r="C1644">
            <v>219</v>
          </cell>
          <cell r="F1644">
            <v>1</v>
          </cell>
          <cell r="G1644">
            <v>1</v>
          </cell>
          <cell r="H1644">
            <v>46258</v>
          </cell>
          <cell r="I1644">
            <v>0</v>
          </cell>
          <cell r="J1644">
            <v>5</v>
          </cell>
          <cell r="K1644">
            <v>0</v>
          </cell>
          <cell r="L1644">
            <v>0</v>
          </cell>
          <cell r="M1644">
            <v>0</v>
          </cell>
          <cell r="N1644">
            <v>0</v>
          </cell>
          <cell r="O1644">
            <v>0</v>
          </cell>
          <cell r="P1644">
            <v>0</v>
          </cell>
        </row>
        <row r="1645">
          <cell r="C1645">
            <v>99</v>
          </cell>
          <cell r="F1645">
            <v>1</v>
          </cell>
          <cell r="G1645">
            <v>1</v>
          </cell>
          <cell r="H1645">
            <v>46258</v>
          </cell>
          <cell r="I1645">
            <v>0</v>
          </cell>
          <cell r="J1645">
            <v>1</v>
          </cell>
          <cell r="K1645">
            <v>0</v>
          </cell>
          <cell r="L1645">
            <v>0</v>
          </cell>
          <cell r="M1645">
            <v>0</v>
          </cell>
          <cell r="N1645">
            <v>0</v>
          </cell>
          <cell r="O1645">
            <v>0</v>
          </cell>
          <cell r="P1645">
            <v>0</v>
          </cell>
        </row>
        <row r="1646">
          <cell r="C1646">
            <v>94</v>
          </cell>
          <cell r="F1646">
            <v>1</v>
          </cell>
          <cell r="G1646">
            <v>1</v>
          </cell>
          <cell r="H1646">
            <v>46258</v>
          </cell>
          <cell r="I1646">
            <v>0</v>
          </cell>
          <cell r="J1646">
            <v>5</v>
          </cell>
          <cell r="K1646">
            <v>0</v>
          </cell>
          <cell r="L1646">
            <v>0</v>
          </cell>
          <cell r="M1646">
            <v>0</v>
          </cell>
          <cell r="N1646">
            <v>0</v>
          </cell>
          <cell r="O1646">
            <v>0</v>
          </cell>
          <cell r="P1646">
            <v>0</v>
          </cell>
        </row>
        <row r="1647">
          <cell r="C1647">
            <v>76</v>
          </cell>
          <cell r="F1647">
            <v>1</v>
          </cell>
          <cell r="G1647">
            <v>1</v>
          </cell>
          <cell r="H1647">
            <v>46258</v>
          </cell>
          <cell r="I1647">
            <v>0</v>
          </cell>
          <cell r="J1647">
            <v>1</v>
          </cell>
          <cell r="K1647">
            <v>0</v>
          </cell>
          <cell r="L1647">
            <v>0</v>
          </cell>
          <cell r="M1647">
            <v>0</v>
          </cell>
          <cell r="N1647">
            <v>0</v>
          </cell>
          <cell r="O1647">
            <v>0</v>
          </cell>
          <cell r="P1647">
            <v>0</v>
          </cell>
        </row>
        <row r="1648">
          <cell r="C1648">
            <v>82</v>
          </cell>
          <cell r="F1648">
            <v>1</v>
          </cell>
          <cell r="G1648">
            <v>1</v>
          </cell>
          <cell r="H1648">
            <v>46258</v>
          </cell>
          <cell r="I1648">
            <v>0</v>
          </cell>
          <cell r="J1648">
            <v>2</v>
          </cell>
          <cell r="K1648">
            <v>0</v>
          </cell>
          <cell r="L1648">
            <v>0</v>
          </cell>
          <cell r="M1648">
            <v>0</v>
          </cell>
          <cell r="N1648">
            <v>0</v>
          </cell>
          <cell r="O1648">
            <v>0</v>
          </cell>
          <cell r="P1648">
            <v>0</v>
          </cell>
        </row>
        <row r="1649">
          <cell r="C1649">
            <v>276</v>
          </cell>
          <cell r="F1649">
            <v>1</v>
          </cell>
          <cell r="G1649">
            <v>1</v>
          </cell>
          <cell r="H1649">
            <v>46258</v>
          </cell>
          <cell r="I1649">
            <v>0</v>
          </cell>
          <cell r="J1649">
            <v>3</v>
          </cell>
          <cell r="K1649">
            <v>0</v>
          </cell>
          <cell r="L1649">
            <v>0</v>
          </cell>
          <cell r="M1649">
            <v>0</v>
          </cell>
          <cell r="N1649">
            <v>0</v>
          </cell>
          <cell r="O1649">
            <v>0</v>
          </cell>
          <cell r="P1649">
            <v>0</v>
          </cell>
        </row>
        <row r="1650">
          <cell r="C1650">
            <v>125</v>
          </cell>
          <cell r="F1650">
            <v>1</v>
          </cell>
          <cell r="G1650">
            <v>1</v>
          </cell>
          <cell r="H1650">
            <v>46258</v>
          </cell>
          <cell r="I1650">
            <v>0</v>
          </cell>
          <cell r="J1650">
            <v>50</v>
          </cell>
          <cell r="K1650">
            <v>0</v>
          </cell>
          <cell r="L1650">
            <v>0</v>
          </cell>
          <cell r="M1650">
            <v>0</v>
          </cell>
          <cell r="N1650">
            <v>0</v>
          </cell>
          <cell r="O1650">
            <v>0</v>
          </cell>
          <cell r="P1650">
            <v>0</v>
          </cell>
        </row>
        <row r="1651">
          <cell r="C1651">
            <v>101</v>
          </cell>
          <cell r="F1651">
            <v>1</v>
          </cell>
          <cell r="G1651">
            <v>1</v>
          </cell>
          <cell r="H1651">
            <v>46258</v>
          </cell>
          <cell r="I1651">
            <v>0</v>
          </cell>
          <cell r="J1651">
            <v>1000</v>
          </cell>
          <cell r="K1651">
            <v>0</v>
          </cell>
          <cell r="L1651">
            <v>0</v>
          </cell>
          <cell r="M1651">
            <v>0</v>
          </cell>
          <cell r="N1651">
            <v>0</v>
          </cell>
          <cell r="O1651">
            <v>0</v>
          </cell>
          <cell r="P1651">
            <v>0</v>
          </cell>
        </row>
        <row r="1652">
          <cell r="C1652">
            <v>150</v>
          </cell>
          <cell r="F1652">
            <v>1</v>
          </cell>
          <cell r="G1652">
            <v>1</v>
          </cell>
          <cell r="H1652">
            <v>46258</v>
          </cell>
          <cell r="I1652">
            <v>0</v>
          </cell>
          <cell r="J1652">
            <v>5</v>
          </cell>
          <cell r="K1652">
            <v>0</v>
          </cell>
          <cell r="L1652">
            <v>0</v>
          </cell>
          <cell r="M1652">
            <v>0</v>
          </cell>
          <cell r="N1652">
            <v>0</v>
          </cell>
          <cell r="O1652">
            <v>0</v>
          </cell>
          <cell r="P1652">
            <v>0</v>
          </cell>
        </row>
        <row r="1653">
          <cell r="C1653">
            <v>390</v>
          </cell>
          <cell r="F1653">
            <v>1</v>
          </cell>
          <cell r="G1653">
            <v>1</v>
          </cell>
          <cell r="H1653">
            <v>46258</v>
          </cell>
          <cell r="I1653">
            <v>0</v>
          </cell>
          <cell r="J1653">
            <v>4</v>
          </cell>
          <cell r="K1653">
            <v>0</v>
          </cell>
          <cell r="L1653">
            <v>0</v>
          </cell>
          <cell r="M1653">
            <v>0</v>
          </cell>
          <cell r="N1653">
            <v>0</v>
          </cell>
          <cell r="O1653">
            <v>0</v>
          </cell>
          <cell r="P1653">
            <v>0</v>
          </cell>
        </row>
        <row r="1654">
          <cell r="C1654">
            <v>397</v>
          </cell>
          <cell r="F1654">
            <v>1</v>
          </cell>
          <cell r="G1654">
            <v>1</v>
          </cell>
          <cell r="H1654">
            <v>46258</v>
          </cell>
          <cell r="I1654">
            <v>0</v>
          </cell>
          <cell r="J1654">
            <v>5</v>
          </cell>
          <cell r="K1654">
            <v>0</v>
          </cell>
          <cell r="L1654">
            <v>0</v>
          </cell>
          <cell r="M1654">
            <v>0</v>
          </cell>
          <cell r="N1654">
            <v>0</v>
          </cell>
          <cell r="O1654">
            <v>0</v>
          </cell>
          <cell r="P1654">
            <v>0</v>
          </cell>
        </row>
        <row r="1655">
          <cell r="C1655">
            <v>401</v>
          </cell>
          <cell r="F1655">
            <v>1</v>
          </cell>
          <cell r="G1655">
            <v>1</v>
          </cell>
          <cell r="H1655">
            <v>46258</v>
          </cell>
          <cell r="I1655">
            <v>0</v>
          </cell>
          <cell r="J1655">
            <v>1</v>
          </cell>
          <cell r="K1655">
            <v>0</v>
          </cell>
          <cell r="L1655">
            <v>0</v>
          </cell>
          <cell r="M1655">
            <v>0</v>
          </cell>
          <cell r="N1655">
            <v>0</v>
          </cell>
          <cell r="O1655">
            <v>0</v>
          </cell>
          <cell r="P1655">
            <v>0</v>
          </cell>
        </row>
        <row r="1656">
          <cell r="C1656">
            <v>418</v>
          </cell>
          <cell r="F1656">
            <v>1</v>
          </cell>
          <cell r="G1656">
            <v>1</v>
          </cell>
          <cell r="H1656">
            <v>46259</v>
          </cell>
          <cell r="I1656">
            <v>0</v>
          </cell>
          <cell r="J1656">
            <v>0</v>
          </cell>
          <cell r="K1656">
            <v>0</v>
          </cell>
          <cell r="L1656">
            <v>2</v>
          </cell>
          <cell r="M1656">
            <v>0</v>
          </cell>
          <cell r="N1656">
            <v>0</v>
          </cell>
          <cell r="O1656">
            <v>0</v>
          </cell>
          <cell r="P1656">
            <v>0</v>
          </cell>
        </row>
        <row r="1657">
          <cell r="C1657">
            <v>419</v>
          </cell>
          <cell r="F1657">
            <v>1</v>
          </cell>
          <cell r="G1657">
            <v>1</v>
          </cell>
          <cell r="H1657">
            <v>46259</v>
          </cell>
          <cell r="I1657">
            <v>0</v>
          </cell>
          <cell r="J1657">
            <v>0</v>
          </cell>
          <cell r="K1657">
            <v>0</v>
          </cell>
          <cell r="L1657">
            <v>2</v>
          </cell>
          <cell r="M1657">
            <v>0</v>
          </cell>
          <cell r="N1657">
            <v>0</v>
          </cell>
          <cell r="O1657">
            <v>0</v>
          </cell>
          <cell r="P1657">
            <v>0</v>
          </cell>
        </row>
        <row r="1658">
          <cell r="C1658">
            <v>305</v>
          </cell>
          <cell r="F1658">
            <v>1</v>
          </cell>
          <cell r="G1658">
            <v>1</v>
          </cell>
          <cell r="H1658">
            <v>46259</v>
          </cell>
          <cell r="I1658">
            <v>0</v>
          </cell>
          <cell r="J1658">
            <v>200</v>
          </cell>
          <cell r="K1658">
            <v>0</v>
          </cell>
          <cell r="L1658">
            <v>0</v>
          </cell>
          <cell r="M1658">
            <v>0</v>
          </cell>
          <cell r="N1658">
            <v>0</v>
          </cell>
          <cell r="O1658">
            <v>0</v>
          </cell>
          <cell r="P1658">
            <v>0</v>
          </cell>
        </row>
        <row r="1659">
          <cell r="C1659">
            <v>373</v>
          </cell>
          <cell r="F1659">
            <v>1</v>
          </cell>
          <cell r="G1659">
            <v>1</v>
          </cell>
          <cell r="H1659">
            <v>46259</v>
          </cell>
          <cell r="I1659">
            <v>0</v>
          </cell>
          <cell r="J1659">
            <v>4</v>
          </cell>
          <cell r="K1659">
            <v>0</v>
          </cell>
          <cell r="L1659">
            <v>0</v>
          </cell>
          <cell r="M1659">
            <v>0</v>
          </cell>
          <cell r="N1659">
            <v>0</v>
          </cell>
          <cell r="O1659">
            <v>0</v>
          </cell>
          <cell r="P1659">
            <v>0</v>
          </cell>
        </row>
        <row r="1660">
          <cell r="C1660">
            <v>177</v>
          </cell>
          <cell r="F1660">
            <v>1</v>
          </cell>
          <cell r="G1660">
            <v>1</v>
          </cell>
          <cell r="H1660">
            <v>46259</v>
          </cell>
          <cell r="I1660">
            <v>0</v>
          </cell>
          <cell r="J1660">
            <v>101</v>
          </cell>
          <cell r="K1660">
            <v>0</v>
          </cell>
          <cell r="L1660">
            <v>0</v>
          </cell>
          <cell r="M1660">
            <v>0</v>
          </cell>
          <cell r="N1660">
            <v>0</v>
          </cell>
          <cell r="O1660">
            <v>0</v>
          </cell>
          <cell r="P1660">
            <v>0</v>
          </cell>
        </row>
        <row r="1661">
          <cell r="C1661">
            <v>414</v>
          </cell>
          <cell r="F1661">
            <v>1</v>
          </cell>
          <cell r="G1661">
            <v>1</v>
          </cell>
          <cell r="H1661">
            <v>46259</v>
          </cell>
          <cell r="I1661">
            <v>0</v>
          </cell>
          <cell r="J1661">
            <v>1</v>
          </cell>
          <cell r="K1661">
            <v>0</v>
          </cell>
          <cell r="L1661">
            <v>0</v>
          </cell>
          <cell r="M1661">
            <v>0</v>
          </cell>
          <cell r="N1661">
            <v>0</v>
          </cell>
          <cell r="O1661">
            <v>0</v>
          </cell>
          <cell r="P1661">
            <v>0</v>
          </cell>
        </row>
        <row r="1662">
          <cell r="C1662">
            <v>396</v>
          </cell>
          <cell r="F1662">
            <v>1</v>
          </cell>
          <cell r="G1662">
            <v>1</v>
          </cell>
          <cell r="H1662">
            <v>46259</v>
          </cell>
          <cell r="I1662">
            <v>0</v>
          </cell>
          <cell r="J1662">
            <v>1</v>
          </cell>
          <cell r="K1662">
            <v>0</v>
          </cell>
          <cell r="L1662">
            <v>0</v>
          </cell>
          <cell r="M1662">
            <v>0</v>
          </cell>
          <cell r="N1662">
            <v>0</v>
          </cell>
          <cell r="O1662">
            <v>0</v>
          </cell>
          <cell r="P1662">
            <v>0</v>
          </cell>
        </row>
        <row r="1663">
          <cell r="C1663">
            <v>392</v>
          </cell>
          <cell r="F1663">
            <v>1</v>
          </cell>
          <cell r="G1663">
            <v>1</v>
          </cell>
          <cell r="H1663">
            <v>46259</v>
          </cell>
          <cell r="I1663">
            <v>0</v>
          </cell>
          <cell r="J1663">
            <v>1</v>
          </cell>
          <cell r="K1663">
            <v>0</v>
          </cell>
          <cell r="L1663">
            <v>0</v>
          </cell>
          <cell r="M1663">
            <v>0</v>
          </cell>
          <cell r="N1663">
            <v>0</v>
          </cell>
          <cell r="O1663">
            <v>0</v>
          </cell>
          <cell r="P1663">
            <v>0</v>
          </cell>
        </row>
        <row r="1664">
          <cell r="C1664">
            <v>374</v>
          </cell>
          <cell r="F1664">
            <v>1</v>
          </cell>
          <cell r="G1664">
            <v>1</v>
          </cell>
          <cell r="H1664">
            <v>46259</v>
          </cell>
          <cell r="I1664">
            <v>0</v>
          </cell>
          <cell r="J1664">
            <v>1</v>
          </cell>
          <cell r="K1664">
            <v>0</v>
          </cell>
          <cell r="L1664">
            <v>0</v>
          </cell>
          <cell r="M1664">
            <v>0</v>
          </cell>
          <cell r="N1664">
            <v>0</v>
          </cell>
          <cell r="O1664">
            <v>0</v>
          </cell>
          <cell r="P1664">
            <v>0</v>
          </cell>
        </row>
        <row r="1665">
          <cell r="C1665">
            <v>401</v>
          </cell>
          <cell r="F1665">
            <v>1</v>
          </cell>
          <cell r="G1665">
            <v>1</v>
          </cell>
          <cell r="H1665">
            <v>46259</v>
          </cell>
          <cell r="I1665">
            <v>0</v>
          </cell>
          <cell r="J1665">
            <v>1</v>
          </cell>
          <cell r="K1665">
            <v>0</v>
          </cell>
          <cell r="L1665">
            <v>0</v>
          </cell>
          <cell r="M1665">
            <v>0</v>
          </cell>
          <cell r="N1665">
            <v>0</v>
          </cell>
          <cell r="O1665">
            <v>0</v>
          </cell>
          <cell r="P1665">
            <v>0</v>
          </cell>
        </row>
        <row r="1666">
          <cell r="C1666">
            <v>403</v>
          </cell>
          <cell r="F1666">
            <v>1</v>
          </cell>
          <cell r="G1666">
            <v>1</v>
          </cell>
          <cell r="H1666">
            <v>46259</v>
          </cell>
          <cell r="I1666">
            <v>0</v>
          </cell>
          <cell r="J1666">
            <v>2</v>
          </cell>
          <cell r="K1666">
            <v>0</v>
          </cell>
          <cell r="L1666">
            <v>0</v>
          </cell>
          <cell r="M1666">
            <v>0</v>
          </cell>
          <cell r="N1666">
            <v>0</v>
          </cell>
          <cell r="O1666">
            <v>0</v>
          </cell>
          <cell r="P1666">
            <v>0</v>
          </cell>
        </row>
        <row r="1667">
          <cell r="C1667">
            <v>427</v>
          </cell>
          <cell r="F1667">
            <v>1</v>
          </cell>
          <cell r="G1667">
            <v>1</v>
          </cell>
          <cell r="H1667">
            <v>46259</v>
          </cell>
          <cell r="I1667">
            <v>0</v>
          </cell>
          <cell r="J1667">
            <v>1</v>
          </cell>
          <cell r="K1667">
            <v>0</v>
          </cell>
          <cell r="L1667">
            <v>0</v>
          </cell>
          <cell r="M1667">
            <v>0</v>
          </cell>
          <cell r="N1667">
            <v>0</v>
          </cell>
          <cell r="O1667">
            <v>0</v>
          </cell>
          <cell r="P1667">
            <v>0</v>
          </cell>
        </row>
        <row r="1668">
          <cell r="C1668">
            <v>420</v>
          </cell>
          <cell r="F1668">
            <v>1</v>
          </cell>
          <cell r="G1668">
            <v>1</v>
          </cell>
          <cell r="H1668">
            <v>46259</v>
          </cell>
          <cell r="I1668">
            <v>0</v>
          </cell>
          <cell r="J1668">
            <v>3</v>
          </cell>
          <cell r="K1668">
            <v>0</v>
          </cell>
          <cell r="L1668">
            <v>0</v>
          </cell>
          <cell r="M1668">
            <v>0</v>
          </cell>
          <cell r="N1668">
            <v>0</v>
          </cell>
          <cell r="O1668">
            <v>0</v>
          </cell>
          <cell r="P1668">
            <v>0</v>
          </cell>
        </row>
        <row r="1669">
          <cell r="C1669">
            <v>241</v>
          </cell>
          <cell r="F1669">
            <v>1</v>
          </cell>
          <cell r="G1669">
            <v>1</v>
          </cell>
          <cell r="H1669">
            <v>46259</v>
          </cell>
          <cell r="I1669">
            <v>0</v>
          </cell>
          <cell r="J1669">
            <v>2</v>
          </cell>
          <cell r="K1669">
            <v>0</v>
          </cell>
          <cell r="L1669">
            <v>0</v>
          </cell>
          <cell r="M1669">
            <v>0</v>
          </cell>
          <cell r="N1669">
            <v>0</v>
          </cell>
          <cell r="O1669">
            <v>0</v>
          </cell>
          <cell r="P1669">
            <v>0</v>
          </cell>
        </row>
        <row r="1670">
          <cell r="C1670">
            <v>411</v>
          </cell>
          <cell r="F1670">
            <v>1</v>
          </cell>
          <cell r="G1670">
            <v>1</v>
          </cell>
          <cell r="H1670">
            <v>46259</v>
          </cell>
          <cell r="I1670">
            <v>0</v>
          </cell>
          <cell r="J1670">
            <v>2</v>
          </cell>
          <cell r="K1670">
            <v>0</v>
          </cell>
          <cell r="L1670">
            <v>0</v>
          </cell>
          <cell r="M1670">
            <v>0</v>
          </cell>
          <cell r="N1670">
            <v>0</v>
          </cell>
          <cell r="O1670">
            <v>0</v>
          </cell>
          <cell r="P1670">
            <v>0</v>
          </cell>
        </row>
        <row r="1671">
          <cell r="C1671">
            <v>433</v>
          </cell>
          <cell r="F1671">
            <v>1</v>
          </cell>
          <cell r="G1671">
            <v>1</v>
          </cell>
          <cell r="H1671">
            <v>46259</v>
          </cell>
          <cell r="I1671">
            <v>0</v>
          </cell>
          <cell r="J1671">
            <v>5</v>
          </cell>
          <cell r="K1671">
            <v>0</v>
          </cell>
          <cell r="L1671">
            <v>0</v>
          </cell>
          <cell r="M1671">
            <v>0</v>
          </cell>
          <cell r="N1671">
            <v>0</v>
          </cell>
          <cell r="O1671">
            <v>0</v>
          </cell>
          <cell r="P1671">
            <v>0</v>
          </cell>
        </row>
        <row r="1672">
          <cell r="C1672">
            <v>197</v>
          </cell>
          <cell r="F1672">
            <v>1</v>
          </cell>
          <cell r="G1672">
            <v>1</v>
          </cell>
          <cell r="H1672">
            <v>46259</v>
          </cell>
          <cell r="I1672">
            <v>0</v>
          </cell>
          <cell r="J1672">
            <v>4</v>
          </cell>
          <cell r="K1672">
            <v>0</v>
          </cell>
          <cell r="L1672">
            <v>0</v>
          </cell>
          <cell r="M1672">
            <v>0</v>
          </cell>
          <cell r="N1672">
            <v>0</v>
          </cell>
          <cell r="O1672">
            <v>0</v>
          </cell>
          <cell r="P1672">
            <v>0</v>
          </cell>
        </row>
        <row r="1673">
          <cell r="C1673">
            <v>108</v>
          </cell>
          <cell r="F1673">
            <v>1</v>
          </cell>
          <cell r="G1673">
            <v>1</v>
          </cell>
          <cell r="H1673">
            <v>46259</v>
          </cell>
          <cell r="I1673">
            <v>0</v>
          </cell>
          <cell r="J1673">
            <v>1</v>
          </cell>
          <cell r="K1673">
            <v>0</v>
          </cell>
          <cell r="L1673">
            <v>0</v>
          </cell>
          <cell r="M1673">
            <v>0</v>
          </cell>
          <cell r="N1673">
            <v>0</v>
          </cell>
          <cell r="O1673">
            <v>0</v>
          </cell>
          <cell r="P1673">
            <v>0</v>
          </cell>
        </row>
        <row r="1674">
          <cell r="C1674">
            <v>101</v>
          </cell>
          <cell r="F1674">
            <v>1</v>
          </cell>
          <cell r="G1674">
            <v>1</v>
          </cell>
          <cell r="H1674">
            <v>46259</v>
          </cell>
          <cell r="I1674">
            <v>0</v>
          </cell>
          <cell r="J1674">
            <v>1000</v>
          </cell>
          <cell r="K1674">
            <v>0</v>
          </cell>
          <cell r="L1674">
            <v>0</v>
          </cell>
          <cell r="M1674">
            <v>0</v>
          </cell>
          <cell r="N1674">
            <v>0</v>
          </cell>
          <cell r="O1674">
            <v>0</v>
          </cell>
          <cell r="P1674">
            <v>0</v>
          </cell>
        </row>
        <row r="1675">
          <cell r="C1675">
            <v>145</v>
          </cell>
          <cell r="F1675">
            <v>1</v>
          </cell>
          <cell r="G1675">
            <v>1</v>
          </cell>
          <cell r="H1675">
            <v>46259</v>
          </cell>
          <cell r="I1675">
            <v>0</v>
          </cell>
          <cell r="J1675">
            <v>1</v>
          </cell>
          <cell r="K1675">
            <v>0</v>
          </cell>
          <cell r="L1675">
            <v>0</v>
          </cell>
          <cell r="M1675">
            <v>0</v>
          </cell>
          <cell r="N1675">
            <v>0</v>
          </cell>
          <cell r="O1675">
            <v>0</v>
          </cell>
          <cell r="P1675">
            <v>0</v>
          </cell>
        </row>
        <row r="1676">
          <cell r="C1676">
            <v>150</v>
          </cell>
          <cell r="F1676">
            <v>1</v>
          </cell>
          <cell r="G1676">
            <v>1</v>
          </cell>
          <cell r="H1676">
            <v>46259</v>
          </cell>
          <cell r="I1676">
            <v>0</v>
          </cell>
          <cell r="J1676">
            <v>2</v>
          </cell>
          <cell r="K1676">
            <v>0</v>
          </cell>
          <cell r="L1676">
            <v>0</v>
          </cell>
          <cell r="M1676">
            <v>0</v>
          </cell>
          <cell r="N1676">
            <v>0</v>
          </cell>
          <cell r="O1676">
            <v>0</v>
          </cell>
          <cell r="P1676">
            <v>0</v>
          </cell>
        </row>
        <row r="1677">
          <cell r="C1677">
            <v>366</v>
          </cell>
          <cell r="F1677">
            <v>1</v>
          </cell>
          <cell r="G1677">
            <v>1</v>
          </cell>
          <cell r="H1677">
            <v>46259</v>
          </cell>
          <cell r="I1677">
            <v>0</v>
          </cell>
          <cell r="J1677">
            <v>2</v>
          </cell>
          <cell r="K1677">
            <v>0</v>
          </cell>
          <cell r="L1677">
            <v>0</v>
          </cell>
          <cell r="M1677">
            <v>0</v>
          </cell>
          <cell r="N1677">
            <v>0</v>
          </cell>
          <cell r="O1677">
            <v>0</v>
          </cell>
          <cell r="P1677">
            <v>0</v>
          </cell>
        </row>
        <row r="1678">
          <cell r="C1678">
            <v>363</v>
          </cell>
          <cell r="F1678">
            <v>1</v>
          </cell>
          <cell r="G1678">
            <v>1</v>
          </cell>
          <cell r="H1678">
            <v>46259</v>
          </cell>
          <cell r="I1678">
            <v>0</v>
          </cell>
          <cell r="J1678">
            <v>1</v>
          </cell>
          <cell r="K1678">
            <v>0</v>
          </cell>
          <cell r="L1678">
            <v>0</v>
          </cell>
          <cell r="M1678">
            <v>0</v>
          </cell>
          <cell r="N1678">
            <v>0</v>
          </cell>
          <cell r="O1678">
            <v>0</v>
          </cell>
          <cell r="P1678">
            <v>0</v>
          </cell>
        </row>
        <row r="1679">
          <cell r="C1679">
            <v>429</v>
          </cell>
          <cell r="F1679">
            <v>1</v>
          </cell>
          <cell r="G1679">
            <v>1</v>
          </cell>
          <cell r="H1679">
            <v>46259</v>
          </cell>
          <cell r="I1679">
            <v>0</v>
          </cell>
          <cell r="J1679">
            <v>1</v>
          </cell>
          <cell r="K1679">
            <v>0</v>
          </cell>
          <cell r="L1679">
            <v>0</v>
          </cell>
          <cell r="M1679">
            <v>0</v>
          </cell>
          <cell r="N1679">
            <v>0</v>
          </cell>
          <cell r="O1679">
            <v>0</v>
          </cell>
          <cell r="P1679">
            <v>0</v>
          </cell>
        </row>
        <row r="1680">
          <cell r="C1680">
            <v>410</v>
          </cell>
          <cell r="F1680">
            <v>1</v>
          </cell>
          <cell r="G1680">
            <v>1</v>
          </cell>
          <cell r="H1680">
            <v>46259</v>
          </cell>
          <cell r="I1680">
            <v>0</v>
          </cell>
          <cell r="J1680">
            <v>1</v>
          </cell>
          <cell r="K1680">
            <v>0</v>
          </cell>
          <cell r="L1680">
            <v>0</v>
          </cell>
          <cell r="M1680">
            <v>0</v>
          </cell>
          <cell r="N1680">
            <v>0</v>
          </cell>
          <cell r="O1680">
            <v>0</v>
          </cell>
          <cell r="P1680">
            <v>0</v>
          </cell>
        </row>
        <row r="1681">
          <cell r="C1681">
            <v>399</v>
          </cell>
          <cell r="F1681">
            <v>1</v>
          </cell>
          <cell r="G1681">
            <v>1</v>
          </cell>
          <cell r="H1681">
            <v>46259</v>
          </cell>
          <cell r="I1681">
            <v>0</v>
          </cell>
          <cell r="J1681">
            <v>1</v>
          </cell>
          <cell r="K1681">
            <v>0</v>
          </cell>
          <cell r="L1681">
            <v>0</v>
          </cell>
          <cell r="M1681">
            <v>0</v>
          </cell>
          <cell r="N1681">
            <v>0</v>
          </cell>
          <cell r="O1681">
            <v>0</v>
          </cell>
          <cell r="P1681">
            <v>0</v>
          </cell>
        </row>
        <row r="1682">
          <cell r="C1682">
            <v>5</v>
          </cell>
          <cell r="F1682">
            <v>1</v>
          </cell>
          <cell r="G1682">
            <v>1</v>
          </cell>
          <cell r="H1682">
            <v>46259</v>
          </cell>
          <cell r="I1682">
            <v>0</v>
          </cell>
          <cell r="J1682">
            <v>8</v>
          </cell>
          <cell r="K1682">
            <v>0</v>
          </cell>
          <cell r="L1682">
            <v>0</v>
          </cell>
          <cell r="M1682">
            <v>0</v>
          </cell>
          <cell r="N1682">
            <v>0</v>
          </cell>
          <cell r="O1682">
            <v>0</v>
          </cell>
          <cell r="P1682">
            <v>0</v>
          </cell>
        </row>
        <row r="1683">
          <cell r="C1683">
            <v>8</v>
          </cell>
          <cell r="F1683">
            <v>1</v>
          </cell>
          <cell r="G1683">
            <v>1</v>
          </cell>
          <cell r="H1683">
            <v>46259</v>
          </cell>
          <cell r="I1683">
            <v>0</v>
          </cell>
          <cell r="J1683">
            <v>4</v>
          </cell>
          <cell r="K1683">
            <v>0</v>
          </cell>
          <cell r="L1683">
            <v>0</v>
          </cell>
          <cell r="M1683">
            <v>0</v>
          </cell>
          <cell r="N1683">
            <v>0</v>
          </cell>
          <cell r="O1683">
            <v>0</v>
          </cell>
          <cell r="P1683">
            <v>0</v>
          </cell>
        </row>
        <row r="1684">
          <cell r="C1684">
            <v>7</v>
          </cell>
          <cell r="F1684">
            <v>1</v>
          </cell>
          <cell r="G1684">
            <v>1</v>
          </cell>
          <cell r="H1684">
            <v>46259</v>
          </cell>
          <cell r="I1684">
            <v>0</v>
          </cell>
          <cell r="J1684">
            <v>4</v>
          </cell>
          <cell r="K1684">
            <v>0</v>
          </cell>
          <cell r="L1684">
            <v>0</v>
          </cell>
          <cell r="M1684">
            <v>0</v>
          </cell>
          <cell r="N1684">
            <v>0</v>
          </cell>
          <cell r="O1684">
            <v>0</v>
          </cell>
          <cell r="P1684">
            <v>0</v>
          </cell>
        </row>
        <row r="1685">
          <cell r="C1685">
            <v>41</v>
          </cell>
          <cell r="F1685">
            <v>1</v>
          </cell>
          <cell r="G1685">
            <v>1</v>
          </cell>
          <cell r="H1685">
            <v>46259</v>
          </cell>
          <cell r="I1685">
            <v>0</v>
          </cell>
          <cell r="J1685">
            <v>2</v>
          </cell>
          <cell r="K1685">
            <v>0</v>
          </cell>
          <cell r="L1685">
            <v>0</v>
          </cell>
          <cell r="M1685">
            <v>0</v>
          </cell>
          <cell r="N1685">
            <v>0</v>
          </cell>
          <cell r="O1685">
            <v>0</v>
          </cell>
          <cell r="P1685">
            <v>0</v>
          </cell>
        </row>
        <row r="1686">
          <cell r="C1686">
            <v>66</v>
          </cell>
          <cell r="F1686">
            <v>1</v>
          </cell>
          <cell r="G1686">
            <v>1</v>
          </cell>
          <cell r="H1686">
            <v>46259</v>
          </cell>
          <cell r="I1686">
            <v>0</v>
          </cell>
          <cell r="J1686">
            <v>1</v>
          </cell>
          <cell r="K1686">
            <v>0</v>
          </cell>
          <cell r="L1686">
            <v>5</v>
          </cell>
          <cell r="M1686">
            <v>0</v>
          </cell>
          <cell r="N1686">
            <v>0</v>
          </cell>
          <cell r="O1686">
            <v>0</v>
          </cell>
          <cell r="P1686">
            <v>0</v>
          </cell>
        </row>
        <row r="1687">
          <cell r="C1687">
            <v>46</v>
          </cell>
          <cell r="F1687">
            <v>1</v>
          </cell>
          <cell r="G1687">
            <v>1</v>
          </cell>
          <cell r="H1687">
            <v>46259</v>
          </cell>
          <cell r="I1687">
            <v>0</v>
          </cell>
          <cell r="J1687">
            <v>1</v>
          </cell>
          <cell r="K1687">
            <v>0</v>
          </cell>
          <cell r="L1687">
            <v>0</v>
          </cell>
          <cell r="M1687">
            <v>0</v>
          </cell>
          <cell r="N1687">
            <v>0</v>
          </cell>
          <cell r="O1687">
            <v>0</v>
          </cell>
          <cell r="P1687">
            <v>0</v>
          </cell>
        </row>
        <row r="1688">
          <cell r="C1688">
            <v>48</v>
          </cell>
          <cell r="F1688">
            <v>1</v>
          </cell>
          <cell r="G1688">
            <v>1</v>
          </cell>
          <cell r="H1688">
            <v>46259</v>
          </cell>
          <cell r="I1688">
            <v>0</v>
          </cell>
          <cell r="J1688">
            <v>1</v>
          </cell>
          <cell r="K1688">
            <v>0</v>
          </cell>
          <cell r="L1688">
            <v>0</v>
          </cell>
          <cell r="M1688">
            <v>0</v>
          </cell>
          <cell r="N1688">
            <v>0</v>
          </cell>
          <cell r="O1688">
            <v>0</v>
          </cell>
          <cell r="P1688">
            <v>0</v>
          </cell>
        </row>
        <row r="1689">
          <cell r="C1689">
            <v>70</v>
          </cell>
          <cell r="F1689">
            <v>1</v>
          </cell>
          <cell r="G1689">
            <v>1</v>
          </cell>
          <cell r="H1689">
            <v>46259</v>
          </cell>
          <cell r="I1689">
            <v>0</v>
          </cell>
          <cell r="J1689">
            <v>1</v>
          </cell>
          <cell r="K1689">
            <v>0</v>
          </cell>
          <cell r="L1689">
            <v>0</v>
          </cell>
          <cell r="M1689">
            <v>0</v>
          </cell>
          <cell r="N1689">
            <v>0</v>
          </cell>
          <cell r="O1689">
            <v>0</v>
          </cell>
          <cell r="P1689">
            <v>0</v>
          </cell>
        </row>
        <row r="1690">
          <cell r="C1690">
            <v>45</v>
          </cell>
          <cell r="F1690">
            <v>1</v>
          </cell>
          <cell r="G1690">
            <v>1</v>
          </cell>
          <cell r="H1690">
            <v>46259</v>
          </cell>
          <cell r="I1690">
            <v>0</v>
          </cell>
          <cell r="J1690">
            <v>1</v>
          </cell>
          <cell r="K1690">
            <v>0</v>
          </cell>
          <cell r="L1690">
            <v>0</v>
          </cell>
          <cell r="M1690">
            <v>0</v>
          </cell>
          <cell r="N1690">
            <v>0</v>
          </cell>
          <cell r="O1690">
            <v>0</v>
          </cell>
          <cell r="P1690">
            <v>0</v>
          </cell>
        </row>
        <row r="1691">
          <cell r="C1691">
            <v>372</v>
          </cell>
          <cell r="F1691">
            <v>1</v>
          </cell>
          <cell r="G1691">
            <v>1</v>
          </cell>
          <cell r="H1691">
            <v>46259</v>
          </cell>
          <cell r="I1691">
            <v>0</v>
          </cell>
          <cell r="J1691">
            <v>1</v>
          </cell>
          <cell r="K1691">
            <v>0</v>
          </cell>
          <cell r="L1691">
            <v>0</v>
          </cell>
          <cell r="M1691">
            <v>0</v>
          </cell>
          <cell r="N1691">
            <v>0</v>
          </cell>
          <cell r="O1691">
            <v>0</v>
          </cell>
          <cell r="P1691">
            <v>0</v>
          </cell>
        </row>
        <row r="1692">
          <cell r="C1692">
            <v>424</v>
          </cell>
          <cell r="F1692">
            <v>1</v>
          </cell>
          <cell r="G1692">
            <v>1</v>
          </cell>
          <cell r="H1692">
            <v>46259</v>
          </cell>
          <cell r="I1692">
            <v>0</v>
          </cell>
          <cell r="J1692">
            <v>2</v>
          </cell>
          <cell r="K1692">
            <v>0</v>
          </cell>
          <cell r="L1692">
            <v>0</v>
          </cell>
          <cell r="M1692">
            <v>0</v>
          </cell>
          <cell r="N1692">
            <v>0</v>
          </cell>
          <cell r="O1692">
            <v>0</v>
          </cell>
          <cell r="P1692">
            <v>0</v>
          </cell>
        </row>
        <row r="1693">
          <cell r="C1693">
            <v>219</v>
          </cell>
          <cell r="F1693">
            <v>1</v>
          </cell>
          <cell r="G1693">
            <v>1</v>
          </cell>
          <cell r="H1693">
            <v>46259</v>
          </cell>
          <cell r="I1693">
            <v>0</v>
          </cell>
          <cell r="J1693">
            <v>4</v>
          </cell>
          <cell r="K1693">
            <v>0</v>
          </cell>
          <cell r="L1693">
            <v>0</v>
          </cell>
          <cell r="M1693">
            <v>0</v>
          </cell>
          <cell r="N1693">
            <v>0</v>
          </cell>
          <cell r="O1693">
            <v>0</v>
          </cell>
          <cell r="P1693">
            <v>0</v>
          </cell>
        </row>
        <row r="1694">
          <cell r="C1694">
            <v>380</v>
          </cell>
          <cell r="F1694">
            <v>1</v>
          </cell>
          <cell r="G1694">
            <v>1</v>
          </cell>
          <cell r="H1694">
            <v>46259</v>
          </cell>
          <cell r="I1694">
            <v>0</v>
          </cell>
          <cell r="J1694">
            <v>2</v>
          </cell>
          <cell r="K1694">
            <v>0</v>
          </cell>
          <cell r="L1694">
            <v>0</v>
          </cell>
          <cell r="M1694">
            <v>0</v>
          </cell>
          <cell r="N1694">
            <v>0</v>
          </cell>
          <cell r="O1694">
            <v>0</v>
          </cell>
          <cell r="P1694">
            <v>0</v>
          </cell>
        </row>
        <row r="1695">
          <cell r="C1695">
            <v>20</v>
          </cell>
          <cell r="F1695">
            <v>1</v>
          </cell>
          <cell r="G1695">
            <v>1</v>
          </cell>
          <cell r="H1695">
            <v>46259</v>
          </cell>
          <cell r="I1695">
            <v>0</v>
          </cell>
          <cell r="J1695">
            <v>4</v>
          </cell>
          <cell r="K1695">
            <v>0</v>
          </cell>
          <cell r="L1695">
            <v>0</v>
          </cell>
          <cell r="M1695">
            <v>0</v>
          </cell>
          <cell r="N1695">
            <v>0</v>
          </cell>
          <cell r="O1695">
            <v>0</v>
          </cell>
          <cell r="P1695">
            <v>0</v>
          </cell>
        </row>
        <row r="1696">
          <cell r="C1696">
            <v>52</v>
          </cell>
          <cell r="F1696">
            <v>1</v>
          </cell>
          <cell r="G1696">
            <v>1</v>
          </cell>
          <cell r="H1696">
            <v>46259</v>
          </cell>
          <cell r="I1696">
            <v>0</v>
          </cell>
          <cell r="J1696">
            <v>1</v>
          </cell>
          <cell r="K1696">
            <v>0</v>
          </cell>
          <cell r="L1696">
            <v>0</v>
          </cell>
          <cell r="M1696">
            <v>0</v>
          </cell>
          <cell r="N1696">
            <v>0</v>
          </cell>
          <cell r="O1696">
            <v>0</v>
          </cell>
          <cell r="P1696">
            <v>0</v>
          </cell>
        </row>
        <row r="1697">
          <cell r="C1697">
            <v>144</v>
          </cell>
          <cell r="F1697">
            <v>1</v>
          </cell>
          <cell r="G1697">
            <v>1</v>
          </cell>
          <cell r="H1697">
            <v>46259</v>
          </cell>
          <cell r="I1697">
            <v>0</v>
          </cell>
          <cell r="J1697">
            <v>1</v>
          </cell>
          <cell r="K1697">
            <v>0</v>
          </cell>
          <cell r="L1697">
            <v>0</v>
          </cell>
          <cell r="M1697">
            <v>0</v>
          </cell>
          <cell r="N1697">
            <v>0</v>
          </cell>
          <cell r="O1697">
            <v>0</v>
          </cell>
          <cell r="P1697">
            <v>0</v>
          </cell>
        </row>
        <row r="1698">
          <cell r="C1698">
            <v>394</v>
          </cell>
          <cell r="F1698">
            <v>1</v>
          </cell>
          <cell r="G1698">
            <v>1</v>
          </cell>
          <cell r="H1698">
            <v>46259</v>
          </cell>
          <cell r="I1698">
            <v>0</v>
          </cell>
          <cell r="J1698">
            <v>1</v>
          </cell>
          <cell r="K1698">
            <v>0</v>
          </cell>
          <cell r="L1698">
            <v>0</v>
          </cell>
          <cell r="M1698">
            <v>0</v>
          </cell>
          <cell r="N1698">
            <v>0</v>
          </cell>
          <cell r="O1698">
            <v>0</v>
          </cell>
          <cell r="P1698">
            <v>0</v>
          </cell>
        </row>
        <row r="1699">
          <cell r="C1699">
            <v>413</v>
          </cell>
          <cell r="F1699">
            <v>1</v>
          </cell>
          <cell r="G1699">
            <v>1</v>
          </cell>
          <cell r="H1699">
            <v>46259</v>
          </cell>
          <cell r="I1699">
            <v>0</v>
          </cell>
          <cell r="J1699">
            <v>1</v>
          </cell>
          <cell r="K1699">
            <v>0</v>
          </cell>
          <cell r="L1699">
            <v>0</v>
          </cell>
          <cell r="M1699">
            <v>0</v>
          </cell>
          <cell r="N1699">
            <v>0</v>
          </cell>
          <cell r="O1699">
            <v>0</v>
          </cell>
          <cell r="P1699">
            <v>0</v>
          </cell>
        </row>
        <row r="1700">
          <cell r="C1700">
            <v>294</v>
          </cell>
          <cell r="F1700">
            <v>1</v>
          </cell>
          <cell r="G1700">
            <v>1</v>
          </cell>
          <cell r="H1700">
            <v>46260</v>
          </cell>
          <cell r="I1700">
            <v>0</v>
          </cell>
          <cell r="J1700">
            <v>5</v>
          </cell>
          <cell r="K1700">
            <v>0</v>
          </cell>
          <cell r="L1700">
            <v>0</v>
          </cell>
          <cell r="M1700">
            <v>0</v>
          </cell>
          <cell r="N1700">
            <v>0</v>
          </cell>
          <cell r="O1700">
            <v>0</v>
          </cell>
          <cell r="P1700">
            <v>0</v>
          </cell>
        </row>
        <row r="1701">
          <cell r="C1701">
            <v>144</v>
          </cell>
          <cell r="F1701">
            <v>1</v>
          </cell>
          <cell r="G1701">
            <v>1</v>
          </cell>
          <cell r="H1701">
            <v>46260</v>
          </cell>
          <cell r="I1701">
            <v>0</v>
          </cell>
          <cell r="J1701">
            <v>3</v>
          </cell>
          <cell r="K1701">
            <v>0</v>
          </cell>
          <cell r="L1701">
            <v>0</v>
          </cell>
          <cell r="M1701">
            <v>0</v>
          </cell>
          <cell r="N1701">
            <v>0</v>
          </cell>
          <cell r="O1701">
            <v>0</v>
          </cell>
          <cell r="P1701">
            <v>0</v>
          </cell>
        </row>
        <row r="1702">
          <cell r="C1702">
            <v>241</v>
          </cell>
          <cell r="F1702">
            <v>1</v>
          </cell>
          <cell r="G1702">
            <v>1</v>
          </cell>
          <cell r="H1702">
            <v>46260</v>
          </cell>
          <cell r="I1702">
            <v>0</v>
          </cell>
          <cell r="J1702">
            <v>5</v>
          </cell>
          <cell r="K1702">
            <v>0</v>
          </cell>
          <cell r="L1702">
            <v>0</v>
          </cell>
          <cell r="M1702">
            <v>0</v>
          </cell>
          <cell r="N1702">
            <v>0</v>
          </cell>
          <cell r="O1702">
            <v>0</v>
          </cell>
          <cell r="P1702">
            <v>0</v>
          </cell>
        </row>
        <row r="1703">
          <cell r="C1703">
            <v>101</v>
          </cell>
          <cell r="F1703">
            <v>1</v>
          </cell>
          <cell r="G1703">
            <v>1</v>
          </cell>
          <cell r="H1703">
            <v>46260</v>
          </cell>
          <cell r="I1703">
            <v>0</v>
          </cell>
          <cell r="J1703">
            <v>2000</v>
          </cell>
          <cell r="K1703">
            <v>0</v>
          </cell>
          <cell r="L1703">
            <v>0</v>
          </cell>
          <cell r="M1703">
            <v>0</v>
          </cell>
          <cell r="N1703">
            <v>0</v>
          </cell>
          <cell r="O1703">
            <v>0</v>
          </cell>
          <cell r="P1703">
            <v>0</v>
          </cell>
        </row>
        <row r="1704">
          <cell r="C1704">
            <v>337</v>
          </cell>
          <cell r="F1704">
            <v>1</v>
          </cell>
          <cell r="G1704">
            <v>1</v>
          </cell>
          <cell r="H1704">
            <v>46260</v>
          </cell>
          <cell r="I1704">
            <v>0</v>
          </cell>
          <cell r="J1704">
            <v>60</v>
          </cell>
          <cell r="K1704">
            <v>0</v>
          </cell>
          <cell r="L1704">
            <v>0</v>
          </cell>
          <cell r="M1704">
            <v>0</v>
          </cell>
          <cell r="N1704">
            <v>0</v>
          </cell>
          <cell r="O1704">
            <v>0</v>
          </cell>
          <cell r="P1704">
            <v>0</v>
          </cell>
        </row>
        <row r="1705">
          <cell r="C1705">
            <v>374</v>
          </cell>
          <cell r="F1705">
            <v>1</v>
          </cell>
          <cell r="G1705">
            <v>1</v>
          </cell>
          <cell r="H1705">
            <v>46260</v>
          </cell>
          <cell r="I1705">
            <v>0</v>
          </cell>
          <cell r="J1705">
            <v>2</v>
          </cell>
          <cell r="K1705">
            <v>0</v>
          </cell>
          <cell r="L1705">
            <v>0</v>
          </cell>
          <cell r="M1705">
            <v>0</v>
          </cell>
          <cell r="N1705">
            <v>0</v>
          </cell>
          <cell r="O1705">
            <v>0</v>
          </cell>
          <cell r="P1705">
            <v>0</v>
          </cell>
        </row>
        <row r="1706">
          <cell r="C1706">
            <v>380</v>
          </cell>
          <cell r="F1706">
            <v>1</v>
          </cell>
          <cell r="G1706">
            <v>1</v>
          </cell>
          <cell r="H1706">
            <v>46260</v>
          </cell>
          <cell r="I1706">
            <v>0</v>
          </cell>
          <cell r="J1706">
            <v>1</v>
          </cell>
          <cell r="K1706">
            <v>0</v>
          </cell>
          <cell r="L1706">
            <v>0</v>
          </cell>
          <cell r="M1706">
            <v>0</v>
          </cell>
          <cell r="N1706">
            <v>0</v>
          </cell>
          <cell r="O1706">
            <v>0</v>
          </cell>
          <cell r="P1706">
            <v>0</v>
          </cell>
        </row>
        <row r="1707">
          <cell r="C1707">
            <v>371</v>
          </cell>
          <cell r="F1707">
            <v>1</v>
          </cell>
          <cell r="G1707">
            <v>1</v>
          </cell>
          <cell r="H1707">
            <v>46260</v>
          </cell>
          <cell r="I1707">
            <v>0</v>
          </cell>
          <cell r="J1707">
            <v>3</v>
          </cell>
          <cell r="K1707">
            <v>0</v>
          </cell>
          <cell r="L1707">
            <v>0</v>
          </cell>
          <cell r="M1707">
            <v>0</v>
          </cell>
          <cell r="N1707">
            <v>0</v>
          </cell>
          <cell r="O1707">
            <v>0</v>
          </cell>
          <cell r="P1707">
            <v>0</v>
          </cell>
        </row>
        <row r="1708">
          <cell r="C1708">
            <v>395</v>
          </cell>
          <cell r="F1708">
            <v>1</v>
          </cell>
          <cell r="G1708">
            <v>1</v>
          </cell>
          <cell r="H1708">
            <v>46260</v>
          </cell>
          <cell r="I1708">
            <v>0</v>
          </cell>
          <cell r="J1708">
            <v>1</v>
          </cell>
          <cell r="K1708">
            <v>0</v>
          </cell>
          <cell r="L1708">
            <v>0</v>
          </cell>
          <cell r="M1708">
            <v>0</v>
          </cell>
          <cell r="N1708">
            <v>0</v>
          </cell>
          <cell r="O1708">
            <v>0</v>
          </cell>
          <cell r="P1708">
            <v>0</v>
          </cell>
        </row>
        <row r="1709">
          <cell r="C1709">
            <v>388</v>
          </cell>
          <cell r="F1709">
            <v>1</v>
          </cell>
          <cell r="G1709">
            <v>1</v>
          </cell>
          <cell r="H1709">
            <v>46260</v>
          </cell>
          <cell r="I1709">
            <v>0</v>
          </cell>
          <cell r="J1709">
            <v>1</v>
          </cell>
          <cell r="K1709">
            <v>0</v>
          </cell>
          <cell r="L1709">
            <v>0</v>
          </cell>
          <cell r="M1709">
            <v>0</v>
          </cell>
          <cell r="N1709">
            <v>0</v>
          </cell>
          <cell r="O1709">
            <v>0</v>
          </cell>
          <cell r="P1709">
            <v>0</v>
          </cell>
        </row>
        <row r="1710">
          <cell r="C1710">
            <v>389</v>
          </cell>
          <cell r="F1710">
            <v>1</v>
          </cell>
          <cell r="G1710">
            <v>1</v>
          </cell>
          <cell r="H1710">
            <v>46260</v>
          </cell>
          <cell r="I1710">
            <v>0</v>
          </cell>
          <cell r="J1710">
            <v>2</v>
          </cell>
          <cell r="K1710">
            <v>0</v>
          </cell>
          <cell r="L1710">
            <v>0</v>
          </cell>
          <cell r="M1710">
            <v>0</v>
          </cell>
          <cell r="N1710">
            <v>0</v>
          </cell>
          <cell r="O1710">
            <v>0</v>
          </cell>
          <cell r="P1710">
            <v>0</v>
          </cell>
        </row>
        <row r="1711">
          <cell r="C1711">
            <v>374</v>
          </cell>
          <cell r="F1711">
            <v>1</v>
          </cell>
          <cell r="G1711">
            <v>1</v>
          </cell>
          <cell r="H1711">
            <v>46260</v>
          </cell>
          <cell r="I1711">
            <v>0</v>
          </cell>
          <cell r="J1711">
            <v>1</v>
          </cell>
          <cell r="K1711">
            <v>0</v>
          </cell>
          <cell r="L1711">
            <v>0</v>
          </cell>
          <cell r="M1711">
            <v>0</v>
          </cell>
          <cell r="N1711">
            <v>0</v>
          </cell>
          <cell r="O1711">
            <v>0</v>
          </cell>
          <cell r="P1711">
            <v>0</v>
          </cell>
        </row>
        <row r="1712">
          <cell r="C1712">
            <v>394</v>
          </cell>
          <cell r="F1712">
            <v>1</v>
          </cell>
          <cell r="G1712">
            <v>1</v>
          </cell>
          <cell r="H1712">
            <v>46260</v>
          </cell>
          <cell r="I1712">
            <v>0</v>
          </cell>
          <cell r="J1712">
            <v>1</v>
          </cell>
          <cell r="K1712">
            <v>0</v>
          </cell>
          <cell r="L1712">
            <v>0</v>
          </cell>
          <cell r="M1712">
            <v>0</v>
          </cell>
          <cell r="N1712">
            <v>0</v>
          </cell>
          <cell r="O1712">
            <v>0</v>
          </cell>
          <cell r="P1712">
            <v>0</v>
          </cell>
        </row>
        <row r="1713">
          <cell r="C1713">
            <v>367</v>
          </cell>
          <cell r="F1713">
            <v>1</v>
          </cell>
          <cell r="G1713">
            <v>1</v>
          </cell>
          <cell r="H1713">
            <v>46260</v>
          </cell>
          <cell r="I1713">
            <v>0</v>
          </cell>
          <cell r="J1713">
            <v>3</v>
          </cell>
          <cell r="K1713">
            <v>0</v>
          </cell>
          <cell r="L1713">
            <v>0</v>
          </cell>
          <cell r="M1713">
            <v>0</v>
          </cell>
          <cell r="N1713">
            <v>0</v>
          </cell>
          <cell r="O1713">
            <v>0</v>
          </cell>
          <cell r="P1713">
            <v>0</v>
          </cell>
        </row>
        <row r="1714">
          <cell r="C1714">
            <v>108</v>
          </cell>
          <cell r="F1714">
            <v>1</v>
          </cell>
          <cell r="G1714">
            <v>1</v>
          </cell>
          <cell r="H1714">
            <v>46260</v>
          </cell>
          <cell r="I1714">
            <v>0</v>
          </cell>
          <cell r="J1714">
            <v>2</v>
          </cell>
          <cell r="K1714">
            <v>0</v>
          </cell>
          <cell r="L1714">
            <v>0</v>
          </cell>
          <cell r="M1714">
            <v>0</v>
          </cell>
          <cell r="N1714">
            <v>0</v>
          </cell>
          <cell r="O1714">
            <v>0</v>
          </cell>
          <cell r="P1714">
            <v>0</v>
          </cell>
        </row>
        <row r="1715">
          <cell r="C1715">
            <v>125</v>
          </cell>
          <cell r="F1715">
            <v>1</v>
          </cell>
          <cell r="G1715">
            <v>1</v>
          </cell>
          <cell r="H1715">
            <v>46260</v>
          </cell>
          <cell r="I1715">
            <v>0</v>
          </cell>
          <cell r="J1715">
            <v>20</v>
          </cell>
          <cell r="K1715">
            <v>0</v>
          </cell>
          <cell r="L1715">
            <v>0</v>
          </cell>
          <cell r="M1715">
            <v>0</v>
          </cell>
          <cell r="N1715">
            <v>0</v>
          </cell>
          <cell r="O1715">
            <v>0</v>
          </cell>
          <cell r="P1715">
            <v>0</v>
          </cell>
        </row>
        <row r="1716">
          <cell r="C1716">
            <v>142</v>
          </cell>
          <cell r="F1716">
            <v>1</v>
          </cell>
          <cell r="G1716">
            <v>1</v>
          </cell>
          <cell r="H1716">
            <v>46260</v>
          </cell>
          <cell r="I1716">
            <v>0</v>
          </cell>
          <cell r="J1716">
            <v>2</v>
          </cell>
          <cell r="K1716">
            <v>0</v>
          </cell>
          <cell r="L1716">
            <v>0</v>
          </cell>
          <cell r="M1716">
            <v>0</v>
          </cell>
          <cell r="N1716">
            <v>0</v>
          </cell>
          <cell r="O1716">
            <v>0</v>
          </cell>
          <cell r="P1716">
            <v>0</v>
          </cell>
        </row>
        <row r="1717">
          <cell r="C1717">
            <v>145</v>
          </cell>
          <cell r="F1717">
            <v>1</v>
          </cell>
          <cell r="G1717">
            <v>1</v>
          </cell>
          <cell r="H1717">
            <v>46260</v>
          </cell>
          <cell r="I1717">
            <v>0</v>
          </cell>
          <cell r="J1717">
            <v>1</v>
          </cell>
          <cell r="K1717">
            <v>0</v>
          </cell>
          <cell r="L1717">
            <v>0</v>
          </cell>
          <cell r="M1717">
            <v>0</v>
          </cell>
          <cell r="N1717">
            <v>0</v>
          </cell>
          <cell r="O1717">
            <v>0</v>
          </cell>
          <cell r="P1717">
            <v>0</v>
          </cell>
        </row>
        <row r="1718">
          <cell r="C1718">
            <v>219</v>
          </cell>
          <cell r="F1718">
            <v>1</v>
          </cell>
          <cell r="G1718">
            <v>1</v>
          </cell>
          <cell r="H1718">
            <v>46260</v>
          </cell>
          <cell r="I1718">
            <v>0</v>
          </cell>
          <cell r="J1718">
            <v>6</v>
          </cell>
          <cell r="K1718">
            <v>0</v>
          </cell>
          <cell r="L1718">
            <v>0</v>
          </cell>
          <cell r="M1718">
            <v>0</v>
          </cell>
          <cell r="N1718">
            <v>0</v>
          </cell>
          <cell r="O1718">
            <v>0</v>
          </cell>
          <cell r="P1718">
            <v>0</v>
          </cell>
        </row>
        <row r="1719">
          <cell r="C1719">
            <v>276</v>
          </cell>
          <cell r="F1719">
            <v>1</v>
          </cell>
          <cell r="G1719">
            <v>1</v>
          </cell>
          <cell r="H1719">
            <v>46260</v>
          </cell>
          <cell r="I1719">
            <v>0</v>
          </cell>
          <cell r="J1719">
            <v>2</v>
          </cell>
          <cell r="K1719">
            <v>0</v>
          </cell>
          <cell r="L1719">
            <v>0</v>
          </cell>
          <cell r="M1719">
            <v>0</v>
          </cell>
          <cell r="N1719">
            <v>0</v>
          </cell>
          <cell r="O1719">
            <v>0</v>
          </cell>
          <cell r="P1719">
            <v>0</v>
          </cell>
        </row>
        <row r="1720">
          <cell r="C1720">
            <v>363</v>
          </cell>
          <cell r="F1720">
            <v>1</v>
          </cell>
          <cell r="G1720">
            <v>1</v>
          </cell>
          <cell r="H1720">
            <v>46260</v>
          </cell>
          <cell r="I1720">
            <v>0</v>
          </cell>
          <cell r="J1720">
            <v>2</v>
          </cell>
          <cell r="K1720">
            <v>0</v>
          </cell>
          <cell r="L1720">
            <v>0</v>
          </cell>
          <cell r="M1720">
            <v>0</v>
          </cell>
          <cell r="N1720">
            <v>0</v>
          </cell>
          <cell r="O1720">
            <v>0</v>
          </cell>
          <cell r="P1720">
            <v>0</v>
          </cell>
        </row>
        <row r="1721">
          <cell r="C1721">
            <v>366</v>
          </cell>
          <cell r="F1721">
            <v>1</v>
          </cell>
          <cell r="G1721">
            <v>1</v>
          </cell>
          <cell r="H1721">
            <v>46260</v>
          </cell>
          <cell r="I1721">
            <v>0</v>
          </cell>
          <cell r="J1721">
            <v>1</v>
          </cell>
          <cell r="K1721">
            <v>0</v>
          </cell>
          <cell r="L1721">
            <v>0</v>
          </cell>
          <cell r="M1721">
            <v>0</v>
          </cell>
          <cell r="N1721">
            <v>0</v>
          </cell>
          <cell r="O1721">
            <v>0</v>
          </cell>
          <cell r="P1721">
            <v>0</v>
          </cell>
        </row>
        <row r="1722">
          <cell r="C1722">
            <v>366</v>
          </cell>
          <cell r="F1722">
            <v>1</v>
          </cell>
          <cell r="G1722">
            <v>1</v>
          </cell>
          <cell r="H1722">
            <v>46260</v>
          </cell>
          <cell r="I1722">
            <v>0</v>
          </cell>
          <cell r="J1722">
            <v>1</v>
          </cell>
          <cell r="K1722">
            <v>0</v>
          </cell>
          <cell r="L1722">
            <v>0</v>
          </cell>
          <cell r="M1722">
            <v>0</v>
          </cell>
          <cell r="N1722">
            <v>0</v>
          </cell>
          <cell r="O1722">
            <v>0</v>
          </cell>
          <cell r="P1722">
            <v>0</v>
          </cell>
        </row>
        <row r="1723">
          <cell r="C1723">
            <v>170</v>
          </cell>
          <cell r="F1723">
            <v>1</v>
          </cell>
          <cell r="G1723">
            <v>1</v>
          </cell>
          <cell r="H1723">
            <v>46260</v>
          </cell>
          <cell r="I1723">
            <v>0</v>
          </cell>
          <cell r="J1723">
            <v>1</v>
          </cell>
          <cell r="K1723">
            <v>0</v>
          </cell>
          <cell r="L1723">
            <v>0</v>
          </cell>
          <cell r="M1723">
            <v>0</v>
          </cell>
          <cell r="N1723">
            <v>0</v>
          </cell>
          <cell r="O1723">
            <v>0</v>
          </cell>
          <cell r="P1723">
            <v>0</v>
          </cell>
        </row>
        <row r="1724">
          <cell r="C1724">
            <v>183</v>
          </cell>
          <cell r="F1724">
            <v>1</v>
          </cell>
          <cell r="G1724">
            <v>1</v>
          </cell>
          <cell r="H1724">
            <v>46260</v>
          </cell>
          <cell r="I1724">
            <v>0</v>
          </cell>
          <cell r="J1724">
            <v>12</v>
          </cell>
          <cell r="K1724">
            <v>0</v>
          </cell>
          <cell r="L1724">
            <v>0</v>
          </cell>
          <cell r="M1724">
            <v>0</v>
          </cell>
          <cell r="N1724">
            <v>0</v>
          </cell>
          <cell r="O1724">
            <v>0</v>
          </cell>
          <cell r="P1724">
            <v>0</v>
          </cell>
        </row>
        <row r="1725">
          <cell r="C1725">
            <v>177</v>
          </cell>
          <cell r="F1725">
            <v>1</v>
          </cell>
          <cell r="G1725">
            <v>1</v>
          </cell>
          <cell r="H1725">
            <v>46260</v>
          </cell>
          <cell r="I1725">
            <v>0</v>
          </cell>
          <cell r="J1725">
            <v>50</v>
          </cell>
          <cell r="K1725">
            <v>0</v>
          </cell>
          <cell r="L1725">
            <v>0</v>
          </cell>
          <cell r="M1725">
            <v>0</v>
          </cell>
          <cell r="N1725">
            <v>0</v>
          </cell>
          <cell r="O1725">
            <v>0</v>
          </cell>
          <cell r="P1725">
            <v>0</v>
          </cell>
        </row>
        <row r="1726">
          <cell r="C1726">
            <v>199</v>
          </cell>
          <cell r="F1726">
            <v>1</v>
          </cell>
          <cell r="G1726">
            <v>1</v>
          </cell>
          <cell r="H1726">
            <v>46260</v>
          </cell>
          <cell r="I1726">
            <v>0</v>
          </cell>
          <cell r="J1726">
            <v>4</v>
          </cell>
          <cell r="K1726">
            <v>0</v>
          </cell>
          <cell r="L1726">
            <v>0</v>
          </cell>
          <cell r="M1726">
            <v>0</v>
          </cell>
          <cell r="N1726">
            <v>0</v>
          </cell>
          <cell r="O1726">
            <v>0</v>
          </cell>
          <cell r="P1726">
            <v>0</v>
          </cell>
        </row>
        <row r="1727">
          <cell r="C1727">
            <v>387</v>
          </cell>
          <cell r="F1727">
            <v>1</v>
          </cell>
          <cell r="G1727">
            <v>1</v>
          </cell>
          <cell r="H1727">
            <v>46260</v>
          </cell>
          <cell r="I1727">
            <v>0</v>
          </cell>
          <cell r="J1727">
            <v>1</v>
          </cell>
          <cell r="K1727">
            <v>0</v>
          </cell>
          <cell r="L1727">
            <v>0</v>
          </cell>
          <cell r="M1727">
            <v>0</v>
          </cell>
          <cell r="N1727">
            <v>0</v>
          </cell>
          <cell r="O1727">
            <v>0</v>
          </cell>
          <cell r="P1727">
            <v>0</v>
          </cell>
        </row>
        <row r="1728">
          <cell r="C1728">
            <v>370</v>
          </cell>
          <cell r="F1728">
            <v>1</v>
          </cell>
          <cell r="G1728">
            <v>1</v>
          </cell>
          <cell r="H1728">
            <v>46260</v>
          </cell>
          <cell r="I1728">
            <v>0</v>
          </cell>
          <cell r="J1728">
            <v>2</v>
          </cell>
          <cell r="K1728">
            <v>0</v>
          </cell>
          <cell r="L1728">
            <v>0</v>
          </cell>
          <cell r="M1728">
            <v>0</v>
          </cell>
          <cell r="N1728">
            <v>0</v>
          </cell>
          <cell r="O1728">
            <v>0</v>
          </cell>
          <cell r="P1728">
            <v>0</v>
          </cell>
        </row>
        <row r="1729">
          <cell r="C1729">
            <v>413</v>
          </cell>
          <cell r="F1729">
            <v>1</v>
          </cell>
          <cell r="G1729">
            <v>1</v>
          </cell>
          <cell r="H1729">
            <v>46260</v>
          </cell>
          <cell r="I1729">
            <v>0</v>
          </cell>
          <cell r="J1729">
            <v>1</v>
          </cell>
          <cell r="K1729">
            <v>0</v>
          </cell>
          <cell r="L1729">
            <v>0</v>
          </cell>
          <cell r="M1729">
            <v>0</v>
          </cell>
          <cell r="N1729">
            <v>0</v>
          </cell>
          <cell r="O1729">
            <v>0</v>
          </cell>
          <cell r="P1729">
            <v>0</v>
          </cell>
        </row>
        <row r="1730">
          <cell r="C1730">
            <v>376</v>
          </cell>
          <cell r="F1730">
            <v>1</v>
          </cell>
          <cell r="G1730">
            <v>1</v>
          </cell>
          <cell r="H1730">
            <v>46260</v>
          </cell>
          <cell r="I1730">
            <v>0</v>
          </cell>
          <cell r="J1730">
            <v>1</v>
          </cell>
          <cell r="K1730">
            <v>0</v>
          </cell>
          <cell r="L1730">
            <v>0</v>
          </cell>
          <cell r="M1730">
            <v>0</v>
          </cell>
          <cell r="N1730">
            <v>0</v>
          </cell>
          <cell r="O1730">
            <v>0</v>
          </cell>
          <cell r="P1730">
            <v>0</v>
          </cell>
        </row>
        <row r="1731">
          <cell r="C1731">
            <v>169</v>
          </cell>
          <cell r="F1731">
            <v>1</v>
          </cell>
          <cell r="G1731">
            <v>1</v>
          </cell>
          <cell r="H1731">
            <v>46260</v>
          </cell>
          <cell r="I1731">
            <v>0</v>
          </cell>
          <cell r="J1731">
            <v>1</v>
          </cell>
          <cell r="K1731">
            <v>0</v>
          </cell>
          <cell r="L1731">
            <v>0</v>
          </cell>
          <cell r="M1731">
            <v>0</v>
          </cell>
          <cell r="N1731">
            <v>0</v>
          </cell>
          <cell r="O1731">
            <v>0</v>
          </cell>
          <cell r="P1731">
            <v>0</v>
          </cell>
        </row>
        <row r="1732">
          <cell r="C1732">
            <v>384</v>
          </cell>
          <cell r="F1732">
            <v>1</v>
          </cell>
          <cell r="G1732">
            <v>1</v>
          </cell>
          <cell r="H1732">
            <v>46260</v>
          </cell>
          <cell r="I1732">
            <v>0</v>
          </cell>
          <cell r="J1732">
            <v>1</v>
          </cell>
          <cell r="K1732">
            <v>0</v>
          </cell>
          <cell r="L1732">
            <v>0</v>
          </cell>
          <cell r="M1732">
            <v>0</v>
          </cell>
          <cell r="N1732">
            <v>0</v>
          </cell>
          <cell r="O1732">
            <v>0</v>
          </cell>
          <cell r="P1732">
            <v>0</v>
          </cell>
        </row>
        <row r="1733">
          <cell r="C1733">
            <v>386</v>
          </cell>
          <cell r="F1733">
            <v>1</v>
          </cell>
          <cell r="G1733">
            <v>1</v>
          </cell>
          <cell r="H1733">
            <v>46260</v>
          </cell>
          <cell r="I1733">
            <v>0</v>
          </cell>
          <cell r="J1733">
            <v>1</v>
          </cell>
          <cell r="K1733">
            <v>0</v>
          </cell>
          <cell r="L1733">
            <v>0</v>
          </cell>
          <cell r="M1733">
            <v>0</v>
          </cell>
          <cell r="N1733">
            <v>0</v>
          </cell>
          <cell r="O1733">
            <v>0</v>
          </cell>
          <cell r="P1733">
            <v>0</v>
          </cell>
        </row>
        <row r="1734">
          <cell r="C1734">
            <v>409</v>
          </cell>
          <cell r="F1734">
            <v>1</v>
          </cell>
          <cell r="G1734">
            <v>1</v>
          </cell>
          <cell r="H1734">
            <v>46260</v>
          </cell>
          <cell r="I1734">
            <v>0</v>
          </cell>
          <cell r="J1734">
            <v>1</v>
          </cell>
          <cell r="K1734">
            <v>0</v>
          </cell>
          <cell r="L1734">
            <v>0</v>
          </cell>
          <cell r="M1734">
            <v>0</v>
          </cell>
          <cell r="N1734">
            <v>0</v>
          </cell>
          <cell r="O1734">
            <v>0</v>
          </cell>
          <cell r="P1734">
            <v>0</v>
          </cell>
        </row>
        <row r="1735">
          <cell r="C1735">
            <v>411</v>
          </cell>
          <cell r="F1735">
            <v>1</v>
          </cell>
          <cell r="G1735">
            <v>1</v>
          </cell>
          <cell r="H1735">
            <v>46260</v>
          </cell>
          <cell r="I1735">
            <v>0</v>
          </cell>
          <cell r="J1735">
            <v>1</v>
          </cell>
          <cell r="K1735">
            <v>0</v>
          </cell>
          <cell r="L1735">
            <v>0</v>
          </cell>
          <cell r="M1735">
            <v>0</v>
          </cell>
          <cell r="N1735">
            <v>0</v>
          </cell>
          <cell r="O1735">
            <v>0</v>
          </cell>
          <cell r="P1735">
            <v>0</v>
          </cell>
        </row>
        <row r="1736">
          <cell r="C1736">
            <v>381</v>
          </cell>
          <cell r="F1736">
            <v>1</v>
          </cell>
          <cell r="G1736">
            <v>1</v>
          </cell>
          <cell r="H1736">
            <v>46260</v>
          </cell>
          <cell r="I1736">
            <v>0</v>
          </cell>
          <cell r="J1736">
            <v>1</v>
          </cell>
          <cell r="K1736">
            <v>0</v>
          </cell>
          <cell r="L1736">
            <v>0</v>
          </cell>
          <cell r="M1736">
            <v>0</v>
          </cell>
          <cell r="N1736">
            <v>0</v>
          </cell>
          <cell r="O1736">
            <v>0</v>
          </cell>
          <cell r="P1736">
            <v>0</v>
          </cell>
        </row>
        <row r="1737">
          <cell r="C1737">
            <v>30</v>
          </cell>
          <cell r="F1737">
            <v>1</v>
          </cell>
          <cell r="G1737">
            <v>1</v>
          </cell>
          <cell r="H1737">
            <v>46204</v>
          </cell>
          <cell r="I1737">
            <v>8</v>
          </cell>
          <cell r="J1737">
            <v>0</v>
          </cell>
          <cell r="K1737">
            <v>0</v>
          </cell>
          <cell r="L1737">
            <v>0</v>
          </cell>
          <cell r="M1737">
            <v>0</v>
          </cell>
          <cell r="N1737">
            <v>0</v>
          </cell>
          <cell r="O1737">
            <v>0</v>
          </cell>
          <cell r="P1737">
            <v>0</v>
          </cell>
        </row>
        <row r="1738">
          <cell r="C1738">
            <v>37</v>
          </cell>
          <cell r="F1738">
            <v>1</v>
          </cell>
          <cell r="G1738">
            <v>1</v>
          </cell>
          <cell r="H1738">
            <v>46204</v>
          </cell>
          <cell r="I1738">
            <v>1</v>
          </cell>
          <cell r="J1738">
            <v>0</v>
          </cell>
          <cell r="K1738">
            <v>0</v>
          </cell>
          <cell r="L1738">
            <v>0</v>
          </cell>
          <cell r="M1738">
            <v>0</v>
          </cell>
          <cell r="N1738">
            <v>0</v>
          </cell>
          <cell r="O1738">
            <v>0</v>
          </cell>
          <cell r="P1738">
            <v>0</v>
          </cell>
        </row>
        <row r="1739">
          <cell r="C1739">
            <v>38</v>
          </cell>
          <cell r="F1739">
            <v>1</v>
          </cell>
          <cell r="G1739">
            <v>1</v>
          </cell>
          <cell r="H1739">
            <v>46204</v>
          </cell>
          <cell r="I1739">
            <v>1</v>
          </cell>
          <cell r="J1739">
            <v>0</v>
          </cell>
          <cell r="K1739">
            <v>0</v>
          </cell>
          <cell r="L1739">
            <v>0</v>
          </cell>
          <cell r="M1739">
            <v>0</v>
          </cell>
          <cell r="N1739">
            <v>0</v>
          </cell>
          <cell r="O1739">
            <v>0</v>
          </cell>
          <cell r="P1739">
            <v>0</v>
          </cell>
        </row>
        <row r="1740">
          <cell r="C1740">
            <v>42</v>
          </cell>
          <cell r="F1740">
            <v>1</v>
          </cell>
          <cell r="G1740">
            <v>1</v>
          </cell>
          <cell r="H1740">
            <v>46204</v>
          </cell>
          <cell r="I1740">
            <v>5</v>
          </cell>
          <cell r="J1740">
            <v>0</v>
          </cell>
          <cell r="K1740">
            <v>0</v>
          </cell>
          <cell r="L1740">
            <v>0</v>
          </cell>
          <cell r="M1740">
            <v>0</v>
          </cell>
          <cell r="N1740">
            <v>0</v>
          </cell>
          <cell r="O1740">
            <v>0</v>
          </cell>
          <cell r="P1740">
            <v>0</v>
          </cell>
        </row>
        <row r="1741">
          <cell r="C1741">
            <v>59</v>
          </cell>
          <cell r="F1741">
            <v>1</v>
          </cell>
          <cell r="G1741">
            <v>1</v>
          </cell>
          <cell r="H1741">
            <v>46204</v>
          </cell>
          <cell r="I1741">
            <v>1</v>
          </cell>
          <cell r="J1741">
            <v>0</v>
          </cell>
          <cell r="K1741">
            <v>0</v>
          </cell>
          <cell r="L1741">
            <v>0</v>
          </cell>
          <cell r="M1741">
            <v>0</v>
          </cell>
          <cell r="N1741">
            <v>0</v>
          </cell>
          <cell r="O1741">
            <v>0</v>
          </cell>
          <cell r="P1741">
            <v>0</v>
          </cell>
        </row>
        <row r="1742">
          <cell r="C1742">
            <v>64</v>
          </cell>
          <cell r="F1742">
            <v>1</v>
          </cell>
          <cell r="G1742">
            <v>1</v>
          </cell>
          <cell r="H1742">
            <v>46204</v>
          </cell>
          <cell r="I1742">
            <v>1</v>
          </cell>
          <cell r="J1742">
            <v>0</v>
          </cell>
          <cell r="K1742">
            <v>0</v>
          </cell>
          <cell r="L1742">
            <v>0</v>
          </cell>
          <cell r="M1742">
            <v>0</v>
          </cell>
          <cell r="N1742">
            <v>0</v>
          </cell>
          <cell r="O1742">
            <v>0</v>
          </cell>
          <cell r="P1742">
            <v>0</v>
          </cell>
        </row>
        <row r="1743">
          <cell r="C1743">
            <v>67</v>
          </cell>
          <cell r="F1743">
            <v>1</v>
          </cell>
          <cell r="G1743">
            <v>1</v>
          </cell>
          <cell r="H1743">
            <v>46204</v>
          </cell>
          <cell r="I1743">
            <v>5</v>
          </cell>
          <cell r="J1743">
            <v>0</v>
          </cell>
          <cell r="K1743">
            <v>0</v>
          </cell>
          <cell r="L1743">
            <v>0</v>
          </cell>
          <cell r="M1743">
            <v>0</v>
          </cell>
          <cell r="N1743">
            <v>0</v>
          </cell>
          <cell r="O1743">
            <v>0</v>
          </cell>
          <cell r="P1743">
            <v>0</v>
          </cell>
        </row>
        <row r="1744">
          <cell r="C1744">
            <v>103</v>
          </cell>
          <cell r="F1744">
            <v>1</v>
          </cell>
          <cell r="G1744">
            <v>1</v>
          </cell>
          <cell r="H1744">
            <v>46204</v>
          </cell>
          <cell r="I1744">
            <v>1</v>
          </cell>
          <cell r="J1744">
            <v>0</v>
          </cell>
          <cell r="K1744">
            <v>0</v>
          </cell>
          <cell r="L1744">
            <v>0</v>
          </cell>
          <cell r="M1744">
            <v>0</v>
          </cell>
          <cell r="N1744">
            <v>0</v>
          </cell>
          <cell r="O1744">
            <v>0</v>
          </cell>
          <cell r="P1744">
            <v>0</v>
          </cell>
        </row>
        <row r="1745">
          <cell r="C1745">
            <v>201</v>
          </cell>
          <cell r="F1745">
            <v>1</v>
          </cell>
          <cell r="G1745">
            <v>1</v>
          </cell>
          <cell r="H1745">
            <v>46204</v>
          </cell>
          <cell r="I1745">
            <v>1</v>
          </cell>
          <cell r="J1745">
            <v>0</v>
          </cell>
          <cell r="K1745">
            <v>0</v>
          </cell>
          <cell r="L1745">
            <v>0</v>
          </cell>
          <cell r="M1745">
            <v>0</v>
          </cell>
          <cell r="N1745">
            <v>0</v>
          </cell>
          <cell r="O1745">
            <v>0</v>
          </cell>
          <cell r="P1745">
            <v>0</v>
          </cell>
        </row>
        <row r="1746">
          <cell r="C1746">
            <v>202</v>
          </cell>
          <cell r="F1746">
            <v>1</v>
          </cell>
          <cell r="G1746">
            <v>1</v>
          </cell>
          <cell r="H1746">
            <v>46204</v>
          </cell>
          <cell r="I1746">
            <v>1</v>
          </cell>
          <cell r="J1746">
            <v>0</v>
          </cell>
          <cell r="K1746">
            <v>0</v>
          </cell>
          <cell r="L1746">
            <v>0</v>
          </cell>
          <cell r="M1746">
            <v>0</v>
          </cell>
          <cell r="N1746">
            <v>0</v>
          </cell>
          <cell r="O1746">
            <v>0</v>
          </cell>
          <cell r="P1746">
            <v>0</v>
          </cell>
        </row>
        <row r="1747">
          <cell r="C1747">
            <v>203</v>
          </cell>
          <cell r="F1747">
            <v>1</v>
          </cell>
          <cell r="G1747">
            <v>1</v>
          </cell>
          <cell r="H1747">
            <v>46204</v>
          </cell>
          <cell r="I1747">
            <v>1</v>
          </cell>
          <cell r="J1747">
            <v>0</v>
          </cell>
          <cell r="K1747">
            <v>0</v>
          </cell>
          <cell r="L1747">
            <v>0</v>
          </cell>
          <cell r="M1747">
            <v>0</v>
          </cell>
          <cell r="N1747">
            <v>0</v>
          </cell>
          <cell r="O1747">
            <v>0</v>
          </cell>
          <cell r="P1747">
            <v>0</v>
          </cell>
        </row>
        <row r="1748">
          <cell r="C1748">
            <v>205</v>
          </cell>
          <cell r="F1748">
            <v>1</v>
          </cell>
          <cell r="G1748">
            <v>1</v>
          </cell>
          <cell r="H1748">
            <v>46204</v>
          </cell>
          <cell r="I1748">
            <v>1</v>
          </cell>
          <cell r="J1748">
            <v>0</v>
          </cell>
          <cell r="K1748">
            <v>0</v>
          </cell>
          <cell r="L1748">
            <v>0</v>
          </cell>
          <cell r="M1748">
            <v>0</v>
          </cell>
          <cell r="N1748">
            <v>0</v>
          </cell>
          <cell r="O1748">
            <v>0</v>
          </cell>
          <cell r="P1748">
            <v>0</v>
          </cell>
        </row>
        <row r="1749">
          <cell r="C1749">
            <v>206</v>
          </cell>
          <cell r="F1749">
            <v>1</v>
          </cell>
          <cell r="G1749">
            <v>1</v>
          </cell>
          <cell r="H1749">
            <v>46204</v>
          </cell>
          <cell r="I1749">
            <v>4</v>
          </cell>
          <cell r="J1749">
            <v>0</v>
          </cell>
          <cell r="K1749">
            <v>0</v>
          </cell>
          <cell r="L1749">
            <v>0</v>
          </cell>
          <cell r="M1749">
            <v>0</v>
          </cell>
          <cell r="N1749">
            <v>0</v>
          </cell>
          <cell r="O1749">
            <v>0</v>
          </cell>
          <cell r="P1749">
            <v>0</v>
          </cell>
        </row>
        <row r="1750">
          <cell r="C1750">
            <v>207</v>
          </cell>
          <cell r="F1750">
            <v>1</v>
          </cell>
          <cell r="G1750">
            <v>1</v>
          </cell>
          <cell r="H1750">
            <v>46204</v>
          </cell>
          <cell r="I1750">
            <v>1</v>
          </cell>
          <cell r="J1750">
            <v>0</v>
          </cell>
          <cell r="K1750">
            <v>0</v>
          </cell>
          <cell r="L1750">
            <v>0</v>
          </cell>
          <cell r="M1750">
            <v>0</v>
          </cell>
          <cell r="N1750">
            <v>0</v>
          </cell>
          <cell r="O1750">
            <v>0</v>
          </cell>
          <cell r="P1750">
            <v>0</v>
          </cell>
        </row>
        <row r="1751">
          <cell r="C1751">
            <v>208</v>
          </cell>
          <cell r="F1751">
            <v>1</v>
          </cell>
          <cell r="G1751">
            <v>1</v>
          </cell>
          <cell r="H1751">
            <v>46204</v>
          </cell>
          <cell r="I1751">
            <v>1</v>
          </cell>
          <cell r="J1751">
            <v>0</v>
          </cell>
          <cell r="K1751">
            <v>0</v>
          </cell>
          <cell r="L1751">
            <v>0</v>
          </cell>
          <cell r="M1751">
            <v>0</v>
          </cell>
          <cell r="N1751">
            <v>0</v>
          </cell>
          <cell r="O1751">
            <v>0</v>
          </cell>
          <cell r="P1751">
            <v>0</v>
          </cell>
        </row>
        <row r="1752">
          <cell r="C1752">
            <v>209</v>
          </cell>
          <cell r="F1752">
            <v>1</v>
          </cell>
          <cell r="G1752">
            <v>1</v>
          </cell>
          <cell r="H1752">
            <v>46204</v>
          </cell>
          <cell r="I1752">
            <v>5</v>
          </cell>
          <cell r="J1752">
            <v>0</v>
          </cell>
          <cell r="K1752">
            <v>0</v>
          </cell>
          <cell r="L1752">
            <v>0</v>
          </cell>
          <cell r="M1752">
            <v>0</v>
          </cell>
          <cell r="N1752">
            <v>0</v>
          </cell>
          <cell r="O1752">
            <v>0</v>
          </cell>
          <cell r="P1752">
            <v>0</v>
          </cell>
        </row>
        <row r="1753">
          <cell r="C1753">
            <v>210</v>
          </cell>
          <cell r="F1753">
            <v>1</v>
          </cell>
          <cell r="G1753">
            <v>1</v>
          </cell>
          <cell r="H1753">
            <v>46204</v>
          </cell>
          <cell r="I1753">
            <v>6</v>
          </cell>
          <cell r="J1753">
            <v>0</v>
          </cell>
          <cell r="K1753">
            <v>0</v>
          </cell>
          <cell r="L1753">
            <v>0</v>
          </cell>
          <cell r="M1753">
            <v>0</v>
          </cell>
          <cell r="N1753">
            <v>0</v>
          </cell>
          <cell r="O1753">
            <v>0</v>
          </cell>
          <cell r="P1753">
            <v>0</v>
          </cell>
        </row>
        <row r="1754">
          <cell r="C1754">
            <v>212</v>
          </cell>
          <cell r="F1754">
            <v>1</v>
          </cell>
          <cell r="G1754">
            <v>1</v>
          </cell>
          <cell r="H1754">
            <v>46204</v>
          </cell>
          <cell r="I1754">
            <v>1</v>
          </cell>
          <cell r="J1754">
            <v>0</v>
          </cell>
          <cell r="K1754">
            <v>0</v>
          </cell>
          <cell r="L1754">
            <v>0</v>
          </cell>
          <cell r="M1754">
            <v>0</v>
          </cell>
          <cell r="N1754">
            <v>0</v>
          </cell>
          <cell r="O1754">
            <v>0</v>
          </cell>
          <cell r="P1754">
            <v>0</v>
          </cell>
        </row>
        <row r="1755">
          <cell r="C1755">
            <v>214</v>
          </cell>
          <cell r="F1755">
            <v>1</v>
          </cell>
          <cell r="G1755">
            <v>1</v>
          </cell>
          <cell r="H1755">
            <v>46204</v>
          </cell>
          <cell r="I1755">
            <v>32</v>
          </cell>
          <cell r="J1755">
            <v>0</v>
          </cell>
          <cell r="K1755">
            <v>0</v>
          </cell>
          <cell r="L1755">
            <v>0</v>
          </cell>
          <cell r="M1755">
            <v>0</v>
          </cell>
          <cell r="N1755">
            <v>0</v>
          </cell>
          <cell r="O1755">
            <v>0</v>
          </cell>
          <cell r="P1755">
            <v>0</v>
          </cell>
        </row>
        <row r="1756">
          <cell r="C1756">
            <v>215</v>
          </cell>
          <cell r="F1756">
            <v>1</v>
          </cell>
          <cell r="G1756">
            <v>1</v>
          </cell>
          <cell r="H1756">
            <v>46204</v>
          </cell>
          <cell r="I1756">
            <v>1</v>
          </cell>
          <cell r="J1756">
            <v>0</v>
          </cell>
          <cell r="K1756">
            <v>0</v>
          </cell>
          <cell r="L1756">
            <v>0</v>
          </cell>
          <cell r="M1756">
            <v>0</v>
          </cell>
          <cell r="N1756">
            <v>0</v>
          </cell>
          <cell r="O1756">
            <v>0</v>
          </cell>
          <cell r="P1756">
            <v>0</v>
          </cell>
        </row>
        <row r="1757">
          <cell r="C1757">
            <v>216</v>
          </cell>
          <cell r="F1757">
            <v>1</v>
          </cell>
          <cell r="G1757">
            <v>1</v>
          </cell>
          <cell r="H1757">
            <v>46204</v>
          </cell>
          <cell r="I1757">
            <v>22</v>
          </cell>
          <cell r="J1757">
            <v>0</v>
          </cell>
          <cell r="K1757">
            <v>0</v>
          </cell>
          <cell r="L1757">
            <v>0</v>
          </cell>
          <cell r="M1757">
            <v>0</v>
          </cell>
          <cell r="N1757">
            <v>0</v>
          </cell>
          <cell r="O1757">
            <v>0</v>
          </cell>
          <cell r="P1757">
            <v>0</v>
          </cell>
        </row>
        <row r="1758">
          <cell r="C1758">
            <v>218</v>
          </cell>
          <cell r="F1758">
            <v>1</v>
          </cell>
          <cell r="G1758">
            <v>1</v>
          </cell>
          <cell r="H1758">
            <v>46204</v>
          </cell>
          <cell r="I1758">
            <v>2</v>
          </cell>
          <cell r="J1758">
            <v>0</v>
          </cell>
          <cell r="K1758">
            <v>0</v>
          </cell>
          <cell r="L1758">
            <v>0</v>
          </cell>
          <cell r="M1758">
            <v>0</v>
          </cell>
          <cell r="N1758">
            <v>0</v>
          </cell>
          <cell r="O1758">
            <v>0</v>
          </cell>
          <cell r="P1758">
            <v>0</v>
          </cell>
        </row>
        <row r="1759">
          <cell r="C1759">
            <v>220</v>
          </cell>
          <cell r="F1759">
            <v>1</v>
          </cell>
          <cell r="G1759">
            <v>1</v>
          </cell>
          <cell r="H1759">
            <v>46204</v>
          </cell>
          <cell r="I1759">
            <v>1</v>
          </cell>
          <cell r="J1759">
            <v>0</v>
          </cell>
          <cell r="K1759">
            <v>0</v>
          </cell>
          <cell r="L1759">
            <v>0</v>
          </cell>
          <cell r="M1759">
            <v>0</v>
          </cell>
          <cell r="N1759">
            <v>0</v>
          </cell>
          <cell r="O1759">
            <v>0</v>
          </cell>
          <cell r="P1759">
            <v>0</v>
          </cell>
        </row>
        <row r="1760">
          <cell r="C1760">
            <v>221</v>
          </cell>
          <cell r="F1760">
            <v>1</v>
          </cell>
          <cell r="G1760">
            <v>1</v>
          </cell>
          <cell r="H1760">
            <v>46204</v>
          </cell>
          <cell r="I1760">
            <v>8</v>
          </cell>
          <cell r="J1760">
            <v>0</v>
          </cell>
          <cell r="K1760">
            <v>0</v>
          </cell>
          <cell r="L1760">
            <v>0</v>
          </cell>
          <cell r="M1760">
            <v>0</v>
          </cell>
          <cell r="N1760">
            <v>0</v>
          </cell>
          <cell r="O1760">
            <v>0</v>
          </cell>
          <cell r="P1760">
            <v>0</v>
          </cell>
        </row>
        <row r="1761">
          <cell r="C1761">
            <v>222</v>
          </cell>
          <cell r="F1761">
            <v>1</v>
          </cell>
          <cell r="G1761">
            <v>1</v>
          </cell>
          <cell r="H1761">
            <v>46204</v>
          </cell>
          <cell r="I1761">
            <v>2</v>
          </cell>
          <cell r="J1761">
            <v>0</v>
          </cell>
          <cell r="K1761">
            <v>0</v>
          </cell>
          <cell r="L1761">
            <v>0</v>
          </cell>
          <cell r="M1761">
            <v>0</v>
          </cell>
          <cell r="N1761">
            <v>0</v>
          </cell>
          <cell r="O1761">
            <v>0</v>
          </cell>
          <cell r="P1761">
            <v>0</v>
          </cell>
        </row>
        <row r="1762">
          <cell r="C1762">
            <v>224</v>
          </cell>
          <cell r="F1762">
            <v>1</v>
          </cell>
          <cell r="G1762">
            <v>1</v>
          </cell>
          <cell r="H1762">
            <v>46204</v>
          </cell>
          <cell r="I1762">
            <v>1</v>
          </cell>
          <cell r="J1762">
            <v>0</v>
          </cell>
          <cell r="K1762">
            <v>0</v>
          </cell>
          <cell r="L1762">
            <v>0</v>
          </cell>
          <cell r="M1762">
            <v>0</v>
          </cell>
          <cell r="N1762">
            <v>0</v>
          </cell>
          <cell r="O1762">
            <v>0</v>
          </cell>
          <cell r="P1762">
            <v>0</v>
          </cell>
        </row>
        <row r="1763">
          <cell r="C1763">
            <v>225</v>
          </cell>
          <cell r="F1763">
            <v>1</v>
          </cell>
          <cell r="G1763">
            <v>1</v>
          </cell>
          <cell r="H1763">
            <v>46204</v>
          </cell>
          <cell r="I1763">
            <v>2</v>
          </cell>
          <cell r="J1763">
            <v>0</v>
          </cell>
          <cell r="K1763">
            <v>0</v>
          </cell>
          <cell r="L1763">
            <v>0</v>
          </cell>
          <cell r="M1763">
            <v>0</v>
          </cell>
          <cell r="N1763">
            <v>0</v>
          </cell>
          <cell r="O1763">
            <v>0</v>
          </cell>
          <cell r="P1763">
            <v>0</v>
          </cell>
        </row>
        <row r="1764">
          <cell r="C1764">
            <v>226</v>
          </cell>
          <cell r="F1764">
            <v>1</v>
          </cell>
          <cell r="G1764">
            <v>1</v>
          </cell>
          <cell r="H1764">
            <v>46204</v>
          </cell>
          <cell r="I1764">
            <v>3</v>
          </cell>
          <cell r="J1764">
            <v>0</v>
          </cell>
          <cell r="K1764">
            <v>0</v>
          </cell>
          <cell r="L1764">
            <v>0</v>
          </cell>
          <cell r="M1764">
            <v>0</v>
          </cell>
          <cell r="N1764">
            <v>0</v>
          </cell>
          <cell r="O1764">
            <v>0</v>
          </cell>
          <cell r="P1764">
            <v>0</v>
          </cell>
        </row>
        <row r="1765">
          <cell r="C1765">
            <v>227</v>
          </cell>
          <cell r="F1765">
            <v>1</v>
          </cell>
          <cell r="G1765">
            <v>1</v>
          </cell>
          <cell r="H1765">
            <v>46204</v>
          </cell>
          <cell r="I1765">
            <v>10</v>
          </cell>
          <cell r="J1765">
            <v>0</v>
          </cell>
          <cell r="K1765">
            <v>0</v>
          </cell>
          <cell r="L1765">
            <v>0</v>
          </cell>
          <cell r="M1765">
            <v>0</v>
          </cell>
          <cell r="N1765">
            <v>0</v>
          </cell>
          <cell r="O1765">
            <v>0</v>
          </cell>
          <cell r="P1765">
            <v>0</v>
          </cell>
        </row>
        <row r="1766">
          <cell r="C1766">
            <v>229</v>
          </cell>
          <cell r="F1766">
            <v>1</v>
          </cell>
          <cell r="G1766">
            <v>1</v>
          </cell>
          <cell r="H1766">
            <v>46204</v>
          </cell>
          <cell r="I1766">
            <v>5</v>
          </cell>
          <cell r="J1766">
            <v>0</v>
          </cell>
          <cell r="K1766">
            <v>0</v>
          </cell>
          <cell r="L1766">
            <v>0</v>
          </cell>
          <cell r="M1766">
            <v>0</v>
          </cell>
          <cell r="N1766">
            <v>0</v>
          </cell>
          <cell r="O1766">
            <v>0</v>
          </cell>
          <cell r="P1766">
            <v>0</v>
          </cell>
        </row>
        <row r="1767">
          <cell r="C1767">
            <v>230</v>
          </cell>
          <cell r="F1767">
            <v>1</v>
          </cell>
          <cell r="G1767">
            <v>1</v>
          </cell>
          <cell r="H1767">
            <v>46204</v>
          </cell>
          <cell r="I1767">
            <v>3</v>
          </cell>
          <cell r="J1767">
            <v>0</v>
          </cell>
          <cell r="K1767">
            <v>0</v>
          </cell>
          <cell r="L1767">
            <v>0</v>
          </cell>
          <cell r="M1767">
            <v>0</v>
          </cell>
          <cell r="N1767">
            <v>0</v>
          </cell>
          <cell r="O1767">
            <v>0</v>
          </cell>
          <cell r="P1767">
            <v>0</v>
          </cell>
        </row>
        <row r="1768">
          <cell r="C1768">
            <v>231</v>
          </cell>
          <cell r="F1768">
            <v>1</v>
          </cell>
          <cell r="G1768">
            <v>1</v>
          </cell>
          <cell r="H1768">
            <v>46204</v>
          </cell>
          <cell r="I1768">
            <v>1</v>
          </cell>
          <cell r="J1768">
            <v>0</v>
          </cell>
          <cell r="K1768">
            <v>0</v>
          </cell>
          <cell r="L1768">
            <v>0</v>
          </cell>
          <cell r="M1768">
            <v>0</v>
          </cell>
          <cell r="N1768">
            <v>0</v>
          </cell>
          <cell r="O1768">
            <v>0</v>
          </cell>
          <cell r="P1768">
            <v>0</v>
          </cell>
        </row>
        <row r="1769">
          <cell r="C1769">
            <v>232</v>
          </cell>
          <cell r="F1769">
            <v>1</v>
          </cell>
          <cell r="G1769">
            <v>1</v>
          </cell>
          <cell r="H1769">
            <v>46204</v>
          </cell>
          <cell r="I1769">
            <v>1</v>
          </cell>
          <cell r="J1769">
            <v>0</v>
          </cell>
          <cell r="K1769">
            <v>0</v>
          </cell>
          <cell r="L1769">
            <v>0</v>
          </cell>
          <cell r="M1769">
            <v>0</v>
          </cell>
          <cell r="N1769">
            <v>0</v>
          </cell>
          <cell r="O1769">
            <v>0</v>
          </cell>
          <cell r="P1769">
            <v>0</v>
          </cell>
        </row>
        <row r="1770">
          <cell r="C1770">
            <v>233</v>
          </cell>
          <cell r="F1770">
            <v>1</v>
          </cell>
          <cell r="G1770">
            <v>1</v>
          </cell>
          <cell r="H1770">
            <v>46204</v>
          </cell>
          <cell r="I1770">
            <v>1</v>
          </cell>
          <cell r="J1770">
            <v>0</v>
          </cell>
          <cell r="K1770">
            <v>0</v>
          </cell>
          <cell r="L1770">
            <v>0</v>
          </cell>
          <cell r="M1770">
            <v>0</v>
          </cell>
          <cell r="N1770">
            <v>0</v>
          </cell>
          <cell r="O1770">
            <v>0</v>
          </cell>
          <cell r="P1770">
            <v>0</v>
          </cell>
        </row>
        <row r="1771">
          <cell r="C1771">
            <v>244</v>
          </cell>
          <cell r="F1771">
            <v>1</v>
          </cell>
          <cell r="G1771">
            <v>1</v>
          </cell>
          <cell r="H1771">
            <v>46204</v>
          </cell>
          <cell r="I1771">
            <v>2</v>
          </cell>
          <cell r="J1771">
            <v>0</v>
          </cell>
          <cell r="K1771">
            <v>0</v>
          </cell>
          <cell r="L1771">
            <v>0</v>
          </cell>
          <cell r="M1771">
            <v>0</v>
          </cell>
          <cell r="N1771">
            <v>0</v>
          </cell>
          <cell r="O1771">
            <v>0</v>
          </cell>
          <cell r="P1771">
            <v>0</v>
          </cell>
        </row>
        <row r="1772">
          <cell r="C1772">
            <v>245</v>
          </cell>
          <cell r="F1772">
            <v>1</v>
          </cell>
          <cell r="G1772">
            <v>1</v>
          </cell>
          <cell r="H1772">
            <v>46204</v>
          </cell>
          <cell r="I1772">
            <v>1</v>
          </cell>
          <cell r="J1772">
            <v>0</v>
          </cell>
          <cell r="K1772">
            <v>0</v>
          </cell>
          <cell r="L1772">
            <v>0</v>
          </cell>
          <cell r="M1772">
            <v>0</v>
          </cell>
          <cell r="N1772">
            <v>0</v>
          </cell>
          <cell r="O1772">
            <v>0</v>
          </cell>
          <cell r="P1772">
            <v>0</v>
          </cell>
        </row>
        <row r="1773">
          <cell r="C1773">
            <v>247</v>
          </cell>
          <cell r="F1773">
            <v>1</v>
          </cell>
          <cell r="G1773">
            <v>1</v>
          </cell>
          <cell r="H1773">
            <v>46204</v>
          </cell>
          <cell r="I1773">
            <v>7</v>
          </cell>
          <cell r="J1773">
            <v>0</v>
          </cell>
          <cell r="K1773">
            <v>0</v>
          </cell>
          <cell r="L1773">
            <v>0</v>
          </cell>
          <cell r="M1773">
            <v>0</v>
          </cell>
          <cell r="N1773">
            <v>0</v>
          </cell>
          <cell r="O1773">
            <v>0</v>
          </cell>
          <cell r="P1773">
            <v>0</v>
          </cell>
        </row>
        <row r="1774">
          <cell r="C1774">
            <v>248</v>
          </cell>
          <cell r="F1774">
            <v>1</v>
          </cell>
          <cell r="G1774">
            <v>1</v>
          </cell>
          <cell r="H1774">
            <v>46204</v>
          </cell>
          <cell r="I1774">
            <v>26</v>
          </cell>
          <cell r="J1774">
            <v>0</v>
          </cell>
          <cell r="K1774">
            <v>0</v>
          </cell>
          <cell r="L1774">
            <v>0</v>
          </cell>
          <cell r="M1774">
            <v>0</v>
          </cell>
          <cell r="N1774">
            <v>0</v>
          </cell>
          <cell r="O1774">
            <v>0</v>
          </cell>
          <cell r="P1774">
            <v>0</v>
          </cell>
        </row>
        <row r="1775">
          <cell r="C1775">
            <v>249</v>
          </cell>
          <cell r="F1775">
            <v>1</v>
          </cell>
          <cell r="G1775">
            <v>1</v>
          </cell>
          <cell r="H1775">
            <v>46204</v>
          </cell>
          <cell r="I1775">
            <v>2</v>
          </cell>
          <cell r="J1775">
            <v>0</v>
          </cell>
          <cell r="K1775">
            <v>0</v>
          </cell>
          <cell r="L1775">
            <v>0</v>
          </cell>
          <cell r="M1775">
            <v>0</v>
          </cell>
          <cell r="N1775">
            <v>0</v>
          </cell>
          <cell r="O1775">
            <v>0</v>
          </cell>
          <cell r="P1775">
            <v>0</v>
          </cell>
        </row>
        <row r="1776">
          <cell r="C1776">
            <v>250</v>
          </cell>
          <cell r="F1776">
            <v>1</v>
          </cell>
          <cell r="G1776">
            <v>1</v>
          </cell>
          <cell r="H1776">
            <v>46204</v>
          </cell>
          <cell r="I1776">
            <v>24</v>
          </cell>
          <cell r="J1776">
            <v>0</v>
          </cell>
          <cell r="K1776">
            <v>0</v>
          </cell>
          <cell r="L1776">
            <v>0</v>
          </cell>
          <cell r="M1776">
            <v>0</v>
          </cell>
          <cell r="N1776">
            <v>0</v>
          </cell>
          <cell r="O1776">
            <v>0</v>
          </cell>
          <cell r="P1776">
            <v>0</v>
          </cell>
        </row>
        <row r="1777">
          <cell r="C1777">
            <v>251</v>
          </cell>
          <cell r="F1777">
            <v>1</v>
          </cell>
          <cell r="G1777">
            <v>1</v>
          </cell>
          <cell r="H1777">
            <v>46204</v>
          </cell>
          <cell r="I1777">
            <v>20</v>
          </cell>
          <cell r="J1777">
            <v>0</v>
          </cell>
          <cell r="K1777">
            <v>0</v>
          </cell>
          <cell r="L1777">
            <v>0</v>
          </cell>
          <cell r="M1777">
            <v>0</v>
          </cell>
          <cell r="N1777">
            <v>0</v>
          </cell>
          <cell r="O1777">
            <v>0</v>
          </cell>
          <cell r="P1777">
            <v>0</v>
          </cell>
        </row>
        <row r="1778">
          <cell r="C1778">
            <v>252</v>
          </cell>
          <cell r="F1778">
            <v>1</v>
          </cell>
          <cell r="G1778">
            <v>1</v>
          </cell>
          <cell r="H1778">
            <v>46204</v>
          </cell>
          <cell r="I1778">
            <v>28</v>
          </cell>
          <cell r="J1778">
            <v>0</v>
          </cell>
          <cell r="K1778">
            <v>0</v>
          </cell>
          <cell r="L1778">
            <v>0</v>
          </cell>
          <cell r="M1778">
            <v>0</v>
          </cell>
          <cell r="N1778">
            <v>0</v>
          </cell>
          <cell r="O1778">
            <v>0</v>
          </cell>
          <cell r="P1778">
            <v>0</v>
          </cell>
        </row>
        <row r="1779">
          <cell r="C1779">
            <v>253</v>
          </cell>
          <cell r="F1779">
            <v>1</v>
          </cell>
          <cell r="G1779">
            <v>1</v>
          </cell>
          <cell r="H1779">
            <v>46204</v>
          </cell>
          <cell r="I1779">
            <v>3</v>
          </cell>
          <cell r="J1779">
            <v>0</v>
          </cell>
          <cell r="K1779">
            <v>0</v>
          </cell>
          <cell r="L1779">
            <v>0</v>
          </cell>
          <cell r="M1779">
            <v>0</v>
          </cell>
          <cell r="N1779">
            <v>0</v>
          </cell>
          <cell r="O1779">
            <v>0</v>
          </cell>
          <cell r="P1779">
            <v>0</v>
          </cell>
        </row>
        <row r="1780">
          <cell r="C1780">
            <v>254</v>
          </cell>
          <cell r="F1780">
            <v>1</v>
          </cell>
          <cell r="G1780">
            <v>1</v>
          </cell>
          <cell r="H1780">
            <v>46204</v>
          </cell>
          <cell r="I1780">
            <v>5</v>
          </cell>
          <cell r="J1780">
            <v>0</v>
          </cell>
          <cell r="K1780">
            <v>0</v>
          </cell>
          <cell r="L1780">
            <v>0</v>
          </cell>
          <cell r="M1780">
            <v>0</v>
          </cell>
          <cell r="N1780">
            <v>0</v>
          </cell>
          <cell r="O1780">
            <v>0</v>
          </cell>
          <cell r="P1780">
            <v>0</v>
          </cell>
        </row>
        <row r="1781">
          <cell r="C1781">
            <v>255</v>
          </cell>
          <cell r="F1781">
            <v>1</v>
          </cell>
          <cell r="G1781">
            <v>1</v>
          </cell>
          <cell r="H1781">
            <v>46204</v>
          </cell>
          <cell r="I1781">
            <v>3</v>
          </cell>
          <cell r="J1781">
            <v>0</v>
          </cell>
          <cell r="K1781">
            <v>0</v>
          </cell>
          <cell r="L1781">
            <v>0</v>
          </cell>
          <cell r="M1781">
            <v>0</v>
          </cell>
          <cell r="N1781">
            <v>0</v>
          </cell>
          <cell r="O1781">
            <v>0</v>
          </cell>
          <cell r="P1781">
            <v>0</v>
          </cell>
        </row>
        <row r="1782">
          <cell r="C1782">
            <v>256</v>
          </cell>
          <cell r="F1782">
            <v>1</v>
          </cell>
          <cell r="G1782">
            <v>1</v>
          </cell>
          <cell r="H1782">
            <v>46204</v>
          </cell>
          <cell r="I1782">
            <v>5</v>
          </cell>
          <cell r="J1782">
            <v>0</v>
          </cell>
          <cell r="K1782">
            <v>0</v>
          </cell>
          <cell r="L1782">
            <v>0</v>
          </cell>
          <cell r="M1782">
            <v>0</v>
          </cell>
          <cell r="N1782">
            <v>0</v>
          </cell>
          <cell r="O1782">
            <v>0</v>
          </cell>
          <cell r="P1782">
            <v>0</v>
          </cell>
        </row>
        <row r="1783">
          <cell r="C1783">
            <v>257</v>
          </cell>
          <cell r="F1783">
            <v>1</v>
          </cell>
          <cell r="G1783">
            <v>1</v>
          </cell>
          <cell r="H1783">
            <v>46204</v>
          </cell>
          <cell r="I1783">
            <v>2</v>
          </cell>
          <cell r="J1783">
            <v>0</v>
          </cell>
          <cell r="K1783">
            <v>0</v>
          </cell>
          <cell r="L1783">
            <v>0</v>
          </cell>
          <cell r="M1783">
            <v>0</v>
          </cell>
          <cell r="N1783">
            <v>0</v>
          </cell>
          <cell r="O1783">
            <v>0</v>
          </cell>
          <cell r="P1783">
            <v>0</v>
          </cell>
        </row>
        <row r="1784">
          <cell r="C1784">
            <v>258</v>
          </cell>
          <cell r="F1784">
            <v>1</v>
          </cell>
          <cell r="G1784">
            <v>1</v>
          </cell>
          <cell r="H1784">
            <v>46204</v>
          </cell>
          <cell r="I1784">
            <v>2</v>
          </cell>
          <cell r="J1784">
            <v>0</v>
          </cell>
          <cell r="K1784">
            <v>0</v>
          </cell>
          <cell r="L1784">
            <v>0</v>
          </cell>
          <cell r="M1784">
            <v>0</v>
          </cell>
          <cell r="N1784">
            <v>0</v>
          </cell>
          <cell r="O1784">
            <v>0</v>
          </cell>
          <cell r="P1784">
            <v>0</v>
          </cell>
        </row>
        <row r="1785">
          <cell r="C1785">
            <v>259</v>
          </cell>
          <cell r="F1785">
            <v>1</v>
          </cell>
          <cell r="G1785">
            <v>1</v>
          </cell>
          <cell r="H1785">
            <v>46204</v>
          </cell>
          <cell r="I1785">
            <v>2</v>
          </cell>
          <cell r="J1785">
            <v>0</v>
          </cell>
          <cell r="K1785">
            <v>0</v>
          </cell>
          <cell r="L1785">
            <v>0</v>
          </cell>
          <cell r="M1785">
            <v>0</v>
          </cell>
          <cell r="N1785">
            <v>0</v>
          </cell>
          <cell r="O1785">
            <v>0</v>
          </cell>
          <cell r="P1785">
            <v>0</v>
          </cell>
        </row>
        <row r="1786">
          <cell r="C1786">
            <v>260</v>
          </cell>
          <cell r="F1786">
            <v>1</v>
          </cell>
          <cell r="G1786">
            <v>1</v>
          </cell>
          <cell r="H1786">
            <v>46204</v>
          </cell>
          <cell r="I1786">
            <v>3</v>
          </cell>
          <cell r="J1786">
            <v>0</v>
          </cell>
          <cell r="K1786">
            <v>0</v>
          </cell>
          <cell r="L1786">
            <v>0</v>
          </cell>
          <cell r="M1786">
            <v>0</v>
          </cell>
          <cell r="N1786">
            <v>0</v>
          </cell>
          <cell r="O1786">
            <v>0</v>
          </cell>
          <cell r="P1786">
            <v>0</v>
          </cell>
        </row>
        <row r="1787">
          <cell r="C1787">
            <v>261</v>
          </cell>
          <cell r="F1787">
            <v>1</v>
          </cell>
          <cell r="G1787">
            <v>1</v>
          </cell>
          <cell r="H1787">
            <v>46204</v>
          </cell>
          <cell r="I1787">
            <v>1</v>
          </cell>
          <cell r="J1787">
            <v>0</v>
          </cell>
          <cell r="K1787">
            <v>0</v>
          </cell>
          <cell r="L1787">
            <v>0</v>
          </cell>
          <cell r="M1787">
            <v>0</v>
          </cell>
          <cell r="N1787">
            <v>0</v>
          </cell>
          <cell r="O1787">
            <v>0</v>
          </cell>
          <cell r="P1787">
            <v>0</v>
          </cell>
        </row>
        <row r="1788">
          <cell r="C1788">
            <v>262</v>
          </cell>
          <cell r="F1788">
            <v>1</v>
          </cell>
          <cell r="G1788">
            <v>1</v>
          </cell>
          <cell r="H1788">
            <v>46204</v>
          </cell>
          <cell r="I1788">
            <v>1</v>
          </cell>
          <cell r="J1788">
            <v>0</v>
          </cell>
          <cell r="K1788">
            <v>0</v>
          </cell>
          <cell r="L1788">
            <v>0</v>
          </cell>
          <cell r="M1788">
            <v>0</v>
          </cell>
          <cell r="N1788">
            <v>0</v>
          </cell>
          <cell r="O1788">
            <v>0</v>
          </cell>
          <cell r="P1788">
            <v>0</v>
          </cell>
        </row>
        <row r="1789">
          <cell r="C1789">
            <v>263</v>
          </cell>
          <cell r="F1789">
            <v>1</v>
          </cell>
          <cell r="G1789">
            <v>1</v>
          </cell>
          <cell r="H1789">
            <v>46204</v>
          </cell>
          <cell r="I1789">
            <v>3</v>
          </cell>
          <cell r="J1789">
            <v>0</v>
          </cell>
          <cell r="K1789">
            <v>0</v>
          </cell>
          <cell r="L1789">
            <v>0</v>
          </cell>
          <cell r="M1789">
            <v>0</v>
          </cell>
          <cell r="N1789">
            <v>0</v>
          </cell>
          <cell r="O1789">
            <v>0</v>
          </cell>
          <cell r="P1789">
            <v>0</v>
          </cell>
        </row>
        <row r="1790">
          <cell r="C1790">
            <v>264</v>
          </cell>
          <cell r="F1790">
            <v>1</v>
          </cell>
          <cell r="G1790">
            <v>1</v>
          </cell>
          <cell r="H1790">
            <v>46204</v>
          </cell>
          <cell r="I1790">
            <v>4</v>
          </cell>
          <cell r="J1790">
            <v>0</v>
          </cell>
          <cell r="K1790">
            <v>0</v>
          </cell>
          <cell r="L1790">
            <v>0</v>
          </cell>
          <cell r="M1790">
            <v>0</v>
          </cell>
          <cell r="N1790">
            <v>0</v>
          </cell>
          <cell r="O1790">
            <v>0</v>
          </cell>
          <cell r="P1790">
            <v>0</v>
          </cell>
        </row>
        <row r="1791">
          <cell r="C1791">
            <v>266</v>
          </cell>
          <cell r="F1791">
            <v>1</v>
          </cell>
          <cell r="G1791">
            <v>1</v>
          </cell>
          <cell r="H1791">
            <v>46204</v>
          </cell>
          <cell r="I1791">
            <v>7</v>
          </cell>
          <cell r="J1791">
            <v>0</v>
          </cell>
          <cell r="K1791">
            <v>0</v>
          </cell>
          <cell r="L1791">
            <v>0</v>
          </cell>
          <cell r="M1791">
            <v>0</v>
          </cell>
          <cell r="N1791">
            <v>0</v>
          </cell>
          <cell r="O1791">
            <v>0</v>
          </cell>
          <cell r="P1791">
            <v>0</v>
          </cell>
        </row>
        <row r="1792">
          <cell r="C1792">
            <v>267</v>
          </cell>
          <cell r="F1792">
            <v>1</v>
          </cell>
          <cell r="G1792">
            <v>1</v>
          </cell>
          <cell r="H1792">
            <v>46204</v>
          </cell>
          <cell r="I1792">
            <v>4</v>
          </cell>
          <cell r="J1792">
            <v>0</v>
          </cell>
          <cell r="K1792">
            <v>0</v>
          </cell>
          <cell r="L1792">
            <v>0</v>
          </cell>
          <cell r="M1792">
            <v>0</v>
          </cell>
          <cell r="N1792">
            <v>0</v>
          </cell>
          <cell r="O1792">
            <v>0</v>
          </cell>
          <cell r="P1792">
            <v>0</v>
          </cell>
        </row>
        <row r="1793">
          <cell r="C1793">
            <v>268</v>
          </cell>
          <cell r="F1793">
            <v>1</v>
          </cell>
          <cell r="G1793">
            <v>1</v>
          </cell>
          <cell r="H1793">
            <v>46204</v>
          </cell>
          <cell r="I1793">
            <v>3</v>
          </cell>
          <cell r="J1793">
            <v>0</v>
          </cell>
          <cell r="K1793">
            <v>0</v>
          </cell>
          <cell r="L1793">
            <v>0</v>
          </cell>
          <cell r="M1793">
            <v>0</v>
          </cell>
          <cell r="N1793">
            <v>0</v>
          </cell>
          <cell r="O1793">
            <v>0</v>
          </cell>
          <cell r="P1793">
            <v>0</v>
          </cell>
        </row>
        <row r="1794">
          <cell r="C1794">
            <v>269</v>
          </cell>
          <cell r="F1794">
            <v>1</v>
          </cell>
          <cell r="G1794">
            <v>1</v>
          </cell>
          <cell r="H1794">
            <v>46204</v>
          </cell>
          <cell r="I1794">
            <v>10</v>
          </cell>
          <cell r="J1794">
            <v>0</v>
          </cell>
          <cell r="K1794">
            <v>0</v>
          </cell>
          <cell r="L1794">
            <v>0</v>
          </cell>
          <cell r="M1794">
            <v>0</v>
          </cell>
          <cell r="N1794">
            <v>0</v>
          </cell>
          <cell r="O1794">
            <v>0</v>
          </cell>
          <cell r="P1794">
            <v>0</v>
          </cell>
        </row>
        <row r="1795">
          <cell r="C1795">
            <v>271</v>
          </cell>
          <cell r="F1795">
            <v>1</v>
          </cell>
          <cell r="G1795">
            <v>1</v>
          </cell>
          <cell r="H1795">
            <v>46204</v>
          </cell>
          <cell r="I1795">
            <v>2</v>
          </cell>
          <cell r="J1795">
            <v>0</v>
          </cell>
          <cell r="K1795">
            <v>0</v>
          </cell>
          <cell r="L1795">
            <v>0</v>
          </cell>
          <cell r="M1795">
            <v>0</v>
          </cell>
          <cell r="N1795">
            <v>0</v>
          </cell>
          <cell r="O1795">
            <v>0</v>
          </cell>
          <cell r="P1795">
            <v>0</v>
          </cell>
        </row>
        <row r="1796">
          <cell r="C1796">
            <v>272</v>
          </cell>
          <cell r="F1796">
            <v>1</v>
          </cell>
          <cell r="G1796">
            <v>1</v>
          </cell>
          <cell r="H1796">
            <v>46204</v>
          </cell>
          <cell r="I1796">
            <v>15</v>
          </cell>
          <cell r="J1796">
            <v>0</v>
          </cell>
          <cell r="K1796">
            <v>0</v>
          </cell>
          <cell r="L1796">
            <v>0</v>
          </cell>
          <cell r="M1796">
            <v>0</v>
          </cell>
          <cell r="N1796">
            <v>0</v>
          </cell>
          <cell r="O1796">
            <v>0</v>
          </cell>
          <cell r="P1796">
            <v>0</v>
          </cell>
        </row>
        <row r="1797">
          <cell r="C1797">
            <v>273</v>
          </cell>
          <cell r="F1797">
            <v>1</v>
          </cell>
          <cell r="G1797">
            <v>1</v>
          </cell>
          <cell r="H1797">
            <v>46204</v>
          </cell>
          <cell r="I1797">
            <v>28</v>
          </cell>
          <cell r="J1797">
            <v>0</v>
          </cell>
          <cell r="K1797">
            <v>0</v>
          </cell>
          <cell r="L1797">
            <v>0</v>
          </cell>
          <cell r="M1797">
            <v>0</v>
          </cell>
          <cell r="N1797">
            <v>0</v>
          </cell>
          <cell r="O1797">
            <v>0</v>
          </cell>
          <cell r="P1797">
            <v>0</v>
          </cell>
        </row>
        <row r="1798">
          <cell r="C1798">
            <v>274</v>
          </cell>
          <cell r="F1798">
            <v>1</v>
          </cell>
          <cell r="G1798">
            <v>1</v>
          </cell>
          <cell r="H1798">
            <v>46204</v>
          </cell>
          <cell r="I1798">
            <v>1</v>
          </cell>
          <cell r="J1798">
            <v>0</v>
          </cell>
          <cell r="K1798">
            <v>0</v>
          </cell>
          <cell r="L1798">
            <v>0</v>
          </cell>
          <cell r="M1798">
            <v>0</v>
          </cell>
          <cell r="N1798">
            <v>0</v>
          </cell>
          <cell r="O1798">
            <v>0</v>
          </cell>
          <cell r="P1798">
            <v>0</v>
          </cell>
        </row>
        <row r="1799">
          <cell r="C1799">
            <v>275</v>
          </cell>
          <cell r="F1799">
            <v>1</v>
          </cell>
          <cell r="G1799">
            <v>1</v>
          </cell>
          <cell r="H1799">
            <v>46204</v>
          </cell>
          <cell r="I1799">
            <v>11</v>
          </cell>
          <cell r="J1799">
            <v>0</v>
          </cell>
          <cell r="K1799">
            <v>0</v>
          </cell>
          <cell r="L1799">
            <v>0</v>
          </cell>
          <cell r="M1799">
            <v>0</v>
          </cell>
          <cell r="N1799">
            <v>0</v>
          </cell>
          <cell r="O1799">
            <v>0</v>
          </cell>
          <cell r="P1799">
            <v>0</v>
          </cell>
        </row>
        <row r="1800">
          <cell r="C1800">
            <v>278</v>
          </cell>
          <cell r="F1800">
            <v>1</v>
          </cell>
          <cell r="G1800">
            <v>1</v>
          </cell>
          <cell r="H1800">
            <v>46204</v>
          </cell>
          <cell r="I1800">
            <v>6</v>
          </cell>
          <cell r="J1800">
            <v>0</v>
          </cell>
          <cell r="K1800">
            <v>0</v>
          </cell>
          <cell r="L1800">
            <v>0</v>
          </cell>
          <cell r="M1800">
            <v>0</v>
          </cell>
          <cell r="N1800">
            <v>0</v>
          </cell>
          <cell r="O1800">
            <v>0</v>
          </cell>
          <cell r="P1800">
            <v>0</v>
          </cell>
        </row>
        <row r="1801">
          <cell r="C1801">
            <v>279</v>
          </cell>
          <cell r="F1801">
            <v>1</v>
          </cell>
          <cell r="G1801">
            <v>1</v>
          </cell>
          <cell r="H1801">
            <v>46204</v>
          </cell>
          <cell r="I1801">
            <v>4</v>
          </cell>
          <cell r="J1801">
            <v>0</v>
          </cell>
          <cell r="K1801">
            <v>0</v>
          </cell>
          <cell r="L1801">
            <v>0</v>
          </cell>
          <cell r="M1801">
            <v>0</v>
          </cell>
          <cell r="N1801">
            <v>0</v>
          </cell>
          <cell r="O1801">
            <v>0</v>
          </cell>
          <cell r="P1801">
            <v>0</v>
          </cell>
        </row>
        <row r="1802">
          <cell r="C1802">
            <v>280</v>
          </cell>
          <cell r="F1802">
            <v>1</v>
          </cell>
          <cell r="G1802">
            <v>1</v>
          </cell>
          <cell r="H1802">
            <v>46204</v>
          </cell>
          <cell r="I1802">
            <v>6</v>
          </cell>
          <cell r="J1802">
            <v>0</v>
          </cell>
          <cell r="K1802">
            <v>0</v>
          </cell>
          <cell r="L1802">
            <v>0</v>
          </cell>
          <cell r="M1802">
            <v>0</v>
          </cell>
          <cell r="N1802">
            <v>0</v>
          </cell>
          <cell r="O1802">
            <v>0</v>
          </cell>
          <cell r="P1802">
            <v>0</v>
          </cell>
        </row>
        <row r="1803">
          <cell r="C1803">
            <v>281</v>
          </cell>
          <cell r="F1803">
            <v>1</v>
          </cell>
          <cell r="G1803">
            <v>1</v>
          </cell>
          <cell r="H1803">
            <v>46204</v>
          </cell>
          <cell r="I1803">
            <v>1</v>
          </cell>
          <cell r="J1803">
            <v>0</v>
          </cell>
          <cell r="K1803">
            <v>0</v>
          </cell>
          <cell r="L1803">
            <v>0</v>
          </cell>
          <cell r="M1803">
            <v>0</v>
          </cell>
          <cell r="N1803">
            <v>0</v>
          </cell>
          <cell r="O1803">
            <v>0</v>
          </cell>
          <cell r="P1803">
            <v>0</v>
          </cell>
        </row>
        <row r="1804">
          <cell r="C1804">
            <v>282</v>
          </cell>
          <cell r="F1804">
            <v>1</v>
          </cell>
          <cell r="G1804">
            <v>1</v>
          </cell>
          <cell r="H1804">
            <v>46204</v>
          </cell>
          <cell r="I1804">
            <v>6</v>
          </cell>
          <cell r="J1804">
            <v>0</v>
          </cell>
          <cell r="K1804">
            <v>0</v>
          </cell>
          <cell r="L1804">
            <v>0</v>
          </cell>
          <cell r="M1804">
            <v>0</v>
          </cell>
          <cell r="N1804">
            <v>0</v>
          </cell>
          <cell r="O1804">
            <v>0</v>
          </cell>
          <cell r="P1804">
            <v>0</v>
          </cell>
        </row>
        <row r="1805">
          <cell r="C1805">
            <v>285</v>
          </cell>
          <cell r="F1805">
            <v>1</v>
          </cell>
          <cell r="G1805">
            <v>1</v>
          </cell>
          <cell r="H1805">
            <v>46204</v>
          </cell>
          <cell r="I1805">
            <v>8</v>
          </cell>
          <cell r="J1805">
            <v>0</v>
          </cell>
          <cell r="K1805">
            <v>0</v>
          </cell>
          <cell r="L1805">
            <v>0</v>
          </cell>
          <cell r="M1805">
            <v>0</v>
          </cell>
          <cell r="N1805">
            <v>0</v>
          </cell>
          <cell r="O1805">
            <v>0</v>
          </cell>
          <cell r="P1805">
            <v>0</v>
          </cell>
        </row>
        <row r="1806">
          <cell r="C1806">
            <v>286</v>
          </cell>
          <cell r="F1806">
            <v>1</v>
          </cell>
          <cell r="G1806">
            <v>1</v>
          </cell>
          <cell r="H1806">
            <v>46204</v>
          </cell>
          <cell r="I1806">
            <v>8</v>
          </cell>
          <cell r="J1806">
            <v>0</v>
          </cell>
          <cell r="K1806">
            <v>0</v>
          </cell>
          <cell r="L1806">
            <v>0</v>
          </cell>
          <cell r="M1806">
            <v>0</v>
          </cell>
          <cell r="N1806">
            <v>0</v>
          </cell>
          <cell r="O1806">
            <v>0</v>
          </cell>
          <cell r="P1806">
            <v>0</v>
          </cell>
        </row>
        <row r="1807">
          <cell r="C1807">
            <v>321</v>
          </cell>
          <cell r="F1807">
            <v>1</v>
          </cell>
          <cell r="G1807">
            <v>1</v>
          </cell>
          <cell r="H1807">
            <v>46204</v>
          </cell>
          <cell r="I1807">
            <v>1</v>
          </cell>
          <cell r="J1807">
            <v>0</v>
          </cell>
          <cell r="K1807">
            <v>0</v>
          </cell>
          <cell r="L1807">
            <v>0</v>
          </cell>
          <cell r="M1807">
            <v>0</v>
          </cell>
          <cell r="N1807">
            <v>0</v>
          </cell>
          <cell r="O1807">
            <v>0</v>
          </cell>
          <cell r="P1807">
            <v>0</v>
          </cell>
        </row>
        <row r="1808">
          <cell r="C1808">
            <v>322</v>
          </cell>
          <cell r="F1808">
            <v>1</v>
          </cell>
          <cell r="G1808">
            <v>1</v>
          </cell>
          <cell r="H1808">
            <v>46204</v>
          </cell>
          <cell r="I1808">
            <v>1</v>
          </cell>
          <cell r="J1808">
            <v>0</v>
          </cell>
          <cell r="K1808">
            <v>0</v>
          </cell>
          <cell r="L1808">
            <v>0</v>
          </cell>
          <cell r="M1808">
            <v>0</v>
          </cell>
          <cell r="N1808">
            <v>0</v>
          </cell>
          <cell r="O1808">
            <v>0</v>
          </cell>
          <cell r="P1808">
            <v>0</v>
          </cell>
        </row>
        <row r="1809">
          <cell r="C1809">
            <v>323</v>
          </cell>
          <cell r="F1809">
            <v>1</v>
          </cell>
          <cell r="G1809">
            <v>1</v>
          </cell>
          <cell r="H1809">
            <v>46204</v>
          </cell>
          <cell r="I1809">
            <v>18</v>
          </cell>
          <cell r="J1809">
            <v>0</v>
          </cell>
          <cell r="K1809">
            <v>0</v>
          </cell>
          <cell r="L1809">
            <v>0</v>
          </cell>
          <cell r="M1809">
            <v>0</v>
          </cell>
          <cell r="N1809">
            <v>0</v>
          </cell>
          <cell r="O1809">
            <v>0</v>
          </cell>
          <cell r="P1809">
            <v>0</v>
          </cell>
        </row>
        <row r="1810">
          <cell r="C1810">
            <v>324</v>
          </cell>
          <cell r="F1810">
            <v>1</v>
          </cell>
          <cell r="G1810">
            <v>1</v>
          </cell>
          <cell r="H1810">
            <v>46204</v>
          </cell>
          <cell r="I1810">
            <v>1</v>
          </cell>
          <cell r="J1810">
            <v>0</v>
          </cell>
          <cell r="K1810">
            <v>0</v>
          </cell>
          <cell r="L1810">
            <v>0</v>
          </cell>
          <cell r="M1810">
            <v>0</v>
          </cell>
          <cell r="N1810">
            <v>0</v>
          </cell>
          <cell r="O1810">
            <v>0</v>
          </cell>
          <cell r="P1810">
            <v>0</v>
          </cell>
        </row>
        <row r="1811">
          <cell r="C1811">
            <v>325</v>
          </cell>
          <cell r="F1811">
            <v>1</v>
          </cell>
          <cell r="G1811">
            <v>1</v>
          </cell>
          <cell r="H1811">
            <v>46204</v>
          </cell>
          <cell r="I1811">
            <v>1</v>
          </cell>
          <cell r="J1811">
            <v>0</v>
          </cell>
          <cell r="K1811">
            <v>0</v>
          </cell>
          <cell r="L1811">
            <v>0</v>
          </cell>
          <cell r="M1811">
            <v>0</v>
          </cell>
          <cell r="N1811">
            <v>0</v>
          </cell>
          <cell r="O1811">
            <v>0</v>
          </cell>
          <cell r="P1811">
            <v>0</v>
          </cell>
        </row>
        <row r="1812">
          <cell r="C1812">
            <v>326</v>
          </cell>
          <cell r="F1812">
            <v>1</v>
          </cell>
          <cell r="G1812">
            <v>1</v>
          </cell>
          <cell r="H1812">
            <v>46204</v>
          </cell>
          <cell r="I1812">
            <v>1</v>
          </cell>
          <cell r="J1812">
            <v>0</v>
          </cell>
          <cell r="K1812">
            <v>0</v>
          </cell>
          <cell r="L1812">
            <v>0</v>
          </cell>
          <cell r="M1812">
            <v>0</v>
          </cell>
          <cell r="N1812">
            <v>0</v>
          </cell>
          <cell r="O1812">
            <v>0</v>
          </cell>
          <cell r="P1812">
            <v>0</v>
          </cell>
        </row>
        <row r="1813">
          <cell r="C1813">
            <v>328</v>
          </cell>
          <cell r="F1813">
            <v>1</v>
          </cell>
          <cell r="G1813">
            <v>1</v>
          </cell>
          <cell r="H1813">
            <v>46204</v>
          </cell>
          <cell r="I1813">
            <v>1</v>
          </cell>
          <cell r="J1813">
            <v>0</v>
          </cell>
          <cell r="K1813">
            <v>0</v>
          </cell>
          <cell r="L1813">
            <v>0</v>
          </cell>
          <cell r="M1813">
            <v>0</v>
          </cell>
          <cell r="N1813">
            <v>0</v>
          </cell>
          <cell r="O1813">
            <v>0</v>
          </cell>
          <cell r="P1813">
            <v>0</v>
          </cell>
        </row>
        <row r="1814">
          <cell r="C1814">
            <v>329</v>
          </cell>
          <cell r="F1814">
            <v>1</v>
          </cell>
          <cell r="G1814">
            <v>1</v>
          </cell>
          <cell r="H1814">
            <v>46204</v>
          </cell>
          <cell r="I1814">
            <v>1</v>
          </cell>
          <cell r="J1814">
            <v>0</v>
          </cell>
          <cell r="K1814">
            <v>0</v>
          </cell>
          <cell r="L1814">
            <v>0</v>
          </cell>
          <cell r="M1814">
            <v>0</v>
          </cell>
          <cell r="N1814">
            <v>0</v>
          </cell>
          <cell r="O1814">
            <v>0</v>
          </cell>
          <cell r="P1814">
            <v>0</v>
          </cell>
        </row>
        <row r="1815">
          <cell r="C1815">
            <v>330</v>
          </cell>
          <cell r="F1815">
            <v>1</v>
          </cell>
          <cell r="G1815">
            <v>1</v>
          </cell>
          <cell r="H1815">
            <v>46204</v>
          </cell>
          <cell r="I1815">
            <v>2</v>
          </cell>
          <cell r="J1815">
            <v>0</v>
          </cell>
          <cell r="K1815">
            <v>0</v>
          </cell>
          <cell r="L1815">
            <v>0</v>
          </cell>
          <cell r="M1815">
            <v>0</v>
          </cell>
          <cell r="N1815">
            <v>0</v>
          </cell>
          <cell r="O1815">
            <v>0</v>
          </cell>
          <cell r="P1815">
            <v>0</v>
          </cell>
        </row>
        <row r="1816">
          <cell r="C1816">
            <v>331</v>
          </cell>
          <cell r="F1816">
            <v>1</v>
          </cell>
          <cell r="G1816">
            <v>1</v>
          </cell>
          <cell r="H1816">
            <v>46204</v>
          </cell>
          <cell r="I1816">
            <v>6</v>
          </cell>
          <cell r="J1816">
            <v>0</v>
          </cell>
          <cell r="K1816">
            <v>0</v>
          </cell>
          <cell r="L1816">
            <v>0</v>
          </cell>
          <cell r="M1816">
            <v>0</v>
          </cell>
          <cell r="N1816">
            <v>0</v>
          </cell>
          <cell r="O1816">
            <v>0</v>
          </cell>
          <cell r="P1816">
            <v>0</v>
          </cell>
        </row>
        <row r="1817">
          <cell r="C1817">
            <v>332</v>
          </cell>
          <cell r="F1817">
            <v>1</v>
          </cell>
          <cell r="G1817">
            <v>1</v>
          </cell>
          <cell r="H1817">
            <v>46204</v>
          </cell>
          <cell r="I1817">
            <v>220</v>
          </cell>
          <cell r="J1817">
            <v>0</v>
          </cell>
          <cell r="K1817">
            <v>0</v>
          </cell>
          <cell r="L1817">
            <v>0</v>
          </cell>
          <cell r="M1817">
            <v>0</v>
          </cell>
          <cell r="N1817">
            <v>0</v>
          </cell>
          <cell r="O1817">
            <v>0</v>
          </cell>
          <cell r="P1817">
            <v>0</v>
          </cell>
        </row>
        <row r="1818">
          <cell r="C1818">
            <v>333</v>
          </cell>
          <cell r="F1818">
            <v>1</v>
          </cell>
          <cell r="G1818">
            <v>1</v>
          </cell>
          <cell r="H1818">
            <v>46204</v>
          </cell>
          <cell r="I1818">
            <v>6</v>
          </cell>
          <cell r="J1818">
            <v>0</v>
          </cell>
          <cell r="K1818">
            <v>0</v>
          </cell>
          <cell r="L1818">
            <v>0</v>
          </cell>
          <cell r="M1818">
            <v>0</v>
          </cell>
          <cell r="N1818">
            <v>0</v>
          </cell>
          <cell r="O1818">
            <v>0</v>
          </cell>
          <cell r="P1818">
            <v>0</v>
          </cell>
        </row>
        <row r="1819">
          <cell r="C1819">
            <v>334</v>
          </cell>
          <cell r="F1819">
            <v>1</v>
          </cell>
          <cell r="G1819">
            <v>1</v>
          </cell>
          <cell r="H1819">
            <v>46204</v>
          </cell>
          <cell r="I1819">
            <v>3</v>
          </cell>
          <cell r="J1819">
            <v>0</v>
          </cell>
          <cell r="K1819">
            <v>0</v>
          </cell>
          <cell r="L1819">
            <v>0</v>
          </cell>
          <cell r="M1819">
            <v>0</v>
          </cell>
          <cell r="N1819">
            <v>0</v>
          </cell>
          <cell r="O1819">
            <v>0</v>
          </cell>
          <cell r="P1819">
            <v>0</v>
          </cell>
        </row>
        <row r="1820">
          <cell r="C1820">
            <v>336</v>
          </cell>
          <cell r="F1820">
            <v>1</v>
          </cell>
          <cell r="G1820">
            <v>1</v>
          </cell>
          <cell r="H1820">
            <v>46204</v>
          </cell>
          <cell r="I1820">
            <v>1</v>
          </cell>
          <cell r="J1820">
            <v>0</v>
          </cell>
          <cell r="K1820">
            <v>0</v>
          </cell>
          <cell r="L1820">
            <v>0</v>
          </cell>
          <cell r="M1820">
            <v>0</v>
          </cell>
          <cell r="N1820">
            <v>0</v>
          </cell>
          <cell r="O1820">
            <v>0</v>
          </cell>
          <cell r="P1820">
            <v>0</v>
          </cell>
        </row>
        <row r="1821">
          <cell r="C1821">
            <v>339</v>
          </cell>
          <cell r="F1821">
            <v>1</v>
          </cell>
          <cell r="G1821">
            <v>1</v>
          </cell>
          <cell r="H1821">
            <v>46204</v>
          </cell>
          <cell r="I1821">
            <v>10</v>
          </cell>
          <cell r="J1821">
            <v>0</v>
          </cell>
          <cell r="K1821">
            <v>0</v>
          </cell>
          <cell r="L1821">
            <v>0</v>
          </cell>
          <cell r="M1821">
            <v>0</v>
          </cell>
          <cell r="N1821">
            <v>0</v>
          </cell>
          <cell r="O1821">
            <v>0</v>
          </cell>
          <cell r="P1821">
            <v>0</v>
          </cell>
        </row>
        <row r="1822">
          <cell r="C1822">
            <v>341</v>
          </cell>
          <cell r="F1822">
            <v>1</v>
          </cell>
          <cell r="G1822">
            <v>1</v>
          </cell>
          <cell r="H1822">
            <v>46204</v>
          </cell>
          <cell r="I1822">
            <v>7</v>
          </cell>
          <cell r="J1822">
            <v>0</v>
          </cell>
          <cell r="K1822">
            <v>0</v>
          </cell>
          <cell r="L1822">
            <v>0</v>
          </cell>
          <cell r="M1822">
            <v>0</v>
          </cell>
          <cell r="N1822">
            <v>0</v>
          </cell>
          <cell r="O1822">
            <v>0</v>
          </cell>
          <cell r="P1822">
            <v>0</v>
          </cell>
        </row>
        <row r="1823">
          <cell r="C1823">
            <v>342</v>
          </cell>
          <cell r="F1823">
            <v>1</v>
          </cell>
          <cell r="G1823">
            <v>1</v>
          </cell>
          <cell r="H1823">
            <v>46204</v>
          </cell>
          <cell r="I1823">
            <v>16</v>
          </cell>
          <cell r="J1823">
            <v>0</v>
          </cell>
          <cell r="K1823">
            <v>0</v>
          </cell>
          <cell r="L1823">
            <v>0</v>
          </cell>
          <cell r="M1823">
            <v>0</v>
          </cell>
          <cell r="N1823">
            <v>0</v>
          </cell>
          <cell r="O1823">
            <v>0</v>
          </cell>
          <cell r="P1823">
            <v>0</v>
          </cell>
        </row>
        <row r="1824">
          <cell r="C1824">
            <v>345</v>
          </cell>
          <cell r="F1824">
            <v>1</v>
          </cell>
          <cell r="G1824">
            <v>1</v>
          </cell>
          <cell r="H1824">
            <v>46204</v>
          </cell>
          <cell r="I1824">
            <v>1</v>
          </cell>
          <cell r="J1824">
            <v>0</v>
          </cell>
          <cell r="K1824">
            <v>0</v>
          </cell>
          <cell r="L1824">
            <v>0</v>
          </cell>
          <cell r="M1824">
            <v>0</v>
          </cell>
          <cell r="N1824">
            <v>0</v>
          </cell>
          <cell r="O1824">
            <v>0</v>
          </cell>
          <cell r="P1824">
            <v>0</v>
          </cell>
        </row>
        <row r="1825">
          <cell r="C1825">
            <v>346</v>
          </cell>
          <cell r="F1825">
            <v>1</v>
          </cell>
          <cell r="G1825">
            <v>1</v>
          </cell>
          <cell r="H1825">
            <v>46204</v>
          </cell>
          <cell r="I1825">
            <v>2</v>
          </cell>
          <cell r="J1825">
            <v>0</v>
          </cell>
          <cell r="K1825">
            <v>0</v>
          </cell>
          <cell r="L1825">
            <v>0</v>
          </cell>
          <cell r="M1825">
            <v>0</v>
          </cell>
          <cell r="N1825">
            <v>0</v>
          </cell>
          <cell r="O1825">
            <v>0</v>
          </cell>
          <cell r="P1825">
            <v>0</v>
          </cell>
        </row>
        <row r="1826">
          <cell r="C1826">
            <v>359</v>
          </cell>
          <cell r="F1826">
            <v>1</v>
          </cell>
          <cell r="G1826">
            <v>1</v>
          </cell>
          <cell r="H1826">
            <v>46204</v>
          </cell>
          <cell r="I1826">
            <v>4</v>
          </cell>
          <cell r="J1826">
            <v>0</v>
          </cell>
          <cell r="K1826">
            <v>0</v>
          </cell>
          <cell r="L1826">
            <v>0</v>
          </cell>
          <cell r="M1826">
            <v>0</v>
          </cell>
          <cell r="N1826">
            <v>0</v>
          </cell>
          <cell r="O1826">
            <v>0</v>
          </cell>
          <cell r="P1826">
            <v>0</v>
          </cell>
        </row>
        <row r="1827">
          <cell r="C1827">
            <v>360</v>
          </cell>
          <cell r="F1827">
            <v>1</v>
          </cell>
          <cell r="G1827">
            <v>1</v>
          </cell>
          <cell r="H1827">
            <v>46204</v>
          </cell>
          <cell r="I1827">
            <v>4</v>
          </cell>
          <cell r="J1827">
            <v>0</v>
          </cell>
          <cell r="K1827">
            <v>0</v>
          </cell>
          <cell r="L1827">
            <v>0</v>
          </cell>
          <cell r="M1827">
            <v>0</v>
          </cell>
          <cell r="N1827">
            <v>0</v>
          </cell>
          <cell r="O1827">
            <v>0</v>
          </cell>
          <cell r="P1827">
            <v>0</v>
          </cell>
        </row>
        <row r="1828">
          <cell r="C1828">
            <v>366</v>
          </cell>
          <cell r="F1828">
            <v>1</v>
          </cell>
          <cell r="G1828">
            <v>1</v>
          </cell>
          <cell r="H1828">
            <v>46204</v>
          </cell>
          <cell r="I1828">
            <v>1</v>
          </cell>
          <cell r="J1828">
            <v>0</v>
          </cell>
          <cell r="K1828">
            <v>0</v>
          </cell>
          <cell r="L1828">
            <v>0</v>
          </cell>
          <cell r="M1828">
            <v>0</v>
          </cell>
          <cell r="N1828">
            <v>0</v>
          </cell>
          <cell r="O1828">
            <v>0</v>
          </cell>
          <cell r="P1828">
            <v>0</v>
          </cell>
        </row>
        <row r="1829">
          <cell r="C1829">
            <v>273</v>
          </cell>
          <cell r="F1829">
            <v>1</v>
          </cell>
          <cell r="G1829">
            <v>1</v>
          </cell>
          <cell r="H1829">
            <v>46259</v>
          </cell>
          <cell r="I1829">
            <v>0</v>
          </cell>
          <cell r="J1829">
            <v>0</v>
          </cell>
          <cell r="K1829">
            <v>0</v>
          </cell>
          <cell r="L1829">
            <v>240</v>
          </cell>
          <cell r="M1829">
            <v>0</v>
          </cell>
          <cell r="N1829">
            <v>0</v>
          </cell>
          <cell r="O1829">
            <v>0</v>
          </cell>
          <cell r="P1829">
            <v>0</v>
          </cell>
        </row>
        <row r="1830">
          <cell r="C1830">
            <v>96</v>
          </cell>
          <cell r="F1830">
            <v>1</v>
          </cell>
          <cell r="G1830">
            <v>1</v>
          </cell>
          <cell r="H1830">
            <v>46259</v>
          </cell>
          <cell r="I1830">
            <v>0</v>
          </cell>
          <cell r="J1830">
            <v>0</v>
          </cell>
          <cell r="K1830">
            <v>0</v>
          </cell>
          <cell r="L1830">
            <v>12</v>
          </cell>
          <cell r="M1830">
            <v>0</v>
          </cell>
          <cell r="N1830">
            <v>0</v>
          </cell>
          <cell r="O1830">
            <v>0</v>
          </cell>
          <cell r="P1830">
            <v>0</v>
          </cell>
        </row>
        <row r="1831">
          <cell r="C1831">
            <v>405</v>
          </cell>
          <cell r="F1831">
            <v>1</v>
          </cell>
          <cell r="G1831">
            <v>1</v>
          </cell>
          <cell r="H1831">
            <v>46259</v>
          </cell>
          <cell r="I1831">
            <v>0</v>
          </cell>
          <cell r="J1831">
            <v>0</v>
          </cell>
          <cell r="K1831">
            <v>0</v>
          </cell>
          <cell r="L1831">
            <v>10</v>
          </cell>
          <cell r="M1831">
            <v>0</v>
          </cell>
          <cell r="N1831">
            <v>0</v>
          </cell>
          <cell r="O1831">
            <v>0</v>
          </cell>
          <cell r="P1831">
            <v>0</v>
          </cell>
        </row>
        <row r="1832">
          <cell r="C1832">
            <v>406</v>
          </cell>
          <cell r="F1832">
            <v>1</v>
          </cell>
          <cell r="G1832">
            <v>1</v>
          </cell>
          <cell r="H1832">
            <v>46259</v>
          </cell>
          <cell r="I1832">
            <v>0</v>
          </cell>
          <cell r="J1832">
            <v>0</v>
          </cell>
          <cell r="K1832">
            <v>0</v>
          </cell>
          <cell r="L1832">
            <v>5</v>
          </cell>
          <cell r="M1832">
            <v>0</v>
          </cell>
          <cell r="N1832">
            <v>0</v>
          </cell>
          <cell r="O1832">
            <v>0</v>
          </cell>
          <cell r="P1832">
            <v>0</v>
          </cell>
        </row>
        <row r="1833">
          <cell r="C1833">
            <v>407</v>
          </cell>
          <cell r="F1833">
            <v>1</v>
          </cell>
          <cell r="G1833">
            <v>1</v>
          </cell>
          <cell r="H1833">
            <v>46259</v>
          </cell>
          <cell r="I1833">
            <v>0</v>
          </cell>
          <cell r="J1833">
            <v>0</v>
          </cell>
          <cell r="K1833">
            <v>0</v>
          </cell>
          <cell r="L1833">
            <v>5</v>
          </cell>
          <cell r="M1833">
            <v>0</v>
          </cell>
          <cell r="N1833">
            <v>0</v>
          </cell>
          <cell r="O1833">
            <v>0</v>
          </cell>
          <cell r="P1833">
            <v>0</v>
          </cell>
        </row>
        <row r="1834">
          <cell r="C1834">
            <v>305</v>
          </cell>
          <cell r="F1834">
            <v>1</v>
          </cell>
          <cell r="G1834">
            <v>1</v>
          </cell>
          <cell r="H1834">
            <v>46261</v>
          </cell>
          <cell r="I1834">
            <v>0</v>
          </cell>
          <cell r="J1834">
            <v>200</v>
          </cell>
          <cell r="K1834">
            <v>0</v>
          </cell>
          <cell r="L1834">
            <v>0</v>
          </cell>
          <cell r="M1834">
            <v>0</v>
          </cell>
          <cell r="N1834">
            <v>0</v>
          </cell>
          <cell r="O1834">
            <v>0</v>
          </cell>
          <cell r="P1834">
            <v>0</v>
          </cell>
        </row>
        <row r="1835">
          <cell r="C1835">
            <v>177</v>
          </cell>
          <cell r="F1835">
            <v>1</v>
          </cell>
          <cell r="G1835">
            <v>1</v>
          </cell>
          <cell r="H1835">
            <v>46261</v>
          </cell>
          <cell r="I1835">
            <v>0</v>
          </cell>
          <cell r="J1835">
            <v>62</v>
          </cell>
          <cell r="K1835">
            <v>0</v>
          </cell>
          <cell r="L1835">
            <v>0</v>
          </cell>
          <cell r="M1835">
            <v>0</v>
          </cell>
          <cell r="N1835">
            <v>0</v>
          </cell>
          <cell r="O1835">
            <v>0</v>
          </cell>
          <cell r="P1835">
            <v>0</v>
          </cell>
        </row>
        <row r="1836">
          <cell r="C1836">
            <v>6</v>
          </cell>
          <cell r="F1836">
            <v>1</v>
          </cell>
          <cell r="G1836">
            <v>1</v>
          </cell>
          <cell r="H1836">
            <v>46261</v>
          </cell>
          <cell r="I1836">
            <v>0</v>
          </cell>
          <cell r="J1836">
            <v>8</v>
          </cell>
          <cell r="K1836">
            <v>0</v>
          </cell>
          <cell r="L1836">
            <v>0</v>
          </cell>
          <cell r="M1836">
            <v>0</v>
          </cell>
          <cell r="N1836">
            <v>0</v>
          </cell>
          <cell r="O1836">
            <v>0</v>
          </cell>
          <cell r="P1836">
            <v>0</v>
          </cell>
        </row>
        <row r="1837">
          <cell r="C1837">
            <v>7</v>
          </cell>
          <cell r="F1837">
            <v>1</v>
          </cell>
          <cell r="G1837">
            <v>1</v>
          </cell>
          <cell r="H1837">
            <v>46261</v>
          </cell>
          <cell r="I1837">
            <v>0</v>
          </cell>
          <cell r="J1837">
            <v>1</v>
          </cell>
          <cell r="K1837">
            <v>0</v>
          </cell>
          <cell r="L1837">
            <v>0</v>
          </cell>
          <cell r="M1837">
            <v>0</v>
          </cell>
          <cell r="N1837">
            <v>0</v>
          </cell>
          <cell r="O1837">
            <v>0</v>
          </cell>
          <cell r="P1837">
            <v>0</v>
          </cell>
        </row>
        <row r="1838">
          <cell r="C1838">
            <v>332</v>
          </cell>
          <cell r="F1838">
            <v>1</v>
          </cell>
          <cell r="G1838">
            <v>1</v>
          </cell>
          <cell r="H1838">
            <v>46261</v>
          </cell>
          <cell r="I1838">
            <v>0</v>
          </cell>
          <cell r="J1838">
            <v>100</v>
          </cell>
          <cell r="K1838">
            <v>0</v>
          </cell>
          <cell r="L1838">
            <v>0</v>
          </cell>
          <cell r="M1838">
            <v>0</v>
          </cell>
          <cell r="N1838">
            <v>0</v>
          </cell>
          <cell r="O1838">
            <v>0</v>
          </cell>
          <cell r="P1838">
            <v>0</v>
          </cell>
        </row>
        <row r="1839">
          <cell r="C1839">
            <v>45</v>
          </cell>
          <cell r="F1839">
            <v>1</v>
          </cell>
          <cell r="G1839">
            <v>1</v>
          </cell>
          <cell r="H1839">
            <v>46261</v>
          </cell>
          <cell r="I1839">
            <v>0</v>
          </cell>
          <cell r="J1839">
            <v>1</v>
          </cell>
          <cell r="K1839">
            <v>0</v>
          </cell>
          <cell r="L1839">
            <v>0</v>
          </cell>
          <cell r="M1839">
            <v>0</v>
          </cell>
          <cell r="N1839">
            <v>0</v>
          </cell>
          <cell r="O1839">
            <v>0</v>
          </cell>
          <cell r="P1839">
            <v>0</v>
          </cell>
        </row>
        <row r="1840">
          <cell r="C1840">
            <v>407</v>
          </cell>
          <cell r="F1840">
            <v>1</v>
          </cell>
          <cell r="G1840">
            <v>1</v>
          </cell>
          <cell r="H1840">
            <v>46261</v>
          </cell>
          <cell r="I1840">
            <v>0</v>
          </cell>
          <cell r="J1840">
            <v>1</v>
          </cell>
          <cell r="K1840">
            <v>0</v>
          </cell>
          <cell r="L1840">
            <v>0</v>
          </cell>
          <cell r="M1840">
            <v>0</v>
          </cell>
          <cell r="N1840">
            <v>0</v>
          </cell>
          <cell r="O1840">
            <v>0</v>
          </cell>
          <cell r="P1840">
            <v>0</v>
          </cell>
        </row>
        <row r="1841">
          <cell r="C1841">
            <v>349</v>
          </cell>
          <cell r="F1841">
            <v>1</v>
          </cell>
          <cell r="G1841">
            <v>1</v>
          </cell>
          <cell r="H1841">
            <v>46261</v>
          </cell>
          <cell r="I1841">
            <v>0</v>
          </cell>
          <cell r="J1841">
            <v>1</v>
          </cell>
          <cell r="K1841">
            <v>0</v>
          </cell>
          <cell r="L1841">
            <v>0</v>
          </cell>
          <cell r="M1841">
            <v>0</v>
          </cell>
          <cell r="N1841">
            <v>0</v>
          </cell>
          <cell r="O1841">
            <v>0</v>
          </cell>
          <cell r="P1841">
            <v>0</v>
          </cell>
        </row>
        <row r="1842">
          <cell r="C1842">
            <v>421</v>
          </cell>
          <cell r="F1842">
            <v>1</v>
          </cell>
          <cell r="G1842">
            <v>1</v>
          </cell>
          <cell r="H1842">
            <v>46261</v>
          </cell>
          <cell r="I1842">
            <v>0</v>
          </cell>
          <cell r="J1842">
            <v>2</v>
          </cell>
          <cell r="K1842">
            <v>0</v>
          </cell>
          <cell r="L1842">
            <v>0</v>
          </cell>
          <cell r="M1842">
            <v>0</v>
          </cell>
          <cell r="N1842">
            <v>0</v>
          </cell>
          <cell r="O1842">
            <v>0</v>
          </cell>
          <cell r="P1842">
            <v>0</v>
          </cell>
        </row>
        <row r="1843">
          <cell r="C1843">
            <v>376</v>
          </cell>
          <cell r="F1843">
            <v>1</v>
          </cell>
          <cell r="G1843">
            <v>1</v>
          </cell>
          <cell r="H1843">
            <v>46261</v>
          </cell>
          <cell r="I1843">
            <v>0</v>
          </cell>
          <cell r="J1843">
            <v>2</v>
          </cell>
          <cell r="K1843">
            <v>0</v>
          </cell>
          <cell r="L1843">
            <v>0</v>
          </cell>
          <cell r="M1843">
            <v>0</v>
          </cell>
          <cell r="N1843">
            <v>0</v>
          </cell>
          <cell r="O1843">
            <v>0</v>
          </cell>
          <cell r="P1843">
            <v>0</v>
          </cell>
        </row>
        <row r="1844">
          <cell r="C1844">
            <v>368</v>
          </cell>
          <cell r="F1844">
            <v>1</v>
          </cell>
          <cell r="G1844">
            <v>1</v>
          </cell>
          <cell r="H1844">
            <v>46261</v>
          </cell>
          <cell r="I1844">
            <v>0</v>
          </cell>
          <cell r="J1844">
            <v>5</v>
          </cell>
          <cell r="K1844">
            <v>0</v>
          </cell>
          <cell r="L1844">
            <v>0</v>
          </cell>
          <cell r="M1844">
            <v>0</v>
          </cell>
          <cell r="N1844">
            <v>0</v>
          </cell>
          <cell r="O1844">
            <v>0</v>
          </cell>
          <cell r="P1844">
            <v>0</v>
          </cell>
        </row>
        <row r="1845">
          <cell r="C1845">
            <v>108</v>
          </cell>
          <cell r="F1845">
            <v>1</v>
          </cell>
          <cell r="G1845">
            <v>1</v>
          </cell>
          <cell r="H1845">
            <v>46261</v>
          </cell>
          <cell r="I1845">
            <v>0</v>
          </cell>
          <cell r="J1845">
            <v>1</v>
          </cell>
          <cell r="K1845">
            <v>0</v>
          </cell>
          <cell r="L1845">
            <v>0</v>
          </cell>
          <cell r="M1845">
            <v>0</v>
          </cell>
          <cell r="N1845">
            <v>0</v>
          </cell>
          <cell r="O1845">
            <v>0</v>
          </cell>
          <cell r="P1845">
            <v>0</v>
          </cell>
        </row>
        <row r="1846">
          <cell r="C1846">
            <v>337</v>
          </cell>
          <cell r="F1846">
            <v>1</v>
          </cell>
          <cell r="G1846">
            <v>1</v>
          </cell>
          <cell r="H1846">
            <v>46261</v>
          </cell>
          <cell r="I1846">
            <v>0</v>
          </cell>
          <cell r="J1846">
            <v>20</v>
          </cell>
          <cell r="K1846">
            <v>0</v>
          </cell>
          <cell r="L1846">
            <v>0</v>
          </cell>
          <cell r="M1846">
            <v>0</v>
          </cell>
          <cell r="N1846">
            <v>0</v>
          </cell>
          <cell r="O1846">
            <v>0</v>
          </cell>
          <cell r="P1846">
            <v>0</v>
          </cell>
        </row>
        <row r="1847">
          <cell r="C1847">
            <v>390</v>
          </cell>
          <cell r="F1847">
            <v>1</v>
          </cell>
          <cell r="G1847">
            <v>1</v>
          </cell>
          <cell r="H1847">
            <v>46261</v>
          </cell>
          <cell r="I1847">
            <v>0</v>
          </cell>
          <cell r="J1847">
            <v>2</v>
          </cell>
          <cell r="K1847">
            <v>0</v>
          </cell>
          <cell r="L1847">
            <v>0</v>
          </cell>
          <cell r="M1847">
            <v>0</v>
          </cell>
          <cell r="N1847">
            <v>0</v>
          </cell>
          <cell r="O1847">
            <v>0</v>
          </cell>
          <cell r="P1847">
            <v>0</v>
          </cell>
        </row>
        <row r="1848">
          <cell r="C1848">
            <v>153</v>
          </cell>
          <cell r="F1848">
            <v>1</v>
          </cell>
          <cell r="G1848">
            <v>1</v>
          </cell>
          <cell r="H1848">
            <v>46261</v>
          </cell>
          <cell r="I1848">
            <v>0</v>
          </cell>
          <cell r="J1848">
            <v>1</v>
          </cell>
          <cell r="K1848">
            <v>0</v>
          </cell>
          <cell r="L1848">
            <v>0</v>
          </cell>
          <cell r="M1848">
            <v>0</v>
          </cell>
          <cell r="N1848">
            <v>0</v>
          </cell>
          <cell r="O1848">
            <v>0</v>
          </cell>
          <cell r="P1848">
            <v>0</v>
          </cell>
        </row>
        <row r="1849">
          <cell r="C1849">
            <v>294</v>
          </cell>
          <cell r="F1849">
            <v>1</v>
          </cell>
          <cell r="G1849">
            <v>1</v>
          </cell>
          <cell r="H1849">
            <v>46261</v>
          </cell>
          <cell r="I1849">
            <v>0</v>
          </cell>
          <cell r="J1849">
            <v>24</v>
          </cell>
          <cell r="K1849">
            <v>0</v>
          </cell>
          <cell r="L1849">
            <v>0</v>
          </cell>
          <cell r="M1849">
            <v>0</v>
          </cell>
          <cell r="N1849">
            <v>0</v>
          </cell>
          <cell r="O1849">
            <v>0</v>
          </cell>
          <cell r="P1849">
            <v>0</v>
          </cell>
        </row>
        <row r="1850">
          <cell r="C1850">
            <v>199</v>
          </cell>
          <cell r="F1850">
            <v>1</v>
          </cell>
          <cell r="G1850">
            <v>1</v>
          </cell>
          <cell r="H1850">
            <v>46261</v>
          </cell>
          <cell r="I1850">
            <v>0</v>
          </cell>
          <cell r="J1850">
            <v>4</v>
          </cell>
          <cell r="K1850">
            <v>0</v>
          </cell>
          <cell r="L1850">
            <v>0</v>
          </cell>
          <cell r="M1850">
            <v>0</v>
          </cell>
          <cell r="N1850">
            <v>0</v>
          </cell>
          <cell r="O1850">
            <v>0</v>
          </cell>
          <cell r="P1850">
            <v>0</v>
          </cell>
        </row>
        <row r="1851">
          <cell r="C1851">
            <v>183</v>
          </cell>
          <cell r="F1851">
            <v>1</v>
          </cell>
          <cell r="G1851">
            <v>1</v>
          </cell>
          <cell r="H1851">
            <v>46261</v>
          </cell>
          <cell r="I1851">
            <v>0</v>
          </cell>
          <cell r="J1851">
            <v>24</v>
          </cell>
          <cell r="K1851">
            <v>0</v>
          </cell>
          <cell r="L1851">
            <v>0</v>
          </cell>
          <cell r="M1851">
            <v>0</v>
          </cell>
          <cell r="N1851">
            <v>0</v>
          </cell>
          <cell r="O1851">
            <v>0</v>
          </cell>
          <cell r="P1851">
            <v>0</v>
          </cell>
        </row>
        <row r="1852">
          <cell r="C1852">
            <v>167</v>
          </cell>
          <cell r="F1852">
            <v>1</v>
          </cell>
          <cell r="G1852">
            <v>1</v>
          </cell>
          <cell r="H1852">
            <v>46261</v>
          </cell>
          <cell r="I1852">
            <v>0</v>
          </cell>
          <cell r="J1852">
            <v>1</v>
          </cell>
          <cell r="K1852">
            <v>0</v>
          </cell>
          <cell r="L1852">
            <v>0</v>
          </cell>
          <cell r="M1852">
            <v>0</v>
          </cell>
          <cell r="N1852">
            <v>0</v>
          </cell>
          <cell r="O1852">
            <v>0</v>
          </cell>
          <cell r="P1852">
            <v>0</v>
          </cell>
        </row>
        <row r="1853">
          <cell r="C1853">
            <v>388</v>
          </cell>
          <cell r="F1853">
            <v>1</v>
          </cell>
          <cell r="G1853">
            <v>1</v>
          </cell>
          <cell r="H1853">
            <v>46261</v>
          </cell>
          <cell r="I1853">
            <v>0</v>
          </cell>
          <cell r="J1853">
            <v>1</v>
          </cell>
          <cell r="K1853">
            <v>0</v>
          </cell>
          <cell r="L1853">
            <v>0</v>
          </cell>
          <cell r="M1853">
            <v>0</v>
          </cell>
          <cell r="N1853">
            <v>0</v>
          </cell>
          <cell r="O1853">
            <v>0</v>
          </cell>
          <cell r="P1853">
            <v>0</v>
          </cell>
        </row>
        <row r="1854">
          <cell r="C1854">
            <v>394</v>
          </cell>
          <cell r="F1854">
            <v>1</v>
          </cell>
          <cell r="G1854">
            <v>1</v>
          </cell>
          <cell r="H1854">
            <v>46261</v>
          </cell>
          <cell r="I1854">
            <v>0</v>
          </cell>
          <cell r="J1854">
            <v>1</v>
          </cell>
          <cell r="K1854">
            <v>0</v>
          </cell>
          <cell r="L1854">
            <v>0</v>
          </cell>
          <cell r="M1854">
            <v>0</v>
          </cell>
          <cell r="N1854">
            <v>0</v>
          </cell>
          <cell r="O1854">
            <v>0</v>
          </cell>
          <cell r="P1854">
            <v>0</v>
          </cell>
        </row>
        <row r="1855">
          <cell r="C1855">
            <v>403</v>
          </cell>
          <cell r="F1855">
            <v>1</v>
          </cell>
          <cell r="G1855">
            <v>1</v>
          </cell>
          <cell r="H1855">
            <v>46261</v>
          </cell>
          <cell r="I1855">
            <v>0</v>
          </cell>
          <cell r="J1855">
            <v>1</v>
          </cell>
          <cell r="K1855">
            <v>0</v>
          </cell>
          <cell r="L1855">
            <v>0</v>
          </cell>
          <cell r="M1855">
            <v>0</v>
          </cell>
          <cell r="N1855">
            <v>0</v>
          </cell>
          <cell r="O1855">
            <v>0</v>
          </cell>
          <cell r="P1855">
            <v>0</v>
          </cell>
        </row>
        <row r="1856">
          <cell r="C1856">
            <v>219</v>
          </cell>
          <cell r="F1856">
            <v>1</v>
          </cell>
          <cell r="G1856">
            <v>1</v>
          </cell>
          <cell r="H1856">
            <v>46261</v>
          </cell>
          <cell r="I1856">
            <v>0</v>
          </cell>
          <cell r="J1856">
            <v>2</v>
          </cell>
          <cell r="K1856">
            <v>0</v>
          </cell>
          <cell r="L1856">
            <v>0</v>
          </cell>
          <cell r="M1856">
            <v>0</v>
          </cell>
          <cell r="N1856">
            <v>0</v>
          </cell>
          <cell r="O1856">
            <v>0</v>
          </cell>
          <cell r="P1856">
            <v>0</v>
          </cell>
        </row>
        <row r="1857">
          <cell r="C1857">
            <v>397</v>
          </cell>
          <cell r="F1857">
            <v>1</v>
          </cell>
          <cell r="G1857">
            <v>1</v>
          </cell>
          <cell r="H1857">
            <v>46261</v>
          </cell>
          <cell r="I1857">
            <v>0</v>
          </cell>
          <cell r="J1857">
            <v>5</v>
          </cell>
          <cell r="K1857">
            <v>0</v>
          </cell>
          <cell r="L1857">
            <v>0</v>
          </cell>
          <cell r="M1857">
            <v>0</v>
          </cell>
          <cell r="N1857">
            <v>0</v>
          </cell>
          <cell r="O1857">
            <v>0</v>
          </cell>
          <cell r="P1857">
            <v>0</v>
          </cell>
        </row>
        <row r="1858">
          <cell r="C1858">
            <v>408</v>
          </cell>
          <cell r="F1858">
            <v>1</v>
          </cell>
          <cell r="G1858">
            <v>1</v>
          </cell>
          <cell r="H1858">
            <v>46261</v>
          </cell>
          <cell r="I1858">
            <v>0</v>
          </cell>
          <cell r="J1858">
            <v>3</v>
          </cell>
          <cell r="K1858">
            <v>0</v>
          </cell>
          <cell r="L1858">
            <v>0</v>
          </cell>
          <cell r="M1858">
            <v>0</v>
          </cell>
          <cell r="N1858">
            <v>0</v>
          </cell>
          <cell r="O1858">
            <v>0</v>
          </cell>
          <cell r="P1858">
            <v>0</v>
          </cell>
        </row>
        <row r="1859">
          <cell r="C1859">
            <v>96</v>
          </cell>
          <cell r="F1859">
            <v>1</v>
          </cell>
          <cell r="G1859">
            <v>1</v>
          </cell>
          <cell r="H1859">
            <v>46261</v>
          </cell>
          <cell r="I1859">
            <v>0</v>
          </cell>
          <cell r="J1859">
            <v>1</v>
          </cell>
          <cell r="K1859">
            <v>0</v>
          </cell>
          <cell r="L1859">
            <v>0</v>
          </cell>
          <cell r="M1859">
            <v>0</v>
          </cell>
          <cell r="N1859">
            <v>0</v>
          </cell>
          <cell r="O1859">
            <v>0</v>
          </cell>
          <cell r="P1859">
            <v>0</v>
          </cell>
        </row>
        <row r="1860">
          <cell r="C1860">
            <v>273</v>
          </cell>
          <cell r="F1860">
            <v>1</v>
          </cell>
          <cell r="G1860">
            <v>1</v>
          </cell>
          <cell r="H1860">
            <v>46261</v>
          </cell>
          <cell r="I1860">
            <v>0</v>
          </cell>
          <cell r="J1860">
            <v>10</v>
          </cell>
          <cell r="K1860">
            <v>0</v>
          </cell>
          <cell r="L1860">
            <v>0</v>
          </cell>
          <cell r="M1860">
            <v>0</v>
          </cell>
          <cell r="N1860">
            <v>0</v>
          </cell>
          <cell r="O1860">
            <v>0</v>
          </cell>
          <cell r="P1860">
            <v>0</v>
          </cell>
        </row>
        <row r="1861">
          <cell r="C1861">
            <v>411</v>
          </cell>
          <cell r="F1861">
            <v>1</v>
          </cell>
          <cell r="G1861">
            <v>1</v>
          </cell>
          <cell r="H1861">
            <v>46261</v>
          </cell>
          <cell r="I1861">
            <v>0</v>
          </cell>
          <cell r="J1861">
            <v>1</v>
          </cell>
          <cell r="K1861">
            <v>0</v>
          </cell>
          <cell r="L1861">
            <v>0</v>
          </cell>
          <cell r="M1861">
            <v>0</v>
          </cell>
          <cell r="N1861">
            <v>0</v>
          </cell>
          <cell r="O1861">
            <v>0</v>
          </cell>
          <cell r="P1861">
            <v>0</v>
          </cell>
        </row>
        <row r="1862">
          <cell r="C1862">
            <v>414</v>
          </cell>
          <cell r="F1862">
            <v>1</v>
          </cell>
          <cell r="G1862">
            <v>1</v>
          </cell>
          <cell r="H1862">
            <v>46261</v>
          </cell>
          <cell r="I1862">
            <v>0</v>
          </cell>
          <cell r="J1862">
            <v>1</v>
          </cell>
          <cell r="K1862">
            <v>0</v>
          </cell>
          <cell r="L1862">
            <v>0</v>
          </cell>
          <cell r="M1862">
            <v>0</v>
          </cell>
          <cell r="N1862">
            <v>0</v>
          </cell>
          <cell r="O1862">
            <v>0</v>
          </cell>
          <cell r="P1862">
            <v>0</v>
          </cell>
        </row>
        <row r="1863">
          <cell r="C1863">
            <v>364</v>
          </cell>
          <cell r="F1863">
            <v>1</v>
          </cell>
          <cell r="G1863">
            <v>1</v>
          </cell>
          <cell r="H1863">
            <v>46261</v>
          </cell>
          <cell r="I1863">
            <v>0</v>
          </cell>
          <cell r="J1863">
            <v>1</v>
          </cell>
          <cell r="K1863">
            <v>0</v>
          </cell>
          <cell r="L1863">
            <v>0</v>
          </cell>
          <cell r="M1863">
            <v>0</v>
          </cell>
          <cell r="N1863">
            <v>0</v>
          </cell>
          <cell r="O1863">
            <v>0</v>
          </cell>
          <cell r="P1863">
            <v>0</v>
          </cell>
        </row>
        <row r="1864">
          <cell r="C1864">
            <v>420</v>
          </cell>
          <cell r="F1864">
            <v>1</v>
          </cell>
          <cell r="G1864">
            <v>1</v>
          </cell>
          <cell r="H1864">
            <v>46261</v>
          </cell>
          <cell r="I1864">
            <v>0</v>
          </cell>
          <cell r="J1864">
            <v>1</v>
          </cell>
          <cell r="K1864">
            <v>0</v>
          </cell>
          <cell r="L1864">
            <v>0</v>
          </cell>
          <cell r="M1864">
            <v>0</v>
          </cell>
          <cell r="N1864">
            <v>0</v>
          </cell>
          <cell r="O1864">
            <v>0</v>
          </cell>
          <cell r="P1864">
            <v>0</v>
          </cell>
        </row>
        <row r="1865">
          <cell r="C1865">
            <v>426</v>
          </cell>
          <cell r="F1865">
            <v>1</v>
          </cell>
          <cell r="G1865">
            <v>1</v>
          </cell>
          <cell r="H1865">
            <v>46261</v>
          </cell>
          <cell r="I1865">
            <v>0</v>
          </cell>
          <cell r="J1865">
            <v>1</v>
          </cell>
          <cell r="K1865">
            <v>0</v>
          </cell>
          <cell r="L1865">
            <v>0</v>
          </cell>
          <cell r="M1865">
            <v>0</v>
          </cell>
          <cell r="N1865">
            <v>0</v>
          </cell>
          <cell r="O1865">
            <v>0</v>
          </cell>
          <cell r="P1865">
            <v>0</v>
          </cell>
        </row>
        <row r="1866">
          <cell r="C1866">
            <v>424</v>
          </cell>
          <cell r="F1866">
            <v>1</v>
          </cell>
          <cell r="G1866">
            <v>1</v>
          </cell>
          <cell r="H1866">
            <v>46261</v>
          </cell>
          <cell r="I1866">
            <v>0</v>
          </cell>
          <cell r="J1866">
            <v>1</v>
          </cell>
          <cell r="K1866">
            <v>0</v>
          </cell>
          <cell r="L1866">
            <v>0</v>
          </cell>
          <cell r="M1866">
            <v>0</v>
          </cell>
          <cell r="N1866">
            <v>0</v>
          </cell>
          <cell r="O1866">
            <v>0</v>
          </cell>
          <cell r="P1866">
            <v>0</v>
          </cell>
        </row>
        <row r="1867">
          <cell r="C1867">
            <v>433</v>
          </cell>
          <cell r="F1867">
            <v>1</v>
          </cell>
          <cell r="G1867">
            <v>1</v>
          </cell>
          <cell r="H1867">
            <v>46261</v>
          </cell>
          <cell r="I1867">
            <v>0</v>
          </cell>
          <cell r="J1867">
            <v>3</v>
          </cell>
          <cell r="K1867">
            <v>0</v>
          </cell>
          <cell r="L1867">
            <v>0</v>
          </cell>
          <cell r="M1867">
            <v>0</v>
          </cell>
          <cell r="N1867">
            <v>0</v>
          </cell>
          <cell r="O1867">
            <v>0</v>
          </cell>
          <cell r="P1867">
            <v>0</v>
          </cell>
        </row>
        <row r="1868">
          <cell r="C1868">
            <v>20</v>
          </cell>
          <cell r="F1868">
            <v>1</v>
          </cell>
          <cell r="G1868">
            <v>1</v>
          </cell>
          <cell r="H1868">
            <v>46261</v>
          </cell>
          <cell r="I1868">
            <v>0</v>
          </cell>
          <cell r="J1868">
            <v>8</v>
          </cell>
          <cell r="K1868">
            <v>0</v>
          </cell>
          <cell r="L1868">
            <v>0</v>
          </cell>
          <cell r="M1868">
            <v>0</v>
          </cell>
          <cell r="N1868">
            <v>0</v>
          </cell>
          <cell r="O1868">
            <v>0</v>
          </cell>
          <cell r="P1868">
            <v>0</v>
          </cell>
        </row>
        <row r="1869">
          <cell r="C1869">
            <v>373</v>
          </cell>
          <cell r="F1869">
            <v>1</v>
          </cell>
          <cell r="G1869">
            <v>1</v>
          </cell>
          <cell r="H1869">
            <v>46261</v>
          </cell>
          <cell r="I1869">
            <v>0</v>
          </cell>
          <cell r="J1869">
            <v>4</v>
          </cell>
          <cell r="K1869">
            <v>0</v>
          </cell>
          <cell r="L1869">
            <v>0</v>
          </cell>
          <cell r="M1869">
            <v>0</v>
          </cell>
          <cell r="N1869">
            <v>0</v>
          </cell>
          <cell r="O1869">
            <v>0</v>
          </cell>
          <cell r="P1869">
            <v>0</v>
          </cell>
        </row>
        <row r="1870">
          <cell r="C1870">
            <v>52</v>
          </cell>
          <cell r="F1870">
            <v>1</v>
          </cell>
          <cell r="G1870">
            <v>1</v>
          </cell>
          <cell r="H1870">
            <v>46261</v>
          </cell>
          <cell r="I1870">
            <v>0</v>
          </cell>
          <cell r="J1870">
            <v>1</v>
          </cell>
          <cell r="K1870">
            <v>0</v>
          </cell>
          <cell r="L1870">
            <v>0</v>
          </cell>
          <cell r="M1870">
            <v>0</v>
          </cell>
          <cell r="N1870">
            <v>0</v>
          </cell>
          <cell r="O1870">
            <v>0</v>
          </cell>
          <cell r="P1870">
            <v>0</v>
          </cell>
        </row>
        <row r="1871">
          <cell r="C1871">
            <v>396</v>
          </cell>
          <cell r="F1871">
            <v>1</v>
          </cell>
          <cell r="G1871">
            <v>1</v>
          </cell>
          <cell r="H1871">
            <v>46261</v>
          </cell>
          <cell r="I1871">
            <v>0</v>
          </cell>
          <cell r="J1871">
            <v>1</v>
          </cell>
          <cell r="K1871">
            <v>0</v>
          </cell>
          <cell r="L1871">
            <v>0</v>
          </cell>
          <cell r="M1871">
            <v>0</v>
          </cell>
          <cell r="N1871">
            <v>0</v>
          </cell>
          <cell r="O1871">
            <v>0</v>
          </cell>
          <cell r="P1871">
            <v>0</v>
          </cell>
        </row>
        <row r="1872">
          <cell r="C1872">
            <v>429</v>
          </cell>
          <cell r="F1872">
            <v>1</v>
          </cell>
          <cell r="G1872">
            <v>1</v>
          </cell>
          <cell r="H1872">
            <v>46261</v>
          </cell>
          <cell r="I1872">
            <v>0</v>
          </cell>
          <cell r="J1872">
            <v>1</v>
          </cell>
          <cell r="K1872">
            <v>0</v>
          </cell>
          <cell r="L1872">
            <v>0</v>
          </cell>
          <cell r="M1872">
            <v>0</v>
          </cell>
          <cell r="N1872">
            <v>0</v>
          </cell>
          <cell r="O1872">
            <v>0</v>
          </cell>
          <cell r="P1872">
            <v>0</v>
          </cell>
        </row>
        <row r="1873">
          <cell r="C1873">
            <v>184</v>
          </cell>
          <cell r="F1873">
            <v>1</v>
          </cell>
          <cell r="G1873">
            <v>1</v>
          </cell>
          <cell r="H1873">
            <v>46262</v>
          </cell>
          <cell r="I1873">
            <v>0</v>
          </cell>
          <cell r="J1873">
            <v>24</v>
          </cell>
          <cell r="K1873">
            <v>0</v>
          </cell>
          <cell r="L1873">
            <v>0</v>
          </cell>
          <cell r="M1873">
            <v>0</v>
          </cell>
          <cell r="N1873">
            <v>0</v>
          </cell>
          <cell r="O1873">
            <v>0</v>
          </cell>
          <cell r="P1873">
            <v>0</v>
          </cell>
        </row>
        <row r="1874">
          <cell r="C1874">
            <v>358</v>
          </cell>
          <cell r="F1874">
            <v>1</v>
          </cell>
          <cell r="G1874">
            <v>1</v>
          </cell>
          <cell r="H1874">
            <v>46262</v>
          </cell>
          <cell r="I1874">
            <v>0</v>
          </cell>
          <cell r="J1874">
            <v>1</v>
          </cell>
          <cell r="K1874">
            <v>0</v>
          </cell>
          <cell r="L1874">
            <v>0</v>
          </cell>
          <cell r="M1874">
            <v>0</v>
          </cell>
          <cell r="N1874">
            <v>0</v>
          </cell>
          <cell r="O1874">
            <v>0</v>
          </cell>
          <cell r="P1874">
            <v>0</v>
          </cell>
        </row>
        <row r="1875">
          <cell r="C1875">
            <v>373</v>
          </cell>
          <cell r="F1875">
            <v>1</v>
          </cell>
          <cell r="G1875">
            <v>1</v>
          </cell>
          <cell r="H1875">
            <v>46262</v>
          </cell>
          <cell r="I1875">
            <v>0</v>
          </cell>
          <cell r="J1875">
            <v>4</v>
          </cell>
          <cell r="K1875">
            <v>0</v>
          </cell>
          <cell r="L1875">
            <v>0</v>
          </cell>
          <cell r="M1875">
            <v>0</v>
          </cell>
          <cell r="N1875">
            <v>0</v>
          </cell>
          <cell r="O1875">
            <v>0</v>
          </cell>
          <cell r="P1875">
            <v>0</v>
          </cell>
        </row>
        <row r="1876">
          <cell r="C1876">
            <v>17</v>
          </cell>
          <cell r="F1876">
            <v>1</v>
          </cell>
          <cell r="G1876">
            <v>1</v>
          </cell>
          <cell r="H1876">
            <v>46262</v>
          </cell>
          <cell r="I1876">
            <v>0</v>
          </cell>
          <cell r="J1876">
            <v>4</v>
          </cell>
          <cell r="K1876">
            <v>0</v>
          </cell>
          <cell r="L1876">
            <v>0</v>
          </cell>
          <cell r="M1876">
            <v>0</v>
          </cell>
          <cell r="N1876">
            <v>0</v>
          </cell>
          <cell r="O1876">
            <v>0</v>
          </cell>
          <cell r="P1876">
            <v>0</v>
          </cell>
        </row>
        <row r="1877">
          <cell r="C1877">
            <v>48</v>
          </cell>
          <cell r="F1877">
            <v>1</v>
          </cell>
          <cell r="G1877">
            <v>1</v>
          </cell>
          <cell r="H1877">
            <v>46262</v>
          </cell>
          <cell r="I1877">
            <v>0</v>
          </cell>
          <cell r="J1877">
            <v>1</v>
          </cell>
          <cell r="K1877">
            <v>0</v>
          </cell>
          <cell r="L1877">
            <v>0</v>
          </cell>
          <cell r="M1877">
            <v>0</v>
          </cell>
          <cell r="N1877">
            <v>0</v>
          </cell>
          <cell r="O1877">
            <v>0</v>
          </cell>
          <cell r="P1877">
            <v>0</v>
          </cell>
        </row>
        <row r="1878">
          <cell r="C1878">
            <v>46</v>
          </cell>
          <cell r="F1878">
            <v>1</v>
          </cell>
          <cell r="G1878">
            <v>1</v>
          </cell>
          <cell r="H1878">
            <v>46262</v>
          </cell>
          <cell r="I1878">
            <v>0</v>
          </cell>
          <cell r="J1878">
            <v>1</v>
          </cell>
          <cell r="K1878">
            <v>0</v>
          </cell>
          <cell r="L1878">
            <v>0</v>
          </cell>
          <cell r="M1878">
            <v>0</v>
          </cell>
          <cell r="N1878">
            <v>0</v>
          </cell>
          <cell r="O1878">
            <v>0</v>
          </cell>
          <cell r="P1878">
            <v>0</v>
          </cell>
        </row>
        <row r="1879">
          <cell r="C1879">
            <v>305</v>
          </cell>
          <cell r="F1879">
            <v>1</v>
          </cell>
          <cell r="G1879">
            <v>1</v>
          </cell>
          <cell r="H1879">
            <v>46262</v>
          </cell>
          <cell r="I1879">
            <v>0</v>
          </cell>
          <cell r="J1879">
            <v>202</v>
          </cell>
          <cell r="K1879">
            <v>0</v>
          </cell>
          <cell r="L1879">
            <v>0</v>
          </cell>
          <cell r="M1879">
            <v>0</v>
          </cell>
          <cell r="N1879">
            <v>0</v>
          </cell>
          <cell r="O1879">
            <v>0</v>
          </cell>
          <cell r="P1879">
            <v>0</v>
          </cell>
        </row>
        <row r="1880">
          <cell r="C1880">
            <v>168</v>
          </cell>
          <cell r="F1880">
            <v>1</v>
          </cell>
          <cell r="G1880">
            <v>1</v>
          </cell>
          <cell r="H1880">
            <v>46262</v>
          </cell>
          <cell r="I1880">
            <v>0</v>
          </cell>
          <cell r="J1880">
            <v>2</v>
          </cell>
          <cell r="K1880">
            <v>0</v>
          </cell>
          <cell r="L1880">
            <v>0</v>
          </cell>
          <cell r="M1880">
            <v>0</v>
          </cell>
          <cell r="N1880">
            <v>0</v>
          </cell>
          <cell r="O1880">
            <v>0</v>
          </cell>
          <cell r="P1880">
            <v>0</v>
          </cell>
        </row>
        <row r="1881">
          <cell r="C1881">
            <v>241</v>
          </cell>
          <cell r="F1881">
            <v>1</v>
          </cell>
          <cell r="G1881">
            <v>1</v>
          </cell>
          <cell r="H1881">
            <v>46262</v>
          </cell>
          <cell r="I1881">
            <v>0</v>
          </cell>
          <cell r="J1881">
            <v>5</v>
          </cell>
          <cell r="K1881">
            <v>0</v>
          </cell>
          <cell r="L1881">
            <v>0</v>
          </cell>
          <cell r="M1881">
            <v>0</v>
          </cell>
          <cell r="N1881">
            <v>0</v>
          </cell>
          <cell r="O1881">
            <v>0</v>
          </cell>
          <cell r="P1881">
            <v>0</v>
          </cell>
        </row>
        <row r="1882">
          <cell r="C1882">
            <v>390</v>
          </cell>
          <cell r="F1882">
            <v>1</v>
          </cell>
          <cell r="G1882">
            <v>1</v>
          </cell>
          <cell r="H1882">
            <v>46262</v>
          </cell>
          <cell r="I1882">
            <v>0</v>
          </cell>
          <cell r="J1882">
            <v>3</v>
          </cell>
          <cell r="K1882">
            <v>0</v>
          </cell>
          <cell r="L1882">
            <v>0</v>
          </cell>
          <cell r="M1882">
            <v>0</v>
          </cell>
          <cell r="N1882">
            <v>0</v>
          </cell>
          <cell r="O1882">
            <v>0</v>
          </cell>
          <cell r="P1882">
            <v>0</v>
          </cell>
        </row>
        <row r="1883">
          <cell r="C1883">
            <v>144</v>
          </cell>
          <cell r="F1883">
            <v>1</v>
          </cell>
          <cell r="G1883">
            <v>1</v>
          </cell>
          <cell r="H1883">
            <v>46262</v>
          </cell>
          <cell r="I1883">
            <v>0</v>
          </cell>
          <cell r="J1883">
            <v>1</v>
          </cell>
          <cell r="K1883">
            <v>0</v>
          </cell>
          <cell r="L1883">
            <v>0</v>
          </cell>
          <cell r="M1883">
            <v>0</v>
          </cell>
          <cell r="N1883">
            <v>0</v>
          </cell>
          <cell r="O1883">
            <v>0</v>
          </cell>
          <cell r="P1883">
            <v>0</v>
          </cell>
        </row>
        <row r="1884">
          <cell r="C1884">
            <v>367</v>
          </cell>
          <cell r="F1884">
            <v>1</v>
          </cell>
          <cell r="G1884">
            <v>1</v>
          </cell>
          <cell r="H1884">
            <v>46262</v>
          </cell>
          <cell r="I1884">
            <v>0</v>
          </cell>
          <cell r="J1884">
            <v>2</v>
          </cell>
          <cell r="K1884">
            <v>0</v>
          </cell>
          <cell r="L1884">
            <v>0</v>
          </cell>
          <cell r="M1884">
            <v>0</v>
          </cell>
          <cell r="N1884">
            <v>0</v>
          </cell>
          <cell r="O1884">
            <v>0</v>
          </cell>
          <cell r="P1884">
            <v>0</v>
          </cell>
        </row>
        <row r="1885">
          <cell r="C1885">
            <v>394</v>
          </cell>
          <cell r="F1885">
            <v>1</v>
          </cell>
          <cell r="G1885">
            <v>1</v>
          </cell>
          <cell r="H1885">
            <v>46262</v>
          </cell>
          <cell r="I1885">
            <v>0</v>
          </cell>
          <cell r="J1885">
            <v>1</v>
          </cell>
          <cell r="K1885">
            <v>0</v>
          </cell>
          <cell r="L1885">
            <v>0</v>
          </cell>
          <cell r="M1885">
            <v>0</v>
          </cell>
          <cell r="N1885">
            <v>0</v>
          </cell>
          <cell r="O1885">
            <v>0</v>
          </cell>
          <cell r="P1885">
            <v>0</v>
          </cell>
        </row>
        <row r="1886">
          <cell r="C1886">
            <v>402</v>
          </cell>
          <cell r="F1886">
            <v>1</v>
          </cell>
          <cell r="G1886">
            <v>1</v>
          </cell>
          <cell r="H1886">
            <v>46262</v>
          </cell>
          <cell r="I1886">
            <v>0</v>
          </cell>
          <cell r="J1886">
            <v>1</v>
          </cell>
          <cell r="K1886">
            <v>0</v>
          </cell>
          <cell r="L1886">
            <v>0</v>
          </cell>
          <cell r="M1886">
            <v>0</v>
          </cell>
          <cell r="N1886">
            <v>0</v>
          </cell>
          <cell r="O1886">
            <v>0</v>
          </cell>
          <cell r="P1886">
            <v>0</v>
          </cell>
        </row>
        <row r="1887">
          <cell r="C1887">
            <v>177</v>
          </cell>
          <cell r="F1887">
            <v>1</v>
          </cell>
          <cell r="G1887">
            <v>1</v>
          </cell>
          <cell r="H1887">
            <v>46262</v>
          </cell>
          <cell r="I1887">
            <v>0</v>
          </cell>
          <cell r="J1887">
            <v>13</v>
          </cell>
          <cell r="K1887">
            <v>0</v>
          </cell>
          <cell r="L1887">
            <v>0</v>
          </cell>
          <cell r="M1887">
            <v>0</v>
          </cell>
          <cell r="N1887">
            <v>0</v>
          </cell>
          <cell r="O1887">
            <v>0</v>
          </cell>
          <cell r="P1887">
            <v>0</v>
          </cell>
        </row>
        <row r="1888">
          <cell r="C1888">
            <v>181</v>
          </cell>
          <cell r="F1888">
            <v>1</v>
          </cell>
          <cell r="G1888">
            <v>1</v>
          </cell>
          <cell r="H1888">
            <v>46262</v>
          </cell>
          <cell r="I1888">
            <v>0</v>
          </cell>
          <cell r="J1888">
            <v>1</v>
          </cell>
          <cell r="K1888">
            <v>0</v>
          </cell>
          <cell r="L1888">
            <v>0</v>
          </cell>
          <cell r="M1888">
            <v>0</v>
          </cell>
          <cell r="N1888">
            <v>0</v>
          </cell>
          <cell r="O1888">
            <v>0</v>
          </cell>
          <cell r="P1888">
            <v>0</v>
          </cell>
        </row>
        <row r="1889">
          <cell r="C1889">
            <v>294</v>
          </cell>
          <cell r="F1889">
            <v>1</v>
          </cell>
          <cell r="G1889">
            <v>1</v>
          </cell>
          <cell r="H1889">
            <v>46262</v>
          </cell>
          <cell r="I1889">
            <v>0</v>
          </cell>
          <cell r="J1889">
            <v>25</v>
          </cell>
          <cell r="K1889">
            <v>0</v>
          </cell>
          <cell r="L1889">
            <v>0</v>
          </cell>
          <cell r="M1889">
            <v>0</v>
          </cell>
          <cell r="N1889">
            <v>0</v>
          </cell>
          <cell r="O1889">
            <v>0</v>
          </cell>
          <cell r="P1889">
            <v>0</v>
          </cell>
        </row>
        <row r="1890">
          <cell r="C1890">
            <v>142</v>
          </cell>
          <cell r="F1890">
            <v>1</v>
          </cell>
          <cell r="G1890">
            <v>1</v>
          </cell>
          <cell r="H1890">
            <v>46262</v>
          </cell>
          <cell r="I1890">
            <v>0</v>
          </cell>
          <cell r="J1890">
            <v>2</v>
          </cell>
          <cell r="K1890">
            <v>0</v>
          </cell>
          <cell r="L1890">
            <v>0</v>
          </cell>
          <cell r="M1890">
            <v>0</v>
          </cell>
          <cell r="N1890">
            <v>0</v>
          </cell>
          <cell r="O1890">
            <v>0</v>
          </cell>
          <cell r="P1890">
            <v>0</v>
          </cell>
        </row>
        <row r="1891">
          <cell r="C1891">
            <v>388</v>
          </cell>
          <cell r="F1891">
            <v>1</v>
          </cell>
          <cell r="G1891">
            <v>1</v>
          </cell>
          <cell r="H1891">
            <v>46262</v>
          </cell>
          <cell r="I1891">
            <v>0</v>
          </cell>
          <cell r="J1891">
            <v>2</v>
          </cell>
          <cell r="K1891">
            <v>0</v>
          </cell>
          <cell r="L1891">
            <v>0</v>
          </cell>
          <cell r="M1891">
            <v>0</v>
          </cell>
          <cell r="N1891">
            <v>0</v>
          </cell>
          <cell r="O1891">
            <v>0</v>
          </cell>
          <cell r="P1891">
            <v>0</v>
          </cell>
        </row>
        <row r="1892">
          <cell r="C1892">
            <v>101</v>
          </cell>
          <cell r="F1892">
            <v>1</v>
          </cell>
          <cell r="G1892">
            <v>1</v>
          </cell>
          <cell r="H1892">
            <v>46262</v>
          </cell>
          <cell r="I1892">
            <v>0</v>
          </cell>
          <cell r="J1892">
            <v>302</v>
          </cell>
          <cell r="K1892">
            <v>0</v>
          </cell>
          <cell r="L1892">
            <v>0</v>
          </cell>
          <cell r="M1892">
            <v>0</v>
          </cell>
          <cell r="N1892">
            <v>0</v>
          </cell>
          <cell r="O1892">
            <v>0</v>
          </cell>
          <cell r="P1892">
            <v>0</v>
          </cell>
        </row>
        <row r="1893">
          <cell r="C1893">
            <v>368</v>
          </cell>
          <cell r="F1893">
            <v>1</v>
          </cell>
          <cell r="G1893">
            <v>1</v>
          </cell>
          <cell r="H1893">
            <v>46262</v>
          </cell>
          <cell r="I1893">
            <v>0</v>
          </cell>
          <cell r="J1893">
            <v>2</v>
          </cell>
          <cell r="K1893">
            <v>0</v>
          </cell>
          <cell r="L1893">
            <v>0</v>
          </cell>
          <cell r="M1893">
            <v>0</v>
          </cell>
          <cell r="N1893">
            <v>0</v>
          </cell>
          <cell r="O1893">
            <v>0</v>
          </cell>
          <cell r="P1893">
            <v>0</v>
          </cell>
        </row>
        <row r="1894">
          <cell r="C1894">
            <v>82</v>
          </cell>
          <cell r="F1894">
            <v>1</v>
          </cell>
          <cell r="G1894">
            <v>1</v>
          </cell>
          <cell r="H1894">
            <v>46262</v>
          </cell>
          <cell r="I1894">
            <v>0</v>
          </cell>
          <cell r="J1894">
            <v>3</v>
          </cell>
          <cell r="K1894">
            <v>0</v>
          </cell>
          <cell r="L1894">
            <v>0</v>
          </cell>
          <cell r="M1894">
            <v>0</v>
          </cell>
          <cell r="N1894">
            <v>0</v>
          </cell>
          <cell r="O1894">
            <v>0</v>
          </cell>
          <cell r="P1894">
            <v>0</v>
          </cell>
        </row>
        <row r="1895">
          <cell r="C1895">
            <v>337</v>
          </cell>
          <cell r="F1895">
            <v>1</v>
          </cell>
          <cell r="G1895">
            <v>1</v>
          </cell>
          <cell r="H1895">
            <v>46262</v>
          </cell>
          <cell r="I1895">
            <v>0</v>
          </cell>
          <cell r="J1895">
            <v>11</v>
          </cell>
          <cell r="K1895">
            <v>0</v>
          </cell>
          <cell r="L1895">
            <v>0</v>
          </cell>
          <cell r="M1895">
            <v>0</v>
          </cell>
          <cell r="N1895">
            <v>0</v>
          </cell>
          <cell r="O1895">
            <v>0</v>
          </cell>
          <cell r="P1895">
            <v>0</v>
          </cell>
        </row>
        <row r="1896">
          <cell r="C1896">
            <v>399</v>
          </cell>
          <cell r="F1896">
            <v>1</v>
          </cell>
          <cell r="G1896">
            <v>1</v>
          </cell>
          <cell r="H1896">
            <v>46262</v>
          </cell>
          <cell r="I1896">
            <v>0</v>
          </cell>
          <cell r="J1896">
            <v>2</v>
          </cell>
          <cell r="K1896">
            <v>0</v>
          </cell>
          <cell r="L1896">
            <v>0</v>
          </cell>
          <cell r="M1896">
            <v>0</v>
          </cell>
          <cell r="N1896">
            <v>0</v>
          </cell>
          <cell r="O1896">
            <v>0</v>
          </cell>
          <cell r="P1896">
            <v>0</v>
          </cell>
        </row>
        <row r="1897">
          <cell r="C1897">
            <v>332</v>
          </cell>
          <cell r="F1897">
            <v>1</v>
          </cell>
          <cell r="G1897">
            <v>1</v>
          </cell>
          <cell r="H1897">
            <v>46262</v>
          </cell>
          <cell r="I1897">
            <v>0</v>
          </cell>
          <cell r="J1897">
            <v>100</v>
          </cell>
          <cell r="K1897">
            <v>0</v>
          </cell>
          <cell r="L1897">
            <v>0</v>
          </cell>
          <cell r="M1897">
            <v>0</v>
          </cell>
          <cell r="N1897">
            <v>0</v>
          </cell>
          <cell r="O1897">
            <v>0</v>
          </cell>
          <cell r="P1897">
            <v>0</v>
          </cell>
        </row>
        <row r="1898">
          <cell r="C1898">
            <v>396</v>
          </cell>
          <cell r="F1898">
            <v>1</v>
          </cell>
          <cell r="G1898">
            <v>1</v>
          </cell>
          <cell r="H1898">
            <v>46262</v>
          </cell>
          <cell r="I1898">
            <v>0</v>
          </cell>
          <cell r="J1898">
            <v>1</v>
          </cell>
          <cell r="K1898">
            <v>0</v>
          </cell>
          <cell r="L1898">
            <v>0</v>
          </cell>
          <cell r="M1898">
            <v>0</v>
          </cell>
          <cell r="N1898">
            <v>0</v>
          </cell>
          <cell r="O1898">
            <v>0</v>
          </cell>
          <cell r="P1898">
            <v>0</v>
          </cell>
        </row>
        <row r="1899">
          <cell r="C1899">
            <v>6</v>
          </cell>
          <cell r="F1899">
            <v>1</v>
          </cell>
          <cell r="G1899">
            <v>1</v>
          </cell>
          <cell r="H1899">
            <v>46262</v>
          </cell>
          <cell r="I1899">
            <v>0</v>
          </cell>
          <cell r="J1899">
            <v>4</v>
          </cell>
          <cell r="K1899">
            <v>0</v>
          </cell>
          <cell r="L1899">
            <v>0</v>
          </cell>
          <cell r="M1899">
            <v>0</v>
          </cell>
          <cell r="N1899">
            <v>0</v>
          </cell>
          <cell r="O1899">
            <v>0</v>
          </cell>
          <cell r="P1899">
            <v>0</v>
          </cell>
        </row>
        <row r="1900">
          <cell r="C1900">
            <v>349</v>
          </cell>
          <cell r="F1900">
            <v>1</v>
          </cell>
          <cell r="G1900">
            <v>1</v>
          </cell>
          <cell r="H1900">
            <v>46262</v>
          </cell>
          <cell r="I1900">
            <v>0</v>
          </cell>
          <cell r="J1900">
            <v>1</v>
          </cell>
          <cell r="K1900">
            <v>0</v>
          </cell>
          <cell r="L1900">
            <v>0</v>
          </cell>
          <cell r="M1900">
            <v>0</v>
          </cell>
          <cell r="N1900">
            <v>0</v>
          </cell>
          <cell r="O1900">
            <v>0</v>
          </cell>
          <cell r="P1900">
            <v>0</v>
          </cell>
        </row>
        <row r="1901">
          <cell r="C1901">
            <v>397</v>
          </cell>
          <cell r="F1901">
            <v>1</v>
          </cell>
          <cell r="G1901">
            <v>1</v>
          </cell>
          <cell r="H1901">
            <v>46262</v>
          </cell>
          <cell r="I1901">
            <v>0</v>
          </cell>
          <cell r="J1901">
            <v>12</v>
          </cell>
          <cell r="K1901">
            <v>0</v>
          </cell>
          <cell r="L1901">
            <v>0</v>
          </cell>
          <cell r="M1901">
            <v>0</v>
          </cell>
          <cell r="N1901">
            <v>0</v>
          </cell>
          <cell r="O1901">
            <v>0</v>
          </cell>
          <cell r="P1901">
            <v>0</v>
          </cell>
        </row>
        <row r="1902">
          <cell r="C1902">
            <v>364</v>
          </cell>
          <cell r="F1902">
            <v>1</v>
          </cell>
          <cell r="G1902">
            <v>1</v>
          </cell>
          <cell r="H1902">
            <v>46262</v>
          </cell>
          <cell r="I1902">
            <v>0</v>
          </cell>
          <cell r="J1902">
            <v>1</v>
          </cell>
          <cell r="K1902">
            <v>0</v>
          </cell>
          <cell r="L1902">
            <v>0</v>
          </cell>
          <cell r="M1902">
            <v>0</v>
          </cell>
          <cell r="N1902">
            <v>0</v>
          </cell>
          <cell r="O1902">
            <v>0</v>
          </cell>
          <cell r="P1902">
            <v>0</v>
          </cell>
        </row>
        <row r="1903">
          <cell r="C1903">
            <v>108</v>
          </cell>
          <cell r="F1903">
            <v>1</v>
          </cell>
          <cell r="G1903">
            <v>1</v>
          </cell>
          <cell r="H1903">
            <v>46262</v>
          </cell>
          <cell r="I1903">
            <v>0</v>
          </cell>
          <cell r="J1903">
            <v>1</v>
          </cell>
          <cell r="K1903">
            <v>0</v>
          </cell>
          <cell r="L1903">
            <v>0</v>
          </cell>
          <cell r="M1903">
            <v>0</v>
          </cell>
          <cell r="N1903">
            <v>0</v>
          </cell>
          <cell r="O1903">
            <v>0</v>
          </cell>
          <cell r="P1903">
            <v>0</v>
          </cell>
        </row>
        <row r="1904">
          <cell r="C1904">
            <v>125</v>
          </cell>
          <cell r="F1904">
            <v>1</v>
          </cell>
          <cell r="G1904">
            <v>1</v>
          </cell>
          <cell r="H1904">
            <v>46262</v>
          </cell>
          <cell r="I1904">
            <v>0</v>
          </cell>
          <cell r="J1904">
            <v>20</v>
          </cell>
          <cell r="K1904">
            <v>0</v>
          </cell>
          <cell r="L1904">
            <v>0</v>
          </cell>
          <cell r="M1904">
            <v>0</v>
          </cell>
          <cell r="N1904">
            <v>0</v>
          </cell>
          <cell r="O1904">
            <v>0</v>
          </cell>
          <cell r="P1904">
            <v>0</v>
          </cell>
        </row>
        <row r="1905">
          <cell r="C1905">
            <v>219</v>
          </cell>
          <cell r="F1905">
            <v>1</v>
          </cell>
          <cell r="G1905">
            <v>1</v>
          </cell>
          <cell r="H1905">
            <v>46262</v>
          </cell>
          <cell r="I1905">
            <v>0</v>
          </cell>
          <cell r="J1905">
            <v>5</v>
          </cell>
          <cell r="K1905">
            <v>0</v>
          </cell>
          <cell r="L1905">
            <v>0</v>
          </cell>
          <cell r="M1905">
            <v>0</v>
          </cell>
          <cell r="N1905">
            <v>0</v>
          </cell>
          <cell r="O1905">
            <v>0</v>
          </cell>
          <cell r="P1905">
            <v>0</v>
          </cell>
        </row>
        <row r="1906">
          <cell r="C1906">
            <v>370</v>
          </cell>
          <cell r="F1906">
            <v>1</v>
          </cell>
          <cell r="G1906">
            <v>1</v>
          </cell>
          <cell r="H1906">
            <v>46262</v>
          </cell>
          <cell r="I1906">
            <v>0</v>
          </cell>
          <cell r="J1906">
            <v>1</v>
          </cell>
          <cell r="K1906">
            <v>0</v>
          </cell>
          <cell r="L1906">
            <v>0</v>
          </cell>
          <cell r="M1906">
            <v>0</v>
          </cell>
          <cell r="N1906">
            <v>0</v>
          </cell>
          <cell r="O1906">
            <v>0</v>
          </cell>
          <cell r="P1906">
            <v>0</v>
          </cell>
        </row>
        <row r="1907">
          <cell r="C1907">
            <v>393</v>
          </cell>
          <cell r="F1907">
            <v>1</v>
          </cell>
          <cell r="G1907">
            <v>1</v>
          </cell>
          <cell r="H1907">
            <v>46262</v>
          </cell>
          <cell r="I1907">
            <v>0</v>
          </cell>
          <cell r="J1907">
            <v>1</v>
          </cell>
          <cell r="K1907">
            <v>0</v>
          </cell>
          <cell r="L1907">
            <v>0</v>
          </cell>
          <cell r="M1907">
            <v>0</v>
          </cell>
          <cell r="N1907">
            <v>0</v>
          </cell>
          <cell r="O1907">
            <v>0</v>
          </cell>
          <cell r="P1907">
            <v>0</v>
          </cell>
        </row>
        <row r="1908">
          <cell r="C1908">
            <v>398</v>
          </cell>
          <cell r="F1908">
            <v>1</v>
          </cell>
          <cell r="G1908">
            <v>1</v>
          </cell>
          <cell r="H1908">
            <v>46262</v>
          </cell>
          <cell r="I1908">
            <v>0</v>
          </cell>
          <cell r="J1908">
            <v>1</v>
          </cell>
          <cell r="K1908">
            <v>0</v>
          </cell>
          <cell r="L1908">
            <v>0</v>
          </cell>
          <cell r="M1908">
            <v>0</v>
          </cell>
          <cell r="N1908">
            <v>0</v>
          </cell>
          <cell r="O1908">
            <v>0</v>
          </cell>
          <cell r="P1908">
            <v>0</v>
          </cell>
        </row>
        <row r="1909">
          <cell r="C1909">
            <v>408</v>
          </cell>
          <cell r="F1909">
            <v>1</v>
          </cell>
          <cell r="G1909">
            <v>1</v>
          </cell>
          <cell r="H1909">
            <v>46262</v>
          </cell>
          <cell r="I1909">
            <v>0</v>
          </cell>
          <cell r="J1909">
            <v>1</v>
          </cell>
          <cell r="K1909">
            <v>0</v>
          </cell>
          <cell r="L1909">
            <v>0</v>
          </cell>
          <cell r="M1909">
            <v>0</v>
          </cell>
          <cell r="N1909">
            <v>0</v>
          </cell>
          <cell r="O1909">
            <v>0</v>
          </cell>
          <cell r="P1909">
            <v>0</v>
          </cell>
        </row>
        <row r="1910">
          <cell r="C1910">
            <v>428</v>
          </cell>
          <cell r="F1910">
            <v>1</v>
          </cell>
          <cell r="G1910">
            <v>1</v>
          </cell>
          <cell r="H1910">
            <v>46262</v>
          </cell>
          <cell r="I1910">
            <v>0</v>
          </cell>
          <cell r="J1910">
            <v>1</v>
          </cell>
          <cell r="K1910">
            <v>0</v>
          </cell>
          <cell r="L1910">
            <v>0</v>
          </cell>
          <cell r="M1910">
            <v>0</v>
          </cell>
          <cell r="N1910">
            <v>0</v>
          </cell>
          <cell r="O1910">
            <v>0</v>
          </cell>
          <cell r="P1910">
            <v>0</v>
          </cell>
        </row>
        <row r="1911">
          <cell r="C1911">
            <v>294</v>
          </cell>
          <cell r="F1911">
            <v>1</v>
          </cell>
          <cell r="G1911">
            <v>1</v>
          </cell>
          <cell r="H1911">
            <v>46263</v>
          </cell>
          <cell r="I1911">
            <v>0</v>
          </cell>
          <cell r="J1911">
            <v>20</v>
          </cell>
          <cell r="K1911">
            <v>0</v>
          </cell>
          <cell r="L1911">
            <v>0</v>
          </cell>
          <cell r="M1911">
            <v>0</v>
          </cell>
          <cell r="N1911">
            <v>0</v>
          </cell>
          <cell r="O1911">
            <v>0</v>
          </cell>
          <cell r="P1911">
            <v>0</v>
          </cell>
        </row>
        <row r="1912">
          <cell r="C1912">
            <v>305</v>
          </cell>
          <cell r="F1912">
            <v>1</v>
          </cell>
          <cell r="G1912">
            <v>1</v>
          </cell>
          <cell r="H1912">
            <v>46263</v>
          </cell>
          <cell r="I1912">
            <v>0</v>
          </cell>
          <cell r="J1912">
            <v>300</v>
          </cell>
          <cell r="K1912">
            <v>0</v>
          </cell>
          <cell r="L1912">
            <v>0</v>
          </cell>
          <cell r="M1912">
            <v>0</v>
          </cell>
          <cell r="N1912">
            <v>0</v>
          </cell>
          <cell r="O1912">
            <v>0</v>
          </cell>
          <cell r="P1912">
            <v>0</v>
          </cell>
        </row>
        <row r="1913">
          <cell r="C1913">
            <v>181</v>
          </cell>
          <cell r="F1913">
            <v>1</v>
          </cell>
          <cell r="G1913">
            <v>1</v>
          </cell>
          <cell r="H1913">
            <v>46263</v>
          </cell>
          <cell r="I1913">
            <v>0</v>
          </cell>
          <cell r="J1913">
            <v>12</v>
          </cell>
          <cell r="K1913">
            <v>0</v>
          </cell>
          <cell r="L1913">
            <v>0</v>
          </cell>
          <cell r="M1913">
            <v>0</v>
          </cell>
          <cell r="N1913">
            <v>0</v>
          </cell>
          <cell r="O1913">
            <v>0</v>
          </cell>
          <cell r="P1913">
            <v>0</v>
          </cell>
        </row>
        <row r="1914">
          <cell r="C1914">
            <v>7</v>
          </cell>
          <cell r="F1914">
            <v>1</v>
          </cell>
          <cell r="G1914">
            <v>1</v>
          </cell>
          <cell r="H1914">
            <v>46263</v>
          </cell>
          <cell r="I1914">
            <v>0</v>
          </cell>
          <cell r="J1914">
            <v>8</v>
          </cell>
          <cell r="K1914">
            <v>0</v>
          </cell>
          <cell r="L1914">
            <v>0</v>
          </cell>
          <cell r="M1914">
            <v>0</v>
          </cell>
          <cell r="N1914">
            <v>0</v>
          </cell>
          <cell r="O1914">
            <v>0</v>
          </cell>
          <cell r="P1914">
            <v>0</v>
          </cell>
        </row>
        <row r="1915">
          <cell r="C1915">
            <v>8</v>
          </cell>
          <cell r="F1915">
            <v>1</v>
          </cell>
          <cell r="G1915">
            <v>1</v>
          </cell>
          <cell r="H1915">
            <v>46263</v>
          </cell>
          <cell r="I1915">
            <v>0</v>
          </cell>
          <cell r="J1915">
            <v>8</v>
          </cell>
          <cell r="K1915">
            <v>0</v>
          </cell>
          <cell r="L1915">
            <v>0</v>
          </cell>
          <cell r="M1915">
            <v>0</v>
          </cell>
          <cell r="N1915">
            <v>0</v>
          </cell>
          <cell r="O1915">
            <v>0</v>
          </cell>
          <cell r="P1915">
            <v>0</v>
          </cell>
        </row>
        <row r="1916">
          <cell r="C1916">
            <v>370</v>
          </cell>
          <cell r="F1916">
            <v>1</v>
          </cell>
          <cell r="G1916">
            <v>1</v>
          </cell>
          <cell r="H1916">
            <v>46263</v>
          </cell>
          <cell r="I1916">
            <v>0</v>
          </cell>
          <cell r="J1916">
            <v>1</v>
          </cell>
          <cell r="K1916">
            <v>0</v>
          </cell>
          <cell r="L1916">
            <v>0</v>
          </cell>
          <cell r="M1916">
            <v>0</v>
          </cell>
          <cell r="N1916">
            <v>0</v>
          </cell>
          <cell r="O1916">
            <v>0</v>
          </cell>
          <cell r="P1916">
            <v>0</v>
          </cell>
        </row>
        <row r="1917">
          <cell r="C1917">
            <v>402</v>
          </cell>
          <cell r="F1917">
            <v>1</v>
          </cell>
          <cell r="G1917">
            <v>1</v>
          </cell>
          <cell r="H1917">
            <v>46263</v>
          </cell>
          <cell r="I1917">
            <v>0</v>
          </cell>
          <cell r="J1917">
            <v>1</v>
          </cell>
          <cell r="K1917">
            <v>0</v>
          </cell>
          <cell r="L1917">
            <v>0</v>
          </cell>
          <cell r="M1917">
            <v>0</v>
          </cell>
          <cell r="N1917">
            <v>0</v>
          </cell>
          <cell r="O1917">
            <v>0</v>
          </cell>
          <cell r="P1917">
            <v>0</v>
          </cell>
        </row>
        <row r="1918">
          <cell r="C1918">
            <v>380</v>
          </cell>
          <cell r="F1918">
            <v>1</v>
          </cell>
          <cell r="G1918">
            <v>1</v>
          </cell>
          <cell r="H1918">
            <v>46263</v>
          </cell>
          <cell r="I1918">
            <v>0</v>
          </cell>
          <cell r="J1918">
            <v>5</v>
          </cell>
          <cell r="K1918">
            <v>0</v>
          </cell>
          <cell r="L1918">
            <v>0</v>
          </cell>
          <cell r="M1918">
            <v>0</v>
          </cell>
          <cell r="N1918">
            <v>0</v>
          </cell>
          <cell r="O1918">
            <v>0</v>
          </cell>
          <cell r="P1918">
            <v>0</v>
          </cell>
        </row>
        <row r="1919">
          <cell r="C1919">
            <v>423</v>
          </cell>
          <cell r="F1919">
            <v>1</v>
          </cell>
          <cell r="G1919">
            <v>1</v>
          </cell>
          <cell r="H1919">
            <v>46263</v>
          </cell>
          <cell r="I1919">
            <v>0</v>
          </cell>
          <cell r="J1919">
            <v>2</v>
          </cell>
          <cell r="K1919">
            <v>0</v>
          </cell>
          <cell r="L1919">
            <v>0</v>
          </cell>
          <cell r="M1919">
            <v>0</v>
          </cell>
          <cell r="N1919">
            <v>0</v>
          </cell>
          <cell r="O1919">
            <v>0</v>
          </cell>
          <cell r="P1919">
            <v>0</v>
          </cell>
        </row>
        <row r="1920">
          <cell r="C1920">
            <v>337</v>
          </cell>
          <cell r="F1920">
            <v>1</v>
          </cell>
          <cell r="G1920">
            <v>1</v>
          </cell>
          <cell r="H1920">
            <v>46263</v>
          </cell>
          <cell r="I1920">
            <v>0</v>
          </cell>
          <cell r="J1920">
            <v>30</v>
          </cell>
          <cell r="K1920">
            <v>0</v>
          </cell>
          <cell r="L1920">
            <v>0</v>
          </cell>
          <cell r="M1920">
            <v>0</v>
          </cell>
          <cell r="N1920">
            <v>0</v>
          </cell>
          <cell r="O1920">
            <v>0</v>
          </cell>
          <cell r="P1920">
            <v>0</v>
          </cell>
        </row>
        <row r="1921">
          <cell r="C1921">
            <v>177</v>
          </cell>
          <cell r="F1921">
            <v>1</v>
          </cell>
          <cell r="G1921">
            <v>1</v>
          </cell>
          <cell r="H1921">
            <v>46263</v>
          </cell>
          <cell r="I1921">
            <v>0</v>
          </cell>
          <cell r="J1921">
            <v>24</v>
          </cell>
          <cell r="K1921">
            <v>0</v>
          </cell>
          <cell r="L1921">
            <v>0</v>
          </cell>
          <cell r="M1921">
            <v>0</v>
          </cell>
          <cell r="N1921">
            <v>0</v>
          </cell>
          <cell r="O1921">
            <v>0</v>
          </cell>
          <cell r="P1921">
            <v>0</v>
          </cell>
        </row>
        <row r="1922">
          <cell r="C1922">
            <v>387</v>
          </cell>
          <cell r="F1922">
            <v>1</v>
          </cell>
          <cell r="G1922">
            <v>1</v>
          </cell>
          <cell r="H1922">
            <v>46263</v>
          </cell>
          <cell r="I1922">
            <v>0</v>
          </cell>
          <cell r="J1922">
            <v>1</v>
          </cell>
          <cell r="K1922">
            <v>0</v>
          </cell>
          <cell r="L1922">
            <v>0</v>
          </cell>
          <cell r="M1922">
            <v>0</v>
          </cell>
          <cell r="N1922">
            <v>0</v>
          </cell>
          <cell r="O1922">
            <v>0</v>
          </cell>
          <cell r="P1922">
            <v>0</v>
          </cell>
        </row>
        <row r="1923">
          <cell r="C1923">
            <v>7</v>
          </cell>
          <cell r="F1923">
            <v>1</v>
          </cell>
          <cell r="G1923">
            <v>1</v>
          </cell>
          <cell r="H1923">
            <v>46263</v>
          </cell>
          <cell r="I1923">
            <v>0</v>
          </cell>
          <cell r="J1923">
            <v>4</v>
          </cell>
          <cell r="K1923">
            <v>0</v>
          </cell>
          <cell r="L1923">
            <v>0</v>
          </cell>
          <cell r="M1923">
            <v>0</v>
          </cell>
          <cell r="N1923">
            <v>0</v>
          </cell>
          <cell r="O1923">
            <v>0</v>
          </cell>
          <cell r="P1923">
            <v>0</v>
          </cell>
        </row>
        <row r="1924">
          <cell r="C1924">
            <v>45</v>
          </cell>
          <cell r="F1924">
            <v>1</v>
          </cell>
          <cell r="G1924">
            <v>1</v>
          </cell>
          <cell r="H1924">
            <v>46263</v>
          </cell>
          <cell r="I1924">
            <v>0</v>
          </cell>
          <cell r="J1924">
            <v>1</v>
          </cell>
          <cell r="K1924">
            <v>0</v>
          </cell>
          <cell r="L1924">
            <v>0</v>
          </cell>
          <cell r="M1924">
            <v>0</v>
          </cell>
          <cell r="N1924">
            <v>0</v>
          </cell>
          <cell r="O1924">
            <v>0</v>
          </cell>
          <cell r="P1924">
            <v>0</v>
          </cell>
        </row>
        <row r="1925">
          <cell r="C1925">
            <v>358</v>
          </cell>
          <cell r="F1925">
            <v>1</v>
          </cell>
          <cell r="G1925">
            <v>1</v>
          </cell>
          <cell r="H1925">
            <v>46263</v>
          </cell>
          <cell r="I1925">
            <v>0</v>
          </cell>
          <cell r="J1925">
            <v>1</v>
          </cell>
          <cell r="K1925">
            <v>0</v>
          </cell>
          <cell r="L1925">
            <v>0</v>
          </cell>
          <cell r="M1925">
            <v>0</v>
          </cell>
          <cell r="N1925">
            <v>0</v>
          </cell>
          <cell r="O1925">
            <v>0</v>
          </cell>
          <cell r="P1925">
            <v>0</v>
          </cell>
        </row>
        <row r="1926">
          <cell r="C1926">
            <v>422</v>
          </cell>
          <cell r="F1926">
            <v>1</v>
          </cell>
          <cell r="G1926">
            <v>1</v>
          </cell>
          <cell r="H1926">
            <v>46263</v>
          </cell>
          <cell r="I1926">
            <v>0</v>
          </cell>
          <cell r="J1926">
            <v>2</v>
          </cell>
          <cell r="K1926">
            <v>0</v>
          </cell>
          <cell r="L1926">
            <v>0</v>
          </cell>
          <cell r="M1926">
            <v>0</v>
          </cell>
          <cell r="N1926">
            <v>0</v>
          </cell>
          <cell r="O1926">
            <v>0</v>
          </cell>
          <cell r="P1926">
            <v>0</v>
          </cell>
        </row>
        <row r="1927">
          <cell r="C1927">
            <v>48</v>
          </cell>
          <cell r="F1927">
            <v>1</v>
          </cell>
          <cell r="G1927">
            <v>1</v>
          </cell>
          <cell r="H1927">
            <v>46263</v>
          </cell>
          <cell r="I1927">
            <v>0</v>
          </cell>
          <cell r="J1927">
            <v>1</v>
          </cell>
          <cell r="K1927">
            <v>0</v>
          </cell>
          <cell r="L1927">
            <v>0</v>
          </cell>
          <cell r="M1927">
            <v>0</v>
          </cell>
          <cell r="N1927">
            <v>0</v>
          </cell>
          <cell r="O1927">
            <v>0</v>
          </cell>
          <cell r="P1927">
            <v>0</v>
          </cell>
        </row>
        <row r="1928">
          <cell r="C1928">
            <v>49</v>
          </cell>
          <cell r="F1928">
            <v>1</v>
          </cell>
          <cell r="G1928">
            <v>1</v>
          </cell>
          <cell r="H1928">
            <v>46263</v>
          </cell>
          <cell r="I1928">
            <v>0</v>
          </cell>
          <cell r="J1928">
            <v>1</v>
          </cell>
          <cell r="K1928">
            <v>0</v>
          </cell>
          <cell r="L1928">
            <v>0</v>
          </cell>
          <cell r="M1928">
            <v>0</v>
          </cell>
          <cell r="N1928">
            <v>0</v>
          </cell>
          <cell r="O1928">
            <v>0</v>
          </cell>
          <cell r="P1928">
            <v>0</v>
          </cell>
        </row>
        <row r="1929">
          <cell r="C1929">
            <v>429</v>
          </cell>
          <cell r="F1929">
            <v>1</v>
          </cell>
          <cell r="G1929">
            <v>1</v>
          </cell>
          <cell r="H1929">
            <v>46263</v>
          </cell>
          <cell r="I1929">
            <v>0</v>
          </cell>
          <cell r="J1929">
            <v>1</v>
          </cell>
          <cell r="K1929">
            <v>0</v>
          </cell>
          <cell r="L1929">
            <v>0</v>
          </cell>
          <cell r="M1929">
            <v>0</v>
          </cell>
          <cell r="N1929">
            <v>0</v>
          </cell>
          <cell r="O1929">
            <v>0</v>
          </cell>
          <cell r="P1929">
            <v>0</v>
          </cell>
        </row>
        <row r="1930">
          <cell r="C1930">
            <v>420</v>
          </cell>
          <cell r="F1930">
            <v>1</v>
          </cell>
          <cell r="G1930">
            <v>1</v>
          </cell>
          <cell r="H1930">
            <v>46263</v>
          </cell>
          <cell r="I1930">
            <v>0</v>
          </cell>
          <cell r="J1930">
            <v>1</v>
          </cell>
          <cell r="K1930">
            <v>0</v>
          </cell>
          <cell r="L1930">
            <v>0</v>
          </cell>
          <cell r="M1930">
            <v>0</v>
          </cell>
          <cell r="N1930">
            <v>0</v>
          </cell>
          <cell r="O1930">
            <v>0</v>
          </cell>
          <cell r="P1930">
            <v>0</v>
          </cell>
        </row>
        <row r="1931">
          <cell r="C1931">
            <v>389</v>
          </cell>
          <cell r="F1931">
            <v>1</v>
          </cell>
          <cell r="G1931">
            <v>1</v>
          </cell>
          <cell r="H1931">
            <v>46263</v>
          </cell>
          <cell r="I1931">
            <v>0</v>
          </cell>
          <cell r="J1931">
            <v>2</v>
          </cell>
          <cell r="K1931">
            <v>0</v>
          </cell>
          <cell r="L1931">
            <v>0</v>
          </cell>
          <cell r="M1931">
            <v>0</v>
          </cell>
          <cell r="N1931">
            <v>0</v>
          </cell>
          <cell r="O1931">
            <v>0</v>
          </cell>
          <cell r="P1931">
            <v>0</v>
          </cell>
        </row>
        <row r="1932">
          <cell r="C1932">
            <v>395</v>
          </cell>
          <cell r="F1932">
            <v>1</v>
          </cell>
          <cell r="G1932">
            <v>1</v>
          </cell>
          <cell r="H1932">
            <v>46263</v>
          </cell>
          <cell r="I1932">
            <v>0</v>
          </cell>
          <cell r="J1932">
            <v>5</v>
          </cell>
          <cell r="K1932">
            <v>0</v>
          </cell>
          <cell r="L1932">
            <v>0</v>
          </cell>
          <cell r="M1932">
            <v>0</v>
          </cell>
          <cell r="N1932">
            <v>0</v>
          </cell>
          <cell r="O1932">
            <v>0</v>
          </cell>
          <cell r="P1932">
            <v>0</v>
          </cell>
        </row>
        <row r="1933">
          <cell r="C1933">
            <v>364</v>
          </cell>
          <cell r="F1933">
            <v>1</v>
          </cell>
          <cell r="G1933">
            <v>1</v>
          </cell>
          <cell r="H1933">
            <v>46263</v>
          </cell>
          <cell r="I1933">
            <v>0</v>
          </cell>
          <cell r="J1933">
            <v>1</v>
          </cell>
          <cell r="K1933">
            <v>0</v>
          </cell>
          <cell r="L1933">
            <v>0</v>
          </cell>
          <cell r="M1933">
            <v>0</v>
          </cell>
          <cell r="N1933">
            <v>0</v>
          </cell>
          <cell r="O1933">
            <v>0</v>
          </cell>
          <cell r="P1933">
            <v>0</v>
          </cell>
        </row>
        <row r="1934">
          <cell r="C1934">
            <v>391</v>
          </cell>
          <cell r="F1934">
            <v>1</v>
          </cell>
          <cell r="G1934">
            <v>1</v>
          </cell>
          <cell r="H1934">
            <v>46263</v>
          </cell>
          <cell r="I1934">
            <v>0</v>
          </cell>
          <cell r="J1934">
            <v>1</v>
          </cell>
          <cell r="K1934">
            <v>0</v>
          </cell>
          <cell r="L1934">
            <v>0</v>
          </cell>
          <cell r="M1934">
            <v>0</v>
          </cell>
          <cell r="N1934">
            <v>0</v>
          </cell>
          <cell r="O1934">
            <v>0</v>
          </cell>
          <cell r="P1934">
            <v>0</v>
          </cell>
        </row>
        <row r="1935">
          <cell r="C1935">
            <v>414</v>
          </cell>
          <cell r="F1935">
            <v>1</v>
          </cell>
          <cell r="G1935">
            <v>1</v>
          </cell>
          <cell r="H1935">
            <v>46263</v>
          </cell>
          <cell r="I1935">
            <v>0</v>
          </cell>
          <cell r="J1935">
            <v>2</v>
          </cell>
          <cell r="K1935">
            <v>0</v>
          </cell>
          <cell r="L1935">
            <v>0</v>
          </cell>
          <cell r="M1935">
            <v>0</v>
          </cell>
          <cell r="N1935">
            <v>0</v>
          </cell>
          <cell r="O1935">
            <v>0</v>
          </cell>
          <cell r="P1935">
            <v>0</v>
          </cell>
        </row>
        <row r="1936">
          <cell r="C1936">
            <v>17</v>
          </cell>
          <cell r="F1936">
            <v>1</v>
          </cell>
          <cell r="G1936">
            <v>1</v>
          </cell>
          <cell r="H1936">
            <v>46263</v>
          </cell>
          <cell r="I1936">
            <v>0</v>
          </cell>
          <cell r="J1936">
            <v>4</v>
          </cell>
          <cell r="K1936">
            <v>0</v>
          </cell>
          <cell r="L1936">
            <v>0</v>
          </cell>
          <cell r="M1936">
            <v>0</v>
          </cell>
          <cell r="N1936">
            <v>0</v>
          </cell>
          <cell r="O1936">
            <v>0</v>
          </cell>
          <cell r="P1936">
            <v>0</v>
          </cell>
        </row>
        <row r="1937">
          <cell r="C1937">
            <v>46</v>
          </cell>
          <cell r="F1937">
            <v>1</v>
          </cell>
          <cell r="G1937">
            <v>1</v>
          </cell>
          <cell r="H1937">
            <v>46263</v>
          </cell>
          <cell r="I1937">
            <v>0</v>
          </cell>
          <cell r="J1937">
            <v>1</v>
          </cell>
          <cell r="K1937">
            <v>0</v>
          </cell>
          <cell r="L1937">
            <v>0</v>
          </cell>
          <cell r="M1937">
            <v>0</v>
          </cell>
          <cell r="N1937">
            <v>0</v>
          </cell>
          <cell r="O1937">
            <v>0</v>
          </cell>
          <cell r="P1937">
            <v>0</v>
          </cell>
        </row>
        <row r="1938">
          <cell r="C1938">
            <v>50</v>
          </cell>
          <cell r="F1938">
            <v>1</v>
          </cell>
          <cell r="G1938">
            <v>1</v>
          </cell>
          <cell r="H1938">
            <v>46263</v>
          </cell>
          <cell r="I1938">
            <v>0</v>
          </cell>
          <cell r="J1938">
            <v>1</v>
          </cell>
          <cell r="K1938">
            <v>0</v>
          </cell>
          <cell r="L1938">
            <v>0</v>
          </cell>
          <cell r="M1938">
            <v>0</v>
          </cell>
          <cell r="N1938">
            <v>0</v>
          </cell>
          <cell r="O1938">
            <v>0</v>
          </cell>
          <cell r="P1938">
            <v>0</v>
          </cell>
        </row>
        <row r="1939">
          <cell r="C1939">
            <v>349</v>
          </cell>
          <cell r="F1939">
            <v>1</v>
          </cell>
          <cell r="G1939">
            <v>1</v>
          </cell>
          <cell r="H1939">
            <v>46263</v>
          </cell>
          <cell r="I1939">
            <v>0</v>
          </cell>
          <cell r="J1939">
            <v>1</v>
          </cell>
          <cell r="K1939">
            <v>0</v>
          </cell>
          <cell r="L1939">
            <v>0</v>
          </cell>
          <cell r="M1939">
            <v>0</v>
          </cell>
          <cell r="N1939">
            <v>0</v>
          </cell>
          <cell r="O1939">
            <v>0</v>
          </cell>
          <cell r="P1939">
            <v>0</v>
          </cell>
        </row>
        <row r="1940">
          <cell r="C1940">
            <v>70</v>
          </cell>
          <cell r="F1940">
            <v>1</v>
          </cell>
          <cell r="G1940">
            <v>1</v>
          </cell>
          <cell r="H1940">
            <v>46263</v>
          </cell>
          <cell r="I1940">
            <v>0</v>
          </cell>
          <cell r="J1940">
            <v>1</v>
          </cell>
          <cell r="K1940">
            <v>0</v>
          </cell>
          <cell r="L1940">
            <v>0</v>
          </cell>
          <cell r="M1940">
            <v>0</v>
          </cell>
          <cell r="N1940">
            <v>0</v>
          </cell>
          <cell r="O1940">
            <v>0</v>
          </cell>
          <cell r="P1940">
            <v>0</v>
          </cell>
        </row>
        <row r="1941">
          <cell r="C1941">
            <v>142</v>
          </cell>
          <cell r="F1941">
            <v>1</v>
          </cell>
          <cell r="G1941">
            <v>1</v>
          </cell>
          <cell r="H1941">
            <v>46263</v>
          </cell>
          <cell r="I1941">
            <v>0</v>
          </cell>
          <cell r="J1941">
            <v>1</v>
          </cell>
          <cell r="K1941">
            <v>0</v>
          </cell>
          <cell r="L1941">
            <v>0</v>
          </cell>
          <cell r="M1941">
            <v>0</v>
          </cell>
          <cell r="N1941">
            <v>0</v>
          </cell>
          <cell r="O1941">
            <v>0</v>
          </cell>
          <cell r="P1941">
            <v>0</v>
          </cell>
        </row>
        <row r="1942">
          <cell r="C1942">
            <v>52</v>
          </cell>
          <cell r="F1942">
            <v>1</v>
          </cell>
          <cell r="G1942">
            <v>1</v>
          </cell>
          <cell r="H1942">
            <v>46263</v>
          </cell>
          <cell r="I1942">
            <v>0</v>
          </cell>
          <cell r="J1942">
            <v>1</v>
          </cell>
          <cell r="K1942">
            <v>0</v>
          </cell>
          <cell r="L1942">
            <v>0</v>
          </cell>
          <cell r="M1942">
            <v>0</v>
          </cell>
          <cell r="N1942">
            <v>0</v>
          </cell>
          <cell r="O1942">
            <v>0</v>
          </cell>
          <cell r="P1942">
            <v>0</v>
          </cell>
        </row>
        <row r="1943">
          <cell r="C1943">
            <v>404</v>
          </cell>
          <cell r="F1943">
            <v>1</v>
          </cell>
          <cell r="G1943">
            <v>1</v>
          </cell>
          <cell r="H1943">
            <v>46263</v>
          </cell>
          <cell r="I1943">
            <v>0</v>
          </cell>
          <cell r="J1943">
            <v>1</v>
          </cell>
          <cell r="K1943">
            <v>0</v>
          </cell>
          <cell r="L1943">
            <v>0</v>
          </cell>
          <cell r="M1943">
            <v>0</v>
          </cell>
          <cell r="N1943">
            <v>0</v>
          </cell>
          <cell r="O1943">
            <v>0</v>
          </cell>
          <cell r="P1943">
            <v>0</v>
          </cell>
        </row>
        <row r="1944">
          <cell r="C1944">
            <v>403</v>
          </cell>
          <cell r="F1944">
            <v>1</v>
          </cell>
          <cell r="G1944">
            <v>1</v>
          </cell>
          <cell r="H1944">
            <v>46263</v>
          </cell>
          <cell r="I1944">
            <v>0</v>
          </cell>
          <cell r="J1944">
            <v>1</v>
          </cell>
          <cell r="K1944">
            <v>0</v>
          </cell>
          <cell r="L1944">
            <v>0</v>
          </cell>
          <cell r="M1944">
            <v>0</v>
          </cell>
          <cell r="N1944">
            <v>0</v>
          </cell>
          <cell r="O1944">
            <v>0</v>
          </cell>
          <cell r="P1944">
            <v>0</v>
          </cell>
        </row>
        <row r="1945">
          <cell r="C1945">
            <v>170</v>
          </cell>
          <cell r="F1945">
            <v>1</v>
          </cell>
          <cell r="G1945">
            <v>1</v>
          </cell>
          <cell r="H1945">
            <v>46263</v>
          </cell>
          <cell r="I1945">
            <v>0</v>
          </cell>
          <cell r="J1945">
            <v>1</v>
          </cell>
          <cell r="K1945">
            <v>0</v>
          </cell>
          <cell r="L1945">
            <v>0</v>
          </cell>
          <cell r="M1945">
            <v>0</v>
          </cell>
          <cell r="N1945">
            <v>0</v>
          </cell>
          <cell r="O1945">
            <v>0</v>
          </cell>
          <cell r="P1945">
            <v>0</v>
          </cell>
        </row>
        <row r="1946">
          <cell r="C1946">
            <v>273</v>
          </cell>
          <cell r="F1946">
            <v>1</v>
          </cell>
          <cell r="G1946">
            <v>1</v>
          </cell>
          <cell r="H1946">
            <v>46263</v>
          </cell>
          <cell r="I1946">
            <v>0</v>
          </cell>
          <cell r="J1946">
            <v>20</v>
          </cell>
          <cell r="K1946">
            <v>0</v>
          </cell>
          <cell r="L1946">
            <v>0</v>
          </cell>
          <cell r="M1946">
            <v>0</v>
          </cell>
          <cell r="N1946">
            <v>0</v>
          </cell>
          <cell r="O1946">
            <v>0</v>
          </cell>
          <cell r="P1946">
            <v>0</v>
          </cell>
        </row>
        <row r="1947">
          <cell r="C1947">
            <v>96</v>
          </cell>
          <cell r="F1947">
            <v>1</v>
          </cell>
          <cell r="G1947">
            <v>1</v>
          </cell>
          <cell r="H1947">
            <v>46263</v>
          </cell>
          <cell r="I1947">
            <v>0</v>
          </cell>
          <cell r="J1947">
            <v>1</v>
          </cell>
          <cell r="K1947">
            <v>0</v>
          </cell>
          <cell r="L1947">
            <v>0</v>
          </cell>
          <cell r="M1947">
            <v>0</v>
          </cell>
          <cell r="N1947">
            <v>0</v>
          </cell>
          <cell r="O1947">
            <v>0</v>
          </cell>
          <cell r="P1947">
            <v>0</v>
          </cell>
        </row>
        <row r="1948">
          <cell r="C1948">
            <v>284</v>
          </cell>
          <cell r="F1948">
            <v>1</v>
          </cell>
          <cell r="G1948">
            <v>1</v>
          </cell>
          <cell r="H1948">
            <v>46263</v>
          </cell>
          <cell r="I1948">
            <v>0</v>
          </cell>
          <cell r="J1948">
            <v>1</v>
          </cell>
          <cell r="K1948">
            <v>0</v>
          </cell>
          <cell r="L1948">
            <v>0</v>
          </cell>
          <cell r="M1948">
            <v>0</v>
          </cell>
          <cell r="N1948">
            <v>0</v>
          </cell>
          <cell r="O1948">
            <v>0</v>
          </cell>
          <cell r="P1948">
            <v>0</v>
          </cell>
        </row>
        <row r="1949">
          <cell r="C1949">
            <v>276</v>
          </cell>
          <cell r="F1949">
            <v>1</v>
          </cell>
          <cell r="G1949">
            <v>1</v>
          </cell>
          <cell r="H1949">
            <v>46263</v>
          </cell>
          <cell r="I1949">
            <v>0</v>
          </cell>
          <cell r="J1949">
            <v>1</v>
          </cell>
          <cell r="K1949">
            <v>0</v>
          </cell>
          <cell r="L1949">
            <v>0</v>
          </cell>
          <cell r="M1949">
            <v>0</v>
          </cell>
          <cell r="N1949">
            <v>0</v>
          </cell>
          <cell r="O1949">
            <v>0</v>
          </cell>
          <cell r="P1949">
            <v>0</v>
          </cell>
        </row>
        <row r="1950">
          <cell r="C1950">
            <v>394</v>
          </cell>
          <cell r="F1950">
            <v>1</v>
          </cell>
          <cell r="G1950">
            <v>1</v>
          </cell>
          <cell r="H1950">
            <v>46263</v>
          </cell>
          <cell r="I1950">
            <v>0</v>
          </cell>
          <cell r="J1950">
            <v>1</v>
          </cell>
          <cell r="K1950">
            <v>0</v>
          </cell>
          <cell r="L1950">
            <v>0</v>
          </cell>
          <cell r="M1950">
            <v>0</v>
          </cell>
          <cell r="N1950">
            <v>0</v>
          </cell>
          <cell r="O1950">
            <v>0</v>
          </cell>
          <cell r="P1950">
            <v>0</v>
          </cell>
        </row>
        <row r="1951">
          <cell r="C1951">
            <v>413</v>
          </cell>
          <cell r="F1951">
            <v>1</v>
          </cell>
          <cell r="G1951">
            <v>1</v>
          </cell>
          <cell r="H1951">
            <v>46263</v>
          </cell>
          <cell r="I1951">
            <v>0</v>
          </cell>
          <cell r="J1951">
            <v>1</v>
          </cell>
          <cell r="K1951">
            <v>0</v>
          </cell>
          <cell r="L1951">
            <v>0</v>
          </cell>
          <cell r="M1951">
            <v>0</v>
          </cell>
          <cell r="N1951">
            <v>0</v>
          </cell>
          <cell r="O1951">
            <v>0</v>
          </cell>
          <cell r="P1951">
            <v>0</v>
          </cell>
        </row>
        <row r="1952">
          <cell r="C1952">
            <v>425</v>
          </cell>
          <cell r="F1952">
            <v>1</v>
          </cell>
          <cell r="G1952">
            <v>1</v>
          </cell>
          <cell r="H1952">
            <v>46263</v>
          </cell>
          <cell r="I1952">
            <v>0</v>
          </cell>
          <cell r="J1952">
            <v>1</v>
          </cell>
          <cell r="K1952">
            <v>0</v>
          </cell>
          <cell r="L1952">
            <v>0</v>
          </cell>
          <cell r="M1952">
            <v>0</v>
          </cell>
          <cell r="N1952">
            <v>0</v>
          </cell>
          <cell r="O1952">
            <v>0</v>
          </cell>
          <cell r="P1952">
            <v>0</v>
          </cell>
        </row>
        <row r="1953">
          <cell r="C1953">
            <v>241</v>
          </cell>
          <cell r="F1953">
            <v>1</v>
          </cell>
          <cell r="G1953">
            <v>1</v>
          </cell>
          <cell r="H1953">
            <v>46263</v>
          </cell>
          <cell r="I1953">
            <v>0</v>
          </cell>
          <cell r="J1953">
            <v>1</v>
          </cell>
          <cell r="K1953">
            <v>0</v>
          </cell>
          <cell r="L1953">
            <v>0</v>
          </cell>
          <cell r="M1953">
            <v>0</v>
          </cell>
          <cell r="N1953">
            <v>0</v>
          </cell>
          <cell r="O1953">
            <v>0</v>
          </cell>
          <cell r="P1953">
            <v>0</v>
          </cell>
        </row>
        <row r="1954">
          <cell r="C1954">
            <v>408</v>
          </cell>
          <cell r="F1954">
            <v>1</v>
          </cell>
          <cell r="G1954">
            <v>1</v>
          </cell>
          <cell r="H1954">
            <v>46263</v>
          </cell>
          <cell r="I1954">
            <v>0</v>
          </cell>
          <cell r="J1954">
            <v>1</v>
          </cell>
          <cell r="K1954">
            <v>0</v>
          </cell>
          <cell r="L1954">
            <v>0</v>
          </cell>
          <cell r="M1954">
            <v>0</v>
          </cell>
          <cell r="N1954">
            <v>0</v>
          </cell>
          <cell r="O1954">
            <v>0</v>
          </cell>
          <cell r="P1954">
            <v>0</v>
          </cell>
        </row>
        <row r="1955">
          <cell r="C1955">
            <v>416</v>
          </cell>
          <cell r="F1955">
            <v>1</v>
          </cell>
          <cell r="G1955">
            <v>1</v>
          </cell>
          <cell r="H1955">
            <v>46263</v>
          </cell>
          <cell r="I1955">
            <v>0</v>
          </cell>
          <cell r="J1955">
            <v>1</v>
          </cell>
          <cell r="K1955">
            <v>0</v>
          </cell>
          <cell r="L1955">
            <v>0</v>
          </cell>
          <cell r="M1955">
            <v>0</v>
          </cell>
          <cell r="N1955">
            <v>0</v>
          </cell>
          <cell r="O1955">
            <v>0</v>
          </cell>
          <cell r="P1955">
            <v>0</v>
          </cell>
        </row>
        <row r="1956">
          <cell r="C1956">
            <v>273</v>
          </cell>
          <cell r="F1956">
            <v>1</v>
          </cell>
          <cell r="G1956">
            <v>1</v>
          </cell>
          <cell r="H1956">
            <v>46263</v>
          </cell>
          <cell r="I1956">
            <v>0</v>
          </cell>
          <cell r="J1956">
            <v>15</v>
          </cell>
          <cell r="K1956">
            <v>0</v>
          </cell>
          <cell r="L1956">
            <v>0</v>
          </cell>
          <cell r="M1956">
            <v>0</v>
          </cell>
          <cell r="N1956">
            <v>0</v>
          </cell>
          <cell r="O1956">
            <v>0</v>
          </cell>
          <cell r="P1956">
            <v>0</v>
          </cell>
        </row>
        <row r="1957">
          <cell r="C1957">
            <v>96</v>
          </cell>
          <cell r="F1957">
            <v>1</v>
          </cell>
          <cell r="G1957">
            <v>1</v>
          </cell>
          <cell r="H1957">
            <v>46264</v>
          </cell>
          <cell r="I1957">
            <v>0</v>
          </cell>
          <cell r="J1957">
            <v>1</v>
          </cell>
          <cell r="K1957">
            <v>0</v>
          </cell>
          <cell r="L1957">
            <v>0</v>
          </cell>
          <cell r="M1957">
            <v>0</v>
          </cell>
          <cell r="N1957">
            <v>0</v>
          </cell>
          <cell r="O1957">
            <v>0</v>
          </cell>
          <cell r="P1957">
            <v>0</v>
          </cell>
        </row>
        <row r="1958">
          <cell r="C1958">
            <v>94</v>
          </cell>
          <cell r="F1958">
            <v>1</v>
          </cell>
          <cell r="G1958">
            <v>1</v>
          </cell>
          <cell r="H1958">
            <v>46264</v>
          </cell>
          <cell r="I1958">
            <v>0</v>
          </cell>
          <cell r="J1958">
            <v>1</v>
          </cell>
          <cell r="K1958">
            <v>0</v>
          </cell>
          <cell r="L1958">
            <v>0</v>
          </cell>
          <cell r="M1958">
            <v>0</v>
          </cell>
          <cell r="N1958">
            <v>0</v>
          </cell>
          <cell r="O1958">
            <v>0</v>
          </cell>
          <cell r="P1958">
            <v>0</v>
          </cell>
        </row>
        <row r="1959">
          <cell r="C1959">
            <v>273</v>
          </cell>
          <cell r="F1959">
            <v>1</v>
          </cell>
          <cell r="G1959">
            <v>1</v>
          </cell>
          <cell r="H1959">
            <v>46264</v>
          </cell>
          <cell r="I1959">
            <v>0</v>
          </cell>
          <cell r="J1959">
            <v>15</v>
          </cell>
          <cell r="K1959">
            <v>0</v>
          </cell>
          <cell r="L1959">
            <v>0</v>
          </cell>
          <cell r="M1959">
            <v>0</v>
          </cell>
          <cell r="N1959">
            <v>0</v>
          </cell>
          <cell r="O1959">
            <v>0</v>
          </cell>
          <cell r="P1959">
            <v>0</v>
          </cell>
        </row>
        <row r="1960">
          <cell r="C1960">
            <v>276</v>
          </cell>
          <cell r="F1960">
            <v>1</v>
          </cell>
          <cell r="G1960">
            <v>1</v>
          </cell>
          <cell r="H1960">
            <v>46264</v>
          </cell>
          <cell r="I1960">
            <v>0</v>
          </cell>
          <cell r="J1960">
            <v>1</v>
          </cell>
          <cell r="K1960">
            <v>0</v>
          </cell>
          <cell r="L1960">
            <v>0</v>
          </cell>
          <cell r="M1960">
            <v>0</v>
          </cell>
          <cell r="N1960">
            <v>0</v>
          </cell>
          <cell r="O1960">
            <v>0</v>
          </cell>
          <cell r="P1960">
            <v>0</v>
          </cell>
        </row>
        <row r="1961">
          <cell r="C1961">
            <v>424</v>
          </cell>
          <cell r="F1961">
            <v>1</v>
          </cell>
          <cell r="G1961">
            <v>1</v>
          </cell>
          <cell r="H1961">
            <v>46264</v>
          </cell>
          <cell r="I1961">
            <v>0</v>
          </cell>
          <cell r="J1961">
            <v>1</v>
          </cell>
          <cell r="K1961">
            <v>0</v>
          </cell>
          <cell r="L1961">
            <v>0</v>
          </cell>
          <cell r="M1961">
            <v>0</v>
          </cell>
          <cell r="N1961">
            <v>0</v>
          </cell>
          <cell r="O1961">
            <v>0</v>
          </cell>
          <cell r="P1961">
            <v>0</v>
          </cell>
        </row>
        <row r="1962">
          <cell r="C1962">
            <v>389</v>
          </cell>
          <cell r="F1962">
            <v>1</v>
          </cell>
          <cell r="G1962">
            <v>1</v>
          </cell>
          <cell r="H1962">
            <v>46264</v>
          </cell>
          <cell r="I1962">
            <v>0</v>
          </cell>
          <cell r="J1962">
            <v>1</v>
          </cell>
          <cell r="K1962">
            <v>0</v>
          </cell>
          <cell r="L1962">
            <v>0</v>
          </cell>
          <cell r="M1962">
            <v>0</v>
          </cell>
          <cell r="N1962">
            <v>0</v>
          </cell>
          <cell r="O1962">
            <v>0</v>
          </cell>
          <cell r="P1962">
            <v>0</v>
          </cell>
        </row>
        <row r="1963">
          <cell r="C1963">
            <v>383</v>
          </cell>
          <cell r="F1963">
            <v>1</v>
          </cell>
          <cell r="G1963">
            <v>1</v>
          </cell>
          <cell r="H1963">
            <v>46264</v>
          </cell>
          <cell r="I1963">
            <v>0</v>
          </cell>
          <cell r="J1963">
            <v>1</v>
          </cell>
          <cell r="K1963">
            <v>0</v>
          </cell>
          <cell r="L1963">
            <v>0</v>
          </cell>
          <cell r="M1963">
            <v>0</v>
          </cell>
          <cell r="N1963">
            <v>0</v>
          </cell>
          <cell r="O1963">
            <v>0</v>
          </cell>
          <cell r="P1963">
            <v>0</v>
          </cell>
        </row>
        <row r="1964">
          <cell r="C1964">
            <v>385</v>
          </cell>
          <cell r="F1964">
            <v>1</v>
          </cell>
          <cell r="G1964">
            <v>1</v>
          </cell>
          <cell r="H1964">
            <v>46264</v>
          </cell>
          <cell r="I1964">
            <v>0</v>
          </cell>
          <cell r="J1964">
            <v>2</v>
          </cell>
          <cell r="K1964">
            <v>0</v>
          </cell>
          <cell r="L1964">
            <v>0</v>
          </cell>
          <cell r="M1964">
            <v>0</v>
          </cell>
          <cell r="N1964">
            <v>0</v>
          </cell>
          <cell r="O1964">
            <v>0</v>
          </cell>
          <cell r="P1964">
            <v>0</v>
          </cell>
        </row>
        <row r="1965">
          <cell r="C1965">
            <v>16</v>
          </cell>
          <cell r="F1965">
            <v>1</v>
          </cell>
          <cell r="G1965">
            <v>1</v>
          </cell>
          <cell r="H1965">
            <v>46264</v>
          </cell>
          <cell r="I1965">
            <v>0</v>
          </cell>
          <cell r="J1965">
            <v>8</v>
          </cell>
          <cell r="K1965">
            <v>0</v>
          </cell>
          <cell r="L1965">
            <v>0</v>
          </cell>
          <cell r="M1965">
            <v>0</v>
          </cell>
          <cell r="N1965">
            <v>0</v>
          </cell>
          <cell r="O1965">
            <v>0</v>
          </cell>
          <cell r="P1965">
            <v>0</v>
          </cell>
        </row>
        <row r="1966">
          <cell r="C1966">
            <v>17</v>
          </cell>
          <cell r="F1966">
            <v>1</v>
          </cell>
          <cell r="G1966">
            <v>1</v>
          </cell>
          <cell r="H1966">
            <v>46264</v>
          </cell>
          <cell r="I1966">
            <v>0</v>
          </cell>
          <cell r="J1966">
            <v>8</v>
          </cell>
          <cell r="K1966">
            <v>0</v>
          </cell>
          <cell r="L1966">
            <v>0</v>
          </cell>
          <cell r="M1966">
            <v>0</v>
          </cell>
          <cell r="N1966">
            <v>0</v>
          </cell>
          <cell r="O1966">
            <v>0</v>
          </cell>
          <cell r="P1966">
            <v>0</v>
          </cell>
        </row>
        <row r="1967">
          <cell r="C1967">
            <v>372</v>
          </cell>
          <cell r="F1967">
            <v>1</v>
          </cell>
          <cell r="G1967">
            <v>1</v>
          </cell>
          <cell r="H1967">
            <v>46264</v>
          </cell>
          <cell r="I1967">
            <v>0</v>
          </cell>
          <cell r="J1967">
            <v>1</v>
          </cell>
          <cell r="K1967">
            <v>0</v>
          </cell>
          <cell r="L1967">
            <v>0</v>
          </cell>
          <cell r="M1967">
            <v>0</v>
          </cell>
          <cell r="N1967">
            <v>0</v>
          </cell>
          <cell r="O1967">
            <v>0</v>
          </cell>
          <cell r="P1967">
            <v>0</v>
          </cell>
        </row>
        <row r="1968">
          <cell r="C1968">
            <v>407</v>
          </cell>
          <cell r="F1968">
            <v>1</v>
          </cell>
          <cell r="G1968">
            <v>1</v>
          </cell>
          <cell r="H1968">
            <v>46264</v>
          </cell>
          <cell r="I1968">
            <v>0</v>
          </cell>
          <cell r="J1968">
            <v>1</v>
          </cell>
          <cell r="K1968">
            <v>0</v>
          </cell>
          <cell r="L1968">
            <v>0</v>
          </cell>
          <cell r="M1968">
            <v>0</v>
          </cell>
          <cell r="N1968">
            <v>0</v>
          </cell>
          <cell r="O1968">
            <v>0</v>
          </cell>
          <cell r="P1968">
            <v>0</v>
          </cell>
        </row>
        <row r="1969">
          <cell r="C1969">
            <v>70</v>
          </cell>
          <cell r="F1969">
            <v>1</v>
          </cell>
          <cell r="G1969">
            <v>1</v>
          </cell>
          <cell r="H1969">
            <v>46264</v>
          </cell>
          <cell r="I1969">
            <v>0</v>
          </cell>
          <cell r="J1969">
            <v>1</v>
          </cell>
          <cell r="K1969">
            <v>0</v>
          </cell>
          <cell r="L1969">
            <v>0</v>
          </cell>
          <cell r="M1969">
            <v>0</v>
          </cell>
          <cell r="N1969">
            <v>0</v>
          </cell>
          <cell r="O1969">
            <v>0</v>
          </cell>
          <cell r="P1969">
            <v>0</v>
          </cell>
        </row>
        <row r="1970">
          <cell r="C1970">
            <v>349</v>
          </cell>
          <cell r="F1970">
            <v>1</v>
          </cell>
          <cell r="G1970">
            <v>1</v>
          </cell>
          <cell r="H1970">
            <v>46264</v>
          </cell>
          <cell r="I1970">
            <v>0</v>
          </cell>
          <cell r="J1970">
            <v>1</v>
          </cell>
          <cell r="K1970">
            <v>0</v>
          </cell>
          <cell r="L1970">
            <v>0</v>
          </cell>
          <cell r="M1970">
            <v>0</v>
          </cell>
          <cell r="N1970">
            <v>0</v>
          </cell>
          <cell r="O1970">
            <v>0</v>
          </cell>
          <cell r="P1970">
            <v>0</v>
          </cell>
        </row>
        <row r="1971">
          <cell r="C1971">
            <v>358</v>
          </cell>
          <cell r="F1971">
            <v>1</v>
          </cell>
          <cell r="G1971">
            <v>1</v>
          </cell>
          <cell r="H1971">
            <v>46264</v>
          </cell>
          <cell r="I1971">
            <v>0</v>
          </cell>
          <cell r="J1971">
            <v>1</v>
          </cell>
          <cell r="K1971">
            <v>0</v>
          </cell>
          <cell r="L1971">
            <v>0</v>
          </cell>
          <cell r="M1971">
            <v>0</v>
          </cell>
          <cell r="N1971">
            <v>0</v>
          </cell>
          <cell r="O1971">
            <v>0</v>
          </cell>
          <cell r="P1971">
            <v>0</v>
          </cell>
        </row>
        <row r="1972">
          <cell r="C1972">
            <v>305</v>
          </cell>
          <cell r="F1972">
            <v>1</v>
          </cell>
          <cell r="G1972">
            <v>1</v>
          </cell>
          <cell r="H1972">
            <v>46264</v>
          </cell>
          <cell r="I1972">
            <v>0</v>
          </cell>
          <cell r="J1972">
            <v>700</v>
          </cell>
          <cell r="K1972">
            <v>0</v>
          </cell>
          <cell r="L1972">
            <v>0</v>
          </cell>
          <cell r="M1972">
            <v>0</v>
          </cell>
          <cell r="N1972">
            <v>0</v>
          </cell>
          <cell r="O1972">
            <v>0</v>
          </cell>
          <cell r="P1972">
            <v>0</v>
          </cell>
        </row>
        <row r="1973">
          <cell r="C1973">
            <v>397</v>
          </cell>
          <cell r="F1973">
            <v>1</v>
          </cell>
          <cell r="G1973">
            <v>1</v>
          </cell>
          <cell r="H1973">
            <v>46264</v>
          </cell>
          <cell r="I1973">
            <v>0</v>
          </cell>
          <cell r="J1973">
            <v>2</v>
          </cell>
          <cell r="K1973">
            <v>0</v>
          </cell>
          <cell r="L1973">
            <v>0</v>
          </cell>
          <cell r="M1973">
            <v>0</v>
          </cell>
          <cell r="N1973">
            <v>0</v>
          </cell>
          <cell r="O1973">
            <v>0</v>
          </cell>
          <cell r="P1973">
            <v>0</v>
          </cell>
        </row>
        <row r="1974">
          <cell r="C1974">
            <v>401</v>
          </cell>
          <cell r="F1974">
            <v>1</v>
          </cell>
          <cell r="G1974">
            <v>1</v>
          </cell>
          <cell r="H1974">
            <v>46264</v>
          </cell>
          <cell r="I1974">
            <v>0</v>
          </cell>
          <cell r="J1974">
            <v>1</v>
          </cell>
          <cell r="K1974">
            <v>0</v>
          </cell>
          <cell r="L1974">
            <v>0</v>
          </cell>
          <cell r="M1974">
            <v>0</v>
          </cell>
          <cell r="N1974">
            <v>0</v>
          </cell>
          <cell r="O1974">
            <v>0</v>
          </cell>
          <cell r="P1974">
            <v>0</v>
          </cell>
        </row>
        <row r="1975">
          <cell r="C1975">
            <v>392</v>
          </cell>
          <cell r="F1975">
            <v>1</v>
          </cell>
          <cell r="G1975">
            <v>1</v>
          </cell>
          <cell r="H1975">
            <v>46264</v>
          </cell>
          <cell r="I1975">
            <v>0</v>
          </cell>
          <cell r="J1975">
            <v>1</v>
          </cell>
          <cell r="K1975">
            <v>0</v>
          </cell>
          <cell r="L1975">
            <v>0</v>
          </cell>
          <cell r="M1975">
            <v>0</v>
          </cell>
          <cell r="N1975">
            <v>0</v>
          </cell>
          <cell r="O1975">
            <v>0</v>
          </cell>
          <cell r="P1975">
            <v>0</v>
          </cell>
        </row>
        <row r="1976">
          <cell r="C1976">
            <v>364</v>
          </cell>
          <cell r="F1976">
            <v>1</v>
          </cell>
          <cell r="G1976">
            <v>1</v>
          </cell>
          <cell r="H1976">
            <v>46264</v>
          </cell>
          <cell r="I1976">
            <v>0</v>
          </cell>
          <cell r="J1976">
            <v>1</v>
          </cell>
          <cell r="K1976">
            <v>0</v>
          </cell>
          <cell r="L1976">
            <v>0</v>
          </cell>
          <cell r="M1976">
            <v>0</v>
          </cell>
          <cell r="N1976">
            <v>0</v>
          </cell>
          <cell r="O1976">
            <v>0</v>
          </cell>
          <cell r="P1976">
            <v>0</v>
          </cell>
        </row>
        <row r="1977">
          <cell r="C1977">
            <v>177</v>
          </cell>
          <cell r="F1977">
            <v>1</v>
          </cell>
          <cell r="G1977">
            <v>1</v>
          </cell>
          <cell r="H1977">
            <v>46264</v>
          </cell>
          <cell r="I1977">
            <v>0</v>
          </cell>
          <cell r="J1977">
            <v>5</v>
          </cell>
          <cell r="K1977">
            <v>0</v>
          </cell>
          <cell r="L1977">
            <v>0</v>
          </cell>
          <cell r="M1977">
            <v>0</v>
          </cell>
          <cell r="N1977">
            <v>0</v>
          </cell>
          <cell r="O1977">
            <v>0</v>
          </cell>
          <cell r="P1977">
            <v>0</v>
          </cell>
        </row>
        <row r="1978">
          <cell r="C1978">
            <v>415</v>
          </cell>
          <cell r="F1978">
            <v>1</v>
          </cell>
          <cell r="G1978">
            <v>1</v>
          </cell>
          <cell r="H1978">
            <v>46264</v>
          </cell>
          <cell r="I1978">
            <v>0</v>
          </cell>
          <cell r="J1978">
            <v>1</v>
          </cell>
          <cell r="K1978">
            <v>0</v>
          </cell>
          <cell r="L1978">
            <v>0</v>
          </cell>
          <cell r="M1978">
            <v>0</v>
          </cell>
          <cell r="N1978">
            <v>0</v>
          </cell>
          <cell r="O1978">
            <v>0</v>
          </cell>
          <cell r="P1978">
            <v>0</v>
          </cell>
        </row>
        <row r="1979">
          <cell r="C1979">
            <v>181</v>
          </cell>
          <cell r="F1979">
            <v>1</v>
          </cell>
          <cell r="G1979">
            <v>1</v>
          </cell>
          <cell r="H1979">
            <v>46264</v>
          </cell>
          <cell r="I1979">
            <v>0</v>
          </cell>
          <cell r="J1979">
            <v>12</v>
          </cell>
          <cell r="K1979">
            <v>0</v>
          </cell>
          <cell r="L1979">
            <v>0</v>
          </cell>
          <cell r="M1979">
            <v>0</v>
          </cell>
          <cell r="N1979">
            <v>0</v>
          </cell>
          <cell r="O1979">
            <v>0</v>
          </cell>
          <cell r="P1979">
            <v>0</v>
          </cell>
        </row>
        <row r="1980">
          <cell r="C1980">
            <v>413</v>
          </cell>
          <cell r="F1980">
            <v>1</v>
          </cell>
          <cell r="G1980">
            <v>1</v>
          </cell>
          <cell r="H1980">
            <v>46264</v>
          </cell>
          <cell r="I1980">
            <v>0</v>
          </cell>
          <cell r="J1980">
            <v>1</v>
          </cell>
          <cell r="K1980">
            <v>0</v>
          </cell>
          <cell r="L1980">
            <v>0</v>
          </cell>
          <cell r="M1980">
            <v>0</v>
          </cell>
          <cell r="N1980">
            <v>0</v>
          </cell>
          <cell r="O1980">
            <v>0</v>
          </cell>
          <cell r="P1980">
            <v>0</v>
          </cell>
        </row>
        <row r="1981">
          <cell r="C1981">
            <v>408</v>
          </cell>
          <cell r="F1981">
            <v>1</v>
          </cell>
          <cell r="G1981">
            <v>1</v>
          </cell>
          <cell r="H1981">
            <v>46264</v>
          </cell>
          <cell r="I1981">
            <v>0</v>
          </cell>
          <cell r="J1981">
            <v>1</v>
          </cell>
          <cell r="K1981">
            <v>0</v>
          </cell>
          <cell r="L1981">
            <v>0</v>
          </cell>
          <cell r="M1981">
            <v>0</v>
          </cell>
          <cell r="N1981">
            <v>0</v>
          </cell>
          <cell r="O1981">
            <v>0</v>
          </cell>
          <cell r="P1981">
            <v>0</v>
          </cell>
        </row>
        <row r="1982">
          <cell r="C1982">
            <v>369</v>
          </cell>
          <cell r="F1982">
            <v>1</v>
          </cell>
          <cell r="G1982">
            <v>1</v>
          </cell>
          <cell r="H1982">
            <v>46264</v>
          </cell>
          <cell r="I1982">
            <v>0</v>
          </cell>
          <cell r="J1982">
            <v>5</v>
          </cell>
          <cell r="K1982">
            <v>0</v>
          </cell>
          <cell r="L1982">
            <v>0</v>
          </cell>
          <cell r="M1982">
            <v>0</v>
          </cell>
          <cell r="N1982">
            <v>0</v>
          </cell>
          <cell r="O1982">
            <v>0</v>
          </cell>
          <cell r="P1982">
            <v>0</v>
          </cell>
        </row>
        <row r="1983">
          <cell r="C1983">
            <v>368</v>
          </cell>
          <cell r="F1983">
            <v>1</v>
          </cell>
          <cell r="G1983">
            <v>1</v>
          </cell>
          <cell r="H1983">
            <v>46264</v>
          </cell>
          <cell r="I1983">
            <v>0</v>
          </cell>
          <cell r="J1983">
            <v>2</v>
          </cell>
          <cell r="K1983">
            <v>0</v>
          </cell>
          <cell r="L1983">
            <v>0</v>
          </cell>
          <cell r="M1983">
            <v>0</v>
          </cell>
          <cell r="N1983">
            <v>0</v>
          </cell>
          <cell r="O1983">
            <v>0</v>
          </cell>
          <cell r="P1983">
            <v>0</v>
          </cell>
        </row>
        <row r="1984">
          <cell r="C1984">
            <v>391</v>
          </cell>
          <cell r="F1984">
            <v>1</v>
          </cell>
          <cell r="G1984">
            <v>1</v>
          </cell>
          <cell r="H1984">
            <v>46264</v>
          </cell>
          <cell r="I1984">
            <v>0</v>
          </cell>
          <cell r="J1984">
            <v>2</v>
          </cell>
          <cell r="K1984">
            <v>0</v>
          </cell>
          <cell r="L1984">
            <v>0</v>
          </cell>
          <cell r="M1984">
            <v>0</v>
          </cell>
          <cell r="N1984">
            <v>0</v>
          </cell>
          <cell r="O1984">
            <v>0</v>
          </cell>
          <cell r="P1984">
            <v>0</v>
          </cell>
        </row>
        <row r="1985">
          <cell r="C1985">
            <v>420</v>
          </cell>
          <cell r="F1985">
            <v>1</v>
          </cell>
          <cell r="G1985">
            <v>1</v>
          </cell>
          <cell r="H1985">
            <v>46264</v>
          </cell>
          <cell r="I1985">
            <v>0</v>
          </cell>
          <cell r="J1985">
            <v>1</v>
          </cell>
          <cell r="K1985">
            <v>0</v>
          </cell>
          <cell r="L1985">
            <v>0</v>
          </cell>
          <cell r="M1985">
            <v>0</v>
          </cell>
          <cell r="N1985">
            <v>0</v>
          </cell>
          <cell r="O1985">
            <v>0</v>
          </cell>
          <cell r="P1985">
            <v>0</v>
          </cell>
        </row>
        <row r="1986">
          <cell r="C1986">
            <v>169</v>
          </cell>
          <cell r="F1986">
            <v>1</v>
          </cell>
          <cell r="G1986">
            <v>1</v>
          </cell>
          <cell r="H1986">
            <v>46264</v>
          </cell>
          <cell r="I1986">
            <v>0</v>
          </cell>
          <cell r="J1986">
            <v>1</v>
          </cell>
          <cell r="K1986">
            <v>0</v>
          </cell>
          <cell r="L1986">
            <v>0</v>
          </cell>
          <cell r="M1986">
            <v>0</v>
          </cell>
          <cell r="N1986">
            <v>0</v>
          </cell>
          <cell r="O1986">
            <v>0</v>
          </cell>
          <cell r="P1986">
            <v>0</v>
          </cell>
        </row>
        <row r="1987">
          <cell r="C1987">
            <v>404</v>
          </cell>
          <cell r="F1987">
            <v>1</v>
          </cell>
          <cell r="G1987">
            <v>1</v>
          </cell>
          <cell r="H1987">
            <v>46264</v>
          </cell>
          <cell r="I1987">
            <v>0</v>
          </cell>
          <cell r="J1987">
            <v>1</v>
          </cell>
          <cell r="K1987">
            <v>0</v>
          </cell>
          <cell r="L1987">
            <v>0</v>
          </cell>
          <cell r="M1987">
            <v>0</v>
          </cell>
          <cell r="N1987">
            <v>0</v>
          </cell>
          <cell r="O1987">
            <v>0</v>
          </cell>
          <cell r="P1987">
            <v>0</v>
          </cell>
        </row>
        <row r="1988">
          <cell r="C1988">
            <v>101</v>
          </cell>
          <cell r="F1988">
            <v>1</v>
          </cell>
          <cell r="G1988">
            <v>1</v>
          </cell>
          <cell r="H1988">
            <v>46264</v>
          </cell>
          <cell r="I1988">
            <v>0</v>
          </cell>
          <cell r="J1988">
            <v>700</v>
          </cell>
          <cell r="K1988">
            <v>0</v>
          </cell>
          <cell r="L1988">
            <v>0</v>
          </cell>
          <cell r="M1988">
            <v>0</v>
          </cell>
          <cell r="N1988">
            <v>0</v>
          </cell>
          <cell r="O1988">
            <v>0</v>
          </cell>
          <cell r="P1988">
            <v>0</v>
          </cell>
        </row>
        <row r="1989">
          <cell r="C1989">
            <v>370</v>
          </cell>
          <cell r="F1989">
            <v>1</v>
          </cell>
          <cell r="G1989">
            <v>1</v>
          </cell>
          <cell r="H1989">
            <v>46264</v>
          </cell>
          <cell r="I1989">
            <v>0</v>
          </cell>
          <cell r="J1989">
            <v>1</v>
          </cell>
          <cell r="K1989">
            <v>0</v>
          </cell>
          <cell r="L1989">
            <v>0</v>
          </cell>
          <cell r="M1989">
            <v>0</v>
          </cell>
          <cell r="N1989">
            <v>0</v>
          </cell>
          <cell r="O1989">
            <v>0</v>
          </cell>
          <cell r="P1989">
            <v>0</v>
          </cell>
        </row>
        <row r="1990">
          <cell r="C1990">
            <v>71</v>
          </cell>
          <cell r="F1990">
            <v>1</v>
          </cell>
          <cell r="G1990">
            <v>1</v>
          </cell>
          <cell r="H1990">
            <v>46264</v>
          </cell>
          <cell r="I1990">
            <v>0</v>
          </cell>
          <cell r="J1990">
            <v>1</v>
          </cell>
          <cell r="K1990">
            <v>0</v>
          </cell>
          <cell r="L1990">
            <v>0</v>
          </cell>
          <cell r="M1990">
            <v>0</v>
          </cell>
          <cell r="N1990">
            <v>0</v>
          </cell>
          <cell r="O1990">
            <v>0</v>
          </cell>
          <cell r="P1990">
            <v>0</v>
          </cell>
        </row>
        <row r="1991">
          <cell r="C1991">
            <v>45</v>
          </cell>
          <cell r="F1991">
            <v>1</v>
          </cell>
          <cell r="G1991">
            <v>1</v>
          </cell>
          <cell r="H1991">
            <v>46264</v>
          </cell>
          <cell r="I1991">
            <v>0</v>
          </cell>
          <cell r="J1991">
            <v>1</v>
          </cell>
          <cell r="K1991">
            <v>0</v>
          </cell>
          <cell r="L1991">
            <v>0</v>
          </cell>
          <cell r="M1991">
            <v>0</v>
          </cell>
          <cell r="N1991">
            <v>0</v>
          </cell>
          <cell r="O1991">
            <v>0</v>
          </cell>
          <cell r="P1991">
            <v>0</v>
          </cell>
        </row>
        <row r="1992">
          <cell r="C1992">
            <v>46</v>
          </cell>
          <cell r="F1992">
            <v>1</v>
          </cell>
          <cell r="G1992">
            <v>1</v>
          </cell>
          <cell r="H1992">
            <v>46264</v>
          </cell>
          <cell r="I1992">
            <v>0</v>
          </cell>
          <cell r="J1992">
            <v>1</v>
          </cell>
          <cell r="K1992">
            <v>0</v>
          </cell>
          <cell r="L1992">
            <v>0</v>
          </cell>
          <cell r="M1992">
            <v>0</v>
          </cell>
          <cell r="N1992">
            <v>0</v>
          </cell>
          <cell r="O1992">
            <v>0</v>
          </cell>
          <cell r="P1992">
            <v>0</v>
          </cell>
        </row>
        <row r="1993">
          <cell r="C1993">
            <v>49</v>
          </cell>
          <cell r="F1993">
            <v>1</v>
          </cell>
          <cell r="G1993">
            <v>1</v>
          </cell>
          <cell r="H1993">
            <v>46264</v>
          </cell>
          <cell r="I1993">
            <v>0</v>
          </cell>
          <cell r="J1993">
            <v>1</v>
          </cell>
          <cell r="K1993">
            <v>0</v>
          </cell>
          <cell r="L1993">
            <v>0</v>
          </cell>
          <cell r="M1993">
            <v>0</v>
          </cell>
          <cell r="N1993">
            <v>0</v>
          </cell>
          <cell r="O1993">
            <v>0</v>
          </cell>
          <cell r="P1993">
            <v>0</v>
          </cell>
        </row>
        <row r="1994">
          <cell r="C1994">
            <v>82</v>
          </cell>
          <cell r="F1994">
            <v>1</v>
          </cell>
          <cell r="G1994">
            <v>1</v>
          </cell>
          <cell r="H1994">
            <v>46264</v>
          </cell>
          <cell r="I1994">
            <v>0</v>
          </cell>
          <cell r="J1994">
            <v>2</v>
          </cell>
          <cell r="K1994">
            <v>0</v>
          </cell>
          <cell r="L1994">
            <v>0</v>
          </cell>
          <cell r="M1994">
            <v>0</v>
          </cell>
          <cell r="N1994">
            <v>0</v>
          </cell>
          <cell r="O1994">
            <v>0</v>
          </cell>
          <cell r="P1994">
            <v>0</v>
          </cell>
        </row>
        <row r="1995">
          <cell r="C1995">
            <v>108</v>
          </cell>
          <cell r="F1995">
            <v>1</v>
          </cell>
          <cell r="G1995">
            <v>1</v>
          </cell>
          <cell r="H1995">
            <v>46264</v>
          </cell>
          <cell r="I1995">
            <v>0</v>
          </cell>
          <cell r="J1995">
            <v>1</v>
          </cell>
          <cell r="K1995">
            <v>0</v>
          </cell>
          <cell r="L1995">
            <v>0</v>
          </cell>
          <cell r="M1995">
            <v>0</v>
          </cell>
          <cell r="N1995">
            <v>0</v>
          </cell>
          <cell r="O1995">
            <v>0</v>
          </cell>
          <cell r="P1995">
            <v>0</v>
          </cell>
        </row>
        <row r="1996">
          <cell r="C1996">
            <v>125</v>
          </cell>
          <cell r="F1996">
            <v>1</v>
          </cell>
          <cell r="G1996">
            <v>1</v>
          </cell>
          <cell r="H1996">
            <v>46264</v>
          </cell>
          <cell r="I1996">
            <v>0</v>
          </cell>
          <cell r="J1996">
            <v>30</v>
          </cell>
          <cell r="K1996">
            <v>0</v>
          </cell>
          <cell r="L1996">
            <v>0</v>
          </cell>
          <cell r="M1996">
            <v>0</v>
          </cell>
          <cell r="N1996">
            <v>0</v>
          </cell>
          <cell r="O1996">
            <v>0</v>
          </cell>
          <cell r="P1996">
            <v>0</v>
          </cell>
        </row>
        <row r="1997">
          <cell r="C1997">
            <v>241</v>
          </cell>
          <cell r="F1997">
            <v>1</v>
          </cell>
          <cell r="G1997">
            <v>1</v>
          </cell>
          <cell r="H1997">
            <v>46264</v>
          </cell>
          <cell r="I1997">
            <v>0</v>
          </cell>
          <cell r="J1997">
            <v>1</v>
          </cell>
          <cell r="K1997">
            <v>0</v>
          </cell>
          <cell r="L1997">
            <v>0</v>
          </cell>
          <cell r="M1997">
            <v>0</v>
          </cell>
          <cell r="N1997">
            <v>0</v>
          </cell>
          <cell r="O1997">
            <v>0</v>
          </cell>
          <cell r="P1997">
            <v>0</v>
          </cell>
        </row>
        <row r="1998">
          <cell r="C1998">
            <v>433</v>
          </cell>
          <cell r="F1998">
            <v>1</v>
          </cell>
          <cell r="G1998">
            <v>1</v>
          </cell>
          <cell r="H1998">
            <v>46264</v>
          </cell>
          <cell r="I1998">
            <v>0</v>
          </cell>
          <cell r="J1998">
            <v>4</v>
          </cell>
          <cell r="K1998">
            <v>0</v>
          </cell>
          <cell r="L1998">
            <v>0</v>
          </cell>
          <cell r="M1998">
            <v>0</v>
          </cell>
          <cell r="N1998">
            <v>0</v>
          </cell>
          <cell r="O1998">
            <v>0</v>
          </cell>
          <cell r="P1998">
            <v>0</v>
          </cell>
        </row>
        <row r="1999">
          <cell r="C1999">
            <v>294</v>
          </cell>
          <cell r="F1999">
            <v>1</v>
          </cell>
          <cell r="G1999">
            <v>1</v>
          </cell>
          <cell r="H1999">
            <v>46265</v>
          </cell>
          <cell r="I1999">
            <v>0</v>
          </cell>
          <cell r="J1999">
            <v>45</v>
          </cell>
          <cell r="K1999">
            <v>0</v>
          </cell>
          <cell r="L1999">
            <v>0</v>
          </cell>
          <cell r="M1999">
            <v>0</v>
          </cell>
          <cell r="N1999">
            <v>0</v>
          </cell>
          <cell r="O1999">
            <v>0</v>
          </cell>
          <cell r="P1999">
            <v>0</v>
          </cell>
        </row>
        <row r="2000">
          <cell r="C2000">
            <v>16</v>
          </cell>
          <cell r="F2000">
            <v>1</v>
          </cell>
          <cell r="G2000">
            <v>1</v>
          </cell>
          <cell r="H2000">
            <v>46265</v>
          </cell>
          <cell r="I2000">
            <v>0</v>
          </cell>
          <cell r="J2000">
            <v>4</v>
          </cell>
          <cell r="K2000">
            <v>0</v>
          </cell>
          <cell r="L2000">
            <v>0</v>
          </cell>
          <cell r="M2000">
            <v>0</v>
          </cell>
          <cell r="N2000">
            <v>0</v>
          </cell>
          <cell r="O2000">
            <v>0</v>
          </cell>
          <cell r="P2000">
            <v>0</v>
          </cell>
        </row>
        <row r="2001">
          <cell r="C2001">
            <v>17</v>
          </cell>
          <cell r="F2001">
            <v>1</v>
          </cell>
          <cell r="G2001">
            <v>1</v>
          </cell>
          <cell r="H2001">
            <v>46265</v>
          </cell>
          <cell r="I2001">
            <v>0</v>
          </cell>
          <cell r="J2001">
            <v>4</v>
          </cell>
          <cell r="K2001">
            <v>0</v>
          </cell>
          <cell r="L2001">
            <v>0</v>
          </cell>
          <cell r="M2001">
            <v>0</v>
          </cell>
          <cell r="N2001">
            <v>0</v>
          </cell>
          <cell r="O2001">
            <v>0</v>
          </cell>
          <cell r="P2001">
            <v>0</v>
          </cell>
        </row>
        <row r="2002">
          <cell r="C2002">
            <v>49</v>
          </cell>
          <cell r="F2002">
            <v>1</v>
          </cell>
          <cell r="G2002">
            <v>1</v>
          </cell>
          <cell r="H2002">
            <v>46265</v>
          </cell>
          <cell r="I2002">
            <v>0</v>
          </cell>
          <cell r="J2002">
            <v>1</v>
          </cell>
          <cell r="K2002">
            <v>0</v>
          </cell>
          <cell r="L2002">
            <v>0</v>
          </cell>
          <cell r="M2002">
            <v>0</v>
          </cell>
          <cell r="N2002">
            <v>0</v>
          </cell>
          <cell r="O2002">
            <v>0</v>
          </cell>
          <cell r="P2002">
            <v>0</v>
          </cell>
        </row>
        <row r="2003">
          <cell r="C2003">
            <v>46</v>
          </cell>
          <cell r="F2003">
            <v>1</v>
          </cell>
          <cell r="G2003">
            <v>1</v>
          </cell>
          <cell r="H2003">
            <v>46265</v>
          </cell>
          <cell r="I2003">
            <v>0</v>
          </cell>
          <cell r="J2003">
            <v>1</v>
          </cell>
          <cell r="K2003">
            <v>0</v>
          </cell>
          <cell r="L2003">
            <v>0</v>
          </cell>
          <cell r="M2003">
            <v>0</v>
          </cell>
          <cell r="N2003">
            <v>0</v>
          </cell>
          <cell r="O2003">
            <v>0</v>
          </cell>
          <cell r="P2003">
            <v>0</v>
          </cell>
        </row>
        <row r="2004">
          <cell r="C2004">
            <v>349</v>
          </cell>
          <cell r="F2004">
            <v>1</v>
          </cell>
          <cell r="G2004">
            <v>1</v>
          </cell>
          <cell r="H2004">
            <v>46265</v>
          </cell>
          <cell r="I2004">
            <v>0</v>
          </cell>
          <cell r="J2004">
            <v>1</v>
          </cell>
          <cell r="K2004">
            <v>0</v>
          </cell>
          <cell r="L2004">
            <v>0</v>
          </cell>
          <cell r="M2004">
            <v>0</v>
          </cell>
          <cell r="N2004">
            <v>0</v>
          </cell>
          <cell r="O2004">
            <v>0</v>
          </cell>
          <cell r="P2004">
            <v>0</v>
          </cell>
        </row>
        <row r="2005">
          <cell r="C2005">
            <v>305</v>
          </cell>
          <cell r="F2005">
            <v>1</v>
          </cell>
          <cell r="G2005">
            <v>1</v>
          </cell>
          <cell r="H2005">
            <v>46265</v>
          </cell>
          <cell r="I2005">
            <v>0</v>
          </cell>
          <cell r="J2005">
            <v>1600</v>
          </cell>
          <cell r="K2005">
            <v>0</v>
          </cell>
          <cell r="L2005">
            <v>0</v>
          </cell>
          <cell r="M2005">
            <v>0</v>
          </cell>
          <cell r="N2005">
            <v>0</v>
          </cell>
          <cell r="O2005">
            <v>0</v>
          </cell>
          <cell r="P2005">
            <v>0</v>
          </cell>
        </row>
        <row r="2006">
          <cell r="C2006">
            <v>177</v>
          </cell>
          <cell r="F2006">
            <v>1</v>
          </cell>
          <cell r="G2006">
            <v>1</v>
          </cell>
          <cell r="H2006">
            <v>46265</v>
          </cell>
          <cell r="I2006">
            <v>0</v>
          </cell>
          <cell r="J2006">
            <v>20</v>
          </cell>
          <cell r="K2006">
            <v>0</v>
          </cell>
          <cell r="L2006">
            <v>0</v>
          </cell>
          <cell r="M2006">
            <v>0</v>
          </cell>
          <cell r="N2006">
            <v>0</v>
          </cell>
          <cell r="O2006">
            <v>0</v>
          </cell>
          <cell r="P2006">
            <v>0</v>
          </cell>
        </row>
        <row r="2007">
          <cell r="C2007">
            <v>181</v>
          </cell>
          <cell r="F2007">
            <v>1</v>
          </cell>
          <cell r="G2007">
            <v>1</v>
          </cell>
          <cell r="H2007">
            <v>46265</v>
          </cell>
          <cell r="I2007">
            <v>0</v>
          </cell>
          <cell r="J2007">
            <v>24</v>
          </cell>
          <cell r="K2007">
            <v>0</v>
          </cell>
          <cell r="L2007">
            <v>0</v>
          </cell>
          <cell r="M2007">
            <v>0</v>
          </cell>
          <cell r="N2007">
            <v>0</v>
          </cell>
          <cell r="O2007">
            <v>0</v>
          </cell>
          <cell r="P2007">
            <v>0</v>
          </cell>
        </row>
        <row r="2008">
          <cell r="C2008">
            <v>416</v>
          </cell>
          <cell r="F2008">
            <v>1</v>
          </cell>
          <cell r="G2008">
            <v>1</v>
          </cell>
          <cell r="H2008">
            <v>46265</v>
          </cell>
          <cell r="I2008">
            <v>0</v>
          </cell>
          <cell r="J2008">
            <v>1</v>
          </cell>
          <cell r="K2008">
            <v>0</v>
          </cell>
          <cell r="L2008">
            <v>0</v>
          </cell>
          <cell r="M2008">
            <v>0</v>
          </cell>
          <cell r="N2008">
            <v>0</v>
          </cell>
          <cell r="O2008">
            <v>0</v>
          </cell>
          <cell r="P2008">
            <v>0</v>
          </cell>
        </row>
        <row r="2009">
          <cell r="C2009">
            <v>420</v>
          </cell>
          <cell r="F2009">
            <v>1</v>
          </cell>
          <cell r="G2009">
            <v>1</v>
          </cell>
          <cell r="H2009">
            <v>46265</v>
          </cell>
          <cell r="I2009">
            <v>0</v>
          </cell>
          <cell r="J2009">
            <v>2</v>
          </cell>
          <cell r="K2009">
            <v>0</v>
          </cell>
          <cell r="L2009">
            <v>0</v>
          </cell>
          <cell r="M2009">
            <v>0</v>
          </cell>
          <cell r="N2009">
            <v>0</v>
          </cell>
          <cell r="O2009">
            <v>0</v>
          </cell>
          <cell r="P2009">
            <v>0</v>
          </cell>
        </row>
        <row r="2010">
          <cell r="C2010">
            <v>337</v>
          </cell>
          <cell r="F2010">
            <v>1</v>
          </cell>
          <cell r="G2010">
            <v>1</v>
          </cell>
          <cell r="H2010">
            <v>46265</v>
          </cell>
          <cell r="I2010">
            <v>0</v>
          </cell>
          <cell r="J2010">
            <v>40</v>
          </cell>
          <cell r="K2010">
            <v>0</v>
          </cell>
          <cell r="L2010">
            <v>0</v>
          </cell>
          <cell r="M2010">
            <v>0</v>
          </cell>
          <cell r="N2010">
            <v>0</v>
          </cell>
          <cell r="O2010">
            <v>0</v>
          </cell>
          <cell r="P2010">
            <v>0</v>
          </cell>
        </row>
        <row r="2011">
          <cell r="C2011">
            <v>426</v>
          </cell>
          <cell r="F2011">
            <v>1</v>
          </cell>
          <cell r="G2011">
            <v>1</v>
          </cell>
          <cell r="H2011">
            <v>46265</v>
          </cell>
          <cell r="I2011">
            <v>0</v>
          </cell>
          <cell r="J2011">
            <v>1</v>
          </cell>
          <cell r="K2011">
            <v>0</v>
          </cell>
          <cell r="L2011">
            <v>0</v>
          </cell>
          <cell r="M2011">
            <v>0</v>
          </cell>
          <cell r="N2011">
            <v>0</v>
          </cell>
          <cell r="O2011">
            <v>0</v>
          </cell>
          <cell r="P2011">
            <v>0</v>
          </cell>
        </row>
        <row r="2012">
          <cell r="C2012">
            <v>409</v>
          </cell>
          <cell r="F2012">
            <v>1</v>
          </cell>
          <cell r="G2012">
            <v>1</v>
          </cell>
          <cell r="H2012">
            <v>46265</v>
          </cell>
          <cell r="I2012">
            <v>0</v>
          </cell>
          <cell r="J2012">
            <v>1</v>
          </cell>
          <cell r="K2012">
            <v>0</v>
          </cell>
          <cell r="L2012">
            <v>0</v>
          </cell>
          <cell r="M2012">
            <v>0</v>
          </cell>
          <cell r="N2012">
            <v>0</v>
          </cell>
          <cell r="O2012">
            <v>0</v>
          </cell>
          <cell r="P2012">
            <v>0</v>
          </cell>
        </row>
        <row r="2013">
          <cell r="C2013">
            <v>358</v>
          </cell>
          <cell r="F2013">
            <v>1</v>
          </cell>
          <cell r="G2013">
            <v>1</v>
          </cell>
          <cell r="H2013">
            <v>46265</v>
          </cell>
          <cell r="I2013">
            <v>0</v>
          </cell>
          <cell r="J2013">
            <v>2</v>
          </cell>
          <cell r="K2013">
            <v>0</v>
          </cell>
          <cell r="L2013">
            <v>0</v>
          </cell>
          <cell r="M2013">
            <v>0</v>
          </cell>
          <cell r="N2013">
            <v>0</v>
          </cell>
          <cell r="O2013">
            <v>0</v>
          </cell>
          <cell r="P2013">
            <v>0</v>
          </cell>
        </row>
        <row r="2014">
          <cell r="C2014">
            <v>396</v>
          </cell>
          <cell r="F2014">
            <v>1</v>
          </cell>
          <cell r="G2014">
            <v>1</v>
          </cell>
          <cell r="H2014">
            <v>46265</v>
          </cell>
          <cell r="I2014">
            <v>0</v>
          </cell>
          <cell r="J2014">
            <v>1</v>
          </cell>
          <cell r="K2014">
            <v>0</v>
          </cell>
          <cell r="L2014">
            <v>0</v>
          </cell>
          <cell r="M2014">
            <v>0</v>
          </cell>
          <cell r="N2014">
            <v>0</v>
          </cell>
          <cell r="O2014">
            <v>0</v>
          </cell>
          <cell r="P2014">
            <v>0</v>
          </cell>
        </row>
        <row r="2015">
          <cell r="C2015">
            <v>397</v>
          </cell>
          <cell r="F2015">
            <v>1</v>
          </cell>
          <cell r="G2015">
            <v>1</v>
          </cell>
          <cell r="H2015">
            <v>46265</v>
          </cell>
          <cell r="I2015">
            <v>0</v>
          </cell>
          <cell r="J2015">
            <v>4</v>
          </cell>
          <cell r="K2015">
            <v>0</v>
          </cell>
          <cell r="L2015">
            <v>0</v>
          </cell>
          <cell r="M2015">
            <v>0</v>
          </cell>
          <cell r="N2015">
            <v>0</v>
          </cell>
          <cell r="O2015">
            <v>0</v>
          </cell>
          <cell r="P2015">
            <v>0</v>
          </cell>
        </row>
        <row r="2016">
          <cell r="C2016">
            <v>367</v>
          </cell>
          <cell r="F2016">
            <v>1</v>
          </cell>
          <cell r="G2016">
            <v>1</v>
          </cell>
          <cell r="H2016">
            <v>46265</v>
          </cell>
          <cell r="I2016">
            <v>0</v>
          </cell>
          <cell r="J2016">
            <v>1</v>
          </cell>
          <cell r="K2016">
            <v>0</v>
          </cell>
          <cell r="L2016">
            <v>0</v>
          </cell>
          <cell r="M2016">
            <v>0</v>
          </cell>
          <cell r="N2016">
            <v>0</v>
          </cell>
          <cell r="O2016">
            <v>0</v>
          </cell>
          <cell r="P2016">
            <v>0</v>
          </cell>
        </row>
        <row r="2017">
          <cell r="C2017">
            <v>401</v>
          </cell>
          <cell r="F2017">
            <v>1</v>
          </cell>
          <cell r="G2017">
            <v>1</v>
          </cell>
          <cell r="H2017">
            <v>46265</v>
          </cell>
          <cell r="I2017">
            <v>0</v>
          </cell>
          <cell r="J2017">
            <v>1</v>
          </cell>
          <cell r="K2017">
            <v>0</v>
          </cell>
          <cell r="L2017">
            <v>0</v>
          </cell>
          <cell r="M2017">
            <v>0</v>
          </cell>
          <cell r="N2017">
            <v>0</v>
          </cell>
          <cell r="O2017">
            <v>0</v>
          </cell>
          <cell r="P2017">
            <v>0</v>
          </cell>
        </row>
        <row r="2018">
          <cell r="C2018">
            <v>410</v>
          </cell>
          <cell r="F2018">
            <v>1</v>
          </cell>
          <cell r="G2018">
            <v>1</v>
          </cell>
          <cell r="H2018">
            <v>46265</v>
          </cell>
          <cell r="I2018">
            <v>0</v>
          </cell>
          <cell r="J2018">
            <v>1</v>
          </cell>
          <cell r="K2018">
            <v>0</v>
          </cell>
          <cell r="L2018">
            <v>0</v>
          </cell>
          <cell r="M2018">
            <v>0</v>
          </cell>
          <cell r="N2018">
            <v>0</v>
          </cell>
          <cell r="O2018">
            <v>0</v>
          </cell>
          <cell r="P2018">
            <v>0</v>
          </cell>
        </row>
        <row r="2019">
          <cell r="C2019">
            <v>429</v>
          </cell>
          <cell r="F2019">
            <v>1</v>
          </cell>
          <cell r="G2019">
            <v>1</v>
          </cell>
          <cell r="H2019">
            <v>46265</v>
          </cell>
          <cell r="I2019">
            <v>0</v>
          </cell>
          <cell r="J2019">
            <v>1</v>
          </cell>
          <cell r="K2019">
            <v>0</v>
          </cell>
          <cell r="L2019">
            <v>0</v>
          </cell>
          <cell r="M2019">
            <v>0</v>
          </cell>
          <cell r="N2019">
            <v>0</v>
          </cell>
          <cell r="O2019">
            <v>0</v>
          </cell>
          <cell r="P2019">
            <v>0</v>
          </cell>
        </row>
        <row r="2020">
          <cell r="C2020">
            <v>41</v>
          </cell>
          <cell r="F2020">
            <v>1</v>
          </cell>
          <cell r="G2020">
            <v>1</v>
          </cell>
          <cell r="H2020">
            <v>46265</v>
          </cell>
          <cell r="I2020">
            <v>0</v>
          </cell>
          <cell r="J2020">
            <v>1</v>
          </cell>
          <cell r="K2020">
            <v>0</v>
          </cell>
          <cell r="L2020">
            <v>0</v>
          </cell>
          <cell r="M2020">
            <v>0</v>
          </cell>
          <cell r="N2020">
            <v>0</v>
          </cell>
          <cell r="O2020">
            <v>0</v>
          </cell>
          <cell r="P2020">
            <v>0</v>
          </cell>
        </row>
        <row r="2021">
          <cell r="C2021">
            <v>56</v>
          </cell>
          <cell r="F2021">
            <v>1</v>
          </cell>
          <cell r="G2021">
            <v>1</v>
          </cell>
          <cell r="H2021">
            <v>46265</v>
          </cell>
          <cell r="I2021">
            <v>0</v>
          </cell>
          <cell r="J2021">
            <v>1</v>
          </cell>
          <cell r="K2021">
            <v>0</v>
          </cell>
          <cell r="L2021">
            <v>0</v>
          </cell>
          <cell r="M2021">
            <v>0</v>
          </cell>
          <cell r="N2021">
            <v>0</v>
          </cell>
          <cell r="O2021">
            <v>0</v>
          </cell>
          <cell r="P2021">
            <v>0</v>
          </cell>
        </row>
        <row r="2022">
          <cell r="C2022">
            <v>96</v>
          </cell>
          <cell r="F2022">
            <v>1</v>
          </cell>
          <cell r="G2022">
            <v>1</v>
          </cell>
          <cell r="H2022">
            <v>46265</v>
          </cell>
          <cell r="I2022">
            <v>0</v>
          </cell>
          <cell r="J2022">
            <v>2</v>
          </cell>
          <cell r="K2022">
            <v>0</v>
          </cell>
          <cell r="L2022">
            <v>0</v>
          </cell>
          <cell r="M2022">
            <v>0</v>
          </cell>
          <cell r="N2022">
            <v>0</v>
          </cell>
          <cell r="O2022">
            <v>0</v>
          </cell>
          <cell r="P2022">
            <v>0</v>
          </cell>
        </row>
        <row r="2023">
          <cell r="C2023">
            <v>376</v>
          </cell>
          <cell r="F2023">
            <v>1</v>
          </cell>
          <cell r="G2023">
            <v>1</v>
          </cell>
          <cell r="H2023">
            <v>46265</v>
          </cell>
          <cell r="I2023">
            <v>0</v>
          </cell>
          <cell r="J2023">
            <v>1</v>
          </cell>
          <cell r="K2023">
            <v>0</v>
          </cell>
          <cell r="L2023">
            <v>0</v>
          </cell>
          <cell r="M2023">
            <v>0</v>
          </cell>
          <cell r="N2023">
            <v>0</v>
          </cell>
          <cell r="O2023">
            <v>0</v>
          </cell>
          <cell r="P2023">
            <v>0</v>
          </cell>
        </row>
        <row r="2024">
          <cell r="C2024">
            <v>273</v>
          </cell>
          <cell r="F2024">
            <v>1</v>
          </cell>
          <cell r="G2024">
            <v>1</v>
          </cell>
          <cell r="H2024">
            <v>46265</v>
          </cell>
          <cell r="I2024">
            <v>0</v>
          </cell>
          <cell r="J2024">
            <v>15</v>
          </cell>
          <cell r="K2024">
            <v>0</v>
          </cell>
          <cell r="L2024">
            <v>0</v>
          </cell>
          <cell r="M2024">
            <v>0</v>
          </cell>
          <cell r="N2024">
            <v>0</v>
          </cell>
          <cell r="O2024">
            <v>0</v>
          </cell>
          <cell r="P2024">
            <v>0</v>
          </cell>
        </row>
        <row r="2025">
          <cell r="C2025">
            <v>284</v>
          </cell>
          <cell r="F2025">
            <v>1</v>
          </cell>
          <cell r="G2025">
            <v>1</v>
          </cell>
          <cell r="H2025">
            <v>46265</v>
          </cell>
          <cell r="I2025">
            <v>0</v>
          </cell>
          <cell r="J2025">
            <v>1</v>
          </cell>
          <cell r="K2025">
            <v>0</v>
          </cell>
          <cell r="L2025">
            <v>0</v>
          </cell>
          <cell r="M2025">
            <v>0</v>
          </cell>
          <cell r="N2025">
            <v>0</v>
          </cell>
          <cell r="O2025">
            <v>0</v>
          </cell>
          <cell r="P2025">
            <v>0</v>
          </cell>
        </row>
        <row r="2026">
          <cell r="C2026">
            <v>276</v>
          </cell>
          <cell r="F2026">
            <v>1</v>
          </cell>
          <cell r="G2026">
            <v>1</v>
          </cell>
          <cell r="H2026">
            <v>46265</v>
          </cell>
          <cell r="I2026">
            <v>0</v>
          </cell>
          <cell r="J2026">
            <v>2</v>
          </cell>
          <cell r="K2026">
            <v>0</v>
          </cell>
          <cell r="L2026">
            <v>0</v>
          </cell>
          <cell r="M2026">
            <v>0</v>
          </cell>
          <cell r="N2026">
            <v>0</v>
          </cell>
          <cell r="O2026">
            <v>0</v>
          </cell>
          <cell r="P2026">
            <v>0</v>
          </cell>
        </row>
        <row r="2027">
          <cell r="C2027">
            <v>398</v>
          </cell>
          <cell r="F2027">
            <v>1</v>
          </cell>
          <cell r="G2027">
            <v>1</v>
          </cell>
          <cell r="H2027">
            <v>46265</v>
          </cell>
          <cell r="I2027">
            <v>0</v>
          </cell>
          <cell r="J2027">
            <v>1</v>
          </cell>
          <cell r="K2027">
            <v>0</v>
          </cell>
          <cell r="L2027">
            <v>0</v>
          </cell>
          <cell r="M2027">
            <v>0</v>
          </cell>
          <cell r="N2027">
            <v>0</v>
          </cell>
          <cell r="O2027">
            <v>0</v>
          </cell>
          <cell r="P2027">
            <v>0</v>
          </cell>
        </row>
        <row r="2028">
          <cell r="C2028">
            <v>389</v>
          </cell>
          <cell r="F2028">
            <v>1</v>
          </cell>
          <cell r="G2028">
            <v>1</v>
          </cell>
          <cell r="H2028">
            <v>46265</v>
          </cell>
          <cell r="I2028">
            <v>0</v>
          </cell>
          <cell r="J2028">
            <v>1</v>
          </cell>
          <cell r="K2028">
            <v>0</v>
          </cell>
          <cell r="L2028">
            <v>0</v>
          </cell>
          <cell r="M2028">
            <v>0</v>
          </cell>
          <cell r="N2028">
            <v>0</v>
          </cell>
          <cell r="O2028">
            <v>0</v>
          </cell>
          <cell r="P2028">
            <v>0</v>
          </cell>
        </row>
        <row r="2029">
          <cell r="C2029">
            <v>423</v>
          </cell>
          <cell r="F2029">
            <v>1</v>
          </cell>
          <cell r="G2029">
            <v>1</v>
          </cell>
          <cell r="H2029">
            <v>46265</v>
          </cell>
          <cell r="I2029">
            <v>0</v>
          </cell>
          <cell r="J2029">
            <v>2</v>
          </cell>
          <cell r="K2029">
            <v>0</v>
          </cell>
          <cell r="L2029">
            <v>0</v>
          </cell>
          <cell r="M2029">
            <v>0</v>
          </cell>
          <cell r="N2029">
            <v>0</v>
          </cell>
          <cell r="O2029">
            <v>0</v>
          </cell>
          <cell r="P2029">
            <v>0</v>
          </cell>
        </row>
      </sheetData>
      <sheetData sheetId="16"/>
      <sheetData sheetId="17">
        <row r="8">
          <cell r="C8">
            <v>6</v>
          </cell>
          <cell r="I8">
            <v>30</v>
          </cell>
          <cell r="J8">
            <v>50</v>
          </cell>
          <cell r="K8">
            <v>0</v>
          </cell>
          <cell r="L8">
            <v>0</v>
          </cell>
          <cell r="M8">
            <v>0</v>
          </cell>
          <cell r="N8">
            <v>20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</row>
        <row r="9">
          <cell r="C9">
            <v>153</v>
          </cell>
          <cell r="I9">
            <v>0</v>
          </cell>
          <cell r="J9">
            <v>14</v>
          </cell>
          <cell r="K9">
            <v>0</v>
          </cell>
          <cell r="L9">
            <v>0</v>
          </cell>
          <cell r="M9">
            <v>0</v>
          </cell>
          <cell r="N9">
            <v>14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</row>
        <row r="10">
          <cell r="C10">
            <v>179</v>
          </cell>
          <cell r="I10">
            <v>0</v>
          </cell>
          <cell r="J10">
            <v>4500</v>
          </cell>
          <cell r="K10">
            <v>0</v>
          </cell>
          <cell r="L10">
            <v>0</v>
          </cell>
          <cell r="M10">
            <v>0</v>
          </cell>
          <cell r="N10">
            <v>4500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</row>
        <row r="11">
          <cell r="C11">
            <v>192</v>
          </cell>
          <cell r="I11">
            <v>0</v>
          </cell>
          <cell r="J11">
            <v>12</v>
          </cell>
          <cell r="K11">
            <v>0</v>
          </cell>
          <cell r="L11">
            <v>0</v>
          </cell>
          <cell r="M11">
            <v>0</v>
          </cell>
          <cell r="N11">
            <v>12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</row>
        <row r="12">
          <cell r="C12">
            <v>187</v>
          </cell>
          <cell r="I12">
            <v>0</v>
          </cell>
          <cell r="J12">
            <v>492</v>
          </cell>
          <cell r="K12">
            <v>0</v>
          </cell>
          <cell r="L12">
            <v>0</v>
          </cell>
          <cell r="M12">
            <v>0</v>
          </cell>
          <cell r="N12">
            <v>492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</row>
        <row r="13">
          <cell r="C13">
            <v>4</v>
          </cell>
          <cell r="I13">
            <v>12</v>
          </cell>
          <cell r="J13">
            <v>27</v>
          </cell>
          <cell r="K13">
            <v>0</v>
          </cell>
          <cell r="L13">
            <v>0</v>
          </cell>
          <cell r="M13">
            <v>0</v>
          </cell>
          <cell r="N13">
            <v>15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</row>
        <row r="14">
          <cell r="C14">
            <v>10</v>
          </cell>
          <cell r="I14">
            <v>15</v>
          </cell>
          <cell r="J14">
            <v>25</v>
          </cell>
          <cell r="K14">
            <v>0</v>
          </cell>
          <cell r="L14">
            <v>0</v>
          </cell>
          <cell r="M14">
            <v>0</v>
          </cell>
          <cell r="N14">
            <v>10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</row>
        <row r="15">
          <cell r="C15">
            <v>105</v>
          </cell>
          <cell r="I15">
            <v>0</v>
          </cell>
          <cell r="J15">
            <v>4</v>
          </cell>
          <cell r="K15">
            <v>0</v>
          </cell>
          <cell r="L15">
            <v>0</v>
          </cell>
          <cell r="M15">
            <v>0</v>
          </cell>
          <cell r="N15">
            <v>4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</row>
        <row r="16">
          <cell r="C16">
            <v>48</v>
          </cell>
          <cell r="I16">
            <v>0</v>
          </cell>
          <cell r="J16">
            <v>14</v>
          </cell>
          <cell r="K16">
            <v>0</v>
          </cell>
          <cell r="L16">
            <v>0</v>
          </cell>
          <cell r="M16">
            <v>0</v>
          </cell>
          <cell r="N16">
            <v>14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</row>
        <row r="17">
          <cell r="C17">
            <v>169</v>
          </cell>
          <cell r="I17">
            <v>0</v>
          </cell>
          <cell r="J17">
            <v>30</v>
          </cell>
          <cell r="K17">
            <v>0</v>
          </cell>
          <cell r="L17">
            <v>0</v>
          </cell>
          <cell r="M17">
            <v>0</v>
          </cell>
          <cell r="N17">
            <v>32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</row>
        <row r="18">
          <cell r="C18">
            <v>195</v>
          </cell>
          <cell r="I18">
            <v>0</v>
          </cell>
          <cell r="J18">
            <v>256</v>
          </cell>
          <cell r="K18">
            <v>0</v>
          </cell>
          <cell r="L18">
            <v>0</v>
          </cell>
          <cell r="M18">
            <v>0</v>
          </cell>
          <cell r="N18">
            <v>256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</row>
        <row r="19">
          <cell r="C19">
            <v>186</v>
          </cell>
          <cell r="I19">
            <v>0</v>
          </cell>
          <cell r="J19">
            <v>36</v>
          </cell>
          <cell r="K19">
            <v>0</v>
          </cell>
          <cell r="L19">
            <v>0</v>
          </cell>
          <cell r="M19">
            <v>0</v>
          </cell>
          <cell r="N19">
            <v>36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</row>
        <row r="20">
          <cell r="C20">
            <v>182</v>
          </cell>
          <cell r="I20">
            <v>0</v>
          </cell>
          <cell r="J20">
            <v>312</v>
          </cell>
          <cell r="K20">
            <v>0</v>
          </cell>
          <cell r="L20">
            <v>0</v>
          </cell>
          <cell r="M20">
            <v>0</v>
          </cell>
          <cell r="N20">
            <v>384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</row>
        <row r="21">
          <cell r="C21">
            <v>96</v>
          </cell>
          <cell r="I21">
            <v>0</v>
          </cell>
          <cell r="J21">
            <v>39</v>
          </cell>
          <cell r="K21">
            <v>0</v>
          </cell>
          <cell r="L21">
            <v>0</v>
          </cell>
          <cell r="M21">
            <v>0</v>
          </cell>
          <cell r="N21">
            <v>46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</row>
        <row r="22">
          <cell r="C22">
            <v>97</v>
          </cell>
          <cell r="I22">
            <v>0</v>
          </cell>
          <cell r="J22">
            <v>8</v>
          </cell>
          <cell r="K22">
            <v>0</v>
          </cell>
          <cell r="L22">
            <v>0</v>
          </cell>
          <cell r="M22">
            <v>0</v>
          </cell>
          <cell r="N22">
            <v>8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</row>
        <row r="23">
          <cell r="C23">
            <v>22</v>
          </cell>
          <cell r="I23">
            <v>10</v>
          </cell>
          <cell r="J23">
            <v>17</v>
          </cell>
          <cell r="K23">
            <v>0</v>
          </cell>
          <cell r="L23">
            <v>0</v>
          </cell>
          <cell r="M23">
            <v>0</v>
          </cell>
          <cell r="N23">
            <v>7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</row>
        <row r="24">
          <cell r="C24">
            <v>46</v>
          </cell>
          <cell r="I24">
            <v>0</v>
          </cell>
          <cell r="J24">
            <v>60</v>
          </cell>
          <cell r="K24">
            <v>0</v>
          </cell>
          <cell r="L24">
            <v>0</v>
          </cell>
          <cell r="M24">
            <v>0</v>
          </cell>
          <cell r="N24">
            <v>60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</row>
        <row r="25">
          <cell r="C25">
            <v>197</v>
          </cell>
          <cell r="I25">
            <v>0</v>
          </cell>
          <cell r="J25">
            <v>124</v>
          </cell>
          <cell r="K25">
            <v>0</v>
          </cell>
          <cell r="L25">
            <v>0</v>
          </cell>
          <cell r="M25">
            <v>0</v>
          </cell>
          <cell r="N25">
            <v>124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</row>
        <row r="26">
          <cell r="C26">
            <v>17</v>
          </cell>
          <cell r="I26">
            <v>45</v>
          </cell>
          <cell r="J26">
            <v>65</v>
          </cell>
          <cell r="K26">
            <v>0</v>
          </cell>
          <cell r="L26">
            <v>0</v>
          </cell>
          <cell r="M26">
            <v>0</v>
          </cell>
          <cell r="N26">
            <v>20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</row>
        <row r="27">
          <cell r="C27">
            <v>155</v>
          </cell>
          <cell r="I27">
            <v>0</v>
          </cell>
          <cell r="J27">
            <v>3</v>
          </cell>
          <cell r="K27">
            <v>0</v>
          </cell>
          <cell r="L27">
            <v>0</v>
          </cell>
          <cell r="M27">
            <v>0</v>
          </cell>
          <cell r="N27">
            <v>3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</row>
        <row r="28">
          <cell r="C28">
            <v>1</v>
          </cell>
          <cell r="I28">
            <v>6</v>
          </cell>
          <cell r="J28">
            <v>10</v>
          </cell>
          <cell r="K28">
            <v>0</v>
          </cell>
          <cell r="L28">
            <v>0</v>
          </cell>
          <cell r="M28">
            <v>0</v>
          </cell>
          <cell r="N28">
            <v>4</v>
          </cell>
          <cell r="O28">
            <v>0</v>
          </cell>
          <cell r="P28">
            <v>0</v>
          </cell>
          <cell r="Q28">
            <v>0</v>
          </cell>
          <cell r="R28">
            <v>0</v>
          </cell>
          <cell r="S28">
            <v>0</v>
          </cell>
        </row>
        <row r="29">
          <cell r="C29">
            <v>2</v>
          </cell>
          <cell r="I29">
            <v>9</v>
          </cell>
          <cell r="J29">
            <v>14</v>
          </cell>
          <cell r="K29">
            <v>0</v>
          </cell>
          <cell r="L29">
            <v>0</v>
          </cell>
          <cell r="M29">
            <v>0</v>
          </cell>
          <cell r="N29">
            <v>5</v>
          </cell>
          <cell r="O29">
            <v>0</v>
          </cell>
          <cell r="P29">
            <v>0</v>
          </cell>
          <cell r="Q29">
            <v>0</v>
          </cell>
          <cell r="R29">
            <v>0</v>
          </cell>
          <cell r="S29">
            <v>0</v>
          </cell>
        </row>
        <row r="30">
          <cell r="C30">
            <v>5</v>
          </cell>
          <cell r="I30">
            <v>15</v>
          </cell>
          <cell r="J30">
            <v>21</v>
          </cell>
          <cell r="K30">
            <v>0</v>
          </cell>
          <cell r="L30">
            <v>0</v>
          </cell>
          <cell r="M30">
            <v>0</v>
          </cell>
          <cell r="N30">
            <v>6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</row>
        <row r="31">
          <cell r="C31">
            <v>11</v>
          </cell>
          <cell r="I31">
            <v>17</v>
          </cell>
          <cell r="J31">
            <v>33</v>
          </cell>
          <cell r="K31">
            <v>0</v>
          </cell>
          <cell r="L31">
            <v>0</v>
          </cell>
          <cell r="M31">
            <v>0</v>
          </cell>
          <cell r="N31">
            <v>16</v>
          </cell>
          <cell r="O31">
            <v>0</v>
          </cell>
          <cell r="P31">
            <v>0</v>
          </cell>
          <cell r="Q31">
            <v>0</v>
          </cell>
          <cell r="R31">
            <v>0</v>
          </cell>
          <cell r="S31">
            <v>0</v>
          </cell>
        </row>
        <row r="32">
          <cell r="C32">
            <v>13</v>
          </cell>
          <cell r="I32">
            <v>21</v>
          </cell>
          <cell r="J32">
            <v>29</v>
          </cell>
          <cell r="K32">
            <v>0</v>
          </cell>
          <cell r="L32">
            <v>0</v>
          </cell>
          <cell r="M32">
            <v>0</v>
          </cell>
          <cell r="N32">
            <v>8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</row>
        <row r="33">
          <cell r="C33">
            <v>14</v>
          </cell>
          <cell r="I33">
            <v>27</v>
          </cell>
          <cell r="J33">
            <v>39</v>
          </cell>
          <cell r="K33">
            <v>0</v>
          </cell>
          <cell r="L33">
            <v>0</v>
          </cell>
          <cell r="M33">
            <v>0</v>
          </cell>
          <cell r="N33">
            <v>12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</row>
        <row r="34">
          <cell r="C34">
            <v>16</v>
          </cell>
          <cell r="I34">
            <v>45</v>
          </cell>
          <cell r="J34">
            <v>91</v>
          </cell>
          <cell r="K34">
            <v>0</v>
          </cell>
          <cell r="L34">
            <v>0</v>
          </cell>
          <cell r="M34">
            <v>0</v>
          </cell>
          <cell r="N34">
            <v>45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</row>
        <row r="35">
          <cell r="C35">
            <v>18</v>
          </cell>
          <cell r="I35">
            <v>7</v>
          </cell>
          <cell r="J35">
            <v>27</v>
          </cell>
          <cell r="K35">
            <v>0</v>
          </cell>
          <cell r="L35">
            <v>0</v>
          </cell>
          <cell r="M35">
            <v>0</v>
          </cell>
          <cell r="N35">
            <v>20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  <cell r="S35">
            <v>0</v>
          </cell>
        </row>
        <row r="36">
          <cell r="C36">
            <v>19</v>
          </cell>
          <cell r="I36">
            <v>27</v>
          </cell>
          <cell r="J36">
            <v>52</v>
          </cell>
          <cell r="K36">
            <v>0</v>
          </cell>
          <cell r="L36">
            <v>0</v>
          </cell>
          <cell r="M36">
            <v>0</v>
          </cell>
          <cell r="N36">
            <v>25</v>
          </cell>
          <cell r="O36">
            <v>0</v>
          </cell>
          <cell r="P36">
            <v>0</v>
          </cell>
          <cell r="Q36">
            <v>0</v>
          </cell>
          <cell r="R36">
            <v>0</v>
          </cell>
          <cell r="S36">
            <v>0</v>
          </cell>
        </row>
        <row r="37">
          <cell r="C37">
            <v>20</v>
          </cell>
          <cell r="I37">
            <v>21</v>
          </cell>
          <cell r="J37">
            <v>38</v>
          </cell>
          <cell r="K37">
            <v>0</v>
          </cell>
          <cell r="L37">
            <v>0</v>
          </cell>
          <cell r="M37">
            <v>0</v>
          </cell>
          <cell r="N37">
            <v>17</v>
          </cell>
          <cell r="O37">
            <v>0</v>
          </cell>
          <cell r="P37">
            <v>0</v>
          </cell>
          <cell r="Q37">
            <v>0</v>
          </cell>
          <cell r="R37">
            <v>0</v>
          </cell>
          <cell r="S37">
            <v>0</v>
          </cell>
        </row>
        <row r="38">
          <cell r="C38">
            <v>26</v>
          </cell>
          <cell r="I38">
            <v>0</v>
          </cell>
          <cell r="J38">
            <v>15</v>
          </cell>
          <cell r="K38">
            <v>0</v>
          </cell>
          <cell r="L38">
            <v>0</v>
          </cell>
          <cell r="M38">
            <v>0</v>
          </cell>
          <cell r="N38">
            <v>15</v>
          </cell>
          <cell r="O38">
            <v>0</v>
          </cell>
          <cell r="P38">
            <v>0</v>
          </cell>
          <cell r="Q38">
            <v>0</v>
          </cell>
          <cell r="R38">
            <v>0</v>
          </cell>
          <cell r="S38">
            <v>0</v>
          </cell>
        </row>
        <row r="39">
          <cell r="C39">
            <v>101</v>
          </cell>
          <cell r="I39">
            <v>0</v>
          </cell>
          <cell r="J39">
            <v>21502</v>
          </cell>
          <cell r="K39">
            <v>0</v>
          </cell>
          <cell r="L39">
            <v>0</v>
          </cell>
          <cell r="M39">
            <v>0</v>
          </cell>
          <cell r="N39">
            <v>22500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</row>
        <row r="40">
          <cell r="C40">
            <v>102</v>
          </cell>
          <cell r="I40">
            <v>0</v>
          </cell>
          <cell r="J40">
            <v>4</v>
          </cell>
          <cell r="K40">
            <v>0</v>
          </cell>
          <cell r="L40">
            <v>0</v>
          </cell>
          <cell r="M40">
            <v>0</v>
          </cell>
          <cell r="N40">
            <v>4</v>
          </cell>
          <cell r="O40">
            <v>0</v>
          </cell>
          <cell r="P40">
            <v>0</v>
          </cell>
          <cell r="Q40">
            <v>0</v>
          </cell>
          <cell r="R40">
            <v>0</v>
          </cell>
          <cell r="S40">
            <v>0</v>
          </cell>
        </row>
        <row r="41">
          <cell r="C41">
            <v>125</v>
          </cell>
          <cell r="I41">
            <v>0</v>
          </cell>
          <cell r="J41">
            <v>521</v>
          </cell>
          <cell r="K41">
            <v>0</v>
          </cell>
          <cell r="L41">
            <v>0</v>
          </cell>
          <cell r="M41">
            <v>0</v>
          </cell>
          <cell r="N41">
            <v>700</v>
          </cell>
          <cell r="O41">
            <v>0</v>
          </cell>
          <cell r="P41">
            <v>0</v>
          </cell>
          <cell r="Q41">
            <v>0</v>
          </cell>
          <cell r="R41">
            <v>0</v>
          </cell>
          <cell r="S41">
            <v>0</v>
          </cell>
        </row>
        <row r="42">
          <cell r="C42">
            <v>152</v>
          </cell>
          <cell r="I42">
            <v>0</v>
          </cell>
          <cell r="J42">
            <v>3</v>
          </cell>
          <cell r="K42">
            <v>0</v>
          </cell>
          <cell r="L42">
            <v>0</v>
          </cell>
          <cell r="M42">
            <v>0</v>
          </cell>
          <cell r="N42">
            <v>3</v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</row>
        <row r="43">
          <cell r="C43">
            <v>156</v>
          </cell>
          <cell r="I43">
            <v>0</v>
          </cell>
          <cell r="J43">
            <v>9</v>
          </cell>
          <cell r="K43">
            <v>0</v>
          </cell>
          <cell r="L43">
            <v>0</v>
          </cell>
          <cell r="M43">
            <v>0</v>
          </cell>
          <cell r="N43">
            <v>9</v>
          </cell>
          <cell r="O43">
            <v>0</v>
          </cell>
          <cell r="P43">
            <v>0</v>
          </cell>
          <cell r="Q43">
            <v>0</v>
          </cell>
          <cell r="R43">
            <v>0</v>
          </cell>
          <cell r="S43">
            <v>0</v>
          </cell>
        </row>
        <row r="44">
          <cell r="C44">
            <v>160</v>
          </cell>
          <cell r="I44">
            <v>0</v>
          </cell>
          <cell r="J44">
            <v>10</v>
          </cell>
          <cell r="K44">
            <v>0</v>
          </cell>
          <cell r="L44">
            <v>0</v>
          </cell>
          <cell r="M44">
            <v>0</v>
          </cell>
          <cell r="N44">
            <v>10</v>
          </cell>
          <cell r="O44">
            <v>0</v>
          </cell>
          <cell r="P44">
            <v>0</v>
          </cell>
          <cell r="Q44">
            <v>0</v>
          </cell>
          <cell r="R44">
            <v>0</v>
          </cell>
          <cell r="S44">
            <v>0</v>
          </cell>
        </row>
        <row r="45">
          <cell r="C45">
            <v>162</v>
          </cell>
          <cell r="I45">
            <v>0</v>
          </cell>
          <cell r="J45">
            <v>2</v>
          </cell>
          <cell r="K45">
            <v>0</v>
          </cell>
          <cell r="L45">
            <v>0</v>
          </cell>
          <cell r="M45">
            <v>0</v>
          </cell>
          <cell r="N45">
            <v>2</v>
          </cell>
          <cell r="O45">
            <v>0</v>
          </cell>
          <cell r="P45">
            <v>0</v>
          </cell>
          <cell r="Q45">
            <v>0</v>
          </cell>
          <cell r="R45">
            <v>0</v>
          </cell>
          <cell r="S45">
            <v>0</v>
          </cell>
        </row>
        <row r="46">
          <cell r="C46">
            <v>163</v>
          </cell>
          <cell r="I46">
            <v>0</v>
          </cell>
          <cell r="J46">
            <v>6</v>
          </cell>
          <cell r="K46">
            <v>0</v>
          </cell>
          <cell r="L46">
            <v>0</v>
          </cell>
          <cell r="M46">
            <v>0</v>
          </cell>
          <cell r="N46">
            <v>6</v>
          </cell>
          <cell r="O46">
            <v>0</v>
          </cell>
          <cell r="P46">
            <v>0</v>
          </cell>
          <cell r="Q46">
            <v>0</v>
          </cell>
          <cell r="R46">
            <v>0</v>
          </cell>
          <cell r="S46">
            <v>0</v>
          </cell>
        </row>
        <row r="47">
          <cell r="C47">
            <v>176</v>
          </cell>
          <cell r="I47">
            <v>0</v>
          </cell>
          <cell r="J47">
            <v>9500</v>
          </cell>
          <cell r="K47">
            <v>0</v>
          </cell>
          <cell r="L47">
            <v>0</v>
          </cell>
          <cell r="M47">
            <v>0</v>
          </cell>
          <cell r="N47">
            <v>9500</v>
          </cell>
          <cell r="O47">
            <v>0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</row>
        <row r="48">
          <cell r="C48">
            <v>177</v>
          </cell>
          <cell r="I48">
            <v>0</v>
          </cell>
          <cell r="J48">
            <v>26925</v>
          </cell>
          <cell r="K48">
            <v>0</v>
          </cell>
          <cell r="L48">
            <v>0</v>
          </cell>
          <cell r="M48">
            <v>0</v>
          </cell>
          <cell r="N48">
            <v>27000</v>
          </cell>
          <cell r="O48">
            <v>0</v>
          </cell>
          <cell r="P48">
            <v>0</v>
          </cell>
          <cell r="Q48">
            <v>0</v>
          </cell>
          <cell r="R48">
            <v>0</v>
          </cell>
          <cell r="S48">
            <v>0</v>
          </cell>
        </row>
        <row r="49">
          <cell r="C49">
            <v>178</v>
          </cell>
          <cell r="I49">
            <v>0</v>
          </cell>
          <cell r="J49">
            <v>6500</v>
          </cell>
          <cell r="K49">
            <v>0</v>
          </cell>
          <cell r="L49">
            <v>0</v>
          </cell>
          <cell r="M49">
            <v>0</v>
          </cell>
          <cell r="N49">
            <v>6500</v>
          </cell>
          <cell r="O49">
            <v>0</v>
          </cell>
          <cell r="P49">
            <v>0</v>
          </cell>
          <cell r="Q49">
            <v>0</v>
          </cell>
          <cell r="R49">
            <v>0</v>
          </cell>
          <cell r="S49">
            <v>0</v>
          </cell>
        </row>
        <row r="50">
          <cell r="C50">
            <v>181</v>
          </cell>
          <cell r="I50">
            <v>0</v>
          </cell>
          <cell r="J50">
            <v>505</v>
          </cell>
          <cell r="K50">
            <v>0</v>
          </cell>
          <cell r="L50">
            <v>0</v>
          </cell>
          <cell r="M50">
            <v>0</v>
          </cell>
          <cell r="N50">
            <v>516</v>
          </cell>
          <cell r="O50">
            <v>0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</row>
        <row r="51">
          <cell r="C51">
            <v>183</v>
          </cell>
          <cell r="I51">
            <v>0</v>
          </cell>
          <cell r="J51">
            <v>1080</v>
          </cell>
          <cell r="K51">
            <v>0</v>
          </cell>
          <cell r="L51">
            <v>0</v>
          </cell>
          <cell r="M51">
            <v>0</v>
          </cell>
          <cell r="N51">
            <v>1080</v>
          </cell>
          <cell r="O51">
            <v>0</v>
          </cell>
          <cell r="P51">
            <v>0</v>
          </cell>
          <cell r="Q51">
            <v>0</v>
          </cell>
          <cell r="R51">
            <v>0</v>
          </cell>
          <cell r="S51">
            <v>0</v>
          </cell>
        </row>
        <row r="52">
          <cell r="C52">
            <v>184</v>
          </cell>
          <cell r="I52">
            <v>0</v>
          </cell>
          <cell r="J52">
            <v>360</v>
          </cell>
          <cell r="K52">
            <v>0</v>
          </cell>
          <cell r="L52">
            <v>0</v>
          </cell>
          <cell r="M52">
            <v>0</v>
          </cell>
          <cell r="N52">
            <v>360</v>
          </cell>
          <cell r="O52">
            <v>0</v>
          </cell>
          <cell r="P52">
            <v>0</v>
          </cell>
          <cell r="Q52">
            <v>0</v>
          </cell>
          <cell r="R52">
            <v>0</v>
          </cell>
          <cell r="S52">
            <v>0</v>
          </cell>
        </row>
        <row r="53">
          <cell r="C53">
            <v>185</v>
          </cell>
          <cell r="I53">
            <v>0</v>
          </cell>
          <cell r="J53">
            <v>84</v>
          </cell>
          <cell r="K53">
            <v>0</v>
          </cell>
          <cell r="L53">
            <v>0</v>
          </cell>
          <cell r="M53">
            <v>0</v>
          </cell>
          <cell r="N53">
            <v>84</v>
          </cell>
          <cell r="O53">
            <v>0</v>
          </cell>
          <cell r="P53">
            <v>0</v>
          </cell>
          <cell r="Q53">
            <v>0</v>
          </cell>
          <cell r="R53">
            <v>0</v>
          </cell>
          <cell r="S53">
            <v>0</v>
          </cell>
        </row>
        <row r="54">
          <cell r="C54">
            <v>189</v>
          </cell>
          <cell r="I54">
            <v>0</v>
          </cell>
          <cell r="J54">
            <v>180</v>
          </cell>
          <cell r="K54">
            <v>0</v>
          </cell>
          <cell r="L54">
            <v>0</v>
          </cell>
          <cell r="M54">
            <v>0</v>
          </cell>
          <cell r="N54">
            <v>180</v>
          </cell>
          <cell r="O54">
            <v>0</v>
          </cell>
          <cell r="P54">
            <v>0</v>
          </cell>
          <cell r="Q54">
            <v>0</v>
          </cell>
          <cell r="R54">
            <v>0</v>
          </cell>
          <cell r="S54">
            <v>0</v>
          </cell>
        </row>
        <row r="55">
          <cell r="C55">
            <v>191</v>
          </cell>
          <cell r="I55">
            <v>0</v>
          </cell>
          <cell r="J55">
            <v>64</v>
          </cell>
          <cell r="K55">
            <v>0</v>
          </cell>
          <cell r="L55">
            <v>0</v>
          </cell>
          <cell r="M55">
            <v>0</v>
          </cell>
          <cell r="N55">
            <v>64</v>
          </cell>
          <cell r="O55">
            <v>0</v>
          </cell>
          <cell r="P55">
            <v>0</v>
          </cell>
          <cell r="Q55">
            <v>0</v>
          </cell>
          <cell r="R55">
            <v>0</v>
          </cell>
          <cell r="S55">
            <v>0</v>
          </cell>
        </row>
        <row r="56">
          <cell r="C56">
            <v>193</v>
          </cell>
          <cell r="I56">
            <v>4</v>
          </cell>
          <cell r="J56">
            <v>64</v>
          </cell>
          <cell r="K56">
            <v>0</v>
          </cell>
          <cell r="L56">
            <v>0</v>
          </cell>
          <cell r="M56">
            <v>0</v>
          </cell>
          <cell r="N56">
            <v>60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</row>
        <row r="57">
          <cell r="C57">
            <v>142</v>
          </cell>
          <cell r="I57">
            <v>0</v>
          </cell>
          <cell r="J57">
            <v>14</v>
          </cell>
          <cell r="K57">
            <v>0</v>
          </cell>
          <cell r="L57">
            <v>0</v>
          </cell>
          <cell r="M57">
            <v>0</v>
          </cell>
          <cell r="N57">
            <v>14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</row>
        <row r="58">
          <cell r="C58">
            <v>50</v>
          </cell>
          <cell r="I58">
            <v>0</v>
          </cell>
          <cell r="J58">
            <v>133</v>
          </cell>
          <cell r="K58">
            <v>0</v>
          </cell>
          <cell r="L58">
            <v>0</v>
          </cell>
          <cell r="M58">
            <v>0</v>
          </cell>
          <cell r="N58">
            <v>138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</row>
        <row r="59">
          <cell r="C59">
            <v>41</v>
          </cell>
          <cell r="I59">
            <v>0</v>
          </cell>
          <cell r="J59">
            <v>14</v>
          </cell>
          <cell r="K59">
            <v>0</v>
          </cell>
          <cell r="L59">
            <v>0</v>
          </cell>
          <cell r="M59">
            <v>0</v>
          </cell>
          <cell r="N59">
            <v>16</v>
          </cell>
          <cell r="O59">
            <v>0</v>
          </cell>
          <cell r="P59">
            <v>0</v>
          </cell>
          <cell r="Q59">
            <v>0</v>
          </cell>
          <cell r="R59">
            <v>0</v>
          </cell>
          <cell r="S59">
            <v>0</v>
          </cell>
        </row>
        <row r="60">
          <cell r="C60">
            <v>49</v>
          </cell>
          <cell r="I60">
            <v>0</v>
          </cell>
          <cell r="J60">
            <v>29</v>
          </cell>
          <cell r="K60">
            <v>0</v>
          </cell>
          <cell r="L60">
            <v>0</v>
          </cell>
          <cell r="M60">
            <v>0</v>
          </cell>
          <cell r="N60">
            <v>30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</row>
        <row r="61">
          <cell r="C61">
            <v>7</v>
          </cell>
          <cell r="I61">
            <v>27</v>
          </cell>
          <cell r="J61">
            <v>46</v>
          </cell>
          <cell r="K61">
            <v>0</v>
          </cell>
          <cell r="L61">
            <v>0</v>
          </cell>
          <cell r="M61">
            <v>0</v>
          </cell>
          <cell r="N61">
            <v>18</v>
          </cell>
          <cell r="O61">
            <v>0</v>
          </cell>
          <cell r="P61">
            <v>0</v>
          </cell>
          <cell r="Q61">
            <v>0</v>
          </cell>
          <cell r="R61">
            <v>0</v>
          </cell>
          <cell r="S61">
            <v>0</v>
          </cell>
        </row>
        <row r="62">
          <cell r="C62">
            <v>145</v>
          </cell>
          <cell r="I62">
            <v>0</v>
          </cell>
          <cell r="J62">
            <v>20</v>
          </cell>
          <cell r="K62">
            <v>0</v>
          </cell>
          <cell r="L62">
            <v>0</v>
          </cell>
          <cell r="M62">
            <v>0</v>
          </cell>
          <cell r="N62">
            <v>20</v>
          </cell>
          <cell r="O62">
            <v>0</v>
          </cell>
          <cell r="P62">
            <v>0</v>
          </cell>
          <cell r="Q62">
            <v>0</v>
          </cell>
          <cell r="R62">
            <v>0</v>
          </cell>
          <cell r="S62">
            <v>0</v>
          </cell>
        </row>
        <row r="63">
          <cell r="C63">
            <v>99</v>
          </cell>
          <cell r="I63">
            <v>0</v>
          </cell>
          <cell r="J63">
            <v>10</v>
          </cell>
          <cell r="K63">
            <v>0</v>
          </cell>
          <cell r="L63">
            <v>0</v>
          </cell>
          <cell r="M63">
            <v>0</v>
          </cell>
          <cell r="N63">
            <v>10</v>
          </cell>
          <cell r="O63">
            <v>0</v>
          </cell>
          <cell r="P63">
            <v>0</v>
          </cell>
          <cell r="Q63">
            <v>0</v>
          </cell>
          <cell r="R63">
            <v>0</v>
          </cell>
          <cell r="S63">
            <v>0</v>
          </cell>
        </row>
        <row r="64">
          <cell r="C64">
            <v>70</v>
          </cell>
          <cell r="I64">
            <v>0</v>
          </cell>
          <cell r="J64">
            <v>8</v>
          </cell>
          <cell r="K64">
            <v>0</v>
          </cell>
          <cell r="L64">
            <v>0</v>
          </cell>
          <cell r="M64">
            <v>0</v>
          </cell>
          <cell r="N64">
            <v>8</v>
          </cell>
          <cell r="O64">
            <v>0</v>
          </cell>
          <cell r="P64">
            <v>0</v>
          </cell>
          <cell r="Q64">
            <v>0</v>
          </cell>
          <cell r="R64">
            <v>0</v>
          </cell>
          <cell r="S64">
            <v>0</v>
          </cell>
        </row>
        <row r="65">
          <cell r="C65">
            <v>52</v>
          </cell>
          <cell r="I65">
            <v>0</v>
          </cell>
          <cell r="J65">
            <v>22</v>
          </cell>
          <cell r="K65">
            <v>0</v>
          </cell>
          <cell r="L65">
            <v>0</v>
          </cell>
          <cell r="M65">
            <v>0</v>
          </cell>
          <cell r="N65">
            <v>22</v>
          </cell>
          <cell r="O65">
            <v>0</v>
          </cell>
          <cell r="P65">
            <v>0</v>
          </cell>
          <cell r="Q65">
            <v>0</v>
          </cell>
          <cell r="R65">
            <v>0</v>
          </cell>
          <cell r="S65">
            <v>0</v>
          </cell>
        </row>
        <row r="66">
          <cell r="C66">
            <v>42</v>
          </cell>
          <cell r="I66">
            <v>5</v>
          </cell>
          <cell r="J66">
            <v>37</v>
          </cell>
          <cell r="K66">
            <v>0</v>
          </cell>
          <cell r="L66">
            <v>0</v>
          </cell>
          <cell r="M66">
            <v>0</v>
          </cell>
          <cell r="N66">
            <v>32</v>
          </cell>
          <cell r="O66">
            <v>0</v>
          </cell>
          <cell r="P66">
            <v>0</v>
          </cell>
          <cell r="Q66">
            <v>0</v>
          </cell>
          <cell r="R66">
            <v>0</v>
          </cell>
          <cell r="S66">
            <v>0</v>
          </cell>
        </row>
        <row r="67">
          <cell r="C67">
            <v>45</v>
          </cell>
          <cell r="I67">
            <v>0</v>
          </cell>
          <cell r="J67">
            <v>29</v>
          </cell>
          <cell r="K67">
            <v>0</v>
          </cell>
          <cell r="L67">
            <v>0</v>
          </cell>
          <cell r="M67">
            <v>0</v>
          </cell>
          <cell r="N67">
            <v>30</v>
          </cell>
          <cell r="O67">
            <v>0</v>
          </cell>
          <cell r="P67">
            <v>0</v>
          </cell>
          <cell r="Q67">
            <v>0</v>
          </cell>
          <cell r="R67">
            <v>0</v>
          </cell>
          <cell r="S67">
            <v>0</v>
          </cell>
        </row>
        <row r="68">
          <cell r="C68">
            <v>144</v>
          </cell>
          <cell r="I68">
            <v>0</v>
          </cell>
          <cell r="J68">
            <v>30</v>
          </cell>
          <cell r="K68">
            <v>0</v>
          </cell>
          <cell r="L68">
            <v>0</v>
          </cell>
          <cell r="M68">
            <v>0</v>
          </cell>
          <cell r="N68">
            <v>30</v>
          </cell>
          <cell r="O68">
            <v>0</v>
          </cell>
          <cell r="P68">
            <v>0</v>
          </cell>
          <cell r="Q68">
            <v>0</v>
          </cell>
          <cell r="R68">
            <v>0</v>
          </cell>
          <cell r="S68">
            <v>0</v>
          </cell>
        </row>
        <row r="69">
          <cell r="C69">
            <v>108</v>
          </cell>
          <cell r="I69">
            <v>0</v>
          </cell>
          <cell r="J69">
            <v>40</v>
          </cell>
          <cell r="K69">
            <v>0</v>
          </cell>
          <cell r="L69">
            <v>0</v>
          </cell>
          <cell r="M69">
            <v>0</v>
          </cell>
          <cell r="N69">
            <v>44</v>
          </cell>
          <cell r="O69">
            <v>0</v>
          </cell>
          <cell r="P69">
            <v>0</v>
          </cell>
          <cell r="Q69">
            <v>0</v>
          </cell>
          <cell r="R69">
            <v>0</v>
          </cell>
          <cell r="S69">
            <v>0</v>
          </cell>
        </row>
        <row r="70">
          <cell r="C70">
            <v>103</v>
          </cell>
          <cell r="I70">
            <v>1</v>
          </cell>
          <cell r="J70">
            <v>7</v>
          </cell>
          <cell r="K70">
            <v>0</v>
          </cell>
          <cell r="L70">
            <v>0</v>
          </cell>
          <cell r="M70">
            <v>0</v>
          </cell>
          <cell r="N70">
            <v>6</v>
          </cell>
          <cell r="O70">
            <v>0</v>
          </cell>
          <cell r="P70">
            <v>0</v>
          </cell>
          <cell r="Q70">
            <v>0</v>
          </cell>
          <cell r="R70">
            <v>0</v>
          </cell>
          <cell r="S70">
            <v>0</v>
          </cell>
        </row>
        <row r="71">
          <cell r="C71">
            <v>167</v>
          </cell>
          <cell r="I71">
            <v>0</v>
          </cell>
          <cell r="J71">
            <v>18</v>
          </cell>
          <cell r="K71">
            <v>0</v>
          </cell>
          <cell r="L71">
            <v>0</v>
          </cell>
          <cell r="M71">
            <v>0</v>
          </cell>
          <cell r="N71">
            <v>18</v>
          </cell>
          <cell r="O71">
            <v>0</v>
          </cell>
          <cell r="P71">
            <v>0</v>
          </cell>
          <cell r="Q71">
            <v>0</v>
          </cell>
          <cell r="R71">
            <v>0</v>
          </cell>
          <cell r="S71">
            <v>0</v>
          </cell>
        </row>
        <row r="72">
          <cell r="C72">
            <v>63</v>
          </cell>
          <cell r="I72">
            <v>0</v>
          </cell>
          <cell r="J72">
            <v>7</v>
          </cell>
          <cell r="K72">
            <v>0</v>
          </cell>
          <cell r="L72">
            <v>0</v>
          </cell>
          <cell r="M72">
            <v>0</v>
          </cell>
          <cell r="N72">
            <v>12</v>
          </cell>
          <cell r="O72">
            <v>0</v>
          </cell>
          <cell r="P72">
            <v>0</v>
          </cell>
          <cell r="Q72">
            <v>0</v>
          </cell>
          <cell r="R72">
            <v>0</v>
          </cell>
          <cell r="S72">
            <v>0</v>
          </cell>
        </row>
        <row r="73">
          <cell r="C73">
            <v>40</v>
          </cell>
          <cell r="I73">
            <v>0</v>
          </cell>
          <cell r="J73">
            <v>4</v>
          </cell>
          <cell r="K73">
            <v>0</v>
          </cell>
          <cell r="L73">
            <v>0</v>
          </cell>
          <cell r="M73">
            <v>0</v>
          </cell>
          <cell r="N73">
            <v>4</v>
          </cell>
          <cell r="O73">
            <v>0</v>
          </cell>
          <cell r="P73">
            <v>0</v>
          </cell>
          <cell r="Q73">
            <v>0</v>
          </cell>
          <cell r="R73">
            <v>0</v>
          </cell>
          <cell r="S73">
            <v>0</v>
          </cell>
        </row>
        <row r="74">
          <cell r="C74">
            <v>38</v>
          </cell>
          <cell r="I74">
            <v>1</v>
          </cell>
          <cell r="J74">
            <v>5</v>
          </cell>
          <cell r="K74">
            <v>0</v>
          </cell>
          <cell r="L74">
            <v>0</v>
          </cell>
          <cell r="M74">
            <v>0</v>
          </cell>
          <cell r="N74">
            <v>4</v>
          </cell>
          <cell r="O74">
            <v>0</v>
          </cell>
          <cell r="P74">
            <v>0</v>
          </cell>
          <cell r="Q74">
            <v>0</v>
          </cell>
          <cell r="R74">
            <v>0</v>
          </cell>
          <cell r="S74">
            <v>0</v>
          </cell>
        </row>
        <row r="75">
          <cell r="C75">
            <v>8</v>
          </cell>
          <cell r="I75">
            <v>21</v>
          </cell>
          <cell r="J75">
            <v>35</v>
          </cell>
          <cell r="K75">
            <v>0</v>
          </cell>
          <cell r="L75">
            <v>0</v>
          </cell>
          <cell r="M75">
            <v>0</v>
          </cell>
          <cell r="N75">
            <v>14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</row>
        <row r="76">
          <cell r="C76">
            <v>76</v>
          </cell>
          <cell r="I76">
            <v>0</v>
          </cell>
          <cell r="J76">
            <v>12</v>
          </cell>
          <cell r="K76">
            <v>0</v>
          </cell>
          <cell r="L76">
            <v>0</v>
          </cell>
          <cell r="M76">
            <v>0</v>
          </cell>
          <cell r="N76">
            <v>12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</row>
        <row r="77">
          <cell r="C77">
            <v>90</v>
          </cell>
          <cell r="I77">
            <v>0</v>
          </cell>
          <cell r="J77">
            <v>16</v>
          </cell>
          <cell r="K77">
            <v>0</v>
          </cell>
          <cell r="L77">
            <v>0</v>
          </cell>
          <cell r="M77">
            <v>0</v>
          </cell>
          <cell r="N77">
            <v>16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</row>
        <row r="78">
          <cell r="C78">
            <v>39</v>
          </cell>
          <cell r="I78">
            <v>0</v>
          </cell>
          <cell r="J78">
            <v>6</v>
          </cell>
          <cell r="K78">
            <v>0</v>
          </cell>
          <cell r="L78">
            <v>0</v>
          </cell>
          <cell r="M78">
            <v>0</v>
          </cell>
          <cell r="N78">
            <v>6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</row>
        <row r="79">
          <cell r="C79">
            <v>131</v>
          </cell>
          <cell r="I79">
            <v>0</v>
          </cell>
          <cell r="J79">
            <v>2</v>
          </cell>
          <cell r="K79">
            <v>0</v>
          </cell>
          <cell r="L79">
            <v>0</v>
          </cell>
          <cell r="M79">
            <v>0</v>
          </cell>
          <cell r="N79">
            <v>2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</row>
        <row r="80">
          <cell r="C80">
            <v>198</v>
          </cell>
          <cell r="I80">
            <v>0</v>
          </cell>
          <cell r="J80">
            <v>32</v>
          </cell>
          <cell r="K80">
            <v>0</v>
          </cell>
          <cell r="L80">
            <v>0</v>
          </cell>
          <cell r="M80">
            <v>0</v>
          </cell>
          <cell r="N80">
            <v>32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</row>
        <row r="81">
          <cell r="C81">
            <v>30</v>
          </cell>
          <cell r="I81">
            <v>8</v>
          </cell>
          <cell r="J81">
            <v>14</v>
          </cell>
          <cell r="K81">
            <v>0</v>
          </cell>
          <cell r="L81">
            <v>0</v>
          </cell>
          <cell r="M81">
            <v>0</v>
          </cell>
          <cell r="N81">
            <v>6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</row>
        <row r="82">
          <cell r="C82">
            <v>34</v>
          </cell>
          <cell r="I82">
            <v>0</v>
          </cell>
          <cell r="J82">
            <v>20</v>
          </cell>
          <cell r="K82">
            <v>0</v>
          </cell>
          <cell r="L82">
            <v>0</v>
          </cell>
          <cell r="M82">
            <v>0</v>
          </cell>
          <cell r="N82">
            <v>20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</row>
        <row r="83">
          <cell r="C83">
            <v>33</v>
          </cell>
          <cell r="I83">
            <v>0</v>
          </cell>
          <cell r="J83">
            <v>2</v>
          </cell>
          <cell r="K83">
            <v>0</v>
          </cell>
          <cell r="L83">
            <v>0</v>
          </cell>
          <cell r="M83">
            <v>0</v>
          </cell>
          <cell r="N83">
            <v>2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</row>
        <row r="84">
          <cell r="C84">
            <v>56</v>
          </cell>
          <cell r="I84">
            <v>0</v>
          </cell>
          <cell r="J84">
            <v>10</v>
          </cell>
          <cell r="K84">
            <v>0</v>
          </cell>
          <cell r="L84">
            <v>0</v>
          </cell>
          <cell r="M84">
            <v>0</v>
          </cell>
          <cell r="N84">
            <v>14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</row>
        <row r="85">
          <cell r="C85">
            <v>53</v>
          </cell>
          <cell r="I85">
            <v>0</v>
          </cell>
          <cell r="J85">
            <v>2</v>
          </cell>
          <cell r="K85">
            <v>0</v>
          </cell>
          <cell r="L85">
            <v>0</v>
          </cell>
          <cell r="M85">
            <v>0</v>
          </cell>
          <cell r="N85">
            <v>4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</row>
        <row r="86">
          <cell r="C86">
            <v>66</v>
          </cell>
          <cell r="I86">
            <v>0</v>
          </cell>
          <cell r="J86">
            <v>8</v>
          </cell>
          <cell r="K86">
            <v>0</v>
          </cell>
          <cell r="L86">
            <v>0</v>
          </cell>
          <cell r="M86">
            <v>0</v>
          </cell>
          <cell r="N86">
            <v>17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</row>
        <row r="87">
          <cell r="C87">
            <v>64</v>
          </cell>
          <cell r="I87">
            <v>1</v>
          </cell>
          <cell r="J87">
            <v>3</v>
          </cell>
          <cell r="K87">
            <v>0</v>
          </cell>
          <cell r="L87">
            <v>0</v>
          </cell>
          <cell r="M87">
            <v>0</v>
          </cell>
          <cell r="N87">
            <v>2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</row>
        <row r="88">
          <cell r="C88">
            <v>44</v>
          </cell>
          <cell r="I88">
            <v>0</v>
          </cell>
          <cell r="J88">
            <v>8</v>
          </cell>
          <cell r="K88">
            <v>0</v>
          </cell>
          <cell r="L88">
            <v>0</v>
          </cell>
          <cell r="M88">
            <v>0</v>
          </cell>
          <cell r="N88">
            <v>8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</row>
        <row r="89">
          <cell r="C89">
            <v>69</v>
          </cell>
          <cell r="I89">
            <v>0</v>
          </cell>
          <cell r="J89">
            <v>14</v>
          </cell>
          <cell r="K89">
            <v>0</v>
          </cell>
          <cell r="L89">
            <v>0</v>
          </cell>
          <cell r="M89">
            <v>0</v>
          </cell>
          <cell r="N89">
            <v>14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</row>
        <row r="90">
          <cell r="C90">
            <v>68</v>
          </cell>
          <cell r="I90">
            <v>0</v>
          </cell>
          <cell r="J90">
            <v>8</v>
          </cell>
          <cell r="K90">
            <v>0</v>
          </cell>
          <cell r="L90">
            <v>0</v>
          </cell>
          <cell r="M90">
            <v>0</v>
          </cell>
          <cell r="N90">
            <v>12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</row>
        <row r="91">
          <cell r="C91">
            <v>25</v>
          </cell>
          <cell r="I91">
            <v>3</v>
          </cell>
          <cell r="J91">
            <v>5</v>
          </cell>
          <cell r="K91">
            <v>0</v>
          </cell>
          <cell r="L91">
            <v>0</v>
          </cell>
          <cell r="M91">
            <v>0</v>
          </cell>
          <cell r="N91">
            <v>2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</row>
        <row r="92">
          <cell r="C92">
            <v>73</v>
          </cell>
          <cell r="I92">
            <v>0</v>
          </cell>
          <cell r="J92">
            <v>2</v>
          </cell>
          <cell r="K92">
            <v>0</v>
          </cell>
          <cell r="L92">
            <v>0</v>
          </cell>
          <cell r="M92">
            <v>0</v>
          </cell>
          <cell r="N92">
            <v>2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</row>
        <row r="93">
          <cell r="C93">
            <v>92</v>
          </cell>
          <cell r="I93">
            <v>0</v>
          </cell>
          <cell r="J93">
            <v>40</v>
          </cell>
          <cell r="K93">
            <v>0</v>
          </cell>
          <cell r="L93">
            <v>0</v>
          </cell>
          <cell r="M93">
            <v>0</v>
          </cell>
          <cell r="N93">
            <v>40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</row>
        <row r="94">
          <cell r="C94">
            <v>94</v>
          </cell>
          <cell r="I94">
            <v>0</v>
          </cell>
          <cell r="J94">
            <v>72</v>
          </cell>
          <cell r="K94">
            <v>0</v>
          </cell>
          <cell r="L94">
            <v>0</v>
          </cell>
          <cell r="M94">
            <v>0</v>
          </cell>
          <cell r="N94">
            <v>82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</row>
        <row r="95">
          <cell r="C95">
            <v>51</v>
          </cell>
          <cell r="I95">
            <v>0</v>
          </cell>
          <cell r="J95">
            <v>18</v>
          </cell>
          <cell r="K95">
            <v>0</v>
          </cell>
          <cell r="L95">
            <v>0</v>
          </cell>
          <cell r="M95">
            <v>0</v>
          </cell>
          <cell r="N95">
            <v>34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</row>
        <row r="96">
          <cell r="C96">
            <v>74</v>
          </cell>
          <cell r="I96">
            <v>0</v>
          </cell>
          <cell r="J96">
            <v>12</v>
          </cell>
          <cell r="K96">
            <v>0</v>
          </cell>
          <cell r="L96">
            <v>0</v>
          </cell>
          <cell r="M96">
            <v>0</v>
          </cell>
          <cell r="N96">
            <v>12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</row>
        <row r="97">
          <cell r="C97">
            <v>75</v>
          </cell>
          <cell r="I97">
            <v>0</v>
          </cell>
          <cell r="J97">
            <v>6</v>
          </cell>
          <cell r="K97">
            <v>0</v>
          </cell>
          <cell r="L97">
            <v>0</v>
          </cell>
          <cell r="M97">
            <v>0</v>
          </cell>
          <cell r="N97">
            <v>8</v>
          </cell>
          <cell r="O97">
            <v>0</v>
          </cell>
          <cell r="P97">
            <v>0</v>
          </cell>
          <cell r="Q97">
            <v>0</v>
          </cell>
          <cell r="R97">
            <v>0</v>
          </cell>
          <cell r="S97">
            <v>0</v>
          </cell>
        </row>
        <row r="98">
          <cell r="C98">
            <v>150</v>
          </cell>
          <cell r="I98">
            <v>0</v>
          </cell>
          <cell r="J98">
            <v>73</v>
          </cell>
          <cell r="K98">
            <v>0</v>
          </cell>
          <cell r="L98">
            <v>0</v>
          </cell>
          <cell r="M98">
            <v>0</v>
          </cell>
          <cell r="N98">
            <v>88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</row>
        <row r="99">
          <cell r="C99">
            <v>37</v>
          </cell>
          <cell r="I99">
            <v>1</v>
          </cell>
          <cell r="J99">
            <v>5</v>
          </cell>
          <cell r="K99">
            <v>0</v>
          </cell>
          <cell r="L99">
            <v>0</v>
          </cell>
          <cell r="M99">
            <v>0</v>
          </cell>
          <cell r="N99">
            <v>4</v>
          </cell>
          <cell r="O99">
            <v>0</v>
          </cell>
          <cell r="P99">
            <v>0</v>
          </cell>
          <cell r="Q99">
            <v>0</v>
          </cell>
          <cell r="R99">
            <v>0</v>
          </cell>
          <cell r="S99">
            <v>0</v>
          </cell>
        </row>
        <row r="100">
          <cell r="C100">
            <v>29</v>
          </cell>
          <cell r="I100">
            <v>0</v>
          </cell>
          <cell r="J100">
            <v>17</v>
          </cell>
          <cell r="K100">
            <v>0</v>
          </cell>
          <cell r="L100">
            <v>0</v>
          </cell>
          <cell r="M100">
            <v>0</v>
          </cell>
          <cell r="N100">
            <v>24</v>
          </cell>
          <cell r="O100">
            <v>0</v>
          </cell>
          <cell r="P100">
            <v>0</v>
          </cell>
          <cell r="Q100">
            <v>0</v>
          </cell>
          <cell r="R100">
            <v>0</v>
          </cell>
          <cell r="S100">
            <v>0</v>
          </cell>
        </row>
        <row r="101">
          <cell r="C101">
            <v>170</v>
          </cell>
          <cell r="I101">
            <v>0</v>
          </cell>
          <cell r="J101">
            <v>18</v>
          </cell>
          <cell r="K101">
            <v>0</v>
          </cell>
          <cell r="L101">
            <v>0</v>
          </cell>
          <cell r="M101">
            <v>0</v>
          </cell>
          <cell r="N101">
            <v>20</v>
          </cell>
          <cell r="O101">
            <v>0</v>
          </cell>
          <cell r="P101">
            <v>0</v>
          </cell>
          <cell r="Q101">
            <v>0</v>
          </cell>
          <cell r="R101">
            <v>0</v>
          </cell>
          <cell r="S101">
            <v>0</v>
          </cell>
        </row>
        <row r="102">
          <cell r="C102">
            <v>158</v>
          </cell>
          <cell r="I102">
            <v>0</v>
          </cell>
          <cell r="J102">
            <v>2</v>
          </cell>
          <cell r="K102">
            <v>0</v>
          </cell>
          <cell r="L102">
            <v>0</v>
          </cell>
          <cell r="M102">
            <v>0</v>
          </cell>
          <cell r="N102">
            <v>2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</row>
        <row r="103">
          <cell r="C103">
            <v>165</v>
          </cell>
          <cell r="I103">
            <v>0</v>
          </cell>
          <cell r="J103">
            <v>2</v>
          </cell>
          <cell r="K103">
            <v>0</v>
          </cell>
          <cell r="L103">
            <v>0</v>
          </cell>
          <cell r="M103">
            <v>0</v>
          </cell>
          <cell r="N103">
            <v>2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</row>
        <row r="104">
          <cell r="C104">
            <v>54</v>
          </cell>
          <cell r="I104">
            <v>0</v>
          </cell>
          <cell r="J104">
            <v>11</v>
          </cell>
          <cell r="K104">
            <v>0</v>
          </cell>
          <cell r="L104">
            <v>0</v>
          </cell>
          <cell r="M104">
            <v>0</v>
          </cell>
          <cell r="N104">
            <v>16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</row>
        <row r="105">
          <cell r="C105">
            <v>32</v>
          </cell>
          <cell r="I105">
            <v>0</v>
          </cell>
          <cell r="J105">
            <v>4</v>
          </cell>
          <cell r="K105">
            <v>0</v>
          </cell>
          <cell r="L105">
            <v>0</v>
          </cell>
          <cell r="M105">
            <v>0</v>
          </cell>
          <cell r="N105">
            <v>4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</row>
        <row r="106">
          <cell r="C106">
            <v>9</v>
          </cell>
          <cell r="I106">
            <v>54</v>
          </cell>
          <cell r="J106">
            <v>90</v>
          </cell>
          <cell r="K106">
            <v>0</v>
          </cell>
          <cell r="L106">
            <v>0</v>
          </cell>
          <cell r="M106">
            <v>0</v>
          </cell>
          <cell r="N106">
            <v>36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</row>
        <row r="107">
          <cell r="C107">
            <v>61</v>
          </cell>
          <cell r="I107">
            <v>0</v>
          </cell>
          <cell r="J107">
            <v>2</v>
          </cell>
          <cell r="K107">
            <v>0</v>
          </cell>
          <cell r="L107">
            <v>0</v>
          </cell>
          <cell r="M107">
            <v>0</v>
          </cell>
          <cell r="N107">
            <v>2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</row>
        <row r="108">
          <cell r="C108">
            <v>146</v>
          </cell>
          <cell r="I108">
            <v>-5</v>
          </cell>
          <cell r="J108">
            <v>5</v>
          </cell>
          <cell r="K108">
            <v>0</v>
          </cell>
          <cell r="L108">
            <v>0</v>
          </cell>
          <cell r="M108">
            <v>0</v>
          </cell>
          <cell r="N108">
            <v>10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</row>
        <row r="109">
          <cell r="C109">
            <v>71</v>
          </cell>
          <cell r="I109">
            <v>0</v>
          </cell>
          <cell r="J109">
            <v>3</v>
          </cell>
          <cell r="K109">
            <v>0</v>
          </cell>
          <cell r="L109">
            <v>0</v>
          </cell>
          <cell r="M109">
            <v>0</v>
          </cell>
          <cell r="N109">
            <v>4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</row>
        <row r="110">
          <cell r="C110">
            <v>79</v>
          </cell>
          <cell r="I110">
            <v>0</v>
          </cell>
          <cell r="J110">
            <v>100</v>
          </cell>
          <cell r="K110">
            <v>0</v>
          </cell>
          <cell r="L110">
            <v>0</v>
          </cell>
          <cell r="M110">
            <v>0</v>
          </cell>
          <cell r="N110">
            <v>100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</row>
        <row r="111">
          <cell r="C111">
            <v>77</v>
          </cell>
          <cell r="I111">
            <v>0</v>
          </cell>
          <cell r="J111">
            <v>100</v>
          </cell>
          <cell r="K111">
            <v>0</v>
          </cell>
          <cell r="L111">
            <v>0</v>
          </cell>
          <cell r="M111">
            <v>0</v>
          </cell>
          <cell r="N111">
            <v>100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</row>
        <row r="112">
          <cell r="C112">
            <v>112</v>
          </cell>
          <cell r="I112">
            <v>0</v>
          </cell>
          <cell r="J112">
            <v>2</v>
          </cell>
          <cell r="K112">
            <v>0</v>
          </cell>
          <cell r="L112">
            <v>0</v>
          </cell>
          <cell r="M112">
            <v>0</v>
          </cell>
          <cell r="N112">
            <v>2</v>
          </cell>
          <cell r="O112">
            <v>0</v>
          </cell>
          <cell r="P112">
            <v>0</v>
          </cell>
          <cell r="Q112">
            <v>0</v>
          </cell>
          <cell r="R112">
            <v>0</v>
          </cell>
          <cell r="S112">
            <v>0</v>
          </cell>
        </row>
        <row r="113">
          <cell r="C113">
            <v>174</v>
          </cell>
          <cell r="I113">
            <v>0</v>
          </cell>
          <cell r="J113">
            <v>4</v>
          </cell>
          <cell r="K113">
            <v>0</v>
          </cell>
          <cell r="L113">
            <v>0</v>
          </cell>
          <cell r="M113">
            <v>0</v>
          </cell>
          <cell r="N113">
            <v>4</v>
          </cell>
          <cell r="O113">
            <v>0</v>
          </cell>
          <cell r="P113">
            <v>0</v>
          </cell>
          <cell r="Q113">
            <v>0</v>
          </cell>
          <cell r="R113">
            <v>0</v>
          </cell>
          <cell r="S113">
            <v>0</v>
          </cell>
        </row>
        <row r="114">
          <cell r="C114">
            <v>168</v>
          </cell>
          <cell r="I114">
            <v>0</v>
          </cell>
          <cell r="J114">
            <v>4</v>
          </cell>
          <cell r="K114">
            <v>0</v>
          </cell>
          <cell r="L114">
            <v>0</v>
          </cell>
          <cell r="M114">
            <v>0</v>
          </cell>
          <cell r="N114">
            <v>4</v>
          </cell>
          <cell r="O114">
            <v>0</v>
          </cell>
          <cell r="P114">
            <v>0</v>
          </cell>
          <cell r="Q114">
            <v>0</v>
          </cell>
          <cell r="R114">
            <v>0</v>
          </cell>
          <cell r="S114">
            <v>0</v>
          </cell>
        </row>
        <row r="115">
          <cell r="C115">
            <v>172</v>
          </cell>
          <cell r="I115">
            <v>0</v>
          </cell>
          <cell r="J115">
            <v>4</v>
          </cell>
          <cell r="K115">
            <v>0</v>
          </cell>
          <cell r="L115">
            <v>0</v>
          </cell>
          <cell r="M115">
            <v>0</v>
          </cell>
          <cell r="N115">
            <v>4</v>
          </cell>
          <cell r="O115">
            <v>0</v>
          </cell>
          <cell r="P115">
            <v>0</v>
          </cell>
          <cell r="Q115">
            <v>0</v>
          </cell>
          <cell r="R115">
            <v>0</v>
          </cell>
          <cell r="S115">
            <v>0</v>
          </cell>
        </row>
        <row r="116">
          <cell r="C116">
            <v>136</v>
          </cell>
          <cell r="I116">
            <v>0</v>
          </cell>
          <cell r="J116">
            <v>4</v>
          </cell>
          <cell r="K116">
            <v>0</v>
          </cell>
          <cell r="L116">
            <v>0</v>
          </cell>
          <cell r="M116">
            <v>0</v>
          </cell>
          <cell r="N116">
            <v>4</v>
          </cell>
          <cell r="O116">
            <v>0</v>
          </cell>
          <cell r="P116">
            <v>0</v>
          </cell>
          <cell r="Q116">
            <v>0</v>
          </cell>
          <cell r="R116">
            <v>0</v>
          </cell>
          <cell r="S116">
            <v>0</v>
          </cell>
        </row>
        <row r="117">
          <cell r="C117">
            <v>3</v>
          </cell>
          <cell r="I117">
            <v>0</v>
          </cell>
          <cell r="J117">
            <v>0</v>
          </cell>
        </row>
        <row r="118">
          <cell r="C118">
            <v>12</v>
          </cell>
          <cell r="I118">
            <v>0</v>
          </cell>
          <cell r="J118">
            <v>0</v>
          </cell>
        </row>
        <row r="119">
          <cell r="C119">
            <v>15</v>
          </cell>
          <cell r="I119">
            <v>0</v>
          </cell>
          <cell r="J119">
            <v>0</v>
          </cell>
        </row>
        <row r="120">
          <cell r="C120">
            <v>21</v>
          </cell>
          <cell r="I120">
            <v>0</v>
          </cell>
          <cell r="J120">
            <v>0</v>
          </cell>
        </row>
        <row r="121">
          <cell r="C121">
            <v>23</v>
          </cell>
          <cell r="I121">
            <v>0</v>
          </cell>
          <cell r="J121">
            <v>0</v>
          </cell>
        </row>
        <row r="122">
          <cell r="C122">
            <v>24</v>
          </cell>
          <cell r="I122">
            <v>0</v>
          </cell>
          <cell r="J122">
            <v>0</v>
          </cell>
        </row>
        <row r="123">
          <cell r="C123">
            <v>3</v>
          </cell>
          <cell r="I123">
            <v>0</v>
          </cell>
          <cell r="J123">
            <v>0</v>
          </cell>
        </row>
        <row r="124">
          <cell r="C124">
            <v>12</v>
          </cell>
          <cell r="I124">
            <v>0</v>
          </cell>
          <cell r="J124">
            <v>0</v>
          </cell>
        </row>
        <row r="125">
          <cell r="C125">
            <v>15</v>
          </cell>
          <cell r="I125">
            <v>0</v>
          </cell>
          <cell r="J125">
            <v>0</v>
          </cell>
        </row>
        <row r="126">
          <cell r="C126">
            <v>21</v>
          </cell>
          <cell r="I126">
            <v>0</v>
          </cell>
          <cell r="J126">
            <v>0</v>
          </cell>
        </row>
        <row r="127">
          <cell r="C127">
            <v>23</v>
          </cell>
          <cell r="I127">
            <v>0</v>
          </cell>
          <cell r="J127">
            <v>0</v>
          </cell>
        </row>
        <row r="128">
          <cell r="C128">
            <v>24</v>
          </cell>
          <cell r="I128">
            <v>0</v>
          </cell>
          <cell r="J128">
            <v>0</v>
          </cell>
        </row>
        <row r="129">
          <cell r="C129">
            <v>235</v>
          </cell>
          <cell r="I129">
            <v>0</v>
          </cell>
          <cell r="J129">
            <v>18</v>
          </cell>
          <cell r="K129">
            <v>0</v>
          </cell>
          <cell r="L129">
            <v>0</v>
          </cell>
          <cell r="M129">
            <v>0</v>
          </cell>
          <cell r="N129">
            <v>18</v>
          </cell>
          <cell r="O129">
            <v>0</v>
          </cell>
          <cell r="P129">
            <v>0</v>
          </cell>
          <cell r="Q129">
            <v>0</v>
          </cell>
          <cell r="R129">
            <v>0</v>
          </cell>
          <cell r="S129">
            <v>0</v>
          </cell>
        </row>
        <row r="130">
          <cell r="C130">
            <v>241</v>
          </cell>
          <cell r="I130">
            <v>0</v>
          </cell>
          <cell r="J130">
            <v>29</v>
          </cell>
          <cell r="K130">
            <v>0</v>
          </cell>
          <cell r="L130">
            <v>0</v>
          </cell>
          <cell r="M130">
            <v>0</v>
          </cell>
          <cell r="N130">
            <v>38</v>
          </cell>
          <cell r="O130">
            <v>0</v>
          </cell>
          <cell r="P130">
            <v>0</v>
          </cell>
          <cell r="Q130">
            <v>0</v>
          </cell>
          <cell r="R130">
            <v>0</v>
          </cell>
          <cell r="S130">
            <v>0</v>
          </cell>
        </row>
        <row r="131">
          <cell r="C131">
            <v>287</v>
          </cell>
          <cell r="I131">
            <v>0</v>
          </cell>
          <cell r="J131">
            <v>75</v>
          </cell>
          <cell r="K131">
            <v>0</v>
          </cell>
          <cell r="L131">
            <v>0</v>
          </cell>
          <cell r="M131">
            <v>0</v>
          </cell>
          <cell r="N131">
            <v>80</v>
          </cell>
          <cell r="O131">
            <v>0</v>
          </cell>
          <cell r="P131">
            <v>0</v>
          </cell>
          <cell r="Q131">
            <v>0</v>
          </cell>
          <cell r="R131">
            <v>0</v>
          </cell>
          <cell r="S131">
            <v>0</v>
          </cell>
        </row>
        <row r="132">
          <cell r="C132">
            <v>298</v>
          </cell>
          <cell r="I132">
            <v>0</v>
          </cell>
          <cell r="J132">
            <v>60</v>
          </cell>
          <cell r="K132">
            <v>0</v>
          </cell>
          <cell r="L132">
            <v>0</v>
          </cell>
          <cell r="M132">
            <v>0</v>
          </cell>
          <cell r="N132">
            <v>60</v>
          </cell>
          <cell r="O132">
            <v>0</v>
          </cell>
          <cell r="P132">
            <v>0</v>
          </cell>
          <cell r="Q132">
            <v>0</v>
          </cell>
          <cell r="R132">
            <v>0</v>
          </cell>
          <cell r="S132">
            <v>0</v>
          </cell>
        </row>
        <row r="133">
          <cell r="C133">
            <v>295</v>
          </cell>
          <cell r="I133">
            <v>0</v>
          </cell>
          <cell r="J133">
            <v>8</v>
          </cell>
          <cell r="K133">
            <v>0</v>
          </cell>
          <cell r="L133">
            <v>0</v>
          </cell>
          <cell r="M133">
            <v>0</v>
          </cell>
          <cell r="N133">
            <v>8</v>
          </cell>
          <cell r="O133">
            <v>0</v>
          </cell>
          <cell r="P133">
            <v>0</v>
          </cell>
          <cell r="Q133">
            <v>0</v>
          </cell>
          <cell r="R133">
            <v>0</v>
          </cell>
          <cell r="S133">
            <v>0</v>
          </cell>
        </row>
        <row r="134">
          <cell r="C134">
            <v>327</v>
          </cell>
          <cell r="I134">
            <v>1</v>
          </cell>
          <cell r="J134">
            <v>1</v>
          </cell>
          <cell r="K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0</v>
          </cell>
          <cell r="R134">
            <v>0</v>
          </cell>
          <cell r="S134">
            <v>0</v>
          </cell>
        </row>
        <row r="135">
          <cell r="C135">
            <v>213</v>
          </cell>
          <cell r="I135">
            <v>3</v>
          </cell>
          <cell r="J135">
            <v>3</v>
          </cell>
          <cell r="K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0</v>
          </cell>
          <cell r="R135">
            <v>0</v>
          </cell>
          <cell r="S135">
            <v>0</v>
          </cell>
        </row>
        <row r="136">
          <cell r="C136">
            <v>228</v>
          </cell>
          <cell r="I136">
            <v>11</v>
          </cell>
          <cell r="J136">
            <v>11</v>
          </cell>
          <cell r="K136">
            <v>0</v>
          </cell>
          <cell r="L136">
            <v>0</v>
          </cell>
          <cell r="M136">
            <v>0</v>
          </cell>
          <cell r="N136">
            <v>0</v>
          </cell>
          <cell r="O136">
            <v>0</v>
          </cell>
          <cell r="P136">
            <v>0</v>
          </cell>
          <cell r="Q136">
            <v>0</v>
          </cell>
          <cell r="R136">
            <v>0</v>
          </cell>
          <cell r="S136">
            <v>0</v>
          </cell>
        </row>
        <row r="137">
          <cell r="C137">
            <v>252</v>
          </cell>
          <cell r="I137">
            <v>28</v>
          </cell>
          <cell r="J137">
            <v>28</v>
          </cell>
          <cell r="K137">
            <v>0</v>
          </cell>
          <cell r="L137">
            <v>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>
            <v>0</v>
          </cell>
          <cell r="R137">
            <v>0</v>
          </cell>
          <cell r="S137">
            <v>0</v>
          </cell>
        </row>
        <row r="138">
          <cell r="C138">
            <v>244</v>
          </cell>
          <cell r="I138">
            <v>2</v>
          </cell>
          <cell r="J138">
            <v>2</v>
          </cell>
          <cell r="K138">
            <v>0</v>
          </cell>
          <cell r="L138">
            <v>0</v>
          </cell>
          <cell r="M138">
            <v>0</v>
          </cell>
          <cell r="N138">
            <v>0</v>
          </cell>
          <cell r="O138">
            <v>0</v>
          </cell>
          <cell r="P138">
            <v>0</v>
          </cell>
          <cell r="Q138">
            <v>0</v>
          </cell>
          <cell r="R138">
            <v>0</v>
          </cell>
          <cell r="S138">
            <v>0</v>
          </cell>
        </row>
        <row r="139">
          <cell r="C139">
            <v>255</v>
          </cell>
          <cell r="I139">
            <v>3</v>
          </cell>
          <cell r="J139">
            <v>3</v>
          </cell>
          <cell r="K139">
            <v>0</v>
          </cell>
          <cell r="L139">
            <v>0</v>
          </cell>
          <cell r="M139">
            <v>0</v>
          </cell>
          <cell r="N139">
            <v>0</v>
          </cell>
          <cell r="O139">
            <v>0</v>
          </cell>
          <cell r="P139">
            <v>0</v>
          </cell>
          <cell r="Q139">
            <v>0</v>
          </cell>
          <cell r="R139">
            <v>0</v>
          </cell>
          <cell r="S139">
            <v>0</v>
          </cell>
        </row>
        <row r="140">
          <cell r="C140">
            <v>218</v>
          </cell>
          <cell r="I140">
            <v>2</v>
          </cell>
          <cell r="J140">
            <v>2</v>
          </cell>
          <cell r="K140">
            <v>0</v>
          </cell>
          <cell r="L140">
            <v>0</v>
          </cell>
          <cell r="M140">
            <v>0</v>
          </cell>
          <cell r="N140">
            <v>0</v>
          </cell>
          <cell r="O140">
            <v>0</v>
          </cell>
          <cell r="P140">
            <v>0</v>
          </cell>
          <cell r="Q140">
            <v>0</v>
          </cell>
          <cell r="R140">
            <v>0</v>
          </cell>
          <cell r="S140">
            <v>0</v>
          </cell>
        </row>
        <row r="141">
          <cell r="C141">
            <v>230</v>
          </cell>
          <cell r="I141">
            <v>3</v>
          </cell>
          <cell r="J141">
            <v>3</v>
          </cell>
          <cell r="K141">
            <v>0</v>
          </cell>
          <cell r="L141">
            <v>0</v>
          </cell>
          <cell r="M141">
            <v>0</v>
          </cell>
          <cell r="N141">
            <v>0</v>
          </cell>
          <cell r="O141">
            <v>0</v>
          </cell>
          <cell r="P141">
            <v>0</v>
          </cell>
          <cell r="Q141">
            <v>0</v>
          </cell>
          <cell r="R141">
            <v>0</v>
          </cell>
          <cell r="S141">
            <v>0</v>
          </cell>
        </row>
        <row r="142">
          <cell r="C142">
            <v>294</v>
          </cell>
          <cell r="I142">
            <v>0</v>
          </cell>
          <cell r="J142">
            <v>755</v>
          </cell>
          <cell r="K142">
            <v>0</v>
          </cell>
          <cell r="L142">
            <v>0</v>
          </cell>
          <cell r="M142">
            <v>0</v>
          </cell>
          <cell r="N142">
            <v>770</v>
          </cell>
          <cell r="O142">
            <v>0</v>
          </cell>
          <cell r="P142">
            <v>0</v>
          </cell>
          <cell r="Q142">
            <v>0</v>
          </cell>
          <cell r="R142">
            <v>0</v>
          </cell>
          <cell r="S142">
            <v>0</v>
          </cell>
        </row>
        <row r="143">
          <cell r="C143">
            <v>276</v>
          </cell>
          <cell r="I143">
            <v>0</v>
          </cell>
          <cell r="J143">
            <v>56</v>
          </cell>
          <cell r="K143">
            <v>0</v>
          </cell>
          <cell r="L143">
            <v>0</v>
          </cell>
          <cell r="M143">
            <v>0</v>
          </cell>
          <cell r="N143">
            <v>60</v>
          </cell>
          <cell r="O143">
            <v>0</v>
          </cell>
          <cell r="P143">
            <v>0</v>
          </cell>
          <cell r="Q143">
            <v>0</v>
          </cell>
          <cell r="R143">
            <v>0</v>
          </cell>
          <cell r="S143">
            <v>0</v>
          </cell>
        </row>
        <row r="144">
          <cell r="C144">
            <v>231</v>
          </cell>
          <cell r="I144">
            <v>1</v>
          </cell>
          <cell r="J144">
            <v>1</v>
          </cell>
          <cell r="K144">
            <v>0</v>
          </cell>
          <cell r="L144">
            <v>0</v>
          </cell>
          <cell r="M144">
            <v>0</v>
          </cell>
          <cell r="N144">
            <v>0</v>
          </cell>
          <cell r="O144">
            <v>0</v>
          </cell>
          <cell r="P144">
            <v>0</v>
          </cell>
          <cell r="Q144">
            <v>0</v>
          </cell>
          <cell r="R144">
            <v>0</v>
          </cell>
          <cell r="S144">
            <v>0</v>
          </cell>
        </row>
        <row r="145">
          <cell r="C145">
            <v>293</v>
          </cell>
          <cell r="I145">
            <v>0</v>
          </cell>
          <cell r="J145">
            <v>1505</v>
          </cell>
          <cell r="K145">
            <v>0</v>
          </cell>
          <cell r="L145">
            <v>0</v>
          </cell>
          <cell r="M145">
            <v>0</v>
          </cell>
          <cell r="N145">
            <v>1505</v>
          </cell>
          <cell r="O145">
            <v>0</v>
          </cell>
          <cell r="P145">
            <v>0</v>
          </cell>
          <cell r="Q145">
            <v>0</v>
          </cell>
          <cell r="R145">
            <v>0</v>
          </cell>
          <cell r="S145">
            <v>0</v>
          </cell>
        </row>
        <row r="146">
          <cell r="C146">
            <v>305</v>
          </cell>
          <cell r="I146">
            <v>0</v>
          </cell>
          <cell r="J146">
            <v>23852</v>
          </cell>
          <cell r="K146">
            <v>0</v>
          </cell>
          <cell r="L146">
            <v>0</v>
          </cell>
          <cell r="M146">
            <v>0</v>
          </cell>
          <cell r="N146">
            <v>25000</v>
          </cell>
          <cell r="O146">
            <v>0</v>
          </cell>
          <cell r="P146">
            <v>0</v>
          </cell>
          <cell r="Q146">
            <v>0</v>
          </cell>
          <cell r="R146">
            <v>0</v>
          </cell>
          <cell r="S146">
            <v>0</v>
          </cell>
        </row>
        <row r="147">
          <cell r="C147">
            <v>290</v>
          </cell>
          <cell r="I147">
            <v>0</v>
          </cell>
          <cell r="J147">
            <v>68</v>
          </cell>
          <cell r="K147">
            <v>0</v>
          </cell>
          <cell r="L147">
            <v>0</v>
          </cell>
          <cell r="M147">
            <v>0</v>
          </cell>
          <cell r="N147">
            <v>68</v>
          </cell>
          <cell r="O147">
            <v>0</v>
          </cell>
          <cell r="P147">
            <v>0</v>
          </cell>
          <cell r="Q147">
            <v>0</v>
          </cell>
          <cell r="R147">
            <v>0</v>
          </cell>
          <cell r="S147">
            <v>0</v>
          </cell>
        </row>
        <row r="148">
          <cell r="C148">
            <v>207</v>
          </cell>
          <cell r="I148">
            <v>1</v>
          </cell>
          <cell r="J148">
            <v>1</v>
          </cell>
          <cell r="K148">
            <v>0</v>
          </cell>
          <cell r="L148">
            <v>0</v>
          </cell>
          <cell r="M148">
            <v>0</v>
          </cell>
          <cell r="N148">
            <v>0</v>
          </cell>
          <cell r="O148">
            <v>0</v>
          </cell>
          <cell r="P148">
            <v>0</v>
          </cell>
          <cell r="Q148">
            <v>0</v>
          </cell>
          <cell r="R148">
            <v>0</v>
          </cell>
          <cell r="S148">
            <v>0</v>
          </cell>
        </row>
        <row r="149">
          <cell r="C149">
            <v>280</v>
          </cell>
          <cell r="I149">
            <v>6</v>
          </cell>
          <cell r="J149">
            <v>6</v>
          </cell>
          <cell r="K149">
            <v>0</v>
          </cell>
          <cell r="L149">
            <v>0</v>
          </cell>
          <cell r="M149">
            <v>0</v>
          </cell>
          <cell r="N149">
            <v>0</v>
          </cell>
          <cell r="O149">
            <v>0</v>
          </cell>
          <cell r="P149">
            <v>0</v>
          </cell>
          <cell r="Q149">
            <v>0</v>
          </cell>
          <cell r="R149">
            <v>0</v>
          </cell>
          <cell r="S149">
            <v>0</v>
          </cell>
        </row>
        <row r="150">
          <cell r="C150">
            <v>203</v>
          </cell>
          <cell r="I150">
            <v>1</v>
          </cell>
          <cell r="J150">
            <v>1</v>
          </cell>
          <cell r="K150">
            <v>0</v>
          </cell>
          <cell r="L150">
            <v>0</v>
          </cell>
          <cell r="M150">
            <v>0</v>
          </cell>
          <cell r="N150">
            <v>0</v>
          </cell>
          <cell r="O150">
            <v>0</v>
          </cell>
          <cell r="P150">
            <v>0</v>
          </cell>
          <cell r="Q150">
            <v>0</v>
          </cell>
          <cell r="R150">
            <v>0</v>
          </cell>
          <cell r="S150">
            <v>0</v>
          </cell>
        </row>
        <row r="151">
          <cell r="C151">
            <v>274</v>
          </cell>
          <cell r="I151">
            <v>1</v>
          </cell>
          <cell r="J151">
            <v>1</v>
          </cell>
          <cell r="K151">
            <v>0</v>
          </cell>
          <cell r="L151">
            <v>0</v>
          </cell>
          <cell r="M151">
            <v>0</v>
          </cell>
          <cell r="N151">
            <v>0</v>
          </cell>
          <cell r="O151">
            <v>0</v>
          </cell>
          <cell r="P151">
            <v>0</v>
          </cell>
          <cell r="Q151">
            <v>0</v>
          </cell>
          <cell r="R151">
            <v>0</v>
          </cell>
          <cell r="S151">
            <v>0</v>
          </cell>
        </row>
        <row r="152">
          <cell r="C152">
            <v>334</v>
          </cell>
          <cell r="I152">
            <v>3</v>
          </cell>
          <cell r="J152">
            <v>3</v>
          </cell>
          <cell r="K152">
            <v>0</v>
          </cell>
          <cell r="L152">
            <v>0</v>
          </cell>
          <cell r="M152">
            <v>0</v>
          </cell>
          <cell r="N152">
            <v>0</v>
          </cell>
          <cell r="O152">
            <v>0</v>
          </cell>
          <cell r="P152">
            <v>0</v>
          </cell>
          <cell r="Q152">
            <v>0</v>
          </cell>
          <cell r="R152">
            <v>0</v>
          </cell>
          <cell r="S152">
            <v>0</v>
          </cell>
        </row>
        <row r="153">
          <cell r="C153">
            <v>208</v>
          </cell>
          <cell r="I153">
            <v>1</v>
          </cell>
          <cell r="J153">
            <v>1</v>
          </cell>
          <cell r="K153">
            <v>0</v>
          </cell>
          <cell r="L153">
            <v>0</v>
          </cell>
          <cell r="M153">
            <v>0</v>
          </cell>
          <cell r="N153">
            <v>0</v>
          </cell>
          <cell r="O153">
            <v>0</v>
          </cell>
          <cell r="P153">
            <v>0</v>
          </cell>
          <cell r="Q153">
            <v>0</v>
          </cell>
          <cell r="R153">
            <v>0</v>
          </cell>
          <cell r="S153">
            <v>0</v>
          </cell>
        </row>
        <row r="154">
          <cell r="C154">
            <v>323</v>
          </cell>
          <cell r="I154">
            <v>18</v>
          </cell>
          <cell r="J154">
            <v>18</v>
          </cell>
          <cell r="K154">
            <v>0</v>
          </cell>
          <cell r="L154">
            <v>0</v>
          </cell>
          <cell r="M154">
            <v>0</v>
          </cell>
          <cell r="N154">
            <v>0</v>
          </cell>
          <cell r="O154">
            <v>0</v>
          </cell>
          <cell r="P154">
            <v>0</v>
          </cell>
          <cell r="Q154">
            <v>0</v>
          </cell>
          <cell r="R154">
            <v>0</v>
          </cell>
          <cell r="S154">
            <v>0</v>
          </cell>
        </row>
        <row r="155">
          <cell r="C155">
            <v>291</v>
          </cell>
          <cell r="I155">
            <v>0</v>
          </cell>
          <cell r="J155">
            <v>2</v>
          </cell>
          <cell r="K155">
            <v>0</v>
          </cell>
          <cell r="L155">
            <v>0</v>
          </cell>
          <cell r="M155">
            <v>0</v>
          </cell>
          <cell r="N155">
            <v>2</v>
          </cell>
          <cell r="O155">
            <v>0</v>
          </cell>
          <cell r="P155">
            <v>0</v>
          </cell>
          <cell r="Q155">
            <v>0</v>
          </cell>
          <cell r="R155">
            <v>0</v>
          </cell>
          <cell r="S155">
            <v>0</v>
          </cell>
        </row>
        <row r="156">
          <cell r="C156">
            <v>238</v>
          </cell>
          <cell r="I156">
            <v>0</v>
          </cell>
          <cell r="J156">
            <v>12</v>
          </cell>
          <cell r="K156">
            <v>0</v>
          </cell>
          <cell r="L156">
            <v>0</v>
          </cell>
          <cell r="M156">
            <v>0</v>
          </cell>
          <cell r="N156">
            <v>12</v>
          </cell>
          <cell r="O156">
            <v>0</v>
          </cell>
          <cell r="P156">
            <v>0</v>
          </cell>
          <cell r="Q156">
            <v>0</v>
          </cell>
          <cell r="R156">
            <v>0</v>
          </cell>
          <cell r="S156">
            <v>0</v>
          </cell>
        </row>
        <row r="157">
          <cell r="C157">
            <v>289</v>
          </cell>
          <cell r="I157">
            <v>0</v>
          </cell>
          <cell r="J157">
            <v>128</v>
          </cell>
          <cell r="K157">
            <v>0</v>
          </cell>
          <cell r="L157">
            <v>0</v>
          </cell>
          <cell r="M157">
            <v>0</v>
          </cell>
          <cell r="N157">
            <v>128</v>
          </cell>
          <cell r="O157">
            <v>0</v>
          </cell>
          <cell r="P157">
            <v>0</v>
          </cell>
          <cell r="Q157">
            <v>0</v>
          </cell>
          <cell r="R157">
            <v>0</v>
          </cell>
          <cell r="S157">
            <v>0</v>
          </cell>
        </row>
        <row r="158">
          <cell r="C158">
            <v>269</v>
          </cell>
          <cell r="I158">
            <v>10</v>
          </cell>
          <cell r="J158">
            <v>10</v>
          </cell>
          <cell r="K158">
            <v>0</v>
          </cell>
          <cell r="L158">
            <v>0</v>
          </cell>
          <cell r="M158">
            <v>0</v>
          </cell>
          <cell r="N158">
            <v>0</v>
          </cell>
          <cell r="O158">
            <v>0</v>
          </cell>
          <cell r="P158">
            <v>0</v>
          </cell>
          <cell r="Q158">
            <v>0</v>
          </cell>
          <cell r="R158">
            <v>0</v>
          </cell>
          <cell r="S158">
            <v>0</v>
          </cell>
        </row>
        <row r="159">
          <cell r="C159">
            <v>271</v>
          </cell>
          <cell r="I159">
            <v>2</v>
          </cell>
          <cell r="J159">
            <v>2</v>
          </cell>
          <cell r="K159">
            <v>0</v>
          </cell>
          <cell r="L159">
            <v>0</v>
          </cell>
          <cell r="M159">
            <v>0</v>
          </cell>
          <cell r="N159">
            <v>0</v>
          </cell>
          <cell r="O159">
            <v>0</v>
          </cell>
          <cell r="P159">
            <v>0</v>
          </cell>
          <cell r="Q159">
            <v>0</v>
          </cell>
          <cell r="R159">
            <v>0</v>
          </cell>
          <cell r="S159">
            <v>0</v>
          </cell>
        </row>
        <row r="160">
          <cell r="C160">
            <v>282</v>
          </cell>
          <cell r="I160">
            <v>6</v>
          </cell>
          <cell r="J160">
            <v>6</v>
          </cell>
          <cell r="K160">
            <v>0</v>
          </cell>
          <cell r="L160">
            <v>0</v>
          </cell>
          <cell r="M160">
            <v>0</v>
          </cell>
          <cell r="N160">
            <v>0</v>
          </cell>
          <cell r="O160">
            <v>0</v>
          </cell>
          <cell r="P160">
            <v>0</v>
          </cell>
          <cell r="Q160">
            <v>0</v>
          </cell>
          <cell r="R160">
            <v>0</v>
          </cell>
          <cell r="S160">
            <v>0</v>
          </cell>
        </row>
        <row r="161">
          <cell r="C161">
            <v>278</v>
          </cell>
          <cell r="I161">
            <v>6</v>
          </cell>
          <cell r="J161">
            <v>6</v>
          </cell>
          <cell r="K161">
            <v>0</v>
          </cell>
          <cell r="L161">
            <v>0</v>
          </cell>
          <cell r="M161">
            <v>0</v>
          </cell>
          <cell r="N161">
            <v>0</v>
          </cell>
          <cell r="O161">
            <v>0</v>
          </cell>
          <cell r="P161">
            <v>0</v>
          </cell>
          <cell r="Q161">
            <v>0</v>
          </cell>
          <cell r="R161">
            <v>0</v>
          </cell>
          <cell r="S161">
            <v>0</v>
          </cell>
        </row>
        <row r="162">
          <cell r="C162">
            <v>247</v>
          </cell>
          <cell r="I162">
            <v>7</v>
          </cell>
          <cell r="J162">
            <v>7</v>
          </cell>
          <cell r="K162">
            <v>0</v>
          </cell>
          <cell r="L162">
            <v>0</v>
          </cell>
          <cell r="M162">
            <v>0</v>
          </cell>
          <cell r="N162">
            <v>0</v>
          </cell>
          <cell r="O162">
            <v>0</v>
          </cell>
          <cell r="P162">
            <v>0</v>
          </cell>
          <cell r="Q162">
            <v>0</v>
          </cell>
          <cell r="R162">
            <v>0</v>
          </cell>
          <cell r="S162">
            <v>0</v>
          </cell>
        </row>
        <row r="163">
          <cell r="C163">
            <v>279</v>
          </cell>
          <cell r="I163">
            <v>4</v>
          </cell>
          <cell r="J163">
            <v>4</v>
          </cell>
          <cell r="K163">
            <v>0</v>
          </cell>
          <cell r="L163">
            <v>0</v>
          </cell>
          <cell r="M163">
            <v>0</v>
          </cell>
          <cell r="N163">
            <v>0</v>
          </cell>
          <cell r="O163">
            <v>0</v>
          </cell>
          <cell r="P163">
            <v>0</v>
          </cell>
          <cell r="Q163">
            <v>0</v>
          </cell>
          <cell r="R163">
            <v>0</v>
          </cell>
          <cell r="S163">
            <v>0</v>
          </cell>
        </row>
        <row r="164">
          <cell r="C164">
            <v>209</v>
          </cell>
          <cell r="I164">
            <v>5</v>
          </cell>
          <cell r="J164">
            <v>5</v>
          </cell>
          <cell r="K164">
            <v>0</v>
          </cell>
          <cell r="L164">
            <v>0</v>
          </cell>
          <cell r="M164">
            <v>0</v>
          </cell>
          <cell r="N164">
            <v>0</v>
          </cell>
          <cell r="O164">
            <v>0</v>
          </cell>
          <cell r="P164">
            <v>0</v>
          </cell>
          <cell r="Q164">
            <v>0</v>
          </cell>
          <cell r="R164">
            <v>0</v>
          </cell>
          <cell r="S164">
            <v>0</v>
          </cell>
        </row>
        <row r="165">
          <cell r="C165">
            <v>273</v>
          </cell>
          <cell r="I165">
            <v>28</v>
          </cell>
          <cell r="J165">
            <v>103</v>
          </cell>
          <cell r="K165">
            <v>0</v>
          </cell>
          <cell r="L165">
            <v>0</v>
          </cell>
          <cell r="M165">
            <v>0</v>
          </cell>
          <cell r="N165">
            <v>240</v>
          </cell>
          <cell r="O165">
            <v>0</v>
          </cell>
          <cell r="P165">
            <v>0</v>
          </cell>
          <cell r="Q165">
            <v>0</v>
          </cell>
          <cell r="R165">
            <v>0</v>
          </cell>
          <cell r="S165">
            <v>0</v>
          </cell>
        </row>
        <row r="166">
          <cell r="C166">
            <v>268</v>
          </cell>
          <cell r="I166">
            <v>3</v>
          </cell>
          <cell r="J166">
            <v>3</v>
          </cell>
          <cell r="K166">
            <v>0</v>
          </cell>
          <cell r="L166">
            <v>0</v>
          </cell>
          <cell r="M166">
            <v>0</v>
          </cell>
          <cell r="N166">
            <v>0</v>
          </cell>
          <cell r="O166">
            <v>0</v>
          </cell>
          <cell r="P166">
            <v>0</v>
          </cell>
          <cell r="Q166">
            <v>0</v>
          </cell>
          <cell r="R166">
            <v>0</v>
          </cell>
          <cell r="S166">
            <v>0</v>
          </cell>
        </row>
        <row r="167">
          <cell r="C167">
            <v>333</v>
          </cell>
          <cell r="I167">
            <v>6</v>
          </cell>
          <cell r="J167">
            <v>6</v>
          </cell>
          <cell r="K167">
            <v>0</v>
          </cell>
          <cell r="L167">
            <v>0</v>
          </cell>
          <cell r="M167">
            <v>0</v>
          </cell>
          <cell r="N167">
            <v>0</v>
          </cell>
          <cell r="O167">
            <v>0</v>
          </cell>
          <cell r="P167">
            <v>0</v>
          </cell>
          <cell r="Q167">
            <v>0</v>
          </cell>
          <cell r="R167">
            <v>0</v>
          </cell>
          <cell r="S167">
            <v>0</v>
          </cell>
        </row>
        <row r="168">
          <cell r="C168">
            <v>234</v>
          </cell>
          <cell r="I168">
            <v>0</v>
          </cell>
          <cell r="J168">
            <v>84</v>
          </cell>
          <cell r="K168">
            <v>0</v>
          </cell>
          <cell r="L168">
            <v>0</v>
          </cell>
          <cell r="M168">
            <v>0</v>
          </cell>
          <cell r="N168">
            <v>84</v>
          </cell>
          <cell r="O168">
            <v>0</v>
          </cell>
          <cell r="P168">
            <v>0</v>
          </cell>
          <cell r="Q168">
            <v>0</v>
          </cell>
          <cell r="R168">
            <v>0</v>
          </cell>
          <cell r="S168">
            <v>0</v>
          </cell>
        </row>
        <row r="169">
          <cell r="C169">
            <v>303</v>
          </cell>
          <cell r="I169">
            <v>0</v>
          </cell>
          <cell r="J169">
            <v>400</v>
          </cell>
          <cell r="K169">
            <v>0</v>
          </cell>
          <cell r="L169">
            <v>0</v>
          </cell>
          <cell r="M169">
            <v>0</v>
          </cell>
          <cell r="N169">
            <v>400</v>
          </cell>
          <cell r="O169">
            <v>0</v>
          </cell>
          <cell r="P169">
            <v>0</v>
          </cell>
          <cell r="Q169">
            <v>0</v>
          </cell>
          <cell r="R169">
            <v>0</v>
          </cell>
          <cell r="S169">
            <v>0</v>
          </cell>
        </row>
        <row r="170">
          <cell r="C170">
            <v>205</v>
          </cell>
          <cell r="I170">
            <v>1</v>
          </cell>
          <cell r="J170">
            <v>1</v>
          </cell>
          <cell r="K170">
            <v>0</v>
          </cell>
          <cell r="L170">
            <v>0</v>
          </cell>
          <cell r="M170">
            <v>0</v>
          </cell>
          <cell r="N170">
            <v>0</v>
          </cell>
          <cell r="O170">
            <v>0</v>
          </cell>
          <cell r="P170">
            <v>0</v>
          </cell>
          <cell r="Q170">
            <v>0</v>
          </cell>
          <cell r="R170">
            <v>0</v>
          </cell>
          <cell r="S170">
            <v>0</v>
          </cell>
        </row>
        <row r="171">
          <cell r="C171">
            <v>281</v>
          </cell>
          <cell r="I171">
            <v>1</v>
          </cell>
          <cell r="J171">
            <v>1</v>
          </cell>
          <cell r="K171">
            <v>0</v>
          </cell>
          <cell r="L171">
            <v>0</v>
          </cell>
          <cell r="M171">
            <v>0</v>
          </cell>
          <cell r="N171">
            <v>0</v>
          </cell>
          <cell r="O171">
            <v>0</v>
          </cell>
          <cell r="P171">
            <v>0</v>
          </cell>
          <cell r="Q171">
            <v>0</v>
          </cell>
          <cell r="R171">
            <v>0</v>
          </cell>
          <cell r="S171">
            <v>0</v>
          </cell>
        </row>
        <row r="172">
          <cell r="C172">
            <v>332</v>
          </cell>
          <cell r="I172">
            <v>220</v>
          </cell>
          <cell r="J172">
            <v>222</v>
          </cell>
          <cell r="K172">
            <v>0</v>
          </cell>
          <cell r="L172">
            <v>0</v>
          </cell>
          <cell r="M172">
            <v>0</v>
          </cell>
          <cell r="N172">
            <v>0</v>
          </cell>
          <cell r="O172">
            <v>0</v>
          </cell>
          <cell r="P172">
            <v>0</v>
          </cell>
          <cell r="Q172">
            <v>0</v>
          </cell>
          <cell r="R172">
            <v>0</v>
          </cell>
          <cell r="S172">
            <v>0</v>
          </cell>
        </row>
        <row r="173">
          <cell r="C173">
            <v>258</v>
          </cell>
          <cell r="I173">
            <v>2</v>
          </cell>
          <cell r="J173">
            <v>2</v>
          </cell>
          <cell r="K173">
            <v>0</v>
          </cell>
          <cell r="L173">
            <v>0</v>
          </cell>
          <cell r="M173">
            <v>0</v>
          </cell>
          <cell r="N173">
            <v>0</v>
          </cell>
          <cell r="O173">
            <v>0</v>
          </cell>
          <cell r="P173">
            <v>0</v>
          </cell>
          <cell r="Q173">
            <v>0</v>
          </cell>
          <cell r="R173">
            <v>0</v>
          </cell>
          <cell r="S173">
            <v>0</v>
          </cell>
        </row>
        <row r="174">
          <cell r="C174">
            <v>300</v>
          </cell>
          <cell r="I174">
            <v>0</v>
          </cell>
          <cell r="J174">
            <v>2</v>
          </cell>
          <cell r="K174">
            <v>0</v>
          </cell>
          <cell r="L174">
            <v>0</v>
          </cell>
          <cell r="M174">
            <v>0</v>
          </cell>
          <cell r="N174">
            <v>2</v>
          </cell>
          <cell r="O174">
            <v>0</v>
          </cell>
          <cell r="P174">
            <v>0</v>
          </cell>
          <cell r="Q174">
            <v>0</v>
          </cell>
          <cell r="R174">
            <v>0</v>
          </cell>
          <cell r="S174">
            <v>0</v>
          </cell>
        </row>
        <row r="175">
          <cell r="C175">
            <v>314</v>
          </cell>
          <cell r="I175">
            <v>0</v>
          </cell>
          <cell r="J175">
            <v>3</v>
          </cell>
          <cell r="K175">
            <v>0</v>
          </cell>
          <cell r="L175">
            <v>0</v>
          </cell>
          <cell r="M175">
            <v>0</v>
          </cell>
          <cell r="N175">
            <v>3</v>
          </cell>
          <cell r="O175">
            <v>0</v>
          </cell>
          <cell r="P175">
            <v>0</v>
          </cell>
          <cell r="Q175">
            <v>0</v>
          </cell>
          <cell r="R175">
            <v>0</v>
          </cell>
          <cell r="S175">
            <v>0</v>
          </cell>
        </row>
        <row r="176">
          <cell r="C176">
            <v>335</v>
          </cell>
          <cell r="I176">
            <v>0</v>
          </cell>
          <cell r="J176">
            <v>1</v>
          </cell>
          <cell r="K176">
            <v>0</v>
          </cell>
          <cell r="L176">
            <v>0</v>
          </cell>
          <cell r="M176">
            <v>0</v>
          </cell>
          <cell r="N176">
            <v>1</v>
          </cell>
          <cell r="O176">
            <v>0</v>
          </cell>
          <cell r="P176">
            <v>0</v>
          </cell>
          <cell r="Q176">
            <v>0</v>
          </cell>
          <cell r="R176">
            <v>0</v>
          </cell>
          <cell r="S176">
            <v>0</v>
          </cell>
        </row>
        <row r="177">
          <cell r="C177">
            <v>308</v>
          </cell>
          <cell r="I177">
            <v>0</v>
          </cell>
          <cell r="J177">
            <v>1</v>
          </cell>
          <cell r="K177">
            <v>0</v>
          </cell>
          <cell r="L177">
            <v>0</v>
          </cell>
          <cell r="M177">
            <v>0</v>
          </cell>
          <cell r="N177">
            <v>1</v>
          </cell>
          <cell r="O177">
            <v>0</v>
          </cell>
          <cell r="P177">
            <v>0</v>
          </cell>
          <cell r="Q177">
            <v>0</v>
          </cell>
          <cell r="R177">
            <v>0</v>
          </cell>
          <cell r="S177">
            <v>0</v>
          </cell>
        </row>
        <row r="178">
          <cell r="C178">
            <v>210</v>
          </cell>
          <cell r="I178">
            <v>6</v>
          </cell>
          <cell r="J178">
            <v>6</v>
          </cell>
          <cell r="K178">
            <v>0</v>
          </cell>
          <cell r="L178">
            <v>0</v>
          </cell>
          <cell r="M178">
            <v>0</v>
          </cell>
          <cell r="N178">
            <v>0</v>
          </cell>
          <cell r="O178">
            <v>0</v>
          </cell>
          <cell r="P178">
            <v>0</v>
          </cell>
          <cell r="Q178">
            <v>0</v>
          </cell>
          <cell r="R178">
            <v>0</v>
          </cell>
          <cell r="S178">
            <v>0</v>
          </cell>
        </row>
        <row r="179">
          <cell r="C179">
            <v>243</v>
          </cell>
          <cell r="I179">
            <v>0</v>
          </cell>
          <cell r="J179">
            <v>10</v>
          </cell>
          <cell r="K179">
            <v>0</v>
          </cell>
          <cell r="L179">
            <v>0</v>
          </cell>
          <cell r="M179">
            <v>0</v>
          </cell>
          <cell r="N179">
            <v>10</v>
          </cell>
          <cell r="O179">
            <v>0</v>
          </cell>
          <cell r="P179">
            <v>0</v>
          </cell>
          <cell r="Q179">
            <v>0</v>
          </cell>
          <cell r="R179">
            <v>0</v>
          </cell>
          <cell r="S179">
            <v>0</v>
          </cell>
        </row>
        <row r="180">
          <cell r="C180">
            <v>263</v>
          </cell>
          <cell r="I180">
            <v>3</v>
          </cell>
          <cell r="J180">
            <v>3</v>
          </cell>
          <cell r="K180">
            <v>0</v>
          </cell>
          <cell r="L180">
            <v>0</v>
          </cell>
          <cell r="M180">
            <v>0</v>
          </cell>
          <cell r="N180">
            <v>0</v>
          </cell>
          <cell r="O180">
            <v>0</v>
          </cell>
          <cell r="P180">
            <v>0</v>
          </cell>
          <cell r="Q180">
            <v>0</v>
          </cell>
          <cell r="R180">
            <v>0</v>
          </cell>
          <cell r="S180">
            <v>0</v>
          </cell>
        </row>
        <row r="181">
          <cell r="C181">
            <v>245</v>
          </cell>
          <cell r="I181">
            <v>1</v>
          </cell>
          <cell r="J181">
            <v>1</v>
          </cell>
          <cell r="K181">
            <v>0</v>
          </cell>
          <cell r="L181">
            <v>0</v>
          </cell>
          <cell r="M181">
            <v>0</v>
          </cell>
          <cell r="N181">
            <v>0</v>
          </cell>
          <cell r="O181">
            <v>0</v>
          </cell>
          <cell r="P181">
            <v>0</v>
          </cell>
          <cell r="Q181">
            <v>0</v>
          </cell>
          <cell r="R181">
            <v>0</v>
          </cell>
          <cell r="S181">
            <v>0</v>
          </cell>
        </row>
        <row r="182">
          <cell r="C182">
            <v>307</v>
          </cell>
          <cell r="I182">
            <v>0</v>
          </cell>
          <cell r="J182">
            <v>4</v>
          </cell>
          <cell r="K182">
            <v>0</v>
          </cell>
          <cell r="L182">
            <v>0</v>
          </cell>
          <cell r="M182">
            <v>0</v>
          </cell>
          <cell r="N182">
            <v>4</v>
          </cell>
          <cell r="O182">
            <v>0</v>
          </cell>
          <cell r="P182">
            <v>0</v>
          </cell>
          <cell r="Q182">
            <v>0</v>
          </cell>
          <cell r="R182">
            <v>0</v>
          </cell>
          <cell r="S182">
            <v>0</v>
          </cell>
        </row>
        <row r="183">
          <cell r="C183">
            <v>321</v>
          </cell>
          <cell r="I183">
            <v>1</v>
          </cell>
          <cell r="J183">
            <v>1</v>
          </cell>
          <cell r="K183">
            <v>0</v>
          </cell>
          <cell r="L183">
            <v>0</v>
          </cell>
          <cell r="M183">
            <v>0</v>
          </cell>
          <cell r="N183">
            <v>0</v>
          </cell>
          <cell r="O183">
            <v>0</v>
          </cell>
          <cell r="P183">
            <v>0</v>
          </cell>
          <cell r="Q183">
            <v>0</v>
          </cell>
          <cell r="R183">
            <v>0</v>
          </cell>
          <cell r="S183">
            <v>0</v>
          </cell>
        </row>
        <row r="184">
          <cell r="C184">
            <v>310</v>
          </cell>
          <cell r="I184">
            <v>0</v>
          </cell>
          <cell r="J184">
            <v>1</v>
          </cell>
          <cell r="K184">
            <v>0</v>
          </cell>
          <cell r="L184">
            <v>0</v>
          </cell>
          <cell r="M184">
            <v>0</v>
          </cell>
          <cell r="N184">
            <v>1</v>
          </cell>
          <cell r="O184">
            <v>0</v>
          </cell>
          <cell r="P184">
            <v>0</v>
          </cell>
          <cell r="Q184">
            <v>0</v>
          </cell>
          <cell r="R184">
            <v>0</v>
          </cell>
          <cell r="S184">
            <v>0</v>
          </cell>
        </row>
        <row r="185">
          <cell r="C185">
            <v>275</v>
          </cell>
          <cell r="I185">
            <v>11</v>
          </cell>
          <cell r="J185">
            <v>11</v>
          </cell>
          <cell r="K185">
            <v>0</v>
          </cell>
          <cell r="L185">
            <v>0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  <cell r="Q185">
            <v>0</v>
          </cell>
          <cell r="R185">
            <v>0</v>
          </cell>
          <cell r="S185">
            <v>0</v>
          </cell>
        </row>
        <row r="186">
          <cell r="C186">
            <v>214</v>
          </cell>
          <cell r="I186">
            <v>32</v>
          </cell>
          <cell r="J186">
            <v>32</v>
          </cell>
          <cell r="K186">
            <v>0</v>
          </cell>
          <cell r="L186">
            <v>0</v>
          </cell>
          <cell r="M186">
            <v>0</v>
          </cell>
          <cell r="N186">
            <v>0</v>
          </cell>
          <cell r="O186">
            <v>0</v>
          </cell>
          <cell r="P186">
            <v>0</v>
          </cell>
          <cell r="Q186">
            <v>0</v>
          </cell>
          <cell r="R186">
            <v>0</v>
          </cell>
          <cell r="S186">
            <v>0</v>
          </cell>
        </row>
        <row r="187">
          <cell r="C187">
            <v>206</v>
          </cell>
          <cell r="I187">
            <v>4</v>
          </cell>
          <cell r="J187">
            <v>4</v>
          </cell>
          <cell r="K187">
            <v>0</v>
          </cell>
          <cell r="L187">
            <v>0</v>
          </cell>
          <cell r="M187">
            <v>0</v>
          </cell>
          <cell r="N187">
            <v>0</v>
          </cell>
          <cell r="O187">
            <v>0</v>
          </cell>
          <cell r="P187">
            <v>0</v>
          </cell>
          <cell r="Q187">
            <v>0</v>
          </cell>
          <cell r="R187">
            <v>0</v>
          </cell>
          <cell r="S187">
            <v>0</v>
          </cell>
        </row>
        <row r="188">
          <cell r="C188">
            <v>212</v>
          </cell>
          <cell r="I188">
            <v>1</v>
          </cell>
          <cell r="J188">
            <v>1</v>
          </cell>
          <cell r="K188">
            <v>0</v>
          </cell>
          <cell r="L188">
            <v>0</v>
          </cell>
          <cell r="M188">
            <v>0</v>
          </cell>
          <cell r="N188">
            <v>0</v>
          </cell>
          <cell r="O188">
            <v>0</v>
          </cell>
          <cell r="P188">
            <v>0</v>
          </cell>
          <cell r="Q188">
            <v>0</v>
          </cell>
          <cell r="R188">
            <v>0</v>
          </cell>
          <cell r="S188">
            <v>0</v>
          </cell>
        </row>
        <row r="189">
          <cell r="C189">
            <v>325</v>
          </cell>
          <cell r="I189">
            <v>1</v>
          </cell>
          <cell r="J189">
            <v>1</v>
          </cell>
          <cell r="K189">
            <v>0</v>
          </cell>
          <cell r="L189">
            <v>0</v>
          </cell>
          <cell r="M189">
            <v>0</v>
          </cell>
          <cell r="N189">
            <v>0</v>
          </cell>
          <cell r="O189">
            <v>0</v>
          </cell>
          <cell r="P189">
            <v>0</v>
          </cell>
          <cell r="Q189">
            <v>0</v>
          </cell>
          <cell r="R189">
            <v>0</v>
          </cell>
          <cell r="S189">
            <v>0</v>
          </cell>
        </row>
        <row r="190">
          <cell r="C190">
            <v>336</v>
          </cell>
          <cell r="I190">
            <v>1</v>
          </cell>
          <cell r="J190">
            <v>1</v>
          </cell>
          <cell r="K190">
            <v>0</v>
          </cell>
          <cell r="L190">
            <v>0</v>
          </cell>
          <cell r="M190">
            <v>0</v>
          </cell>
          <cell r="N190">
            <v>0</v>
          </cell>
          <cell r="O190">
            <v>0</v>
          </cell>
          <cell r="P190">
            <v>0</v>
          </cell>
          <cell r="Q190">
            <v>0</v>
          </cell>
          <cell r="R190">
            <v>0</v>
          </cell>
          <cell r="S190">
            <v>0</v>
          </cell>
        </row>
        <row r="191">
          <cell r="C191">
            <v>266</v>
          </cell>
          <cell r="I191">
            <v>7</v>
          </cell>
          <cell r="J191">
            <v>7</v>
          </cell>
          <cell r="K191">
            <v>0</v>
          </cell>
          <cell r="L191">
            <v>0</v>
          </cell>
          <cell r="M191">
            <v>0</v>
          </cell>
          <cell r="N191">
            <v>0</v>
          </cell>
          <cell r="O191">
            <v>0</v>
          </cell>
          <cell r="P191">
            <v>0</v>
          </cell>
          <cell r="Q191">
            <v>0</v>
          </cell>
          <cell r="R191">
            <v>0</v>
          </cell>
          <cell r="S191">
            <v>0</v>
          </cell>
        </row>
        <row r="192">
          <cell r="C192">
            <v>272</v>
          </cell>
          <cell r="I192">
            <v>15</v>
          </cell>
          <cell r="J192">
            <v>15</v>
          </cell>
          <cell r="K192">
            <v>0</v>
          </cell>
          <cell r="L192">
            <v>0</v>
          </cell>
          <cell r="M192">
            <v>0</v>
          </cell>
          <cell r="N192">
            <v>0</v>
          </cell>
          <cell r="O192">
            <v>0</v>
          </cell>
          <cell r="P192">
            <v>0</v>
          </cell>
          <cell r="Q192">
            <v>0</v>
          </cell>
          <cell r="R192">
            <v>0</v>
          </cell>
          <cell r="S192">
            <v>0</v>
          </cell>
        </row>
        <row r="193">
          <cell r="C193">
            <v>306</v>
          </cell>
          <cell r="I193">
            <v>0</v>
          </cell>
          <cell r="J193">
            <v>8</v>
          </cell>
          <cell r="K193">
            <v>0</v>
          </cell>
          <cell r="L193">
            <v>0</v>
          </cell>
          <cell r="M193">
            <v>0</v>
          </cell>
          <cell r="N193">
            <v>8</v>
          </cell>
          <cell r="O193">
            <v>0</v>
          </cell>
          <cell r="P193">
            <v>0</v>
          </cell>
          <cell r="Q193">
            <v>0</v>
          </cell>
          <cell r="R193">
            <v>0</v>
          </cell>
          <cell r="S193">
            <v>0</v>
          </cell>
        </row>
        <row r="194">
          <cell r="C194">
            <v>151</v>
          </cell>
          <cell r="I194">
            <v>0</v>
          </cell>
          <cell r="J194">
            <v>1</v>
          </cell>
          <cell r="K194">
            <v>0</v>
          </cell>
          <cell r="L194">
            <v>0</v>
          </cell>
          <cell r="M194">
            <v>0</v>
          </cell>
          <cell r="N194">
            <v>1</v>
          </cell>
          <cell r="O194">
            <v>0</v>
          </cell>
          <cell r="P194">
            <v>0</v>
          </cell>
          <cell r="Q194">
            <v>0</v>
          </cell>
          <cell r="R194">
            <v>0</v>
          </cell>
          <cell r="S194">
            <v>0</v>
          </cell>
        </row>
        <row r="195">
          <cell r="C195">
            <v>288</v>
          </cell>
          <cell r="I195">
            <v>0</v>
          </cell>
          <cell r="J195">
            <v>108</v>
          </cell>
          <cell r="K195">
            <v>0</v>
          </cell>
          <cell r="L195">
            <v>0</v>
          </cell>
          <cell r="M195">
            <v>0</v>
          </cell>
          <cell r="N195">
            <v>108</v>
          </cell>
          <cell r="O195">
            <v>0</v>
          </cell>
          <cell r="P195">
            <v>0</v>
          </cell>
          <cell r="Q195">
            <v>0</v>
          </cell>
          <cell r="R195">
            <v>0</v>
          </cell>
          <cell r="S195">
            <v>0</v>
          </cell>
        </row>
        <row r="196">
          <cell r="C196">
            <v>250</v>
          </cell>
          <cell r="I196">
            <v>24</v>
          </cell>
          <cell r="J196">
            <v>24</v>
          </cell>
          <cell r="K196">
            <v>0</v>
          </cell>
          <cell r="L196">
            <v>0</v>
          </cell>
          <cell r="M196">
            <v>0</v>
          </cell>
          <cell r="N196">
            <v>0</v>
          </cell>
          <cell r="O196">
            <v>0</v>
          </cell>
          <cell r="P196">
            <v>0</v>
          </cell>
          <cell r="Q196">
            <v>0</v>
          </cell>
          <cell r="R196">
            <v>0</v>
          </cell>
          <cell r="S196">
            <v>0</v>
          </cell>
        </row>
        <row r="197">
          <cell r="C197">
            <v>248</v>
          </cell>
          <cell r="I197">
            <v>26</v>
          </cell>
          <cell r="J197">
            <v>26</v>
          </cell>
          <cell r="K197">
            <v>0</v>
          </cell>
          <cell r="L197">
            <v>0</v>
          </cell>
          <cell r="M197">
            <v>0</v>
          </cell>
          <cell r="N197">
            <v>0</v>
          </cell>
          <cell r="O197">
            <v>0</v>
          </cell>
          <cell r="P197">
            <v>0</v>
          </cell>
          <cell r="Q197">
            <v>0</v>
          </cell>
          <cell r="R197">
            <v>0</v>
          </cell>
          <cell r="S197">
            <v>0</v>
          </cell>
        </row>
        <row r="198">
          <cell r="C198">
            <v>254</v>
          </cell>
          <cell r="I198">
            <v>5</v>
          </cell>
          <cell r="J198">
            <v>5</v>
          </cell>
          <cell r="K198">
            <v>0</v>
          </cell>
          <cell r="L198">
            <v>0</v>
          </cell>
          <cell r="M198">
            <v>0</v>
          </cell>
          <cell r="N198">
            <v>0</v>
          </cell>
          <cell r="O198">
            <v>0</v>
          </cell>
          <cell r="P198">
            <v>0</v>
          </cell>
          <cell r="Q198">
            <v>0</v>
          </cell>
          <cell r="R198">
            <v>0</v>
          </cell>
          <cell r="S198">
            <v>0</v>
          </cell>
        </row>
        <row r="199">
          <cell r="C199">
            <v>341</v>
          </cell>
          <cell r="I199">
            <v>7</v>
          </cell>
          <cell r="J199">
            <v>7</v>
          </cell>
          <cell r="K199">
            <v>0</v>
          </cell>
          <cell r="L199">
            <v>0</v>
          </cell>
          <cell r="M199">
            <v>0</v>
          </cell>
          <cell r="N199">
            <v>0</v>
          </cell>
          <cell r="O199">
            <v>0</v>
          </cell>
          <cell r="P199">
            <v>0</v>
          </cell>
          <cell r="Q199">
            <v>0</v>
          </cell>
          <cell r="R199">
            <v>0</v>
          </cell>
          <cell r="S199">
            <v>0</v>
          </cell>
        </row>
        <row r="200">
          <cell r="C200">
            <v>317</v>
          </cell>
          <cell r="I200">
            <v>0</v>
          </cell>
          <cell r="J200">
            <v>9</v>
          </cell>
          <cell r="K200">
            <v>0</v>
          </cell>
          <cell r="L200">
            <v>0</v>
          </cell>
          <cell r="M200">
            <v>0</v>
          </cell>
          <cell r="N200">
            <v>9</v>
          </cell>
          <cell r="O200">
            <v>0</v>
          </cell>
          <cell r="P200">
            <v>0</v>
          </cell>
          <cell r="Q200">
            <v>0</v>
          </cell>
          <cell r="R200">
            <v>0</v>
          </cell>
          <cell r="S200">
            <v>0</v>
          </cell>
        </row>
        <row r="201">
          <cell r="C201">
            <v>225</v>
          </cell>
          <cell r="I201">
            <v>2</v>
          </cell>
          <cell r="J201">
            <v>2</v>
          </cell>
          <cell r="K201">
            <v>0</v>
          </cell>
          <cell r="L201">
            <v>0</v>
          </cell>
          <cell r="M201">
            <v>0</v>
          </cell>
          <cell r="N201">
            <v>0</v>
          </cell>
          <cell r="O201">
            <v>0</v>
          </cell>
          <cell r="P201">
            <v>0</v>
          </cell>
          <cell r="Q201">
            <v>0</v>
          </cell>
          <cell r="R201">
            <v>0</v>
          </cell>
          <cell r="S201">
            <v>0</v>
          </cell>
        </row>
        <row r="202">
          <cell r="C202">
            <v>319</v>
          </cell>
          <cell r="I202">
            <v>0</v>
          </cell>
          <cell r="J202">
            <v>2</v>
          </cell>
          <cell r="K202">
            <v>0</v>
          </cell>
          <cell r="L202">
            <v>0</v>
          </cell>
          <cell r="M202">
            <v>0</v>
          </cell>
          <cell r="N202">
            <v>2</v>
          </cell>
          <cell r="O202">
            <v>0</v>
          </cell>
          <cell r="P202">
            <v>0</v>
          </cell>
          <cell r="Q202">
            <v>0</v>
          </cell>
          <cell r="R202">
            <v>0</v>
          </cell>
          <cell r="S202">
            <v>0</v>
          </cell>
        </row>
        <row r="203">
          <cell r="C203">
            <v>257</v>
          </cell>
          <cell r="I203">
            <v>2</v>
          </cell>
          <cell r="J203">
            <v>2</v>
          </cell>
          <cell r="K203">
            <v>0</v>
          </cell>
          <cell r="L203">
            <v>0</v>
          </cell>
          <cell r="M203">
            <v>0</v>
          </cell>
          <cell r="N203">
            <v>0</v>
          </cell>
          <cell r="O203">
            <v>0</v>
          </cell>
          <cell r="P203">
            <v>0</v>
          </cell>
          <cell r="Q203">
            <v>0</v>
          </cell>
          <cell r="R203">
            <v>0</v>
          </cell>
          <cell r="S203">
            <v>0</v>
          </cell>
        </row>
        <row r="204">
          <cell r="C204">
            <v>253</v>
          </cell>
          <cell r="I204">
            <v>3</v>
          </cell>
          <cell r="J204">
            <v>3</v>
          </cell>
          <cell r="K204">
            <v>0</v>
          </cell>
          <cell r="L204">
            <v>0</v>
          </cell>
          <cell r="M204">
            <v>0</v>
          </cell>
          <cell r="N204">
            <v>0</v>
          </cell>
          <cell r="O204">
            <v>0</v>
          </cell>
          <cell r="P204">
            <v>0</v>
          </cell>
          <cell r="Q204">
            <v>0</v>
          </cell>
          <cell r="R204">
            <v>0</v>
          </cell>
          <cell r="S204">
            <v>0</v>
          </cell>
        </row>
        <row r="205">
          <cell r="C205">
            <v>67</v>
          </cell>
          <cell r="I205">
            <v>5</v>
          </cell>
          <cell r="J205">
            <v>5</v>
          </cell>
          <cell r="K205">
            <v>0</v>
          </cell>
          <cell r="L205">
            <v>0</v>
          </cell>
          <cell r="M205">
            <v>0</v>
          </cell>
          <cell r="N205">
            <v>0</v>
          </cell>
          <cell r="O205">
            <v>0</v>
          </cell>
          <cell r="P205">
            <v>0</v>
          </cell>
          <cell r="Q205">
            <v>0</v>
          </cell>
          <cell r="R205">
            <v>0</v>
          </cell>
          <cell r="S205">
            <v>0</v>
          </cell>
        </row>
        <row r="206">
          <cell r="C206">
            <v>267</v>
          </cell>
          <cell r="I206">
            <v>4</v>
          </cell>
          <cell r="J206">
            <v>4</v>
          </cell>
          <cell r="K206">
            <v>0</v>
          </cell>
          <cell r="L206">
            <v>0</v>
          </cell>
          <cell r="M206">
            <v>0</v>
          </cell>
          <cell r="N206">
            <v>0</v>
          </cell>
          <cell r="O206">
            <v>0</v>
          </cell>
          <cell r="P206">
            <v>0</v>
          </cell>
          <cell r="Q206">
            <v>0</v>
          </cell>
          <cell r="R206">
            <v>0</v>
          </cell>
          <cell r="S206">
            <v>0</v>
          </cell>
        </row>
        <row r="207">
          <cell r="C207">
            <v>256</v>
          </cell>
          <cell r="I207">
            <v>5</v>
          </cell>
          <cell r="J207">
            <v>5</v>
          </cell>
          <cell r="K207">
            <v>0</v>
          </cell>
          <cell r="L207">
            <v>0</v>
          </cell>
          <cell r="M207">
            <v>0</v>
          </cell>
          <cell r="N207">
            <v>0</v>
          </cell>
          <cell r="O207">
            <v>0</v>
          </cell>
          <cell r="P207">
            <v>0</v>
          </cell>
          <cell r="Q207">
            <v>0</v>
          </cell>
          <cell r="R207">
            <v>0</v>
          </cell>
          <cell r="S207">
            <v>0</v>
          </cell>
        </row>
        <row r="208">
          <cell r="C208">
            <v>328</v>
          </cell>
          <cell r="I208">
            <v>1</v>
          </cell>
          <cell r="J208">
            <v>1</v>
          </cell>
          <cell r="K208">
            <v>0</v>
          </cell>
          <cell r="L208">
            <v>0</v>
          </cell>
          <cell r="M208">
            <v>0</v>
          </cell>
          <cell r="N208">
            <v>0</v>
          </cell>
          <cell r="O208">
            <v>0</v>
          </cell>
          <cell r="P208">
            <v>0</v>
          </cell>
          <cell r="Q208">
            <v>0</v>
          </cell>
          <cell r="R208">
            <v>0</v>
          </cell>
          <cell r="S208">
            <v>0</v>
          </cell>
        </row>
        <row r="209">
          <cell r="C209">
            <v>260</v>
          </cell>
          <cell r="I209">
            <v>3</v>
          </cell>
          <cell r="J209">
            <v>3</v>
          </cell>
          <cell r="K209">
            <v>0</v>
          </cell>
          <cell r="L209">
            <v>0</v>
          </cell>
          <cell r="M209">
            <v>0</v>
          </cell>
          <cell r="N209">
            <v>0</v>
          </cell>
          <cell r="O209">
            <v>0</v>
          </cell>
          <cell r="P209">
            <v>0</v>
          </cell>
          <cell r="Q209">
            <v>0</v>
          </cell>
          <cell r="R209">
            <v>0</v>
          </cell>
          <cell r="S209">
            <v>0</v>
          </cell>
        </row>
        <row r="210">
          <cell r="C210">
            <v>261</v>
          </cell>
          <cell r="I210">
            <v>1</v>
          </cell>
          <cell r="J210">
            <v>1</v>
          </cell>
          <cell r="K210">
            <v>0</v>
          </cell>
          <cell r="L210">
            <v>0</v>
          </cell>
          <cell r="M210">
            <v>0</v>
          </cell>
          <cell r="N210">
            <v>0</v>
          </cell>
          <cell r="O210">
            <v>0</v>
          </cell>
          <cell r="P210">
            <v>0</v>
          </cell>
          <cell r="Q210">
            <v>0</v>
          </cell>
          <cell r="R210">
            <v>0</v>
          </cell>
          <cell r="S210">
            <v>0</v>
          </cell>
        </row>
        <row r="211">
          <cell r="C211">
            <v>262</v>
          </cell>
          <cell r="I211">
            <v>1</v>
          </cell>
          <cell r="J211">
            <v>1</v>
          </cell>
          <cell r="K211">
            <v>0</v>
          </cell>
          <cell r="L211">
            <v>0</v>
          </cell>
          <cell r="M211">
            <v>0</v>
          </cell>
          <cell r="N211">
            <v>0</v>
          </cell>
          <cell r="O211">
            <v>0</v>
          </cell>
          <cell r="P211">
            <v>0</v>
          </cell>
          <cell r="Q211">
            <v>0</v>
          </cell>
          <cell r="R211">
            <v>0</v>
          </cell>
          <cell r="S211">
            <v>0</v>
          </cell>
        </row>
        <row r="212">
          <cell r="C212">
            <v>297</v>
          </cell>
          <cell r="I212">
            <v>0</v>
          </cell>
          <cell r="J212">
            <v>1</v>
          </cell>
          <cell r="K212">
            <v>0</v>
          </cell>
          <cell r="L212">
            <v>0</v>
          </cell>
          <cell r="M212">
            <v>0</v>
          </cell>
          <cell r="N212">
            <v>1</v>
          </cell>
          <cell r="O212">
            <v>0</v>
          </cell>
          <cell r="P212">
            <v>0</v>
          </cell>
          <cell r="Q212">
            <v>0</v>
          </cell>
          <cell r="R212">
            <v>0</v>
          </cell>
          <cell r="S212">
            <v>0</v>
          </cell>
        </row>
        <row r="213">
          <cell r="C213">
            <v>221</v>
          </cell>
          <cell r="I213">
            <v>8</v>
          </cell>
          <cell r="J213">
            <v>8</v>
          </cell>
          <cell r="K213">
            <v>0</v>
          </cell>
          <cell r="L213">
            <v>0</v>
          </cell>
          <cell r="M213">
            <v>0</v>
          </cell>
          <cell r="N213">
            <v>0</v>
          </cell>
          <cell r="O213">
            <v>0</v>
          </cell>
          <cell r="P213">
            <v>0</v>
          </cell>
          <cell r="Q213">
            <v>0</v>
          </cell>
          <cell r="R213">
            <v>0</v>
          </cell>
          <cell r="S213">
            <v>0</v>
          </cell>
        </row>
        <row r="214">
          <cell r="C214">
            <v>237</v>
          </cell>
          <cell r="I214">
            <v>0</v>
          </cell>
          <cell r="J214">
            <v>12</v>
          </cell>
          <cell r="K214">
            <v>0</v>
          </cell>
          <cell r="L214">
            <v>0</v>
          </cell>
          <cell r="M214">
            <v>0</v>
          </cell>
          <cell r="N214">
            <v>12</v>
          </cell>
          <cell r="O214">
            <v>0</v>
          </cell>
          <cell r="P214">
            <v>0</v>
          </cell>
          <cell r="Q214">
            <v>0</v>
          </cell>
          <cell r="R214">
            <v>0</v>
          </cell>
          <cell r="S214">
            <v>0</v>
          </cell>
        </row>
        <row r="215">
          <cell r="C215">
            <v>233</v>
          </cell>
          <cell r="I215">
            <v>1</v>
          </cell>
          <cell r="J215">
            <v>1</v>
          </cell>
          <cell r="K215">
            <v>0</v>
          </cell>
          <cell r="L215">
            <v>0</v>
          </cell>
          <cell r="M215">
            <v>0</v>
          </cell>
          <cell r="N215">
            <v>0</v>
          </cell>
          <cell r="O215">
            <v>0</v>
          </cell>
          <cell r="P215">
            <v>0</v>
          </cell>
          <cell r="Q215">
            <v>0</v>
          </cell>
          <cell r="R215">
            <v>0</v>
          </cell>
          <cell r="S215">
            <v>0</v>
          </cell>
        </row>
        <row r="216">
          <cell r="C216">
            <v>239</v>
          </cell>
          <cell r="I216">
            <v>0</v>
          </cell>
          <cell r="J216">
            <v>6</v>
          </cell>
          <cell r="K216">
            <v>0</v>
          </cell>
          <cell r="L216">
            <v>0</v>
          </cell>
          <cell r="M216">
            <v>0</v>
          </cell>
          <cell r="N216">
            <v>6</v>
          </cell>
          <cell r="O216">
            <v>0</v>
          </cell>
          <cell r="P216">
            <v>0</v>
          </cell>
          <cell r="Q216">
            <v>0</v>
          </cell>
          <cell r="R216">
            <v>0</v>
          </cell>
          <cell r="S216">
            <v>0</v>
          </cell>
        </row>
        <row r="217">
          <cell r="C217">
            <v>226</v>
          </cell>
          <cell r="I217">
            <v>3</v>
          </cell>
          <cell r="J217">
            <v>3</v>
          </cell>
          <cell r="K217">
            <v>0</v>
          </cell>
          <cell r="L217">
            <v>0</v>
          </cell>
          <cell r="M217">
            <v>0</v>
          </cell>
          <cell r="N217">
            <v>0</v>
          </cell>
          <cell r="O217">
            <v>0</v>
          </cell>
          <cell r="P217">
            <v>0</v>
          </cell>
          <cell r="Q217">
            <v>0</v>
          </cell>
          <cell r="R217">
            <v>0</v>
          </cell>
          <cell r="S217">
            <v>0</v>
          </cell>
        </row>
        <row r="218">
          <cell r="C218">
            <v>222</v>
          </cell>
          <cell r="I218">
            <v>2</v>
          </cell>
          <cell r="J218">
            <v>2</v>
          </cell>
          <cell r="K218">
            <v>0</v>
          </cell>
          <cell r="L218">
            <v>0</v>
          </cell>
          <cell r="M218">
            <v>0</v>
          </cell>
          <cell r="N218">
            <v>0</v>
          </cell>
          <cell r="O218">
            <v>0</v>
          </cell>
          <cell r="P218">
            <v>0</v>
          </cell>
          <cell r="Q218">
            <v>0</v>
          </cell>
          <cell r="R218">
            <v>0</v>
          </cell>
          <cell r="S218">
            <v>0</v>
          </cell>
        </row>
        <row r="219">
          <cell r="C219">
            <v>337</v>
          </cell>
          <cell r="I219">
            <v>5</v>
          </cell>
          <cell r="J219">
            <v>252</v>
          </cell>
          <cell r="K219">
            <v>0</v>
          </cell>
          <cell r="N219">
            <v>300</v>
          </cell>
        </row>
        <row r="220">
          <cell r="C220">
            <v>318</v>
          </cell>
          <cell r="I220">
            <v>0</v>
          </cell>
          <cell r="J220">
            <v>2</v>
          </cell>
          <cell r="K220">
            <v>0</v>
          </cell>
          <cell r="L220">
            <v>0</v>
          </cell>
          <cell r="M220">
            <v>0</v>
          </cell>
          <cell r="N220">
            <v>2</v>
          </cell>
          <cell r="O220">
            <v>0</v>
          </cell>
          <cell r="P220">
            <v>0</v>
          </cell>
          <cell r="Q220">
            <v>0</v>
          </cell>
          <cell r="R220">
            <v>0</v>
          </cell>
          <cell r="S220">
            <v>0</v>
          </cell>
        </row>
        <row r="221">
          <cell r="C221">
            <v>316</v>
          </cell>
          <cell r="I221">
            <v>0</v>
          </cell>
          <cell r="J221">
            <v>20</v>
          </cell>
          <cell r="K221">
            <v>0</v>
          </cell>
          <cell r="L221">
            <v>0</v>
          </cell>
          <cell r="M221">
            <v>0</v>
          </cell>
          <cell r="N221">
            <v>20</v>
          </cell>
          <cell r="O221">
            <v>0</v>
          </cell>
          <cell r="P221">
            <v>0</v>
          </cell>
          <cell r="Q221">
            <v>0</v>
          </cell>
          <cell r="R221">
            <v>0</v>
          </cell>
          <cell r="S221">
            <v>0</v>
          </cell>
        </row>
        <row r="222">
          <cell r="C222">
            <v>201</v>
          </cell>
          <cell r="I222">
            <v>1</v>
          </cell>
          <cell r="J222">
            <v>1</v>
          </cell>
          <cell r="K222">
            <v>0</v>
          </cell>
          <cell r="L222">
            <v>0</v>
          </cell>
          <cell r="M222">
            <v>0</v>
          </cell>
          <cell r="N222">
            <v>0</v>
          </cell>
          <cell r="O222">
            <v>0</v>
          </cell>
          <cell r="P222">
            <v>0</v>
          </cell>
          <cell r="Q222">
            <v>0</v>
          </cell>
          <cell r="R222">
            <v>0</v>
          </cell>
          <cell r="S222">
            <v>0</v>
          </cell>
        </row>
        <row r="223">
          <cell r="C223">
            <v>286</v>
          </cell>
          <cell r="I223">
            <v>8</v>
          </cell>
          <cell r="J223">
            <v>8</v>
          </cell>
          <cell r="K223">
            <v>0</v>
          </cell>
          <cell r="L223">
            <v>0</v>
          </cell>
          <cell r="M223">
            <v>0</v>
          </cell>
          <cell r="N223">
            <v>0</v>
          </cell>
          <cell r="O223">
            <v>0</v>
          </cell>
          <cell r="P223">
            <v>0</v>
          </cell>
          <cell r="Q223">
            <v>0</v>
          </cell>
          <cell r="R223">
            <v>0</v>
          </cell>
          <cell r="S223">
            <v>0</v>
          </cell>
        </row>
        <row r="224">
          <cell r="C224">
            <v>285</v>
          </cell>
          <cell r="I224">
            <v>8</v>
          </cell>
          <cell r="J224">
            <v>8</v>
          </cell>
          <cell r="K224">
            <v>0</v>
          </cell>
          <cell r="L224">
            <v>0</v>
          </cell>
          <cell r="M224">
            <v>0</v>
          </cell>
          <cell r="N224">
            <v>0</v>
          </cell>
          <cell r="O224">
            <v>0</v>
          </cell>
          <cell r="P224">
            <v>0</v>
          </cell>
          <cell r="Q224">
            <v>0</v>
          </cell>
          <cell r="R224">
            <v>0</v>
          </cell>
          <cell r="S224">
            <v>0</v>
          </cell>
        </row>
        <row r="225">
          <cell r="C225">
            <v>264</v>
          </cell>
          <cell r="I225">
            <v>4</v>
          </cell>
          <cell r="J225">
            <v>4</v>
          </cell>
          <cell r="K225">
            <v>0</v>
          </cell>
          <cell r="L225">
            <v>0</v>
          </cell>
          <cell r="M225">
            <v>0</v>
          </cell>
          <cell r="N225">
            <v>0</v>
          </cell>
          <cell r="O225">
            <v>0</v>
          </cell>
          <cell r="P225">
            <v>0</v>
          </cell>
          <cell r="Q225">
            <v>0</v>
          </cell>
          <cell r="R225">
            <v>0</v>
          </cell>
          <cell r="S225">
            <v>0</v>
          </cell>
        </row>
        <row r="226">
          <cell r="C226">
            <v>342</v>
          </cell>
          <cell r="I226">
            <v>16</v>
          </cell>
          <cell r="J226">
            <v>16</v>
          </cell>
          <cell r="K226">
            <v>0</v>
          </cell>
          <cell r="L226">
            <v>0</v>
          </cell>
          <cell r="M226">
            <v>0</v>
          </cell>
          <cell r="N226">
            <v>0</v>
          </cell>
          <cell r="O226">
            <v>0</v>
          </cell>
          <cell r="P226">
            <v>0</v>
          </cell>
          <cell r="Q226">
            <v>0</v>
          </cell>
          <cell r="R226">
            <v>0</v>
          </cell>
          <cell r="S226">
            <v>0</v>
          </cell>
        </row>
        <row r="227">
          <cell r="C227">
            <v>343</v>
          </cell>
          <cell r="I227">
            <v>0</v>
          </cell>
          <cell r="J227">
            <v>13</v>
          </cell>
          <cell r="K227">
            <v>0</v>
          </cell>
          <cell r="L227">
            <v>0</v>
          </cell>
          <cell r="M227">
            <v>0</v>
          </cell>
          <cell r="N227">
            <v>20</v>
          </cell>
          <cell r="O227">
            <v>0</v>
          </cell>
          <cell r="P227">
            <v>0</v>
          </cell>
          <cell r="Q227">
            <v>0</v>
          </cell>
          <cell r="R227">
            <v>0</v>
          </cell>
          <cell r="S227">
            <v>0</v>
          </cell>
        </row>
        <row r="228">
          <cell r="C228">
            <v>59</v>
          </cell>
          <cell r="I228">
            <v>1</v>
          </cell>
          <cell r="J228">
            <v>1</v>
          </cell>
          <cell r="K228">
            <v>0</v>
          </cell>
          <cell r="L228">
            <v>0</v>
          </cell>
          <cell r="M228">
            <v>0</v>
          </cell>
          <cell r="N228">
            <v>0</v>
          </cell>
          <cell r="O228">
            <v>0</v>
          </cell>
          <cell r="P228">
            <v>0</v>
          </cell>
          <cell r="Q228">
            <v>0</v>
          </cell>
          <cell r="R228">
            <v>0</v>
          </cell>
          <cell r="S228">
            <v>0</v>
          </cell>
        </row>
        <row r="229">
          <cell r="C229">
            <v>251</v>
          </cell>
          <cell r="I229">
            <v>20</v>
          </cell>
          <cell r="J229">
            <v>20</v>
          </cell>
          <cell r="K229">
            <v>0</v>
          </cell>
          <cell r="L229">
            <v>0</v>
          </cell>
          <cell r="M229">
            <v>0</v>
          </cell>
          <cell r="N229">
            <v>0</v>
          </cell>
          <cell r="O229">
            <v>0</v>
          </cell>
          <cell r="P229">
            <v>0</v>
          </cell>
          <cell r="Q229">
            <v>0</v>
          </cell>
          <cell r="R229">
            <v>0</v>
          </cell>
          <cell r="S229">
            <v>0</v>
          </cell>
        </row>
        <row r="230">
          <cell r="C230">
            <v>227</v>
          </cell>
          <cell r="I230">
            <v>10</v>
          </cell>
          <cell r="J230">
            <v>10</v>
          </cell>
          <cell r="K230">
            <v>0</v>
          </cell>
          <cell r="L230">
            <v>0</v>
          </cell>
          <cell r="M230">
            <v>0</v>
          </cell>
          <cell r="N230">
            <v>0</v>
          </cell>
          <cell r="O230">
            <v>0</v>
          </cell>
          <cell r="P230">
            <v>0</v>
          </cell>
          <cell r="Q230">
            <v>0</v>
          </cell>
          <cell r="R230">
            <v>0</v>
          </cell>
          <cell r="S230">
            <v>0</v>
          </cell>
        </row>
        <row r="231">
          <cell r="C231">
            <v>344</v>
          </cell>
          <cell r="I231">
            <v>0</v>
          </cell>
          <cell r="J231">
            <v>2</v>
          </cell>
          <cell r="K231">
            <v>0</v>
          </cell>
          <cell r="L231">
            <v>0</v>
          </cell>
          <cell r="M231">
            <v>0</v>
          </cell>
          <cell r="N231">
            <v>2</v>
          </cell>
          <cell r="O231">
            <v>0</v>
          </cell>
          <cell r="P231">
            <v>0</v>
          </cell>
          <cell r="Q231">
            <v>0</v>
          </cell>
          <cell r="R231">
            <v>0</v>
          </cell>
          <cell r="S231">
            <v>0</v>
          </cell>
        </row>
        <row r="232">
          <cell r="C232">
            <v>345</v>
          </cell>
          <cell r="I232">
            <v>1</v>
          </cell>
          <cell r="J232">
            <v>1</v>
          </cell>
          <cell r="K232">
            <v>0</v>
          </cell>
          <cell r="L232">
            <v>0</v>
          </cell>
          <cell r="M232">
            <v>0</v>
          </cell>
          <cell r="N232">
            <v>0</v>
          </cell>
          <cell r="O232">
            <v>0</v>
          </cell>
          <cell r="P232">
            <v>0</v>
          </cell>
          <cell r="Q232">
            <v>0</v>
          </cell>
          <cell r="R232">
            <v>0</v>
          </cell>
          <cell r="S232">
            <v>0</v>
          </cell>
        </row>
        <row r="233">
          <cell r="C233">
            <v>346</v>
          </cell>
          <cell r="I233">
            <v>2</v>
          </cell>
          <cell r="J233">
            <v>2</v>
          </cell>
          <cell r="K233">
            <v>0</v>
          </cell>
          <cell r="L233">
            <v>0</v>
          </cell>
          <cell r="M233">
            <v>0</v>
          </cell>
          <cell r="N233">
            <v>0</v>
          </cell>
          <cell r="O233">
            <v>0</v>
          </cell>
          <cell r="P233">
            <v>0</v>
          </cell>
          <cell r="Q233">
            <v>0</v>
          </cell>
          <cell r="R233">
            <v>0</v>
          </cell>
          <cell r="S233">
            <v>0</v>
          </cell>
        </row>
        <row r="234">
          <cell r="C234">
            <v>329</v>
          </cell>
          <cell r="I234">
            <v>1</v>
          </cell>
          <cell r="J234">
            <v>1</v>
          </cell>
          <cell r="K234">
            <v>0</v>
          </cell>
          <cell r="L234">
            <v>0</v>
          </cell>
          <cell r="M234">
            <v>0</v>
          </cell>
          <cell r="N234">
            <v>0</v>
          </cell>
          <cell r="O234">
            <v>0</v>
          </cell>
          <cell r="P234">
            <v>0</v>
          </cell>
          <cell r="Q234">
            <v>0</v>
          </cell>
          <cell r="R234">
            <v>0</v>
          </cell>
          <cell r="S234">
            <v>0</v>
          </cell>
        </row>
        <row r="235">
          <cell r="C235">
            <v>359</v>
          </cell>
          <cell r="I235">
            <v>4</v>
          </cell>
          <cell r="J235">
            <v>4</v>
          </cell>
          <cell r="K235">
            <v>0</v>
          </cell>
          <cell r="L235">
            <v>0</v>
          </cell>
          <cell r="M235">
            <v>0</v>
          </cell>
          <cell r="N235">
            <v>0</v>
          </cell>
          <cell r="O235">
            <v>0</v>
          </cell>
          <cell r="P235">
            <v>0</v>
          </cell>
          <cell r="Q235">
            <v>0</v>
          </cell>
          <cell r="R235">
            <v>0</v>
          </cell>
          <cell r="S235">
            <v>0</v>
          </cell>
        </row>
        <row r="236">
          <cell r="C236">
            <v>240</v>
          </cell>
          <cell r="I236">
            <v>0</v>
          </cell>
          <cell r="J236">
            <v>36</v>
          </cell>
          <cell r="K236">
            <v>0</v>
          </cell>
          <cell r="L236">
            <v>0</v>
          </cell>
          <cell r="M236">
            <v>0</v>
          </cell>
          <cell r="N236">
            <v>36</v>
          </cell>
          <cell r="O236">
            <v>0</v>
          </cell>
          <cell r="P236">
            <v>0</v>
          </cell>
          <cell r="Q236">
            <v>0</v>
          </cell>
          <cell r="R236">
            <v>0</v>
          </cell>
          <cell r="S236">
            <v>0</v>
          </cell>
        </row>
        <row r="237">
          <cell r="C237">
            <v>296</v>
          </cell>
          <cell r="I237">
            <v>0</v>
          </cell>
          <cell r="J237">
            <v>1</v>
          </cell>
          <cell r="K237">
            <v>0</v>
          </cell>
          <cell r="L237">
            <v>0</v>
          </cell>
          <cell r="M237">
            <v>0</v>
          </cell>
          <cell r="N237">
            <v>1</v>
          </cell>
          <cell r="O237">
            <v>0</v>
          </cell>
          <cell r="P237">
            <v>0</v>
          </cell>
          <cell r="Q237">
            <v>0</v>
          </cell>
          <cell r="R237">
            <v>0</v>
          </cell>
          <cell r="S237">
            <v>0</v>
          </cell>
        </row>
        <row r="238">
          <cell r="C238">
            <v>339</v>
          </cell>
          <cell r="I238">
            <v>10</v>
          </cell>
          <cell r="J238">
            <v>10</v>
          </cell>
          <cell r="K238">
            <v>0</v>
          </cell>
          <cell r="L238">
            <v>0</v>
          </cell>
          <cell r="M238">
            <v>0</v>
          </cell>
          <cell r="N238">
            <v>0</v>
          </cell>
          <cell r="O238">
            <v>0</v>
          </cell>
          <cell r="P238">
            <v>0</v>
          </cell>
          <cell r="Q238">
            <v>0</v>
          </cell>
          <cell r="R238">
            <v>0</v>
          </cell>
          <cell r="S238">
            <v>0</v>
          </cell>
        </row>
        <row r="239">
          <cell r="C239">
            <v>304</v>
          </cell>
          <cell r="I239">
            <v>0</v>
          </cell>
          <cell r="J239">
            <v>12</v>
          </cell>
          <cell r="K239">
            <v>0</v>
          </cell>
          <cell r="L239">
            <v>0</v>
          </cell>
          <cell r="M239">
            <v>0</v>
          </cell>
          <cell r="N239">
            <v>12</v>
          </cell>
          <cell r="O239">
            <v>0</v>
          </cell>
          <cell r="P239">
            <v>0</v>
          </cell>
          <cell r="Q239">
            <v>0</v>
          </cell>
          <cell r="R239">
            <v>0</v>
          </cell>
          <cell r="S239">
            <v>0</v>
          </cell>
        </row>
        <row r="240">
          <cell r="C240">
            <v>249</v>
          </cell>
          <cell r="I240">
            <v>2</v>
          </cell>
          <cell r="J240">
            <v>2</v>
          </cell>
          <cell r="K240">
            <v>0</v>
          </cell>
          <cell r="L240">
            <v>0</v>
          </cell>
          <cell r="M240">
            <v>0</v>
          </cell>
          <cell r="N240">
            <v>0</v>
          </cell>
          <cell r="O240">
            <v>0</v>
          </cell>
          <cell r="P240">
            <v>0</v>
          </cell>
          <cell r="Q240">
            <v>0</v>
          </cell>
          <cell r="R240">
            <v>0</v>
          </cell>
          <cell r="S240">
            <v>0</v>
          </cell>
        </row>
        <row r="241">
          <cell r="C241">
            <v>284</v>
          </cell>
          <cell r="I241">
            <v>0</v>
          </cell>
          <cell r="J241">
            <v>37</v>
          </cell>
          <cell r="K241">
            <v>0</v>
          </cell>
          <cell r="L241">
            <v>0</v>
          </cell>
          <cell r="M241">
            <v>0</v>
          </cell>
          <cell r="N241">
            <v>100</v>
          </cell>
          <cell r="O241">
            <v>0</v>
          </cell>
          <cell r="P241">
            <v>0</v>
          </cell>
          <cell r="Q241">
            <v>0</v>
          </cell>
          <cell r="R241">
            <v>0</v>
          </cell>
          <cell r="S241">
            <v>0</v>
          </cell>
        </row>
        <row r="242">
          <cell r="C242">
            <v>259</v>
          </cell>
          <cell r="I242">
            <v>2</v>
          </cell>
          <cell r="J242">
            <v>2</v>
          </cell>
          <cell r="K242">
            <v>0</v>
          </cell>
          <cell r="L242">
            <v>0</v>
          </cell>
          <cell r="M242">
            <v>0</v>
          </cell>
          <cell r="N242">
            <v>0</v>
          </cell>
          <cell r="O242">
            <v>0</v>
          </cell>
          <cell r="P242">
            <v>0</v>
          </cell>
          <cell r="Q242">
            <v>0</v>
          </cell>
          <cell r="R242">
            <v>0</v>
          </cell>
          <cell r="S242">
            <v>0</v>
          </cell>
        </row>
        <row r="243">
          <cell r="C243">
            <v>349</v>
          </cell>
          <cell r="I243">
            <v>0</v>
          </cell>
          <cell r="J243">
            <v>10</v>
          </cell>
          <cell r="K243">
            <v>0</v>
          </cell>
          <cell r="L243">
            <v>0</v>
          </cell>
          <cell r="M243">
            <v>0</v>
          </cell>
          <cell r="N243">
            <v>10</v>
          </cell>
          <cell r="O243">
            <v>0</v>
          </cell>
          <cell r="P243">
            <v>0</v>
          </cell>
          <cell r="Q243">
            <v>0</v>
          </cell>
          <cell r="R243">
            <v>0</v>
          </cell>
          <cell r="S243">
            <v>0</v>
          </cell>
        </row>
        <row r="244">
          <cell r="C244">
            <v>360</v>
          </cell>
          <cell r="I244">
            <v>4</v>
          </cell>
          <cell r="J244">
            <v>4</v>
          </cell>
          <cell r="K244">
            <v>0</v>
          </cell>
          <cell r="L244">
            <v>0</v>
          </cell>
          <cell r="M244">
            <v>0</v>
          </cell>
          <cell r="N244">
            <v>0</v>
          </cell>
          <cell r="O244">
            <v>0</v>
          </cell>
          <cell r="P244">
            <v>0</v>
          </cell>
          <cell r="Q244">
            <v>0</v>
          </cell>
          <cell r="R244">
            <v>0</v>
          </cell>
          <cell r="S244">
            <v>0</v>
          </cell>
        </row>
        <row r="245">
          <cell r="C245">
            <v>324</v>
          </cell>
          <cell r="I245">
            <v>1</v>
          </cell>
          <cell r="J245">
            <v>1</v>
          </cell>
          <cell r="K245">
            <v>0</v>
          </cell>
          <cell r="L245">
            <v>0</v>
          </cell>
          <cell r="M245">
            <v>0</v>
          </cell>
          <cell r="N245">
            <v>0</v>
          </cell>
          <cell r="O245">
            <v>0</v>
          </cell>
          <cell r="P245">
            <v>0</v>
          </cell>
          <cell r="Q245">
            <v>0</v>
          </cell>
          <cell r="R245">
            <v>0</v>
          </cell>
          <cell r="S245">
            <v>0</v>
          </cell>
        </row>
        <row r="246">
          <cell r="C246">
            <v>322</v>
          </cell>
          <cell r="I246">
            <v>1</v>
          </cell>
          <cell r="J246">
            <v>1</v>
          </cell>
          <cell r="K246">
            <v>0</v>
          </cell>
          <cell r="L246">
            <v>0</v>
          </cell>
          <cell r="M246">
            <v>0</v>
          </cell>
          <cell r="N246">
            <v>0</v>
          </cell>
          <cell r="O246">
            <v>0</v>
          </cell>
          <cell r="P246">
            <v>0</v>
          </cell>
          <cell r="Q246">
            <v>0</v>
          </cell>
          <cell r="R246">
            <v>0</v>
          </cell>
          <cell r="S246">
            <v>0</v>
          </cell>
        </row>
        <row r="247">
          <cell r="C247">
            <v>219</v>
          </cell>
          <cell r="I247">
            <v>0</v>
          </cell>
          <cell r="J247">
            <v>95</v>
          </cell>
          <cell r="K247">
            <v>0</v>
          </cell>
          <cell r="L247">
            <v>0</v>
          </cell>
          <cell r="M247">
            <v>0</v>
          </cell>
          <cell r="N247">
            <v>150</v>
          </cell>
          <cell r="O247">
            <v>0</v>
          </cell>
          <cell r="P247">
            <v>0</v>
          </cell>
          <cell r="Q247">
            <v>0</v>
          </cell>
          <cell r="R247">
            <v>0</v>
          </cell>
          <cell r="S247">
            <v>0</v>
          </cell>
        </row>
        <row r="248">
          <cell r="C248">
            <v>215</v>
          </cell>
          <cell r="I248">
            <v>1</v>
          </cell>
          <cell r="J248">
            <v>1</v>
          </cell>
          <cell r="K248">
            <v>0</v>
          </cell>
          <cell r="L248">
            <v>0</v>
          </cell>
          <cell r="M248">
            <v>0</v>
          </cell>
          <cell r="N248">
            <v>0</v>
          </cell>
          <cell r="O248">
            <v>0</v>
          </cell>
          <cell r="P248">
            <v>0</v>
          </cell>
          <cell r="Q248">
            <v>0</v>
          </cell>
          <cell r="R248">
            <v>0</v>
          </cell>
          <cell r="S248">
            <v>0</v>
          </cell>
        </row>
        <row r="249">
          <cell r="C249">
            <v>309</v>
          </cell>
          <cell r="I249">
            <v>0</v>
          </cell>
          <cell r="J249">
            <v>1</v>
          </cell>
          <cell r="K249">
            <v>0</v>
          </cell>
          <cell r="L249">
            <v>0</v>
          </cell>
          <cell r="M249">
            <v>0</v>
          </cell>
          <cell r="N249">
            <v>1</v>
          </cell>
          <cell r="O249">
            <v>0</v>
          </cell>
          <cell r="P249">
            <v>0</v>
          </cell>
          <cell r="Q249">
            <v>0</v>
          </cell>
          <cell r="R249">
            <v>0</v>
          </cell>
          <cell r="S249">
            <v>0</v>
          </cell>
        </row>
        <row r="250">
          <cell r="C250">
            <v>331</v>
          </cell>
          <cell r="I250">
            <v>6</v>
          </cell>
          <cell r="J250">
            <v>6</v>
          </cell>
          <cell r="K250">
            <v>0</v>
          </cell>
          <cell r="L250">
            <v>0</v>
          </cell>
          <cell r="M250">
            <v>0</v>
          </cell>
          <cell r="N250">
            <v>0</v>
          </cell>
          <cell r="O250">
            <v>0</v>
          </cell>
          <cell r="P250">
            <v>0</v>
          </cell>
          <cell r="Q250">
            <v>0</v>
          </cell>
          <cell r="R250">
            <v>0</v>
          </cell>
          <cell r="S250">
            <v>0</v>
          </cell>
        </row>
        <row r="251">
          <cell r="C251">
            <v>232</v>
          </cell>
          <cell r="I251">
            <v>1</v>
          </cell>
          <cell r="J251">
            <v>1</v>
          </cell>
          <cell r="K251">
            <v>0</v>
          </cell>
          <cell r="L251">
            <v>0</v>
          </cell>
          <cell r="M251">
            <v>0</v>
          </cell>
          <cell r="N251">
            <v>0</v>
          </cell>
          <cell r="O251">
            <v>0</v>
          </cell>
          <cell r="P251">
            <v>0</v>
          </cell>
          <cell r="Q251">
            <v>0</v>
          </cell>
          <cell r="R251">
            <v>0</v>
          </cell>
          <cell r="S251">
            <v>0</v>
          </cell>
        </row>
        <row r="252">
          <cell r="C252">
            <v>216</v>
          </cell>
          <cell r="I252">
            <v>22</v>
          </cell>
          <cell r="J252">
            <v>22</v>
          </cell>
          <cell r="K252">
            <v>0</v>
          </cell>
          <cell r="L252">
            <v>0</v>
          </cell>
          <cell r="M252">
            <v>0</v>
          </cell>
          <cell r="N252">
            <v>0</v>
          </cell>
          <cell r="O252">
            <v>0</v>
          </cell>
          <cell r="P252">
            <v>0</v>
          </cell>
          <cell r="Q252">
            <v>0</v>
          </cell>
          <cell r="R252">
            <v>0</v>
          </cell>
          <cell r="S252">
            <v>0</v>
          </cell>
        </row>
        <row r="253">
          <cell r="C253">
            <v>229</v>
          </cell>
          <cell r="I253">
            <v>5</v>
          </cell>
          <cell r="J253">
            <v>5</v>
          </cell>
          <cell r="K253">
            <v>0</v>
          </cell>
          <cell r="L253">
            <v>0</v>
          </cell>
          <cell r="M253">
            <v>0</v>
          </cell>
          <cell r="N253">
            <v>0</v>
          </cell>
          <cell r="O253">
            <v>0</v>
          </cell>
          <cell r="P253">
            <v>0</v>
          </cell>
          <cell r="Q253">
            <v>0</v>
          </cell>
          <cell r="R253">
            <v>0</v>
          </cell>
          <cell r="S253">
            <v>0</v>
          </cell>
        </row>
        <row r="254">
          <cell r="C254">
            <v>361</v>
          </cell>
          <cell r="I254">
            <v>0</v>
          </cell>
          <cell r="J254">
            <v>10</v>
          </cell>
          <cell r="K254">
            <v>0</v>
          </cell>
          <cell r="L254">
            <v>0</v>
          </cell>
          <cell r="M254">
            <v>0</v>
          </cell>
          <cell r="N254">
            <v>10</v>
          </cell>
          <cell r="O254">
            <v>0</v>
          </cell>
          <cell r="P254">
            <v>0</v>
          </cell>
          <cell r="Q254">
            <v>0</v>
          </cell>
          <cell r="R254">
            <v>0</v>
          </cell>
          <cell r="S254">
            <v>0</v>
          </cell>
        </row>
        <row r="255">
          <cell r="C255">
            <v>320</v>
          </cell>
          <cell r="I255">
            <v>0</v>
          </cell>
          <cell r="J255">
            <v>2</v>
          </cell>
          <cell r="K255">
            <v>0</v>
          </cell>
          <cell r="L255">
            <v>0</v>
          </cell>
          <cell r="M255">
            <v>0</v>
          </cell>
          <cell r="N255">
            <v>2</v>
          </cell>
          <cell r="O255">
            <v>0</v>
          </cell>
          <cell r="P255">
            <v>0</v>
          </cell>
          <cell r="Q255">
            <v>0</v>
          </cell>
          <cell r="R255">
            <v>0</v>
          </cell>
          <cell r="S255">
            <v>0</v>
          </cell>
        </row>
        <row r="256">
          <cell r="C256">
            <v>188</v>
          </cell>
          <cell r="I256">
            <v>0</v>
          </cell>
          <cell r="J256">
            <v>12</v>
          </cell>
          <cell r="K256">
            <v>0</v>
          </cell>
          <cell r="L256">
            <v>0</v>
          </cell>
          <cell r="M256">
            <v>0</v>
          </cell>
          <cell r="N256">
            <v>12</v>
          </cell>
          <cell r="O256">
            <v>0</v>
          </cell>
          <cell r="P256">
            <v>0</v>
          </cell>
          <cell r="Q256">
            <v>0</v>
          </cell>
          <cell r="R256">
            <v>0</v>
          </cell>
          <cell r="S256">
            <v>0</v>
          </cell>
        </row>
        <row r="257">
          <cell r="C257">
            <v>355</v>
          </cell>
          <cell r="I257">
            <v>0</v>
          </cell>
          <cell r="J257">
            <v>1</v>
          </cell>
          <cell r="K257">
            <v>0</v>
          </cell>
          <cell r="L257">
            <v>0</v>
          </cell>
          <cell r="M257">
            <v>0</v>
          </cell>
          <cell r="N257">
            <v>1</v>
          </cell>
          <cell r="O257">
            <v>0</v>
          </cell>
          <cell r="P257">
            <v>0</v>
          </cell>
          <cell r="Q257">
            <v>0</v>
          </cell>
          <cell r="R257">
            <v>0</v>
          </cell>
          <cell r="S257">
            <v>0</v>
          </cell>
        </row>
        <row r="258">
          <cell r="C258">
            <v>362</v>
          </cell>
          <cell r="I258">
            <v>0</v>
          </cell>
          <cell r="J258">
            <v>12</v>
          </cell>
          <cell r="K258">
            <v>0</v>
          </cell>
          <cell r="L258">
            <v>0</v>
          </cell>
          <cell r="M258">
            <v>0</v>
          </cell>
          <cell r="N258">
            <v>12</v>
          </cell>
          <cell r="O258">
            <v>0</v>
          </cell>
          <cell r="P258">
            <v>0</v>
          </cell>
          <cell r="Q258">
            <v>0</v>
          </cell>
          <cell r="R258">
            <v>0</v>
          </cell>
          <cell r="S258">
            <v>0</v>
          </cell>
        </row>
        <row r="259">
          <cell r="C259">
            <v>326</v>
          </cell>
          <cell r="I259">
            <v>1</v>
          </cell>
          <cell r="J259">
            <v>1</v>
          </cell>
          <cell r="K259">
            <v>0</v>
          </cell>
          <cell r="L259">
            <v>0</v>
          </cell>
          <cell r="M259">
            <v>0</v>
          </cell>
          <cell r="N259">
            <v>0</v>
          </cell>
          <cell r="O259">
            <v>0</v>
          </cell>
          <cell r="P259">
            <v>0</v>
          </cell>
          <cell r="Q259">
            <v>0</v>
          </cell>
          <cell r="R259">
            <v>0</v>
          </cell>
          <cell r="S259">
            <v>0</v>
          </cell>
        </row>
        <row r="260">
          <cell r="C260">
            <v>330</v>
          </cell>
          <cell r="I260">
            <v>2</v>
          </cell>
          <cell r="J260">
            <v>2</v>
          </cell>
          <cell r="K260">
            <v>0</v>
          </cell>
          <cell r="L260">
            <v>0</v>
          </cell>
          <cell r="M260">
            <v>0</v>
          </cell>
          <cell r="N260">
            <v>0</v>
          </cell>
          <cell r="O260">
            <v>0</v>
          </cell>
          <cell r="P260">
            <v>0</v>
          </cell>
          <cell r="Q260">
            <v>0</v>
          </cell>
          <cell r="R260">
            <v>0</v>
          </cell>
          <cell r="S260">
            <v>0</v>
          </cell>
        </row>
        <row r="261">
          <cell r="C261">
            <v>301</v>
          </cell>
          <cell r="I261">
            <v>0</v>
          </cell>
          <cell r="J261">
            <v>5</v>
          </cell>
          <cell r="K261">
            <v>0</v>
          </cell>
          <cell r="L261">
            <v>0</v>
          </cell>
          <cell r="M261">
            <v>0</v>
          </cell>
          <cell r="N261">
            <v>5</v>
          </cell>
          <cell r="O261">
            <v>0</v>
          </cell>
          <cell r="P261">
            <v>0</v>
          </cell>
          <cell r="Q261">
            <v>0</v>
          </cell>
          <cell r="R261">
            <v>0</v>
          </cell>
          <cell r="S261">
            <v>0</v>
          </cell>
        </row>
        <row r="262">
          <cell r="C262">
            <v>302</v>
          </cell>
          <cell r="I262">
            <v>0</v>
          </cell>
          <cell r="J262">
            <v>1</v>
          </cell>
          <cell r="K262">
            <v>0</v>
          </cell>
          <cell r="L262">
            <v>0</v>
          </cell>
          <cell r="M262">
            <v>0</v>
          </cell>
          <cell r="N262">
            <v>1</v>
          </cell>
          <cell r="O262">
            <v>0</v>
          </cell>
          <cell r="P262">
            <v>0</v>
          </cell>
          <cell r="Q262">
            <v>0</v>
          </cell>
          <cell r="R262">
            <v>0</v>
          </cell>
          <cell r="S262">
            <v>0</v>
          </cell>
        </row>
        <row r="263">
          <cell r="C263">
            <v>313</v>
          </cell>
          <cell r="I263">
            <v>0</v>
          </cell>
          <cell r="J263">
            <v>1</v>
          </cell>
          <cell r="K263">
            <v>0</v>
          </cell>
          <cell r="L263">
            <v>0</v>
          </cell>
          <cell r="M263">
            <v>0</v>
          </cell>
          <cell r="N263">
            <v>1</v>
          </cell>
          <cell r="O263">
            <v>0</v>
          </cell>
          <cell r="P263">
            <v>0</v>
          </cell>
          <cell r="Q263">
            <v>0</v>
          </cell>
          <cell r="R263">
            <v>0</v>
          </cell>
          <cell r="S263">
            <v>0</v>
          </cell>
        </row>
        <row r="264">
          <cell r="C264">
            <v>202</v>
          </cell>
          <cell r="I264">
            <v>1</v>
          </cell>
          <cell r="J264">
            <v>1</v>
          </cell>
          <cell r="K264">
            <v>0</v>
          </cell>
          <cell r="L264">
            <v>0</v>
          </cell>
          <cell r="M264">
            <v>0</v>
          </cell>
          <cell r="N264">
            <v>0</v>
          </cell>
          <cell r="O264">
            <v>0</v>
          </cell>
          <cell r="P264">
            <v>0</v>
          </cell>
          <cell r="Q264">
            <v>0</v>
          </cell>
          <cell r="R264">
            <v>0</v>
          </cell>
          <cell r="S264">
            <v>0</v>
          </cell>
        </row>
        <row r="265">
          <cell r="C265">
            <v>220</v>
          </cell>
          <cell r="I265">
            <v>1</v>
          </cell>
          <cell r="J265">
            <v>1</v>
          </cell>
          <cell r="K265">
            <v>0</v>
          </cell>
          <cell r="L265">
            <v>0</v>
          </cell>
          <cell r="M265">
            <v>0</v>
          </cell>
          <cell r="N265">
            <v>0</v>
          </cell>
          <cell r="O265">
            <v>0</v>
          </cell>
          <cell r="P265">
            <v>0</v>
          </cell>
          <cell r="Q265">
            <v>0</v>
          </cell>
          <cell r="R265">
            <v>0</v>
          </cell>
          <cell r="S265">
            <v>0</v>
          </cell>
        </row>
        <row r="266">
          <cell r="C266">
            <v>242</v>
          </cell>
          <cell r="I266">
            <v>0</v>
          </cell>
          <cell r="J266">
            <v>1</v>
          </cell>
          <cell r="K266">
            <v>0</v>
          </cell>
          <cell r="L266">
            <v>0</v>
          </cell>
          <cell r="M266">
            <v>0</v>
          </cell>
          <cell r="N266">
            <v>1</v>
          </cell>
          <cell r="O266">
            <v>0</v>
          </cell>
          <cell r="P266">
            <v>0</v>
          </cell>
          <cell r="Q266">
            <v>0</v>
          </cell>
          <cell r="R266">
            <v>0</v>
          </cell>
          <cell r="S266">
            <v>0</v>
          </cell>
        </row>
        <row r="267">
          <cell r="C267">
            <v>224</v>
          </cell>
          <cell r="I267">
            <v>1</v>
          </cell>
          <cell r="J267">
            <v>1</v>
          </cell>
          <cell r="K267">
            <v>0</v>
          </cell>
          <cell r="L267">
            <v>0</v>
          </cell>
          <cell r="M267">
            <v>0</v>
          </cell>
          <cell r="N267">
            <v>0</v>
          </cell>
          <cell r="O267">
            <v>0</v>
          </cell>
          <cell r="P267">
            <v>0</v>
          </cell>
          <cell r="Q267">
            <v>0</v>
          </cell>
          <cell r="R267">
            <v>0</v>
          </cell>
          <cell r="S267">
            <v>0</v>
          </cell>
        </row>
        <row r="268">
          <cell r="C268">
            <v>384</v>
          </cell>
          <cell r="I268">
            <v>0</v>
          </cell>
          <cell r="J268">
            <v>12</v>
          </cell>
          <cell r="K268">
            <v>0</v>
          </cell>
          <cell r="L268">
            <v>0</v>
          </cell>
          <cell r="M268">
            <v>0</v>
          </cell>
          <cell r="N268">
            <v>12</v>
          </cell>
          <cell r="O268">
            <v>0</v>
          </cell>
          <cell r="P268">
            <v>0</v>
          </cell>
          <cell r="Q268">
            <v>0</v>
          </cell>
          <cell r="R268">
            <v>0</v>
          </cell>
          <cell r="S268">
            <v>0</v>
          </cell>
        </row>
        <row r="269">
          <cell r="C269">
            <v>385</v>
          </cell>
          <cell r="I269">
            <v>0</v>
          </cell>
          <cell r="J269">
            <v>15</v>
          </cell>
          <cell r="K269">
            <v>0</v>
          </cell>
          <cell r="L269">
            <v>0</v>
          </cell>
          <cell r="M269">
            <v>0</v>
          </cell>
          <cell r="N269">
            <v>15</v>
          </cell>
          <cell r="O269">
            <v>0</v>
          </cell>
          <cell r="P269">
            <v>0</v>
          </cell>
          <cell r="Q269">
            <v>0</v>
          </cell>
          <cell r="R269">
            <v>0</v>
          </cell>
          <cell r="S269">
            <v>0</v>
          </cell>
        </row>
        <row r="270">
          <cell r="C270">
            <v>386</v>
          </cell>
          <cell r="I270">
            <v>0</v>
          </cell>
          <cell r="J270">
            <v>19</v>
          </cell>
          <cell r="K270">
            <v>0</v>
          </cell>
          <cell r="L270">
            <v>0</v>
          </cell>
          <cell r="M270">
            <v>0</v>
          </cell>
          <cell r="N270">
            <v>19</v>
          </cell>
          <cell r="O270">
            <v>0</v>
          </cell>
          <cell r="P270">
            <v>0</v>
          </cell>
          <cell r="Q270">
            <v>0</v>
          </cell>
          <cell r="R270">
            <v>0</v>
          </cell>
          <cell r="S270">
            <v>0</v>
          </cell>
        </row>
        <row r="271">
          <cell r="C271">
            <v>381</v>
          </cell>
          <cell r="I271">
            <v>0</v>
          </cell>
          <cell r="J271">
            <v>5</v>
          </cell>
          <cell r="K271">
            <v>0</v>
          </cell>
          <cell r="L271">
            <v>0</v>
          </cell>
          <cell r="M271">
            <v>0</v>
          </cell>
          <cell r="N271">
            <v>5</v>
          </cell>
          <cell r="O271">
            <v>0</v>
          </cell>
          <cell r="P271">
            <v>0</v>
          </cell>
          <cell r="Q271">
            <v>0</v>
          </cell>
          <cell r="R271">
            <v>0</v>
          </cell>
          <cell r="S271">
            <v>0</v>
          </cell>
        </row>
        <row r="272">
          <cell r="C272">
            <v>380</v>
          </cell>
          <cell r="I272">
            <v>0</v>
          </cell>
          <cell r="J272">
            <v>23</v>
          </cell>
          <cell r="K272">
            <v>0</v>
          </cell>
          <cell r="L272">
            <v>0</v>
          </cell>
          <cell r="M272">
            <v>0</v>
          </cell>
          <cell r="N272">
            <v>72</v>
          </cell>
          <cell r="O272">
            <v>0</v>
          </cell>
          <cell r="P272">
            <v>0</v>
          </cell>
          <cell r="Q272">
            <v>0</v>
          </cell>
          <cell r="R272">
            <v>0</v>
          </cell>
          <cell r="S272">
            <v>0</v>
          </cell>
        </row>
        <row r="273">
          <cell r="C273">
            <v>379</v>
          </cell>
          <cell r="I273">
            <v>0</v>
          </cell>
          <cell r="J273">
            <v>5</v>
          </cell>
          <cell r="K273">
            <v>0</v>
          </cell>
          <cell r="L273">
            <v>0</v>
          </cell>
          <cell r="M273">
            <v>0</v>
          </cell>
          <cell r="N273">
            <v>5</v>
          </cell>
          <cell r="O273">
            <v>0</v>
          </cell>
          <cell r="P273">
            <v>0</v>
          </cell>
          <cell r="Q273">
            <v>0</v>
          </cell>
          <cell r="R273">
            <v>0</v>
          </cell>
          <cell r="S273">
            <v>0</v>
          </cell>
        </row>
        <row r="274">
          <cell r="C274">
            <v>388</v>
          </cell>
          <cell r="I274">
            <v>0</v>
          </cell>
          <cell r="J274">
            <v>4</v>
          </cell>
          <cell r="K274">
            <v>0</v>
          </cell>
          <cell r="L274">
            <v>0</v>
          </cell>
          <cell r="M274">
            <v>0</v>
          </cell>
          <cell r="N274">
            <v>5</v>
          </cell>
          <cell r="O274">
            <v>0</v>
          </cell>
          <cell r="P274">
            <v>0</v>
          </cell>
          <cell r="Q274">
            <v>0</v>
          </cell>
          <cell r="R274">
            <v>0</v>
          </cell>
          <cell r="S274">
            <v>0</v>
          </cell>
        </row>
        <row r="275">
          <cell r="C275">
            <v>369</v>
          </cell>
          <cell r="I275">
            <v>0</v>
          </cell>
          <cell r="J275">
            <v>42</v>
          </cell>
          <cell r="K275">
            <v>0</v>
          </cell>
          <cell r="L275">
            <v>0</v>
          </cell>
          <cell r="M275">
            <v>0</v>
          </cell>
          <cell r="N275">
            <v>100</v>
          </cell>
          <cell r="O275">
            <v>0</v>
          </cell>
          <cell r="P275">
            <v>0</v>
          </cell>
          <cell r="Q275">
            <v>0</v>
          </cell>
          <cell r="R275">
            <v>0</v>
          </cell>
          <cell r="S275">
            <v>0</v>
          </cell>
        </row>
        <row r="276">
          <cell r="C276">
            <v>370</v>
          </cell>
          <cell r="I276">
            <v>0</v>
          </cell>
          <cell r="J276">
            <v>11</v>
          </cell>
          <cell r="K276">
            <v>0</v>
          </cell>
          <cell r="L276">
            <v>0</v>
          </cell>
          <cell r="M276">
            <v>0</v>
          </cell>
          <cell r="N276">
            <v>53</v>
          </cell>
          <cell r="O276">
            <v>0</v>
          </cell>
          <cell r="P276">
            <v>0</v>
          </cell>
          <cell r="Q276">
            <v>0</v>
          </cell>
          <cell r="R276">
            <v>0</v>
          </cell>
          <cell r="S276">
            <v>0</v>
          </cell>
        </row>
        <row r="277">
          <cell r="C277">
            <v>374</v>
          </cell>
          <cell r="I277">
            <v>0</v>
          </cell>
          <cell r="J277">
            <v>10</v>
          </cell>
          <cell r="K277">
            <v>0</v>
          </cell>
          <cell r="L277">
            <v>0</v>
          </cell>
          <cell r="M277">
            <v>0</v>
          </cell>
          <cell r="N277">
            <v>10</v>
          </cell>
          <cell r="O277">
            <v>0</v>
          </cell>
          <cell r="P277">
            <v>0</v>
          </cell>
          <cell r="Q277">
            <v>0</v>
          </cell>
          <cell r="R277">
            <v>0</v>
          </cell>
          <cell r="S277">
            <v>0</v>
          </cell>
        </row>
        <row r="278">
          <cell r="C278">
            <v>387</v>
          </cell>
          <cell r="I278">
            <v>0</v>
          </cell>
          <cell r="J278">
            <v>3</v>
          </cell>
          <cell r="K278">
            <v>0</v>
          </cell>
          <cell r="L278">
            <v>0</v>
          </cell>
          <cell r="M278">
            <v>0</v>
          </cell>
          <cell r="N278">
            <v>3</v>
          </cell>
          <cell r="O278">
            <v>0</v>
          </cell>
          <cell r="P278">
            <v>0</v>
          </cell>
          <cell r="Q278">
            <v>0</v>
          </cell>
          <cell r="R278">
            <v>0</v>
          </cell>
          <cell r="S278">
            <v>0</v>
          </cell>
        </row>
        <row r="279">
          <cell r="C279">
            <v>366</v>
          </cell>
          <cell r="I279">
            <v>1</v>
          </cell>
          <cell r="J279">
            <v>11</v>
          </cell>
          <cell r="K279">
            <v>0</v>
          </cell>
          <cell r="L279">
            <v>0</v>
          </cell>
          <cell r="M279">
            <v>0</v>
          </cell>
          <cell r="N279">
            <v>10</v>
          </cell>
          <cell r="O279">
            <v>0</v>
          </cell>
          <cell r="P279">
            <v>0</v>
          </cell>
          <cell r="Q279">
            <v>0</v>
          </cell>
          <cell r="R279">
            <v>0</v>
          </cell>
          <cell r="S279">
            <v>0</v>
          </cell>
        </row>
        <row r="280">
          <cell r="C280">
            <v>364</v>
          </cell>
          <cell r="I280">
            <v>0</v>
          </cell>
          <cell r="J280">
            <v>6</v>
          </cell>
          <cell r="K280">
            <v>0</v>
          </cell>
          <cell r="L280">
            <v>0</v>
          </cell>
          <cell r="M280">
            <v>0</v>
          </cell>
          <cell r="N280">
            <v>6</v>
          </cell>
          <cell r="O280">
            <v>0</v>
          </cell>
          <cell r="P280">
            <v>0</v>
          </cell>
          <cell r="Q280">
            <v>0</v>
          </cell>
          <cell r="R280">
            <v>0</v>
          </cell>
          <cell r="S280">
            <v>0</v>
          </cell>
        </row>
        <row r="281">
          <cell r="C281">
            <v>367</v>
          </cell>
          <cell r="I281">
            <v>0</v>
          </cell>
          <cell r="J281">
            <v>10</v>
          </cell>
          <cell r="K281">
            <v>0</v>
          </cell>
          <cell r="L281">
            <v>0</v>
          </cell>
          <cell r="M281">
            <v>0</v>
          </cell>
          <cell r="N281">
            <v>12</v>
          </cell>
          <cell r="O281">
            <v>0</v>
          </cell>
          <cell r="P281">
            <v>0</v>
          </cell>
          <cell r="Q281">
            <v>0</v>
          </cell>
          <cell r="R281">
            <v>0</v>
          </cell>
          <cell r="S281">
            <v>0</v>
          </cell>
        </row>
        <row r="282">
          <cell r="C282">
            <v>363</v>
          </cell>
          <cell r="I282">
            <v>0</v>
          </cell>
          <cell r="J282">
            <v>6</v>
          </cell>
          <cell r="K282">
            <v>0</v>
          </cell>
          <cell r="L282">
            <v>0</v>
          </cell>
          <cell r="M282">
            <v>0</v>
          </cell>
          <cell r="N282">
            <v>6</v>
          </cell>
          <cell r="O282">
            <v>0</v>
          </cell>
          <cell r="P282">
            <v>0</v>
          </cell>
          <cell r="Q282">
            <v>0</v>
          </cell>
          <cell r="R282">
            <v>0</v>
          </cell>
          <cell r="S282">
            <v>0</v>
          </cell>
        </row>
        <row r="283">
          <cell r="C283">
            <v>389</v>
          </cell>
          <cell r="I283">
            <v>0</v>
          </cell>
          <cell r="J283">
            <v>12</v>
          </cell>
          <cell r="K283">
            <v>0</v>
          </cell>
          <cell r="L283">
            <v>0</v>
          </cell>
          <cell r="M283">
            <v>0</v>
          </cell>
          <cell r="N283">
            <v>36</v>
          </cell>
          <cell r="O283">
            <v>0</v>
          </cell>
          <cell r="P283">
            <v>0</v>
          </cell>
          <cell r="Q283">
            <v>0</v>
          </cell>
          <cell r="R283">
            <v>0</v>
          </cell>
          <cell r="S283">
            <v>0</v>
          </cell>
        </row>
        <row r="284">
          <cell r="C284">
            <v>382</v>
          </cell>
          <cell r="I284">
            <v>0</v>
          </cell>
          <cell r="J284">
            <v>5</v>
          </cell>
          <cell r="K284">
            <v>0</v>
          </cell>
          <cell r="L284">
            <v>0</v>
          </cell>
          <cell r="M284">
            <v>0</v>
          </cell>
          <cell r="N284">
            <v>5</v>
          </cell>
          <cell r="O284">
            <v>0</v>
          </cell>
          <cell r="P284">
            <v>0</v>
          </cell>
          <cell r="Q284">
            <v>0</v>
          </cell>
          <cell r="R284">
            <v>0</v>
          </cell>
          <cell r="S284">
            <v>0</v>
          </cell>
        </row>
        <row r="285">
          <cell r="C285">
            <v>383</v>
          </cell>
          <cell r="I285">
            <v>0</v>
          </cell>
          <cell r="J285">
            <v>2</v>
          </cell>
          <cell r="K285">
            <v>0</v>
          </cell>
          <cell r="L285">
            <v>0</v>
          </cell>
          <cell r="M285">
            <v>0</v>
          </cell>
          <cell r="N285">
            <v>2</v>
          </cell>
          <cell r="O285">
            <v>0</v>
          </cell>
          <cell r="P285">
            <v>0</v>
          </cell>
          <cell r="Q285">
            <v>0</v>
          </cell>
          <cell r="R285">
            <v>0</v>
          </cell>
          <cell r="S285">
            <v>0</v>
          </cell>
        </row>
        <row r="286">
          <cell r="C286">
            <v>377</v>
          </cell>
          <cell r="I286">
            <v>0</v>
          </cell>
          <cell r="J286">
            <v>240</v>
          </cell>
          <cell r="K286">
            <v>0</v>
          </cell>
          <cell r="L286">
            <v>0</v>
          </cell>
          <cell r="M286">
            <v>0</v>
          </cell>
          <cell r="N286">
            <v>160</v>
          </cell>
          <cell r="O286">
            <v>0</v>
          </cell>
          <cell r="P286">
            <v>0</v>
          </cell>
          <cell r="Q286">
            <v>0</v>
          </cell>
          <cell r="R286">
            <v>0</v>
          </cell>
          <cell r="S286">
            <v>0</v>
          </cell>
        </row>
        <row r="287">
          <cell r="C287">
            <v>377</v>
          </cell>
          <cell r="I287">
            <v>0</v>
          </cell>
          <cell r="J287">
            <v>0</v>
          </cell>
          <cell r="K287">
            <v>0</v>
          </cell>
          <cell r="L287">
            <v>0</v>
          </cell>
          <cell r="M287">
            <v>0</v>
          </cell>
          <cell r="N287">
            <v>80</v>
          </cell>
          <cell r="O287">
            <v>0</v>
          </cell>
          <cell r="P287">
            <v>0</v>
          </cell>
          <cell r="Q287">
            <v>0</v>
          </cell>
          <cell r="R287">
            <v>0</v>
          </cell>
          <cell r="S287">
            <v>0</v>
          </cell>
        </row>
        <row r="288">
          <cell r="C288">
            <v>372</v>
          </cell>
          <cell r="I288">
            <v>0</v>
          </cell>
          <cell r="J288">
            <v>5</v>
          </cell>
          <cell r="K288">
            <v>0</v>
          </cell>
          <cell r="L288">
            <v>0</v>
          </cell>
          <cell r="M288">
            <v>0</v>
          </cell>
          <cell r="N288">
            <v>10</v>
          </cell>
          <cell r="O288">
            <v>0</v>
          </cell>
          <cell r="P288">
            <v>0</v>
          </cell>
          <cell r="Q288">
            <v>0</v>
          </cell>
          <cell r="R288">
            <v>0</v>
          </cell>
          <cell r="S288">
            <v>0</v>
          </cell>
        </row>
        <row r="289">
          <cell r="C289">
            <v>378</v>
          </cell>
          <cell r="I289">
            <v>0</v>
          </cell>
          <cell r="J289">
            <v>10</v>
          </cell>
          <cell r="K289">
            <v>0</v>
          </cell>
          <cell r="L289">
            <v>0</v>
          </cell>
          <cell r="M289">
            <v>0</v>
          </cell>
          <cell r="N289">
            <v>10</v>
          </cell>
          <cell r="O289">
            <v>0</v>
          </cell>
          <cell r="P289">
            <v>0</v>
          </cell>
          <cell r="Q289">
            <v>0</v>
          </cell>
          <cell r="R289">
            <v>0</v>
          </cell>
          <cell r="S289">
            <v>0</v>
          </cell>
        </row>
        <row r="290">
          <cell r="C290">
            <v>368</v>
          </cell>
          <cell r="I290">
            <v>0</v>
          </cell>
          <cell r="J290">
            <v>40</v>
          </cell>
          <cell r="K290">
            <v>0</v>
          </cell>
          <cell r="L290">
            <v>0</v>
          </cell>
          <cell r="M290">
            <v>0</v>
          </cell>
          <cell r="N290">
            <v>50</v>
          </cell>
          <cell r="O290">
            <v>0</v>
          </cell>
          <cell r="P290">
            <v>0</v>
          </cell>
          <cell r="Q290">
            <v>0</v>
          </cell>
          <cell r="R290">
            <v>0</v>
          </cell>
          <cell r="S290">
            <v>0</v>
          </cell>
        </row>
        <row r="291">
          <cell r="C291">
            <v>375</v>
          </cell>
          <cell r="I291">
            <v>0</v>
          </cell>
          <cell r="J291">
            <v>2</v>
          </cell>
          <cell r="K291">
            <v>0</v>
          </cell>
          <cell r="L291">
            <v>0</v>
          </cell>
          <cell r="M291">
            <v>0</v>
          </cell>
          <cell r="N291">
            <v>2</v>
          </cell>
          <cell r="O291">
            <v>0</v>
          </cell>
          <cell r="P291">
            <v>0</v>
          </cell>
          <cell r="Q291">
            <v>0</v>
          </cell>
          <cell r="R291">
            <v>0</v>
          </cell>
          <cell r="S291">
            <v>0</v>
          </cell>
        </row>
        <row r="292">
          <cell r="C292">
            <v>365</v>
          </cell>
          <cell r="I292">
            <v>0</v>
          </cell>
          <cell r="J292">
            <v>3</v>
          </cell>
          <cell r="K292">
            <v>0</v>
          </cell>
          <cell r="L292">
            <v>0</v>
          </cell>
          <cell r="M292">
            <v>0</v>
          </cell>
          <cell r="N292">
            <v>3</v>
          </cell>
          <cell r="O292">
            <v>0</v>
          </cell>
          <cell r="P292">
            <v>0</v>
          </cell>
          <cell r="Q292">
            <v>0</v>
          </cell>
          <cell r="R292">
            <v>0</v>
          </cell>
          <cell r="S292">
            <v>0</v>
          </cell>
        </row>
        <row r="293">
          <cell r="C293">
            <v>376</v>
          </cell>
          <cell r="I293">
            <v>0</v>
          </cell>
          <cell r="J293">
            <v>27</v>
          </cell>
          <cell r="K293">
            <v>0</v>
          </cell>
          <cell r="L293">
            <v>0</v>
          </cell>
          <cell r="M293">
            <v>0</v>
          </cell>
          <cell r="N293">
            <v>40</v>
          </cell>
          <cell r="O293">
            <v>0</v>
          </cell>
          <cell r="P293">
            <v>0</v>
          </cell>
          <cell r="Q293">
            <v>0</v>
          </cell>
          <cell r="R293">
            <v>0</v>
          </cell>
          <cell r="S293">
            <v>0</v>
          </cell>
        </row>
        <row r="294">
          <cell r="C294">
            <v>373</v>
          </cell>
          <cell r="I294">
            <v>0</v>
          </cell>
          <cell r="J294">
            <v>16</v>
          </cell>
          <cell r="K294">
            <v>0</v>
          </cell>
          <cell r="L294">
            <v>0</v>
          </cell>
          <cell r="M294">
            <v>0</v>
          </cell>
          <cell r="N294">
            <v>16</v>
          </cell>
          <cell r="O294">
            <v>0</v>
          </cell>
          <cell r="P294">
            <v>0</v>
          </cell>
          <cell r="Q294">
            <v>0</v>
          </cell>
          <cell r="R294">
            <v>0</v>
          </cell>
          <cell r="S294">
            <v>0</v>
          </cell>
        </row>
        <row r="295">
          <cell r="C295">
            <v>371</v>
          </cell>
          <cell r="I295">
            <v>0</v>
          </cell>
          <cell r="J295">
            <v>10</v>
          </cell>
          <cell r="K295">
            <v>0</v>
          </cell>
          <cell r="L295">
            <v>0</v>
          </cell>
          <cell r="M295">
            <v>0</v>
          </cell>
          <cell r="N295">
            <v>10</v>
          </cell>
          <cell r="O295">
            <v>0</v>
          </cell>
          <cell r="P295">
            <v>0</v>
          </cell>
          <cell r="Q295">
            <v>0</v>
          </cell>
          <cell r="R295">
            <v>0</v>
          </cell>
          <cell r="S295">
            <v>0</v>
          </cell>
        </row>
        <row r="296">
          <cell r="C296">
            <v>420</v>
          </cell>
          <cell r="I296">
            <v>0</v>
          </cell>
          <cell r="J296">
            <v>10</v>
          </cell>
          <cell r="K296">
            <v>0</v>
          </cell>
          <cell r="L296">
            <v>0</v>
          </cell>
          <cell r="M296">
            <v>0</v>
          </cell>
          <cell r="N296">
            <v>12</v>
          </cell>
          <cell r="O296">
            <v>0</v>
          </cell>
          <cell r="P296">
            <v>0</v>
          </cell>
          <cell r="Q296">
            <v>0</v>
          </cell>
          <cell r="R296">
            <v>0</v>
          </cell>
          <cell r="S296">
            <v>0</v>
          </cell>
        </row>
        <row r="297">
          <cell r="C297">
            <v>423</v>
          </cell>
          <cell r="I297">
            <v>0</v>
          </cell>
          <cell r="J297">
            <v>6</v>
          </cell>
          <cell r="K297">
            <v>0</v>
          </cell>
          <cell r="L297">
            <v>0</v>
          </cell>
          <cell r="M297">
            <v>0</v>
          </cell>
          <cell r="N297">
            <v>20</v>
          </cell>
          <cell r="O297">
            <v>0</v>
          </cell>
          <cell r="P297">
            <v>0</v>
          </cell>
          <cell r="Q297">
            <v>0</v>
          </cell>
          <cell r="R297">
            <v>0</v>
          </cell>
          <cell r="S297">
            <v>0</v>
          </cell>
        </row>
        <row r="298">
          <cell r="C298">
            <v>424</v>
          </cell>
          <cell r="I298">
            <v>0</v>
          </cell>
          <cell r="J298">
            <v>5</v>
          </cell>
          <cell r="K298">
            <v>0</v>
          </cell>
          <cell r="L298">
            <v>0</v>
          </cell>
          <cell r="M298">
            <v>0</v>
          </cell>
          <cell r="N298">
            <v>20</v>
          </cell>
          <cell r="O298">
            <v>0</v>
          </cell>
          <cell r="P298">
            <v>0</v>
          </cell>
          <cell r="Q298">
            <v>0</v>
          </cell>
          <cell r="R298">
            <v>0</v>
          </cell>
          <cell r="S298">
            <v>0</v>
          </cell>
        </row>
        <row r="299">
          <cell r="C299">
            <v>83</v>
          </cell>
          <cell r="I299">
            <v>0</v>
          </cell>
          <cell r="J299">
            <v>3</v>
          </cell>
          <cell r="K299">
            <v>0</v>
          </cell>
          <cell r="L299">
            <v>0</v>
          </cell>
          <cell r="M299">
            <v>0</v>
          </cell>
          <cell r="N299">
            <v>20</v>
          </cell>
          <cell r="O299">
            <v>0</v>
          </cell>
          <cell r="P299">
            <v>0</v>
          </cell>
          <cell r="Q299">
            <v>0</v>
          </cell>
          <cell r="R299">
            <v>0</v>
          </cell>
          <cell r="S299">
            <v>0</v>
          </cell>
        </row>
        <row r="300">
          <cell r="C300">
            <v>425</v>
          </cell>
          <cell r="I300">
            <v>0</v>
          </cell>
          <cell r="J300">
            <v>9</v>
          </cell>
          <cell r="K300">
            <v>0</v>
          </cell>
          <cell r="L300">
            <v>0</v>
          </cell>
          <cell r="M300">
            <v>0</v>
          </cell>
          <cell r="N300">
            <v>20</v>
          </cell>
          <cell r="O300">
            <v>0</v>
          </cell>
          <cell r="P300">
            <v>0</v>
          </cell>
          <cell r="Q300">
            <v>0</v>
          </cell>
          <cell r="R300">
            <v>0</v>
          </cell>
          <cell r="S300">
            <v>0</v>
          </cell>
        </row>
        <row r="301">
          <cell r="C301">
            <v>82</v>
          </cell>
          <cell r="I301">
            <v>0</v>
          </cell>
          <cell r="J301">
            <v>11</v>
          </cell>
          <cell r="K301">
            <v>0</v>
          </cell>
          <cell r="L301">
            <v>0</v>
          </cell>
          <cell r="M301">
            <v>0</v>
          </cell>
          <cell r="N301">
            <v>20</v>
          </cell>
          <cell r="O301">
            <v>0</v>
          </cell>
          <cell r="P301">
            <v>0</v>
          </cell>
          <cell r="Q301">
            <v>0</v>
          </cell>
          <cell r="R301">
            <v>0</v>
          </cell>
          <cell r="S301">
            <v>0</v>
          </cell>
        </row>
        <row r="302">
          <cell r="C302">
            <v>422</v>
          </cell>
          <cell r="I302">
            <v>0</v>
          </cell>
          <cell r="J302">
            <v>5</v>
          </cell>
          <cell r="K302">
            <v>0</v>
          </cell>
          <cell r="L302">
            <v>0</v>
          </cell>
          <cell r="M302">
            <v>0</v>
          </cell>
          <cell r="N302">
            <v>20</v>
          </cell>
          <cell r="O302">
            <v>0</v>
          </cell>
          <cell r="P302">
            <v>0</v>
          </cell>
          <cell r="Q302">
            <v>0</v>
          </cell>
          <cell r="R302">
            <v>0</v>
          </cell>
          <cell r="S302">
            <v>0</v>
          </cell>
        </row>
        <row r="303">
          <cell r="C303">
            <v>421</v>
          </cell>
          <cell r="I303">
            <v>0</v>
          </cell>
          <cell r="J303">
            <v>6</v>
          </cell>
          <cell r="K303">
            <v>0</v>
          </cell>
          <cell r="L303">
            <v>0</v>
          </cell>
          <cell r="M303">
            <v>0</v>
          </cell>
          <cell r="N303">
            <v>20</v>
          </cell>
          <cell r="O303">
            <v>0</v>
          </cell>
          <cell r="P303">
            <v>0</v>
          </cell>
          <cell r="Q303">
            <v>0</v>
          </cell>
          <cell r="R303">
            <v>0</v>
          </cell>
          <cell r="S303">
            <v>0</v>
          </cell>
        </row>
        <row r="304">
          <cell r="C304">
            <v>394</v>
          </cell>
          <cell r="I304">
            <v>0</v>
          </cell>
          <cell r="J304">
            <v>10</v>
          </cell>
          <cell r="K304">
            <v>0</v>
          </cell>
          <cell r="L304">
            <v>0</v>
          </cell>
          <cell r="M304">
            <v>0</v>
          </cell>
          <cell r="N304">
            <v>10</v>
          </cell>
          <cell r="O304">
            <v>0</v>
          </cell>
          <cell r="P304">
            <v>0</v>
          </cell>
          <cell r="Q304">
            <v>0</v>
          </cell>
          <cell r="R304">
            <v>0</v>
          </cell>
          <cell r="S304">
            <v>0</v>
          </cell>
        </row>
        <row r="305">
          <cell r="C305">
            <v>404</v>
          </cell>
          <cell r="I305">
            <v>0</v>
          </cell>
          <cell r="J305">
            <v>2</v>
          </cell>
          <cell r="K305">
            <v>0</v>
          </cell>
          <cell r="L305">
            <v>0</v>
          </cell>
          <cell r="M305">
            <v>0</v>
          </cell>
          <cell r="N305">
            <v>5</v>
          </cell>
          <cell r="O305">
            <v>0</v>
          </cell>
          <cell r="P305">
            <v>0</v>
          </cell>
          <cell r="Q305">
            <v>0</v>
          </cell>
          <cell r="R305">
            <v>0</v>
          </cell>
          <cell r="S305">
            <v>0</v>
          </cell>
        </row>
        <row r="306">
          <cell r="C306">
            <v>401</v>
          </cell>
          <cell r="I306">
            <v>0</v>
          </cell>
          <cell r="J306">
            <v>11</v>
          </cell>
          <cell r="K306">
            <v>0</v>
          </cell>
          <cell r="L306">
            <v>0</v>
          </cell>
          <cell r="M306">
            <v>0</v>
          </cell>
          <cell r="N306">
            <v>12</v>
          </cell>
          <cell r="O306">
            <v>0</v>
          </cell>
          <cell r="P306">
            <v>0</v>
          </cell>
          <cell r="Q306">
            <v>0</v>
          </cell>
          <cell r="R306">
            <v>0</v>
          </cell>
          <cell r="S306">
            <v>0</v>
          </cell>
        </row>
        <row r="307">
          <cell r="C307">
            <v>402</v>
          </cell>
          <cell r="I307">
            <v>0</v>
          </cell>
          <cell r="J307">
            <v>8</v>
          </cell>
          <cell r="K307">
            <v>0</v>
          </cell>
          <cell r="L307">
            <v>0</v>
          </cell>
          <cell r="M307">
            <v>0</v>
          </cell>
          <cell r="N307">
            <v>24</v>
          </cell>
          <cell r="O307">
            <v>0</v>
          </cell>
          <cell r="P307">
            <v>0</v>
          </cell>
          <cell r="Q307">
            <v>0</v>
          </cell>
          <cell r="R307">
            <v>0</v>
          </cell>
          <cell r="S307">
            <v>0</v>
          </cell>
        </row>
        <row r="308">
          <cell r="C308">
            <v>403</v>
          </cell>
          <cell r="I308">
            <v>0</v>
          </cell>
          <cell r="J308">
            <v>9</v>
          </cell>
          <cell r="K308">
            <v>0</v>
          </cell>
          <cell r="L308">
            <v>0</v>
          </cell>
          <cell r="M308">
            <v>0</v>
          </cell>
          <cell r="N308">
            <v>24</v>
          </cell>
          <cell r="O308">
            <v>0</v>
          </cell>
          <cell r="P308">
            <v>0</v>
          </cell>
          <cell r="Q308">
            <v>0</v>
          </cell>
          <cell r="R308">
            <v>0</v>
          </cell>
          <cell r="S308">
            <v>0</v>
          </cell>
        </row>
        <row r="309">
          <cell r="C309">
            <v>390</v>
          </cell>
          <cell r="I309">
            <v>0</v>
          </cell>
          <cell r="J309">
            <v>23</v>
          </cell>
          <cell r="K309">
            <v>0</v>
          </cell>
          <cell r="L309">
            <v>0</v>
          </cell>
          <cell r="M309">
            <v>0</v>
          </cell>
          <cell r="N309">
            <v>60</v>
          </cell>
          <cell r="O309">
            <v>0</v>
          </cell>
          <cell r="P309">
            <v>0</v>
          </cell>
          <cell r="Q309">
            <v>0</v>
          </cell>
          <cell r="R309">
            <v>0</v>
          </cell>
          <cell r="S309">
            <v>0</v>
          </cell>
        </row>
        <row r="310">
          <cell r="C310">
            <v>412</v>
          </cell>
          <cell r="I310">
            <v>0</v>
          </cell>
          <cell r="J310">
            <v>1</v>
          </cell>
          <cell r="K310">
            <v>0</v>
          </cell>
          <cell r="L310">
            <v>0</v>
          </cell>
          <cell r="M310">
            <v>0</v>
          </cell>
          <cell r="N310">
            <v>1</v>
          </cell>
          <cell r="O310">
            <v>0</v>
          </cell>
          <cell r="P310">
            <v>0</v>
          </cell>
          <cell r="Q310">
            <v>0</v>
          </cell>
          <cell r="R310">
            <v>0</v>
          </cell>
          <cell r="S310">
            <v>0</v>
          </cell>
        </row>
        <row r="311">
          <cell r="C311">
            <v>426</v>
          </cell>
          <cell r="I311">
            <v>0</v>
          </cell>
          <cell r="J311">
            <v>3</v>
          </cell>
          <cell r="K311">
            <v>0</v>
          </cell>
          <cell r="L311">
            <v>0</v>
          </cell>
          <cell r="M311">
            <v>0</v>
          </cell>
          <cell r="N311">
            <v>10</v>
          </cell>
          <cell r="O311">
            <v>0</v>
          </cell>
          <cell r="P311">
            <v>0</v>
          </cell>
          <cell r="Q311">
            <v>0</v>
          </cell>
          <cell r="R311">
            <v>0</v>
          </cell>
          <cell r="S311">
            <v>0</v>
          </cell>
        </row>
        <row r="312">
          <cell r="C312">
            <v>427</v>
          </cell>
          <cell r="I312">
            <v>0</v>
          </cell>
          <cell r="J312">
            <v>2</v>
          </cell>
          <cell r="K312">
            <v>0</v>
          </cell>
          <cell r="L312">
            <v>0</v>
          </cell>
          <cell r="M312">
            <v>0</v>
          </cell>
          <cell r="N312">
            <v>10</v>
          </cell>
          <cell r="O312">
            <v>0</v>
          </cell>
          <cell r="P312">
            <v>0</v>
          </cell>
          <cell r="Q312">
            <v>0</v>
          </cell>
          <cell r="R312">
            <v>0</v>
          </cell>
          <cell r="S312">
            <v>0</v>
          </cell>
        </row>
        <row r="313">
          <cell r="C313">
            <v>428</v>
          </cell>
          <cell r="I313">
            <v>0</v>
          </cell>
          <cell r="J313">
            <v>3</v>
          </cell>
          <cell r="K313">
            <v>0</v>
          </cell>
          <cell r="L313">
            <v>0</v>
          </cell>
          <cell r="M313">
            <v>0</v>
          </cell>
          <cell r="N313">
            <v>10</v>
          </cell>
          <cell r="O313">
            <v>0</v>
          </cell>
          <cell r="P313">
            <v>0</v>
          </cell>
          <cell r="Q313">
            <v>0</v>
          </cell>
          <cell r="R313">
            <v>0</v>
          </cell>
          <cell r="S313">
            <v>0</v>
          </cell>
        </row>
        <row r="314">
          <cell r="C314">
            <v>429</v>
          </cell>
          <cell r="I314">
            <v>0</v>
          </cell>
          <cell r="J314">
            <v>7</v>
          </cell>
          <cell r="K314">
            <v>0</v>
          </cell>
          <cell r="L314">
            <v>0</v>
          </cell>
          <cell r="M314">
            <v>0</v>
          </cell>
          <cell r="N314">
            <v>12</v>
          </cell>
          <cell r="O314">
            <v>0</v>
          </cell>
          <cell r="P314">
            <v>0</v>
          </cell>
          <cell r="Q314">
            <v>0</v>
          </cell>
          <cell r="R314">
            <v>0</v>
          </cell>
          <cell r="S314">
            <v>0</v>
          </cell>
        </row>
        <row r="315">
          <cell r="C315">
            <v>395</v>
          </cell>
          <cell r="I315">
            <v>0</v>
          </cell>
          <cell r="J315">
            <v>23</v>
          </cell>
          <cell r="K315">
            <v>0</v>
          </cell>
          <cell r="L315">
            <v>0</v>
          </cell>
          <cell r="M315">
            <v>0</v>
          </cell>
          <cell r="N315">
            <v>21</v>
          </cell>
          <cell r="O315">
            <v>0</v>
          </cell>
          <cell r="P315">
            <v>0</v>
          </cell>
          <cell r="Q315">
            <v>0</v>
          </cell>
          <cell r="R315">
            <v>0</v>
          </cell>
          <cell r="S315">
            <v>0</v>
          </cell>
        </row>
        <row r="316">
          <cell r="C316">
            <v>399</v>
          </cell>
          <cell r="I316">
            <v>0</v>
          </cell>
          <cell r="J316">
            <v>22</v>
          </cell>
          <cell r="K316">
            <v>0</v>
          </cell>
          <cell r="L316">
            <v>0</v>
          </cell>
          <cell r="M316">
            <v>0</v>
          </cell>
          <cell r="N316">
            <v>21</v>
          </cell>
          <cell r="O316">
            <v>0</v>
          </cell>
          <cell r="P316">
            <v>0</v>
          </cell>
          <cell r="Q316">
            <v>0</v>
          </cell>
          <cell r="R316">
            <v>0</v>
          </cell>
          <cell r="S316">
            <v>0</v>
          </cell>
        </row>
        <row r="317">
          <cell r="C317">
            <v>199</v>
          </cell>
          <cell r="I317">
            <v>0</v>
          </cell>
          <cell r="J317">
            <v>40</v>
          </cell>
          <cell r="K317">
            <v>0</v>
          </cell>
          <cell r="L317">
            <v>0</v>
          </cell>
          <cell r="M317">
            <v>0</v>
          </cell>
          <cell r="N317">
            <v>40</v>
          </cell>
          <cell r="O317">
            <v>0</v>
          </cell>
          <cell r="P317">
            <v>0</v>
          </cell>
          <cell r="Q317">
            <v>0</v>
          </cell>
          <cell r="R317">
            <v>0</v>
          </cell>
          <cell r="S317">
            <v>0</v>
          </cell>
        </row>
        <row r="318">
          <cell r="C318">
            <v>358</v>
          </cell>
          <cell r="I318">
            <v>0</v>
          </cell>
          <cell r="J318">
            <v>15</v>
          </cell>
          <cell r="K318">
            <v>0</v>
          </cell>
          <cell r="L318">
            <v>0</v>
          </cell>
          <cell r="M318">
            <v>0</v>
          </cell>
          <cell r="N318">
            <v>20</v>
          </cell>
          <cell r="O318">
            <v>0</v>
          </cell>
          <cell r="P318">
            <v>0</v>
          </cell>
          <cell r="Q318">
            <v>0</v>
          </cell>
          <cell r="R318">
            <v>0</v>
          </cell>
          <cell r="S318">
            <v>0</v>
          </cell>
        </row>
        <row r="319">
          <cell r="C319">
            <v>396</v>
          </cell>
          <cell r="I319">
            <v>0</v>
          </cell>
          <cell r="J319">
            <v>6</v>
          </cell>
          <cell r="K319">
            <v>0</v>
          </cell>
          <cell r="L319">
            <v>0</v>
          </cell>
          <cell r="M319">
            <v>0</v>
          </cell>
          <cell r="N319">
            <v>20</v>
          </cell>
          <cell r="O319">
            <v>0</v>
          </cell>
          <cell r="P319">
            <v>0</v>
          </cell>
          <cell r="Q319">
            <v>0</v>
          </cell>
          <cell r="R319">
            <v>0</v>
          </cell>
          <cell r="S319">
            <v>0</v>
          </cell>
        </row>
        <row r="320">
          <cell r="C320">
            <v>398</v>
          </cell>
          <cell r="I320">
            <v>0</v>
          </cell>
          <cell r="J320">
            <v>10</v>
          </cell>
          <cell r="K320">
            <v>0</v>
          </cell>
          <cell r="L320">
            <v>0</v>
          </cell>
          <cell r="M320">
            <v>0</v>
          </cell>
          <cell r="N320">
            <v>25</v>
          </cell>
          <cell r="O320">
            <v>0</v>
          </cell>
          <cell r="P320">
            <v>0</v>
          </cell>
          <cell r="Q320">
            <v>0</v>
          </cell>
          <cell r="R320">
            <v>0</v>
          </cell>
          <cell r="S320">
            <v>0</v>
          </cell>
        </row>
        <row r="321">
          <cell r="C321">
            <v>397</v>
          </cell>
          <cell r="I321">
            <v>0</v>
          </cell>
          <cell r="J321">
            <v>79</v>
          </cell>
          <cell r="K321">
            <v>0</v>
          </cell>
          <cell r="L321">
            <v>0</v>
          </cell>
          <cell r="M321">
            <v>0</v>
          </cell>
          <cell r="N321">
            <v>800</v>
          </cell>
          <cell r="O321">
            <v>0</v>
          </cell>
          <cell r="P321">
            <v>0</v>
          </cell>
          <cell r="Q321">
            <v>0</v>
          </cell>
          <cell r="R321">
            <v>0</v>
          </cell>
          <cell r="S321">
            <v>0</v>
          </cell>
        </row>
        <row r="322">
          <cell r="C322">
            <v>433</v>
          </cell>
          <cell r="I322">
            <v>0</v>
          </cell>
          <cell r="J322">
            <v>79</v>
          </cell>
          <cell r="K322">
            <v>0</v>
          </cell>
          <cell r="L322">
            <v>0</v>
          </cell>
          <cell r="M322">
            <v>0</v>
          </cell>
          <cell r="N322">
            <v>800</v>
          </cell>
          <cell r="O322">
            <v>0</v>
          </cell>
          <cell r="P322">
            <v>0</v>
          </cell>
          <cell r="Q322">
            <v>0</v>
          </cell>
          <cell r="R322">
            <v>0</v>
          </cell>
          <cell r="S322">
            <v>0</v>
          </cell>
        </row>
        <row r="323">
          <cell r="C323">
            <v>408</v>
          </cell>
          <cell r="I323">
            <v>0</v>
          </cell>
          <cell r="J323">
            <v>10</v>
          </cell>
          <cell r="K323">
            <v>0</v>
          </cell>
          <cell r="L323">
            <v>0</v>
          </cell>
          <cell r="M323">
            <v>0</v>
          </cell>
          <cell r="N323">
            <v>10</v>
          </cell>
          <cell r="O323">
            <v>0</v>
          </cell>
          <cell r="P323">
            <v>0</v>
          </cell>
          <cell r="Q323">
            <v>0</v>
          </cell>
          <cell r="R323">
            <v>0</v>
          </cell>
          <cell r="S323">
            <v>0</v>
          </cell>
        </row>
        <row r="324">
          <cell r="C324">
            <v>409</v>
          </cell>
          <cell r="I324">
            <v>0</v>
          </cell>
          <cell r="J324">
            <v>4</v>
          </cell>
          <cell r="K324">
            <v>0</v>
          </cell>
          <cell r="L324">
            <v>0</v>
          </cell>
          <cell r="M324">
            <v>0</v>
          </cell>
          <cell r="N324">
            <v>10</v>
          </cell>
          <cell r="O324">
            <v>0</v>
          </cell>
          <cell r="P324">
            <v>0</v>
          </cell>
          <cell r="Q324">
            <v>0</v>
          </cell>
          <cell r="R324">
            <v>0</v>
          </cell>
          <cell r="S324">
            <v>0</v>
          </cell>
        </row>
        <row r="325">
          <cell r="C325">
            <v>410</v>
          </cell>
          <cell r="I325">
            <v>0</v>
          </cell>
          <cell r="J325">
            <v>4</v>
          </cell>
          <cell r="K325">
            <v>0</v>
          </cell>
          <cell r="L325">
            <v>0</v>
          </cell>
          <cell r="M325">
            <v>0</v>
          </cell>
          <cell r="N325">
            <v>10</v>
          </cell>
          <cell r="O325">
            <v>0</v>
          </cell>
          <cell r="P325">
            <v>0</v>
          </cell>
          <cell r="Q325">
            <v>0</v>
          </cell>
          <cell r="R325">
            <v>0</v>
          </cell>
          <cell r="S325">
            <v>0</v>
          </cell>
        </row>
        <row r="326">
          <cell r="C326">
            <v>391</v>
          </cell>
          <cell r="I326">
            <v>0</v>
          </cell>
          <cell r="J326">
            <v>5</v>
          </cell>
          <cell r="K326">
            <v>0</v>
          </cell>
          <cell r="L326">
            <v>0</v>
          </cell>
          <cell r="M326">
            <v>0</v>
          </cell>
          <cell r="N326">
            <v>10</v>
          </cell>
          <cell r="O326">
            <v>0</v>
          </cell>
          <cell r="P326">
            <v>0</v>
          </cell>
          <cell r="Q326">
            <v>0</v>
          </cell>
          <cell r="R326">
            <v>0</v>
          </cell>
          <cell r="S326">
            <v>0</v>
          </cell>
        </row>
        <row r="327">
          <cell r="C327">
            <v>392</v>
          </cell>
          <cell r="I327">
            <v>0</v>
          </cell>
          <cell r="J327">
            <v>3</v>
          </cell>
          <cell r="K327">
            <v>0</v>
          </cell>
          <cell r="L327">
            <v>0</v>
          </cell>
          <cell r="M327">
            <v>0</v>
          </cell>
          <cell r="N327">
            <v>10</v>
          </cell>
          <cell r="O327">
            <v>0</v>
          </cell>
          <cell r="P327">
            <v>0</v>
          </cell>
          <cell r="Q327">
            <v>0</v>
          </cell>
          <cell r="R327">
            <v>0</v>
          </cell>
          <cell r="S327">
            <v>0</v>
          </cell>
        </row>
        <row r="328">
          <cell r="C328">
            <v>393</v>
          </cell>
          <cell r="I328">
            <v>0</v>
          </cell>
          <cell r="J328">
            <v>2</v>
          </cell>
          <cell r="K328">
            <v>0</v>
          </cell>
          <cell r="L328">
            <v>0</v>
          </cell>
          <cell r="M328">
            <v>0</v>
          </cell>
          <cell r="N328">
            <v>10</v>
          </cell>
          <cell r="O328">
            <v>0</v>
          </cell>
          <cell r="P328">
            <v>0</v>
          </cell>
          <cell r="Q328">
            <v>0</v>
          </cell>
          <cell r="R328">
            <v>0</v>
          </cell>
          <cell r="S328">
            <v>0</v>
          </cell>
        </row>
        <row r="329">
          <cell r="C329">
            <v>411</v>
          </cell>
          <cell r="I329">
            <v>0</v>
          </cell>
          <cell r="J329">
            <v>10</v>
          </cell>
          <cell r="K329">
            <v>0</v>
          </cell>
          <cell r="L329">
            <v>0</v>
          </cell>
          <cell r="M329">
            <v>0</v>
          </cell>
          <cell r="N329">
            <v>10</v>
          </cell>
          <cell r="O329">
            <v>0</v>
          </cell>
          <cell r="P329">
            <v>0</v>
          </cell>
          <cell r="Q329">
            <v>0</v>
          </cell>
          <cell r="R329">
            <v>0</v>
          </cell>
          <cell r="S329">
            <v>0</v>
          </cell>
        </row>
        <row r="330">
          <cell r="C330">
            <v>414</v>
          </cell>
          <cell r="I330">
            <v>0</v>
          </cell>
          <cell r="J330">
            <v>10</v>
          </cell>
          <cell r="K330">
            <v>0</v>
          </cell>
          <cell r="L330">
            <v>0</v>
          </cell>
          <cell r="M330">
            <v>0</v>
          </cell>
          <cell r="N330">
            <v>10</v>
          </cell>
          <cell r="O330">
            <v>0</v>
          </cell>
          <cell r="P330">
            <v>0</v>
          </cell>
          <cell r="Q330">
            <v>0</v>
          </cell>
          <cell r="R330">
            <v>0</v>
          </cell>
          <cell r="S330">
            <v>0</v>
          </cell>
        </row>
        <row r="331">
          <cell r="C331">
            <v>415</v>
          </cell>
          <cell r="I331">
            <v>0</v>
          </cell>
          <cell r="J331">
            <v>5</v>
          </cell>
          <cell r="K331">
            <v>0</v>
          </cell>
          <cell r="L331">
            <v>0</v>
          </cell>
          <cell r="M331">
            <v>0</v>
          </cell>
          <cell r="N331">
            <v>10</v>
          </cell>
          <cell r="O331">
            <v>0</v>
          </cell>
          <cell r="P331">
            <v>0</v>
          </cell>
          <cell r="Q331">
            <v>0</v>
          </cell>
          <cell r="R331">
            <v>0</v>
          </cell>
          <cell r="S331">
            <v>0</v>
          </cell>
        </row>
        <row r="332">
          <cell r="C332">
            <v>416</v>
          </cell>
          <cell r="I332">
            <v>0</v>
          </cell>
          <cell r="J332">
            <v>3</v>
          </cell>
          <cell r="K332">
            <v>0</v>
          </cell>
          <cell r="L332">
            <v>0</v>
          </cell>
          <cell r="M332">
            <v>0</v>
          </cell>
          <cell r="N332">
            <v>5</v>
          </cell>
          <cell r="O332">
            <v>0</v>
          </cell>
          <cell r="P332">
            <v>0</v>
          </cell>
          <cell r="Q332">
            <v>0</v>
          </cell>
          <cell r="R332">
            <v>0</v>
          </cell>
          <cell r="S332">
            <v>0</v>
          </cell>
        </row>
        <row r="333">
          <cell r="C333">
            <v>413</v>
          </cell>
          <cell r="I333">
            <v>0</v>
          </cell>
          <cell r="J333">
            <v>10</v>
          </cell>
          <cell r="K333">
            <v>0</v>
          </cell>
          <cell r="L333">
            <v>0</v>
          </cell>
          <cell r="M333">
            <v>0</v>
          </cell>
          <cell r="N333">
            <v>10</v>
          </cell>
          <cell r="O333">
            <v>0</v>
          </cell>
          <cell r="P333">
            <v>0</v>
          </cell>
          <cell r="Q333">
            <v>0</v>
          </cell>
          <cell r="R333">
            <v>0</v>
          </cell>
          <cell r="S333">
            <v>0</v>
          </cell>
        </row>
        <row r="334">
          <cell r="C334">
            <v>418</v>
          </cell>
          <cell r="I334">
            <v>0</v>
          </cell>
          <cell r="J334">
            <v>0</v>
          </cell>
          <cell r="K334">
            <v>0</v>
          </cell>
          <cell r="L334">
            <v>0</v>
          </cell>
          <cell r="M334">
            <v>0</v>
          </cell>
          <cell r="N334">
            <v>2</v>
          </cell>
          <cell r="O334">
            <v>0</v>
          </cell>
          <cell r="P334">
            <v>0</v>
          </cell>
          <cell r="Q334">
            <v>0</v>
          </cell>
          <cell r="R334">
            <v>0</v>
          </cell>
          <cell r="S334">
            <v>0</v>
          </cell>
        </row>
        <row r="335">
          <cell r="C335">
            <v>419</v>
          </cell>
          <cell r="I335">
            <v>0</v>
          </cell>
          <cell r="J335">
            <v>0</v>
          </cell>
          <cell r="K335">
            <v>0</v>
          </cell>
          <cell r="L335">
            <v>0</v>
          </cell>
          <cell r="M335">
            <v>0</v>
          </cell>
          <cell r="N335">
            <v>2</v>
          </cell>
          <cell r="O335">
            <v>0</v>
          </cell>
          <cell r="P335">
            <v>0</v>
          </cell>
          <cell r="Q335">
            <v>0</v>
          </cell>
          <cell r="R335">
            <v>0</v>
          </cell>
          <cell r="S335">
            <v>0</v>
          </cell>
        </row>
        <row r="336">
          <cell r="C336">
            <v>405</v>
          </cell>
          <cell r="I336">
            <v>0</v>
          </cell>
          <cell r="J336">
            <v>0</v>
          </cell>
          <cell r="K336">
            <v>0</v>
          </cell>
          <cell r="L336">
            <v>0</v>
          </cell>
          <cell r="M336">
            <v>0</v>
          </cell>
          <cell r="N336">
            <v>10</v>
          </cell>
          <cell r="O336">
            <v>0</v>
          </cell>
          <cell r="P336">
            <v>0</v>
          </cell>
          <cell r="Q336">
            <v>0</v>
          </cell>
          <cell r="R336">
            <v>0</v>
          </cell>
          <cell r="S336">
            <v>0</v>
          </cell>
        </row>
        <row r="337">
          <cell r="C337">
            <v>406</v>
          </cell>
          <cell r="I337">
            <v>0</v>
          </cell>
          <cell r="J337">
            <v>0</v>
          </cell>
          <cell r="K337">
            <v>0</v>
          </cell>
          <cell r="L337">
            <v>0</v>
          </cell>
          <cell r="M337">
            <v>0</v>
          </cell>
          <cell r="N337">
            <v>5</v>
          </cell>
          <cell r="O337">
            <v>0</v>
          </cell>
          <cell r="P337">
            <v>0</v>
          </cell>
          <cell r="Q337">
            <v>0</v>
          </cell>
          <cell r="R337">
            <v>0</v>
          </cell>
          <cell r="S337">
            <v>0</v>
          </cell>
        </row>
        <row r="338">
          <cell r="C338">
            <v>407</v>
          </cell>
          <cell r="I338">
            <v>0</v>
          </cell>
          <cell r="J338">
            <v>2</v>
          </cell>
          <cell r="K338">
            <v>0</v>
          </cell>
          <cell r="L338">
            <v>0</v>
          </cell>
          <cell r="M338">
            <v>0</v>
          </cell>
          <cell r="N338">
            <v>5</v>
          </cell>
          <cell r="O338">
            <v>0</v>
          </cell>
          <cell r="P338">
            <v>0</v>
          </cell>
          <cell r="Q338">
            <v>0</v>
          </cell>
          <cell r="R338">
            <v>0</v>
          </cell>
          <cell r="S338">
            <v>0</v>
          </cell>
        </row>
      </sheetData>
      <sheetData sheetId="18">
        <row r="8">
          <cell r="C8">
            <v>6</v>
          </cell>
          <cell r="F8">
            <v>1</v>
          </cell>
          <cell r="I8">
            <v>46174</v>
          </cell>
          <cell r="J8">
            <v>0</v>
          </cell>
          <cell r="K8">
            <v>10</v>
          </cell>
          <cell r="L8">
            <v>0</v>
          </cell>
          <cell r="M8">
            <v>20</v>
          </cell>
        </row>
        <row r="9">
          <cell r="C9">
            <v>153</v>
          </cell>
          <cell r="F9">
            <v>1</v>
          </cell>
          <cell r="I9">
            <v>46174</v>
          </cell>
          <cell r="J9">
            <v>0</v>
          </cell>
          <cell r="K9">
            <v>1</v>
          </cell>
          <cell r="L9">
            <v>0</v>
          </cell>
          <cell r="M9">
            <v>0</v>
          </cell>
        </row>
        <row r="10">
          <cell r="C10">
            <v>179</v>
          </cell>
          <cell r="F10">
            <v>1</v>
          </cell>
          <cell r="I10">
            <v>46174</v>
          </cell>
          <cell r="J10">
            <v>0</v>
          </cell>
          <cell r="K10">
            <v>15</v>
          </cell>
          <cell r="L10">
            <v>0</v>
          </cell>
          <cell r="M10">
            <v>0</v>
          </cell>
        </row>
        <row r="11">
          <cell r="C11">
            <v>192</v>
          </cell>
          <cell r="F11">
            <v>1</v>
          </cell>
          <cell r="I11">
            <v>46174</v>
          </cell>
          <cell r="J11">
            <v>0</v>
          </cell>
          <cell r="K11">
            <v>4</v>
          </cell>
          <cell r="L11">
            <v>0</v>
          </cell>
          <cell r="M11">
            <v>0</v>
          </cell>
        </row>
        <row r="12">
          <cell r="C12">
            <v>187</v>
          </cell>
          <cell r="F12">
            <v>1</v>
          </cell>
          <cell r="I12">
            <v>46174</v>
          </cell>
          <cell r="J12">
            <v>0</v>
          </cell>
          <cell r="K12">
            <v>12</v>
          </cell>
          <cell r="L12">
            <v>0</v>
          </cell>
          <cell r="M12">
            <v>0</v>
          </cell>
        </row>
        <row r="13">
          <cell r="C13">
            <v>4</v>
          </cell>
          <cell r="F13">
            <v>1</v>
          </cell>
          <cell r="I13">
            <v>46174</v>
          </cell>
          <cell r="J13">
            <v>0</v>
          </cell>
          <cell r="K13">
            <v>1</v>
          </cell>
          <cell r="L13">
            <v>0</v>
          </cell>
          <cell r="M13">
            <v>8</v>
          </cell>
        </row>
        <row r="14">
          <cell r="C14">
            <v>10</v>
          </cell>
          <cell r="F14">
            <v>1</v>
          </cell>
          <cell r="I14">
            <v>46174</v>
          </cell>
          <cell r="J14">
            <v>0</v>
          </cell>
          <cell r="K14">
            <v>1</v>
          </cell>
          <cell r="L14">
            <v>0</v>
          </cell>
          <cell r="M14">
            <v>0</v>
          </cell>
        </row>
        <row r="15">
          <cell r="C15">
            <v>105</v>
          </cell>
          <cell r="F15">
            <v>1</v>
          </cell>
          <cell r="I15">
            <v>46174</v>
          </cell>
          <cell r="J15">
            <v>0</v>
          </cell>
          <cell r="K15">
            <v>1</v>
          </cell>
          <cell r="L15">
            <v>0</v>
          </cell>
          <cell r="M15">
            <v>0</v>
          </cell>
        </row>
        <row r="16">
          <cell r="C16">
            <v>48</v>
          </cell>
          <cell r="F16">
            <v>1</v>
          </cell>
          <cell r="I16">
            <v>46174</v>
          </cell>
          <cell r="J16">
            <v>0</v>
          </cell>
          <cell r="K16">
            <v>3</v>
          </cell>
          <cell r="L16">
            <v>0</v>
          </cell>
          <cell r="M16">
            <v>14</v>
          </cell>
        </row>
        <row r="17">
          <cell r="C17">
            <v>169</v>
          </cell>
          <cell r="F17">
            <v>1</v>
          </cell>
          <cell r="I17">
            <v>46174</v>
          </cell>
          <cell r="J17">
            <v>0</v>
          </cell>
          <cell r="K17">
            <v>1</v>
          </cell>
          <cell r="L17">
            <v>0</v>
          </cell>
          <cell r="M17">
            <v>0</v>
          </cell>
        </row>
        <row r="18">
          <cell r="C18">
            <v>195</v>
          </cell>
          <cell r="F18">
            <v>1</v>
          </cell>
          <cell r="I18">
            <v>46175</v>
          </cell>
          <cell r="J18">
            <v>0</v>
          </cell>
          <cell r="K18">
            <v>24</v>
          </cell>
          <cell r="L18">
            <v>0</v>
          </cell>
          <cell r="M18">
            <v>0</v>
          </cell>
        </row>
        <row r="19">
          <cell r="C19">
            <v>187</v>
          </cell>
          <cell r="F19">
            <v>1</v>
          </cell>
          <cell r="I19">
            <v>46175</v>
          </cell>
          <cell r="J19">
            <v>0</v>
          </cell>
          <cell r="K19">
            <v>44</v>
          </cell>
          <cell r="L19">
            <v>0</v>
          </cell>
          <cell r="M19">
            <v>0</v>
          </cell>
        </row>
        <row r="20">
          <cell r="C20">
            <v>186</v>
          </cell>
          <cell r="F20">
            <v>1</v>
          </cell>
          <cell r="I20">
            <v>46175</v>
          </cell>
          <cell r="J20">
            <v>0</v>
          </cell>
          <cell r="K20">
            <v>12</v>
          </cell>
          <cell r="L20">
            <v>0</v>
          </cell>
          <cell r="M20">
            <v>0</v>
          </cell>
        </row>
        <row r="21">
          <cell r="C21">
            <v>182</v>
          </cell>
          <cell r="F21">
            <v>1</v>
          </cell>
          <cell r="I21">
            <v>46175</v>
          </cell>
          <cell r="J21">
            <v>0</v>
          </cell>
          <cell r="K21">
            <v>60</v>
          </cell>
          <cell r="L21">
            <v>0</v>
          </cell>
          <cell r="M21">
            <v>0</v>
          </cell>
        </row>
        <row r="22">
          <cell r="C22">
            <v>96</v>
          </cell>
          <cell r="F22">
            <v>1</v>
          </cell>
          <cell r="I22">
            <v>46175</v>
          </cell>
          <cell r="J22">
            <v>0</v>
          </cell>
          <cell r="K22">
            <v>2</v>
          </cell>
          <cell r="L22">
            <v>0</v>
          </cell>
          <cell r="M22">
            <v>0</v>
          </cell>
        </row>
        <row r="23">
          <cell r="C23">
            <v>97</v>
          </cell>
          <cell r="F23">
            <v>1</v>
          </cell>
          <cell r="I23">
            <v>46175</v>
          </cell>
          <cell r="J23">
            <v>0</v>
          </cell>
          <cell r="K23">
            <v>2</v>
          </cell>
          <cell r="L23">
            <v>0</v>
          </cell>
          <cell r="M23">
            <v>0</v>
          </cell>
        </row>
        <row r="24">
          <cell r="C24">
            <v>22</v>
          </cell>
          <cell r="F24">
            <v>1</v>
          </cell>
          <cell r="I24">
            <v>46175</v>
          </cell>
          <cell r="J24">
            <v>0</v>
          </cell>
          <cell r="K24">
            <v>1</v>
          </cell>
          <cell r="L24">
            <v>0</v>
          </cell>
          <cell r="M24">
            <v>0</v>
          </cell>
        </row>
        <row r="25">
          <cell r="C25">
            <v>46</v>
          </cell>
          <cell r="F25">
            <v>1</v>
          </cell>
          <cell r="I25">
            <v>46175</v>
          </cell>
          <cell r="J25">
            <v>0</v>
          </cell>
          <cell r="K25">
            <v>10</v>
          </cell>
          <cell r="L25">
            <v>0</v>
          </cell>
          <cell r="M25">
            <v>0</v>
          </cell>
        </row>
        <row r="26">
          <cell r="C26">
            <v>197</v>
          </cell>
          <cell r="F26">
            <v>1</v>
          </cell>
          <cell r="I26">
            <v>46175</v>
          </cell>
          <cell r="J26">
            <v>0</v>
          </cell>
          <cell r="K26">
            <v>4</v>
          </cell>
          <cell r="L26">
            <v>0</v>
          </cell>
          <cell r="M26">
            <v>0</v>
          </cell>
        </row>
        <row r="27">
          <cell r="C27">
            <v>17</v>
          </cell>
          <cell r="F27">
            <v>1</v>
          </cell>
          <cell r="I27">
            <v>46175</v>
          </cell>
          <cell r="J27">
            <v>0</v>
          </cell>
          <cell r="K27">
            <v>1</v>
          </cell>
          <cell r="L27">
            <v>0</v>
          </cell>
          <cell r="M27">
            <v>0</v>
          </cell>
        </row>
        <row r="28">
          <cell r="C28">
            <v>155</v>
          </cell>
          <cell r="F28">
            <v>1</v>
          </cell>
          <cell r="I28">
            <v>46175</v>
          </cell>
          <cell r="J28">
            <v>0</v>
          </cell>
          <cell r="K28">
            <v>1</v>
          </cell>
          <cell r="L28">
            <v>0</v>
          </cell>
          <cell r="M28">
            <v>0</v>
          </cell>
        </row>
        <row r="29">
          <cell r="C29">
            <v>1</v>
          </cell>
          <cell r="F29">
            <v>1</v>
          </cell>
          <cell r="I29">
            <v>46143</v>
          </cell>
          <cell r="J29">
            <v>0</v>
          </cell>
          <cell r="K29">
            <v>0</v>
          </cell>
          <cell r="L29">
            <v>0</v>
          </cell>
          <cell r="M29">
            <v>4</v>
          </cell>
        </row>
        <row r="30">
          <cell r="C30">
            <v>2</v>
          </cell>
          <cell r="F30">
            <v>1</v>
          </cell>
          <cell r="I30">
            <v>46143</v>
          </cell>
          <cell r="J30">
            <v>0</v>
          </cell>
          <cell r="K30">
            <v>0</v>
          </cell>
          <cell r="L30">
            <v>0</v>
          </cell>
          <cell r="M30">
            <v>5</v>
          </cell>
        </row>
        <row r="31">
          <cell r="C31">
            <v>4</v>
          </cell>
          <cell r="F31">
            <v>1</v>
          </cell>
          <cell r="I31">
            <v>46143</v>
          </cell>
          <cell r="J31">
            <v>0</v>
          </cell>
          <cell r="K31">
            <v>0</v>
          </cell>
          <cell r="L31">
            <v>0</v>
          </cell>
          <cell r="M31">
            <v>7</v>
          </cell>
        </row>
        <row r="32">
          <cell r="C32">
            <v>5</v>
          </cell>
          <cell r="F32">
            <v>1</v>
          </cell>
          <cell r="I32">
            <v>46143</v>
          </cell>
          <cell r="J32">
            <v>0</v>
          </cell>
          <cell r="K32">
            <v>0</v>
          </cell>
          <cell r="L32">
            <v>0</v>
          </cell>
          <cell r="M32">
            <v>6</v>
          </cell>
        </row>
        <row r="33">
          <cell r="C33">
            <v>10</v>
          </cell>
          <cell r="F33">
            <v>1</v>
          </cell>
          <cell r="I33">
            <v>46143</v>
          </cell>
          <cell r="J33">
            <v>0</v>
          </cell>
          <cell r="K33">
            <v>0</v>
          </cell>
          <cell r="L33">
            <v>0</v>
          </cell>
          <cell r="M33">
            <v>10</v>
          </cell>
        </row>
        <row r="34">
          <cell r="C34">
            <v>11</v>
          </cell>
          <cell r="F34">
            <v>1</v>
          </cell>
          <cell r="I34">
            <v>46143</v>
          </cell>
          <cell r="J34">
            <v>0</v>
          </cell>
          <cell r="K34">
            <v>0</v>
          </cell>
          <cell r="L34">
            <v>0</v>
          </cell>
          <cell r="M34">
            <v>10</v>
          </cell>
        </row>
        <row r="35">
          <cell r="C35">
            <v>13</v>
          </cell>
          <cell r="F35">
            <v>1</v>
          </cell>
          <cell r="I35">
            <v>46143</v>
          </cell>
          <cell r="J35">
            <v>0</v>
          </cell>
          <cell r="K35">
            <v>0</v>
          </cell>
          <cell r="L35">
            <v>0</v>
          </cell>
          <cell r="M35">
            <v>8</v>
          </cell>
        </row>
        <row r="36">
          <cell r="C36">
            <v>14</v>
          </cell>
          <cell r="F36">
            <v>1</v>
          </cell>
          <cell r="I36">
            <v>46143</v>
          </cell>
          <cell r="J36">
            <v>0</v>
          </cell>
          <cell r="K36">
            <v>0</v>
          </cell>
          <cell r="L36">
            <v>0</v>
          </cell>
          <cell r="M36">
            <v>12</v>
          </cell>
        </row>
        <row r="37">
          <cell r="C37">
            <v>16</v>
          </cell>
          <cell r="F37">
            <v>1</v>
          </cell>
          <cell r="I37">
            <v>46143</v>
          </cell>
          <cell r="J37">
            <v>0</v>
          </cell>
          <cell r="K37">
            <v>0</v>
          </cell>
          <cell r="L37">
            <v>0</v>
          </cell>
          <cell r="M37">
            <v>15</v>
          </cell>
        </row>
        <row r="38">
          <cell r="C38">
            <v>17</v>
          </cell>
          <cell r="F38">
            <v>1</v>
          </cell>
          <cell r="I38">
            <v>46143</v>
          </cell>
          <cell r="J38">
            <v>0</v>
          </cell>
          <cell r="K38">
            <v>0</v>
          </cell>
          <cell r="L38">
            <v>0</v>
          </cell>
          <cell r="M38">
            <v>20</v>
          </cell>
        </row>
        <row r="39">
          <cell r="C39">
            <v>18</v>
          </cell>
          <cell r="F39">
            <v>1</v>
          </cell>
          <cell r="I39">
            <v>46143</v>
          </cell>
          <cell r="J39">
            <v>0</v>
          </cell>
          <cell r="K39">
            <v>0</v>
          </cell>
          <cell r="L39">
            <v>0</v>
          </cell>
          <cell r="M39">
            <v>18</v>
          </cell>
        </row>
        <row r="40">
          <cell r="C40">
            <v>19</v>
          </cell>
          <cell r="F40">
            <v>1</v>
          </cell>
          <cell r="I40">
            <v>46143</v>
          </cell>
          <cell r="J40">
            <v>0</v>
          </cell>
          <cell r="K40">
            <v>0</v>
          </cell>
          <cell r="L40">
            <v>0</v>
          </cell>
          <cell r="M40">
            <v>5</v>
          </cell>
        </row>
        <row r="41">
          <cell r="C41">
            <v>20</v>
          </cell>
          <cell r="F41">
            <v>1</v>
          </cell>
          <cell r="I41">
            <v>46143</v>
          </cell>
          <cell r="J41">
            <v>0</v>
          </cell>
          <cell r="K41">
            <v>0</v>
          </cell>
          <cell r="L41">
            <v>0</v>
          </cell>
          <cell r="M41">
            <v>3</v>
          </cell>
        </row>
        <row r="42">
          <cell r="C42">
            <v>22</v>
          </cell>
          <cell r="F42">
            <v>1</v>
          </cell>
          <cell r="I42">
            <v>46143</v>
          </cell>
          <cell r="J42">
            <v>0</v>
          </cell>
          <cell r="K42">
            <v>0</v>
          </cell>
          <cell r="L42">
            <v>0</v>
          </cell>
          <cell r="M42">
            <v>7</v>
          </cell>
        </row>
        <row r="43">
          <cell r="C43">
            <v>26</v>
          </cell>
          <cell r="F43">
            <v>1</v>
          </cell>
          <cell r="I43">
            <v>46146</v>
          </cell>
          <cell r="J43">
            <v>0</v>
          </cell>
          <cell r="K43">
            <v>0</v>
          </cell>
          <cell r="L43">
            <v>0</v>
          </cell>
          <cell r="M43">
            <v>5</v>
          </cell>
        </row>
        <row r="44">
          <cell r="C44">
            <v>101</v>
          </cell>
          <cell r="F44">
            <v>1</v>
          </cell>
          <cell r="I44">
            <v>46146</v>
          </cell>
          <cell r="J44">
            <v>0</v>
          </cell>
          <cell r="K44">
            <v>0</v>
          </cell>
          <cell r="L44">
            <v>0</v>
          </cell>
          <cell r="M44">
            <v>22500</v>
          </cell>
        </row>
        <row r="45">
          <cell r="C45">
            <v>102</v>
          </cell>
          <cell r="F45">
            <v>1</v>
          </cell>
          <cell r="I45">
            <v>46146</v>
          </cell>
          <cell r="J45">
            <v>0</v>
          </cell>
          <cell r="K45">
            <v>0</v>
          </cell>
          <cell r="L45">
            <v>0</v>
          </cell>
          <cell r="M45">
            <v>4</v>
          </cell>
        </row>
        <row r="46">
          <cell r="C46">
            <v>125</v>
          </cell>
          <cell r="F46">
            <v>1</v>
          </cell>
          <cell r="I46">
            <v>46146</v>
          </cell>
          <cell r="J46">
            <v>0</v>
          </cell>
          <cell r="K46">
            <v>0</v>
          </cell>
          <cell r="L46">
            <v>0</v>
          </cell>
          <cell r="M46">
            <v>700</v>
          </cell>
        </row>
        <row r="47">
          <cell r="C47">
            <v>152</v>
          </cell>
          <cell r="F47">
            <v>1</v>
          </cell>
          <cell r="I47">
            <v>46146</v>
          </cell>
          <cell r="J47">
            <v>0</v>
          </cell>
          <cell r="K47">
            <v>0</v>
          </cell>
          <cell r="L47">
            <v>0</v>
          </cell>
          <cell r="M47">
            <v>3</v>
          </cell>
        </row>
        <row r="48">
          <cell r="C48">
            <v>155</v>
          </cell>
          <cell r="F48">
            <v>1</v>
          </cell>
          <cell r="I48">
            <v>46146</v>
          </cell>
          <cell r="J48">
            <v>0</v>
          </cell>
          <cell r="K48">
            <v>0</v>
          </cell>
          <cell r="L48">
            <v>0</v>
          </cell>
          <cell r="M48">
            <v>3</v>
          </cell>
        </row>
        <row r="49">
          <cell r="C49">
            <v>156</v>
          </cell>
          <cell r="F49">
            <v>1</v>
          </cell>
          <cell r="I49">
            <v>46146</v>
          </cell>
          <cell r="J49">
            <v>0</v>
          </cell>
          <cell r="K49">
            <v>0</v>
          </cell>
          <cell r="L49">
            <v>0</v>
          </cell>
          <cell r="M49">
            <v>5</v>
          </cell>
        </row>
        <row r="50">
          <cell r="C50">
            <v>160</v>
          </cell>
          <cell r="F50">
            <v>1</v>
          </cell>
          <cell r="I50">
            <v>46146</v>
          </cell>
          <cell r="J50">
            <v>0</v>
          </cell>
          <cell r="K50">
            <v>0</v>
          </cell>
          <cell r="L50">
            <v>0</v>
          </cell>
          <cell r="M50">
            <v>2</v>
          </cell>
        </row>
        <row r="51">
          <cell r="C51">
            <v>162</v>
          </cell>
          <cell r="F51">
            <v>1</v>
          </cell>
          <cell r="I51">
            <v>46146</v>
          </cell>
          <cell r="J51">
            <v>0</v>
          </cell>
          <cell r="K51">
            <v>0</v>
          </cell>
          <cell r="L51">
            <v>0</v>
          </cell>
          <cell r="M51">
            <v>2</v>
          </cell>
        </row>
        <row r="52">
          <cell r="C52">
            <v>163</v>
          </cell>
          <cell r="F52">
            <v>1</v>
          </cell>
          <cell r="I52">
            <v>46146</v>
          </cell>
          <cell r="J52">
            <v>0</v>
          </cell>
          <cell r="K52">
            <v>0</v>
          </cell>
          <cell r="L52">
            <v>0</v>
          </cell>
          <cell r="M52">
            <v>2</v>
          </cell>
        </row>
        <row r="53">
          <cell r="C53">
            <v>176</v>
          </cell>
          <cell r="F53">
            <v>1</v>
          </cell>
          <cell r="I53">
            <v>46146</v>
          </cell>
          <cell r="J53">
            <v>0</v>
          </cell>
          <cell r="K53">
            <v>0</v>
          </cell>
          <cell r="L53">
            <v>0</v>
          </cell>
          <cell r="M53">
            <v>5000</v>
          </cell>
        </row>
        <row r="54">
          <cell r="C54">
            <v>177</v>
          </cell>
          <cell r="F54">
            <v>1</v>
          </cell>
          <cell r="I54">
            <v>46146</v>
          </cell>
          <cell r="J54">
            <v>0</v>
          </cell>
          <cell r="K54">
            <v>0</v>
          </cell>
          <cell r="L54">
            <v>0</v>
          </cell>
          <cell r="M54">
            <v>12000</v>
          </cell>
        </row>
        <row r="55">
          <cell r="C55">
            <v>178</v>
          </cell>
          <cell r="F55">
            <v>1</v>
          </cell>
          <cell r="I55">
            <v>46146</v>
          </cell>
          <cell r="J55">
            <v>0</v>
          </cell>
          <cell r="K55">
            <v>0</v>
          </cell>
          <cell r="L55">
            <v>0</v>
          </cell>
          <cell r="M55">
            <v>6000</v>
          </cell>
        </row>
        <row r="56">
          <cell r="C56">
            <v>179</v>
          </cell>
          <cell r="F56">
            <v>1</v>
          </cell>
          <cell r="I56">
            <v>46146</v>
          </cell>
          <cell r="J56">
            <v>0</v>
          </cell>
          <cell r="K56">
            <v>0</v>
          </cell>
          <cell r="L56">
            <v>0</v>
          </cell>
          <cell r="M56">
            <v>4000</v>
          </cell>
        </row>
        <row r="57">
          <cell r="C57">
            <v>181</v>
          </cell>
          <cell r="F57">
            <v>1</v>
          </cell>
          <cell r="I57">
            <v>46148</v>
          </cell>
          <cell r="J57">
            <v>0</v>
          </cell>
          <cell r="K57">
            <v>0</v>
          </cell>
          <cell r="L57">
            <v>0</v>
          </cell>
          <cell r="M57">
            <v>180</v>
          </cell>
        </row>
        <row r="58">
          <cell r="C58">
            <v>182</v>
          </cell>
          <cell r="F58">
            <v>1</v>
          </cell>
          <cell r="I58">
            <v>46148</v>
          </cell>
          <cell r="J58">
            <v>0</v>
          </cell>
          <cell r="K58">
            <v>0</v>
          </cell>
          <cell r="L58">
            <v>0</v>
          </cell>
          <cell r="M58">
            <v>120</v>
          </cell>
        </row>
        <row r="59">
          <cell r="C59">
            <v>183</v>
          </cell>
          <cell r="F59">
            <v>1</v>
          </cell>
          <cell r="I59">
            <v>46148</v>
          </cell>
          <cell r="J59">
            <v>0</v>
          </cell>
          <cell r="K59">
            <v>0</v>
          </cell>
          <cell r="L59">
            <v>0</v>
          </cell>
          <cell r="M59">
            <v>240</v>
          </cell>
        </row>
        <row r="60">
          <cell r="C60">
            <v>184</v>
          </cell>
          <cell r="F60">
            <v>1</v>
          </cell>
          <cell r="I60">
            <v>46148</v>
          </cell>
          <cell r="J60">
            <v>0</v>
          </cell>
          <cell r="K60">
            <v>0</v>
          </cell>
          <cell r="L60">
            <v>0</v>
          </cell>
          <cell r="M60">
            <v>168</v>
          </cell>
        </row>
        <row r="61">
          <cell r="C61">
            <v>185</v>
          </cell>
          <cell r="F61">
            <v>1</v>
          </cell>
          <cell r="I61">
            <v>46148</v>
          </cell>
          <cell r="J61">
            <v>0</v>
          </cell>
          <cell r="K61">
            <v>0</v>
          </cell>
          <cell r="L61">
            <v>0</v>
          </cell>
          <cell r="M61">
            <v>60</v>
          </cell>
        </row>
        <row r="62">
          <cell r="C62">
            <v>186</v>
          </cell>
          <cell r="F62">
            <v>1</v>
          </cell>
          <cell r="I62">
            <v>46148</v>
          </cell>
          <cell r="J62">
            <v>0</v>
          </cell>
          <cell r="K62">
            <v>0</v>
          </cell>
          <cell r="L62">
            <v>0</v>
          </cell>
          <cell r="M62">
            <v>36</v>
          </cell>
        </row>
        <row r="63">
          <cell r="C63">
            <v>187</v>
          </cell>
          <cell r="F63">
            <v>1</v>
          </cell>
          <cell r="I63">
            <v>46148</v>
          </cell>
          <cell r="J63">
            <v>0</v>
          </cell>
          <cell r="K63">
            <v>0</v>
          </cell>
          <cell r="L63">
            <v>0</v>
          </cell>
          <cell r="M63">
            <v>128</v>
          </cell>
        </row>
        <row r="64">
          <cell r="C64">
            <v>189</v>
          </cell>
          <cell r="F64">
            <v>1</v>
          </cell>
          <cell r="I64">
            <v>46148</v>
          </cell>
          <cell r="J64">
            <v>0</v>
          </cell>
          <cell r="K64">
            <v>0</v>
          </cell>
          <cell r="L64">
            <v>0</v>
          </cell>
          <cell r="M64">
            <v>52</v>
          </cell>
        </row>
        <row r="65">
          <cell r="C65">
            <v>191</v>
          </cell>
          <cell r="F65">
            <v>1</v>
          </cell>
          <cell r="I65">
            <v>46148</v>
          </cell>
          <cell r="J65">
            <v>0</v>
          </cell>
          <cell r="K65">
            <v>0</v>
          </cell>
          <cell r="L65">
            <v>0</v>
          </cell>
          <cell r="M65">
            <v>64</v>
          </cell>
        </row>
        <row r="66">
          <cell r="C66">
            <v>193</v>
          </cell>
          <cell r="F66">
            <v>1</v>
          </cell>
          <cell r="I66">
            <v>46148</v>
          </cell>
          <cell r="J66">
            <v>0</v>
          </cell>
          <cell r="K66">
            <v>0</v>
          </cell>
          <cell r="L66">
            <v>0</v>
          </cell>
          <cell r="M66">
            <v>60</v>
          </cell>
        </row>
        <row r="67">
          <cell r="C67">
            <v>195</v>
          </cell>
          <cell r="F67">
            <v>1</v>
          </cell>
          <cell r="I67">
            <v>46148</v>
          </cell>
          <cell r="J67">
            <v>0</v>
          </cell>
          <cell r="K67">
            <v>0</v>
          </cell>
          <cell r="L67">
            <v>0</v>
          </cell>
          <cell r="M67">
            <v>100</v>
          </cell>
        </row>
        <row r="68">
          <cell r="C68">
            <v>197</v>
          </cell>
          <cell r="F68">
            <v>1</v>
          </cell>
          <cell r="I68">
            <v>46148</v>
          </cell>
          <cell r="J68">
            <v>0</v>
          </cell>
          <cell r="K68">
            <v>0</v>
          </cell>
          <cell r="L68">
            <v>0</v>
          </cell>
          <cell r="M68">
            <v>72</v>
          </cell>
        </row>
        <row r="69">
          <cell r="C69">
            <v>176</v>
          </cell>
          <cell r="F69">
            <v>1</v>
          </cell>
          <cell r="I69">
            <v>46176</v>
          </cell>
          <cell r="J69">
            <v>0</v>
          </cell>
          <cell r="K69">
            <v>500</v>
          </cell>
          <cell r="L69">
            <v>0</v>
          </cell>
          <cell r="M69">
            <v>0</v>
          </cell>
        </row>
        <row r="70">
          <cell r="C70">
            <v>142</v>
          </cell>
          <cell r="F70">
            <v>1</v>
          </cell>
          <cell r="I70">
            <v>46176</v>
          </cell>
          <cell r="J70">
            <v>0</v>
          </cell>
          <cell r="K70">
            <v>1</v>
          </cell>
          <cell r="L70">
            <v>0</v>
          </cell>
          <cell r="M70">
            <v>0</v>
          </cell>
        </row>
        <row r="71">
          <cell r="C71">
            <v>50</v>
          </cell>
          <cell r="F71">
            <v>1</v>
          </cell>
          <cell r="I71">
            <v>46176</v>
          </cell>
          <cell r="J71">
            <v>0</v>
          </cell>
          <cell r="K71">
            <v>4</v>
          </cell>
          <cell r="L71">
            <v>0</v>
          </cell>
          <cell r="M71">
            <v>0</v>
          </cell>
        </row>
        <row r="72">
          <cell r="C72">
            <v>41</v>
          </cell>
          <cell r="F72">
            <v>1</v>
          </cell>
          <cell r="I72">
            <v>46176</v>
          </cell>
          <cell r="J72">
            <v>0</v>
          </cell>
          <cell r="K72">
            <v>2</v>
          </cell>
          <cell r="L72">
            <v>0</v>
          </cell>
          <cell r="M72">
            <v>0</v>
          </cell>
        </row>
        <row r="73">
          <cell r="C73">
            <v>49</v>
          </cell>
          <cell r="F73">
            <v>1</v>
          </cell>
          <cell r="I73">
            <v>46176</v>
          </cell>
          <cell r="J73">
            <v>0</v>
          </cell>
          <cell r="K73">
            <v>1</v>
          </cell>
          <cell r="L73">
            <v>0</v>
          </cell>
          <cell r="M73">
            <v>0</v>
          </cell>
        </row>
        <row r="74">
          <cell r="C74">
            <v>7</v>
          </cell>
          <cell r="F74">
            <v>1</v>
          </cell>
          <cell r="I74">
            <v>46176</v>
          </cell>
          <cell r="J74">
            <v>0</v>
          </cell>
          <cell r="K74">
            <v>1</v>
          </cell>
          <cell r="L74">
            <v>0</v>
          </cell>
          <cell r="M74">
            <v>0</v>
          </cell>
        </row>
        <row r="75">
          <cell r="C75">
            <v>145</v>
          </cell>
          <cell r="F75">
            <v>1</v>
          </cell>
          <cell r="I75">
            <v>46176</v>
          </cell>
          <cell r="J75">
            <v>0</v>
          </cell>
          <cell r="K75">
            <v>2</v>
          </cell>
          <cell r="L75">
            <v>0</v>
          </cell>
          <cell r="M75">
            <v>0</v>
          </cell>
        </row>
        <row r="76">
          <cell r="C76">
            <v>163</v>
          </cell>
          <cell r="F76">
            <v>1</v>
          </cell>
          <cell r="I76">
            <v>46176</v>
          </cell>
          <cell r="J76">
            <v>0</v>
          </cell>
          <cell r="K76">
            <v>4</v>
          </cell>
          <cell r="L76">
            <v>0</v>
          </cell>
          <cell r="M76">
            <v>0</v>
          </cell>
        </row>
        <row r="77">
          <cell r="C77">
            <v>177</v>
          </cell>
          <cell r="F77">
            <v>1</v>
          </cell>
          <cell r="I77">
            <v>46177</v>
          </cell>
          <cell r="J77">
            <v>0</v>
          </cell>
          <cell r="K77">
            <v>250</v>
          </cell>
          <cell r="L77">
            <v>0</v>
          </cell>
          <cell r="M77">
            <v>0</v>
          </cell>
        </row>
        <row r="78">
          <cell r="C78">
            <v>179</v>
          </cell>
          <cell r="F78">
            <v>1</v>
          </cell>
          <cell r="I78">
            <v>46177</v>
          </cell>
          <cell r="J78">
            <v>0</v>
          </cell>
          <cell r="K78">
            <v>250</v>
          </cell>
          <cell r="L78">
            <v>0</v>
          </cell>
          <cell r="M78">
            <v>0</v>
          </cell>
        </row>
        <row r="79">
          <cell r="C79">
            <v>11</v>
          </cell>
          <cell r="F79">
            <v>1</v>
          </cell>
          <cell r="I79">
            <v>46177</v>
          </cell>
          <cell r="J79">
            <v>0</v>
          </cell>
          <cell r="K79">
            <v>6</v>
          </cell>
          <cell r="L79">
            <v>0</v>
          </cell>
          <cell r="M79">
            <v>0</v>
          </cell>
        </row>
        <row r="80">
          <cell r="C80">
            <v>18</v>
          </cell>
          <cell r="F80">
            <v>1</v>
          </cell>
          <cell r="I80">
            <v>46177</v>
          </cell>
          <cell r="J80">
            <v>0</v>
          </cell>
          <cell r="K80">
            <v>10</v>
          </cell>
          <cell r="L80">
            <v>0</v>
          </cell>
          <cell r="M80">
            <v>0</v>
          </cell>
        </row>
        <row r="81">
          <cell r="C81">
            <v>195</v>
          </cell>
          <cell r="F81">
            <v>1</v>
          </cell>
          <cell r="I81">
            <v>46177</v>
          </cell>
          <cell r="J81">
            <v>0</v>
          </cell>
          <cell r="K81">
            <v>8</v>
          </cell>
          <cell r="L81">
            <v>0</v>
          </cell>
          <cell r="M81">
            <v>0</v>
          </cell>
        </row>
        <row r="82">
          <cell r="C82">
            <v>102</v>
          </cell>
          <cell r="F82">
            <v>1</v>
          </cell>
          <cell r="I82">
            <v>46177</v>
          </cell>
          <cell r="J82">
            <v>0</v>
          </cell>
          <cell r="K82">
            <v>1</v>
          </cell>
          <cell r="L82">
            <v>0</v>
          </cell>
          <cell r="M82">
            <v>0</v>
          </cell>
        </row>
        <row r="83">
          <cell r="C83">
            <v>185</v>
          </cell>
          <cell r="F83">
            <v>1</v>
          </cell>
          <cell r="I83">
            <v>46177</v>
          </cell>
          <cell r="J83">
            <v>0</v>
          </cell>
          <cell r="K83">
            <v>72</v>
          </cell>
          <cell r="L83">
            <v>0</v>
          </cell>
          <cell r="M83">
            <v>0</v>
          </cell>
        </row>
        <row r="84">
          <cell r="C84">
            <v>176</v>
          </cell>
          <cell r="F84">
            <v>1</v>
          </cell>
          <cell r="I84">
            <v>46178</v>
          </cell>
          <cell r="J84">
            <v>0</v>
          </cell>
          <cell r="K84">
            <v>500</v>
          </cell>
          <cell r="L84">
            <v>0</v>
          </cell>
          <cell r="M84">
            <v>0</v>
          </cell>
        </row>
        <row r="85">
          <cell r="C85">
            <v>99</v>
          </cell>
          <cell r="F85">
            <v>1</v>
          </cell>
          <cell r="I85">
            <v>46178</v>
          </cell>
          <cell r="J85">
            <v>0</v>
          </cell>
          <cell r="K85">
            <v>1</v>
          </cell>
          <cell r="L85">
            <v>0</v>
          </cell>
          <cell r="M85">
            <v>0</v>
          </cell>
        </row>
        <row r="86">
          <cell r="C86">
            <v>14</v>
          </cell>
          <cell r="F86">
            <v>1</v>
          </cell>
          <cell r="I86">
            <v>46178</v>
          </cell>
          <cell r="J86">
            <v>0</v>
          </cell>
          <cell r="K86">
            <v>1</v>
          </cell>
          <cell r="L86">
            <v>0</v>
          </cell>
          <cell r="M86">
            <v>0</v>
          </cell>
        </row>
        <row r="87">
          <cell r="C87">
            <v>182</v>
          </cell>
          <cell r="F87">
            <v>1</v>
          </cell>
          <cell r="I87">
            <v>46178</v>
          </cell>
          <cell r="J87">
            <v>0</v>
          </cell>
          <cell r="K87">
            <v>12</v>
          </cell>
          <cell r="L87">
            <v>0</v>
          </cell>
          <cell r="M87">
            <v>0</v>
          </cell>
        </row>
        <row r="88">
          <cell r="C88">
            <v>160</v>
          </cell>
          <cell r="F88">
            <v>1</v>
          </cell>
          <cell r="I88">
            <v>46178</v>
          </cell>
          <cell r="J88">
            <v>0</v>
          </cell>
          <cell r="K88">
            <v>2</v>
          </cell>
          <cell r="L88">
            <v>0</v>
          </cell>
          <cell r="M88">
            <v>0</v>
          </cell>
        </row>
        <row r="89">
          <cell r="C89">
            <v>46</v>
          </cell>
          <cell r="F89">
            <v>1</v>
          </cell>
          <cell r="I89">
            <v>46178</v>
          </cell>
          <cell r="J89">
            <v>0</v>
          </cell>
          <cell r="K89">
            <v>1</v>
          </cell>
          <cell r="L89">
            <v>0</v>
          </cell>
          <cell r="M89">
            <v>0</v>
          </cell>
        </row>
        <row r="90">
          <cell r="C90">
            <v>97</v>
          </cell>
          <cell r="F90">
            <v>1</v>
          </cell>
          <cell r="I90">
            <v>46178</v>
          </cell>
          <cell r="J90">
            <v>0</v>
          </cell>
          <cell r="K90">
            <v>2</v>
          </cell>
          <cell r="L90">
            <v>0</v>
          </cell>
          <cell r="M90">
            <v>0</v>
          </cell>
        </row>
        <row r="91">
          <cell r="C91">
            <v>96</v>
          </cell>
          <cell r="F91">
            <v>1</v>
          </cell>
          <cell r="I91">
            <v>46178</v>
          </cell>
          <cell r="J91">
            <v>0</v>
          </cell>
          <cell r="K91">
            <v>15</v>
          </cell>
          <cell r="L91">
            <v>0</v>
          </cell>
          <cell r="M91">
            <v>0</v>
          </cell>
        </row>
        <row r="92">
          <cell r="C92">
            <v>70</v>
          </cell>
          <cell r="F92">
            <v>1</v>
          </cell>
          <cell r="I92">
            <v>46178</v>
          </cell>
          <cell r="J92">
            <v>0</v>
          </cell>
          <cell r="K92">
            <v>1</v>
          </cell>
          <cell r="L92">
            <v>0</v>
          </cell>
          <cell r="M92">
            <v>0</v>
          </cell>
        </row>
        <row r="93">
          <cell r="C93">
            <v>178</v>
          </cell>
          <cell r="F93">
            <v>1</v>
          </cell>
          <cell r="I93">
            <v>46178</v>
          </cell>
          <cell r="J93">
            <v>0</v>
          </cell>
          <cell r="K93">
            <v>450</v>
          </cell>
          <cell r="L93">
            <v>0</v>
          </cell>
          <cell r="M93">
            <v>0</v>
          </cell>
        </row>
        <row r="94">
          <cell r="C94">
            <v>177</v>
          </cell>
          <cell r="F94">
            <v>1</v>
          </cell>
          <cell r="I94">
            <v>46178</v>
          </cell>
          <cell r="J94">
            <v>0</v>
          </cell>
          <cell r="K94">
            <v>150</v>
          </cell>
          <cell r="L94">
            <v>0</v>
          </cell>
          <cell r="M94">
            <v>0</v>
          </cell>
        </row>
        <row r="95">
          <cell r="C95">
            <v>179</v>
          </cell>
          <cell r="F95">
            <v>1</v>
          </cell>
          <cell r="I95">
            <v>46178</v>
          </cell>
          <cell r="J95">
            <v>0</v>
          </cell>
          <cell r="K95">
            <v>300</v>
          </cell>
          <cell r="L95">
            <v>0</v>
          </cell>
          <cell r="M95">
            <v>0</v>
          </cell>
        </row>
        <row r="96">
          <cell r="C96">
            <v>178</v>
          </cell>
          <cell r="F96">
            <v>1</v>
          </cell>
          <cell r="I96">
            <v>46179</v>
          </cell>
          <cell r="J96">
            <v>0</v>
          </cell>
          <cell r="K96">
            <v>250</v>
          </cell>
          <cell r="L96">
            <v>0</v>
          </cell>
          <cell r="M96">
            <v>0</v>
          </cell>
        </row>
        <row r="97">
          <cell r="C97">
            <v>197</v>
          </cell>
          <cell r="F97">
            <v>1</v>
          </cell>
          <cell r="I97">
            <v>46179</v>
          </cell>
          <cell r="J97">
            <v>0</v>
          </cell>
          <cell r="K97">
            <v>12</v>
          </cell>
          <cell r="L97">
            <v>0</v>
          </cell>
          <cell r="M97">
            <v>0</v>
          </cell>
        </row>
        <row r="98">
          <cell r="C98">
            <v>52</v>
          </cell>
          <cell r="F98">
            <v>1</v>
          </cell>
          <cell r="I98">
            <v>46179</v>
          </cell>
          <cell r="J98">
            <v>0</v>
          </cell>
          <cell r="K98">
            <v>11</v>
          </cell>
          <cell r="L98">
            <v>0</v>
          </cell>
          <cell r="M98">
            <v>0</v>
          </cell>
        </row>
        <row r="99">
          <cell r="C99">
            <v>177</v>
          </cell>
          <cell r="F99">
            <v>1</v>
          </cell>
          <cell r="I99">
            <v>46179</v>
          </cell>
          <cell r="J99">
            <v>0</v>
          </cell>
          <cell r="K99">
            <v>1000</v>
          </cell>
          <cell r="L99">
            <v>0</v>
          </cell>
          <cell r="M99">
            <v>0</v>
          </cell>
        </row>
        <row r="100">
          <cell r="C100">
            <v>177</v>
          </cell>
          <cell r="F100">
            <v>1</v>
          </cell>
          <cell r="I100">
            <v>46180</v>
          </cell>
          <cell r="J100">
            <v>0</v>
          </cell>
          <cell r="K100">
            <v>750</v>
          </cell>
          <cell r="L100">
            <v>0</v>
          </cell>
          <cell r="M100">
            <v>0</v>
          </cell>
        </row>
        <row r="101">
          <cell r="C101">
            <v>183</v>
          </cell>
          <cell r="F101">
            <v>1</v>
          </cell>
          <cell r="I101">
            <v>46180</v>
          </cell>
          <cell r="J101">
            <v>0</v>
          </cell>
          <cell r="K101">
            <v>60</v>
          </cell>
          <cell r="L101">
            <v>0</v>
          </cell>
          <cell r="M101">
            <v>0</v>
          </cell>
        </row>
        <row r="102">
          <cell r="C102">
            <v>10</v>
          </cell>
          <cell r="F102">
            <v>1</v>
          </cell>
          <cell r="I102">
            <v>46180</v>
          </cell>
          <cell r="J102">
            <v>0</v>
          </cell>
          <cell r="K102">
            <v>1</v>
          </cell>
          <cell r="L102">
            <v>0</v>
          </cell>
          <cell r="M102">
            <v>0</v>
          </cell>
        </row>
        <row r="103">
          <cell r="C103">
            <v>11</v>
          </cell>
          <cell r="F103">
            <v>1</v>
          </cell>
          <cell r="I103">
            <v>46180</v>
          </cell>
          <cell r="J103">
            <v>0</v>
          </cell>
          <cell r="K103">
            <v>5</v>
          </cell>
          <cell r="L103">
            <v>0</v>
          </cell>
          <cell r="M103">
            <v>0</v>
          </cell>
        </row>
        <row r="104">
          <cell r="C104">
            <v>19</v>
          </cell>
          <cell r="F104">
            <v>1</v>
          </cell>
          <cell r="I104">
            <v>46181</v>
          </cell>
          <cell r="J104">
            <v>0</v>
          </cell>
          <cell r="K104">
            <v>1</v>
          </cell>
          <cell r="L104">
            <v>0</v>
          </cell>
          <cell r="M104">
            <v>0</v>
          </cell>
        </row>
        <row r="105">
          <cell r="C105">
            <v>42</v>
          </cell>
          <cell r="F105">
            <v>1</v>
          </cell>
          <cell r="I105">
            <v>46181</v>
          </cell>
          <cell r="J105">
            <v>0</v>
          </cell>
          <cell r="K105">
            <v>1</v>
          </cell>
          <cell r="L105">
            <v>0</v>
          </cell>
          <cell r="M105">
            <v>0</v>
          </cell>
        </row>
        <row r="106">
          <cell r="C106">
            <v>45</v>
          </cell>
          <cell r="F106">
            <v>1</v>
          </cell>
          <cell r="I106">
            <v>46181</v>
          </cell>
          <cell r="J106">
            <v>0</v>
          </cell>
          <cell r="K106">
            <v>12</v>
          </cell>
          <cell r="L106">
            <v>0</v>
          </cell>
          <cell r="M106">
            <v>0</v>
          </cell>
        </row>
        <row r="107">
          <cell r="C107">
            <v>183</v>
          </cell>
          <cell r="F107">
            <v>1</v>
          </cell>
          <cell r="I107">
            <v>46181</v>
          </cell>
          <cell r="J107">
            <v>0</v>
          </cell>
          <cell r="K107">
            <v>120</v>
          </cell>
          <cell r="L107">
            <v>0</v>
          </cell>
          <cell r="M107">
            <v>0</v>
          </cell>
        </row>
        <row r="108">
          <cell r="C108">
            <v>16</v>
          </cell>
          <cell r="F108">
            <v>1</v>
          </cell>
          <cell r="I108">
            <v>46181</v>
          </cell>
          <cell r="J108">
            <v>0</v>
          </cell>
          <cell r="K108">
            <v>8</v>
          </cell>
          <cell r="L108">
            <v>0</v>
          </cell>
          <cell r="M108">
            <v>0</v>
          </cell>
        </row>
        <row r="109">
          <cell r="C109">
            <v>41</v>
          </cell>
          <cell r="F109">
            <v>1</v>
          </cell>
          <cell r="I109">
            <v>46181</v>
          </cell>
          <cell r="J109">
            <v>0</v>
          </cell>
          <cell r="K109">
            <v>2</v>
          </cell>
          <cell r="L109">
            <v>0</v>
          </cell>
          <cell r="M109">
            <v>0</v>
          </cell>
        </row>
        <row r="110">
          <cell r="C110">
            <v>144</v>
          </cell>
          <cell r="F110">
            <v>1</v>
          </cell>
          <cell r="I110">
            <v>46181</v>
          </cell>
          <cell r="J110">
            <v>0</v>
          </cell>
          <cell r="K110">
            <v>8</v>
          </cell>
          <cell r="L110">
            <v>0</v>
          </cell>
          <cell r="M110">
            <v>0</v>
          </cell>
        </row>
        <row r="111">
          <cell r="C111">
            <v>155</v>
          </cell>
          <cell r="F111">
            <v>1</v>
          </cell>
          <cell r="I111">
            <v>46181</v>
          </cell>
          <cell r="J111">
            <v>0</v>
          </cell>
          <cell r="K111">
            <v>2</v>
          </cell>
          <cell r="L111">
            <v>0</v>
          </cell>
          <cell r="M111">
            <v>0</v>
          </cell>
        </row>
        <row r="112">
          <cell r="C112">
            <v>189</v>
          </cell>
          <cell r="F112">
            <v>1</v>
          </cell>
          <cell r="I112">
            <v>46181</v>
          </cell>
          <cell r="J112">
            <v>0</v>
          </cell>
          <cell r="K112">
            <v>32</v>
          </cell>
          <cell r="L112">
            <v>0</v>
          </cell>
          <cell r="M112">
            <v>0</v>
          </cell>
        </row>
        <row r="113">
          <cell r="C113">
            <v>108</v>
          </cell>
          <cell r="F113">
            <v>1</v>
          </cell>
          <cell r="I113">
            <v>46181</v>
          </cell>
          <cell r="J113">
            <v>0</v>
          </cell>
          <cell r="K113">
            <v>4</v>
          </cell>
          <cell r="L113">
            <v>0</v>
          </cell>
          <cell r="M113">
            <v>0</v>
          </cell>
        </row>
        <row r="114">
          <cell r="C114">
            <v>177</v>
          </cell>
          <cell r="F114">
            <v>1</v>
          </cell>
          <cell r="I114">
            <v>46182</v>
          </cell>
          <cell r="J114">
            <v>0</v>
          </cell>
          <cell r="K114">
            <v>1200</v>
          </cell>
          <cell r="L114">
            <v>0</v>
          </cell>
          <cell r="M114">
            <v>0</v>
          </cell>
        </row>
        <row r="115">
          <cell r="C115">
            <v>193</v>
          </cell>
          <cell r="F115">
            <v>1</v>
          </cell>
          <cell r="I115">
            <v>46182</v>
          </cell>
          <cell r="J115">
            <v>0</v>
          </cell>
          <cell r="K115">
            <v>20</v>
          </cell>
          <cell r="L115">
            <v>0</v>
          </cell>
          <cell r="M115">
            <v>0</v>
          </cell>
        </row>
        <row r="116">
          <cell r="C116">
            <v>103</v>
          </cell>
          <cell r="F116">
            <v>1</v>
          </cell>
          <cell r="I116">
            <v>46182</v>
          </cell>
          <cell r="J116">
            <v>0</v>
          </cell>
          <cell r="K116">
            <v>2</v>
          </cell>
          <cell r="L116">
            <v>0</v>
          </cell>
          <cell r="M116">
            <v>0</v>
          </cell>
        </row>
        <row r="117">
          <cell r="C117">
            <v>167</v>
          </cell>
          <cell r="F117">
            <v>1</v>
          </cell>
          <cell r="I117">
            <v>46182</v>
          </cell>
          <cell r="J117">
            <v>0</v>
          </cell>
          <cell r="K117">
            <v>2</v>
          </cell>
          <cell r="L117">
            <v>0</v>
          </cell>
          <cell r="M117">
            <v>0</v>
          </cell>
        </row>
        <row r="118">
          <cell r="C118">
            <v>184</v>
          </cell>
          <cell r="F118">
            <v>1</v>
          </cell>
          <cell r="I118">
            <v>46182</v>
          </cell>
          <cell r="J118">
            <v>0</v>
          </cell>
          <cell r="K118">
            <v>24</v>
          </cell>
          <cell r="L118">
            <v>0</v>
          </cell>
          <cell r="M118">
            <v>0</v>
          </cell>
        </row>
        <row r="119">
          <cell r="C119">
            <v>63</v>
          </cell>
          <cell r="F119">
            <v>1</v>
          </cell>
          <cell r="I119">
            <v>46182</v>
          </cell>
          <cell r="J119">
            <v>0</v>
          </cell>
          <cell r="K119">
            <v>1</v>
          </cell>
          <cell r="L119">
            <v>0</v>
          </cell>
          <cell r="M119">
            <v>0</v>
          </cell>
        </row>
        <row r="120">
          <cell r="C120">
            <v>182</v>
          </cell>
          <cell r="F120">
            <v>1</v>
          </cell>
          <cell r="I120">
            <v>46182</v>
          </cell>
          <cell r="J120">
            <v>0</v>
          </cell>
          <cell r="K120">
            <v>24</v>
          </cell>
          <cell r="L120">
            <v>0</v>
          </cell>
          <cell r="M120">
            <v>0</v>
          </cell>
        </row>
        <row r="121">
          <cell r="C121">
            <v>187</v>
          </cell>
          <cell r="F121">
            <v>1</v>
          </cell>
          <cell r="I121">
            <v>46182</v>
          </cell>
          <cell r="J121">
            <v>0</v>
          </cell>
          <cell r="K121">
            <v>8</v>
          </cell>
          <cell r="L121">
            <v>0</v>
          </cell>
          <cell r="M121">
            <v>0</v>
          </cell>
        </row>
        <row r="122">
          <cell r="C122">
            <v>195</v>
          </cell>
          <cell r="F122">
            <v>1</v>
          </cell>
          <cell r="I122">
            <v>46182</v>
          </cell>
          <cell r="J122">
            <v>0</v>
          </cell>
          <cell r="K122">
            <v>4</v>
          </cell>
          <cell r="L122">
            <v>0</v>
          </cell>
          <cell r="M122">
            <v>0</v>
          </cell>
        </row>
        <row r="123">
          <cell r="C123">
            <v>22</v>
          </cell>
          <cell r="F123">
            <v>1</v>
          </cell>
          <cell r="I123">
            <v>46182</v>
          </cell>
          <cell r="J123">
            <v>0</v>
          </cell>
          <cell r="K123">
            <v>1</v>
          </cell>
          <cell r="L123">
            <v>0</v>
          </cell>
          <cell r="M123">
            <v>0</v>
          </cell>
        </row>
        <row r="124">
          <cell r="C124">
            <v>177</v>
          </cell>
          <cell r="F124">
            <v>1</v>
          </cell>
          <cell r="I124">
            <v>46183</v>
          </cell>
          <cell r="J124">
            <v>0</v>
          </cell>
          <cell r="K124">
            <v>500</v>
          </cell>
          <cell r="L124">
            <v>0</v>
          </cell>
          <cell r="M124">
            <v>0</v>
          </cell>
        </row>
        <row r="125">
          <cell r="C125">
            <v>178</v>
          </cell>
          <cell r="F125">
            <v>1</v>
          </cell>
          <cell r="I125">
            <v>46183</v>
          </cell>
          <cell r="J125">
            <v>0</v>
          </cell>
          <cell r="K125">
            <v>300</v>
          </cell>
          <cell r="L125">
            <v>0</v>
          </cell>
          <cell r="M125">
            <v>0</v>
          </cell>
        </row>
        <row r="126">
          <cell r="C126">
            <v>183</v>
          </cell>
          <cell r="F126">
            <v>1</v>
          </cell>
          <cell r="I126">
            <v>46183</v>
          </cell>
          <cell r="J126">
            <v>0</v>
          </cell>
          <cell r="K126">
            <v>24</v>
          </cell>
          <cell r="L126">
            <v>0</v>
          </cell>
          <cell r="M126">
            <v>0</v>
          </cell>
        </row>
        <row r="127">
          <cell r="C127">
            <v>184</v>
          </cell>
          <cell r="F127">
            <v>1</v>
          </cell>
          <cell r="I127">
            <v>46183</v>
          </cell>
          <cell r="J127">
            <v>0</v>
          </cell>
          <cell r="K127">
            <v>120</v>
          </cell>
          <cell r="L127">
            <v>0</v>
          </cell>
          <cell r="M127">
            <v>0</v>
          </cell>
        </row>
        <row r="128">
          <cell r="C128">
            <v>19</v>
          </cell>
          <cell r="F128">
            <v>1</v>
          </cell>
          <cell r="I128">
            <v>46183</v>
          </cell>
          <cell r="J128">
            <v>0</v>
          </cell>
          <cell r="K128">
            <v>2</v>
          </cell>
          <cell r="L128">
            <v>0</v>
          </cell>
          <cell r="M128">
            <v>0</v>
          </cell>
        </row>
        <row r="129">
          <cell r="C129">
            <v>14</v>
          </cell>
          <cell r="F129">
            <v>1</v>
          </cell>
          <cell r="I129">
            <v>46183</v>
          </cell>
          <cell r="J129">
            <v>0</v>
          </cell>
          <cell r="K129">
            <v>1</v>
          </cell>
          <cell r="L129">
            <v>0</v>
          </cell>
          <cell r="M129">
            <v>0</v>
          </cell>
        </row>
        <row r="130">
          <cell r="C130">
            <v>178</v>
          </cell>
          <cell r="F130">
            <v>1</v>
          </cell>
          <cell r="I130">
            <v>46184</v>
          </cell>
          <cell r="J130">
            <v>0</v>
          </cell>
          <cell r="K130">
            <v>500</v>
          </cell>
          <cell r="L130">
            <v>0</v>
          </cell>
          <cell r="M130">
            <v>0</v>
          </cell>
        </row>
        <row r="131">
          <cell r="C131">
            <v>17</v>
          </cell>
          <cell r="F131">
            <v>1</v>
          </cell>
          <cell r="I131">
            <v>46184</v>
          </cell>
          <cell r="J131">
            <v>0</v>
          </cell>
          <cell r="K131">
            <v>3</v>
          </cell>
          <cell r="L131">
            <v>0</v>
          </cell>
          <cell r="M131">
            <v>0</v>
          </cell>
        </row>
        <row r="132">
          <cell r="C132">
            <v>70</v>
          </cell>
          <cell r="F132">
            <v>1</v>
          </cell>
          <cell r="I132">
            <v>46184</v>
          </cell>
          <cell r="J132">
            <v>0</v>
          </cell>
          <cell r="K132">
            <v>1</v>
          </cell>
          <cell r="L132">
            <v>0</v>
          </cell>
          <cell r="M132">
            <v>0</v>
          </cell>
        </row>
        <row r="133">
          <cell r="C133">
            <v>181</v>
          </cell>
          <cell r="F133">
            <v>1</v>
          </cell>
          <cell r="I133">
            <v>46184</v>
          </cell>
          <cell r="J133">
            <v>0</v>
          </cell>
          <cell r="K133">
            <v>36</v>
          </cell>
          <cell r="L133">
            <v>0</v>
          </cell>
          <cell r="M133">
            <v>0</v>
          </cell>
        </row>
        <row r="134">
          <cell r="C134">
            <v>40</v>
          </cell>
          <cell r="F134">
            <v>1</v>
          </cell>
          <cell r="I134">
            <v>46184</v>
          </cell>
          <cell r="J134">
            <v>0</v>
          </cell>
          <cell r="K134">
            <v>2</v>
          </cell>
          <cell r="L134">
            <v>0</v>
          </cell>
          <cell r="M134">
            <v>0</v>
          </cell>
        </row>
        <row r="135">
          <cell r="C135">
            <v>38</v>
          </cell>
          <cell r="F135">
            <v>1</v>
          </cell>
          <cell r="I135">
            <v>46184</v>
          </cell>
          <cell r="J135">
            <v>0</v>
          </cell>
          <cell r="K135">
            <v>2</v>
          </cell>
          <cell r="L135">
            <v>0</v>
          </cell>
          <cell r="M135">
            <v>0</v>
          </cell>
        </row>
        <row r="136">
          <cell r="C136">
            <v>5</v>
          </cell>
          <cell r="F136">
            <v>1</v>
          </cell>
          <cell r="I136">
            <v>46184</v>
          </cell>
          <cell r="J136">
            <v>0</v>
          </cell>
          <cell r="K136">
            <v>1</v>
          </cell>
          <cell r="L136">
            <v>0</v>
          </cell>
          <cell r="M136">
            <v>0</v>
          </cell>
        </row>
        <row r="137">
          <cell r="C137">
            <v>182</v>
          </cell>
          <cell r="F137">
            <v>1</v>
          </cell>
          <cell r="I137">
            <v>46184</v>
          </cell>
          <cell r="J137">
            <v>0</v>
          </cell>
          <cell r="K137">
            <v>36</v>
          </cell>
          <cell r="L137">
            <v>0</v>
          </cell>
          <cell r="M137">
            <v>0</v>
          </cell>
        </row>
        <row r="138">
          <cell r="C138">
            <v>8</v>
          </cell>
          <cell r="F138">
            <v>1</v>
          </cell>
          <cell r="I138">
            <v>46184</v>
          </cell>
          <cell r="J138">
            <v>0</v>
          </cell>
          <cell r="K138">
            <v>1</v>
          </cell>
          <cell r="L138">
            <v>0</v>
          </cell>
          <cell r="M138">
            <v>0</v>
          </cell>
        </row>
        <row r="139">
          <cell r="C139">
            <v>26</v>
          </cell>
          <cell r="F139">
            <v>1</v>
          </cell>
          <cell r="I139">
            <v>46184</v>
          </cell>
          <cell r="J139">
            <v>0</v>
          </cell>
          <cell r="K139">
            <v>1</v>
          </cell>
          <cell r="L139">
            <v>0</v>
          </cell>
          <cell r="M139">
            <v>0</v>
          </cell>
        </row>
        <row r="140">
          <cell r="C140">
            <v>76</v>
          </cell>
          <cell r="F140">
            <v>1</v>
          </cell>
          <cell r="I140">
            <v>46184</v>
          </cell>
          <cell r="J140">
            <v>0</v>
          </cell>
          <cell r="K140">
            <v>5</v>
          </cell>
          <cell r="L140">
            <v>0</v>
          </cell>
          <cell r="M140">
            <v>0</v>
          </cell>
        </row>
        <row r="141">
          <cell r="C141">
            <v>90</v>
          </cell>
          <cell r="F141">
            <v>1</v>
          </cell>
          <cell r="I141">
            <v>46184</v>
          </cell>
          <cell r="J141">
            <v>0</v>
          </cell>
          <cell r="K141">
            <v>4</v>
          </cell>
          <cell r="L141">
            <v>0</v>
          </cell>
          <cell r="M141">
            <v>0</v>
          </cell>
        </row>
        <row r="142">
          <cell r="C142">
            <v>39</v>
          </cell>
          <cell r="F142">
            <v>1</v>
          </cell>
          <cell r="I142">
            <v>46184</v>
          </cell>
          <cell r="J142">
            <v>0</v>
          </cell>
          <cell r="K142">
            <v>3</v>
          </cell>
          <cell r="L142">
            <v>0</v>
          </cell>
          <cell r="M142">
            <v>0</v>
          </cell>
        </row>
        <row r="143">
          <cell r="C143">
            <v>42</v>
          </cell>
          <cell r="F143">
            <v>1</v>
          </cell>
          <cell r="I143">
            <v>46184</v>
          </cell>
          <cell r="J143">
            <v>0</v>
          </cell>
          <cell r="K143">
            <v>3</v>
          </cell>
          <cell r="L143">
            <v>0</v>
          </cell>
          <cell r="M143">
            <v>0</v>
          </cell>
        </row>
        <row r="144">
          <cell r="C144">
            <v>169</v>
          </cell>
          <cell r="F144">
            <v>1</v>
          </cell>
          <cell r="I144">
            <v>46184</v>
          </cell>
          <cell r="J144">
            <v>0</v>
          </cell>
          <cell r="K144">
            <v>15</v>
          </cell>
          <cell r="L144">
            <v>0</v>
          </cell>
          <cell r="M144">
            <v>0</v>
          </cell>
        </row>
        <row r="145">
          <cell r="C145">
            <v>131</v>
          </cell>
          <cell r="F145">
            <v>1</v>
          </cell>
          <cell r="I145">
            <v>46184</v>
          </cell>
          <cell r="J145">
            <v>0</v>
          </cell>
          <cell r="K145">
            <v>1</v>
          </cell>
          <cell r="L145">
            <v>0</v>
          </cell>
          <cell r="M145">
            <v>0</v>
          </cell>
        </row>
        <row r="146">
          <cell r="C146">
            <v>177</v>
          </cell>
          <cell r="F146">
            <v>1</v>
          </cell>
          <cell r="I146">
            <v>46184</v>
          </cell>
          <cell r="J146">
            <v>0</v>
          </cell>
          <cell r="K146">
            <v>250</v>
          </cell>
          <cell r="L146">
            <v>0</v>
          </cell>
          <cell r="M146">
            <v>0</v>
          </cell>
        </row>
        <row r="147">
          <cell r="C147">
            <v>197</v>
          </cell>
          <cell r="F147">
            <v>1</v>
          </cell>
          <cell r="I147">
            <v>46184</v>
          </cell>
          <cell r="J147">
            <v>0</v>
          </cell>
          <cell r="K147">
            <v>8</v>
          </cell>
          <cell r="L147">
            <v>0</v>
          </cell>
          <cell r="M147">
            <v>0</v>
          </cell>
        </row>
        <row r="148">
          <cell r="C148">
            <v>198</v>
          </cell>
          <cell r="F148">
            <v>1</v>
          </cell>
          <cell r="I148">
            <v>46184</v>
          </cell>
          <cell r="J148">
            <v>0</v>
          </cell>
          <cell r="K148">
            <v>16</v>
          </cell>
          <cell r="L148">
            <v>0</v>
          </cell>
          <cell r="M148">
            <v>0</v>
          </cell>
        </row>
        <row r="149">
          <cell r="C149">
            <v>2</v>
          </cell>
          <cell r="F149">
            <v>1</v>
          </cell>
          <cell r="I149">
            <v>46185</v>
          </cell>
          <cell r="J149">
            <v>0</v>
          </cell>
          <cell r="K149">
            <v>2</v>
          </cell>
          <cell r="L149">
            <v>0</v>
          </cell>
          <cell r="M149">
            <v>0</v>
          </cell>
        </row>
        <row r="150">
          <cell r="C150">
            <v>7</v>
          </cell>
          <cell r="F150">
            <v>1</v>
          </cell>
          <cell r="I150">
            <v>46185</v>
          </cell>
          <cell r="J150">
            <v>0</v>
          </cell>
          <cell r="K150">
            <v>6</v>
          </cell>
          <cell r="L150">
            <v>0</v>
          </cell>
          <cell r="M150">
            <v>0</v>
          </cell>
        </row>
        <row r="151">
          <cell r="C151">
            <v>30</v>
          </cell>
          <cell r="F151">
            <v>1</v>
          </cell>
          <cell r="I151">
            <v>46185</v>
          </cell>
          <cell r="J151">
            <v>0</v>
          </cell>
          <cell r="K151">
            <v>3</v>
          </cell>
          <cell r="L151">
            <v>0</v>
          </cell>
          <cell r="M151">
            <v>0</v>
          </cell>
        </row>
        <row r="152">
          <cell r="C152">
            <v>34</v>
          </cell>
          <cell r="F152">
            <v>1</v>
          </cell>
          <cell r="I152">
            <v>46185</v>
          </cell>
          <cell r="J152">
            <v>0</v>
          </cell>
          <cell r="K152">
            <v>2</v>
          </cell>
          <cell r="L152">
            <v>0</v>
          </cell>
          <cell r="M152">
            <v>0</v>
          </cell>
        </row>
        <row r="153">
          <cell r="C153">
            <v>33</v>
          </cell>
          <cell r="F153">
            <v>1</v>
          </cell>
          <cell r="I153">
            <v>46185</v>
          </cell>
          <cell r="J153">
            <v>0</v>
          </cell>
          <cell r="K153">
            <v>1</v>
          </cell>
          <cell r="L153">
            <v>0</v>
          </cell>
          <cell r="M153">
            <v>0</v>
          </cell>
        </row>
        <row r="154">
          <cell r="C154">
            <v>56</v>
          </cell>
          <cell r="F154">
            <v>1</v>
          </cell>
          <cell r="I154">
            <v>46185</v>
          </cell>
          <cell r="J154">
            <v>0</v>
          </cell>
          <cell r="K154">
            <v>1</v>
          </cell>
          <cell r="L154">
            <v>0</v>
          </cell>
          <cell r="M154">
            <v>0</v>
          </cell>
        </row>
        <row r="155">
          <cell r="C155">
            <v>108</v>
          </cell>
          <cell r="F155">
            <v>1</v>
          </cell>
          <cell r="I155">
            <v>46185</v>
          </cell>
          <cell r="J155">
            <v>0</v>
          </cell>
          <cell r="K155">
            <v>1</v>
          </cell>
          <cell r="L155">
            <v>0</v>
          </cell>
          <cell r="M155">
            <v>0</v>
          </cell>
        </row>
        <row r="156">
          <cell r="C156">
            <v>53</v>
          </cell>
          <cell r="F156">
            <v>1</v>
          </cell>
          <cell r="I156">
            <v>46185</v>
          </cell>
          <cell r="J156">
            <v>0</v>
          </cell>
          <cell r="K156">
            <v>1</v>
          </cell>
          <cell r="L156">
            <v>0</v>
          </cell>
          <cell r="M156">
            <v>0</v>
          </cell>
        </row>
        <row r="157">
          <cell r="C157">
            <v>66</v>
          </cell>
          <cell r="F157">
            <v>1</v>
          </cell>
          <cell r="I157">
            <v>46185</v>
          </cell>
          <cell r="J157">
            <v>0</v>
          </cell>
          <cell r="K157">
            <v>1</v>
          </cell>
          <cell r="L157">
            <v>0</v>
          </cell>
          <cell r="M157">
            <v>0</v>
          </cell>
        </row>
        <row r="158">
          <cell r="C158">
            <v>64</v>
          </cell>
          <cell r="F158">
            <v>1</v>
          </cell>
          <cell r="I158">
            <v>46185</v>
          </cell>
          <cell r="J158">
            <v>0</v>
          </cell>
          <cell r="K158">
            <v>1</v>
          </cell>
          <cell r="L158">
            <v>0</v>
          </cell>
          <cell r="M158">
            <v>0</v>
          </cell>
        </row>
        <row r="159">
          <cell r="C159">
            <v>46</v>
          </cell>
          <cell r="F159">
            <v>1</v>
          </cell>
          <cell r="I159">
            <v>46185</v>
          </cell>
          <cell r="J159">
            <v>0</v>
          </cell>
          <cell r="K159">
            <v>7</v>
          </cell>
          <cell r="L159">
            <v>0</v>
          </cell>
          <cell r="M159">
            <v>0</v>
          </cell>
        </row>
        <row r="160">
          <cell r="C160">
            <v>44</v>
          </cell>
          <cell r="F160">
            <v>1</v>
          </cell>
          <cell r="I160">
            <v>46185</v>
          </cell>
          <cell r="J160">
            <v>0</v>
          </cell>
          <cell r="K160">
            <v>2</v>
          </cell>
          <cell r="L160">
            <v>0</v>
          </cell>
          <cell r="M160">
            <v>0</v>
          </cell>
        </row>
        <row r="161">
          <cell r="C161">
            <v>69</v>
          </cell>
          <cell r="F161">
            <v>1</v>
          </cell>
          <cell r="I161">
            <v>46185</v>
          </cell>
          <cell r="J161">
            <v>0</v>
          </cell>
          <cell r="K161">
            <v>2</v>
          </cell>
          <cell r="L161">
            <v>0</v>
          </cell>
          <cell r="M161">
            <v>0</v>
          </cell>
        </row>
        <row r="162">
          <cell r="C162">
            <v>70</v>
          </cell>
          <cell r="F162">
            <v>1</v>
          </cell>
          <cell r="I162">
            <v>46185</v>
          </cell>
          <cell r="J162">
            <v>0</v>
          </cell>
          <cell r="K162">
            <v>1</v>
          </cell>
          <cell r="L162">
            <v>0</v>
          </cell>
          <cell r="M162">
            <v>0</v>
          </cell>
        </row>
        <row r="163">
          <cell r="C163">
            <v>68</v>
          </cell>
          <cell r="F163">
            <v>1</v>
          </cell>
          <cell r="I163">
            <v>46185</v>
          </cell>
          <cell r="J163">
            <v>0</v>
          </cell>
          <cell r="K163">
            <v>1</v>
          </cell>
          <cell r="L163">
            <v>0</v>
          </cell>
          <cell r="M163">
            <v>0</v>
          </cell>
        </row>
        <row r="164">
          <cell r="C164">
            <v>156</v>
          </cell>
          <cell r="F164">
            <v>1</v>
          </cell>
          <cell r="I164">
            <v>46185</v>
          </cell>
          <cell r="J164">
            <v>0</v>
          </cell>
          <cell r="K164">
            <v>1</v>
          </cell>
          <cell r="L164">
            <v>0</v>
          </cell>
          <cell r="M164">
            <v>0</v>
          </cell>
        </row>
        <row r="165">
          <cell r="C165">
            <v>177</v>
          </cell>
          <cell r="F165">
            <v>1</v>
          </cell>
          <cell r="I165">
            <v>46185</v>
          </cell>
          <cell r="J165">
            <v>0</v>
          </cell>
          <cell r="K165">
            <v>500</v>
          </cell>
          <cell r="L165">
            <v>0</v>
          </cell>
          <cell r="M165">
            <v>0</v>
          </cell>
        </row>
        <row r="166">
          <cell r="C166">
            <v>179</v>
          </cell>
          <cell r="F166">
            <v>1</v>
          </cell>
          <cell r="I166">
            <v>46185</v>
          </cell>
          <cell r="J166">
            <v>0</v>
          </cell>
          <cell r="K166">
            <v>1000</v>
          </cell>
          <cell r="L166">
            <v>0</v>
          </cell>
          <cell r="M166">
            <v>0</v>
          </cell>
        </row>
        <row r="167">
          <cell r="C167">
            <v>177</v>
          </cell>
          <cell r="F167">
            <v>1</v>
          </cell>
          <cell r="I167">
            <v>46186</v>
          </cell>
          <cell r="J167">
            <v>0</v>
          </cell>
          <cell r="K167">
            <v>250</v>
          </cell>
          <cell r="L167">
            <v>0</v>
          </cell>
          <cell r="M167">
            <v>0</v>
          </cell>
        </row>
        <row r="168">
          <cell r="C168">
            <v>191</v>
          </cell>
          <cell r="F168">
            <v>1</v>
          </cell>
          <cell r="I168">
            <v>46186</v>
          </cell>
          <cell r="J168">
            <v>0</v>
          </cell>
          <cell r="K168">
            <v>20</v>
          </cell>
          <cell r="L168">
            <v>0</v>
          </cell>
          <cell r="M168">
            <v>0</v>
          </cell>
        </row>
        <row r="169">
          <cell r="C169">
            <v>41</v>
          </cell>
          <cell r="F169">
            <v>1</v>
          </cell>
          <cell r="I169">
            <v>46186</v>
          </cell>
          <cell r="J169">
            <v>0</v>
          </cell>
          <cell r="K169">
            <v>2</v>
          </cell>
          <cell r="L169">
            <v>0</v>
          </cell>
          <cell r="M169">
            <v>0</v>
          </cell>
        </row>
        <row r="170">
          <cell r="C170">
            <v>8</v>
          </cell>
          <cell r="F170">
            <v>1</v>
          </cell>
          <cell r="I170">
            <v>46186</v>
          </cell>
          <cell r="J170">
            <v>0</v>
          </cell>
          <cell r="K170">
            <v>2</v>
          </cell>
          <cell r="L170">
            <v>0</v>
          </cell>
          <cell r="M170">
            <v>0</v>
          </cell>
        </row>
        <row r="171">
          <cell r="C171">
            <v>45</v>
          </cell>
          <cell r="F171">
            <v>1</v>
          </cell>
          <cell r="I171">
            <v>46186</v>
          </cell>
          <cell r="J171">
            <v>0</v>
          </cell>
          <cell r="K171">
            <v>3</v>
          </cell>
          <cell r="L171">
            <v>0</v>
          </cell>
          <cell r="M171">
            <v>0</v>
          </cell>
        </row>
        <row r="172">
          <cell r="C172">
            <v>42</v>
          </cell>
          <cell r="F172">
            <v>1</v>
          </cell>
          <cell r="I172">
            <v>46186</v>
          </cell>
          <cell r="J172">
            <v>0</v>
          </cell>
          <cell r="K172">
            <v>2</v>
          </cell>
          <cell r="L172">
            <v>0</v>
          </cell>
          <cell r="M172">
            <v>0</v>
          </cell>
        </row>
        <row r="173">
          <cell r="C173">
            <v>56</v>
          </cell>
          <cell r="F173">
            <v>1</v>
          </cell>
          <cell r="I173">
            <v>46186</v>
          </cell>
          <cell r="J173">
            <v>0</v>
          </cell>
          <cell r="K173">
            <v>1</v>
          </cell>
          <cell r="L173">
            <v>0</v>
          </cell>
          <cell r="M173">
            <v>0</v>
          </cell>
        </row>
        <row r="174">
          <cell r="C174">
            <v>68</v>
          </cell>
          <cell r="F174">
            <v>1</v>
          </cell>
          <cell r="I174">
            <v>46186</v>
          </cell>
          <cell r="J174">
            <v>0</v>
          </cell>
          <cell r="K174">
            <v>2</v>
          </cell>
          <cell r="L174">
            <v>0</v>
          </cell>
          <cell r="M174">
            <v>0</v>
          </cell>
        </row>
        <row r="175">
          <cell r="C175">
            <v>49</v>
          </cell>
          <cell r="F175">
            <v>1</v>
          </cell>
          <cell r="I175">
            <v>46186</v>
          </cell>
          <cell r="J175">
            <v>0</v>
          </cell>
          <cell r="K175">
            <v>1</v>
          </cell>
          <cell r="L175">
            <v>0</v>
          </cell>
          <cell r="M175">
            <v>0</v>
          </cell>
        </row>
        <row r="176">
          <cell r="C176">
            <v>69</v>
          </cell>
          <cell r="F176">
            <v>1</v>
          </cell>
          <cell r="I176">
            <v>46186</v>
          </cell>
          <cell r="J176">
            <v>0</v>
          </cell>
          <cell r="K176">
            <v>1</v>
          </cell>
          <cell r="L176">
            <v>0</v>
          </cell>
          <cell r="M176">
            <v>0</v>
          </cell>
        </row>
        <row r="177">
          <cell r="C177">
            <v>25</v>
          </cell>
          <cell r="F177">
            <v>1</v>
          </cell>
          <cell r="I177">
            <v>46186</v>
          </cell>
          <cell r="J177">
            <v>0</v>
          </cell>
          <cell r="K177">
            <v>1</v>
          </cell>
          <cell r="L177">
            <v>0</v>
          </cell>
          <cell r="M177">
            <v>0</v>
          </cell>
        </row>
        <row r="178">
          <cell r="C178">
            <v>7</v>
          </cell>
          <cell r="F178">
            <v>1</v>
          </cell>
          <cell r="I178">
            <v>46186</v>
          </cell>
          <cell r="J178">
            <v>0</v>
          </cell>
          <cell r="K178">
            <v>1</v>
          </cell>
          <cell r="L178">
            <v>0</v>
          </cell>
          <cell r="M178">
            <v>0</v>
          </cell>
        </row>
        <row r="179">
          <cell r="C179">
            <v>73</v>
          </cell>
          <cell r="F179">
            <v>1</v>
          </cell>
          <cell r="I179">
            <v>46186</v>
          </cell>
          <cell r="J179">
            <v>0</v>
          </cell>
          <cell r="K179">
            <v>1</v>
          </cell>
          <cell r="L179">
            <v>0</v>
          </cell>
          <cell r="M179">
            <v>0</v>
          </cell>
        </row>
        <row r="180">
          <cell r="C180">
            <v>108</v>
          </cell>
          <cell r="F180">
            <v>1</v>
          </cell>
          <cell r="I180">
            <v>46186</v>
          </cell>
          <cell r="J180">
            <v>0</v>
          </cell>
          <cell r="K180">
            <v>1</v>
          </cell>
          <cell r="L180">
            <v>0</v>
          </cell>
          <cell r="M180">
            <v>0</v>
          </cell>
        </row>
        <row r="181">
          <cell r="C181">
            <v>92</v>
          </cell>
          <cell r="F181">
            <v>1</v>
          </cell>
          <cell r="I181">
            <v>46186</v>
          </cell>
          <cell r="J181">
            <v>0</v>
          </cell>
          <cell r="K181">
            <v>20</v>
          </cell>
          <cell r="L181">
            <v>0</v>
          </cell>
          <cell r="M181">
            <v>0</v>
          </cell>
        </row>
        <row r="182">
          <cell r="C182">
            <v>50</v>
          </cell>
          <cell r="F182">
            <v>1</v>
          </cell>
          <cell r="I182">
            <v>46186</v>
          </cell>
          <cell r="J182">
            <v>0</v>
          </cell>
          <cell r="K182">
            <v>30</v>
          </cell>
          <cell r="L182">
            <v>0</v>
          </cell>
          <cell r="M182">
            <v>0</v>
          </cell>
        </row>
        <row r="183">
          <cell r="C183">
            <v>101</v>
          </cell>
          <cell r="F183">
            <v>1</v>
          </cell>
          <cell r="I183">
            <v>46186</v>
          </cell>
          <cell r="J183">
            <v>0</v>
          </cell>
          <cell r="K183">
            <v>20</v>
          </cell>
          <cell r="L183">
            <v>0</v>
          </cell>
          <cell r="M183">
            <v>0</v>
          </cell>
        </row>
        <row r="184">
          <cell r="C184">
            <v>94</v>
          </cell>
          <cell r="F184">
            <v>1</v>
          </cell>
          <cell r="I184">
            <v>46186</v>
          </cell>
          <cell r="J184">
            <v>0</v>
          </cell>
          <cell r="K184">
            <v>40</v>
          </cell>
          <cell r="L184">
            <v>0</v>
          </cell>
          <cell r="M184">
            <v>0</v>
          </cell>
        </row>
        <row r="185">
          <cell r="C185">
            <v>177</v>
          </cell>
          <cell r="F185">
            <v>1</v>
          </cell>
          <cell r="I185">
            <v>46187</v>
          </cell>
          <cell r="J185">
            <v>0</v>
          </cell>
          <cell r="K185">
            <v>1250</v>
          </cell>
          <cell r="L185">
            <v>0</v>
          </cell>
          <cell r="M185">
            <v>0</v>
          </cell>
        </row>
        <row r="186">
          <cell r="C186">
            <v>51</v>
          </cell>
          <cell r="F186">
            <v>1</v>
          </cell>
          <cell r="I186">
            <v>46187</v>
          </cell>
          <cell r="J186">
            <v>0</v>
          </cell>
          <cell r="K186">
            <v>3</v>
          </cell>
          <cell r="L186">
            <v>0</v>
          </cell>
          <cell r="M186">
            <v>0</v>
          </cell>
        </row>
        <row r="187">
          <cell r="C187">
            <v>184</v>
          </cell>
          <cell r="F187">
            <v>1</v>
          </cell>
          <cell r="I187">
            <v>46187</v>
          </cell>
          <cell r="J187">
            <v>0</v>
          </cell>
          <cell r="K187">
            <v>120</v>
          </cell>
          <cell r="L187">
            <v>0</v>
          </cell>
          <cell r="M187">
            <v>0</v>
          </cell>
        </row>
        <row r="188">
          <cell r="C188">
            <v>177</v>
          </cell>
          <cell r="F188">
            <v>1</v>
          </cell>
          <cell r="I188">
            <v>46188</v>
          </cell>
          <cell r="J188">
            <v>0</v>
          </cell>
          <cell r="K188">
            <v>800</v>
          </cell>
          <cell r="L188">
            <v>0</v>
          </cell>
          <cell r="M188">
            <v>0</v>
          </cell>
        </row>
        <row r="189">
          <cell r="C189">
            <v>179</v>
          </cell>
          <cell r="F189">
            <v>1</v>
          </cell>
          <cell r="I189">
            <v>46188</v>
          </cell>
          <cell r="J189">
            <v>0</v>
          </cell>
          <cell r="K189">
            <v>750</v>
          </cell>
          <cell r="L189">
            <v>0</v>
          </cell>
          <cell r="M189">
            <v>0</v>
          </cell>
        </row>
        <row r="190">
          <cell r="C190">
            <v>69</v>
          </cell>
          <cell r="F190">
            <v>1</v>
          </cell>
          <cell r="I190">
            <v>46188</v>
          </cell>
          <cell r="J190">
            <v>0</v>
          </cell>
          <cell r="K190">
            <v>4</v>
          </cell>
          <cell r="L190">
            <v>0</v>
          </cell>
          <cell r="M190">
            <v>0</v>
          </cell>
        </row>
        <row r="191">
          <cell r="C191">
            <v>181</v>
          </cell>
          <cell r="F191">
            <v>1</v>
          </cell>
          <cell r="I191">
            <v>46188</v>
          </cell>
          <cell r="J191">
            <v>0</v>
          </cell>
          <cell r="K191">
            <v>12</v>
          </cell>
          <cell r="L191">
            <v>0</v>
          </cell>
          <cell r="M191">
            <v>0</v>
          </cell>
        </row>
        <row r="192">
          <cell r="C192">
            <v>42</v>
          </cell>
          <cell r="F192">
            <v>1</v>
          </cell>
          <cell r="I192">
            <v>46188</v>
          </cell>
          <cell r="J192">
            <v>0</v>
          </cell>
          <cell r="K192">
            <v>4</v>
          </cell>
          <cell r="L192">
            <v>0</v>
          </cell>
          <cell r="M192">
            <v>0</v>
          </cell>
        </row>
        <row r="193">
          <cell r="C193">
            <v>74</v>
          </cell>
          <cell r="F193">
            <v>1</v>
          </cell>
          <cell r="I193">
            <v>46188</v>
          </cell>
          <cell r="J193">
            <v>0</v>
          </cell>
          <cell r="K193">
            <v>2</v>
          </cell>
          <cell r="L193">
            <v>0</v>
          </cell>
          <cell r="M193">
            <v>0</v>
          </cell>
        </row>
        <row r="194">
          <cell r="C194">
            <v>44</v>
          </cell>
          <cell r="F194">
            <v>1</v>
          </cell>
          <cell r="I194">
            <v>46188</v>
          </cell>
          <cell r="J194">
            <v>0</v>
          </cell>
          <cell r="K194">
            <v>2</v>
          </cell>
          <cell r="L194">
            <v>0</v>
          </cell>
          <cell r="M194">
            <v>0</v>
          </cell>
        </row>
        <row r="195">
          <cell r="C195">
            <v>46</v>
          </cell>
          <cell r="F195">
            <v>1</v>
          </cell>
          <cell r="I195">
            <v>46188</v>
          </cell>
          <cell r="J195">
            <v>0</v>
          </cell>
          <cell r="K195">
            <v>4</v>
          </cell>
          <cell r="L195">
            <v>0</v>
          </cell>
          <cell r="M195">
            <v>0</v>
          </cell>
        </row>
        <row r="196">
          <cell r="C196">
            <v>103</v>
          </cell>
          <cell r="F196">
            <v>1</v>
          </cell>
          <cell r="I196">
            <v>46188</v>
          </cell>
          <cell r="J196">
            <v>0</v>
          </cell>
          <cell r="K196">
            <v>1</v>
          </cell>
          <cell r="L196">
            <v>0</v>
          </cell>
          <cell r="M196">
            <v>0</v>
          </cell>
        </row>
        <row r="197">
          <cell r="C197">
            <v>75</v>
          </cell>
          <cell r="F197">
            <v>1</v>
          </cell>
          <cell r="I197">
            <v>46188</v>
          </cell>
          <cell r="J197">
            <v>0</v>
          </cell>
          <cell r="K197">
            <v>1</v>
          </cell>
          <cell r="L197">
            <v>0</v>
          </cell>
          <cell r="M197">
            <v>0</v>
          </cell>
        </row>
        <row r="198">
          <cell r="C198">
            <v>68</v>
          </cell>
          <cell r="F198">
            <v>1</v>
          </cell>
          <cell r="I198">
            <v>46188</v>
          </cell>
          <cell r="J198">
            <v>0</v>
          </cell>
          <cell r="K198">
            <v>1</v>
          </cell>
          <cell r="L198">
            <v>0</v>
          </cell>
          <cell r="M198">
            <v>0</v>
          </cell>
        </row>
        <row r="199">
          <cell r="C199">
            <v>150</v>
          </cell>
          <cell r="F199">
            <v>1</v>
          </cell>
          <cell r="I199">
            <v>46188</v>
          </cell>
          <cell r="J199">
            <v>0</v>
          </cell>
          <cell r="K199">
            <v>24</v>
          </cell>
          <cell r="L199">
            <v>0</v>
          </cell>
          <cell r="M199">
            <v>0</v>
          </cell>
        </row>
        <row r="200">
          <cell r="C200">
            <v>18</v>
          </cell>
          <cell r="F200">
            <v>1</v>
          </cell>
          <cell r="I200">
            <v>46188</v>
          </cell>
          <cell r="J200">
            <v>0</v>
          </cell>
          <cell r="K200">
            <v>2</v>
          </cell>
          <cell r="L200">
            <v>0</v>
          </cell>
          <cell r="M200">
            <v>0</v>
          </cell>
        </row>
        <row r="201">
          <cell r="C201">
            <v>108</v>
          </cell>
          <cell r="F201">
            <v>1</v>
          </cell>
          <cell r="I201">
            <v>46188</v>
          </cell>
          <cell r="J201">
            <v>0</v>
          </cell>
          <cell r="K201">
            <v>1</v>
          </cell>
          <cell r="L201">
            <v>0</v>
          </cell>
          <cell r="M201">
            <v>0</v>
          </cell>
        </row>
        <row r="202">
          <cell r="C202">
            <v>22</v>
          </cell>
          <cell r="F202">
            <v>1</v>
          </cell>
          <cell r="I202">
            <v>46188</v>
          </cell>
          <cell r="J202">
            <v>0</v>
          </cell>
          <cell r="K202">
            <v>2</v>
          </cell>
          <cell r="L202">
            <v>0</v>
          </cell>
          <cell r="M202">
            <v>0</v>
          </cell>
        </row>
        <row r="203">
          <cell r="C203">
            <v>14</v>
          </cell>
          <cell r="F203">
            <v>1</v>
          </cell>
          <cell r="I203">
            <v>46188</v>
          </cell>
          <cell r="J203">
            <v>0</v>
          </cell>
          <cell r="K203">
            <v>1</v>
          </cell>
          <cell r="L203">
            <v>0</v>
          </cell>
          <cell r="M203">
            <v>0</v>
          </cell>
        </row>
        <row r="204">
          <cell r="C204">
            <v>16</v>
          </cell>
          <cell r="F204">
            <v>1</v>
          </cell>
          <cell r="I204">
            <v>46188</v>
          </cell>
          <cell r="J204">
            <v>0</v>
          </cell>
          <cell r="K204">
            <v>1</v>
          </cell>
          <cell r="L204">
            <v>0</v>
          </cell>
          <cell r="M204">
            <v>0</v>
          </cell>
        </row>
        <row r="205">
          <cell r="C205">
            <v>50</v>
          </cell>
          <cell r="F205">
            <v>1</v>
          </cell>
          <cell r="I205">
            <v>46188</v>
          </cell>
          <cell r="J205">
            <v>0</v>
          </cell>
          <cell r="K205">
            <v>3</v>
          </cell>
          <cell r="L205">
            <v>0</v>
          </cell>
          <cell r="M205">
            <v>0</v>
          </cell>
        </row>
        <row r="206">
          <cell r="C206">
            <v>177</v>
          </cell>
          <cell r="F206">
            <v>1</v>
          </cell>
          <cell r="I206">
            <v>46189</v>
          </cell>
          <cell r="J206">
            <v>0</v>
          </cell>
          <cell r="K206">
            <v>650</v>
          </cell>
          <cell r="L206">
            <v>0</v>
          </cell>
          <cell r="M206">
            <v>0</v>
          </cell>
        </row>
        <row r="207">
          <cell r="C207">
            <v>179</v>
          </cell>
          <cell r="F207">
            <v>1</v>
          </cell>
          <cell r="I207">
            <v>46189</v>
          </cell>
          <cell r="J207">
            <v>0</v>
          </cell>
          <cell r="K207">
            <v>300</v>
          </cell>
          <cell r="L207">
            <v>0</v>
          </cell>
          <cell r="M207">
            <v>0</v>
          </cell>
        </row>
        <row r="208">
          <cell r="C208">
            <v>187</v>
          </cell>
          <cell r="F208">
            <v>1</v>
          </cell>
          <cell r="I208">
            <v>46189</v>
          </cell>
          <cell r="J208">
            <v>0</v>
          </cell>
          <cell r="K208">
            <v>40</v>
          </cell>
          <cell r="L208">
            <v>0</v>
          </cell>
          <cell r="M208">
            <v>0</v>
          </cell>
        </row>
        <row r="209">
          <cell r="C209">
            <v>195</v>
          </cell>
          <cell r="F209">
            <v>1</v>
          </cell>
          <cell r="I209">
            <v>46189</v>
          </cell>
          <cell r="J209">
            <v>0</v>
          </cell>
          <cell r="K209">
            <v>12</v>
          </cell>
          <cell r="L209">
            <v>0</v>
          </cell>
          <cell r="M209">
            <v>0</v>
          </cell>
        </row>
        <row r="210">
          <cell r="C210">
            <v>16</v>
          </cell>
          <cell r="F210">
            <v>1</v>
          </cell>
          <cell r="I210">
            <v>46189</v>
          </cell>
          <cell r="J210">
            <v>0</v>
          </cell>
          <cell r="K210">
            <v>10</v>
          </cell>
          <cell r="L210">
            <v>0</v>
          </cell>
          <cell r="M210">
            <v>0</v>
          </cell>
        </row>
        <row r="211">
          <cell r="C211">
            <v>10</v>
          </cell>
          <cell r="F211">
            <v>1</v>
          </cell>
          <cell r="I211">
            <v>46189</v>
          </cell>
          <cell r="J211">
            <v>0</v>
          </cell>
          <cell r="K211">
            <v>1</v>
          </cell>
          <cell r="L211">
            <v>0</v>
          </cell>
          <cell r="M211">
            <v>0</v>
          </cell>
        </row>
        <row r="212">
          <cell r="C212">
            <v>178</v>
          </cell>
          <cell r="F212">
            <v>1</v>
          </cell>
          <cell r="I212">
            <v>46189</v>
          </cell>
          <cell r="J212">
            <v>0</v>
          </cell>
          <cell r="K212">
            <v>200</v>
          </cell>
          <cell r="L212">
            <v>0</v>
          </cell>
          <cell r="M212">
            <v>0</v>
          </cell>
        </row>
        <row r="213">
          <cell r="C213">
            <v>197</v>
          </cell>
          <cell r="F213">
            <v>1</v>
          </cell>
          <cell r="I213">
            <v>46190</v>
          </cell>
          <cell r="J213">
            <v>0</v>
          </cell>
          <cell r="K213">
            <v>8</v>
          </cell>
          <cell r="L213">
            <v>0</v>
          </cell>
          <cell r="M213">
            <v>0</v>
          </cell>
        </row>
        <row r="214">
          <cell r="C214">
            <v>181</v>
          </cell>
          <cell r="F214">
            <v>1</v>
          </cell>
          <cell r="I214">
            <v>46190</v>
          </cell>
          <cell r="J214">
            <v>0</v>
          </cell>
          <cell r="K214">
            <v>120</v>
          </cell>
          <cell r="L214">
            <v>0</v>
          </cell>
          <cell r="M214">
            <v>0</v>
          </cell>
        </row>
        <row r="215">
          <cell r="C215">
            <v>178</v>
          </cell>
          <cell r="F215">
            <v>1</v>
          </cell>
          <cell r="I215">
            <v>46190</v>
          </cell>
          <cell r="J215">
            <v>0</v>
          </cell>
          <cell r="K215">
            <v>1300</v>
          </cell>
          <cell r="L215">
            <v>0</v>
          </cell>
          <cell r="M215">
            <v>0</v>
          </cell>
        </row>
        <row r="216">
          <cell r="C216">
            <v>177</v>
          </cell>
          <cell r="F216">
            <v>1</v>
          </cell>
          <cell r="I216">
            <v>46190</v>
          </cell>
          <cell r="J216">
            <v>0</v>
          </cell>
          <cell r="K216">
            <v>150</v>
          </cell>
          <cell r="L216">
            <v>0</v>
          </cell>
          <cell r="M216">
            <v>0</v>
          </cell>
        </row>
        <row r="217">
          <cell r="C217">
            <v>183</v>
          </cell>
          <cell r="F217">
            <v>1</v>
          </cell>
          <cell r="I217">
            <v>46190</v>
          </cell>
          <cell r="J217">
            <v>0</v>
          </cell>
          <cell r="K217">
            <v>60</v>
          </cell>
          <cell r="L217">
            <v>0</v>
          </cell>
          <cell r="M217">
            <v>0</v>
          </cell>
        </row>
        <row r="218">
          <cell r="C218">
            <v>167</v>
          </cell>
          <cell r="F218">
            <v>1</v>
          </cell>
          <cell r="I218">
            <v>46190</v>
          </cell>
          <cell r="J218">
            <v>0</v>
          </cell>
          <cell r="K218">
            <v>7</v>
          </cell>
          <cell r="L218">
            <v>0</v>
          </cell>
          <cell r="M218">
            <v>0</v>
          </cell>
        </row>
        <row r="219">
          <cell r="C219">
            <v>144</v>
          </cell>
          <cell r="F219">
            <v>1</v>
          </cell>
          <cell r="I219">
            <v>46190</v>
          </cell>
          <cell r="J219">
            <v>0</v>
          </cell>
          <cell r="K219">
            <v>4</v>
          </cell>
          <cell r="L219">
            <v>0</v>
          </cell>
          <cell r="M219">
            <v>0</v>
          </cell>
        </row>
        <row r="220">
          <cell r="C220">
            <v>74</v>
          </cell>
          <cell r="F220">
            <v>1</v>
          </cell>
          <cell r="I220">
            <v>46190</v>
          </cell>
          <cell r="J220">
            <v>0</v>
          </cell>
          <cell r="K220">
            <v>4</v>
          </cell>
          <cell r="L220">
            <v>0</v>
          </cell>
          <cell r="M220">
            <v>0</v>
          </cell>
        </row>
        <row r="221">
          <cell r="C221">
            <v>90</v>
          </cell>
          <cell r="F221">
            <v>1</v>
          </cell>
          <cell r="I221">
            <v>46190</v>
          </cell>
          <cell r="J221">
            <v>0</v>
          </cell>
          <cell r="K221">
            <v>4</v>
          </cell>
          <cell r="L221">
            <v>0</v>
          </cell>
          <cell r="M221">
            <v>0</v>
          </cell>
        </row>
        <row r="222">
          <cell r="C222">
            <v>49</v>
          </cell>
          <cell r="F222">
            <v>1</v>
          </cell>
          <cell r="I222">
            <v>46190</v>
          </cell>
          <cell r="J222">
            <v>0</v>
          </cell>
          <cell r="K222">
            <v>2</v>
          </cell>
          <cell r="L222">
            <v>0</v>
          </cell>
          <cell r="M222">
            <v>0</v>
          </cell>
        </row>
        <row r="223">
          <cell r="C223">
            <v>94</v>
          </cell>
          <cell r="F223">
            <v>1</v>
          </cell>
          <cell r="I223">
            <v>46190</v>
          </cell>
          <cell r="J223">
            <v>0</v>
          </cell>
          <cell r="K223">
            <v>1</v>
          </cell>
          <cell r="L223">
            <v>0</v>
          </cell>
          <cell r="M223">
            <v>0</v>
          </cell>
        </row>
        <row r="224">
          <cell r="C224">
            <v>19</v>
          </cell>
          <cell r="F224">
            <v>1</v>
          </cell>
          <cell r="I224">
            <v>46191</v>
          </cell>
          <cell r="J224">
            <v>0</v>
          </cell>
          <cell r="K224">
            <v>1</v>
          </cell>
          <cell r="L224">
            <v>0</v>
          </cell>
          <cell r="M224">
            <v>0</v>
          </cell>
        </row>
        <row r="225">
          <cell r="C225">
            <v>22</v>
          </cell>
          <cell r="F225">
            <v>1</v>
          </cell>
          <cell r="I225">
            <v>46191</v>
          </cell>
          <cell r="J225">
            <v>0</v>
          </cell>
          <cell r="K225">
            <v>1</v>
          </cell>
          <cell r="L225">
            <v>0</v>
          </cell>
          <cell r="M225">
            <v>0</v>
          </cell>
        </row>
        <row r="226">
          <cell r="C226">
            <v>34</v>
          </cell>
          <cell r="F226">
            <v>1</v>
          </cell>
          <cell r="I226">
            <v>46191</v>
          </cell>
          <cell r="J226">
            <v>0</v>
          </cell>
          <cell r="K226">
            <v>3</v>
          </cell>
          <cell r="L226">
            <v>0</v>
          </cell>
          <cell r="M226">
            <v>0</v>
          </cell>
        </row>
        <row r="227">
          <cell r="C227">
            <v>37</v>
          </cell>
          <cell r="F227">
            <v>1</v>
          </cell>
          <cell r="I227">
            <v>46191</v>
          </cell>
          <cell r="J227">
            <v>0</v>
          </cell>
          <cell r="K227">
            <v>1</v>
          </cell>
          <cell r="L227">
            <v>0</v>
          </cell>
          <cell r="M227">
            <v>0</v>
          </cell>
        </row>
        <row r="228">
          <cell r="C228">
            <v>26</v>
          </cell>
          <cell r="F228">
            <v>1</v>
          </cell>
          <cell r="I228">
            <v>46191</v>
          </cell>
          <cell r="J228">
            <v>0</v>
          </cell>
          <cell r="K228">
            <v>2</v>
          </cell>
          <cell r="L228">
            <v>0</v>
          </cell>
          <cell r="M228">
            <v>0</v>
          </cell>
        </row>
        <row r="229">
          <cell r="C229">
            <v>29</v>
          </cell>
          <cell r="F229">
            <v>1</v>
          </cell>
          <cell r="I229">
            <v>46191</v>
          </cell>
          <cell r="J229">
            <v>0</v>
          </cell>
          <cell r="K229">
            <v>1</v>
          </cell>
          <cell r="L229">
            <v>0</v>
          </cell>
          <cell r="M229">
            <v>0</v>
          </cell>
        </row>
        <row r="230">
          <cell r="C230">
            <v>183</v>
          </cell>
          <cell r="F230">
            <v>1</v>
          </cell>
          <cell r="I230">
            <v>46191</v>
          </cell>
          <cell r="J230">
            <v>0</v>
          </cell>
          <cell r="K230">
            <v>120</v>
          </cell>
          <cell r="L230">
            <v>0</v>
          </cell>
          <cell r="M230">
            <v>0</v>
          </cell>
        </row>
        <row r="231">
          <cell r="C231">
            <v>181</v>
          </cell>
          <cell r="F231">
            <v>1</v>
          </cell>
          <cell r="I231">
            <v>46191</v>
          </cell>
          <cell r="J231">
            <v>0</v>
          </cell>
          <cell r="K231">
            <v>12</v>
          </cell>
          <cell r="L231">
            <v>0</v>
          </cell>
          <cell r="M231">
            <v>0</v>
          </cell>
        </row>
        <row r="232">
          <cell r="C232">
            <v>102</v>
          </cell>
          <cell r="F232">
            <v>1</v>
          </cell>
          <cell r="I232">
            <v>46191</v>
          </cell>
          <cell r="J232">
            <v>0</v>
          </cell>
          <cell r="K232">
            <v>1</v>
          </cell>
          <cell r="L232">
            <v>0</v>
          </cell>
          <cell r="M232">
            <v>0</v>
          </cell>
        </row>
        <row r="233">
          <cell r="C233">
            <v>177</v>
          </cell>
          <cell r="F233">
            <v>1</v>
          </cell>
          <cell r="I233">
            <v>46191</v>
          </cell>
          <cell r="J233">
            <v>0</v>
          </cell>
          <cell r="K233">
            <v>600</v>
          </cell>
          <cell r="L233">
            <v>0</v>
          </cell>
          <cell r="M233">
            <v>0</v>
          </cell>
        </row>
        <row r="234">
          <cell r="C234">
            <v>179</v>
          </cell>
          <cell r="F234">
            <v>1</v>
          </cell>
          <cell r="I234">
            <v>46191</v>
          </cell>
          <cell r="J234">
            <v>0</v>
          </cell>
          <cell r="K234">
            <v>300</v>
          </cell>
          <cell r="L234">
            <v>0</v>
          </cell>
          <cell r="M234">
            <v>0</v>
          </cell>
        </row>
        <row r="235">
          <cell r="C235">
            <v>195</v>
          </cell>
          <cell r="F235">
            <v>1</v>
          </cell>
          <cell r="I235">
            <v>46191</v>
          </cell>
          <cell r="J235">
            <v>0</v>
          </cell>
          <cell r="K235">
            <v>8</v>
          </cell>
          <cell r="L235">
            <v>0</v>
          </cell>
          <cell r="M235">
            <v>0</v>
          </cell>
        </row>
        <row r="236">
          <cell r="C236">
            <v>187</v>
          </cell>
          <cell r="F236">
            <v>1</v>
          </cell>
          <cell r="I236">
            <v>46191</v>
          </cell>
          <cell r="J236">
            <v>0</v>
          </cell>
          <cell r="K236">
            <v>16</v>
          </cell>
          <cell r="L236">
            <v>0</v>
          </cell>
          <cell r="M236">
            <v>0</v>
          </cell>
        </row>
        <row r="237">
          <cell r="C237">
            <v>189</v>
          </cell>
          <cell r="F237">
            <v>1</v>
          </cell>
          <cell r="I237">
            <v>46191</v>
          </cell>
          <cell r="J237">
            <v>0</v>
          </cell>
          <cell r="K237">
            <v>12</v>
          </cell>
          <cell r="L237">
            <v>0</v>
          </cell>
          <cell r="M237">
            <v>0</v>
          </cell>
        </row>
        <row r="238">
          <cell r="C238">
            <v>14</v>
          </cell>
          <cell r="F238">
            <v>1</v>
          </cell>
          <cell r="I238">
            <v>46191</v>
          </cell>
          <cell r="J238">
            <v>0</v>
          </cell>
          <cell r="K238">
            <v>5</v>
          </cell>
          <cell r="L238">
            <v>0</v>
          </cell>
          <cell r="M238">
            <v>0</v>
          </cell>
        </row>
        <row r="239">
          <cell r="C239">
            <v>183</v>
          </cell>
          <cell r="F239">
            <v>1</v>
          </cell>
          <cell r="I239">
            <v>46192</v>
          </cell>
          <cell r="J239">
            <v>0</v>
          </cell>
          <cell r="K239">
            <v>60</v>
          </cell>
          <cell r="L239">
            <v>0</v>
          </cell>
          <cell r="M239">
            <v>0</v>
          </cell>
        </row>
        <row r="240">
          <cell r="C240">
            <v>195</v>
          </cell>
          <cell r="F240">
            <v>1</v>
          </cell>
          <cell r="I240">
            <v>46192</v>
          </cell>
          <cell r="J240">
            <v>0</v>
          </cell>
          <cell r="K240">
            <v>4</v>
          </cell>
          <cell r="L240">
            <v>0</v>
          </cell>
          <cell r="M240">
            <v>0</v>
          </cell>
        </row>
        <row r="241">
          <cell r="C241">
            <v>66</v>
          </cell>
          <cell r="F241">
            <v>1</v>
          </cell>
          <cell r="I241">
            <v>46192</v>
          </cell>
          <cell r="J241">
            <v>0</v>
          </cell>
          <cell r="K241">
            <v>1</v>
          </cell>
          <cell r="L241">
            <v>0</v>
          </cell>
          <cell r="M241">
            <v>0</v>
          </cell>
        </row>
        <row r="242">
          <cell r="C242">
            <v>178</v>
          </cell>
          <cell r="F242">
            <v>1</v>
          </cell>
          <cell r="I242">
            <v>46192</v>
          </cell>
          <cell r="J242">
            <v>0</v>
          </cell>
          <cell r="K242">
            <v>150</v>
          </cell>
          <cell r="L242">
            <v>0</v>
          </cell>
          <cell r="M242">
            <v>0</v>
          </cell>
        </row>
        <row r="243">
          <cell r="C243">
            <v>181</v>
          </cell>
          <cell r="F243">
            <v>1</v>
          </cell>
          <cell r="I243">
            <v>46192</v>
          </cell>
          <cell r="J243">
            <v>0</v>
          </cell>
          <cell r="K243">
            <v>24</v>
          </cell>
          <cell r="L243">
            <v>0</v>
          </cell>
          <cell r="M243">
            <v>0</v>
          </cell>
        </row>
        <row r="244">
          <cell r="C244">
            <v>176</v>
          </cell>
          <cell r="F244">
            <v>1</v>
          </cell>
          <cell r="I244">
            <v>46192</v>
          </cell>
          <cell r="J244">
            <v>0</v>
          </cell>
          <cell r="K244">
            <v>1000</v>
          </cell>
          <cell r="L244">
            <v>0</v>
          </cell>
          <cell r="M244">
            <v>0</v>
          </cell>
        </row>
        <row r="245">
          <cell r="C245">
            <v>4</v>
          </cell>
          <cell r="F245">
            <v>1</v>
          </cell>
          <cell r="I245">
            <v>46192</v>
          </cell>
          <cell r="J245">
            <v>0</v>
          </cell>
          <cell r="K245">
            <v>2</v>
          </cell>
          <cell r="L245">
            <v>0</v>
          </cell>
          <cell r="M245">
            <v>0</v>
          </cell>
        </row>
        <row r="246">
          <cell r="C246">
            <v>34</v>
          </cell>
          <cell r="F246">
            <v>1</v>
          </cell>
          <cell r="I246">
            <v>46192</v>
          </cell>
          <cell r="J246">
            <v>0</v>
          </cell>
          <cell r="K246">
            <v>2</v>
          </cell>
          <cell r="L246">
            <v>0</v>
          </cell>
          <cell r="M246">
            <v>0</v>
          </cell>
        </row>
        <row r="247">
          <cell r="C247">
            <v>178</v>
          </cell>
          <cell r="F247">
            <v>1</v>
          </cell>
          <cell r="I247">
            <v>46193</v>
          </cell>
          <cell r="J247">
            <v>0</v>
          </cell>
          <cell r="K247">
            <v>600</v>
          </cell>
          <cell r="L247">
            <v>0</v>
          </cell>
          <cell r="M247">
            <v>0</v>
          </cell>
        </row>
        <row r="248">
          <cell r="C248">
            <v>197</v>
          </cell>
          <cell r="F248">
            <v>1</v>
          </cell>
          <cell r="I248">
            <v>46193</v>
          </cell>
          <cell r="J248">
            <v>0</v>
          </cell>
          <cell r="K248">
            <v>12</v>
          </cell>
          <cell r="L248">
            <v>0</v>
          </cell>
          <cell r="M248">
            <v>0</v>
          </cell>
        </row>
        <row r="249">
          <cell r="C249">
            <v>189</v>
          </cell>
          <cell r="F249">
            <v>1</v>
          </cell>
          <cell r="I249">
            <v>46193</v>
          </cell>
          <cell r="J249">
            <v>0</v>
          </cell>
          <cell r="K249">
            <v>24</v>
          </cell>
          <cell r="L249">
            <v>0</v>
          </cell>
          <cell r="M249">
            <v>0</v>
          </cell>
        </row>
        <row r="250">
          <cell r="C250">
            <v>16</v>
          </cell>
          <cell r="F250">
            <v>1</v>
          </cell>
          <cell r="I250">
            <v>46193</v>
          </cell>
          <cell r="J250">
            <v>0</v>
          </cell>
          <cell r="K250">
            <v>2</v>
          </cell>
          <cell r="L250">
            <v>0</v>
          </cell>
          <cell r="M250">
            <v>0</v>
          </cell>
        </row>
        <row r="251">
          <cell r="C251">
            <v>99</v>
          </cell>
          <cell r="F251">
            <v>1</v>
          </cell>
          <cell r="I251">
            <v>46193</v>
          </cell>
          <cell r="J251">
            <v>0</v>
          </cell>
          <cell r="K251">
            <v>4</v>
          </cell>
          <cell r="L251">
            <v>0</v>
          </cell>
          <cell r="M251">
            <v>0</v>
          </cell>
        </row>
        <row r="252">
          <cell r="C252">
            <v>8</v>
          </cell>
          <cell r="F252">
            <v>1</v>
          </cell>
          <cell r="I252">
            <v>46193</v>
          </cell>
          <cell r="J252">
            <v>0</v>
          </cell>
          <cell r="K252">
            <v>1</v>
          </cell>
          <cell r="L252">
            <v>0</v>
          </cell>
          <cell r="M252">
            <v>0</v>
          </cell>
        </row>
        <row r="253">
          <cell r="C253">
            <v>142</v>
          </cell>
          <cell r="F253">
            <v>1</v>
          </cell>
          <cell r="I253">
            <v>46193</v>
          </cell>
          <cell r="J253">
            <v>0</v>
          </cell>
          <cell r="K253">
            <v>1</v>
          </cell>
          <cell r="L253">
            <v>0</v>
          </cell>
          <cell r="M253">
            <v>0</v>
          </cell>
        </row>
        <row r="254">
          <cell r="C254">
            <v>177</v>
          </cell>
          <cell r="F254">
            <v>1</v>
          </cell>
          <cell r="I254">
            <v>46193</v>
          </cell>
          <cell r="J254">
            <v>0</v>
          </cell>
          <cell r="K254">
            <v>500</v>
          </cell>
          <cell r="L254">
            <v>0</v>
          </cell>
          <cell r="M254">
            <v>0</v>
          </cell>
        </row>
        <row r="255">
          <cell r="C255">
            <v>187</v>
          </cell>
          <cell r="F255">
            <v>1</v>
          </cell>
          <cell r="I255">
            <v>46194</v>
          </cell>
          <cell r="J255">
            <v>0</v>
          </cell>
          <cell r="K255">
            <v>32</v>
          </cell>
          <cell r="L255">
            <v>0</v>
          </cell>
          <cell r="M255">
            <v>0</v>
          </cell>
        </row>
        <row r="256">
          <cell r="C256">
            <v>191</v>
          </cell>
          <cell r="F256">
            <v>1</v>
          </cell>
          <cell r="I256">
            <v>46194</v>
          </cell>
          <cell r="J256">
            <v>0</v>
          </cell>
          <cell r="K256">
            <v>16</v>
          </cell>
          <cell r="L256">
            <v>0</v>
          </cell>
          <cell r="M256">
            <v>0</v>
          </cell>
        </row>
        <row r="257">
          <cell r="C257">
            <v>189</v>
          </cell>
          <cell r="F257">
            <v>1</v>
          </cell>
          <cell r="I257">
            <v>46194</v>
          </cell>
          <cell r="J257">
            <v>0</v>
          </cell>
          <cell r="K257">
            <v>20</v>
          </cell>
          <cell r="L257">
            <v>0</v>
          </cell>
          <cell r="M257">
            <v>0</v>
          </cell>
        </row>
        <row r="258">
          <cell r="C258">
            <v>197</v>
          </cell>
          <cell r="F258">
            <v>1</v>
          </cell>
          <cell r="I258">
            <v>46194</v>
          </cell>
          <cell r="J258">
            <v>0</v>
          </cell>
          <cell r="K258">
            <v>8</v>
          </cell>
          <cell r="L258">
            <v>0</v>
          </cell>
          <cell r="M258">
            <v>0</v>
          </cell>
        </row>
        <row r="259">
          <cell r="C259">
            <v>160</v>
          </cell>
          <cell r="F259">
            <v>1</v>
          </cell>
          <cell r="I259">
            <v>46194</v>
          </cell>
          <cell r="J259">
            <v>0</v>
          </cell>
          <cell r="K259">
            <v>4</v>
          </cell>
          <cell r="L259">
            <v>0</v>
          </cell>
          <cell r="M259">
            <v>0</v>
          </cell>
        </row>
        <row r="260">
          <cell r="C260">
            <v>170</v>
          </cell>
          <cell r="F260">
            <v>1</v>
          </cell>
          <cell r="I260">
            <v>46194</v>
          </cell>
          <cell r="J260">
            <v>0</v>
          </cell>
          <cell r="K260">
            <v>10</v>
          </cell>
          <cell r="L260">
            <v>0</v>
          </cell>
          <cell r="M260">
            <v>0</v>
          </cell>
        </row>
        <row r="261">
          <cell r="C261">
            <v>176</v>
          </cell>
          <cell r="F261">
            <v>1</v>
          </cell>
          <cell r="I261">
            <v>46195</v>
          </cell>
          <cell r="J261">
            <v>0</v>
          </cell>
          <cell r="K261">
            <v>1000</v>
          </cell>
          <cell r="L261">
            <v>0</v>
          </cell>
          <cell r="M261">
            <v>0</v>
          </cell>
        </row>
        <row r="262">
          <cell r="C262">
            <v>177</v>
          </cell>
          <cell r="F262">
            <v>1</v>
          </cell>
          <cell r="I262">
            <v>46195</v>
          </cell>
          <cell r="J262">
            <v>0</v>
          </cell>
          <cell r="K262">
            <v>900</v>
          </cell>
          <cell r="L262">
            <v>0</v>
          </cell>
          <cell r="M262">
            <v>0</v>
          </cell>
        </row>
        <row r="263">
          <cell r="C263">
            <v>195</v>
          </cell>
          <cell r="F263">
            <v>1</v>
          </cell>
          <cell r="I263">
            <v>46195</v>
          </cell>
          <cell r="J263">
            <v>0</v>
          </cell>
          <cell r="K263">
            <v>12</v>
          </cell>
          <cell r="L263">
            <v>0</v>
          </cell>
          <cell r="M263">
            <v>0</v>
          </cell>
        </row>
        <row r="264">
          <cell r="C264">
            <v>14</v>
          </cell>
          <cell r="F264">
            <v>1</v>
          </cell>
          <cell r="I264">
            <v>46195</v>
          </cell>
          <cell r="J264">
            <v>0</v>
          </cell>
          <cell r="K264">
            <v>2</v>
          </cell>
          <cell r="L264">
            <v>0</v>
          </cell>
          <cell r="M264">
            <v>0</v>
          </cell>
        </row>
        <row r="265">
          <cell r="C265">
            <v>102</v>
          </cell>
          <cell r="F265">
            <v>1</v>
          </cell>
          <cell r="I265">
            <v>46195</v>
          </cell>
          <cell r="J265">
            <v>0</v>
          </cell>
          <cell r="K265">
            <v>2</v>
          </cell>
          <cell r="L265">
            <v>0</v>
          </cell>
          <cell r="M265">
            <v>0</v>
          </cell>
        </row>
        <row r="266">
          <cell r="C266">
            <v>18</v>
          </cell>
          <cell r="F266">
            <v>1</v>
          </cell>
          <cell r="I266">
            <v>46195</v>
          </cell>
          <cell r="J266">
            <v>0</v>
          </cell>
          <cell r="K266">
            <v>5</v>
          </cell>
          <cell r="L266">
            <v>0</v>
          </cell>
          <cell r="M266">
            <v>0</v>
          </cell>
        </row>
        <row r="267">
          <cell r="C267">
            <v>29</v>
          </cell>
          <cell r="F267">
            <v>1</v>
          </cell>
          <cell r="I267">
            <v>46195</v>
          </cell>
          <cell r="J267">
            <v>0</v>
          </cell>
          <cell r="K267">
            <v>3</v>
          </cell>
          <cell r="L267">
            <v>0</v>
          </cell>
          <cell r="M267">
            <v>0</v>
          </cell>
        </row>
        <row r="268">
          <cell r="C268">
            <v>63</v>
          </cell>
          <cell r="F268">
            <v>1</v>
          </cell>
          <cell r="I268">
            <v>46195</v>
          </cell>
          <cell r="J268">
            <v>0</v>
          </cell>
          <cell r="K268">
            <v>5</v>
          </cell>
          <cell r="L268">
            <v>0</v>
          </cell>
          <cell r="M268">
            <v>0</v>
          </cell>
        </row>
        <row r="269">
          <cell r="C269">
            <v>158</v>
          </cell>
          <cell r="F269">
            <v>1</v>
          </cell>
          <cell r="I269">
            <v>46196</v>
          </cell>
          <cell r="J269">
            <v>0</v>
          </cell>
          <cell r="K269">
            <v>1</v>
          </cell>
          <cell r="L269">
            <v>0</v>
          </cell>
          <cell r="M269">
            <v>0</v>
          </cell>
        </row>
        <row r="270">
          <cell r="C270">
            <v>165</v>
          </cell>
          <cell r="F270">
            <v>1</v>
          </cell>
          <cell r="I270">
            <v>46196</v>
          </cell>
          <cell r="J270">
            <v>0</v>
          </cell>
          <cell r="K270">
            <v>1</v>
          </cell>
          <cell r="L270">
            <v>0</v>
          </cell>
          <cell r="M270">
            <v>0</v>
          </cell>
        </row>
        <row r="271">
          <cell r="C271">
            <v>191</v>
          </cell>
          <cell r="F271">
            <v>1</v>
          </cell>
          <cell r="I271">
            <v>46196</v>
          </cell>
          <cell r="J271">
            <v>0</v>
          </cell>
          <cell r="K271">
            <v>20</v>
          </cell>
          <cell r="L271">
            <v>0</v>
          </cell>
          <cell r="M271">
            <v>0</v>
          </cell>
        </row>
        <row r="272">
          <cell r="C272">
            <v>178</v>
          </cell>
          <cell r="F272">
            <v>1</v>
          </cell>
          <cell r="I272">
            <v>46196</v>
          </cell>
          <cell r="J272">
            <v>0</v>
          </cell>
          <cell r="K272">
            <v>600</v>
          </cell>
          <cell r="L272">
            <v>0</v>
          </cell>
          <cell r="M272">
            <v>0</v>
          </cell>
        </row>
        <row r="273">
          <cell r="C273">
            <v>178</v>
          </cell>
          <cell r="F273">
            <v>1</v>
          </cell>
          <cell r="I273">
            <v>46197</v>
          </cell>
          <cell r="J273">
            <v>0</v>
          </cell>
          <cell r="K273">
            <v>150</v>
          </cell>
          <cell r="L273">
            <v>0</v>
          </cell>
          <cell r="M273">
            <v>0</v>
          </cell>
        </row>
        <row r="274">
          <cell r="C274">
            <v>181</v>
          </cell>
          <cell r="F274">
            <v>1</v>
          </cell>
          <cell r="I274">
            <v>46197</v>
          </cell>
          <cell r="J274">
            <v>0</v>
          </cell>
          <cell r="K274">
            <v>12</v>
          </cell>
          <cell r="L274">
            <v>0</v>
          </cell>
          <cell r="M274">
            <v>0</v>
          </cell>
        </row>
        <row r="275">
          <cell r="C275">
            <v>195</v>
          </cell>
          <cell r="F275">
            <v>1</v>
          </cell>
          <cell r="I275">
            <v>46197</v>
          </cell>
          <cell r="J275">
            <v>0</v>
          </cell>
          <cell r="K275">
            <v>28</v>
          </cell>
          <cell r="L275">
            <v>0</v>
          </cell>
          <cell r="M275">
            <v>0</v>
          </cell>
        </row>
        <row r="276">
          <cell r="C276">
            <v>197</v>
          </cell>
          <cell r="F276">
            <v>1</v>
          </cell>
          <cell r="I276">
            <v>46197</v>
          </cell>
          <cell r="J276">
            <v>0</v>
          </cell>
          <cell r="K276">
            <v>8</v>
          </cell>
          <cell r="L276">
            <v>0</v>
          </cell>
          <cell r="M276">
            <v>0</v>
          </cell>
        </row>
        <row r="277">
          <cell r="C277">
            <v>177</v>
          </cell>
          <cell r="F277">
            <v>1</v>
          </cell>
          <cell r="I277">
            <v>46197</v>
          </cell>
          <cell r="J277">
            <v>0</v>
          </cell>
          <cell r="K277">
            <v>250</v>
          </cell>
          <cell r="L277">
            <v>0</v>
          </cell>
          <cell r="M277">
            <v>0</v>
          </cell>
        </row>
        <row r="278">
          <cell r="C278">
            <v>54</v>
          </cell>
          <cell r="F278">
            <v>1</v>
          </cell>
          <cell r="I278">
            <v>46197</v>
          </cell>
          <cell r="J278">
            <v>0</v>
          </cell>
          <cell r="K278">
            <v>8</v>
          </cell>
          <cell r="L278">
            <v>0</v>
          </cell>
          <cell r="M278">
            <v>0</v>
          </cell>
        </row>
        <row r="279">
          <cell r="C279">
            <v>32</v>
          </cell>
          <cell r="F279">
            <v>1</v>
          </cell>
          <cell r="I279">
            <v>46197</v>
          </cell>
          <cell r="J279">
            <v>0</v>
          </cell>
          <cell r="K279">
            <v>1</v>
          </cell>
          <cell r="L279">
            <v>0</v>
          </cell>
          <cell r="M279">
            <v>0</v>
          </cell>
        </row>
        <row r="280">
          <cell r="C280">
            <v>162</v>
          </cell>
          <cell r="F280">
            <v>1</v>
          </cell>
          <cell r="I280">
            <v>46197</v>
          </cell>
          <cell r="J280">
            <v>0</v>
          </cell>
          <cell r="K280">
            <v>1</v>
          </cell>
          <cell r="L280">
            <v>0</v>
          </cell>
          <cell r="M280">
            <v>0</v>
          </cell>
        </row>
        <row r="281">
          <cell r="C281">
            <v>179</v>
          </cell>
          <cell r="F281">
            <v>1</v>
          </cell>
          <cell r="I281">
            <v>46197</v>
          </cell>
          <cell r="J281">
            <v>0</v>
          </cell>
          <cell r="K281">
            <v>250</v>
          </cell>
          <cell r="L281">
            <v>0</v>
          </cell>
          <cell r="M281">
            <v>0</v>
          </cell>
        </row>
        <row r="282">
          <cell r="C282">
            <v>16</v>
          </cell>
          <cell r="F282">
            <v>1</v>
          </cell>
          <cell r="I282">
            <v>46197</v>
          </cell>
          <cell r="J282">
            <v>0</v>
          </cell>
          <cell r="K282">
            <v>7</v>
          </cell>
          <cell r="L282">
            <v>0</v>
          </cell>
          <cell r="M282">
            <v>0</v>
          </cell>
        </row>
        <row r="283">
          <cell r="C283">
            <v>182</v>
          </cell>
          <cell r="F283">
            <v>1</v>
          </cell>
          <cell r="I283">
            <v>46197</v>
          </cell>
          <cell r="J283">
            <v>0</v>
          </cell>
          <cell r="K283">
            <v>84</v>
          </cell>
          <cell r="L283">
            <v>0</v>
          </cell>
          <cell r="M283">
            <v>0</v>
          </cell>
        </row>
        <row r="284">
          <cell r="C284">
            <v>177</v>
          </cell>
          <cell r="F284">
            <v>1</v>
          </cell>
          <cell r="I284">
            <v>46198</v>
          </cell>
          <cell r="J284">
            <v>0</v>
          </cell>
          <cell r="K284">
            <v>550</v>
          </cell>
          <cell r="L284">
            <v>0</v>
          </cell>
          <cell r="M284">
            <v>0</v>
          </cell>
        </row>
        <row r="285">
          <cell r="C285">
            <v>189</v>
          </cell>
          <cell r="F285">
            <v>1</v>
          </cell>
          <cell r="I285">
            <v>46198</v>
          </cell>
          <cell r="J285">
            <v>0</v>
          </cell>
          <cell r="K285">
            <v>8</v>
          </cell>
          <cell r="L285">
            <v>0</v>
          </cell>
          <cell r="M285">
            <v>0</v>
          </cell>
        </row>
        <row r="286">
          <cell r="C286">
            <v>51</v>
          </cell>
          <cell r="F286">
            <v>1</v>
          </cell>
          <cell r="I286">
            <v>46198</v>
          </cell>
          <cell r="J286">
            <v>0</v>
          </cell>
          <cell r="K286">
            <v>5</v>
          </cell>
          <cell r="L286">
            <v>0</v>
          </cell>
          <cell r="M286">
            <v>0</v>
          </cell>
        </row>
        <row r="287">
          <cell r="C287">
            <v>195</v>
          </cell>
          <cell r="F287">
            <v>1</v>
          </cell>
          <cell r="I287">
            <v>46198</v>
          </cell>
          <cell r="J287">
            <v>0</v>
          </cell>
          <cell r="K287">
            <v>12</v>
          </cell>
          <cell r="L287">
            <v>0</v>
          </cell>
          <cell r="M287">
            <v>0</v>
          </cell>
        </row>
        <row r="288">
          <cell r="C288">
            <v>187</v>
          </cell>
          <cell r="F288">
            <v>1</v>
          </cell>
          <cell r="I288">
            <v>46198</v>
          </cell>
          <cell r="J288">
            <v>0</v>
          </cell>
          <cell r="K288">
            <v>24</v>
          </cell>
          <cell r="L288">
            <v>0</v>
          </cell>
          <cell r="M288">
            <v>0</v>
          </cell>
        </row>
        <row r="289">
          <cell r="C289">
            <v>153</v>
          </cell>
          <cell r="F289">
            <v>1</v>
          </cell>
          <cell r="I289">
            <v>46198</v>
          </cell>
          <cell r="J289">
            <v>0</v>
          </cell>
          <cell r="K289">
            <v>4</v>
          </cell>
          <cell r="L289">
            <v>0</v>
          </cell>
          <cell r="M289">
            <v>0</v>
          </cell>
        </row>
        <row r="290">
          <cell r="C290">
            <v>182</v>
          </cell>
          <cell r="F290">
            <v>1</v>
          </cell>
          <cell r="I290">
            <v>46198</v>
          </cell>
          <cell r="J290">
            <v>0</v>
          </cell>
          <cell r="K290">
            <v>24</v>
          </cell>
          <cell r="L290">
            <v>0</v>
          </cell>
          <cell r="M290">
            <v>0</v>
          </cell>
        </row>
        <row r="291">
          <cell r="C291">
            <v>49</v>
          </cell>
          <cell r="F291">
            <v>1</v>
          </cell>
          <cell r="I291">
            <v>46198</v>
          </cell>
          <cell r="J291">
            <v>0</v>
          </cell>
          <cell r="K291">
            <v>1</v>
          </cell>
          <cell r="L291">
            <v>0</v>
          </cell>
          <cell r="M291">
            <v>0</v>
          </cell>
        </row>
        <row r="292">
          <cell r="C292">
            <v>48</v>
          </cell>
          <cell r="F292">
            <v>1</v>
          </cell>
          <cell r="I292">
            <v>46198</v>
          </cell>
          <cell r="J292">
            <v>0</v>
          </cell>
          <cell r="K292">
            <v>4</v>
          </cell>
          <cell r="L292">
            <v>0</v>
          </cell>
          <cell r="M292">
            <v>0</v>
          </cell>
        </row>
        <row r="293">
          <cell r="C293">
            <v>46</v>
          </cell>
          <cell r="F293">
            <v>1</v>
          </cell>
          <cell r="I293">
            <v>46198</v>
          </cell>
          <cell r="J293">
            <v>0</v>
          </cell>
          <cell r="K293">
            <v>8</v>
          </cell>
          <cell r="L293">
            <v>0</v>
          </cell>
          <cell r="M293">
            <v>0</v>
          </cell>
        </row>
        <row r="294">
          <cell r="C294">
            <v>42</v>
          </cell>
          <cell r="F294">
            <v>1</v>
          </cell>
          <cell r="I294">
            <v>46198</v>
          </cell>
          <cell r="J294">
            <v>0</v>
          </cell>
          <cell r="K294">
            <v>6</v>
          </cell>
          <cell r="L294">
            <v>0</v>
          </cell>
          <cell r="M294">
            <v>0</v>
          </cell>
        </row>
        <row r="295">
          <cell r="C295">
            <v>50</v>
          </cell>
          <cell r="F295">
            <v>1</v>
          </cell>
          <cell r="I295">
            <v>46198</v>
          </cell>
          <cell r="J295">
            <v>0</v>
          </cell>
          <cell r="K295">
            <v>6</v>
          </cell>
          <cell r="L295">
            <v>0</v>
          </cell>
          <cell r="M295">
            <v>0</v>
          </cell>
        </row>
        <row r="296">
          <cell r="C296">
            <v>9</v>
          </cell>
          <cell r="F296">
            <v>1</v>
          </cell>
          <cell r="I296">
            <v>46198</v>
          </cell>
          <cell r="J296">
            <v>0</v>
          </cell>
          <cell r="K296">
            <v>7</v>
          </cell>
          <cell r="L296">
            <v>0</v>
          </cell>
          <cell r="M296">
            <v>0</v>
          </cell>
        </row>
        <row r="297">
          <cell r="C297">
            <v>8</v>
          </cell>
          <cell r="F297">
            <v>1</v>
          </cell>
          <cell r="I297">
            <v>46198</v>
          </cell>
          <cell r="J297">
            <v>0</v>
          </cell>
          <cell r="K297">
            <v>2</v>
          </cell>
          <cell r="L297">
            <v>0</v>
          </cell>
          <cell r="M297">
            <v>0</v>
          </cell>
        </row>
        <row r="298">
          <cell r="C298">
            <v>75</v>
          </cell>
          <cell r="F298">
            <v>1</v>
          </cell>
          <cell r="I298">
            <v>46198</v>
          </cell>
          <cell r="J298">
            <v>0</v>
          </cell>
          <cell r="K298">
            <v>1</v>
          </cell>
          <cell r="L298">
            <v>0</v>
          </cell>
          <cell r="M298">
            <v>0</v>
          </cell>
        </row>
        <row r="299">
          <cell r="C299">
            <v>56</v>
          </cell>
          <cell r="F299">
            <v>1</v>
          </cell>
          <cell r="I299">
            <v>46198</v>
          </cell>
          <cell r="J299">
            <v>0</v>
          </cell>
          <cell r="K299">
            <v>3</v>
          </cell>
          <cell r="L299">
            <v>0</v>
          </cell>
          <cell r="M299">
            <v>0</v>
          </cell>
        </row>
        <row r="300">
          <cell r="C300">
            <v>41</v>
          </cell>
          <cell r="F300">
            <v>1</v>
          </cell>
          <cell r="I300">
            <v>46198</v>
          </cell>
          <cell r="J300">
            <v>0</v>
          </cell>
          <cell r="K300">
            <v>2</v>
          </cell>
          <cell r="L300">
            <v>0</v>
          </cell>
          <cell r="M300">
            <v>0</v>
          </cell>
        </row>
        <row r="301">
          <cell r="C301">
            <v>68</v>
          </cell>
          <cell r="F301">
            <v>1</v>
          </cell>
          <cell r="I301">
            <v>46198</v>
          </cell>
          <cell r="J301">
            <v>0</v>
          </cell>
          <cell r="K301">
            <v>2</v>
          </cell>
          <cell r="L301">
            <v>0</v>
          </cell>
          <cell r="M301">
            <v>0</v>
          </cell>
        </row>
        <row r="302">
          <cell r="C302">
            <v>108</v>
          </cell>
          <cell r="F302">
            <v>1</v>
          </cell>
          <cell r="I302">
            <v>46198</v>
          </cell>
          <cell r="J302">
            <v>0</v>
          </cell>
          <cell r="K302">
            <v>1</v>
          </cell>
          <cell r="L302">
            <v>0</v>
          </cell>
          <cell r="M302">
            <v>0</v>
          </cell>
        </row>
        <row r="303">
          <cell r="C303">
            <v>14</v>
          </cell>
          <cell r="F303">
            <v>1</v>
          </cell>
          <cell r="I303">
            <v>46198</v>
          </cell>
          <cell r="J303">
            <v>0</v>
          </cell>
          <cell r="K303">
            <v>1</v>
          </cell>
          <cell r="L303">
            <v>0</v>
          </cell>
          <cell r="M303">
            <v>0</v>
          </cell>
        </row>
        <row r="304">
          <cell r="C304">
            <v>18</v>
          </cell>
          <cell r="F304">
            <v>1</v>
          </cell>
          <cell r="I304">
            <v>46198</v>
          </cell>
          <cell r="J304">
            <v>0</v>
          </cell>
          <cell r="K304">
            <v>2</v>
          </cell>
          <cell r="L304">
            <v>0</v>
          </cell>
          <cell r="M304">
            <v>0</v>
          </cell>
        </row>
        <row r="305">
          <cell r="C305">
            <v>29</v>
          </cell>
          <cell r="F305">
            <v>1</v>
          </cell>
          <cell r="I305">
            <v>46198</v>
          </cell>
          <cell r="J305">
            <v>0</v>
          </cell>
          <cell r="K305">
            <v>2</v>
          </cell>
          <cell r="L305">
            <v>0</v>
          </cell>
          <cell r="M305">
            <v>0</v>
          </cell>
        </row>
        <row r="306">
          <cell r="C306">
            <v>11</v>
          </cell>
          <cell r="F306">
            <v>1</v>
          </cell>
          <cell r="I306">
            <v>46199</v>
          </cell>
          <cell r="J306">
            <v>0</v>
          </cell>
          <cell r="K306">
            <v>2</v>
          </cell>
          <cell r="L306">
            <v>0</v>
          </cell>
          <cell r="M306">
            <v>0</v>
          </cell>
        </row>
        <row r="307">
          <cell r="C307">
            <v>9</v>
          </cell>
          <cell r="F307">
            <v>1</v>
          </cell>
          <cell r="I307">
            <v>46199</v>
          </cell>
          <cell r="J307">
            <v>0</v>
          </cell>
          <cell r="K307">
            <v>8</v>
          </cell>
          <cell r="L307">
            <v>0</v>
          </cell>
          <cell r="M307">
            <v>0</v>
          </cell>
        </row>
        <row r="308">
          <cell r="C308">
            <v>50</v>
          </cell>
          <cell r="F308">
            <v>1</v>
          </cell>
          <cell r="I308">
            <v>46199</v>
          </cell>
          <cell r="J308">
            <v>0</v>
          </cell>
          <cell r="K308">
            <v>5</v>
          </cell>
          <cell r="L308">
            <v>0</v>
          </cell>
          <cell r="M308">
            <v>0</v>
          </cell>
        </row>
        <row r="309">
          <cell r="C309">
            <v>49</v>
          </cell>
          <cell r="F309">
            <v>1</v>
          </cell>
          <cell r="I309">
            <v>46199</v>
          </cell>
          <cell r="J309">
            <v>0</v>
          </cell>
          <cell r="K309">
            <v>2</v>
          </cell>
          <cell r="L309">
            <v>0</v>
          </cell>
          <cell r="M309">
            <v>0</v>
          </cell>
        </row>
        <row r="310">
          <cell r="C310">
            <v>66</v>
          </cell>
          <cell r="F310">
            <v>1</v>
          </cell>
          <cell r="I310">
            <v>46199</v>
          </cell>
          <cell r="J310">
            <v>0</v>
          </cell>
          <cell r="K310">
            <v>2</v>
          </cell>
          <cell r="L310">
            <v>0</v>
          </cell>
          <cell r="M310">
            <v>0</v>
          </cell>
        </row>
        <row r="311">
          <cell r="C311">
            <v>177</v>
          </cell>
          <cell r="F311">
            <v>1</v>
          </cell>
          <cell r="I311">
            <v>46199</v>
          </cell>
          <cell r="J311">
            <v>0</v>
          </cell>
          <cell r="K311">
            <v>750</v>
          </cell>
          <cell r="L311">
            <v>0</v>
          </cell>
          <cell r="M311">
            <v>0</v>
          </cell>
        </row>
        <row r="312">
          <cell r="C312">
            <v>108</v>
          </cell>
          <cell r="F312">
            <v>1</v>
          </cell>
          <cell r="I312">
            <v>46199</v>
          </cell>
          <cell r="J312">
            <v>0</v>
          </cell>
          <cell r="K312">
            <v>5</v>
          </cell>
          <cell r="L312">
            <v>0</v>
          </cell>
          <cell r="M312">
            <v>0</v>
          </cell>
        </row>
        <row r="313">
          <cell r="C313">
            <v>29</v>
          </cell>
          <cell r="F313">
            <v>1</v>
          </cell>
          <cell r="I313">
            <v>46199</v>
          </cell>
          <cell r="J313">
            <v>0</v>
          </cell>
          <cell r="K313">
            <v>4</v>
          </cell>
          <cell r="L313">
            <v>0</v>
          </cell>
          <cell r="M313">
            <v>0</v>
          </cell>
        </row>
        <row r="314">
          <cell r="C314">
            <v>51</v>
          </cell>
          <cell r="F314">
            <v>1</v>
          </cell>
          <cell r="I314">
            <v>46200</v>
          </cell>
          <cell r="J314">
            <v>0</v>
          </cell>
          <cell r="K314">
            <v>9</v>
          </cell>
          <cell r="L314">
            <v>0</v>
          </cell>
          <cell r="M314">
            <v>0</v>
          </cell>
        </row>
        <row r="315">
          <cell r="C315">
            <v>183</v>
          </cell>
          <cell r="F315">
            <v>1</v>
          </cell>
          <cell r="I315">
            <v>46200</v>
          </cell>
          <cell r="J315">
            <v>0</v>
          </cell>
          <cell r="K315">
            <v>192</v>
          </cell>
          <cell r="L315">
            <v>0</v>
          </cell>
          <cell r="M315">
            <v>0</v>
          </cell>
        </row>
        <row r="316">
          <cell r="C316">
            <v>181</v>
          </cell>
          <cell r="F316">
            <v>1</v>
          </cell>
          <cell r="I316">
            <v>46200</v>
          </cell>
          <cell r="J316">
            <v>0</v>
          </cell>
          <cell r="K316">
            <v>120</v>
          </cell>
          <cell r="L316">
            <v>0</v>
          </cell>
          <cell r="M316">
            <v>0</v>
          </cell>
        </row>
        <row r="317">
          <cell r="C317">
            <v>195</v>
          </cell>
          <cell r="F317">
            <v>1</v>
          </cell>
          <cell r="I317">
            <v>46200</v>
          </cell>
          <cell r="J317">
            <v>0</v>
          </cell>
          <cell r="K317">
            <v>8</v>
          </cell>
          <cell r="L317">
            <v>0</v>
          </cell>
          <cell r="M317">
            <v>0</v>
          </cell>
        </row>
        <row r="318">
          <cell r="C318">
            <v>16</v>
          </cell>
          <cell r="F318">
            <v>1</v>
          </cell>
          <cell r="I318">
            <v>46200</v>
          </cell>
          <cell r="J318">
            <v>0</v>
          </cell>
          <cell r="K318">
            <v>2</v>
          </cell>
          <cell r="L318">
            <v>0</v>
          </cell>
          <cell r="M318">
            <v>0</v>
          </cell>
        </row>
        <row r="319">
          <cell r="C319">
            <v>177</v>
          </cell>
          <cell r="F319">
            <v>1</v>
          </cell>
          <cell r="I319">
            <v>46200</v>
          </cell>
          <cell r="J319">
            <v>0</v>
          </cell>
          <cell r="K319">
            <v>250</v>
          </cell>
          <cell r="L319">
            <v>0</v>
          </cell>
          <cell r="M319">
            <v>0</v>
          </cell>
        </row>
        <row r="320">
          <cell r="C320">
            <v>4</v>
          </cell>
          <cell r="F320">
            <v>1</v>
          </cell>
          <cell r="I320">
            <v>46200</v>
          </cell>
          <cell r="J320">
            <v>0</v>
          </cell>
          <cell r="K320">
            <v>7</v>
          </cell>
          <cell r="L320">
            <v>0</v>
          </cell>
          <cell r="M320">
            <v>0</v>
          </cell>
        </row>
        <row r="321">
          <cell r="C321">
            <v>177</v>
          </cell>
          <cell r="F321">
            <v>1</v>
          </cell>
          <cell r="I321">
            <v>46201</v>
          </cell>
          <cell r="J321">
            <v>0</v>
          </cell>
          <cell r="K321">
            <v>500</v>
          </cell>
          <cell r="L321">
            <v>0</v>
          </cell>
          <cell r="M321">
            <v>0</v>
          </cell>
        </row>
        <row r="322">
          <cell r="C322">
            <v>61</v>
          </cell>
          <cell r="F322">
            <v>1</v>
          </cell>
          <cell r="I322">
            <v>46201</v>
          </cell>
          <cell r="J322">
            <v>0</v>
          </cell>
          <cell r="K322">
            <v>1</v>
          </cell>
          <cell r="L322">
            <v>0</v>
          </cell>
          <cell r="M322">
            <v>0</v>
          </cell>
        </row>
        <row r="323">
          <cell r="C323">
            <v>146</v>
          </cell>
          <cell r="F323">
            <v>1</v>
          </cell>
          <cell r="I323">
            <v>46201</v>
          </cell>
          <cell r="J323">
            <v>0</v>
          </cell>
          <cell r="K323">
            <v>5</v>
          </cell>
          <cell r="L323">
            <v>0</v>
          </cell>
          <cell r="M323">
            <v>0</v>
          </cell>
        </row>
        <row r="324">
          <cell r="C324">
            <v>176</v>
          </cell>
          <cell r="F324">
            <v>1</v>
          </cell>
          <cell r="I324">
            <v>46201</v>
          </cell>
          <cell r="J324">
            <v>0</v>
          </cell>
          <cell r="K324">
            <v>50</v>
          </cell>
          <cell r="L324">
            <v>0</v>
          </cell>
          <cell r="M324">
            <v>0</v>
          </cell>
        </row>
        <row r="325">
          <cell r="C325">
            <v>66</v>
          </cell>
          <cell r="F325">
            <v>1</v>
          </cell>
          <cell r="I325">
            <v>46201</v>
          </cell>
          <cell r="J325">
            <v>0</v>
          </cell>
          <cell r="K325">
            <v>2</v>
          </cell>
          <cell r="L325">
            <v>0</v>
          </cell>
          <cell r="M325">
            <v>0</v>
          </cell>
        </row>
        <row r="326">
          <cell r="C326">
            <v>75</v>
          </cell>
          <cell r="F326">
            <v>1</v>
          </cell>
          <cell r="I326">
            <v>46201</v>
          </cell>
          <cell r="J326">
            <v>0</v>
          </cell>
          <cell r="K326">
            <v>2</v>
          </cell>
          <cell r="L326">
            <v>0</v>
          </cell>
          <cell r="M326">
            <v>0</v>
          </cell>
        </row>
        <row r="327">
          <cell r="C327">
            <v>182</v>
          </cell>
          <cell r="F327">
            <v>1</v>
          </cell>
          <cell r="I327">
            <v>46201</v>
          </cell>
          <cell r="J327">
            <v>0</v>
          </cell>
          <cell r="K327">
            <v>12</v>
          </cell>
          <cell r="L327">
            <v>0</v>
          </cell>
          <cell r="M327">
            <v>0</v>
          </cell>
        </row>
        <row r="328">
          <cell r="C328">
            <v>105</v>
          </cell>
          <cell r="F328">
            <v>1</v>
          </cell>
          <cell r="I328">
            <v>46201</v>
          </cell>
          <cell r="J328">
            <v>0</v>
          </cell>
          <cell r="K328">
            <v>1</v>
          </cell>
          <cell r="L328">
            <v>0</v>
          </cell>
          <cell r="M328">
            <v>0</v>
          </cell>
        </row>
        <row r="329">
          <cell r="C329">
            <v>34</v>
          </cell>
          <cell r="F329">
            <v>1</v>
          </cell>
          <cell r="I329">
            <v>46201</v>
          </cell>
          <cell r="J329">
            <v>0</v>
          </cell>
          <cell r="K329">
            <v>2</v>
          </cell>
          <cell r="L329">
            <v>0</v>
          </cell>
          <cell r="M329">
            <v>0</v>
          </cell>
        </row>
        <row r="330">
          <cell r="C330">
            <v>50</v>
          </cell>
          <cell r="F330">
            <v>1</v>
          </cell>
          <cell r="I330">
            <v>46201</v>
          </cell>
          <cell r="J330">
            <v>0</v>
          </cell>
          <cell r="K330">
            <v>9</v>
          </cell>
          <cell r="L330">
            <v>0</v>
          </cell>
          <cell r="M330">
            <v>0</v>
          </cell>
        </row>
        <row r="331">
          <cell r="C331">
            <v>142</v>
          </cell>
          <cell r="F331">
            <v>1</v>
          </cell>
          <cell r="I331">
            <v>46201</v>
          </cell>
          <cell r="J331">
            <v>0</v>
          </cell>
          <cell r="K331">
            <v>3</v>
          </cell>
          <cell r="L331">
            <v>0</v>
          </cell>
          <cell r="M331">
            <v>0</v>
          </cell>
        </row>
        <row r="332">
          <cell r="C332">
            <v>144</v>
          </cell>
          <cell r="F332">
            <v>1</v>
          </cell>
          <cell r="I332">
            <v>46201</v>
          </cell>
          <cell r="J332">
            <v>0</v>
          </cell>
          <cell r="K332">
            <v>2</v>
          </cell>
          <cell r="L332">
            <v>0</v>
          </cell>
          <cell r="M332">
            <v>0</v>
          </cell>
        </row>
        <row r="333">
          <cell r="C333">
            <v>29</v>
          </cell>
          <cell r="F333">
            <v>1</v>
          </cell>
          <cell r="I333">
            <v>46201</v>
          </cell>
          <cell r="J333">
            <v>0</v>
          </cell>
          <cell r="K333">
            <v>2</v>
          </cell>
          <cell r="L333">
            <v>0</v>
          </cell>
          <cell r="M333">
            <v>0</v>
          </cell>
        </row>
        <row r="334">
          <cell r="C334">
            <v>37</v>
          </cell>
          <cell r="F334">
            <v>1</v>
          </cell>
          <cell r="I334">
            <v>46201</v>
          </cell>
          <cell r="J334">
            <v>0</v>
          </cell>
          <cell r="K334">
            <v>1</v>
          </cell>
          <cell r="L334">
            <v>0</v>
          </cell>
          <cell r="M334">
            <v>0</v>
          </cell>
        </row>
        <row r="335">
          <cell r="C335">
            <v>49</v>
          </cell>
          <cell r="F335">
            <v>1</v>
          </cell>
          <cell r="I335">
            <v>46201</v>
          </cell>
          <cell r="J335">
            <v>0</v>
          </cell>
          <cell r="K335">
            <v>8</v>
          </cell>
          <cell r="L335">
            <v>0</v>
          </cell>
          <cell r="M335">
            <v>0</v>
          </cell>
        </row>
        <row r="336">
          <cell r="C336">
            <v>108</v>
          </cell>
          <cell r="F336">
            <v>1</v>
          </cell>
          <cell r="I336">
            <v>46201</v>
          </cell>
          <cell r="J336">
            <v>0</v>
          </cell>
          <cell r="K336">
            <v>2</v>
          </cell>
          <cell r="L336">
            <v>0</v>
          </cell>
          <cell r="M336">
            <v>0</v>
          </cell>
        </row>
        <row r="337">
          <cell r="C337">
            <v>153</v>
          </cell>
          <cell r="F337">
            <v>1</v>
          </cell>
          <cell r="I337">
            <v>46201</v>
          </cell>
          <cell r="J337">
            <v>0</v>
          </cell>
          <cell r="K337">
            <v>2</v>
          </cell>
          <cell r="L337">
            <v>0</v>
          </cell>
          <cell r="M337">
            <v>0</v>
          </cell>
        </row>
        <row r="338">
          <cell r="C338">
            <v>181</v>
          </cell>
          <cell r="F338">
            <v>1</v>
          </cell>
          <cell r="I338">
            <v>46201</v>
          </cell>
          <cell r="J338">
            <v>0</v>
          </cell>
          <cell r="K338">
            <v>12</v>
          </cell>
          <cell r="L338">
            <v>0</v>
          </cell>
          <cell r="M338">
            <v>0</v>
          </cell>
        </row>
        <row r="339">
          <cell r="C339">
            <v>101</v>
          </cell>
          <cell r="F339">
            <v>1</v>
          </cell>
          <cell r="I339">
            <v>46201</v>
          </cell>
          <cell r="J339">
            <v>0</v>
          </cell>
          <cell r="K339">
            <v>500</v>
          </cell>
          <cell r="L339">
            <v>0</v>
          </cell>
          <cell r="M339">
            <v>0</v>
          </cell>
        </row>
        <row r="340">
          <cell r="C340">
            <v>7</v>
          </cell>
          <cell r="F340">
            <v>1</v>
          </cell>
          <cell r="I340">
            <v>46201</v>
          </cell>
          <cell r="J340">
            <v>0</v>
          </cell>
          <cell r="K340">
            <v>1</v>
          </cell>
          <cell r="L340">
            <v>0</v>
          </cell>
          <cell r="M340">
            <v>0</v>
          </cell>
        </row>
        <row r="341">
          <cell r="C341">
            <v>13</v>
          </cell>
          <cell r="F341">
            <v>1</v>
          </cell>
          <cell r="I341">
            <v>46201</v>
          </cell>
          <cell r="J341">
            <v>0</v>
          </cell>
          <cell r="K341">
            <v>1</v>
          </cell>
          <cell r="L341">
            <v>0</v>
          </cell>
          <cell r="M341">
            <v>0</v>
          </cell>
        </row>
        <row r="342">
          <cell r="C342">
            <v>1</v>
          </cell>
          <cell r="F342">
            <v>1</v>
          </cell>
          <cell r="I342">
            <v>46201</v>
          </cell>
          <cell r="J342">
            <v>0</v>
          </cell>
          <cell r="K342">
            <v>1</v>
          </cell>
          <cell r="L342">
            <v>0</v>
          </cell>
          <cell r="M342">
            <v>0</v>
          </cell>
        </row>
        <row r="343">
          <cell r="C343">
            <v>26</v>
          </cell>
          <cell r="F343">
            <v>1</v>
          </cell>
          <cell r="I343">
            <v>46201</v>
          </cell>
          <cell r="J343">
            <v>0</v>
          </cell>
          <cell r="K343">
            <v>1</v>
          </cell>
          <cell r="L343">
            <v>0</v>
          </cell>
          <cell r="M343">
            <v>0</v>
          </cell>
        </row>
        <row r="344">
          <cell r="C344">
            <v>4</v>
          </cell>
          <cell r="F344">
            <v>1</v>
          </cell>
          <cell r="I344">
            <v>46201</v>
          </cell>
          <cell r="J344">
            <v>0</v>
          </cell>
          <cell r="K344">
            <v>1</v>
          </cell>
          <cell r="L344">
            <v>0</v>
          </cell>
          <cell r="M344">
            <v>0</v>
          </cell>
        </row>
        <row r="345">
          <cell r="C345">
            <v>20</v>
          </cell>
          <cell r="F345">
            <v>1</v>
          </cell>
          <cell r="I345">
            <v>46201</v>
          </cell>
          <cell r="J345">
            <v>0</v>
          </cell>
          <cell r="K345">
            <v>10</v>
          </cell>
          <cell r="L345">
            <v>0</v>
          </cell>
          <cell r="M345">
            <v>0</v>
          </cell>
        </row>
        <row r="346">
          <cell r="C346">
            <v>71</v>
          </cell>
          <cell r="F346">
            <v>1</v>
          </cell>
          <cell r="I346">
            <v>46201</v>
          </cell>
          <cell r="J346">
            <v>0</v>
          </cell>
          <cell r="K346">
            <v>2</v>
          </cell>
          <cell r="L346">
            <v>0</v>
          </cell>
          <cell r="M346">
            <v>0</v>
          </cell>
        </row>
        <row r="347">
          <cell r="C347">
            <v>9</v>
          </cell>
          <cell r="F347">
            <v>1</v>
          </cell>
          <cell r="I347">
            <v>46201</v>
          </cell>
          <cell r="J347">
            <v>0</v>
          </cell>
          <cell r="K347">
            <v>3</v>
          </cell>
          <cell r="L347">
            <v>0</v>
          </cell>
          <cell r="M347">
            <v>0</v>
          </cell>
        </row>
        <row r="348">
          <cell r="C348">
            <v>70</v>
          </cell>
          <cell r="F348">
            <v>1</v>
          </cell>
          <cell r="I348">
            <v>46201</v>
          </cell>
          <cell r="J348">
            <v>0</v>
          </cell>
          <cell r="K348">
            <v>1</v>
          </cell>
          <cell r="L348">
            <v>0</v>
          </cell>
          <cell r="M348">
            <v>0</v>
          </cell>
        </row>
        <row r="349">
          <cell r="C349">
            <v>17</v>
          </cell>
          <cell r="F349">
            <v>1</v>
          </cell>
          <cell r="I349">
            <v>46201</v>
          </cell>
          <cell r="J349">
            <v>0</v>
          </cell>
          <cell r="K349">
            <v>1</v>
          </cell>
          <cell r="L349">
            <v>0</v>
          </cell>
          <cell r="M349">
            <v>0</v>
          </cell>
        </row>
        <row r="350">
          <cell r="C350">
            <v>79</v>
          </cell>
          <cell r="F350">
            <v>1</v>
          </cell>
          <cell r="I350">
            <v>46201</v>
          </cell>
          <cell r="J350">
            <v>0</v>
          </cell>
          <cell r="K350">
            <v>50</v>
          </cell>
          <cell r="L350">
            <v>0</v>
          </cell>
          <cell r="M350">
            <v>0</v>
          </cell>
        </row>
        <row r="351">
          <cell r="C351">
            <v>77</v>
          </cell>
          <cell r="F351">
            <v>1</v>
          </cell>
          <cell r="I351">
            <v>46201</v>
          </cell>
          <cell r="J351">
            <v>0</v>
          </cell>
          <cell r="K351">
            <v>50</v>
          </cell>
          <cell r="L351">
            <v>0</v>
          </cell>
          <cell r="M351">
            <v>0</v>
          </cell>
        </row>
        <row r="352">
          <cell r="C352">
            <v>32</v>
          </cell>
          <cell r="F352">
            <v>1</v>
          </cell>
          <cell r="I352">
            <v>46201</v>
          </cell>
          <cell r="J352">
            <v>0</v>
          </cell>
          <cell r="K352">
            <v>1</v>
          </cell>
          <cell r="L352">
            <v>0</v>
          </cell>
          <cell r="M352">
            <v>0</v>
          </cell>
        </row>
        <row r="353">
          <cell r="C353">
            <v>176</v>
          </cell>
          <cell r="F353">
            <v>1</v>
          </cell>
          <cell r="I353">
            <v>46202</v>
          </cell>
          <cell r="J353">
            <v>0</v>
          </cell>
          <cell r="K353">
            <v>750</v>
          </cell>
          <cell r="L353">
            <v>0</v>
          </cell>
          <cell r="M353">
            <v>0</v>
          </cell>
        </row>
        <row r="354">
          <cell r="C354">
            <v>156</v>
          </cell>
          <cell r="F354">
            <v>1</v>
          </cell>
          <cell r="I354">
            <v>46202</v>
          </cell>
          <cell r="J354">
            <v>0</v>
          </cell>
          <cell r="K354">
            <v>6</v>
          </cell>
          <cell r="L354">
            <v>0</v>
          </cell>
          <cell r="M354">
            <v>0</v>
          </cell>
        </row>
        <row r="355">
          <cell r="C355">
            <v>162</v>
          </cell>
          <cell r="F355">
            <v>1</v>
          </cell>
          <cell r="I355">
            <v>46202</v>
          </cell>
          <cell r="J355">
            <v>0</v>
          </cell>
          <cell r="K355">
            <v>1</v>
          </cell>
          <cell r="L355">
            <v>0</v>
          </cell>
          <cell r="M355">
            <v>0</v>
          </cell>
        </row>
        <row r="356">
          <cell r="C356">
            <v>108</v>
          </cell>
          <cell r="F356">
            <v>1</v>
          </cell>
          <cell r="I356">
            <v>46202</v>
          </cell>
          <cell r="J356">
            <v>0</v>
          </cell>
          <cell r="K356">
            <v>7</v>
          </cell>
          <cell r="L356">
            <v>0</v>
          </cell>
          <cell r="M356">
            <v>0</v>
          </cell>
        </row>
        <row r="357">
          <cell r="C357">
            <v>150</v>
          </cell>
          <cell r="F357">
            <v>1</v>
          </cell>
          <cell r="I357">
            <v>46202</v>
          </cell>
          <cell r="J357">
            <v>0</v>
          </cell>
          <cell r="K357">
            <v>20</v>
          </cell>
          <cell r="L357">
            <v>0</v>
          </cell>
          <cell r="M357">
            <v>0</v>
          </cell>
        </row>
        <row r="358">
          <cell r="C358">
            <v>112</v>
          </cell>
          <cell r="F358">
            <v>1</v>
          </cell>
          <cell r="I358">
            <v>46202</v>
          </cell>
          <cell r="J358">
            <v>0</v>
          </cell>
          <cell r="K358">
            <v>1</v>
          </cell>
          <cell r="L358">
            <v>0</v>
          </cell>
          <cell r="M358">
            <v>0</v>
          </cell>
        </row>
        <row r="359">
          <cell r="C359">
            <v>76</v>
          </cell>
          <cell r="F359">
            <v>1</v>
          </cell>
          <cell r="I359">
            <v>46202</v>
          </cell>
          <cell r="J359">
            <v>0</v>
          </cell>
          <cell r="K359">
            <v>1</v>
          </cell>
          <cell r="L359">
            <v>0</v>
          </cell>
          <cell r="M359">
            <v>0</v>
          </cell>
        </row>
        <row r="360">
          <cell r="C360">
            <v>142</v>
          </cell>
          <cell r="F360">
            <v>1</v>
          </cell>
          <cell r="I360">
            <v>46202</v>
          </cell>
          <cell r="J360">
            <v>0</v>
          </cell>
          <cell r="K360">
            <v>1</v>
          </cell>
          <cell r="L360">
            <v>0</v>
          </cell>
          <cell r="M360">
            <v>0</v>
          </cell>
        </row>
        <row r="361">
          <cell r="C361">
            <v>187</v>
          </cell>
          <cell r="F361">
            <v>1</v>
          </cell>
          <cell r="I361">
            <v>46202</v>
          </cell>
          <cell r="J361">
            <v>0</v>
          </cell>
          <cell r="K361">
            <v>16</v>
          </cell>
          <cell r="L361">
            <v>0</v>
          </cell>
          <cell r="M361">
            <v>0</v>
          </cell>
        </row>
        <row r="362">
          <cell r="C362">
            <v>145</v>
          </cell>
          <cell r="F362">
            <v>1</v>
          </cell>
          <cell r="I362">
            <v>46202</v>
          </cell>
          <cell r="J362">
            <v>0</v>
          </cell>
          <cell r="K362">
            <v>8</v>
          </cell>
          <cell r="L362">
            <v>0</v>
          </cell>
          <cell r="M362">
            <v>0</v>
          </cell>
        </row>
        <row r="363">
          <cell r="C363">
            <v>144</v>
          </cell>
          <cell r="F363">
            <v>1</v>
          </cell>
          <cell r="I363">
            <v>46202</v>
          </cell>
          <cell r="J363">
            <v>0</v>
          </cell>
          <cell r="K363">
            <v>1</v>
          </cell>
          <cell r="L363">
            <v>0</v>
          </cell>
          <cell r="M363">
            <v>0</v>
          </cell>
        </row>
        <row r="364">
          <cell r="C364">
            <v>8</v>
          </cell>
          <cell r="F364">
            <v>1</v>
          </cell>
          <cell r="I364">
            <v>46202</v>
          </cell>
          <cell r="J364">
            <v>0</v>
          </cell>
          <cell r="K364">
            <v>1</v>
          </cell>
          <cell r="L364">
            <v>0</v>
          </cell>
          <cell r="M364">
            <v>0</v>
          </cell>
        </row>
        <row r="365">
          <cell r="C365">
            <v>1</v>
          </cell>
          <cell r="F365">
            <v>1</v>
          </cell>
          <cell r="I365">
            <v>46203</v>
          </cell>
          <cell r="J365">
            <v>0</v>
          </cell>
          <cell r="K365">
            <v>1</v>
          </cell>
          <cell r="L365">
            <v>0</v>
          </cell>
          <cell r="M365">
            <v>0</v>
          </cell>
        </row>
        <row r="366">
          <cell r="C366">
            <v>174</v>
          </cell>
          <cell r="F366">
            <v>1</v>
          </cell>
          <cell r="I366">
            <v>46203</v>
          </cell>
          <cell r="J366">
            <v>0</v>
          </cell>
          <cell r="K366">
            <v>2</v>
          </cell>
          <cell r="L366">
            <v>0</v>
          </cell>
          <cell r="M366">
            <v>0</v>
          </cell>
        </row>
        <row r="367">
          <cell r="C367">
            <v>168</v>
          </cell>
          <cell r="F367">
            <v>1</v>
          </cell>
          <cell r="I367">
            <v>46203</v>
          </cell>
          <cell r="J367">
            <v>0</v>
          </cell>
          <cell r="K367">
            <v>2</v>
          </cell>
          <cell r="L367">
            <v>0</v>
          </cell>
          <cell r="M367">
            <v>0</v>
          </cell>
        </row>
        <row r="368">
          <cell r="C368">
            <v>172</v>
          </cell>
          <cell r="F368">
            <v>1</v>
          </cell>
          <cell r="I368">
            <v>46203</v>
          </cell>
          <cell r="J368">
            <v>0</v>
          </cell>
          <cell r="K368">
            <v>2</v>
          </cell>
          <cell r="L368">
            <v>0</v>
          </cell>
          <cell r="M368">
            <v>0</v>
          </cell>
        </row>
        <row r="369">
          <cell r="C369">
            <v>10</v>
          </cell>
          <cell r="F369">
            <v>1</v>
          </cell>
          <cell r="I369">
            <v>46203</v>
          </cell>
          <cell r="J369">
            <v>0</v>
          </cell>
          <cell r="K369">
            <v>2</v>
          </cell>
          <cell r="L369">
            <v>0</v>
          </cell>
          <cell r="M369">
            <v>0</v>
          </cell>
        </row>
        <row r="370">
          <cell r="C370">
            <v>189</v>
          </cell>
          <cell r="F370">
            <v>1</v>
          </cell>
          <cell r="I370">
            <v>46203</v>
          </cell>
          <cell r="J370">
            <v>0</v>
          </cell>
          <cell r="K370">
            <v>20</v>
          </cell>
          <cell r="L370">
            <v>0</v>
          </cell>
          <cell r="M370">
            <v>0</v>
          </cell>
        </row>
        <row r="371">
          <cell r="C371">
            <v>183</v>
          </cell>
          <cell r="F371">
            <v>1</v>
          </cell>
          <cell r="I371">
            <v>46203</v>
          </cell>
          <cell r="J371">
            <v>0</v>
          </cell>
          <cell r="K371">
            <v>24</v>
          </cell>
          <cell r="L371">
            <v>0</v>
          </cell>
          <cell r="M371">
            <v>0</v>
          </cell>
        </row>
        <row r="372">
          <cell r="C372">
            <v>136</v>
          </cell>
          <cell r="F372">
            <v>1</v>
          </cell>
          <cell r="I372">
            <v>46203</v>
          </cell>
          <cell r="J372">
            <v>0</v>
          </cell>
          <cell r="K372">
            <v>2</v>
          </cell>
          <cell r="L372">
            <v>0</v>
          </cell>
          <cell r="M372">
            <v>0</v>
          </cell>
        </row>
        <row r="373">
          <cell r="C373">
            <v>142</v>
          </cell>
          <cell r="F373">
            <v>1</v>
          </cell>
          <cell r="I373">
            <v>46203</v>
          </cell>
          <cell r="J373">
            <v>0</v>
          </cell>
          <cell r="K373">
            <v>1</v>
          </cell>
          <cell r="L373">
            <v>0</v>
          </cell>
          <cell r="M373">
            <v>0</v>
          </cell>
        </row>
        <row r="374">
          <cell r="C374">
            <v>53</v>
          </cell>
          <cell r="F374">
            <v>1</v>
          </cell>
          <cell r="I374">
            <v>46203</v>
          </cell>
          <cell r="J374">
            <v>0</v>
          </cell>
          <cell r="K374">
            <v>1</v>
          </cell>
          <cell r="L374">
            <v>0</v>
          </cell>
          <cell r="M374">
            <v>0</v>
          </cell>
        </row>
        <row r="375">
          <cell r="C375">
            <v>50</v>
          </cell>
          <cell r="F375">
            <v>1</v>
          </cell>
          <cell r="I375">
            <v>46203</v>
          </cell>
          <cell r="J375">
            <v>0</v>
          </cell>
          <cell r="K375">
            <v>2</v>
          </cell>
          <cell r="L375">
            <v>0</v>
          </cell>
          <cell r="M375">
            <v>0</v>
          </cell>
        </row>
        <row r="376">
          <cell r="C376">
            <v>56</v>
          </cell>
          <cell r="F376">
            <v>1</v>
          </cell>
          <cell r="I376">
            <v>46203</v>
          </cell>
          <cell r="J376">
            <v>0</v>
          </cell>
          <cell r="K376">
            <v>2</v>
          </cell>
          <cell r="L376">
            <v>0</v>
          </cell>
          <cell r="M376">
            <v>0</v>
          </cell>
        </row>
        <row r="377">
          <cell r="C377">
            <v>34</v>
          </cell>
          <cell r="F377">
            <v>1</v>
          </cell>
          <cell r="I377">
            <v>46203</v>
          </cell>
          <cell r="J377">
            <v>0</v>
          </cell>
          <cell r="K377">
            <v>1</v>
          </cell>
          <cell r="L377">
            <v>0</v>
          </cell>
          <cell r="M377">
            <v>0</v>
          </cell>
        </row>
        <row r="378">
          <cell r="C378">
            <v>7</v>
          </cell>
          <cell r="F378">
            <v>1</v>
          </cell>
          <cell r="I378">
            <v>46174</v>
          </cell>
          <cell r="J378">
            <v>0</v>
          </cell>
          <cell r="K378">
            <v>0</v>
          </cell>
          <cell r="L378">
            <v>0</v>
          </cell>
          <cell r="M378">
            <v>18</v>
          </cell>
        </row>
        <row r="379">
          <cell r="C379">
            <v>8</v>
          </cell>
          <cell r="F379">
            <v>1</v>
          </cell>
          <cell r="I379">
            <v>46174</v>
          </cell>
          <cell r="J379">
            <v>0</v>
          </cell>
          <cell r="K379">
            <v>0</v>
          </cell>
          <cell r="L379">
            <v>0</v>
          </cell>
          <cell r="M379">
            <v>14</v>
          </cell>
        </row>
        <row r="380">
          <cell r="C380">
            <v>9</v>
          </cell>
          <cell r="F380">
            <v>1</v>
          </cell>
          <cell r="I380">
            <v>46174</v>
          </cell>
          <cell r="J380">
            <v>0</v>
          </cell>
          <cell r="K380">
            <v>0</v>
          </cell>
          <cell r="L380">
            <v>0</v>
          </cell>
          <cell r="M380">
            <v>36</v>
          </cell>
        </row>
        <row r="381">
          <cell r="C381">
            <v>11</v>
          </cell>
          <cell r="F381">
            <v>1</v>
          </cell>
          <cell r="I381">
            <v>46174</v>
          </cell>
          <cell r="J381">
            <v>0</v>
          </cell>
          <cell r="K381">
            <v>0</v>
          </cell>
          <cell r="L381">
            <v>0</v>
          </cell>
          <cell r="M381">
            <v>6</v>
          </cell>
        </row>
        <row r="382">
          <cell r="C382">
            <v>16</v>
          </cell>
          <cell r="F382">
            <v>1</v>
          </cell>
          <cell r="I382">
            <v>46174</v>
          </cell>
          <cell r="J382">
            <v>0</v>
          </cell>
          <cell r="K382">
            <v>0</v>
          </cell>
          <cell r="L382">
            <v>0</v>
          </cell>
          <cell r="M382">
            <v>30</v>
          </cell>
        </row>
        <row r="383">
          <cell r="C383">
            <v>18</v>
          </cell>
          <cell r="F383">
            <v>1</v>
          </cell>
          <cell r="I383">
            <v>46174</v>
          </cell>
          <cell r="J383">
            <v>0</v>
          </cell>
          <cell r="K383">
            <v>0</v>
          </cell>
          <cell r="L383">
            <v>0</v>
          </cell>
          <cell r="M383">
            <v>2</v>
          </cell>
        </row>
        <row r="384">
          <cell r="C384">
            <v>20</v>
          </cell>
          <cell r="F384">
            <v>1</v>
          </cell>
          <cell r="I384">
            <v>46174</v>
          </cell>
          <cell r="J384">
            <v>0</v>
          </cell>
          <cell r="K384">
            <v>0</v>
          </cell>
          <cell r="L384">
            <v>0</v>
          </cell>
          <cell r="M384">
            <v>14</v>
          </cell>
        </row>
        <row r="385">
          <cell r="C385">
            <v>25</v>
          </cell>
          <cell r="F385">
            <v>1</v>
          </cell>
          <cell r="I385">
            <v>46174</v>
          </cell>
          <cell r="J385">
            <v>0</v>
          </cell>
          <cell r="K385">
            <v>0</v>
          </cell>
          <cell r="L385">
            <v>0</v>
          </cell>
          <cell r="M385">
            <v>2</v>
          </cell>
        </row>
        <row r="386">
          <cell r="C386">
            <v>29</v>
          </cell>
          <cell r="F386">
            <v>1</v>
          </cell>
          <cell r="I386">
            <v>46174</v>
          </cell>
          <cell r="J386">
            <v>0</v>
          </cell>
          <cell r="K386">
            <v>0</v>
          </cell>
          <cell r="L386">
            <v>0</v>
          </cell>
          <cell r="M386">
            <v>24</v>
          </cell>
        </row>
        <row r="387">
          <cell r="C387">
            <v>30</v>
          </cell>
          <cell r="F387">
            <v>1</v>
          </cell>
          <cell r="I387">
            <v>46174</v>
          </cell>
          <cell r="J387">
            <v>0</v>
          </cell>
          <cell r="K387">
            <v>0</v>
          </cell>
          <cell r="L387">
            <v>0</v>
          </cell>
          <cell r="M387">
            <v>6</v>
          </cell>
        </row>
        <row r="388">
          <cell r="C388">
            <v>32</v>
          </cell>
          <cell r="F388">
            <v>1</v>
          </cell>
          <cell r="I388">
            <v>46174</v>
          </cell>
          <cell r="J388">
            <v>0</v>
          </cell>
          <cell r="K388">
            <v>0</v>
          </cell>
          <cell r="L388">
            <v>0</v>
          </cell>
          <cell r="M388">
            <v>4</v>
          </cell>
        </row>
        <row r="389">
          <cell r="C389">
            <v>33</v>
          </cell>
          <cell r="F389">
            <v>1</v>
          </cell>
          <cell r="I389">
            <v>46174</v>
          </cell>
          <cell r="J389">
            <v>0</v>
          </cell>
          <cell r="K389">
            <v>0</v>
          </cell>
          <cell r="L389">
            <v>0</v>
          </cell>
          <cell r="M389">
            <v>2</v>
          </cell>
        </row>
        <row r="390">
          <cell r="C390">
            <v>34</v>
          </cell>
          <cell r="F390">
            <v>1</v>
          </cell>
          <cell r="I390">
            <v>46174</v>
          </cell>
          <cell r="J390">
            <v>0</v>
          </cell>
          <cell r="K390">
            <v>0</v>
          </cell>
          <cell r="L390">
            <v>0</v>
          </cell>
          <cell r="M390">
            <v>20</v>
          </cell>
        </row>
        <row r="391">
          <cell r="C391">
            <v>37</v>
          </cell>
          <cell r="F391">
            <v>1</v>
          </cell>
          <cell r="I391">
            <v>46174</v>
          </cell>
          <cell r="J391">
            <v>0</v>
          </cell>
          <cell r="K391">
            <v>0</v>
          </cell>
          <cell r="L391">
            <v>0</v>
          </cell>
          <cell r="M391">
            <v>4</v>
          </cell>
        </row>
        <row r="392">
          <cell r="C392">
            <v>38</v>
          </cell>
          <cell r="F392">
            <v>1</v>
          </cell>
          <cell r="I392">
            <v>46174</v>
          </cell>
          <cell r="J392">
            <v>0</v>
          </cell>
          <cell r="K392">
            <v>0</v>
          </cell>
          <cell r="L392">
            <v>0</v>
          </cell>
          <cell r="M392">
            <v>4</v>
          </cell>
        </row>
        <row r="393">
          <cell r="C393">
            <v>39</v>
          </cell>
          <cell r="F393">
            <v>1</v>
          </cell>
          <cell r="I393">
            <v>46174</v>
          </cell>
          <cell r="J393">
            <v>0</v>
          </cell>
          <cell r="K393">
            <v>0</v>
          </cell>
          <cell r="L393">
            <v>0</v>
          </cell>
          <cell r="M393">
            <v>6</v>
          </cell>
        </row>
        <row r="394">
          <cell r="C394">
            <v>40</v>
          </cell>
          <cell r="F394">
            <v>1</v>
          </cell>
          <cell r="I394">
            <v>46174</v>
          </cell>
          <cell r="J394">
            <v>0</v>
          </cell>
          <cell r="K394">
            <v>0</v>
          </cell>
          <cell r="L394">
            <v>0</v>
          </cell>
          <cell r="M394">
            <v>4</v>
          </cell>
        </row>
        <row r="395">
          <cell r="C395">
            <v>41</v>
          </cell>
          <cell r="F395">
            <v>1</v>
          </cell>
          <cell r="I395">
            <v>46174</v>
          </cell>
          <cell r="J395">
            <v>0</v>
          </cell>
          <cell r="K395">
            <v>0</v>
          </cell>
          <cell r="L395">
            <v>0</v>
          </cell>
          <cell r="M395">
            <v>16</v>
          </cell>
        </row>
        <row r="396">
          <cell r="C396">
            <v>42</v>
          </cell>
          <cell r="F396">
            <v>1</v>
          </cell>
          <cell r="I396">
            <v>46174</v>
          </cell>
          <cell r="J396">
            <v>0</v>
          </cell>
          <cell r="K396">
            <v>0</v>
          </cell>
          <cell r="L396">
            <v>0</v>
          </cell>
          <cell r="M396">
            <v>32</v>
          </cell>
        </row>
        <row r="397">
          <cell r="C397">
            <v>44</v>
          </cell>
          <cell r="F397">
            <v>1</v>
          </cell>
          <cell r="I397">
            <v>46174</v>
          </cell>
          <cell r="J397">
            <v>0</v>
          </cell>
          <cell r="K397">
            <v>0</v>
          </cell>
          <cell r="L397">
            <v>0</v>
          </cell>
          <cell r="M397">
            <v>8</v>
          </cell>
        </row>
        <row r="398">
          <cell r="C398">
            <v>45</v>
          </cell>
          <cell r="F398">
            <v>1</v>
          </cell>
          <cell r="I398">
            <v>46174</v>
          </cell>
          <cell r="J398">
            <v>0</v>
          </cell>
          <cell r="K398">
            <v>0</v>
          </cell>
          <cell r="L398">
            <v>0</v>
          </cell>
          <cell r="M398">
            <v>30</v>
          </cell>
        </row>
        <row r="399">
          <cell r="C399">
            <v>46</v>
          </cell>
          <cell r="F399">
            <v>1</v>
          </cell>
          <cell r="I399">
            <v>46174</v>
          </cell>
          <cell r="J399">
            <v>0</v>
          </cell>
          <cell r="K399">
            <v>0</v>
          </cell>
          <cell r="L399">
            <v>0</v>
          </cell>
          <cell r="M399">
            <v>60</v>
          </cell>
        </row>
        <row r="400">
          <cell r="C400">
            <v>49</v>
          </cell>
          <cell r="F400">
            <v>1</v>
          </cell>
          <cell r="I400">
            <v>46174</v>
          </cell>
          <cell r="J400">
            <v>0</v>
          </cell>
          <cell r="K400">
            <v>0</v>
          </cell>
          <cell r="L400">
            <v>0</v>
          </cell>
          <cell r="M400">
            <v>30</v>
          </cell>
        </row>
        <row r="401">
          <cell r="C401">
            <v>50</v>
          </cell>
          <cell r="F401">
            <v>1</v>
          </cell>
          <cell r="I401">
            <v>46174</v>
          </cell>
          <cell r="J401">
            <v>0</v>
          </cell>
          <cell r="K401">
            <v>0</v>
          </cell>
          <cell r="L401">
            <v>0</v>
          </cell>
          <cell r="M401">
            <v>118</v>
          </cell>
        </row>
        <row r="402">
          <cell r="C402">
            <v>51</v>
          </cell>
          <cell r="F402">
            <v>1</v>
          </cell>
          <cell r="I402">
            <v>46174</v>
          </cell>
          <cell r="J402">
            <v>0</v>
          </cell>
          <cell r="K402">
            <v>0</v>
          </cell>
          <cell r="L402">
            <v>0</v>
          </cell>
          <cell r="M402">
            <v>34</v>
          </cell>
        </row>
        <row r="403">
          <cell r="C403">
            <v>52</v>
          </cell>
          <cell r="F403">
            <v>1</v>
          </cell>
          <cell r="I403">
            <v>46176</v>
          </cell>
          <cell r="J403">
            <v>0</v>
          </cell>
          <cell r="K403">
            <v>0</v>
          </cell>
          <cell r="L403">
            <v>0</v>
          </cell>
          <cell r="M403">
            <v>22</v>
          </cell>
        </row>
        <row r="404">
          <cell r="C404">
            <v>53</v>
          </cell>
          <cell r="F404">
            <v>1</v>
          </cell>
          <cell r="I404">
            <v>46176</v>
          </cell>
          <cell r="J404">
            <v>0</v>
          </cell>
          <cell r="K404">
            <v>0</v>
          </cell>
          <cell r="L404">
            <v>0</v>
          </cell>
          <cell r="M404">
            <v>4</v>
          </cell>
        </row>
        <row r="405">
          <cell r="C405">
            <v>54</v>
          </cell>
          <cell r="F405">
            <v>1</v>
          </cell>
          <cell r="I405">
            <v>46176</v>
          </cell>
          <cell r="J405">
            <v>0</v>
          </cell>
          <cell r="K405">
            <v>0</v>
          </cell>
          <cell r="L405">
            <v>0</v>
          </cell>
          <cell r="M405">
            <v>16</v>
          </cell>
        </row>
        <row r="406">
          <cell r="C406">
            <v>56</v>
          </cell>
          <cell r="F406">
            <v>1</v>
          </cell>
          <cell r="I406">
            <v>46176</v>
          </cell>
          <cell r="J406">
            <v>0</v>
          </cell>
          <cell r="K406">
            <v>0</v>
          </cell>
          <cell r="L406">
            <v>0</v>
          </cell>
          <cell r="M406">
            <v>14</v>
          </cell>
        </row>
        <row r="407">
          <cell r="C407">
            <v>61</v>
          </cell>
          <cell r="F407">
            <v>1</v>
          </cell>
          <cell r="I407">
            <v>46176</v>
          </cell>
          <cell r="J407">
            <v>0</v>
          </cell>
          <cell r="K407">
            <v>0</v>
          </cell>
          <cell r="L407">
            <v>0</v>
          </cell>
          <cell r="M407">
            <v>2</v>
          </cell>
        </row>
        <row r="408">
          <cell r="C408">
            <v>63</v>
          </cell>
          <cell r="F408">
            <v>1</v>
          </cell>
          <cell r="I408">
            <v>46176</v>
          </cell>
          <cell r="J408">
            <v>0</v>
          </cell>
          <cell r="K408">
            <v>0</v>
          </cell>
          <cell r="L408">
            <v>0</v>
          </cell>
          <cell r="M408">
            <v>12</v>
          </cell>
        </row>
        <row r="409">
          <cell r="C409">
            <v>64</v>
          </cell>
          <cell r="F409">
            <v>1</v>
          </cell>
          <cell r="I409">
            <v>46176</v>
          </cell>
          <cell r="J409">
            <v>0</v>
          </cell>
          <cell r="K409">
            <v>0</v>
          </cell>
          <cell r="L409">
            <v>0</v>
          </cell>
          <cell r="M409">
            <v>2</v>
          </cell>
        </row>
        <row r="410">
          <cell r="C410">
            <v>66</v>
          </cell>
          <cell r="F410">
            <v>1</v>
          </cell>
          <cell r="I410">
            <v>46176</v>
          </cell>
          <cell r="J410">
            <v>0</v>
          </cell>
          <cell r="K410">
            <v>0</v>
          </cell>
          <cell r="L410">
            <v>0</v>
          </cell>
          <cell r="M410">
            <v>12</v>
          </cell>
        </row>
        <row r="411">
          <cell r="C411">
            <v>68</v>
          </cell>
          <cell r="F411">
            <v>1</v>
          </cell>
          <cell r="I411">
            <v>46176</v>
          </cell>
          <cell r="J411">
            <v>0</v>
          </cell>
          <cell r="K411">
            <v>0</v>
          </cell>
          <cell r="L411">
            <v>0</v>
          </cell>
          <cell r="M411">
            <v>12</v>
          </cell>
        </row>
        <row r="412">
          <cell r="C412">
            <v>69</v>
          </cell>
          <cell r="F412">
            <v>1</v>
          </cell>
          <cell r="I412">
            <v>46176</v>
          </cell>
          <cell r="J412">
            <v>0</v>
          </cell>
          <cell r="K412">
            <v>0</v>
          </cell>
          <cell r="L412">
            <v>0</v>
          </cell>
          <cell r="M412">
            <v>14</v>
          </cell>
        </row>
        <row r="413">
          <cell r="C413">
            <v>70</v>
          </cell>
          <cell r="F413">
            <v>1</v>
          </cell>
          <cell r="I413">
            <v>46176</v>
          </cell>
          <cell r="J413">
            <v>0</v>
          </cell>
          <cell r="K413">
            <v>0</v>
          </cell>
          <cell r="L413">
            <v>0</v>
          </cell>
          <cell r="M413">
            <v>8</v>
          </cell>
        </row>
        <row r="414">
          <cell r="C414">
            <v>71</v>
          </cell>
          <cell r="F414">
            <v>1</v>
          </cell>
          <cell r="I414">
            <v>46176</v>
          </cell>
          <cell r="J414">
            <v>0</v>
          </cell>
          <cell r="K414">
            <v>0</v>
          </cell>
          <cell r="L414">
            <v>0</v>
          </cell>
          <cell r="M414">
            <v>4</v>
          </cell>
        </row>
        <row r="415">
          <cell r="C415">
            <v>73</v>
          </cell>
          <cell r="F415">
            <v>1</v>
          </cell>
          <cell r="I415">
            <v>46176</v>
          </cell>
          <cell r="J415">
            <v>0</v>
          </cell>
          <cell r="K415">
            <v>0</v>
          </cell>
          <cell r="L415">
            <v>0</v>
          </cell>
          <cell r="M415">
            <v>2</v>
          </cell>
        </row>
        <row r="416">
          <cell r="C416">
            <v>74</v>
          </cell>
          <cell r="F416">
            <v>1</v>
          </cell>
          <cell r="I416">
            <v>46176</v>
          </cell>
          <cell r="J416">
            <v>0</v>
          </cell>
          <cell r="K416">
            <v>0</v>
          </cell>
          <cell r="L416">
            <v>0</v>
          </cell>
          <cell r="M416">
            <v>12</v>
          </cell>
        </row>
        <row r="417">
          <cell r="C417">
            <v>75</v>
          </cell>
          <cell r="F417">
            <v>1</v>
          </cell>
          <cell r="I417">
            <v>46176</v>
          </cell>
          <cell r="J417">
            <v>0</v>
          </cell>
          <cell r="K417">
            <v>0</v>
          </cell>
          <cell r="L417">
            <v>0</v>
          </cell>
          <cell r="M417">
            <v>8</v>
          </cell>
        </row>
        <row r="418">
          <cell r="C418">
            <v>76</v>
          </cell>
          <cell r="F418">
            <v>1</v>
          </cell>
          <cell r="I418">
            <v>46176</v>
          </cell>
          <cell r="J418">
            <v>0</v>
          </cell>
          <cell r="K418">
            <v>0</v>
          </cell>
          <cell r="L418">
            <v>0</v>
          </cell>
          <cell r="M418">
            <v>12</v>
          </cell>
        </row>
        <row r="419">
          <cell r="C419">
            <v>77</v>
          </cell>
          <cell r="F419">
            <v>1</v>
          </cell>
          <cell r="I419">
            <v>46176</v>
          </cell>
          <cell r="J419">
            <v>0</v>
          </cell>
          <cell r="K419">
            <v>0</v>
          </cell>
          <cell r="L419">
            <v>0</v>
          </cell>
          <cell r="M419">
            <v>100</v>
          </cell>
        </row>
        <row r="420">
          <cell r="C420">
            <v>79</v>
          </cell>
          <cell r="F420">
            <v>1</v>
          </cell>
          <cell r="I420">
            <v>46176</v>
          </cell>
          <cell r="J420">
            <v>0</v>
          </cell>
          <cell r="K420">
            <v>0</v>
          </cell>
          <cell r="L420">
            <v>0</v>
          </cell>
          <cell r="M420">
            <v>100</v>
          </cell>
        </row>
        <row r="421">
          <cell r="C421">
            <v>90</v>
          </cell>
          <cell r="F421">
            <v>1</v>
          </cell>
          <cell r="I421">
            <v>46176</v>
          </cell>
          <cell r="J421">
            <v>0</v>
          </cell>
          <cell r="K421">
            <v>0</v>
          </cell>
          <cell r="L421">
            <v>0</v>
          </cell>
          <cell r="M421">
            <v>16</v>
          </cell>
        </row>
        <row r="422">
          <cell r="C422">
            <v>92</v>
          </cell>
          <cell r="F422">
            <v>1</v>
          </cell>
          <cell r="I422">
            <v>46176</v>
          </cell>
          <cell r="J422">
            <v>0</v>
          </cell>
          <cell r="K422">
            <v>0</v>
          </cell>
          <cell r="L422">
            <v>0</v>
          </cell>
          <cell r="M422">
            <v>40</v>
          </cell>
        </row>
        <row r="423">
          <cell r="C423">
            <v>94</v>
          </cell>
          <cell r="F423">
            <v>1</v>
          </cell>
          <cell r="I423">
            <v>46176</v>
          </cell>
          <cell r="J423">
            <v>0</v>
          </cell>
          <cell r="K423">
            <v>0</v>
          </cell>
          <cell r="L423">
            <v>0</v>
          </cell>
          <cell r="M423">
            <v>82</v>
          </cell>
        </row>
        <row r="424">
          <cell r="C424">
            <v>96</v>
          </cell>
          <cell r="F424">
            <v>1</v>
          </cell>
          <cell r="I424">
            <v>46176</v>
          </cell>
          <cell r="J424">
            <v>0</v>
          </cell>
          <cell r="K424">
            <v>0</v>
          </cell>
          <cell r="L424">
            <v>0</v>
          </cell>
          <cell r="M424">
            <v>34</v>
          </cell>
        </row>
        <row r="425">
          <cell r="C425">
            <v>97</v>
          </cell>
          <cell r="F425">
            <v>1</v>
          </cell>
          <cell r="I425">
            <v>46176</v>
          </cell>
          <cell r="J425">
            <v>0</v>
          </cell>
          <cell r="K425">
            <v>0</v>
          </cell>
          <cell r="L425">
            <v>0</v>
          </cell>
          <cell r="M425">
            <v>8</v>
          </cell>
        </row>
        <row r="426">
          <cell r="C426">
            <v>99</v>
          </cell>
          <cell r="F426">
            <v>1</v>
          </cell>
          <cell r="I426">
            <v>46176</v>
          </cell>
          <cell r="J426">
            <v>0</v>
          </cell>
          <cell r="K426">
            <v>0</v>
          </cell>
          <cell r="L426">
            <v>0</v>
          </cell>
          <cell r="M426">
            <v>10</v>
          </cell>
        </row>
        <row r="427">
          <cell r="C427">
            <v>103</v>
          </cell>
          <cell r="F427">
            <v>1</v>
          </cell>
          <cell r="I427">
            <v>46176</v>
          </cell>
          <cell r="J427">
            <v>0</v>
          </cell>
          <cell r="K427">
            <v>0</v>
          </cell>
          <cell r="L427">
            <v>0</v>
          </cell>
          <cell r="M427">
            <v>6</v>
          </cell>
        </row>
        <row r="428">
          <cell r="C428">
            <v>105</v>
          </cell>
          <cell r="F428">
            <v>1</v>
          </cell>
          <cell r="I428">
            <v>46176</v>
          </cell>
          <cell r="J428">
            <v>0</v>
          </cell>
          <cell r="K428">
            <v>0</v>
          </cell>
          <cell r="L428">
            <v>0</v>
          </cell>
          <cell r="M428">
            <v>4</v>
          </cell>
        </row>
        <row r="429">
          <cell r="C429">
            <v>108</v>
          </cell>
          <cell r="F429">
            <v>1</v>
          </cell>
          <cell r="I429">
            <v>46176</v>
          </cell>
          <cell r="J429">
            <v>0</v>
          </cell>
          <cell r="K429">
            <v>0</v>
          </cell>
          <cell r="L429">
            <v>0</v>
          </cell>
          <cell r="M429">
            <v>44</v>
          </cell>
        </row>
        <row r="430">
          <cell r="C430">
            <v>112</v>
          </cell>
          <cell r="F430">
            <v>1</v>
          </cell>
          <cell r="I430">
            <v>46176</v>
          </cell>
          <cell r="J430">
            <v>0</v>
          </cell>
          <cell r="K430">
            <v>0</v>
          </cell>
          <cell r="L430">
            <v>0</v>
          </cell>
          <cell r="M430">
            <v>2</v>
          </cell>
        </row>
        <row r="431">
          <cell r="C431">
            <v>131</v>
          </cell>
          <cell r="F431">
            <v>1</v>
          </cell>
          <cell r="I431">
            <v>46179</v>
          </cell>
          <cell r="J431">
            <v>0</v>
          </cell>
          <cell r="K431">
            <v>0</v>
          </cell>
          <cell r="L431">
            <v>0</v>
          </cell>
          <cell r="M431">
            <v>2</v>
          </cell>
        </row>
        <row r="432">
          <cell r="C432">
            <v>136</v>
          </cell>
          <cell r="F432">
            <v>1</v>
          </cell>
          <cell r="I432">
            <v>46179</v>
          </cell>
          <cell r="J432">
            <v>0</v>
          </cell>
          <cell r="K432">
            <v>0</v>
          </cell>
          <cell r="L432">
            <v>0</v>
          </cell>
          <cell r="M432">
            <v>4</v>
          </cell>
        </row>
        <row r="433">
          <cell r="C433">
            <v>142</v>
          </cell>
          <cell r="F433">
            <v>1</v>
          </cell>
          <cell r="I433">
            <v>46179</v>
          </cell>
          <cell r="J433">
            <v>0</v>
          </cell>
          <cell r="K433">
            <v>0</v>
          </cell>
          <cell r="L433">
            <v>0</v>
          </cell>
          <cell r="M433">
            <v>14</v>
          </cell>
        </row>
        <row r="434">
          <cell r="C434">
            <v>144</v>
          </cell>
          <cell r="F434">
            <v>1</v>
          </cell>
          <cell r="I434">
            <v>46179</v>
          </cell>
          <cell r="J434">
            <v>0</v>
          </cell>
          <cell r="K434">
            <v>0</v>
          </cell>
          <cell r="L434">
            <v>0</v>
          </cell>
          <cell r="M434">
            <v>30</v>
          </cell>
        </row>
        <row r="435">
          <cell r="C435">
            <v>145</v>
          </cell>
          <cell r="F435">
            <v>1</v>
          </cell>
          <cell r="I435">
            <v>46179</v>
          </cell>
          <cell r="J435">
            <v>0</v>
          </cell>
          <cell r="K435">
            <v>0</v>
          </cell>
          <cell r="L435">
            <v>0</v>
          </cell>
          <cell r="M435">
            <v>20</v>
          </cell>
        </row>
        <row r="436">
          <cell r="C436">
            <v>146</v>
          </cell>
          <cell r="F436">
            <v>1</v>
          </cell>
          <cell r="I436">
            <v>46179</v>
          </cell>
          <cell r="J436">
            <v>0</v>
          </cell>
          <cell r="K436">
            <v>0</v>
          </cell>
          <cell r="L436">
            <v>0</v>
          </cell>
          <cell r="M436">
            <v>10</v>
          </cell>
        </row>
        <row r="437">
          <cell r="C437">
            <v>150</v>
          </cell>
          <cell r="F437">
            <v>1</v>
          </cell>
          <cell r="I437">
            <v>46179</v>
          </cell>
          <cell r="J437">
            <v>0</v>
          </cell>
          <cell r="K437">
            <v>0</v>
          </cell>
          <cell r="L437">
            <v>0</v>
          </cell>
          <cell r="M437">
            <v>88</v>
          </cell>
        </row>
        <row r="438">
          <cell r="C438">
            <v>153</v>
          </cell>
          <cell r="F438">
            <v>1</v>
          </cell>
          <cell r="I438">
            <v>46179</v>
          </cell>
          <cell r="J438">
            <v>0</v>
          </cell>
          <cell r="K438">
            <v>0</v>
          </cell>
          <cell r="L438">
            <v>0</v>
          </cell>
          <cell r="M438">
            <v>14</v>
          </cell>
        </row>
        <row r="439">
          <cell r="C439">
            <v>156</v>
          </cell>
          <cell r="F439">
            <v>1</v>
          </cell>
          <cell r="I439">
            <v>46179</v>
          </cell>
          <cell r="J439">
            <v>0</v>
          </cell>
          <cell r="K439">
            <v>0</v>
          </cell>
          <cell r="L439">
            <v>0</v>
          </cell>
          <cell r="M439">
            <v>4</v>
          </cell>
        </row>
        <row r="440">
          <cell r="C440">
            <v>158</v>
          </cell>
          <cell r="F440">
            <v>1</v>
          </cell>
          <cell r="I440">
            <v>46179</v>
          </cell>
          <cell r="J440">
            <v>0</v>
          </cell>
          <cell r="K440">
            <v>0</v>
          </cell>
          <cell r="L440">
            <v>0</v>
          </cell>
          <cell r="M440">
            <v>2</v>
          </cell>
        </row>
        <row r="441">
          <cell r="C441">
            <v>160</v>
          </cell>
          <cell r="F441">
            <v>1</v>
          </cell>
          <cell r="I441">
            <v>46179</v>
          </cell>
          <cell r="J441">
            <v>0</v>
          </cell>
          <cell r="K441">
            <v>0</v>
          </cell>
          <cell r="L441">
            <v>0</v>
          </cell>
          <cell r="M441">
            <v>8</v>
          </cell>
        </row>
        <row r="442">
          <cell r="C442">
            <v>163</v>
          </cell>
          <cell r="F442">
            <v>1</v>
          </cell>
          <cell r="I442">
            <v>46179</v>
          </cell>
          <cell r="J442">
            <v>0</v>
          </cell>
          <cell r="K442">
            <v>0</v>
          </cell>
          <cell r="L442">
            <v>0</v>
          </cell>
          <cell r="M442">
            <v>4</v>
          </cell>
        </row>
        <row r="443">
          <cell r="C443">
            <v>165</v>
          </cell>
          <cell r="F443">
            <v>1</v>
          </cell>
          <cell r="I443">
            <v>46179</v>
          </cell>
          <cell r="J443">
            <v>0</v>
          </cell>
          <cell r="K443">
            <v>0</v>
          </cell>
          <cell r="L443">
            <v>0</v>
          </cell>
          <cell r="M443">
            <v>2</v>
          </cell>
        </row>
        <row r="444">
          <cell r="C444">
            <v>167</v>
          </cell>
          <cell r="F444">
            <v>1</v>
          </cell>
          <cell r="I444">
            <v>46179</v>
          </cell>
          <cell r="J444">
            <v>0</v>
          </cell>
          <cell r="K444">
            <v>0</v>
          </cell>
          <cell r="L444">
            <v>0</v>
          </cell>
          <cell r="M444">
            <v>18</v>
          </cell>
        </row>
        <row r="445">
          <cell r="C445">
            <v>168</v>
          </cell>
          <cell r="F445">
            <v>1</v>
          </cell>
          <cell r="I445">
            <v>46179</v>
          </cell>
          <cell r="J445">
            <v>0</v>
          </cell>
          <cell r="K445">
            <v>0</v>
          </cell>
          <cell r="L445">
            <v>0</v>
          </cell>
          <cell r="M445">
            <v>4</v>
          </cell>
        </row>
        <row r="446">
          <cell r="C446">
            <v>169</v>
          </cell>
          <cell r="F446">
            <v>1</v>
          </cell>
          <cell r="I446">
            <v>46179</v>
          </cell>
          <cell r="J446">
            <v>0</v>
          </cell>
          <cell r="K446">
            <v>0</v>
          </cell>
          <cell r="L446">
            <v>0</v>
          </cell>
          <cell r="M446">
            <v>32</v>
          </cell>
        </row>
        <row r="447">
          <cell r="C447">
            <v>170</v>
          </cell>
          <cell r="F447">
            <v>1</v>
          </cell>
          <cell r="I447">
            <v>46179</v>
          </cell>
          <cell r="J447">
            <v>0</v>
          </cell>
          <cell r="K447">
            <v>0</v>
          </cell>
          <cell r="L447">
            <v>0</v>
          </cell>
          <cell r="M447">
            <v>20</v>
          </cell>
        </row>
        <row r="448">
          <cell r="C448">
            <v>172</v>
          </cell>
          <cell r="F448">
            <v>1</v>
          </cell>
          <cell r="I448">
            <v>46179</v>
          </cell>
          <cell r="J448">
            <v>0</v>
          </cell>
          <cell r="K448">
            <v>0</v>
          </cell>
          <cell r="L448">
            <v>0</v>
          </cell>
          <cell r="M448">
            <v>4</v>
          </cell>
        </row>
        <row r="449">
          <cell r="C449">
            <v>174</v>
          </cell>
          <cell r="F449">
            <v>1</v>
          </cell>
          <cell r="I449">
            <v>46179</v>
          </cell>
          <cell r="J449">
            <v>0</v>
          </cell>
          <cell r="K449">
            <v>0</v>
          </cell>
          <cell r="L449">
            <v>0</v>
          </cell>
          <cell r="M449">
            <v>4</v>
          </cell>
        </row>
        <row r="450">
          <cell r="C450">
            <v>181</v>
          </cell>
          <cell r="F450">
            <v>1</v>
          </cell>
          <cell r="I450">
            <v>46179</v>
          </cell>
          <cell r="J450">
            <v>0</v>
          </cell>
          <cell r="K450">
            <v>0</v>
          </cell>
          <cell r="L450">
            <v>0</v>
          </cell>
          <cell r="M450">
            <v>336</v>
          </cell>
        </row>
        <row r="451">
          <cell r="C451">
            <v>182</v>
          </cell>
          <cell r="F451">
            <v>1</v>
          </cell>
          <cell r="I451">
            <v>46179</v>
          </cell>
          <cell r="J451">
            <v>0</v>
          </cell>
          <cell r="K451">
            <v>0</v>
          </cell>
          <cell r="L451">
            <v>0</v>
          </cell>
          <cell r="M451">
            <v>264</v>
          </cell>
        </row>
        <row r="452">
          <cell r="C452">
            <v>183</v>
          </cell>
          <cell r="F452">
            <v>1</v>
          </cell>
          <cell r="I452">
            <v>46179</v>
          </cell>
          <cell r="J452">
            <v>0</v>
          </cell>
          <cell r="K452">
            <v>0</v>
          </cell>
          <cell r="L452">
            <v>0</v>
          </cell>
          <cell r="M452">
            <v>840</v>
          </cell>
        </row>
        <row r="453">
          <cell r="C453">
            <v>184</v>
          </cell>
          <cell r="F453">
            <v>1</v>
          </cell>
          <cell r="I453">
            <v>46179</v>
          </cell>
          <cell r="J453">
            <v>0</v>
          </cell>
          <cell r="K453">
            <v>0</v>
          </cell>
          <cell r="L453">
            <v>0</v>
          </cell>
          <cell r="M453">
            <v>192</v>
          </cell>
        </row>
        <row r="454">
          <cell r="C454">
            <v>185</v>
          </cell>
          <cell r="F454">
            <v>1</v>
          </cell>
          <cell r="I454">
            <v>46179</v>
          </cell>
          <cell r="J454">
            <v>0</v>
          </cell>
          <cell r="K454">
            <v>0</v>
          </cell>
          <cell r="L454">
            <v>0</v>
          </cell>
          <cell r="M454">
            <v>24</v>
          </cell>
        </row>
        <row r="455">
          <cell r="C455">
            <v>187</v>
          </cell>
          <cell r="F455">
            <v>1</v>
          </cell>
          <cell r="I455">
            <v>46179</v>
          </cell>
          <cell r="J455">
            <v>0</v>
          </cell>
          <cell r="K455">
            <v>0</v>
          </cell>
          <cell r="L455">
            <v>0</v>
          </cell>
          <cell r="M455">
            <v>128</v>
          </cell>
        </row>
        <row r="456">
          <cell r="C456">
            <v>189</v>
          </cell>
          <cell r="F456">
            <v>1</v>
          </cell>
          <cell r="I456">
            <v>46179</v>
          </cell>
          <cell r="J456">
            <v>0</v>
          </cell>
          <cell r="K456">
            <v>0</v>
          </cell>
          <cell r="L456">
            <v>0</v>
          </cell>
          <cell r="M456">
            <v>128</v>
          </cell>
        </row>
        <row r="457">
          <cell r="C457">
            <v>192</v>
          </cell>
          <cell r="F457">
            <v>1</v>
          </cell>
          <cell r="I457">
            <v>46179</v>
          </cell>
          <cell r="J457">
            <v>0</v>
          </cell>
          <cell r="K457">
            <v>0</v>
          </cell>
          <cell r="L457">
            <v>0</v>
          </cell>
          <cell r="M457">
            <v>8</v>
          </cell>
        </row>
        <row r="458">
          <cell r="C458">
            <v>195</v>
          </cell>
          <cell r="F458">
            <v>1</v>
          </cell>
          <cell r="I458">
            <v>46179</v>
          </cell>
          <cell r="J458">
            <v>0</v>
          </cell>
          <cell r="K458">
            <v>0</v>
          </cell>
          <cell r="L458">
            <v>0</v>
          </cell>
          <cell r="M458">
            <v>40</v>
          </cell>
        </row>
        <row r="459">
          <cell r="C459">
            <v>198</v>
          </cell>
          <cell r="F459">
            <v>1</v>
          </cell>
          <cell r="I459">
            <v>46179</v>
          </cell>
          <cell r="J459">
            <v>0</v>
          </cell>
          <cell r="K459">
            <v>0</v>
          </cell>
          <cell r="L459">
            <v>0</v>
          </cell>
          <cell r="M459">
            <v>32</v>
          </cell>
        </row>
        <row r="460">
          <cell r="C460">
            <v>1</v>
          </cell>
          <cell r="F460">
            <v>1</v>
          </cell>
          <cell r="I460">
            <v>46204</v>
          </cell>
          <cell r="J460">
            <v>-2</v>
          </cell>
          <cell r="K460">
            <v>0</v>
          </cell>
        </row>
        <row r="461">
          <cell r="C461">
            <v>2</v>
          </cell>
          <cell r="F461">
            <v>1</v>
          </cell>
          <cell r="I461">
            <v>46204</v>
          </cell>
          <cell r="J461">
            <v>-3</v>
          </cell>
          <cell r="K461">
            <v>0</v>
          </cell>
        </row>
        <row r="462">
          <cell r="C462">
            <v>3</v>
          </cell>
          <cell r="F462">
            <v>1</v>
          </cell>
          <cell r="I462">
            <v>46204</v>
          </cell>
          <cell r="J462">
            <v>0</v>
          </cell>
          <cell r="K462">
            <v>0</v>
          </cell>
        </row>
        <row r="463">
          <cell r="C463">
            <v>4</v>
          </cell>
          <cell r="F463">
            <v>1</v>
          </cell>
          <cell r="I463">
            <v>46204</v>
          </cell>
          <cell r="J463">
            <v>-4</v>
          </cell>
          <cell r="K463">
            <v>0</v>
          </cell>
        </row>
        <row r="464">
          <cell r="C464">
            <v>5</v>
          </cell>
          <cell r="F464">
            <v>1</v>
          </cell>
          <cell r="I464">
            <v>46204</v>
          </cell>
          <cell r="J464">
            <v>-5</v>
          </cell>
          <cell r="K464">
            <v>0</v>
          </cell>
        </row>
        <row r="465">
          <cell r="C465">
            <v>6</v>
          </cell>
          <cell r="F465">
            <v>1</v>
          </cell>
          <cell r="I465">
            <v>46204</v>
          </cell>
          <cell r="J465">
            <v>-10</v>
          </cell>
          <cell r="K465">
            <v>0</v>
          </cell>
        </row>
        <row r="466">
          <cell r="C466">
            <v>7</v>
          </cell>
          <cell r="F466">
            <v>1</v>
          </cell>
          <cell r="I466">
            <v>46204</v>
          </cell>
          <cell r="J466">
            <v>-9</v>
          </cell>
          <cell r="K466">
            <v>0</v>
          </cell>
        </row>
        <row r="467">
          <cell r="C467">
            <v>8</v>
          </cell>
          <cell r="F467">
            <v>1</v>
          </cell>
          <cell r="I467">
            <v>46204</v>
          </cell>
          <cell r="J467">
            <v>-7</v>
          </cell>
          <cell r="K467">
            <v>0</v>
          </cell>
        </row>
        <row r="468">
          <cell r="C468">
            <v>9</v>
          </cell>
          <cell r="F468">
            <v>1</v>
          </cell>
          <cell r="I468">
            <v>46204</v>
          </cell>
          <cell r="J468">
            <v>-18</v>
          </cell>
          <cell r="K468">
            <v>0</v>
          </cell>
        </row>
        <row r="469">
          <cell r="C469">
            <v>10</v>
          </cell>
          <cell r="F469">
            <v>1</v>
          </cell>
          <cell r="I469">
            <v>46204</v>
          </cell>
          <cell r="J469">
            <v>-5</v>
          </cell>
          <cell r="K469">
            <v>0</v>
          </cell>
        </row>
        <row r="470">
          <cell r="C470">
            <v>11</v>
          </cell>
          <cell r="F470">
            <v>1</v>
          </cell>
          <cell r="I470">
            <v>46204</v>
          </cell>
          <cell r="J470">
            <v>5</v>
          </cell>
          <cell r="K470">
            <v>0</v>
          </cell>
        </row>
        <row r="471">
          <cell r="C471">
            <v>12</v>
          </cell>
          <cell r="F471">
            <v>1</v>
          </cell>
          <cell r="I471">
            <v>46204</v>
          </cell>
          <cell r="J471">
            <v>0</v>
          </cell>
          <cell r="K471">
            <v>0</v>
          </cell>
        </row>
        <row r="472">
          <cell r="C472">
            <v>13</v>
          </cell>
          <cell r="F472">
            <v>1</v>
          </cell>
          <cell r="I472">
            <v>46204</v>
          </cell>
          <cell r="J472">
            <v>-7</v>
          </cell>
          <cell r="K472">
            <v>0</v>
          </cell>
        </row>
        <row r="473">
          <cell r="C473">
            <v>14</v>
          </cell>
          <cell r="F473">
            <v>1</v>
          </cell>
          <cell r="I473">
            <v>46204</v>
          </cell>
          <cell r="J473">
            <v>23</v>
          </cell>
          <cell r="K473">
            <v>0</v>
          </cell>
        </row>
        <row r="474">
          <cell r="C474">
            <v>15</v>
          </cell>
          <cell r="F474">
            <v>1</v>
          </cell>
          <cell r="I474">
            <v>46204</v>
          </cell>
          <cell r="J474">
            <v>0</v>
          </cell>
          <cell r="K474">
            <v>0</v>
          </cell>
        </row>
        <row r="475">
          <cell r="C475">
            <v>16</v>
          </cell>
          <cell r="F475">
            <v>1</v>
          </cell>
          <cell r="I475">
            <v>46204</v>
          </cell>
          <cell r="J475">
            <v>-15</v>
          </cell>
          <cell r="K475">
            <v>0</v>
          </cell>
        </row>
        <row r="476">
          <cell r="C476">
            <v>17</v>
          </cell>
          <cell r="F476">
            <v>1</v>
          </cell>
          <cell r="I476">
            <v>46204</v>
          </cell>
          <cell r="J476">
            <v>-15</v>
          </cell>
          <cell r="K476">
            <v>0</v>
          </cell>
        </row>
        <row r="477">
          <cell r="C477">
            <v>18</v>
          </cell>
          <cell r="F477">
            <v>1</v>
          </cell>
          <cell r="I477">
            <v>46204</v>
          </cell>
          <cell r="J477">
            <v>3</v>
          </cell>
          <cell r="K477">
            <v>0</v>
          </cell>
        </row>
        <row r="478">
          <cell r="C478">
            <v>19</v>
          </cell>
          <cell r="F478">
            <v>1</v>
          </cell>
          <cell r="I478">
            <v>46204</v>
          </cell>
          <cell r="J478">
            <v>23</v>
          </cell>
          <cell r="K478">
            <v>0</v>
          </cell>
        </row>
        <row r="479">
          <cell r="C479">
            <v>20</v>
          </cell>
          <cell r="F479">
            <v>1</v>
          </cell>
          <cell r="I479">
            <v>46204</v>
          </cell>
          <cell r="J479">
            <v>-7</v>
          </cell>
          <cell r="K479">
            <v>0</v>
          </cell>
        </row>
        <row r="480">
          <cell r="C480">
            <v>21</v>
          </cell>
          <cell r="F480">
            <v>1</v>
          </cell>
          <cell r="I480">
            <v>46204</v>
          </cell>
          <cell r="J480">
            <v>0</v>
          </cell>
          <cell r="K480">
            <v>0</v>
          </cell>
        </row>
        <row r="481">
          <cell r="C481">
            <v>22</v>
          </cell>
          <cell r="F481">
            <v>1</v>
          </cell>
          <cell r="I481">
            <v>46204</v>
          </cell>
          <cell r="J481">
            <v>2</v>
          </cell>
          <cell r="K481">
            <v>0</v>
          </cell>
        </row>
        <row r="482">
          <cell r="C482">
            <v>23</v>
          </cell>
          <cell r="F482">
            <v>1</v>
          </cell>
          <cell r="I482">
            <v>46204</v>
          </cell>
          <cell r="J482">
            <v>0</v>
          </cell>
          <cell r="K482">
            <v>0</v>
          </cell>
        </row>
        <row r="483">
          <cell r="C483">
            <v>24</v>
          </cell>
          <cell r="F483">
            <v>1</v>
          </cell>
          <cell r="I483">
            <v>46204</v>
          </cell>
          <cell r="J483">
            <v>0</v>
          </cell>
          <cell r="K483">
            <v>0</v>
          </cell>
        </row>
        <row r="484">
          <cell r="C484">
            <v>25</v>
          </cell>
          <cell r="F484">
            <v>1</v>
          </cell>
          <cell r="I484">
            <v>46204</v>
          </cell>
          <cell r="J484">
            <v>-1</v>
          </cell>
          <cell r="K484">
            <v>0</v>
          </cell>
        </row>
        <row r="485">
          <cell r="C485">
            <v>1</v>
          </cell>
          <cell r="F485">
            <v>1</v>
          </cell>
          <cell r="I485">
            <v>46204</v>
          </cell>
          <cell r="J485">
            <v>8</v>
          </cell>
          <cell r="K485">
            <v>0</v>
          </cell>
        </row>
        <row r="486">
          <cell r="C486">
            <v>2</v>
          </cell>
          <cell r="F486">
            <v>1</v>
          </cell>
          <cell r="I486">
            <v>46204</v>
          </cell>
          <cell r="J486">
            <v>12</v>
          </cell>
          <cell r="K486">
            <v>0</v>
          </cell>
        </row>
        <row r="487">
          <cell r="C487">
            <v>3</v>
          </cell>
          <cell r="F487">
            <v>1</v>
          </cell>
          <cell r="I487">
            <v>46204</v>
          </cell>
          <cell r="J487">
            <v>0</v>
          </cell>
          <cell r="K487">
            <v>0</v>
          </cell>
        </row>
        <row r="488">
          <cell r="C488">
            <v>4</v>
          </cell>
          <cell r="F488">
            <v>1</v>
          </cell>
          <cell r="I488">
            <v>46204</v>
          </cell>
          <cell r="J488">
            <v>16</v>
          </cell>
          <cell r="K488">
            <v>0</v>
          </cell>
        </row>
        <row r="489">
          <cell r="C489">
            <v>5</v>
          </cell>
          <cell r="F489">
            <v>1</v>
          </cell>
          <cell r="I489">
            <v>46204</v>
          </cell>
          <cell r="J489">
            <v>20</v>
          </cell>
          <cell r="K489">
            <v>0</v>
          </cell>
        </row>
        <row r="490">
          <cell r="C490">
            <v>6</v>
          </cell>
          <cell r="F490">
            <v>1</v>
          </cell>
          <cell r="I490">
            <v>46204</v>
          </cell>
          <cell r="J490">
            <v>40</v>
          </cell>
          <cell r="K490">
            <v>0</v>
          </cell>
        </row>
        <row r="491">
          <cell r="C491">
            <v>7</v>
          </cell>
          <cell r="F491">
            <v>1</v>
          </cell>
          <cell r="I491">
            <v>46204</v>
          </cell>
          <cell r="J491">
            <v>36</v>
          </cell>
          <cell r="K491">
            <v>0</v>
          </cell>
        </row>
        <row r="492">
          <cell r="C492">
            <v>8</v>
          </cell>
          <cell r="F492">
            <v>1</v>
          </cell>
          <cell r="I492">
            <v>46204</v>
          </cell>
          <cell r="J492">
            <v>28</v>
          </cell>
          <cell r="K492">
            <v>0</v>
          </cell>
        </row>
        <row r="493">
          <cell r="C493">
            <v>9</v>
          </cell>
          <cell r="F493">
            <v>1</v>
          </cell>
          <cell r="I493">
            <v>46204</v>
          </cell>
          <cell r="J493">
            <v>72</v>
          </cell>
          <cell r="K493">
            <v>0</v>
          </cell>
        </row>
        <row r="494">
          <cell r="C494">
            <v>10</v>
          </cell>
          <cell r="F494">
            <v>1</v>
          </cell>
          <cell r="I494">
            <v>46204</v>
          </cell>
          <cell r="J494">
            <v>20</v>
          </cell>
          <cell r="K494">
            <v>0</v>
          </cell>
        </row>
        <row r="495">
          <cell r="C495">
            <v>11</v>
          </cell>
          <cell r="F495">
            <v>1</v>
          </cell>
          <cell r="I495">
            <v>46204</v>
          </cell>
          <cell r="J495">
            <v>20</v>
          </cell>
          <cell r="K495">
            <v>0</v>
          </cell>
        </row>
        <row r="496">
          <cell r="C496">
            <v>12</v>
          </cell>
          <cell r="F496">
            <v>1</v>
          </cell>
          <cell r="I496">
            <v>46204</v>
          </cell>
          <cell r="J496">
            <v>0</v>
          </cell>
          <cell r="K496">
            <v>0</v>
          </cell>
        </row>
        <row r="497">
          <cell r="C497">
            <v>13</v>
          </cell>
          <cell r="F497">
            <v>1</v>
          </cell>
          <cell r="I497">
            <v>46204</v>
          </cell>
          <cell r="J497">
            <v>28</v>
          </cell>
          <cell r="K497">
            <v>0</v>
          </cell>
        </row>
        <row r="498">
          <cell r="C498">
            <v>14</v>
          </cell>
          <cell r="F498">
            <v>1</v>
          </cell>
          <cell r="I498">
            <v>46204</v>
          </cell>
          <cell r="J498">
            <v>28</v>
          </cell>
          <cell r="K498">
            <v>0</v>
          </cell>
        </row>
        <row r="499">
          <cell r="C499">
            <v>15</v>
          </cell>
          <cell r="F499">
            <v>1</v>
          </cell>
          <cell r="I499">
            <v>46204</v>
          </cell>
          <cell r="J499">
            <v>0</v>
          </cell>
          <cell r="K499">
            <v>0</v>
          </cell>
        </row>
        <row r="500">
          <cell r="C500">
            <v>16</v>
          </cell>
          <cell r="F500">
            <v>1</v>
          </cell>
          <cell r="I500">
            <v>46204</v>
          </cell>
          <cell r="J500">
            <v>60</v>
          </cell>
          <cell r="K500">
            <v>0</v>
          </cell>
        </row>
        <row r="501">
          <cell r="C501">
            <v>17</v>
          </cell>
          <cell r="F501">
            <v>1</v>
          </cell>
          <cell r="I501">
            <v>46204</v>
          </cell>
          <cell r="J501">
            <v>60</v>
          </cell>
          <cell r="K501">
            <v>0</v>
          </cell>
        </row>
        <row r="502">
          <cell r="C502">
            <v>18</v>
          </cell>
          <cell r="F502">
            <v>1</v>
          </cell>
          <cell r="I502">
            <v>46204</v>
          </cell>
          <cell r="J502">
            <v>8</v>
          </cell>
          <cell r="K502">
            <v>0</v>
          </cell>
        </row>
        <row r="503">
          <cell r="C503">
            <v>19</v>
          </cell>
          <cell r="F503">
            <v>1</v>
          </cell>
          <cell r="I503">
            <v>46204</v>
          </cell>
          <cell r="J503">
            <v>28</v>
          </cell>
          <cell r="K503">
            <v>0</v>
          </cell>
        </row>
        <row r="504">
          <cell r="C504">
            <v>20</v>
          </cell>
          <cell r="F504">
            <v>1</v>
          </cell>
          <cell r="I504">
            <v>46204</v>
          </cell>
          <cell r="J504">
            <v>28</v>
          </cell>
          <cell r="K504">
            <v>0</v>
          </cell>
        </row>
        <row r="505">
          <cell r="C505">
            <v>21</v>
          </cell>
          <cell r="F505">
            <v>1</v>
          </cell>
          <cell r="I505">
            <v>46204</v>
          </cell>
          <cell r="J505">
            <v>0</v>
          </cell>
          <cell r="K505">
            <v>0</v>
          </cell>
        </row>
        <row r="506">
          <cell r="C506">
            <v>22</v>
          </cell>
          <cell r="F506">
            <v>1</v>
          </cell>
          <cell r="I506">
            <v>46204</v>
          </cell>
          <cell r="J506">
            <v>12</v>
          </cell>
          <cell r="K506">
            <v>0</v>
          </cell>
        </row>
        <row r="507">
          <cell r="C507">
            <v>23</v>
          </cell>
          <cell r="F507">
            <v>1</v>
          </cell>
          <cell r="I507">
            <v>46204</v>
          </cell>
          <cell r="J507">
            <v>0</v>
          </cell>
          <cell r="K507">
            <v>0</v>
          </cell>
        </row>
        <row r="508">
          <cell r="C508">
            <v>24</v>
          </cell>
          <cell r="F508">
            <v>1</v>
          </cell>
          <cell r="I508">
            <v>46204</v>
          </cell>
          <cell r="J508">
            <v>0</v>
          </cell>
          <cell r="K508">
            <v>0</v>
          </cell>
        </row>
        <row r="509">
          <cell r="C509">
            <v>25</v>
          </cell>
          <cell r="F509">
            <v>1</v>
          </cell>
          <cell r="I509">
            <v>46204</v>
          </cell>
          <cell r="J509">
            <v>4</v>
          </cell>
          <cell r="K509">
            <v>0</v>
          </cell>
        </row>
        <row r="510">
          <cell r="C510">
            <v>187</v>
          </cell>
          <cell r="F510">
            <v>1</v>
          </cell>
          <cell r="I510">
            <v>46204</v>
          </cell>
          <cell r="J510">
            <v>0</v>
          </cell>
          <cell r="K510">
            <v>5</v>
          </cell>
          <cell r="L510">
            <v>0</v>
          </cell>
          <cell r="M510">
            <v>196</v>
          </cell>
        </row>
        <row r="511">
          <cell r="C511">
            <v>193</v>
          </cell>
          <cell r="F511">
            <v>1</v>
          </cell>
          <cell r="I511">
            <v>46204</v>
          </cell>
          <cell r="J511">
            <v>4</v>
          </cell>
          <cell r="K511">
            <v>8</v>
          </cell>
          <cell r="L511">
            <v>0</v>
          </cell>
          <cell r="M511">
            <v>0</v>
          </cell>
        </row>
        <row r="512">
          <cell r="C512">
            <v>235</v>
          </cell>
          <cell r="F512">
            <v>1</v>
          </cell>
          <cell r="I512">
            <v>46204</v>
          </cell>
          <cell r="J512">
            <v>0</v>
          </cell>
          <cell r="K512">
            <v>6</v>
          </cell>
          <cell r="L512">
            <v>0</v>
          </cell>
          <cell r="M512">
            <v>18</v>
          </cell>
        </row>
        <row r="513">
          <cell r="C513">
            <v>178</v>
          </cell>
          <cell r="F513">
            <v>1</v>
          </cell>
          <cell r="I513">
            <v>46204</v>
          </cell>
          <cell r="J513">
            <v>0</v>
          </cell>
          <cell r="K513">
            <v>350</v>
          </cell>
          <cell r="L513">
            <v>0</v>
          </cell>
          <cell r="M513">
            <v>0</v>
          </cell>
        </row>
        <row r="514">
          <cell r="C514">
            <v>241</v>
          </cell>
          <cell r="F514">
            <v>1</v>
          </cell>
          <cell r="I514">
            <v>46204</v>
          </cell>
          <cell r="J514">
            <v>0</v>
          </cell>
          <cell r="K514">
            <v>1</v>
          </cell>
          <cell r="L514">
            <v>0</v>
          </cell>
          <cell r="M514">
            <v>0</v>
          </cell>
        </row>
        <row r="515">
          <cell r="C515">
            <v>287</v>
          </cell>
          <cell r="F515">
            <v>1</v>
          </cell>
          <cell r="I515">
            <v>46204</v>
          </cell>
          <cell r="J515">
            <v>0</v>
          </cell>
          <cell r="K515">
            <v>75</v>
          </cell>
          <cell r="L515">
            <v>0</v>
          </cell>
          <cell r="M515">
            <v>0</v>
          </cell>
        </row>
        <row r="516">
          <cell r="C516">
            <v>177</v>
          </cell>
          <cell r="F516">
            <v>1</v>
          </cell>
          <cell r="I516">
            <v>46204</v>
          </cell>
          <cell r="J516">
            <v>0</v>
          </cell>
          <cell r="K516">
            <v>300</v>
          </cell>
          <cell r="L516">
            <v>0</v>
          </cell>
          <cell r="M516">
            <v>10000</v>
          </cell>
        </row>
        <row r="517">
          <cell r="C517">
            <v>298</v>
          </cell>
          <cell r="F517">
            <v>1</v>
          </cell>
          <cell r="I517">
            <v>46204</v>
          </cell>
          <cell r="J517">
            <v>0</v>
          </cell>
          <cell r="K517">
            <v>60</v>
          </cell>
          <cell r="L517">
            <v>0</v>
          </cell>
          <cell r="M517">
            <v>0</v>
          </cell>
        </row>
        <row r="518">
          <cell r="C518">
            <v>295</v>
          </cell>
          <cell r="F518">
            <v>1</v>
          </cell>
          <cell r="I518">
            <v>46204</v>
          </cell>
          <cell r="J518">
            <v>0</v>
          </cell>
          <cell r="K518">
            <v>2</v>
          </cell>
          <cell r="L518">
            <v>0</v>
          </cell>
          <cell r="M518">
            <v>0</v>
          </cell>
        </row>
        <row r="519">
          <cell r="C519">
            <v>327</v>
          </cell>
          <cell r="F519">
            <v>1</v>
          </cell>
          <cell r="I519">
            <v>46204</v>
          </cell>
          <cell r="J519">
            <v>1</v>
          </cell>
          <cell r="K519">
            <v>1</v>
          </cell>
          <cell r="L519">
            <v>0</v>
          </cell>
          <cell r="M519">
            <v>0</v>
          </cell>
        </row>
        <row r="520">
          <cell r="C520">
            <v>213</v>
          </cell>
          <cell r="F520">
            <v>1</v>
          </cell>
          <cell r="I520">
            <v>46204</v>
          </cell>
          <cell r="J520">
            <v>3</v>
          </cell>
          <cell r="K520">
            <v>3</v>
          </cell>
          <cell r="L520">
            <v>0</v>
          </cell>
          <cell r="M520">
            <v>0</v>
          </cell>
        </row>
        <row r="521">
          <cell r="C521">
            <v>228</v>
          </cell>
          <cell r="F521">
            <v>1</v>
          </cell>
          <cell r="I521">
            <v>46204</v>
          </cell>
          <cell r="J521">
            <v>11</v>
          </cell>
          <cell r="K521">
            <v>1</v>
          </cell>
          <cell r="L521">
            <v>0</v>
          </cell>
          <cell r="M521">
            <v>0</v>
          </cell>
        </row>
        <row r="522">
          <cell r="C522">
            <v>195</v>
          </cell>
          <cell r="F522">
            <v>1</v>
          </cell>
          <cell r="I522">
            <v>46205</v>
          </cell>
          <cell r="J522">
            <v>0</v>
          </cell>
          <cell r="K522">
            <v>36</v>
          </cell>
          <cell r="L522">
            <v>0</v>
          </cell>
          <cell r="M522">
            <v>0</v>
          </cell>
        </row>
        <row r="523">
          <cell r="C523">
            <v>187</v>
          </cell>
          <cell r="F523">
            <v>1</v>
          </cell>
          <cell r="I523">
            <v>46205</v>
          </cell>
          <cell r="J523">
            <v>0</v>
          </cell>
          <cell r="K523">
            <v>40</v>
          </cell>
          <cell r="L523">
            <v>0</v>
          </cell>
          <cell r="M523">
            <v>0</v>
          </cell>
        </row>
        <row r="524">
          <cell r="C524">
            <v>197</v>
          </cell>
          <cell r="F524">
            <v>1</v>
          </cell>
          <cell r="I524">
            <v>46205</v>
          </cell>
          <cell r="J524">
            <v>0</v>
          </cell>
          <cell r="K524">
            <v>8</v>
          </cell>
          <cell r="L524">
            <v>0</v>
          </cell>
          <cell r="M524">
            <v>0</v>
          </cell>
        </row>
        <row r="525">
          <cell r="C525">
            <v>252</v>
          </cell>
          <cell r="F525">
            <v>1</v>
          </cell>
          <cell r="I525">
            <v>46205</v>
          </cell>
          <cell r="J525">
            <v>0</v>
          </cell>
          <cell r="K525">
            <v>28</v>
          </cell>
          <cell r="L525">
            <v>0</v>
          </cell>
          <cell r="M525">
            <v>0</v>
          </cell>
        </row>
        <row r="526">
          <cell r="C526">
            <v>10</v>
          </cell>
          <cell r="F526">
            <v>1</v>
          </cell>
          <cell r="I526">
            <v>46205</v>
          </cell>
          <cell r="J526">
            <v>0</v>
          </cell>
          <cell r="K526">
            <v>6</v>
          </cell>
          <cell r="L526">
            <v>0</v>
          </cell>
          <cell r="M526">
            <v>0</v>
          </cell>
        </row>
        <row r="527">
          <cell r="C527">
            <v>244</v>
          </cell>
          <cell r="F527">
            <v>1</v>
          </cell>
          <cell r="I527">
            <v>46205</v>
          </cell>
          <cell r="J527">
            <v>0</v>
          </cell>
          <cell r="K527">
            <v>1</v>
          </cell>
          <cell r="L527">
            <v>0</v>
          </cell>
          <cell r="M527">
            <v>0</v>
          </cell>
        </row>
        <row r="528">
          <cell r="C528">
            <v>46</v>
          </cell>
          <cell r="F528">
            <v>1</v>
          </cell>
          <cell r="I528">
            <v>46205</v>
          </cell>
          <cell r="J528">
            <v>0</v>
          </cell>
          <cell r="K528">
            <v>11</v>
          </cell>
          <cell r="L528">
            <v>0</v>
          </cell>
          <cell r="M528">
            <v>0</v>
          </cell>
        </row>
        <row r="529">
          <cell r="C529">
            <v>49</v>
          </cell>
          <cell r="F529">
            <v>1</v>
          </cell>
          <cell r="I529">
            <v>46205</v>
          </cell>
          <cell r="J529">
            <v>0</v>
          </cell>
          <cell r="K529">
            <v>3</v>
          </cell>
          <cell r="L529">
            <v>0</v>
          </cell>
          <cell r="M529">
            <v>0</v>
          </cell>
        </row>
        <row r="530">
          <cell r="C530">
            <v>255</v>
          </cell>
          <cell r="F530">
            <v>1</v>
          </cell>
          <cell r="I530">
            <v>46205</v>
          </cell>
          <cell r="J530">
            <v>0</v>
          </cell>
          <cell r="K530">
            <v>2</v>
          </cell>
          <cell r="L530">
            <v>0</v>
          </cell>
          <cell r="M530">
            <v>0</v>
          </cell>
        </row>
        <row r="531">
          <cell r="C531">
            <v>218</v>
          </cell>
          <cell r="F531">
            <v>1</v>
          </cell>
          <cell r="I531">
            <v>46205</v>
          </cell>
          <cell r="J531">
            <v>0</v>
          </cell>
          <cell r="K531">
            <v>1</v>
          </cell>
          <cell r="L531">
            <v>0</v>
          </cell>
          <cell r="M531">
            <v>0</v>
          </cell>
        </row>
        <row r="532">
          <cell r="C532">
            <v>230</v>
          </cell>
          <cell r="F532">
            <v>1</v>
          </cell>
          <cell r="I532">
            <v>46205</v>
          </cell>
          <cell r="J532">
            <v>0</v>
          </cell>
          <cell r="K532">
            <v>1</v>
          </cell>
          <cell r="L532">
            <v>0</v>
          </cell>
          <cell r="M532">
            <v>0</v>
          </cell>
        </row>
        <row r="533">
          <cell r="C533">
            <v>177</v>
          </cell>
          <cell r="F533">
            <v>1</v>
          </cell>
          <cell r="I533">
            <v>46205</v>
          </cell>
          <cell r="J533">
            <v>0</v>
          </cell>
          <cell r="K533">
            <v>350</v>
          </cell>
          <cell r="L533">
            <v>0</v>
          </cell>
          <cell r="M533">
            <v>0</v>
          </cell>
        </row>
        <row r="534">
          <cell r="C534">
            <v>294</v>
          </cell>
          <cell r="F534">
            <v>1</v>
          </cell>
          <cell r="I534">
            <v>46205</v>
          </cell>
          <cell r="J534">
            <v>0</v>
          </cell>
          <cell r="K534">
            <v>3</v>
          </cell>
          <cell r="L534">
            <v>0</v>
          </cell>
          <cell r="M534">
            <v>0</v>
          </cell>
        </row>
        <row r="535">
          <cell r="C535">
            <v>276</v>
          </cell>
          <cell r="F535">
            <v>1</v>
          </cell>
          <cell r="I535">
            <v>46205</v>
          </cell>
          <cell r="J535">
            <v>0</v>
          </cell>
          <cell r="K535">
            <v>1</v>
          </cell>
          <cell r="L535">
            <v>0</v>
          </cell>
          <cell r="M535">
            <v>0</v>
          </cell>
        </row>
        <row r="536">
          <cell r="C536">
            <v>231</v>
          </cell>
          <cell r="F536">
            <v>1</v>
          </cell>
          <cell r="I536">
            <v>46205</v>
          </cell>
          <cell r="J536">
            <v>0</v>
          </cell>
          <cell r="K536">
            <v>1</v>
          </cell>
          <cell r="L536">
            <v>0</v>
          </cell>
          <cell r="M536">
            <v>0</v>
          </cell>
        </row>
        <row r="537">
          <cell r="C537">
            <v>293</v>
          </cell>
          <cell r="F537">
            <v>1</v>
          </cell>
          <cell r="I537">
            <v>46205</v>
          </cell>
          <cell r="J537">
            <v>0</v>
          </cell>
          <cell r="K537">
            <v>70</v>
          </cell>
          <cell r="L537">
            <v>0</v>
          </cell>
          <cell r="M537">
            <v>0</v>
          </cell>
        </row>
        <row r="538">
          <cell r="C538">
            <v>305</v>
          </cell>
          <cell r="F538">
            <v>1</v>
          </cell>
          <cell r="I538">
            <v>46205</v>
          </cell>
          <cell r="J538">
            <v>0</v>
          </cell>
          <cell r="K538">
            <v>200</v>
          </cell>
          <cell r="L538">
            <v>0</v>
          </cell>
          <cell r="M538">
            <v>0</v>
          </cell>
        </row>
        <row r="539">
          <cell r="C539">
            <v>290</v>
          </cell>
          <cell r="F539">
            <v>1</v>
          </cell>
          <cell r="I539">
            <v>46206</v>
          </cell>
          <cell r="J539">
            <v>0</v>
          </cell>
          <cell r="K539">
            <v>48</v>
          </cell>
          <cell r="L539">
            <v>0</v>
          </cell>
          <cell r="M539">
            <v>0</v>
          </cell>
        </row>
        <row r="540">
          <cell r="C540">
            <v>177</v>
          </cell>
          <cell r="F540">
            <v>1</v>
          </cell>
          <cell r="I540">
            <v>46206</v>
          </cell>
          <cell r="J540">
            <v>0</v>
          </cell>
          <cell r="K540">
            <v>250</v>
          </cell>
          <cell r="L540">
            <v>0</v>
          </cell>
          <cell r="M540">
            <v>0</v>
          </cell>
        </row>
        <row r="541">
          <cell r="C541">
            <v>207</v>
          </cell>
          <cell r="F541">
            <v>1</v>
          </cell>
          <cell r="I541">
            <v>46206</v>
          </cell>
          <cell r="J541">
            <v>0</v>
          </cell>
          <cell r="K541">
            <v>1</v>
          </cell>
          <cell r="L541">
            <v>0</v>
          </cell>
          <cell r="M541">
            <v>0</v>
          </cell>
        </row>
        <row r="542">
          <cell r="C542">
            <v>280</v>
          </cell>
          <cell r="F542">
            <v>1</v>
          </cell>
          <cell r="I542">
            <v>46206</v>
          </cell>
          <cell r="J542">
            <v>0</v>
          </cell>
          <cell r="K542">
            <v>2</v>
          </cell>
          <cell r="L542">
            <v>0</v>
          </cell>
          <cell r="M542">
            <v>0</v>
          </cell>
        </row>
        <row r="543">
          <cell r="C543">
            <v>276</v>
          </cell>
          <cell r="F543">
            <v>1</v>
          </cell>
          <cell r="I543">
            <v>46206</v>
          </cell>
          <cell r="J543">
            <v>0</v>
          </cell>
          <cell r="K543">
            <v>2</v>
          </cell>
          <cell r="L543">
            <v>0</v>
          </cell>
          <cell r="M543">
            <v>0</v>
          </cell>
        </row>
        <row r="544">
          <cell r="C544">
            <v>203</v>
          </cell>
          <cell r="F544">
            <v>1</v>
          </cell>
          <cell r="I544">
            <v>46206</v>
          </cell>
          <cell r="J544">
            <v>0</v>
          </cell>
          <cell r="K544">
            <v>1</v>
          </cell>
          <cell r="L544">
            <v>0</v>
          </cell>
          <cell r="M544">
            <v>0</v>
          </cell>
        </row>
        <row r="545">
          <cell r="C545">
            <v>274</v>
          </cell>
          <cell r="F545">
            <v>1</v>
          </cell>
          <cell r="I545">
            <v>46206</v>
          </cell>
          <cell r="J545">
            <v>0</v>
          </cell>
          <cell r="K545">
            <v>1</v>
          </cell>
          <cell r="L545">
            <v>0</v>
          </cell>
          <cell r="M545">
            <v>0</v>
          </cell>
        </row>
        <row r="546">
          <cell r="C546">
            <v>230</v>
          </cell>
          <cell r="F546">
            <v>1</v>
          </cell>
          <cell r="I546">
            <v>46206</v>
          </cell>
          <cell r="J546">
            <v>0</v>
          </cell>
          <cell r="K546">
            <v>1</v>
          </cell>
          <cell r="L546">
            <v>0</v>
          </cell>
          <cell r="M546">
            <v>0</v>
          </cell>
        </row>
        <row r="547">
          <cell r="C547">
            <v>334</v>
          </cell>
          <cell r="F547">
            <v>1</v>
          </cell>
          <cell r="I547">
            <v>46206</v>
          </cell>
          <cell r="J547">
            <v>0</v>
          </cell>
          <cell r="K547">
            <v>1</v>
          </cell>
          <cell r="L547">
            <v>0</v>
          </cell>
          <cell r="M547">
            <v>0</v>
          </cell>
        </row>
        <row r="548">
          <cell r="C548">
            <v>208</v>
          </cell>
          <cell r="F548">
            <v>1</v>
          </cell>
          <cell r="I548">
            <v>46206</v>
          </cell>
          <cell r="J548">
            <v>0</v>
          </cell>
          <cell r="K548">
            <v>1</v>
          </cell>
          <cell r="L548">
            <v>0</v>
          </cell>
          <cell r="M548">
            <v>0</v>
          </cell>
        </row>
        <row r="549">
          <cell r="C549">
            <v>323</v>
          </cell>
          <cell r="F549">
            <v>1</v>
          </cell>
          <cell r="I549">
            <v>46206</v>
          </cell>
          <cell r="J549">
            <v>0</v>
          </cell>
          <cell r="K549">
            <v>6</v>
          </cell>
          <cell r="L549">
            <v>0</v>
          </cell>
          <cell r="M549">
            <v>0</v>
          </cell>
        </row>
        <row r="550">
          <cell r="C550">
            <v>291</v>
          </cell>
          <cell r="F550">
            <v>1</v>
          </cell>
          <cell r="I550">
            <v>46206</v>
          </cell>
          <cell r="J550">
            <v>0</v>
          </cell>
          <cell r="K550">
            <v>1</v>
          </cell>
          <cell r="L550">
            <v>0</v>
          </cell>
          <cell r="M550">
            <v>0</v>
          </cell>
        </row>
        <row r="551">
          <cell r="C551">
            <v>238</v>
          </cell>
          <cell r="F551">
            <v>1</v>
          </cell>
          <cell r="I551">
            <v>46206</v>
          </cell>
          <cell r="J551">
            <v>0</v>
          </cell>
          <cell r="K551">
            <v>12</v>
          </cell>
          <cell r="L551">
            <v>0</v>
          </cell>
          <cell r="M551">
            <v>0</v>
          </cell>
        </row>
        <row r="552">
          <cell r="C552">
            <v>295</v>
          </cell>
          <cell r="F552">
            <v>1</v>
          </cell>
          <cell r="I552">
            <v>46207</v>
          </cell>
          <cell r="J552">
            <v>0</v>
          </cell>
          <cell r="K552">
            <v>2</v>
          </cell>
          <cell r="L552">
            <v>0</v>
          </cell>
          <cell r="M552">
            <v>8</v>
          </cell>
        </row>
        <row r="553">
          <cell r="C553">
            <v>289</v>
          </cell>
          <cell r="F553">
            <v>1</v>
          </cell>
          <cell r="I553">
            <v>46207</v>
          </cell>
          <cell r="J553">
            <v>0</v>
          </cell>
          <cell r="K553">
            <v>24</v>
          </cell>
          <cell r="L553">
            <v>0</v>
          </cell>
          <cell r="M553">
            <v>128</v>
          </cell>
        </row>
        <row r="554">
          <cell r="C554">
            <v>189</v>
          </cell>
          <cell r="F554">
            <v>1</v>
          </cell>
          <cell r="I554">
            <v>46207</v>
          </cell>
          <cell r="J554">
            <v>0</v>
          </cell>
          <cell r="K554">
            <v>8</v>
          </cell>
          <cell r="L554">
            <v>0</v>
          </cell>
          <cell r="M554">
            <v>0</v>
          </cell>
        </row>
        <row r="555">
          <cell r="C555">
            <v>19</v>
          </cell>
          <cell r="F555">
            <v>1</v>
          </cell>
          <cell r="I555">
            <v>46207</v>
          </cell>
          <cell r="J555">
            <v>0</v>
          </cell>
          <cell r="K555">
            <v>10</v>
          </cell>
          <cell r="L555">
            <v>0</v>
          </cell>
          <cell r="M555">
            <v>0</v>
          </cell>
        </row>
        <row r="556">
          <cell r="C556">
            <v>64</v>
          </cell>
          <cell r="F556">
            <v>1</v>
          </cell>
          <cell r="I556">
            <v>46207</v>
          </cell>
          <cell r="J556">
            <v>0</v>
          </cell>
          <cell r="K556">
            <v>1</v>
          </cell>
          <cell r="L556">
            <v>0</v>
          </cell>
          <cell r="M556">
            <v>0</v>
          </cell>
        </row>
        <row r="557">
          <cell r="C557">
            <v>177</v>
          </cell>
          <cell r="F557">
            <v>1</v>
          </cell>
          <cell r="I557">
            <v>46207</v>
          </cell>
          <cell r="J557">
            <v>0</v>
          </cell>
          <cell r="K557">
            <v>250</v>
          </cell>
          <cell r="L557">
            <v>0</v>
          </cell>
          <cell r="M557">
            <v>0</v>
          </cell>
        </row>
        <row r="558">
          <cell r="C558">
            <v>269</v>
          </cell>
          <cell r="F558">
            <v>1</v>
          </cell>
          <cell r="I558">
            <v>46207</v>
          </cell>
          <cell r="J558">
            <v>0</v>
          </cell>
          <cell r="K558">
            <v>8</v>
          </cell>
          <cell r="L558">
            <v>0</v>
          </cell>
          <cell r="M558">
            <v>0</v>
          </cell>
        </row>
        <row r="559">
          <cell r="C559">
            <v>271</v>
          </cell>
          <cell r="F559">
            <v>1</v>
          </cell>
          <cell r="I559">
            <v>46207</v>
          </cell>
          <cell r="J559">
            <v>0</v>
          </cell>
          <cell r="K559">
            <v>2</v>
          </cell>
          <cell r="L559">
            <v>0</v>
          </cell>
          <cell r="M559">
            <v>0</v>
          </cell>
        </row>
        <row r="560">
          <cell r="C560">
            <v>282</v>
          </cell>
          <cell r="F560">
            <v>1</v>
          </cell>
          <cell r="I560">
            <v>46207</v>
          </cell>
          <cell r="J560">
            <v>0</v>
          </cell>
          <cell r="K560">
            <v>6</v>
          </cell>
          <cell r="L560">
            <v>0</v>
          </cell>
          <cell r="M560">
            <v>0</v>
          </cell>
        </row>
        <row r="561">
          <cell r="C561">
            <v>278</v>
          </cell>
          <cell r="F561">
            <v>1</v>
          </cell>
          <cell r="I561">
            <v>46207</v>
          </cell>
          <cell r="J561">
            <v>0</v>
          </cell>
          <cell r="K561">
            <v>6</v>
          </cell>
          <cell r="L561">
            <v>0</v>
          </cell>
          <cell r="M561">
            <v>0</v>
          </cell>
        </row>
        <row r="562">
          <cell r="C562">
            <v>228</v>
          </cell>
          <cell r="F562">
            <v>1</v>
          </cell>
          <cell r="I562">
            <v>46207</v>
          </cell>
          <cell r="J562">
            <v>0</v>
          </cell>
          <cell r="K562">
            <v>10</v>
          </cell>
          <cell r="L562">
            <v>0</v>
          </cell>
          <cell r="M562">
            <v>0</v>
          </cell>
        </row>
        <row r="563">
          <cell r="C563">
            <v>230</v>
          </cell>
          <cell r="F563">
            <v>1</v>
          </cell>
          <cell r="I563">
            <v>46207</v>
          </cell>
          <cell r="J563">
            <v>0</v>
          </cell>
          <cell r="K563">
            <v>1</v>
          </cell>
          <cell r="L563">
            <v>0</v>
          </cell>
          <cell r="M563">
            <v>0</v>
          </cell>
        </row>
        <row r="564">
          <cell r="C564">
            <v>247</v>
          </cell>
          <cell r="F564">
            <v>1</v>
          </cell>
          <cell r="I564">
            <v>46207</v>
          </cell>
          <cell r="J564">
            <v>0</v>
          </cell>
          <cell r="K564">
            <v>1</v>
          </cell>
          <cell r="L564">
            <v>0</v>
          </cell>
          <cell r="M564">
            <v>0</v>
          </cell>
        </row>
        <row r="565">
          <cell r="C565">
            <v>37</v>
          </cell>
          <cell r="F565">
            <v>1</v>
          </cell>
          <cell r="I565">
            <v>46207</v>
          </cell>
          <cell r="J565">
            <v>0</v>
          </cell>
          <cell r="K565">
            <v>1</v>
          </cell>
          <cell r="L565">
            <v>0</v>
          </cell>
          <cell r="M565">
            <v>0</v>
          </cell>
        </row>
        <row r="566">
          <cell r="C566">
            <v>279</v>
          </cell>
          <cell r="F566">
            <v>1</v>
          </cell>
          <cell r="I566">
            <v>46207</v>
          </cell>
          <cell r="J566">
            <v>0</v>
          </cell>
          <cell r="K566">
            <v>4</v>
          </cell>
          <cell r="L566">
            <v>0</v>
          </cell>
          <cell r="M566">
            <v>0</v>
          </cell>
        </row>
        <row r="567">
          <cell r="C567">
            <v>209</v>
          </cell>
          <cell r="F567">
            <v>1</v>
          </cell>
          <cell r="I567">
            <v>46207</v>
          </cell>
          <cell r="J567">
            <v>0</v>
          </cell>
          <cell r="K567">
            <v>1</v>
          </cell>
          <cell r="L567">
            <v>0</v>
          </cell>
          <cell r="M567">
            <v>0</v>
          </cell>
        </row>
        <row r="568">
          <cell r="C568">
            <v>273</v>
          </cell>
          <cell r="F568">
            <v>1</v>
          </cell>
          <cell r="I568">
            <v>46207</v>
          </cell>
          <cell r="J568">
            <v>0</v>
          </cell>
          <cell r="K568">
            <v>28</v>
          </cell>
          <cell r="L568">
            <v>0</v>
          </cell>
          <cell r="M568">
            <v>0</v>
          </cell>
        </row>
        <row r="569">
          <cell r="C569">
            <v>268</v>
          </cell>
          <cell r="F569">
            <v>1</v>
          </cell>
          <cell r="I569">
            <v>46207</v>
          </cell>
          <cell r="J569">
            <v>0</v>
          </cell>
          <cell r="K569">
            <v>1</v>
          </cell>
          <cell r="L569">
            <v>0</v>
          </cell>
          <cell r="M569">
            <v>0</v>
          </cell>
        </row>
        <row r="570">
          <cell r="C570">
            <v>280</v>
          </cell>
          <cell r="F570">
            <v>1</v>
          </cell>
          <cell r="I570">
            <v>46207</v>
          </cell>
          <cell r="J570">
            <v>0</v>
          </cell>
          <cell r="K570">
            <v>4</v>
          </cell>
          <cell r="L570">
            <v>0</v>
          </cell>
          <cell r="M570">
            <v>0</v>
          </cell>
        </row>
        <row r="571">
          <cell r="C571">
            <v>90</v>
          </cell>
          <cell r="F571">
            <v>1</v>
          </cell>
          <cell r="I571">
            <v>46207</v>
          </cell>
          <cell r="J571">
            <v>0</v>
          </cell>
          <cell r="K571">
            <v>4</v>
          </cell>
          <cell r="L571">
            <v>0</v>
          </cell>
          <cell r="M571">
            <v>0</v>
          </cell>
        </row>
        <row r="572">
          <cell r="C572">
            <v>333</v>
          </cell>
          <cell r="F572">
            <v>1</v>
          </cell>
          <cell r="I572">
            <v>46207</v>
          </cell>
          <cell r="J572">
            <v>0</v>
          </cell>
          <cell r="K572">
            <v>1</v>
          </cell>
          <cell r="L572">
            <v>0</v>
          </cell>
          <cell r="M572">
            <v>0</v>
          </cell>
        </row>
        <row r="573">
          <cell r="C573">
            <v>294</v>
          </cell>
          <cell r="F573">
            <v>1</v>
          </cell>
          <cell r="I573">
            <v>46208</v>
          </cell>
          <cell r="J573">
            <v>0</v>
          </cell>
          <cell r="K573">
            <v>35</v>
          </cell>
          <cell r="L573">
            <v>0</v>
          </cell>
          <cell r="M573">
            <v>0</v>
          </cell>
        </row>
        <row r="574">
          <cell r="C574">
            <v>177</v>
          </cell>
          <cell r="F574">
            <v>1</v>
          </cell>
          <cell r="I574">
            <v>46208</v>
          </cell>
          <cell r="J574">
            <v>0</v>
          </cell>
          <cell r="K574">
            <v>500</v>
          </cell>
          <cell r="L574">
            <v>0</v>
          </cell>
          <cell r="M574">
            <v>0</v>
          </cell>
        </row>
        <row r="575">
          <cell r="C575">
            <v>197</v>
          </cell>
          <cell r="F575">
            <v>1</v>
          </cell>
          <cell r="I575">
            <v>46208</v>
          </cell>
          <cell r="J575">
            <v>0</v>
          </cell>
          <cell r="K575">
            <v>4</v>
          </cell>
          <cell r="L575">
            <v>0</v>
          </cell>
          <cell r="M575">
            <v>0</v>
          </cell>
        </row>
        <row r="576">
          <cell r="C576">
            <v>195</v>
          </cell>
          <cell r="F576">
            <v>1</v>
          </cell>
          <cell r="I576">
            <v>46208</v>
          </cell>
          <cell r="J576">
            <v>0</v>
          </cell>
          <cell r="K576">
            <v>28</v>
          </cell>
          <cell r="L576">
            <v>0</v>
          </cell>
          <cell r="M576">
            <v>0</v>
          </cell>
        </row>
        <row r="577">
          <cell r="C577">
            <v>187</v>
          </cell>
          <cell r="F577">
            <v>1</v>
          </cell>
          <cell r="I577">
            <v>46208</v>
          </cell>
          <cell r="J577">
            <v>0</v>
          </cell>
          <cell r="K577">
            <v>32</v>
          </cell>
          <cell r="L577">
            <v>0</v>
          </cell>
          <cell r="M577">
            <v>0</v>
          </cell>
        </row>
        <row r="578">
          <cell r="C578">
            <v>293</v>
          </cell>
          <cell r="F578">
            <v>1</v>
          </cell>
          <cell r="I578">
            <v>46209</v>
          </cell>
          <cell r="J578">
            <v>0</v>
          </cell>
          <cell r="K578">
            <v>175</v>
          </cell>
          <cell r="L578">
            <v>0</v>
          </cell>
          <cell r="M578">
            <v>0</v>
          </cell>
        </row>
        <row r="579">
          <cell r="C579">
            <v>234</v>
          </cell>
          <cell r="F579">
            <v>1</v>
          </cell>
          <cell r="I579">
            <v>46209</v>
          </cell>
          <cell r="J579">
            <v>0</v>
          </cell>
          <cell r="K579">
            <v>24</v>
          </cell>
          <cell r="L579">
            <v>0</v>
          </cell>
          <cell r="M579">
            <v>0</v>
          </cell>
        </row>
        <row r="580">
          <cell r="C580">
            <v>303</v>
          </cell>
          <cell r="F580">
            <v>1</v>
          </cell>
          <cell r="I580">
            <v>46209</v>
          </cell>
          <cell r="J580">
            <v>0</v>
          </cell>
          <cell r="K580">
            <v>350</v>
          </cell>
          <cell r="L580">
            <v>0</v>
          </cell>
          <cell r="M580">
            <v>0</v>
          </cell>
        </row>
        <row r="581">
          <cell r="C581">
            <v>205</v>
          </cell>
          <cell r="F581">
            <v>1</v>
          </cell>
          <cell r="I581">
            <v>46209</v>
          </cell>
          <cell r="J581">
            <v>0</v>
          </cell>
          <cell r="K581">
            <v>1</v>
          </cell>
          <cell r="L581">
            <v>0</v>
          </cell>
          <cell r="M581">
            <v>0</v>
          </cell>
        </row>
        <row r="582">
          <cell r="C582">
            <v>281</v>
          </cell>
          <cell r="F582">
            <v>1</v>
          </cell>
          <cell r="I582">
            <v>46209</v>
          </cell>
          <cell r="J582">
            <v>0</v>
          </cell>
          <cell r="K582">
            <v>1</v>
          </cell>
          <cell r="L582">
            <v>0</v>
          </cell>
          <cell r="M582">
            <v>0</v>
          </cell>
        </row>
        <row r="583">
          <cell r="C583">
            <v>332</v>
          </cell>
          <cell r="F583">
            <v>1</v>
          </cell>
          <cell r="I583">
            <v>46209</v>
          </cell>
          <cell r="J583">
            <v>0</v>
          </cell>
          <cell r="K583">
            <v>2</v>
          </cell>
          <cell r="L583">
            <v>0</v>
          </cell>
          <cell r="M583">
            <v>0</v>
          </cell>
        </row>
        <row r="584">
          <cell r="C584">
            <v>177</v>
          </cell>
          <cell r="F584">
            <v>1</v>
          </cell>
          <cell r="I584">
            <v>46209</v>
          </cell>
          <cell r="J584">
            <v>0</v>
          </cell>
          <cell r="K584">
            <v>250</v>
          </cell>
          <cell r="L584">
            <v>0</v>
          </cell>
          <cell r="M584">
            <v>0</v>
          </cell>
        </row>
        <row r="585">
          <cell r="C585">
            <v>305</v>
          </cell>
          <cell r="F585">
            <v>1</v>
          </cell>
          <cell r="I585">
            <v>46209</v>
          </cell>
          <cell r="J585">
            <v>0</v>
          </cell>
          <cell r="K585">
            <v>50</v>
          </cell>
          <cell r="L585">
            <v>0</v>
          </cell>
          <cell r="M585">
            <v>0</v>
          </cell>
        </row>
        <row r="586">
          <cell r="C586">
            <v>177</v>
          </cell>
          <cell r="F586">
            <v>1</v>
          </cell>
          <cell r="I586">
            <v>46210</v>
          </cell>
          <cell r="J586">
            <v>0</v>
          </cell>
          <cell r="K586">
            <v>1000</v>
          </cell>
          <cell r="L586">
            <v>0</v>
          </cell>
          <cell r="M586">
            <v>0</v>
          </cell>
        </row>
        <row r="587">
          <cell r="C587">
            <v>305</v>
          </cell>
          <cell r="F587">
            <v>1</v>
          </cell>
          <cell r="I587">
            <v>46210</v>
          </cell>
          <cell r="J587">
            <v>0</v>
          </cell>
          <cell r="K587">
            <v>100</v>
          </cell>
          <cell r="L587">
            <v>0</v>
          </cell>
          <cell r="M587">
            <v>15000</v>
          </cell>
        </row>
        <row r="588">
          <cell r="C588">
            <v>258</v>
          </cell>
          <cell r="F588">
            <v>1</v>
          </cell>
          <cell r="I588">
            <v>46210</v>
          </cell>
          <cell r="J588">
            <v>0</v>
          </cell>
          <cell r="K588">
            <v>1</v>
          </cell>
          <cell r="L588">
            <v>0</v>
          </cell>
          <cell r="M588">
            <v>0</v>
          </cell>
        </row>
        <row r="589">
          <cell r="C589">
            <v>189</v>
          </cell>
          <cell r="F589">
            <v>1</v>
          </cell>
          <cell r="I589">
            <v>46210</v>
          </cell>
          <cell r="J589">
            <v>0</v>
          </cell>
          <cell r="K589">
            <v>8</v>
          </cell>
          <cell r="L589">
            <v>0</v>
          </cell>
          <cell r="M589">
            <v>0</v>
          </cell>
        </row>
        <row r="590">
          <cell r="C590">
            <v>300</v>
          </cell>
          <cell r="F590">
            <v>1</v>
          </cell>
          <cell r="I590">
            <v>46210</v>
          </cell>
          <cell r="J590">
            <v>0</v>
          </cell>
          <cell r="K590">
            <v>1</v>
          </cell>
          <cell r="L590">
            <v>0</v>
          </cell>
          <cell r="M590">
            <v>2</v>
          </cell>
        </row>
        <row r="591">
          <cell r="C591">
            <v>158</v>
          </cell>
          <cell r="F591">
            <v>1</v>
          </cell>
          <cell r="I591">
            <v>46210</v>
          </cell>
          <cell r="J591">
            <v>0</v>
          </cell>
          <cell r="K591">
            <v>1</v>
          </cell>
          <cell r="L591">
            <v>0</v>
          </cell>
          <cell r="M591">
            <v>0</v>
          </cell>
        </row>
        <row r="592">
          <cell r="C592">
            <v>314</v>
          </cell>
          <cell r="F592">
            <v>1</v>
          </cell>
          <cell r="I592">
            <v>46210</v>
          </cell>
          <cell r="J592">
            <v>0</v>
          </cell>
          <cell r="K592">
            <v>1</v>
          </cell>
          <cell r="L592">
            <v>0</v>
          </cell>
          <cell r="M592">
            <v>3</v>
          </cell>
        </row>
        <row r="593">
          <cell r="C593">
            <v>177</v>
          </cell>
          <cell r="F593">
            <v>1</v>
          </cell>
          <cell r="I593">
            <v>46211</v>
          </cell>
          <cell r="J593">
            <v>0</v>
          </cell>
          <cell r="K593">
            <v>750</v>
          </cell>
          <cell r="L593">
            <v>0</v>
          </cell>
          <cell r="M593">
            <v>0</v>
          </cell>
        </row>
        <row r="594">
          <cell r="C594">
            <v>335</v>
          </cell>
          <cell r="F594">
            <v>1</v>
          </cell>
          <cell r="I594">
            <v>46211</v>
          </cell>
          <cell r="J594">
            <v>0</v>
          </cell>
          <cell r="K594">
            <v>1</v>
          </cell>
          <cell r="L594">
            <v>0</v>
          </cell>
          <cell r="M594">
            <v>0</v>
          </cell>
        </row>
        <row r="595">
          <cell r="C595">
            <v>187</v>
          </cell>
          <cell r="F595">
            <v>1</v>
          </cell>
          <cell r="I595">
            <v>46211</v>
          </cell>
          <cell r="J595">
            <v>0</v>
          </cell>
          <cell r="K595">
            <v>4</v>
          </cell>
          <cell r="L595">
            <v>0</v>
          </cell>
          <cell r="M595">
            <v>0</v>
          </cell>
        </row>
        <row r="596">
          <cell r="C596">
            <v>308</v>
          </cell>
          <cell r="F596">
            <v>1</v>
          </cell>
          <cell r="I596">
            <v>46211</v>
          </cell>
          <cell r="J596">
            <v>0</v>
          </cell>
          <cell r="K596">
            <v>1</v>
          </cell>
          <cell r="L596">
            <v>0</v>
          </cell>
          <cell r="M596">
            <v>0</v>
          </cell>
        </row>
        <row r="597">
          <cell r="C597">
            <v>210</v>
          </cell>
          <cell r="F597">
            <v>1</v>
          </cell>
          <cell r="I597">
            <v>46211</v>
          </cell>
          <cell r="J597">
            <v>0</v>
          </cell>
          <cell r="K597">
            <v>6</v>
          </cell>
          <cell r="L597">
            <v>0</v>
          </cell>
          <cell r="M597">
            <v>0</v>
          </cell>
        </row>
        <row r="598">
          <cell r="C598">
            <v>305</v>
          </cell>
          <cell r="F598">
            <v>1</v>
          </cell>
          <cell r="I598">
            <v>46211</v>
          </cell>
          <cell r="J598">
            <v>0</v>
          </cell>
          <cell r="K598">
            <v>1000</v>
          </cell>
          <cell r="L598">
            <v>0</v>
          </cell>
          <cell r="M598">
            <v>0</v>
          </cell>
        </row>
        <row r="599">
          <cell r="C599">
            <v>243</v>
          </cell>
          <cell r="F599">
            <v>1</v>
          </cell>
          <cell r="I599">
            <v>46211</v>
          </cell>
          <cell r="J599">
            <v>0</v>
          </cell>
          <cell r="K599">
            <v>1</v>
          </cell>
          <cell r="L599">
            <v>0</v>
          </cell>
          <cell r="M599">
            <v>0</v>
          </cell>
        </row>
        <row r="600">
          <cell r="C600">
            <v>41</v>
          </cell>
          <cell r="F600">
            <v>1</v>
          </cell>
          <cell r="I600">
            <v>46211</v>
          </cell>
          <cell r="J600">
            <v>0</v>
          </cell>
          <cell r="K600">
            <v>2</v>
          </cell>
          <cell r="L600">
            <v>0</v>
          </cell>
          <cell r="M600">
            <v>0</v>
          </cell>
        </row>
        <row r="601">
          <cell r="C601">
            <v>263</v>
          </cell>
          <cell r="F601">
            <v>1</v>
          </cell>
          <cell r="I601">
            <v>46211</v>
          </cell>
          <cell r="J601">
            <v>0</v>
          </cell>
          <cell r="K601">
            <v>3</v>
          </cell>
          <cell r="L601">
            <v>0</v>
          </cell>
          <cell r="M601">
            <v>0</v>
          </cell>
        </row>
        <row r="602">
          <cell r="C602">
            <v>38</v>
          </cell>
          <cell r="F602">
            <v>1</v>
          </cell>
          <cell r="I602">
            <v>46211</v>
          </cell>
          <cell r="J602">
            <v>0</v>
          </cell>
          <cell r="K602">
            <v>1</v>
          </cell>
          <cell r="L602">
            <v>0</v>
          </cell>
          <cell r="M602">
            <v>0</v>
          </cell>
        </row>
        <row r="603">
          <cell r="C603">
            <v>9</v>
          </cell>
          <cell r="F603">
            <v>1</v>
          </cell>
          <cell r="I603">
            <v>46211</v>
          </cell>
          <cell r="J603">
            <v>0</v>
          </cell>
          <cell r="K603">
            <v>4</v>
          </cell>
          <cell r="L603">
            <v>0</v>
          </cell>
          <cell r="M603">
            <v>0</v>
          </cell>
        </row>
        <row r="604">
          <cell r="C604">
            <v>14</v>
          </cell>
          <cell r="F604">
            <v>1</v>
          </cell>
          <cell r="I604">
            <v>46211</v>
          </cell>
          <cell r="J604">
            <v>0</v>
          </cell>
          <cell r="K604">
            <v>8</v>
          </cell>
          <cell r="L604">
            <v>0</v>
          </cell>
          <cell r="M604">
            <v>0</v>
          </cell>
        </row>
        <row r="605">
          <cell r="C605">
            <v>245</v>
          </cell>
          <cell r="F605">
            <v>1</v>
          </cell>
          <cell r="I605">
            <v>46211</v>
          </cell>
          <cell r="J605">
            <v>0</v>
          </cell>
          <cell r="K605">
            <v>1</v>
          </cell>
          <cell r="L605">
            <v>0</v>
          </cell>
          <cell r="M605">
            <v>0</v>
          </cell>
        </row>
        <row r="606">
          <cell r="C606">
            <v>177</v>
          </cell>
          <cell r="F606">
            <v>1</v>
          </cell>
          <cell r="I606">
            <v>46212</v>
          </cell>
          <cell r="J606">
            <v>0</v>
          </cell>
          <cell r="K606">
            <v>550</v>
          </cell>
          <cell r="L606">
            <v>0</v>
          </cell>
          <cell r="M606">
            <v>0</v>
          </cell>
        </row>
        <row r="607">
          <cell r="C607">
            <v>293</v>
          </cell>
          <cell r="F607">
            <v>1</v>
          </cell>
          <cell r="I607">
            <v>46212</v>
          </cell>
          <cell r="J607">
            <v>0</v>
          </cell>
          <cell r="K607">
            <v>35</v>
          </cell>
          <cell r="L607">
            <v>0</v>
          </cell>
          <cell r="M607">
            <v>0</v>
          </cell>
        </row>
        <row r="608">
          <cell r="C608">
            <v>294</v>
          </cell>
          <cell r="F608">
            <v>1</v>
          </cell>
          <cell r="I608">
            <v>46212</v>
          </cell>
          <cell r="J608">
            <v>0</v>
          </cell>
          <cell r="K608">
            <v>35</v>
          </cell>
          <cell r="L608">
            <v>0</v>
          </cell>
          <cell r="M608">
            <v>0</v>
          </cell>
        </row>
        <row r="609">
          <cell r="C609">
            <v>305</v>
          </cell>
          <cell r="F609">
            <v>1</v>
          </cell>
          <cell r="I609">
            <v>46212</v>
          </cell>
          <cell r="J609">
            <v>0</v>
          </cell>
          <cell r="K609">
            <v>100</v>
          </cell>
          <cell r="L609">
            <v>0</v>
          </cell>
          <cell r="M609">
            <v>0</v>
          </cell>
        </row>
        <row r="610">
          <cell r="C610">
            <v>153</v>
          </cell>
          <cell r="F610">
            <v>1</v>
          </cell>
          <cell r="I610">
            <v>46212</v>
          </cell>
          <cell r="J610">
            <v>0</v>
          </cell>
          <cell r="K610">
            <v>1</v>
          </cell>
          <cell r="L610">
            <v>0</v>
          </cell>
          <cell r="M610">
            <v>0</v>
          </cell>
        </row>
        <row r="611">
          <cell r="C611">
            <v>174</v>
          </cell>
          <cell r="F611">
            <v>1</v>
          </cell>
          <cell r="I611">
            <v>46212</v>
          </cell>
          <cell r="J611">
            <v>0</v>
          </cell>
          <cell r="K611">
            <v>2</v>
          </cell>
          <cell r="L611">
            <v>0</v>
          </cell>
          <cell r="M611">
            <v>0</v>
          </cell>
        </row>
        <row r="612">
          <cell r="C612">
            <v>209</v>
          </cell>
          <cell r="F612">
            <v>1</v>
          </cell>
          <cell r="I612">
            <v>46212</v>
          </cell>
          <cell r="J612">
            <v>0</v>
          </cell>
          <cell r="K612">
            <v>3</v>
          </cell>
          <cell r="L612">
            <v>0</v>
          </cell>
          <cell r="M612">
            <v>0</v>
          </cell>
        </row>
        <row r="613">
          <cell r="C613">
            <v>307</v>
          </cell>
          <cell r="F613">
            <v>1</v>
          </cell>
          <cell r="I613">
            <v>46212</v>
          </cell>
          <cell r="J613">
            <v>0</v>
          </cell>
          <cell r="K613">
            <v>4</v>
          </cell>
          <cell r="L613">
            <v>0</v>
          </cell>
          <cell r="M613">
            <v>0</v>
          </cell>
        </row>
        <row r="614">
          <cell r="C614">
            <v>321</v>
          </cell>
          <cell r="F614">
            <v>1</v>
          </cell>
          <cell r="I614">
            <v>46212</v>
          </cell>
          <cell r="J614">
            <v>0</v>
          </cell>
          <cell r="K614">
            <v>1</v>
          </cell>
          <cell r="L614">
            <v>0</v>
          </cell>
          <cell r="M614">
            <v>0</v>
          </cell>
        </row>
        <row r="615">
          <cell r="C615">
            <v>258</v>
          </cell>
          <cell r="F615">
            <v>1</v>
          </cell>
          <cell r="I615">
            <v>46212</v>
          </cell>
          <cell r="J615">
            <v>0</v>
          </cell>
          <cell r="K615">
            <v>1</v>
          </cell>
          <cell r="L615">
            <v>0</v>
          </cell>
          <cell r="M615">
            <v>0</v>
          </cell>
        </row>
        <row r="616">
          <cell r="C616">
            <v>310</v>
          </cell>
          <cell r="F616">
            <v>1</v>
          </cell>
          <cell r="I616">
            <v>46212</v>
          </cell>
          <cell r="J616">
            <v>0</v>
          </cell>
          <cell r="K616">
            <v>1</v>
          </cell>
          <cell r="L616">
            <v>0</v>
          </cell>
          <cell r="M616">
            <v>0</v>
          </cell>
        </row>
        <row r="617">
          <cell r="C617">
            <v>314</v>
          </cell>
          <cell r="F617">
            <v>1</v>
          </cell>
          <cell r="I617">
            <v>46212</v>
          </cell>
          <cell r="J617">
            <v>0</v>
          </cell>
          <cell r="K617">
            <v>1</v>
          </cell>
          <cell r="L617">
            <v>0</v>
          </cell>
          <cell r="M617">
            <v>0</v>
          </cell>
        </row>
        <row r="618">
          <cell r="C618">
            <v>276</v>
          </cell>
          <cell r="F618">
            <v>1</v>
          </cell>
          <cell r="I618">
            <v>46213</v>
          </cell>
          <cell r="J618">
            <v>0</v>
          </cell>
          <cell r="K618">
            <v>3</v>
          </cell>
          <cell r="L618">
            <v>0</v>
          </cell>
          <cell r="M618">
            <v>0</v>
          </cell>
        </row>
        <row r="619">
          <cell r="C619">
            <v>275</v>
          </cell>
          <cell r="F619">
            <v>1</v>
          </cell>
          <cell r="I619">
            <v>46213</v>
          </cell>
          <cell r="J619">
            <v>0</v>
          </cell>
          <cell r="K619">
            <v>10</v>
          </cell>
          <cell r="L619">
            <v>0</v>
          </cell>
          <cell r="M619">
            <v>0</v>
          </cell>
        </row>
        <row r="620">
          <cell r="C620">
            <v>214</v>
          </cell>
          <cell r="F620">
            <v>1</v>
          </cell>
          <cell r="I620">
            <v>46213</v>
          </cell>
          <cell r="J620">
            <v>0</v>
          </cell>
          <cell r="K620">
            <v>32</v>
          </cell>
          <cell r="L620">
            <v>0</v>
          </cell>
          <cell r="M620">
            <v>0</v>
          </cell>
        </row>
        <row r="621">
          <cell r="C621">
            <v>206</v>
          </cell>
          <cell r="F621">
            <v>1</v>
          </cell>
          <cell r="I621">
            <v>46213</v>
          </cell>
          <cell r="J621">
            <v>0</v>
          </cell>
          <cell r="K621">
            <v>4</v>
          </cell>
          <cell r="L621">
            <v>0</v>
          </cell>
          <cell r="M621">
            <v>0</v>
          </cell>
        </row>
        <row r="622">
          <cell r="C622">
            <v>212</v>
          </cell>
          <cell r="F622">
            <v>1</v>
          </cell>
          <cell r="I622">
            <v>46213</v>
          </cell>
          <cell r="J622">
            <v>0</v>
          </cell>
          <cell r="K622">
            <v>1</v>
          </cell>
          <cell r="L622">
            <v>0</v>
          </cell>
          <cell r="M622">
            <v>0</v>
          </cell>
        </row>
        <row r="623">
          <cell r="C623">
            <v>325</v>
          </cell>
          <cell r="F623">
            <v>1</v>
          </cell>
          <cell r="I623">
            <v>46213</v>
          </cell>
          <cell r="J623">
            <v>0</v>
          </cell>
          <cell r="K623">
            <v>1</v>
          </cell>
          <cell r="L623">
            <v>0</v>
          </cell>
          <cell r="M623">
            <v>0</v>
          </cell>
        </row>
        <row r="624">
          <cell r="C624">
            <v>336</v>
          </cell>
          <cell r="F624">
            <v>1</v>
          </cell>
          <cell r="I624">
            <v>46213</v>
          </cell>
          <cell r="J624">
            <v>0</v>
          </cell>
          <cell r="K624">
            <v>1</v>
          </cell>
          <cell r="L624">
            <v>0</v>
          </cell>
          <cell r="M624">
            <v>0</v>
          </cell>
        </row>
        <row r="625">
          <cell r="C625">
            <v>266</v>
          </cell>
          <cell r="F625">
            <v>1</v>
          </cell>
          <cell r="I625">
            <v>46213</v>
          </cell>
          <cell r="J625">
            <v>0</v>
          </cell>
          <cell r="K625">
            <v>3</v>
          </cell>
          <cell r="L625">
            <v>0</v>
          </cell>
          <cell r="M625">
            <v>0</v>
          </cell>
        </row>
        <row r="626">
          <cell r="C626">
            <v>272</v>
          </cell>
          <cell r="F626">
            <v>1</v>
          </cell>
          <cell r="I626">
            <v>46213</v>
          </cell>
          <cell r="J626">
            <v>0</v>
          </cell>
          <cell r="K626">
            <v>15</v>
          </cell>
          <cell r="L626">
            <v>0</v>
          </cell>
          <cell r="M626">
            <v>0</v>
          </cell>
        </row>
        <row r="627">
          <cell r="C627">
            <v>306</v>
          </cell>
          <cell r="F627">
            <v>1</v>
          </cell>
          <cell r="I627">
            <v>46213</v>
          </cell>
          <cell r="J627">
            <v>0</v>
          </cell>
          <cell r="K627">
            <v>8</v>
          </cell>
          <cell r="L627">
            <v>0</v>
          </cell>
          <cell r="M627">
            <v>0</v>
          </cell>
        </row>
        <row r="628">
          <cell r="C628">
            <v>323</v>
          </cell>
          <cell r="F628">
            <v>1</v>
          </cell>
          <cell r="I628">
            <v>46213</v>
          </cell>
          <cell r="J628">
            <v>0</v>
          </cell>
          <cell r="K628">
            <v>12</v>
          </cell>
          <cell r="L628">
            <v>0</v>
          </cell>
          <cell r="M628">
            <v>0</v>
          </cell>
        </row>
        <row r="629">
          <cell r="C629">
            <v>183</v>
          </cell>
          <cell r="F629">
            <v>1</v>
          </cell>
          <cell r="I629">
            <v>46213</v>
          </cell>
          <cell r="J629">
            <v>0</v>
          </cell>
          <cell r="K629">
            <v>24</v>
          </cell>
          <cell r="L629">
            <v>0</v>
          </cell>
          <cell r="M629">
            <v>0</v>
          </cell>
        </row>
        <row r="630">
          <cell r="C630">
            <v>151</v>
          </cell>
          <cell r="F630">
            <v>1</v>
          </cell>
          <cell r="I630">
            <v>46213</v>
          </cell>
          <cell r="J630">
            <v>0</v>
          </cell>
          <cell r="K630">
            <v>1</v>
          </cell>
          <cell r="L630">
            <v>0</v>
          </cell>
          <cell r="M630">
            <v>0</v>
          </cell>
        </row>
        <row r="631">
          <cell r="C631">
            <v>288</v>
          </cell>
          <cell r="F631">
            <v>1</v>
          </cell>
          <cell r="I631">
            <v>46214</v>
          </cell>
          <cell r="J631">
            <v>0</v>
          </cell>
          <cell r="K631">
            <v>36</v>
          </cell>
          <cell r="L631">
            <v>0</v>
          </cell>
          <cell r="M631">
            <v>0</v>
          </cell>
        </row>
        <row r="632">
          <cell r="C632">
            <v>290</v>
          </cell>
          <cell r="F632">
            <v>1</v>
          </cell>
          <cell r="I632">
            <v>46214</v>
          </cell>
          <cell r="J632">
            <v>0</v>
          </cell>
          <cell r="K632">
            <v>20</v>
          </cell>
          <cell r="L632">
            <v>0</v>
          </cell>
          <cell r="M632">
            <v>0</v>
          </cell>
        </row>
        <row r="633">
          <cell r="C633">
            <v>177</v>
          </cell>
          <cell r="F633">
            <v>1</v>
          </cell>
          <cell r="I633">
            <v>46214</v>
          </cell>
          <cell r="J633">
            <v>0</v>
          </cell>
          <cell r="K633">
            <v>250</v>
          </cell>
          <cell r="L633">
            <v>0</v>
          </cell>
          <cell r="M633">
            <v>0</v>
          </cell>
        </row>
        <row r="634">
          <cell r="C634">
            <v>92</v>
          </cell>
          <cell r="F634">
            <v>1</v>
          </cell>
          <cell r="I634">
            <v>46214</v>
          </cell>
          <cell r="J634">
            <v>0</v>
          </cell>
          <cell r="K634">
            <v>15</v>
          </cell>
          <cell r="L634">
            <v>0</v>
          </cell>
          <cell r="M634">
            <v>0</v>
          </cell>
        </row>
        <row r="635">
          <cell r="C635">
            <v>250</v>
          </cell>
          <cell r="F635">
            <v>1</v>
          </cell>
          <cell r="I635">
            <v>46214</v>
          </cell>
          <cell r="J635">
            <v>0</v>
          </cell>
          <cell r="K635">
            <v>12</v>
          </cell>
          <cell r="L635">
            <v>0</v>
          </cell>
          <cell r="M635">
            <v>0</v>
          </cell>
        </row>
        <row r="636">
          <cell r="C636">
            <v>248</v>
          </cell>
          <cell r="F636">
            <v>1</v>
          </cell>
          <cell r="I636">
            <v>46214</v>
          </cell>
          <cell r="J636">
            <v>0</v>
          </cell>
          <cell r="K636">
            <v>1</v>
          </cell>
          <cell r="L636">
            <v>0</v>
          </cell>
          <cell r="M636">
            <v>0</v>
          </cell>
        </row>
        <row r="637">
          <cell r="C637">
            <v>50</v>
          </cell>
          <cell r="F637">
            <v>1</v>
          </cell>
          <cell r="I637">
            <v>46214</v>
          </cell>
          <cell r="J637">
            <v>0</v>
          </cell>
          <cell r="K637">
            <v>4</v>
          </cell>
          <cell r="L637">
            <v>0</v>
          </cell>
          <cell r="M637">
            <v>0</v>
          </cell>
        </row>
        <row r="638">
          <cell r="C638">
            <v>254</v>
          </cell>
          <cell r="F638">
            <v>1</v>
          </cell>
          <cell r="I638">
            <v>46214</v>
          </cell>
          <cell r="J638">
            <v>0</v>
          </cell>
          <cell r="K638">
            <v>1</v>
          </cell>
          <cell r="L638">
            <v>0</v>
          </cell>
          <cell r="M638">
            <v>0</v>
          </cell>
        </row>
        <row r="639">
          <cell r="C639">
            <v>293</v>
          </cell>
          <cell r="F639">
            <v>1</v>
          </cell>
          <cell r="I639">
            <v>46214</v>
          </cell>
          <cell r="J639">
            <v>0</v>
          </cell>
          <cell r="K639">
            <v>70</v>
          </cell>
          <cell r="L639">
            <v>0</v>
          </cell>
          <cell r="M639">
            <v>0</v>
          </cell>
        </row>
        <row r="640">
          <cell r="C640">
            <v>341</v>
          </cell>
          <cell r="F640">
            <v>1</v>
          </cell>
          <cell r="I640">
            <v>46214</v>
          </cell>
          <cell r="J640">
            <v>0</v>
          </cell>
          <cell r="K640">
            <v>5</v>
          </cell>
          <cell r="L640">
            <v>0</v>
          </cell>
          <cell r="M640">
            <v>0</v>
          </cell>
        </row>
        <row r="641">
          <cell r="C641">
            <v>13</v>
          </cell>
          <cell r="F641">
            <v>1</v>
          </cell>
          <cell r="I641">
            <v>46215</v>
          </cell>
          <cell r="J641">
            <v>0</v>
          </cell>
          <cell r="K641">
            <v>12</v>
          </cell>
          <cell r="L641">
            <v>0</v>
          </cell>
          <cell r="M641">
            <v>0</v>
          </cell>
        </row>
        <row r="642">
          <cell r="C642">
            <v>10</v>
          </cell>
          <cell r="F642">
            <v>1</v>
          </cell>
          <cell r="I642">
            <v>46215</v>
          </cell>
          <cell r="J642">
            <v>0</v>
          </cell>
          <cell r="K642">
            <v>4</v>
          </cell>
          <cell r="L642">
            <v>0</v>
          </cell>
          <cell r="M642">
            <v>0</v>
          </cell>
        </row>
        <row r="643">
          <cell r="C643">
            <v>37</v>
          </cell>
          <cell r="F643">
            <v>1</v>
          </cell>
          <cell r="I643">
            <v>46215</v>
          </cell>
          <cell r="J643">
            <v>0</v>
          </cell>
          <cell r="K643">
            <v>1</v>
          </cell>
          <cell r="L643">
            <v>0</v>
          </cell>
          <cell r="M643">
            <v>0</v>
          </cell>
        </row>
        <row r="644">
          <cell r="C644">
            <v>34</v>
          </cell>
          <cell r="F644">
            <v>1</v>
          </cell>
          <cell r="I644">
            <v>46215</v>
          </cell>
          <cell r="J644">
            <v>0</v>
          </cell>
          <cell r="K644">
            <v>3</v>
          </cell>
          <cell r="L644">
            <v>0</v>
          </cell>
          <cell r="M644">
            <v>0</v>
          </cell>
        </row>
        <row r="645">
          <cell r="C645">
            <v>26</v>
          </cell>
          <cell r="F645">
            <v>1</v>
          </cell>
          <cell r="I645">
            <v>46215</v>
          </cell>
          <cell r="J645">
            <v>0</v>
          </cell>
          <cell r="K645">
            <v>4</v>
          </cell>
          <cell r="L645">
            <v>0</v>
          </cell>
          <cell r="M645">
            <v>0</v>
          </cell>
        </row>
        <row r="646">
          <cell r="C646">
            <v>317</v>
          </cell>
          <cell r="F646">
            <v>1</v>
          </cell>
          <cell r="I646">
            <v>46215</v>
          </cell>
          <cell r="J646">
            <v>0</v>
          </cell>
          <cell r="K646">
            <v>3</v>
          </cell>
          <cell r="L646">
            <v>0</v>
          </cell>
          <cell r="M646">
            <v>0</v>
          </cell>
        </row>
        <row r="647">
          <cell r="C647">
            <v>225</v>
          </cell>
          <cell r="F647">
            <v>1</v>
          </cell>
          <cell r="I647">
            <v>46215</v>
          </cell>
          <cell r="J647">
            <v>0</v>
          </cell>
          <cell r="K647">
            <v>2</v>
          </cell>
          <cell r="L647">
            <v>0</v>
          </cell>
          <cell r="M647">
            <v>0</v>
          </cell>
        </row>
        <row r="648">
          <cell r="C648">
            <v>243</v>
          </cell>
          <cell r="F648">
            <v>1</v>
          </cell>
          <cell r="I648">
            <v>46215</v>
          </cell>
          <cell r="J648">
            <v>0</v>
          </cell>
          <cell r="K648">
            <v>1</v>
          </cell>
          <cell r="L648">
            <v>0</v>
          </cell>
          <cell r="M648">
            <v>0</v>
          </cell>
        </row>
        <row r="649">
          <cell r="C649">
            <v>268</v>
          </cell>
          <cell r="F649">
            <v>1</v>
          </cell>
          <cell r="I649">
            <v>46215</v>
          </cell>
          <cell r="J649">
            <v>0</v>
          </cell>
          <cell r="K649">
            <v>2</v>
          </cell>
          <cell r="L649">
            <v>0</v>
          </cell>
          <cell r="M649">
            <v>0</v>
          </cell>
        </row>
        <row r="650">
          <cell r="C650">
            <v>319</v>
          </cell>
          <cell r="F650">
            <v>1</v>
          </cell>
          <cell r="I650">
            <v>46215</v>
          </cell>
          <cell r="J650">
            <v>0</v>
          </cell>
          <cell r="K650">
            <v>2</v>
          </cell>
          <cell r="L650">
            <v>0</v>
          </cell>
          <cell r="M650">
            <v>0</v>
          </cell>
        </row>
        <row r="651">
          <cell r="C651">
            <v>293</v>
          </cell>
          <cell r="F651">
            <v>1</v>
          </cell>
          <cell r="I651">
            <v>46215</v>
          </cell>
          <cell r="J651">
            <v>0</v>
          </cell>
          <cell r="K651">
            <v>175</v>
          </cell>
          <cell r="L651">
            <v>0</v>
          </cell>
          <cell r="M651">
            <v>0</v>
          </cell>
        </row>
        <row r="652">
          <cell r="C652">
            <v>305</v>
          </cell>
          <cell r="F652">
            <v>1</v>
          </cell>
          <cell r="I652">
            <v>46215</v>
          </cell>
          <cell r="J652">
            <v>0</v>
          </cell>
          <cell r="K652">
            <v>500</v>
          </cell>
          <cell r="L652">
            <v>0</v>
          </cell>
          <cell r="M652">
            <v>0</v>
          </cell>
        </row>
        <row r="653">
          <cell r="C653">
            <v>177</v>
          </cell>
          <cell r="F653">
            <v>1</v>
          </cell>
          <cell r="I653">
            <v>46215</v>
          </cell>
          <cell r="J653">
            <v>0</v>
          </cell>
          <cell r="K653">
            <v>250</v>
          </cell>
          <cell r="L653">
            <v>0</v>
          </cell>
          <cell r="M653">
            <v>0</v>
          </cell>
        </row>
        <row r="654">
          <cell r="C654">
            <v>293</v>
          </cell>
          <cell r="F654">
            <v>1</v>
          </cell>
          <cell r="I654">
            <v>46216</v>
          </cell>
          <cell r="J654">
            <v>0</v>
          </cell>
          <cell r="K654">
            <v>105</v>
          </cell>
          <cell r="L654">
            <v>0</v>
          </cell>
          <cell r="M654">
            <v>0</v>
          </cell>
        </row>
        <row r="655">
          <cell r="C655">
            <v>176</v>
          </cell>
          <cell r="F655">
            <v>1</v>
          </cell>
          <cell r="I655">
            <v>46216</v>
          </cell>
          <cell r="J655">
            <v>0</v>
          </cell>
          <cell r="K655">
            <v>400</v>
          </cell>
          <cell r="L655">
            <v>0</v>
          </cell>
          <cell r="M655">
            <v>0</v>
          </cell>
        </row>
        <row r="656">
          <cell r="C656">
            <v>305</v>
          </cell>
          <cell r="F656">
            <v>1</v>
          </cell>
          <cell r="I656">
            <v>46216</v>
          </cell>
          <cell r="J656">
            <v>0</v>
          </cell>
          <cell r="K656">
            <v>300</v>
          </cell>
          <cell r="L656">
            <v>0</v>
          </cell>
          <cell r="M656">
            <v>0</v>
          </cell>
        </row>
        <row r="657">
          <cell r="C657">
            <v>294</v>
          </cell>
          <cell r="F657">
            <v>1</v>
          </cell>
          <cell r="I657">
            <v>46217</v>
          </cell>
          <cell r="J657">
            <v>0</v>
          </cell>
          <cell r="K657">
            <v>70</v>
          </cell>
          <cell r="L657">
            <v>0</v>
          </cell>
          <cell r="M657">
            <v>0</v>
          </cell>
        </row>
        <row r="658">
          <cell r="C658">
            <v>333</v>
          </cell>
          <cell r="F658">
            <v>1</v>
          </cell>
          <cell r="I658">
            <v>46217</v>
          </cell>
          <cell r="J658">
            <v>0</v>
          </cell>
          <cell r="K658">
            <v>5</v>
          </cell>
          <cell r="L658">
            <v>0</v>
          </cell>
          <cell r="M658">
            <v>0</v>
          </cell>
        </row>
        <row r="659">
          <cell r="C659">
            <v>257</v>
          </cell>
          <cell r="F659">
            <v>1</v>
          </cell>
          <cell r="I659">
            <v>46217</v>
          </cell>
          <cell r="J659">
            <v>0</v>
          </cell>
          <cell r="K659">
            <v>2</v>
          </cell>
          <cell r="L659">
            <v>0</v>
          </cell>
          <cell r="M659">
            <v>0</v>
          </cell>
        </row>
        <row r="660">
          <cell r="C660">
            <v>253</v>
          </cell>
          <cell r="F660">
            <v>1</v>
          </cell>
          <cell r="I660">
            <v>46217</v>
          </cell>
          <cell r="J660">
            <v>0</v>
          </cell>
          <cell r="K660">
            <v>2</v>
          </cell>
          <cell r="L660">
            <v>0</v>
          </cell>
          <cell r="M660">
            <v>0</v>
          </cell>
        </row>
        <row r="661">
          <cell r="C661">
            <v>68</v>
          </cell>
          <cell r="F661">
            <v>1</v>
          </cell>
          <cell r="I661">
            <v>46217</v>
          </cell>
          <cell r="J661">
            <v>0</v>
          </cell>
          <cell r="K661">
            <v>2</v>
          </cell>
          <cell r="L661">
            <v>0</v>
          </cell>
          <cell r="M661">
            <v>0</v>
          </cell>
        </row>
        <row r="662">
          <cell r="C662">
            <v>42</v>
          </cell>
          <cell r="F662">
            <v>1</v>
          </cell>
          <cell r="I662">
            <v>46217</v>
          </cell>
          <cell r="J662">
            <v>0</v>
          </cell>
          <cell r="K662">
            <v>14</v>
          </cell>
          <cell r="L662">
            <v>0</v>
          </cell>
          <cell r="M662">
            <v>0</v>
          </cell>
        </row>
        <row r="663">
          <cell r="C663">
            <v>67</v>
          </cell>
          <cell r="F663">
            <v>1</v>
          </cell>
          <cell r="I663">
            <v>46217</v>
          </cell>
          <cell r="J663">
            <v>0</v>
          </cell>
          <cell r="K663">
            <v>1</v>
          </cell>
          <cell r="L663">
            <v>0</v>
          </cell>
          <cell r="M663">
            <v>0</v>
          </cell>
        </row>
        <row r="664">
          <cell r="C664">
            <v>56</v>
          </cell>
          <cell r="F664">
            <v>1</v>
          </cell>
          <cell r="I664">
            <v>46217</v>
          </cell>
          <cell r="J664">
            <v>0</v>
          </cell>
          <cell r="K664">
            <v>1</v>
          </cell>
          <cell r="L664">
            <v>0</v>
          </cell>
          <cell r="M664">
            <v>0</v>
          </cell>
        </row>
        <row r="665">
          <cell r="C665">
            <v>70</v>
          </cell>
          <cell r="F665">
            <v>1</v>
          </cell>
          <cell r="I665">
            <v>46217</v>
          </cell>
          <cell r="J665">
            <v>0</v>
          </cell>
          <cell r="K665">
            <v>1</v>
          </cell>
          <cell r="L665">
            <v>0</v>
          </cell>
          <cell r="M665">
            <v>0</v>
          </cell>
        </row>
        <row r="666">
          <cell r="C666">
            <v>267</v>
          </cell>
          <cell r="F666">
            <v>1</v>
          </cell>
          <cell r="I666">
            <v>46217</v>
          </cell>
          <cell r="J666">
            <v>0</v>
          </cell>
          <cell r="K666">
            <v>1</v>
          </cell>
          <cell r="L666">
            <v>0</v>
          </cell>
          <cell r="M666">
            <v>0</v>
          </cell>
        </row>
        <row r="667">
          <cell r="C667">
            <v>256</v>
          </cell>
          <cell r="F667">
            <v>1</v>
          </cell>
          <cell r="I667">
            <v>46217</v>
          </cell>
          <cell r="J667">
            <v>0</v>
          </cell>
          <cell r="K667">
            <v>5</v>
          </cell>
          <cell r="L667">
            <v>0</v>
          </cell>
          <cell r="M667">
            <v>0</v>
          </cell>
        </row>
        <row r="668">
          <cell r="C668">
            <v>14</v>
          </cell>
          <cell r="F668">
            <v>1</v>
          </cell>
          <cell r="I668">
            <v>46217</v>
          </cell>
          <cell r="J668">
            <v>0</v>
          </cell>
          <cell r="K668">
            <v>4</v>
          </cell>
          <cell r="L668">
            <v>0</v>
          </cell>
          <cell r="M668">
            <v>0</v>
          </cell>
        </row>
        <row r="669">
          <cell r="C669">
            <v>328</v>
          </cell>
          <cell r="F669">
            <v>1</v>
          </cell>
          <cell r="I669">
            <v>46217</v>
          </cell>
          <cell r="J669">
            <v>0</v>
          </cell>
          <cell r="K669">
            <v>1</v>
          </cell>
          <cell r="L669">
            <v>0</v>
          </cell>
          <cell r="M669">
            <v>0</v>
          </cell>
        </row>
        <row r="670">
          <cell r="C670">
            <v>45</v>
          </cell>
          <cell r="F670">
            <v>1</v>
          </cell>
          <cell r="I670">
            <v>46217</v>
          </cell>
          <cell r="J670">
            <v>0</v>
          </cell>
          <cell r="K670">
            <v>3</v>
          </cell>
          <cell r="L670">
            <v>0</v>
          </cell>
          <cell r="M670">
            <v>0</v>
          </cell>
        </row>
        <row r="671">
          <cell r="C671">
            <v>260</v>
          </cell>
          <cell r="F671">
            <v>1</v>
          </cell>
          <cell r="I671">
            <v>46217</v>
          </cell>
          <cell r="J671">
            <v>0</v>
          </cell>
          <cell r="K671">
            <v>1</v>
          </cell>
          <cell r="L671">
            <v>0</v>
          </cell>
          <cell r="M671">
            <v>0</v>
          </cell>
        </row>
        <row r="672">
          <cell r="C672">
            <v>261</v>
          </cell>
          <cell r="F672">
            <v>1</v>
          </cell>
          <cell r="I672">
            <v>46217</v>
          </cell>
          <cell r="J672">
            <v>0</v>
          </cell>
          <cell r="K672">
            <v>1</v>
          </cell>
          <cell r="L672">
            <v>0</v>
          </cell>
          <cell r="M672">
            <v>0</v>
          </cell>
        </row>
        <row r="673">
          <cell r="C673">
            <v>69</v>
          </cell>
          <cell r="F673">
            <v>1</v>
          </cell>
          <cell r="I673">
            <v>46217</v>
          </cell>
          <cell r="J673">
            <v>0</v>
          </cell>
          <cell r="K673">
            <v>2</v>
          </cell>
          <cell r="L673">
            <v>0</v>
          </cell>
          <cell r="M673">
            <v>0</v>
          </cell>
        </row>
        <row r="674">
          <cell r="C674">
            <v>262</v>
          </cell>
          <cell r="F674">
            <v>1</v>
          </cell>
          <cell r="I674">
            <v>46217</v>
          </cell>
          <cell r="J674">
            <v>0</v>
          </cell>
          <cell r="K674">
            <v>1</v>
          </cell>
          <cell r="L674">
            <v>0</v>
          </cell>
          <cell r="M674">
            <v>0</v>
          </cell>
        </row>
        <row r="675">
          <cell r="C675">
            <v>16</v>
          </cell>
          <cell r="F675">
            <v>1</v>
          </cell>
          <cell r="I675">
            <v>46217</v>
          </cell>
          <cell r="J675">
            <v>0</v>
          </cell>
          <cell r="K675">
            <v>16</v>
          </cell>
          <cell r="L675">
            <v>0</v>
          </cell>
          <cell r="M675">
            <v>0</v>
          </cell>
        </row>
        <row r="676">
          <cell r="C676">
            <v>297</v>
          </cell>
          <cell r="F676">
            <v>1</v>
          </cell>
          <cell r="I676">
            <v>46217</v>
          </cell>
          <cell r="J676">
            <v>0</v>
          </cell>
          <cell r="K676">
            <v>1</v>
          </cell>
          <cell r="L676">
            <v>0</v>
          </cell>
          <cell r="M676">
            <v>0</v>
          </cell>
        </row>
        <row r="677">
          <cell r="C677">
            <v>293</v>
          </cell>
          <cell r="F677">
            <v>1</v>
          </cell>
          <cell r="I677">
            <v>46218</v>
          </cell>
          <cell r="J677">
            <v>0</v>
          </cell>
          <cell r="K677">
            <v>70</v>
          </cell>
          <cell r="L677">
            <v>0</v>
          </cell>
          <cell r="M677">
            <v>0</v>
          </cell>
        </row>
        <row r="678">
          <cell r="C678">
            <v>176</v>
          </cell>
          <cell r="F678">
            <v>1</v>
          </cell>
          <cell r="I678">
            <v>46218</v>
          </cell>
          <cell r="J678">
            <v>0</v>
          </cell>
          <cell r="K678">
            <v>500</v>
          </cell>
          <cell r="L678">
            <v>0</v>
          </cell>
          <cell r="M678">
            <v>0</v>
          </cell>
        </row>
        <row r="679">
          <cell r="C679">
            <v>195</v>
          </cell>
          <cell r="F679">
            <v>1</v>
          </cell>
          <cell r="I679">
            <v>46218</v>
          </cell>
          <cell r="J679">
            <v>0</v>
          </cell>
          <cell r="K679">
            <v>8</v>
          </cell>
          <cell r="L679">
            <v>0</v>
          </cell>
          <cell r="M679">
            <v>0</v>
          </cell>
        </row>
        <row r="680">
          <cell r="C680">
            <v>177</v>
          </cell>
          <cell r="F680">
            <v>1</v>
          </cell>
          <cell r="I680">
            <v>46218</v>
          </cell>
          <cell r="J680">
            <v>0</v>
          </cell>
          <cell r="K680">
            <v>1000</v>
          </cell>
          <cell r="L680">
            <v>0</v>
          </cell>
          <cell r="M680">
            <v>0</v>
          </cell>
        </row>
        <row r="681">
          <cell r="C681">
            <v>289</v>
          </cell>
          <cell r="F681">
            <v>1</v>
          </cell>
          <cell r="I681">
            <v>46218</v>
          </cell>
          <cell r="J681">
            <v>0</v>
          </cell>
          <cell r="K681">
            <v>8</v>
          </cell>
          <cell r="L681">
            <v>0</v>
          </cell>
          <cell r="M681">
            <v>0</v>
          </cell>
        </row>
        <row r="682">
          <cell r="C682">
            <v>293</v>
          </cell>
          <cell r="F682">
            <v>1</v>
          </cell>
          <cell r="I682">
            <v>46219</v>
          </cell>
          <cell r="J682">
            <v>0</v>
          </cell>
          <cell r="K682">
            <v>70</v>
          </cell>
          <cell r="L682">
            <v>0</v>
          </cell>
          <cell r="M682">
            <v>0</v>
          </cell>
        </row>
        <row r="683">
          <cell r="C683">
            <v>305</v>
          </cell>
          <cell r="F683">
            <v>1</v>
          </cell>
          <cell r="I683">
            <v>46219</v>
          </cell>
          <cell r="J683">
            <v>0</v>
          </cell>
          <cell r="K683">
            <v>1500</v>
          </cell>
          <cell r="L683">
            <v>0</v>
          </cell>
          <cell r="M683">
            <v>0</v>
          </cell>
        </row>
        <row r="684">
          <cell r="C684">
            <v>178</v>
          </cell>
          <cell r="F684">
            <v>1</v>
          </cell>
          <cell r="I684">
            <v>46219</v>
          </cell>
          <cell r="J684">
            <v>0</v>
          </cell>
          <cell r="K684">
            <v>500</v>
          </cell>
          <cell r="L684">
            <v>0</v>
          </cell>
          <cell r="M684">
            <v>0</v>
          </cell>
        </row>
        <row r="685">
          <cell r="C685">
            <v>221</v>
          </cell>
          <cell r="F685">
            <v>1</v>
          </cell>
          <cell r="I685">
            <v>46219</v>
          </cell>
          <cell r="J685">
            <v>0</v>
          </cell>
          <cell r="K685">
            <v>2</v>
          </cell>
          <cell r="L685">
            <v>0</v>
          </cell>
          <cell r="M685">
            <v>0</v>
          </cell>
        </row>
        <row r="686">
          <cell r="C686">
            <v>294</v>
          </cell>
          <cell r="F686">
            <v>1</v>
          </cell>
          <cell r="I686">
            <v>46219</v>
          </cell>
          <cell r="J686">
            <v>0</v>
          </cell>
          <cell r="K686">
            <v>6</v>
          </cell>
          <cell r="L686">
            <v>0</v>
          </cell>
          <cell r="M686">
            <v>0</v>
          </cell>
        </row>
        <row r="687">
          <cell r="C687">
            <v>295</v>
          </cell>
          <cell r="F687">
            <v>1</v>
          </cell>
          <cell r="I687">
            <v>46219</v>
          </cell>
          <cell r="J687">
            <v>0</v>
          </cell>
          <cell r="K687">
            <v>3</v>
          </cell>
          <cell r="L687">
            <v>0</v>
          </cell>
          <cell r="M687">
            <v>0</v>
          </cell>
        </row>
        <row r="688">
          <cell r="C688">
            <v>237</v>
          </cell>
          <cell r="F688">
            <v>1</v>
          </cell>
          <cell r="I688">
            <v>46220</v>
          </cell>
          <cell r="J688">
            <v>0</v>
          </cell>
          <cell r="K688">
            <v>6</v>
          </cell>
          <cell r="L688">
            <v>0</v>
          </cell>
          <cell r="M688">
            <v>0</v>
          </cell>
        </row>
        <row r="689">
          <cell r="C689">
            <v>192</v>
          </cell>
          <cell r="F689">
            <v>1</v>
          </cell>
          <cell r="I689">
            <v>46220</v>
          </cell>
          <cell r="J689">
            <v>0</v>
          </cell>
          <cell r="K689">
            <v>8</v>
          </cell>
          <cell r="L689">
            <v>0</v>
          </cell>
          <cell r="M689">
            <v>0</v>
          </cell>
        </row>
        <row r="690">
          <cell r="C690">
            <v>187</v>
          </cell>
          <cell r="F690">
            <v>1</v>
          </cell>
          <cell r="I690">
            <v>46220</v>
          </cell>
          <cell r="J690">
            <v>0</v>
          </cell>
          <cell r="K690">
            <v>96</v>
          </cell>
          <cell r="L690">
            <v>0</v>
          </cell>
          <cell r="M690">
            <v>0</v>
          </cell>
        </row>
        <row r="691">
          <cell r="C691">
            <v>177</v>
          </cell>
          <cell r="F691">
            <v>1</v>
          </cell>
          <cell r="I691">
            <v>46220</v>
          </cell>
          <cell r="J691">
            <v>0</v>
          </cell>
          <cell r="K691">
            <v>500</v>
          </cell>
          <cell r="L691">
            <v>0</v>
          </cell>
          <cell r="M691">
            <v>0</v>
          </cell>
        </row>
        <row r="692">
          <cell r="C692">
            <v>293</v>
          </cell>
          <cell r="F692">
            <v>1</v>
          </cell>
          <cell r="I692">
            <v>46220</v>
          </cell>
          <cell r="J692">
            <v>0</v>
          </cell>
          <cell r="K692">
            <v>35</v>
          </cell>
          <cell r="L692">
            <v>0</v>
          </cell>
          <cell r="M692">
            <v>0</v>
          </cell>
        </row>
        <row r="693">
          <cell r="C693">
            <v>294</v>
          </cell>
          <cell r="F693">
            <v>1</v>
          </cell>
          <cell r="I693">
            <v>46220</v>
          </cell>
          <cell r="J693">
            <v>0</v>
          </cell>
          <cell r="K693">
            <v>35</v>
          </cell>
          <cell r="L693">
            <v>0</v>
          </cell>
          <cell r="M693">
            <v>0</v>
          </cell>
        </row>
        <row r="694">
          <cell r="C694">
            <v>176</v>
          </cell>
          <cell r="F694">
            <v>1</v>
          </cell>
          <cell r="I694">
            <v>46220</v>
          </cell>
          <cell r="J694">
            <v>0</v>
          </cell>
          <cell r="K694">
            <v>1150</v>
          </cell>
          <cell r="L694">
            <v>0</v>
          </cell>
          <cell r="M694">
            <v>0</v>
          </cell>
        </row>
        <row r="695">
          <cell r="C695">
            <v>293</v>
          </cell>
          <cell r="F695">
            <v>1</v>
          </cell>
          <cell r="I695">
            <v>46221</v>
          </cell>
          <cell r="J695">
            <v>0</v>
          </cell>
          <cell r="K695">
            <v>35</v>
          </cell>
          <cell r="L695">
            <v>0</v>
          </cell>
          <cell r="M695">
            <v>0</v>
          </cell>
        </row>
        <row r="696">
          <cell r="C696">
            <v>305</v>
          </cell>
          <cell r="F696">
            <v>1</v>
          </cell>
          <cell r="I696">
            <v>46221</v>
          </cell>
          <cell r="J696">
            <v>0</v>
          </cell>
          <cell r="K696">
            <v>500</v>
          </cell>
          <cell r="L696">
            <v>0</v>
          </cell>
          <cell r="M696">
            <v>0</v>
          </cell>
        </row>
        <row r="697">
          <cell r="C697">
            <v>177</v>
          </cell>
          <cell r="F697">
            <v>1</v>
          </cell>
          <cell r="I697">
            <v>46221</v>
          </cell>
          <cell r="J697">
            <v>0</v>
          </cell>
          <cell r="K697">
            <v>150</v>
          </cell>
          <cell r="L697">
            <v>0</v>
          </cell>
          <cell r="M697">
            <v>0</v>
          </cell>
        </row>
        <row r="698">
          <cell r="C698">
            <v>233</v>
          </cell>
          <cell r="F698">
            <v>1</v>
          </cell>
          <cell r="I698">
            <v>46221</v>
          </cell>
          <cell r="J698">
            <v>0</v>
          </cell>
          <cell r="K698">
            <v>1</v>
          </cell>
          <cell r="L698">
            <v>0</v>
          </cell>
          <cell r="M698">
            <v>0</v>
          </cell>
        </row>
        <row r="699">
          <cell r="C699">
            <v>305</v>
          </cell>
          <cell r="F699">
            <v>1</v>
          </cell>
          <cell r="I699">
            <v>46222</v>
          </cell>
          <cell r="J699">
            <v>0</v>
          </cell>
          <cell r="K699">
            <v>1100</v>
          </cell>
          <cell r="L699">
            <v>0</v>
          </cell>
          <cell r="M699">
            <v>0</v>
          </cell>
        </row>
        <row r="700">
          <cell r="C700">
            <v>293</v>
          </cell>
          <cell r="F700">
            <v>1</v>
          </cell>
          <cell r="I700">
            <v>46222</v>
          </cell>
          <cell r="J700">
            <v>0</v>
          </cell>
          <cell r="K700">
            <v>40</v>
          </cell>
          <cell r="L700">
            <v>0</v>
          </cell>
          <cell r="M700">
            <v>0</v>
          </cell>
        </row>
        <row r="701">
          <cell r="C701">
            <v>239</v>
          </cell>
          <cell r="F701">
            <v>1</v>
          </cell>
          <cell r="I701">
            <v>46222</v>
          </cell>
          <cell r="J701">
            <v>0</v>
          </cell>
          <cell r="K701">
            <v>6</v>
          </cell>
          <cell r="L701">
            <v>0</v>
          </cell>
          <cell r="M701">
            <v>0</v>
          </cell>
        </row>
        <row r="702">
          <cell r="C702">
            <v>177</v>
          </cell>
          <cell r="F702">
            <v>1</v>
          </cell>
          <cell r="I702">
            <v>46222</v>
          </cell>
          <cell r="J702">
            <v>0</v>
          </cell>
          <cell r="K702">
            <v>300</v>
          </cell>
          <cell r="L702">
            <v>0</v>
          </cell>
          <cell r="M702">
            <v>0</v>
          </cell>
        </row>
        <row r="703">
          <cell r="C703">
            <v>187</v>
          </cell>
          <cell r="F703">
            <v>1</v>
          </cell>
          <cell r="I703">
            <v>46222</v>
          </cell>
          <cell r="J703">
            <v>0</v>
          </cell>
          <cell r="K703">
            <v>16</v>
          </cell>
          <cell r="L703">
            <v>0</v>
          </cell>
          <cell r="M703">
            <v>0</v>
          </cell>
        </row>
        <row r="704">
          <cell r="C704">
            <v>19</v>
          </cell>
          <cell r="F704">
            <v>1</v>
          </cell>
          <cell r="I704">
            <v>46222</v>
          </cell>
          <cell r="J704">
            <v>0</v>
          </cell>
          <cell r="K704">
            <v>2</v>
          </cell>
          <cell r="L704">
            <v>0</v>
          </cell>
          <cell r="M704">
            <v>0</v>
          </cell>
        </row>
        <row r="705">
          <cell r="C705">
            <v>64</v>
          </cell>
          <cell r="F705">
            <v>1</v>
          </cell>
          <cell r="I705">
            <v>46222</v>
          </cell>
          <cell r="J705">
            <v>0</v>
          </cell>
          <cell r="K705">
            <v>1</v>
          </cell>
          <cell r="L705">
            <v>0</v>
          </cell>
          <cell r="M705">
            <v>0</v>
          </cell>
        </row>
        <row r="706">
          <cell r="C706">
            <v>16</v>
          </cell>
          <cell r="F706">
            <v>1</v>
          </cell>
          <cell r="I706">
            <v>46222</v>
          </cell>
          <cell r="J706">
            <v>0</v>
          </cell>
          <cell r="K706">
            <v>8</v>
          </cell>
          <cell r="L706">
            <v>0</v>
          </cell>
          <cell r="M706">
            <v>0</v>
          </cell>
        </row>
        <row r="707">
          <cell r="C707">
            <v>42</v>
          </cell>
          <cell r="F707">
            <v>1</v>
          </cell>
          <cell r="I707">
            <v>46222</v>
          </cell>
          <cell r="J707">
            <v>0</v>
          </cell>
          <cell r="K707">
            <v>4</v>
          </cell>
          <cell r="L707">
            <v>0</v>
          </cell>
          <cell r="M707">
            <v>0</v>
          </cell>
        </row>
        <row r="708">
          <cell r="C708">
            <v>226</v>
          </cell>
          <cell r="F708">
            <v>1</v>
          </cell>
          <cell r="I708">
            <v>46222</v>
          </cell>
          <cell r="J708">
            <v>0</v>
          </cell>
          <cell r="K708">
            <v>2</v>
          </cell>
          <cell r="L708">
            <v>0</v>
          </cell>
          <cell r="M708">
            <v>0</v>
          </cell>
        </row>
        <row r="709">
          <cell r="C709">
            <v>305</v>
          </cell>
          <cell r="F709">
            <v>1</v>
          </cell>
          <cell r="I709">
            <v>46223</v>
          </cell>
          <cell r="J709">
            <v>0</v>
          </cell>
          <cell r="K709">
            <v>400</v>
          </cell>
          <cell r="L709">
            <v>0</v>
          </cell>
          <cell r="M709">
            <v>0</v>
          </cell>
        </row>
        <row r="710">
          <cell r="C710">
            <v>289</v>
          </cell>
          <cell r="F710">
            <v>1</v>
          </cell>
          <cell r="I710">
            <v>46223</v>
          </cell>
          <cell r="J710">
            <v>0</v>
          </cell>
          <cell r="K710">
            <v>56</v>
          </cell>
          <cell r="L710">
            <v>0</v>
          </cell>
          <cell r="M710">
            <v>0</v>
          </cell>
        </row>
        <row r="711">
          <cell r="C711">
            <v>288</v>
          </cell>
          <cell r="F711">
            <v>1</v>
          </cell>
          <cell r="I711">
            <v>46223</v>
          </cell>
          <cell r="J711">
            <v>0</v>
          </cell>
          <cell r="K711">
            <v>36</v>
          </cell>
          <cell r="L711">
            <v>0</v>
          </cell>
          <cell r="M711">
            <v>0</v>
          </cell>
        </row>
        <row r="712">
          <cell r="C712">
            <v>317</v>
          </cell>
          <cell r="F712">
            <v>1</v>
          </cell>
          <cell r="I712">
            <v>46223</v>
          </cell>
          <cell r="J712">
            <v>0</v>
          </cell>
          <cell r="K712">
            <v>6</v>
          </cell>
          <cell r="L712">
            <v>0</v>
          </cell>
          <cell r="M712">
            <v>0</v>
          </cell>
        </row>
        <row r="713">
          <cell r="C713">
            <v>341</v>
          </cell>
          <cell r="F713">
            <v>1</v>
          </cell>
          <cell r="I713">
            <v>46223</v>
          </cell>
          <cell r="J713">
            <v>0</v>
          </cell>
          <cell r="K713">
            <v>2</v>
          </cell>
          <cell r="L713">
            <v>0</v>
          </cell>
          <cell r="M713">
            <v>0</v>
          </cell>
        </row>
        <row r="714">
          <cell r="C714">
            <v>294</v>
          </cell>
          <cell r="F714">
            <v>1</v>
          </cell>
          <cell r="I714">
            <v>46223</v>
          </cell>
          <cell r="J714">
            <v>0</v>
          </cell>
          <cell r="K714">
            <v>105</v>
          </cell>
          <cell r="L714">
            <v>0</v>
          </cell>
          <cell r="M714">
            <v>0</v>
          </cell>
        </row>
        <row r="715">
          <cell r="C715">
            <v>222</v>
          </cell>
          <cell r="F715">
            <v>1</v>
          </cell>
          <cell r="I715">
            <v>46223</v>
          </cell>
          <cell r="J715">
            <v>0</v>
          </cell>
          <cell r="K715">
            <v>1</v>
          </cell>
          <cell r="L715">
            <v>0</v>
          </cell>
          <cell r="M715">
            <v>0</v>
          </cell>
        </row>
        <row r="716">
          <cell r="C716">
            <v>146</v>
          </cell>
          <cell r="F716">
            <v>1</v>
          </cell>
          <cell r="I716">
            <v>46204</v>
          </cell>
          <cell r="J716">
            <v>-5</v>
          </cell>
          <cell r="K716">
            <v>0</v>
          </cell>
        </row>
        <row r="717">
          <cell r="C717">
            <v>337</v>
          </cell>
          <cell r="F717">
            <v>1</v>
          </cell>
          <cell r="I717">
            <v>46204</v>
          </cell>
          <cell r="J717">
            <v>5</v>
          </cell>
          <cell r="K717">
            <v>0</v>
          </cell>
        </row>
        <row r="718">
          <cell r="C718">
            <v>318</v>
          </cell>
          <cell r="F718">
            <v>1</v>
          </cell>
          <cell r="I718">
            <v>46223</v>
          </cell>
          <cell r="J718">
            <v>0</v>
          </cell>
          <cell r="K718">
            <v>2</v>
          </cell>
          <cell r="L718">
            <v>0</v>
          </cell>
          <cell r="M718">
            <v>0</v>
          </cell>
        </row>
        <row r="719">
          <cell r="C719">
            <v>316</v>
          </cell>
          <cell r="F719">
            <v>1</v>
          </cell>
          <cell r="I719">
            <v>46223</v>
          </cell>
          <cell r="J719">
            <v>0</v>
          </cell>
          <cell r="K719">
            <v>20</v>
          </cell>
          <cell r="L719">
            <v>0</v>
          </cell>
          <cell r="M719">
            <v>0</v>
          </cell>
        </row>
        <row r="720">
          <cell r="C720">
            <v>337</v>
          </cell>
          <cell r="F720">
            <v>1</v>
          </cell>
          <cell r="I720">
            <v>46223</v>
          </cell>
          <cell r="J720">
            <v>0</v>
          </cell>
          <cell r="K720">
            <v>10</v>
          </cell>
          <cell r="L720">
            <v>0</v>
          </cell>
          <cell r="M720">
            <v>0</v>
          </cell>
        </row>
        <row r="721">
          <cell r="C721">
            <v>201</v>
          </cell>
          <cell r="F721">
            <v>1</v>
          </cell>
          <cell r="I721">
            <v>46223</v>
          </cell>
          <cell r="J721">
            <v>0</v>
          </cell>
          <cell r="K721">
            <v>1</v>
          </cell>
          <cell r="L721">
            <v>0</v>
          </cell>
          <cell r="M721">
            <v>0</v>
          </cell>
        </row>
        <row r="722">
          <cell r="C722">
            <v>267</v>
          </cell>
          <cell r="F722">
            <v>1</v>
          </cell>
          <cell r="I722">
            <v>46223</v>
          </cell>
          <cell r="J722">
            <v>0</v>
          </cell>
          <cell r="K722">
            <v>2</v>
          </cell>
          <cell r="L722">
            <v>0</v>
          </cell>
          <cell r="M722">
            <v>0</v>
          </cell>
        </row>
        <row r="723">
          <cell r="C723">
            <v>37</v>
          </cell>
          <cell r="F723">
            <v>1</v>
          </cell>
          <cell r="I723">
            <v>46223</v>
          </cell>
          <cell r="J723">
            <v>0</v>
          </cell>
          <cell r="K723">
            <v>1</v>
          </cell>
          <cell r="L723">
            <v>0</v>
          </cell>
          <cell r="M723">
            <v>0</v>
          </cell>
        </row>
        <row r="724">
          <cell r="C724">
            <v>42</v>
          </cell>
          <cell r="F724">
            <v>1</v>
          </cell>
          <cell r="I724">
            <v>46223</v>
          </cell>
          <cell r="J724">
            <v>0</v>
          </cell>
          <cell r="K724">
            <v>2</v>
          </cell>
          <cell r="L724">
            <v>0</v>
          </cell>
          <cell r="M724">
            <v>0</v>
          </cell>
        </row>
        <row r="725">
          <cell r="C725">
            <v>286</v>
          </cell>
          <cell r="F725">
            <v>1</v>
          </cell>
          <cell r="I725">
            <v>46223</v>
          </cell>
          <cell r="J725">
            <v>0</v>
          </cell>
          <cell r="K725">
            <v>8</v>
          </cell>
          <cell r="L725">
            <v>0</v>
          </cell>
          <cell r="M725">
            <v>0</v>
          </cell>
        </row>
        <row r="726">
          <cell r="C726">
            <v>285</v>
          </cell>
          <cell r="F726">
            <v>1</v>
          </cell>
          <cell r="I726">
            <v>46223</v>
          </cell>
          <cell r="J726">
            <v>0</v>
          </cell>
          <cell r="K726">
            <v>8</v>
          </cell>
          <cell r="L726">
            <v>0</v>
          </cell>
          <cell r="M726">
            <v>0</v>
          </cell>
        </row>
        <row r="727">
          <cell r="C727">
            <v>209</v>
          </cell>
          <cell r="F727">
            <v>1</v>
          </cell>
          <cell r="I727">
            <v>46223</v>
          </cell>
          <cell r="J727">
            <v>0</v>
          </cell>
          <cell r="K727">
            <v>1</v>
          </cell>
          <cell r="L727">
            <v>0</v>
          </cell>
          <cell r="M727">
            <v>0</v>
          </cell>
        </row>
        <row r="728">
          <cell r="C728">
            <v>30</v>
          </cell>
          <cell r="F728">
            <v>1</v>
          </cell>
          <cell r="I728">
            <v>46224</v>
          </cell>
          <cell r="J728">
            <v>0</v>
          </cell>
          <cell r="K728">
            <v>10</v>
          </cell>
          <cell r="L728">
            <v>0</v>
          </cell>
          <cell r="M728">
            <v>0</v>
          </cell>
        </row>
        <row r="729">
          <cell r="C729">
            <v>34</v>
          </cell>
          <cell r="F729">
            <v>1</v>
          </cell>
          <cell r="I729">
            <v>46224</v>
          </cell>
          <cell r="J729">
            <v>0</v>
          </cell>
          <cell r="K729">
            <v>4</v>
          </cell>
          <cell r="L729">
            <v>0</v>
          </cell>
          <cell r="M729">
            <v>0</v>
          </cell>
        </row>
        <row r="730">
          <cell r="C730">
            <v>67</v>
          </cell>
          <cell r="F730">
            <v>1</v>
          </cell>
          <cell r="I730">
            <v>46224</v>
          </cell>
          <cell r="J730">
            <v>0</v>
          </cell>
          <cell r="K730">
            <v>4</v>
          </cell>
          <cell r="L730">
            <v>0</v>
          </cell>
          <cell r="M730">
            <v>0</v>
          </cell>
        </row>
        <row r="731">
          <cell r="C731">
            <v>264</v>
          </cell>
          <cell r="F731">
            <v>1</v>
          </cell>
          <cell r="I731">
            <v>46224</v>
          </cell>
          <cell r="J731">
            <v>0</v>
          </cell>
          <cell r="K731">
            <v>4</v>
          </cell>
          <cell r="L731">
            <v>0</v>
          </cell>
          <cell r="M731">
            <v>0</v>
          </cell>
        </row>
        <row r="732">
          <cell r="C732">
            <v>50</v>
          </cell>
          <cell r="F732">
            <v>1</v>
          </cell>
          <cell r="I732">
            <v>46224</v>
          </cell>
          <cell r="J732">
            <v>0</v>
          </cell>
          <cell r="K732">
            <v>30</v>
          </cell>
          <cell r="L732">
            <v>0</v>
          </cell>
          <cell r="M732">
            <v>0</v>
          </cell>
        </row>
        <row r="733">
          <cell r="C733">
            <v>248</v>
          </cell>
          <cell r="F733">
            <v>1</v>
          </cell>
          <cell r="I733">
            <v>46224</v>
          </cell>
          <cell r="J733">
            <v>0</v>
          </cell>
          <cell r="K733">
            <v>20</v>
          </cell>
          <cell r="L733">
            <v>0</v>
          </cell>
          <cell r="M733">
            <v>0</v>
          </cell>
        </row>
        <row r="734">
          <cell r="C734">
            <v>342</v>
          </cell>
          <cell r="F734">
            <v>1</v>
          </cell>
          <cell r="I734">
            <v>46224</v>
          </cell>
          <cell r="J734">
            <v>0</v>
          </cell>
          <cell r="K734">
            <v>12</v>
          </cell>
          <cell r="L734">
            <v>0</v>
          </cell>
          <cell r="M734">
            <v>0</v>
          </cell>
        </row>
        <row r="735">
          <cell r="C735">
            <v>343</v>
          </cell>
          <cell r="F735">
            <v>1</v>
          </cell>
          <cell r="I735">
            <v>46224</v>
          </cell>
          <cell r="J735">
            <v>0</v>
          </cell>
          <cell r="K735">
            <v>4</v>
          </cell>
          <cell r="L735">
            <v>0</v>
          </cell>
          <cell r="M735">
            <v>0</v>
          </cell>
        </row>
        <row r="736">
          <cell r="C736">
            <v>59</v>
          </cell>
          <cell r="F736">
            <v>1</v>
          </cell>
          <cell r="I736">
            <v>46224</v>
          </cell>
          <cell r="J736">
            <v>0</v>
          </cell>
          <cell r="K736">
            <v>1</v>
          </cell>
          <cell r="L736">
            <v>0</v>
          </cell>
          <cell r="M736">
            <v>0</v>
          </cell>
        </row>
        <row r="737">
          <cell r="C737">
            <v>244</v>
          </cell>
          <cell r="F737">
            <v>1</v>
          </cell>
          <cell r="I737">
            <v>46224</v>
          </cell>
          <cell r="J737">
            <v>0</v>
          </cell>
          <cell r="K737">
            <v>1</v>
          </cell>
          <cell r="L737">
            <v>0</v>
          </cell>
          <cell r="M737">
            <v>0</v>
          </cell>
        </row>
        <row r="738">
          <cell r="C738">
            <v>251</v>
          </cell>
          <cell r="F738">
            <v>1</v>
          </cell>
          <cell r="I738">
            <v>46224</v>
          </cell>
          <cell r="J738">
            <v>0</v>
          </cell>
          <cell r="K738">
            <v>20</v>
          </cell>
          <cell r="L738">
            <v>0</v>
          </cell>
          <cell r="M738">
            <v>0</v>
          </cell>
        </row>
        <row r="739">
          <cell r="C739">
            <v>195</v>
          </cell>
          <cell r="F739">
            <v>1</v>
          </cell>
          <cell r="I739">
            <v>46224</v>
          </cell>
          <cell r="J739">
            <v>0</v>
          </cell>
          <cell r="K739">
            <v>8</v>
          </cell>
          <cell r="L739">
            <v>0</v>
          </cell>
          <cell r="M739">
            <v>0</v>
          </cell>
        </row>
        <row r="740">
          <cell r="C740">
            <v>187</v>
          </cell>
          <cell r="F740">
            <v>1</v>
          </cell>
          <cell r="I740">
            <v>46224</v>
          </cell>
          <cell r="J740">
            <v>0</v>
          </cell>
          <cell r="K740">
            <v>16</v>
          </cell>
          <cell r="L740">
            <v>0</v>
          </cell>
          <cell r="M740">
            <v>0</v>
          </cell>
        </row>
        <row r="741">
          <cell r="C741">
            <v>305</v>
          </cell>
          <cell r="F741">
            <v>1</v>
          </cell>
          <cell r="I741">
            <v>46224</v>
          </cell>
          <cell r="J741">
            <v>0</v>
          </cell>
          <cell r="K741">
            <v>500</v>
          </cell>
          <cell r="L741">
            <v>0</v>
          </cell>
          <cell r="M741">
            <v>0</v>
          </cell>
        </row>
        <row r="742">
          <cell r="C742">
            <v>177</v>
          </cell>
          <cell r="F742">
            <v>1</v>
          </cell>
          <cell r="I742">
            <v>46224</v>
          </cell>
          <cell r="J742">
            <v>0</v>
          </cell>
          <cell r="K742">
            <v>300</v>
          </cell>
          <cell r="L742">
            <v>0</v>
          </cell>
          <cell r="M742">
            <v>0</v>
          </cell>
        </row>
        <row r="743">
          <cell r="C743">
            <v>294</v>
          </cell>
          <cell r="F743">
            <v>1</v>
          </cell>
          <cell r="I743">
            <v>46224</v>
          </cell>
          <cell r="J743">
            <v>0</v>
          </cell>
          <cell r="K743">
            <v>35</v>
          </cell>
          <cell r="L743">
            <v>0</v>
          </cell>
          <cell r="M743">
            <v>0</v>
          </cell>
        </row>
        <row r="744">
          <cell r="C744">
            <v>183</v>
          </cell>
          <cell r="F744">
            <v>1</v>
          </cell>
          <cell r="I744">
            <v>46224</v>
          </cell>
          <cell r="J744">
            <v>0</v>
          </cell>
          <cell r="K744">
            <v>24</v>
          </cell>
          <cell r="L744">
            <v>0</v>
          </cell>
          <cell r="M744">
            <v>0</v>
          </cell>
        </row>
        <row r="745">
          <cell r="C745">
            <v>234</v>
          </cell>
          <cell r="F745">
            <v>1</v>
          </cell>
          <cell r="I745">
            <v>46225</v>
          </cell>
          <cell r="J745">
            <v>0</v>
          </cell>
          <cell r="K745">
            <v>60</v>
          </cell>
          <cell r="L745">
            <v>0</v>
          </cell>
          <cell r="M745">
            <v>0</v>
          </cell>
        </row>
        <row r="746">
          <cell r="C746">
            <v>227</v>
          </cell>
          <cell r="F746">
            <v>1</v>
          </cell>
          <cell r="I746">
            <v>46225</v>
          </cell>
          <cell r="J746">
            <v>0</v>
          </cell>
          <cell r="K746">
            <v>10</v>
          </cell>
          <cell r="L746">
            <v>0</v>
          </cell>
          <cell r="M746">
            <v>0</v>
          </cell>
        </row>
        <row r="747">
          <cell r="C747">
            <v>300</v>
          </cell>
          <cell r="F747">
            <v>1</v>
          </cell>
          <cell r="I747">
            <v>46225</v>
          </cell>
          <cell r="J747">
            <v>0</v>
          </cell>
          <cell r="K747">
            <v>1</v>
          </cell>
          <cell r="L747">
            <v>0</v>
          </cell>
          <cell r="M747">
            <v>0</v>
          </cell>
        </row>
        <row r="748">
          <cell r="C748">
            <v>344</v>
          </cell>
          <cell r="F748">
            <v>1</v>
          </cell>
          <cell r="I748">
            <v>46225</v>
          </cell>
          <cell r="J748">
            <v>0</v>
          </cell>
          <cell r="K748">
            <v>2</v>
          </cell>
          <cell r="L748">
            <v>0</v>
          </cell>
          <cell r="M748">
            <v>0</v>
          </cell>
        </row>
        <row r="749">
          <cell r="C749">
            <v>305</v>
          </cell>
          <cell r="F749">
            <v>1</v>
          </cell>
          <cell r="I749">
            <v>46225</v>
          </cell>
          <cell r="J749">
            <v>0</v>
          </cell>
          <cell r="K749">
            <v>500</v>
          </cell>
          <cell r="L749">
            <v>0</v>
          </cell>
          <cell r="M749">
            <v>0</v>
          </cell>
        </row>
        <row r="750">
          <cell r="C750">
            <v>177</v>
          </cell>
          <cell r="F750">
            <v>1</v>
          </cell>
          <cell r="I750">
            <v>46225</v>
          </cell>
          <cell r="J750">
            <v>0</v>
          </cell>
          <cell r="K750">
            <v>300</v>
          </cell>
          <cell r="L750">
            <v>0</v>
          </cell>
          <cell r="M750">
            <v>0</v>
          </cell>
        </row>
        <row r="751">
          <cell r="C751">
            <v>294</v>
          </cell>
          <cell r="F751">
            <v>1</v>
          </cell>
          <cell r="I751">
            <v>46225</v>
          </cell>
          <cell r="J751">
            <v>0</v>
          </cell>
          <cell r="K751">
            <v>35</v>
          </cell>
          <cell r="L751">
            <v>0</v>
          </cell>
          <cell r="M751">
            <v>0</v>
          </cell>
        </row>
        <row r="752">
          <cell r="C752">
            <v>183</v>
          </cell>
          <cell r="F752">
            <v>1</v>
          </cell>
          <cell r="I752">
            <v>46225</v>
          </cell>
          <cell r="J752">
            <v>0</v>
          </cell>
          <cell r="K752">
            <v>24</v>
          </cell>
          <cell r="L752">
            <v>0</v>
          </cell>
          <cell r="M752">
            <v>0</v>
          </cell>
        </row>
        <row r="753">
          <cell r="C753">
            <v>14</v>
          </cell>
          <cell r="F753">
            <v>1</v>
          </cell>
          <cell r="I753">
            <v>46225</v>
          </cell>
          <cell r="J753">
            <v>0</v>
          </cell>
          <cell r="K753">
            <v>16</v>
          </cell>
          <cell r="L753">
            <v>0</v>
          </cell>
          <cell r="M753">
            <v>0</v>
          </cell>
        </row>
        <row r="754">
          <cell r="C754">
            <v>18</v>
          </cell>
          <cell r="F754">
            <v>1</v>
          </cell>
          <cell r="I754">
            <v>46225</v>
          </cell>
          <cell r="J754">
            <v>0</v>
          </cell>
          <cell r="K754">
            <v>8</v>
          </cell>
          <cell r="L754">
            <v>0</v>
          </cell>
          <cell r="M754">
            <v>0</v>
          </cell>
        </row>
        <row r="755">
          <cell r="C755">
            <v>38</v>
          </cell>
          <cell r="F755">
            <v>1</v>
          </cell>
          <cell r="I755">
            <v>46225</v>
          </cell>
          <cell r="J755">
            <v>0</v>
          </cell>
          <cell r="K755">
            <v>2</v>
          </cell>
          <cell r="L755">
            <v>0</v>
          </cell>
          <cell r="M755">
            <v>0</v>
          </cell>
        </row>
        <row r="756">
          <cell r="C756">
            <v>40</v>
          </cell>
          <cell r="F756">
            <v>1</v>
          </cell>
          <cell r="I756">
            <v>46225</v>
          </cell>
          <cell r="J756">
            <v>0</v>
          </cell>
          <cell r="K756">
            <v>1</v>
          </cell>
          <cell r="L756">
            <v>0</v>
          </cell>
          <cell r="M756">
            <v>0</v>
          </cell>
        </row>
        <row r="757">
          <cell r="C757">
            <v>260</v>
          </cell>
          <cell r="F757">
            <v>1</v>
          </cell>
          <cell r="I757">
            <v>46225</v>
          </cell>
          <cell r="J757">
            <v>0</v>
          </cell>
          <cell r="K757">
            <v>2</v>
          </cell>
          <cell r="L757">
            <v>0</v>
          </cell>
          <cell r="M757">
            <v>0</v>
          </cell>
        </row>
        <row r="758">
          <cell r="C758">
            <v>253</v>
          </cell>
          <cell r="F758">
            <v>1</v>
          </cell>
          <cell r="I758">
            <v>46225</v>
          </cell>
          <cell r="J758">
            <v>0</v>
          </cell>
          <cell r="K758">
            <v>1</v>
          </cell>
          <cell r="L758">
            <v>0</v>
          </cell>
          <cell r="M758">
            <v>0</v>
          </cell>
        </row>
        <row r="759">
          <cell r="C759">
            <v>345</v>
          </cell>
          <cell r="F759">
            <v>1</v>
          </cell>
          <cell r="I759">
            <v>46225</v>
          </cell>
          <cell r="J759">
            <v>0</v>
          </cell>
          <cell r="K759">
            <v>1</v>
          </cell>
          <cell r="L759">
            <v>0</v>
          </cell>
          <cell r="M759">
            <v>0</v>
          </cell>
        </row>
        <row r="760">
          <cell r="C760">
            <v>45</v>
          </cell>
          <cell r="F760">
            <v>1</v>
          </cell>
          <cell r="I760">
            <v>46225</v>
          </cell>
          <cell r="J760">
            <v>0</v>
          </cell>
          <cell r="K760">
            <v>1</v>
          </cell>
          <cell r="L760">
            <v>0</v>
          </cell>
          <cell r="M760">
            <v>0</v>
          </cell>
        </row>
        <row r="761">
          <cell r="C761">
            <v>50</v>
          </cell>
          <cell r="F761">
            <v>1</v>
          </cell>
          <cell r="I761">
            <v>46225</v>
          </cell>
          <cell r="J761">
            <v>0</v>
          </cell>
          <cell r="K761">
            <v>3</v>
          </cell>
          <cell r="L761">
            <v>0</v>
          </cell>
          <cell r="M761">
            <v>0</v>
          </cell>
        </row>
        <row r="762">
          <cell r="C762">
            <v>346</v>
          </cell>
          <cell r="F762">
            <v>1</v>
          </cell>
          <cell r="I762">
            <v>46225</v>
          </cell>
          <cell r="J762">
            <v>0</v>
          </cell>
          <cell r="K762">
            <v>1</v>
          </cell>
          <cell r="L762">
            <v>0</v>
          </cell>
          <cell r="M762">
            <v>0</v>
          </cell>
        </row>
        <row r="763">
          <cell r="C763">
            <v>255</v>
          </cell>
          <cell r="F763">
            <v>1</v>
          </cell>
          <cell r="I763">
            <v>46225</v>
          </cell>
          <cell r="J763">
            <v>0</v>
          </cell>
          <cell r="K763">
            <v>1</v>
          </cell>
          <cell r="L763">
            <v>0</v>
          </cell>
          <cell r="M763">
            <v>0</v>
          </cell>
        </row>
        <row r="764">
          <cell r="C764">
            <v>254</v>
          </cell>
          <cell r="F764">
            <v>1</v>
          </cell>
          <cell r="I764">
            <v>46225</v>
          </cell>
          <cell r="J764">
            <v>0</v>
          </cell>
          <cell r="K764">
            <v>1</v>
          </cell>
          <cell r="L764">
            <v>0</v>
          </cell>
          <cell r="M764">
            <v>0</v>
          </cell>
        </row>
        <row r="765">
          <cell r="C765">
            <v>248</v>
          </cell>
          <cell r="F765">
            <v>1</v>
          </cell>
          <cell r="I765">
            <v>46225</v>
          </cell>
          <cell r="J765">
            <v>0</v>
          </cell>
          <cell r="K765">
            <v>1</v>
          </cell>
          <cell r="L765">
            <v>0</v>
          </cell>
          <cell r="M765">
            <v>0</v>
          </cell>
        </row>
        <row r="766">
          <cell r="C766">
            <v>44</v>
          </cell>
          <cell r="F766">
            <v>1</v>
          </cell>
          <cell r="I766">
            <v>46225</v>
          </cell>
          <cell r="J766">
            <v>0</v>
          </cell>
          <cell r="K766">
            <v>2</v>
          </cell>
          <cell r="L766">
            <v>0</v>
          </cell>
          <cell r="M766">
            <v>0</v>
          </cell>
        </row>
        <row r="767">
          <cell r="C767">
            <v>329</v>
          </cell>
          <cell r="F767">
            <v>1</v>
          </cell>
          <cell r="I767">
            <v>46225</v>
          </cell>
          <cell r="J767">
            <v>0</v>
          </cell>
          <cell r="K767">
            <v>1</v>
          </cell>
          <cell r="L767">
            <v>0</v>
          </cell>
          <cell r="M767">
            <v>0</v>
          </cell>
        </row>
        <row r="768">
          <cell r="C768">
            <v>177</v>
          </cell>
          <cell r="F768">
            <v>1</v>
          </cell>
          <cell r="I768">
            <v>46226</v>
          </cell>
          <cell r="J768">
            <v>0</v>
          </cell>
          <cell r="K768">
            <v>1000</v>
          </cell>
          <cell r="L768">
            <v>0</v>
          </cell>
          <cell r="M768">
            <v>0</v>
          </cell>
        </row>
        <row r="769">
          <cell r="C769">
            <v>305</v>
          </cell>
          <cell r="F769">
            <v>1</v>
          </cell>
          <cell r="I769">
            <v>46226</v>
          </cell>
          <cell r="J769">
            <v>0</v>
          </cell>
          <cell r="K769">
            <v>1000</v>
          </cell>
          <cell r="L769">
            <v>0</v>
          </cell>
          <cell r="M769">
            <v>0</v>
          </cell>
        </row>
        <row r="770">
          <cell r="C770">
            <v>293</v>
          </cell>
          <cell r="F770">
            <v>1</v>
          </cell>
          <cell r="I770">
            <v>46227</v>
          </cell>
          <cell r="J770">
            <v>0</v>
          </cell>
          <cell r="K770">
            <v>35</v>
          </cell>
          <cell r="L770">
            <v>0</v>
          </cell>
          <cell r="M770">
            <v>0</v>
          </cell>
        </row>
        <row r="771">
          <cell r="C771">
            <v>177</v>
          </cell>
          <cell r="F771">
            <v>1</v>
          </cell>
          <cell r="I771">
            <v>46227</v>
          </cell>
          <cell r="J771">
            <v>0</v>
          </cell>
          <cell r="K771">
            <v>200</v>
          </cell>
          <cell r="L771">
            <v>0</v>
          </cell>
          <cell r="M771">
            <v>0</v>
          </cell>
        </row>
        <row r="772">
          <cell r="C772">
            <v>305</v>
          </cell>
          <cell r="F772">
            <v>1</v>
          </cell>
          <cell r="I772">
            <v>46227</v>
          </cell>
          <cell r="J772">
            <v>0</v>
          </cell>
          <cell r="K772">
            <v>350</v>
          </cell>
          <cell r="L772">
            <v>0</v>
          </cell>
          <cell r="M772">
            <v>0</v>
          </cell>
        </row>
        <row r="773">
          <cell r="C773">
            <v>178</v>
          </cell>
          <cell r="F773">
            <v>1</v>
          </cell>
          <cell r="I773">
            <v>46227</v>
          </cell>
          <cell r="J773">
            <v>0</v>
          </cell>
          <cell r="K773">
            <v>300</v>
          </cell>
          <cell r="L773">
            <v>0</v>
          </cell>
          <cell r="M773">
            <v>0</v>
          </cell>
        </row>
        <row r="774">
          <cell r="C774">
            <v>295</v>
          </cell>
          <cell r="F774">
            <v>1</v>
          </cell>
          <cell r="I774">
            <v>46227</v>
          </cell>
          <cell r="J774">
            <v>0</v>
          </cell>
          <cell r="K774">
            <v>1</v>
          </cell>
          <cell r="L774">
            <v>0</v>
          </cell>
          <cell r="M774">
            <v>0</v>
          </cell>
        </row>
        <row r="775">
          <cell r="C775">
            <v>19</v>
          </cell>
          <cell r="F775">
            <v>1</v>
          </cell>
          <cell r="I775">
            <v>46227</v>
          </cell>
          <cell r="J775">
            <v>0</v>
          </cell>
          <cell r="K775">
            <v>36</v>
          </cell>
          <cell r="L775">
            <v>0</v>
          </cell>
          <cell r="M775">
            <v>0</v>
          </cell>
        </row>
        <row r="776">
          <cell r="C776">
            <v>29</v>
          </cell>
          <cell r="F776">
            <v>1</v>
          </cell>
          <cell r="I776">
            <v>46227</v>
          </cell>
          <cell r="J776">
            <v>0</v>
          </cell>
          <cell r="K776">
            <v>1</v>
          </cell>
          <cell r="L776">
            <v>0</v>
          </cell>
          <cell r="M776">
            <v>0</v>
          </cell>
        </row>
        <row r="777">
          <cell r="C777">
            <v>359</v>
          </cell>
          <cell r="F777">
            <v>1</v>
          </cell>
          <cell r="I777">
            <v>46227</v>
          </cell>
          <cell r="J777">
            <v>0</v>
          </cell>
          <cell r="K777">
            <v>4</v>
          </cell>
          <cell r="L777">
            <v>0</v>
          </cell>
          <cell r="M777">
            <v>0</v>
          </cell>
        </row>
        <row r="778">
          <cell r="C778">
            <v>26</v>
          </cell>
          <cell r="F778">
            <v>1</v>
          </cell>
          <cell r="I778">
            <v>46227</v>
          </cell>
          <cell r="J778">
            <v>0</v>
          </cell>
          <cell r="K778">
            <v>2</v>
          </cell>
          <cell r="L778">
            <v>0</v>
          </cell>
          <cell r="M778">
            <v>0</v>
          </cell>
        </row>
        <row r="779">
          <cell r="C779">
            <v>176</v>
          </cell>
          <cell r="F779">
            <v>1</v>
          </cell>
          <cell r="I779">
            <v>46227</v>
          </cell>
          <cell r="J779">
            <v>0</v>
          </cell>
          <cell r="K779">
            <v>50</v>
          </cell>
          <cell r="L779">
            <v>0</v>
          </cell>
          <cell r="M779">
            <v>0</v>
          </cell>
        </row>
        <row r="780">
          <cell r="C780">
            <v>235</v>
          </cell>
          <cell r="F780">
            <v>1</v>
          </cell>
          <cell r="I780">
            <v>46228</v>
          </cell>
          <cell r="J780">
            <v>0</v>
          </cell>
          <cell r="K780">
            <v>12</v>
          </cell>
          <cell r="L780">
            <v>0</v>
          </cell>
          <cell r="M780">
            <v>0</v>
          </cell>
        </row>
        <row r="781">
          <cell r="C781">
            <v>197</v>
          </cell>
          <cell r="F781">
            <v>1</v>
          </cell>
          <cell r="I781">
            <v>46228</v>
          </cell>
          <cell r="J781">
            <v>0</v>
          </cell>
          <cell r="K781">
            <v>12</v>
          </cell>
          <cell r="L781">
            <v>0</v>
          </cell>
          <cell r="M781">
            <v>0</v>
          </cell>
        </row>
        <row r="782">
          <cell r="C782">
            <v>187</v>
          </cell>
          <cell r="F782">
            <v>1</v>
          </cell>
          <cell r="I782">
            <v>46228</v>
          </cell>
          <cell r="J782">
            <v>0</v>
          </cell>
          <cell r="K782">
            <v>40</v>
          </cell>
          <cell r="L782">
            <v>0</v>
          </cell>
          <cell r="M782">
            <v>0</v>
          </cell>
        </row>
        <row r="783">
          <cell r="C783">
            <v>181</v>
          </cell>
          <cell r="F783">
            <v>1</v>
          </cell>
          <cell r="I783">
            <v>46228</v>
          </cell>
          <cell r="J783">
            <v>0</v>
          </cell>
          <cell r="K783">
            <v>12</v>
          </cell>
          <cell r="L783">
            <v>0</v>
          </cell>
          <cell r="M783">
            <v>0</v>
          </cell>
        </row>
        <row r="784">
          <cell r="C784">
            <v>195</v>
          </cell>
          <cell r="F784">
            <v>1</v>
          </cell>
          <cell r="I784">
            <v>46228</v>
          </cell>
          <cell r="J784">
            <v>0</v>
          </cell>
          <cell r="K784">
            <v>16</v>
          </cell>
          <cell r="L784">
            <v>0</v>
          </cell>
          <cell r="M784">
            <v>0</v>
          </cell>
        </row>
        <row r="785">
          <cell r="C785">
            <v>177</v>
          </cell>
          <cell r="F785">
            <v>1</v>
          </cell>
          <cell r="I785">
            <v>46228</v>
          </cell>
          <cell r="J785">
            <v>0</v>
          </cell>
          <cell r="K785">
            <v>50</v>
          </cell>
          <cell r="L785">
            <v>0</v>
          </cell>
          <cell r="M785">
            <v>0</v>
          </cell>
        </row>
        <row r="786">
          <cell r="C786">
            <v>179</v>
          </cell>
          <cell r="F786">
            <v>1</v>
          </cell>
          <cell r="I786">
            <v>46228</v>
          </cell>
          <cell r="J786">
            <v>0</v>
          </cell>
          <cell r="K786">
            <v>500</v>
          </cell>
          <cell r="L786">
            <v>0</v>
          </cell>
          <cell r="M786">
            <v>0</v>
          </cell>
        </row>
        <row r="787">
          <cell r="C787">
            <v>240</v>
          </cell>
          <cell r="F787">
            <v>1</v>
          </cell>
          <cell r="I787">
            <v>46228</v>
          </cell>
          <cell r="J787">
            <v>0</v>
          </cell>
          <cell r="K787">
            <v>36</v>
          </cell>
          <cell r="L787">
            <v>0</v>
          </cell>
          <cell r="M787">
            <v>0</v>
          </cell>
        </row>
        <row r="788">
          <cell r="C788">
            <v>305</v>
          </cell>
          <cell r="F788">
            <v>1</v>
          </cell>
          <cell r="I788">
            <v>46229</v>
          </cell>
          <cell r="J788">
            <v>0</v>
          </cell>
          <cell r="K788">
            <v>1000</v>
          </cell>
          <cell r="L788">
            <v>0</v>
          </cell>
          <cell r="M788">
            <v>0</v>
          </cell>
        </row>
        <row r="789">
          <cell r="C789">
            <v>293</v>
          </cell>
          <cell r="F789">
            <v>1</v>
          </cell>
          <cell r="I789">
            <v>46229</v>
          </cell>
          <cell r="J789">
            <v>0</v>
          </cell>
          <cell r="K789">
            <v>175</v>
          </cell>
          <cell r="L789">
            <v>0</v>
          </cell>
          <cell r="M789">
            <v>0</v>
          </cell>
        </row>
        <row r="790">
          <cell r="C790">
            <v>177</v>
          </cell>
          <cell r="F790">
            <v>1</v>
          </cell>
          <cell r="I790">
            <v>46229</v>
          </cell>
          <cell r="J790">
            <v>0</v>
          </cell>
          <cell r="K790">
            <v>750</v>
          </cell>
          <cell r="L790">
            <v>0</v>
          </cell>
          <cell r="M790">
            <v>0</v>
          </cell>
        </row>
        <row r="791">
          <cell r="C791">
            <v>296</v>
          </cell>
          <cell r="F791">
            <v>1</v>
          </cell>
          <cell r="I791">
            <v>46229</v>
          </cell>
          <cell r="J791">
            <v>0</v>
          </cell>
          <cell r="K791">
            <v>1</v>
          </cell>
          <cell r="L791">
            <v>0</v>
          </cell>
          <cell r="M791">
            <v>0</v>
          </cell>
        </row>
        <row r="792">
          <cell r="C792">
            <v>339</v>
          </cell>
          <cell r="F792">
            <v>1</v>
          </cell>
          <cell r="I792">
            <v>46229</v>
          </cell>
          <cell r="J792">
            <v>0</v>
          </cell>
          <cell r="K792">
            <v>10</v>
          </cell>
          <cell r="L792">
            <v>0</v>
          </cell>
          <cell r="M792">
            <v>0</v>
          </cell>
        </row>
        <row r="793">
          <cell r="C793">
            <v>176</v>
          </cell>
          <cell r="F793">
            <v>1</v>
          </cell>
          <cell r="I793">
            <v>46230</v>
          </cell>
          <cell r="J793">
            <v>0</v>
          </cell>
          <cell r="K793">
            <v>1050</v>
          </cell>
          <cell r="L793">
            <v>0</v>
          </cell>
          <cell r="M793">
            <v>0</v>
          </cell>
        </row>
        <row r="794">
          <cell r="C794">
            <v>288</v>
          </cell>
          <cell r="F794">
            <v>1</v>
          </cell>
          <cell r="I794">
            <v>46230</v>
          </cell>
          <cell r="J794">
            <v>0</v>
          </cell>
          <cell r="K794">
            <v>36</v>
          </cell>
          <cell r="L794">
            <v>0</v>
          </cell>
          <cell r="M794">
            <v>0</v>
          </cell>
        </row>
        <row r="795">
          <cell r="C795">
            <v>289</v>
          </cell>
          <cell r="F795">
            <v>1</v>
          </cell>
          <cell r="I795">
            <v>46230</v>
          </cell>
          <cell r="J795">
            <v>0</v>
          </cell>
          <cell r="K795">
            <v>40</v>
          </cell>
          <cell r="L795">
            <v>0</v>
          </cell>
          <cell r="M795">
            <v>0</v>
          </cell>
        </row>
        <row r="796">
          <cell r="C796">
            <v>304</v>
          </cell>
          <cell r="F796">
            <v>1</v>
          </cell>
          <cell r="I796">
            <v>46230</v>
          </cell>
          <cell r="J796">
            <v>0</v>
          </cell>
          <cell r="K796">
            <v>12</v>
          </cell>
          <cell r="L796">
            <v>0</v>
          </cell>
          <cell r="M796">
            <v>0</v>
          </cell>
        </row>
        <row r="797">
          <cell r="C797">
            <v>243</v>
          </cell>
          <cell r="F797">
            <v>1</v>
          </cell>
          <cell r="I797">
            <v>46230</v>
          </cell>
          <cell r="J797">
            <v>0</v>
          </cell>
          <cell r="K797">
            <v>1</v>
          </cell>
          <cell r="L797">
            <v>0</v>
          </cell>
          <cell r="M797">
            <v>0</v>
          </cell>
        </row>
        <row r="798">
          <cell r="C798">
            <v>56</v>
          </cell>
          <cell r="F798">
            <v>1</v>
          </cell>
          <cell r="I798">
            <v>46230</v>
          </cell>
          <cell r="J798">
            <v>0</v>
          </cell>
          <cell r="K798">
            <v>1</v>
          </cell>
          <cell r="L798">
            <v>0</v>
          </cell>
          <cell r="M798">
            <v>0</v>
          </cell>
        </row>
        <row r="799">
          <cell r="C799">
            <v>266</v>
          </cell>
          <cell r="F799">
            <v>1</v>
          </cell>
          <cell r="I799">
            <v>46230</v>
          </cell>
          <cell r="J799">
            <v>0</v>
          </cell>
          <cell r="K799">
            <v>4</v>
          </cell>
          <cell r="L799">
            <v>0</v>
          </cell>
          <cell r="M799">
            <v>0</v>
          </cell>
        </row>
        <row r="800">
          <cell r="C800">
            <v>50</v>
          </cell>
          <cell r="F800">
            <v>1</v>
          </cell>
          <cell r="I800">
            <v>46230</v>
          </cell>
          <cell r="J800">
            <v>0</v>
          </cell>
          <cell r="K800">
            <v>13</v>
          </cell>
          <cell r="L800">
            <v>0</v>
          </cell>
          <cell r="M800">
            <v>0</v>
          </cell>
        </row>
        <row r="801">
          <cell r="C801">
            <v>249</v>
          </cell>
          <cell r="F801">
            <v>1</v>
          </cell>
          <cell r="I801">
            <v>46230</v>
          </cell>
          <cell r="J801">
            <v>0</v>
          </cell>
          <cell r="K801">
            <v>2</v>
          </cell>
          <cell r="L801">
            <v>0</v>
          </cell>
          <cell r="M801">
            <v>0</v>
          </cell>
        </row>
        <row r="802">
          <cell r="C802">
            <v>248</v>
          </cell>
          <cell r="F802">
            <v>1</v>
          </cell>
          <cell r="I802">
            <v>46230</v>
          </cell>
          <cell r="J802">
            <v>0</v>
          </cell>
          <cell r="K802">
            <v>4</v>
          </cell>
          <cell r="L802">
            <v>0</v>
          </cell>
          <cell r="M802">
            <v>0</v>
          </cell>
        </row>
        <row r="803">
          <cell r="C803">
            <v>342</v>
          </cell>
          <cell r="F803">
            <v>1</v>
          </cell>
          <cell r="I803">
            <v>46230</v>
          </cell>
          <cell r="J803">
            <v>0</v>
          </cell>
          <cell r="K803">
            <v>4</v>
          </cell>
          <cell r="L803">
            <v>0</v>
          </cell>
          <cell r="M803">
            <v>0</v>
          </cell>
        </row>
        <row r="804">
          <cell r="C804">
            <v>250</v>
          </cell>
          <cell r="F804">
            <v>1</v>
          </cell>
          <cell r="I804">
            <v>46230</v>
          </cell>
          <cell r="J804">
            <v>0</v>
          </cell>
          <cell r="K804">
            <v>12</v>
          </cell>
          <cell r="L804">
            <v>0</v>
          </cell>
          <cell r="M804">
            <v>0</v>
          </cell>
        </row>
        <row r="805">
          <cell r="C805">
            <v>284</v>
          </cell>
          <cell r="F805">
            <v>1</v>
          </cell>
          <cell r="I805">
            <v>46230</v>
          </cell>
          <cell r="J805">
            <v>0</v>
          </cell>
          <cell r="K805">
            <v>10</v>
          </cell>
          <cell r="L805">
            <v>0</v>
          </cell>
          <cell r="M805">
            <v>0</v>
          </cell>
        </row>
        <row r="806">
          <cell r="C806">
            <v>254</v>
          </cell>
          <cell r="F806">
            <v>1</v>
          </cell>
          <cell r="I806">
            <v>46230</v>
          </cell>
          <cell r="J806">
            <v>0</v>
          </cell>
          <cell r="K806">
            <v>3</v>
          </cell>
          <cell r="L806">
            <v>0</v>
          </cell>
          <cell r="M806">
            <v>0</v>
          </cell>
        </row>
        <row r="807">
          <cell r="C807">
            <v>343</v>
          </cell>
          <cell r="F807">
            <v>1</v>
          </cell>
          <cell r="I807">
            <v>46230</v>
          </cell>
          <cell r="J807">
            <v>0</v>
          </cell>
          <cell r="K807">
            <v>1</v>
          </cell>
          <cell r="L807">
            <v>0</v>
          </cell>
          <cell r="M807">
            <v>0</v>
          </cell>
        </row>
        <row r="808">
          <cell r="C808">
            <v>46</v>
          </cell>
          <cell r="F808">
            <v>1</v>
          </cell>
          <cell r="I808">
            <v>46230</v>
          </cell>
          <cell r="J808">
            <v>0</v>
          </cell>
          <cell r="K808">
            <v>2</v>
          </cell>
          <cell r="L808">
            <v>0</v>
          </cell>
          <cell r="M808">
            <v>0</v>
          </cell>
        </row>
        <row r="809">
          <cell r="C809">
            <v>259</v>
          </cell>
          <cell r="F809">
            <v>1</v>
          </cell>
          <cell r="I809">
            <v>46230</v>
          </cell>
          <cell r="J809">
            <v>0</v>
          </cell>
          <cell r="K809">
            <v>2</v>
          </cell>
          <cell r="L809">
            <v>0</v>
          </cell>
          <cell r="M809">
            <v>0</v>
          </cell>
        </row>
        <row r="810">
          <cell r="C810">
            <v>226</v>
          </cell>
          <cell r="F810">
            <v>1</v>
          </cell>
          <cell r="I810">
            <v>46230</v>
          </cell>
          <cell r="J810">
            <v>0</v>
          </cell>
          <cell r="K810">
            <v>1</v>
          </cell>
          <cell r="L810">
            <v>0</v>
          </cell>
          <cell r="M810">
            <v>0</v>
          </cell>
        </row>
        <row r="811">
          <cell r="C811">
            <v>349</v>
          </cell>
          <cell r="F811">
            <v>1</v>
          </cell>
          <cell r="I811">
            <v>46230</v>
          </cell>
          <cell r="J811">
            <v>0</v>
          </cell>
          <cell r="K811">
            <v>1</v>
          </cell>
          <cell r="L811">
            <v>0</v>
          </cell>
          <cell r="M811">
            <v>0</v>
          </cell>
        </row>
        <row r="812">
          <cell r="C812">
            <v>267</v>
          </cell>
          <cell r="F812">
            <v>1</v>
          </cell>
          <cell r="I812">
            <v>46230</v>
          </cell>
          <cell r="J812">
            <v>0</v>
          </cell>
          <cell r="K812">
            <v>1</v>
          </cell>
          <cell r="L812">
            <v>0</v>
          </cell>
          <cell r="M812">
            <v>0</v>
          </cell>
        </row>
        <row r="813">
          <cell r="C813">
            <v>360</v>
          </cell>
          <cell r="F813">
            <v>1</v>
          </cell>
          <cell r="I813">
            <v>46230</v>
          </cell>
          <cell r="J813">
            <v>0</v>
          </cell>
          <cell r="K813">
            <v>4</v>
          </cell>
          <cell r="L813">
            <v>0</v>
          </cell>
          <cell r="M813">
            <v>0</v>
          </cell>
        </row>
        <row r="814">
          <cell r="C814">
            <v>324</v>
          </cell>
          <cell r="F814">
            <v>1</v>
          </cell>
          <cell r="I814">
            <v>46230</v>
          </cell>
          <cell r="J814">
            <v>0</v>
          </cell>
          <cell r="K814">
            <v>1</v>
          </cell>
          <cell r="L814">
            <v>0</v>
          </cell>
          <cell r="M814">
            <v>0</v>
          </cell>
        </row>
        <row r="815">
          <cell r="C815">
            <v>291</v>
          </cell>
          <cell r="F815">
            <v>1</v>
          </cell>
          <cell r="I815">
            <v>46230</v>
          </cell>
          <cell r="J815">
            <v>0</v>
          </cell>
          <cell r="K815">
            <v>1</v>
          </cell>
          <cell r="L815">
            <v>0</v>
          </cell>
          <cell r="M815">
            <v>0</v>
          </cell>
        </row>
        <row r="816">
          <cell r="C816">
            <v>346</v>
          </cell>
          <cell r="F816">
            <v>1</v>
          </cell>
          <cell r="I816">
            <v>46230</v>
          </cell>
          <cell r="J816">
            <v>0</v>
          </cell>
          <cell r="K816">
            <v>1</v>
          </cell>
          <cell r="L816">
            <v>0</v>
          </cell>
          <cell r="M816">
            <v>0</v>
          </cell>
        </row>
        <row r="817">
          <cell r="C817">
            <v>322</v>
          </cell>
          <cell r="F817">
            <v>1</v>
          </cell>
          <cell r="I817">
            <v>46230</v>
          </cell>
          <cell r="J817">
            <v>0</v>
          </cell>
          <cell r="K817">
            <v>1</v>
          </cell>
          <cell r="L817">
            <v>0</v>
          </cell>
          <cell r="M817">
            <v>0</v>
          </cell>
        </row>
        <row r="818">
          <cell r="C818">
            <v>219</v>
          </cell>
          <cell r="F818">
            <v>1</v>
          </cell>
          <cell r="I818">
            <v>46230</v>
          </cell>
          <cell r="J818">
            <v>0</v>
          </cell>
          <cell r="K818">
            <v>50</v>
          </cell>
          <cell r="L818">
            <v>0</v>
          </cell>
          <cell r="M818">
            <v>0</v>
          </cell>
        </row>
        <row r="819">
          <cell r="C819">
            <v>293</v>
          </cell>
          <cell r="F819">
            <v>1</v>
          </cell>
          <cell r="I819">
            <v>46230</v>
          </cell>
          <cell r="J819">
            <v>0</v>
          </cell>
          <cell r="K819">
            <v>2</v>
          </cell>
          <cell r="L819">
            <v>0</v>
          </cell>
          <cell r="M819">
            <v>0</v>
          </cell>
        </row>
        <row r="820">
          <cell r="C820">
            <v>215</v>
          </cell>
          <cell r="F820">
            <v>1</v>
          </cell>
          <cell r="I820">
            <v>46230</v>
          </cell>
          <cell r="J820">
            <v>0</v>
          </cell>
          <cell r="K820">
            <v>1</v>
          </cell>
          <cell r="L820">
            <v>0</v>
          </cell>
          <cell r="M820">
            <v>0</v>
          </cell>
        </row>
        <row r="821">
          <cell r="C821">
            <v>305</v>
          </cell>
          <cell r="F821">
            <v>1</v>
          </cell>
          <cell r="I821">
            <v>46230</v>
          </cell>
          <cell r="J821">
            <v>0</v>
          </cell>
          <cell r="K821">
            <v>1700</v>
          </cell>
          <cell r="L821">
            <v>0</v>
          </cell>
          <cell r="M821">
            <v>0</v>
          </cell>
        </row>
        <row r="822">
          <cell r="C822">
            <v>314</v>
          </cell>
          <cell r="F822">
            <v>1</v>
          </cell>
          <cell r="I822">
            <v>46231</v>
          </cell>
          <cell r="J822">
            <v>0</v>
          </cell>
          <cell r="K822">
            <v>1</v>
          </cell>
          <cell r="L822">
            <v>0</v>
          </cell>
          <cell r="M822">
            <v>0</v>
          </cell>
        </row>
        <row r="823">
          <cell r="C823">
            <v>309</v>
          </cell>
          <cell r="F823">
            <v>1</v>
          </cell>
          <cell r="I823">
            <v>46231</v>
          </cell>
          <cell r="J823">
            <v>0</v>
          </cell>
          <cell r="K823">
            <v>1</v>
          </cell>
          <cell r="L823">
            <v>0</v>
          </cell>
          <cell r="M823">
            <v>0</v>
          </cell>
        </row>
        <row r="824">
          <cell r="C824">
            <v>305</v>
          </cell>
          <cell r="F824">
            <v>1</v>
          </cell>
          <cell r="I824">
            <v>46232</v>
          </cell>
          <cell r="J824">
            <v>0</v>
          </cell>
          <cell r="K824">
            <v>150</v>
          </cell>
          <cell r="L824">
            <v>0</v>
          </cell>
          <cell r="M824">
            <v>0</v>
          </cell>
        </row>
        <row r="825">
          <cell r="C825">
            <v>331</v>
          </cell>
          <cell r="F825">
            <v>1</v>
          </cell>
          <cell r="I825">
            <v>46232</v>
          </cell>
          <cell r="J825">
            <v>0</v>
          </cell>
          <cell r="K825">
            <v>6</v>
          </cell>
          <cell r="L825">
            <v>0</v>
          </cell>
          <cell r="M825">
            <v>0</v>
          </cell>
        </row>
        <row r="826">
          <cell r="C826">
            <v>218</v>
          </cell>
          <cell r="F826">
            <v>1</v>
          </cell>
          <cell r="I826">
            <v>46232</v>
          </cell>
          <cell r="J826">
            <v>0</v>
          </cell>
          <cell r="K826">
            <v>1</v>
          </cell>
          <cell r="L826">
            <v>0</v>
          </cell>
          <cell r="M826">
            <v>0</v>
          </cell>
        </row>
        <row r="827">
          <cell r="C827">
            <v>222</v>
          </cell>
          <cell r="F827">
            <v>1</v>
          </cell>
          <cell r="I827">
            <v>46232</v>
          </cell>
          <cell r="J827">
            <v>0</v>
          </cell>
          <cell r="K827">
            <v>1</v>
          </cell>
          <cell r="L827">
            <v>0</v>
          </cell>
          <cell r="M827">
            <v>0</v>
          </cell>
        </row>
        <row r="828">
          <cell r="C828">
            <v>232</v>
          </cell>
          <cell r="F828">
            <v>1</v>
          </cell>
          <cell r="I828">
            <v>46232</v>
          </cell>
          <cell r="J828">
            <v>0</v>
          </cell>
          <cell r="K828">
            <v>1</v>
          </cell>
          <cell r="L828">
            <v>0</v>
          </cell>
          <cell r="M828">
            <v>0</v>
          </cell>
        </row>
        <row r="829">
          <cell r="C829">
            <v>216</v>
          </cell>
          <cell r="F829">
            <v>1</v>
          </cell>
          <cell r="I829">
            <v>46232</v>
          </cell>
          <cell r="J829">
            <v>0</v>
          </cell>
          <cell r="K829">
            <v>10</v>
          </cell>
          <cell r="L829">
            <v>0</v>
          </cell>
          <cell r="M829">
            <v>0</v>
          </cell>
        </row>
        <row r="830">
          <cell r="C830">
            <v>221</v>
          </cell>
          <cell r="F830">
            <v>1</v>
          </cell>
          <cell r="I830">
            <v>46232</v>
          </cell>
          <cell r="J830">
            <v>0</v>
          </cell>
          <cell r="K830">
            <v>4</v>
          </cell>
          <cell r="L830">
            <v>0</v>
          </cell>
          <cell r="M830">
            <v>0</v>
          </cell>
        </row>
        <row r="831">
          <cell r="C831">
            <v>275</v>
          </cell>
          <cell r="F831">
            <v>1</v>
          </cell>
          <cell r="I831">
            <v>46232</v>
          </cell>
          <cell r="J831">
            <v>0</v>
          </cell>
          <cell r="K831">
            <v>1</v>
          </cell>
          <cell r="L831">
            <v>0</v>
          </cell>
          <cell r="M831">
            <v>0</v>
          </cell>
        </row>
        <row r="832">
          <cell r="C832">
            <v>229</v>
          </cell>
          <cell r="F832">
            <v>1</v>
          </cell>
          <cell r="I832">
            <v>46232</v>
          </cell>
          <cell r="J832">
            <v>0</v>
          </cell>
          <cell r="K832">
            <v>5</v>
          </cell>
          <cell r="L832">
            <v>0</v>
          </cell>
          <cell r="M832">
            <v>0</v>
          </cell>
        </row>
        <row r="833">
          <cell r="C833">
            <v>276</v>
          </cell>
          <cell r="F833">
            <v>1</v>
          </cell>
          <cell r="I833">
            <v>46232</v>
          </cell>
          <cell r="J833">
            <v>0</v>
          </cell>
          <cell r="K833">
            <v>2</v>
          </cell>
          <cell r="L833">
            <v>0</v>
          </cell>
          <cell r="M833">
            <v>0</v>
          </cell>
        </row>
        <row r="834">
          <cell r="C834">
            <v>361</v>
          </cell>
          <cell r="F834">
            <v>1</v>
          </cell>
          <cell r="I834">
            <v>46232</v>
          </cell>
          <cell r="J834">
            <v>0</v>
          </cell>
          <cell r="K834">
            <v>10</v>
          </cell>
          <cell r="L834">
            <v>0</v>
          </cell>
          <cell r="M834">
            <v>0</v>
          </cell>
        </row>
        <row r="835">
          <cell r="C835">
            <v>320</v>
          </cell>
          <cell r="F835">
            <v>1</v>
          </cell>
          <cell r="I835">
            <v>46232</v>
          </cell>
          <cell r="J835">
            <v>0</v>
          </cell>
          <cell r="K835">
            <v>2</v>
          </cell>
          <cell r="L835">
            <v>0</v>
          </cell>
          <cell r="M835">
            <v>0</v>
          </cell>
        </row>
        <row r="836">
          <cell r="C836">
            <v>7</v>
          </cell>
          <cell r="F836">
            <v>1</v>
          </cell>
          <cell r="I836">
            <v>46232</v>
          </cell>
          <cell r="J836">
            <v>0</v>
          </cell>
          <cell r="K836">
            <v>4</v>
          </cell>
          <cell r="L836">
            <v>0</v>
          </cell>
          <cell r="M836">
            <v>0</v>
          </cell>
        </row>
        <row r="837">
          <cell r="C837">
            <v>176</v>
          </cell>
          <cell r="F837">
            <v>1</v>
          </cell>
          <cell r="I837">
            <v>46232</v>
          </cell>
          <cell r="J837">
            <v>0</v>
          </cell>
          <cell r="K837">
            <v>400</v>
          </cell>
          <cell r="L837">
            <v>0</v>
          </cell>
          <cell r="M837">
            <v>0</v>
          </cell>
        </row>
        <row r="838">
          <cell r="C838">
            <v>11</v>
          </cell>
          <cell r="F838">
            <v>1</v>
          </cell>
          <cell r="I838">
            <v>46232</v>
          </cell>
          <cell r="J838">
            <v>0</v>
          </cell>
          <cell r="K838">
            <v>20</v>
          </cell>
          <cell r="L838">
            <v>0</v>
          </cell>
          <cell r="M838">
            <v>0</v>
          </cell>
        </row>
        <row r="839">
          <cell r="C839">
            <v>13</v>
          </cell>
          <cell r="F839">
            <v>1</v>
          </cell>
          <cell r="I839">
            <v>46232</v>
          </cell>
          <cell r="J839">
            <v>0</v>
          </cell>
          <cell r="K839">
            <v>4</v>
          </cell>
          <cell r="L839">
            <v>0</v>
          </cell>
          <cell r="M839">
            <v>0</v>
          </cell>
        </row>
        <row r="840">
          <cell r="C840">
            <v>16</v>
          </cell>
          <cell r="F840">
            <v>1</v>
          </cell>
          <cell r="I840">
            <v>46232</v>
          </cell>
          <cell r="J840">
            <v>0</v>
          </cell>
          <cell r="K840">
            <v>4</v>
          </cell>
          <cell r="L840">
            <v>0</v>
          </cell>
          <cell r="M840">
            <v>0</v>
          </cell>
        </row>
        <row r="841">
          <cell r="C841">
            <v>30</v>
          </cell>
          <cell r="F841">
            <v>1</v>
          </cell>
          <cell r="I841">
            <v>46232</v>
          </cell>
          <cell r="J841">
            <v>0</v>
          </cell>
          <cell r="K841">
            <v>1</v>
          </cell>
          <cell r="L841">
            <v>0</v>
          </cell>
          <cell r="M841">
            <v>0</v>
          </cell>
        </row>
        <row r="842">
          <cell r="C842">
            <v>26</v>
          </cell>
          <cell r="F842">
            <v>1</v>
          </cell>
          <cell r="I842">
            <v>46232</v>
          </cell>
          <cell r="J842">
            <v>0</v>
          </cell>
          <cell r="K842">
            <v>1</v>
          </cell>
          <cell r="L842">
            <v>0</v>
          </cell>
          <cell r="M842">
            <v>0</v>
          </cell>
        </row>
        <row r="843">
          <cell r="C843">
            <v>52</v>
          </cell>
          <cell r="F843">
            <v>1</v>
          </cell>
          <cell r="I843">
            <v>46232</v>
          </cell>
          <cell r="J843">
            <v>0</v>
          </cell>
          <cell r="K843">
            <v>2</v>
          </cell>
          <cell r="L843">
            <v>0</v>
          </cell>
          <cell r="M843">
            <v>0</v>
          </cell>
        </row>
        <row r="844">
          <cell r="C844">
            <v>247</v>
          </cell>
          <cell r="F844">
            <v>1</v>
          </cell>
          <cell r="I844">
            <v>46232</v>
          </cell>
          <cell r="J844">
            <v>0</v>
          </cell>
          <cell r="K844">
            <v>6</v>
          </cell>
          <cell r="L844">
            <v>0</v>
          </cell>
          <cell r="M844">
            <v>0</v>
          </cell>
        </row>
        <row r="845">
          <cell r="C845">
            <v>42</v>
          </cell>
          <cell r="F845">
            <v>1</v>
          </cell>
          <cell r="I845">
            <v>46232</v>
          </cell>
          <cell r="J845">
            <v>0</v>
          </cell>
          <cell r="K845">
            <v>1</v>
          </cell>
          <cell r="L845">
            <v>0</v>
          </cell>
          <cell r="M845">
            <v>0</v>
          </cell>
        </row>
        <row r="846">
          <cell r="C846">
            <v>243</v>
          </cell>
          <cell r="F846">
            <v>1</v>
          </cell>
          <cell r="I846">
            <v>46232</v>
          </cell>
          <cell r="J846">
            <v>0</v>
          </cell>
          <cell r="K846">
            <v>1</v>
          </cell>
          <cell r="L846">
            <v>0</v>
          </cell>
          <cell r="M846">
            <v>0</v>
          </cell>
        </row>
        <row r="847">
          <cell r="C847">
            <v>188</v>
          </cell>
          <cell r="F847">
            <v>1</v>
          </cell>
          <cell r="I847">
            <v>46232</v>
          </cell>
          <cell r="J847">
            <v>0</v>
          </cell>
          <cell r="K847">
            <v>12</v>
          </cell>
          <cell r="L847">
            <v>0</v>
          </cell>
          <cell r="M847">
            <v>0</v>
          </cell>
        </row>
        <row r="848">
          <cell r="C848">
            <v>355</v>
          </cell>
          <cell r="F848">
            <v>1</v>
          </cell>
          <cell r="I848">
            <v>46232</v>
          </cell>
          <cell r="J848">
            <v>0</v>
          </cell>
          <cell r="K848">
            <v>1</v>
          </cell>
          <cell r="L848">
            <v>0</v>
          </cell>
          <cell r="M848">
            <v>0</v>
          </cell>
        </row>
        <row r="849">
          <cell r="C849">
            <v>362</v>
          </cell>
          <cell r="F849">
            <v>1</v>
          </cell>
          <cell r="I849">
            <v>46232</v>
          </cell>
          <cell r="J849">
            <v>0</v>
          </cell>
          <cell r="K849">
            <v>10</v>
          </cell>
          <cell r="L849">
            <v>0</v>
          </cell>
          <cell r="M849">
            <v>0</v>
          </cell>
        </row>
        <row r="850">
          <cell r="C850">
            <v>334</v>
          </cell>
          <cell r="F850">
            <v>1</v>
          </cell>
          <cell r="I850">
            <v>46232</v>
          </cell>
          <cell r="J850">
            <v>0</v>
          </cell>
          <cell r="K850">
            <v>2</v>
          </cell>
          <cell r="L850">
            <v>0</v>
          </cell>
          <cell r="M850">
            <v>0</v>
          </cell>
        </row>
        <row r="851">
          <cell r="C851">
            <v>293</v>
          </cell>
          <cell r="F851">
            <v>1</v>
          </cell>
          <cell r="I851">
            <v>46232</v>
          </cell>
          <cell r="J851">
            <v>0</v>
          </cell>
          <cell r="K851">
            <v>35</v>
          </cell>
          <cell r="L851">
            <v>0</v>
          </cell>
          <cell r="M851">
            <v>0</v>
          </cell>
        </row>
        <row r="852">
          <cell r="C852">
            <v>305</v>
          </cell>
          <cell r="F852">
            <v>1</v>
          </cell>
          <cell r="I852">
            <v>46233</v>
          </cell>
          <cell r="J852">
            <v>0</v>
          </cell>
          <cell r="K852">
            <v>2000</v>
          </cell>
          <cell r="L852">
            <v>0</v>
          </cell>
          <cell r="M852">
            <v>0</v>
          </cell>
        </row>
        <row r="853">
          <cell r="C853">
            <v>176</v>
          </cell>
          <cell r="F853">
            <v>1</v>
          </cell>
          <cell r="I853">
            <v>46233</v>
          </cell>
          <cell r="J853">
            <v>0</v>
          </cell>
          <cell r="K853">
            <v>500</v>
          </cell>
          <cell r="L853">
            <v>0</v>
          </cell>
          <cell r="M853">
            <v>0</v>
          </cell>
        </row>
        <row r="854">
          <cell r="C854">
            <v>305</v>
          </cell>
          <cell r="F854">
            <v>1</v>
          </cell>
          <cell r="I854">
            <v>46234</v>
          </cell>
          <cell r="J854">
            <v>0</v>
          </cell>
          <cell r="K854">
            <v>2000</v>
          </cell>
          <cell r="L854">
            <v>0</v>
          </cell>
          <cell r="M854">
            <v>0</v>
          </cell>
        </row>
        <row r="855">
          <cell r="C855">
            <v>177</v>
          </cell>
          <cell r="F855">
            <v>1</v>
          </cell>
          <cell r="I855">
            <v>46234</v>
          </cell>
          <cell r="J855">
            <v>0</v>
          </cell>
          <cell r="K855">
            <v>100</v>
          </cell>
          <cell r="L855">
            <v>0</v>
          </cell>
          <cell r="M855">
            <v>0</v>
          </cell>
        </row>
        <row r="856">
          <cell r="C856">
            <v>294</v>
          </cell>
          <cell r="F856">
            <v>1</v>
          </cell>
          <cell r="I856">
            <v>46234</v>
          </cell>
          <cell r="J856">
            <v>0</v>
          </cell>
          <cell r="K856">
            <v>35</v>
          </cell>
          <cell r="L856">
            <v>0</v>
          </cell>
          <cell r="M856">
            <v>0</v>
          </cell>
        </row>
        <row r="857">
          <cell r="C857">
            <v>176</v>
          </cell>
          <cell r="F857">
            <v>1</v>
          </cell>
          <cell r="I857">
            <v>46234</v>
          </cell>
          <cell r="J857">
            <v>0</v>
          </cell>
          <cell r="K857">
            <v>400</v>
          </cell>
          <cell r="L857">
            <v>0</v>
          </cell>
          <cell r="M857">
            <v>0</v>
          </cell>
        </row>
        <row r="858">
          <cell r="C858">
            <v>187</v>
          </cell>
          <cell r="F858">
            <v>1</v>
          </cell>
          <cell r="I858">
            <v>46234</v>
          </cell>
          <cell r="J858">
            <v>0</v>
          </cell>
          <cell r="K858">
            <v>8</v>
          </cell>
          <cell r="L858">
            <v>0</v>
          </cell>
          <cell r="M858">
            <v>0</v>
          </cell>
        </row>
        <row r="859">
          <cell r="C859">
            <v>193</v>
          </cell>
          <cell r="F859">
            <v>1</v>
          </cell>
          <cell r="I859">
            <v>46234</v>
          </cell>
          <cell r="J859">
            <v>0</v>
          </cell>
          <cell r="K859">
            <v>8</v>
          </cell>
          <cell r="L859">
            <v>0</v>
          </cell>
          <cell r="M859">
            <v>0</v>
          </cell>
        </row>
        <row r="860">
          <cell r="C860">
            <v>326</v>
          </cell>
          <cell r="F860">
            <v>1</v>
          </cell>
          <cell r="I860">
            <v>46234</v>
          </cell>
          <cell r="J860">
            <v>0</v>
          </cell>
          <cell r="K860">
            <v>1</v>
          </cell>
          <cell r="L860">
            <v>0</v>
          </cell>
          <cell r="M860">
            <v>0</v>
          </cell>
        </row>
        <row r="861">
          <cell r="C861">
            <v>330</v>
          </cell>
          <cell r="F861">
            <v>1</v>
          </cell>
          <cell r="I861">
            <v>46234</v>
          </cell>
          <cell r="J861">
            <v>0</v>
          </cell>
          <cell r="K861">
            <v>2</v>
          </cell>
          <cell r="L861">
            <v>0</v>
          </cell>
          <cell r="M861">
            <v>0</v>
          </cell>
        </row>
        <row r="862">
          <cell r="C862">
            <v>269</v>
          </cell>
          <cell r="F862">
            <v>1</v>
          </cell>
          <cell r="I862">
            <v>46234</v>
          </cell>
          <cell r="J862">
            <v>0</v>
          </cell>
          <cell r="K862">
            <v>2</v>
          </cell>
          <cell r="L862">
            <v>0</v>
          </cell>
          <cell r="M862">
            <v>0</v>
          </cell>
        </row>
        <row r="863">
          <cell r="C863">
            <v>237</v>
          </cell>
          <cell r="F863">
            <v>1</v>
          </cell>
          <cell r="I863">
            <v>46234</v>
          </cell>
          <cell r="J863">
            <v>0</v>
          </cell>
          <cell r="K863">
            <v>6</v>
          </cell>
          <cell r="L863">
            <v>0</v>
          </cell>
          <cell r="M863">
            <v>0</v>
          </cell>
        </row>
        <row r="864">
          <cell r="C864">
            <v>301</v>
          </cell>
          <cell r="F864">
            <v>1</v>
          </cell>
          <cell r="I864">
            <v>46234</v>
          </cell>
          <cell r="J864">
            <v>0</v>
          </cell>
          <cell r="K864">
            <v>5</v>
          </cell>
          <cell r="L864">
            <v>0</v>
          </cell>
          <cell r="M864">
            <v>0</v>
          </cell>
        </row>
        <row r="865">
          <cell r="C865">
            <v>302</v>
          </cell>
          <cell r="F865">
            <v>1</v>
          </cell>
          <cell r="I865">
            <v>46234</v>
          </cell>
          <cell r="J865">
            <v>0</v>
          </cell>
          <cell r="K865">
            <v>1</v>
          </cell>
          <cell r="L865">
            <v>0</v>
          </cell>
          <cell r="M865">
            <v>0</v>
          </cell>
        </row>
        <row r="866">
          <cell r="C866">
            <v>313</v>
          </cell>
          <cell r="F866">
            <v>1</v>
          </cell>
          <cell r="I866">
            <v>46234</v>
          </cell>
          <cell r="J866">
            <v>0</v>
          </cell>
          <cell r="K866">
            <v>1</v>
          </cell>
          <cell r="L866">
            <v>0</v>
          </cell>
          <cell r="M866">
            <v>0</v>
          </cell>
        </row>
        <row r="867">
          <cell r="C867">
            <v>216</v>
          </cell>
          <cell r="F867">
            <v>1</v>
          </cell>
          <cell r="I867">
            <v>46234</v>
          </cell>
          <cell r="J867">
            <v>0</v>
          </cell>
          <cell r="K867">
            <v>12</v>
          </cell>
          <cell r="L867">
            <v>0</v>
          </cell>
          <cell r="M867">
            <v>0</v>
          </cell>
        </row>
        <row r="868">
          <cell r="C868">
            <v>362</v>
          </cell>
          <cell r="F868">
            <v>1</v>
          </cell>
          <cell r="I868">
            <v>46234</v>
          </cell>
          <cell r="J868">
            <v>0</v>
          </cell>
          <cell r="K868">
            <v>2</v>
          </cell>
          <cell r="L868">
            <v>0</v>
          </cell>
          <cell r="M868">
            <v>0</v>
          </cell>
        </row>
        <row r="869">
          <cell r="C869">
            <v>202</v>
          </cell>
          <cell r="F869">
            <v>1</v>
          </cell>
          <cell r="I869">
            <v>46234</v>
          </cell>
          <cell r="J869">
            <v>0</v>
          </cell>
          <cell r="K869">
            <v>1</v>
          </cell>
          <cell r="L869">
            <v>0</v>
          </cell>
          <cell r="M869">
            <v>0</v>
          </cell>
        </row>
        <row r="870">
          <cell r="C870">
            <v>332</v>
          </cell>
          <cell r="F870">
            <v>1</v>
          </cell>
          <cell r="I870">
            <v>46234</v>
          </cell>
          <cell r="J870">
            <v>0</v>
          </cell>
          <cell r="K870">
            <v>20</v>
          </cell>
          <cell r="L870">
            <v>0</v>
          </cell>
          <cell r="M870">
            <v>0</v>
          </cell>
        </row>
        <row r="871">
          <cell r="C871">
            <v>221</v>
          </cell>
          <cell r="F871">
            <v>1</v>
          </cell>
          <cell r="I871">
            <v>46234</v>
          </cell>
          <cell r="J871">
            <v>0</v>
          </cell>
          <cell r="K871">
            <v>2</v>
          </cell>
          <cell r="L871">
            <v>0</v>
          </cell>
          <cell r="M871">
            <v>0</v>
          </cell>
        </row>
        <row r="872">
          <cell r="C872">
            <v>220</v>
          </cell>
          <cell r="F872">
            <v>1</v>
          </cell>
          <cell r="I872">
            <v>46234</v>
          </cell>
          <cell r="J872">
            <v>0</v>
          </cell>
          <cell r="K872">
            <v>1</v>
          </cell>
          <cell r="L872">
            <v>0</v>
          </cell>
          <cell r="M872">
            <v>0</v>
          </cell>
        </row>
        <row r="873">
          <cell r="C873">
            <v>242</v>
          </cell>
          <cell r="F873">
            <v>1</v>
          </cell>
          <cell r="I873">
            <v>46234</v>
          </cell>
          <cell r="J873">
            <v>0</v>
          </cell>
          <cell r="K873">
            <v>1</v>
          </cell>
          <cell r="L873">
            <v>0</v>
          </cell>
          <cell r="M873">
            <v>0</v>
          </cell>
        </row>
        <row r="874">
          <cell r="C874">
            <v>224</v>
          </cell>
          <cell r="F874">
            <v>1</v>
          </cell>
          <cell r="I874">
            <v>46234</v>
          </cell>
          <cell r="J874">
            <v>0</v>
          </cell>
          <cell r="K874">
            <v>1</v>
          </cell>
          <cell r="L874">
            <v>0</v>
          </cell>
          <cell r="M874">
            <v>0</v>
          </cell>
        </row>
        <row r="875">
          <cell r="C875">
            <v>151</v>
          </cell>
          <cell r="F875">
            <v>1</v>
          </cell>
          <cell r="I875">
            <v>46204</v>
          </cell>
          <cell r="J875">
            <v>0</v>
          </cell>
          <cell r="K875">
            <v>0</v>
          </cell>
          <cell r="L875">
            <v>0</v>
          </cell>
          <cell r="M875">
            <v>1</v>
          </cell>
        </row>
        <row r="876">
          <cell r="C876">
            <v>176</v>
          </cell>
          <cell r="F876">
            <v>1</v>
          </cell>
          <cell r="I876">
            <v>46204</v>
          </cell>
          <cell r="J876">
            <v>0</v>
          </cell>
          <cell r="K876">
            <v>0</v>
          </cell>
          <cell r="L876">
            <v>0</v>
          </cell>
          <cell r="M876">
            <v>4000</v>
          </cell>
        </row>
        <row r="877">
          <cell r="C877">
            <v>188</v>
          </cell>
          <cell r="F877">
            <v>1</v>
          </cell>
          <cell r="I877">
            <v>46204</v>
          </cell>
          <cell r="J877">
            <v>0</v>
          </cell>
          <cell r="K877">
            <v>0</v>
          </cell>
          <cell r="L877">
            <v>0</v>
          </cell>
          <cell r="M877">
            <v>12</v>
          </cell>
        </row>
        <row r="878">
          <cell r="C878">
            <v>192</v>
          </cell>
          <cell r="F878">
            <v>1</v>
          </cell>
          <cell r="I878">
            <v>46204</v>
          </cell>
          <cell r="J878">
            <v>0</v>
          </cell>
          <cell r="K878">
            <v>0</v>
          </cell>
          <cell r="L878">
            <v>0</v>
          </cell>
          <cell r="M878">
            <v>4</v>
          </cell>
        </row>
        <row r="879">
          <cell r="C879">
            <v>195</v>
          </cell>
          <cell r="F879">
            <v>1</v>
          </cell>
          <cell r="I879">
            <v>46204</v>
          </cell>
          <cell r="J879">
            <v>0</v>
          </cell>
          <cell r="K879">
            <v>0</v>
          </cell>
          <cell r="L879">
            <v>0</v>
          </cell>
          <cell r="M879">
            <v>76</v>
          </cell>
        </row>
        <row r="880">
          <cell r="C880">
            <v>197</v>
          </cell>
          <cell r="F880">
            <v>1</v>
          </cell>
          <cell r="I880">
            <v>46204</v>
          </cell>
          <cell r="J880">
            <v>0</v>
          </cell>
          <cell r="K880">
            <v>0</v>
          </cell>
          <cell r="L880">
            <v>0</v>
          </cell>
          <cell r="M880">
            <v>12</v>
          </cell>
        </row>
        <row r="881">
          <cell r="C881">
            <v>234</v>
          </cell>
          <cell r="F881">
            <v>1</v>
          </cell>
          <cell r="I881">
            <v>46204</v>
          </cell>
          <cell r="J881">
            <v>0</v>
          </cell>
          <cell r="K881">
            <v>0</v>
          </cell>
          <cell r="L881">
            <v>0</v>
          </cell>
          <cell r="M881">
            <v>84</v>
          </cell>
        </row>
        <row r="882">
          <cell r="C882">
            <v>237</v>
          </cell>
          <cell r="F882">
            <v>1</v>
          </cell>
          <cell r="I882">
            <v>46204</v>
          </cell>
          <cell r="J882">
            <v>0</v>
          </cell>
          <cell r="K882">
            <v>0</v>
          </cell>
          <cell r="L882">
            <v>0</v>
          </cell>
          <cell r="M882">
            <v>12</v>
          </cell>
        </row>
        <row r="883">
          <cell r="C883">
            <v>238</v>
          </cell>
          <cell r="F883">
            <v>1</v>
          </cell>
          <cell r="I883">
            <v>46204</v>
          </cell>
          <cell r="J883">
            <v>0</v>
          </cell>
          <cell r="K883">
            <v>0</v>
          </cell>
          <cell r="L883">
            <v>0</v>
          </cell>
          <cell r="M883">
            <v>12</v>
          </cell>
        </row>
        <row r="884">
          <cell r="C884">
            <v>239</v>
          </cell>
          <cell r="F884">
            <v>1</v>
          </cell>
          <cell r="I884">
            <v>46204</v>
          </cell>
          <cell r="J884">
            <v>0</v>
          </cell>
          <cell r="K884">
            <v>0</v>
          </cell>
          <cell r="L884">
            <v>0</v>
          </cell>
          <cell r="M884">
            <v>6</v>
          </cell>
        </row>
        <row r="885">
          <cell r="C885">
            <v>240</v>
          </cell>
          <cell r="F885">
            <v>1</v>
          </cell>
          <cell r="I885">
            <v>46207</v>
          </cell>
          <cell r="J885">
            <v>0</v>
          </cell>
          <cell r="K885">
            <v>0</v>
          </cell>
          <cell r="L885">
            <v>0</v>
          </cell>
          <cell r="M885">
            <v>36</v>
          </cell>
        </row>
        <row r="886">
          <cell r="C886">
            <v>241</v>
          </cell>
          <cell r="F886">
            <v>1</v>
          </cell>
          <cell r="I886">
            <v>46207</v>
          </cell>
          <cell r="J886">
            <v>0</v>
          </cell>
          <cell r="K886">
            <v>0</v>
          </cell>
          <cell r="L886">
            <v>0</v>
          </cell>
          <cell r="M886">
            <v>1</v>
          </cell>
        </row>
        <row r="887">
          <cell r="C887">
            <v>242</v>
          </cell>
          <cell r="F887">
            <v>1</v>
          </cell>
          <cell r="I887">
            <v>46207</v>
          </cell>
          <cell r="J887">
            <v>0</v>
          </cell>
          <cell r="K887">
            <v>0</v>
          </cell>
          <cell r="L887">
            <v>0</v>
          </cell>
          <cell r="M887">
            <v>1</v>
          </cell>
        </row>
        <row r="888">
          <cell r="C888">
            <v>287</v>
          </cell>
          <cell r="F888">
            <v>1</v>
          </cell>
          <cell r="I888">
            <v>46207</v>
          </cell>
          <cell r="J888">
            <v>0</v>
          </cell>
          <cell r="K888">
            <v>0</v>
          </cell>
          <cell r="L888">
            <v>0</v>
          </cell>
          <cell r="M888">
            <v>80</v>
          </cell>
        </row>
        <row r="889">
          <cell r="C889">
            <v>288</v>
          </cell>
          <cell r="F889">
            <v>1</v>
          </cell>
          <cell r="I889">
            <v>46207</v>
          </cell>
          <cell r="J889">
            <v>0</v>
          </cell>
          <cell r="K889">
            <v>0</v>
          </cell>
          <cell r="L889">
            <v>0</v>
          </cell>
          <cell r="M889">
            <v>108</v>
          </cell>
        </row>
        <row r="890">
          <cell r="C890">
            <v>290</v>
          </cell>
          <cell r="F890">
            <v>1</v>
          </cell>
          <cell r="I890">
            <v>46207</v>
          </cell>
          <cell r="J890">
            <v>0</v>
          </cell>
          <cell r="K890">
            <v>0</v>
          </cell>
          <cell r="L890">
            <v>0</v>
          </cell>
          <cell r="M890">
            <v>68</v>
          </cell>
        </row>
        <row r="891">
          <cell r="C891">
            <v>291</v>
          </cell>
          <cell r="F891">
            <v>1</v>
          </cell>
          <cell r="I891">
            <v>46207</v>
          </cell>
          <cell r="J891">
            <v>0</v>
          </cell>
          <cell r="K891">
            <v>0</v>
          </cell>
          <cell r="L891">
            <v>0</v>
          </cell>
          <cell r="M891">
            <v>2</v>
          </cell>
        </row>
        <row r="892">
          <cell r="C892">
            <v>293</v>
          </cell>
          <cell r="F892">
            <v>1</v>
          </cell>
          <cell r="I892">
            <v>46207</v>
          </cell>
          <cell r="J892">
            <v>0</v>
          </cell>
          <cell r="K892">
            <v>0</v>
          </cell>
          <cell r="L892">
            <v>0</v>
          </cell>
          <cell r="M892">
            <v>1155</v>
          </cell>
        </row>
        <row r="893">
          <cell r="C893">
            <v>294</v>
          </cell>
          <cell r="F893">
            <v>1</v>
          </cell>
          <cell r="I893">
            <v>46207</v>
          </cell>
          <cell r="J893">
            <v>0</v>
          </cell>
          <cell r="K893">
            <v>0</v>
          </cell>
          <cell r="L893">
            <v>0</v>
          </cell>
          <cell r="M893">
            <v>420</v>
          </cell>
        </row>
        <row r="894">
          <cell r="C894">
            <v>296</v>
          </cell>
          <cell r="F894">
            <v>1</v>
          </cell>
          <cell r="I894">
            <v>46207</v>
          </cell>
          <cell r="J894">
            <v>0</v>
          </cell>
          <cell r="K894">
            <v>0</v>
          </cell>
          <cell r="L894">
            <v>0</v>
          </cell>
          <cell r="M894">
            <v>1</v>
          </cell>
        </row>
        <row r="895">
          <cell r="C895">
            <v>297</v>
          </cell>
          <cell r="F895">
            <v>1</v>
          </cell>
          <cell r="I895">
            <v>46207</v>
          </cell>
          <cell r="J895">
            <v>0</v>
          </cell>
          <cell r="K895">
            <v>0</v>
          </cell>
          <cell r="L895">
            <v>0</v>
          </cell>
          <cell r="M895">
            <v>1</v>
          </cell>
        </row>
        <row r="896">
          <cell r="C896">
            <v>298</v>
          </cell>
          <cell r="F896">
            <v>1</v>
          </cell>
          <cell r="I896">
            <v>46210</v>
          </cell>
          <cell r="J896">
            <v>0</v>
          </cell>
          <cell r="K896">
            <v>0</v>
          </cell>
          <cell r="L896">
            <v>0</v>
          </cell>
          <cell r="M896">
            <v>60</v>
          </cell>
        </row>
        <row r="897">
          <cell r="C897">
            <v>301</v>
          </cell>
          <cell r="F897">
            <v>1</v>
          </cell>
          <cell r="I897">
            <v>46210</v>
          </cell>
          <cell r="J897">
            <v>0</v>
          </cell>
          <cell r="K897">
            <v>0</v>
          </cell>
          <cell r="L897">
            <v>0</v>
          </cell>
          <cell r="M897">
            <v>5</v>
          </cell>
        </row>
        <row r="898">
          <cell r="C898">
            <v>302</v>
          </cell>
          <cell r="F898">
            <v>1</v>
          </cell>
          <cell r="I898">
            <v>46210</v>
          </cell>
          <cell r="J898">
            <v>0</v>
          </cell>
          <cell r="K898">
            <v>0</v>
          </cell>
          <cell r="L898">
            <v>0</v>
          </cell>
          <cell r="M898">
            <v>1</v>
          </cell>
        </row>
        <row r="899">
          <cell r="C899">
            <v>303</v>
          </cell>
          <cell r="F899">
            <v>1</v>
          </cell>
          <cell r="I899">
            <v>46210</v>
          </cell>
          <cell r="J899">
            <v>0</v>
          </cell>
          <cell r="K899">
            <v>0</v>
          </cell>
          <cell r="L899">
            <v>0</v>
          </cell>
          <cell r="M899">
            <v>400</v>
          </cell>
        </row>
        <row r="900">
          <cell r="C900">
            <v>304</v>
          </cell>
          <cell r="F900">
            <v>1</v>
          </cell>
          <cell r="I900">
            <v>46210</v>
          </cell>
          <cell r="J900">
            <v>0</v>
          </cell>
          <cell r="K900">
            <v>0</v>
          </cell>
          <cell r="L900">
            <v>0</v>
          </cell>
          <cell r="M900">
            <v>12</v>
          </cell>
        </row>
        <row r="901">
          <cell r="C901">
            <v>306</v>
          </cell>
          <cell r="F901">
            <v>1</v>
          </cell>
          <cell r="I901">
            <v>46210</v>
          </cell>
          <cell r="J901">
            <v>0</v>
          </cell>
          <cell r="K901">
            <v>0</v>
          </cell>
          <cell r="L901">
            <v>0</v>
          </cell>
          <cell r="M901">
            <v>8</v>
          </cell>
        </row>
        <row r="902">
          <cell r="C902">
            <v>307</v>
          </cell>
          <cell r="F902">
            <v>1</v>
          </cell>
          <cell r="I902">
            <v>46210</v>
          </cell>
          <cell r="J902">
            <v>0</v>
          </cell>
          <cell r="K902">
            <v>0</v>
          </cell>
          <cell r="L902">
            <v>0</v>
          </cell>
          <cell r="M902">
            <v>4</v>
          </cell>
        </row>
        <row r="903">
          <cell r="C903">
            <v>308</v>
          </cell>
          <cell r="F903">
            <v>1</v>
          </cell>
          <cell r="I903">
            <v>46210</v>
          </cell>
          <cell r="J903">
            <v>0</v>
          </cell>
          <cell r="K903">
            <v>0</v>
          </cell>
          <cell r="L903">
            <v>0</v>
          </cell>
          <cell r="M903">
            <v>1</v>
          </cell>
        </row>
        <row r="904">
          <cell r="C904">
            <v>309</v>
          </cell>
          <cell r="F904">
            <v>1</v>
          </cell>
          <cell r="I904">
            <v>46210</v>
          </cell>
          <cell r="J904">
            <v>0</v>
          </cell>
          <cell r="K904">
            <v>0</v>
          </cell>
          <cell r="L904">
            <v>0</v>
          </cell>
          <cell r="M904">
            <v>1</v>
          </cell>
        </row>
        <row r="905">
          <cell r="C905">
            <v>310</v>
          </cell>
          <cell r="F905">
            <v>1</v>
          </cell>
          <cell r="I905">
            <v>46210</v>
          </cell>
          <cell r="J905">
            <v>0</v>
          </cell>
          <cell r="K905">
            <v>0</v>
          </cell>
          <cell r="L905">
            <v>0</v>
          </cell>
          <cell r="M905">
            <v>1</v>
          </cell>
        </row>
        <row r="906">
          <cell r="C906">
            <v>313</v>
          </cell>
          <cell r="F906">
            <v>1</v>
          </cell>
          <cell r="I906">
            <v>46210</v>
          </cell>
          <cell r="J906">
            <v>0</v>
          </cell>
          <cell r="K906">
            <v>0</v>
          </cell>
          <cell r="L906">
            <v>0</v>
          </cell>
          <cell r="M906">
            <v>1</v>
          </cell>
        </row>
        <row r="907">
          <cell r="C907">
            <v>316</v>
          </cell>
          <cell r="F907">
            <v>1</v>
          </cell>
          <cell r="I907">
            <v>46210</v>
          </cell>
          <cell r="J907">
            <v>0</v>
          </cell>
          <cell r="K907">
            <v>0</v>
          </cell>
          <cell r="L907">
            <v>0</v>
          </cell>
          <cell r="M907">
            <v>20</v>
          </cell>
        </row>
        <row r="908">
          <cell r="C908">
            <v>317</v>
          </cell>
          <cell r="F908">
            <v>1</v>
          </cell>
          <cell r="I908">
            <v>46210</v>
          </cell>
          <cell r="J908">
            <v>0</v>
          </cell>
          <cell r="K908">
            <v>0</v>
          </cell>
          <cell r="L908">
            <v>0</v>
          </cell>
          <cell r="M908">
            <v>9</v>
          </cell>
        </row>
        <row r="909">
          <cell r="C909">
            <v>318</v>
          </cell>
          <cell r="F909">
            <v>1</v>
          </cell>
          <cell r="I909">
            <v>46210</v>
          </cell>
          <cell r="J909">
            <v>0</v>
          </cell>
          <cell r="K909">
            <v>0</v>
          </cell>
          <cell r="L909">
            <v>0</v>
          </cell>
          <cell r="M909">
            <v>2</v>
          </cell>
        </row>
        <row r="910">
          <cell r="C910">
            <v>319</v>
          </cell>
          <cell r="F910">
            <v>1</v>
          </cell>
          <cell r="I910">
            <v>46210</v>
          </cell>
          <cell r="J910">
            <v>0</v>
          </cell>
          <cell r="K910">
            <v>0</v>
          </cell>
          <cell r="L910">
            <v>0</v>
          </cell>
          <cell r="M910">
            <v>2</v>
          </cell>
        </row>
        <row r="911">
          <cell r="C911">
            <v>320</v>
          </cell>
          <cell r="F911">
            <v>1</v>
          </cell>
          <cell r="I911">
            <v>46210</v>
          </cell>
          <cell r="J911">
            <v>0</v>
          </cell>
          <cell r="K911">
            <v>0</v>
          </cell>
          <cell r="L911">
            <v>0</v>
          </cell>
          <cell r="M911">
            <v>2</v>
          </cell>
        </row>
        <row r="912">
          <cell r="C912">
            <v>335</v>
          </cell>
          <cell r="F912">
            <v>1</v>
          </cell>
          <cell r="I912">
            <v>46210</v>
          </cell>
          <cell r="J912">
            <v>0</v>
          </cell>
          <cell r="K912">
            <v>0</v>
          </cell>
          <cell r="L912">
            <v>0</v>
          </cell>
          <cell r="M912">
            <v>1</v>
          </cell>
        </row>
        <row r="913">
          <cell r="C913">
            <v>344</v>
          </cell>
          <cell r="F913">
            <v>1</v>
          </cell>
          <cell r="I913">
            <v>46210</v>
          </cell>
          <cell r="J913">
            <v>0</v>
          </cell>
          <cell r="K913">
            <v>0</v>
          </cell>
          <cell r="L913">
            <v>0</v>
          </cell>
          <cell r="M913">
            <v>2</v>
          </cell>
        </row>
        <row r="914">
          <cell r="C914">
            <v>355</v>
          </cell>
          <cell r="F914">
            <v>1</v>
          </cell>
          <cell r="I914">
            <v>46210</v>
          </cell>
          <cell r="J914">
            <v>0</v>
          </cell>
          <cell r="K914">
            <v>0</v>
          </cell>
          <cell r="L914">
            <v>0</v>
          </cell>
          <cell r="M914">
            <v>1</v>
          </cell>
        </row>
        <row r="915">
          <cell r="C915">
            <v>361</v>
          </cell>
          <cell r="F915">
            <v>1</v>
          </cell>
          <cell r="I915">
            <v>46210</v>
          </cell>
          <cell r="J915">
            <v>0</v>
          </cell>
          <cell r="K915">
            <v>0</v>
          </cell>
          <cell r="L915">
            <v>0</v>
          </cell>
          <cell r="M915">
            <v>10</v>
          </cell>
        </row>
        <row r="916">
          <cell r="C916">
            <v>362</v>
          </cell>
          <cell r="F916">
            <v>1</v>
          </cell>
          <cell r="I916">
            <v>46210</v>
          </cell>
          <cell r="J916">
            <v>0</v>
          </cell>
          <cell r="K916">
            <v>0</v>
          </cell>
          <cell r="L916">
            <v>0</v>
          </cell>
          <cell r="M916">
            <v>12</v>
          </cell>
        </row>
        <row r="917">
          <cell r="C917">
            <v>384</v>
          </cell>
          <cell r="F917">
            <v>1</v>
          </cell>
          <cell r="I917">
            <v>46205</v>
          </cell>
          <cell r="J917">
            <v>0</v>
          </cell>
          <cell r="K917">
            <v>0</v>
          </cell>
          <cell r="L917">
            <v>0</v>
          </cell>
          <cell r="M917">
            <v>12</v>
          </cell>
        </row>
        <row r="918">
          <cell r="C918">
            <v>385</v>
          </cell>
          <cell r="F918">
            <v>1</v>
          </cell>
          <cell r="I918">
            <v>46205</v>
          </cell>
          <cell r="J918">
            <v>0</v>
          </cell>
          <cell r="K918">
            <v>0</v>
          </cell>
          <cell r="L918">
            <v>0</v>
          </cell>
          <cell r="M918">
            <v>15</v>
          </cell>
        </row>
        <row r="919">
          <cell r="C919">
            <v>386</v>
          </cell>
          <cell r="F919">
            <v>1</v>
          </cell>
          <cell r="I919">
            <v>46205</v>
          </cell>
          <cell r="J919">
            <v>0</v>
          </cell>
          <cell r="K919">
            <v>0</v>
          </cell>
          <cell r="L919">
            <v>0</v>
          </cell>
          <cell r="M919">
            <v>8</v>
          </cell>
        </row>
        <row r="920">
          <cell r="C920">
            <v>381</v>
          </cell>
          <cell r="F920">
            <v>1</v>
          </cell>
          <cell r="I920">
            <v>46205</v>
          </cell>
          <cell r="J920">
            <v>0</v>
          </cell>
          <cell r="K920">
            <v>0</v>
          </cell>
          <cell r="L920">
            <v>0</v>
          </cell>
          <cell r="M920">
            <v>1</v>
          </cell>
        </row>
        <row r="921">
          <cell r="C921">
            <v>380</v>
          </cell>
          <cell r="F921">
            <v>1</v>
          </cell>
          <cell r="I921">
            <v>46210</v>
          </cell>
          <cell r="J921">
            <v>0</v>
          </cell>
          <cell r="K921">
            <v>0</v>
          </cell>
          <cell r="L921">
            <v>0</v>
          </cell>
          <cell r="M921">
            <v>72</v>
          </cell>
        </row>
        <row r="922">
          <cell r="C922">
            <v>379</v>
          </cell>
          <cell r="F922">
            <v>1</v>
          </cell>
          <cell r="I922">
            <v>46210</v>
          </cell>
          <cell r="J922">
            <v>0</v>
          </cell>
          <cell r="K922">
            <v>0</v>
          </cell>
          <cell r="L922">
            <v>0</v>
          </cell>
          <cell r="M922">
            <v>5</v>
          </cell>
        </row>
        <row r="923">
          <cell r="C923">
            <v>388</v>
          </cell>
          <cell r="F923">
            <v>1</v>
          </cell>
          <cell r="I923">
            <v>46210</v>
          </cell>
          <cell r="J923">
            <v>0</v>
          </cell>
          <cell r="K923">
            <v>0</v>
          </cell>
          <cell r="L923">
            <v>0</v>
          </cell>
          <cell r="M923">
            <v>5</v>
          </cell>
        </row>
        <row r="924">
          <cell r="C924">
            <v>369</v>
          </cell>
          <cell r="F924">
            <v>1</v>
          </cell>
          <cell r="I924">
            <v>46210</v>
          </cell>
          <cell r="J924">
            <v>0</v>
          </cell>
          <cell r="K924">
            <v>0</v>
          </cell>
          <cell r="L924">
            <v>0</v>
          </cell>
          <cell r="M924">
            <v>50</v>
          </cell>
        </row>
        <row r="925">
          <cell r="C925">
            <v>370</v>
          </cell>
          <cell r="F925">
            <v>1</v>
          </cell>
          <cell r="I925">
            <v>46210</v>
          </cell>
          <cell r="J925">
            <v>0</v>
          </cell>
          <cell r="K925">
            <v>0</v>
          </cell>
          <cell r="L925">
            <v>0</v>
          </cell>
          <cell r="M925">
            <v>53</v>
          </cell>
        </row>
        <row r="926">
          <cell r="C926">
            <v>374</v>
          </cell>
          <cell r="F926">
            <v>1</v>
          </cell>
          <cell r="I926">
            <v>46210</v>
          </cell>
          <cell r="J926">
            <v>0</v>
          </cell>
          <cell r="K926">
            <v>0</v>
          </cell>
          <cell r="L926">
            <v>0</v>
          </cell>
          <cell r="M926">
            <v>10</v>
          </cell>
        </row>
        <row r="927">
          <cell r="C927">
            <v>387</v>
          </cell>
          <cell r="F927">
            <v>1</v>
          </cell>
          <cell r="I927">
            <v>46210</v>
          </cell>
          <cell r="J927">
            <v>0</v>
          </cell>
          <cell r="K927">
            <v>0</v>
          </cell>
          <cell r="L927">
            <v>0</v>
          </cell>
          <cell r="M927">
            <v>3</v>
          </cell>
        </row>
        <row r="928">
          <cell r="C928">
            <v>366</v>
          </cell>
          <cell r="F928">
            <v>1</v>
          </cell>
          <cell r="I928">
            <v>46210</v>
          </cell>
          <cell r="J928">
            <v>0</v>
          </cell>
          <cell r="K928">
            <v>0</v>
          </cell>
          <cell r="L928">
            <v>0</v>
          </cell>
          <cell r="M928">
            <v>10</v>
          </cell>
        </row>
        <row r="929">
          <cell r="C929">
            <v>364</v>
          </cell>
          <cell r="F929">
            <v>1</v>
          </cell>
          <cell r="I929">
            <v>46210</v>
          </cell>
          <cell r="J929">
            <v>0</v>
          </cell>
          <cell r="K929">
            <v>0</v>
          </cell>
          <cell r="L929">
            <v>0</v>
          </cell>
          <cell r="M929">
            <v>6</v>
          </cell>
        </row>
        <row r="930">
          <cell r="C930">
            <v>367</v>
          </cell>
          <cell r="F930">
            <v>1</v>
          </cell>
          <cell r="I930">
            <v>46210</v>
          </cell>
          <cell r="J930">
            <v>0</v>
          </cell>
          <cell r="K930">
            <v>0</v>
          </cell>
          <cell r="L930">
            <v>0</v>
          </cell>
          <cell r="M930">
            <v>12</v>
          </cell>
        </row>
        <row r="931">
          <cell r="C931">
            <v>363</v>
          </cell>
          <cell r="F931">
            <v>1</v>
          </cell>
          <cell r="I931">
            <v>46210</v>
          </cell>
          <cell r="J931">
            <v>0</v>
          </cell>
          <cell r="K931">
            <v>0</v>
          </cell>
          <cell r="L931">
            <v>0</v>
          </cell>
          <cell r="M931">
            <v>6</v>
          </cell>
        </row>
        <row r="932">
          <cell r="C932">
            <v>389</v>
          </cell>
          <cell r="F932">
            <v>1</v>
          </cell>
          <cell r="I932">
            <v>46210</v>
          </cell>
          <cell r="J932">
            <v>0</v>
          </cell>
          <cell r="K932">
            <v>0</v>
          </cell>
          <cell r="L932">
            <v>0</v>
          </cell>
          <cell r="M932">
            <v>36</v>
          </cell>
        </row>
        <row r="933">
          <cell r="C933">
            <v>386</v>
          </cell>
          <cell r="F933">
            <v>1</v>
          </cell>
          <cell r="I933">
            <v>46211</v>
          </cell>
          <cell r="J933">
            <v>0</v>
          </cell>
          <cell r="K933">
            <v>0</v>
          </cell>
          <cell r="L933">
            <v>0</v>
          </cell>
          <cell r="M933">
            <v>11</v>
          </cell>
        </row>
        <row r="934">
          <cell r="C934">
            <v>382</v>
          </cell>
          <cell r="F934">
            <v>1</v>
          </cell>
          <cell r="I934">
            <v>46211</v>
          </cell>
          <cell r="J934">
            <v>0</v>
          </cell>
          <cell r="K934">
            <v>0</v>
          </cell>
          <cell r="L934">
            <v>0</v>
          </cell>
          <cell r="M934">
            <v>5</v>
          </cell>
        </row>
        <row r="935">
          <cell r="C935">
            <v>383</v>
          </cell>
          <cell r="F935">
            <v>1</v>
          </cell>
          <cell r="I935">
            <v>46211</v>
          </cell>
          <cell r="J935">
            <v>0</v>
          </cell>
          <cell r="K935">
            <v>0</v>
          </cell>
          <cell r="L935">
            <v>0</v>
          </cell>
          <cell r="M935">
            <v>2</v>
          </cell>
        </row>
        <row r="936">
          <cell r="C936">
            <v>381</v>
          </cell>
          <cell r="F936">
            <v>1</v>
          </cell>
          <cell r="I936">
            <v>46211</v>
          </cell>
          <cell r="J936">
            <v>0</v>
          </cell>
          <cell r="K936">
            <v>0</v>
          </cell>
          <cell r="L936">
            <v>0</v>
          </cell>
          <cell r="M936">
            <v>4</v>
          </cell>
        </row>
        <row r="937">
          <cell r="C937">
            <v>377</v>
          </cell>
          <cell r="F937">
            <v>1</v>
          </cell>
          <cell r="I937">
            <v>46221</v>
          </cell>
          <cell r="J937">
            <v>0</v>
          </cell>
          <cell r="K937">
            <v>0</v>
          </cell>
          <cell r="L937">
            <v>0</v>
          </cell>
          <cell r="M937">
            <v>160</v>
          </cell>
        </row>
        <row r="938">
          <cell r="C938">
            <v>377</v>
          </cell>
          <cell r="F938">
            <v>1</v>
          </cell>
          <cell r="I938">
            <v>46221</v>
          </cell>
          <cell r="J938">
            <v>0</v>
          </cell>
          <cell r="K938">
            <v>0</v>
          </cell>
          <cell r="L938">
            <v>0</v>
          </cell>
          <cell r="M938">
            <v>80</v>
          </cell>
        </row>
        <row r="939">
          <cell r="C939">
            <v>26</v>
          </cell>
          <cell r="F939">
            <v>1</v>
          </cell>
          <cell r="I939">
            <v>46225</v>
          </cell>
          <cell r="J939">
            <v>0</v>
          </cell>
          <cell r="K939">
            <v>0</v>
          </cell>
          <cell r="L939">
            <v>0</v>
          </cell>
          <cell r="M939">
            <v>10</v>
          </cell>
        </row>
        <row r="940">
          <cell r="C940">
            <v>372</v>
          </cell>
          <cell r="F940">
            <v>1</v>
          </cell>
          <cell r="I940">
            <v>46225</v>
          </cell>
          <cell r="J940">
            <v>0</v>
          </cell>
          <cell r="K940">
            <v>0</v>
          </cell>
          <cell r="L940">
            <v>0</v>
          </cell>
          <cell r="M940">
            <v>10</v>
          </cell>
        </row>
        <row r="941">
          <cell r="C941">
            <v>343</v>
          </cell>
          <cell r="F941">
            <v>1</v>
          </cell>
          <cell r="I941">
            <v>46225</v>
          </cell>
          <cell r="J941">
            <v>0</v>
          </cell>
          <cell r="K941">
            <v>0</v>
          </cell>
          <cell r="L941">
            <v>0</v>
          </cell>
          <cell r="M941">
            <v>20</v>
          </cell>
        </row>
        <row r="942">
          <cell r="C942">
            <v>378</v>
          </cell>
          <cell r="F942">
            <v>1</v>
          </cell>
          <cell r="I942">
            <v>46225</v>
          </cell>
          <cell r="J942">
            <v>0</v>
          </cell>
          <cell r="K942">
            <v>0</v>
          </cell>
          <cell r="L942">
            <v>0</v>
          </cell>
          <cell r="M942">
            <v>10</v>
          </cell>
        </row>
        <row r="943">
          <cell r="C943">
            <v>19</v>
          </cell>
          <cell r="F943">
            <v>1</v>
          </cell>
          <cell r="I943">
            <v>46225</v>
          </cell>
          <cell r="J943">
            <v>0</v>
          </cell>
          <cell r="K943">
            <v>0</v>
          </cell>
          <cell r="L943">
            <v>0</v>
          </cell>
          <cell r="M943">
            <v>20</v>
          </cell>
        </row>
        <row r="944">
          <cell r="C944">
            <v>368</v>
          </cell>
          <cell r="F944">
            <v>1</v>
          </cell>
          <cell r="I944">
            <v>46231</v>
          </cell>
          <cell r="J944">
            <v>0</v>
          </cell>
          <cell r="K944">
            <v>0</v>
          </cell>
          <cell r="L944">
            <v>0</v>
          </cell>
          <cell r="M944">
            <v>50</v>
          </cell>
        </row>
        <row r="945">
          <cell r="C945">
            <v>219</v>
          </cell>
          <cell r="F945">
            <v>1</v>
          </cell>
          <cell r="I945">
            <v>46231</v>
          </cell>
          <cell r="J945">
            <v>0</v>
          </cell>
          <cell r="K945">
            <v>0</v>
          </cell>
          <cell r="L945">
            <v>0</v>
          </cell>
          <cell r="M945">
            <v>150</v>
          </cell>
        </row>
        <row r="946">
          <cell r="C946">
            <v>50</v>
          </cell>
          <cell r="F946">
            <v>1</v>
          </cell>
          <cell r="I946">
            <v>46231</v>
          </cell>
          <cell r="J946">
            <v>0</v>
          </cell>
          <cell r="K946">
            <v>0</v>
          </cell>
          <cell r="L946">
            <v>0</v>
          </cell>
          <cell r="M946">
            <v>20</v>
          </cell>
        </row>
        <row r="947">
          <cell r="C947">
            <v>375</v>
          </cell>
          <cell r="F947">
            <v>1</v>
          </cell>
          <cell r="I947">
            <v>46231</v>
          </cell>
          <cell r="J947">
            <v>0</v>
          </cell>
          <cell r="K947">
            <v>0</v>
          </cell>
          <cell r="L947">
            <v>0</v>
          </cell>
          <cell r="M947">
            <v>2</v>
          </cell>
        </row>
        <row r="948">
          <cell r="C948">
            <v>365</v>
          </cell>
          <cell r="F948">
            <v>1</v>
          </cell>
          <cell r="I948">
            <v>46231</v>
          </cell>
          <cell r="J948">
            <v>0</v>
          </cell>
          <cell r="K948">
            <v>0</v>
          </cell>
          <cell r="L948">
            <v>0</v>
          </cell>
          <cell r="M948">
            <v>3</v>
          </cell>
        </row>
        <row r="949">
          <cell r="C949">
            <v>284</v>
          </cell>
          <cell r="F949">
            <v>1</v>
          </cell>
          <cell r="I949">
            <v>46231</v>
          </cell>
          <cell r="J949">
            <v>0</v>
          </cell>
          <cell r="K949">
            <v>0</v>
          </cell>
          <cell r="L949">
            <v>0</v>
          </cell>
          <cell r="M949">
            <v>100</v>
          </cell>
        </row>
        <row r="950">
          <cell r="C950">
            <v>376</v>
          </cell>
          <cell r="F950">
            <v>1</v>
          </cell>
          <cell r="I950">
            <v>46231</v>
          </cell>
          <cell r="J950">
            <v>0</v>
          </cell>
          <cell r="K950">
            <v>0</v>
          </cell>
          <cell r="L950">
            <v>0</v>
          </cell>
          <cell r="M950">
            <v>40</v>
          </cell>
        </row>
        <row r="951">
          <cell r="C951">
            <v>373</v>
          </cell>
          <cell r="F951">
            <v>1</v>
          </cell>
          <cell r="I951">
            <v>46231</v>
          </cell>
          <cell r="J951">
            <v>0</v>
          </cell>
          <cell r="K951">
            <v>0</v>
          </cell>
          <cell r="L951">
            <v>0</v>
          </cell>
          <cell r="M951">
            <v>16</v>
          </cell>
        </row>
        <row r="952">
          <cell r="C952">
            <v>276</v>
          </cell>
          <cell r="F952">
            <v>1</v>
          </cell>
          <cell r="I952">
            <v>46231</v>
          </cell>
          <cell r="J952">
            <v>0</v>
          </cell>
          <cell r="K952">
            <v>0</v>
          </cell>
          <cell r="L952">
            <v>0</v>
          </cell>
          <cell r="M952">
            <v>60</v>
          </cell>
        </row>
        <row r="953">
          <cell r="C953">
            <v>371</v>
          </cell>
          <cell r="F953">
            <v>1</v>
          </cell>
          <cell r="I953">
            <v>46231</v>
          </cell>
          <cell r="J953">
            <v>0</v>
          </cell>
          <cell r="K953">
            <v>0</v>
          </cell>
          <cell r="L953">
            <v>0</v>
          </cell>
          <cell r="M953">
            <v>10</v>
          </cell>
        </row>
        <row r="954">
          <cell r="C954">
            <v>241</v>
          </cell>
          <cell r="F954">
            <v>1</v>
          </cell>
          <cell r="I954">
            <v>46231</v>
          </cell>
          <cell r="J954">
            <v>0</v>
          </cell>
          <cell r="K954">
            <v>0</v>
          </cell>
          <cell r="L954">
            <v>0</v>
          </cell>
          <cell r="M954">
            <v>37</v>
          </cell>
        </row>
        <row r="955">
          <cell r="C955">
            <v>1</v>
          </cell>
          <cell r="F955">
            <v>1</v>
          </cell>
          <cell r="I955">
            <v>46235</v>
          </cell>
          <cell r="J955">
            <v>0</v>
          </cell>
          <cell r="K955">
            <v>4</v>
          </cell>
          <cell r="L955">
            <v>0</v>
          </cell>
          <cell r="M955">
            <v>0</v>
          </cell>
        </row>
        <row r="956">
          <cell r="C956">
            <v>4</v>
          </cell>
          <cell r="F956">
            <v>1</v>
          </cell>
          <cell r="I956">
            <v>46235</v>
          </cell>
          <cell r="J956">
            <v>0</v>
          </cell>
          <cell r="K956">
            <v>16</v>
          </cell>
          <cell r="L956">
            <v>0</v>
          </cell>
          <cell r="M956">
            <v>0</v>
          </cell>
        </row>
        <row r="957">
          <cell r="C957">
            <v>26</v>
          </cell>
          <cell r="F957">
            <v>1</v>
          </cell>
          <cell r="I957">
            <v>46235</v>
          </cell>
          <cell r="J957">
            <v>0</v>
          </cell>
          <cell r="K957">
            <v>1</v>
          </cell>
          <cell r="L957">
            <v>0</v>
          </cell>
          <cell r="M957">
            <v>0</v>
          </cell>
        </row>
        <row r="958">
          <cell r="C958">
            <v>34</v>
          </cell>
          <cell r="F958">
            <v>1</v>
          </cell>
          <cell r="I958">
            <v>46235</v>
          </cell>
          <cell r="J958">
            <v>0</v>
          </cell>
          <cell r="K958">
            <v>2</v>
          </cell>
          <cell r="L958">
            <v>0</v>
          </cell>
          <cell r="M958">
            <v>0</v>
          </cell>
        </row>
        <row r="959">
          <cell r="C959">
            <v>372</v>
          </cell>
          <cell r="F959">
            <v>1</v>
          </cell>
          <cell r="I959">
            <v>46235</v>
          </cell>
          <cell r="J959">
            <v>0</v>
          </cell>
          <cell r="K959">
            <v>3</v>
          </cell>
          <cell r="L959">
            <v>0</v>
          </cell>
          <cell r="M959">
            <v>0</v>
          </cell>
        </row>
        <row r="960">
          <cell r="C960">
            <v>191</v>
          </cell>
          <cell r="F960">
            <v>1</v>
          </cell>
          <cell r="I960">
            <v>46235</v>
          </cell>
          <cell r="J960">
            <v>0</v>
          </cell>
          <cell r="K960">
            <v>4</v>
          </cell>
          <cell r="L960">
            <v>0</v>
          </cell>
          <cell r="M960">
            <v>0</v>
          </cell>
        </row>
        <row r="961">
          <cell r="C961">
            <v>179</v>
          </cell>
          <cell r="F961">
            <v>1</v>
          </cell>
          <cell r="I961">
            <v>46235</v>
          </cell>
          <cell r="J961">
            <v>0</v>
          </cell>
          <cell r="K961">
            <v>35</v>
          </cell>
          <cell r="L961">
            <v>0</v>
          </cell>
          <cell r="M961">
            <v>500</v>
          </cell>
        </row>
        <row r="962">
          <cell r="C962">
            <v>10</v>
          </cell>
          <cell r="F962">
            <v>1</v>
          </cell>
          <cell r="I962">
            <v>46235</v>
          </cell>
          <cell r="J962">
            <v>0</v>
          </cell>
          <cell r="K962">
            <v>2</v>
          </cell>
          <cell r="L962">
            <v>0</v>
          </cell>
          <cell r="M962">
            <v>0</v>
          </cell>
        </row>
        <row r="963">
          <cell r="C963">
            <v>9</v>
          </cell>
          <cell r="F963">
            <v>1</v>
          </cell>
          <cell r="I963">
            <v>46235</v>
          </cell>
          <cell r="J963">
            <v>0</v>
          </cell>
          <cell r="K963">
            <v>20</v>
          </cell>
          <cell r="L963">
            <v>0</v>
          </cell>
          <cell r="M963">
            <v>0</v>
          </cell>
        </row>
        <row r="964">
          <cell r="C964">
            <v>17</v>
          </cell>
          <cell r="F964">
            <v>1</v>
          </cell>
          <cell r="I964">
            <v>46235</v>
          </cell>
          <cell r="J964">
            <v>0</v>
          </cell>
          <cell r="K964">
            <v>24</v>
          </cell>
          <cell r="L964">
            <v>0</v>
          </cell>
          <cell r="M964">
            <v>0</v>
          </cell>
        </row>
        <row r="965">
          <cell r="C965">
            <v>50</v>
          </cell>
          <cell r="F965">
            <v>1</v>
          </cell>
          <cell r="I965">
            <v>46235</v>
          </cell>
          <cell r="J965">
            <v>0</v>
          </cell>
          <cell r="K965">
            <v>4</v>
          </cell>
          <cell r="L965">
            <v>0</v>
          </cell>
          <cell r="M965">
            <v>0</v>
          </cell>
        </row>
        <row r="966">
          <cell r="C966">
            <v>343</v>
          </cell>
          <cell r="F966">
            <v>1</v>
          </cell>
          <cell r="I966">
            <v>46235</v>
          </cell>
          <cell r="J966">
            <v>0</v>
          </cell>
          <cell r="K966">
            <v>3</v>
          </cell>
          <cell r="L966">
            <v>0</v>
          </cell>
          <cell r="M966">
            <v>0</v>
          </cell>
        </row>
        <row r="967">
          <cell r="C967">
            <v>49</v>
          </cell>
          <cell r="F967">
            <v>1</v>
          </cell>
          <cell r="I967">
            <v>46235</v>
          </cell>
          <cell r="J967">
            <v>0</v>
          </cell>
          <cell r="K967">
            <v>2</v>
          </cell>
          <cell r="L967">
            <v>0</v>
          </cell>
          <cell r="M967">
            <v>0</v>
          </cell>
        </row>
        <row r="968">
          <cell r="C968">
            <v>74</v>
          </cell>
          <cell r="F968">
            <v>1</v>
          </cell>
          <cell r="I968">
            <v>46235</v>
          </cell>
          <cell r="J968">
            <v>0</v>
          </cell>
          <cell r="K968">
            <v>1</v>
          </cell>
          <cell r="L968">
            <v>0</v>
          </cell>
          <cell r="M968">
            <v>0</v>
          </cell>
        </row>
        <row r="969">
          <cell r="C969">
            <v>183</v>
          </cell>
          <cell r="F969">
            <v>1</v>
          </cell>
          <cell r="I969">
            <v>46235</v>
          </cell>
          <cell r="J969">
            <v>0</v>
          </cell>
          <cell r="K969">
            <v>60</v>
          </cell>
          <cell r="L969">
            <v>0</v>
          </cell>
          <cell r="M969">
            <v>0</v>
          </cell>
        </row>
        <row r="970">
          <cell r="C970">
            <v>189</v>
          </cell>
          <cell r="F970">
            <v>1</v>
          </cell>
          <cell r="I970">
            <v>46235</v>
          </cell>
          <cell r="J970">
            <v>0</v>
          </cell>
          <cell r="K970">
            <v>8</v>
          </cell>
          <cell r="L970">
            <v>0</v>
          </cell>
          <cell r="M970">
            <v>0</v>
          </cell>
        </row>
        <row r="971">
          <cell r="C971">
            <v>101</v>
          </cell>
          <cell r="F971">
            <v>1</v>
          </cell>
          <cell r="I971">
            <v>46235</v>
          </cell>
          <cell r="J971">
            <v>0</v>
          </cell>
          <cell r="K971">
            <v>980</v>
          </cell>
          <cell r="L971">
            <v>0</v>
          </cell>
          <cell r="M971">
            <v>0</v>
          </cell>
        </row>
        <row r="972">
          <cell r="C972">
            <v>177</v>
          </cell>
          <cell r="F972">
            <v>1</v>
          </cell>
          <cell r="I972">
            <v>46235</v>
          </cell>
          <cell r="J972">
            <v>0</v>
          </cell>
          <cell r="K972">
            <v>150</v>
          </cell>
          <cell r="L972">
            <v>0</v>
          </cell>
          <cell r="M972">
            <v>5000</v>
          </cell>
        </row>
        <row r="973">
          <cell r="C973">
            <v>92</v>
          </cell>
          <cell r="F973">
            <v>1</v>
          </cell>
          <cell r="I973">
            <v>46235</v>
          </cell>
          <cell r="J973">
            <v>0</v>
          </cell>
          <cell r="K973">
            <v>2</v>
          </cell>
          <cell r="L973">
            <v>0</v>
          </cell>
          <cell r="M973">
            <v>0</v>
          </cell>
        </row>
        <row r="974">
          <cell r="C974">
            <v>96</v>
          </cell>
          <cell r="F974">
            <v>1</v>
          </cell>
          <cell r="I974">
            <v>46235</v>
          </cell>
          <cell r="J974">
            <v>0</v>
          </cell>
          <cell r="K974">
            <v>5</v>
          </cell>
          <cell r="L974">
            <v>0</v>
          </cell>
          <cell r="M974">
            <v>0</v>
          </cell>
        </row>
        <row r="975">
          <cell r="C975">
            <v>79</v>
          </cell>
          <cell r="F975">
            <v>1</v>
          </cell>
          <cell r="I975">
            <v>46235</v>
          </cell>
          <cell r="J975">
            <v>0</v>
          </cell>
          <cell r="K975">
            <v>10</v>
          </cell>
          <cell r="L975">
            <v>0</v>
          </cell>
          <cell r="M975">
            <v>0</v>
          </cell>
        </row>
        <row r="976">
          <cell r="C976">
            <v>377</v>
          </cell>
          <cell r="F976">
            <v>1</v>
          </cell>
          <cell r="I976">
            <v>46235</v>
          </cell>
          <cell r="J976">
            <v>0</v>
          </cell>
          <cell r="K976">
            <v>20</v>
          </cell>
          <cell r="L976">
            <v>0</v>
          </cell>
          <cell r="M976">
            <v>0</v>
          </cell>
        </row>
        <row r="977">
          <cell r="C977">
            <v>378</v>
          </cell>
          <cell r="F977">
            <v>1</v>
          </cell>
          <cell r="I977">
            <v>46235</v>
          </cell>
          <cell r="J977">
            <v>0</v>
          </cell>
          <cell r="K977">
            <v>2</v>
          </cell>
          <cell r="L977">
            <v>0</v>
          </cell>
          <cell r="M977">
            <v>0</v>
          </cell>
        </row>
        <row r="978">
          <cell r="C978">
            <v>276</v>
          </cell>
          <cell r="F978">
            <v>1</v>
          </cell>
          <cell r="I978">
            <v>46235</v>
          </cell>
          <cell r="J978">
            <v>0</v>
          </cell>
          <cell r="K978">
            <v>10</v>
          </cell>
          <cell r="L978">
            <v>0</v>
          </cell>
          <cell r="M978">
            <v>0</v>
          </cell>
        </row>
        <row r="979">
          <cell r="C979">
            <v>176</v>
          </cell>
          <cell r="F979">
            <v>1</v>
          </cell>
          <cell r="I979">
            <v>46235</v>
          </cell>
          <cell r="J979">
            <v>0</v>
          </cell>
          <cell r="K979">
            <v>250</v>
          </cell>
          <cell r="L979">
            <v>0</v>
          </cell>
          <cell r="M979">
            <v>500</v>
          </cell>
        </row>
        <row r="980">
          <cell r="C980">
            <v>293</v>
          </cell>
          <cell r="F980">
            <v>1</v>
          </cell>
          <cell r="I980">
            <v>46235</v>
          </cell>
          <cell r="J980">
            <v>0</v>
          </cell>
          <cell r="K980">
            <v>8</v>
          </cell>
          <cell r="L980">
            <v>0</v>
          </cell>
          <cell r="M980">
            <v>350</v>
          </cell>
        </row>
        <row r="981">
          <cell r="C981">
            <v>182</v>
          </cell>
          <cell r="F981">
            <v>1</v>
          </cell>
          <cell r="I981">
            <v>46235</v>
          </cell>
          <cell r="J981">
            <v>0</v>
          </cell>
          <cell r="K981">
            <v>36</v>
          </cell>
          <cell r="L981">
            <v>0</v>
          </cell>
          <cell r="M981">
            <v>0</v>
          </cell>
        </row>
        <row r="982">
          <cell r="C982">
            <v>294</v>
          </cell>
          <cell r="F982">
            <v>1</v>
          </cell>
          <cell r="I982">
            <v>46235</v>
          </cell>
          <cell r="J982">
            <v>0</v>
          </cell>
          <cell r="K982">
            <v>6</v>
          </cell>
          <cell r="L982">
            <v>0</v>
          </cell>
          <cell r="M982">
            <v>350</v>
          </cell>
        </row>
        <row r="983">
          <cell r="C983">
            <v>150</v>
          </cell>
          <cell r="F983">
            <v>1</v>
          </cell>
          <cell r="I983">
            <v>46235</v>
          </cell>
          <cell r="J983">
            <v>0</v>
          </cell>
          <cell r="K983">
            <v>5</v>
          </cell>
          <cell r="L983">
            <v>0</v>
          </cell>
          <cell r="M983">
            <v>0</v>
          </cell>
        </row>
        <row r="984">
          <cell r="C984">
            <v>379</v>
          </cell>
          <cell r="F984">
            <v>1</v>
          </cell>
          <cell r="I984">
            <v>46235</v>
          </cell>
          <cell r="J984">
            <v>0</v>
          </cell>
          <cell r="K984">
            <v>1</v>
          </cell>
          <cell r="L984">
            <v>0</v>
          </cell>
          <cell r="M984">
            <v>0</v>
          </cell>
        </row>
        <row r="985">
          <cell r="C985">
            <v>176</v>
          </cell>
          <cell r="F985">
            <v>1</v>
          </cell>
          <cell r="I985">
            <v>46236</v>
          </cell>
          <cell r="J985">
            <v>0</v>
          </cell>
          <cell r="K985">
            <v>100</v>
          </cell>
          <cell r="L985">
            <v>0</v>
          </cell>
          <cell r="M985">
            <v>0</v>
          </cell>
        </row>
        <row r="986">
          <cell r="C986">
            <v>293</v>
          </cell>
          <cell r="F986">
            <v>1</v>
          </cell>
          <cell r="I986">
            <v>46236</v>
          </cell>
          <cell r="J986">
            <v>0</v>
          </cell>
          <cell r="K986">
            <v>10</v>
          </cell>
          <cell r="L986">
            <v>0</v>
          </cell>
          <cell r="M986">
            <v>0</v>
          </cell>
        </row>
        <row r="987">
          <cell r="C987">
            <v>294</v>
          </cell>
          <cell r="F987">
            <v>1</v>
          </cell>
          <cell r="I987">
            <v>46236</v>
          </cell>
          <cell r="J987">
            <v>0</v>
          </cell>
          <cell r="K987">
            <v>10</v>
          </cell>
          <cell r="L987">
            <v>0</v>
          </cell>
          <cell r="M987">
            <v>0</v>
          </cell>
        </row>
        <row r="988">
          <cell r="C988">
            <v>1</v>
          </cell>
          <cell r="F988">
            <v>1</v>
          </cell>
          <cell r="I988">
            <v>46236</v>
          </cell>
          <cell r="J988">
            <v>0</v>
          </cell>
          <cell r="K988">
            <v>4</v>
          </cell>
          <cell r="L988">
            <v>0</v>
          </cell>
          <cell r="M988">
            <v>0</v>
          </cell>
        </row>
        <row r="989">
          <cell r="C989">
            <v>29</v>
          </cell>
          <cell r="F989">
            <v>1</v>
          </cell>
          <cell r="I989">
            <v>46236</v>
          </cell>
          <cell r="J989">
            <v>0</v>
          </cell>
          <cell r="K989">
            <v>1</v>
          </cell>
          <cell r="L989">
            <v>0</v>
          </cell>
          <cell r="M989">
            <v>0</v>
          </cell>
        </row>
        <row r="990">
          <cell r="C990">
            <v>61</v>
          </cell>
          <cell r="F990">
            <v>1</v>
          </cell>
          <cell r="I990">
            <v>46236</v>
          </cell>
          <cell r="J990">
            <v>0</v>
          </cell>
          <cell r="K990">
            <v>1</v>
          </cell>
          <cell r="L990">
            <v>0</v>
          </cell>
          <cell r="M990">
            <v>0</v>
          </cell>
        </row>
        <row r="991">
          <cell r="C991">
            <v>186</v>
          </cell>
          <cell r="F991">
            <v>1</v>
          </cell>
          <cell r="I991">
            <v>46236</v>
          </cell>
          <cell r="J991">
            <v>0</v>
          </cell>
          <cell r="K991">
            <v>24</v>
          </cell>
          <cell r="L991">
            <v>0</v>
          </cell>
          <cell r="M991">
            <v>0</v>
          </cell>
        </row>
        <row r="992">
          <cell r="C992">
            <v>191</v>
          </cell>
          <cell r="F992">
            <v>1</v>
          </cell>
          <cell r="I992">
            <v>46236</v>
          </cell>
          <cell r="J992">
            <v>0</v>
          </cell>
          <cell r="K992">
            <v>4</v>
          </cell>
          <cell r="L992">
            <v>0</v>
          </cell>
          <cell r="M992">
            <v>0</v>
          </cell>
        </row>
        <row r="993">
          <cell r="C993">
            <v>76</v>
          </cell>
          <cell r="F993">
            <v>1</v>
          </cell>
          <cell r="I993">
            <v>46236</v>
          </cell>
          <cell r="J993">
            <v>0</v>
          </cell>
          <cell r="K993">
            <v>2</v>
          </cell>
          <cell r="L993">
            <v>0</v>
          </cell>
          <cell r="M993">
            <v>0</v>
          </cell>
        </row>
        <row r="994">
          <cell r="C994">
            <v>77</v>
          </cell>
          <cell r="F994">
            <v>1</v>
          </cell>
          <cell r="I994">
            <v>46236</v>
          </cell>
          <cell r="J994">
            <v>0</v>
          </cell>
          <cell r="K994">
            <v>10</v>
          </cell>
          <cell r="L994">
            <v>0</v>
          </cell>
          <cell r="M994">
            <v>0</v>
          </cell>
        </row>
        <row r="995">
          <cell r="C995">
            <v>276</v>
          </cell>
          <cell r="F995">
            <v>1</v>
          </cell>
          <cell r="I995">
            <v>46236</v>
          </cell>
          <cell r="J995">
            <v>0</v>
          </cell>
          <cell r="K995">
            <v>4</v>
          </cell>
          <cell r="L995">
            <v>0</v>
          </cell>
          <cell r="M995">
            <v>0</v>
          </cell>
        </row>
        <row r="996">
          <cell r="C996">
            <v>125</v>
          </cell>
          <cell r="F996">
            <v>1</v>
          </cell>
          <cell r="I996">
            <v>46236</v>
          </cell>
          <cell r="J996">
            <v>0</v>
          </cell>
          <cell r="K996">
            <v>100</v>
          </cell>
          <cell r="L996">
            <v>0</v>
          </cell>
          <cell r="M996">
            <v>0</v>
          </cell>
        </row>
        <row r="997">
          <cell r="C997">
            <v>377</v>
          </cell>
          <cell r="F997">
            <v>1</v>
          </cell>
          <cell r="I997">
            <v>46236</v>
          </cell>
          <cell r="J997">
            <v>0</v>
          </cell>
          <cell r="K997">
            <v>40</v>
          </cell>
          <cell r="L997">
            <v>0</v>
          </cell>
          <cell r="M997">
            <v>0</v>
          </cell>
        </row>
        <row r="998">
          <cell r="C998">
            <v>376</v>
          </cell>
          <cell r="F998">
            <v>1</v>
          </cell>
          <cell r="I998">
            <v>46236</v>
          </cell>
          <cell r="J998">
            <v>0</v>
          </cell>
          <cell r="K998">
            <v>5</v>
          </cell>
          <cell r="L998">
            <v>0</v>
          </cell>
          <cell r="M998">
            <v>0</v>
          </cell>
        </row>
        <row r="999">
          <cell r="C999">
            <v>303</v>
          </cell>
          <cell r="F999">
            <v>1</v>
          </cell>
          <cell r="I999">
            <v>46236</v>
          </cell>
          <cell r="J999">
            <v>0</v>
          </cell>
          <cell r="K999">
            <v>50</v>
          </cell>
          <cell r="L999">
            <v>0</v>
          </cell>
          <cell r="M999">
            <v>0</v>
          </cell>
        </row>
        <row r="1000">
          <cell r="C1000">
            <v>177</v>
          </cell>
          <cell r="F1000">
            <v>1</v>
          </cell>
          <cell r="I1000">
            <v>46236</v>
          </cell>
          <cell r="J1000">
            <v>0</v>
          </cell>
          <cell r="K1000">
            <v>250</v>
          </cell>
          <cell r="L1000">
            <v>0</v>
          </cell>
          <cell r="M1000">
            <v>0</v>
          </cell>
        </row>
        <row r="1001">
          <cell r="C1001">
            <v>181</v>
          </cell>
          <cell r="F1001">
            <v>1</v>
          </cell>
          <cell r="I1001">
            <v>46236</v>
          </cell>
          <cell r="J1001">
            <v>0</v>
          </cell>
          <cell r="K1001">
            <v>36</v>
          </cell>
          <cell r="L1001">
            <v>0</v>
          </cell>
          <cell r="M1001">
            <v>0</v>
          </cell>
        </row>
        <row r="1002">
          <cell r="C1002">
            <v>184</v>
          </cell>
          <cell r="F1002">
            <v>1</v>
          </cell>
          <cell r="I1002">
            <v>46236</v>
          </cell>
          <cell r="J1002">
            <v>0</v>
          </cell>
          <cell r="K1002">
            <v>24</v>
          </cell>
          <cell r="L1002">
            <v>0</v>
          </cell>
          <cell r="M1002">
            <v>0</v>
          </cell>
        </row>
        <row r="1003">
          <cell r="C1003">
            <v>193</v>
          </cell>
          <cell r="F1003">
            <v>1</v>
          </cell>
          <cell r="I1003">
            <v>46236</v>
          </cell>
          <cell r="J1003">
            <v>0</v>
          </cell>
          <cell r="K1003">
            <v>4</v>
          </cell>
          <cell r="L1003">
            <v>0</v>
          </cell>
          <cell r="M1003">
            <v>0</v>
          </cell>
        </row>
        <row r="1004">
          <cell r="C1004">
            <v>152</v>
          </cell>
          <cell r="F1004">
            <v>1</v>
          </cell>
          <cell r="I1004">
            <v>46236</v>
          </cell>
          <cell r="J1004">
            <v>0</v>
          </cell>
          <cell r="K1004">
            <v>1</v>
          </cell>
          <cell r="L1004">
            <v>0</v>
          </cell>
          <cell r="M1004">
            <v>0</v>
          </cell>
        </row>
        <row r="1005">
          <cell r="C1005">
            <v>156</v>
          </cell>
          <cell r="F1005">
            <v>1</v>
          </cell>
          <cell r="I1005">
            <v>46236</v>
          </cell>
          <cell r="J1005">
            <v>0</v>
          </cell>
          <cell r="K1005">
            <v>1</v>
          </cell>
          <cell r="L1005">
            <v>0</v>
          </cell>
          <cell r="M1005">
            <v>0</v>
          </cell>
        </row>
        <row r="1006">
          <cell r="C1006">
            <v>169</v>
          </cell>
          <cell r="F1006">
            <v>1</v>
          </cell>
          <cell r="I1006">
            <v>46236</v>
          </cell>
          <cell r="J1006">
            <v>0</v>
          </cell>
          <cell r="K1006">
            <v>3</v>
          </cell>
          <cell r="L1006">
            <v>0</v>
          </cell>
          <cell r="M1006">
            <v>0</v>
          </cell>
        </row>
        <row r="1007">
          <cell r="C1007">
            <v>368</v>
          </cell>
          <cell r="F1007">
            <v>1</v>
          </cell>
          <cell r="I1007">
            <v>46236</v>
          </cell>
          <cell r="J1007">
            <v>0</v>
          </cell>
          <cell r="K1007">
            <v>10</v>
          </cell>
          <cell r="L1007">
            <v>0</v>
          </cell>
          <cell r="M1007">
            <v>0</v>
          </cell>
        </row>
        <row r="1008">
          <cell r="C1008">
            <v>144</v>
          </cell>
          <cell r="F1008">
            <v>1</v>
          </cell>
          <cell r="I1008">
            <v>46236</v>
          </cell>
          <cell r="J1008">
            <v>0</v>
          </cell>
          <cell r="K1008">
            <v>2</v>
          </cell>
          <cell r="L1008">
            <v>0</v>
          </cell>
          <cell r="M1008">
            <v>0</v>
          </cell>
        </row>
        <row r="1009">
          <cell r="C1009">
            <v>189</v>
          </cell>
          <cell r="F1009">
            <v>1</v>
          </cell>
          <cell r="I1009">
            <v>46236</v>
          </cell>
          <cell r="J1009">
            <v>0</v>
          </cell>
          <cell r="K1009">
            <v>12</v>
          </cell>
          <cell r="L1009">
            <v>0</v>
          </cell>
          <cell r="M1009">
            <v>0</v>
          </cell>
        </row>
        <row r="1010">
          <cell r="C1010">
            <v>6</v>
          </cell>
          <cell r="F1010">
            <v>1</v>
          </cell>
          <cell r="I1010">
            <v>46237</v>
          </cell>
          <cell r="J1010">
            <v>0</v>
          </cell>
          <cell r="K1010">
            <v>4</v>
          </cell>
          <cell r="L1010">
            <v>0</v>
          </cell>
          <cell r="M1010">
            <v>0</v>
          </cell>
        </row>
        <row r="1011">
          <cell r="C1011">
            <v>17</v>
          </cell>
          <cell r="F1011">
            <v>1</v>
          </cell>
          <cell r="I1011">
            <v>46237</v>
          </cell>
          <cell r="J1011">
            <v>0</v>
          </cell>
          <cell r="K1011">
            <v>12</v>
          </cell>
          <cell r="L1011">
            <v>0</v>
          </cell>
          <cell r="M1011">
            <v>0</v>
          </cell>
        </row>
        <row r="1012">
          <cell r="C1012">
            <v>49</v>
          </cell>
          <cell r="F1012">
            <v>1</v>
          </cell>
          <cell r="I1012">
            <v>46237</v>
          </cell>
          <cell r="J1012">
            <v>0</v>
          </cell>
          <cell r="K1012">
            <v>2</v>
          </cell>
          <cell r="L1012">
            <v>0</v>
          </cell>
          <cell r="M1012">
            <v>0</v>
          </cell>
        </row>
        <row r="1013">
          <cell r="C1013">
            <v>74</v>
          </cell>
          <cell r="F1013">
            <v>1</v>
          </cell>
          <cell r="I1013">
            <v>46237</v>
          </cell>
          <cell r="J1013">
            <v>0</v>
          </cell>
          <cell r="K1013">
            <v>3</v>
          </cell>
          <cell r="L1013">
            <v>0</v>
          </cell>
          <cell r="M1013">
            <v>0</v>
          </cell>
        </row>
        <row r="1014">
          <cell r="C1014">
            <v>46</v>
          </cell>
          <cell r="F1014">
            <v>1</v>
          </cell>
          <cell r="I1014">
            <v>46237</v>
          </cell>
          <cell r="J1014">
            <v>0</v>
          </cell>
          <cell r="K1014">
            <v>5</v>
          </cell>
          <cell r="L1014">
            <v>0</v>
          </cell>
          <cell r="M1014">
            <v>0</v>
          </cell>
        </row>
        <row r="1015">
          <cell r="C1015">
            <v>179</v>
          </cell>
          <cell r="F1015">
            <v>1</v>
          </cell>
          <cell r="I1015">
            <v>46237</v>
          </cell>
          <cell r="J1015">
            <v>0</v>
          </cell>
          <cell r="K1015">
            <v>100</v>
          </cell>
          <cell r="L1015">
            <v>0</v>
          </cell>
          <cell r="M1015">
            <v>0</v>
          </cell>
        </row>
        <row r="1016">
          <cell r="C1016">
            <v>293</v>
          </cell>
          <cell r="F1016">
            <v>1</v>
          </cell>
          <cell r="I1016">
            <v>46237</v>
          </cell>
          <cell r="J1016">
            <v>0</v>
          </cell>
          <cell r="K1016">
            <v>5</v>
          </cell>
          <cell r="L1016">
            <v>0</v>
          </cell>
          <cell r="M1016">
            <v>0</v>
          </cell>
        </row>
        <row r="1017">
          <cell r="C1017">
            <v>294</v>
          </cell>
          <cell r="F1017">
            <v>1</v>
          </cell>
          <cell r="I1017">
            <v>46237</v>
          </cell>
          <cell r="J1017">
            <v>0</v>
          </cell>
          <cell r="K1017">
            <v>5</v>
          </cell>
          <cell r="L1017">
            <v>0</v>
          </cell>
          <cell r="M1017">
            <v>0</v>
          </cell>
        </row>
        <row r="1018">
          <cell r="C1018">
            <v>103</v>
          </cell>
          <cell r="F1018">
            <v>1</v>
          </cell>
          <cell r="I1018">
            <v>46237</v>
          </cell>
          <cell r="J1018">
            <v>0</v>
          </cell>
          <cell r="K1018">
            <v>2</v>
          </cell>
          <cell r="L1018">
            <v>0</v>
          </cell>
          <cell r="M1018">
            <v>0</v>
          </cell>
        </row>
        <row r="1019">
          <cell r="C1019">
            <v>94</v>
          </cell>
          <cell r="F1019">
            <v>1</v>
          </cell>
          <cell r="I1019">
            <v>46237</v>
          </cell>
          <cell r="J1019">
            <v>0</v>
          </cell>
          <cell r="K1019">
            <v>10</v>
          </cell>
          <cell r="L1019">
            <v>0</v>
          </cell>
          <cell r="M1019">
            <v>0</v>
          </cell>
        </row>
        <row r="1020">
          <cell r="C1020">
            <v>79</v>
          </cell>
          <cell r="F1020">
            <v>1</v>
          </cell>
          <cell r="I1020">
            <v>46237</v>
          </cell>
          <cell r="J1020">
            <v>0</v>
          </cell>
          <cell r="K1020">
            <v>10</v>
          </cell>
          <cell r="L1020">
            <v>0</v>
          </cell>
          <cell r="M1020">
            <v>0</v>
          </cell>
        </row>
        <row r="1021">
          <cell r="C1021">
            <v>377</v>
          </cell>
          <cell r="F1021">
            <v>1</v>
          </cell>
          <cell r="I1021">
            <v>46237</v>
          </cell>
          <cell r="J1021">
            <v>0</v>
          </cell>
          <cell r="K1021">
            <v>35</v>
          </cell>
          <cell r="L1021">
            <v>0</v>
          </cell>
          <cell r="M1021">
            <v>0</v>
          </cell>
        </row>
        <row r="1022">
          <cell r="C1022">
            <v>376</v>
          </cell>
          <cell r="F1022">
            <v>1</v>
          </cell>
          <cell r="I1022">
            <v>46237</v>
          </cell>
          <cell r="J1022">
            <v>0</v>
          </cell>
          <cell r="K1022">
            <v>5</v>
          </cell>
          <cell r="L1022">
            <v>0</v>
          </cell>
          <cell r="M1022">
            <v>0</v>
          </cell>
        </row>
        <row r="1023">
          <cell r="C1023">
            <v>379</v>
          </cell>
          <cell r="F1023">
            <v>1</v>
          </cell>
          <cell r="I1023">
            <v>46237</v>
          </cell>
          <cell r="J1023">
            <v>0</v>
          </cell>
          <cell r="K1023">
            <v>1</v>
          </cell>
          <cell r="L1023">
            <v>0</v>
          </cell>
          <cell r="M1023">
            <v>0</v>
          </cell>
        </row>
        <row r="1024">
          <cell r="C1024">
            <v>20</v>
          </cell>
          <cell r="F1024">
            <v>1</v>
          </cell>
          <cell r="I1024">
            <v>46237</v>
          </cell>
          <cell r="J1024">
            <v>0</v>
          </cell>
          <cell r="K1024">
            <v>4</v>
          </cell>
          <cell r="L1024">
            <v>0</v>
          </cell>
          <cell r="M1024">
            <v>0</v>
          </cell>
        </row>
        <row r="1025">
          <cell r="C1025">
            <v>10</v>
          </cell>
          <cell r="F1025">
            <v>1</v>
          </cell>
          <cell r="I1025">
            <v>46237</v>
          </cell>
          <cell r="J1025">
            <v>0</v>
          </cell>
          <cell r="K1025">
            <v>4</v>
          </cell>
          <cell r="L1025">
            <v>0</v>
          </cell>
          <cell r="M1025">
            <v>0</v>
          </cell>
        </row>
        <row r="1026">
          <cell r="C1026">
            <v>26</v>
          </cell>
          <cell r="F1026">
            <v>1</v>
          </cell>
          <cell r="I1026">
            <v>46237</v>
          </cell>
          <cell r="J1026">
            <v>0</v>
          </cell>
          <cell r="K1026">
            <v>1</v>
          </cell>
          <cell r="L1026">
            <v>0</v>
          </cell>
          <cell r="M1026">
            <v>0</v>
          </cell>
        </row>
        <row r="1027">
          <cell r="C1027">
            <v>29</v>
          </cell>
          <cell r="F1027">
            <v>1</v>
          </cell>
          <cell r="I1027">
            <v>46237</v>
          </cell>
          <cell r="J1027">
            <v>0</v>
          </cell>
          <cell r="K1027">
            <v>1</v>
          </cell>
          <cell r="L1027">
            <v>0</v>
          </cell>
          <cell r="M1027">
            <v>0</v>
          </cell>
        </row>
        <row r="1028">
          <cell r="C1028">
            <v>183</v>
          </cell>
          <cell r="F1028">
            <v>1</v>
          </cell>
          <cell r="I1028">
            <v>46237</v>
          </cell>
          <cell r="J1028">
            <v>0</v>
          </cell>
          <cell r="K1028">
            <v>72</v>
          </cell>
          <cell r="L1028">
            <v>0</v>
          </cell>
          <cell r="M1028">
            <v>0</v>
          </cell>
        </row>
        <row r="1029">
          <cell r="C1029">
            <v>193</v>
          </cell>
          <cell r="F1029">
            <v>1</v>
          </cell>
          <cell r="I1029">
            <v>46237</v>
          </cell>
          <cell r="J1029">
            <v>0</v>
          </cell>
          <cell r="K1029">
            <v>12</v>
          </cell>
          <cell r="L1029">
            <v>0</v>
          </cell>
          <cell r="M1029">
            <v>0</v>
          </cell>
        </row>
        <row r="1030">
          <cell r="C1030">
            <v>178</v>
          </cell>
          <cell r="F1030">
            <v>1</v>
          </cell>
          <cell r="I1030">
            <v>46237</v>
          </cell>
          <cell r="J1030">
            <v>0</v>
          </cell>
          <cell r="K1030">
            <v>150</v>
          </cell>
          <cell r="L1030">
            <v>0</v>
          </cell>
          <cell r="M1030">
            <v>0</v>
          </cell>
        </row>
        <row r="1031">
          <cell r="C1031">
            <v>163</v>
          </cell>
          <cell r="F1031">
            <v>1</v>
          </cell>
          <cell r="I1031">
            <v>46237</v>
          </cell>
          <cell r="J1031">
            <v>0</v>
          </cell>
          <cell r="K1031">
            <v>1</v>
          </cell>
          <cell r="L1031">
            <v>0</v>
          </cell>
          <cell r="M1031">
            <v>0</v>
          </cell>
        </row>
        <row r="1032">
          <cell r="C1032">
            <v>170</v>
          </cell>
          <cell r="F1032">
            <v>1</v>
          </cell>
          <cell r="I1032">
            <v>46237</v>
          </cell>
          <cell r="J1032">
            <v>0</v>
          </cell>
          <cell r="K1032">
            <v>5</v>
          </cell>
          <cell r="L1032">
            <v>0</v>
          </cell>
          <cell r="M1032">
            <v>0</v>
          </cell>
        </row>
        <row r="1033">
          <cell r="C1033">
            <v>187</v>
          </cell>
          <cell r="F1033">
            <v>1</v>
          </cell>
          <cell r="I1033">
            <v>46237</v>
          </cell>
          <cell r="J1033">
            <v>0</v>
          </cell>
          <cell r="K1033">
            <v>3</v>
          </cell>
          <cell r="L1033">
            <v>0</v>
          </cell>
          <cell r="M1033">
            <v>0</v>
          </cell>
        </row>
        <row r="1034">
          <cell r="C1034">
            <v>144</v>
          </cell>
          <cell r="F1034">
            <v>1</v>
          </cell>
          <cell r="I1034">
            <v>46237</v>
          </cell>
          <cell r="J1034">
            <v>0</v>
          </cell>
          <cell r="K1034">
            <v>3</v>
          </cell>
          <cell r="L1034">
            <v>0</v>
          </cell>
          <cell r="M1034">
            <v>0</v>
          </cell>
        </row>
        <row r="1035">
          <cell r="C1035">
            <v>176</v>
          </cell>
          <cell r="F1035">
            <v>1</v>
          </cell>
          <cell r="I1035">
            <v>46237</v>
          </cell>
          <cell r="J1035">
            <v>0</v>
          </cell>
          <cell r="K1035">
            <v>150</v>
          </cell>
          <cell r="L1035">
            <v>0</v>
          </cell>
          <cell r="M1035">
            <v>0</v>
          </cell>
        </row>
        <row r="1036">
          <cell r="C1036">
            <v>172</v>
          </cell>
          <cell r="F1036">
            <v>1</v>
          </cell>
          <cell r="I1036">
            <v>46237</v>
          </cell>
          <cell r="J1036">
            <v>0</v>
          </cell>
          <cell r="K1036">
            <v>1</v>
          </cell>
          <cell r="L1036">
            <v>0</v>
          </cell>
          <cell r="M1036">
            <v>0</v>
          </cell>
        </row>
        <row r="1037">
          <cell r="C1037">
            <v>108</v>
          </cell>
          <cell r="F1037">
            <v>1</v>
          </cell>
          <cell r="I1037">
            <v>46237</v>
          </cell>
          <cell r="J1037">
            <v>0</v>
          </cell>
          <cell r="K1037">
            <v>2</v>
          </cell>
          <cell r="L1037">
            <v>0</v>
          </cell>
          <cell r="M1037">
            <v>0</v>
          </cell>
        </row>
        <row r="1038">
          <cell r="C1038">
            <v>420</v>
          </cell>
          <cell r="F1038">
            <v>1</v>
          </cell>
          <cell r="I1038">
            <v>46237</v>
          </cell>
          <cell r="J1038">
            <v>0</v>
          </cell>
          <cell r="K1038">
            <v>0</v>
          </cell>
          <cell r="L1038">
            <v>0</v>
          </cell>
          <cell r="M1038">
            <v>12</v>
          </cell>
        </row>
        <row r="1039">
          <cell r="C1039">
            <v>423</v>
          </cell>
          <cell r="F1039">
            <v>1</v>
          </cell>
          <cell r="I1039">
            <v>46237</v>
          </cell>
          <cell r="J1039">
            <v>0</v>
          </cell>
          <cell r="K1039">
            <v>0</v>
          </cell>
          <cell r="L1039">
            <v>0</v>
          </cell>
          <cell r="M1039">
            <v>20</v>
          </cell>
        </row>
        <row r="1040">
          <cell r="C1040">
            <v>424</v>
          </cell>
          <cell r="F1040">
            <v>1</v>
          </cell>
          <cell r="I1040">
            <v>46237</v>
          </cell>
          <cell r="J1040">
            <v>0</v>
          </cell>
          <cell r="K1040">
            <v>0</v>
          </cell>
          <cell r="L1040">
            <v>0</v>
          </cell>
          <cell r="M1040">
            <v>20</v>
          </cell>
        </row>
        <row r="1041">
          <cell r="C1041">
            <v>83</v>
          </cell>
          <cell r="F1041">
            <v>1</v>
          </cell>
          <cell r="I1041">
            <v>46237</v>
          </cell>
          <cell r="J1041">
            <v>0</v>
          </cell>
          <cell r="K1041">
            <v>0</v>
          </cell>
          <cell r="L1041">
            <v>0</v>
          </cell>
          <cell r="M1041">
            <v>20</v>
          </cell>
        </row>
        <row r="1042">
          <cell r="C1042">
            <v>425</v>
          </cell>
          <cell r="F1042">
            <v>1</v>
          </cell>
          <cell r="I1042">
            <v>46237</v>
          </cell>
          <cell r="J1042">
            <v>0</v>
          </cell>
          <cell r="K1042">
            <v>0</v>
          </cell>
          <cell r="L1042">
            <v>0</v>
          </cell>
          <cell r="M1042">
            <v>20</v>
          </cell>
        </row>
        <row r="1043">
          <cell r="C1043">
            <v>82</v>
          </cell>
          <cell r="F1043">
            <v>1</v>
          </cell>
          <cell r="I1043">
            <v>46237</v>
          </cell>
          <cell r="J1043">
            <v>0</v>
          </cell>
          <cell r="K1043">
            <v>0</v>
          </cell>
          <cell r="L1043">
            <v>0</v>
          </cell>
          <cell r="M1043">
            <v>20</v>
          </cell>
        </row>
        <row r="1044">
          <cell r="C1044">
            <v>422</v>
          </cell>
          <cell r="F1044">
            <v>1</v>
          </cell>
          <cell r="I1044">
            <v>46237</v>
          </cell>
          <cell r="J1044">
            <v>0</v>
          </cell>
          <cell r="K1044">
            <v>0</v>
          </cell>
          <cell r="L1044">
            <v>0</v>
          </cell>
          <cell r="M1044">
            <v>20</v>
          </cell>
        </row>
        <row r="1045">
          <cell r="C1045">
            <v>421</v>
          </cell>
          <cell r="F1045">
            <v>1</v>
          </cell>
          <cell r="I1045">
            <v>46237</v>
          </cell>
          <cell r="J1045">
            <v>0</v>
          </cell>
          <cell r="K1045">
            <v>0</v>
          </cell>
          <cell r="L1045">
            <v>0</v>
          </cell>
          <cell r="M1045">
            <v>20</v>
          </cell>
        </row>
        <row r="1046">
          <cell r="C1046">
            <v>394</v>
          </cell>
          <cell r="F1046">
            <v>1</v>
          </cell>
          <cell r="I1046">
            <v>46237</v>
          </cell>
          <cell r="J1046">
            <v>0</v>
          </cell>
          <cell r="K1046">
            <v>0</v>
          </cell>
          <cell r="L1046">
            <v>0</v>
          </cell>
          <cell r="M1046">
            <v>10</v>
          </cell>
        </row>
        <row r="1047">
          <cell r="C1047">
            <v>404</v>
          </cell>
          <cell r="F1047">
            <v>1</v>
          </cell>
          <cell r="I1047">
            <v>46237</v>
          </cell>
          <cell r="J1047">
            <v>0</v>
          </cell>
          <cell r="K1047">
            <v>0</v>
          </cell>
          <cell r="L1047">
            <v>0</v>
          </cell>
          <cell r="M1047">
            <v>5</v>
          </cell>
        </row>
        <row r="1048">
          <cell r="C1048">
            <v>401</v>
          </cell>
          <cell r="F1048">
            <v>1</v>
          </cell>
          <cell r="I1048">
            <v>46237</v>
          </cell>
          <cell r="J1048">
            <v>0</v>
          </cell>
          <cell r="K1048">
            <v>0</v>
          </cell>
          <cell r="L1048">
            <v>0</v>
          </cell>
          <cell r="M1048">
            <v>12</v>
          </cell>
        </row>
        <row r="1049">
          <cell r="C1049">
            <v>402</v>
          </cell>
          <cell r="F1049">
            <v>1</v>
          </cell>
          <cell r="I1049">
            <v>46237</v>
          </cell>
          <cell r="J1049">
            <v>0</v>
          </cell>
          <cell r="K1049">
            <v>0</v>
          </cell>
          <cell r="L1049">
            <v>0</v>
          </cell>
          <cell r="M1049">
            <v>24</v>
          </cell>
        </row>
        <row r="1050">
          <cell r="C1050">
            <v>403</v>
          </cell>
          <cell r="F1050">
            <v>1</v>
          </cell>
          <cell r="I1050">
            <v>46237</v>
          </cell>
          <cell r="J1050">
            <v>0</v>
          </cell>
          <cell r="K1050">
            <v>0</v>
          </cell>
          <cell r="L1050">
            <v>0</v>
          </cell>
          <cell r="M1050">
            <v>24</v>
          </cell>
        </row>
        <row r="1051">
          <cell r="C1051">
            <v>390</v>
          </cell>
          <cell r="F1051">
            <v>1</v>
          </cell>
          <cell r="I1051">
            <v>46237</v>
          </cell>
          <cell r="J1051">
            <v>0</v>
          </cell>
          <cell r="K1051">
            <v>0</v>
          </cell>
          <cell r="L1051">
            <v>0</v>
          </cell>
          <cell r="M1051">
            <v>60</v>
          </cell>
        </row>
        <row r="1052">
          <cell r="C1052">
            <v>369</v>
          </cell>
          <cell r="F1052">
            <v>1</v>
          </cell>
          <cell r="I1052">
            <v>46237</v>
          </cell>
          <cell r="J1052">
            <v>0</v>
          </cell>
          <cell r="K1052">
            <v>0</v>
          </cell>
          <cell r="L1052">
            <v>0</v>
          </cell>
          <cell r="M1052">
            <v>50</v>
          </cell>
        </row>
        <row r="1053">
          <cell r="C1053">
            <v>412</v>
          </cell>
          <cell r="F1053">
            <v>1</v>
          </cell>
          <cell r="I1053">
            <v>46237</v>
          </cell>
          <cell r="J1053">
            <v>0</v>
          </cell>
          <cell r="K1053">
            <v>0</v>
          </cell>
          <cell r="L1053">
            <v>0</v>
          </cell>
          <cell r="M1053">
            <v>1</v>
          </cell>
        </row>
        <row r="1054">
          <cell r="C1054">
            <v>337</v>
          </cell>
          <cell r="F1054">
            <v>1</v>
          </cell>
          <cell r="I1054">
            <v>46237</v>
          </cell>
          <cell r="J1054">
            <v>0</v>
          </cell>
          <cell r="K1054">
            <v>0</v>
          </cell>
          <cell r="L1054">
            <v>0</v>
          </cell>
          <cell r="M1054">
            <v>300</v>
          </cell>
        </row>
        <row r="1055">
          <cell r="C1055">
            <v>426</v>
          </cell>
          <cell r="F1055">
            <v>1</v>
          </cell>
          <cell r="I1055">
            <v>46237</v>
          </cell>
          <cell r="J1055">
            <v>0</v>
          </cell>
          <cell r="K1055">
            <v>0</v>
          </cell>
          <cell r="L1055">
            <v>0</v>
          </cell>
          <cell r="M1055">
            <v>10</v>
          </cell>
        </row>
        <row r="1056">
          <cell r="C1056">
            <v>427</v>
          </cell>
          <cell r="F1056">
            <v>1</v>
          </cell>
          <cell r="I1056">
            <v>46237</v>
          </cell>
          <cell r="J1056">
            <v>0</v>
          </cell>
          <cell r="K1056">
            <v>0</v>
          </cell>
          <cell r="L1056">
            <v>0</v>
          </cell>
          <cell r="M1056">
            <v>10</v>
          </cell>
        </row>
        <row r="1057">
          <cell r="C1057">
            <v>428</v>
          </cell>
          <cell r="F1057">
            <v>1</v>
          </cell>
          <cell r="I1057">
            <v>46237</v>
          </cell>
          <cell r="J1057">
            <v>0</v>
          </cell>
          <cell r="K1057">
            <v>0</v>
          </cell>
          <cell r="L1057">
            <v>0</v>
          </cell>
          <cell r="M1057">
            <v>10</v>
          </cell>
        </row>
        <row r="1058">
          <cell r="C1058">
            <v>429</v>
          </cell>
          <cell r="F1058">
            <v>1</v>
          </cell>
          <cell r="I1058">
            <v>46237</v>
          </cell>
          <cell r="J1058">
            <v>0</v>
          </cell>
          <cell r="K1058">
            <v>0</v>
          </cell>
          <cell r="L1058">
            <v>0</v>
          </cell>
          <cell r="M1058">
            <v>12</v>
          </cell>
        </row>
        <row r="1059">
          <cell r="C1059">
            <v>305</v>
          </cell>
          <cell r="F1059">
            <v>1</v>
          </cell>
          <cell r="I1059">
            <v>46238</v>
          </cell>
          <cell r="J1059">
            <v>0</v>
          </cell>
          <cell r="K1059">
            <v>50</v>
          </cell>
          <cell r="L1059">
            <v>0</v>
          </cell>
          <cell r="M1059">
            <v>0</v>
          </cell>
        </row>
        <row r="1060">
          <cell r="C1060">
            <v>293</v>
          </cell>
          <cell r="F1060">
            <v>1</v>
          </cell>
          <cell r="I1060">
            <v>46238</v>
          </cell>
          <cell r="J1060">
            <v>0</v>
          </cell>
          <cell r="K1060">
            <v>2</v>
          </cell>
          <cell r="L1060">
            <v>0</v>
          </cell>
          <cell r="M1060">
            <v>0</v>
          </cell>
        </row>
        <row r="1061">
          <cell r="C1061">
            <v>294</v>
          </cell>
          <cell r="F1061">
            <v>1</v>
          </cell>
          <cell r="I1061">
            <v>46238</v>
          </cell>
          <cell r="J1061">
            <v>0</v>
          </cell>
          <cell r="K1061">
            <v>2</v>
          </cell>
          <cell r="L1061">
            <v>0</v>
          </cell>
          <cell r="M1061">
            <v>0</v>
          </cell>
        </row>
        <row r="1062">
          <cell r="C1062">
            <v>179</v>
          </cell>
          <cell r="F1062">
            <v>1</v>
          </cell>
          <cell r="I1062">
            <v>46238</v>
          </cell>
          <cell r="J1062">
            <v>0</v>
          </cell>
          <cell r="K1062">
            <v>200</v>
          </cell>
          <cell r="L1062">
            <v>0</v>
          </cell>
          <cell r="M1062">
            <v>0</v>
          </cell>
        </row>
        <row r="1063">
          <cell r="C1063">
            <v>183</v>
          </cell>
          <cell r="F1063">
            <v>1</v>
          </cell>
          <cell r="I1063">
            <v>46238</v>
          </cell>
          <cell r="J1063">
            <v>0</v>
          </cell>
          <cell r="K1063">
            <v>72</v>
          </cell>
          <cell r="L1063">
            <v>0</v>
          </cell>
          <cell r="M1063">
            <v>0</v>
          </cell>
        </row>
        <row r="1064">
          <cell r="C1064">
            <v>193</v>
          </cell>
          <cell r="F1064">
            <v>1</v>
          </cell>
          <cell r="I1064">
            <v>46238</v>
          </cell>
          <cell r="J1064">
            <v>0</v>
          </cell>
          <cell r="K1064">
            <v>12</v>
          </cell>
          <cell r="L1064">
            <v>0</v>
          </cell>
          <cell r="M1064">
            <v>0</v>
          </cell>
        </row>
        <row r="1065">
          <cell r="C1065">
            <v>189</v>
          </cell>
          <cell r="F1065">
            <v>1</v>
          </cell>
          <cell r="I1065">
            <v>46238</v>
          </cell>
          <cell r="J1065">
            <v>0</v>
          </cell>
          <cell r="K1065">
            <v>20</v>
          </cell>
          <cell r="L1065">
            <v>0</v>
          </cell>
          <cell r="M1065">
            <v>0</v>
          </cell>
        </row>
        <row r="1066">
          <cell r="C1066">
            <v>6</v>
          </cell>
          <cell r="F1066">
            <v>1</v>
          </cell>
          <cell r="I1066">
            <v>46238</v>
          </cell>
          <cell r="J1066">
            <v>0</v>
          </cell>
          <cell r="K1066">
            <v>8</v>
          </cell>
          <cell r="L1066">
            <v>0</v>
          </cell>
          <cell r="M1066">
            <v>0</v>
          </cell>
        </row>
        <row r="1067">
          <cell r="C1067">
            <v>7</v>
          </cell>
          <cell r="F1067">
            <v>1</v>
          </cell>
          <cell r="I1067">
            <v>46238</v>
          </cell>
          <cell r="J1067">
            <v>0</v>
          </cell>
          <cell r="K1067">
            <v>12</v>
          </cell>
          <cell r="L1067">
            <v>0</v>
          </cell>
          <cell r="M1067">
            <v>0</v>
          </cell>
        </row>
        <row r="1068">
          <cell r="C1068">
            <v>25</v>
          </cell>
          <cell r="F1068">
            <v>1</v>
          </cell>
          <cell r="I1068">
            <v>46238</v>
          </cell>
          <cell r="J1068">
            <v>0</v>
          </cell>
          <cell r="K1068">
            <v>4</v>
          </cell>
          <cell r="L1068">
            <v>0</v>
          </cell>
          <cell r="M1068">
            <v>0</v>
          </cell>
        </row>
        <row r="1069">
          <cell r="C1069">
            <v>44</v>
          </cell>
          <cell r="F1069">
            <v>1</v>
          </cell>
          <cell r="I1069">
            <v>46238</v>
          </cell>
          <cell r="J1069">
            <v>0</v>
          </cell>
          <cell r="K1069">
            <v>1</v>
          </cell>
          <cell r="L1069">
            <v>0</v>
          </cell>
          <cell r="M1069">
            <v>0</v>
          </cell>
        </row>
        <row r="1070">
          <cell r="C1070">
            <v>73</v>
          </cell>
          <cell r="F1070">
            <v>1</v>
          </cell>
          <cell r="I1070">
            <v>46238</v>
          </cell>
          <cell r="J1070">
            <v>0</v>
          </cell>
          <cell r="K1070">
            <v>1</v>
          </cell>
          <cell r="L1070">
            <v>0</v>
          </cell>
          <cell r="M1070">
            <v>0</v>
          </cell>
        </row>
        <row r="1071">
          <cell r="C1071">
            <v>45</v>
          </cell>
          <cell r="F1071">
            <v>1</v>
          </cell>
          <cell r="I1071">
            <v>46238</v>
          </cell>
          <cell r="J1071">
            <v>0</v>
          </cell>
          <cell r="K1071">
            <v>1</v>
          </cell>
          <cell r="L1071">
            <v>0</v>
          </cell>
          <cell r="M1071">
            <v>0</v>
          </cell>
        </row>
        <row r="1072">
          <cell r="C1072">
            <v>181</v>
          </cell>
          <cell r="F1072">
            <v>1</v>
          </cell>
          <cell r="I1072">
            <v>46238</v>
          </cell>
          <cell r="J1072">
            <v>0</v>
          </cell>
          <cell r="K1072">
            <v>24</v>
          </cell>
          <cell r="L1072">
            <v>0</v>
          </cell>
          <cell r="M1072">
            <v>0</v>
          </cell>
        </row>
        <row r="1073">
          <cell r="C1073">
            <v>370</v>
          </cell>
          <cell r="F1073">
            <v>1</v>
          </cell>
          <cell r="I1073">
            <v>46238</v>
          </cell>
          <cell r="J1073">
            <v>0</v>
          </cell>
          <cell r="K1073">
            <v>5</v>
          </cell>
          <cell r="L1073">
            <v>0</v>
          </cell>
          <cell r="M1073">
            <v>0</v>
          </cell>
        </row>
        <row r="1074">
          <cell r="C1074">
            <v>82</v>
          </cell>
          <cell r="F1074">
            <v>1</v>
          </cell>
          <cell r="I1074">
            <v>46238</v>
          </cell>
          <cell r="J1074">
            <v>0</v>
          </cell>
          <cell r="K1074">
            <v>3</v>
          </cell>
          <cell r="L1074">
            <v>0</v>
          </cell>
          <cell r="M1074">
            <v>0</v>
          </cell>
        </row>
        <row r="1075">
          <cell r="C1075">
            <v>92</v>
          </cell>
          <cell r="F1075">
            <v>1</v>
          </cell>
          <cell r="I1075">
            <v>46238</v>
          </cell>
          <cell r="J1075">
            <v>0</v>
          </cell>
          <cell r="K1075">
            <v>2</v>
          </cell>
          <cell r="L1075">
            <v>0</v>
          </cell>
          <cell r="M1075">
            <v>0</v>
          </cell>
        </row>
        <row r="1076">
          <cell r="C1076">
            <v>97</v>
          </cell>
          <cell r="F1076">
            <v>1</v>
          </cell>
          <cell r="I1076">
            <v>46238</v>
          </cell>
          <cell r="J1076">
            <v>0</v>
          </cell>
          <cell r="K1076">
            <v>2</v>
          </cell>
          <cell r="L1076">
            <v>0</v>
          </cell>
          <cell r="M1076">
            <v>0</v>
          </cell>
        </row>
        <row r="1077">
          <cell r="C1077">
            <v>96</v>
          </cell>
          <cell r="F1077">
            <v>1</v>
          </cell>
          <cell r="I1077">
            <v>46238</v>
          </cell>
          <cell r="J1077">
            <v>0</v>
          </cell>
          <cell r="K1077">
            <v>3</v>
          </cell>
          <cell r="L1077">
            <v>0</v>
          </cell>
          <cell r="M1077">
            <v>0</v>
          </cell>
        </row>
        <row r="1078">
          <cell r="C1078">
            <v>276</v>
          </cell>
          <cell r="F1078">
            <v>1</v>
          </cell>
          <cell r="I1078">
            <v>46238</v>
          </cell>
          <cell r="J1078">
            <v>0</v>
          </cell>
          <cell r="K1078">
            <v>2</v>
          </cell>
          <cell r="L1078">
            <v>0</v>
          </cell>
          <cell r="M1078">
            <v>0</v>
          </cell>
        </row>
        <row r="1079">
          <cell r="C1079">
            <v>378</v>
          </cell>
          <cell r="F1079">
            <v>1</v>
          </cell>
          <cell r="I1079">
            <v>46238</v>
          </cell>
          <cell r="J1079">
            <v>0</v>
          </cell>
          <cell r="K1079">
            <v>1</v>
          </cell>
          <cell r="L1079">
            <v>0</v>
          </cell>
          <cell r="M1079">
            <v>0</v>
          </cell>
        </row>
        <row r="1080">
          <cell r="C1080">
            <v>376</v>
          </cell>
          <cell r="F1080">
            <v>1</v>
          </cell>
          <cell r="I1080">
            <v>46238</v>
          </cell>
          <cell r="J1080">
            <v>0</v>
          </cell>
          <cell r="K1080">
            <v>2</v>
          </cell>
          <cell r="L1080">
            <v>0</v>
          </cell>
          <cell r="M1080">
            <v>0</v>
          </cell>
        </row>
        <row r="1081">
          <cell r="C1081">
            <v>377</v>
          </cell>
          <cell r="F1081">
            <v>1</v>
          </cell>
          <cell r="I1081">
            <v>46238</v>
          </cell>
          <cell r="J1081">
            <v>0</v>
          </cell>
          <cell r="K1081">
            <v>30</v>
          </cell>
          <cell r="L1081">
            <v>0</v>
          </cell>
          <cell r="M1081">
            <v>0</v>
          </cell>
        </row>
        <row r="1082">
          <cell r="C1082">
            <v>379</v>
          </cell>
          <cell r="F1082">
            <v>1</v>
          </cell>
          <cell r="I1082">
            <v>46238</v>
          </cell>
          <cell r="J1082">
            <v>0</v>
          </cell>
          <cell r="K1082">
            <v>1</v>
          </cell>
          <cell r="L1082">
            <v>0</v>
          </cell>
          <cell r="M1082">
            <v>0</v>
          </cell>
        </row>
        <row r="1083">
          <cell r="C1083">
            <v>365</v>
          </cell>
          <cell r="F1083">
            <v>1</v>
          </cell>
          <cell r="I1083">
            <v>46238</v>
          </cell>
          <cell r="J1083">
            <v>0</v>
          </cell>
          <cell r="K1083">
            <v>1</v>
          </cell>
          <cell r="L1083">
            <v>0</v>
          </cell>
          <cell r="M1083">
            <v>0</v>
          </cell>
        </row>
        <row r="1084">
          <cell r="C1084">
            <v>101</v>
          </cell>
          <cell r="F1084">
            <v>1</v>
          </cell>
          <cell r="I1084">
            <v>46238</v>
          </cell>
          <cell r="J1084">
            <v>0</v>
          </cell>
          <cell r="K1084">
            <v>1000</v>
          </cell>
          <cell r="L1084">
            <v>0</v>
          </cell>
          <cell r="M1084">
            <v>0</v>
          </cell>
        </row>
        <row r="1085">
          <cell r="C1085">
            <v>103</v>
          </cell>
          <cell r="F1085">
            <v>1</v>
          </cell>
          <cell r="I1085">
            <v>46238</v>
          </cell>
          <cell r="J1085">
            <v>0</v>
          </cell>
          <cell r="K1085">
            <v>2</v>
          </cell>
          <cell r="L1085">
            <v>0</v>
          </cell>
          <cell r="M1085">
            <v>0</v>
          </cell>
        </row>
        <row r="1086">
          <cell r="C1086">
            <v>366</v>
          </cell>
          <cell r="F1086">
            <v>1</v>
          </cell>
          <cell r="I1086">
            <v>46238</v>
          </cell>
          <cell r="J1086">
            <v>0</v>
          </cell>
          <cell r="K1086">
            <v>2</v>
          </cell>
          <cell r="L1086">
            <v>0</v>
          </cell>
          <cell r="M1086">
            <v>0</v>
          </cell>
        </row>
        <row r="1087">
          <cell r="C1087">
            <v>165</v>
          </cell>
          <cell r="F1087">
            <v>1</v>
          </cell>
          <cell r="I1087">
            <v>46238</v>
          </cell>
          <cell r="J1087">
            <v>0</v>
          </cell>
          <cell r="K1087">
            <v>1</v>
          </cell>
          <cell r="L1087">
            <v>0</v>
          </cell>
          <cell r="M1087">
            <v>0</v>
          </cell>
        </row>
        <row r="1088">
          <cell r="C1088">
            <v>163</v>
          </cell>
          <cell r="F1088">
            <v>1</v>
          </cell>
          <cell r="I1088">
            <v>46238</v>
          </cell>
          <cell r="J1088">
            <v>0</v>
          </cell>
          <cell r="K1088">
            <v>1</v>
          </cell>
          <cell r="L1088">
            <v>0</v>
          </cell>
          <cell r="M1088">
            <v>0</v>
          </cell>
        </row>
        <row r="1089">
          <cell r="C1089">
            <v>169</v>
          </cell>
          <cell r="F1089">
            <v>1</v>
          </cell>
          <cell r="I1089">
            <v>46238</v>
          </cell>
          <cell r="J1089">
            <v>0</v>
          </cell>
          <cell r="K1089">
            <v>5</v>
          </cell>
          <cell r="L1089">
            <v>0</v>
          </cell>
          <cell r="M1089">
            <v>0</v>
          </cell>
        </row>
        <row r="1090">
          <cell r="C1090">
            <v>144</v>
          </cell>
          <cell r="F1090">
            <v>1</v>
          </cell>
          <cell r="I1090">
            <v>46238</v>
          </cell>
          <cell r="J1090">
            <v>0</v>
          </cell>
          <cell r="K1090">
            <v>2</v>
          </cell>
          <cell r="L1090">
            <v>0</v>
          </cell>
          <cell r="M1090">
            <v>0</v>
          </cell>
        </row>
        <row r="1091">
          <cell r="C1091">
            <v>145</v>
          </cell>
          <cell r="F1091">
            <v>1</v>
          </cell>
          <cell r="I1091">
            <v>46238</v>
          </cell>
          <cell r="J1091">
            <v>0</v>
          </cell>
          <cell r="K1091">
            <v>3</v>
          </cell>
          <cell r="L1091">
            <v>0</v>
          </cell>
          <cell r="M1091">
            <v>0</v>
          </cell>
        </row>
        <row r="1092">
          <cell r="C1092">
            <v>185</v>
          </cell>
          <cell r="F1092">
            <v>1</v>
          </cell>
          <cell r="I1092">
            <v>46238</v>
          </cell>
          <cell r="J1092">
            <v>0</v>
          </cell>
          <cell r="K1092">
            <v>12</v>
          </cell>
          <cell r="L1092">
            <v>0</v>
          </cell>
          <cell r="M1092">
            <v>0</v>
          </cell>
        </row>
        <row r="1093">
          <cell r="C1093">
            <v>182</v>
          </cell>
          <cell r="F1093">
            <v>1</v>
          </cell>
          <cell r="I1093">
            <v>46238</v>
          </cell>
          <cell r="J1093">
            <v>0</v>
          </cell>
          <cell r="K1093">
            <v>12</v>
          </cell>
          <cell r="L1093">
            <v>0</v>
          </cell>
          <cell r="M1093">
            <v>0</v>
          </cell>
        </row>
        <row r="1094">
          <cell r="C1094">
            <v>198</v>
          </cell>
          <cell r="F1094">
            <v>1</v>
          </cell>
          <cell r="I1094">
            <v>46238</v>
          </cell>
          <cell r="J1094">
            <v>0</v>
          </cell>
          <cell r="K1094">
            <v>4</v>
          </cell>
          <cell r="L1094">
            <v>0</v>
          </cell>
          <cell r="M1094">
            <v>0</v>
          </cell>
        </row>
        <row r="1095">
          <cell r="C1095">
            <v>241</v>
          </cell>
          <cell r="F1095">
            <v>1</v>
          </cell>
          <cell r="I1095">
            <v>46238</v>
          </cell>
          <cell r="J1095">
            <v>0</v>
          </cell>
          <cell r="K1095">
            <v>2</v>
          </cell>
          <cell r="L1095">
            <v>0</v>
          </cell>
          <cell r="M1095">
            <v>0</v>
          </cell>
        </row>
        <row r="1096">
          <cell r="C1096">
            <v>172</v>
          </cell>
          <cell r="F1096">
            <v>1</v>
          </cell>
          <cell r="I1096">
            <v>46238</v>
          </cell>
          <cell r="J1096">
            <v>0</v>
          </cell>
          <cell r="K1096">
            <v>1</v>
          </cell>
          <cell r="L1096">
            <v>0</v>
          </cell>
          <cell r="M1096">
            <v>0</v>
          </cell>
        </row>
        <row r="1097">
          <cell r="C1097">
            <v>367</v>
          </cell>
          <cell r="F1097">
            <v>1</v>
          </cell>
          <cell r="I1097">
            <v>46238</v>
          </cell>
          <cell r="J1097">
            <v>0</v>
          </cell>
          <cell r="K1097">
            <v>2</v>
          </cell>
          <cell r="L1097">
            <v>0</v>
          </cell>
          <cell r="M1097">
            <v>0</v>
          </cell>
        </row>
        <row r="1098">
          <cell r="C1098">
            <v>150</v>
          </cell>
          <cell r="F1098">
            <v>1</v>
          </cell>
          <cell r="I1098">
            <v>46238</v>
          </cell>
          <cell r="J1098">
            <v>0</v>
          </cell>
          <cell r="K1098">
            <v>2</v>
          </cell>
          <cell r="L1098">
            <v>0</v>
          </cell>
          <cell r="M1098">
            <v>0</v>
          </cell>
        </row>
        <row r="1099">
          <cell r="C1099">
            <v>385</v>
          </cell>
          <cell r="F1099">
            <v>1</v>
          </cell>
          <cell r="I1099">
            <v>46239</v>
          </cell>
          <cell r="J1099">
            <v>0</v>
          </cell>
          <cell r="K1099">
            <v>3</v>
          </cell>
          <cell r="L1099">
            <v>0</v>
          </cell>
          <cell r="M1099">
            <v>0</v>
          </cell>
        </row>
        <row r="1100">
          <cell r="C1100">
            <v>386</v>
          </cell>
          <cell r="F1100">
            <v>1</v>
          </cell>
          <cell r="I1100">
            <v>46239</v>
          </cell>
          <cell r="J1100">
            <v>0</v>
          </cell>
          <cell r="K1100">
            <v>4</v>
          </cell>
          <cell r="L1100">
            <v>0</v>
          </cell>
          <cell r="M1100">
            <v>0</v>
          </cell>
        </row>
        <row r="1101">
          <cell r="C1101">
            <v>381</v>
          </cell>
          <cell r="F1101">
            <v>1</v>
          </cell>
          <cell r="I1101">
            <v>46239</v>
          </cell>
          <cell r="J1101">
            <v>0</v>
          </cell>
          <cell r="K1101">
            <v>2</v>
          </cell>
          <cell r="L1101">
            <v>0</v>
          </cell>
          <cell r="M1101">
            <v>0</v>
          </cell>
        </row>
        <row r="1102">
          <cell r="C1102">
            <v>382</v>
          </cell>
          <cell r="F1102">
            <v>1</v>
          </cell>
          <cell r="I1102">
            <v>46239</v>
          </cell>
          <cell r="J1102">
            <v>0</v>
          </cell>
          <cell r="K1102">
            <v>3</v>
          </cell>
          <cell r="L1102">
            <v>0</v>
          </cell>
          <cell r="M1102">
            <v>0</v>
          </cell>
        </row>
        <row r="1103">
          <cell r="C1103">
            <v>412</v>
          </cell>
          <cell r="F1103">
            <v>1</v>
          </cell>
          <cell r="I1103">
            <v>46239</v>
          </cell>
          <cell r="J1103">
            <v>0</v>
          </cell>
          <cell r="K1103">
            <v>1</v>
          </cell>
          <cell r="L1103">
            <v>0</v>
          </cell>
          <cell r="M1103">
            <v>0</v>
          </cell>
        </row>
        <row r="1104">
          <cell r="C1104">
            <v>376</v>
          </cell>
          <cell r="F1104">
            <v>1</v>
          </cell>
          <cell r="I1104">
            <v>46239</v>
          </cell>
          <cell r="J1104">
            <v>0</v>
          </cell>
          <cell r="K1104">
            <v>4</v>
          </cell>
          <cell r="L1104">
            <v>0</v>
          </cell>
          <cell r="M1104">
            <v>0</v>
          </cell>
        </row>
        <row r="1105">
          <cell r="C1105">
            <v>276</v>
          </cell>
          <cell r="F1105">
            <v>1</v>
          </cell>
          <cell r="I1105">
            <v>46239</v>
          </cell>
          <cell r="J1105">
            <v>0</v>
          </cell>
          <cell r="K1105">
            <v>6</v>
          </cell>
          <cell r="L1105">
            <v>0</v>
          </cell>
          <cell r="M1105">
            <v>0</v>
          </cell>
        </row>
        <row r="1106">
          <cell r="C1106">
            <v>79</v>
          </cell>
          <cell r="F1106">
            <v>1</v>
          </cell>
          <cell r="I1106">
            <v>46239</v>
          </cell>
          <cell r="J1106">
            <v>0</v>
          </cell>
          <cell r="K1106">
            <v>20</v>
          </cell>
          <cell r="L1106">
            <v>0</v>
          </cell>
          <cell r="M1106">
            <v>0</v>
          </cell>
        </row>
        <row r="1107">
          <cell r="C1107">
            <v>108</v>
          </cell>
          <cell r="F1107">
            <v>1</v>
          </cell>
          <cell r="I1107">
            <v>46239</v>
          </cell>
          <cell r="J1107">
            <v>0</v>
          </cell>
          <cell r="K1107">
            <v>3</v>
          </cell>
          <cell r="L1107">
            <v>0</v>
          </cell>
          <cell r="M1107">
            <v>0</v>
          </cell>
        </row>
        <row r="1108">
          <cell r="C1108">
            <v>371</v>
          </cell>
          <cell r="F1108">
            <v>1</v>
          </cell>
          <cell r="I1108">
            <v>46239</v>
          </cell>
          <cell r="J1108">
            <v>0</v>
          </cell>
          <cell r="K1108">
            <v>1</v>
          </cell>
          <cell r="L1108">
            <v>0</v>
          </cell>
          <cell r="M1108">
            <v>0</v>
          </cell>
        </row>
        <row r="1109">
          <cell r="C1109">
            <v>390</v>
          </cell>
          <cell r="F1109">
            <v>1</v>
          </cell>
          <cell r="I1109">
            <v>46239</v>
          </cell>
          <cell r="J1109">
            <v>0</v>
          </cell>
          <cell r="K1109">
            <v>4</v>
          </cell>
          <cell r="L1109">
            <v>0</v>
          </cell>
          <cell r="M1109">
            <v>0</v>
          </cell>
        </row>
        <row r="1110">
          <cell r="C1110">
            <v>394</v>
          </cell>
          <cell r="F1110">
            <v>1</v>
          </cell>
          <cell r="I1110">
            <v>46239</v>
          </cell>
          <cell r="J1110">
            <v>0</v>
          </cell>
          <cell r="K1110">
            <v>1</v>
          </cell>
          <cell r="L1110">
            <v>0</v>
          </cell>
          <cell r="M1110">
            <v>0</v>
          </cell>
        </row>
        <row r="1111">
          <cell r="C1111">
            <v>401</v>
          </cell>
          <cell r="F1111">
            <v>1</v>
          </cell>
          <cell r="I1111">
            <v>46239</v>
          </cell>
          <cell r="J1111">
            <v>0</v>
          </cell>
          <cell r="K1111">
            <v>1</v>
          </cell>
          <cell r="L1111">
            <v>0</v>
          </cell>
          <cell r="M1111">
            <v>0</v>
          </cell>
        </row>
        <row r="1112">
          <cell r="C1112">
            <v>402</v>
          </cell>
          <cell r="F1112">
            <v>1</v>
          </cell>
          <cell r="I1112">
            <v>46239</v>
          </cell>
          <cell r="J1112">
            <v>0</v>
          </cell>
          <cell r="K1112">
            <v>1</v>
          </cell>
          <cell r="L1112">
            <v>0</v>
          </cell>
          <cell r="M1112">
            <v>0</v>
          </cell>
        </row>
        <row r="1113">
          <cell r="C1113">
            <v>380</v>
          </cell>
          <cell r="F1113">
            <v>1</v>
          </cell>
          <cell r="I1113">
            <v>46239</v>
          </cell>
          <cell r="J1113">
            <v>0</v>
          </cell>
          <cell r="K1113">
            <v>2</v>
          </cell>
          <cell r="L1113">
            <v>0</v>
          </cell>
          <cell r="M1113">
            <v>0</v>
          </cell>
        </row>
        <row r="1114">
          <cell r="C1114">
            <v>378</v>
          </cell>
          <cell r="F1114">
            <v>1</v>
          </cell>
          <cell r="I1114">
            <v>46239</v>
          </cell>
          <cell r="J1114">
            <v>0</v>
          </cell>
          <cell r="K1114">
            <v>1</v>
          </cell>
          <cell r="L1114">
            <v>0</v>
          </cell>
          <cell r="M1114">
            <v>0</v>
          </cell>
        </row>
        <row r="1115">
          <cell r="C1115">
            <v>368</v>
          </cell>
          <cell r="F1115">
            <v>1</v>
          </cell>
          <cell r="I1115">
            <v>46239</v>
          </cell>
          <cell r="J1115">
            <v>0</v>
          </cell>
          <cell r="K1115">
            <v>5</v>
          </cell>
          <cell r="L1115">
            <v>0</v>
          </cell>
          <cell r="M1115">
            <v>0</v>
          </cell>
        </row>
        <row r="1116">
          <cell r="C1116">
            <v>369</v>
          </cell>
          <cell r="F1116">
            <v>1</v>
          </cell>
          <cell r="I1116">
            <v>46239</v>
          </cell>
          <cell r="J1116">
            <v>0</v>
          </cell>
          <cell r="K1116">
            <v>4</v>
          </cell>
          <cell r="L1116">
            <v>0</v>
          </cell>
          <cell r="M1116">
            <v>0</v>
          </cell>
        </row>
        <row r="1117">
          <cell r="C1117">
            <v>97</v>
          </cell>
          <cell r="F1117">
            <v>1</v>
          </cell>
          <cell r="I1117">
            <v>46239</v>
          </cell>
          <cell r="J1117">
            <v>0</v>
          </cell>
          <cell r="K1117">
            <v>2</v>
          </cell>
          <cell r="L1117">
            <v>0</v>
          </cell>
          <cell r="M1117">
            <v>0</v>
          </cell>
        </row>
        <row r="1118">
          <cell r="C1118">
            <v>96</v>
          </cell>
          <cell r="F1118">
            <v>1</v>
          </cell>
          <cell r="I1118">
            <v>46239</v>
          </cell>
          <cell r="J1118">
            <v>0</v>
          </cell>
          <cell r="K1118">
            <v>6</v>
          </cell>
          <cell r="L1118">
            <v>0</v>
          </cell>
          <cell r="M1118">
            <v>0</v>
          </cell>
        </row>
        <row r="1119">
          <cell r="C1119">
            <v>377</v>
          </cell>
          <cell r="F1119">
            <v>1</v>
          </cell>
          <cell r="I1119">
            <v>46239</v>
          </cell>
          <cell r="J1119">
            <v>0</v>
          </cell>
          <cell r="K1119">
            <v>35</v>
          </cell>
          <cell r="L1119">
            <v>0</v>
          </cell>
          <cell r="M1119">
            <v>0</v>
          </cell>
        </row>
        <row r="1120">
          <cell r="C1120">
            <v>384</v>
          </cell>
          <cell r="F1120">
            <v>1</v>
          </cell>
          <cell r="I1120">
            <v>46239</v>
          </cell>
          <cell r="J1120">
            <v>0</v>
          </cell>
          <cell r="K1120">
            <v>4</v>
          </cell>
          <cell r="L1120">
            <v>0</v>
          </cell>
          <cell r="M1120">
            <v>0</v>
          </cell>
        </row>
        <row r="1121">
          <cell r="C1121">
            <v>77</v>
          </cell>
          <cell r="F1121">
            <v>1</v>
          </cell>
          <cell r="I1121">
            <v>46239</v>
          </cell>
          <cell r="J1121">
            <v>0</v>
          </cell>
          <cell r="K1121">
            <v>10</v>
          </cell>
          <cell r="L1121">
            <v>0</v>
          </cell>
          <cell r="M1121">
            <v>0</v>
          </cell>
        </row>
        <row r="1122">
          <cell r="C1122">
            <v>101</v>
          </cell>
          <cell r="F1122">
            <v>1</v>
          </cell>
          <cell r="I1122">
            <v>46239</v>
          </cell>
          <cell r="J1122">
            <v>0</v>
          </cell>
          <cell r="K1122">
            <v>1000</v>
          </cell>
          <cell r="L1122">
            <v>0</v>
          </cell>
          <cell r="M1122">
            <v>0</v>
          </cell>
        </row>
        <row r="1123">
          <cell r="C1123">
            <v>395</v>
          </cell>
          <cell r="F1123">
            <v>1</v>
          </cell>
          <cell r="I1123">
            <v>46238</v>
          </cell>
          <cell r="J1123">
            <v>0</v>
          </cell>
          <cell r="K1123">
            <v>0</v>
          </cell>
          <cell r="L1123">
            <v>0</v>
          </cell>
          <cell r="M1123">
            <v>21</v>
          </cell>
        </row>
        <row r="1124">
          <cell r="C1124">
            <v>399</v>
          </cell>
          <cell r="F1124">
            <v>1</v>
          </cell>
          <cell r="I1124">
            <v>46238</v>
          </cell>
          <cell r="J1124">
            <v>0</v>
          </cell>
          <cell r="K1124">
            <v>0</v>
          </cell>
          <cell r="L1124">
            <v>0</v>
          </cell>
          <cell r="M1124">
            <v>21</v>
          </cell>
        </row>
        <row r="1125">
          <cell r="C1125">
            <v>187</v>
          </cell>
          <cell r="F1125">
            <v>1</v>
          </cell>
          <cell r="I1125">
            <v>46235</v>
          </cell>
          <cell r="J1125">
            <v>0</v>
          </cell>
          <cell r="K1125">
            <v>0</v>
          </cell>
          <cell r="L1125">
            <v>0</v>
          </cell>
          <cell r="M1125">
            <v>40</v>
          </cell>
        </row>
        <row r="1126">
          <cell r="C1126">
            <v>195</v>
          </cell>
          <cell r="F1126">
            <v>1</v>
          </cell>
          <cell r="I1126">
            <v>46235</v>
          </cell>
          <cell r="J1126">
            <v>0</v>
          </cell>
          <cell r="K1126">
            <v>0</v>
          </cell>
          <cell r="L1126">
            <v>0</v>
          </cell>
          <cell r="M1126">
            <v>40</v>
          </cell>
        </row>
        <row r="1127">
          <cell r="C1127">
            <v>197</v>
          </cell>
          <cell r="F1127">
            <v>1</v>
          </cell>
          <cell r="I1127">
            <v>46235</v>
          </cell>
          <cell r="J1127">
            <v>0</v>
          </cell>
          <cell r="K1127">
            <v>0</v>
          </cell>
          <cell r="L1127">
            <v>0</v>
          </cell>
          <cell r="M1127">
            <v>40</v>
          </cell>
        </row>
        <row r="1128">
          <cell r="C1128">
            <v>199</v>
          </cell>
          <cell r="F1128">
            <v>1</v>
          </cell>
          <cell r="I1128">
            <v>46235</v>
          </cell>
          <cell r="J1128">
            <v>0</v>
          </cell>
          <cell r="K1128">
            <v>0</v>
          </cell>
          <cell r="L1128">
            <v>0</v>
          </cell>
          <cell r="M1128">
            <v>40</v>
          </cell>
        </row>
        <row r="1129">
          <cell r="C1129">
            <v>349</v>
          </cell>
          <cell r="F1129">
            <v>1</v>
          </cell>
          <cell r="I1129">
            <v>46235</v>
          </cell>
          <cell r="J1129">
            <v>0</v>
          </cell>
          <cell r="K1129">
            <v>0</v>
          </cell>
          <cell r="L1129">
            <v>0</v>
          </cell>
          <cell r="M1129">
            <v>10</v>
          </cell>
        </row>
        <row r="1130">
          <cell r="C1130">
            <v>243</v>
          </cell>
          <cell r="F1130">
            <v>1</v>
          </cell>
          <cell r="I1130">
            <v>46235</v>
          </cell>
          <cell r="J1130">
            <v>0</v>
          </cell>
          <cell r="K1130">
            <v>0</v>
          </cell>
          <cell r="L1130">
            <v>0</v>
          </cell>
          <cell r="M1130">
            <v>10</v>
          </cell>
        </row>
        <row r="1131">
          <cell r="C1131">
            <v>358</v>
          </cell>
          <cell r="F1131">
            <v>1</v>
          </cell>
          <cell r="I1131">
            <v>46235</v>
          </cell>
          <cell r="J1131">
            <v>0</v>
          </cell>
          <cell r="K1131">
            <v>0</v>
          </cell>
          <cell r="L1131">
            <v>0</v>
          </cell>
          <cell r="M1131">
            <v>20</v>
          </cell>
        </row>
        <row r="1132">
          <cell r="C1132">
            <v>178</v>
          </cell>
          <cell r="F1132">
            <v>1</v>
          </cell>
          <cell r="I1132">
            <v>46235</v>
          </cell>
          <cell r="J1132">
            <v>0</v>
          </cell>
          <cell r="K1132">
            <v>0</v>
          </cell>
          <cell r="L1132">
            <v>0</v>
          </cell>
          <cell r="M1132">
            <v>500</v>
          </cell>
        </row>
        <row r="1133">
          <cell r="C1133">
            <v>305</v>
          </cell>
          <cell r="F1133">
            <v>1</v>
          </cell>
          <cell r="I1133">
            <v>46235</v>
          </cell>
          <cell r="J1133">
            <v>0</v>
          </cell>
          <cell r="K1133">
            <v>0</v>
          </cell>
          <cell r="L1133">
            <v>0</v>
          </cell>
          <cell r="M1133">
            <v>10000</v>
          </cell>
        </row>
        <row r="1134">
          <cell r="C1134">
            <v>395</v>
          </cell>
          <cell r="F1134">
            <v>1</v>
          </cell>
          <cell r="I1134">
            <v>46240</v>
          </cell>
          <cell r="J1134">
            <v>0</v>
          </cell>
          <cell r="K1134">
            <v>3</v>
          </cell>
          <cell r="L1134">
            <v>0</v>
          </cell>
          <cell r="M1134">
            <v>0</v>
          </cell>
        </row>
        <row r="1135">
          <cell r="C1135">
            <v>399</v>
          </cell>
          <cell r="F1135">
            <v>1</v>
          </cell>
          <cell r="I1135">
            <v>46240</v>
          </cell>
          <cell r="J1135">
            <v>0</v>
          </cell>
          <cell r="K1135">
            <v>2</v>
          </cell>
          <cell r="L1135">
            <v>0</v>
          </cell>
          <cell r="M1135">
            <v>0</v>
          </cell>
        </row>
        <row r="1136">
          <cell r="C1136">
            <v>177</v>
          </cell>
          <cell r="F1136">
            <v>1</v>
          </cell>
          <cell r="I1136">
            <v>46240</v>
          </cell>
          <cell r="J1136">
            <v>0</v>
          </cell>
          <cell r="K1136">
            <v>800</v>
          </cell>
          <cell r="L1136">
            <v>0</v>
          </cell>
          <cell r="M1136">
            <v>0</v>
          </cell>
        </row>
        <row r="1137">
          <cell r="C1137">
            <v>183</v>
          </cell>
          <cell r="F1137">
            <v>1</v>
          </cell>
          <cell r="I1137">
            <v>46240</v>
          </cell>
          <cell r="J1137">
            <v>0</v>
          </cell>
          <cell r="K1137">
            <v>12</v>
          </cell>
          <cell r="L1137">
            <v>0</v>
          </cell>
          <cell r="M1137">
            <v>0</v>
          </cell>
        </row>
        <row r="1138">
          <cell r="C1138">
            <v>181</v>
          </cell>
          <cell r="F1138">
            <v>1</v>
          </cell>
          <cell r="I1138">
            <v>46240</v>
          </cell>
          <cell r="J1138">
            <v>0</v>
          </cell>
          <cell r="K1138">
            <v>24</v>
          </cell>
          <cell r="L1138">
            <v>0</v>
          </cell>
          <cell r="M1138">
            <v>0</v>
          </cell>
        </row>
        <row r="1139">
          <cell r="C1139">
            <v>198</v>
          </cell>
          <cell r="F1139">
            <v>1</v>
          </cell>
          <cell r="I1139">
            <v>46240</v>
          </cell>
          <cell r="J1139">
            <v>0</v>
          </cell>
          <cell r="K1139">
            <v>4</v>
          </cell>
          <cell r="L1139">
            <v>0</v>
          </cell>
          <cell r="M1139">
            <v>0</v>
          </cell>
        </row>
        <row r="1140">
          <cell r="C1140">
            <v>377</v>
          </cell>
          <cell r="F1140">
            <v>1</v>
          </cell>
          <cell r="I1140">
            <v>46240</v>
          </cell>
          <cell r="J1140">
            <v>0</v>
          </cell>
          <cell r="K1140">
            <v>20</v>
          </cell>
          <cell r="L1140">
            <v>0</v>
          </cell>
          <cell r="M1140">
            <v>0</v>
          </cell>
        </row>
        <row r="1141">
          <cell r="C1141">
            <v>92</v>
          </cell>
          <cell r="F1141">
            <v>1</v>
          </cell>
          <cell r="I1141">
            <v>46240</v>
          </cell>
          <cell r="J1141">
            <v>0</v>
          </cell>
          <cell r="K1141">
            <v>1</v>
          </cell>
          <cell r="L1141">
            <v>0</v>
          </cell>
          <cell r="M1141">
            <v>0</v>
          </cell>
        </row>
        <row r="1142">
          <cell r="C1142">
            <v>125</v>
          </cell>
          <cell r="F1142">
            <v>1</v>
          </cell>
          <cell r="I1142">
            <v>46240</v>
          </cell>
          <cell r="J1142">
            <v>0</v>
          </cell>
          <cell r="K1142">
            <v>25</v>
          </cell>
          <cell r="L1142">
            <v>0</v>
          </cell>
          <cell r="M1142">
            <v>0</v>
          </cell>
        </row>
        <row r="1143">
          <cell r="C1143">
            <v>284</v>
          </cell>
          <cell r="F1143">
            <v>1</v>
          </cell>
          <cell r="I1143">
            <v>46240</v>
          </cell>
          <cell r="J1143">
            <v>0</v>
          </cell>
          <cell r="K1143">
            <v>10</v>
          </cell>
          <cell r="L1143">
            <v>0</v>
          </cell>
          <cell r="M1143">
            <v>0</v>
          </cell>
        </row>
        <row r="1144">
          <cell r="C1144">
            <v>96</v>
          </cell>
          <cell r="F1144">
            <v>1</v>
          </cell>
          <cell r="I1144">
            <v>46240</v>
          </cell>
          <cell r="J1144">
            <v>0</v>
          </cell>
          <cell r="K1144">
            <v>2</v>
          </cell>
          <cell r="L1144">
            <v>0</v>
          </cell>
          <cell r="M1144">
            <v>0</v>
          </cell>
        </row>
        <row r="1145">
          <cell r="C1145">
            <v>424</v>
          </cell>
          <cell r="F1145">
            <v>1</v>
          </cell>
          <cell r="I1145">
            <v>46240</v>
          </cell>
          <cell r="J1145">
            <v>0</v>
          </cell>
          <cell r="K1145">
            <v>1</v>
          </cell>
          <cell r="L1145">
            <v>0</v>
          </cell>
          <cell r="M1145">
            <v>0</v>
          </cell>
        </row>
        <row r="1146">
          <cell r="C1146">
            <v>276</v>
          </cell>
          <cell r="F1146">
            <v>1</v>
          </cell>
          <cell r="I1146">
            <v>46240</v>
          </cell>
          <cell r="J1146">
            <v>0</v>
          </cell>
          <cell r="K1146">
            <v>2</v>
          </cell>
          <cell r="L1146">
            <v>0</v>
          </cell>
          <cell r="M1146">
            <v>0</v>
          </cell>
        </row>
        <row r="1147">
          <cell r="C1147">
            <v>101</v>
          </cell>
          <cell r="F1147">
            <v>1</v>
          </cell>
          <cell r="I1147">
            <v>46240</v>
          </cell>
          <cell r="J1147">
            <v>0</v>
          </cell>
          <cell r="K1147">
            <v>1000</v>
          </cell>
          <cell r="L1147">
            <v>0</v>
          </cell>
          <cell r="M1147">
            <v>0</v>
          </cell>
        </row>
        <row r="1148">
          <cell r="C1148">
            <v>378</v>
          </cell>
          <cell r="F1148">
            <v>1</v>
          </cell>
          <cell r="I1148">
            <v>46240</v>
          </cell>
          <cell r="J1148">
            <v>0</v>
          </cell>
          <cell r="K1148">
            <v>1</v>
          </cell>
          <cell r="L1148">
            <v>0</v>
          </cell>
          <cell r="M1148">
            <v>0</v>
          </cell>
        </row>
        <row r="1149">
          <cell r="C1149">
            <v>108</v>
          </cell>
          <cell r="F1149">
            <v>1</v>
          </cell>
          <cell r="I1149">
            <v>46240</v>
          </cell>
          <cell r="J1149">
            <v>0</v>
          </cell>
          <cell r="K1149">
            <v>1</v>
          </cell>
          <cell r="L1149">
            <v>0</v>
          </cell>
          <cell r="M1149">
            <v>0</v>
          </cell>
        </row>
        <row r="1150">
          <cell r="C1150">
            <v>366</v>
          </cell>
          <cell r="F1150">
            <v>1</v>
          </cell>
          <cell r="I1150">
            <v>46240</v>
          </cell>
          <cell r="J1150">
            <v>0</v>
          </cell>
          <cell r="K1150">
            <v>1</v>
          </cell>
          <cell r="L1150">
            <v>0</v>
          </cell>
          <cell r="M1150">
            <v>0</v>
          </cell>
        </row>
        <row r="1151">
          <cell r="C1151">
            <v>241</v>
          </cell>
          <cell r="F1151">
            <v>1</v>
          </cell>
          <cell r="I1151">
            <v>46240</v>
          </cell>
          <cell r="J1151">
            <v>0</v>
          </cell>
          <cell r="K1151">
            <v>1</v>
          </cell>
          <cell r="L1151">
            <v>0</v>
          </cell>
          <cell r="M1151">
            <v>0</v>
          </cell>
        </row>
        <row r="1152">
          <cell r="C1152">
            <v>9</v>
          </cell>
          <cell r="F1152">
            <v>1</v>
          </cell>
          <cell r="I1152">
            <v>46240</v>
          </cell>
          <cell r="J1152">
            <v>0</v>
          </cell>
          <cell r="K1152">
            <v>8</v>
          </cell>
          <cell r="L1152">
            <v>0</v>
          </cell>
          <cell r="M1152">
            <v>0</v>
          </cell>
        </row>
        <row r="1153">
          <cell r="C1153">
            <v>50</v>
          </cell>
          <cell r="F1153">
            <v>1</v>
          </cell>
          <cell r="I1153">
            <v>46240</v>
          </cell>
          <cell r="J1153">
            <v>0</v>
          </cell>
          <cell r="K1153">
            <v>8</v>
          </cell>
          <cell r="L1153">
            <v>0</v>
          </cell>
          <cell r="M1153">
            <v>0</v>
          </cell>
        </row>
        <row r="1154">
          <cell r="C1154">
            <v>8</v>
          </cell>
          <cell r="F1154">
            <v>1</v>
          </cell>
          <cell r="I1154">
            <v>46240</v>
          </cell>
          <cell r="J1154">
            <v>0</v>
          </cell>
          <cell r="K1154">
            <v>4</v>
          </cell>
          <cell r="L1154">
            <v>0</v>
          </cell>
          <cell r="M1154">
            <v>0</v>
          </cell>
        </row>
        <row r="1155">
          <cell r="C1155">
            <v>10</v>
          </cell>
          <cell r="F1155">
            <v>1</v>
          </cell>
          <cell r="I1155">
            <v>46240</v>
          </cell>
          <cell r="J1155">
            <v>0</v>
          </cell>
          <cell r="K1155">
            <v>4</v>
          </cell>
          <cell r="L1155">
            <v>0</v>
          </cell>
          <cell r="M1155">
            <v>0</v>
          </cell>
        </row>
        <row r="1156">
          <cell r="C1156">
            <v>26</v>
          </cell>
          <cell r="F1156">
            <v>1</v>
          </cell>
          <cell r="I1156">
            <v>46240</v>
          </cell>
          <cell r="J1156">
            <v>0</v>
          </cell>
          <cell r="K1156">
            <v>1</v>
          </cell>
          <cell r="L1156">
            <v>0</v>
          </cell>
          <cell r="M1156">
            <v>0</v>
          </cell>
        </row>
        <row r="1157">
          <cell r="C1157">
            <v>29</v>
          </cell>
          <cell r="F1157">
            <v>1</v>
          </cell>
          <cell r="I1157">
            <v>46240</v>
          </cell>
          <cell r="J1157">
            <v>0</v>
          </cell>
          <cell r="K1157">
            <v>1</v>
          </cell>
          <cell r="L1157">
            <v>0</v>
          </cell>
          <cell r="M1157">
            <v>0</v>
          </cell>
        </row>
        <row r="1158">
          <cell r="C1158">
            <v>343</v>
          </cell>
          <cell r="F1158">
            <v>1</v>
          </cell>
          <cell r="I1158">
            <v>46240</v>
          </cell>
          <cell r="J1158">
            <v>0</v>
          </cell>
          <cell r="K1158">
            <v>2</v>
          </cell>
          <cell r="L1158">
            <v>0</v>
          </cell>
          <cell r="M1158">
            <v>0</v>
          </cell>
        </row>
        <row r="1159">
          <cell r="C1159">
            <v>46</v>
          </cell>
          <cell r="F1159">
            <v>1</v>
          </cell>
          <cell r="I1159">
            <v>46240</v>
          </cell>
          <cell r="J1159">
            <v>0</v>
          </cell>
          <cell r="K1159">
            <v>1</v>
          </cell>
          <cell r="L1159">
            <v>0</v>
          </cell>
          <cell r="M1159">
            <v>0</v>
          </cell>
        </row>
        <row r="1160">
          <cell r="C1160">
            <v>48</v>
          </cell>
          <cell r="F1160">
            <v>1</v>
          </cell>
          <cell r="I1160">
            <v>46240</v>
          </cell>
          <cell r="J1160">
            <v>0</v>
          </cell>
          <cell r="K1160">
            <v>2</v>
          </cell>
          <cell r="L1160">
            <v>0</v>
          </cell>
          <cell r="M1160">
            <v>0</v>
          </cell>
        </row>
        <row r="1161">
          <cell r="C1161">
            <v>187</v>
          </cell>
          <cell r="F1161">
            <v>1</v>
          </cell>
          <cell r="I1161">
            <v>46240</v>
          </cell>
          <cell r="J1161">
            <v>0</v>
          </cell>
          <cell r="K1161">
            <v>8</v>
          </cell>
          <cell r="L1161">
            <v>0</v>
          </cell>
          <cell r="M1161">
            <v>0</v>
          </cell>
        </row>
        <row r="1162">
          <cell r="C1162">
            <v>293</v>
          </cell>
          <cell r="F1162">
            <v>1</v>
          </cell>
          <cell r="I1162">
            <v>46240</v>
          </cell>
          <cell r="J1162">
            <v>0</v>
          </cell>
          <cell r="K1162">
            <v>15</v>
          </cell>
          <cell r="L1162">
            <v>0</v>
          </cell>
          <cell r="M1162">
            <v>0</v>
          </cell>
        </row>
        <row r="1163">
          <cell r="C1163">
            <v>294</v>
          </cell>
          <cell r="F1163">
            <v>1</v>
          </cell>
          <cell r="I1163">
            <v>46240</v>
          </cell>
          <cell r="J1163">
            <v>0</v>
          </cell>
          <cell r="K1163">
            <v>15</v>
          </cell>
          <cell r="L1163">
            <v>0</v>
          </cell>
          <cell r="M1163">
            <v>0</v>
          </cell>
        </row>
        <row r="1164">
          <cell r="C1164">
            <v>152</v>
          </cell>
          <cell r="F1164">
            <v>1</v>
          </cell>
          <cell r="I1164">
            <v>46240</v>
          </cell>
          <cell r="J1164">
            <v>0</v>
          </cell>
          <cell r="K1164">
            <v>1</v>
          </cell>
          <cell r="L1164">
            <v>0</v>
          </cell>
          <cell r="M1164">
            <v>0</v>
          </cell>
        </row>
        <row r="1165">
          <cell r="C1165">
            <v>167</v>
          </cell>
          <cell r="F1165">
            <v>1</v>
          </cell>
          <cell r="I1165">
            <v>46240</v>
          </cell>
          <cell r="J1165">
            <v>0</v>
          </cell>
          <cell r="K1165">
            <v>1</v>
          </cell>
          <cell r="L1165">
            <v>0</v>
          </cell>
          <cell r="M1165">
            <v>0</v>
          </cell>
        </row>
        <row r="1166">
          <cell r="C1166">
            <v>386</v>
          </cell>
          <cell r="F1166">
            <v>1</v>
          </cell>
          <cell r="I1166">
            <v>46240</v>
          </cell>
          <cell r="J1166">
            <v>0</v>
          </cell>
          <cell r="K1166">
            <v>1</v>
          </cell>
          <cell r="L1166">
            <v>0</v>
          </cell>
          <cell r="M1166">
            <v>0</v>
          </cell>
        </row>
        <row r="1167">
          <cell r="C1167">
            <v>384</v>
          </cell>
          <cell r="F1167">
            <v>1</v>
          </cell>
          <cell r="I1167">
            <v>46240</v>
          </cell>
          <cell r="J1167">
            <v>0</v>
          </cell>
          <cell r="K1167">
            <v>1</v>
          </cell>
          <cell r="L1167">
            <v>0</v>
          </cell>
          <cell r="M1167">
            <v>0</v>
          </cell>
        </row>
        <row r="1168">
          <cell r="C1168">
            <v>385</v>
          </cell>
          <cell r="F1168">
            <v>1</v>
          </cell>
          <cell r="I1168">
            <v>46240</v>
          </cell>
          <cell r="J1168">
            <v>0</v>
          </cell>
          <cell r="K1168">
            <v>1</v>
          </cell>
          <cell r="L1168">
            <v>0</v>
          </cell>
          <cell r="M1168">
            <v>0</v>
          </cell>
        </row>
        <row r="1169">
          <cell r="C1169">
            <v>383</v>
          </cell>
          <cell r="F1169">
            <v>1</v>
          </cell>
          <cell r="I1169">
            <v>46240</v>
          </cell>
          <cell r="J1169">
            <v>0</v>
          </cell>
          <cell r="K1169">
            <v>1</v>
          </cell>
          <cell r="L1169">
            <v>0</v>
          </cell>
          <cell r="M1169">
            <v>0</v>
          </cell>
        </row>
        <row r="1170">
          <cell r="C1170">
            <v>382</v>
          </cell>
          <cell r="F1170">
            <v>1</v>
          </cell>
          <cell r="I1170">
            <v>46240</v>
          </cell>
          <cell r="J1170">
            <v>0</v>
          </cell>
          <cell r="K1170">
            <v>1</v>
          </cell>
          <cell r="L1170">
            <v>0</v>
          </cell>
          <cell r="M1170">
            <v>0</v>
          </cell>
        </row>
        <row r="1171">
          <cell r="C1171">
            <v>396</v>
          </cell>
          <cell r="F1171">
            <v>1</v>
          </cell>
          <cell r="I1171">
            <v>46241</v>
          </cell>
          <cell r="J1171">
            <v>0</v>
          </cell>
          <cell r="K1171">
            <v>0</v>
          </cell>
          <cell r="L1171">
            <v>0</v>
          </cell>
          <cell r="M1171">
            <v>20</v>
          </cell>
        </row>
        <row r="1172">
          <cell r="C1172">
            <v>398</v>
          </cell>
          <cell r="F1172">
            <v>1</v>
          </cell>
          <cell r="I1172">
            <v>46241</v>
          </cell>
          <cell r="J1172">
            <v>0</v>
          </cell>
          <cell r="K1172">
            <v>0</v>
          </cell>
          <cell r="L1172">
            <v>0</v>
          </cell>
          <cell r="M1172">
            <v>25</v>
          </cell>
        </row>
        <row r="1173">
          <cell r="C1173">
            <v>397</v>
          </cell>
          <cell r="F1173">
            <v>1</v>
          </cell>
          <cell r="I1173">
            <v>46241</v>
          </cell>
          <cell r="J1173">
            <v>0</v>
          </cell>
          <cell r="K1173">
            <v>0</v>
          </cell>
          <cell r="L1173">
            <v>0</v>
          </cell>
          <cell r="M1173">
            <v>800</v>
          </cell>
        </row>
        <row r="1174">
          <cell r="C1174">
            <v>433</v>
          </cell>
          <cell r="F1174">
            <v>1</v>
          </cell>
          <cell r="I1174">
            <v>46241</v>
          </cell>
          <cell r="J1174">
            <v>0</v>
          </cell>
          <cell r="K1174">
            <v>0</v>
          </cell>
          <cell r="L1174">
            <v>0</v>
          </cell>
          <cell r="M1174">
            <v>800</v>
          </cell>
        </row>
        <row r="1175">
          <cell r="C1175">
            <v>408</v>
          </cell>
          <cell r="F1175">
            <v>1</v>
          </cell>
          <cell r="I1175">
            <v>46241</v>
          </cell>
          <cell r="J1175">
            <v>0</v>
          </cell>
          <cell r="K1175">
            <v>0</v>
          </cell>
          <cell r="L1175">
            <v>0</v>
          </cell>
          <cell r="M1175">
            <v>10</v>
          </cell>
        </row>
        <row r="1176">
          <cell r="C1176">
            <v>409</v>
          </cell>
          <cell r="F1176">
            <v>1</v>
          </cell>
          <cell r="I1176">
            <v>46241</v>
          </cell>
          <cell r="J1176">
            <v>0</v>
          </cell>
          <cell r="K1176">
            <v>0</v>
          </cell>
          <cell r="L1176">
            <v>0</v>
          </cell>
          <cell r="M1176">
            <v>10</v>
          </cell>
        </row>
        <row r="1177">
          <cell r="C1177">
            <v>410</v>
          </cell>
          <cell r="F1177">
            <v>1</v>
          </cell>
          <cell r="I1177">
            <v>46241</v>
          </cell>
          <cell r="J1177">
            <v>0</v>
          </cell>
          <cell r="K1177">
            <v>0</v>
          </cell>
          <cell r="L1177">
            <v>0</v>
          </cell>
          <cell r="M1177">
            <v>10</v>
          </cell>
        </row>
        <row r="1178">
          <cell r="C1178">
            <v>391</v>
          </cell>
          <cell r="F1178">
            <v>1</v>
          </cell>
          <cell r="I1178">
            <v>46241</v>
          </cell>
          <cell r="J1178">
            <v>0</v>
          </cell>
          <cell r="K1178">
            <v>0</v>
          </cell>
          <cell r="L1178">
            <v>0</v>
          </cell>
          <cell r="M1178">
            <v>10</v>
          </cell>
        </row>
        <row r="1179">
          <cell r="C1179">
            <v>392</v>
          </cell>
          <cell r="F1179">
            <v>1</v>
          </cell>
          <cell r="I1179">
            <v>46241</v>
          </cell>
          <cell r="J1179">
            <v>0</v>
          </cell>
          <cell r="K1179">
            <v>0</v>
          </cell>
          <cell r="L1179">
            <v>0</v>
          </cell>
          <cell r="M1179">
            <v>10</v>
          </cell>
        </row>
        <row r="1180">
          <cell r="C1180">
            <v>393</v>
          </cell>
          <cell r="F1180">
            <v>1</v>
          </cell>
          <cell r="I1180">
            <v>46241</v>
          </cell>
          <cell r="J1180">
            <v>0</v>
          </cell>
          <cell r="K1180">
            <v>0</v>
          </cell>
          <cell r="L1180">
            <v>0</v>
          </cell>
          <cell r="M1180">
            <v>10</v>
          </cell>
        </row>
        <row r="1181">
          <cell r="C1181">
            <v>293</v>
          </cell>
          <cell r="F1181">
            <v>1</v>
          </cell>
          <cell r="I1181">
            <v>46241</v>
          </cell>
          <cell r="J1181">
            <v>0</v>
          </cell>
          <cell r="K1181">
            <v>93</v>
          </cell>
          <cell r="L1181">
            <v>0</v>
          </cell>
          <cell r="M1181">
            <v>0</v>
          </cell>
        </row>
        <row r="1182">
          <cell r="C1182">
            <v>176</v>
          </cell>
          <cell r="F1182">
            <v>1</v>
          </cell>
          <cell r="I1182">
            <v>46241</v>
          </cell>
          <cell r="J1182">
            <v>0</v>
          </cell>
          <cell r="K1182">
            <v>750</v>
          </cell>
          <cell r="L1182">
            <v>0</v>
          </cell>
          <cell r="M1182">
            <v>0</v>
          </cell>
        </row>
        <row r="1183">
          <cell r="C1183">
            <v>294</v>
          </cell>
          <cell r="F1183">
            <v>1</v>
          </cell>
          <cell r="I1183">
            <v>46241</v>
          </cell>
          <cell r="J1183">
            <v>0</v>
          </cell>
          <cell r="K1183">
            <v>23</v>
          </cell>
          <cell r="L1183">
            <v>0</v>
          </cell>
          <cell r="M1183">
            <v>0</v>
          </cell>
        </row>
        <row r="1184">
          <cell r="C1184">
            <v>358</v>
          </cell>
          <cell r="F1184">
            <v>1</v>
          </cell>
          <cell r="I1184">
            <v>46241</v>
          </cell>
          <cell r="J1184">
            <v>0</v>
          </cell>
          <cell r="K1184">
            <v>2</v>
          </cell>
          <cell r="L1184">
            <v>0</v>
          </cell>
          <cell r="M1184">
            <v>0</v>
          </cell>
        </row>
        <row r="1185">
          <cell r="C1185">
            <v>187</v>
          </cell>
          <cell r="F1185">
            <v>1</v>
          </cell>
          <cell r="I1185">
            <v>46241</v>
          </cell>
          <cell r="J1185">
            <v>0</v>
          </cell>
          <cell r="K1185">
            <v>4</v>
          </cell>
          <cell r="L1185">
            <v>0</v>
          </cell>
          <cell r="M1185">
            <v>0</v>
          </cell>
        </row>
        <row r="1186">
          <cell r="C1186">
            <v>183</v>
          </cell>
          <cell r="F1186">
            <v>1</v>
          </cell>
          <cell r="I1186">
            <v>46241</v>
          </cell>
          <cell r="J1186">
            <v>0</v>
          </cell>
          <cell r="K1186">
            <v>24</v>
          </cell>
          <cell r="L1186">
            <v>0</v>
          </cell>
          <cell r="M1186">
            <v>0</v>
          </cell>
        </row>
        <row r="1187">
          <cell r="C1187">
            <v>152</v>
          </cell>
          <cell r="F1187">
            <v>1</v>
          </cell>
          <cell r="I1187">
            <v>46241</v>
          </cell>
          <cell r="J1187">
            <v>0</v>
          </cell>
          <cell r="K1187">
            <v>1</v>
          </cell>
          <cell r="L1187">
            <v>0</v>
          </cell>
          <cell r="M1187">
            <v>0</v>
          </cell>
        </row>
        <row r="1188">
          <cell r="C1188">
            <v>305</v>
          </cell>
          <cell r="F1188">
            <v>1</v>
          </cell>
          <cell r="I1188">
            <v>46241</v>
          </cell>
          <cell r="J1188">
            <v>0</v>
          </cell>
          <cell r="K1188">
            <v>500</v>
          </cell>
          <cell r="L1188">
            <v>0</v>
          </cell>
          <cell r="M1188">
            <v>0</v>
          </cell>
        </row>
        <row r="1189">
          <cell r="C1189">
            <v>293</v>
          </cell>
          <cell r="F1189">
            <v>1</v>
          </cell>
          <cell r="I1189">
            <v>46242</v>
          </cell>
          <cell r="J1189">
            <v>0</v>
          </cell>
          <cell r="K1189">
            <v>1</v>
          </cell>
          <cell r="L1189">
            <v>0</v>
          </cell>
          <cell r="M1189">
            <v>0</v>
          </cell>
        </row>
        <row r="1190">
          <cell r="C1190">
            <v>177</v>
          </cell>
          <cell r="F1190">
            <v>1</v>
          </cell>
          <cell r="I1190">
            <v>46242</v>
          </cell>
          <cell r="J1190">
            <v>0</v>
          </cell>
          <cell r="K1190">
            <v>450</v>
          </cell>
          <cell r="L1190">
            <v>0</v>
          </cell>
          <cell r="M1190">
            <v>0</v>
          </cell>
        </row>
        <row r="1191">
          <cell r="C1191">
            <v>358</v>
          </cell>
          <cell r="F1191">
            <v>1</v>
          </cell>
          <cell r="I1191">
            <v>46242</v>
          </cell>
          <cell r="J1191">
            <v>0</v>
          </cell>
          <cell r="K1191">
            <v>1</v>
          </cell>
          <cell r="L1191">
            <v>0</v>
          </cell>
          <cell r="M1191">
            <v>0</v>
          </cell>
        </row>
        <row r="1192">
          <cell r="C1192">
            <v>197</v>
          </cell>
          <cell r="F1192">
            <v>1</v>
          </cell>
          <cell r="I1192">
            <v>46242</v>
          </cell>
          <cell r="J1192">
            <v>0</v>
          </cell>
          <cell r="K1192">
            <v>8</v>
          </cell>
          <cell r="L1192">
            <v>0</v>
          </cell>
          <cell r="M1192">
            <v>0</v>
          </cell>
        </row>
        <row r="1193">
          <cell r="C1193">
            <v>9</v>
          </cell>
          <cell r="F1193">
            <v>1</v>
          </cell>
          <cell r="I1193">
            <v>46242</v>
          </cell>
          <cell r="J1193">
            <v>0</v>
          </cell>
          <cell r="K1193">
            <v>8</v>
          </cell>
          <cell r="L1193">
            <v>0</v>
          </cell>
          <cell r="M1193">
            <v>0</v>
          </cell>
        </row>
        <row r="1194">
          <cell r="C1194">
            <v>16</v>
          </cell>
          <cell r="F1194">
            <v>1</v>
          </cell>
          <cell r="I1194">
            <v>46242</v>
          </cell>
          <cell r="J1194">
            <v>0</v>
          </cell>
          <cell r="K1194">
            <v>4</v>
          </cell>
          <cell r="L1194">
            <v>0</v>
          </cell>
          <cell r="M1194">
            <v>0</v>
          </cell>
        </row>
        <row r="1195">
          <cell r="C1195">
            <v>50</v>
          </cell>
          <cell r="F1195">
            <v>1</v>
          </cell>
          <cell r="I1195">
            <v>46242</v>
          </cell>
          <cell r="J1195">
            <v>0</v>
          </cell>
          <cell r="K1195">
            <v>1</v>
          </cell>
          <cell r="L1195">
            <v>0</v>
          </cell>
          <cell r="M1195">
            <v>0</v>
          </cell>
        </row>
        <row r="1196">
          <cell r="C1196">
            <v>44</v>
          </cell>
          <cell r="F1196">
            <v>1</v>
          </cell>
          <cell r="I1196">
            <v>46242</v>
          </cell>
          <cell r="J1196">
            <v>0</v>
          </cell>
          <cell r="K1196">
            <v>1</v>
          </cell>
          <cell r="L1196">
            <v>0</v>
          </cell>
          <cell r="M1196">
            <v>0</v>
          </cell>
        </row>
        <row r="1197">
          <cell r="C1197">
            <v>343</v>
          </cell>
          <cell r="F1197">
            <v>1</v>
          </cell>
          <cell r="I1197">
            <v>46242</v>
          </cell>
          <cell r="J1197">
            <v>0</v>
          </cell>
          <cell r="K1197">
            <v>1</v>
          </cell>
          <cell r="L1197">
            <v>0</v>
          </cell>
          <cell r="M1197">
            <v>0</v>
          </cell>
        </row>
        <row r="1198">
          <cell r="C1198">
            <v>401</v>
          </cell>
          <cell r="F1198">
            <v>1</v>
          </cell>
          <cell r="I1198">
            <v>46242</v>
          </cell>
          <cell r="J1198">
            <v>0</v>
          </cell>
          <cell r="K1198">
            <v>1</v>
          </cell>
          <cell r="L1198">
            <v>0</v>
          </cell>
          <cell r="M1198">
            <v>0</v>
          </cell>
        </row>
        <row r="1199">
          <cell r="C1199">
            <v>101</v>
          </cell>
          <cell r="F1199">
            <v>1</v>
          </cell>
          <cell r="I1199">
            <v>46242</v>
          </cell>
          <cell r="J1199">
            <v>0</v>
          </cell>
          <cell r="K1199">
            <v>4500</v>
          </cell>
          <cell r="L1199">
            <v>0</v>
          </cell>
          <cell r="M1199">
            <v>0</v>
          </cell>
        </row>
        <row r="1200">
          <cell r="C1200">
            <v>125</v>
          </cell>
          <cell r="F1200">
            <v>1</v>
          </cell>
          <cell r="I1200">
            <v>46242</v>
          </cell>
          <cell r="J1200">
            <v>0</v>
          </cell>
          <cell r="K1200">
            <v>100</v>
          </cell>
          <cell r="L1200">
            <v>0</v>
          </cell>
          <cell r="M1200">
            <v>0</v>
          </cell>
        </row>
        <row r="1201">
          <cell r="C1201">
            <v>131</v>
          </cell>
          <cell r="F1201">
            <v>1</v>
          </cell>
          <cell r="I1201">
            <v>46242</v>
          </cell>
          <cell r="J1201">
            <v>0</v>
          </cell>
          <cell r="K1201">
            <v>1</v>
          </cell>
          <cell r="L1201">
            <v>0</v>
          </cell>
          <cell r="M1201">
            <v>0</v>
          </cell>
        </row>
        <row r="1202">
          <cell r="C1202">
            <v>76</v>
          </cell>
          <cell r="F1202">
            <v>1</v>
          </cell>
          <cell r="I1202">
            <v>46242</v>
          </cell>
          <cell r="J1202">
            <v>0</v>
          </cell>
          <cell r="K1202">
            <v>1</v>
          </cell>
          <cell r="L1202">
            <v>0</v>
          </cell>
          <cell r="M1202">
            <v>0</v>
          </cell>
        </row>
        <row r="1203">
          <cell r="C1203">
            <v>77</v>
          </cell>
          <cell r="F1203">
            <v>1</v>
          </cell>
          <cell r="I1203">
            <v>46242</v>
          </cell>
          <cell r="J1203">
            <v>0</v>
          </cell>
          <cell r="K1203">
            <v>5</v>
          </cell>
          <cell r="L1203">
            <v>0</v>
          </cell>
          <cell r="M1203">
            <v>0</v>
          </cell>
        </row>
        <row r="1204">
          <cell r="C1204">
            <v>90</v>
          </cell>
          <cell r="F1204">
            <v>1</v>
          </cell>
          <cell r="I1204">
            <v>46242</v>
          </cell>
          <cell r="J1204">
            <v>0</v>
          </cell>
          <cell r="K1204">
            <v>2</v>
          </cell>
          <cell r="L1204">
            <v>0</v>
          </cell>
          <cell r="M1204">
            <v>0</v>
          </cell>
        </row>
        <row r="1205">
          <cell r="C1205">
            <v>83</v>
          </cell>
          <cell r="F1205">
            <v>1</v>
          </cell>
          <cell r="I1205">
            <v>46242</v>
          </cell>
          <cell r="J1205">
            <v>0</v>
          </cell>
          <cell r="K1205">
            <v>1</v>
          </cell>
          <cell r="L1205">
            <v>0</v>
          </cell>
          <cell r="M1205">
            <v>0</v>
          </cell>
        </row>
        <row r="1206">
          <cell r="C1206">
            <v>105</v>
          </cell>
          <cell r="F1206">
            <v>1</v>
          </cell>
          <cell r="I1206">
            <v>46242</v>
          </cell>
          <cell r="J1206">
            <v>0</v>
          </cell>
          <cell r="K1206">
            <v>1</v>
          </cell>
          <cell r="L1206">
            <v>0</v>
          </cell>
          <cell r="M1206">
            <v>0</v>
          </cell>
        </row>
        <row r="1207">
          <cell r="C1207">
            <v>276</v>
          </cell>
          <cell r="F1207">
            <v>1</v>
          </cell>
          <cell r="I1207">
            <v>46242</v>
          </cell>
          <cell r="J1207">
            <v>0</v>
          </cell>
          <cell r="K1207">
            <v>5</v>
          </cell>
          <cell r="L1207">
            <v>0</v>
          </cell>
          <cell r="M1207">
            <v>0</v>
          </cell>
        </row>
        <row r="1208">
          <cell r="C1208">
            <v>386</v>
          </cell>
          <cell r="F1208">
            <v>1</v>
          </cell>
          <cell r="I1208">
            <v>46242</v>
          </cell>
          <cell r="J1208">
            <v>0</v>
          </cell>
          <cell r="K1208">
            <v>1</v>
          </cell>
          <cell r="L1208">
            <v>0</v>
          </cell>
          <cell r="M1208">
            <v>0</v>
          </cell>
        </row>
        <row r="1209">
          <cell r="C1209">
            <v>385</v>
          </cell>
          <cell r="F1209">
            <v>1</v>
          </cell>
          <cell r="I1209">
            <v>46242</v>
          </cell>
          <cell r="J1209">
            <v>0</v>
          </cell>
          <cell r="K1209">
            <v>1</v>
          </cell>
          <cell r="L1209">
            <v>0</v>
          </cell>
          <cell r="M1209">
            <v>0</v>
          </cell>
        </row>
        <row r="1210">
          <cell r="C1210">
            <v>382</v>
          </cell>
          <cell r="F1210">
            <v>1</v>
          </cell>
          <cell r="I1210">
            <v>46242</v>
          </cell>
          <cell r="J1210">
            <v>0</v>
          </cell>
          <cell r="K1210">
            <v>1</v>
          </cell>
          <cell r="L1210">
            <v>0</v>
          </cell>
          <cell r="M1210">
            <v>0</v>
          </cell>
        </row>
        <row r="1211">
          <cell r="C1211">
            <v>399</v>
          </cell>
          <cell r="F1211">
            <v>1</v>
          </cell>
          <cell r="I1211">
            <v>46242</v>
          </cell>
          <cell r="J1211">
            <v>0</v>
          </cell>
          <cell r="K1211">
            <v>5</v>
          </cell>
          <cell r="L1211">
            <v>0</v>
          </cell>
          <cell r="M1211">
            <v>0</v>
          </cell>
        </row>
        <row r="1212">
          <cell r="C1212">
            <v>305</v>
          </cell>
          <cell r="F1212">
            <v>1</v>
          </cell>
          <cell r="I1212">
            <v>46243</v>
          </cell>
          <cell r="J1212">
            <v>0</v>
          </cell>
          <cell r="K1212">
            <v>1000</v>
          </cell>
          <cell r="L1212">
            <v>0</v>
          </cell>
          <cell r="M1212">
            <v>0</v>
          </cell>
        </row>
        <row r="1213">
          <cell r="C1213">
            <v>101</v>
          </cell>
          <cell r="F1213">
            <v>1</v>
          </cell>
          <cell r="I1213">
            <v>46243</v>
          </cell>
          <cell r="J1213">
            <v>0</v>
          </cell>
          <cell r="K1213">
            <v>1000</v>
          </cell>
          <cell r="L1213">
            <v>0</v>
          </cell>
          <cell r="M1213">
            <v>0</v>
          </cell>
        </row>
        <row r="1214">
          <cell r="C1214">
            <v>105</v>
          </cell>
          <cell r="F1214">
            <v>1</v>
          </cell>
          <cell r="I1214">
            <v>46243</v>
          </cell>
          <cell r="J1214">
            <v>0</v>
          </cell>
          <cell r="K1214">
            <v>1</v>
          </cell>
          <cell r="L1214">
            <v>0</v>
          </cell>
          <cell r="M1214">
            <v>0</v>
          </cell>
        </row>
        <row r="1215">
          <cell r="C1215">
            <v>181</v>
          </cell>
          <cell r="F1215">
            <v>1</v>
          </cell>
          <cell r="I1215">
            <v>46243</v>
          </cell>
          <cell r="J1215">
            <v>0</v>
          </cell>
          <cell r="K1215">
            <v>12</v>
          </cell>
          <cell r="L1215">
            <v>0</v>
          </cell>
          <cell r="M1215">
            <v>0</v>
          </cell>
        </row>
        <row r="1216">
          <cell r="C1216">
            <v>399</v>
          </cell>
          <cell r="F1216">
            <v>1</v>
          </cell>
          <cell r="I1216">
            <v>46243</v>
          </cell>
          <cell r="J1216">
            <v>0</v>
          </cell>
          <cell r="K1216">
            <v>2</v>
          </cell>
          <cell r="L1216">
            <v>0</v>
          </cell>
          <cell r="M1216">
            <v>0</v>
          </cell>
        </row>
        <row r="1217">
          <cell r="C1217">
            <v>433</v>
          </cell>
          <cell r="F1217">
            <v>1</v>
          </cell>
          <cell r="I1217">
            <v>46243</v>
          </cell>
          <cell r="J1217">
            <v>0</v>
          </cell>
          <cell r="K1217">
            <v>10</v>
          </cell>
          <cell r="L1217">
            <v>0</v>
          </cell>
          <cell r="M1217">
            <v>0</v>
          </cell>
        </row>
        <row r="1218">
          <cell r="C1218">
            <v>391</v>
          </cell>
          <cell r="F1218">
            <v>1</v>
          </cell>
          <cell r="I1218">
            <v>46243</v>
          </cell>
          <cell r="J1218">
            <v>0</v>
          </cell>
          <cell r="K1218">
            <v>1</v>
          </cell>
          <cell r="L1218">
            <v>0</v>
          </cell>
          <cell r="M1218">
            <v>0</v>
          </cell>
        </row>
        <row r="1219">
          <cell r="C1219">
            <v>293</v>
          </cell>
          <cell r="F1219">
            <v>1</v>
          </cell>
          <cell r="I1219">
            <v>46243</v>
          </cell>
          <cell r="J1219">
            <v>0</v>
          </cell>
          <cell r="K1219">
            <v>34</v>
          </cell>
          <cell r="L1219">
            <v>0</v>
          </cell>
          <cell r="M1219">
            <v>0</v>
          </cell>
        </row>
        <row r="1220">
          <cell r="C1220">
            <v>177</v>
          </cell>
          <cell r="F1220">
            <v>1</v>
          </cell>
          <cell r="I1220">
            <v>46243</v>
          </cell>
          <cell r="J1220">
            <v>0</v>
          </cell>
          <cell r="K1220">
            <v>500</v>
          </cell>
          <cell r="L1220">
            <v>0</v>
          </cell>
          <cell r="M1220">
            <v>0</v>
          </cell>
        </row>
        <row r="1221">
          <cell r="C1221">
            <v>199</v>
          </cell>
          <cell r="F1221">
            <v>1</v>
          </cell>
          <cell r="I1221">
            <v>46243</v>
          </cell>
          <cell r="J1221">
            <v>0</v>
          </cell>
          <cell r="K1221">
            <v>8</v>
          </cell>
          <cell r="L1221">
            <v>0</v>
          </cell>
          <cell r="M1221">
            <v>0</v>
          </cell>
        </row>
        <row r="1222">
          <cell r="C1222">
            <v>183</v>
          </cell>
          <cell r="F1222">
            <v>1</v>
          </cell>
          <cell r="I1222">
            <v>46243</v>
          </cell>
          <cell r="J1222">
            <v>0</v>
          </cell>
          <cell r="K1222">
            <v>24</v>
          </cell>
          <cell r="L1222">
            <v>0</v>
          </cell>
          <cell r="M1222">
            <v>0</v>
          </cell>
        </row>
        <row r="1223">
          <cell r="C1223">
            <v>358</v>
          </cell>
          <cell r="F1223">
            <v>1</v>
          </cell>
          <cell r="I1223">
            <v>46243</v>
          </cell>
          <cell r="J1223">
            <v>0</v>
          </cell>
          <cell r="K1223">
            <v>2</v>
          </cell>
          <cell r="L1223">
            <v>0</v>
          </cell>
          <cell r="M1223">
            <v>0</v>
          </cell>
        </row>
        <row r="1224">
          <cell r="C1224">
            <v>6</v>
          </cell>
          <cell r="F1224">
            <v>1</v>
          </cell>
          <cell r="I1224">
            <v>46243</v>
          </cell>
          <cell r="J1224">
            <v>0</v>
          </cell>
          <cell r="K1224">
            <v>8</v>
          </cell>
          <cell r="L1224">
            <v>0</v>
          </cell>
          <cell r="M1224">
            <v>0</v>
          </cell>
        </row>
        <row r="1225">
          <cell r="C1225">
            <v>305</v>
          </cell>
          <cell r="F1225">
            <v>1</v>
          </cell>
          <cell r="I1225">
            <v>46244</v>
          </cell>
          <cell r="J1225">
            <v>0</v>
          </cell>
          <cell r="K1225">
            <v>800</v>
          </cell>
          <cell r="L1225">
            <v>0</v>
          </cell>
          <cell r="M1225">
            <v>0</v>
          </cell>
        </row>
        <row r="1226">
          <cell r="C1226">
            <v>177</v>
          </cell>
          <cell r="F1226">
            <v>1</v>
          </cell>
          <cell r="I1226">
            <v>46244</v>
          </cell>
          <cell r="J1226">
            <v>0</v>
          </cell>
          <cell r="K1226">
            <v>350</v>
          </cell>
          <cell r="L1226">
            <v>0</v>
          </cell>
          <cell r="M1226">
            <v>0</v>
          </cell>
        </row>
        <row r="1227">
          <cell r="C1227">
            <v>293</v>
          </cell>
          <cell r="F1227">
            <v>1</v>
          </cell>
          <cell r="I1227">
            <v>46244</v>
          </cell>
          <cell r="J1227">
            <v>0</v>
          </cell>
          <cell r="K1227">
            <v>20</v>
          </cell>
          <cell r="L1227">
            <v>0</v>
          </cell>
          <cell r="M1227">
            <v>0</v>
          </cell>
        </row>
        <row r="1228">
          <cell r="C1228">
            <v>294</v>
          </cell>
          <cell r="F1228">
            <v>1</v>
          </cell>
          <cell r="I1228">
            <v>46244</v>
          </cell>
          <cell r="J1228">
            <v>0</v>
          </cell>
          <cell r="K1228">
            <v>20</v>
          </cell>
          <cell r="L1228">
            <v>0</v>
          </cell>
          <cell r="M1228">
            <v>0</v>
          </cell>
        </row>
        <row r="1229">
          <cell r="C1229">
            <v>16</v>
          </cell>
          <cell r="F1229">
            <v>1</v>
          </cell>
          <cell r="I1229">
            <v>46244</v>
          </cell>
          <cell r="J1229">
            <v>0</v>
          </cell>
          <cell r="K1229">
            <v>4</v>
          </cell>
          <cell r="L1229">
            <v>0</v>
          </cell>
          <cell r="M1229">
            <v>0</v>
          </cell>
        </row>
        <row r="1230">
          <cell r="C1230">
            <v>20</v>
          </cell>
          <cell r="F1230">
            <v>1</v>
          </cell>
          <cell r="I1230">
            <v>46244</v>
          </cell>
          <cell r="J1230">
            <v>0</v>
          </cell>
          <cell r="K1230">
            <v>4</v>
          </cell>
          <cell r="L1230">
            <v>0</v>
          </cell>
          <cell r="M1230">
            <v>0</v>
          </cell>
        </row>
        <row r="1231">
          <cell r="C1231">
            <v>45</v>
          </cell>
          <cell r="F1231">
            <v>1</v>
          </cell>
          <cell r="I1231">
            <v>46244</v>
          </cell>
          <cell r="J1231">
            <v>0</v>
          </cell>
          <cell r="K1231">
            <v>2</v>
          </cell>
          <cell r="L1231">
            <v>0</v>
          </cell>
          <cell r="M1231">
            <v>0</v>
          </cell>
        </row>
        <row r="1232">
          <cell r="C1232">
            <v>69</v>
          </cell>
          <cell r="F1232">
            <v>1</v>
          </cell>
          <cell r="I1232">
            <v>46244</v>
          </cell>
          <cell r="J1232">
            <v>0</v>
          </cell>
          <cell r="K1232">
            <v>1</v>
          </cell>
          <cell r="L1232">
            <v>0</v>
          </cell>
          <cell r="M1232">
            <v>0</v>
          </cell>
        </row>
        <row r="1233">
          <cell r="C1233">
            <v>33</v>
          </cell>
          <cell r="F1233">
            <v>1</v>
          </cell>
          <cell r="I1233">
            <v>46244</v>
          </cell>
          <cell r="J1233">
            <v>0</v>
          </cell>
          <cell r="K1233">
            <v>1</v>
          </cell>
          <cell r="L1233">
            <v>0</v>
          </cell>
          <cell r="M1233">
            <v>0</v>
          </cell>
        </row>
        <row r="1234">
          <cell r="C1234">
            <v>32</v>
          </cell>
          <cell r="F1234">
            <v>1</v>
          </cell>
          <cell r="I1234">
            <v>46244</v>
          </cell>
          <cell r="J1234">
            <v>0</v>
          </cell>
          <cell r="K1234">
            <v>1</v>
          </cell>
          <cell r="L1234">
            <v>0</v>
          </cell>
          <cell r="M1234">
            <v>0</v>
          </cell>
        </row>
        <row r="1235">
          <cell r="C1235">
            <v>195</v>
          </cell>
          <cell r="F1235">
            <v>1</v>
          </cell>
          <cell r="I1235">
            <v>46245</v>
          </cell>
          <cell r="J1235">
            <v>0</v>
          </cell>
          <cell r="K1235">
            <v>8</v>
          </cell>
          <cell r="L1235">
            <v>0</v>
          </cell>
          <cell r="M1235">
            <v>0</v>
          </cell>
        </row>
        <row r="1236">
          <cell r="C1236">
            <v>187</v>
          </cell>
          <cell r="F1236">
            <v>1</v>
          </cell>
          <cell r="I1236">
            <v>46245</v>
          </cell>
          <cell r="J1236">
            <v>0</v>
          </cell>
          <cell r="K1236">
            <v>8</v>
          </cell>
          <cell r="L1236">
            <v>0</v>
          </cell>
          <cell r="M1236">
            <v>0</v>
          </cell>
        </row>
        <row r="1237">
          <cell r="C1237">
            <v>368</v>
          </cell>
          <cell r="F1237">
            <v>1</v>
          </cell>
          <cell r="I1237">
            <v>46245</v>
          </cell>
          <cell r="J1237">
            <v>0</v>
          </cell>
          <cell r="K1237">
            <v>5</v>
          </cell>
          <cell r="L1237">
            <v>0</v>
          </cell>
          <cell r="M1237">
            <v>0</v>
          </cell>
        </row>
        <row r="1238">
          <cell r="C1238">
            <v>397</v>
          </cell>
          <cell r="F1238">
            <v>1</v>
          </cell>
          <cell r="I1238">
            <v>46245</v>
          </cell>
          <cell r="J1238">
            <v>0</v>
          </cell>
          <cell r="K1238">
            <v>15</v>
          </cell>
          <cell r="L1238">
            <v>0</v>
          </cell>
          <cell r="M1238">
            <v>0</v>
          </cell>
        </row>
        <row r="1239">
          <cell r="C1239">
            <v>395</v>
          </cell>
          <cell r="F1239">
            <v>1</v>
          </cell>
          <cell r="I1239">
            <v>46245</v>
          </cell>
          <cell r="J1239">
            <v>0</v>
          </cell>
          <cell r="K1239">
            <v>12</v>
          </cell>
          <cell r="L1239">
            <v>0</v>
          </cell>
          <cell r="M1239">
            <v>0</v>
          </cell>
        </row>
        <row r="1240">
          <cell r="C1240">
            <v>377</v>
          </cell>
          <cell r="F1240">
            <v>1</v>
          </cell>
          <cell r="I1240">
            <v>46245</v>
          </cell>
          <cell r="J1240">
            <v>0</v>
          </cell>
          <cell r="K1240">
            <v>10</v>
          </cell>
          <cell r="L1240">
            <v>0</v>
          </cell>
          <cell r="M1240">
            <v>0</v>
          </cell>
        </row>
        <row r="1241">
          <cell r="C1241">
            <v>379</v>
          </cell>
          <cell r="F1241">
            <v>1</v>
          </cell>
          <cell r="I1241">
            <v>46245</v>
          </cell>
          <cell r="J1241">
            <v>0</v>
          </cell>
          <cell r="K1241">
            <v>1</v>
          </cell>
          <cell r="L1241">
            <v>0</v>
          </cell>
          <cell r="M1241">
            <v>0</v>
          </cell>
        </row>
        <row r="1242">
          <cell r="C1242">
            <v>94</v>
          </cell>
          <cell r="F1242">
            <v>1</v>
          </cell>
          <cell r="I1242">
            <v>46245</v>
          </cell>
          <cell r="J1242">
            <v>0</v>
          </cell>
          <cell r="K1242">
            <v>10</v>
          </cell>
          <cell r="L1242">
            <v>0</v>
          </cell>
          <cell r="M1242">
            <v>0</v>
          </cell>
        </row>
        <row r="1243">
          <cell r="C1243">
            <v>96</v>
          </cell>
          <cell r="F1243">
            <v>1</v>
          </cell>
          <cell r="I1243">
            <v>46245</v>
          </cell>
          <cell r="J1243">
            <v>0</v>
          </cell>
          <cell r="K1243">
            <v>1</v>
          </cell>
          <cell r="L1243">
            <v>0</v>
          </cell>
          <cell r="M1243">
            <v>0</v>
          </cell>
        </row>
        <row r="1244">
          <cell r="C1244">
            <v>378</v>
          </cell>
          <cell r="F1244">
            <v>1</v>
          </cell>
          <cell r="I1244">
            <v>46245</v>
          </cell>
          <cell r="J1244">
            <v>0</v>
          </cell>
          <cell r="K1244">
            <v>1</v>
          </cell>
          <cell r="L1244">
            <v>0</v>
          </cell>
          <cell r="M1244">
            <v>0</v>
          </cell>
        </row>
        <row r="1245">
          <cell r="C1245">
            <v>365</v>
          </cell>
          <cell r="F1245">
            <v>1</v>
          </cell>
          <cell r="I1245">
            <v>46245</v>
          </cell>
          <cell r="J1245">
            <v>0</v>
          </cell>
          <cell r="K1245">
            <v>1</v>
          </cell>
          <cell r="L1245">
            <v>0</v>
          </cell>
          <cell r="M1245">
            <v>0</v>
          </cell>
        </row>
        <row r="1246">
          <cell r="C1246">
            <v>337</v>
          </cell>
          <cell r="F1246">
            <v>1</v>
          </cell>
          <cell r="I1246">
            <v>46245</v>
          </cell>
          <cell r="J1246">
            <v>0</v>
          </cell>
          <cell r="K1246">
            <v>30</v>
          </cell>
          <cell r="L1246">
            <v>0</v>
          </cell>
          <cell r="M1246">
            <v>0</v>
          </cell>
        </row>
        <row r="1247">
          <cell r="C1247">
            <v>421</v>
          </cell>
          <cell r="F1247">
            <v>1</v>
          </cell>
          <cell r="I1247">
            <v>46245</v>
          </cell>
          <cell r="J1247">
            <v>0</v>
          </cell>
          <cell r="K1247">
            <v>2</v>
          </cell>
          <cell r="L1247">
            <v>0</v>
          </cell>
          <cell r="M1247">
            <v>0</v>
          </cell>
        </row>
        <row r="1248">
          <cell r="C1248">
            <v>376</v>
          </cell>
          <cell r="F1248">
            <v>1</v>
          </cell>
          <cell r="I1248">
            <v>46245</v>
          </cell>
          <cell r="J1248">
            <v>0</v>
          </cell>
          <cell r="K1248">
            <v>5</v>
          </cell>
          <cell r="L1248">
            <v>0</v>
          </cell>
          <cell r="M1248">
            <v>0</v>
          </cell>
        </row>
        <row r="1249">
          <cell r="C1249">
            <v>349</v>
          </cell>
          <cell r="F1249">
            <v>1</v>
          </cell>
          <cell r="I1249">
            <v>46245</v>
          </cell>
          <cell r="J1249">
            <v>0</v>
          </cell>
          <cell r="K1249">
            <v>2</v>
          </cell>
          <cell r="L1249">
            <v>0</v>
          </cell>
          <cell r="M1249">
            <v>0</v>
          </cell>
        </row>
        <row r="1250">
          <cell r="C1250">
            <v>150</v>
          </cell>
          <cell r="F1250">
            <v>1</v>
          </cell>
          <cell r="I1250">
            <v>46245</v>
          </cell>
          <cell r="J1250">
            <v>0</v>
          </cell>
          <cell r="K1250">
            <v>10</v>
          </cell>
          <cell r="L1250">
            <v>0</v>
          </cell>
          <cell r="M1250">
            <v>0</v>
          </cell>
        </row>
        <row r="1251">
          <cell r="C1251">
            <v>276</v>
          </cell>
          <cell r="F1251">
            <v>1</v>
          </cell>
          <cell r="I1251">
            <v>46245</v>
          </cell>
          <cell r="J1251">
            <v>0</v>
          </cell>
          <cell r="K1251">
            <v>3</v>
          </cell>
          <cell r="L1251">
            <v>0</v>
          </cell>
          <cell r="M1251">
            <v>0</v>
          </cell>
        </row>
        <row r="1252">
          <cell r="C1252">
            <v>394</v>
          </cell>
          <cell r="F1252">
            <v>1</v>
          </cell>
          <cell r="I1252">
            <v>46245</v>
          </cell>
          <cell r="J1252">
            <v>0</v>
          </cell>
          <cell r="K1252">
            <v>2</v>
          </cell>
          <cell r="L1252">
            <v>0</v>
          </cell>
          <cell r="M1252">
            <v>0</v>
          </cell>
        </row>
        <row r="1253">
          <cell r="C1253">
            <v>293</v>
          </cell>
          <cell r="F1253">
            <v>1</v>
          </cell>
          <cell r="I1253">
            <v>46245</v>
          </cell>
          <cell r="J1253">
            <v>0</v>
          </cell>
          <cell r="K1253">
            <v>15</v>
          </cell>
          <cell r="L1253">
            <v>0</v>
          </cell>
          <cell r="M1253">
            <v>0</v>
          </cell>
        </row>
        <row r="1254">
          <cell r="C1254">
            <v>294</v>
          </cell>
          <cell r="F1254">
            <v>1</v>
          </cell>
          <cell r="I1254">
            <v>46245</v>
          </cell>
          <cell r="J1254">
            <v>0</v>
          </cell>
          <cell r="K1254">
            <v>15</v>
          </cell>
          <cell r="L1254">
            <v>0</v>
          </cell>
          <cell r="M1254">
            <v>0</v>
          </cell>
        </row>
        <row r="1255">
          <cell r="C1255">
            <v>305</v>
          </cell>
          <cell r="F1255">
            <v>1</v>
          </cell>
          <cell r="I1255">
            <v>46245</v>
          </cell>
          <cell r="J1255">
            <v>0</v>
          </cell>
          <cell r="K1255">
            <v>500</v>
          </cell>
          <cell r="L1255">
            <v>0</v>
          </cell>
          <cell r="M1255">
            <v>0</v>
          </cell>
        </row>
        <row r="1256">
          <cell r="C1256">
            <v>199</v>
          </cell>
          <cell r="F1256">
            <v>1</v>
          </cell>
          <cell r="I1256">
            <v>46245</v>
          </cell>
          <cell r="J1256">
            <v>0</v>
          </cell>
          <cell r="K1256">
            <v>4</v>
          </cell>
          <cell r="L1256">
            <v>0</v>
          </cell>
          <cell r="M1256">
            <v>0</v>
          </cell>
        </row>
        <row r="1257">
          <cell r="C1257">
            <v>101</v>
          </cell>
          <cell r="F1257">
            <v>1</v>
          </cell>
          <cell r="I1257">
            <v>46245</v>
          </cell>
          <cell r="J1257">
            <v>0</v>
          </cell>
          <cell r="K1257">
            <v>2000</v>
          </cell>
          <cell r="L1257">
            <v>0</v>
          </cell>
          <cell r="M1257">
            <v>0</v>
          </cell>
        </row>
        <row r="1258">
          <cell r="C1258">
            <v>79</v>
          </cell>
          <cell r="F1258">
            <v>1</v>
          </cell>
          <cell r="I1258">
            <v>46245</v>
          </cell>
          <cell r="J1258">
            <v>0</v>
          </cell>
          <cell r="K1258">
            <v>10</v>
          </cell>
          <cell r="L1258">
            <v>0</v>
          </cell>
          <cell r="M1258">
            <v>0</v>
          </cell>
        </row>
        <row r="1259">
          <cell r="C1259">
            <v>153</v>
          </cell>
          <cell r="F1259">
            <v>1</v>
          </cell>
          <cell r="I1259">
            <v>46245</v>
          </cell>
          <cell r="J1259">
            <v>0</v>
          </cell>
          <cell r="K1259">
            <v>1</v>
          </cell>
          <cell r="L1259">
            <v>0</v>
          </cell>
          <cell r="M1259">
            <v>0</v>
          </cell>
        </row>
        <row r="1260">
          <cell r="C1260">
            <v>167</v>
          </cell>
          <cell r="F1260">
            <v>1</v>
          </cell>
          <cell r="I1260">
            <v>46245</v>
          </cell>
          <cell r="J1260">
            <v>0</v>
          </cell>
          <cell r="K1260">
            <v>2</v>
          </cell>
          <cell r="L1260">
            <v>0</v>
          </cell>
          <cell r="M1260">
            <v>0</v>
          </cell>
        </row>
        <row r="1261">
          <cell r="C1261">
            <v>177</v>
          </cell>
          <cell r="F1261">
            <v>1</v>
          </cell>
          <cell r="I1261">
            <v>46245</v>
          </cell>
          <cell r="J1261">
            <v>0</v>
          </cell>
          <cell r="K1261">
            <v>250</v>
          </cell>
          <cell r="L1261">
            <v>0</v>
          </cell>
          <cell r="M1261">
            <v>0</v>
          </cell>
        </row>
        <row r="1262">
          <cell r="C1262">
            <v>403</v>
          </cell>
          <cell r="F1262">
            <v>1</v>
          </cell>
          <cell r="I1262">
            <v>46245</v>
          </cell>
          <cell r="J1262">
            <v>0</v>
          </cell>
          <cell r="K1262">
            <v>2</v>
          </cell>
          <cell r="L1262">
            <v>0</v>
          </cell>
          <cell r="M1262">
            <v>0</v>
          </cell>
        </row>
        <row r="1263">
          <cell r="C1263">
            <v>219</v>
          </cell>
          <cell r="F1263">
            <v>1</v>
          </cell>
          <cell r="I1263">
            <v>46245</v>
          </cell>
          <cell r="J1263">
            <v>0</v>
          </cell>
          <cell r="K1263">
            <v>1</v>
          </cell>
          <cell r="L1263">
            <v>0</v>
          </cell>
          <cell r="M1263">
            <v>0</v>
          </cell>
        </row>
        <row r="1264">
          <cell r="C1264">
            <v>9</v>
          </cell>
          <cell r="F1264">
            <v>1</v>
          </cell>
          <cell r="I1264">
            <v>46245</v>
          </cell>
          <cell r="J1264">
            <v>0</v>
          </cell>
          <cell r="K1264">
            <v>8</v>
          </cell>
          <cell r="L1264">
            <v>0</v>
          </cell>
          <cell r="M1264">
            <v>0</v>
          </cell>
        </row>
        <row r="1265">
          <cell r="C1265">
            <v>50</v>
          </cell>
          <cell r="F1265">
            <v>1</v>
          </cell>
          <cell r="I1265">
            <v>46245</v>
          </cell>
          <cell r="J1265">
            <v>0</v>
          </cell>
          <cell r="K1265">
            <v>5</v>
          </cell>
          <cell r="L1265">
            <v>0</v>
          </cell>
          <cell r="M1265">
            <v>0</v>
          </cell>
        </row>
        <row r="1266">
          <cell r="C1266">
            <v>284</v>
          </cell>
          <cell r="F1266">
            <v>1</v>
          </cell>
          <cell r="I1266">
            <v>46245</v>
          </cell>
          <cell r="J1266">
            <v>0</v>
          </cell>
          <cell r="K1266">
            <v>10</v>
          </cell>
          <cell r="L1266">
            <v>0</v>
          </cell>
          <cell r="M1266">
            <v>0</v>
          </cell>
        </row>
        <row r="1267">
          <cell r="C1267">
            <v>189</v>
          </cell>
          <cell r="F1267">
            <v>1</v>
          </cell>
          <cell r="I1267">
            <v>46246</v>
          </cell>
          <cell r="J1267">
            <v>0</v>
          </cell>
          <cell r="K1267">
            <v>4</v>
          </cell>
          <cell r="L1267">
            <v>0</v>
          </cell>
          <cell r="M1267">
            <v>0</v>
          </cell>
        </row>
        <row r="1268">
          <cell r="C1268">
            <v>182</v>
          </cell>
          <cell r="F1268">
            <v>1</v>
          </cell>
          <cell r="I1268">
            <v>46246</v>
          </cell>
          <cell r="J1268">
            <v>0</v>
          </cell>
          <cell r="K1268">
            <v>12</v>
          </cell>
          <cell r="L1268">
            <v>0</v>
          </cell>
          <cell r="M1268">
            <v>0</v>
          </cell>
        </row>
        <row r="1269">
          <cell r="C1269">
            <v>179</v>
          </cell>
          <cell r="F1269">
            <v>1</v>
          </cell>
          <cell r="I1269">
            <v>46246</v>
          </cell>
          <cell r="J1269">
            <v>0</v>
          </cell>
          <cell r="K1269">
            <v>500</v>
          </cell>
          <cell r="L1269">
            <v>0</v>
          </cell>
          <cell r="M1269">
            <v>0</v>
          </cell>
        </row>
        <row r="1270">
          <cell r="C1270">
            <v>293</v>
          </cell>
          <cell r="F1270">
            <v>1</v>
          </cell>
          <cell r="I1270">
            <v>46246</v>
          </cell>
          <cell r="J1270">
            <v>0</v>
          </cell>
          <cell r="K1270">
            <v>15</v>
          </cell>
          <cell r="L1270">
            <v>0</v>
          </cell>
          <cell r="M1270">
            <v>0</v>
          </cell>
        </row>
        <row r="1271">
          <cell r="C1271">
            <v>294</v>
          </cell>
          <cell r="F1271">
            <v>1</v>
          </cell>
          <cell r="I1271">
            <v>46246</v>
          </cell>
          <cell r="J1271">
            <v>0</v>
          </cell>
          <cell r="K1271">
            <v>15</v>
          </cell>
          <cell r="L1271">
            <v>0</v>
          </cell>
          <cell r="M1271">
            <v>0</v>
          </cell>
        </row>
        <row r="1272">
          <cell r="C1272">
            <v>398</v>
          </cell>
          <cell r="F1272">
            <v>1</v>
          </cell>
          <cell r="I1272">
            <v>46246</v>
          </cell>
          <cell r="J1272">
            <v>0</v>
          </cell>
          <cell r="K1272">
            <v>5</v>
          </cell>
          <cell r="L1272">
            <v>0</v>
          </cell>
          <cell r="M1272">
            <v>0</v>
          </cell>
        </row>
        <row r="1273">
          <cell r="C1273">
            <v>399</v>
          </cell>
          <cell r="F1273">
            <v>1</v>
          </cell>
          <cell r="I1273">
            <v>46246</v>
          </cell>
          <cell r="J1273">
            <v>0</v>
          </cell>
          <cell r="K1273">
            <v>2</v>
          </cell>
          <cell r="L1273">
            <v>0</v>
          </cell>
          <cell r="M1273">
            <v>0</v>
          </cell>
        </row>
        <row r="1274">
          <cell r="C1274">
            <v>337</v>
          </cell>
          <cell r="F1274">
            <v>1</v>
          </cell>
          <cell r="I1274">
            <v>46246</v>
          </cell>
          <cell r="J1274">
            <v>0</v>
          </cell>
          <cell r="K1274">
            <v>10</v>
          </cell>
          <cell r="L1274">
            <v>0</v>
          </cell>
          <cell r="M1274">
            <v>0</v>
          </cell>
        </row>
        <row r="1275">
          <cell r="C1275">
            <v>389</v>
          </cell>
          <cell r="F1275">
            <v>1</v>
          </cell>
          <cell r="I1275">
            <v>46246</v>
          </cell>
          <cell r="J1275">
            <v>0</v>
          </cell>
          <cell r="K1275">
            <v>1</v>
          </cell>
          <cell r="L1275">
            <v>0</v>
          </cell>
          <cell r="M1275">
            <v>0</v>
          </cell>
        </row>
        <row r="1276">
          <cell r="C1276">
            <v>378</v>
          </cell>
          <cell r="F1276">
            <v>1</v>
          </cell>
          <cell r="I1276">
            <v>46246</v>
          </cell>
          <cell r="J1276">
            <v>0</v>
          </cell>
          <cell r="K1276">
            <v>1</v>
          </cell>
          <cell r="L1276">
            <v>0</v>
          </cell>
          <cell r="M1276">
            <v>0</v>
          </cell>
        </row>
        <row r="1277">
          <cell r="C1277">
            <v>99</v>
          </cell>
          <cell r="F1277">
            <v>1</v>
          </cell>
          <cell r="I1277">
            <v>46246</v>
          </cell>
          <cell r="J1277">
            <v>0</v>
          </cell>
          <cell r="K1277">
            <v>1</v>
          </cell>
          <cell r="L1277">
            <v>0</v>
          </cell>
          <cell r="M1277">
            <v>0</v>
          </cell>
        </row>
        <row r="1278">
          <cell r="C1278">
            <v>144</v>
          </cell>
          <cell r="F1278">
            <v>1</v>
          </cell>
          <cell r="I1278">
            <v>46246</v>
          </cell>
          <cell r="J1278">
            <v>0</v>
          </cell>
          <cell r="K1278">
            <v>1</v>
          </cell>
          <cell r="L1278">
            <v>0</v>
          </cell>
          <cell r="M1278">
            <v>0</v>
          </cell>
        </row>
        <row r="1279">
          <cell r="C1279">
            <v>145</v>
          </cell>
          <cell r="F1279">
            <v>1</v>
          </cell>
          <cell r="I1279">
            <v>46246</v>
          </cell>
          <cell r="J1279">
            <v>0</v>
          </cell>
          <cell r="K1279">
            <v>1</v>
          </cell>
          <cell r="L1279">
            <v>0</v>
          </cell>
          <cell r="M1279">
            <v>0</v>
          </cell>
        </row>
        <row r="1280">
          <cell r="C1280">
            <v>377</v>
          </cell>
          <cell r="F1280">
            <v>1</v>
          </cell>
          <cell r="I1280">
            <v>46246</v>
          </cell>
          <cell r="J1280">
            <v>0</v>
          </cell>
          <cell r="K1280">
            <v>10</v>
          </cell>
          <cell r="L1280">
            <v>0</v>
          </cell>
          <cell r="M1280">
            <v>0</v>
          </cell>
        </row>
        <row r="1281">
          <cell r="C1281">
            <v>99</v>
          </cell>
          <cell r="F1281">
            <v>1</v>
          </cell>
          <cell r="I1281">
            <v>46246</v>
          </cell>
          <cell r="J1281">
            <v>0</v>
          </cell>
          <cell r="K1281">
            <v>2</v>
          </cell>
          <cell r="L1281">
            <v>0</v>
          </cell>
          <cell r="M1281">
            <v>0</v>
          </cell>
        </row>
        <row r="1282">
          <cell r="C1282">
            <v>401</v>
          </cell>
          <cell r="F1282">
            <v>1</v>
          </cell>
          <cell r="I1282">
            <v>46246</v>
          </cell>
          <cell r="J1282">
            <v>0</v>
          </cell>
          <cell r="K1282">
            <v>2</v>
          </cell>
          <cell r="L1282">
            <v>0</v>
          </cell>
          <cell r="M1282">
            <v>0</v>
          </cell>
        </row>
        <row r="1283">
          <cell r="C1283">
            <v>386</v>
          </cell>
          <cell r="F1283">
            <v>1</v>
          </cell>
          <cell r="I1283">
            <v>46246</v>
          </cell>
          <cell r="J1283">
            <v>0</v>
          </cell>
          <cell r="K1283">
            <v>1</v>
          </cell>
          <cell r="L1283">
            <v>0</v>
          </cell>
          <cell r="M1283">
            <v>0</v>
          </cell>
        </row>
        <row r="1284">
          <cell r="C1284">
            <v>385</v>
          </cell>
          <cell r="F1284">
            <v>1</v>
          </cell>
          <cell r="I1284">
            <v>46246</v>
          </cell>
          <cell r="J1284">
            <v>0</v>
          </cell>
          <cell r="K1284">
            <v>1</v>
          </cell>
          <cell r="L1284">
            <v>0</v>
          </cell>
          <cell r="M1284">
            <v>0</v>
          </cell>
        </row>
        <row r="1285">
          <cell r="C1285">
            <v>420</v>
          </cell>
          <cell r="F1285">
            <v>1</v>
          </cell>
          <cell r="I1285">
            <v>46246</v>
          </cell>
          <cell r="J1285">
            <v>0</v>
          </cell>
          <cell r="K1285">
            <v>1</v>
          </cell>
          <cell r="L1285">
            <v>0</v>
          </cell>
          <cell r="M1285">
            <v>0</v>
          </cell>
        </row>
        <row r="1286">
          <cell r="C1286">
            <v>411</v>
          </cell>
          <cell r="F1286">
            <v>1</v>
          </cell>
          <cell r="I1286">
            <v>46247</v>
          </cell>
          <cell r="J1286">
            <v>0</v>
          </cell>
          <cell r="K1286">
            <v>0</v>
          </cell>
          <cell r="L1286">
            <v>0</v>
          </cell>
          <cell r="M1286">
            <v>10</v>
          </cell>
        </row>
        <row r="1287">
          <cell r="C1287">
            <v>414</v>
          </cell>
          <cell r="F1287">
            <v>1</v>
          </cell>
          <cell r="I1287">
            <v>46247</v>
          </cell>
          <cell r="J1287">
            <v>0</v>
          </cell>
          <cell r="K1287">
            <v>0</v>
          </cell>
          <cell r="L1287">
            <v>0</v>
          </cell>
          <cell r="M1287">
            <v>10</v>
          </cell>
        </row>
        <row r="1288">
          <cell r="C1288">
            <v>415</v>
          </cell>
          <cell r="F1288">
            <v>1</v>
          </cell>
          <cell r="I1288">
            <v>46247</v>
          </cell>
          <cell r="J1288">
            <v>0</v>
          </cell>
          <cell r="K1288">
            <v>0</v>
          </cell>
          <cell r="L1288">
            <v>0</v>
          </cell>
          <cell r="M1288">
            <v>10</v>
          </cell>
        </row>
        <row r="1289">
          <cell r="C1289">
            <v>416</v>
          </cell>
          <cell r="F1289">
            <v>1</v>
          </cell>
          <cell r="I1289">
            <v>46247</v>
          </cell>
          <cell r="J1289">
            <v>0</v>
          </cell>
          <cell r="K1289">
            <v>0</v>
          </cell>
          <cell r="L1289">
            <v>0</v>
          </cell>
          <cell r="M1289">
            <v>5</v>
          </cell>
        </row>
        <row r="1290">
          <cell r="C1290">
            <v>413</v>
          </cell>
          <cell r="F1290">
            <v>1</v>
          </cell>
          <cell r="I1290">
            <v>46247</v>
          </cell>
          <cell r="J1290">
            <v>0</v>
          </cell>
          <cell r="K1290">
            <v>0</v>
          </cell>
          <cell r="L1290">
            <v>0</v>
          </cell>
          <cell r="M1290">
            <v>10</v>
          </cell>
        </row>
        <row r="1291">
          <cell r="C1291">
            <v>293</v>
          </cell>
          <cell r="F1291">
            <v>1</v>
          </cell>
          <cell r="I1291">
            <v>46247</v>
          </cell>
          <cell r="J1291">
            <v>0</v>
          </cell>
          <cell r="K1291">
            <v>10</v>
          </cell>
          <cell r="L1291">
            <v>0</v>
          </cell>
          <cell r="M1291">
            <v>0</v>
          </cell>
        </row>
        <row r="1292">
          <cell r="C1292">
            <v>294</v>
          </cell>
          <cell r="F1292">
            <v>1</v>
          </cell>
          <cell r="I1292">
            <v>46247</v>
          </cell>
          <cell r="J1292">
            <v>0</v>
          </cell>
          <cell r="K1292">
            <v>35</v>
          </cell>
          <cell r="L1292">
            <v>0</v>
          </cell>
          <cell r="M1292">
            <v>0</v>
          </cell>
        </row>
        <row r="1293">
          <cell r="C1293">
            <v>156</v>
          </cell>
          <cell r="F1293">
            <v>1</v>
          </cell>
          <cell r="I1293">
            <v>46247</v>
          </cell>
          <cell r="J1293">
            <v>0</v>
          </cell>
          <cell r="K1293">
            <v>1</v>
          </cell>
          <cell r="L1293">
            <v>0</v>
          </cell>
          <cell r="M1293">
            <v>0</v>
          </cell>
        </row>
        <row r="1294">
          <cell r="C1294">
            <v>199</v>
          </cell>
          <cell r="F1294">
            <v>1</v>
          </cell>
          <cell r="I1294">
            <v>46247</v>
          </cell>
          <cell r="J1294">
            <v>0</v>
          </cell>
          <cell r="K1294">
            <v>8</v>
          </cell>
          <cell r="L1294">
            <v>0</v>
          </cell>
          <cell r="M1294">
            <v>0</v>
          </cell>
        </row>
        <row r="1295">
          <cell r="C1295">
            <v>184</v>
          </cell>
          <cell r="F1295">
            <v>1</v>
          </cell>
          <cell r="I1295">
            <v>46247</v>
          </cell>
          <cell r="J1295">
            <v>0</v>
          </cell>
          <cell r="K1295">
            <v>12</v>
          </cell>
          <cell r="L1295">
            <v>0</v>
          </cell>
          <cell r="M1295">
            <v>0</v>
          </cell>
        </row>
        <row r="1296">
          <cell r="C1296">
            <v>433</v>
          </cell>
          <cell r="F1296">
            <v>1</v>
          </cell>
          <cell r="I1296">
            <v>46247</v>
          </cell>
          <cell r="J1296">
            <v>0</v>
          </cell>
          <cell r="K1296">
            <v>10</v>
          </cell>
          <cell r="L1296">
            <v>0</v>
          </cell>
          <cell r="M1296">
            <v>0</v>
          </cell>
        </row>
        <row r="1297">
          <cell r="C1297">
            <v>169</v>
          </cell>
          <cell r="F1297">
            <v>1</v>
          </cell>
          <cell r="I1297">
            <v>46247</v>
          </cell>
          <cell r="J1297">
            <v>0</v>
          </cell>
          <cell r="K1297">
            <v>2</v>
          </cell>
          <cell r="L1297">
            <v>0</v>
          </cell>
          <cell r="M1297">
            <v>0</v>
          </cell>
        </row>
        <row r="1298">
          <cell r="C1298">
            <v>219</v>
          </cell>
          <cell r="F1298">
            <v>1</v>
          </cell>
          <cell r="I1298">
            <v>46247</v>
          </cell>
          <cell r="J1298">
            <v>0</v>
          </cell>
          <cell r="K1298">
            <v>15</v>
          </cell>
          <cell r="L1298">
            <v>0</v>
          </cell>
          <cell r="M1298">
            <v>0</v>
          </cell>
        </row>
        <row r="1299">
          <cell r="C1299">
            <v>177</v>
          </cell>
          <cell r="F1299">
            <v>1</v>
          </cell>
          <cell r="I1299">
            <v>46247</v>
          </cell>
          <cell r="J1299">
            <v>0</v>
          </cell>
          <cell r="K1299">
            <v>100</v>
          </cell>
          <cell r="L1299">
            <v>0</v>
          </cell>
          <cell r="M1299">
            <v>0</v>
          </cell>
        </row>
        <row r="1300">
          <cell r="C1300">
            <v>305</v>
          </cell>
          <cell r="F1300">
            <v>1</v>
          </cell>
          <cell r="I1300">
            <v>46247</v>
          </cell>
          <cell r="J1300">
            <v>0</v>
          </cell>
          <cell r="K1300">
            <v>700</v>
          </cell>
          <cell r="L1300">
            <v>0</v>
          </cell>
          <cell r="M1300">
            <v>0</v>
          </cell>
        </row>
        <row r="1301">
          <cell r="C1301">
            <v>429</v>
          </cell>
          <cell r="F1301">
            <v>1</v>
          </cell>
          <cell r="I1301">
            <v>46247</v>
          </cell>
          <cell r="J1301">
            <v>0</v>
          </cell>
          <cell r="K1301">
            <v>1</v>
          </cell>
          <cell r="L1301">
            <v>0</v>
          </cell>
          <cell r="M1301">
            <v>0</v>
          </cell>
        </row>
        <row r="1302">
          <cell r="C1302">
            <v>369</v>
          </cell>
          <cell r="F1302">
            <v>1</v>
          </cell>
          <cell r="I1302">
            <v>46247</v>
          </cell>
          <cell r="J1302">
            <v>0</v>
          </cell>
          <cell r="K1302">
            <v>5</v>
          </cell>
          <cell r="L1302">
            <v>0</v>
          </cell>
          <cell r="M1302">
            <v>0</v>
          </cell>
        </row>
        <row r="1303">
          <cell r="C1303">
            <v>9</v>
          </cell>
          <cell r="F1303">
            <v>1</v>
          </cell>
          <cell r="I1303">
            <v>46247</v>
          </cell>
          <cell r="J1303">
            <v>0</v>
          </cell>
          <cell r="K1303">
            <v>4</v>
          </cell>
          <cell r="L1303">
            <v>0</v>
          </cell>
          <cell r="M1303">
            <v>0</v>
          </cell>
        </row>
        <row r="1304">
          <cell r="C1304">
            <v>8</v>
          </cell>
          <cell r="F1304">
            <v>1</v>
          </cell>
          <cell r="I1304">
            <v>46247</v>
          </cell>
          <cell r="J1304">
            <v>0</v>
          </cell>
          <cell r="K1304">
            <v>4</v>
          </cell>
          <cell r="L1304">
            <v>0</v>
          </cell>
          <cell r="M1304">
            <v>0</v>
          </cell>
        </row>
        <row r="1305">
          <cell r="C1305">
            <v>284</v>
          </cell>
          <cell r="F1305">
            <v>1</v>
          </cell>
          <cell r="I1305">
            <v>46247</v>
          </cell>
          <cell r="J1305">
            <v>0</v>
          </cell>
          <cell r="K1305">
            <v>5</v>
          </cell>
          <cell r="L1305">
            <v>0</v>
          </cell>
          <cell r="M1305">
            <v>0</v>
          </cell>
        </row>
        <row r="1306">
          <cell r="C1306">
            <v>50</v>
          </cell>
          <cell r="F1306">
            <v>1</v>
          </cell>
          <cell r="I1306">
            <v>46247</v>
          </cell>
          <cell r="J1306">
            <v>0</v>
          </cell>
          <cell r="K1306">
            <v>2</v>
          </cell>
          <cell r="L1306">
            <v>0</v>
          </cell>
          <cell r="M1306">
            <v>0</v>
          </cell>
        </row>
        <row r="1307">
          <cell r="C1307">
            <v>75</v>
          </cell>
          <cell r="F1307">
            <v>1</v>
          </cell>
          <cell r="I1307">
            <v>46247</v>
          </cell>
          <cell r="J1307">
            <v>0</v>
          </cell>
          <cell r="K1307">
            <v>1</v>
          </cell>
          <cell r="L1307">
            <v>0</v>
          </cell>
          <cell r="M1307">
            <v>0</v>
          </cell>
        </row>
        <row r="1308">
          <cell r="C1308">
            <v>46</v>
          </cell>
          <cell r="F1308">
            <v>1</v>
          </cell>
          <cell r="I1308">
            <v>46247</v>
          </cell>
          <cell r="J1308">
            <v>0</v>
          </cell>
          <cell r="K1308">
            <v>2</v>
          </cell>
          <cell r="L1308">
            <v>0</v>
          </cell>
          <cell r="M1308">
            <v>0</v>
          </cell>
        </row>
        <row r="1309">
          <cell r="C1309">
            <v>74</v>
          </cell>
          <cell r="F1309">
            <v>1</v>
          </cell>
          <cell r="I1309">
            <v>46247</v>
          </cell>
          <cell r="J1309">
            <v>0</v>
          </cell>
          <cell r="K1309">
            <v>1</v>
          </cell>
          <cell r="L1309">
            <v>0</v>
          </cell>
          <cell r="M1309">
            <v>0</v>
          </cell>
        </row>
        <row r="1310">
          <cell r="C1310">
            <v>241</v>
          </cell>
          <cell r="F1310">
            <v>1</v>
          </cell>
          <cell r="I1310">
            <v>46247</v>
          </cell>
          <cell r="J1310">
            <v>0</v>
          </cell>
          <cell r="K1310">
            <v>2</v>
          </cell>
          <cell r="L1310">
            <v>0</v>
          </cell>
          <cell r="M1310">
            <v>0</v>
          </cell>
        </row>
        <row r="1311">
          <cell r="C1311">
            <v>2</v>
          </cell>
          <cell r="F1311">
            <v>1</v>
          </cell>
          <cell r="I1311">
            <v>46247</v>
          </cell>
          <cell r="J1311">
            <v>0</v>
          </cell>
          <cell r="K1311">
            <v>4</v>
          </cell>
          <cell r="L1311">
            <v>0</v>
          </cell>
          <cell r="M1311">
            <v>0</v>
          </cell>
        </row>
        <row r="1312">
          <cell r="C1312">
            <v>243</v>
          </cell>
          <cell r="F1312">
            <v>1</v>
          </cell>
          <cell r="I1312">
            <v>46247</v>
          </cell>
          <cell r="J1312">
            <v>0</v>
          </cell>
          <cell r="K1312">
            <v>1</v>
          </cell>
          <cell r="L1312">
            <v>0</v>
          </cell>
          <cell r="M1312">
            <v>0</v>
          </cell>
        </row>
        <row r="1313">
          <cell r="C1313">
            <v>178</v>
          </cell>
          <cell r="F1313">
            <v>1</v>
          </cell>
          <cell r="I1313">
            <v>46247</v>
          </cell>
          <cell r="J1313">
            <v>0</v>
          </cell>
          <cell r="K1313">
            <v>250</v>
          </cell>
          <cell r="L1313">
            <v>0</v>
          </cell>
          <cell r="M1313">
            <v>0</v>
          </cell>
        </row>
        <row r="1314">
          <cell r="C1314">
            <v>337</v>
          </cell>
          <cell r="F1314">
            <v>1</v>
          </cell>
          <cell r="I1314">
            <v>46247</v>
          </cell>
          <cell r="J1314">
            <v>0</v>
          </cell>
          <cell r="K1314">
            <v>20</v>
          </cell>
          <cell r="L1314">
            <v>0</v>
          </cell>
          <cell r="M1314">
            <v>0</v>
          </cell>
        </row>
        <row r="1315">
          <cell r="C1315">
            <v>145</v>
          </cell>
          <cell r="F1315">
            <v>1</v>
          </cell>
          <cell r="I1315">
            <v>46247</v>
          </cell>
          <cell r="J1315">
            <v>0</v>
          </cell>
          <cell r="K1315">
            <v>2</v>
          </cell>
          <cell r="L1315">
            <v>0</v>
          </cell>
          <cell r="M1315">
            <v>0</v>
          </cell>
        </row>
        <row r="1316">
          <cell r="C1316">
            <v>150</v>
          </cell>
          <cell r="F1316">
            <v>1</v>
          </cell>
          <cell r="I1316">
            <v>46247</v>
          </cell>
          <cell r="J1316">
            <v>0</v>
          </cell>
          <cell r="K1316">
            <v>5</v>
          </cell>
          <cell r="L1316">
            <v>0</v>
          </cell>
          <cell r="M1316">
            <v>0</v>
          </cell>
        </row>
        <row r="1317">
          <cell r="C1317">
            <v>183</v>
          </cell>
          <cell r="F1317">
            <v>1</v>
          </cell>
          <cell r="I1317">
            <v>46247</v>
          </cell>
          <cell r="J1317">
            <v>0</v>
          </cell>
          <cell r="K1317">
            <v>12</v>
          </cell>
          <cell r="L1317">
            <v>0</v>
          </cell>
          <cell r="M1317">
            <v>0</v>
          </cell>
        </row>
        <row r="1318">
          <cell r="C1318">
            <v>112</v>
          </cell>
          <cell r="F1318">
            <v>1</v>
          </cell>
          <cell r="I1318">
            <v>46247</v>
          </cell>
          <cell r="J1318">
            <v>0</v>
          </cell>
          <cell r="K1318">
            <v>1</v>
          </cell>
          <cell r="L1318">
            <v>0</v>
          </cell>
          <cell r="M1318">
            <v>0</v>
          </cell>
        </row>
        <row r="1319">
          <cell r="C1319">
            <v>364</v>
          </cell>
          <cell r="F1319">
            <v>1</v>
          </cell>
          <cell r="I1319">
            <v>46247</v>
          </cell>
          <cell r="J1319">
            <v>0</v>
          </cell>
          <cell r="K1319">
            <v>1</v>
          </cell>
          <cell r="L1319">
            <v>0</v>
          </cell>
          <cell r="M1319">
            <v>0</v>
          </cell>
        </row>
        <row r="1320">
          <cell r="C1320">
            <v>368</v>
          </cell>
          <cell r="F1320">
            <v>1</v>
          </cell>
          <cell r="I1320">
            <v>46248</v>
          </cell>
          <cell r="J1320">
            <v>0</v>
          </cell>
          <cell r="K1320">
            <v>5</v>
          </cell>
          <cell r="L1320">
            <v>0</v>
          </cell>
          <cell r="M1320">
            <v>0</v>
          </cell>
        </row>
        <row r="1321">
          <cell r="C1321">
            <v>386</v>
          </cell>
          <cell r="F1321">
            <v>1</v>
          </cell>
          <cell r="I1321">
            <v>46248</v>
          </cell>
          <cell r="J1321">
            <v>0</v>
          </cell>
          <cell r="K1321">
            <v>1</v>
          </cell>
          <cell r="L1321">
            <v>0</v>
          </cell>
          <cell r="M1321">
            <v>0</v>
          </cell>
        </row>
        <row r="1322">
          <cell r="C1322">
            <v>385</v>
          </cell>
          <cell r="F1322">
            <v>1</v>
          </cell>
          <cell r="I1322">
            <v>46248</v>
          </cell>
          <cell r="J1322">
            <v>0</v>
          </cell>
          <cell r="K1322">
            <v>1</v>
          </cell>
          <cell r="L1322">
            <v>0</v>
          </cell>
          <cell r="M1322">
            <v>0</v>
          </cell>
        </row>
        <row r="1323">
          <cell r="C1323">
            <v>125</v>
          </cell>
          <cell r="F1323">
            <v>1</v>
          </cell>
          <cell r="I1323">
            <v>46248</v>
          </cell>
          <cell r="J1323">
            <v>0</v>
          </cell>
          <cell r="K1323">
            <v>75</v>
          </cell>
          <cell r="L1323">
            <v>0</v>
          </cell>
          <cell r="M1323">
            <v>0</v>
          </cell>
        </row>
        <row r="1324">
          <cell r="C1324">
            <v>391</v>
          </cell>
          <cell r="F1324">
            <v>1</v>
          </cell>
          <cell r="I1324">
            <v>46248</v>
          </cell>
          <cell r="J1324">
            <v>0</v>
          </cell>
          <cell r="K1324">
            <v>1</v>
          </cell>
          <cell r="L1324">
            <v>0</v>
          </cell>
          <cell r="M1324">
            <v>0</v>
          </cell>
        </row>
        <row r="1325">
          <cell r="C1325">
            <v>363</v>
          </cell>
          <cell r="F1325">
            <v>1</v>
          </cell>
          <cell r="I1325">
            <v>46248</v>
          </cell>
          <cell r="J1325">
            <v>0</v>
          </cell>
          <cell r="K1325">
            <v>2</v>
          </cell>
          <cell r="L1325">
            <v>0</v>
          </cell>
          <cell r="M1325">
            <v>0</v>
          </cell>
        </row>
        <row r="1326">
          <cell r="C1326">
            <v>433</v>
          </cell>
          <cell r="F1326">
            <v>1</v>
          </cell>
          <cell r="I1326">
            <v>46248</v>
          </cell>
          <cell r="J1326">
            <v>0</v>
          </cell>
          <cell r="K1326">
            <v>5</v>
          </cell>
          <cell r="L1326">
            <v>0</v>
          </cell>
          <cell r="M1326">
            <v>0</v>
          </cell>
        </row>
        <row r="1327">
          <cell r="C1327">
            <v>414</v>
          </cell>
          <cell r="F1327">
            <v>1</v>
          </cell>
          <cell r="I1327">
            <v>46248</v>
          </cell>
          <cell r="J1327">
            <v>0</v>
          </cell>
          <cell r="K1327">
            <v>1</v>
          </cell>
          <cell r="L1327">
            <v>0</v>
          </cell>
          <cell r="M1327">
            <v>0</v>
          </cell>
        </row>
        <row r="1328">
          <cell r="C1328">
            <v>142</v>
          </cell>
          <cell r="F1328">
            <v>1</v>
          </cell>
          <cell r="I1328">
            <v>46248</v>
          </cell>
          <cell r="J1328">
            <v>0</v>
          </cell>
          <cell r="K1328">
            <v>1</v>
          </cell>
          <cell r="L1328">
            <v>0</v>
          </cell>
          <cell r="M1328">
            <v>0</v>
          </cell>
        </row>
        <row r="1329">
          <cell r="C1329">
            <v>136</v>
          </cell>
          <cell r="F1329">
            <v>1</v>
          </cell>
          <cell r="I1329">
            <v>46248</v>
          </cell>
          <cell r="J1329">
            <v>0</v>
          </cell>
          <cell r="K1329">
            <v>2</v>
          </cell>
          <cell r="L1329">
            <v>0</v>
          </cell>
          <cell r="M1329">
            <v>0</v>
          </cell>
        </row>
        <row r="1330">
          <cell r="C1330">
            <v>195</v>
          </cell>
          <cell r="F1330">
            <v>1</v>
          </cell>
          <cell r="I1330">
            <v>46248</v>
          </cell>
          <cell r="J1330">
            <v>0</v>
          </cell>
          <cell r="K1330">
            <v>4</v>
          </cell>
          <cell r="L1330">
            <v>0</v>
          </cell>
          <cell r="M1330">
            <v>0</v>
          </cell>
        </row>
        <row r="1331">
          <cell r="C1331">
            <v>187</v>
          </cell>
          <cell r="F1331">
            <v>1</v>
          </cell>
          <cell r="I1331">
            <v>46248</v>
          </cell>
          <cell r="J1331">
            <v>0</v>
          </cell>
          <cell r="K1331">
            <v>4</v>
          </cell>
          <cell r="L1331">
            <v>0</v>
          </cell>
          <cell r="M1331">
            <v>0</v>
          </cell>
        </row>
        <row r="1332">
          <cell r="C1332">
            <v>197</v>
          </cell>
          <cell r="F1332">
            <v>1</v>
          </cell>
          <cell r="I1332">
            <v>46248</v>
          </cell>
          <cell r="J1332">
            <v>0</v>
          </cell>
          <cell r="K1332">
            <v>4</v>
          </cell>
          <cell r="L1332">
            <v>0</v>
          </cell>
          <cell r="M1332">
            <v>0</v>
          </cell>
        </row>
        <row r="1333">
          <cell r="C1333">
            <v>397</v>
          </cell>
          <cell r="F1333">
            <v>1</v>
          </cell>
          <cell r="I1333">
            <v>46248</v>
          </cell>
          <cell r="J1333">
            <v>0</v>
          </cell>
          <cell r="K1333">
            <v>10</v>
          </cell>
          <cell r="L1333">
            <v>0</v>
          </cell>
          <cell r="M1333">
            <v>0</v>
          </cell>
        </row>
        <row r="1334">
          <cell r="C1334">
            <v>160</v>
          </cell>
          <cell r="F1334">
            <v>1</v>
          </cell>
          <cell r="I1334">
            <v>46248</v>
          </cell>
          <cell r="J1334">
            <v>0</v>
          </cell>
          <cell r="K1334">
            <v>1</v>
          </cell>
          <cell r="L1334">
            <v>0</v>
          </cell>
          <cell r="M1334">
            <v>0</v>
          </cell>
        </row>
        <row r="1335">
          <cell r="C1335">
            <v>367</v>
          </cell>
          <cell r="F1335">
            <v>1</v>
          </cell>
          <cell r="I1335">
            <v>46248</v>
          </cell>
          <cell r="J1335">
            <v>0</v>
          </cell>
          <cell r="K1335">
            <v>1</v>
          </cell>
          <cell r="L1335">
            <v>0</v>
          </cell>
          <cell r="M1335">
            <v>0</v>
          </cell>
        </row>
        <row r="1336">
          <cell r="C1336">
            <v>380</v>
          </cell>
          <cell r="F1336">
            <v>1</v>
          </cell>
          <cell r="I1336">
            <v>46248</v>
          </cell>
          <cell r="J1336">
            <v>0</v>
          </cell>
          <cell r="K1336">
            <v>5</v>
          </cell>
          <cell r="L1336">
            <v>0</v>
          </cell>
          <cell r="M1336">
            <v>0</v>
          </cell>
        </row>
        <row r="1337">
          <cell r="C1337">
            <v>145</v>
          </cell>
          <cell r="F1337">
            <v>1</v>
          </cell>
          <cell r="I1337">
            <v>46248</v>
          </cell>
          <cell r="J1337">
            <v>0</v>
          </cell>
          <cell r="K1337">
            <v>1</v>
          </cell>
          <cell r="L1337">
            <v>0</v>
          </cell>
          <cell r="M1337">
            <v>0</v>
          </cell>
        </row>
        <row r="1338">
          <cell r="C1338">
            <v>374</v>
          </cell>
          <cell r="F1338">
            <v>1</v>
          </cell>
          <cell r="I1338">
            <v>46248</v>
          </cell>
          <cell r="J1338">
            <v>0</v>
          </cell>
          <cell r="K1338">
            <v>1</v>
          </cell>
          <cell r="L1338">
            <v>0</v>
          </cell>
          <cell r="M1338">
            <v>0</v>
          </cell>
        </row>
        <row r="1339">
          <cell r="C1339">
            <v>22</v>
          </cell>
          <cell r="F1339">
            <v>1</v>
          </cell>
          <cell r="I1339">
            <v>46248</v>
          </cell>
          <cell r="J1339">
            <v>0</v>
          </cell>
          <cell r="K1339">
            <v>4</v>
          </cell>
          <cell r="L1339">
            <v>0</v>
          </cell>
          <cell r="M1339">
            <v>0</v>
          </cell>
        </row>
        <row r="1340">
          <cell r="C1340">
            <v>293</v>
          </cell>
          <cell r="F1340">
            <v>1</v>
          </cell>
          <cell r="I1340">
            <v>46248</v>
          </cell>
          <cell r="J1340">
            <v>0</v>
          </cell>
          <cell r="K1340">
            <v>10</v>
          </cell>
          <cell r="L1340">
            <v>0</v>
          </cell>
          <cell r="M1340">
            <v>0</v>
          </cell>
        </row>
        <row r="1341">
          <cell r="C1341">
            <v>294</v>
          </cell>
          <cell r="F1341">
            <v>1</v>
          </cell>
          <cell r="I1341">
            <v>46248</v>
          </cell>
          <cell r="J1341">
            <v>0</v>
          </cell>
          <cell r="K1341">
            <v>20</v>
          </cell>
          <cell r="L1341">
            <v>0</v>
          </cell>
          <cell r="M1341">
            <v>0</v>
          </cell>
        </row>
        <row r="1342">
          <cell r="C1342">
            <v>177</v>
          </cell>
          <cell r="F1342">
            <v>1</v>
          </cell>
          <cell r="I1342">
            <v>46248</v>
          </cell>
          <cell r="J1342">
            <v>0</v>
          </cell>
          <cell r="K1342">
            <v>150</v>
          </cell>
          <cell r="L1342">
            <v>0</v>
          </cell>
          <cell r="M1342">
            <v>0</v>
          </cell>
        </row>
        <row r="1343">
          <cell r="C1343">
            <v>101</v>
          </cell>
          <cell r="F1343">
            <v>1</v>
          </cell>
          <cell r="I1343">
            <v>46248</v>
          </cell>
          <cell r="J1343">
            <v>0</v>
          </cell>
          <cell r="K1343">
            <v>1000</v>
          </cell>
          <cell r="L1343">
            <v>0</v>
          </cell>
          <cell r="M1343">
            <v>0</v>
          </cell>
        </row>
        <row r="1344">
          <cell r="C1344">
            <v>427</v>
          </cell>
          <cell r="F1344">
            <v>1</v>
          </cell>
          <cell r="I1344">
            <v>46248</v>
          </cell>
          <cell r="J1344">
            <v>0</v>
          </cell>
          <cell r="K1344">
            <v>1</v>
          </cell>
          <cell r="L1344">
            <v>0</v>
          </cell>
          <cell r="M1344">
            <v>0</v>
          </cell>
        </row>
        <row r="1345">
          <cell r="C1345">
            <v>368</v>
          </cell>
          <cell r="F1345">
            <v>1</v>
          </cell>
          <cell r="I1345">
            <v>46249</v>
          </cell>
          <cell r="J1345">
            <v>0</v>
          </cell>
          <cell r="K1345">
            <v>6</v>
          </cell>
          <cell r="L1345">
            <v>0</v>
          </cell>
          <cell r="M1345">
            <v>0</v>
          </cell>
        </row>
        <row r="1346">
          <cell r="C1346">
            <v>389</v>
          </cell>
          <cell r="F1346">
            <v>1</v>
          </cell>
          <cell r="I1346">
            <v>46249</v>
          </cell>
          <cell r="J1346">
            <v>0</v>
          </cell>
          <cell r="K1346">
            <v>5</v>
          </cell>
          <cell r="L1346">
            <v>0</v>
          </cell>
          <cell r="M1346">
            <v>0</v>
          </cell>
        </row>
        <row r="1347">
          <cell r="C1347">
            <v>189</v>
          </cell>
          <cell r="F1347">
            <v>1</v>
          </cell>
          <cell r="I1347">
            <v>46249</v>
          </cell>
          <cell r="J1347">
            <v>0</v>
          </cell>
          <cell r="K1347">
            <v>4</v>
          </cell>
          <cell r="L1347">
            <v>0</v>
          </cell>
          <cell r="M1347">
            <v>0</v>
          </cell>
        </row>
        <row r="1348">
          <cell r="C1348">
            <v>187</v>
          </cell>
          <cell r="F1348">
            <v>1</v>
          </cell>
          <cell r="I1348">
            <v>46249</v>
          </cell>
          <cell r="J1348">
            <v>0</v>
          </cell>
          <cell r="K1348">
            <v>4</v>
          </cell>
          <cell r="L1348">
            <v>0</v>
          </cell>
          <cell r="M1348">
            <v>0</v>
          </cell>
        </row>
        <row r="1349">
          <cell r="C1349">
            <v>75</v>
          </cell>
          <cell r="F1349">
            <v>1</v>
          </cell>
          <cell r="I1349">
            <v>46249</v>
          </cell>
          <cell r="J1349">
            <v>0</v>
          </cell>
          <cell r="K1349">
            <v>1</v>
          </cell>
          <cell r="L1349">
            <v>0</v>
          </cell>
          <cell r="M1349">
            <v>0</v>
          </cell>
        </row>
        <row r="1350">
          <cell r="C1350">
            <v>349</v>
          </cell>
          <cell r="F1350">
            <v>1</v>
          </cell>
          <cell r="I1350">
            <v>46249</v>
          </cell>
          <cell r="J1350">
            <v>0</v>
          </cell>
          <cell r="K1350">
            <v>1</v>
          </cell>
          <cell r="L1350">
            <v>0</v>
          </cell>
          <cell r="M1350">
            <v>0</v>
          </cell>
        </row>
        <row r="1351">
          <cell r="C1351">
            <v>177</v>
          </cell>
          <cell r="F1351">
            <v>1</v>
          </cell>
          <cell r="I1351">
            <v>46249</v>
          </cell>
          <cell r="J1351">
            <v>0</v>
          </cell>
          <cell r="K1351">
            <v>800</v>
          </cell>
          <cell r="L1351">
            <v>0</v>
          </cell>
          <cell r="M1351">
            <v>0</v>
          </cell>
        </row>
        <row r="1352">
          <cell r="C1352">
            <v>9</v>
          </cell>
          <cell r="F1352">
            <v>1</v>
          </cell>
          <cell r="I1352">
            <v>46249</v>
          </cell>
          <cell r="J1352">
            <v>0</v>
          </cell>
          <cell r="K1352">
            <v>8</v>
          </cell>
          <cell r="L1352">
            <v>0</v>
          </cell>
          <cell r="M1352">
            <v>0</v>
          </cell>
        </row>
        <row r="1353">
          <cell r="C1353">
            <v>293</v>
          </cell>
          <cell r="F1353">
            <v>1</v>
          </cell>
          <cell r="I1353">
            <v>46249</v>
          </cell>
          <cell r="J1353">
            <v>0</v>
          </cell>
          <cell r="K1353">
            <v>30</v>
          </cell>
          <cell r="L1353">
            <v>0</v>
          </cell>
          <cell r="M1353">
            <v>0</v>
          </cell>
        </row>
        <row r="1354">
          <cell r="C1354">
            <v>178</v>
          </cell>
          <cell r="F1354">
            <v>1</v>
          </cell>
          <cell r="I1354">
            <v>46249</v>
          </cell>
          <cell r="J1354">
            <v>0</v>
          </cell>
          <cell r="K1354">
            <v>100</v>
          </cell>
          <cell r="L1354">
            <v>0</v>
          </cell>
          <cell r="M1354">
            <v>0</v>
          </cell>
        </row>
        <row r="1355">
          <cell r="C1355">
            <v>305</v>
          </cell>
          <cell r="F1355">
            <v>1</v>
          </cell>
          <cell r="I1355">
            <v>46249</v>
          </cell>
          <cell r="J1355">
            <v>0</v>
          </cell>
          <cell r="K1355">
            <v>200</v>
          </cell>
          <cell r="L1355">
            <v>0</v>
          </cell>
          <cell r="M1355">
            <v>0</v>
          </cell>
        </row>
        <row r="1356">
          <cell r="C1356">
            <v>197</v>
          </cell>
          <cell r="F1356">
            <v>1</v>
          </cell>
          <cell r="I1356">
            <v>46249</v>
          </cell>
          <cell r="J1356">
            <v>0</v>
          </cell>
          <cell r="K1356">
            <v>4</v>
          </cell>
          <cell r="L1356">
            <v>0</v>
          </cell>
          <cell r="M1356">
            <v>0</v>
          </cell>
        </row>
        <row r="1357">
          <cell r="C1357">
            <v>74</v>
          </cell>
          <cell r="F1357">
            <v>1</v>
          </cell>
          <cell r="I1357">
            <v>46249</v>
          </cell>
          <cell r="J1357">
            <v>0</v>
          </cell>
          <cell r="K1357">
            <v>1</v>
          </cell>
          <cell r="L1357">
            <v>0</v>
          </cell>
          <cell r="M1357">
            <v>0</v>
          </cell>
        </row>
        <row r="1358">
          <cell r="C1358">
            <v>8</v>
          </cell>
          <cell r="F1358">
            <v>1</v>
          </cell>
          <cell r="I1358">
            <v>46249</v>
          </cell>
          <cell r="J1358">
            <v>0</v>
          </cell>
          <cell r="K1358">
            <v>4</v>
          </cell>
          <cell r="L1358">
            <v>0</v>
          </cell>
          <cell r="M1358">
            <v>0</v>
          </cell>
        </row>
        <row r="1359">
          <cell r="C1359">
            <v>46</v>
          </cell>
          <cell r="F1359">
            <v>1</v>
          </cell>
          <cell r="I1359">
            <v>46249</v>
          </cell>
          <cell r="J1359">
            <v>0</v>
          </cell>
          <cell r="K1359">
            <v>2</v>
          </cell>
          <cell r="L1359">
            <v>0</v>
          </cell>
          <cell r="M1359">
            <v>0</v>
          </cell>
        </row>
        <row r="1360">
          <cell r="C1360">
            <v>49</v>
          </cell>
          <cell r="F1360">
            <v>1</v>
          </cell>
          <cell r="I1360">
            <v>46249</v>
          </cell>
          <cell r="J1360">
            <v>0</v>
          </cell>
          <cell r="K1360">
            <v>1</v>
          </cell>
          <cell r="L1360">
            <v>0</v>
          </cell>
          <cell r="M1360">
            <v>0</v>
          </cell>
        </row>
        <row r="1361">
          <cell r="C1361">
            <v>294</v>
          </cell>
          <cell r="F1361">
            <v>1</v>
          </cell>
          <cell r="I1361">
            <v>46249</v>
          </cell>
          <cell r="J1361">
            <v>0</v>
          </cell>
          <cell r="K1361">
            <v>20</v>
          </cell>
          <cell r="L1361">
            <v>0</v>
          </cell>
          <cell r="M1361">
            <v>0</v>
          </cell>
        </row>
        <row r="1362">
          <cell r="C1362">
            <v>386</v>
          </cell>
          <cell r="F1362">
            <v>1</v>
          </cell>
          <cell r="I1362">
            <v>46250</v>
          </cell>
          <cell r="J1362">
            <v>0</v>
          </cell>
          <cell r="K1362">
            <v>1</v>
          </cell>
          <cell r="L1362">
            <v>0</v>
          </cell>
          <cell r="M1362">
            <v>0</v>
          </cell>
        </row>
        <row r="1363">
          <cell r="C1363">
            <v>385</v>
          </cell>
          <cell r="F1363">
            <v>1</v>
          </cell>
          <cell r="I1363">
            <v>46250</v>
          </cell>
          <cell r="J1363">
            <v>0</v>
          </cell>
          <cell r="K1363">
            <v>1</v>
          </cell>
          <cell r="L1363">
            <v>0</v>
          </cell>
          <cell r="M1363">
            <v>0</v>
          </cell>
        </row>
        <row r="1364">
          <cell r="C1364">
            <v>397</v>
          </cell>
          <cell r="F1364">
            <v>1</v>
          </cell>
          <cell r="I1364">
            <v>46250</v>
          </cell>
          <cell r="J1364">
            <v>0</v>
          </cell>
          <cell r="K1364">
            <v>5</v>
          </cell>
          <cell r="L1364">
            <v>0</v>
          </cell>
          <cell r="M1364">
            <v>0</v>
          </cell>
        </row>
        <row r="1365">
          <cell r="C1365">
            <v>378</v>
          </cell>
          <cell r="F1365">
            <v>1</v>
          </cell>
          <cell r="I1365">
            <v>46250</v>
          </cell>
          <cell r="J1365">
            <v>0</v>
          </cell>
          <cell r="K1365">
            <v>1</v>
          </cell>
          <cell r="L1365">
            <v>0</v>
          </cell>
          <cell r="M1365">
            <v>0</v>
          </cell>
        </row>
        <row r="1366">
          <cell r="C1366">
            <v>90</v>
          </cell>
          <cell r="F1366">
            <v>1</v>
          </cell>
          <cell r="I1366">
            <v>46250</v>
          </cell>
          <cell r="J1366">
            <v>0</v>
          </cell>
          <cell r="K1366">
            <v>2</v>
          </cell>
          <cell r="L1366">
            <v>0</v>
          </cell>
          <cell r="M1366">
            <v>0</v>
          </cell>
        </row>
        <row r="1367">
          <cell r="C1367">
            <v>377</v>
          </cell>
          <cell r="F1367">
            <v>1</v>
          </cell>
          <cell r="I1367">
            <v>46250</v>
          </cell>
          <cell r="J1367">
            <v>0</v>
          </cell>
          <cell r="K1367">
            <v>10</v>
          </cell>
          <cell r="L1367">
            <v>0</v>
          </cell>
          <cell r="M1367">
            <v>0</v>
          </cell>
        </row>
        <row r="1368">
          <cell r="C1368">
            <v>76</v>
          </cell>
          <cell r="F1368">
            <v>1</v>
          </cell>
          <cell r="I1368">
            <v>46250</v>
          </cell>
          <cell r="J1368">
            <v>0</v>
          </cell>
          <cell r="K1368">
            <v>1</v>
          </cell>
          <cell r="L1368">
            <v>0</v>
          </cell>
          <cell r="M1368">
            <v>0</v>
          </cell>
        </row>
        <row r="1369">
          <cell r="C1369">
            <v>276</v>
          </cell>
          <cell r="F1369">
            <v>1</v>
          </cell>
          <cell r="I1369">
            <v>46250</v>
          </cell>
          <cell r="J1369">
            <v>0</v>
          </cell>
          <cell r="K1369">
            <v>2</v>
          </cell>
          <cell r="L1369">
            <v>0</v>
          </cell>
          <cell r="M1369">
            <v>0</v>
          </cell>
        </row>
        <row r="1370">
          <cell r="C1370">
            <v>379</v>
          </cell>
          <cell r="F1370">
            <v>1</v>
          </cell>
          <cell r="I1370">
            <v>46250</v>
          </cell>
          <cell r="J1370">
            <v>0</v>
          </cell>
          <cell r="K1370">
            <v>1</v>
          </cell>
          <cell r="L1370">
            <v>0</v>
          </cell>
          <cell r="M1370">
            <v>0</v>
          </cell>
        </row>
        <row r="1371">
          <cell r="C1371">
            <v>108</v>
          </cell>
          <cell r="F1371">
            <v>1</v>
          </cell>
          <cell r="I1371">
            <v>46250</v>
          </cell>
          <cell r="J1371">
            <v>0</v>
          </cell>
          <cell r="K1371">
            <v>1</v>
          </cell>
          <cell r="L1371">
            <v>0</v>
          </cell>
          <cell r="M1371">
            <v>0</v>
          </cell>
        </row>
        <row r="1372">
          <cell r="C1372">
            <v>401</v>
          </cell>
          <cell r="F1372">
            <v>1</v>
          </cell>
          <cell r="I1372">
            <v>46250</v>
          </cell>
          <cell r="J1372">
            <v>0</v>
          </cell>
          <cell r="K1372">
            <v>1</v>
          </cell>
          <cell r="L1372">
            <v>0</v>
          </cell>
          <cell r="M1372">
            <v>0</v>
          </cell>
        </row>
        <row r="1373">
          <cell r="C1373">
            <v>101</v>
          </cell>
          <cell r="F1373">
            <v>1</v>
          </cell>
          <cell r="I1373">
            <v>46250</v>
          </cell>
          <cell r="J1373">
            <v>0</v>
          </cell>
          <cell r="K1373">
            <v>500</v>
          </cell>
          <cell r="L1373">
            <v>0</v>
          </cell>
          <cell r="M1373">
            <v>0</v>
          </cell>
        </row>
        <row r="1374">
          <cell r="C1374">
            <v>369</v>
          </cell>
          <cell r="F1374">
            <v>1</v>
          </cell>
          <cell r="I1374">
            <v>46250</v>
          </cell>
          <cell r="J1374">
            <v>0</v>
          </cell>
          <cell r="K1374">
            <v>10</v>
          </cell>
          <cell r="L1374">
            <v>0</v>
          </cell>
          <cell r="M1374">
            <v>0</v>
          </cell>
        </row>
        <row r="1375">
          <cell r="C1375">
            <v>177</v>
          </cell>
          <cell r="F1375">
            <v>1</v>
          </cell>
          <cell r="I1375">
            <v>46250</v>
          </cell>
          <cell r="J1375">
            <v>0</v>
          </cell>
          <cell r="K1375">
            <v>350</v>
          </cell>
          <cell r="L1375">
            <v>0</v>
          </cell>
          <cell r="M1375">
            <v>0</v>
          </cell>
        </row>
        <row r="1376">
          <cell r="C1376">
            <v>293</v>
          </cell>
          <cell r="F1376">
            <v>1</v>
          </cell>
          <cell r="I1376">
            <v>46250</v>
          </cell>
          <cell r="J1376">
            <v>0</v>
          </cell>
          <cell r="K1376">
            <v>25</v>
          </cell>
          <cell r="L1376">
            <v>0</v>
          </cell>
          <cell r="M1376">
            <v>0</v>
          </cell>
        </row>
        <row r="1377">
          <cell r="C1377">
            <v>393</v>
          </cell>
          <cell r="F1377">
            <v>1</v>
          </cell>
          <cell r="I1377">
            <v>46250</v>
          </cell>
          <cell r="J1377">
            <v>0</v>
          </cell>
          <cell r="K1377">
            <v>1</v>
          </cell>
          <cell r="L1377">
            <v>0</v>
          </cell>
          <cell r="M1377">
            <v>0</v>
          </cell>
        </row>
        <row r="1378">
          <cell r="C1378">
            <v>294</v>
          </cell>
          <cell r="F1378">
            <v>1</v>
          </cell>
          <cell r="I1378">
            <v>46250</v>
          </cell>
          <cell r="J1378">
            <v>0</v>
          </cell>
          <cell r="K1378">
            <v>25</v>
          </cell>
          <cell r="L1378">
            <v>0</v>
          </cell>
          <cell r="M1378">
            <v>0</v>
          </cell>
        </row>
        <row r="1379">
          <cell r="C1379">
            <v>358</v>
          </cell>
          <cell r="F1379">
            <v>1</v>
          </cell>
          <cell r="I1379">
            <v>46250</v>
          </cell>
          <cell r="J1379">
            <v>0</v>
          </cell>
          <cell r="K1379">
            <v>1</v>
          </cell>
          <cell r="L1379">
            <v>0</v>
          </cell>
          <cell r="M1379">
            <v>0</v>
          </cell>
        </row>
        <row r="1380">
          <cell r="C1380">
            <v>142</v>
          </cell>
          <cell r="F1380">
            <v>1</v>
          </cell>
          <cell r="I1380">
            <v>46250</v>
          </cell>
          <cell r="J1380">
            <v>0</v>
          </cell>
          <cell r="K1380">
            <v>1</v>
          </cell>
          <cell r="L1380">
            <v>0</v>
          </cell>
          <cell r="M1380">
            <v>0</v>
          </cell>
        </row>
        <row r="1381">
          <cell r="C1381">
            <v>183</v>
          </cell>
          <cell r="F1381">
            <v>1</v>
          </cell>
          <cell r="I1381">
            <v>46250</v>
          </cell>
          <cell r="J1381">
            <v>0</v>
          </cell>
          <cell r="K1381">
            <v>12</v>
          </cell>
          <cell r="L1381">
            <v>0</v>
          </cell>
          <cell r="M1381">
            <v>0</v>
          </cell>
        </row>
        <row r="1382">
          <cell r="C1382">
            <v>195</v>
          </cell>
          <cell r="F1382">
            <v>1</v>
          </cell>
          <cell r="I1382">
            <v>46250</v>
          </cell>
          <cell r="J1382">
            <v>0</v>
          </cell>
          <cell r="K1382">
            <v>4</v>
          </cell>
          <cell r="L1382">
            <v>0</v>
          </cell>
          <cell r="M1382">
            <v>0</v>
          </cell>
        </row>
        <row r="1383">
          <cell r="C1383">
            <v>153</v>
          </cell>
          <cell r="F1383">
            <v>1</v>
          </cell>
          <cell r="I1383">
            <v>46250</v>
          </cell>
          <cell r="J1383">
            <v>0</v>
          </cell>
          <cell r="K1383">
            <v>1</v>
          </cell>
          <cell r="L1383">
            <v>0</v>
          </cell>
          <cell r="M1383">
            <v>0</v>
          </cell>
        </row>
        <row r="1384">
          <cell r="C1384">
            <v>144</v>
          </cell>
          <cell r="F1384">
            <v>1</v>
          </cell>
          <cell r="I1384">
            <v>46250</v>
          </cell>
          <cell r="J1384">
            <v>0</v>
          </cell>
          <cell r="K1384">
            <v>1</v>
          </cell>
          <cell r="L1384">
            <v>0</v>
          </cell>
          <cell r="M1384">
            <v>0</v>
          </cell>
        </row>
        <row r="1385">
          <cell r="C1385">
            <v>167</v>
          </cell>
          <cell r="F1385">
            <v>1</v>
          </cell>
          <cell r="I1385">
            <v>46250</v>
          </cell>
          <cell r="J1385">
            <v>0</v>
          </cell>
          <cell r="K1385">
            <v>1</v>
          </cell>
          <cell r="L1385">
            <v>0</v>
          </cell>
          <cell r="M1385">
            <v>0</v>
          </cell>
        </row>
        <row r="1386">
          <cell r="C1386">
            <v>337</v>
          </cell>
          <cell r="F1386">
            <v>1</v>
          </cell>
          <cell r="I1386">
            <v>46250</v>
          </cell>
          <cell r="J1386">
            <v>0</v>
          </cell>
          <cell r="K1386">
            <v>10</v>
          </cell>
          <cell r="L1386">
            <v>0</v>
          </cell>
          <cell r="M1386">
            <v>0</v>
          </cell>
        </row>
        <row r="1387">
          <cell r="C1387">
            <v>371</v>
          </cell>
          <cell r="F1387">
            <v>1</v>
          </cell>
          <cell r="I1387">
            <v>46250</v>
          </cell>
          <cell r="J1387">
            <v>0</v>
          </cell>
          <cell r="K1387">
            <v>1</v>
          </cell>
          <cell r="L1387">
            <v>0</v>
          </cell>
          <cell r="M1387">
            <v>0</v>
          </cell>
        </row>
        <row r="1388">
          <cell r="C1388">
            <v>374</v>
          </cell>
          <cell r="F1388">
            <v>1</v>
          </cell>
          <cell r="I1388">
            <v>46250</v>
          </cell>
          <cell r="J1388">
            <v>0</v>
          </cell>
          <cell r="K1388">
            <v>1</v>
          </cell>
          <cell r="L1388">
            <v>0</v>
          </cell>
          <cell r="M1388">
            <v>0</v>
          </cell>
        </row>
        <row r="1389">
          <cell r="C1389">
            <v>411</v>
          </cell>
          <cell r="F1389">
            <v>1</v>
          </cell>
          <cell r="I1389">
            <v>46250</v>
          </cell>
          <cell r="J1389">
            <v>0</v>
          </cell>
          <cell r="K1389">
            <v>1</v>
          </cell>
          <cell r="L1389">
            <v>0</v>
          </cell>
          <cell r="M1389">
            <v>0</v>
          </cell>
        </row>
        <row r="1390">
          <cell r="C1390">
            <v>408</v>
          </cell>
          <cell r="F1390">
            <v>1</v>
          </cell>
          <cell r="I1390">
            <v>46250</v>
          </cell>
          <cell r="J1390">
            <v>0</v>
          </cell>
          <cell r="K1390">
            <v>1</v>
          </cell>
          <cell r="L1390">
            <v>0</v>
          </cell>
          <cell r="M1390">
            <v>0</v>
          </cell>
        </row>
        <row r="1391">
          <cell r="C1391">
            <v>199</v>
          </cell>
          <cell r="F1391">
            <v>1</v>
          </cell>
          <cell r="I1391">
            <v>46250</v>
          </cell>
          <cell r="J1391">
            <v>0</v>
          </cell>
          <cell r="K1391">
            <v>4</v>
          </cell>
          <cell r="L1391">
            <v>0</v>
          </cell>
          <cell r="M1391">
            <v>0</v>
          </cell>
        </row>
        <row r="1392">
          <cell r="C1392">
            <v>386</v>
          </cell>
          <cell r="F1392">
            <v>1</v>
          </cell>
          <cell r="I1392">
            <v>46251</v>
          </cell>
          <cell r="J1392">
            <v>0</v>
          </cell>
          <cell r="K1392">
            <v>2</v>
          </cell>
          <cell r="L1392">
            <v>0</v>
          </cell>
          <cell r="M1392">
            <v>0</v>
          </cell>
        </row>
        <row r="1393">
          <cell r="C1393">
            <v>385</v>
          </cell>
          <cell r="F1393">
            <v>1</v>
          </cell>
          <cell r="I1393">
            <v>46251</v>
          </cell>
          <cell r="J1393">
            <v>0</v>
          </cell>
          <cell r="K1393">
            <v>1</v>
          </cell>
          <cell r="L1393">
            <v>0</v>
          </cell>
          <cell r="M1393">
            <v>0</v>
          </cell>
        </row>
        <row r="1394">
          <cell r="C1394">
            <v>397</v>
          </cell>
          <cell r="F1394">
            <v>1</v>
          </cell>
          <cell r="I1394">
            <v>46251</v>
          </cell>
          <cell r="J1394">
            <v>0</v>
          </cell>
          <cell r="K1394">
            <v>5</v>
          </cell>
          <cell r="L1394">
            <v>0</v>
          </cell>
          <cell r="M1394">
            <v>0</v>
          </cell>
        </row>
        <row r="1395">
          <cell r="C1395">
            <v>378</v>
          </cell>
          <cell r="F1395">
            <v>1</v>
          </cell>
          <cell r="I1395">
            <v>46251</v>
          </cell>
          <cell r="J1395">
            <v>0</v>
          </cell>
          <cell r="K1395">
            <v>1</v>
          </cell>
          <cell r="L1395">
            <v>0</v>
          </cell>
          <cell r="M1395">
            <v>0</v>
          </cell>
        </row>
        <row r="1396">
          <cell r="C1396">
            <v>77</v>
          </cell>
          <cell r="F1396">
            <v>1</v>
          </cell>
          <cell r="I1396">
            <v>46251</v>
          </cell>
          <cell r="J1396">
            <v>0</v>
          </cell>
          <cell r="K1396">
            <v>5</v>
          </cell>
          <cell r="L1396">
            <v>0</v>
          </cell>
          <cell r="M1396">
            <v>0</v>
          </cell>
        </row>
        <row r="1397">
          <cell r="C1397">
            <v>377</v>
          </cell>
          <cell r="F1397">
            <v>1</v>
          </cell>
          <cell r="I1397">
            <v>46251</v>
          </cell>
          <cell r="J1397">
            <v>0</v>
          </cell>
          <cell r="K1397">
            <v>15</v>
          </cell>
          <cell r="L1397">
            <v>0</v>
          </cell>
          <cell r="M1397">
            <v>0</v>
          </cell>
        </row>
        <row r="1398">
          <cell r="C1398">
            <v>76</v>
          </cell>
          <cell r="F1398">
            <v>1</v>
          </cell>
          <cell r="I1398">
            <v>46251</v>
          </cell>
          <cell r="J1398">
            <v>0</v>
          </cell>
          <cell r="K1398">
            <v>1</v>
          </cell>
          <cell r="L1398">
            <v>0</v>
          </cell>
          <cell r="M1398">
            <v>0</v>
          </cell>
        </row>
        <row r="1399">
          <cell r="C1399">
            <v>276</v>
          </cell>
          <cell r="F1399">
            <v>1</v>
          </cell>
          <cell r="I1399">
            <v>46251</v>
          </cell>
          <cell r="J1399">
            <v>0</v>
          </cell>
          <cell r="K1399">
            <v>2</v>
          </cell>
          <cell r="L1399">
            <v>0</v>
          </cell>
          <cell r="M1399">
            <v>0</v>
          </cell>
        </row>
        <row r="1400">
          <cell r="C1400">
            <v>241</v>
          </cell>
          <cell r="F1400">
            <v>1</v>
          </cell>
          <cell r="I1400">
            <v>46251</v>
          </cell>
          <cell r="J1400">
            <v>0</v>
          </cell>
          <cell r="K1400">
            <v>1</v>
          </cell>
          <cell r="L1400">
            <v>0</v>
          </cell>
          <cell r="M1400">
            <v>0</v>
          </cell>
        </row>
        <row r="1401">
          <cell r="C1401">
            <v>108</v>
          </cell>
          <cell r="F1401">
            <v>1</v>
          </cell>
          <cell r="I1401">
            <v>46251</v>
          </cell>
          <cell r="J1401">
            <v>0</v>
          </cell>
          <cell r="K1401">
            <v>3</v>
          </cell>
          <cell r="L1401">
            <v>0</v>
          </cell>
          <cell r="M1401">
            <v>0</v>
          </cell>
        </row>
        <row r="1402">
          <cell r="C1402">
            <v>401</v>
          </cell>
          <cell r="F1402">
            <v>1</v>
          </cell>
          <cell r="I1402">
            <v>46251</v>
          </cell>
          <cell r="J1402">
            <v>0</v>
          </cell>
          <cell r="K1402">
            <v>1</v>
          </cell>
          <cell r="L1402">
            <v>0</v>
          </cell>
          <cell r="M1402">
            <v>0</v>
          </cell>
        </row>
        <row r="1403">
          <cell r="C1403">
            <v>101</v>
          </cell>
          <cell r="F1403">
            <v>1</v>
          </cell>
          <cell r="I1403">
            <v>46251</v>
          </cell>
          <cell r="J1403">
            <v>0</v>
          </cell>
          <cell r="K1403">
            <v>1500</v>
          </cell>
          <cell r="L1403">
            <v>0</v>
          </cell>
          <cell r="M1403">
            <v>0</v>
          </cell>
        </row>
        <row r="1404">
          <cell r="C1404">
            <v>369</v>
          </cell>
          <cell r="F1404">
            <v>1</v>
          </cell>
          <cell r="I1404">
            <v>46251</v>
          </cell>
          <cell r="J1404">
            <v>0</v>
          </cell>
          <cell r="K1404">
            <v>10</v>
          </cell>
          <cell r="L1404">
            <v>0</v>
          </cell>
          <cell r="M1404">
            <v>0</v>
          </cell>
        </row>
        <row r="1405">
          <cell r="C1405">
            <v>177</v>
          </cell>
          <cell r="F1405">
            <v>1</v>
          </cell>
          <cell r="I1405">
            <v>46251</v>
          </cell>
          <cell r="J1405">
            <v>0</v>
          </cell>
          <cell r="K1405">
            <v>350</v>
          </cell>
          <cell r="L1405">
            <v>0</v>
          </cell>
          <cell r="M1405">
            <v>0</v>
          </cell>
        </row>
        <row r="1406">
          <cell r="C1406">
            <v>195</v>
          </cell>
          <cell r="F1406">
            <v>1</v>
          </cell>
          <cell r="I1406">
            <v>46251</v>
          </cell>
          <cell r="J1406">
            <v>0</v>
          </cell>
          <cell r="K1406">
            <v>4</v>
          </cell>
          <cell r="L1406">
            <v>0</v>
          </cell>
          <cell r="M1406">
            <v>0</v>
          </cell>
        </row>
        <row r="1407">
          <cell r="C1407">
            <v>197</v>
          </cell>
          <cell r="F1407">
            <v>1</v>
          </cell>
          <cell r="I1407">
            <v>46251</v>
          </cell>
          <cell r="J1407">
            <v>0</v>
          </cell>
          <cell r="K1407">
            <v>4</v>
          </cell>
          <cell r="L1407">
            <v>0</v>
          </cell>
          <cell r="M1407">
            <v>0</v>
          </cell>
        </row>
        <row r="1408">
          <cell r="C1408">
            <v>178</v>
          </cell>
          <cell r="F1408">
            <v>1</v>
          </cell>
          <cell r="I1408">
            <v>46251</v>
          </cell>
          <cell r="J1408">
            <v>0</v>
          </cell>
          <cell r="K1408">
            <v>200</v>
          </cell>
          <cell r="L1408">
            <v>0</v>
          </cell>
          <cell r="M1408">
            <v>0</v>
          </cell>
        </row>
        <row r="1409">
          <cell r="C1409">
            <v>415</v>
          </cell>
          <cell r="F1409">
            <v>1</v>
          </cell>
          <cell r="I1409">
            <v>46251</v>
          </cell>
          <cell r="J1409">
            <v>0</v>
          </cell>
          <cell r="K1409">
            <v>1</v>
          </cell>
          <cell r="L1409">
            <v>0</v>
          </cell>
          <cell r="M1409">
            <v>0</v>
          </cell>
        </row>
        <row r="1410">
          <cell r="C1410">
            <v>293</v>
          </cell>
          <cell r="F1410">
            <v>1</v>
          </cell>
          <cell r="I1410">
            <v>46251</v>
          </cell>
          <cell r="J1410">
            <v>0</v>
          </cell>
          <cell r="K1410">
            <v>30</v>
          </cell>
          <cell r="L1410">
            <v>0</v>
          </cell>
          <cell r="M1410">
            <v>0</v>
          </cell>
        </row>
        <row r="1411">
          <cell r="C1411">
            <v>305</v>
          </cell>
          <cell r="F1411">
            <v>1</v>
          </cell>
          <cell r="I1411">
            <v>46251</v>
          </cell>
          <cell r="J1411">
            <v>0</v>
          </cell>
          <cell r="K1411">
            <v>250</v>
          </cell>
          <cell r="L1411">
            <v>0</v>
          </cell>
          <cell r="M1411">
            <v>0</v>
          </cell>
        </row>
        <row r="1412">
          <cell r="C1412">
            <v>153</v>
          </cell>
          <cell r="F1412">
            <v>1</v>
          </cell>
          <cell r="I1412">
            <v>46251</v>
          </cell>
          <cell r="J1412">
            <v>0</v>
          </cell>
          <cell r="K1412">
            <v>1</v>
          </cell>
          <cell r="L1412">
            <v>0</v>
          </cell>
          <cell r="M1412">
            <v>0</v>
          </cell>
        </row>
        <row r="1413">
          <cell r="C1413">
            <v>384</v>
          </cell>
          <cell r="F1413">
            <v>1</v>
          </cell>
          <cell r="I1413">
            <v>46251</v>
          </cell>
          <cell r="J1413">
            <v>0</v>
          </cell>
          <cell r="K1413">
            <v>1</v>
          </cell>
          <cell r="L1413">
            <v>0</v>
          </cell>
          <cell r="M1413">
            <v>0</v>
          </cell>
        </row>
        <row r="1414">
          <cell r="C1414">
            <v>422</v>
          </cell>
          <cell r="F1414">
            <v>1</v>
          </cell>
          <cell r="I1414">
            <v>46251</v>
          </cell>
          <cell r="J1414">
            <v>0</v>
          </cell>
          <cell r="K1414">
            <v>3</v>
          </cell>
          <cell r="L1414">
            <v>0</v>
          </cell>
          <cell r="M1414">
            <v>0</v>
          </cell>
        </row>
        <row r="1415">
          <cell r="C1415">
            <v>50</v>
          </cell>
          <cell r="F1415">
            <v>1</v>
          </cell>
          <cell r="I1415">
            <v>46251</v>
          </cell>
          <cell r="J1415">
            <v>0</v>
          </cell>
          <cell r="K1415">
            <v>1</v>
          </cell>
          <cell r="L1415">
            <v>0</v>
          </cell>
          <cell r="M1415">
            <v>0</v>
          </cell>
        </row>
        <row r="1416">
          <cell r="C1416">
            <v>374</v>
          </cell>
          <cell r="F1416">
            <v>1</v>
          </cell>
          <cell r="I1416">
            <v>46251</v>
          </cell>
          <cell r="J1416">
            <v>0</v>
          </cell>
          <cell r="K1416">
            <v>1</v>
          </cell>
          <cell r="L1416">
            <v>0</v>
          </cell>
          <cell r="M1416">
            <v>0</v>
          </cell>
        </row>
        <row r="1417">
          <cell r="C1417">
            <v>219</v>
          </cell>
          <cell r="F1417">
            <v>1</v>
          </cell>
          <cell r="I1417">
            <v>46251</v>
          </cell>
          <cell r="J1417">
            <v>0</v>
          </cell>
          <cell r="K1417">
            <v>5</v>
          </cell>
          <cell r="L1417">
            <v>0</v>
          </cell>
          <cell r="M1417">
            <v>0</v>
          </cell>
        </row>
        <row r="1418">
          <cell r="C1418">
            <v>144</v>
          </cell>
          <cell r="F1418">
            <v>1</v>
          </cell>
          <cell r="I1418">
            <v>46251</v>
          </cell>
          <cell r="J1418">
            <v>0</v>
          </cell>
          <cell r="K1418">
            <v>1</v>
          </cell>
          <cell r="L1418">
            <v>0</v>
          </cell>
          <cell r="M1418">
            <v>0</v>
          </cell>
        </row>
        <row r="1419">
          <cell r="C1419">
            <v>54</v>
          </cell>
          <cell r="F1419">
            <v>1</v>
          </cell>
          <cell r="I1419">
            <v>46251</v>
          </cell>
          <cell r="J1419">
            <v>0</v>
          </cell>
          <cell r="K1419">
            <v>1</v>
          </cell>
          <cell r="L1419">
            <v>0</v>
          </cell>
          <cell r="M1419">
            <v>0</v>
          </cell>
        </row>
        <row r="1420">
          <cell r="C1420">
            <v>63</v>
          </cell>
          <cell r="F1420">
            <v>1</v>
          </cell>
          <cell r="I1420">
            <v>46251</v>
          </cell>
          <cell r="J1420">
            <v>0</v>
          </cell>
          <cell r="K1420">
            <v>1</v>
          </cell>
          <cell r="L1420">
            <v>0</v>
          </cell>
          <cell r="M1420">
            <v>0</v>
          </cell>
        </row>
        <row r="1421">
          <cell r="C1421">
            <v>32</v>
          </cell>
          <cell r="F1421">
            <v>1</v>
          </cell>
          <cell r="I1421">
            <v>46251</v>
          </cell>
          <cell r="J1421">
            <v>0</v>
          </cell>
          <cell r="K1421">
            <v>1</v>
          </cell>
          <cell r="L1421">
            <v>0</v>
          </cell>
          <cell r="M1421">
            <v>0</v>
          </cell>
        </row>
        <row r="1422">
          <cell r="C1422">
            <v>199</v>
          </cell>
          <cell r="F1422">
            <v>1</v>
          </cell>
          <cell r="I1422">
            <v>46251</v>
          </cell>
          <cell r="J1422">
            <v>0</v>
          </cell>
          <cell r="K1422">
            <v>4</v>
          </cell>
          <cell r="L1422">
            <v>0</v>
          </cell>
          <cell r="M1422">
            <v>0</v>
          </cell>
        </row>
        <row r="1423">
          <cell r="C1423">
            <v>184</v>
          </cell>
          <cell r="F1423">
            <v>1</v>
          </cell>
          <cell r="I1423">
            <v>46251</v>
          </cell>
          <cell r="J1423">
            <v>0</v>
          </cell>
          <cell r="K1423">
            <v>12</v>
          </cell>
          <cell r="L1423">
            <v>0</v>
          </cell>
          <cell r="M1423">
            <v>0</v>
          </cell>
        </row>
        <row r="1424">
          <cell r="C1424">
            <v>433</v>
          </cell>
          <cell r="F1424">
            <v>1</v>
          </cell>
          <cell r="I1424">
            <v>46251</v>
          </cell>
          <cell r="J1424">
            <v>0</v>
          </cell>
          <cell r="K1424">
            <v>5</v>
          </cell>
          <cell r="L1424">
            <v>0</v>
          </cell>
          <cell r="M1424">
            <v>0</v>
          </cell>
        </row>
        <row r="1425">
          <cell r="C1425">
            <v>195</v>
          </cell>
          <cell r="F1425">
            <v>1</v>
          </cell>
          <cell r="I1425">
            <v>46252</v>
          </cell>
          <cell r="J1425">
            <v>0</v>
          </cell>
          <cell r="K1425">
            <v>4</v>
          </cell>
          <cell r="L1425">
            <v>0</v>
          </cell>
          <cell r="M1425">
            <v>0</v>
          </cell>
        </row>
        <row r="1426">
          <cell r="C1426">
            <v>187</v>
          </cell>
          <cell r="F1426">
            <v>1</v>
          </cell>
          <cell r="I1426">
            <v>46252</v>
          </cell>
          <cell r="J1426">
            <v>0</v>
          </cell>
          <cell r="K1426">
            <v>4</v>
          </cell>
          <cell r="L1426">
            <v>0</v>
          </cell>
          <cell r="M1426">
            <v>0</v>
          </cell>
        </row>
        <row r="1427">
          <cell r="C1427">
            <v>183</v>
          </cell>
          <cell r="F1427">
            <v>1</v>
          </cell>
          <cell r="I1427">
            <v>46252</v>
          </cell>
          <cell r="J1427">
            <v>0</v>
          </cell>
          <cell r="K1427">
            <v>12</v>
          </cell>
          <cell r="L1427">
            <v>0</v>
          </cell>
          <cell r="M1427">
            <v>0</v>
          </cell>
        </row>
        <row r="1428">
          <cell r="C1428">
            <v>177</v>
          </cell>
          <cell r="F1428">
            <v>1</v>
          </cell>
          <cell r="I1428">
            <v>46252</v>
          </cell>
          <cell r="J1428">
            <v>0</v>
          </cell>
          <cell r="K1428">
            <v>250</v>
          </cell>
          <cell r="L1428">
            <v>0</v>
          </cell>
          <cell r="M1428">
            <v>0</v>
          </cell>
        </row>
        <row r="1429">
          <cell r="C1429">
            <v>294</v>
          </cell>
          <cell r="F1429">
            <v>1</v>
          </cell>
          <cell r="I1429">
            <v>46252</v>
          </cell>
          <cell r="J1429">
            <v>0</v>
          </cell>
          <cell r="K1429">
            <v>20</v>
          </cell>
          <cell r="L1429">
            <v>0</v>
          </cell>
          <cell r="M1429">
            <v>0</v>
          </cell>
        </row>
        <row r="1430">
          <cell r="C1430">
            <v>305</v>
          </cell>
          <cell r="F1430">
            <v>1</v>
          </cell>
          <cell r="I1430">
            <v>46252</v>
          </cell>
          <cell r="J1430">
            <v>0</v>
          </cell>
          <cell r="K1430">
            <v>400</v>
          </cell>
          <cell r="L1430">
            <v>0</v>
          </cell>
          <cell r="M1430">
            <v>0</v>
          </cell>
        </row>
        <row r="1431">
          <cell r="C1431">
            <v>22</v>
          </cell>
          <cell r="F1431">
            <v>1</v>
          </cell>
          <cell r="I1431">
            <v>46252</v>
          </cell>
          <cell r="J1431">
            <v>0</v>
          </cell>
          <cell r="K1431">
            <v>4</v>
          </cell>
          <cell r="L1431">
            <v>0</v>
          </cell>
          <cell r="M1431">
            <v>0</v>
          </cell>
        </row>
        <row r="1432">
          <cell r="C1432">
            <v>26</v>
          </cell>
          <cell r="F1432">
            <v>1</v>
          </cell>
          <cell r="I1432">
            <v>46252</v>
          </cell>
          <cell r="J1432">
            <v>0</v>
          </cell>
          <cell r="K1432">
            <v>1</v>
          </cell>
          <cell r="L1432">
            <v>0</v>
          </cell>
          <cell r="M1432">
            <v>0</v>
          </cell>
        </row>
        <row r="1433">
          <cell r="C1433">
            <v>34</v>
          </cell>
          <cell r="F1433">
            <v>1</v>
          </cell>
          <cell r="I1433">
            <v>46252</v>
          </cell>
          <cell r="J1433">
            <v>0</v>
          </cell>
          <cell r="K1433">
            <v>1</v>
          </cell>
          <cell r="L1433">
            <v>0</v>
          </cell>
          <cell r="M1433">
            <v>0</v>
          </cell>
        </row>
        <row r="1434">
          <cell r="C1434">
            <v>22</v>
          </cell>
          <cell r="F1434">
            <v>1</v>
          </cell>
          <cell r="I1434">
            <v>46252</v>
          </cell>
          <cell r="J1434">
            <v>0</v>
          </cell>
          <cell r="K1434">
            <v>4</v>
          </cell>
          <cell r="L1434">
            <v>0</v>
          </cell>
          <cell r="M1434">
            <v>0</v>
          </cell>
        </row>
        <row r="1435">
          <cell r="C1435">
            <v>243</v>
          </cell>
          <cell r="F1435">
            <v>1</v>
          </cell>
          <cell r="I1435">
            <v>46252</v>
          </cell>
          <cell r="J1435">
            <v>0</v>
          </cell>
          <cell r="K1435">
            <v>1</v>
          </cell>
          <cell r="L1435">
            <v>0</v>
          </cell>
          <cell r="M1435">
            <v>0</v>
          </cell>
        </row>
        <row r="1436">
          <cell r="C1436">
            <v>433</v>
          </cell>
          <cell r="F1436">
            <v>1</v>
          </cell>
          <cell r="I1436">
            <v>46252</v>
          </cell>
          <cell r="J1436">
            <v>0</v>
          </cell>
          <cell r="K1436">
            <v>15</v>
          </cell>
          <cell r="L1436">
            <v>0</v>
          </cell>
          <cell r="M1436">
            <v>0</v>
          </cell>
        </row>
        <row r="1437">
          <cell r="C1437">
            <v>52</v>
          </cell>
          <cell r="F1437">
            <v>1</v>
          </cell>
          <cell r="I1437">
            <v>46252</v>
          </cell>
          <cell r="J1437">
            <v>0</v>
          </cell>
          <cell r="K1437">
            <v>1</v>
          </cell>
          <cell r="L1437">
            <v>0</v>
          </cell>
          <cell r="M1437">
            <v>0</v>
          </cell>
        </row>
        <row r="1438">
          <cell r="C1438">
            <v>9</v>
          </cell>
          <cell r="F1438">
            <v>1</v>
          </cell>
          <cell r="I1438">
            <v>46252</v>
          </cell>
          <cell r="J1438">
            <v>0</v>
          </cell>
          <cell r="K1438">
            <v>12</v>
          </cell>
          <cell r="L1438">
            <v>0</v>
          </cell>
          <cell r="M1438">
            <v>0</v>
          </cell>
        </row>
        <row r="1439">
          <cell r="C1439">
            <v>414</v>
          </cell>
          <cell r="F1439">
            <v>1</v>
          </cell>
          <cell r="I1439">
            <v>46252</v>
          </cell>
          <cell r="J1439">
            <v>0</v>
          </cell>
          <cell r="K1439">
            <v>1</v>
          </cell>
          <cell r="L1439">
            <v>0</v>
          </cell>
          <cell r="M1439">
            <v>0</v>
          </cell>
        </row>
        <row r="1440">
          <cell r="C1440">
            <v>411</v>
          </cell>
          <cell r="F1440">
            <v>1</v>
          </cell>
          <cell r="I1440">
            <v>46252</v>
          </cell>
          <cell r="J1440">
            <v>0</v>
          </cell>
          <cell r="K1440">
            <v>1</v>
          </cell>
          <cell r="L1440">
            <v>0</v>
          </cell>
          <cell r="M1440">
            <v>0</v>
          </cell>
        </row>
        <row r="1441">
          <cell r="C1441">
            <v>409</v>
          </cell>
          <cell r="F1441">
            <v>1</v>
          </cell>
          <cell r="I1441">
            <v>46252</v>
          </cell>
          <cell r="J1441">
            <v>0</v>
          </cell>
          <cell r="K1441">
            <v>1</v>
          </cell>
          <cell r="L1441">
            <v>0</v>
          </cell>
          <cell r="M1441">
            <v>0</v>
          </cell>
        </row>
        <row r="1442">
          <cell r="C1442">
            <v>402</v>
          </cell>
          <cell r="F1442">
            <v>1</v>
          </cell>
          <cell r="I1442">
            <v>46252</v>
          </cell>
          <cell r="J1442">
            <v>0</v>
          </cell>
          <cell r="K1442">
            <v>5</v>
          </cell>
          <cell r="L1442">
            <v>0</v>
          </cell>
          <cell r="M1442">
            <v>0</v>
          </cell>
        </row>
        <row r="1443">
          <cell r="C1443">
            <v>428</v>
          </cell>
          <cell r="F1443">
            <v>1</v>
          </cell>
          <cell r="I1443">
            <v>46252</v>
          </cell>
          <cell r="J1443">
            <v>0</v>
          </cell>
          <cell r="K1443">
            <v>2</v>
          </cell>
          <cell r="L1443">
            <v>0</v>
          </cell>
          <cell r="M1443">
            <v>0</v>
          </cell>
        </row>
        <row r="1444">
          <cell r="C1444">
            <v>429</v>
          </cell>
          <cell r="F1444">
            <v>1</v>
          </cell>
          <cell r="I1444">
            <v>46252</v>
          </cell>
          <cell r="J1444">
            <v>0</v>
          </cell>
          <cell r="K1444">
            <v>1</v>
          </cell>
          <cell r="L1444">
            <v>0</v>
          </cell>
          <cell r="M1444">
            <v>0</v>
          </cell>
        </row>
        <row r="1445">
          <cell r="C1445">
            <v>421</v>
          </cell>
          <cell r="F1445">
            <v>1</v>
          </cell>
          <cell r="I1445">
            <v>46252</v>
          </cell>
          <cell r="J1445">
            <v>0</v>
          </cell>
          <cell r="K1445">
            <v>2</v>
          </cell>
          <cell r="L1445">
            <v>0</v>
          </cell>
          <cell r="M1445">
            <v>0</v>
          </cell>
        </row>
        <row r="1446">
          <cell r="C1446">
            <v>371</v>
          </cell>
          <cell r="F1446">
            <v>1</v>
          </cell>
          <cell r="I1446">
            <v>46252</v>
          </cell>
          <cell r="J1446">
            <v>0</v>
          </cell>
          <cell r="K1446">
            <v>1</v>
          </cell>
          <cell r="L1446">
            <v>0</v>
          </cell>
          <cell r="M1446">
            <v>0</v>
          </cell>
        </row>
        <row r="1447">
          <cell r="C1447">
            <v>50</v>
          </cell>
          <cell r="F1447">
            <v>1</v>
          </cell>
          <cell r="I1447">
            <v>46252</v>
          </cell>
          <cell r="J1447">
            <v>0</v>
          </cell>
          <cell r="K1447">
            <v>2</v>
          </cell>
          <cell r="L1447">
            <v>0</v>
          </cell>
          <cell r="M1447">
            <v>0</v>
          </cell>
        </row>
        <row r="1448">
          <cell r="C1448">
            <v>343</v>
          </cell>
          <cell r="F1448">
            <v>1</v>
          </cell>
          <cell r="I1448">
            <v>46252</v>
          </cell>
          <cell r="J1448">
            <v>0</v>
          </cell>
          <cell r="K1448">
            <v>2</v>
          </cell>
          <cell r="L1448">
            <v>0</v>
          </cell>
          <cell r="M1448">
            <v>0</v>
          </cell>
        </row>
        <row r="1449">
          <cell r="C1449">
            <v>349</v>
          </cell>
          <cell r="F1449">
            <v>1</v>
          </cell>
          <cell r="I1449">
            <v>46252</v>
          </cell>
          <cell r="J1449">
            <v>0</v>
          </cell>
          <cell r="K1449">
            <v>1</v>
          </cell>
          <cell r="L1449">
            <v>0</v>
          </cell>
          <cell r="M1449">
            <v>0</v>
          </cell>
        </row>
        <row r="1450">
          <cell r="C1450">
            <v>241</v>
          </cell>
          <cell r="F1450">
            <v>1</v>
          </cell>
          <cell r="I1450">
            <v>46252</v>
          </cell>
          <cell r="J1450">
            <v>0</v>
          </cell>
          <cell r="K1450">
            <v>2</v>
          </cell>
          <cell r="L1450">
            <v>0</v>
          </cell>
          <cell r="M1450">
            <v>0</v>
          </cell>
        </row>
        <row r="1451">
          <cell r="C1451">
            <v>184</v>
          </cell>
          <cell r="F1451">
            <v>1</v>
          </cell>
          <cell r="I1451">
            <v>46252</v>
          </cell>
          <cell r="J1451">
            <v>0</v>
          </cell>
          <cell r="K1451">
            <v>12</v>
          </cell>
          <cell r="L1451">
            <v>0</v>
          </cell>
          <cell r="M1451">
            <v>0</v>
          </cell>
        </row>
        <row r="1452">
          <cell r="C1452">
            <v>358</v>
          </cell>
          <cell r="F1452">
            <v>1</v>
          </cell>
          <cell r="I1452">
            <v>46252</v>
          </cell>
          <cell r="J1452">
            <v>0</v>
          </cell>
          <cell r="K1452">
            <v>1</v>
          </cell>
          <cell r="L1452">
            <v>0</v>
          </cell>
          <cell r="M1452">
            <v>0</v>
          </cell>
        </row>
        <row r="1453">
          <cell r="C1453">
            <v>293</v>
          </cell>
          <cell r="F1453">
            <v>1</v>
          </cell>
          <cell r="I1453">
            <v>46253</v>
          </cell>
          <cell r="J1453">
            <v>0</v>
          </cell>
          <cell r="K1453">
            <v>20</v>
          </cell>
          <cell r="L1453">
            <v>0</v>
          </cell>
          <cell r="M1453">
            <v>0</v>
          </cell>
        </row>
        <row r="1454">
          <cell r="C1454">
            <v>177</v>
          </cell>
          <cell r="F1454">
            <v>1</v>
          </cell>
          <cell r="I1454">
            <v>46253</v>
          </cell>
          <cell r="J1454">
            <v>0</v>
          </cell>
          <cell r="K1454">
            <v>50</v>
          </cell>
          <cell r="L1454">
            <v>0</v>
          </cell>
          <cell r="M1454">
            <v>0</v>
          </cell>
        </row>
        <row r="1455">
          <cell r="C1455">
            <v>195</v>
          </cell>
          <cell r="F1455">
            <v>1</v>
          </cell>
          <cell r="I1455">
            <v>46253</v>
          </cell>
          <cell r="J1455">
            <v>0</v>
          </cell>
          <cell r="K1455">
            <v>8</v>
          </cell>
          <cell r="L1455">
            <v>0</v>
          </cell>
          <cell r="M1455">
            <v>0</v>
          </cell>
        </row>
        <row r="1456">
          <cell r="C1456">
            <v>187</v>
          </cell>
          <cell r="F1456">
            <v>1</v>
          </cell>
          <cell r="I1456">
            <v>46253</v>
          </cell>
          <cell r="J1456">
            <v>0</v>
          </cell>
          <cell r="K1456">
            <v>4</v>
          </cell>
          <cell r="L1456">
            <v>0</v>
          </cell>
          <cell r="M1456">
            <v>0</v>
          </cell>
        </row>
        <row r="1457">
          <cell r="C1457">
            <v>305</v>
          </cell>
          <cell r="F1457">
            <v>1</v>
          </cell>
          <cell r="I1457">
            <v>46253</v>
          </cell>
          <cell r="J1457">
            <v>0</v>
          </cell>
          <cell r="K1457">
            <v>100</v>
          </cell>
          <cell r="L1457">
            <v>0</v>
          </cell>
          <cell r="M1457">
            <v>0</v>
          </cell>
        </row>
        <row r="1458">
          <cell r="C1458">
            <v>358</v>
          </cell>
          <cell r="F1458">
            <v>1</v>
          </cell>
          <cell r="I1458">
            <v>46253</v>
          </cell>
          <cell r="J1458">
            <v>0</v>
          </cell>
          <cell r="K1458">
            <v>2</v>
          </cell>
          <cell r="L1458">
            <v>0</v>
          </cell>
          <cell r="M1458">
            <v>0</v>
          </cell>
        </row>
        <row r="1459">
          <cell r="C1459">
            <v>199</v>
          </cell>
          <cell r="F1459">
            <v>1</v>
          </cell>
          <cell r="I1459">
            <v>46253</v>
          </cell>
          <cell r="J1459">
            <v>0</v>
          </cell>
          <cell r="K1459">
            <v>4</v>
          </cell>
          <cell r="L1459">
            <v>0</v>
          </cell>
          <cell r="M1459">
            <v>0</v>
          </cell>
        </row>
        <row r="1460">
          <cell r="C1460">
            <v>363</v>
          </cell>
          <cell r="F1460">
            <v>1</v>
          </cell>
          <cell r="I1460">
            <v>46253</v>
          </cell>
          <cell r="J1460">
            <v>0</v>
          </cell>
          <cell r="K1460">
            <v>1</v>
          </cell>
          <cell r="L1460">
            <v>0</v>
          </cell>
          <cell r="M1460">
            <v>0</v>
          </cell>
        </row>
        <row r="1461">
          <cell r="C1461">
            <v>364</v>
          </cell>
          <cell r="F1461">
            <v>1</v>
          </cell>
          <cell r="I1461">
            <v>46253</v>
          </cell>
          <cell r="J1461">
            <v>0</v>
          </cell>
          <cell r="K1461">
            <v>1</v>
          </cell>
          <cell r="L1461">
            <v>0</v>
          </cell>
          <cell r="M1461">
            <v>0</v>
          </cell>
        </row>
        <row r="1462">
          <cell r="C1462">
            <v>369</v>
          </cell>
          <cell r="F1462">
            <v>1</v>
          </cell>
          <cell r="I1462">
            <v>46253</v>
          </cell>
          <cell r="J1462">
            <v>0</v>
          </cell>
          <cell r="K1462">
            <v>1</v>
          </cell>
          <cell r="L1462">
            <v>0</v>
          </cell>
          <cell r="M1462">
            <v>0</v>
          </cell>
        </row>
        <row r="1463">
          <cell r="C1463">
            <v>399</v>
          </cell>
          <cell r="F1463">
            <v>1</v>
          </cell>
          <cell r="I1463">
            <v>46253</v>
          </cell>
          <cell r="J1463">
            <v>0</v>
          </cell>
          <cell r="K1463">
            <v>3</v>
          </cell>
          <cell r="L1463">
            <v>0</v>
          </cell>
          <cell r="M1463">
            <v>0</v>
          </cell>
        </row>
        <row r="1464">
          <cell r="C1464">
            <v>183</v>
          </cell>
          <cell r="F1464">
            <v>1</v>
          </cell>
          <cell r="I1464">
            <v>46253</v>
          </cell>
          <cell r="J1464">
            <v>0</v>
          </cell>
          <cell r="K1464">
            <v>12</v>
          </cell>
          <cell r="L1464">
            <v>0</v>
          </cell>
          <cell r="M1464">
            <v>0</v>
          </cell>
        </row>
        <row r="1465">
          <cell r="C1465">
            <v>425</v>
          </cell>
          <cell r="F1465">
            <v>1</v>
          </cell>
          <cell r="I1465">
            <v>46253</v>
          </cell>
          <cell r="J1465">
            <v>0</v>
          </cell>
          <cell r="K1465">
            <v>5</v>
          </cell>
          <cell r="L1465">
            <v>0</v>
          </cell>
          <cell r="M1465">
            <v>0</v>
          </cell>
        </row>
        <row r="1466">
          <cell r="C1466">
            <v>101</v>
          </cell>
          <cell r="F1466">
            <v>1</v>
          </cell>
          <cell r="I1466">
            <v>46253</v>
          </cell>
          <cell r="J1466">
            <v>0</v>
          </cell>
          <cell r="K1466">
            <v>1000</v>
          </cell>
          <cell r="L1466">
            <v>0</v>
          </cell>
          <cell r="M1466">
            <v>0</v>
          </cell>
        </row>
        <row r="1467">
          <cell r="C1467">
            <v>386</v>
          </cell>
          <cell r="F1467">
            <v>1</v>
          </cell>
          <cell r="I1467">
            <v>46253</v>
          </cell>
          <cell r="J1467">
            <v>0</v>
          </cell>
          <cell r="K1467">
            <v>1</v>
          </cell>
          <cell r="L1467">
            <v>0</v>
          </cell>
          <cell r="M1467">
            <v>0</v>
          </cell>
        </row>
        <row r="1468">
          <cell r="C1468">
            <v>384</v>
          </cell>
          <cell r="F1468">
            <v>1</v>
          </cell>
          <cell r="I1468">
            <v>46253</v>
          </cell>
          <cell r="J1468">
            <v>0</v>
          </cell>
          <cell r="K1468">
            <v>1</v>
          </cell>
          <cell r="L1468">
            <v>0</v>
          </cell>
          <cell r="M1468">
            <v>0</v>
          </cell>
        </row>
        <row r="1469">
          <cell r="C1469">
            <v>410</v>
          </cell>
          <cell r="F1469">
            <v>1</v>
          </cell>
          <cell r="I1469">
            <v>46253</v>
          </cell>
          <cell r="J1469">
            <v>0</v>
          </cell>
          <cell r="K1469">
            <v>1</v>
          </cell>
          <cell r="L1469">
            <v>0</v>
          </cell>
          <cell r="M1469">
            <v>0</v>
          </cell>
        </row>
        <row r="1470">
          <cell r="C1470">
            <v>241</v>
          </cell>
          <cell r="F1470">
            <v>1</v>
          </cell>
          <cell r="I1470">
            <v>46253</v>
          </cell>
          <cell r="J1470">
            <v>0</v>
          </cell>
          <cell r="K1470">
            <v>1</v>
          </cell>
          <cell r="L1470">
            <v>0</v>
          </cell>
          <cell r="M1470">
            <v>0</v>
          </cell>
        </row>
        <row r="1471">
          <cell r="C1471">
            <v>108</v>
          </cell>
          <cell r="F1471">
            <v>1</v>
          </cell>
          <cell r="I1471">
            <v>46253</v>
          </cell>
          <cell r="J1471">
            <v>0</v>
          </cell>
          <cell r="K1471">
            <v>1</v>
          </cell>
          <cell r="L1471">
            <v>0</v>
          </cell>
          <cell r="M1471">
            <v>0</v>
          </cell>
        </row>
        <row r="1472">
          <cell r="C1472">
            <v>414</v>
          </cell>
          <cell r="F1472">
            <v>1</v>
          </cell>
          <cell r="I1472">
            <v>46253</v>
          </cell>
          <cell r="J1472">
            <v>0</v>
          </cell>
          <cell r="K1472">
            <v>1</v>
          </cell>
          <cell r="L1472">
            <v>0</v>
          </cell>
          <cell r="M1472">
            <v>0</v>
          </cell>
        </row>
        <row r="1473">
          <cell r="C1473">
            <v>371</v>
          </cell>
          <cell r="F1473">
            <v>1</v>
          </cell>
          <cell r="I1473">
            <v>46253</v>
          </cell>
          <cell r="J1473">
            <v>0</v>
          </cell>
          <cell r="K1473">
            <v>1</v>
          </cell>
          <cell r="L1473">
            <v>0</v>
          </cell>
          <cell r="M1473">
            <v>0</v>
          </cell>
        </row>
        <row r="1474">
          <cell r="C1474">
            <v>413</v>
          </cell>
          <cell r="F1474">
            <v>1</v>
          </cell>
          <cell r="I1474">
            <v>46253</v>
          </cell>
          <cell r="J1474">
            <v>0</v>
          </cell>
          <cell r="K1474">
            <v>1</v>
          </cell>
          <cell r="L1474">
            <v>0</v>
          </cell>
          <cell r="M1474">
            <v>0</v>
          </cell>
        </row>
        <row r="1475">
          <cell r="C1475">
            <v>411</v>
          </cell>
          <cell r="F1475">
            <v>1</v>
          </cell>
          <cell r="I1475">
            <v>46253</v>
          </cell>
          <cell r="J1475">
            <v>0</v>
          </cell>
          <cell r="K1475">
            <v>1</v>
          </cell>
          <cell r="L1475">
            <v>0</v>
          </cell>
          <cell r="M1475">
            <v>0</v>
          </cell>
        </row>
        <row r="1476">
          <cell r="C1476">
            <v>397</v>
          </cell>
          <cell r="F1476">
            <v>1</v>
          </cell>
          <cell r="I1476">
            <v>46253</v>
          </cell>
          <cell r="J1476">
            <v>0</v>
          </cell>
          <cell r="K1476">
            <v>5</v>
          </cell>
          <cell r="L1476">
            <v>0</v>
          </cell>
          <cell r="M1476">
            <v>0</v>
          </cell>
        </row>
        <row r="1477">
          <cell r="C1477">
            <v>294</v>
          </cell>
          <cell r="F1477">
            <v>1</v>
          </cell>
          <cell r="I1477">
            <v>46254</v>
          </cell>
          <cell r="J1477">
            <v>0</v>
          </cell>
          <cell r="K1477">
            <v>1</v>
          </cell>
          <cell r="L1477">
            <v>0</v>
          </cell>
          <cell r="M1477">
            <v>0</v>
          </cell>
        </row>
        <row r="1478">
          <cell r="C1478">
            <v>195</v>
          </cell>
          <cell r="F1478">
            <v>1</v>
          </cell>
          <cell r="I1478">
            <v>46254</v>
          </cell>
          <cell r="J1478">
            <v>0</v>
          </cell>
          <cell r="K1478">
            <v>8</v>
          </cell>
          <cell r="L1478">
            <v>0</v>
          </cell>
          <cell r="M1478">
            <v>0</v>
          </cell>
        </row>
        <row r="1479">
          <cell r="C1479">
            <v>384</v>
          </cell>
          <cell r="F1479">
            <v>1</v>
          </cell>
          <cell r="I1479">
            <v>46254</v>
          </cell>
          <cell r="J1479">
            <v>0</v>
          </cell>
          <cell r="K1479">
            <v>1</v>
          </cell>
          <cell r="L1479">
            <v>0</v>
          </cell>
          <cell r="M1479">
            <v>0</v>
          </cell>
        </row>
        <row r="1480">
          <cell r="C1480">
            <v>386</v>
          </cell>
          <cell r="F1480">
            <v>1</v>
          </cell>
          <cell r="I1480">
            <v>46254</v>
          </cell>
          <cell r="J1480">
            <v>0</v>
          </cell>
          <cell r="K1480">
            <v>2</v>
          </cell>
          <cell r="L1480">
            <v>0</v>
          </cell>
          <cell r="M1480">
            <v>0</v>
          </cell>
        </row>
        <row r="1481">
          <cell r="C1481">
            <v>381</v>
          </cell>
          <cell r="F1481">
            <v>1</v>
          </cell>
          <cell r="I1481">
            <v>46254</v>
          </cell>
          <cell r="J1481">
            <v>0</v>
          </cell>
          <cell r="K1481">
            <v>1</v>
          </cell>
          <cell r="L1481">
            <v>0</v>
          </cell>
          <cell r="M1481">
            <v>0</v>
          </cell>
        </row>
        <row r="1482">
          <cell r="C1482">
            <v>305</v>
          </cell>
          <cell r="F1482">
            <v>1</v>
          </cell>
          <cell r="I1482">
            <v>46254</v>
          </cell>
          <cell r="J1482">
            <v>0</v>
          </cell>
          <cell r="K1482">
            <v>100</v>
          </cell>
          <cell r="L1482">
            <v>0</v>
          </cell>
          <cell r="M1482">
            <v>0</v>
          </cell>
        </row>
        <row r="1483">
          <cell r="C1483">
            <v>178</v>
          </cell>
          <cell r="F1483">
            <v>1</v>
          </cell>
          <cell r="I1483">
            <v>46254</v>
          </cell>
          <cell r="J1483">
            <v>0</v>
          </cell>
          <cell r="K1483">
            <v>50</v>
          </cell>
          <cell r="L1483">
            <v>0</v>
          </cell>
          <cell r="M1483">
            <v>0</v>
          </cell>
        </row>
        <row r="1484">
          <cell r="C1484">
            <v>423</v>
          </cell>
          <cell r="F1484">
            <v>1</v>
          </cell>
          <cell r="I1484">
            <v>46254</v>
          </cell>
          <cell r="J1484">
            <v>0</v>
          </cell>
          <cell r="K1484">
            <v>2</v>
          </cell>
          <cell r="L1484">
            <v>0</v>
          </cell>
          <cell r="M1484">
            <v>0</v>
          </cell>
        </row>
        <row r="1485">
          <cell r="C1485">
            <v>377</v>
          </cell>
          <cell r="F1485">
            <v>1</v>
          </cell>
          <cell r="I1485">
            <v>46254</v>
          </cell>
          <cell r="J1485">
            <v>0</v>
          </cell>
          <cell r="K1485">
            <v>10</v>
          </cell>
          <cell r="L1485">
            <v>0</v>
          </cell>
          <cell r="M1485">
            <v>0</v>
          </cell>
        </row>
        <row r="1486">
          <cell r="C1486">
            <v>276</v>
          </cell>
          <cell r="F1486">
            <v>1</v>
          </cell>
          <cell r="I1486">
            <v>46254</v>
          </cell>
          <cell r="J1486">
            <v>0</v>
          </cell>
          <cell r="K1486">
            <v>1</v>
          </cell>
          <cell r="L1486">
            <v>0</v>
          </cell>
          <cell r="M1486">
            <v>0</v>
          </cell>
        </row>
        <row r="1487">
          <cell r="C1487">
            <v>77</v>
          </cell>
          <cell r="F1487">
            <v>1</v>
          </cell>
          <cell r="I1487">
            <v>46254</v>
          </cell>
          <cell r="J1487">
            <v>0</v>
          </cell>
          <cell r="K1487">
            <v>10</v>
          </cell>
          <cell r="L1487">
            <v>0</v>
          </cell>
          <cell r="M1487">
            <v>0</v>
          </cell>
        </row>
        <row r="1488">
          <cell r="C1488">
            <v>378</v>
          </cell>
          <cell r="F1488">
            <v>1</v>
          </cell>
          <cell r="I1488">
            <v>46254</v>
          </cell>
          <cell r="J1488">
            <v>0</v>
          </cell>
          <cell r="K1488">
            <v>1</v>
          </cell>
          <cell r="L1488">
            <v>0</v>
          </cell>
          <cell r="M1488">
            <v>0</v>
          </cell>
        </row>
        <row r="1489">
          <cell r="C1489">
            <v>94</v>
          </cell>
          <cell r="F1489">
            <v>1</v>
          </cell>
          <cell r="I1489">
            <v>46254</v>
          </cell>
          <cell r="J1489">
            <v>0</v>
          </cell>
          <cell r="K1489">
            <v>5</v>
          </cell>
          <cell r="L1489">
            <v>0</v>
          </cell>
          <cell r="M1489">
            <v>0</v>
          </cell>
        </row>
        <row r="1490">
          <cell r="C1490">
            <v>7</v>
          </cell>
          <cell r="F1490">
            <v>1</v>
          </cell>
          <cell r="I1490">
            <v>46254</v>
          </cell>
          <cell r="J1490">
            <v>0</v>
          </cell>
          <cell r="K1490">
            <v>4</v>
          </cell>
          <cell r="L1490">
            <v>0</v>
          </cell>
          <cell r="M1490">
            <v>0</v>
          </cell>
        </row>
        <row r="1491">
          <cell r="C1491">
            <v>376</v>
          </cell>
          <cell r="F1491">
            <v>1</v>
          </cell>
          <cell r="I1491">
            <v>46254</v>
          </cell>
          <cell r="J1491">
            <v>0</v>
          </cell>
          <cell r="K1491">
            <v>2</v>
          </cell>
          <cell r="L1491">
            <v>0</v>
          </cell>
          <cell r="M1491">
            <v>0</v>
          </cell>
        </row>
        <row r="1492">
          <cell r="C1492">
            <v>365</v>
          </cell>
          <cell r="F1492">
            <v>1</v>
          </cell>
          <cell r="I1492">
            <v>46254</v>
          </cell>
          <cell r="J1492">
            <v>0</v>
          </cell>
          <cell r="K1492">
            <v>1</v>
          </cell>
          <cell r="L1492">
            <v>0</v>
          </cell>
          <cell r="M1492">
            <v>0</v>
          </cell>
        </row>
        <row r="1493">
          <cell r="C1493">
            <v>385</v>
          </cell>
          <cell r="F1493">
            <v>1</v>
          </cell>
          <cell r="I1493">
            <v>46254</v>
          </cell>
          <cell r="J1493">
            <v>0</v>
          </cell>
          <cell r="K1493">
            <v>1</v>
          </cell>
          <cell r="L1493">
            <v>0</v>
          </cell>
          <cell r="M1493">
            <v>0</v>
          </cell>
        </row>
        <row r="1494">
          <cell r="C1494">
            <v>397</v>
          </cell>
          <cell r="F1494">
            <v>1</v>
          </cell>
          <cell r="I1494">
            <v>46254</v>
          </cell>
          <cell r="J1494">
            <v>0</v>
          </cell>
          <cell r="K1494">
            <v>10</v>
          </cell>
          <cell r="L1494">
            <v>0</v>
          </cell>
          <cell r="M1494">
            <v>0</v>
          </cell>
        </row>
        <row r="1495">
          <cell r="C1495">
            <v>413</v>
          </cell>
          <cell r="F1495">
            <v>1</v>
          </cell>
          <cell r="I1495">
            <v>46254</v>
          </cell>
          <cell r="J1495">
            <v>0</v>
          </cell>
          <cell r="K1495">
            <v>1</v>
          </cell>
          <cell r="L1495">
            <v>0</v>
          </cell>
          <cell r="M1495">
            <v>0</v>
          </cell>
        </row>
        <row r="1496">
          <cell r="C1496">
            <v>241</v>
          </cell>
          <cell r="F1496">
            <v>1</v>
          </cell>
          <cell r="I1496">
            <v>46254</v>
          </cell>
          <cell r="J1496">
            <v>0</v>
          </cell>
          <cell r="K1496">
            <v>1</v>
          </cell>
          <cell r="L1496">
            <v>0</v>
          </cell>
          <cell r="M1496">
            <v>0</v>
          </cell>
        </row>
        <row r="1497">
          <cell r="C1497">
            <v>29</v>
          </cell>
          <cell r="F1497">
            <v>1</v>
          </cell>
          <cell r="I1497">
            <v>46254</v>
          </cell>
          <cell r="J1497">
            <v>0</v>
          </cell>
          <cell r="K1497">
            <v>1</v>
          </cell>
          <cell r="L1497">
            <v>0</v>
          </cell>
          <cell r="M1497">
            <v>0</v>
          </cell>
        </row>
        <row r="1498">
          <cell r="C1498">
            <v>2</v>
          </cell>
          <cell r="F1498">
            <v>1</v>
          </cell>
          <cell r="I1498">
            <v>46254</v>
          </cell>
          <cell r="J1498">
            <v>0</v>
          </cell>
          <cell r="K1498">
            <v>4</v>
          </cell>
          <cell r="L1498">
            <v>0</v>
          </cell>
          <cell r="M1498">
            <v>0</v>
          </cell>
        </row>
        <row r="1499">
          <cell r="C1499">
            <v>51</v>
          </cell>
          <cell r="F1499">
            <v>1</v>
          </cell>
          <cell r="I1499">
            <v>46254</v>
          </cell>
          <cell r="J1499">
            <v>0</v>
          </cell>
          <cell r="K1499">
            <v>1</v>
          </cell>
          <cell r="L1499">
            <v>0</v>
          </cell>
          <cell r="M1499">
            <v>0</v>
          </cell>
        </row>
        <row r="1500">
          <cell r="C1500">
            <v>52</v>
          </cell>
          <cell r="F1500">
            <v>1</v>
          </cell>
          <cell r="I1500">
            <v>46254</v>
          </cell>
          <cell r="J1500">
            <v>0</v>
          </cell>
          <cell r="K1500">
            <v>1</v>
          </cell>
          <cell r="L1500">
            <v>0</v>
          </cell>
          <cell r="M1500">
            <v>0</v>
          </cell>
        </row>
        <row r="1501">
          <cell r="C1501">
            <v>13</v>
          </cell>
          <cell r="F1501">
            <v>1</v>
          </cell>
          <cell r="I1501">
            <v>46254</v>
          </cell>
          <cell r="J1501">
            <v>0</v>
          </cell>
          <cell r="K1501">
            <v>4</v>
          </cell>
          <cell r="L1501">
            <v>0</v>
          </cell>
          <cell r="M1501">
            <v>0</v>
          </cell>
        </row>
        <row r="1502">
          <cell r="C1502">
            <v>243</v>
          </cell>
          <cell r="F1502">
            <v>1</v>
          </cell>
          <cell r="I1502">
            <v>46254</v>
          </cell>
          <cell r="J1502">
            <v>0</v>
          </cell>
          <cell r="K1502">
            <v>1</v>
          </cell>
          <cell r="L1502">
            <v>0</v>
          </cell>
          <cell r="M1502">
            <v>0</v>
          </cell>
        </row>
        <row r="1503">
          <cell r="C1503">
            <v>177</v>
          </cell>
          <cell r="F1503">
            <v>1</v>
          </cell>
          <cell r="I1503">
            <v>46254</v>
          </cell>
          <cell r="J1503">
            <v>0</v>
          </cell>
          <cell r="K1503">
            <v>100</v>
          </cell>
          <cell r="L1503">
            <v>0</v>
          </cell>
          <cell r="M1503">
            <v>0</v>
          </cell>
        </row>
        <row r="1504">
          <cell r="C1504">
            <v>2</v>
          </cell>
          <cell r="F1504">
            <v>1</v>
          </cell>
          <cell r="I1504">
            <v>46255</v>
          </cell>
          <cell r="J1504">
            <v>0</v>
          </cell>
          <cell r="K1504">
            <v>4</v>
          </cell>
          <cell r="L1504">
            <v>0</v>
          </cell>
          <cell r="M1504">
            <v>0</v>
          </cell>
        </row>
        <row r="1505">
          <cell r="C1505">
            <v>16</v>
          </cell>
          <cell r="F1505">
            <v>1</v>
          </cell>
          <cell r="I1505">
            <v>46255</v>
          </cell>
          <cell r="J1505">
            <v>0</v>
          </cell>
          <cell r="K1505">
            <v>8</v>
          </cell>
          <cell r="L1505">
            <v>0</v>
          </cell>
          <cell r="M1505">
            <v>0</v>
          </cell>
        </row>
        <row r="1506">
          <cell r="C1506">
            <v>54</v>
          </cell>
          <cell r="F1506">
            <v>1</v>
          </cell>
          <cell r="I1506">
            <v>46255</v>
          </cell>
          <cell r="J1506">
            <v>0</v>
          </cell>
          <cell r="K1506">
            <v>2</v>
          </cell>
          <cell r="L1506">
            <v>0</v>
          </cell>
          <cell r="M1506">
            <v>0</v>
          </cell>
        </row>
        <row r="1507">
          <cell r="C1507">
            <v>13</v>
          </cell>
          <cell r="F1507">
            <v>1</v>
          </cell>
          <cell r="I1507">
            <v>46255</v>
          </cell>
          <cell r="J1507">
            <v>0</v>
          </cell>
          <cell r="K1507">
            <v>4</v>
          </cell>
          <cell r="L1507">
            <v>0</v>
          </cell>
          <cell r="M1507">
            <v>0</v>
          </cell>
        </row>
        <row r="1508">
          <cell r="C1508">
            <v>52</v>
          </cell>
          <cell r="F1508">
            <v>1</v>
          </cell>
          <cell r="I1508">
            <v>46255</v>
          </cell>
          <cell r="J1508">
            <v>0</v>
          </cell>
          <cell r="K1508">
            <v>2</v>
          </cell>
          <cell r="L1508">
            <v>0</v>
          </cell>
          <cell r="M1508">
            <v>0</v>
          </cell>
        </row>
        <row r="1509">
          <cell r="C1509">
            <v>69</v>
          </cell>
          <cell r="F1509">
            <v>1</v>
          </cell>
          <cell r="I1509">
            <v>46255</v>
          </cell>
          <cell r="J1509">
            <v>0</v>
          </cell>
          <cell r="K1509">
            <v>1</v>
          </cell>
          <cell r="L1509">
            <v>0</v>
          </cell>
          <cell r="M1509">
            <v>0</v>
          </cell>
        </row>
        <row r="1510">
          <cell r="C1510">
            <v>384</v>
          </cell>
          <cell r="F1510">
            <v>1</v>
          </cell>
          <cell r="I1510">
            <v>46255</v>
          </cell>
          <cell r="J1510">
            <v>0</v>
          </cell>
          <cell r="K1510">
            <v>1</v>
          </cell>
          <cell r="L1510">
            <v>0</v>
          </cell>
          <cell r="M1510">
            <v>0</v>
          </cell>
        </row>
        <row r="1511">
          <cell r="C1511">
            <v>385</v>
          </cell>
          <cell r="F1511">
            <v>1</v>
          </cell>
          <cell r="I1511">
            <v>46255</v>
          </cell>
          <cell r="J1511">
            <v>0</v>
          </cell>
          <cell r="K1511">
            <v>2</v>
          </cell>
          <cell r="L1511">
            <v>0</v>
          </cell>
          <cell r="M1511">
            <v>0</v>
          </cell>
        </row>
        <row r="1512">
          <cell r="C1512">
            <v>415</v>
          </cell>
          <cell r="F1512">
            <v>1</v>
          </cell>
          <cell r="I1512">
            <v>46255</v>
          </cell>
          <cell r="J1512">
            <v>0</v>
          </cell>
          <cell r="K1512">
            <v>1</v>
          </cell>
          <cell r="L1512">
            <v>0</v>
          </cell>
          <cell r="M1512">
            <v>0</v>
          </cell>
        </row>
        <row r="1513">
          <cell r="C1513">
            <v>413</v>
          </cell>
          <cell r="F1513">
            <v>1</v>
          </cell>
          <cell r="I1513">
            <v>46255</v>
          </cell>
          <cell r="J1513">
            <v>0</v>
          </cell>
          <cell r="K1513">
            <v>2</v>
          </cell>
          <cell r="L1513">
            <v>0</v>
          </cell>
          <cell r="M1513">
            <v>0</v>
          </cell>
        </row>
        <row r="1514">
          <cell r="C1514">
            <v>411</v>
          </cell>
          <cell r="F1514">
            <v>1</v>
          </cell>
          <cell r="I1514">
            <v>46255</v>
          </cell>
          <cell r="J1514">
            <v>0</v>
          </cell>
          <cell r="K1514">
            <v>1</v>
          </cell>
          <cell r="L1514">
            <v>0</v>
          </cell>
          <cell r="M1514">
            <v>0</v>
          </cell>
        </row>
        <row r="1515">
          <cell r="C1515">
            <v>408</v>
          </cell>
          <cell r="F1515">
            <v>1</v>
          </cell>
          <cell r="I1515">
            <v>46255</v>
          </cell>
          <cell r="J1515">
            <v>0</v>
          </cell>
          <cell r="K1515">
            <v>1</v>
          </cell>
          <cell r="L1515">
            <v>0</v>
          </cell>
          <cell r="M1515">
            <v>0</v>
          </cell>
        </row>
        <row r="1516">
          <cell r="C1516">
            <v>390</v>
          </cell>
          <cell r="F1516">
            <v>1</v>
          </cell>
          <cell r="I1516">
            <v>46255</v>
          </cell>
          <cell r="J1516">
            <v>0</v>
          </cell>
          <cell r="K1516">
            <v>10</v>
          </cell>
          <cell r="L1516">
            <v>0</v>
          </cell>
          <cell r="M1516">
            <v>0</v>
          </cell>
        </row>
        <row r="1517">
          <cell r="C1517">
            <v>160</v>
          </cell>
          <cell r="F1517">
            <v>1</v>
          </cell>
          <cell r="I1517">
            <v>46255</v>
          </cell>
          <cell r="J1517">
            <v>0</v>
          </cell>
          <cell r="K1517">
            <v>2</v>
          </cell>
          <cell r="L1517">
            <v>0</v>
          </cell>
          <cell r="M1517">
            <v>0</v>
          </cell>
        </row>
        <row r="1518">
          <cell r="C1518">
            <v>187</v>
          </cell>
          <cell r="F1518">
            <v>1</v>
          </cell>
          <cell r="I1518">
            <v>46255</v>
          </cell>
          <cell r="J1518">
            <v>0</v>
          </cell>
          <cell r="K1518">
            <v>4</v>
          </cell>
          <cell r="L1518">
            <v>0</v>
          </cell>
          <cell r="M1518">
            <v>0</v>
          </cell>
        </row>
        <row r="1519">
          <cell r="C1519">
            <v>5</v>
          </cell>
          <cell r="F1519">
            <v>1</v>
          </cell>
          <cell r="I1519">
            <v>46255</v>
          </cell>
          <cell r="J1519">
            <v>0</v>
          </cell>
          <cell r="K1519">
            <v>4</v>
          </cell>
          <cell r="L1519">
            <v>0</v>
          </cell>
          <cell r="M1519">
            <v>0</v>
          </cell>
        </row>
        <row r="1520">
          <cell r="C1520">
            <v>6</v>
          </cell>
          <cell r="F1520">
            <v>1</v>
          </cell>
          <cell r="I1520">
            <v>46255</v>
          </cell>
          <cell r="J1520">
            <v>0</v>
          </cell>
          <cell r="K1520">
            <v>4</v>
          </cell>
          <cell r="L1520">
            <v>0</v>
          </cell>
          <cell r="M1520">
            <v>0</v>
          </cell>
        </row>
        <row r="1521">
          <cell r="C1521">
            <v>41</v>
          </cell>
          <cell r="F1521">
            <v>1</v>
          </cell>
          <cell r="I1521">
            <v>46255</v>
          </cell>
          <cell r="J1521">
            <v>0</v>
          </cell>
          <cell r="K1521">
            <v>1</v>
          </cell>
          <cell r="L1521">
            <v>0</v>
          </cell>
          <cell r="M1521">
            <v>0</v>
          </cell>
        </row>
        <row r="1522">
          <cell r="C1522">
            <v>39</v>
          </cell>
          <cell r="F1522">
            <v>1</v>
          </cell>
          <cell r="I1522">
            <v>46255</v>
          </cell>
          <cell r="J1522">
            <v>0</v>
          </cell>
          <cell r="K1522">
            <v>1</v>
          </cell>
          <cell r="L1522">
            <v>0</v>
          </cell>
          <cell r="M1522">
            <v>0</v>
          </cell>
        </row>
        <row r="1523">
          <cell r="C1523">
            <v>66</v>
          </cell>
          <cell r="F1523">
            <v>1</v>
          </cell>
          <cell r="I1523">
            <v>46255</v>
          </cell>
          <cell r="J1523">
            <v>0</v>
          </cell>
          <cell r="K1523">
            <v>1</v>
          </cell>
          <cell r="L1523">
            <v>0</v>
          </cell>
          <cell r="M1523">
            <v>0</v>
          </cell>
        </row>
        <row r="1524">
          <cell r="C1524">
            <v>243</v>
          </cell>
          <cell r="F1524">
            <v>1</v>
          </cell>
          <cell r="I1524">
            <v>46255</v>
          </cell>
          <cell r="J1524">
            <v>0</v>
          </cell>
          <cell r="K1524">
            <v>1</v>
          </cell>
          <cell r="L1524">
            <v>0</v>
          </cell>
          <cell r="M1524">
            <v>0</v>
          </cell>
        </row>
        <row r="1525">
          <cell r="C1525">
            <v>366</v>
          </cell>
          <cell r="F1525">
            <v>1</v>
          </cell>
          <cell r="I1525">
            <v>46255</v>
          </cell>
          <cell r="J1525">
            <v>0</v>
          </cell>
          <cell r="K1525">
            <v>1</v>
          </cell>
          <cell r="L1525">
            <v>0</v>
          </cell>
          <cell r="M1525">
            <v>0</v>
          </cell>
        </row>
        <row r="1526">
          <cell r="C1526">
            <v>396</v>
          </cell>
          <cell r="F1526">
            <v>1</v>
          </cell>
          <cell r="I1526">
            <v>46255</v>
          </cell>
          <cell r="J1526">
            <v>0</v>
          </cell>
          <cell r="K1526">
            <v>1</v>
          </cell>
          <cell r="L1526">
            <v>0</v>
          </cell>
          <cell r="M1526">
            <v>0</v>
          </cell>
        </row>
        <row r="1527">
          <cell r="C1527">
            <v>170</v>
          </cell>
          <cell r="F1527">
            <v>1</v>
          </cell>
          <cell r="I1527">
            <v>46255</v>
          </cell>
          <cell r="J1527">
            <v>0</v>
          </cell>
          <cell r="K1527">
            <v>1</v>
          </cell>
          <cell r="L1527">
            <v>0</v>
          </cell>
          <cell r="M1527">
            <v>0</v>
          </cell>
        </row>
        <row r="1528">
          <cell r="C1528">
            <v>305</v>
          </cell>
          <cell r="F1528">
            <v>1</v>
          </cell>
          <cell r="I1528">
            <v>46255</v>
          </cell>
          <cell r="J1528">
            <v>0</v>
          </cell>
          <cell r="K1528">
            <v>500</v>
          </cell>
          <cell r="L1528">
            <v>0</v>
          </cell>
          <cell r="M1528">
            <v>0</v>
          </cell>
        </row>
        <row r="1529">
          <cell r="C1529">
            <v>293</v>
          </cell>
          <cell r="F1529">
            <v>1</v>
          </cell>
          <cell r="I1529">
            <v>46255</v>
          </cell>
          <cell r="J1529">
            <v>0</v>
          </cell>
          <cell r="K1529">
            <v>10</v>
          </cell>
          <cell r="L1529">
            <v>0</v>
          </cell>
          <cell r="M1529">
            <v>0</v>
          </cell>
        </row>
        <row r="1530">
          <cell r="C1530">
            <v>177</v>
          </cell>
          <cell r="F1530">
            <v>1</v>
          </cell>
          <cell r="I1530">
            <v>46255</v>
          </cell>
          <cell r="J1530">
            <v>0</v>
          </cell>
          <cell r="K1530">
            <v>100</v>
          </cell>
          <cell r="L1530">
            <v>0</v>
          </cell>
          <cell r="M1530">
            <v>0</v>
          </cell>
        </row>
        <row r="1531">
          <cell r="C1531">
            <v>425</v>
          </cell>
          <cell r="F1531">
            <v>1</v>
          </cell>
          <cell r="I1531">
            <v>46255</v>
          </cell>
          <cell r="J1531">
            <v>0</v>
          </cell>
          <cell r="K1531">
            <v>3</v>
          </cell>
          <cell r="L1531">
            <v>0</v>
          </cell>
          <cell r="M1531">
            <v>0</v>
          </cell>
        </row>
        <row r="1532">
          <cell r="C1532">
            <v>169</v>
          </cell>
          <cell r="F1532">
            <v>1</v>
          </cell>
          <cell r="I1532">
            <v>46255</v>
          </cell>
          <cell r="J1532">
            <v>0</v>
          </cell>
          <cell r="K1532">
            <v>1</v>
          </cell>
          <cell r="L1532">
            <v>0</v>
          </cell>
          <cell r="M1532">
            <v>0</v>
          </cell>
        </row>
        <row r="1533">
          <cell r="C1533">
            <v>416</v>
          </cell>
          <cell r="F1533">
            <v>1</v>
          </cell>
          <cell r="I1533">
            <v>46255</v>
          </cell>
          <cell r="J1533">
            <v>0</v>
          </cell>
          <cell r="K1533">
            <v>1</v>
          </cell>
          <cell r="L1533">
            <v>0</v>
          </cell>
          <cell r="M1533">
            <v>0</v>
          </cell>
        </row>
        <row r="1534">
          <cell r="C1534">
            <v>370</v>
          </cell>
          <cell r="F1534">
            <v>1</v>
          </cell>
          <cell r="I1534">
            <v>46255</v>
          </cell>
          <cell r="J1534">
            <v>0</v>
          </cell>
          <cell r="K1534">
            <v>1</v>
          </cell>
          <cell r="L1534">
            <v>0</v>
          </cell>
          <cell r="M1534">
            <v>0</v>
          </cell>
        </row>
        <row r="1535">
          <cell r="C1535">
            <v>101</v>
          </cell>
          <cell r="F1535">
            <v>1</v>
          </cell>
          <cell r="I1535">
            <v>46255</v>
          </cell>
          <cell r="J1535">
            <v>0</v>
          </cell>
          <cell r="K1535">
            <v>500</v>
          </cell>
          <cell r="L1535">
            <v>0</v>
          </cell>
          <cell r="M1535">
            <v>0</v>
          </cell>
        </row>
        <row r="1536">
          <cell r="C1536">
            <v>145</v>
          </cell>
          <cell r="F1536">
            <v>1</v>
          </cell>
          <cell r="I1536">
            <v>46255</v>
          </cell>
          <cell r="J1536">
            <v>0</v>
          </cell>
          <cell r="K1536">
            <v>1</v>
          </cell>
          <cell r="L1536">
            <v>0</v>
          </cell>
          <cell r="M1536">
            <v>0</v>
          </cell>
        </row>
        <row r="1537">
          <cell r="C1537">
            <v>433</v>
          </cell>
          <cell r="F1537">
            <v>1</v>
          </cell>
          <cell r="I1537">
            <v>46255</v>
          </cell>
          <cell r="J1537">
            <v>0</v>
          </cell>
          <cell r="K1537">
            <v>5</v>
          </cell>
          <cell r="L1537">
            <v>0</v>
          </cell>
          <cell r="M1537">
            <v>0</v>
          </cell>
        </row>
        <row r="1538">
          <cell r="C1538">
            <v>386</v>
          </cell>
          <cell r="F1538">
            <v>1</v>
          </cell>
          <cell r="I1538">
            <v>46255</v>
          </cell>
          <cell r="J1538">
            <v>0</v>
          </cell>
          <cell r="K1538">
            <v>1</v>
          </cell>
          <cell r="L1538">
            <v>0</v>
          </cell>
          <cell r="M1538">
            <v>0</v>
          </cell>
        </row>
        <row r="1539">
          <cell r="C1539">
            <v>392</v>
          </cell>
          <cell r="F1539">
            <v>1</v>
          </cell>
          <cell r="I1539">
            <v>46256</v>
          </cell>
          <cell r="J1539">
            <v>0</v>
          </cell>
          <cell r="K1539">
            <v>1</v>
          </cell>
          <cell r="L1539">
            <v>0</v>
          </cell>
          <cell r="M1539">
            <v>0</v>
          </cell>
        </row>
        <row r="1540">
          <cell r="C1540">
            <v>426</v>
          </cell>
          <cell r="F1540">
            <v>1</v>
          </cell>
          <cell r="I1540">
            <v>46256</v>
          </cell>
          <cell r="J1540">
            <v>0</v>
          </cell>
          <cell r="K1540">
            <v>1</v>
          </cell>
          <cell r="L1540">
            <v>0</v>
          </cell>
          <cell r="M1540">
            <v>0</v>
          </cell>
        </row>
        <row r="1541">
          <cell r="C1541">
            <v>399</v>
          </cell>
          <cell r="F1541">
            <v>1</v>
          </cell>
          <cell r="I1541">
            <v>46256</v>
          </cell>
          <cell r="J1541">
            <v>0</v>
          </cell>
          <cell r="K1541">
            <v>5</v>
          </cell>
          <cell r="L1541">
            <v>0</v>
          </cell>
          <cell r="M1541">
            <v>0</v>
          </cell>
        </row>
        <row r="1542">
          <cell r="C1542">
            <v>83</v>
          </cell>
          <cell r="F1542">
            <v>1</v>
          </cell>
          <cell r="I1542">
            <v>46256</v>
          </cell>
          <cell r="J1542">
            <v>0</v>
          </cell>
          <cell r="K1542">
            <v>2</v>
          </cell>
          <cell r="L1542">
            <v>0</v>
          </cell>
          <cell r="M1542">
            <v>0</v>
          </cell>
        </row>
        <row r="1543">
          <cell r="C1543">
            <v>377</v>
          </cell>
          <cell r="F1543">
            <v>1</v>
          </cell>
          <cell r="I1543">
            <v>46256</v>
          </cell>
          <cell r="J1543">
            <v>0</v>
          </cell>
          <cell r="K1543">
            <v>5</v>
          </cell>
          <cell r="L1543">
            <v>0</v>
          </cell>
          <cell r="M1543">
            <v>0</v>
          </cell>
        </row>
        <row r="1544">
          <cell r="C1544">
            <v>77</v>
          </cell>
          <cell r="F1544">
            <v>1</v>
          </cell>
          <cell r="I1544">
            <v>46256</v>
          </cell>
          <cell r="J1544">
            <v>0</v>
          </cell>
          <cell r="K1544">
            <v>10</v>
          </cell>
          <cell r="L1544">
            <v>0</v>
          </cell>
          <cell r="M1544">
            <v>0</v>
          </cell>
        </row>
        <row r="1545">
          <cell r="C1545">
            <v>99</v>
          </cell>
          <cell r="F1545">
            <v>1</v>
          </cell>
          <cell r="I1545">
            <v>46256</v>
          </cell>
          <cell r="J1545">
            <v>0</v>
          </cell>
          <cell r="K1545">
            <v>1</v>
          </cell>
          <cell r="L1545">
            <v>0</v>
          </cell>
          <cell r="M1545">
            <v>0</v>
          </cell>
        </row>
        <row r="1546">
          <cell r="C1546">
            <v>403</v>
          </cell>
          <cell r="F1546">
            <v>1</v>
          </cell>
          <cell r="I1546">
            <v>46256</v>
          </cell>
          <cell r="J1546">
            <v>0</v>
          </cell>
          <cell r="K1546">
            <v>2</v>
          </cell>
          <cell r="L1546">
            <v>0</v>
          </cell>
          <cell r="M1546">
            <v>0</v>
          </cell>
        </row>
        <row r="1547">
          <cell r="C1547">
            <v>394</v>
          </cell>
          <cell r="F1547">
            <v>1</v>
          </cell>
          <cell r="I1547">
            <v>46256</v>
          </cell>
          <cell r="J1547">
            <v>0</v>
          </cell>
          <cell r="K1547">
            <v>1</v>
          </cell>
          <cell r="L1547">
            <v>0</v>
          </cell>
          <cell r="M1547">
            <v>0</v>
          </cell>
        </row>
        <row r="1548">
          <cell r="C1548">
            <v>380</v>
          </cell>
          <cell r="F1548">
            <v>1</v>
          </cell>
          <cell r="I1548">
            <v>46256</v>
          </cell>
          <cell r="J1548">
            <v>0</v>
          </cell>
          <cell r="K1548">
            <v>8</v>
          </cell>
          <cell r="L1548">
            <v>0</v>
          </cell>
          <cell r="M1548">
            <v>0</v>
          </cell>
        </row>
        <row r="1549">
          <cell r="C1549">
            <v>108</v>
          </cell>
          <cell r="F1549">
            <v>1</v>
          </cell>
          <cell r="I1549">
            <v>46256</v>
          </cell>
          <cell r="J1549">
            <v>0</v>
          </cell>
          <cell r="K1549">
            <v>1</v>
          </cell>
          <cell r="L1549">
            <v>0</v>
          </cell>
          <cell r="M1549">
            <v>0</v>
          </cell>
        </row>
        <row r="1550">
          <cell r="C1550">
            <v>366</v>
          </cell>
          <cell r="F1550">
            <v>1</v>
          </cell>
          <cell r="I1550">
            <v>46256</v>
          </cell>
          <cell r="J1550">
            <v>0</v>
          </cell>
          <cell r="K1550">
            <v>3</v>
          </cell>
          <cell r="L1550">
            <v>0</v>
          </cell>
          <cell r="M1550">
            <v>0</v>
          </cell>
        </row>
        <row r="1551">
          <cell r="C1551">
            <v>276</v>
          </cell>
          <cell r="F1551">
            <v>1</v>
          </cell>
          <cell r="I1551">
            <v>46256</v>
          </cell>
          <cell r="J1551">
            <v>0</v>
          </cell>
          <cell r="K1551">
            <v>2</v>
          </cell>
          <cell r="L1551">
            <v>0</v>
          </cell>
          <cell r="M1551">
            <v>0</v>
          </cell>
        </row>
        <row r="1552">
          <cell r="C1552">
            <v>367</v>
          </cell>
          <cell r="F1552">
            <v>1</v>
          </cell>
          <cell r="I1552">
            <v>46256</v>
          </cell>
          <cell r="J1552">
            <v>0</v>
          </cell>
          <cell r="K1552">
            <v>1</v>
          </cell>
          <cell r="L1552">
            <v>0</v>
          </cell>
          <cell r="M1552">
            <v>0</v>
          </cell>
        </row>
        <row r="1553">
          <cell r="C1553">
            <v>305</v>
          </cell>
          <cell r="F1553">
            <v>1</v>
          </cell>
          <cell r="I1553">
            <v>46256</v>
          </cell>
          <cell r="J1553">
            <v>0</v>
          </cell>
          <cell r="K1553">
            <v>100</v>
          </cell>
          <cell r="L1553">
            <v>0</v>
          </cell>
          <cell r="M1553">
            <v>0</v>
          </cell>
        </row>
        <row r="1554">
          <cell r="C1554">
            <v>293</v>
          </cell>
          <cell r="F1554">
            <v>1</v>
          </cell>
          <cell r="I1554">
            <v>46256</v>
          </cell>
          <cell r="J1554">
            <v>0</v>
          </cell>
          <cell r="K1554">
            <v>25</v>
          </cell>
          <cell r="L1554">
            <v>0</v>
          </cell>
          <cell r="M1554">
            <v>0</v>
          </cell>
        </row>
        <row r="1555">
          <cell r="C1555">
            <v>177</v>
          </cell>
          <cell r="F1555">
            <v>1</v>
          </cell>
          <cell r="I1555">
            <v>46256</v>
          </cell>
          <cell r="J1555">
            <v>0</v>
          </cell>
          <cell r="K1555">
            <v>200</v>
          </cell>
          <cell r="L1555">
            <v>0</v>
          </cell>
          <cell r="M1555">
            <v>0</v>
          </cell>
        </row>
        <row r="1556">
          <cell r="C1556">
            <v>82</v>
          </cell>
          <cell r="F1556">
            <v>1</v>
          </cell>
          <cell r="I1556">
            <v>46256</v>
          </cell>
          <cell r="J1556">
            <v>0</v>
          </cell>
          <cell r="K1556">
            <v>1</v>
          </cell>
          <cell r="L1556">
            <v>0</v>
          </cell>
          <cell r="M1556">
            <v>0</v>
          </cell>
        </row>
        <row r="1557">
          <cell r="C1557">
            <v>371</v>
          </cell>
          <cell r="F1557">
            <v>1</v>
          </cell>
          <cell r="I1557">
            <v>46256</v>
          </cell>
          <cell r="J1557">
            <v>0</v>
          </cell>
          <cell r="K1557">
            <v>1</v>
          </cell>
          <cell r="L1557">
            <v>0</v>
          </cell>
          <cell r="M1557">
            <v>0</v>
          </cell>
        </row>
        <row r="1558">
          <cell r="C1558">
            <v>411</v>
          </cell>
          <cell r="F1558">
            <v>1</v>
          </cell>
          <cell r="I1558">
            <v>46256</v>
          </cell>
          <cell r="J1558">
            <v>0</v>
          </cell>
          <cell r="K1558">
            <v>1</v>
          </cell>
          <cell r="L1558">
            <v>0</v>
          </cell>
          <cell r="M1558">
            <v>0</v>
          </cell>
        </row>
        <row r="1559">
          <cell r="C1559">
            <v>410</v>
          </cell>
          <cell r="F1559">
            <v>1</v>
          </cell>
          <cell r="I1559">
            <v>46256</v>
          </cell>
          <cell r="J1559">
            <v>0</v>
          </cell>
          <cell r="K1559">
            <v>1</v>
          </cell>
          <cell r="L1559">
            <v>0</v>
          </cell>
          <cell r="M1559">
            <v>0</v>
          </cell>
        </row>
        <row r="1560">
          <cell r="C1560">
            <v>337</v>
          </cell>
          <cell r="F1560">
            <v>1</v>
          </cell>
          <cell r="I1560">
            <v>46256</v>
          </cell>
          <cell r="J1560">
            <v>0</v>
          </cell>
          <cell r="K1560">
            <v>1</v>
          </cell>
          <cell r="L1560">
            <v>0</v>
          </cell>
          <cell r="M1560">
            <v>0</v>
          </cell>
        </row>
        <row r="1561">
          <cell r="C1561">
            <v>369</v>
          </cell>
          <cell r="F1561">
            <v>1</v>
          </cell>
          <cell r="I1561">
            <v>46256</v>
          </cell>
          <cell r="J1561">
            <v>0</v>
          </cell>
          <cell r="K1561">
            <v>7</v>
          </cell>
          <cell r="L1561">
            <v>0</v>
          </cell>
          <cell r="M1561">
            <v>0</v>
          </cell>
        </row>
        <row r="1562">
          <cell r="C1562">
            <v>160</v>
          </cell>
          <cell r="F1562">
            <v>1</v>
          </cell>
          <cell r="I1562">
            <v>46256</v>
          </cell>
          <cell r="J1562">
            <v>0</v>
          </cell>
          <cell r="K1562">
            <v>1</v>
          </cell>
          <cell r="L1562">
            <v>0</v>
          </cell>
          <cell r="M1562">
            <v>0</v>
          </cell>
        </row>
        <row r="1563">
          <cell r="C1563">
            <v>169</v>
          </cell>
          <cell r="F1563">
            <v>1</v>
          </cell>
          <cell r="I1563">
            <v>46256</v>
          </cell>
          <cell r="J1563">
            <v>0</v>
          </cell>
          <cell r="K1563">
            <v>1</v>
          </cell>
          <cell r="L1563">
            <v>0</v>
          </cell>
          <cell r="M1563">
            <v>0</v>
          </cell>
        </row>
        <row r="1564">
          <cell r="C1564">
            <v>386</v>
          </cell>
          <cell r="F1564">
            <v>1</v>
          </cell>
          <cell r="I1564">
            <v>46256</v>
          </cell>
          <cell r="J1564">
            <v>0</v>
          </cell>
          <cell r="K1564">
            <v>2</v>
          </cell>
          <cell r="L1564">
            <v>0</v>
          </cell>
          <cell r="M1564">
            <v>0</v>
          </cell>
        </row>
        <row r="1565">
          <cell r="C1565">
            <v>415</v>
          </cell>
          <cell r="F1565">
            <v>1</v>
          </cell>
          <cell r="I1565">
            <v>46256</v>
          </cell>
          <cell r="J1565">
            <v>0</v>
          </cell>
          <cell r="K1565">
            <v>2</v>
          </cell>
          <cell r="L1565">
            <v>0</v>
          </cell>
          <cell r="M1565">
            <v>0</v>
          </cell>
        </row>
        <row r="1566">
          <cell r="C1566">
            <v>433</v>
          </cell>
          <cell r="F1566">
            <v>1</v>
          </cell>
          <cell r="I1566">
            <v>46256</v>
          </cell>
          <cell r="J1566">
            <v>0</v>
          </cell>
          <cell r="K1566">
            <v>2</v>
          </cell>
          <cell r="L1566">
            <v>0</v>
          </cell>
          <cell r="M1566">
            <v>0</v>
          </cell>
        </row>
        <row r="1567">
          <cell r="C1567">
            <v>20</v>
          </cell>
          <cell r="F1567">
            <v>1</v>
          </cell>
          <cell r="I1567">
            <v>46256</v>
          </cell>
          <cell r="J1567">
            <v>0</v>
          </cell>
          <cell r="K1567">
            <v>4</v>
          </cell>
          <cell r="L1567">
            <v>0</v>
          </cell>
          <cell r="M1567">
            <v>0</v>
          </cell>
        </row>
        <row r="1568">
          <cell r="C1568">
            <v>5</v>
          </cell>
          <cell r="F1568">
            <v>1</v>
          </cell>
          <cell r="I1568">
            <v>46256</v>
          </cell>
          <cell r="J1568">
            <v>0</v>
          </cell>
          <cell r="K1568">
            <v>8</v>
          </cell>
          <cell r="L1568">
            <v>0</v>
          </cell>
          <cell r="M1568">
            <v>0</v>
          </cell>
        </row>
        <row r="1569">
          <cell r="C1569">
            <v>39</v>
          </cell>
          <cell r="F1569">
            <v>1</v>
          </cell>
          <cell r="I1569">
            <v>46256</v>
          </cell>
          <cell r="J1569">
            <v>0</v>
          </cell>
          <cell r="K1569">
            <v>2</v>
          </cell>
          <cell r="L1569">
            <v>0</v>
          </cell>
          <cell r="M1569">
            <v>0</v>
          </cell>
        </row>
        <row r="1570">
          <cell r="C1570">
            <v>40</v>
          </cell>
          <cell r="F1570">
            <v>1</v>
          </cell>
          <cell r="I1570">
            <v>46256</v>
          </cell>
          <cell r="J1570">
            <v>0</v>
          </cell>
          <cell r="K1570">
            <v>1</v>
          </cell>
          <cell r="L1570">
            <v>0</v>
          </cell>
          <cell r="M1570">
            <v>0</v>
          </cell>
        </row>
        <row r="1571">
          <cell r="C1571">
            <v>52</v>
          </cell>
          <cell r="F1571">
            <v>1</v>
          </cell>
          <cell r="I1571">
            <v>46256</v>
          </cell>
          <cell r="J1571">
            <v>0</v>
          </cell>
          <cell r="K1571">
            <v>1</v>
          </cell>
          <cell r="L1571">
            <v>0</v>
          </cell>
          <cell r="M1571">
            <v>0</v>
          </cell>
        </row>
        <row r="1572">
          <cell r="C1572">
            <v>178</v>
          </cell>
          <cell r="F1572">
            <v>1</v>
          </cell>
          <cell r="I1572">
            <v>46256</v>
          </cell>
          <cell r="J1572">
            <v>0</v>
          </cell>
          <cell r="K1572">
            <v>50</v>
          </cell>
          <cell r="L1572">
            <v>0</v>
          </cell>
          <cell r="M1572">
            <v>0</v>
          </cell>
        </row>
        <row r="1573">
          <cell r="C1573">
            <v>358</v>
          </cell>
          <cell r="F1573">
            <v>1</v>
          </cell>
          <cell r="I1573">
            <v>46256</v>
          </cell>
          <cell r="J1573">
            <v>0</v>
          </cell>
          <cell r="K1573">
            <v>1</v>
          </cell>
          <cell r="L1573">
            <v>0</v>
          </cell>
          <cell r="M1573">
            <v>0</v>
          </cell>
        </row>
        <row r="1574">
          <cell r="C1574">
            <v>197</v>
          </cell>
          <cell r="F1574">
            <v>1</v>
          </cell>
          <cell r="I1574">
            <v>46256</v>
          </cell>
          <cell r="J1574">
            <v>0</v>
          </cell>
          <cell r="K1574">
            <v>8</v>
          </cell>
          <cell r="L1574">
            <v>0</v>
          </cell>
          <cell r="M1574">
            <v>0</v>
          </cell>
        </row>
        <row r="1575">
          <cell r="C1575">
            <v>198</v>
          </cell>
          <cell r="F1575">
            <v>1</v>
          </cell>
          <cell r="I1575">
            <v>46256</v>
          </cell>
          <cell r="J1575">
            <v>0</v>
          </cell>
          <cell r="K1575">
            <v>4</v>
          </cell>
          <cell r="L1575">
            <v>0</v>
          </cell>
          <cell r="M1575">
            <v>0</v>
          </cell>
        </row>
        <row r="1576">
          <cell r="C1576">
            <v>13</v>
          </cell>
          <cell r="F1576">
            <v>1</v>
          </cell>
          <cell r="I1576">
            <v>46256</v>
          </cell>
          <cell r="J1576">
            <v>0</v>
          </cell>
          <cell r="K1576">
            <v>4</v>
          </cell>
          <cell r="L1576">
            <v>0</v>
          </cell>
          <cell r="M1576">
            <v>0</v>
          </cell>
        </row>
        <row r="1577">
          <cell r="C1577">
            <v>375</v>
          </cell>
          <cell r="F1577">
            <v>1</v>
          </cell>
          <cell r="I1577">
            <v>46256</v>
          </cell>
          <cell r="J1577">
            <v>0</v>
          </cell>
          <cell r="K1577">
            <v>1</v>
          </cell>
          <cell r="L1577">
            <v>0</v>
          </cell>
          <cell r="M1577">
            <v>0</v>
          </cell>
        </row>
        <row r="1578">
          <cell r="C1578">
            <v>243</v>
          </cell>
          <cell r="F1578">
            <v>1</v>
          </cell>
          <cell r="I1578">
            <v>46256</v>
          </cell>
          <cell r="J1578">
            <v>0</v>
          </cell>
          <cell r="K1578">
            <v>1</v>
          </cell>
          <cell r="L1578">
            <v>0</v>
          </cell>
          <cell r="M1578">
            <v>0</v>
          </cell>
        </row>
        <row r="1579">
          <cell r="C1579">
            <v>420</v>
          </cell>
          <cell r="F1579">
            <v>1</v>
          </cell>
          <cell r="I1579">
            <v>46256</v>
          </cell>
          <cell r="J1579">
            <v>0</v>
          </cell>
          <cell r="K1579">
            <v>1</v>
          </cell>
          <cell r="L1579">
            <v>0</v>
          </cell>
          <cell r="M1579">
            <v>0</v>
          </cell>
        </row>
        <row r="1580">
          <cell r="C1580">
            <v>409</v>
          </cell>
          <cell r="F1580">
            <v>1</v>
          </cell>
          <cell r="I1580">
            <v>46256</v>
          </cell>
          <cell r="J1580">
            <v>0</v>
          </cell>
          <cell r="K1580">
            <v>1</v>
          </cell>
          <cell r="L1580">
            <v>0</v>
          </cell>
          <cell r="M1580">
            <v>0</v>
          </cell>
        </row>
        <row r="1581">
          <cell r="C1581">
            <v>398</v>
          </cell>
          <cell r="F1581">
            <v>1</v>
          </cell>
          <cell r="I1581">
            <v>46256</v>
          </cell>
          <cell r="J1581">
            <v>0</v>
          </cell>
          <cell r="K1581">
            <v>1</v>
          </cell>
          <cell r="L1581">
            <v>0</v>
          </cell>
          <cell r="M1581">
            <v>0</v>
          </cell>
        </row>
        <row r="1582">
          <cell r="C1582">
            <v>125</v>
          </cell>
          <cell r="F1582">
            <v>1</v>
          </cell>
          <cell r="I1582">
            <v>46256</v>
          </cell>
          <cell r="J1582">
            <v>0</v>
          </cell>
          <cell r="K1582">
            <v>100</v>
          </cell>
          <cell r="L1582">
            <v>0</v>
          </cell>
          <cell r="M1582">
            <v>0</v>
          </cell>
        </row>
        <row r="1583">
          <cell r="C1583">
            <v>8</v>
          </cell>
          <cell r="F1583">
            <v>1</v>
          </cell>
          <cell r="I1583">
            <v>46256</v>
          </cell>
          <cell r="J1583">
            <v>0</v>
          </cell>
          <cell r="K1583">
            <v>4</v>
          </cell>
          <cell r="L1583">
            <v>0</v>
          </cell>
          <cell r="M1583">
            <v>0</v>
          </cell>
        </row>
        <row r="1584">
          <cell r="C1584">
            <v>16</v>
          </cell>
          <cell r="F1584">
            <v>1</v>
          </cell>
          <cell r="I1584">
            <v>46256</v>
          </cell>
          <cell r="J1584">
            <v>0</v>
          </cell>
          <cell r="K1584">
            <v>1</v>
          </cell>
          <cell r="L1584">
            <v>0</v>
          </cell>
          <cell r="M1584">
            <v>0</v>
          </cell>
        </row>
        <row r="1585">
          <cell r="C1585">
            <v>48</v>
          </cell>
          <cell r="F1585">
            <v>1</v>
          </cell>
          <cell r="I1585">
            <v>46256</v>
          </cell>
          <cell r="J1585">
            <v>0</v>
          </cell>
          <cell r="K1585">
            <v>2</v>
          </cell>
          <cell r="L1585">
            <v>0</v>
          </cell>
          <cell r="M1585">
            <v>0</v>
          </cell>
        </row>
        <row r="1586">
          <cell r="C1586">
            <v>49</v>
          </cell>
          <cell r="F1586">
            <v>1</v>
          </cell>
          <cell r="I1586">
            <v>46256</v>
          </cell>
          <cell r="J1586">
            <v>0</v>
          </cell>
          <cell r="K1586">
            <v>2</v>
          </cell>
          <cell r="L1586">
            <v>0</v>
          </cell>
          <cell r="M1586">
            <v>0</v>
          </cell>
        </row>
        <row r="1587">
          <cell r="C1587">
            <v>46</v>
          </cell>
          <cell r="F1587">
            <v>1</v>
          </cell>
          <cell r="I1587">
            <v>46256</v>
          </cell>
          <cell r="J1587">
            <v>0</v>
          </cell>
          <cell r="K1587">
            <v>2</v>
          </cell>
          <cell r="L1587">
            <v>0</v>
          </cell>
          <cell r="M1587">
            <v>0</v>
          </cell>
        </row>
        <row r="1588">
          <cell r="C1588">
            <v>45</v>
          </cell>
          <cell r="F1588">
            <v>1</v>
          </cell>
          <cell r="I1588">
            <v>46256</v>
          </cell>
          <cell r="J1588">
            <v>0</v>
          </cell>
          <cell r="K1588">
            <v>2</v>
          </cell>
          <cell r="L1588">
            <v>0</v>
          </cell>
          <cell r="M1588">
            <v>0</v>
          </cell>
        </row>
        <row r="1589">
          <cell r="C1589">
            <v>69</v>
          </cell>
          <cell r="F1589">
            <v>1</v>
          </cell>
          <cell r="I1589">
            <v>46256</v>
          </cell>
          <cell r="J1589">
            <v>0</v>
          </cell>
          <cell r="K1589">
            <v>2</v>
          </cell>
          <cell r="L1589">
            <v>0</v>
          </cell>
          <cell r="M1589">
            <v>0</v>
          </cell>
        </row>
        <row r="1590">
          <cell r="C1590">
            <v>385</v>
          </cell>
          <cell r="F1590">
            <v>1</v>
          </cell>
          <cell r="I1590">
            <v>46256</v>
          </cell>
          <cell r="J1590">
            <v>0</v>
          </cell>
          <cell r="K1590">
            <v>1</v>
          </cell>
          <cell r="L1590">
            <v>0</v>
          </cell>
          <cell r="M1590">
            <v>0</v>
          </cell>
        </row>
        <row r="1591">
          <cell r="C1591">
            <v>153</v>
          </cell>
          <cell r="F1591">
            <v>1</v>
          </cell>
          <cell r="I1591">
            <v>46256</v>
          </cell>
          <cell r="J1591">
            <v>0</v>
          </cell>
          <cell r="K1591">
            <v>1</v>
          </cell>
          <cell r="L1591">
            <v>0</v>
          </cell>
          <cell r="M1591">
            <v>0</v>
          </cell>
        </row>
        <row r="1592">
          <cell r="C1592">
            <v>167</v>
          </cell>
          <cell r="F1592">
            <v>1</v>
          </cell>
          <cell r="I1592">
            <v>46256</v>
          </cell>
          <cell r="J1592">
            <v>0</v>
          </cell>
          <cell r="K1592">
            <v>2</v>
          </cell>
          <cell r="L1592">
            <v>0</v>
          </cell>
          <cell r="M1592">
            <v>0</v>
          </cell>
        </row>
        <row r="1593">
          <cell r="C1593">
            <v>198</v>
          </cell>
          <cell r="F1593">
            <v>1</v>
          </cell>
          <cell r="I1593">
            <v>46257</v>
          </cell>
          <cell r="J1593">
            <v>0</v>
          </cell>
          <cell r="K1593">
            <v>4</v>
          </cell>
          <cell r="L1593">
            <v>0</v>
          </cell>
          <cell r="M1593">
            <v>0</v>
          </cell>
        </row>
        <row r="1594">
          <cell r="C1594">
            <v>197</v>
          </cell>
          <cell r="F1594">
            <v>1</v>
          </cell>
          <cell r="I1594">
            <v>46257</v>
          </cell>
          <cell r="J1594">
            <v>0</v>
          </cell>
          <cell r="K1594">
            <v>8</v>
          </cell>
          <cell r="L1594">
            <v>0</v>
          </cell>
          <cell r="M1594">
            <v>0</v>
          </cell>
        </row>
        <row r="1595">
          <cell r="C1595">
            <v>16</v>
          </cell>
          <cell r="F1595">
            <v>1</v>
          </cell>
          <cell r="I1595">
            <v>46257</v>
          </cell>
          <cell r="J1595">
            <v>0</v>
          </cell>
          <cell r="K1595">
            <v>4</v>
          </cell>
          <cell r="L1595">
            <v>0</v>
          </cell>
          <cell r="M1595">
            <v>0</v>
          </cell>
        </row>
        <row r="1596">
          <cell r="C1596">
            <v>17</v>
          </cell>
          <cell r="F1596">
            <v>1</v>
          </cell>
          <cell r="I1596">
            <v>46257</v>
          </cell>
          <cell r="J1596">
            <v>0</v>
          </cell>
          <cell r="K1596">
            <v>4</v>
          </cell>
          <cell r="L1596">
            <v>0</v>
          </cell>
          <cell r="M1596">
            <v>0</v>
          </cell>
        </row>
        <row r="1597">
          <cell r="C1597">
            <v>45</v>
          </cell>
          <cell r="F1597">
            <v>1</v>
          </cell>
          <cell r="I1597">
            <v>46257</v>
          </cell>
          <cell r="J1597">
            <v>0</v>
          </cell>
          <cell r="K1597">
            <v>1</v>
          </cell>
          <cell r="L1597">
            <v>0</v>
          </cell>
          <cell r="M1597">
            <v>0</v>
          </cell>
        </row>
        <row r="1598">
          <cell r="C1598">
            <v>69</v>
          </cell>
          <cell r="F1598">
            <v>1</v>
          </cell>
          <cell r="I1598">
            <v>46257</v>
          </cell>
          <cell r="J1598">
            <v>0</v>
          </cell>
          <cell r="K1598">
            <v>1</v>
          </cell>
          <cell r="L1598">
            <v>0</v>
          </cell>
          <cell r="M1598">
            <v>0</v>
          </cell>
        </row>
        <row r="1599">
          <cell r="C1599">
            <v>49</v>
          </cell>
          <cell r="F1599">
            <v>1</v>
          </cell>
          <cell r="I1599">
            <v>46257</v>
          </cell>
          <cell r="J1599">
            <v>0</v>
          </cell>
          <cell r="K1599">
            <v>1</v>
          </cell>
          <cell r="L1599">
            <v>0</v>
          </cell>
          <cell r="M1599">
            <v>0</v>
          </cell>
        </row>
        <row r="1600">
          <cell r="C1600">
            <v>411</v>
          </cell>
          <cell r="F1600">
            <v>1</v>
          </cell>
          <cell r="I1600">
            <v>46257</v>
          </cell>
          <cell r="J1600">
            <v>0</v>
          </cell>
          <cell r="K1600">
            <v>1</v>
          </cell>
          <cell r="L1600">
            <v>0</v>
          </cell>
          <cell r="M1600">
            <v>0</v>
          </cell>
        </row>
        <row r="1601">
          <cell r="C1601">
            <v>413</v>
          </cell>
          <cell r="F1601">
            <v>1</v>
          </cell>
          <cell r="I1601">
            <v>46257</v>
          </cell>
          <cell r="J1601">
            <v>0</v>
          </cell>
          <cell r="K1601">
            <v>1</v>
          </cell>
          <cell r="L1601">
            <v>0</v>
          </cell>
          <cell r="M1601">
            <v>0</v>
          </cell>
        </row>
        <row r="1602">
          <cell r="C1602">
            <v>408</v>
          </cell>
          <cell r="F1602">
            <v>1</v>
          </cell>
          <cell r="I1602">
            <v>46257</v>
          </cell>
          <cell r="J1602">
            <v>0</v>
          </cell>
          <cell r="K1602">
            <v>1</v>
          </cell>
          <cell r="L1602">
            <v>0</v>
          </cell>
          <cell r="M1602">
            <v>0</v>
          </cell>
        </row>
        <row r="1603">
          <cell r="C1603">
            <v>414</v>
          </cell>
          <cell r="F1603">
            <v>1</v>
          </cell>
          <cell r="I1603">
            <v>46257</v>
          </cell>
          <cell r="J1603">
            <v>0</v>
          </cell>
          <cell r="K1603">
            <v>1</v>
          </cell>
          <cell r="L1603">
            <v>0</v>
          </cell>
          <cell r="M1603">
            <v>0</v>
          </cell>
        </row>
        <row r="1604">
          <cell r="C1604">
            <v>401</v>
          </cell>
          <cell r="F1604">
            <v>1</v>
          </cell>
          <cell r="I1604">
            <v>46257</v>
          </cell>
          <cell r="J1604">
            <v>0</v>
          </cell>
          <cell r="K1604">
            <v>1</v>
          </cell>
          <cell r="L1604">
            <v>0</v>
          </cell>
          <cell r="M1604">
            <v>0</v>
          </cell>
        </row>
        <row r="1605">
          <cell r="C1605">
            <v>395</v>
          </cell>
          <cell r="F1605">
            <v>1</v>
          </cell>
          <cell r="I1605">
            <v>46257</v>
          </cell>
          <cell r="J1605">
            <v>0</v>
          </cell>
          <cell r="K1605">
            <v>1</v>
          </cell>
          <cell r="L1605">
            <v>0</v>
          </cell>
          <cell r="M1605">
            <v>0</v>
          </cell>
        </row>
        <row r="1606">
          <cell r="C1606">
            <v>397</v>
          </cell>
          <cell r="F1606">
            <v>1</v>
          </cell>
          <cell r="I1606">
            <v>46257</v>
          </cell>
          <cell r="J1606">
            <v>0</v>
          </cell>
          <cell r="K1606">
            <v>1</v>
          </cell>
          <cell r="L1606">
            <v>0</v>
          </cell>
          <cell r="M1606">
            <v>0</v>
          </cell>
        </row>
        <row r="1607">
          <cell r="C1607">
            <v>381</v>
          </cell>
          <cell r="F1607">
            <v>1</v>
          </cell>
          <cell r="I1607">
            <v>46257</v>
          </cell>
          <cell r="J1607">
            <v>0</v>
          </cell>
          <cell r="K1607">
            <v>1</v>
          </cell>
          <cell r="L1607">
            <v>0</v>
          </cell>
          <cell r="M1607">
            <v>0</v>
          </cell>
        </row>
        <row r="1608">
          <cell r="C1608">
            <v>384</v>
          </cell>
          <cell r="F1608">
            <v>1</v>
          </cell>
          <cell r="I1608">
            <v>46257</v>
          </cell>
          <cell r="J1608">
            <v>0</v>
          </cell>
          <cell r="K1608">
            <v>1</v>
          </cell>
          <cell r="L1608">
            <v>0</v>
          </cell>
          <cell r="M1608">
            <v>0</v>
          </cell>
        </row>
        <row r="1609">
          <cell r="C1609">
            <v>375</v>
          </cell>
          <cell r="F1609">
            <v>1</v>
          </cell>
          <cell r="I1609">
            <v>46257</v>
          </cell>
          <cell r="J1609">
            <v>0</v>
          </cell>
          <cell r="K1609">
            <v>1</v>
          </cell>
          <cell r="L1609">
            <v>0</v>
          </cell>
          <cell r="M1609">
            <v>0</v>
          </cell>
        </row>
        <row r="1610">
          <cell r="C1610">
            <v>373</v>
          </cell>
          <cell r="F1610">
            <v>1</v>
          </cell>
          <cell r="I1610">
            <v>46257</v>
          </cell>
          <cell r="J1610">
            <v>0</v>
          </cell>
          <cell r="K1610">
            <v>4</v>
          </cell>
          <cell r="L1610">
            <v>0</v>
          </cell>
          <cell r="M1610">
            <v>0</v>
          </cell>
        </row>
        <row r="1611">
          <cell r="C1611">
            <v>433</v>
          </cell>
          <cell r="F1611">
            <v>1</v>
          </cell>
          <cell r="I1611">
            <v>46257</v>
          </cell>
          <cell r="J1611">
            <v>0</v>
          </cell>
          <cell r="K1611">
            <v>5</v>
          </cell>
          <cell r="L1611">
            <v>0</v>
          </cell>
          <cell r="M1611">
            <v>0</v>
          </cell>
        </row>
        <row r="1612">
          <cell r="C1612">
            <v>374</v>
          </cell>
          <cell r="F1612">
            <v>1</v>
          </cell>
          <cell r="I1612">
            <v>46257</v>
          </cell>
          <cell r="J1612">
            <v>0</v>
          </cell>
          <cell r="K1612">
            <v>1</v>
          </cell>
          <cell r="L1612">
            <v>0</v>
          </cell>
          <cell r="M1612">
            <v>0</v>
          </cell>
        </row>
        <row r="1613">
          <cell r="C1613">
            <v>125</v>
          </cell>
          <cell r="F1613">
            <v>1</v>
          </cell>
          <cell r="I1613">
            <v>46257</v>
          </cell>
          <cell r="J1613">
            <v>0</v>
          </cell>
          <cell r="K1613">
            <v>1</v>
          </cell>
          <cell r="L1613">
            <v>0</v>
          </cell>
          <cell r="M1613">
            <v>0</v>
          </cell>
        </row>
        <row r="1614">
          <cell r="C1614">
            <v>241</v>
          </cell>
          <cell r="F1614">
            <v>1</v>
          </cell>
          <cell r="I1614">
            <v>46257</v>
          </cell>
          <cell r="J1614">
            <v>0</v>
          </cell>
          <cell r="K1614">
            <v>2</v>
          </cell>
          <cell r="L1614">
            <v>0</v>
          </cell>
          <cell r="M1614">
            <v>0</v>
          </cell>
        </row>
        <row r="1615">
          <cell r="C1615">
            <v>403</v>
          </cell>
          <cell r="F1615">
            <v>1</v>
          </cell>
          <cell r="I1615">
            <v>46257</v>
          </cell>
          <cell r="J1615">
            <v>0</v>
          </cell>
          <cell r="K1615">
            <v>1</v>
          </cell>
          <cell r="L1615">
            <v>0</v>
          </cell>
          <cell r="M1615">
            <v>0</v>
          </cell>
        </row>
        <row r="1616">
          <cell r="C1616">
            <v>219</v>
          </cell>
          <cell r="F1616">
            <v>1</v>
          </cell>
          <cell r="I1616">
            <v>46257</v>
          </cell>
          <cell r="J1616">
            <v>0</v>
          </cell>
          <cell r="K1616">
            <v>2</v>
          </cell>
          <cell r="L1616">
            <v>0</v>
          </cell>
          <cell r="M1616">
            <v>0</v>
          </cell>
        </row>
        <row r="1617">
          <cell r="C1617">
            <v>337</v>
          </cell>
          <cell r="F1617">
            <v>1</v>
          </cell>
          <cell r="I1617">
            <v>46257</v>
          </cell>
          <cell r="J1617">
            <v>0</v>
          </cell>
          <cell r="K1617">
            <v>10</v>
          </cell>
          <cell r="L1617">
            <v>0</v>
          </cell>
          <cell r="M1617">
            <v>0</v>
          </cell>
        </row>
        <row r="1618">
          <cell r="C1618">
            <v>396</v>
          </cell>
          <cell r="F1618">
            <v>1</v>
          </cell>
          <cell r="I1618">
            <v>46257</v>
          </cell>
          <cell r="J1618">
            <v>0</v>
          </cell>
          <cell r="K1618">
            <v>1</v>
          </cell>
          <cell r="L1618">
            <v>0</v>
          </cell>
          <cell r="M1618">
            <v>0</v>
          </cell>
        </row>
        <row r="1619">
          <cell r="C1619">
            <v>294</v>
          </cell>
          <cell r="F1619">
            <v>1</v>
          </cell>
          <cell r="I1619">
            <v>46257</v>
          </cell>
          <cell r="J1619">
            <v>0</v>
          </cell>
          <cell r="K1619">
            <v>10</v>
          </cell>
          <cell r="L1619">
            <v>0</v>
          </cell>
          <cell r="M1619">
            <v>0</v>
          </cell>
        </row>
        <row r="1620">
          <cell r="C1620">
            <v>384</v>
          </cell>
          <cell r="F1620">
            <v>1</v>
          </cell>
          <cell r="I1620">
            <v>46258</v>
          </cell>
          <cell r="J1620">
            <v>0</v>
          </cell>
          <cell r="K1620">
            <v>1</v>
          </cell>
          <cell r="L1620">
            <v>0</v>
          </cell>
          <cell r="M1620">
            <v>0</v>
          </cell>
        </row>
        <row r="1621">
          <cell r="C1621">
            <v>386</v>
          </cell>
          <cell r="F1621">
            <v>1</v>
          </cell>
          <cell r="I1621">
            <v>46258</v>
          </cell>
          <cell r="J1621">
            <v>0</v>
          </cell>
          <cell r="K1621">
            <v>1</v>
          </cell>
          <cell r="L1621">
            <v>0</v>
          </cell>
          <cell r="M1621">
            <v>0</v>
          </cell>
        </row>
        <row r="1622">
          <cell r="C1622">
            <v>20</v>
          </cell>
          <cell r="F1622">
            <v>1</v>
          </cell>
          <cell r="I1622">
            <v>46258</v>
          </cell>
          <cell r="J1622">
            <v>0</v>
          </cell>
          <cell r="K1622">
            <v>4</v>
          </cell>
          <cell r="L1622">
            <v>0</v>
          </cell>
          <cell r="M1622">
            <v>0</v>
          </cell>
        </row>
        <row r="1623">
          <cell r="C1623">
            <v>6</v>
          </cell>
          <cell r="F1623">
            <v>1</v>
          </cell>
          <cell r="I1623">
            <v>46258</v>
          </cell>
          <cell r="J1623">
            <v>0</v>
          </cell>
          <cell r="K1623">
            <v>4</v>
          </cell>
          <cell r="L1623">
            <v>0</v>
          </cell>
          <cell r="M1623">
            <v>0</v>
          </cell>
        </row>
        <row r="1624">
          <cell r="C1624">
            <v>52</v>
          </cell>
          <cell r="F1624">
            <v>1</v>
          </cell>
          <cell r="I1624">
            <v>46258</v>
          </cell>
          <cell r="J1624">
            <v>0</v>
          </cell>
          <cell r="K1624">
            <v>1</v>
          </cell>
          <cell r="L1624">
            <v>0</v>
          </cell>
          <cell r="M1624">
            <v>0</v>
          </cell>
        </row>
        <row r="1625">
          <cell r="C1625">
            <v>243</v>
          </cell>
          <cell r="F1625">
            <v>1</v>
          </cell>
          <cell r="I1625">
            <v>46258</v>
          </cell>
          <cell r="J1625">
            <v>0</v>
          </cell>
          <cell r="K1625">
            <v>1</v>
          </cell>
          <cell r="L1625">
            <v>0</v>
          </cell>
          <cell r="M1625">
            <v>0</v>
          </cell>
        </row>
        <row r="1626">
          <cell r="C1626">
            <v>387</v>
          </cell>
          <cell r="F1626">
            <v>1</v>
          </cell>
          <cell r="I1626">
            <v>46258</v>
          </cell>
          <cell r="J1626">
            <v>0</v>
          </cell>
          <cell r="K1626">
            <v>1</v>
          </cell>
          <cell r="L1626">
            <v>0</v>
          </cell>
          <cell r="M1626">
            <v>0</v>
          </cell>
        </row>
        <row r="1627">
          <cell r="C1627">
            <v>374</v>
          </cell>
          <cell r="F1627">
            <v>1</v>
          </cell>
          <cell r="I1627">
            <v>46258</v>
          </cell>
          <cell r="J1627">
            <v>0</v>
          </cell>
          <cell r="K1627">
            <v>2</v>
          </cell>
          <cell r="L1627">
            <v>0</v>
          </cell>
          <cell r="M1627">
            <v>0</v>
          </cell>
        </row>
        <row r="1628">
          <cell r="C1628">
            <v>371</v>
          </cell>
          <cell r="F1628">
            <v>1</v>
          </cell>
          <cell r="I1628">
            <v>46258</v>
          </cell>
          <cell r="J1628">
            <v>0</v>
          </cell>
          <cell r="K1628">
            <v>2</v>
          </cell>
          <cell r="L1628">
            <v>0</v>
          </cell>
          <cell r="M1628">
            <v>0</v>
          </cell>
        </row>
        <row r="1629">
          <cell r="C1629">
            <v>408</v>
          </cell>
          <cell r="F1629">
            <v>1</v>
          </cell>
          <cell r="I1629">
            <v>46258</v>
          </cell>
          <cell r="J1629">
            <v>0</v>
          </cell>
          <cell r="K1629">
            <v>1</v>
          </cell>
          <cell r="L1629">
            <v>0</v>
          </cell>
          <cell r="M1629">
            <v>0</v>
          </cell>
        </row>
        <row r="1630">
          <cell r="C1630">
            <v>414</v>
          </cell>
          <cell r="F1630">
            <v>1</v>
          </cell>
          <cell r="I1630">
            <v>46258</v>
          </cell>
          <cell r="J1630">
            <v>0</v>
          </cell>
          <cell r="K1630">
            <v>2</v>
          </cell>
          <cell r="L1630">
            <v>0</v>
          </cell>
          <cell r="M1630">
            <v>0</v>
          </cell>
        </row>
        <row r="1631">
          <cell r="C1631">
            <v>395</v>
          </cell>
          <cell r="F1631">
            <v>1</v>
          </cell>
          <cell r="I1631">
            <v>46258</v>
          </cell>
          <cell r="J1631">
            <v>0</v>
          </cell>
          <cell r="K1631">
            <v>1</v>
          </cell>
          <cell r="L1631">
            <v>0</v>
          </cell>
          <cell r="M1631">
            <v>0</v>
          </cell>
        </row>
        <row r="1632">
          <cell r="C1632">
            <v>178</v>
          </cell>
          <cell r="F1632">
            <v>1</v>
          </cell>
          <cell r="I1632">
            <v>46258</v>
          </cell>
          <cell r="J1632">
            <v>0</v>
          </cell>
          <cell r="K1632">
            <v>50</v>
          </cell>
          <cell r="L1632">
            <v>0</v>
          </cell>
          <cell r="M1632">
            <v>0</v>
          </cell>
        </row>
        <row r="1633">
          <cell r="C1633">
            <v>398</v>
          </cell>
          <cell r="F1633">
            <v>1</v>
          </cell>
          <cell r="I1633">
            <v>46258</v>
          </cell>
          <cell r="J1633">
            <v>0</v>
          </cell>
          <cell r="K1633">
            <v>2</v>
          </cell>
          <cell r="L1633">
            <v>0</v>
          </cell>
          <cell r="M1633">
            <v>0</v>
          </cell>
        </row>
        <row r="1634">
          <cell r="C1634">
            <v>241</v>
          </cell>
          <cell r="F1634">
            <v>1</v>
          </cell>
          <cell r="I1634">
            <v>46258</v>
          </cell>
          <cell r="J1634">
            <v>0</v>
          </cell>
          <cell r="K1634">
            <v>2</v>
          </cell>
          <cell r="L1634">
            <v>0</v>
          </cell>
          <cell r="M1634">
            <v>0</v>
          </cell>
        </row>
        <row r="1635">
          <cell r="C1635">
            <v>184</v>
          </cell>
          <cell r="F1635">
            <v>1</v>
          </cell>
          <cell r="I1635">
            <v>46258</v>
          </cell>
          <cell r="J1635">
            <v>0</v>
          </cell>
          <cell r="K1635">
            <v>12</v>
          </cell>
          <cell r="L1635">
            <v>0</v>
          </cell>
          <cell r="M1635">
            <v>0</v>
          </cell>
        </row>
        <row r="1636">
          <cell r="C1636">
            <v>305</v>
          </cell>
          <cell r="F1636">
            <v>1</v>
          </cell>
          <cell r="I1636">
            <v>46258</v>
          </cell>
          <cell r="J1636">
            <v>0</v>
          </cell>
          <cell r="K1636">
            <v>500</v>
          </cell>
          <cell r="L1636">
            <v>0</v>
          </cell>
          <cell r="M1636">
            <v>0</v>
          </cell>
        </row>
        <row r="1637">
          <cell r="C1637">
            <v>177</v>
          </cell>
          <cell r="F1637">
            <v>1</v>
          </cell>
          <cell r="I1637">
            <v>46258</v>
          </cell>
          <cell r="J1637">
            <v>0</v>
          </cell>
          <cell r="K1637">
            <v>100</v>
          </cell>
          <cell r="L1637">
            <v>0</v>
          </cell>
          <cell r="M1637">
            <v>0</v>
          </cell>
        </row>
        <row r="1638">
          <cell r="C1638">
            <v>429</v>
          </cell>
          <cell r="F1638">
            <v>1</v>
          </cell>
          <cell r="I1638">
            <v>46258</v>
          </cell>
          <cell r="J1638">
            <v>0</v>
          </cell>
          <cell r="K1638">
            <v>1</v>
          </cell>
          <cell r="L1638">
            <v>0</v>
          </cell>
          <cell r="M1638">
            <v>0</v>
          </cell>
        </row>
        <row r="1639">
          <cell r="C1639">
            <v>433</v>
          </cell>
          <cell r="F1639">
            <v>1</v>
          </cell>
          <cell r="I1639">
            <v>46258</v>
          </cell>
          <cell r="J1639">
            <v>0</v>
          </cell>
          <cell r="K1639">
            <v>10</v>
          </cell>
          <cell r="L1639">
            <v>0</v>
          </cell>
          <cell r="M1639">
            <v>0</v>
          </cell>
        </row>
        <row r="1640">
          <cell r="C1640">
            <v>413</v>
          </cell>
          <cell r="F1640">
            <v>1</v>
          </cell>
          <cell r="I1640">
            <v>46258</v>
          </cell>
          <cell r="J1640">
            <v>0</v>
          </cell>
          <cell r="K1640">
            <v>1</v>
          </cell>
          <cell r="L1640">
            <v>0</v>
          </cell>
          <cell r="M1640">
            <v>0</v>
          </cell>
        </row>
        <row r="1641">
          <cell r="C1641">
            <v>394</v>
          </cell>
          <cell r="F1641">
            <v>1</v>
          </cell>
          <cell r="I1641">
            <v>46258</v>
          </cell>
          <cell r="J1641">
            <v>0</v>
          </cell>
          <cell r="K1641">
            <v>1</v>
          </cell>
          <cell r="L1641">
            <v>0</v>
          </cell>
          <cell r="M1641">
            <v>0</v>
          </cell>
        </row>
        <row r="1642">
          <cell r="C1642">
            <v>153</v>
          </cell>
          <cell r="F1642">
            <v>1</v>
          </cell>
          <cell r="I1642">
            <v>46258</v>
          </cell>
          <cell r="J1642">
            <v>0</v>
          </cell>
          <cell r="K1642">
            <v>1</v>
          </cell>
          <cell r="L1642">
            <v>0</v>
          </cell>
          <cell r="M1642">
            <v>0</v>
          </cell>
        </row>
        <row r="1643">
          <cell r="C1643">
            <v>167</v>
          </cell>
          <cell r="F1643">
            <v>1</v>
          </cell>
          <cell r="I1643">
            <v>46258</v>
          </cell>
          <cell r="J1643">
            <v>0</v>
          </cell>
          <cell r="K1643">
            <v>2</v>
          </cell>
          <cell r="L1643">
            <v>0</v>
          </cell>
          <cell r="M1643">
            <v>0</v>
          </cell>
        </row>
        <row r="1644">
          <cell r="C1644">
            <v>219</v>
          </cell>
          <cell r="F1644">
            <v>1</v>
          </cell>
          <cell r="I1644">
            <v>46258</v>
          </cell>
          <cell r="J1644">
            <v>0</v>
          </cell>
          <cell r="K1644">
            <v>5</v>
          </cell>
          <cell r="L1644">
            <v>0</v>
          </cell>
          <cell r="M1644">
            <v>0</v>
          </cell>
        </row>
        <row r="1645">
          <cell r="C1645">
            <v>99</v>
          </cell>
          <cell r="F1645">
            <v>1</v>
          </cell>
          <cell r="I1645">
            <v>46258</v>
          </cell>
          <cell r="J1645">
            <v>0</v>
          </cell>
          <cell r="K1645">
            <v>1</v>
          </cell>
          <cell r="L1645">
            <v>0</v>
          </cell>
          <cell r="M1645">
            <v>0</v>
          </cell>
        </row>
        <row r="1646">
          <cell r="C1646">
            <v>94</v>
          </cell>
          <cell r="F1646">
            <v>1</v>
          </cell>
          <cell r="I1646">
            <v>46258</v>
          </cell>
          <cell r="J1646">
            <v>0</v>
          </cell>
          <cell r="K1646">
            <v>5</v>
          </cell>
          <cell r="L1646">
            <v>0</v>
          </cell>
          <cell r="M1646">
            <v>0</v>
          </cell>
        </row>
        <row r="1647">
          <cell r="C1647">
            <v>76</v>
          </cell>
          <cell r="F1647">
            <v>1</v>
          </cell>
          <cell r="I1647">
            <v>46258</v>
          </cell>
          <cell r="J1647">
            <v>0</v>
          </cell>
          <cell r="K1647">
            <v>1</v>
          </cell>
          <cell r="L1647">
            <v>0</v>
          </cell>
          <cell r="M1647">
            <v>0</v>
          </cell>
        </row>
        <row r="1648">
          <cell r="C1648">
            <v>82</v>
          </cell>
          <cell r="F1648">
            <v>1</v>
          </cell>
          <cell r="I1648">
            <v>46258</v>
          </cell>
          <cell r="J1648">
            <v>0</v>
          </cell>
          <cell r="K1648">
            <v>2</v>
          </cell>
          <cell r="L1648">
            <v>0</v>
          </cell>
          <cell r="M1648">
            <v>0</v>
          </cell>
        </row>
        <row r="1649">
          <cell r="C1649">
            <v>276</v>
          </cell>
          <cell r="F1649">
            <v>1</v>
          </cell>
          <cell r="I1649">
            <v>46258</v>
          </cell>
          <cell r="J1649">
            <v>0</v>
          </cell>
          <cell r="K1649">
            <v>3</v>
          </cell>
          <cell r="L1649">
            <v>0</v>
          </cell>
          <cell r="M1649">
            <v>0</v>
          </cell>
        </row>
        <row r="1650">
          <cell r="C1650">
            <v>125</v>
          </cell>
          <cell r="F1650">
            <v>1</v>
          </cell>
          <cell r="I1650">
            <v>46258</v>
          </cell>
          <cell r="J1650">
            <v>0</v>
          </cell>
          <cell r="K1650">
            <v>50</v>
          </cell>
          <cell r="L1650">
            <v>0</v>
          </cell>
          <cell r="M1650">
            <v>0</v>
          </cell>
        </row>
        <row r="1651">
          <cell r="C1651">
            <v>101</v>
          </cell>
          <cell r="F1651">
            <v>1</v>
          </cell>
          <cell r="I1651">
            <v>46258</v>
          </cell>
          <cell r="J1651">
            <v>0</v>
          </cell>
          <cell r="K1651">
            <v>1000</v>
          </cell>
          <cell r="L1651">
            <v>0</v>
          </cell>
          <cell r="M1651">
            <v>0</v>
          </cell>
        </row>
        <row r="1652">
          <cell r="C1652">
            <v>150</v>
          </cell>
          <cell r="F1652">
            <v>1</v>
          </cell>
          <cell r="I1652">
            <v>46258</v>
          </cell>
          <cell r="J1652">
            <v>0</v>
          </cell>
          <cell r="K1652">
            <v>5</v>
          </cell>
          <cell r="L1652">
            <v>0</v>
          </cell>
          <cell r="M1652">
            <v>0</v>
          </cell>
        </row>
        <row r="1653">
          <cell r="C1653">
            <v>390</v>
          </cell>
          <cell r="F1653">
            <v>1</v>
          </cell>
          <cell r="I1653">
            <v>46258</v>
          </cell>
          <cell r="J1653">
            <v>0</v>
          </cell>
          <cell r="K1653">
            <v>4</v>
          </cell>
          <cell r="L1653">
            <v>0</v>
          </cell>
          <cell r="M1653">
            <v>0</v>
          </cell>
        </row>
        <row r="1654">
          <cell r="C1654">
            <v>397</v>
          </cell>
          <cell r="F1654">
            <v>1</v>
          </cell>
          <cell r="I1654">
            <v>46258</v>
          </cell>
          <cell r="J1654">
            <v>0</v>
          </cell>
          <cell r="K1654">
            <v>5</v>
          </cell>
          <cell r="L1654">
            <v>0</v>
          </cell>
          <cell r="M1654">
            <v>0</v>
          </cell>
        </row>
        <row r="1655">
          <cell r="C1655">
            <v>401</v>
          </cell>
          <cell r="F1655">
            <v>1</v>
          </cell>
          <cell r="I1655">
            <v>46258</v>
          </cell>
          <cell r="J1655">
            <v>0</v>
          </cell>
          <cell r="K1655">
            <v>1</v>
          </cell>
          <cell r="L1655">
            <v>0</v>
          </cell>
          <cell r="M1655">
            <v>0</v>
          </cell>
        </row>
        <row r="1656">
          <cell r="C1656">
            <v>418</v>
          </cell>
          <cell r="F1656">
            <v>1</v>
          </cell>
          <cell r="I1656">
            <v>46259</v>
          </cell>
          <cell r="J1656">
            <v>0</v>
          </cell>
          <cell r="K1656">
            <v>0</v>
          </cell>
          <cell r="L1656">
            <v>0</v>
          </cell>
          <cell r="M1656">
            <v>2</v>
          </cell>
        </row>
        <row r="1657">
          <cell r="C1657">
            <v>419</v>
          </cell>
          <cell r="F1657">
            <v>1</v>
          </cell>
          <cell r="I1657">
            <v>46259</v>
          </cell>
          <cell r="J1657">
            <v>0</v>
          </cell>
          <cell r="K1657">
            <v>0</v>
          </cell>
          <cell r="L1657">
            <v>0</v>
          </cell>
          <cell r="M1657">
            <v>2</v>
          </cell>
        </row>
        <row r="1658">
          <cell r="C1658">
            <v>305</v>
          </cell>
          <cell r="F1658">
            <v>1</v>
          </cell>
          <cell r="I1658">
            <v>46259</v>
          </cell>
          <cell r="J1658">
            <v>0</v>
          </cell>
          <cell r="K1658">
            <v>200</v>
          </cell>
          <cell r="L1658">
            <v>0</v>
          </cell>
          <cell r="M1658">
            <v>0</v>
          </cell>
        </row>
        <row r="1659">
          <cell r="C1659">
            <v>373</v>
          </cell>
          <cell r="F1659">
            <v>1</v>
          </cell>
          <cell r="I1659">
            <v>46259</v>
          </cell>
          <cell r="J1659">
            <v>0</v>
          </cell>
          <cell r="K1659">
            <v>4</v>
          </cell>
          <cell r="L1659">
            <v>0</v>
          </cell>
          <cell r="M1659">
            <v>0</v>
          </cell>
        </row>
        <row r="1660">
          <cell r="C1660">
            <v>177</v>
          </cell>
          <cell r="F1660">
            <v>1</v>
          </cell>
          <cell r="I1660">
            <v>46259</v>
          </cell>
          <cell r="J1660">
            <v>0</v>
          </cell>
          <cell r="K1660">
            <v>101</v>
          </cell>
          <cell r="L1660">
            <v>0</v>
          </cell>
          <cell r="M1660">
            <v>0</v>
          </cell>
        </row>
        <row r="1661">
          <cell r="C1661">
            <v>414</v>
          </cell>
          <cell r="F1661">
            <v>1</v>
          </cell>
          <cell r="I1661">
            <v>46259</v>
          </cell>
          <cell r="J1661">
            <v>0</v>
          </cell>
          <cell r="K1661">
            <v>1</v>
          </cell>
          <cell r="L1661">
            <v>0</v>
          </cell>
          <cell r="M1661">
            <v>0</v>
          </cell>
        </row>
        <row r="1662">
          <cell r="C1662">
            <v>396</v>
          </cell>
          <cell r="F1662">
            <v>1</v>
          </cell>
          <cell r="I1662">
            <v>46259</v>
          </cell>
          <cell r="J1662">
            <v>0</v>
          </cell>
          <cell r="K1662">
            <v>1</v>
          </cell>
          <cell r="L1662">
            <v>0</v>
          </cell>
          <cell r="M1662">
            <v>0</v>
          </cell>
        </row>
        <row r="1663">
          <cell r="C1663">
            <v>392</v>
          </cell>
          <cell r="F1663">
            <v>1</v>
          </cell>
          <cell r="I1663">
            <v>46259</v>
          </cell>
          <cell r="J1663">
            <v>0</v>
          </cell>
          <cell r="K1663">
            <v>1</v>
          </cell>
          <cell r="L1663">
            <v>0</v>
          </cell>
          <cell r="M1663">
            <v>0</v>
          </cell>
        </row>
        <row r="1664">
          <cell r="C1664">
            <v>374</v>
          </cell>
          <cell r="F1664">
            <v>1</v>
          </cell>
          <cell r="I1664">
            <v>46259</v>
          </cell>
          <cell r="J1664">
            <v>0</v>
          </cell>
          <cell r="K1664">
            <v>1</v>
          </cell>
          <cell r="L1664">
            <v>0</v>
          </cell>
          <cell r="M1664">
            <v>0</v>
          </cell>
        </row>
        <row r="1665">
          <cell r="C1665">
            <v>401</v>
          </cell>
          <cell r="F1665">
            <v>1</v>
          </cell>
          <cell r="I1665">
            <v>46259</v>
          </cell>
          <cell r="J1665">
            <v>0</v>
          </cell>
          <cell r="K1665">
            <v>1</v>
          </cell>
          <cell r="L1665">
            <v>0</v>
          </cell>
          <cell r="M1665">
            <v>0</v>
          </cell>
        </row>
        <row r="1666">
          <cell r="C1666">
            <v>403</v>
          </cell>
          <cell r="F1666">
            <v>1</v>
          </cell>
          <cell r="I1666">
            <v>46259</v>
          </cell>
          <cell r="J1666">
            <v>0</v>
          </cell>
          <cell r="K1666">
            <v>2</v>
          </cell>
          <cell r="L1666">
            <v>0</v>
          </cell>
          <cell r="M1666">
            <v>0</v>
          </cell>
        </row>
        <row r="1667">
          <cell r="C1667">
            <v>427</v>
          </cell>
          <cell r="F1667">
            <v>1</v>
          </cell>
          <cell r="I1667">
            <v>46259</v>
          </cell>
          <cell r="J1667">
            <v>0</v>
          </cell>
          <cell r="K1667">
            <v>1</v>
          </cell>
          <cell r="L1667">
            <v>0</v>
          </cell>
          <cell r="M1667">
            <v>0</v>
          </cell>
        </row>
        <row r="1668">
          <cell r="C1668">
            <v>420</v>
          </cell>
          <cell r="F1668">
            <v>1</v>
          </cell>
          <cell r="I1668">
            <v>46259</v>
          </cell>
          <cell r="J1668">
            <v>0</v>
          </cell>
          <cell r="K1668">
            <v>3</v>
          </cell>
          <cell r="L1668">
            <v>0</v>
          </cell>
          <cell r="M1668">
            <v>0</v>
          </cell>
        </row>
        <row r="1669">
          <cell r="C1669">
            <v>241</v>
          </cell>
          <cell r="F1669">
            <v>1</v>
          </cell>
          <cell r="I1669">
            <v>46259</v>
          </cell>
          <cell r="J1669">
            <v>0</v>
          </cell>
          <cell r="K1669">
            <v>2</v>
          </cell>
          <cell r="L1669">
            <v>0</v>
          </cell>
          <cell r="M1669">
            <v>0</v>
          </cell>
        </row>
        <row r="1670">
          <cell r="C1670">
            <v>411</v>
          </cell>
          <cell r="F1670">
            <v>1</v>
          </cell>
          <cell r="I1670">
            <v>46259</v>
          </cell>
          <cell r="J1670">
            <v>0</v>
          </cell>
          <cell r="K1670">
            <v>2</v>
          </cell>
          <cell r="L1670">
            <v>0</v>
          </cell>
          <cell r="M1670">
            <v>0</v>
          </cell>
        </row>
        <row r="1671">
          <cell r="C1671">
            <v>433</v>
          </cell>
          <cell r="F1671">
            <v>1</v>
          </cell>
          <cell r="I1671">
            <v>46259</v>
          </cell>
          <cell r="J1671">
            <v>0</v>
          </cell>
          <cell r="K1671">
            <v>5</v>
          </cell>
          <cell r="L1671">
            <v>0</v>
          </cell>
          <cell r="M1671">
            <v>0</v>
          </cell>
        </row>
        <row r="1672">
          <cell r="C1672">
            <v>197</v>
          </cell>
          <cell r="F1672">
            <v>1</v>
          </cell>
          <cell r="I1672">
            <v>46259</v>
          </cell>
          <cell r="J1672">
            <v>0</v>
          </cell>
          <cell r="K1672">
            <v>4</v>
          </cell>
          <cell r="L1672">
            <v>0</v>
          </cell>
          <cell r="M1672">
            <v>0</v>
          </cell>
        </row>
        <row r="1673">
          <cell r="C1673">
            <v>108</v>
          </cell>
          <cell r="F1673">
            <v>1</v>
          </cell>
          <cell r="I1673">
            <v>46259</v>
          </cell>
          <cell r="J1673">
            <v>0</v>
          </cell>
          <cell r="K1673">
            <v>1</v>
          </cell>
          <cell r="L1673">
            <v>0</v>
          </cell>
          <cell r="M1673">
            <v>0</v>
          </cell>
        </row>
        <row r="1674">
          <cell r="C1674">
            <v>101</v>
          </cell>
          <cell r="F1674">
            <v>1</v>
          </cell>
          <cell r="I1674">
            <v>46259</v>
          </cell>
          <cell r="J1674">
            <v>0</v>
          </cell>
          <cell r="K1674">
            <v>1000</v>
          </cell>
          <cell r="L1674">
            <v>0</v>
          </cell>
          <cell r="M1674">
            <v>0</v>
          </cell>
        </row>
        <row r="1675">
          <cell r="C1675">
            <v>145</v>
          </cell>
          <cell r="F1675">
            <v>1</v>
          </cell>
          <cell r="I1675">
            <v>46259</v>
          </cell>
          <cell r="J1675">
            <v>0</v>
          </cell>
          <cell r="K1675">
            <v>1</v>
          </cell>
          <cell r="L1675">
            <v>0</v>
          </cell>
          <cell r="M1675">
            <v>0</v>
          </cell>
        </row>
        <row r="1676">
          <cell r="C1676">
            <v>150</v>
          </cell>
          <cell r="F1676">
            <v>1</v>
          </cell>
          <cell r="I1676">
            <v>46259</v>
          </cell>
          <cell r="J1676">
            <v>0</v>
          </cell>
          <cell r="K1676">
            <v>2</v>
          </cell>
          <cell r="L1676">
            <v>0</v>
          </cell>
          <cell r="M1676">
            <v>0</v>
          </cell>
        </row>
        <row r="1677">
          <cell r="C1677">
            <v>366</v>
          </cell>
          <cell r="F1677">
            <v>1</v>
          </cell>
          <cell r="I1677">
            <v>46259</v>
          </cell>
          <cell r="J1677">
            <v>0</v>
          </cell>
          <cell r="K1677">
            <v>2</v>
          </cell>
          <cell r="L1677">
            <v>0</v>
          </cell>
          <cell r="M1677">
            <v>0</v>
          </cell>
        </row>
        <row r="1678">
          <cell r="C1678">
            <v>363</v>
          </cell>
          <cell r="F1678">
            <v>1</v>
          </cell>
          <cell r="I1678">
            <v>46259</v>
          </cell>
          <cell r="J1678">
            <v>0</v>
          </cell>
          <cell r="K1678">
            <v>1</v>
          </cell>
          <cell r="L1678">
            <v>0</v>
          </cell>
          <cell r="M1678">
            <v>0</v>
          </cell>
        </row>
        <row r="1679">
          <cell r="C1679">
            <v>429</v>
          </cell>
          <cell r="F1679">
            <v>1</v>
          </cell>
          <cell r="I1679">
            <v>46259</v>
          </cell>
          <cell r="J1679">
            <v>0</v>
          </cell>
          <cell r="K1679">
            <v>1</v>
          </cell>
          <cell r="L1679">
            <v>0</v>
          </cell>
          <cell r="M1679">
            <v>0</v>
          </cell>
        </row>
        <row r="1680">
          <cell r="C1680">
            <v>410</v>
          </cell>
          <cell r="F1680">
            <v>1</v>
          </cell>
          <cell r="I1680">
            <v>46259</v>
          </cell>
          <cell r="J1680">
            <v>0</v>
          </cell>
          <cell r="K1680">
            <v>1</v>
          </cell>
          <cell r="L1680">
            <v>0</v>
          </cell>
          <cell r="M1680">
            <v>0</v>
          </cell>
        </row>
        <row r="1681">
          <cell r="C1681">
            <v>399</v>
          </cell>
          <cell r="F1681">
            <v>1</v>
          </cell>
          <cell r="I1681">
            <v>46259</v>
          </cell>
          <cell r="J1681">
            <v>0</v>
          </cell>
          <cell r="K1681">
            <v>1</v>
          </cell>
          <cell r="L1681">
            <v>0</v>
          </cell>
          <cell r="M1681">
            <v>0</v>
          </cell>
        </row>
        <row r="1682">
          <cell r="C1682">
            <v>5</v>
          </cell>
          <cell r="F1682">
            <v>1</v>
          </cell>
          <cell r="I1682">
            <v>46259</v>
          </cell>
          <cell r="J1682">
            <v>0</v>
          </cell>
          <cell r="K1682">
            <v>8</v>
          </cell>
          <cell r="L1682">
            <v>0</v>
          </cell>
          <cell r="M1682">
            <v>0</v>
          </cell>
        </row>
        <row r="1683">
          <cell r="C1683">
            <v>8</v>
          </cell>
          <cell r="F1683">
            <v>1</v>
          </cell>
          <cell r="I1683">
            <v>46259</v>
          </cell>
          <cell r="J1683">
            <v>0</v>
          </cell>
          <cell r="K1683">
            <v>4</v>
          </cell>
          <cell r="L1683">
            <v>0</v>
          </cell>
          <cell r="M1683">
            <v>0</v>
          </cell>
        </row>
        <row r="1684">
          <cell r="C1684">
            <v>7</v>
          </cell>
          <cell r="F1684">
            <v>1</v>
          </cell>
          <cell r="I1684">
            <v>46259</v>
          </cell>
          <cell r="J1684">
            <v>0</v>
          </cell>
          <cell r="K1684">
            <v>4</v>
          </cell>
          <cell r="L1684">
            <v>0</v>
          </cell>
          <cell r="M1684">
            <v>0</v>
          </cell>
        </row>
        <row r="1685">
          <cell r="C1685">
            <v>41</v>
          </cell>
          <cell r="F1685">
            <v>1</v>
          </cell>
          <cell r="I1685">
            <v>46259</v>
          </cell>
          <cell r="J1685">
            <v>0</v>
          </cell>
          <cell r="K1685">
            <v>2</v>
          </cell>
          <cell r="L1685">
            <v>0</v>
          </cell>
          <cell r="M1685">
            <v>0</v>
          </cell>
        </row>
        <row r="1686">
          <cell r="C1686">
            <v>66</v>
          </cell>
          <cell r="F1686">
            <v>1</v>
          </cell>
          <cell r="I1686">
            <v>46259</v>
          </cell>
          <cell r="J1686">
            <v>0</v>
          </cell>
          <cell r="K1686">
            <v>1</v>
          </cell>
          <cell r="L1686">
            <v>0</v>
          </cell>
          <cell r="M1686">
            <v>5</v>
          </cell>
        </row>
        <row r="1687">
          <cell r="C1687">
            <v>46</v>
          </cell>
          <cell r="F1687">
            <v>1</v>
          </cell>
          <cell r="I1687">
            <v>46259</v>
          </cell>
          <cell r="J1687">
            <v>0</v>
          </cell>
          <cell r="K1687">
            <v>1</v>
          </cell>
          <cell r="L1687">
            <v>0</v>
          </cell>
          <cell r="M1687">
            <v>0</v>
          </cell>
        </row>
        <row r="1688">
          <cell r="C1688">
            <v>48</v>
          </cell>
          <cell r="F1688">
            <v>1</v>
          </cell>
          <cell r="I1688">
            <v>46259</v>
          </cell>
          <cell r="J1688">
            <v>0</v>
          </cell>
          <cell r="K1688">
            <v>1</v>
          </cell>
          <cell r="L1688">
            <v>0</v>
          </cell>
          <cell r="M1688">
            <v>0</v>
          </cell>
        </row>
        <row r="1689">
          <cell r="C1689">
            <v>70</v>
          </cell>
          <cell r="F1689">
            <v>1</v>
          </cell>
          <cell r="I1689">
            <v>46259</v>
          </cell>
          <cell r="J1689">
            <v>0</v>
          </cell>
          <cell r="K1689">
            <v>1</v>
          </cell>
          <cell r="L1689">
            <v>0</v>
          </cell>
          <cell r="M1689">
            <v>0</v>
          </cell>
        </row>
        <row r="1690">
          <cell r="C1690">
            <v>45</v>
          </cell>
          <cell r="F1690">
            <v>1</v>
          </cell>
          <cell r="I1690">
            <v>46259</v>
          </cell>
          <cell r="J1690">
            <v>0</v>
          </cell>
          <cell r="K1690">
            <v>1</v>
          </cell>
          <cell r="L1690">
            <v>0</v>
          </cell>
          <cell r="M1690">
            <v>0</v>
          </cell>
        </row>
        <row r="1691">
          <cell r="C1691">
            <v>372</v>
          </cell>
          <cell r="F1691">
            <v>1</v>
          </cell>
          <cell r="I1691">
            <v>46259</v>
          </cell>
          <cell r="J1691">
            <v>0</v>
          </cell>
          <cell r="K1691">
            <v>1</v>
          </cell>
          <cell r="L1691">
            <v>0</v>
          </cell>
          <cell r="M1691">
            <v>0</v>
          </cell>
        </row>
        <row r="1692">
          <cell r="C1692">
            <v>424</v>
          </cell>
          <cell r="F1692">
            <v>1</v>
          </cell>
          <cell r="I1692">
            <v>46259</v>
          </cell>
          <cell r="J1692">
            <v>0</v>
          </cell>
          <cell r="K1692">
            <v>2</v>
          </cell>
          <cell r="L1692">
            <v>0</v>
          </cell>
          <cell r="M1692">
            <v>0</v>
          </cell>
        </row>
        <row r="1693">
          <cell r="C1693">
            <v>219</v>
          </cell>
          <cell r="F1693">
            <v>1</v>
          </cell>
          <cell r="I1693">
            <v>46259</v>
          </cell>
          <cell r="J1693">
            <v>0</v>
          </cell>
          <cell r="K1693">
            <v>4</v>
          </cell>
          <cell r="L1693">
            <v>0</v>
          </cell>
          <cell r="M1693">
            <v>0</v>
          </cell>
        </row>
        <row r="1694">
          <cell r="C1694">
            <v>380</v>
          </cell>
          <cell r="F1694">
            <v>1</v>
          </cell>
          <cell r="I1694">
            <v>46259</v>
          </cell>
          <cell r="J1694">
            <v>0</v>
          </cell>
          <cell r="K1694">
            <v>2</v>
          </cell>
          <cell r="L1694">
            <v>0</v>
          </cell>
          <cell r="M1694">
            <v>0</v>
          </cell>
        </row>
        <row r="1695">
          <cell r="C1695">
            <v>20</v>
          </cell>
          <cell r="F1695">
            <v>1</v>
          </cell>
          <cell r="I1695">
            <v>46259</v>
          </cell>
          <cell r="J1695">
            <v>0</v>
          </cell>
          <cell r="K1695">
            <v>4</v>
          </cell>
          <cell r="L1695">
            <v>0</v>
          </cell>
          <cell r="M1695">
            <v>0</v>
          </cell>
        </row>
        <row r="1696">
          <cell r="C1696">
            <v>52</v>
          </cell>
          <cell r="F1696">
            <v>1</v>
          </cell>
          <cell r="I1696">
            <v>46259</v>
          </cell>
          <cell r="J1696">
            <v>0</v>
          </cell>
          <cell r="K1696">
            <v>1</v>
          </cell>
          <cell r="L1696">
            <v>0</v>
          </cell>
          <cell r="M1696">
            <v>0</v>
          </cell>
        </row>
        <row r="1697">
          <cell r="C1697">
            <v>144</v>
          </cell>
          <cell r="F1697">
            <v>1</v>
          </cell>
          <cell r="I1697">
            <v>46259</v>
          </cell>
          <cell r="J1697">
            <v>0</v>
          </cell>
          <cell r="K1697">
            <v>1</v>
          </cell>
          <cell r="L1697">
            <v>0</v>
          </cell>
          <cell r="M1697">
            <v>0</v>
          </cell>
        </row>
        <row r="1698">
          <cell r="C1698">
            <v>394</v>
          </cell>
          <cell r="F1698">
            <v>1</v>
          </cell>
          <cell r="I1698">
            <v>46259</v>
          </cell>
          <cell r="J1698">
            <v>0</v>
          </cell>
          <cell r="K1698">
            <v>1</v>
          </cell>
          <cell r="L1698">
            <v>0</v>
          </cell>
          <cell r="M1698">
            <v>0</v>
          </cell>
        </row>
        <row r="1699">
          <cell r="C1699">
            <v>413</v>
          </cell>
          <cell r="F1699">
            <v>1</v>
          </cell>
          <cell r="I1699">
            <v>46259</v>
          </cell>
          <cell r="J1699">
            <v>0</v>
          </cell>
          <cell r="K1699">
            <v>1</v>
          </cell>
          <cell r="L1699">
            <v>0</v>
          </cell>
          <cell r="M1699">
            <v>0</v>
          </cell>
        </row>
        <row r="1700">
          <cell r="C1700">
            <v>294</v>
          </cell>
          <cell r="F1700">
            <v>1</v>
          </cell>
          <cell r="I1700">
            <v>46260</v>
          </cell>
          <cell r="J1700">
            <v>0</v>
          </cell>
          <cell r="K1700">
            <v>5</v>
          </cell>
          <cell r="L1700">
            <v>0</v>
          </cell>
          <cell r="M1700">
            <v>0</v>
          </cell>
        </row>
        <row r="1701">
          <cell r="C1701">
            <v>144</v>
          </cell>
          <cell r="F1701">
            <v>1</v>
          </cell>
          <cell r="I1701">
            <v>46260</v>
          </cell>
          <cell r="J1701">
            <v>0</v>
          </cell>
          <cell r="K1701">
            <v>3</v>
          </cell>
          <cell r="L1701">
            <v>0</v>
          </cell>
          <cell r="M1701">
            <v>0</v>
          </cell>
        </row>
        <row r="1702">
          <cell r="C1702">
            <v>241</v>
          </cell>
          <cell r="F1702">
            <v>1</v>
          </cell>
          <cell r="I1702">
            <v>46260</v>
          </cell>
          <cell r="J1702">
            <v>0</v>
          </cell>
          <cell r="K1702">
            <v>5</v>
          </cell>
          <cell r="L1702">
            <v>0</v>
          </cell>
          <cell r="M1702">
            <v>0</v>
          </cell>
        </row>
        <row r="1703">
          <cell r="C1703">
            <v>101</v>
          </cell>
          <cell r="F1703">
            <v>1</v>
          </cell>
          <cell r="I1703">
            <v>46260</v>
          </cell>
          <cell r="J1703">
            <v>0</v>
          </cell>
          <cell r="K1703">
            <v>2000</v>
          </cell>
          <cell r="L1703">
            <v>0</v>
          </cell>
          <cell r="M1703">
            <v>0</v>
          </cell>
        </row>
        <row r="1704">
          <cell r="C1704">
            <v>337</v>
          </cell>
          <cell r="F1704">
            <v>1</v>
          </cell>
          <cell r="I1704">
            <v>46260</v>
          </cell>
          <cell r="J1704">
            <v>0</v>
          </cell>
          <cell r="K1704">
            <v>60</v>
          </cell>
          <cell r="L1704">
            <v>0</v>
          </cell>
          <cell r="M1704">
            <v>0</v>
          </cell>
        </row>
        <row r="1705">
          <cell r="C1705">
            <v>374</v>
          </cell>
          <cell r="F1705">
            <v>1</v>
          </cell>
          <cell r="I1705">
            <v>46260</v>
          </cell>
          <cell r="J1705">
            <v>0</v>
          </cell>
          <cell r="K1705">
            <v>2</v>
          </cell>
          <cell r="L1705">
            <v>0</v>
          </cell>
          <cell r="M1705">
            <v>0</v>
          </cell>
        </row>
        <row r="1706">
          <cell r="C1706">
            <v>380</v>
          </cell>
          <cell r="F1706">
            <v>1</v>
          </cell>
          <cell r="I1706">
            <v>46260</v>
          </cell>
          <cell r="J1706">
            <v>0</v>
          </cell>
          <cell r="K1706">
            <v>1</v>
          </cell>
          <cell r="L1706">
            <v>0</v>
          </cell>
          <cell r="M1706">
            <v>0</v>
          </cell>
        </row>
        <row r="1707">
          <cell r="C1707">
            <v>371</v>
          </cell>
          <cell r="F1707">
            <v>1</v>
          </cell>
          <cell r="I1707">
            <v>46260</v>
          </cell>
          <cell r="J1707">
            <v>0</v>
          </cell>
          <cell r="K1707">
            <v>3</v>
          </cell>
          <cell r="L1707">
            <v>0</v>
          </cell>
          <cell r="M1707">
            <v>0</v>
          </cell>
        </row>
        <row r="1708">
          <cell r="C1708">
            <v>395</v>
          </cell>
          <cell r="F1708">
            <v>1</v>
          </cell>
          <cell r="I1708">
            <v>46260</v>
          </cell>
          <cell r="J1708">
            <v>0</v>
          </cell>
          <cell r="K1708">
            <v>1</v>
          </cell>
          <cell r="L1708">
            <v>0</v>
          </cell>
          <cell r="M1708">
            <v>0</v>
          </cell>
        </row>
        <row r="1709">
          <cell r="C1709">
            <v>388</v>
          </cell>
          <cell r="F1709">
            <v>1</v>
          </cell>
          <cell r="I1709">
            <v>46260</v>
          </cell>
          <cell r="J1709">
            <v>0</v>
          </cell>
          <cell r="K1709">
            <v>1</v>
          </cell>
          <cell r="L1709">
            <v>0</v>
          </cell>
          <cell r="M1709">
            <v>0</v>
          </cell>
        </row>
        <row r="1710">
          <cell r="C1710">
            <v>389</v>
          </cell>
          <cell r="F1710">
            <v>1</v>
          </cell>
          <cell r="I1710">
            <v>46260</v>
          </cell>
          <cell r="J1710">
            <v>0</v>
          </cell>
          <cell r="K1710">
            <v>2</v>
          </cell>
          <cell r="L1710">
            <v>0</v>
          </cell>
          <cell r="M1710">
            <v>0</v>
          </cell>
        </row>
        <row r="1711">
          <cell r="C1711">
            <v>374</v>
          </cell>
          <cell r="F1711">
            <v>1</v>
          </cell>
          <cell r="I1711">
            <v>46260</v>
          </cell>
          <cell r="J1711">
            <v>0</v>
          </cell>
          <cell r="K1711">
            <v>1</v>
          </cell>
          <cell r="L1711">
            <v>0</v>
          </cell>
          <cell r="M1711">
            <v>0</v>
          </cell>
        </row>
        <row r="1712">
          <cell r="C1712">
            <v>394</v>
          </cell>
          <cell r="F1712">
            <v>1</v>
          </cell>
          <cell r="I1712">
            <v>46260</v>
          </cell>
          <cell r="J1712">
            <v>0</v>
          </cell>
          <cell r="K1712">
            <v>1</v>
          </cell>
          <cell r="L1712">
            <v>0</v>
          </cell>
          <cell r="M1712">
            <v>0</v>
          </cell>
        </row>
        <row r="1713">
          <cell r="C1713">
            <v>367</v>
          </cell>
          <cell r="F1713">
            <v>1</v>
          </cell>
          <cell r="I1713">
            <v>46260</v>
          </cell>
          <cell r="J1713">
            <v>0</v>
          </cell>
          <cell r="K1713">
            <v>3</v>
          </cell>
          <cell r="L1713">
            <v>0</v>
          </cell>
          <cell r="M1713">
            <v>0</v>
          </cell>
        </row>
        <row r="1714">
          <cell r="C1714">
            <v>108</v>
          </cell>
          <cell r="F1714">
            <v>1</v>
          </cell>
          <cell r="I1714">
            <v>46260</v>
          </cell>
          <cell r="J1714">
            <v>0</v>
          </cell>
          <cell r="K1714">
            <v>2</v>
          </cell>
          <cell r="L1714">
            <v>0</v>
          </cell>
          <cell r="M1714">
            <v>0</v>
          </cell>
        </row>
        <row r="1715">
          <cell r="C1715">
            <v>125</v>
          </cell>
          <cell r="F1715">
            <v>1</v>
          </cell>
          <cell r="I1715">
            <v>46260</v>
          </cell>
          <cell r="J1715">
            <v>0</v>
          </cell>
          <cell r="K1715">
            <v>20</v>
          </cell>
          <cell r="L1715">
            <v>0</v>
          </cell>
          <cell r="M1715">
            <v>0</v>
          </cell>
        </row>
        <row r="1716">
          <cell r="C1716">
            <v>142</v>
          </cell>
          <cell r="F1716">
            <v>1</v>
          </cell>
          <cell r="I1716">
            <v>46260</v>
          </cell>
          <cell r="J1716">
            <v>0</v>
          </cell>
          <cell r="K1716">
            <v>2</v>
          </cell>
          <cell r="L1716">
            <v>0</v>
          </cell>
          <cell r="M1716">
            <v>0</v>
          </cell>
        </row>
        <row r="1717">
          <cell r="C1717">
            <v>145</v>
          </cell>
          <cell r="F1717">
            <v>1</v>
          </cell>
          <cell r="I1717">
            <v>46260</v>
          </cell>
          <cell r="J1717">
            <v>0</v>
          </cell>
          <cell r="K1717">
            <v>1</v>
          </cell>
          <cell r="L1717">
            <v>0</v>
          </cell>
          <cell r="M1717">
            <v>0</v>
          </cell>
        </row>
        <row r="1718">
          <cell r="C1718">
            <v>219</v>
          </cell>
          <cell r="F1718">
            <v>1</v>
          </cell>
          <cell r="I1718">
            <v>46260</v>
          </cell>
          <cell r="J1718">
            <v>0</v>
          </cell>
          <cell r="K1718">
            <v>6</v>
          </cell>
          <cell r="L1718">
            <v>0</v>
          </cell>
          <cell r="M1718">
            <v>0</v>
          </cell>
        </row>
        <row r="1719">
          <cell r="C1719">
            <v>276</v>
          </cell>
          <cell r="F1719">
            <v>1</v>
          </cell>
          <cell r="I1719">
            <v>46260</v>
          </cell>
          <cell r="J1719">
            <v>0</v>
          </cell>
          <cell r="K1719">
            <v>2</v>
          </cell>
          <cell r="L1719">
            <v>0</v>
          </cell>
          <cell r="M1719">
            <v>0</v>
          </cell>
        </row>
        <row r="1720">
          <cell r="C1720">
            <v>363</v>
          </cell>
          <cell r="F1720">
            <v>1</v>
          </cell>
          <cell r="I1720">
            <v>46260</v>
          </cell>
          <cell r="J1720">
            <v>0</v>
          </cell>
          <cell r="K1720">
            <v>2</v>
          </cell>
          <cell r="L1720">
            <v>0</v>
          </cell>
          <cell r="M1720">
            <v>0</v>
          </cell>
        </row>
        <row r="1721">
          <cell r="C1721">
            <v>366</v>
          </cell>
          <cell r="F1721">
            <v>1</v>
          </cell>
          <cell r="I1721">
            <v>46260</v>
          </cell>
          <cell r="J1721">
            <v>0</v>
          </cell>
          <cell r="K1721">
            <v>1</v>
          </cell>
          <cell r="L1721">
            <v>0</v>
          </cell>
          <cell r="M1721">
            <v>0</v>
          </cell>
        </row>
        <row r="1722">
          <cell r="C1722">
            <v>366</v>
          </cell>
          <cell r="F1722">
            <v>1</v>
          </cell>
          <cell r="I1722">
            <v>46260</v>
          </cell>
          <cell r="J1722">
            <v>0</v>
          </cell>
          <cell r="K1722">
            <v>1</v>
          </cell>
          <cell r="L1722">
            <v>0</v>
          </cell>
          <cell r="M1722">
            <v>0</v>
          </cell>
        </row>
        <row r="1723">
          <cell r="C1723">
            <v>170</v>
          </cell>
          <cell r="F1723">
            <v>1</v>
          </cell>
          <cell r="I1723">
            <v>46260</v>
          </cell>
          <cell r="J1723">
            <v>0</v>
          </cell>
          <cell r="K1723">
            <v>1</v>
          </cell>
          <cell r="L1723">
            <v>0</v>
          </cell>
          <cell r="M1723">
            <v>0</v>
          </cell>
        </row>
        <row r="1724">
          <cell r="C1724">
            <v>183</v>
          </cell>
          <cell r="F1724">
            <v>1</v>
          </cell>
          <cell r="I1724">
            <v>46260</v>
          </cell>
          <cell r="J1724">
            <v>0</v>
          </cell>
          <cell r="K1724">
            <v>12</v>
          </cell>
          <cell r="L1724">
            <v>0</v>
          </cell>
          <cell r="M1724">
            <v>0</v>
          </cell>
        </row>
        <row r="1725">
          <cell r="C1725">
            <v>177</v>
          </cell>
          <cell r="F1725">
            <v>1</v>
          </cell>
          <cell r="I1725">
            <v>46260</v>
          </cell>
          <cell r="J1725">
            <v>0</v>
          </cell>
          <cell r="K1725">
            <v>50</v>
          </cell>
          <cell r="L1725">
            <v>0</v>
          </cell>
          <cell r="M1725">
            <v>0</v>
          </cell>
        </row>
        <row r="1726">
          <cell r="C1726">
            <v>199</v>
          </cell>
          <cell r="F1726">
            <v>1</v>
          </cell>
          <cell r="I1726">
            <v>46260</v>
          </cell>
          <cell r="J1726">
            <v>0</v>
          </cell>
          <cell r="K1726">
            <v>4</v>
          </cell>
          <cell r="L1726">
            <v>0</v>
          </cell>
          <cell r="M1726">
            <v>0</v>
          </cell>
        </row>
        <row r="1727">
          <cell r="C1727">
            <v>387</v>
          </cell>
          <cell r="F1727">
            <v>1</v>
          </cell>
          <cell r="I1727">
            <v>46260</v>
          </cell>
          <cell r="J1727">
            <v>0</v>
          </cell>
          <cell r="K1727">
            <v>1</v>
          </cell>
          <cell r="L1727">
            <v>0</v>
          </cell>
          <cell r="M1727">
            <v>0</v>
          </cell>
        </row>
        <row r="1728">
          <cell r="C1728">
            <v>370</v>
          </cell>
          <cell r="F1728">
            <v>1</v>
          </cell>
          <cell r="I1728">
            <v>46260</v>
          </cell>
          <cell r="J1728">
            <v>0</v>
          </cell>
          <cell r="K1728">
            <v>2</v>
          </cell>
          <cell r="L1728">
            <v>0</v>
          </cell>
          <cell r="M1728">
            <v>0</v>
          </cell>
        </row>
        <row r="1729">
          <cell r="C1729">
            <v>413</v>
          </cell>
          <cell r="F1729">
            <v>1</v>
          </cell>
          <cell r="I1729">
            <v>46260</v>
          </cell>
          <cell r="J1729">
            <v>0</v>
          </cell>
          <cell r="K1729">
            <v>1</v>
          </cell>
          <cell r="L1729">
            <v>0</v>
          </cell>
          <cell r="M1729">
            <v>0</v>
          </cell>
        </row>
        <row r="1730">
          <cell r="C1730">
            <v>376</v>
          </cell>
          <cell r="F1730">
            <v>1</v>
          </cell>
          <cell r="I1730">
            <v>46260</v>
          </cell>
          <cell r="J1730">
            <v>0</v>
          </cell>
          <cell r="K1730">
            <v>1</v>
          </cell>
          <cell r="L1730">
            <v>0</v>
          </cell>
          <cell r="M1730">
            <v>0</v>
          </cell>
        </row>
        <row r="1731">
          <cell r="C1731">
            <v>169</v>
          </cell>
          <cell r="F1731">
            <v>1</v>
          </cell>
          <cell r="I1731">
            <v>46260</v>
          </cell>
          <cell r="J1731">
            <v>0</v>
          </cell>
          <cell r="K1731">
            <v>1</v>
          </cell>
          <cell r="L1731">
            <v>0</v>
          </cell>
          <cell r="M1731">
            <v>0</v>
          </cell>
        </row>
        <row r="1732">
          <cell r="C1732">
            <v>384</v>
          </cell>
          <cell r="F1732">
            <v>1</v>
          </cell>
          <cell r="I1732">
            <v>46260</v>
          </cell>
          <cell r="J1732">
            <v>0</v>
          </cell>
          <cell r="K1732">
            <v>1</v>
          </cell>
          <cell r="L1732">
            <v>0</v>
          </cell>
          <cell r="M1732">
            <v>0</v>
          </cell>
        </row>
        <row r="1733">
          <cell r="C1733">
            <v>386</v>
          </cell>
          <cell r="F1733">
            <v>1</v>
          </cell>
          <cell r="I1733">
            <v>46260</v>
          </cell>
          <cell r="J1733">
            <v>0</v>
          </cell>
          <cell r="K1733">
            <v>1</v>
          </cell>
          <cell r="L1733">
            <v>0</v>
          </cell>
          <cell r="M1733">
            <v>0</v>
          </cell>
        </row>
        <row r="1734">
          <cell r="C1734">
            <v>409</v>
          </cell>
          <cell r="F1734">
            <v>1</v>
          </cell>
          <cell r="I1734">
            <v>46260</v>
          </cell>
          <cell r="J1734">
            <v>0</v>
          </cell>
          <cell r="K1734">
            <v>1</v>
          </cell>
          <cell r="L1734">
            <v>0</v>
          </cell>
          <cell r="M1734">
            <v>0</v>
          </cell>
        </row>
        <row r="1735">
          <cell r="C1735">
            <v>411</v>
          </cell>
          <cell r="F1735">
            <v>1</v>
          </cell>
          <cell r="I1735">
            <v>46260</v>
          </cell>
          <cell r="J1735">
            <v>0</v>
          </cell>
          <cell r="K1735">
            <v>1</v>
          </cell>
          <cell r="L1735">
            <v>0</v>
          </cell>
          <cell r="M1735">
            <v>0</v>
          </cell>
        </row>
        <row r="1736">
          <cell r="C1736">
            <v>381</v>
          </cell>
          <cell r="F1736">
            <v>1</v>
          </cell>
          <cell r="I1736">
            <v>46260</v>
          </cell>
          <cell r="J1736">
            <v>0</v>
          </cell>
          <cell r="K1736">
            <v>1</v>
          </cell>
          <cell r="L1736">
            <v>0</v>
          </cell>
          <cell r="M1736">
            <v>0</v>
          </cell>
        </row>
        <row r="1737">
          <cell r="C1737">
            <v>30</v>
          </cell>
          <cell r="F1737">
            <v>1</v>
          </cell>
          <cell r="I1737">
            <v>46204</v>
          </cell>
          <cell r="J1737">
            <v>8</v>
          </cell>
          <cell r="K1737">
            <v>0</v>
          </cell>
        </row>
        <row r="1738">
          <cell r="C1738">
            <v>37</v>
          </cell>
          <cell r="F1738">
            <v>1</v>
          </cell>
          <cell r="I1738">
            <v>46204</v>
          </cell>
          <cell r="J1738">
            <v>1</v>
          </cell>
          <cell r="K1738">
            <v>0</v>
          </cell>
        </row>
        <row r="1739">
          <cell r="C1739">
            <v>38</v>
          </cell>
          <cell r="F1739">
            <v>1</v>
          </cell>
          <cell r="I1739">
            <v>46204</v>
          </cell>
          <cell r="J1739">
            <v>1</v>
          </cell>
          <cell r="K1739">
            <v>0</v>
          </cell>
        </row>
        <row r="1740">
          <cell r="C1740">
            <v>42</v>
          </cell>
          <cell r="F1740">
            <v>1</v>
          </cell>
          <cell r="I1740">
            <v>46204</v>
          </cell>
          <cell r="J1740">
            <v>5</v>
          </cell>
          <cell r="K1740">
            <v>0</v>
          </cell>
        </row>
        <row r="1741">
          <cell r="C1741">
            <v>59</v>
          </cell>
          <cell r="F1741">
            <v>1</v>
          </cell>
          <cell r="I1741">
            <v>46204</v>
          </cell>
          <cell r="J1741">
            <v>1</v>
          </cell>
          <cell r="K1741">
            <v>0</v>
          </cell>
        </row>
        <row r="1742">
          <cell r="C1742">
            <v>64</v>
          </cell>
          <cell r="F1742">
            <v>1</v>
          </cell>
          <cell r="I1742">
            <v>46204</v>
          </cell>
          <cell r="J1742">
            <v>1</v>
          </cell>
          <cell r="K1742">
            <v>0</v>
          </cell>
        </row>
        <row r="1743">
          <cell r="C1743">
            <v>67</v>
          </cell>
          <cell r="F1743">
            <v>1</v>
          </cell>
          <cell r="I1743">
            <v>46204</v>
          </cell>
          <cell r="J1743">
            <v>5</v>
          </cell>
          <cell r="K1743">
            <v>0</v>
          </cell>
        </row>
        <row r="1744">
          <cell r="C1744">
            <v>103</v>
          </cell>
          <cell r="F1744">
            <v>1</v>
          </cell>
          <cell r="I1744">
            <v>46204</v>
          </cell>
          <cell r="J1744">
            <v>1</v>
          </cell>
          <cell r="K1744">
            <v>0</v>
          </cell>
        </row>
        <row r="1745">
          <cell r="C1745">
            <v>201</v>
          </cell>
          <cell r="F1745">
            <v>1</v>
          </cell>
          <cell r="I1745">
            <v>46204</v>
          </cell>
          <cell r="J1745">
            <v>1</v>
          </cell>
          <cell r="K1745">
            <v>0</v>
          </cell>
        </row>
        <row r="1746">
          <cell r="C1746">
            <v>202</v>
          </cell>
          <cell r="F1746">
            <v>1</v>
          </cell>
          <cell r="I1746">
            <v>46204</v>
          </cell>
          <cell r="J1746">
            <v>1</v>
          </cell>
          <cell r="K1746">
            <v>0</v>
          </cell>
        </row>
        <row r="1747">
          <cell r="C1747">
            <v>203</v>
          </cell>
          <cell r="F1747">
            <v>1</v>
          </cell>
          <cell r="I1747">
            <v>46204</v>
          </cell>
          <cell r="J1747">
            <v>1</v>
          </cell>
          <cell r="K1747">
            <v>0</v>
          </cell>
        </row>
        <row r="1748">
          <cell r="C1748">
            <v>205</v>
          </cell>
          <cell r="F1748">
            <v>1</v>
          </cell>
          <cell r="I1748">
            <v>46204</v>
          </cell>
          <cell r="J1748">
            <v>1</v>
          </cell>
          <cell r="K1748">
            <v>0</v>
          </cell>
        </row>
        <row r="1749">
          <cell r="C1749">
            <v>206</v>
          </cell>
          <cell r="F1749">
            <v>1</v>
          </cell>
          <cell r="I1749">
            <v>46204</v>
          </cell>
          <cell r="J1749">
            <v>4</v>
          </cell>
          <cell r="K1749">
            <v>0</v>
          </cell>
        </row>
        <row r="1750">
          <cell r="C1750">
            <v>207</v>
          </cell>
          <cell r="F1750">
            <v>1</v>
          </cell>
          <cell r="I1750">
            <v>46204</v>
          </cell>
          <cell r="J1750">
            <v>1</v>
          </cell>
          <cell r="K1750">
            <v>0</v>
          </cell>
        </row>
        <row r="1751">
          <cell r="C1751">
            <v>208</v>
          </cell>
          <cell r="F1751">
            <v>1</v>
          </cell>
          <cell r="I1751">
            <v>46204</v>
          </cell>
          <cell r="J1751">
            <v>1</v>
          </cell>
          <cell r="K1751">
            <v>0</v>
          </cell>
        </row>
        <row r="1752">
          <cell r="C1752">
            <v>209</v>
          </cell>
          <cell r="F1752">
            <v>1</v>
          </cell>
          <cell r="I1752">
            <v>46204</v>
          </cell>
          <cell r="J1752">
            <v>5</v>
          </cell>
          <cell r="K1752">
            <v>0</v>
          </cell>
        </row>
        <row r="1753">
          <cell r="C1753">
            <v>210</v>
          </cell>
          <cell r="F1753">
            <v>1</v>
          </cell>
          <cell r="I1753">
            <v>46204</v>
          </cell>
          <cell r="J1753">
            <v>6</v>
          </cell>
          <cell r="K1753">
            <v>0</v>
          </cell>
        </row>
        <row r="1754">
          <cell r="C1754">
            <v>212</v>
          </cell>
          <cell r="F1754">
            <v>1</v>
          </cell>
          <cell r="I1754">
            <v>46204</v>
          </cell>
          <cell r="J1754">
            <v>1</v>
          </cell>
          <cell r="K1754">
            <v>0</v>
          </cell>
        </row>
        <row r="1755">
          <cell r="C1755">
            <v>214</v>
          </cell>
          <cell r="F1755">
            <v>1</v>
          </cell>
          <cell r="I1755">
            <v>46204</v>
          </cell>
          <cell r="J1755">
            <v>32</v>
          </cell>
          <cell r="K1755">
            <v>0</v>
          </cell>
        </row>
        <row r="1756">
          <cell r="C1756">
            <v>215</v>
          </cell>
          <cell r="F1756">
            <v>1</v>
          </cell>
          <cell r="I1756">
            <v>46204</v>
          </cell>
          <cell r="J1756">
            <v>1</v>
          </cell>
          <cell r="K1756">
            <v>0</v>
          </cell>
        </row>
        <row r="1757">
          <cell r="C1757">
            <v>216</v>
          </cell>
          <cell r="F1757">
            <v>1</v>
          </cell>
          <cell r="I1757">
            <v>46204</v>
          </cell>
          <cell r="J1757">
            <v>22</v>
          </cell>
          <cell r="K1757">
            <v>0</v>
          </cell>
        </row>
        <row r="1758">
          <cell r="C1758">
            <v>218</v>
          </cell>
          <cell r="F1758">
            <v>1</v>
          </cell>
          <cell r="I1758">
            <v>46204</v>
          </cell>
          <cell r="J1758">
            <v>2</v>
          </cell>
          <cell r="K1758">
            <v>0</v>
          </cell>
        </row>
        <row r="1759">
          <cell r="C1759">
            <v>220</v>
          </cell>
          <cell r="F1759">
            <v>1</v>
          </cell>
          <cell r="I1759">
            <v>46204</v>
          </cell>
          <cell r="J1759">
            <v>1</v>
          </cell>
          <cell r="K1759">
            <v>0</v>
          </cell>
        </row>
        <row r="1760">
          <cell r="C1760">
            <v>221</v>
          </cell>
          <cell r="F1760">
            <v>1</v>
          </cell>
          <cell r="I1760">
            <v>46204</v>
          </cell>
          <cell r="J1760">
            <v>8</v>
          </cell>
          <cell r="K1760">
            <v>0</v>
          </cell>
        </row>
        <row r="1761">
          <cell r="C1761">
            <v>222</v>
          </cell>
          <cell r="F1761">
            <v>1</v>
          </cell>
          <cell r="I1761">
            <v>46204</v>
          </cell>
          <cell r="J1761">
            <v>2</v>
          </cell>
          <cell r="K1761">
            <v>0</v>
          </cell>
        </row>
        <row r="1762">
          <cell r="C1762">
            <v>224</v>
          </cell>
          <cell r="F1762">
            <v>1</v>
          </cell>
          <cell r="I1762">
            <v>46204</v>
          </cell>
          <cell r="J1762">
            <v>1</v>
          </cell>
          <cell r="K1762">
            <v>0</v>
          </cell>
        </row>
        <row r="1763">
          <cell r="C1763">
            <v>225</v>
          </cell>
          <cell r="F1763">
            <v>1</v>
          </cell>
          <cell r="I1763">
            <v>46204</v>
          </cell>
          <cell r="J1763">
            <v>2</v>
          </cell>
          <cell r="K1763">
            <v>0</v>
          </cell>
        </row>
        <row r="1764">
          <cell r="C1764">
            <v>226</v>
          </cell>
          <cell r="F1764">
            <v>1</v>
          </cell>
          <cell r="I1764">
            <v>46204</v>
          </cell>
          <cell r="J1764">
            <v>3</v>
          </cell>
          <cell r="K1764">
            <v>0</v>
          </cell>
        </row>
        <row r="1765">
          <cell r="C1765">
            <v>227</v>
          </cell>
          <cell r="F1765">
            <v>1</v>
          </cell>
          <cell r="I1765">
            <v>46204</v>
          </cell>
          <cell r="J1765">
            <v>10</v>
          </cell>
          <cell r="K1765">
            <v>0</v>
          </cell>
        </row>
        <row r="1766">
          <cell r="C1766">
            <v>229</v>
          </cell>
          <cell r="F1766">
            <v>1</v>
          </cell>
          <cell r="I1766">
            <v>46204</v>
          </cell>
          <cell r="J1766">
            <v>5</v>
          </cell>
          <cell r="K1766">
            <v>0</v>
          </cell>
        </row>
        <row r="1767">
          <cell r="C1767">
            <v>230</v>
          </cell>
          <cell r="F1767">
            <v>1</v>
          </cell>
          <cell r="I1767">
            <v>46204</v>
          </cell>
          <cell r="J1767">
            <v>3</v>
          </cell>
          <cell r="K1767">
            <v>0</v>
          </cell>
        </row>
        <row r="1768">
          <cell r="C1768">
            <v>231</v>
          </cell>
          <cell r="F1768">
            <v>1</v>
          </cell>
          <cell r="I1768">
            <v>46204</v>
          </cell>
          <cell r="J1768">
            <v>1</v>
          </cell>
          <cell r="K1768">
            <v>0</v>
          </cell>
        </row>
        <row r="1769">
          <cell r="C1769">
            <v>232</v>
          </cell>
          <cell r="F1769">
            <v>1</v>
          </cell>
          <cell r="I1769">
            <v>46204</v>
          </cell>
          <cell r="J1769">
            <v>1</v>
          </cell>
          <cell r="K1769">
            <v>0</v>
          </cell>
        </row>
        <row r="1770">
          <cell r="C1770">
            <v>233</v>
          </cell>
          <cell r="F1770">
            <v>1</v>
          </cell>
          <cell r="I1770">
            <v>46204</v>
          </cell>
          <cell r="J1770">
            <v>1</v>
          </cell>
          <cell r="K1770">
            <v>0</v>
          </cell>
        </row>
        <row r="1771">
          <cell r="C1771">
            <v>244</v>
          </cell>
          <cell r="F1771">
            <v>1</v>
          </cell>
          <cell r="I1771">
            <v>46204</v>
          </cell>
          <cell r="J1771">
            <v>2</v>
          </cell>
          <cell r="K1771">
            <v>0</v>
          </cell>
        </row>
        <row r="1772">
          <cell r="C1772">
            <v>245</v>
          </cell>
          <cell r="F1772">
            <v>1</v>
          </cell>
          <cell r="I1772">
            <v>46204</v>
          </cell>
          <cell r="J1772">
            <v>1</v>
          </cell>
          <cell r="K1772">
            <v>0</v>
          </cell>
        </row>
        <row r="1773">
          <cell r="C1773">
            <v>247</v>
          </cell>
          <cell r="F1773">
            <v>1</v>
          </cell>
          <cell r="I1773">
            <v>46204</v>
          </cell>
          <cell r="J1773">
            <v>7</v>
          </cell>
          <cell r="K1773">
            <v>0</v>
          </cell>
        </row>
        <row r="1774">
          <cell r="C1774">
            <v>248</v>
          </cell>
          <cell r="F1774">
            <v>1</v>
          </cell>
          <cell r="I1774">
            <v>46204</v>
          </cell>
          <cell r="J1774">
            <v>26</v>
          </cell>
          <cell r="K1774">
            <v>0</v>
          </cell>
        </row>
        <row r="1775">
          <cell r="C1775">
            <v>249</v>
          </cell>
          <cell r="F1775">
            <v>1</v>
          </cell>
          <cell r="I1775">
            <v>46204</v>
          </cell>
          <cell r="J1775">
            <v>2</v>
          </cell>
          <cell r="K1775">
            <v>0</v>
          </cell>
        </row>
        <row r="1776">
          <cell r="C1776">
            <v>250</v>
          </cell>
          <cell r="F1776">
            <v>1</v>
          </cell>
          <cell r="I1776">
            <v>46204</v>
          </cell>
          <cell r="J1776">
            <v>24</v>
          </cell>
          <cell r="K1776">
            <v>0</v>
          </cell>
        </row>
        <row r="1777">
          <cell r="C1777">
            <v>251</v>
          </cell>
          <cell r="F1777">
            <v>1</v>
          </cell>
          <cell r="I1777">
            <v>46204</v>
          </cell>
          <cell r="J1777">
            <v>20</v>
          </cell>
          <cell r="K1777">
            <v>0</v>
          </cell>
        </row>
        <row r="1778">
          <cell r="C1778">
            <v>252</v>
          </cell>
          <cell r="F1778">
            <v>1</v>
          </cell>
          <cell r="I1778">
            <v>46204</v>
          </cell>
          <cell r="J1778">
            <v>28</v>
          </cell>
          <cell r="K1778">
            <v>0</v>
          </cell>
        </row>
        <row r="1779">
          <cell r="C1779">
            <v>253</v>
          </cell>
          <cell r="F1779">
            <v>1</v>
          </cell>
          <cell r="I1779">
            <v>46204</v>
          </cell>
          <cell r="J1779">
            <v>3</v>
          </cell>
          <cell r="K1779">
            <v>0</v>
          </cell>
        </row>
        <row r="1780">
          <cell r="C1780">
            <v>254</v>
          </cell>
          <cell r="F1780">
            <v>1</v>
          </cell>
          <cell r="I1780">
            <v>46204</v>
          </cell>
          <cell r="J1780">
            <v>5</v>
          </cell>
          <cell r="K1780">
            <v>0</v>
          </cell>
        </row>
        <row r="1781">
          <cell r="C1781">
            <v>255</v>
          </cell>
          <cell r="F1781">
            <v>1</v>
          </cell>
          <cell r="I1781">
            <v>46204</v>
          </cell>
          <cell r="J1781">
            <v>3</v>
          </cell>
          <cell r="K1781">
            <v>0</v>
          </cell>
        </row>
        <row r="1782">
          <cell r="C1782">
            <v>256</v>
          </cell>
          <cell r="F1782">
            <v>1</v>
          </cell>
          <cell r="I1782">
            <v>46204</v>
          </cell>
          <cell r="J1782">
            <v>5</v>
          </cell>
          <cell r="K1782">
            <v>0</v>
          </cell>
        </row>
        <row r="1783">
          <cell r="C1783">
            <v>257</v>
          </cell>
          <cell r="F1783">
            <v>1</v>
          </cell>
          <cell r="I1783">
            <v>46204</v>
          </cell>
          <cell r="J1783">
            <v>2</v>
          </cell>
          <cell r="K1783">
            <v>0</v>
          </cell>
        </row>
        <row r="1784">
          <cell r="C1784">
            <v>258</v>
          </cell>
          <cell r="F1784">
            <v>1</v>
          </cell>
          <cell r="I1784">
            <v>46204</v>
          </cell>
          <cell r="J1784">
            <v>2</v>
          </cell>
          <cell r="K1784">
            <v>0</v>
          </cell>
        </row>
        <row r="1785">
          <cell r="C1785">
            <v>259</v>
          </cell>
          <cell r="F1785">
            <v>1</v>
          </cell>
          <cell r="I1785">
            <v>46204</v>
          </cell>
          <cell r="J1785">
            <v>2</v>
          </cell>
          <cell r="K1785">
            <v>0</v>
          </cell>
        </row>
        <row r="1786">
          <cell r="C1786">
            <v>260</v>
          </cell>
          <cell r="F1786">
            <v>1</v>
          </cell>
          <cell r="I1786">
            <v>46204</v>
          </cell>
          <cell r="J1786">
            <v>3</v>
          </cell>
          <cell r="K1786">
            <v>0</v>
          </cell>
        </row>
        <row r="1787">
          <cell r="C1787">
            <v>261</v>
          </cell>
          <cell r="F1787">
            <v>1</v>
          </cell>
          <cell r="I1787">
            <v>46204</v>
          </cell>
          <cell r="J1787">
            <v>1</v>
          </cell>
          <cell r="K1787">
            <v>0</v>
          </cell>
        </row>
        <row r="1788">
          <cell r="C1788">
            <v>262</v>
          </cell>
          <cell r="F1788">
            <v>1</v>
          </cell>
          <cell r="I1788">
            <v>46204</v>
          </cell>
          <cell r="J1788">
            <v>1</v>
          </cell>
          <cell r="K1788">
            <v>0</v>
          </cell>
        </row>
        <row r="1789">
          <cell r="C1789">
            <v>263</v>
          </cell>
          <cell r="F1789">
            <v>1</v>
          </cell>
          <cell r="I1789">
            <v>46204</v>
          </cell>
          <cell r="J1789">
            <v>3</v>
          </cell>
          <cell r="K1789">
            <v>0</v>
          </cell>
        </row>
        <row r="1790">
          <cell r="C1790">
            <v>264</v>
          </cell>
          <cell r="F1790">
            <v>1</v>
          </cell>
          <cell r="I1790">
            <v>46204</v>
          </cell>
          <cell r="J1790">
            <v>4</v>
          </cell>
          <cell r="K1790">
            <v>0</v>
          </cell>
        </row>
        <row r="1791">
          <cell r="C1791">
            <v>266</v>
          </cell>
          <cell r="F1791">
            <v>1</v>
          </cell>
          <cell r="I1791">
            <v>46204</v>
          </cell>
          <cell r="J1791">
            <v>7</v>
          </cell>
          <cell r="K1791">
            <v>0</v>
          </cell>
        </row>
        <row r="1792">
          <cell r="C1792">
            <v>267</v>
          </cell>
          <cell r="F1792">
            <v>1</v>
          </cell>
          <cell r="I1792">
            <v>46204</v>
          </cell>
          <cell r="J1792">
            <v>4</v>
          </cell>
          <cell r="K1792">
            <v>0</v>
          </cell>
        </row>
        <row r="1793">
          <cell r="C1793">
            <v>268</v>
          </cell>
          <cell r="F1793">
            <v>1</v>
          </cell>
          <cell r="I1793">
            <v>46204</v>
          </cell>
          <cell r="J1793">
            <v>3</v>
          </cell>
          <cell r="K1793">
            <v>0</v>
          </cell>
        </row>
        <row r="1794">
          <cell r="C1794">
            <v>269</v>
          </cell>
          <cell r="F1794">
            <v>1</v>
          </cell>
          <cell r="I1794">
            <v>46204</v>
          </cell>
          <cell r="J1794">
            <v>10</v>
          </cell>
          <cell r="K1794">
            <v>0</v>
          </cell>
        </row>
        <row r="1795">
          <cell r="C1795">
            <v>271</v>
          </cell>
          <cell r="F1795">
            <v>1</v>
          </cell>
          <cell r="I1795">
            <v>46204</v>
          </cell>
          <cell r="J1795">
            <v>2</v>
          </cell>
          <cell r="K1795">
            <v>0</v>
          </cell>
        </row>
        <row r="1796">
          <cell r="C1796">
            <v>272</v>
          </cell>
          <cell r="F1796">
            <v>1</v>
          </cell>
          <cell r="I1796">
            <v>46204</v>
          </cell>
          <cell r="J1796">
            <v>15</v>
          </cell>
          <cell r="K1796">
            <v>0</v>
          </cell>
        </row>
        <row r="1797">
          <cell r="C1797">
            <v>273</v>
          </cell>
          <cell r="F1797">
            <v>1</v>
          </cell>
          <cell r="I1797">
            <v>46204</v>
          </cell>
          <cell r="J1797">
            <v>28</v>
          </cell>
          <cell r="K1797">
            <v>0</v>
          </cell>
        </row>
        <row r="1798">
          <cell r="C1798">
            <v>274</v>
          </cell>
          <cell r="F1798">
            <v>1</v>
          </cell>
          <cell r="I1798">
            <v>46204</v>
          </cell>
          <cell r="J1798">
            <v>1</v>
          </cell>
          <cell r="K1798">
            <v>0</v>
          </cell>
        </row>
        <row r="1799">
          <cell r="C1799">
            <v>275</v>
          </cell>
          <cell r="F1799">
            <v>1</v>
          </cell>
          <cell r="I1799">
            <v>46204</v>
          </cell>
          <cell r="J1799">
            <v>11</v>
          </cell>
          <cell r="K1799">
            <v>0</v>
          </cell>
        </row>
        <row r="1800">
          <cell r="C1800">
            <v>278</v>
          </cell>
          <cell r="F1800">
            <v>1</v>
          </cell>
          <cell r="I1800">
            <v>46204</v>
          </cell>
          <cell r="J1800">
            <v>6</v>
          </cell>
          <cell r="K1800">
            <v>0</v>
          </cell>
        </row>
        <row r="1801">
          <cell r="C1801">
            <v>279</v>
          </cell>
          <cell r="F1801">
            <v>1</v>
          </cell>
          <cell r="I1801">
            <v>46204</v>
          </cell>
          <cell r="J1801">
            <v>4</v>
          </cell>
          <cell r="K1801">
            <v>0</v>
          </cell>
        </row>
        <row r="1802">
          <cell r="C1802">
            <v>280</v>
          </cell>
          <cell r="F1802">
            <v>1</v>
          </cell>
          <cell r="I1802">
            <v>46204</v>
          </cell>
          <cell r="J1802">
            <v>6</v>
          </cell>
          <cell r="K1802">
            <v>0</v>
          </cell>
        </row>
        <row r="1803">
          <cell r="C1803">
            <v>281</v>
          </cell>
          <cell r="F1803">
            <v>1</v>
          </cell>
          <cell r="I1803">
            <v>46204</v>
          </cell>
          <cell r="J1803">
            <v>1</v>
          </cell>
          <cell r="K1803">
            <v>0</v>
          </cell>
        </row>
        <row r="1804">
          <cell r="C1804">
            <v>282</v>
          </cell>
          <cell r="F1804">
            <v>1</v>
          </cell>
          <cell r="I1804">
            <v>46204</v>
          </cell>
          <cell r="J1804">
            <v>6</v>
          </cell>
          <cell r="K1804">
            <v>0</v>
          </cell>
        </row>
        <row r="1805">
          <cell r="C1805">
            <v>285</v>
          </cell>
          <cell r="F1805">
            <v>1</v>
          </cell>
          <cell r="I1805">
            <v>46204</v>
          </cell>
          <cell r="J1805">
            <v>8</v>
          </cell>
          <cell r="K1805">
            <v>0</v>
          </cell>
        </row>
        <row r="1806">
          <cell r="C1806">
            <v>286</v>
          </cell>
          <cell r="F1806">
            <v>1</v>
          </cell>
          <cell r="I1806">
            <v>46204</v>
          </cell>
          <cell r="J1806">
            <v>8</v>
          </cell>
          <cell r="K1806">
            <v>0</v>
          </cell>
        </row>
        <row r="1807">
          <cell r="C1807">
            <v>321</v>
          </cell>
          <cell r="F1807">
            <v>1</v>
          </cell>
          <cell r="I1807">
            <v>46204</v>
          </cell>
          <cell r="J1807">
            <v>1</v>
          </cell>
          <cell r="K1807">
            <v>0</v>
          </cell>
        </row>
        <row r="1808">
          <cell r="C1808">
            <v>322</v>
          </cell>
          <cell r="F1808">
            <v>1</v>
          </cell>
          <cell r="I1808">
            <v>46204</v>
          </cell>
          <cell r="J1808">
            <v>1</v>
          </cell>
          <cell r="K1808">
            <v>0</v>
          </cell>
        </row>
        <row r="1809">
          <cell r="C1809">
            <v>323</v>
          </cell>
          <cell r="F1809">
            <v>1</v>
          </cell>
          <cell r="I1809">
            <v>46204</v>
          </cell>
          <cell r="J1809">
            <v>18</v>
          </cell>
          <cell r="K1809">
            <v>0</v>
          </cell>
        </row>
        <row r="1810">
          <cell r="C1810">
            <v>324</v>
          </cell>
          <cell r="F1810">
            <v>1</v>
          </cell>
          <cell r="I1810">
            <v>46204</v>
          </cell>
          <cell r="J1810">
            <v>1</v>
          </cell>
          <cell r="K1810">
            <v>0</v>
          </cell>
        </row>
        <row r="1811">
          <cell r="C1811">
            <v>325</v>
          </cell>
          <cell r="F1811">
            <v>1</v>
          </cell>
          <cell r="I1811">
            <v>46204</v>
          </cell>
          <cell r="J1811">
            <v>1</v>
          </cell>
          <cell r="K1811">
            <v>0</v>
          </cell>
        </row>
        <row r="1812">
          <cell r="C1812">
            <v>326</v>
          </cell>
          <cell r="F1812">
            <v>1</v>
          </cell>
          <cell r="I1812">
            <v>46204</v>
          </cell>
          <cell r="J1812">
            <v>1</v>
          </cell>
          <cell r="K1812">
            <v>0</v>
          </cell>
        </row>
        <row r="1813">
          <cell r="C1813">
            <v>328</v>
          </cell>
          <cell r="F1813">
            <v>1</v>
          </cell>
          <cell r="I1813">
            <v>46204</v>
          </cell>
          <cell r="J1813">
            <v>1</v>
          </cell>
          <cell r="K1813">
            <v>0</v>
          </cell>
        </row>
        <row r="1814">
          <cell r="C1814">
            <v>329</v>
          </cell>
          <cell r="F1814">
            <v>1</v>
          </cell>
          <cell r="I1814">
            <v>46204</v>
          </cell>
          <cell r="J1814">
            <v>1</v>
          </cell>
          <cell r="K1814">
            <v>0</v>
          </cell>
        </row>
        <row r="1815">
          <cell r="C1815">
            <v>330</v>
          </cell>
          <cell r="F1815">
            <v>1</v>
          </cell>
          <cell r="I1815">
            <v>46204</v>
          </cell>
          <cell r="J1815">
            <v>2</v>
          </cell>
          <cell r="K1815">
            <v>0</v>
          </cell>
        </row>
        <row r="1816">
          <cell r="C1816">
            <v>331</v>
          </cell>
          <cell r="F1816">
            <v>1</v>
          </cell>
          <cell r="I1816">
            <v>46204</v>
          </cell>
          <cell r="J1816">
            <v>6</v>
          </cell>
          <cell r="K1816">
            <v>0</v>
          </cell>
        </row>
        <row r="1817">
          <cell r="C1817">
            <v>332</v>
          </cell>
          <cell r="F1817">
            <v>1</v>
          </cell>
          <cell r="I1817">
            <v>46204</v>
          </cell>
          <cell r="J1817">
            <v>220</v>
          </cell>
          <cell r="K1817">
            <v>0</v>
          </cell>
        </row>
        <row r="1818">
          <cell r="C1818">
            <v>333</v>
          </cell>
          <cell r="F1818">
            <v>1</v>
          </cell>
          <cell r="I1818">
            <v>46204</v>
          </cell>
          <cell r="J1818">
            <v>6</v>
          </cell>
          <cell r="K1818">
            <v>0</v>
          </cell>
        </row>
        <row r="1819">
          <cell r="C1819">
            <v>334</v>
          </cell>
          <cell r="F1819">
            <v>1</v>
          </cell>
          <cell r="I1819">
            <v>46204</v>
          </cell>
          <cell r="J1819">
            <v>3</v>
          </cell>
          <cell r="K1819">
            <v>0</v>
          </cell>
        </row>
        <row r="1820">
          <cell r="C1820">
            <v>336</v>
          </cell>
          <cell r="F1820">
            <v>1</v>
          </cell>
          <cell r="I1820">
            <v>46204</v>
          </cell>
          <cell r="J1820">
            <v>1</v>
          </cell>
          <cell r="K1820">
            <v>0</v>
          </cell>
        </row>
        <row r="1821">
          <cell r="C1821">
            <v>339</v>
          </cell>
          <cell r="F1821">
            <v>1</v>
          </cell>
          <cell r="I1821">
            <v>46204</v>
          </cell>
          <cell r="J1821">
            <v>10</v>
          </cell>
          <cell r="K1821">
            <v>0</v>
          </cell>
        </row>
        <row r="1822">
          <cell r="C1822">
            <v>341</v>
          </cell>
          <cell r="F1822">
            <v>1</v>
          </cell>
          <cell r="I1822">
            <v>46204</v>
          </cell>
          <cell r="J1822">
            <v>7</v>
          </cell>
          <cell r="K1822">
            <v>0</v>
          </cell>
        </row>
        <row r="1823">
          <cell r="C1823">
            <v>342</v>
          </cell>
          <cell r="F1823">
            <v>1</v>
          </cell>
          <cell r="I1823">
            <v>46204</v>
          </cell>
          <cell r="J1823">
            <v>16</v>
          </cell>
          <cell r="K1823">
            <v>0</v>
          </cell>
        </row>
        <row r="1824">
          <cell r="C1824">
            <v>345</v>
          </cell>
          <cell r="F1824">
            <v>1</v>
          </cell>
          <cell r="I1824">
            <v>46204</v>
          </cell>
          <cell r="J1824">
            <v>1</v>
          </cell>
          <cell r="K1824">
            <v>0</v>
          </cell>
        </row>
        <row r="1825">
          <cell r="C1825">
            <v>346</v>
          </cell>
          <cell r="F1825">
            <v>1</v>
          </cell>
          <cell r="I1825">
            <v>46204</v>
          </cell>
          <cell r="J1825">
            <v>2</v>
          </cell>
          <cell r="K1825">
            <v>0</v>
          </cell>
        </row>
        <row r="1826">
          <cell r="C1826">
            <v>359</v>
          </cell>
          <cell r="F1826">
            <v>1</v>
          </cell>
          <cell r="I1826">
            <v>46204</v>
          </cell>
          <cell r="J1826">
            <v>4</v>
          </cell>
          <cell r="K1826">
            <v>0</v>
          </cell>
        </row>
        <row r="1827">
          <cell r="C1827">
            <v>360</v>
          </cell>
          <cell r="F1827">
            <v>1</v>
          </cell>
          <cell r="I1827">
            <v>46204</v>
          </cell>
          <cell r="J1827">
            <v>4</v>
          </cell>
          <cell r="K1827">
            <v>0</v>
          </cell>
        </row>
        <row r="1828">
          <cell r="C1828">
            <v>366</v>
          </cell>
          <cell r="F1828">
            <v>1</v>
          </cell>
          <cell r="I1828">
            <v>46204</v>
          </cell>
          <cell r="J1828">
            <v>1</v>
          </cell>
          <cell r="K1828">
            <v>0</v>
          </cell>
        </row>
        <row r="1829">
          <cell r="C1829">
            <v>273</v>
          </cell>
          <cell r="F1829">
            <v>1</v>
          </cell>
          <cell r="I1829">
            <v>46259</v>
          </cell>
          <cell r="J1829">
            <v>0</v>
          </cell>
          <cell r="K1829">
            <v>0</v>
          </cell>
          <cell r="L1829">
            <v>0</v>
          </cell>
          <cell r="M1829">
            <v>240</v>
          </cell>
        </row>
        <row r="1830">
          <cell r="C1830">
            <v>96</v>
          </cell>
          <cell r="F1830">
            <v>1</v>
          </cell>
          <cell r="I1830">
            <v>46259</v>
          </cell>
          <cell r="J1830">
            <v>0</v>
          </cell>
          <cell r="K1830">
            <v>0</v>
          </cell>
          <cell r="L1830">
            <v>0</v>
          </cell>
          <cell r="M1830">
            <v>12</v>
          </cell>
        </row>
        <row r="1831">
          <cell r="C1831">
            <v>405</v>
          </cell>
          <cell r="F1831">
            <v>1</v>
          </cell>
          <cell r="I1831">
            <v>46259</v>
          </cell>
          <cell r="J1831">
            <v>0</v>
          </cell>
          <cell r="K1831">
            <v>0</v>
          </cell>
          <cell r="L1831">
            <v>0</v>
          </cell>
          <cell r="M1831">
            <v>10</v>
          </cell>
        </row>
        <row r="1832">
          <cell r="C1832">
            <v>406</v>
          </cell>
          <cell r="F1832">
            <v>1</v>
          </cell>
          <cell r="I1832">
            <v>46259</v>
          </cell>
          <cell r="J1832">
            <v>0</v>
          </cell>
          <cell r="K1832">
            <v>0</v>
          </cell>
          <cell r="L1832">
            <v>0</v>
          </cell>
          <cell r="M1832">
            <v>5</v>
          </cell>
        </row>
        <row r="1833">
          <cell r="C1833">
            <v>407</v>
          </cell>
          <cell r="F1833">
            <v>1</v>
          </cell>
          <cell r="I1833">
            <v>46259</v>
          </cell>
          <cell r="J1833">
            <v>0</v>
          </cell>
          <cell r="K1833">
            <v>0</v>
          </cell>
          <cell r="L1833">
            <v>0</v>
          </cell>
          <cell r="M1833">
            <v>5</v>
          </cell>
        </row>
        <row r="1834">
          <cell r="C1834">
            <v>305</v>
          </cell>
          <cell r="F1834">
            <v>1</v>
          </cell>
          <cell r="I1834">
            <v>46261</v>
          </cell>
          <cell r="J1834">
            <v>0</v>
          </cell>
          <cell r="K1834">
            <v>200</v>
          </cell>
          <cell r="L1834">
            <v>0</v>
          </cell>
          <cell r="M1834">
            <v>0</v>
          </cell>
        </row>
        <row r="1835">
          <cell r="C1835">
            <v>177</v>
          </cell>
          <cell r="F1835">
            <v>1</v>
          </cell>
          <cell r="I1835">
            <v>46261</v>
          </cell>
          <cell r="J1835">
            <v>0</v>
          </cell>
          <cell r="K1835">
            <v>62</v>
          </cell>
          <cell r="L1835">
            <v>0</v>
          </cell>
          <cell r="M1835">
            <v>0</v>
          </cell>
        </row>
        <row r="1836">
          <cell r="C1836">
            <v>6</v>
          </cell>
          <cell r="F1836">
            <v>1</v>
          </cell>
          <cell r="I1836">
            <v>46261</v>
          </cell>
          <cell r="J1836">
            <v>0</v>
          </cell>
          <cell r="K1836">
            <v>8</v>
          </cell>
          <cell r="L1836">
            <v>0</v>
          </cell>
          <cell r="M1836">
            <v>0</v>
          </cell>
        </row>
        <row r="1837">
          <cell r="C1837">
            <v>7</v>
          </cell>
          <cell r="F1837">
            <v>1</v>
          </cell>
          <cell r="I1837">
            <v>46261</v>
          </cell>
          <cell r="J1837">
            <v>0</v>
          </cell>
          <cell r="K1837">
            <v>1</v>
          </cell>
          <cell r="L1837">
            <v>0</v>
          </cell>
          <cell r="M1837">
            <v>0</v>
          </cell>
        </row>
        <row r="1838">
          <cell r="C1838">
            <v>332</v>
          </cell>
          <cell r="F1838">
            <v>1</v>
          </cell>
          <cell r="I1838">
            <v>46261</v>
          </cell>
          <cell r="J1838">
            <v>0</v>
          </cell>
          <cell r="K1838">
            <v>100</v>
          </cell>
          <cell r="L1838">
            <v>0</v>
          </cell>
          <cell r="M1838">
            <v>0</v>
          </cell>
        </row>
        <row r="1839">
          <cell r="C1839">
            <v>45</v>
          </cell>
          <cell r="F1839">
            <v>1</v>
          </cell>
          <cell r="I1839">
            <v>46261</v>
          </cell>
          <cell r="J1839">
            <v>0</v>
          </cell>
          <cell r="K1839">
            <v>1</v>
          </cell>
          <cell r="L1839">
            <v>0</v>
          </cell>
          <cell r="M1839">
            <v>0</v>
          </cell>
        </row>
        <row r="1840">
          <cell r="C1840">
            <v>407</v>
          </cell>
          <cell r="F1840">
            <v>1</v>
          </cell>
          <cell r="I1840">
            <v>46261</v>
          </cell>
          <cell r="J1840">
            <v>0</v>
          </cell>
          <cell r="K1840">
            <v>1</v>
          </cell>
          <cell r="L1840">
            <v>0</v>
          </cell>
          <cell r="M1840">
            <v>0</v>
          </cell>
        </row>
        <row r="1841">
          <cell r="C1841">
            <v>349</v>
          </cell>
          <cell r="F1841">
            <v>1</v>
          </cell>
          <cell r="I1841">
            <v>46261</v>
          </cell>
          <cell r="J1841">
            <v>0</v>
          </cell>
          <cell r="K1841">
            <v>1</v>
          </cell>
          <cell r="L1841">
            <v>0</v>
          </cell>
          <cell r="M1841">
            <v>0</v>
          </cell>
        </row>
        <row r="1842">
          <cell r="C1842">
            <v>421</v>
          </cell>
          <cell r="F1842">
            <v>1</v>
          </cell>
          <cell r="I1842">
            <v>46261</v>
          </cell>
          <cell r="J1842">
            <v>0</v>
          </cell>
          <cell r="K1842">
            <v>2</v>
          </cell>
          <cell r="L1842">
            <v>0</v>
          </cell>
          <cell r="M1842">
            <v>0</v>
          </cell>
        </row>
        <row r="1843">
          <cell r="C1843">
            <v>376</v>
          </cell>
          <cell r="F1843">
            <v>1</v>
          </cell>
          <cell r="I1843">
            <v>46261</v>
          </cell>
          <cell r="J1843">
            <v>0</v>
          </cell>
          <cell r="K1843">
            <v>2</v>
          </cell>
          <cell r="L1843">
            <v>0</v>
          </cell>
          <cell r="M1843">
            <v>0</v>
          </cell>
        </row>
        <row r="1844">
          <cell r="C1844">
            <v>368</v>
          </cell>
          <cell r="F1844">
            <v>1</v>
          </cell>
          <cell r="I1844">
            <v>46261</v>
          </cell>
          <cell r="J1844">
            <v>0</v>
          </cell>
          <cell r="K1844">
            <v>5</v>
          </cell>
          <cell r="L1844">
            <v>0</v>
          </cell>
          <cell r="M1844">
            <v>0</v>
          </cell>
        </row>
        <row r="1845">
          <cell r="C1845">
            <v>108</v>
          </cell>
          <cell r="F1845">
            <v>1</v>
          </cell>
          <cell r="I1845">
            <v>46261</v>
          </cell>
          <cell r="J1845">
            <v>0</v>
          </cell>
          <cell r="K1845">
            <v>1</v>
          </cell>
          <cell r="L1845">
            <v>0</v>
          </cell>
          <cell r="M1845">
            <v>0</v>
          </cell>
        </row>
        <row r="1846">
          <cell r="C1846">
            <v>337</v>
          </cell>
          <cell r="F1846">
            <v>1</v>
          </cell>
          <cell r="I1846">
            <v>46261</v>
          </cell>
          <cell r="J1846">
            <v>0</v>
          </cell>
          <cell r="K1846">
            <v>20</v>
          </cell>
          <cell r="L1846">
            <v>0</v>
          </cell>
          <cell r="M1846">
            <v>0</v>
          </cell>
        </row>
        <row r="1847">
          <cell r="C1847">
            <v>390</v>
          </cell>
          <cell r="F1847">
            <v>1</v>
          </cell>
          <cell r="I1847">
            <v>46261</v>
          </cell>
          <cell r="J1847">
            <v>0</v>
          </cell>
          <cell r="K1847">
            <v>2</v>
          </cell>
          <cell r="L1847">
            <v>0</v>
          </cell>
          <cell r="M1847">
            <v>0</v>
          </cell>
        </row>
        <row r="1848">
          <cell r="C1848">
            <v>153</v>
          </cell>
          <cell r="F1848">
            <v>1</v>
          </cell>
          <cell r="I1848">
            <v>46261</v>
          </cell>
          <cell r="J1848">
            <v>0</v>
          </cell>
          <cell r="K1848">
            <v>1</v>
          </cell>
          <cell r="L1848">
            <v>0</v>
          </cell>
          <cell r="M1848">
            <v>0</v>
          </cell>
        </row>
        <row r="1849">
          <cell r="C1849">
            <v>294</v>
          </cell>
          <cell r="F1849">
            <v>1</v>
          </cell>
          <cell r="I1849">
            <v>46261</v>
          </cell>
          <cell r="J1849">
            <v>0</v>
          </cell>
          <cell r="K1849">
            <v>24</v>
          </cell>
          <cell r="L1849">
            <v>0</v>
          </cell>
          <cell r="M1849">
            <v>0</v>
          </cell>
        </row>
        <row r="1850">
          <cell r="C1850">
            <v>199</v>
          </cell>
          <cell r="F1850">
            <v>1</v>
          </cell>
          <cell r="I1850">
            <v>46261</v>
          </cell>
          <cell r="J1850">
            <v>0</v>
          </cell>
          <cell r="K1850">
            <v>4</v>
          </cell>
          <cell r="L1850">
            <v>0</v>
          </cell>
          <cell r="M1850">
            <v>0</v>
          </cell>
        </row>
        <row r="1851">
          <cell r="C1851">
            <v>183</v>
          </cell>
          <cell r="F1851">
            <v>1</v>
          </cell>
          <cell r="I1851">
            <v>46261</v>
          </cell>
          <cell r="J1851">
            <v>0</v>
          </cell>
          <cell r="K1851">
            <v>24</v>
          </cell>
          <cell r="L1851">
            <v>0</v>
          </cell>
          <cell r="M1851">
            <v>0</v>
          </cell>
        </row>
        <row r="1852">
          <cell r="C1852">
            <v>167</v>
          </cell>
          <cell r="F1852">
            <v>1</v>
          </cell>
          <cell r="I1852">
            <v>46261</v>
          </cell>
          <cell r="J1852">
            <v>0</v>
          </cell>
          <cell r="K1852">
            <v>1</v>
          </cell>
          <cell r="L1852">
            <v>0</v>
          </cell>
          <cell r="M1852">
            <v>0</v>
          </cell>
        </row>
        <row r="1853">
          <cell r="C1853">
            <v>388</v>
          </cell>
          <cell r="F1853">
            <v>1</v>
          </cell>
          <cell r="I1853">
            <v>46261</v>
          </cell>
          <cell r="J1853">
            <v>0</v>
          </cell>
          <cell r="K1853">
            <v>1</v>
          </cell>
          <cell r="L1853">
            <v>0</v>
          </cell>
          <cell r="M1853">
            <v>0</v>
          </cell>
        </row>
        <row r="1854">
          <cell r="C1854">
            <v>394</v>
          </cell>
          <cell r="F1854">
            <v>1</v>
          </cell>
          <cell r="I1854">
            <v>46261</v>
          </cell>
          <cell r="J1854">
            <v>0</v>
          </cell>
          <cell r="K1854">
            <v>1</v>
          </cell>
          <cell r="L1854">
            <v>0</v>
          </cell>
          <cell r="M1854">
            <v>0</v>
          </cell>
        </row>
        <row r="1855">
          <cell r="C1855">
            <v>403</v>
          </cell>
          <cell r="F1855">
            <v>1</v>
          </cell>
          <cell r="I1855">
            <v>46261</v>
          </cell>
          <cell r="J1855">
            <v>0</v>
          </cell>
          <cell r="K1855">
            <v>1</v>
          </cell>
          <cell r="L1855">
            <v>0</v>
          </cell>
          <cell r="M1855">
            <v>0</v>
          </cell>
        </row>
        <row r="1856">
          <cell r="C1856">
            <v>219</v>
          </cell>
          <cell r="F1856">
            <v>1</v>
          </cell>
          <cell r="I1856">
            <v>46261</v>
          </cell>
          <cell r="J1856">
            <v>0</v>
          </cell>
          <cell r="K1856">
            <v>2</v>
          </cell>
          <cell r="L1856">
            <v>0</v>
          </cell>
          <cell r="M1856">
            <v>0</v>
          </cell>
        </row>
        <row r="1857">
          <cell r="C1857">
            <v>397</v>
          </cell>
          <cell r="F1857">
            <v>1</v>
          </cell>
          <cell r="I1857">
            <v>46261</v>
          </cell>
          <cell r="J1857">
            <v>0</v>
          </cell>
          <cell r="K1857">
            <v>5</v>
          </cell>
          <cell r="L1857">
            <v>0</v>
          </cell>
          <cell r="M1857">
            <v>0</v>
          </cell>
        </row>
        <row r="1858">
          <cell r="C1858">
            <v>408</v>
          </cell>
          <cell r="F1858">
            <v>1</v>
          </cell>
          <cell r="I1858">
            <v>46261</v>
          </cell>
          <cell r="J1858">
            <v>0</v>
          </cell>
          <cell r="K1858">
            <v>3</v>
          </cell>
          <cell r="L1858">
            <v>0</v>
          </cell>
          <cell r="M1858">
            <v>0</v>
          </cell>
        </row>
        <row r="1859">
          <cell r="C1859">
            <v>96</v>
          </cell>
          <cell r="F1859">
            <v>1</v>
          </cell>
          <cell r="I1859">
            <v>46261</v>
          </cell>
          <cell r="J1859">
            <v>0</v>
          </cell>
          <cell r="K1859">
            <v>1</v>
          </cell>
          <cell r="L1859">
            <v>0</v>
          </cell>
          <cell r="M1859">
            <v>0</v>
          </cell>
        </row>
        <row r="1860">
          <cell r="C1860">
            <v>273</v>
          </cell>
          <cell r="F1860">
            <v>1</v>
          </cell>
          <cell r="I1860">
            <v>46261</v>
          </cell>
          <cell r="J1860">
            <v>0</v>
          </cell>
          <cell r="K1860">
            <v>10</v>
          </cell>
          <cell r="L1860">
            <v>0</v>
          </cell>
          <cell r="M1860">
            <v>0</v>
          </cell>
        </row>
        <row r="1861">
          <cell r="C1861">
            <v>411</v>
          </cell>
          <cell r="F1861">
            <v>1</v>
          </cell>
          <cell r="I1861">
            <v>46261</v>
          </cell>
          <cell r="J1861">
            <v>0</v>
          </cell>
          <cell r="K1861">
            <v>1</v>
          </cell>
          <cell r="L1861">
            <v>0</v>
          </cell>
          <cell r="M1861">
            <v>0</v>
          </cell>
        </row>
        <row r="1862">
          <cell r="C1862">
            <v>414</v>
          </cell>
          <cell r="F1862">
            <v>1</v>
          </cell>
          <cell r="I1862">
            <v>46261</v>
          </cell>
          <cell r="J1862">
            <v>0</v>
          </cell>
          <cell r="K1862">
            <v>1</v>
          </cell>
          <cell r="L1862">
            <v>0</v>
          </cell>
          <cell r="M1862">
            <v>0</v>
          </cell>
        </row>
        <row r="1863">
          <cell r="C1863">
            <v>364</v>
          </cell>
          <cell r="F1863">
            <v>1</v>
          </cell>
          <cell r="I1863">
            <v>46261</v>
          </cell>
          <cell r="J1863">
            <v>0</v>
          </cell>
          <cell r="K1863">
            <v>1</v>
          </cell>
          <cell r="L1863">
            <v>0</v>
          </cell>
          <cell r="M1863">
            <v>0</v>
          </cell>
        </row>
        <row r="1864">
          <cell r="C1864">
            <v>420</v>
          </cell>
          <cell r="F1864">
            <v>1</v>
          </cell>
          <cell r="I1864">
            <v>46261</v>
          </cell>
          <cell r="J1864">
            <v>0</v>
          </cell>
          <cell r="K1864">
            <v>1</v>
          </cell>
          <cell r="L1864">
            <v>0</v>
          </cell>
          <cell r="M1864">
            <v>0</v>
          </cell>
        </row>
        <row r="1865">
          <cell r="C1865">
            <v>426</v>
          </cell>
          <cell r="F1865">
            <v>1</v>
          </cell>
          <cell r="I1865">
            <v>46261</v>
          </cell>
          <cell r="J1865">
            <v>0</v>
          </cell>
          <cell r="K1865">
            <v>1</v>
          </cell>
          <cell r="L1865">
            <v>0</v>
          </cell>
          <cell r="M1865">
            <v>0</v>
          </cell>
        </row>
        <row r="1866">
          <cell r="C1866">
            <v>424</v>
          </cell>
          <cell r="F1866">
            <v>1</v>
          </cell>
          <cell r="I1866">
            <v>46261</v>
          </cell>
          <cell r="J1866">
            <v>0</v>
          </cell>
          <cell r="K1866">
            <v>1</v>
          </cell>
          <cell r="L1866">
            <v>0</v>
          </cell>
          <cell r="M1866">
            <v>0</v>
          </cell>
        </row>
        <row r="1867">
          <cell r="C1867">
            <v>433</v>
          </cell>
          <cell r="F1867">
            <v>1</v>
          </cell>
          <cell r="I1867">
            <v>46261</v>
          </cell>
          <cell r="J1867">
            <v>0</v>
          </cell>
          <cell r="K1867">
            <v>3</v>
          </cell>
          <cell r="L1867">
            <v>0</v>
          </cell>
          <cell r="M1867">
            <v>0</v>
          </cell>
        </row>
        <row r="1868">
          <cell r="C1868">
            <v>20</v>
          </cell>
          <cell r="F1868">
            <v>1</v>
          </cell>
          <cell r="I1868">
            <v>46261</v>
          </cell>
          <cell r="J1868">
            <v>0</v>
          </cell>
          <cell r="K1868">
            <v>8</v>
          </cell>
          <cell r="L1868">
            <v>0</v>
          </cell>
          <cell r="M1868">
            <v>0</v>
          </cell>
        </row>
        <row r="1869">
          <cell r="C1869">
            <v>373</v>
          </cell>
          <cell r="F1869">
            <v>1</v>
          </cell>
          <cell r="I1869">
            <v>46261</v>
          </cell>
          <cell r="J1869">
            <v>0</v>
          </cell>
          <cell r="K1869">
            <v>4</v>
          </cell>
          <cell r="L1869">
            <v>0</v>
          </cell>
          <cell r="M1869">
            <v>0</v>
          </cell>
        </row>
        <row r="1870">
          <cell r="C1870">
            <v>52</v>
          </cell>
          <cell r="F1870">
            <v>1</v>
          </cell>
          <cell r="I1870">
            <v>46261</v>
          </cell>
          <cell r="J1870">
            <v>0</v>
          </cell>
          <cell r="K1870">
            <v>1</v>
          </cell>
          <cell r="L1870">
            <v>0</v>
          </cell>
          <cell r="M1870">
            <v>0</v>
          </cell>
        </row>
        <row r="1871">
          <cell r="C1871">
            <v>396</v>
          </cell>
          <cell r="F1871">
            <v>1</v>
          </cell>
          <cell r="I1871">
            <v>46261</v>
          </cell>
          <cell r="J1871">
            <v>0</v>
          </cell>
          <cell r="K1871">
            <v>1</v>
          </cell>
          <cell r="L1871">
            <v>0</v>
          </cell>
          <cell r="M1871">
            <v>0</v>
          </cell>
        </row>
        <row r="1872">
          <cell r="C1872">
            <v>429</v>
          </cell>
          <cell r="F1872">
            <v>1</v>
          </cell>
          <cell r="I1872">
            <v>46261</v>
          </cell>
          <cell r="J1872">
            <v>0</v>
          </cell>
          <cell r="K1872">
            <v>1</v>
          </cell>
          <cell r="L1872">
            <v>0</v>
          </cell>
          <cell r="M1872">
            <v>0</v>
          </cell>
        </row>
        <row r="1873">
          <cell r="C1873">
            <v>184</v>
          </cell>
          <cell r="F1873">
            <v>1</v>
          </cell>
          <cell r="I1873">
            <v>46262</v>
          </cell>
          <cell r="J1873">
            <v>0</v>
          </cell>
          <cell r="K1873">
            <v>24</v>
          </cell>
          <cell r="L1873">
            <v>0</v>
          </cell>
          <cell r="M1873">
            <v>0</v>
          </cell>
        </row>
        <row r="1874">
          <cell r="C1874">
            <v>358</v>
          </cell>
          <cell r="F1874">
            <v>1</v>
          </cell>
          <cell r="I1874">
            <v>46262</v>
          </cell>
          <cell r="J1874">
            <v>0</v>
          </cell>
          <cell r="K1874">
            <v>1</v>
          </cell>
          <cell r="L1874">
            <v>0</v>
          </cell>
          <cell r="M1874">
            <v>0</v>
          </cell>
        </row>
        <row r="1875">
          <cell r="C1875">
            <v>373</v>
          </cell>
          <cell r="F1875">
            <v>1</v>
          </cell>
          <cell r="I1875">
            <v>46262</v>
          </cell>
          <cell r="J1875">
            <v>0</v>
          </cell>
          <cell r="K1875">
            <v>4</v>
          </cell>
          <cell r="L1875">
            <v>0</v>
          </cell>
          <cell r="M1875">
            <v>0</v>
          </cell>
        </row>
        <row r="1876">
          <cell r="C1876">
            <v>17</v>
          </cell>
          <cell r="F1876">
            <v>1</v>
          </cell>
          <cell r="I1876">
            <v>46262</v>
          </cell>
          <cell r="J1876">
            <v>0</v>
          </cell>
          <cell r="K1876">
            <v>4</v>
          </cell>
          <cell r="L1876">
            <v>0</v>
          </cell>
          <cell r="M1876">
            <v>0</v>
          </cell>
        </row>
        <row r="1877">
          <cell r="C1877">
            <v>48</v>
          </cell>
          <cell r="F1877">
            <v>1</v>
          </cell>
          <cell r="I1877">
            <v>46262</v>
          </cell>
          <cell r="J1877">
            <v>0</v>
          </cell>
          <cell r="K1877">
            <v>1</v>
          </cell>
          <cell r="L1877">
            <v>0</v>
          </cell>
          <cell r="M1877">
            <v>0</v>
          </cell>
        </row>
        <row r="1878">
          <cell r="C1878">
            <v>46</v>
          </cell>
          <cell r="F1878">
            <v>1</v>
          </cell>
          <cell r="I1878">
            <v>46262</v>
          </cell>
          <cell r="J1878">
            <v>0</v>
          </cell>
          <cell r="K1878">
            <v>1</v>
          </cell>
          <cell r="L1878">
            <v>0</v>
          </cell>
          <cell r="M1878">
            <v>0</v>
          </cell>
        </row>
        <row r="1879">
          <cell r="C1879">
            <v>305</v>
          </cell>
          <cell r="F1879">
            <v>1</v>
          </cell>
          <cell r="I1879">
            <v>46262</v>
          </cell>
          <cell r="J1879">
            <v>0</v>
          </cell>
          <cell r="K1879">
            <v>202</v>
          </cell>
          <cell r="L1879">
            <v>0</v>
          </cell>
          <cell r="M1879">
            <v>0</v>
          </cell>
        </row>
        <row r="1880">
          <cell r="C1880">
            <v>168</v>
          </cell>
          <cell r="F1880">
            <v>1</v>
          </cell>
          <cell r="I1880">
            <v>46262</v>
          </cell>
          <cell r="J1880">
            <v>0</v>
          </cell>
          <cell r="K1880">
            <v>2</v>
          </cell>
          <cell r="L1880">
            <v>0</v>
          </cell>
          <cell r="M1880">
            <v>0</v>
          </cell>
        </row>
        <row r="1881">
          <cell r="C1881">
            <v>241</v>
          </cell>
          <cell r="F1881">
            <v>1</v>
          </cell>
          <cell r="I1881">
            <v>46262</v>
          </cell>
          <cell r="J1881">
            <v>0</v>
          </cell>
          <cell r="K1881">
            <v>5</v>
          </cell>
          <cell r="L1881">
            <v>0</v>
          </cell>
          <cell r="M1881">
            <v>0</v>
          </cell>
        </row>
        <row r="1882">
          <cell r="C1882">
            <v>390</v>
          </cell>
          <cell r="F1882">
            <v>1</v>
          </cell>
          <cell r="I1882">
            <v>46262</v>
          </cell>
          <cell r="J1882">
            <v>0</v>
          </cell>
          <cell r="K1882">
            <v>3</v>
          </cell>
          <cell r="L1882">
            <v>0</v>
          </cell>
          <cell r="M1882">
            <v>0</v>
          </cell>
        </row>
        <row r="1883">
          <cell r="C1883">
            <v>144</v>
          </cell>
          <cell r="F1883">
            <v>1</v>
          </cell>
          <cell r="I1883">
            <v>46262</v>
          </cell>
          <cell r="J1883">
            <v>0</v>
          </cell>
          <cell r="K1883">
            <v>1</v>
          </cell>
          <cell r="L1883">
            <v>0</v>
          </cell>
          <cell r="M1883">
            <v>0</v>
          </cell>
        </row>
        <row r="1884">
          <cell r="C1884">
            <v>367</v>
          </cell>
          <cell r="F1884">
            <v>1</v>
          </cell>
          <cell r="I1884">
            <v>46262</v>
          </cell>
          <cell r="J1884">
            <v>0</v>
          </cell>
          <cell r="K1884">
            <v>2</v>
          </cell>
          <cell r="L1884">
            <v>0</v>
          </cell>
          <cell r="M1884">
            <v>0</v>
          </cell>
        </row>
        <row r="1885">
          <cell r="C1885">
            <v>394</v>
          </cell>
          <cell r="F1885">
            <v>1</v>
          </cell>
          <cell r="I1885">
            <v>46262</v>
          </cell>
          <cell r="J1885">
            <v>0</v>
          </cell>
          <cell r="K1885">
            <v>1</v>
          </cell>
          <cell r="L1885">
            <v>0</v>
          </cell>
          <cell r="M1885">
            <v>0</v>
          </cell>
        </row>
        <row r="1886">
          <cell r="C1886">
            <v>402</v>
          </cell>
          <cell r="F1886">
            <v>1</v>
          </cell>
          <cell r="I1886">
            <v>46262</v>
          </cell>
          <cell r="J1886">
            <v>0</v>
          </cell>
          <cell r="K1886">
            <v>1</v>
          </cell>
          <cell r="L1886">
            <v>0</v>
          </cell>
          <cell r="M1886">
            <v>0</v>
          </cell>
        </row>
        <row r="1887">
          <cell r="C1887">
            <v>177</v>
          </cell>
          <cell r="F1887">
            <v>1</v>
          </cell>
          <cell r="I1887">
            <v>46262</v>
          </cell>
          <cell r="J1887">
            <v>0</v>
          </cell>
          <cell r="K1887">
            <v>13</v>
          </cell>
          <cell r="L1887">
            <v>0</v>
          </cell>
          <cell r="M1887">
            <v>0</v>
          </cell>
        </row>
        <row r="1888">
          <cell r="C1888">
            <v>181</v>
          </cell>
          <cell r="F1888">
            <v>1</v>
          </cell>
          <cell r="I1888">
            <v>46262</v>
          </cell>
          <cell r="J1888">
            <v>0</v>
          </cell>
          <cell r="K1888">
            <v>1</v>
          </cell>
          <cell r="L1888">
            <v>0</v>
          </cell>
          <cell r="M1888">
            <v>0</v>
          </cell>
        </row>
        <row r="1889">
          <cell r="C1889">
            <v>294</v>
          </cell>
          <cell r="F1889">
            <v>1</v>
          </cell>
          <cell r="I1889">
            <v>46262</v>
          </cell>
          <cell r="J1889">
            <v>0</v>
          </cell>
          <cell r="K1889">
            <v>25</v>
          </cell>
          <cell r="L1889">
            <v>0</v>
          </cell>
          <cell r="M1889">
            <v>0</v>
          </cell>
        </row>
        <row r="1890">
          <cell r="C1890">
            <v>142</v>
          </cell>
          <cell r="F1890">
            <v>1</v>
          </cell>
          <cell r="I1890">
            <v>46262</v>
          </cell>
          <cell r="J1890">
            <v>0</v>
          </cell>
          <cell r="K1890">
            <v>2</v>
          </cell>
          <cell r="L1890">
            <v>0</v>
          </cell>
          <cell r="M1890">
            <v>0</v>
          </cell>
        </row>
        <row r="1891">
          <cell r="C1891">
            <v>388</v>
          </cell>
          <cell r="F1891">
            <v>1</v>
          </cell>
          <cell r="I1891">
            <v>46262</v>
          </cell>
          <cell r="J1891">
            <v>0</v>
          </cell>
          <cell r="K1891">
            <v>2</v>
          </cell>
          <cell r="L1891">
            <v>0</v>
          </cell>
          <cell r="M1891">
            <v>0</v>
          </cell>
        </row>
        <row r="1892">
          <cell r="C1892">
            <v>101</v>
          </cell>
          <cell r="F1892">
            <v>1</v>
          </cell>
          <cell r="I1892">
            <v>46262</v>
          </cell>
          <cell r="J1892">
            <v>0</v>
          </cell>
          <cell r="K1892">
            <v>302</v>
          </cell>
          <cell r="L1892">
            <v>0</v>
          </cell>
          <cell r="M1892">
            <v>0</v>
          </cell>
        </row>
        <row r="1893">
          <cell r="C1893">
            <v>368</v>
          </cell>
          <cell r="F1893">
            <v>1</v>
          </cell>
          <cell r="I1893">
            <v>46262</v>
          </cell>
          <cell r="J1893">
            <v>0</v>
          </cell>
          <cell r="K1893">
            <v>2</v>
          </cell>
          <cell r="L1893">
            <v>0</v>
          </cell>
          <cell r="M1893">
            <v>0</v>
          </cell>
        </row>
        <row r="1894">
          <cell r="C1894">
            <v>82</v>
          </cell>
          <cell r="F1894">
            <v>1</v>
          </cell>
          <cell r="I1894">
            <v>46262</v>
          </cell>
          <cell r="J1894">
            <v>0</v>
          </cell>
          <cell r="K1894">
            <v>3</v>
          </cell>
          <cell r="L1894">
            <v>0</v>
          </cell>
          <cell r="M1894">
            <v>0</v>
          </cell>
        </row>
        <row r="1895">
          <cell r="C1895">
            <v>337</v>
          </cell>
          <cell r="F1895">
            <v>1</v>
          </cell>
          <cell r="I1895">
            <v>46262</v>
          </cell>
          <cell r="J1895">
            <v>0</v>
          </cell>
          <cell r="K1895">
            <v>11</v>
          </cell>
          <cell r="L1895">
            <v>0</v>
          </cell>
          <cell r="M1895">
            <v>0</v>
          </cell>
        </row>
        <row r="1896">
          <cell r="C1896">
            <v>399</v>
          </cell>
          <cell r="F1896">
            <v>1</v>
          </cell>
          <cell r="I1896">
            <v>46262</v>
          </cell>
          <cell r="J1896">
            <v>0</v>
          </cell>
          <cell r="K1896">
            <v>2</v>
          </cell>
          <cell r="L1896">
            <v>0</v>
          </cell>
          <cell r="M1896">
            <v>0</v>
          </cell>
        </row>
        <row r="1897">
          <cell r="C1897">
            <v>332</v>
          </cell>
          <cell r="F1897">
            <v>1</v>
          </cell>
          <cell r="I1897">
            <v>46262</v>
          </cell>
          <cell r="J1897">
            <v>0</v>
          </cell>
          <cell r="K1897">
            <v>100</v>
          </cell>
          <cell r="L1897">
            <v>0</v>
          </cell>
          <cell r="M1897">
            <v>0</v>
          </cell>
        </row>
        <row r="1898">
          <cell r="C1898">
            <v>396</v>
          </cell>
          <cell r="F1898">
            <v>1</v>
          </cell>
          <cell r="I1898">
            <v>46262</v>
          </cell>
          <cell r="J1898">
            <v>0</v>
          </cell>
          <cell r="K1898">
            <v>1</v>
          </cell>
          <cell r="L1898">
            <v>0</v>
          </cell>
          <cell r="M1898">
            <v>0</v>
          </cell>
        </row>
        <row r="1899">
          <cell r="C1899">
            <v>6</v>
          </cell>
          <cell r="F1899">
            <v>1</v>
          </cell>
          <cell r="I1899">
            <v>46262</v>
          </cell>
          <cell r="J1899">
            <v>0</v>
          </cell>
          <cell r="K1899">
            <v>4</v>
          </cell>
          <cell r="L1899">
            <v>0</v>
          </cell>
          <cell r="M1899">
            <v>0</v>
          </cell>
        </row>
        <row r="1900">
          <cell r="C1900">
            <v>349</v>
          </cell>
          <cell r="F1900">
            <v>1</v>
          </cell>
          <cell r="I1900">
            <v>46262</v>
          </cell>
          <cell r="J1900">
            <v>0</v>
          </cell>
          <cell r="K1900">
            <v>1</v>
          </cell>
          <cell r="L1900">
            <v>0</v>
          </cell>
          <cell r="M1900">
            <v>0</v>
          </cell>
        </row>
        <row r="1901">
          <cell r="C1901">
            <v>397</v>
          </cell>
          <cell r="F1901">
            <v>1</v>
          </cell>
          <cell r="I1901">
            <v>46262</v>
          </cell>
          <cell r="J1901">
            <v>0</v>
          </cell>
          <cell r="K1901">
            <v>12</v>
          </cell>
          <cell r="L1901">
            <v>0</v>
          </cell>
          <cell r="M1901">
            <v>0</v>
          </cell>
        </row>
        <row r="1902">
          <cell r="C1902">
            <v>364</v>
          </cell>
          <cell r="F1902">
            <v>1</v>
          </cell>
          <cell r="I1902">
            <v>46262</v>
          </cell>
          <cell r="J1902">
            <v>0</v>
          </cell>
          <cell r="K1902">
            <v>1</v>
          </cell>
          <cell r="L1902">
            <v>0</v>
          </cell>
          <cell r="M1902">
            <v>0</v>
          </cell>
        </row>
        <row r="1903">
          <cell r="C1903">
            <v>108</v>
          </cell>
          <cell r="F1903">
            <v>1</v>
          </cell>
          <cell r="I1903">
            <v>46262</v>
          </cell>
          <cell r="J1903">
            <v>0</v>
          </cell>
          <cell r="K1903">
            <v>1</v>
          </cell>
          <cell r="L1903">
            <v>0</v>
          </cell>
          <cell r="M1903">
            <v>0</v>
          </cell>
        </row>
        <row r="1904">
          <cell r="C1904">
            <v>125</v>
          </cell>
          <cell r="F1904">
            <v>1</v>
          </cell>
          <cell r="I1904">
            <v>46262</v>
          </cell>
          <cell r="J1904">
            <v>0</v>
          </cell>
          <cell r="K1904">
            <v>20</v>
          </cell>
          <cell r="L1904">
            <v>0</v>
          </cell>
          <cell r="M1904">
            <v>0</v>
          </cell>
        </row>
        <row r="1905">
          <cell r="C1905">
            <v>219</v>
          </cell>
          <cell r="F1905">
            <v>1</v>
          </cell>
          <cell r="I1905">
            <v>46262</v>
          </cell>
          <cell r="J1905">
            <v>0</v>
          </cell>
          <cell r="K1905">
            <v>5</v>
          </cell>
          <cell r="L1905">
            <v>0</v>
          </cell>
          <cell r="M1905">
            <v>0</v>
          </cell>
        </row>
        <row r="1906">
          <cell r="C1906">
            <v>370</v>
          </cell>
          <cell r="F1906">
            <v>1</v>
          </cell>
          <cell r="I1906">
            <v>46262</v>
          </cell>
          <cell r="J1906">
            <v>0</v>
          </cell>
          <cell r="K1906">
            <v>1</v>
          </cell>
          <cell r="L1906">
            <v>0</v>
          </cell>
          <cell r="M1906">
            <v>0</v>
          </cell>
        </row>
        <row r="1907">
          <cell r="C1907">
            <v>393</v>
          </cell>
          <cell r="F1907">
            <v>1</v>
          </cell>
          <cell r="I1907">
            <v>46262</v>
          </cell>
          <cell r="J1907">
            <v>0</v>
          </cell>
          <cell r="K1907">
            <v>1</v>
          </cell>
          <cell r="L1907">
            <v>0</v>
          </cell>
          <cell r="M1907">
            <v>0</v>
          </cell>
        </row>
        <row r="1908">
          <cell r="C1908">
            <v>398</v>
          </cell>
          <cell r="F1908">
            <v>1</v>
          </cell>
          <cell r="I1908">
            <v>46262</v>
          </cell>
          <cell r="J1908">
            <v>0</v>
          </cell>
          <cell r="K1908">
            <v>1</v>
          </cell>
          <cell r="L1908">
            <v>0</v>
          </cell>
          <cell r="M1908">
            <v>0</v>
          </cell>
        </row>
        <row r="1909">
          <cell r="C1909">
            <v>408</v>
          </cell>
          <cell r="F1909">
            <v>1</v>
          </cell>
          <cell r="I1909">
            <v>46262</v>
          </cell>
          <cell r="J1909">
            <v>0</v>
          </cell>
          <cell r="K1909">
            <v>1</v>
          </cell>
          <cell r="L1909">
            <v>0</v>
          </cell>
          <cell r="M1909">
            <v>0</v>
          </cell>
        </row>
        <row r="1910">
          <cell r="C1910">
            <v>428</v>
          </cell>
          <cell r="F1910">
            <v>1</v>
          </cell>
          <cell r="I1910">
            <v>46262</v>
          </cell>
          <cell r="J1910">
            <v>0</v>
          </cell>
          <cell r="K1910">
            <v>1</v>
          </cell>
          <cell r="L1910">
            <v>0</v>
          </cell>
          <cell r="M1910">
            <v>0</v>
          </cell>
        </row>
        <row r="1911">
          <cell r="C1911">
            <v>294</v>
          </cell>
          <cell r="F1911">
            <v>1</v>
          </cell>
          <cell r="I1911">
            <v>46263</v>
          </cell>
          <cell r="J1911">
            <v>0</v>
          </cell>
          <cell r="K1911">
            <v>20</v>
          </cell>
          <cell r="L1911">
            <v>0</v>
          </cell>
          <cell r="M1911">
            <v>0</v>
          </cell>
        </row>
        <row r="1912">
          <cell r="C1912">
            <v>305</v>
          </cell>
          <cell r="F1912">
            <v>1</v>
          </cell>
          <cell r="I1912">
            <v>46263</v>
          </cell>
          <cell r="J1912">
            <v>0</v>
          </cell>
          <cell r="K1912">
            <v>300</v>
          </cell>
          <cell r="L1912">
            <v>0</v>
          </cell>
          <cell r="M1912">
            <v>0</v>
          </cell>
        </row>
        <row r="1913">
          <cell r="C1913">
            <v>181</v>
          </cell>
          <cell r="F1913">
            <v>1</v>
          </cell>
          <cell r="I1913">
            <v>46263</v>
          </cell>
          <cell r="J1913">
            <v>0</v>
          </cell>
          <cell r="K1913">
            <v>12</v>
          </cell>
          <cell r="L1913">
            <v>0</v>
          </cell>
          <cell r="M1913">
            <v>0</v>
          </cell>
        </row>
        <row r="1914">
          <cell r="C1914">
            <v>7</v>
          </cell>
          <cell r="F1914">
            <v>1</v>
          </cell>
          <cell r="I1914">
            <v>46263</v>
          </cell>
          <cell r="J1914">
            <v>0</v>
          </cell>
          <cell r="K1914">
            <v>8</v>
          </cell>
          <cell r="L1914">
            <v>0</v>
          </cell>
          <cell r="M1914">
            <v>0</v>
          </cell>
        </row>
        <row r="1915">
          <cell r="C1915">
            <v>8</v>
          </cell>
          <cell r="F1915">
            <v>1</v>
          </cell>
          <cell r="I1915">
            <v>46263</v>
          </cell>
          <cell r="J1915">
            <v>0</v>
          </cell>
          <cell r="K1915">
            <v>8</v>
          </cell>
          <cell r="L1915">
            <v>0</v>
          </cell>
          <cell r="M1915">
            <v>0</v>
          </cell>
        </row>
        <row r="1916">
          <cell r="C1916">
            <v>370</v>
          </cell>
          <cell r="F1916">
            <v>1</v>
          </cell>
          <cell r="I1916">
            <v>46263</v>
          </cell>
          <cell r="J1916">
            <v>0</v>
          </cell>
          <cell r="K1916">
            <v>1</v>
          </cell>
          <cell r="L1916">
            <v>0</v>
          </cell>
          <cell r="M1916">
            <v>0</v>
          </cell>
        </row>
        <row r="1917">
          <cell r="C1917">
            <v>402</v>
          </cell>
          <cell r="F1917">
            <v>1</v>
          </cell>
          <cell r="I1917">
            <v>46263</v>
          </cell>
          <cell r="J1917">
            <v>0</v>
          </cell>
          <cell r="K1917">
            <v>1</v>
          </cell>
          <cell r="L1917">
            <v>0</v>
          </cell>
          <cell r="M1917">
            <v>0</v>
          </cell>
        </row>
        <row r="1918">
          <cell r="C1918">
            <v>380</v>
          </cell>
          <cell r="F1918">
            <v>1</v>
          </cell>
          <cell r="I1918">
            <v>46263</v>
          </cell>
          <cell r="J1918">
            <v>0</v>
          </cell>
          <cell r="K1918">
            <v>5</v>
          </cell>
          <cell r="L1918">
            <v>0</v>
          </cell>
          <cell r="M1918">
            <v>0</v>
          </cell>
        </row>
        <row r="1919">
          <cell r="C1919">
            <v>423</v>
          </cell>
          <cell r="F1919">
            <v>1</v>
          </cell>
          <cell r="I1919">
            <v>46263</v>
          </cell>
          <cell r="J1919">
            <v>0</v>
          </cell>
          <cell r="K1919">
            <v>2</v>
          </cell>
          <cell r="L1919">
            <v>0</v>
          </cell>
          <cell r="M1919">
            <v>0</v>
          </cell>
        </row>
        <row r="1920">
          <cell r="C1920">
            <v>337</v>
          </cell>
          <cell r="F1920">
            <v>1</v>
          </cell>
          <cell r="I1920">
            <v>46263</v>
          </cell>
          <cell r="J1920">
            <v>0</v>
          </cell>
          <cell r="K1920">
            <v>30</v>
          </cell>
          <cell r="L1920">
            <v>0</v>
          </cell>
          <cell r="M1920">
            <v>0</v>
          </cell>
        </row>
        <row r="1921">
          <cell r="C1921">
            <v>177</v>
          </cell>
          <cell r="F1921">
            <v>1</v>
          </cell>
          <cell r="I1921">
            <v>46263</v>
          </cell>
          <cell r="J1921">
            <v>0</v>
          </cell>
          <cell r="K1921">
            <v>24</v>
          </cell>
          <cell r="L1921">
            <v>0</v>
          </cell>
          <cell r="M1921">
            <v>0</v>
          </cell>
        </row>
        <row r="1922">
          <cell r="C1922">
            <v>387</v>
          </cell>
          <cell r="F1922">
            <v>1</v>
          </cell>
          <cell r="I1922">
            <v>46263</v>
          </cell>
          <cell r="J1922">
            <v>0</v>
          </cell>
          <cell r="K1922">
            <v>1</v>
          </cell>
          <cell r="L1922">
            <v>0</v>
          </cell>
          <cell r="M1922">
            <v>0</v>
          </cell>
        </row>
        <row r="1923">
          <cell r="C1923">
            <v>7</v>
          </cell>
          <cell r="F1923">
            <v>1</v>
          </cell>
          <cell r="I1923">
            <v>46263</v>
          </cell>
          <cell r="J1923">
            <v>0</v>
          </cell>
          <cell r="K1923">
            <v>4</v>
          </cell>
          <cell r="L1923">
            <v>0</v>
          </cell>
          <cell r="M1923">
            <v>0</v>
          </cell>
        </row>
        <row r="1924">
          <cell r="C1924">
            <v>45</v>
          </cell>
          <cell r="F1924">
            <v>1</v>
          </cell>
          <cell r="I1924">
            <v>46263</v>
          </cell>
          <cell r="J1924">
            <v>0</v>
          </cell>
          <cell r="K1924">
            <v>1</v>
          </cell>
          <cell r="L1924">
            <v>0</v>
          </cell>
          <cell r="M1924">
            <v>0</v>
          </cell>
        </row>
        <row r="1925">
          <cell r="C1925">
            <v>358</v>
          </cell>
          <cell r="F1925">
            <v>1</v>
          </cell>
          <cell r="I1925">
            <v>46263</v>
          </cell>
          <cell r="J1925">
            <v>0</v>
          </cell>
          <cell r="K1925">
            <v>1</v>
          </cell>
          <cell r="L1925">
            <v>0</v>
          </cell>
          <cell r="M1925">
            <v>0</v>
          </cell>
        </row>
        <row r="1926">
          <cell r="C1926">
            <v>422</v>
          </cell>
          <cell r="F1926">
            <v>1</v>
          </cell>
          <cell r="I1926">
            <v>46263</v>
          </cell>
          <cell r="J1926">
            <v>0</v>
          </cell>
          <cell r="K1926">
            <v>2</v>
          </cell>
          <cell r="L1926">
            <v>0</v>
          </cell>
          <cell r="M1926">
            <v>0</v>
          </cell>
        </row>
        <row r="1927">
          <cell r="C1927">
            <v>48</v>
          </cell>
          <cell r="F1927">
            <v>1</v>
          </cell>
          <cell r="I1927">
            <v>46263</v>
          </cell>
          <cell r="J1927">
            <v>0</v>
          </cell>
          <cell r="K1927">
            <v>1</v>
          </cell>
          <cell r="L1927">
            <v>0</v>
          </cell>
          <cell r="M1927">
            <v>0</v>
          </cell>
        </row>
        <row r="1928">
          <cell r="C1928">
            <v>49</v>
          </cell>
          <cell r="F1928">
            <v>1</v>
          </cell>
          <cell r="I1928">
            <v>46263</v>
          </cell>
          <cell r="J1928">
            <v>0</v>
          </cell>
          <cell r="K1928">
            <v>1</v>
          </cell>
          <cell r="L1928">
            <v>0</v>
          </cell>
          <cell r="M1928">
            <v>0</v>
          </cell>
        </row>
        <row r="1929">
          <cell r="C1929">
            <v>429</v>
          </cell>
          <cell r="F1929">
            <v>1</v>
          </cell>
          <cell r="I1929">
            <v>46263</v>
          </cell>
          <cell r="J1929">
            <v>0</v>
          </cell>
          <cell r="K1929">
            <v>1</v>
          </cell>
          <cell r="L1929">
            <v>0</v>
          </cell>
          <cell r="M1929">
            <v>0</v>
          </cell>
        </row>
        <row r="1930">
          <cell r="C1930">
            <v>420</v>
          </cell>
          <cell r="F1930">
            <v>1</v>
          </cell>
          <cell r="I1930">
            <v>46263</v>
          </cell>
          <cell r="J1930">
            <v>0</v>
          </cell>
          <cell r="K1930">
            <v>1</v>
          </cell>
          <cell r="L1930">
            <v>0</v>
          </cell>
          <cell r="M1930">
            <v>0</v>
          </cell>
        </row>
        <row r="1931">
          <cell r="C1931">
            <v>389</v>
          </cell>
          <cell r="F1931">
            <v>1</v>
          </cell>
          <cell r="I1931">
            <v>46263</v>
          </cell>
          <cell r="J1931">
            <v>0</v>
          </cell>
          <cell r="K1931">
            <v>2</v>
          </cell>
          <cell r="L1931">
            <v>0</v>
          </cell>
          <cell r="M1931">
            <v>0</v>
          </cell>
        </row>
        <row r="1932">
          <cell r="C1932">
            <v>395</v>
          </cell>
          <cell r="F1932">
            <v>1</v>
          </cell>
          <cell r="I1932">
            <v>46263</v>
          </cell>
          <cell r="J1932">
            <v>0</v>
          </cell>
          <cell r="K1932">
            <v>5</v>
          </cell>
          <cell r="L1932">
            <v>0</v>
          </cell>
          <cell r="M1932">
            <v>0</v>
          </cell>
        </row>
        <row r="1933">
          <cell r="C1933">
            <v>364</v>
          </cell>
          <cell r="F1933">
            <v>1</v>
          </cell>
          <cell r="I1933">
            <v>46263</v>
          </cell>
          <cell r="J1933">
            <v>0</v>
          </cell>
          <cell r="K1933">
            <v>1</v>
          </cell>
          <cell r="L1933">
            <v>0</v>
          </cell>
          <cell r="M1933">
            <v>0</v>
          </cell>
        </row>
        <row r="1934">
          <cell r="C1934">
            <v>391</v>
          </cell>
          <cell r="F1934">
            <v>1</v>
          </cell>
          <cell r="I1934">
            <v>46263</v>
          </cell>
          <cell r="J1934">
            <v>0</v>
          </cell>
          <cell r="K1934">
            <v>1</v>
          </cell>
          <cell r="L1934">
            <v>0</v>
          </cell>
          <cell r="M1934">
            <v>0</v>
          </cell>
        </row>
        <row r="1935">
          <cell r="C1935">
            <v>414</v>
          </cell>
          <cell r="F1935">
            <v>1</v>
          </cell>
          <cell r="I1935">
            <v>46263</v>
          </cell>
          <cell r="J1935">
            <v>0</v>
          </cell>
          <cell r="K1935">
            <v>2</v>
          </cell>
          <cell r="L1935">
            <v>0</v>
          </cell>
          <cell r="M1935">
            <v>0</v>
          </cell>
        </row>
        <row r="1936">
          <cell r="C1936">
            <v>17</v>
          </cell>
          <cell r="F1936">
            <v>1</v>
          </cell>
          <cell r="I1936">
            <v>46263</v>
          </cell>
          <cell r="J1936">
            <v>0</v>
          </cell>
          <cell r="K1936">
            <v>4</v>
          </cell>
          <cell r="L1936">
            <v>0</v>
          </cell>
          <cell r="M1936">
            <v>0</v>
          </cell>
        </row>
        <row r="1937">
          <cell r="C1937">
            <v>46</v>
          </cell>
          <cell r="F1937">
            <v>1</v>
          </cell>
          <cell r="I1937">
            <v>46263</v>
          </cell>
          <cell r="J1937">
            <v>0</v>
          </cell>
          <cell r="K1937">
            <v>1</v>
          </cell>
          <cell r="L1937">
            <v>0</v>
          </cell>
          <cell r="M1937">
            <v>0</v>
          </cell>
        </row>
        <row r="1938">
          <cell r="C1938">
            <v>50</v>
          </cell>
          <cell r="F1938">
            <v>1</v>
          </cell>
          <cell r="I1938">
            <v>46263</v>
          </cell>
          <cell r="J1938">
            <v>0</v>
          </cell>
          <cell r="K1938">
            <v>1</v>
          </cell>
          <cell r="L1938">
            <v>0</v>
          </cell>
          <cell r="M1938">
            <v>0</v>
          </cell>
        </row>
        <row r="1939">
          <cell r="C1939">
            <v>349</v>
          </cell>
          <cell r="F1939">
            <v>1</v>
          </cell>
          <cell r="I1939">
            <v>46263</v>
          </cell>
          <cell r="J1939">
            <v>0</v>
          </cell>
          <cell r="K1939">
            <v>1</v>
          </cell>
          <cell r="L1939">
            <v>0</v>
          </cell>
          <cell r="M1939">
            <v>0</v>
          </cell>
        </row>
        <row r="1940">
          <cell r="C1940">
            <v>70</v>
          </cell>
          <cell r="F1940">
            <v>1</v>
          </cell>
          <cell r="I1940">
            <v>46263</v>
          </cell>
          <cell r="J1940">
            <v>0</v>
          </cell>
          <cell r="K1940">
            <v>1</v>
          </cell>
          <cell r="L1940">
            <v>0</v>
          </cell>
          <cell r="M1940">
            <v>0</v>
          </cell>
        </row>
        <row r="1941">
          <cell r="C1941">
            <v>142</v>
          </cell>
          <cell r="F1941">
            <v>1</v>
          </cell>
          <cell r="I1941">
            <v>46263</v>
          </cell>
          <cell r="J1941">
            <v>0</v>
          </cell>
          <cell r="K1941">
            <v>1</v>
          </cell>
          <cell r="L1941">
            <v>0</v>
          </cell>
          <cell r="M1941">
            <v>0</v>
          </cell>
        </row>
        <row r="1942">
          <cell r="C1942">
            <v>52</v>
          </cell>
          <cell r="F1942">
            <v>1</v>
          </cell>
          <cell r="I1942">
            <v>46263</v>
          </cell>
          <cell r="J1942">
            <v>0</v>
          </cell>
          <cell r="K1942">
            <v>1</v>
          </cell>
          <cell r="L1942">
            <v>0</v>
          </cell>
          <cell r="M1942">
            <v>0</v>
          </cell>
        </row>
        <row r="1943">
          <cell r="C1943">
            <v>404</v>
          </cell>
          <cell r="F1943">
            <v>1</v>
          </cell>
          <cell r="I1943">
            <v>46263</v>
          </cell>
          <cell r="J1943">
            <v>0</v>
          </cell>
          <cell r="K1943">
            <v>1</v>
          </cell>
          <cell r="L1943">
            <v>0</v>
          </cell>
          <cell r="M1943">
            <v>0</v>
          </cell>
        </row>
        <row r="1944">
          <cell r="C1944">
            <v>403</v>
          </cell>
          <cell r="F1944">
            <v>1</v>
          </cell>
          <cell r="I1944">
            <v>46263</v>
          </cell>
          <cell r="J1944">
            <v>0</v>
          </cell>
          <cell r="K1944">
            <v>1</v>
          </cell>
          <cell r="L1944">
            <v>0</v>
          </cell>
          <cell r="M1944">
            <v>0</v>
          </cell>
        </row>
        <row r="1945">
          <cell r="C1945">
            <v>170</v>
          </cell>
          <cell r="F1945">
            <v>1</v>
          </cell>
          <cell r="I1945">
            <v>46263</v>
          </cell>
          <cell r="J1945">
            <v>0</v>
          </cell>
          <cell r="K1945">
            <v>1</v>
          </cell>
          <cell r="L1945">
            <v>0</v>
          </cell>
          <cell r="M1945">
            <v>0</v>
          </cell>
        </row>
        <row r="1946">
          <cell r="C1946">
            <v>273</v>
          </cell>
          <cell r="F1946">
            <v>1</v>
          </cell>
          <cell r="I1946">
            <v>46263</v>
          </cell>
          <cell r="J1946">
            <v>0</v>
          </cell>
          <cell r="K1946">
            <v>20</v>
          </cell>
          <cell r="L1946">
            <v>0</v>
          </cell>
          <cell r="M1946">
            <v>0</v>
          </cell>
        </row>
        <row r="1947">
          <cell r="C1947">
            <v>96</v>
          </cell>
          <cell r="F1947">
            <v>1</v>
          </cell>
          <cell r="I1947">
            <v>46263</v>
          </cell>
          <cell r="J1947">
            <v>0</v>
          </cell>
          <cell r="K1947">
            <v>1</v>
          </cell>
          <cell r="L1947">
            <v>0</v>
          </cell>
          <cell r="M1947">
            <v>0</v>
          </cell>
        </row>
        <row r="1948">
          <cell r="C1948">
            <v>284</v>
          </cell>
          <cell r="F1948">
            <v>1</v>
          </cell>
          <cell r="I1948">
            <v>46263</v>
          </cell>
          <cell r="J1948">
            <v>0</v>
          </cell>
          <cell r="K1948">
            <v>1</v>
          </cell>
          <cell r="L1948">
            <v>0</v>
          </cell>
          <cell r="M1948">
            <v>0</v>
          </cell>
        </row>
        <row r="1949">
          <cell r="C1949">
            <v>276</v>
          </cell>
          <cell r="F1949">
            <v>1</v>
          </cell>
          <cell r="I1949">
            <v>46263</v>
          </cell>
          <cell r="J1949">
            <v>0</v>
          </cell>
          <cell r="K1949">
            <v>1</v>
          </cell>
          <cell r="L1949">
            <v>0</v>
          </cell>
          <cell r="M1949">
            <v>0</v>
          </cell>
        </row>
        <row r="1950">
          <cell r="C1950">
            <v>394</v>
          </cell>
          <cell r="F1950">
            <v>1</v>
          </cell>
          <cell r="I1950">
            <v>46263</v>
          </cell>
          <cell r="J1950">
            <v>0</v>
          </cell>
          <cell r="K1950">
            <v>1</v>
          </cell>
          <cell r="L1950">
            <v>0</v>
          </cell>
          <cell r="M1950">
            <v>0</v>
          </cell>
        </row>
        <row r="1951">
          <cell r="C1951">
            <v>413</v>
          </cell>
          <cell r="F1951">
            <v>1</v>
          </cell>
          <cell r="I1951">
            <v>46263</v>
          </cell>
          <cell r="J1951">
            <v>0</v>
          </cell>
          <cell r="K1951">
            <v>1</v>
          </cell>
          <cell r="L1951">
            <v>0</v>
          </cell>
          <cell r="M1951">
            <v>0</v>
          </cell>
        </row>
        <row r="1952">
          <cell r="C1952">
            <v>425</v>
          </cell>
          <cell r="F1952">
            <v>1</v>
          </cell>
          <cell r="I1952">
            <v>46263</v>
          </cell>
          <cell r="J1952">
            <v>0</v>
          </cell>
          <cell r="K1952">
            <v>1</v>
          </cell>
          <cell r="L1952">
            <v>0</v>
          </cell>
          <cell r="M1952">
            <v>0</v>
          </cell>
        </row>
        <row r="1953">
          <cell r="C1953">
            <v>241</v>
          </cell>
          <cell r="F1953">
            <v>1</v>
          </cell>
          <cell r="I1953">
            <v>46263</v>
          </cell>
          <cell r="J1953">
            <v>0</v>
          </cell>
          <cell r="K1953">
            <v>1</v>
          </cell>
          <cell r="L1953">
            <v>0</v>
          </cell>
          <cell r="M1953">
            <v>0</v>
          </cell>
        </row>
        <row r="1954">
          <cell r="C1954">
            <v>408</v>
          </cell>
          <cell r="F1954">
            <v>1</v>
          </cell>
          <cell r="I1954">
            <v>46263</v>
          </cell>
          <cell r="J1954">
            <v>0</v>
          </cell>
          <cell r="K1954">
            <v>1</v>
          </cell>
          <cell r="L1954">
            <v>0</v>
          </cell>
          <cell r="M1954">
            <v>0</v>
          </cell>
        </row>
        <row r="1955">
          <cell r="C1955">
            <v>416</v>
          </cell>
          <cell r="F1955">
            <v>1</v>
          </cell>
          <cell r="I1955">
            <v>46263</v>
          </cell>
          <cell r="J1955">
            <v>0</v>
          </cell>
          <cell r="K1955">
            <v>1</v>
          </cell>
          <cell r="L1955">
            <v>0</v>
          </cell>
          <cell r="M1955">
            <v>0</v>
          </cell>
        </row>
        <row r="1956">
          <cell r="C1956">
            <v>273</v>
          </cell>
          <cell r="F1956">
            <v>1</v>
          </cell>
          <cell r="I1956">
            <v>46263</v>
          </cell>
          <cell r="J1956">
            <v>0</v>
          </cell>
          <cell r="K1956">
            <v>15</v>
          </cell>
          <cell r="L1956">
            <v>0</v>
          </cell>
          <cell r="M1956">
            <v>0</v>
          </cell>
        </row>
        <row r="1957">
          <cell r="C1957">
            <v>96</v>
          </cell>
          <cell r="F1957">
            <v>1</v>
          </cell>
          <cell r="I1957">
            <v>46264</v>
          </cell>
          <cell r="J1957">
            <v>0</v>
          </cell>
          <cell r="K1957">
            <v>1</v>
          </cell>
          <cell r="L1957">
            <v>0</v>
          </cell>
          <cell r="M1957">
            <v>0</v>
          </cell>
        </row>
        <row r="1958">
          <cell r="C1958">
            <v>94</v>
          </cell>
          <cell r="F1958">
            <v>1</v>
          </cell>
          <cell r="I1958">
            <v>46264</v>
          </cell>
          <cell r="J1958">
            <v>0</v>
          </cell>
          <cell r="K1958">
            <v>1</v>
          </cell>
          <cell r="L1958">
            <v>0</v>
          </cell>
          <cell r="M1958">
            <v>0</v>
          </cell>
        </row>
        <row r="1959">
          <cell r="C1959">
            <v>273</v>
          </cell>
          <cell r="F1959">
            <v>1</v>
          </cell>
          <cell r="I1959">
            <v>46264</v>
          </cell>
          <cell r="J1959">
            <v>0</v>
          </cell>
          <cell r="K1959">
            <v>15</v>
          </cell>
          <cell r="L1959">
            <v>0</v>
          </cell>
          <cell r="M1959">
            <v>0</v>
          </cell>
        </row>
        <row r="1960">
          <cell r="C1960">
            <v>276</v>
          </cell>
          <cell r="F1960">
            <v>1</v>
          </cell>
          <cell r="I1960">
            <v>46264</v>
          </cell>
          <cell r="J1960">
            <v>0</v>
          </cell>
          <cell r="K1960">
            <v>1</v>
          </cell>
          <cell r="L1960">
            <v>0</v>
          </cell>
          <cell r="M1960">
            <v>0</v>
          </cell>
        </row>
        <row r="1961">
          <cell r="C1961">
            <v>424</v>
          </cell>
          <cell r="F1961">
            <v>1</v>
          </cell>
          <cell r="I1961">
            <v>46264</v>
          </cell>
          <cell r="J1961">
            <v>0</v>
          </cell>
          <cell r="K1961">
            <v>1</v>
          </cell>
          <cell r="L1961">
            <v>0</v>
          </cell>
          <cell r="M1961">
            <v>0</v>
          </cell>
        </row>
        <row r="1962">
          <cell r="C1962">
            <v>389</v>
          </cell>
          <cell r="F1962">
            <v>1</v>
          </cell>
          <cell r="I1962">
            <v>46264</v>
          </cell>
          <cell r="J1962">
            <v>0</v>
          </cell>
          <cell r="K1962">
            <v>1</v>
          </cell>
          <cell r="L1962">
            <v>0</v>
          </cell>
          <cell r="M1962">
            <v>0</v>
          </cell>
        </row>
        <row r="1963">
          <cell r="C1963">
            <v>383</v>
          </cell>
          <cell r="F1963">
            <v>1</v>
          </cell>
          <cell r="I1963">
            <v>46264</v>
          </cell>
          <cell r="J1963">
            <v>0</v>
          </cell>
          <cell r="K1963">
            <v>1</v>
          </cell>
          <cell r="L1963">
            <v>0</v>
          </cell>
          <cell r="M1963">
            <v>0</v>
          </cell>
        </row>
        <row r="1964">
          <cell r="C1964">
            <v>385</v>
          </cell>
          <cell r="F1964">
            <v>1</v>
          </cell>
          <cell r="I1964">
            <v>46264</v>
          </cell>
          <cell r="J1964">
            <v>0</v>
          </cell>
          <cell r="K1964">
            <v>2</v>
          </cell>
          <cell r="L1964">
            <v>0</v>
          </cell>
          <cell r="M1964">
            <v>0</v>
          </cell>
        </row>
        <row r="1965">
          <cell r="C1965">
            <v>16</v>
          </cell>
          <cell r="F1965">
            <v>1</v>
          </cell>
          <cell r="I1965">
            <v>46264</v>
          </cell>
          <cell r="J1965">
            <v>0</v>
          </cell>
          <cell r="K1965">
            <v>8</v>
          </cell>
          <cell r="L1965">
            <v>0</v>
          </cell>
          <cell r="M1965">
            <v>0</v>
          </cell>
        </row>
        <row r="1966">
          <cell r="C1966">
            <v>17</v>
          </cell>
          <cell r="F1966">
            <v>1</v>
          </cell>
          <cell r="I1966">
            <v>46264</v>
          </cell>
          <cell r="J1966">
            <v>0</v>
          </cell>
          <cell r="K1966">
            <v>8</v>
          </cell>
          <cell r="L1966">
            <v>0</v>
          </cell>
          <cell r="M1966">
            <v>0</v>
          </cell>
        </row>
        <row r="1967">
          <cell r="C1967">
            <v>372</v>
          </cell>
          <cell r="F1967">
            <v>1</v>
          </cell>
          <cell r="I1967">
            <v>46264</v>
          </cell>
          <cell r="J1967">
            <v>0</v>
          </cell>
          <cell r="K1967">
            <v>1</v>
          </cell>
          <cell r="L1967">
            <v>0</v>
          </cell>
          <cell r="M1967">
            <v>0</v>
          </cell>
        </row>
        <row r="1968">
          <cell r="C1968">
            <v>407</v>
          </cell>
          <cell r="F1968">
            <v>1</v>
          </cell>
          <cell r="I1968">
            <v>46264</v>
          </cell>
          <cell r="J1968">
            <v>0</v>
          </cell>
          <cell r="K1968">
            <v>1</v>
          </cell>
          <cell r="L1968">
            <v>0</v>
          </cell>
          <cell r="M1968">
            <v>0</v>
          </cell>
        </row>
        <row r="1969">
          <cell r="C1969">
            <v>70</v>
          </cell>
          <cell r="F1969">
            <v>1</v>
          </cell>
          <cell r="I1969">
            <v>46264</v>
          </cell>
          <cell r="J1969">
            <v>0</v>
          </cell>
          <cell r="K1969">
            <v>1</v>
          </cell>
          <cell r="L1969">
            <v>0</v>
          </cell>
          <cell r="M1969">
            <v>0</v>
          </cell>
        </row>
        <row r="1970">
          <cell r="C1970">
            <v>349</v>
          </cell>
          <cell r="F1970">
            <v>1</v>
          </cell>
          <cell r="I1970">
            <v>46264</v>
          </cell>
          <cell r="J1970">
            <v>0</v>
          </cell>
          <cell r="K1970">
            <v>1</v>
          </cell>
          <cell r="L1970">
            <v>0</v>
          </cell>
          <cell r="M1970">
            <v>0</v>
          </cell>
        </row>
        <row r="1971">
          <cell r="C1971">
            <v>358</v>
          </cell>
          <cell r="F1971">
            <v>1</v>
          </cell>
          <cell r="I1971">
            <v>46264</v>
          </cell>
          <cell r="J1971">
            <v>0</v>
          </cell>
          <cell r="K1971">
            <v>1</v>
          </cell>
          <cell r="L1971">
            <v>0</v>
          </cell>
          <cell r="M1971">
            <v>0</v>
          </cell>
        </row>
        <row r="1972">
          <cell r="C1972">
            <v>305</v>
          </cell>
          <cell r="F1972">
            <v>1</v>
          </cell>
          <cell r="I1972">
            <v>46264</v>
          </cell>
          <cell r="J1972">
            <v>0</v>
          </cell>
          <cell r="K1972">
            <v>700</v>
          </cell>
          <cell r="L1972">
            <v>0</v>
          </cell>
          <cell r="M1972">
            <v>0</v>
          </cell>
        </row>
        <row r="1973">
          <cell r="C1973">
            <v>397</v>
          </cell>
          <cell r="F1973">
            <v>1</v>
          </cell>
          <cell r="I1973">
            <v>46264</v>
          </cell>
          <cell r="J1973">
            <v>0</v>
          </cell>
          <cell r="K1973">
            <v>2</v>
          </cell>
          <cell r="L1973">
            <v>0</v>
          </cell>
          <cell r="M1973">
            <v>0</v>
          </cell>
        </row>
        <row r="1974">
          <cell r="C1974">
            <v>401</v>
          </cell>
          <cell r="F1974">
            <v>1</v>
          </cell>
          <cell r="I1974">
            <v>46264</v>
          </cell>
          <cell r="J1974">
            <v>0</v>
          </cell>
          <cell r="K1974">
            <v>1</v>
          </cell>
          <cell r="L1974">
            <v>0</v>
          </cell>
          <cell r="M1974">
            <v>0</v>
          </cell>
        </row>
        <row r="1975">
          <cell r="C1975">
            <v>392</v>
          </cell>
          <cell r="F1975">
            <v>1</v>
          </cell>
          <cell r="I1975">
            <v>46264</v>
          </cell>
          <cell r="J1975">
            <v>0</v>
          </cell>
          <cell r="K1975">
            <v>1</v>
          </cell>
          <cell r="L1975">
            <v>0</v>
          </cell>
          <cell r="M1975">
            <v>0</v>
          </cell>
        </row>
        <row r="1976">
          <cell r="C1976">
            <v>364</v>
          </cell>
          <cell r="F1976">
            <v>1</v>
          </cell>
          <cell r="I1976">
            <v>46264</v>
          </cell>
          <cell r="J1976">
            <v>0</v>
          </cell>
          <cell r="K1976">
            <v>1</v>
          </cell>
          <cell r="L1976">
            <v>0</v>
          </cell>
          <cell r="M1976">
            <v>0</v>
          </cell>
        </row>
        <row r="1977">
          <cell r="C1977">
            <v>177</v>
          </cell>
          <cell r="F1977">
            <v>1</v>
          </cell>
          <cell r="I1977">
            <v>46264</v>
          </cell>
          <cell r="J1977">
            <v>0</v>
          </cell>
          <cell r="K1977">
            <v>5</v>
          </cell>
          <cell r="L1977">
            <v>0</v>
          </cell>
          <cell r="M1977">
            <v>0</v>
          </cell>
        </row>
        <row r="1978">
          <cell r="C1978">
            <v>415</v>
          </cell>
          <cell r="F1978">
            <v>1</v>
          </cell>
          <cell r="I1978">
            <v>46264</v>
          </cell>
          <cell r="J1978">
            <v>0</v>
          </cell>
          <cell r="K1978">
            <v>1</v>
          </cell>
          <cell r="L1978">
            <v>0</v>
          </cell>
          <cell r="M1978">
            <v>0</v>
          </cell>
        </row>
        <row r="1979">
          <cell r="C1979">
            <v>181</v>
          </cell>
          <cell r="F1979">
            <v>1</v>
          </cell>
          <cell r="I1979">
            <v>46264</v>
          </cell>
          <cell r="J1979">
            <v>0</v>
          </cell>
          <cell r="K1979">
            <v>12</v>
          </cell>
          <cell r="L1979">
            <v>0</v>
          </cell>
          <cell r="M1979">
            <v>0</v>
          </cell>
        </row>
        <row r="1980">
          <cell r="C1980">
            <v>413</v>
          </cell>
          <cell r="F1980">
            <v>1</v>
          </cell>
          <cell r="I1980">
            <v>46264</v>
          </cell>
          <cell r="J1980">
            <v>0</v>
          </cell>
          <cell r="K1980">
            <v>1</v>
          </cell>
          <cell r="L1980">
            <v>0</v>
          </cell>
          <cell r="M1980">
            <v>0</v>
          </cell>
        </row>
        <row r="1981">
          <cell r="C1981">
            <v>408</v>
          </cell>
          <cell r="F1981">
            <v>1</v>
          </cell>
          <cell r="I1981">
            <v>46264</v>
          </cell>
          <cell r="J1981">
            <v>0</v>
          </cell>
          <cell r="K1981">
            <v>1</v>
          </cell>
          <cell r="L1981">
            <v>0</v>
          </cell>
          <cell r="M1981">
            <v>0</v>
          </cell>
        </row>
        <row r="1982">
          <cell r="C1982">
            <v>369</v>
          </cell>
          <cell r="F1982">
            <v>1</v>
          </cell>
          <cell r="I1982">
            <v>46264</v>
          </cell>
          <cell r="J1982">
            <v>0</v>
          </cell>
          <cell r="K1982">
            <v>5</v>
          </cell>
          <cell r="L1982">
            <v>0</v>
          </cell>
          <cell r="M1982">
            <v>0</v>
          </cell>
        </row>
        <row r="1983">
          <cell r="C1983">
            <v>368</v>
          </cell>
          <cell r="F1983">
            <v>1</v>
          </cell>
          <cell r="I1983">
            <v>46264</v>
          </cell>
          <cell r="J1983">
            <v>0</v>
          </cell>
          <cell r="K1983">
            <v>2</v>
          </cell>
          <cell r="L1983">
            <v>0</v>
          </cell>
          <cell r="M1983">
            <v>0</v>
          </cell>
        </row>
        <row r="1984">
          <cell r="C1984">
            <v>391</v>
          </cell>
          <cell r="F1984">
            <v>1</v>
          </cell>
          <cell r="I1984">
            <v>46264</v>
          </cell>
          <cell r="J1984">
            <v>0</v>
          </cell>
          <cell r="K1984">
            <v>2</v>
          </cell>
          <cell r="L1984">
            <v>0</v>
          </cell>
          <cell r="M1984">
            <v>0</v>
          </cell>
        </row>
        <row r="1985">
          <cell r="C1985">
            <v>420</v>
          </cell>
          <cell r="F1985">
            <v>1</v>
          </cell>
          <cell r="I1985">
            <v>46264</v>
          </cell>
          <cell r="J1985">
            <v>0</v>
          </cell>
          <cell r="K1985">
            <v>1</v>
          </cell>
          <cell r="L1985">
            <v>0</v>
          </cell>
          <cell r="M1985">
            <v>0</v>
          </cell>
        </row>
        <row r="1986">
          <cell r="C1986">
            <v>169</v>
          </cell>
          <cell r="F1986">
            <v>1</v>
          </cell>
          <cell r="I1986">
            <v>46264</v>
          </cell>
          <cell r="J1986">
            <v>0</v>
          </cell>
          <cell r="K1986">
            <v>1</v>
          </cell>
          <cell r="L1986">
            <v>0</v>
          </cell>
          <cell r="M1986">
            <v>0</v>
          </cell>
        </row>
        <row r="1987">
          <cell r="C1987">
            <v>404</v>
          </cell>
          <cell r="F1987">
            <v>1</v>
          </cell>
          <cell r="I1987">
            <v>46264</v>
          </cell>
          <cell r="J1987">
            <v>0</v>
          </cell>
          <cell r="K1987">
            <v>1</v>
          </cell>
          <cell r="L1987">
            <v>0</v>
          </cell>
          <cell r="M1987">
            <v>0</v>
          </cell>
        </row>
        <row r="1988">
          <cell r="C1988">
            <v>101</v>
          </cell>
          <cell r="F1988">
            <v>1</v>
          </cell>
          <cell r="I1988">
            <v>46264</v>
          </cell>
          <cell r="J1988">
            <v>0</v>
          </cell>
          <cell r="K1988">
            <v>700</v>
          </cell>
          <cell r="L1988">
            <v>0</v>
          </cell>
          <cell r="M1988">
            <v>0</v>
          </cell>
        </row>
        <row r="1989">
          <cell r="C1989">
            <v>370</v>
          </cell>
          <cell r="F1989">
            <v>1</v>
          </cell>
          <cell r="I1989">
            <v>46264</v>
          </cell>
          <cell r="J1989">
            <v>0</v>
          </cell>
          <cell r="K1989">
            <v>1</v>
          </cell>
          <cell r="L1989">
            <v>0</v>
          </cell>
          <cell r="M1989">
            <v>0</v>
          </cell>
        </row>
        <row r="1990">
          <cell r="C1990">
            <v>71</v>
          </cell>
          <cell r="F1990">
            <v>1</v>
          </cell>
          <cell r="I1990">
            <v>46264</v>
          </cell>
          <cell r="J1990">
            <v>0</v>
          </cell>
          <cell r="K1990">
            <v>1</v>
          </cell>
          <cell r="L1990">
            <v>0</v>
          </cell>
          <cell r="M1990">
            <v>0</v>
          </cell>
        </row>
        <row r="1991">
          <cell r="C1991">
            <v>45</v>
          </cell>
          <cell r="F1991">
            <v>1</v>
          </cell>
          <cell r="I1991">
            <v>46264</v>
          </cell>
          <cell r="J1991">
            <v>0</v>
          </cell>
          <cell r="K1991">
            <v>1</v>
          </cell>
          <cell r="L1991">
            <v>0</v>
          </cell>
          <cell r="M1991">
            <v>0</v>
          </cell>
        </row>
        <row r="1992">
          <cell r="C1992">
            <v>46</v>
          </cell>
          <cell r="F1992">
            <v>1</v>
          </cell>
          <cell r="I1992">
            <v>46264</v>
          </cell>
          <cell r="J1992">
            <v>0</v>
          </cell>
          <cell r="K1992">
            <v>1</v>
          </cell>
          <cell r="L1992">
            <v>0</v>
          </cell>
          <cell r="M1992">
            <v>0</v>
          </cell>
        </row>
        <row r="1993">
          <cell r="C1993">
            <v>49</v>
          </cell>
          <cell r="F1993">
            <v>1</v>
          </cell>
          <cell r="I1993">
            <v>46264</v>
          </cell>
          <cell r="J1993">
            <v>0</v>
          </cell>
          <cell r="K1993">
            <v>1</v>
          </cell>
          <cell r="L1993">
            <v>0</v>
          </cell>
          <cell r="M1993">
            <v>0</v>
          </cell>
        </row>
        <row r="1994">
          <cell r="C1994">
            <v>82</v>
          </cell>
          <cell r="F1994">
            <v>1</v>
          </cell>
          <cell r="I1994">
            <v>46264</v>
          </cell>
          <cell r="J1994">
            <v>0</v>
          </cell>
          <cell r="K1994">
            <v>2</v>
          </cell>
          <cell r="L1994">
            <v>0</v>
          </cell>
          <cell r="M1994">
            <v>0</v>
          </cell>
        </row>
        <row r="1995">
          <cell r="C1995">
            <v>108</v>
          </cell>
          <cell r="F1995">
            <v>1</v>
          </cell>
          <cell r="I1995">
            <v>46264</v>
          </cell>
          <cell r="J1995">
            <v>0</v>
          </cell>
          <cell r="K1995">
            <v>1</v>
          </cell>
          <cell r="L1995">
            <v>0</v>
          </cell>
          <cell r="M1995">
            <v>0</v>
          </cell>
        </row>
        <row r="1996">
          <cell r="C1996">
            <v>125</v>
          </cell>
          <cell r="F1996">
            <v>1</v>
          </cell>
          <cell r="I1996">
            <v>46264</v>
          </cell>
          <cell r="J1996">
            <v>0</v>
          </cell>
          <cell r="K1996">
            <v>30</v>
          </cell>
          <cell r="L1996">
            <v>0</v>
          </cell>
          <cell r="M1996">
            <v>0</v>
          </cell>
        </row>
        <row r="1997">
          <cell r="C1997">
            <v>241</v>
          </cell>
          <cell r="F1997">
            <v>1</v>
          </cell>
          <cell r="I1997">
            <v>46264</v>
          </cell>
          <cell r="J1997">
            <v>0</v>
          </cell>
          <cell r="K1997">
            <v>1</v>
          </cell>
          <cell r="L1997">
            <v>0</v>
          </cell>
          <cell r="M1997">
            <v>0</v>
          </cell>
        </row>
        <row r="1998">
          <cell r="C1998">
            <v>433</v>
          </cell>
          <cell r="F1998">
            <v>1</v>
          </cell>
          <cell r="I1998">
            <v>46264</v>
          </cell>
          <cell r="J1998">
            <v>0</v>
          </cell>
          <cell r="K1998">
            <v>4</v>
          </cell>
          <cell r="L1998">
            <v>0</v>
          </cell>
          <cell r="M1998">
            <v>0</v>
          </cell>
        </row>
        <row r="1999">
          <cell r="C1999">
            <v>294</v>
          </cell>
          <cell r="F1999">
            <v>1</v>
          </cell>
          <cell r="I1999">
            <v>46265</v>
          </cell>
          <cell r="J1999">
            <v>0</v>
          </cell>
          <cell r="K1999">
            <v>45</v>
          </cell>
          <cell r="L1999">
            <v>0</v>
          </cell>
          <cell r="M1999">
            <v>0</v>
          </cell>
        </row>
        <row r="2000">
          <cell r="C2000">
            <v>16</v>
          </cell>
          <cell r="F2000">
            <v>1</v>
          </cell>
          <cell r="I2000">
            <v>46265</v>
          </cell>
          <cell r="J2000">
            <v>0</v>
          </cell>
          <cell r="K2000">
            <v>4</v>
          </cell>
          <cell r="L2000">
            <v>0</v>
          </cell>
          <cell r="M2000">
            <v>0</v>
          </cell>
        </row>
        <row r="2001">
          <cell r="C2001">
            <v>17</v>
          </cell>
          <cell r="F2001">
            <v>1</v>
          </cell>
          <cell r="I2001">
            <v>46265</v>
          </cell>
          <cell r="J2001">
            <v>0</v>
          </cell>
          <cell r="K2001">
            <v>4</v>
          </cell>
          <cell r="L2001">
            <v>0</v>
          </cell>
          <cell r="M2001">
            <v>0</v>
          </cell>
        </row>
        <row r="2002">
          <cell r="C2002">
            <v>49</v>
          </cell>
          <cell r="F2002">
            <v>1</v>
          </cell>
          <cell r="I2002">
            <v>46265</v>
          </cell>
          <cell r="J2002">
            <v>0</v>
          </cell>
          <cell r="K2002">
            <v>1</v>
          </cell>
          <cell r="L2002">
            <v>0</v>
          </cell>
          <cell r="M2002">
            <v>0</v>
          </cell>
        </row>
        <row r="2003">
          <cell r="C2003">
            <v>46</v>
          </cell>
          <cell r="F2003">
            <v>1</v>
          </cell>
          <cell r="I2003">
            <v>46265</v>
          </cell>
          <cell r="J2003">
            <v>0</v>
          </cell>
          <cell r="K2003">
            <v>1</v>
          </cell>
          <cell r="L2003">
            <v>0</v>
          </cell>
          <cell r="M2003">
            <v>0</v>
          </cell>
        </row>
        <row r="2004">
          <cell r="C2004">
            <v>349</v>
          </cell>
          <cell r="F2004">
            <v>1</v>
          </cell>
          <cell r="I2004">
            <v>46265</v>
          </cell>
          <cell r="J2004">
            <v>0</v>
          </cell>
          <cell r="K2004">
            <v>1</v>
          </cell>
          <cell r="L2004">
            <v>0</v>
          </cell>
          <cell r="M2004">
            <v>0</v>
          </cell>
        </row>
        <row r="2005">
          <cell r="C2005">
            <v>305</v>
          </cell>
          <cell r="F2005">
            <v>1</v>
          </cell>
          <cell r="I2005">
            <v>46265</v>
          </cell>
          <cell r="J2005">
            <v>0</v>
          </cell>
          <cell r="K2005">
            <v>1600</v>
          </cell>
          <cell r="L2005">
            <v>0</v>
          </cell>
          <cell r="M2005">
            <v>0</v>
          </cell>
        </row>
        <row r="2006">
          <cell r="C2006">
            <v>177</v>
          </cell>
          <cell r="F2006">
            <v>1</v>
          </cell>
          <cell r="I2006">
            <v>46265</v>
          </cell>
          <cell r="J2006">
            <v>0</v>
          </cell>
          <cell r="K2006">
            <v>20</v>
          </cell>
          <cell r="L2006">
            <v>0</v>
          </cell>
          <cell r="M2006">
            <v>0</v>
          </cell>
        </row>
        <row r="2007">
          <cell r="C2007">
            <v>181</v>
          </cell>
          <cell r="F2007">
            <v>1</v>
          </cell>
          <cell r="I2007">
            <v>46265</v>
          </cell>
          <cell r="J2007">
            <v>0</v>
          </cell>
          <cell r="K2007">
            <v>24</v>
          </cell>
          <cell r="L2007">
            <v>0</v>
          </cell>
          <cell r="M2007">
            <v>0</v>
          </cell>
        </row>
        <row r="2008">
          <cell r="C2008">
            <v>416</v>
          </cell>
          <cell r="F2008">
            <v>1</v>
          </cell>
          <cell r="I2008">
            <v>46265</v>
          </cell>
          <cell r="J2008">
            <v>0</v>
          </cell>
          <cell r="K2008">
            <v>1</v>
          </cell>
          <cell r="L2008">
            <v>0</v>
          </cell>
          <cell r="M2008">
            <v>0</v>
          </cell>
        </row>
        <row r="2009">
          <cell r="C2009">
            <v>420</v>
          </cell>
          <cell r="F2009">
            <v>1</v>
          </cell>
          <cell r="I2009">
            <v>46265</v>
          </cell>
          <cell r="J2009">
            <v>0</v>
          </cell>
          <cell r="K2009">
            <v>2</v>
          </cell>
          <cell r="L2009">
            <v>0</v>
          </cell>
          <cell r="M2009">
            <v>0</v>
          </cell>
        </row>
        <row r="2010">
          <cell r="C2010">
            <v>337</v>
          </cell>
          <cell r="F2010">
            <v>1</v>
          </cell>
          <cell r="I2010">
            <v>46265</v>
          </cell>
          <cell r="J2010">
            <v>0</v>
          </cell>
          <cell r="K2010">
            <v>40</v>
          </cell>
          <cell r="L2010">
            <v>0</v>
          </cell>
          <cell r="M2010">
            <v>0</v>
          </cell>
        </row>
        <row r="2011">
          <cell r="C2011">
            <v>426</v>
          </cell>
          <cell r="F2011">
            <v>1</v>
          </cell>
          <cell r="I2011">
            <v>46265</v>
          </cell>
          <cell r="J2011">
            <v>0</v>
          </cell>
          <cell r="K2011">
            <v>1</v>
          </cell>
          <cell r="L2011">
            <v>0</v>
          </cell>
          <cell r="M2011">
            <v>0</v>
          </cell>
        </row>
        <row r="2012">
          <cell r="C2012">
            <v>409</v>
          </cell>
          <cell r="F2012">
            <v>1</v>
          </cell>
          <cell r="I2012">
            <v>46265</v>
          </cell>
          <cell r="J2012">
            <v>0</v>
          </cell>
          <cell r="K2012">
            <v>1</v>
          </cell>
          <cell r="L2012">
            <v>0</v>
          </cell>
          <cell r="M2012">
            <v>0</v>
          </cell>
        </row>
        <row r="2013">
          <cell r="C2013">
            <v>358</v>
          </cell>
          <cell r="F2013">
            <v>1</v>
          </cell>
          <cell r="I2013">
            <v>46265</v>
          </cell>
          <cell r="J2013">
            <v>0</v>
          </cell>
          <cell r="K2013">
            <v>2</v>
          </cell>
          <cell r="L2013">
            <v>0</v>
          </cell>
          <cell r="M2013">
            <v>0</v>
          </cell>
        </row>
        <row r="2014">
          <cell r="C2014">
            <v>396</v>
          </cell>
          <cell r="F2014">
            <v>1</v>
          </cell>
          <cell r="I2014">
            <v>46265</v>
          </cell>
          <cell r="J2014">
            <v>0</v>
          </cell>
          <cell r="K2014">
            <v>1</v>
          </cell>
          <cell r="L2014">
            <v>0</v>
          </cell>
          <cell r="M2014">
            <v>0</v>
          </cell>
        </row>
        <row r="2015">
          <cell r="C2015">
            <v>397</v>
          </cell>
          <cell r="F2015">
            <v>1</v>
          </cell>
          <cell r="I2015">
            <v>46265</v>
          </cell>
          <cell r="J2015">
            <v>0</v>
          </cell>
          <cell r="K2015">
            <v>4</v>
          </cell>
          <cell r="L2015">
            <v>0</v>
          </cell>
          <cell r="M2015">
            <v>0</v>
          </cell>
        </row>
        <row r="2016">
          <cell r="C2016">
            <v>367</v>
          </cell>
          <cell r="F2016">
            <v>1</v>
          </cell>
          <cell r="I2016">
            <v>46265</v>
          </cell>
          <cell r="J2016">
            <v>0</v>
          </cell>
          <cell r="K2016">
            <v>1</v>
          </cell>
          <cell r="L2016">
            <v>0</v>
          </cell>
          <cell r="M2016">
            <v>0</v>
          </cell>
        </row>
        <row r="2017">
          <cell r="C2017">
            <v>401</v>
          </cell>
          <cell r="F2017">
            <v>1</v>
          </cell>
          <cell r="I2017">
            <v>46265</v>
          </cell>
          <cell r="J2017">
            <v>0</v>
          </cell>
          <cell r="K2017">
            <v>1</v>
          </cell>
          <cell r="L2017">
            <v>0</v>
          </cell>
          <cell r="M2017">
            <v>0</v>
          </cell>
        </row>
        <row r="2018">
          <cell r="C2018">
            <v>410</v>
          </cell>
          <cell r="F2018">
            <v>1</v>
          </cell>
          <cell r="I2018">
            <v>46265</v>
          </cell>
          <cell r="J2018">
            <v>0</v>
          </cell>
          <cell r="K2018">
            <v>1</v>
          </cell>
          <cell r="L2018">
            <v>0</v>
          </cell>
          <cell r="M2018">
            <v>0</v>
          </cell>
        </row>
        <row r="2019">
          <cell r="C2019">
            <v>429</v>
          </cell>
          <cell r="F2019">
            <v>1</v>
          </cell>
          <cell r="I2019">
            <v>46265</v>
          </cell>
          <cell r="J2019">
            <v>0</v>
          </cell>
          <cell r="K2019">
            <v>1</v>
          </cell>
          <cell r="L2019">
            <v>0</v>
          </cell>
          <cell r="M2019">
            <v>0</v>
          </cell>
        </row>
        <row r="2020">
          <cell r="C2020">
            <v>41</v>
          </cell>
          <cell r="F2020">
            <v>1</v>
          </cell>
          <cell r="I2020">
            <v>46265</v>
          </cell>
          <cell r="J2020">
            <v>0</v>
          </cell>
          <cell r="K2020">
            <v>1</v>
          </cell>
          <cell r="L2020">
            <v>0</v>
          </cell>
          <cell r="M2020">
            <v>0</v>
          </cell>
        </row>
        <row r="2021">
          <cell r="C2021">
            <v>56</v>
          </cell>
          <cell r="F2021">
            <v>1</v>
          </cell>
          <cell r="I2021">
            <v>46265</v>
          </cell>
          <cell r="J2021">
            <v>0</v>
          </cell>
          <cell r="K2021">
            <v>1</v>
          </cell>
          <cell r="L2021">
            <v>0</v>
          </cell>
          <cell r="M2021">
            <v>0</v>
          </cell>
        </row>
        <row r="2022">
          <cell r="C2022">
            <v>96</v>
          </cell>
          <cell r="F2022">
            <v>1</v>
          </cell>
          <cell r="I2022">
            <v>46265</v>
          </cell>
          <cell r="J2022">
            <v>0</v>
          </cell>
          <cell r="K2022">
            <v>2</v>
          </cell>
          <cell r="L2022">
            <v>0</v>
          </cell>
          <cell r="M2022">
            <v>0</v>
          </cell>
        </row>
        <row r="2023">
          <cell r="C2023">
            <v>376</v>
          </cell>
          <cell r="F2023">
            <v>1</v>
          </cell>
          <cell r="I2023">
            <v>46265</v>
          </cell>
          <cell r="J2023">
            <v>0</v>
          </cell>
          <cell r="K2023">
            <v>1</v>
          </cell>
          <cell r="L2023">
            <v>0</v>
          </cell>
          <cell r="M2023">
            <v>0</v>
          </cell>
        </row>
        <row r="2024">
          <cell r="C2024">
            <v>273</v>
          </cell>
          <cell r="F2024">
            <v>1</v>
          </cell>
          <cell r="I2024">
            <v>46265</v>
          </cell>
          <cell r="J2024">
            <v>0</v>
          </cell>
          <cell r="K2024">
            <v>15</v>
          </cell>
          <cell r="L2024">
            <v>0</v>
          </cell>
          <cell r="M2024">
            <v>0</v>
          </cell>
        </row>
        <row r="2025">
          <cell r="C2025">
            <v>284</v>
          </cell>
          <cell r="F2025">
            <v>1</v>
          </cell>
          <cell r="I2025">
            <v>46265</v>
          </cell>
          <cell r="J2025">
            <v>0</v>
          </cell>
          <cell r="K2025">
            <v>1</v>
          </cell>
          <cell r="L2025">
            <v>0</v>
          </cell>
          <cell r="M2025">
            <v>0</v>
          </cell>
        </row>
        <row r="2026">
          <cell r="C2026">
            <v>276</v>
          </cell>
          <cell r="F2026">
            <v>1</v>
          </cell>
          <cell r="I2026">
            <v>46265</v>
          </cell>
          <cell r="J2026">
            <v>0</v>
          </cell>
          <cell r="K2026">
            <v>2</v>
          </cell>
          <cell r="L2026">
            <v>0</v>
          </cell>
          <cell r="M2026">
            <v>0</v>
          </cell>
        </row>
        <row r="2027">
          <cell r="C2027">
            <v>398</v>
          </cell>
          <cell r="F2027">
            <v>1</v>
          </cell>
          <cell r="I2027">
            <v>46265</v>
          </cell>
          <cell r="J2027">
            <v>0</v>
          </cell>
          <cell r="K2027">
            <v>1</v>
          </cell>
          <cell r="L2027">
            <v>0</v>
          </cell>
          <cell r="M2027">
            <v>0</v>
          </cell>
        </row>
        <row r="2028">
          <cell r="C2028">
            <v>389</v>
          </cell>
          <cell r="F2028">
            <v>1</v>
          </cell>
          <cell r="I2028">
            <v>46265</v>
          </cell>
          <cell r="J2028">
            <v>0</v>
          </cell>
          <cell r="K2028">
            <v>1</v>
          </cell>
          <cell r="L2028">
            <v>0</v>
          </cell>
          <cell r="M2028">
            <v>0</v>
          </cell>
        </row>
        <row r="2029">
          <cell r="C2029">
            <v>423</v>
          </cell>
          <cell r="F2029">
            <v>1</v>
          </cell>
          <cell r="I2029">
            <v>46265</v>
          </cell>
          <cell r="J2029">
            <v>0</v>
          </cell>
          <cell r="K2029">
            <v>2</v>
          </cell>
          <cell r="L2029">
            <v>0</v>
          </cell>
          <cell r="M2029">
            <v>0</v>
          </cell>
        </row>
      </sheetData>
      <sheetData sheetId="19"/>
      <sheetData sheetId="20"/>
      <sheetData sheetId="21">
        <row r="8">
          <cell r="AG8">
            <v>1</v>
          </cell>
        </row>
        <row r="9">
          <cell r="AG9">
            <v>1</v>
          </cell>
        </row>
        <row r="10">
          <cell r="AG10">
            <v>1</v>
          </cell>
        </row>
        <row r="11">
          <cell r="AG11">
            <v>1</v>
          </cell>
        </row>
      </sheetData>
      <sheetData sheetId="22"/>
      <sheetData sheetId="23"/>
      <sheetData sheetId="24">
        <row r="8">
          <cell r="P8">
            <v>2</v>
          </cell>
          <cell r="AE8">
            <v>715.94</v>
          </cell>
          <cell r="AM8">
            <v>1</v>
          </cell>
        </row>
        <row r="9">
          <cell r="P9">
            <v>2</v>
          </cell>
          <cell r="AE9">
            <v>2711.37</v>
          </cell>
          <cell r="AM9">
            <v>1</v>
          </cell>
        </row>
        <row r="10">
          <cell r="P10">
            <v>2</v>
          </cell>
          <cell r="AE10">
            <v>880.41000000000008</v>
          </cell>
          <cell r="AM10">
            <v>1</v>
          </cell>
        </row>
        <row r="11">
          <cell r="P11">
            <v>2</v>
          </cell>
          <cell r="AE11">
            <v>510.67999999999995</v>
          </cell>
          <cell r="AM11">
            <v>1</v>
          </cell>
        </row>
        <row r="12">
          <cell r="P12">
            <v>2</v>
          </cell>
          <cell r="AE12">
            <v>230.48</v>
          </cell>
          <cell r="AM12">
            <v>1</v>
          </cell>
        </row>
        <row r="13">
          <cell r="P13">
            <v>2</v>
          </cell>
          <cell r="AE13">
            <v>175.40000000000003</v>
          </cell>
          <cell r="AM13">
            <v>1</v>
          </cell>
        </row>
        <row r="14">
          <cell r="P14">
            <v>2</v>
          </cell>
          <cell r="AE14">
            <v>234</v>
          </cell>
          <cell r="AM14">
            <v>1</v>
          </cell>
        </row>
        <row r="15">
          <cell r="P15">
            <v>2</v>
          </cell>
          <cell r="AE15">
            <v>404.96000000000004</v>
          </cell>
          <cell r="AM15">
            <v>1</v>
          </cell>
        </row>
        <row r="16">
          <cell r="P16">
            <v>2</v>
          </cell>
          <cell r="AE16">
            <v>883.42</v>
          </cell>
          <cell r="AM16">
            <v>1</v>
          </cell>
        </row>
        <row r="17">
          <cell r="P17">
            <v>2</v>
          </cell>
          <cell r="AE17">
            <v>1639.66</v>
          </cell>
          <cell r="AM17">
            <v>1</v>
          </cell>
        </row>
        <row r="18">
          <cell r="P18">
            <v>2</v>
          </cell>
          <cell r="AE18">
            <v>1002.48</v>
          </cell>
          <cell r="AM18">
            <v>1</v>
          </cell>
        </row>
        <row r="19">
          <cell r="P19">
            <v>2</v>
          </cell>
          <cell r="AE19">
            <v>736.02</v>
          </cell>
          <cell r="AM19">
            <v>1</v>
          </cell>
        </row>
        <row r="20">
          <cell r="P20">
            <v>2</v>
          </cell>
          <cell r="AE20">
            <v>135.62</v>
          </cell>
          <cell r="AM20">
            <v>1</v>
          </cell>
        </row>
        <row r="21">
          <cell r="P21">
            <v>3</v>
          </cell>
          <cell r="AE21">
            <v>227.5</v>
          </cell>
          <cell r="AM21">
            <v>1</v>
          </cell>
        </row>
        <row r="22">
          <cell r="P22">
            <v>4</v>
          </cell>
          <cell r="AE22">
            <v>247.1</v>
          </cell>
          <cell r="AM22">
            <v>1</v>
          </cell>
        </row>
        <row r="23">
          <cell r="P23">
            <v>3</v>
          </cell>
          <cell r="AE23">
            <v>123.5</v>
          </cell>
          <cell r="AM23">
            <v>1</v>
          </cell>
        </row>
        <row r="24">
          <cell r="P24">
            <v>5</v>
          </cell>
          <cell r="AE24">
            <v>103</v>
          </cell>
          <cell r="AM24">
            <v>1</v>
          </cell>
        </row>
        <row r="25">
          <cell r="P25">
            <v>5</v>
          </cell>
          <cell r="AE25">
            <v>73.5</v>
          </cell>
          <cell r="AM25">
            <v>1</v>
          </cell>
        </row>
        <row r="26">
          <cell r="P26">
            <v>5</v>
          </cell>
          <cell r="AE26">
            <v>51.300000000000004</v>
          </cell>
          <cell r="AM26">
            <v>1</v>
          </cell>
        </row>
        <row r="27">
          <cell r="P27">
            <v>5</v>
          </cell>
          <cell r="AE27">
            <v>180</v>
          </cell>
          <cell r="AM27">
            <v>1</v>
          </cell>
        </row>
        <row r="28">
          <cell r="P28">
            <v>4</v>
          </cell>
          <cell r="AE28">
            <v>393.3</v>
          </cell>
          <cell r="AM28">
            <v>1</v>
          </cell>
        </row>
        <row r="29">
          <cell r="P29">
            <v>6</v>
          </cell>
          <cell r="AE29">
            <v>94</v>
          </cell>
          <cell r="AM29">
            <v>1</v>
          </cell>
        </row>
        <row r="30">
          <cell r="P30">
            <v>2</v>
          </cell>
          <cell r="AE30">
            <v>1664.2900000000002</v>
          </cell>
          <cell r="AM30">
            <v>1</v>
          </cell>
        </row>
        <row r="31">
          <cell r="P31">
            <v>7</v>
          </cell>
          <cell r="AE31">
            <v>385</v>
          </cell>
          <cell r="AM31">
            <v>1</v>
          </cell>
        </row>
        <row r="32">
          <cell r="P32">
            <v>8</v>
          </cell>
          <cell r="AE32">
            <v>95.5</v>
          </cell>
          <cell r="AM32">
            <v>1</v>
          </cell>
        </row>
        <row r="33">
          <cell r="P33">
            <v>9</v>
          </cell>
          <cell r="AE33">
            <v>318</v>
          </cell>
          <cell r="AM33">
            <v>1</v>
          </cell>
        </row>
        <row r="34">
          <cell r="P34">
            <v>5</v>
          </cell>
          <cell r="AE34">
            <v>88.45</v>
          </cell>
          <cell r="AM34">
            <v>1</v>
          </cell>
        </row>
      </sheetData>
      <sheetData sheetId="25"/>
      <sheetData sheetId="26"/>
      <sheetData sheetId="27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adjustColumnWidth="0" connectionId="1" xr16:uid="{FBAAF768-62DB-4905-8696-CC8B7AA4BACD}" autoFormatId="16" applyNumberFormats="0" applyBorderFormats="0" applyFontFormats="0" applyPatternFormats="0" applyAlignmentFormats="0" applyWidthHeightFormats="0">
  <queryTableRefresh nextId="4">
    <queryTableFields count="3">
      <queryTableField id="1" name="Column1" tableColumnId="1"/>
      <queryTableField id="2" name="Column2" tableColumnId="2"/>
      <queryTableField id="3" name="Column3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8363533-BC96-4816-A1DF-C1286DF676CB}" name="NBC_Exchange_Rate" displayName="NBC_Exchange_Rate" ref="D7:F13" tableType="queryTable" totalsRowShown="0" headerRowDxfId="4" dataDxfId="3">
  <autoFilter ref="D7:F13" xr:uid="{78363533-BC96-4816-A1DF-C1286DF676CB}"/>
  <tableColumns count="3">
    <tableColumn id="1" xr3:uid="{3F61AD41-DD41-4AD2-8843-B48AFD0D4F15}" uniqueName="1" name="Column1" queryTableFieldId="1" dataDxfId="2"/>
    <tableColumn id="2" xr3:uid="{E8087DC9-43D1-4DF1-8A04-15BE8A3B787F}" uniqueName="2" name="Column2" queryTableFieldId="2" dataDxfId="1"/>
    <tableColumn id="3" xr3:uid="{319E4133-8891-4706-9EC8-447AA6C24CE2}" uniqueName="3" name="Column3" queryTableFieldId="3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8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6B61E3ED-4732-4035-BF2C-2208C1AAE47A}">
  <we:reference id="wa104051163" version="1.2.0.3" store="en-US" storeType="OMEX"/>
  <we:alternateReferences>
    <we:reference id="WA104051163" version="1.2.0.3" store="WA104051163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ebextensions/webextension2.xml><?xml version="1.0" encoding="utf-8"?>
<we:webextension xmlns:we="http://schemas.microsoft.com/office/webextensions/webextension/2010/11" id="{82013833-5401-4CEC-AD15-8FAA942F967C}">
  <we:reference id="wa200001841" version="1.0.0.0" store="en-US" storeType="OMEX"/>
  <we:alternateReferences>
    <we:reference id="WA200001841" version="1.0.0.0" store="WA200001841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3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16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.xml"/><Relationship Id="rId5" Type="http://schemas.openxmlformats.org/officeDocument/2006/relationships/image" Target="../media/image15.emf"/><Relationship Id="rId4" Type="http://schemas.openxmlformats.org/officeDocument/2006/relationships/control" Target="../activeX/activeX3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15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17.emf"/><Relationship Id="rId4" Type="http://schemas.openxmlformats.org/officeDocument/2006/relationships/control" Target="../activeX/activeX5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1.bin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comments" Target="../comments2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5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24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23.xml"/><Relationship Id="rId5" Type="http://schemas.openxmlformats.org/officeDocument/2006/relationships/ctrlProp" Target="../ctrlProps/ctrlProp22.xml"/><Relationship Id="rId10" Type="http://schemas.openxmlformats.org/officeDocument/2006/relationships/ctrlProp" Target="../ctrlProps/ctrlProp27.xml"/><Relationship Id="rId4" Type="http://schemas.openxmlformats.org/officeDocument/2006/relationships/ctrlProp" Target="../ctrlProps/ctrlProp21.xml"/><Relationship Id="rId9" Type="http://schemas.openxmlformats.org/officeDocument/2006/relationships/ctrlProp" Target="../ctrlProps/ctrlProp26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4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15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16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17.bin"/><Relationship Id="rId4" Type="http://schemas.openxmlformats.org/officeDocument/2006/relationships/ctrlProp" Target="../ctrlProps/ctrlProp2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18.bin"/><Relationship Id="rId4" Type="http://schemas.openxmlformats.org/officeDocument/2006/relationships/ctrlProp" Target="../ctrlProps/ctrlProp29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30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23.bin"/><Relationship Id="rId4" Type="http://schemas.openxmlformats.org/officeDocument/2006/relationships/comments" Target="../comments3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24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25.bin"/><Relationship Id="rId5" Type="http://schemas.openxmlformats.org/officeDocument/2006/relationships/comments" Target="../comments4.xml"/><Relationship Id="rId4" Type="http://schemas.openxmlformats.org/officeDocument/2006/relationships/ctrlProp" Target="../ctrlProps/ctrlProp31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hyperlink" Target="mailto:boupanha.edu@gmail.com" TargetMode="External"/><Relationship Id="rId2" Type="http://schemas.openxmlformats.org/officeDocument/2006/relationships/hyperlink" Target="https://en.wikipedia.org/wiki/Canadia_Bank" TargetMode="External"/><Relationship Id="rId1" Type="http://schemas.openxmlformats.org/officeDocument/2006/relationships/hyperlink" Target="https://en.wikipedia.org/wiki/Vattanac_Bank" TargetMode="External"/><Relationship Id="rId5" Type="http://schemas.openxmlformats.org/officeDocument/2006/relationships/drawing" Target="../drawings/drawing38.xml"/><Relationship Id="rId4" Type="http://schemas.openxmlformats.org/officeDocument/2006/relationships/printerSettings" Target="../printerSettings/printerSettings26.bin"/></Relationships>
</file>

<file path=xl/worksheets/_rels/sheet4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5.xml"/><Relationship Id="rId3" Type="http://schemas.openxmlformats.org/officeDocument/2006/relationships/drawing" Target="../drawings/drawing39.xml"/><Relationship Id="rId7" Type="http://schemas.openxmlformats.org/officeDocument/2006/relationships/ctrlProp" Target="../ctrlProps/ctrlProp34.xml"/><Relationship Id="rId2" Type="http://schemas.openxmlformats.org/officeDocument/2006/relationships/printerSettings" Target="../printerSettings/printerSettings27.bin"/><Relationship Id="rId1" Type="http://schemas.openxmlformats.org/officeDocument/2006/relationships/hyperlink" Target="https://www.nbc.org.kh/english/economic_research/exchange_rate.php" TargetMode="External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Relationship Id="rId10" Type="http://schemas.openxmlformats.org/officeDocument/2006/relationships/ctrlProp" Target="../ctrlProps/ctrlProp37.xml"/><Relationship Id="rId4" Type="http://schemas.openxmlformats.org/officeDocument/2006/relationships/vmlDrawing" Target="../drawings/vmlDrawing16.vml"/><Relationship Id="rId9" Type="http://schemas.openxmlformats.org/officeDocument/2006/relationships/ctrlProp" Target="../ctrlProps/ctrlProp36.xml"/></Relationships>
</file>

<file path=xl/worksheets/_rels/sheet4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1.xml"/><Relationship Id="rId3" Type="http://schemas.openxmlformats.org/officeDocument/2006/relationships/drawing" Target="../drawings/drawing40.xml"/><Relationship Id="rId7" Type="http://schemas.openxmlformats.org/officeDocument/2006/relationships/ctrlProp" Target="../ctrlProps/ctrlProp40.xml"/><Relationship Id="rId2" Type="http://schemas.openxmlformats.org/officeDocument/2006/relationships/printerSettings" Target="../printerSettings/printerSettings28.bin"/><Relationship Id="rId1" Type="http://schemas.openxmlformats.org/officeDocument/2006/relationships/hyperlink" Target="https://www.nbc.org.kh/english/economic_research/exchange_rate.php" TargetMode="External"/><Relationship Id="rId6" Type="http://schemas.openxmlformats.org/officeDocument/2006/relationships/ctrlProp" Target="../ctrlProps/ctrlProp39.xml"/><Relationship Id="rId5" Type="http://schemas.openxmlformats.org/officeDocument/2006/relationships/ctrlProp" Target="../ctrlProps/ctrlProp38.xml"/><Relationship Id="rId10" Type="http://schemas.openxmlformats.org/officeDocument/2006/relationships/ctrlProp" Target="../ctrlProps/ctrlProp43.xml"/><Relationship Id="rId4" Type="http://schemas.openxmlformats.org/officeDocument/2006/relationships/vmlDrawing" Target="../drawings/vmlDrawing17.vml"/><Relationship Id="rId9" Type="http://schemas.openxmlformats.org/officeDocument/2006/relationships/ctrlProp" Target="../ctrlProps/ctrlProp42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29.bin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30.bin"/><Relationship Id="rId4" Type="http://schemas.openxmlformats.org/officeDocument/2006/relationships/comments" Target="../comments5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7" Type="http://schemas.openxmlformats.org/officeDocument/2006/relationships/comments" Target="../comments6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31.bin"/><Relationship Id="rId6" Type="http://schemas.openxmlformats.org/officeDocument/2006/relationships/ctrlProp" Target="../ctrlProps/ctrlProp44.xml"/><Relationship Id="rId5" Type="http://schemas.openxmlformats.org/officeDocument/2006/relationships/image" Target="../media/image26.emf"/><Relationship Id="rId4" Type="http://schemas.openxmlformats.org/officeDocument/2006/relationships/control" Target="../activeX/activeX6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32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33.bin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34.bin"/><Relationship Id="rId5" Type="http://schemas.openxmlformats.org/officeDocument/2006/relationships/comments" Target="../comments7.xml"/><Relationship Id="rId4" Type="http://schemas.openxmlformats.org/officeDocument/2006/relationships/ctrlProp" Target="../ctrlProps/ctrlProp45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35.bin"/><Relationship Id="rId5" Type="http://schemas.openxmlformats.org/officeDocument/2006/relationships/comments" Target="../comments8.xml"/><Relationship Id="rId4" Type="http://schemas.openxmlformats.org/officeDocument/2006/relationships/ctrlProp" Target="../ctrlProps/ctrlProp46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7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49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8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5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C18"/>
  <sheetViews>
    <sheetView showGridLines="0" workbookViewId="0">
      <selection activeCell="H39" sqref="H39"/>
    </sheetView>
  </sheetViews>
  <sheetFormatPr defaultColWidth="8" defaultRowHeight="15"/>
  <sheetData>
    <row r="1" spans="1:3">
      <c r="A1" t="s">
        <v>69</v>
      </c>
      <c r="B1" t="s">
        <v>70</v>
      </c>
      <c r="C1" t="s">
        <v>71</v>
      </c>
    </row>
    <row r="4" spans="1:3" ht="11.85" customHeight="1"/>
    <row r="5" spans="1:3" ht="11.85" customHeight="1"/>
    <row r="6" spans="1:3" ht="11.85" customHeight="1"/>
    <row r="7" spans="1:3" ht="11.85" customHeight="1"/>
    <row r="8" spans="1:3" ht="5.85" customHeight="1"/>
    <row r="11" spans="1:3" ht="5.85" customHeight="1"/>
    <row r="14" spans="1:3" ht="11.85" customHeight="1"/>
    <row r="15" spans="1:3" ht="11.85" customHeight="1"/>
    <row r="16" spans="1:3" ht="11.85" customHeight="1"/>
    <row r="17" ht="11.85" customHeight="1"/>
    <row r="18" ht="5.85" customHeight="1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68F13-F095-4478-A2C5-07FE4D0F5F2F}">
  <sheetPr codeName="Sheet9">
    <tabColor theme="0" tint="-4.9989318521683403E-2"/>
  </sheetPr>
  <dimension ref="C1:L35"/>
  <sheetViews>
    <sheetView showGridLines="0" zoomScale="80" zoomScaleNormal="80" zoomScaleSheetLayoutView="120" workbookViewId="0">
      <pane ySplit="5" topLeftCell="A6" activePane="bottomLeft" state="frozen"/>
      <selection pane="bottomLeft" activeCell="G13" sqref="G13"/>
    </sheetView>
  </sheetViews>
  <sheetFormatPr defaultRowHeight="30" customHeight="1"/>
  <cols>
    <col min="1" max="1" width="1.7109375" customWidth="1"/>
    <col min="2" max="2" width="1" customWidth="1"/>
    <col min="3" max="4" width="38.7109375" customWidth="1"/>
    <col min="5" max="5" width="41" customWidth="1"/>
    <col min="6" max="6" width="41.7109375" customWidth="1"/>
    <col min="7" max="7" width="44.5703125" customWidth="1"/>
    <col min="8" max="8" width="43.5703125" customWidth="1"/>
    <col min="9" max="9" width="35.85546875" customWidth="1"/>
    <col min="10" max="10" width="103.5703125" customWidth="1"/>
    <col min="11" max="11" width="21.5703125" bestFit="1" customWidth="1"/>
    <col min="13" max="13" width="22.5703125" customWidth="1"/>
  </cols>
  <sheetData>
    <row r="1" spans="3:12" ht="10.5" customHeight="1">
      <c r="C1" s="191"/>
      <c r="D1" s="191"/>
      <c r="E1" s="191"/>
      <c r="F1" s="191"/>
      <c r="G1" s="191"/>
      <c r="H1" s="191"/>
      <c r="I1" s="191"/>
      <c r="J1" s="266"/>
      <c r="K1" s="191"/>
      <c r="L1" s="191"/>
    </row>
    <row r="2" spans="3:12" ht="48.75" customHeight="1" thickBot="1">
      <c r="C2" s="529" t="s">
        <v>3710</v>
      </c>
      <c r="D2" s="529"/>
      <c r="E2" s="529"/>
      <c r="F2" s="529"/>
      <c r="G2" s="529"/>
      <c r="H2" s="529"/>
      <c r="I2" s="529"/>
    </row>
    <row r="3" spans="3:12" ht="9.75" hidden="1" customHeight="1">
      <c r="C3" s="189"/>
      <c r="D3" s="189"/>
      <c r="E3" s="189"/>
      <c r="F3" s="189"/>
      <c r="G3" s="189"/>
      <c r="H3" s="189"/>
      <c r="I3" s="189"/>
      <c r="J3" s="267"/>
      <c r="K3" s="189"/>
      <c r="L3" s="189"/>
    </row>
    <row r="4" spans="3:12" s="193" customFormat="1" ht="31.5" customHeight="1">
      <c r="C4" s="643" t="s">
        <v>2662</v>
      </c>
      <c r="D4" s="644" t="s">
        <v>201</v>
      </c>
      <c r="E4" s="644" t="s">
        <v>202</v>
      </c>
      <c r="F4" s="644" t="s">
        <v>198</v>
      </c>
      <c r="G4" s="644" t="s">
        <v>199</v>
      </c>
      <c r="H4" s="644" t="s">
        <v>200</v>
      </c>
      <c r="I4" s="645" t="s">
        <v>2661</v>
      </c>
      <c r="J4" s="645" t="s">
        <v>3333</v>
      </c>
      <c r="K4" s="331"/>
      <c r="L4" s="192"/>
    </row>
    <row r="5" spans="3:12" ht="21" customHeight="1" thickBot="1">
      <c r="C5" s="646" t="s">
        <v>194</v>
      </c>
      <c r="D5" s="647" t="s">
        <v>204</v>
      </c>
      <c r="E5" s="647" t="s">
        <v>195</v>
      </c>
      <c r="F5" s="647" t="s">
        <v>196</v>
      </c>
      <c r="G5" s="647" t="s">
        <v>197</v>
      </c>
      <c r="H5" s="647" t="s">
        <v>203</v>
      </c>
      <c r="I5" s="648" t="s">
        <v>205</v>
      </c>
      <c r="J5" s="648" t="s">
        <v>3338</v>
      </c>
      <c r="K5" s="332"/>
    </row>
    <row r="6" spans="3:12" ht="30" customHeight="1">
      <c r="C6" s="569"/>
      <c r="D6" s="570"/>
      <c r="E6" s="570"/>
      <c r="F6" s="571"/>
      <c r="G6" s="571"/>
      <c r="H6" s="572"/>
      <c r="I6" s="573"/>
    </row>
    <row r="7" spans="3:12" ht="30" customHeight="1">
      <c r="C7" s="574"/>
      <c r="D7" s="575"/>
      <c r="E7" s="575"/>
      <c r="F7" s="576"/>
      <c r="G7" s="576"/>
      <c r="H7" s="577"/>
      <c r="I7" s="578"/>
      <c r="J7" s="215"/>
    </row>
    <row r="8" spans="3:12" ht="30" customHeight="1">
      <c r="C8" s="574"/>
      <c r="D8" s="575"/>
      <c r="E8" s="575"/>
      <c r="F8" s="576"/>
      <c r="G8" s="576"/>
      <c r="H8" s="577"/>
      <c r="I8" s="578"/>
      <c r="J8" s="215"/>
    </row>
    <row r="9" spans="3:12" ht="30" customHeight="1">
      <c r="C9" s="574"/>
      <c r="D9" s="575"/>
      <c r="E9" s="575"/>
      <c r="F9" s="576"/>
      <c r="G9" s="579"/>
      <c r="H9" s="577"/>
      <c r="I9" s="578"/>
      <c r="J9" s="215"/>
    </row>
    <row r="10" spans="3:12" ht="30" customHeight="1">
      <c r="C10" s="574"/>
      <c r="D10" s="575"/>
      <c r="E10" s="575"/>
      <c r="F10" s="576"/>
      <c r="G10" s="576"/>
      <c r="H10" s="577"/>
      <c r="I10" s="578"/>
      <c r="J10" s="215"/>
      <c r="K10" s="215"/>
    </row>
    <row r="11" spans="3:12" ht="30" customHeight="1">
      <c r="C11" s="574"/>
      <c r="D11" s="575"/>
      <c r="E11" s="575"/>
      <c r="F11" s="576"/>
      <c r="G11" s="576"/>
      <c r="H11" s="577"/>
      <c r="I11" s="578"/>
      <c r="J11" s="215"/>
    </row>
    <row r="12" spans="3:12" ht="30" customHeight="1">
      <c r="C12" s="580"/>
      <c r="D12" s="575"/>
      <c r="E12" s="575"/>
      <c r="F12" s="576"/>
      <c r="G12" s="576"/>
      <c r="H12" s="577"/>
      <c r="I12" s="578"/>
      <c r="J12" s="215"/>
    </row>
    <row r="13" spans="3:12" ht="36" customHeight="1">
      <c r="C13" s="581"/>
      <c r="D13" s="582"/>
      <c r="E13" s="575"/>
      <c r="F13" s="576"/>
      <c r="G13" s="576"/>
      <c r="H13" s="577"/>
      <c r="I13" s="578"/>
      <c r="J13" s="215"/>
    </row>
    <row r="14" spans="3:12" ht="30" customHeight="1">
      <c r="C14" s="574"/>
      <c r="D14" s="575"/>
      <c r="E14" s="575"/>
      <c r="F14" s="576"/>
      <c r="G14" s="576"/>
      <c r="H14" s="577"/>
      <c r="I14" s="578"/>
      <c r="J14" s="215"/>
    </row>
    <row r="15" spans="3:12" ht="28.5" customHeight="1">
      <c r="C15" s="574"/>
      <c r="D15" s="575"/>
      <c r="E15" s="575"/>
      <c r="F15" s="576"/>
      <c r="G15" s="576"/>
      <c r="H15" s="577"/>
      <c r="I15" s="578"/>
      <c r="J15" s="215"/>
    </row>
    <row r="16" spans="3:12" ht="30" customHeight="1">
      <c r="C16" s="574"/>
      <c r="D16" s="575"/>
      <c r="E16" s="575"/>
      <c r="F16" s="576"/>
      <c r="G16" s="576"/>
      <c r="H16" s="577"/>
      <c r="I16" s="578"/>
      <c r="J16" s="215"/>
    </row>
    <row r="17" spans="3:10" ht="30" customHeight="1">
      <c r="C17" s="574"/>
      <c r="D17" s="575"/>
      <c r="E17" s="575"/>
      <c r="F17" s="583"/>
      <c r="G17" s="576"/>
      <c r="H17" s="577"/>
      <c r="I17" s="578"/>
      <c r="J17" s="215"/>
    </row>
    <row r="18" spans="3:10" ht="30" customHeight="1">
      <c r="C18" s="574"/>
      <c r="D18" s="575"/>
      <c r="E18" s="575"/>
      <c r="F18" s="583"/>
      <c r="G18" s="576"/>
      <c r="H18" s="577"/>
      <c r="I18" s="578"/>
      <c r="J18" s="215"/>
    </row>
    <row r="19" spans="3:10" ht="30" customHeight="1">
      <c r="C19" s="574"/>
      <c r="D19" s="575"/>
      <c r="E19" s="575"/>
      <c r="F19" s="576"/>
      <c r="H19" s="577"/>
      <c r="I19" s="578"/>
      <c r="J19" s="215"/>
    </row>
    <row r="20" spans="3:10" ht="30" customHeight="1">
      <c r="C20" s="574"/>
      <c r="D20" s="575"/>
      <c r="E20" s="575"/>
      <c r="F20" s="576"/>
      <c r="G20" s="576"/>
      <c r="H20" s="577"/>
      <c r="I20" s="578"/>
      <c r="J20" s="215"/>
    </row>
    <row r="21" spans="3:10" ht="17.25" customHeight="1">
      <c r="C21" s="574"/>
      <c r="D21" s="575"/>
      <c r="E21" s="575"/>
      <c r="F21" s="576"/>
      <c r="G21" s="576"/>
      <c r="H21" s="577"/>
      <c r="I21" s="584"/>
      <c r="J21" s="215"/>
    </row>
    <row r="22" spans="3:10" ht="30" customHeight="1">
      <c r="C22" s="574"/>
      <c r="D22" s="575"/>
      <c r="E22" s="575"/>
      <c r="F22" s="576"/>
      <c r="G22" s="576"/>
      <c r="H22" s="577"/>
      <c r="I22" s="578"/>
      <c r="J22" s="215"/>
    </row>
    <row r="23" spans="3:10" ht="30" customHeight="1">
      <c r="C23" s="575"/>
      <c r="D23" s="575"/>
      <c r="E23" s="575"/>
      <c r="F23" s="576"/>
      <c r="G23" s="576"/>
      <c r="H23" s="577"/>
      <c r="I23" s="775"/>
    </row>
    <row r="24" spans="3:10" ht="30" customHeight="1">
      <c r="C24" s="184"/>
      <c r="D24" s="184"/>
      <c r="E24" s="184"/>
      <c r="F24" s="183"/>
      <c r="G24" s="183"/>
      <c r="H24" s="6"/>
      <c r="I24" s="5"/>
      <c r="J24" s="215"/>
    </row>
    <row r="25" spans="3:10" ht="30" customHeight="1">
      <c r="C25" s="184"/>
      <c r="D25" s="184"/>
      <c r="E25" s="184"/>
      <c r="G25" s="183"/>
      <c r="H25" s="6"/>
      <c r="I25" s="5"/>
      <c r="J25" s="215"/>
    </row>
    <row r="26" spans="3:10" ht="30" customHeight="1">
      <c r="C26" s="184"/>
      <c r="D26" s="184"/>
      <c r="E26" s="184"/>
      <c r="F26" s="183"/>
      <c r="G26" s="183"/>
      <c r="H26" s="6"/>
      <c r="I26" s="5"/>
      <c r="J26" s="215"/>
    </row>
    <row r="27" spans="3:10" ht="30" customHeight="1">
      <c r="C27" s="184"/>
      <c r="D27" s="184"/>
      <c r="E27" s="184"/>
      <c r="F27" s="183"/>
      <c r="G27" s="183"/>
      <c r="H27" s="6"/>
      <c r="I27" s="5"/>
      <c r="J27" s="215"/>
    </row>
    <row r="28" spans="3:10" ht="30" customHeight="1">
      <c r="C28" s="184"/>
      <c r="D28" s="184"/>
      <c r="E28" s="184"/>
      <c r="F28" s="183"/>
      <c r="G28" s="183"/>
      <c r="H28" s="6"/>
      <c r="I28" s="5"/>
      <c r="J28" s="215"/>
    </row>
    <row r="29" spans="3:10" ht="30" customHeight="1">
      <c r="C29" s="190"/>
      <c r="D29" s="190"/>
      <c r="E29" s="190"/>
      <c r="F29" s="183"/>
      <c r="G29" s="183"/>
      <c r="H29" s="6"/>
      <c r="I29" s="5"/>
      <c r="J29" s="215"/>
    </row>
    <row r="30" spans="3:10" ht="30" customHeight="1">
      <c r="C30" s="184"/>
      <c r="D30" s="184"/>
      <c r="E30" s="184"/>
      <c r="F30" s="183"/>
      <c r="G30" s="183"/>
      <c r="H30" s="6"/>
      <c r="I30" s="5"/>
      <c r="J30" s="215"/>
    </row>
    <row r="31" spans="3:10" ht="30" customHeight="1">
      <c r="C31" s="184"/>
      <c r="D31" s="184"/>
      <c r="E31" s="184"/>
      <c r="F31" s="183"/>
      <c r="G31" s="183"/>
      <c r="H31" s="6"/>
      <c r="I31" s="5"/>
      <c r="J31" s="215"/>
    </row>
    <row r="32" spans="3:10" ht="30" customHeight="1">
      <c r="C32" s="184"/>
      <c r="D32" s="184"/>
      <c r="E32" s="184"/>
      <c r="F32" s="183"/>
      <c r="G32" s="183"/>
      <c r="H32" s="6"/>
      <c r="I32" s="5"/>
      <c r="J32" s="215"/>
    </row>
    <row r="33" spans="3:10" ht="30" customHeight="1">
      <c r="C33" s="184"/>
      <c r="D33" s="184"/>
      <c r="E33" s="184"/>
      <c r="F33" s="183"/>
      <c r="G33" s="183"/>
      <c r="H33" s="6"/>
      <c r="I33" s="5"/>
      <c r="J33" s="215"/>
    </row>
    <row r="34" spans="3:10" ht="30" customHeight="1">
      <c r="C34" s="184"/>
      <c r="D34" s="184"/>
      <c r="E34" s="184"/>
      <c r="F34" s="183"/>
      <c r="G34" s="183"/>
      <c r="H34" s="6"/>
      <c r="I34" s="5"/>
      <c r="J34" s="215"/>
    </row>
    <row r="35" spans="3:10" ht="30" customHeight="1">
      <c r="C35" s="184"/>
      <c r="D35" s="184"/>
      <c r="E35" s="184"/>
      <c r="F35" s="183"/>
      <c r="G35" s="183"/>
      <c r="H35" s="6"/>
      <c r="I35" s="5"/>
      <c r="J35" s="215"/>
    </row>
  </sheetData>
  <pageMargins left="3.937007874015748E-2" right="3.937007874015748E-2" top="3.937007874015748E-2" bottom="3.937007874015748E-2" header="3.937007874015748E-2" footer="3.937007874015748E-2"/>
  <pageSetup paperSize="9" scale="71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autoFill="0" autoPict="0" macro="[0]!LockAddInvoiceSheet">
                <anchor moveWithCells="1" sizeWithCells="1">
                  <from>
                    <xdr:col>9</xdr:col>
                    <xdr:colOff>133350</xdr:colOff>
                    <xdr:row>5</xdr:row>
                    <xdr:rowOff>142875</xdr:rowOff>
                  </from>
                  <to>
                    <xdr:col>9</xdr:col>
                    <xdr:colOff>3238500</xdr:colOff>
                    <xdr:row>6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autoFill="0" autoPict="0" macro="[0]!LockAddAdjustmentSheet">
                <anchor moveWithCells="1" sizeWithCells="1">
                  <from>
                    <xdr:col>9</xdr:col>
                    <xdr:colOff>133350</xdr:colOff>
                    <xdr:row>7</xdr:row>
                    <xdr:rowOff>76200</xdr:rowOff>
                  </from>
                  <to>
                    <xdr:col>9</xdr:col>
                    <xdr:colOff>3238500</xdr:colOff>
                    <xdr:row>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autoFill="0" autoPict="0" macro="[0]!LockAddPurchaseBillSheet">
                <anchor moveWithCells="1" sizeWithCells="1">
                  <from>
                    <xdr:col>9</xdr:col>
                    <xdr:colOff>133350</xdr:colOff>
                    <xdr:row>9</xdr:row>
                    <xdr:rowOff>0</xdr:rowOff>
                  </from>
                  <to>
                    <xdr:col>9</xdr:col>
                    <xdr:colOff>3238500</xdr:colOff>
                    <xdr:row>10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autoFill="0" autoPict="0" macro="[0]!unlockAddInvoiceSheet">
                <anchor moveWithCells="1" sizeWithCells="1">
                  <from>
                    <xdr:col>9</xdr:col>
                    <xdr:colOff>3381375</xdr:colOff>
                    <xdr:row>5</xdr:row>
                    <xdr:rowOff>142875</xdr:rowOff>
                  </from>
                  <to>
                    <xdr:col>9</xdr:col>
                    <xdr:colOff>6762750</xdr:colOff>
                    <xdr:row>6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autoFill="0" autoPict="0" macro="[0]!unlockAddAdjustmentSheet">
                <anchor moveWithCells="1" sizeWithCells="1">
                  <from>
                    <xdr:col>9</xdr:col>
                    <xdr:colOff>3381375</xdr:colOff>
                    <xdr:row>7</xdr:row>
                    <xdr:rowOff>76200</xdr:rowOff>
                  </from>
                  <to>
                    <xdr:col>9</xdr:col>
                    <xdr:colOff>6762750</xdr:colOff>
                    <xdr:row>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Button 9">
              <controlPr defaultSize="0" autoFill="0" autoPict="0" macro="[0]!unlockAddPurchaseBillSheet">
                <anchor moveWithCells="1" sizeWithCells="1">
                  <from>
                    <xdr:col>9</xdr:col>
                    <xdr:colOff>3381375</xdr:colOff>
                    <xdr:row>9</xdr:row>
                    <xdr:rowOff>0</xdr:rowOff>
                  </from>
                  <to>
                    <xdr:col>9</xdr:col>
                    <xdr:colOff>6762750</xdr:colOff>
                    <xdr:row>10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10" name="Button 10">
              <controlPr defaultSize="0" autoFill="0" autoPict="0" macro="[0]!LockAddQuoteSheet">
                <anchor moveWithCells="1" sizeWithCells="1">
                  <from>
                    <xdr:col>9</xdr:col>
                    <xdr:colOff>133350</xdr:colOff>
                    <xdr:row>10</xdr:row>
                    <xdr:rowOff>295275</xdr:rowOff>
                  </from>
                  <to>
                    <xdr:col>9</xdr:col>
                    <xdr:colOff>3238500</xdr:colOff>
                    <xdr:row>12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Button 11">
              <controlPr defaultSize="0" autoFill="0" autoPict="0" macro="[0]!unlockAddQuoteSheet">
                <anchor moveWithCells="1" sizeWithCells="1">
                  <from>
                    <xdr:col>9</xdr:col>
                    <xdr:colOff>3381375</xdr:colOff>
                    <xdr:row>10</xdr:row>
                    <xdr:rowOff>295275</xdr:rowOff>
                  </from>
                  <to>
                    <xdr:col>9</xdr:col>
                    <xdr:colOff>6762750</xdr:colOff>
                    <xdr:row>12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2" name="Button 12">
              <controlPr defaultSize="0" autoFill="0" autoPict="0" macro="[0]!LockProtectFormulaReceivePayment">
                <anchor moveWithCells="1" sizeWithCells="1">
                  <from>
                    <xdr:col>9</xdr:col>
                    <xdr:colOff>133350</xdr:colOff>
                    <xdr:row>12</xdr:row>
                    <xdr:rowOff>219075</xdr:rowOff>
                  </from>
                  <to>
                    <xdr:col>9</xdr:col>
                    <xdr:colOff>3238500</xdr:colOff>
                    <xdr:row>13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3" name="Button 13">
              <controlPr defaultSize="0" autoFill="0" autoPict="0" macro="[0]!unlockFormulaReceivePayment">
                <anchor moveWithCells="1" sizeWithCells="1">
                  <from>
                    <xdr:col>9</xdr:col>
                    <xdr:colOff>3381375</xdr:colOff>
                    <xdr:row>12</xdr:row>
                    <xdr:rowOff>219075</xdr:rowOff>
                  </from>
                  <to>
                    <xdr:col>9</xdr:col>
                    <xdr:colOff>6762750</xdr:colOff>
                    <xdr:row>13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028B6-CBAE-4F51-8CD5-F088EC1C37D7}">
  <sheetPr codeName="Sheet62"/>
  <dimension ref="C1:AE60"/>
  <sheetViews>
    <sheetView showGridLines="0" topLeftCell="A3" zoomScale="80" zoomScaleNormal="80" workbookViewId="0">
      <pane ySplit="9" topLeftCell="A12" activePane="bottomLeft" state="frozen"/>
      <selection pane="bottomLeft" activeCell="F26" sqref="F26"/>
    </sheetView>
  </sheetViews>
  <sheetFormatPr defaultColWidth="9.140625" defaultRowHeight="24.95" customHeight="1"/>
  <cols>
    <col min="1" max="1" width="2.85546875" style="281" customWidth="1"/>
    <col min="2" max="2" width="3.85546875" style="281" customWidth="1"/>
    <col min="3" max="3" width="10.140625" style="281" bestFit="1" customWidth="1"/>
    <col min="4" max="4" width="27.140625" style="330" bestFit="1" customWidth="1"/>
    <col min="5" max="5" width="24.7109375" style="330" customWidth="1"/>
    <col min="6" max="6" width="76.42578125" style="281" bestFit="1" customWidth="1"/>
    <col min="7" max="7" width="28.42578125" style="281" customWidth="1"/>
    <col min="8" max="8" width="22.28515625" style="281" customWidth="1"/>
    <col min="9" max="9" width="27.140625" style="281" bestFit="1" customWidth="1"/>
    <col min="10" max="10" width="27" style="823" bestFit="1" customWidth="1"/>
    <col min="11" max="11" width="18.85546875" style="823" customWidth="1"/>
    <col min="12" max="12" width="146.5703125" style="281" bestFit="1" customWidth="1"/>
    <col min="13" max="13" width="28" style="281" customWidth="1"/>
    <col min="14" max="14" width="5" style="281" customWidth="1"/>
    <col min="15" max="15" width="18" style="281" customWidth="1"/>
    <col min="16" max="16" width="76.42578125" style="281" bestFit="1" customWidth="1"/>
    <col min="17" max="16384" width="9.140625" style="281"/>
  </cols>
  <sheetData>
    <row r="1" spans="3:31" customFormat="1" ht="24.75" hidden="1" customHeight="1">
      <c r="D1" s="121"/>
      <c r="E1" s="121"/>
      <c r="F1" s="183"/>
      <c r="J1" s="139"/>
      <c r="K1" s="139"/>
    </row>
    <row r="2" spans="3:31" customFormat="1" ht="6" hidden="1" customHeight="1">
      <c r="D2" s="121"/>
      <c r="E2" s="121"/>
      <c r="F2" s="183"/>
      <c r="J2" s="139"/>
      <c r="K2" s="139"/>
    </row>
    <row r="3" spans="3:31" customFormat="1" ht="15.75">
      <c r="D3" s="121"/>
      <c r="E3" s="121"/>
      <c r="F3" s="281"/>
      <c r="G3" s="168"/>
      <c r="H3" s="168"/>
      <c r="I3" s="168"/>
      <c r="J3" s="183"/>
      <c r="K3" s="183"/>
      <c r="L3" s="183"/>
    </row>
    <row r="4" spans="3:31" customFormat="1" ht="49.5">
      <c r="C4" s="1444" t="s">
        <v>3311</v>
      </c>
      <c r="D4" s="488"/>
      <c r="E4" s="3"/>
      <c r="F4" s="281"/>
      <c r="G4" s="826"/>
      <c r="H4" s="826"/>
      <c r="I4" s="826"/>
      <c r="J4" s="826"/>
      <c r="K4" s="826"/>
      <c r="L4" s="826"/>
      <c r="M4" s="490"/>
    </row>
    <row r="5" spans="3:31" customFormat="1" ht="6.75" hidden="1" customHeight="1">
      <c r="D5" s="121"/>
      <c r="E5" s="121"/>
      <c r="J5" s="139"/>
      <c r="K5" s="139"/>
    </row>
    <row r="6" spans="3:31" customFormat="1" ht="9" hidden="1" customHeight="1">
      <c r="D6" s="121"/>
      <c r="E6" s="121"/>
      <c r="J6" s="139"/>
      <c r="K6" s="139"/>
    </row>
    <row r="7" spans="3:31" customFormat="1" ht="31.5" customHeight="1">
      <c r="C7" s="827" t="s">
        <v>9</v>
      </c>
      <c r="D7" s="827" t="s">
        <v>3299</v>
      </c>
      <c r="E7" s="827" t="s">
        <v>3246</v>
      </c>
      <c r="F7" s="827" t="s">
        <v>3247</v>
      </c>
      <c r="G7" s="827" t="s">
        <v>3436</v>
      </c>
      <c r="H7" s="827" t="s">
        <v>3286</v>
      </c>
      <c r="I7" s="827" t="s">
        <v>3287</v>
      </c>
      <c r="J7" s="827" t="s">
        <v>3288</v>
      </c>
      <c r="K7" s="827" t="s">
        <v>3302</v>
      </c>
      <c r="L7" s="827" t="s">
        <v>3245</v>
      </c>
      <c r="M7" s="827" t="s">
        <v>3301</v>
      </c>
      <c r="O7" s="498" t="s">
        <v>4581</v>
      </c>
      <c r="P7" s="1781" t="s">
        <v>4587</v>
      </c>
      <c r="Q7" s="297"/>
      <c r="R7" s="297"/>
      <c r="S7" s="297"/>
      <c r="T7" s="297"/>
      <c r="U7" s="183" t="s">
        <v>3304</v>
      </c>
      <c r="V7" s="297"/>
      <c r="W7" s="297"/>
      <c r="X7" s="297"/>
      <c r="Y7" s="297"/>
      <c r="Z7" s="297"/>
      <c r="AA7" s="297"/>
      <c r="AB7" s="297"/>
      <c r="AC7" s="297"/>
      <c r="AD7" s="297"/>
      <c r="AE7" s="297"/>
    </row>
    <row r="8" spans="3:31" s="168" customFormat="1" ht="24.95" customHeight="1">
      <c r="C8" s="270">
        <v>1</v>
      </c>
      <c r="D8" s="277" t="s">
        <v>3248</v>
      </c>
      <c r="E8" s="277" t="s">
        <v>3308</v>
      </c>
      <c r="F8" s="277" t="str">
        <f t="shared" ref="F8:F48" si="0">one_drive_path</f>
        <v>D:\1_Documents\1_Companies\C009-KOK SNUOL\</v>
      </c>
      <c r="G8" s="270" t="s">
        <v>3419</v>
      </c>
      <c r="H8" s="277" t="s">
        <v>3248</v>
      </c>
      <c r="I8" s="277"/>
      <c r="J8" s="277"/>
      <c r="K8" s="277"/>
      <c r="L8" s="277" t="str">
        <f>IF(F8="","",F8)&amp;IF(G8="","",G8&amp;"\")&amp;IF(H8="","",H8&amp;"\")&amp;IF(I8="","",I8&amp;"\")&amp;IF(J8="","",J8&amp;"\")&amp;IF(K8="","",K8&amp;"\")</f>
        <v>D:\1_Documents\1_Companies\C009-KOK SNUOL\ks_system\database\</v>
      </c>
      <c r="M8" s="1277" t="str">
        <f>IF(AND(E8="",J8=""),"",HYPERLINK(L8,IF(J8="",E8,J8)))</f>
        <v>database file</v>
      </c>
      <c r="U8" s="183" t="s">
        <v>4580</v>
      </c>
    </row>
    <row r="9" spans="3:31" s="168" customFormat="1" ht="24.95" customHeight="1">
      <c r="C9" s="270">
        <v>2</v>
      </c>
      <c r="D9" s="277" t="s">
        <v>3248</v>
      </c>
      <c r="E9" s="277" t="s">
        <v>3305</v>
      </c>
      <c r="F9" s="277" t="str">
        <f t="shared" si="0"/>
        <v>D:\1_Documents\1_Companies\C009-KOK SNUOL\</v>
      </c>
      <c r="G9" s="270" t="s">
        <v>3419</v>
      </c>
      <c r="H9" s="277" t="s">
        <v>3248</v>
      </c>
      <c r="I9" s="277" t="s">
        <v>3309</v>
      </c>
      <c r="J9" s="277"/>
      <c r="K9" s="277"/>
      <c r="L9" s="277" t="str">
        <f t="shared" ref="L9:L46" si="1">IF(F9="","",F9)&amp;IF(G9="","",G9&amp;"\")&amp;IF(H9="","",H9&amp;"\")&amp;IF(I9="","",I9&amp;"\")&amp;IF(J9="","",J9&amp;"\")&amp;IF(K9="","",K9&amp;"\")</f>
        <v>D:\1_Documents\1_Companies\C009-KOK SNUOL\ks_system\database\database_backup\</v>
      </c>
      <c r="M9" s="1277" t="str">
        <f t="shared" ref="M9:M48" si="2">IF(AND(E9="",J9=""),"",HYPERLINK(L9,IF(J9="",E9,J9)))</f>
        <v>database backup</v>
      </c>
      <c r="O9" s="183"/>
      <c r="U9" s="183" t="s">
        <v>4587</v>
      </c>
    </row>
    <row r="10" spans="3:31" s="168" customFormat="1" ht="24.95" customHeight="1">
      <c r="C10" s="270">
        <v>3</v>
      </c>
      <c r="D10" s="277" t="s">
        <v>3249</v>
      </c>
      <c r="E10" s="277" t="s">
        <v>3307</v>
      </c>
      <c r="F10" s="277" t="str">
        <f t="shared" si="0"/>
        <v>D:\1_Documents\1_Companies\C009-KOK SNUOL\</v>
      </c>
      <c r="G10" s="270" t="s">
        <v>3419</v>
      </c>
      <c r="H10" s="277"/>
      <c r="I10" s="277"/>
      <c r="J10" s="277"/>
      <c r="K10" s="277"/>
      <c r="L10" s="277" t="str">
        <f>IF(F10="","",F10)&amp;IF(G10="","",G10&amp;"\")&amp;IF(H10="","",H10&amp;"\")&amp;IF(I10="","",I10&amp;"\")&amp;IF(J10="","",J10&amp;"\")&amp;IF(K10="","",K10&amp;"\")</f>
        <v>D:\1_Documents\1_Companies\C009-KOK SNUOL\ks_system\</v>
      </c>
      <c r="M10" s="1277" t="str">
        <f t="shared" si="2"/>
        <v>system file</v>
      </c>
      <c r="O10" s="183"/>
    </row>
    <row r="11" spans="3:31" s="168" customFormat="1" ht="24.95" customHeight="1">
      <c r="C11" s="270">
        <v>4</v>
      </c>
      <c r="D11" s="277" t="s">
        <v>3249</v>
      </c>
      <c r="E11" s="277" t="s">
        <v>3306</v>
      </c>
      <c r="F11" s="277" t="str">
        <f t="shared" si="0"/>
        <v>D:\1_Documents\1_Companies\C009-KOK SNUOL\</v>
      </c>
      <c r="G11" s="270" t="s">
        <v>3419</v>
      </c>
      <c r="H11" s="277" t="s">
        <v>3310</v>
      </c>
      <c r="I11" s="277"/>
      <c r="J11" s="277"/>
      <c r="K11" s="277"/>
      <c r="L11" s="277" t="str">
        <f t="shared" si="1"/>
        <v>D:\1_Documents\1_Companies\C009-KOK SNUOL\ks_system\system_backup\</v>
      </c>
      <c r="M11" s="1277" t="str">
        <f t="shared" si="2"/>
        <v>system backup</v>
      </c>
    </row>
    <row r="12" spans="3:31" s="187" customFormat="1" ht="24.95" customHeight="1">
      <c r="C12" s="270">
        <v>5</v>
      </c>
      <c r="D12" s="277" t="s">
        <v>3289</v>
      </c>
      <c r="E12" s="277" t="s">
        <v>3250</v>
      </c>
      <c r="F12" s="277" t="str">
        <f t="shared" si="0"/>
        <v>D:\1_Documents\1_Companies\C009-KOK SNUOL\</v>
      </c>
      <c r="G12" s="270" t="s">
        <v>3419</v>
      </c>
      <c r="H12" s="277" t="s">
        <v>3285</v>
      </c>
      <c r="I12" s="277" t="s">
        <v>3289</v>
      </c>
      <c r="J12" s="822" t="s">
        <v>3250</v>
      </c>
      <c r="K12" s="822"/>
      <c r="L12" s="277" t="str">
        <f t="shared" si="1"/>
        <v>D:\1_Documents\1_Companies\C009-KOK SNUOL\ks_system\report\inventory\inventory_adjustment\</v>
      </c>
      <c r="M12" s="1277" t="str">
        <f t="shared" si="2"/>
        <v>inventory_adjustment</v>
      </c>
    </row>
    <row r="13" spans="3:31" s="187" customFormat="1" ht="24.95" customHeight="1">
      <c r="C13" s="270">
        <v>6</v>
      </c>
      <c r="D13" s="277" t="s">
        <v>194</v>
      </c>
      <c r="E13" s="277" t="s">
        <v>3251</v>
      </c>
      <c r="F13" s="277" t="str">
        <f t="shared" si="0"/>
        <v>D:\1_Documents\1_Companies\C009-KOK SNUOL\</v>
      </c>
      <c r="G13" s="270" t="s">
        <v>3419</v>
      </c>
      <c r="H13" s="277" t="s">
        <v>3285</v>
      </c>
      <c r="I13" s="277" t="s">
        <v>194</v>
      </c>
      <c r="J13" s="822" t="s">
        <v>3251</v>
      </c>
      <c r="K13" s="822"/>
      <c r="L13" s="277" t="str">
        <f t="shared" si="1"/>
        <v>D:\1_Documents\1_Companies\C009-KOK SNUOL\ks_system\report\Inventory\product\</v>
      </c>
      <c r="M13" s="1277" t="str">
        <f t="shared" si="2"/>
        <v>product</v>
      </c>
    </row>
    <row r="14" spans="3:31" s="187" customFormat="1" ht="24.95" customHeight="1">
      <c r="C14" s="270">
        <v>7</v>
      </c>
      <c r="D14" s="277" t="s">
        <v>194</v>
      </c>
      <c r="E14" s="277" t="s">
        <v>3252</v>
      </c>
      <c r="F14" s="277" t="str">
        <f t="shared" si="0"/>
        <v>D:\1_Documents\1_Companies\C009-KOK SNUOL\</v>
      </c>
      <c r="G14" s="270" t="s">
        <v>3419</v>
      </c>
      <c r="H14" s="277" t="s">
        <v>3285</v>
      </c>
      <c r="I14" s="277" t="s">
        <v>194</v>
      </c>
      <c r="J14" s="822" t="s">
        <v>3252</v>
      </c>
      <c r="K14" s="822"/>
      <c r="L14" s="277" t="str">
        <f t="shared" si="1"/>
        <v>D:\1_Documents\1_Companies\C009-KOK SNUOL\ks_system\report\Inventory\transfer_order\</v>
      </c>
      <c r="M14" s="1277" t="str">
        <f t="shared" si="2"/>
        <v>transfer_order</v>
      </c>
    </row>
    <row r="15" spans="3:31" s="187" customFormat="1" ht="24.95" customHeight="1">
      <c r="C15" s="270">
        <v>8</v>
      </c>
      <c r="D15" s="277" t="s">
        <v>3290</v>
      </c>
      <c r="E15" s="277" t="s">
        <v>3253</v>
      </c>
      <c r="F15" s="277" t="str">
        <f t="shared" si="0"/>
        <v>D:\1_Documents\1_Companies\C009-KOK SNUOL\</v>
      </c>
      <c r="G15" s="270" t="s">
        <v>3419</v>
      </c>
      <c r="H15" s="277" t="s">
        <v>3285</v>
      </c>
      <c r="I15" s="277" t="s">
        <v>3290</v>
      </c>
      <c r="J15" s="822" t="s">
        <v>3253</v>
      </c>
      <c r="K15" s="822"/>
      <c r="L15" s="277" t="str">
        <f t="shared" si="1"/>
        <v>D:\1_Documents\1_Companies\C009-KOK SNUOL\ks_system\report\purchase\purchase_bill\</v>
      </c>
      <c r="M15" s="1277" t="str">
        <f t="shared" si="2"/>
        <v>purchase_bill</v>
      </c>
    </row>
    <row r="16" spans="3:31" s="187" customFormat="1" ht="24.95" customHeight="1">
      <c r="C16" s="270">
        <v>9</v>
      </c>
      <c r="D16" s="277" t="s">
        <v>3290</v>
      </c>
      <c r="E16" s="277" t="s">
        <v>3254</v>
      </c>
      <c r="F16" s="277" t="str">
        <f t="shared" si="0"/>
        <v>D:\1_Documents\1_Companies\C009-KOK SNUOL\</v>
      </c>
      <c r="G16" s="270" t="s">
        <v>3419</v>
      </c>
      <c r="H16" s="277" t="s">
        <v>3285</v>
      </c>
      <c r="I16" s="277" t="s">
        <v>3290</v>
      </c>
      <c r="J16" s="822" t="s">
        <v>3254</v>
      </c>
      <c r="K16" s="822"/>
      <c r="L16" s="277" t="str">
        <f t="shared" si="1"/>
        <v>D:\1_Documents\1_Companies\C009-KOK SNUOL\ks_system\report\purchase\purchase_request\</v>
      </c>
      <c r="M16" s="1277" t="str">
        <f t="shared" si="2"/>
        <v>purchase_request</v>
      </c>
    </row>
    <row r="17" spans="3:13" s="187" customFormat="1" ht="24.95" customHeight="1">
      <c r="C17" s="270">
        <v>10</v>
      </c>
      <c r="D17" s="277" t="s">
        <v>3290</v>
      </c>
      <c r="E17" s="277" t="s">
        <v>3255</v>
      </c>
      <c r="F17" s="277" t="str">
        <f t="shared" si="0"/>
        <v>D:\1_Documents\1_Companies\C009-KOK SNUOL\</v>
      </c>
      <c r="G17" s="270" t="s">
        <v>3419</v>
      </c>
      <c r="H17" s="277" t="s">
        <v>3285</v>
      </c>
      <c r="I17" s="277" t="s">
        <v>3290</v>
      </c>
      <c r="J17" s="822" t="s">
        <v>3255</v>
      </c>
      <c r="K17" s="822"/>
      <c r="L17" s="277" t="str">
        <f t="shared" si="1"/>
        <v>D:\1_Documents\1_Companies\C009-KOK SNUOL\ks_system\report\purchase\other_expense\</v>
      </c>
      <c r="M17" s="1277" t="str">
        <f t="shared" si="2"/>
        <v>other_expense</v>
      </c>
    </row>
    <row r="18" spans="3:13" s="187" customFormat="1" ht="24.95" customHeight="1">
      <c r="C18" s="270">
        <v>11</v>
      </c>
      <c r="D18" s="277" t="s">
        <v>3290</v>
      </c>
      <c r="E18" s="277" t="s">
        <v>3256</v>
      </c>
      <c r="F18" s="277" t="str">
        <f t="shared" si="0"/>
        <v>D:\1_Documents\1_Companies\C009-KOK SNUOL\</v>
      </c>
      <c r="G18" s="270" t="s">
        <v>3419</v>
      </c>
      <c r="H18" s="277" t="s">
        <v>3285</v>
      </c>
      <c r="I18" s="277" t="s">
        <v>3290</v>
      </c>
      <c r="J18" s="822" t="s">
        <v>3256</v>
      </c>
      <c r="K18" s="822"/>
      <c r="L18" s="277" t="str">
        <f t="shared" si="1"/>
        <v>D:\1_Documents\1_Companies\C009-KOK SNUOL\ks_system\report\purchase\vendor\</v>
      </c>
      <c r="M18" s="1277" t="str">
        <f t="shared" si="2"/>
        <v>vendor</v>
      </c>
    </row>
    <row r="19" spans="3:13" s="187" customFormat="1" ht="24.95" customHeight="1">
      <c r="C19" s="270">
        <v>12</v>
      </c>
      <c r="D19" s="277" t="s">
        <v>3291</v>
      </c>
      <c r="E19" s="277" t="s">
        <v>3257</v>
      </c>
      <c r="F19" s="277" t="str">
        <f t="shared" si="0"/>
        <v>D:\1_Documents\1_Companies\C009-KOK SNUOL\</v>
      </c>
      <c r="G19" s="270" t="s">
        <v>3419</v>
      </c>
      <c r="H19" s="277" t="s">
        <v>3285</v>
      </c>
      <c r="I19" s="277" t="s">
        <v>3291</v>
      </c>
      <c r="J19" s="822" t="s">
        <v>3257</v>
      </c>
      <c r="K19" s="822"/>
      <c r="L19" s="277" t="str">
        <f t="shared" si="1"/>
        <v>D:\1_Documents\1_Companies\C009-KOK SNUOL\ks_system\report\sales\customer\</v>
      </c>
      <c r="M19" s="1277" t="str">
        <f t="shared" si="2"/>
        <v>customer</v>
      </c>
    </row>
    <row r="20" spans="3:13" s="187" customFormat="1" ht="24.95" customHeight="1">
      <c r="C20" s="270">
        <v>13</v>
      </c>
      <c r="D20" s="277" t="s">
        <v>3291</v>
      </c>
      <c r="E20" s="277" t="s">
        <v>3258</v>
      </c>
      <c r="F20" s="277" t="str">
        <f t="shared" si="0"/>
        <v>D:\1_Documents\1_Companies\C009-KOK SNUOL\</v>
      </c>
      <c r="G20" s="270" t="s">
        <v>3419</v>
      </c>
      <c r="H20" s="277" t="s">
        <v>3285</v>
      </c>
      <c r="I20" s="277" t="s">
        <v>3291</v>
      </c>
      <c r="J20" s="822" t="s">
        <v>3258</v>
      </c>
      <c r="K20" s="822"/>
      <c r="L20" s="277" t="str">
        <f t="shared" si="1"/>
        <v>D:\1_Documents\1_Companies\C009-KOK SNUOL\ks_system\report\sales\quotation\</v>
      </c>
      <c r="M20" s="1277" t="str">
        <f t="shared" si="2"/>
        <v>quotation</v>
      </c>
    </row>
    <row r="21" spans="3:13" s="187" customFormat="1" ht="24.95" customHeight="1">
      <c r="C21" s="270">
        <v>14</v>
      </c>
      <c r="D21" s="277" t="s">
        <v>3291</v>
      </c>
      <c r="E21" s="277" t="s">
        <v>3259</v>
      </c>
      <c r="F21" s="277" t="str">
        <f t="shared" si="0"/>
        <v>D:\1_Documents\1_Companies\C009-KOK SNUOL\</v>
      </c>
      <c r="G21" s="270" t="s">
        <v>3419</v>
      </c>
      <c r="H21" s="277" t="s">
        <v>3285</v>
      </c>
      <c r="I21" s="277" t="s">
        <v>3291</v>
      </c>
      <c r="J21" s="822" t="s">
        <v>3259</v>
      </c>
      <c r="K21" s="822"/>
      <c r="L21" s="277" t="str">
        <f t="shared" si="1"/>
        <v>D:\1_Documents\1_Companies\C009-KOK SNUOL\ks_system\report\sales\sales_order\</v>
      </c>
      <c r="M21" s="1277" t="str">
        <f t="shared" si="2"/>
        <v>sales_order</v>
      </c>
    </row>
    <row r="22" spans="3:13" s="187" customFormat="1" ht="24.95" customHeight="1">
      <c r="C22" s="270">
        <v>15</v>
      </c>
      <c r="D22" s="277" t="s">
        <v>3291</v>
      </c>
      <c r="E22" s="277" t="s">
        <v>3260</v>
      </c>
      <c r="F22" s="277" t="str">
        <f t="shared" si="0"/>
        <v>D:\1_Documents\1_Companies\C009-KOK SNUOL\</v>
      </c>
      <c r="G22" s="270" t="s">
        <v>3419</v>
      </c>
      <c r="H22" s="277" t="s">
        <v>3285</v>
      </c>
      <c r="I22" s="277" t="s">
        <v>3291</v>
      </c>
      <c r="J22" s="822" t="s">
        <v>3260</v>
      </c>
      <c r="K22" s="822"/>
      <c r="L22" s="277" t="str">
        <f t="shared" si="1"/>
        <v>D:\1_Documents\1_Companies\C009-KOK SNUOL\ks_system\report\sales\sales_invoice\</v>
      </c>
      <c r="M22" s="1277" t="str">
        <f t="shared" si="2"/>
        <v>sales_invoice</v>
      </c>
    </row>
    <row r="23" spans="3:13" s="187" customFormat="1" ht="24.95" customHeight="1">
      <c r="C23" s="270">
        <v>16</v>
      </c>
      <c r="D23" s="277" t="s">
        <v>3291</v>
      </c>
      <c r="E23" s="277" t="s">
        <v>3261</v>
      </c>
      <c r="F23" s="277" t="str">
        <f t="shared" si="0"/>
        <v>D:\1_Documents\1_Companies\C009-KOK SNUOL\</v>
      </c>
      <c r="G23" s="270" t="s">
        <v>3419</v>
      </c>
      <c r="H23" s="277" t="s">
        <v>3285</v>
      </c>
      <c r="I23" s="277" t="s">
        <v>3291</v>
      </c>
      <c r="J23" s="822" t="s">
        <v>3261</v>
      </c>
      <c r="K23" s="822"/>
      <c r="L23" s="277" t="str">
        <f t="shared" si="1"/>
        <v>D:\1_Documents\1_Companies\C009-KOK SNUOL\ks_system\report\sales\pos\</v>
      </c>
      <c r="M23" s="1277" t="str">
        <f t="shared" si="2"/>
        <v>pos</v>
      </c>
    </row>
    <row r="24" spans="3:13" s="187" customFormat="1" ht="24.95" customHeight="1">
      <c r="C24" s="270">
        <v>17</v>
      </c>
      <c r="D24" s="277" t="s">
        <v>3291</v>
      </c>
      <c r="E24" s="813" t="s">
        <v>3262</v>
      </c>
      <c r="F24" s="277" t="str">
        <f t="shared" si="0"/>
        <v>D:\1_Documents\1_Companies\C009-KOK SNUOL\</v>
      </c>
      <c r="G24" s="270" t="s">
        <v>3419</v>
      </c>
      <c r="H24" s="277" t="s">
        <v>3285</v>
      </c>
      <c r="I24" s="277" t="s">
        <v>3291</v>
      </c>
      <c r="J24" s="822" t="s">
        <v>3262</v>
      </c>
      <c r="K24" s="822"/>
      <c r="L24" s="277" t="str">
        <f t="shared" si="1"/>
        <v>D:\1_Documents\1_Companies\C009-KOK SNUOL\ks_system\report\sales\other_income\</v>
      </c>
      <c r="M24" s="1277" t="str">
        <f t="shared" si="2"/>
        <v>other_income</v>
      </c>
    </row>
    <row r="25" spans="3:13" s="187" customFormat="1" ht="24.95" customHeight="1">
      <c r="C25" s="270">
        <v>18</v>
      </c>
      <c r="D25" s="277" t="s">
        <v>3292</v>
      </c>
      <c r="E25" s="277" t="s">
        <v>3263</v>
      </c>
      <c r="F25" s="277" t="str">
        <f t="shared" si="0"/>
        <v>D:\1_Documents\1_Companies\C009-KOK SNUOL\</v>
      </c>
      <c r="G25" s="270" t="s">
        <v>3419</v>
      </c>
      <c r="H25" s="277" t="s">
        <v>3285</v>
      </c>
      <c r="I25" s="277" t="s">
        <v>3292</v>
      </c>
      <c r="J25" s="822" t="s">
        <v>3263</v>
      </c>
      <c r="K25" s="822"/>
      <c r="L25" s="277" t="str">
        <f t="shared" si="1"/>
        <v>D:\1_Documents\1_Companies\C009-KOK SNUOL\ks_system\report\setting\employee_and_salary\</v>
      </c>
      <c r="M25" s="1277" t="str">
        <f t="shared" si="2"/>
        <v>employee_and_salary</v>
      </c>
    </row>
    <row r="26" spans="3:13" s="187" customFormat="1" ht="24.95" customHeight="1">
      <c r="C26" s="270">
        <v>19</v>
      </c>
      <c r="D26" s="277" t="s">
        <v>3292</v>
      </c>
      <c r="E26" s="277" t="s">
        <v>3264</v>
      </c>
      <c r="F26" s="277" t="str">
        <f t="shared" si="0"/>
        <v>D:\1_Documents\1_Companies\C009-KOK SNUOL\</v>
      </c>
      <c r="G26" s="270" t="s">
        <v>3419</v>
      </c>
      <c r="H26" s="277" t="s">
        <v>3285</v>
      </c>
      <c r="I26" s="277" t="s">
        <v>3292</v>
      </c>
      <c r="J26" s="822" t="s">
        <v>3264</v>
      </c>
      <c r="K26" s="822"/>
      <c r="L26" s="277" t="str">
        <f t="shared" si="1"/>
        <v>D:\1_Documents\1_Companies\C009-KOK SNUOL\ks_system\report\setting\chart_account\</v>
      </c>
      <c r="M26" s="1277" t="str">
        <f t="shared" si="2"/>
        <v>chart_account</v>
      </c>
    </row>
    <row r="27" spans="3:13" ht="24.95" customHeight="1">
      <c r="C27" s="270">
        <v>20</v>
      </c>
      <c r="D27" s="277" t="s">
        <v>3298</v>
      </c>
      <c r="E27" s="277" t="s">
        <v>3265</v>
      </c>
      <c r="F27" s="277" t="str">
        <f t="shared" si="0"/>
        <v>D:\1_Documents\1_Companies\C009-KOK SNUOL\</v>
      </c>
      <c r="G27" s="270" t="s">
        <v>3419</v>
      </c>
      <c r="H27" s="277" t="s">
        <v>3285</v>
      </c>
      <c r="I27" s="277" t="s">
        <v>3298</v>
      </c>
      <c r="J27" s="822" t="s">
        <v>3265</v>
      </c>
      <c r="K27" s="822"/>
      <c r="L27" s="277" t="str">
        <f t="shared" si="1"/>
        <v>D:\1_Documents\1_Companies\C009-KOK SNUOL\ks_system\report\report_customer_balance\customer_balance\</v>
      </c>
      <c r="M27" s="1277" t="str">
        <f t="shared" si="2"/>
        <v>customer_balance</v>
      </c>
    </row>
    <row r="28" spans="3:13" ht="24.95" customHeight="1">
      <c r="C28" s="270">
        <v>21</v>
      </c>
      <c r="D28" s="277" t="s">
        <v>3298</v>
      </c>
      <c r="E28" s="277" t="s">
        <v>3266</v>
      </c>
      <c r="F28" s="277" t="str">
        <f t="shared" si="0"/>
        <v>D:\1_Documents\1_Companies\C009-KOK SNUOL\</v>
      </c>
      <c r="G28" s="270" t="s">
        <v>3419</v>
      </c>
      <c r="H28" s="277" t="s">
        <v>3285</v>
      </c>
      <c r="I28" s="277" t="s">
        <v>3298</v>
      </c>
      <c r="J28" s="822" t="s">
        <v>3266</v>
      </c>
      <c r="K28" s="822"/>
      <c r="L28" s="277" t="str">
        <f t="shared" si="1"/>
        <v>D:\1_Documents\1_Companies\C009-KOK SNUOL\ks_system\report\report_customer_balance\open_invoice\</v>
      </c>
      <c r="M28" s="1277" t="str">
        <f t="shared" si="2"/>
        <v>open_invoice</v>
      </c>
    </row>
    <row r="29" spans="3:13" ht="24.95" customHeight="1">
      <c r="C29" s="270">
        <v>22</v>
      </c>
      <c r="D29" s="277" t="s">
        <v>3298</v>
      </c>
      <c r="E29" s="277" t="s">
        <v>3267</v>
      </c>
      <c r="F29" s="277" t="str">
        <f t="shared" si="0"/>
        <v>D:\1_Documents\1_Companies\C009-KOK SNUOL\</v>
      </c>
      <c r="G29" s="270" t="s">
        <v>3419</v>
      </c>
      <c r="H29" s="277" t="s">
        <v>3285</v>
      </c>
      <c r="I29" s="277" t="s">
        <v>3298</v>
      </c>
      <c r="J29" s="822" t="s">
        <v>3267</v>
      </c>
      <c r="K29" s="822"/>
      <c r="L29" s="277" t="str">
        <f t="shared" si="1"/>
        <v>D:\1_Documents\1_Companies\C009-KOK SNUOL\ks_system\report\report_customer_balance\customer_statement\</v>
      </c>
      <c r="M29" s="1277" t="str">
        <f t="shared" si="2"/>
        <v>customer_statement</v>
      </c>
    </row>
    <row r="30" spans="3:13" ht="24.95" customHeight="1">
      <c r="C30" s="270">
        <v>23</v>
      </c>
      <c r="D30" s="277" t="s">
        <v>3297</v>
      </c>
      <c r="E30" s="277" t="s">
        <v>3268</v>
      </c>
      <c r="F30" s="277" t="str">
        <f t="shared" si="0"/>
        <v>D:\1_Documents\1_Companies\C009-KOK SNUOL\</v>
      </c>
      <c r="G30" s="270" t="s">
        <v>3419</v>
      </c>
      <c r="H30" s="277" t="s">
        <v>3285</v>
      </c>
      <c r="I30" s="277" t="s">
        <v>3297</v>
      </c>
      <c r="J30" s="822" t="s">
        <v>3268</v>
      </c>
      <c r="K30" s="822"/>
      <c r="L30" s="277" t="str">
        <f t="shared" si="1"/>
        <v>D:\1_Documents\1_Companies\C009-KOK SNUOL\ks_system\report\report_vendor_balance\vendor_balance\</v>
      </c>
      <c r="M30" s="1277" t="str">
        <f t="shared" si="2"/>
        <v>vendor_balance</v>
      </c>
    </row>
    <row r="31" spans="3:13" ht="24.95" customHeight="1">
      <c r="C31" s="270">
        <v>24</v>
      </c>
      <c r="D31" s="277" t="s">
        <v>3297</v>
      </c>
      <c r="E31" s="277" t="s">
        <v>3269</v>
      </c>
      <c r="F31" s="277" t="str">
        <f t="shared" si="0"/>
        <v>D:\1_Documents\1_Companies\C009-KOK SNUOL\</v>
      </c>
      <c r="G31" s="270" t="s">
        <v>3419</v>
      </c>
      <c r="H31" s="277" t="s">
        <v>3285</v>
      </c>
      <c r="I31" s="277" t="s">
        <v>3297</v>
      </c>
      <c r="J31" s="822" t="s">
        <v>3269</v>
      </c>
      <c r="K31" s="822"/>
      <c r="L31" s="277" t="str">
        <f t="shared" si="1"/>
        <v>D:\1_Documents\1_Companies\C009-KOK SNUOL\ks_system\report\report_vendor_balance\open_bill\</v>
      </c>
      <c r="M31" s="1277" t="str">
        <f t="shared" si="2"/>
        <v>open_bill</v>
      </c>
    </row>
    <row r="32" spans="3:13" ht="24.95" customHeight="1">
      <c r="C32" s="270">
        <v>25</v>
      </c>
      <c r="D32" s="277" t="s">
        <v>3297</v>
      </c>
      <c r="E32" s="277" t="s">
        <v>3270</v>
      </c>
      <c r="F32" s="277" t="str">
        <f t="shared" si="0"/>
        <v>D:\1_Documents\1_Companies\C009-KOK SNUOL\</v>
      </c>
      <c r="G32" s="270" t="s">
        <v>3419</v>
      </c>
      <c r="H32" s="277" t="s">
        <v>3285</v>
      </c>
      <c r="I32" s="277" t="s">
        <v>3297</v>
      </c>
      <c r="J32" s="822" t="s">
        <v>3270</v>
      </c>
      <c r="K32" s="822"/>
      <c r="L32" s="277" t="str">
        <f t="shared" si="1"/>
        <v>D:\1_Documents\1_Companies\C009-KOK SNUOL\ks_system\report\report_vendor_balance\vendor_statement\</v>
      </c>
      <c r="M32" s="1277" t="str">
        <f t="shared" si="2"/>
        <v>vendor_statement</v>
      </c>
    </row>
    <row r="33" spans="3:13" ht="24.95" customHeight="1">
      <c r="C33" s="270">
        <v>26</v>
      </c>
      <c r="D33" s="277" t="s">
        <v>3294</v>
      </c>
      <c r="E33" s="277" t="s">
        <v>3281</v>
      </c>
      <c r="F33" s="277" t="str">
        <f t="shared" si="0"/>
        <v>D:\1_Documents\1_Companies\C009-KOK SNUOL\</v>
      </c>
      <c r="G33" s="270" t="s">
        <v>3419</v>
      </c>
      <c r="H33" s="277" t="s">
        <v>3285</v>
      </c>
      <c r="I33" s="277" t="s">
        <v>3294</v>
      </c>
      <c r="J33" s="822" t="s">
        <v>3281</v>
      </c>
      <c r="K33" s="822"/>
      <c r="L33" s="277" t="str">
        <f t="shared" si="1"/>
        <v>D:\1_Documents\1_Companies\C009-KOK SNUOL\ks_system\report\report_purchase\purchase_by_invoice\</v>
      </c>
      <c r="M33" s="1277" t="str">
        <f t="shared" si="2"/>
        <v>purchase_by_invoice</v>
      </c>
    </row>
    <row r="34" spans="3:13" ht="24.95" customHeight="1">
      <c r="C34" s="270">
        <v>27</v>
      </c>
      <c r="D34" s="277" t="s">
        <v>3294</v>
      </c>
      <c r="E34" s="277" t="s">
        <v>3282</v>
      </c>
      <c r="F34" s="277" t="str">
        <f t="shared" si="0"/>
        <v>D:\1_Documents\1_Companies\C009-KOK SNUOL\</v>
      </c>
      <c r="G34" s="270" t="s">
        <v>3419</v>
      </c>
      <c r="H34" s="277" t="s">
        <v>3285</v>
      </c>
      <c r="I34" s="277" t="s">
        <v>3294</v>
      </c>
      <c r="J34" s="822" t="s">
        <v>3282</v>
      </c>
      <c r="K34" s="822"/>
      <c r="L34" s="277" t="str">
        <f t="shared" si="1"/>
        <v>D:\1_Documents\1_Companies\C009-KOK SNUOL\ks_system\report\report_purchase\purchase_by_item\</v>
      </c>
      <c r="M34" s="1277" t="str">
        <f t="shared" si="2"/>
        <v>purchase_by_item</v>
      </c>
    </row>
    <row r="35" spans="3:13" ht="24.95" customHeight="1">
      <c r="C35" s="270">
        <v>28</v>
      </c>
      <c r="D35" s="277" t="s">
        <v>3294</v>
      </c>
      <c r="E35" s="277" t="s">
        <v>3283</v>
      </c>
      <c r="F35" s="277" t="str">
        <f t="shared" si="0"/>
        <v>D:\1_Documents\1_Companies\C009-KOK SNUOL\</v>
      </c>
      <c r="G35" s="270" t="s">
        <v>3419</v>
      </c>
      <c r="H35" s="277" t="s">
        <v>3285</v>
      </c>
      <c r="I35" s="277" t="s">
        <v>3294</v>
      </c>
      <c r="J35" s="822" t="s">
        <v>3283</v>
      </c>
      <c r="K35" s="822"/>
      <c r="L35" s="277" t="str">
        <f t="shared" si="1"/>
        <v>D:\1_Documents\1_Companies\C009-KOK SNUOL\ks_system\report\report_purchase\pay_bills \</v>
      </c>
      <c r="M35" s="1277" t="str">
        <f t="shared" si="2"/>
        <v xml:space="preserve">pay_bills </v>
      </c>
    </row>
    <row r="36" spans="3:13" ht="24.95" customHeight="1">
      <c r="C36" s="270">
        <v>29</v>
      </c>
      <c r="D36" s="277" t="s">
        <v>3294</v>
      </c>
      <c r="E36" s="277" t="s">
        <v>3284</v>
      </c>
      <c r="F36" s="277" t="str">
        <f t="shared" si="0"/>
        <v>D:\1_Documents\1_Companies\C009-KOK SNUOL\</v>
      </c>
      <c r="G36" s="270" t="s">
        <v>3419</v>
      </c>
      <c r="H36" s="277" t="s">
        <v>3285</v>
      </c>
      <c r="I36" s="277" t="s">
        <v>3294</v>
      </c>
      <c r="J36" s="822" t="s">
        <v>3284</v>
      </c>
      <c r="K36" s="822"/>
      <c r="L36" s="277" t="str">
        <f t="shared" si="1"/>
        <v>D:\1_Documents\1_Companies\C009-KOK SNUOL\ks_system\report\report_purchase\cash_expenses\</v>
      </c>
      <c r="M36" s="1277" t="str">
        <f t="shared" si="2"/>
        <v>cash_expenses</v>
      </c>
    </row>
    <row r="37" spans="3:13" ht="24.95" customHeight="1">
      <c r="C37" s="270">
        <v>30</v>
      </c>
      <c r="D37" s="277" t="s">
        <v>3293</v>
      </c>
      <c r="E37" s="277" t="s">
        <v>3271</v>
      </c>
      <c r="F37" s="277" t="str">
        <f t="shared" si="0"/>
        <v>D:\1_Documents\1_Companies\C009-KOK SNUOL\</v>
      </c>
      <c r="G37" s="270" t="s">
        <v>3419</v>
      </c>
      <c r="H37" s="277" t="s">
        <v>3285</v>
      </c>
      <c r="I37" s="277" t="s">
        <v>3293</v>
      </c>
      <c r="J37" s="822" t="s">
        <v>3271</v>
      </c>
      <c r="K37" s="822"/>
      <c r="L37" s="277" t="str">
        <f t="shared" si="1"/>
        <v>D:\1_Documents\1_Companies\C009-KOK SNUOL\ks_system\report\report_sales\sales_by_item\</v>
      </c>
      <c r="M37" s="1277" t="str">
        <f t="shared" si="2"/>
        <v>sales_by_item</v>
      </c>
    </row>
    <row r="38" spans="3:13" ht="24.95" customHeight="1">
      <c r="C38" s="270">
        <v>31</v>
      </c>
      <c r="D38" s="277" t="s">
        <v>3293</v>
      </c>
      <c r="E38" s="277" t="s">
        <v>3272</v>
      </c>
      <c r="F38" s="277" t="str">
        <f t="shared" si="0"/>
        <v>D:\1_Documents\1_Companies\C009-KOK SNUOL\</v>
      </c>
      <c r="G38" s="270" t="s">
        <v>3419</v>
      </c>
      <c r="H38" s="277" t="s">
        <v>3285</v>
      </c>
      <c r="I38" s="277" t="s">
        <v>3293</v>
      </c>
      <c r="J38" s="822" t="s">
        <v>3272</v>
      </c>
      <c r="K38" s="822"/>
      <c r="L38" s="277" t="str">
        <f t="shared" si="1"/>
        <v>D:\1_Documents\1_Companies\C009-KOK SNUOL\ks_system\report\report_sales\sales_by_item_customer\</v>
      </c>
      <c r="M38" s="1277" t="str">
        <f t="shared" si="2"/>
        <v>sales_by_item_customer</v>
      </c>
    </row>
    <row r="39" spans="3:13" ht="24.95" customHeight="1">
      <c r="C39" s="270">
        <v>32</v>
      </c>
      <c r="D39" s="277" t="s">
        <v>3293</v>
      </c>
      <c r="E39" s="277" t="s">
        <v>3273</v>
      </c>
      <c r="F39" s="277" t="str">
        <f t="shared" si="0"/>
        <v>D:\1_Documents\1_Companies\C009-KOK SNUOL\</v>
      </c>
      <c r="G39" s="270" t="s">
        <v>3419</v>
      </c>
      <c r="H39" s="277" t="s">
        <v>3285</v>
      </c>
      <c r="I39" s="277" t="s">
        <v>3293</v>
      </c>
      <c r="J39" s="822" t="s">
        <v>3273</v>
      </c>
      <c r="K39" s="822"/>
      <c r="L39" s="277" t="str">
        <f t="shared" si="1"/>
        <v>D:\1_Documents\1_Companies\C009-KOK SNUOL\ks_system\report\report_sales\total_sale\</v>
      </c>
      <c r="M39" s="1277" t="str">
        <f t="shared" si="2"/>
        <v>total_sale</v>
      </c>
    </row>
    <row r="40" spans="3:13" ht="24.95" customHeight="1">
      <c r="C40" s="270">
        <v>33</v>
      </c>
      <c r="D40" s="277" t="s">
        <v>3295</v>
      </c>
      <c r="E40" s="277" t="s">
        <v>3274</v>
      </c>
      <c r="F40" s="277" t="str">
        <f t="shared" si="0"/>
        <v>D:\1_Documents\1_Companies\C009-KOK SNUOL\</v>
      </c>
      <c r="G40" s="270" t="s">
        <v>3419</v>
      </c>
      <c r="H40" s="277" t="s">
        <v>3285</v>
      </c>
      <c r="I40" s="277" t="s">
        <v>3295</v>
      </c>
      <c r="J40" s="822" t="s">
        <v>3274</v>
      </c>
      <c r="K40" s="822"/>
      <c r="L40" s="277" t="str">
        <f t="shared" si="1"/>
        <v>D:\1_Documents\1_Companies\C009-KOK SNUOL\ks_system\report\report_inventory\gloable_inventory\</v>
      </c>
      <c r="M40" s="1277" t="str">
        <f t="shared" si="2"/>
        <v>gloable_inventory</v>
      </c>
    </row>
    <row r="41" spans="3:13" ht="24.95" customHeight="1">
      <c r="C41" s="270">
        <v>34</v>
      </c>
      <c r="D41" s="277" t="s">
        <v>3295</v>
      </c>
      <c r="E41" s="277" t="s">
        <v>3275</v>
      </c>
      <c r="F41" s="277" t="str">
        <f t="shared" si="0"/>
        <v>D:\1_Documents\1_Companies\C009-KOK SNUOL\</v>
      </c>
      <c r="G41" s="270" t="s">
        <v>3419</v>
      </c>
      <c r="H41" s="277" t="s">
        <v>3285</v>
      </c>
      <c r="I41" s="277" t="s">
        <v>3295</v>
      </c>
      <c r="J41" s="822" t="s">
        <v>3275</v>
      </c>
      <c r="K41" s="822"/>
      <c r="L41" s="277" t="str">
        <f t="shared" si="1"/>
        <v>D:\1_Documents\1_Companies\C009-KOK SNUOL\ks_system\report\report_inventory\inventory_activity\</v>
      </c>
      <c r="M41" s="1277" t="str">
        <f t="shared" si="2"/>
        <v>inventory_activity</v>
      </c>
    </row>
    <row r="42" spans="3:13" ht="24.95" customHeight="1">
      <c r="C42" s="270">
        <v>35</v>
      </c>
      <c r="D42" s="277" t="s">
        <v>3295</v>
      </c>
      <c r="E42" s="277" t="s">
        <v>3276</v>
      </c>
      <c r="F42" s="277" t="str">
        <f t="shared" si="0"/>
        <v>D:\1_Documents\1_Companies\C009-KOK SNUOL\</v>
      </c>
      <c r="G42" s="270" t="s">
        <v>3419</v>
      </c>
      <c r="H42" s="277" t="s">
        <v>3285</v>
      </c>
      <c r="I42" s="277" t="s">
        <v>3295</v>
      </c>
      <c r="J42" s="822" t="s">
        <v>3276</v>
      </c>
      <c r="K42" s="822"/>
      <c r="L42" s="277" t="str">
        <f t="shared" si="1"/>
        <v>D:\1_Documents\1_Companies\C009-KOK SNUOL\ks_system\report\report_inventory\inventory_valuation\</v>
      </c>
      <c r="M42" s="1277" t="str">
        <f t="shared" si="2"/>
        <v>inventory_valuation</v>
      </c>
    </row>
    <row r="43" spans="3:13" ht="24.95" customHeight="1">
      <c r="C43" s="270">
        <v>36</v>
      </c>
      <c r="D43" s="277" t="s">
        <v>3296</v>
      </c>
      <c r="E43" s="277" t="s">
        <v>3277</v>
      </c>
      <c r="F43" s="277" t="str">
        <f t="shared" si="0"/>
        <v>D:\1_Documents\1_Companies\C009-KOK SNUOL\</v>
      </c>
      <c r="G43" s="270" t="s">
        <v>3419</v>
      </c>
      <c r="H43" s="277" t="s">
        <v>3285</v>
      </c>
      <c r="I43" s="277" t="s">
        <v>3296</v>
      </c>
      <c r="J43" s="822" t="s">
        <v>3277</v>
      </c>
      <c r="K43" s="822"/>
      <c r="L43" s="277" t="str">
        <f t="shared" si="1"/>
        <v>D:\1_Documents\1_Companies\C009-KOK SNUOL\ks_system\report\report_accounting\journal_entry\</v>
      </c>
      <c r="M43" s="1277" t="str">
        <f t="shared" si="2"/>
        <v>journal_entry</v>
      </c>
    </row>
    <row r="44" spans="3:13" ht="24.95" customHeight="1">
      <c r="C44" s="270">
        <v>37</v>
      </c>
      <c r="D44" s="277" t="s">
        <v>3296</v>
      </c>
      <c r="E44" s="277" t="s">
        <v>3278</v>
      </c>
      <c r="F44" s="277" t="str">
        <f t="shared" si="0"/>
        <v>D:\1_Documents\1_Companies\C009-KOK SNUOL\</v>
      </c>
      <c r="G44" s="270" t="s">
        <v>3419</v>
      </c>
      <c r="H44" s="277" t="s">
        <v>3285</v>
      </c>
      <c r="I44" s="277" t="s">
        <v>3296</v>
      </c>
      <c r="J44" s="822" t="s">
        <v>3278</v>
      </c>
      <c r="K44" s="822"/>
      <c r="L44" s="277" t="str">
        <f t="shared" si="1"/>
        <v>D:\1_Documents\1_Companies\C009-KOK SNUOL\ks_system\report\report_accounting\general_ledger\</v>
      </c>
      <c r="M44" s="1277" t="str">
        <f t="shared" si="2"/>
        <v>general_ledger</v>
      </c>
    </row>
    <row r="45" spans="3:13" ht="24.95" customHeight="1">
      <c r="C45" s="270">
        <v>38</v>
      </c>
      <c r="D45" s="277" t="s">
        <v>3296</v>
      </c>
      <c r="E45" s="277" t="s">
        <v>3279</v>
      </c>
      <c r="F45" s="277" t="str">
        <f t="shared" si="0"/>
        <v>D:\1_Documents\1_Companies\C009-KOK SNUOL\</v>
      </c>
      <c r="G45" s="270" t="s">
        <v>3419</v>
      </c>
      <c r="H45" s="277" t="s">
        <v>3285</v>
      </c>
      <c r="I45" s="277" t="s">
        <v>3296</v>
      </c>
      <c r="J45" s="822" t="s">
        <v>3279</v>
      </c>
      <c r="K45" s="822"/>
      <c r="L45" s="277" t="str">
        <f t="shared" si="1"/>
        <v>D:\1_Documents\1_Companies\C009-KOK SNUOL\ks_system\report\report_accounting\balance_sheet\</v>
      </c>
      <c r="M45" s="1277" t="str">
        <f t="shared" si="2"/>
        <v>balance_sheet</v>
      </c>
    </row>
    <row r="46" spans="3:13" ht="24.95" customHeight="1">
      <c r="C46" s="270">
        <v>39</v>
      </c>
      <c r="D46" s="277" t="s">
        <v>3296</v>
      </c>
      <c r="E46" s="277" t="s">
        <v>3280</v>
      </c>
      <c r="F46" s="277" t="str">
        <f t="shared" si="0"/>
        <v>D:\1_Documents\1_Companies\C009-KOK SNUOL\</v>
      </c>
      <c r="G46" s="270" t="s">
        <v>3419</v>
      </c>
      <c r="H46" s="277" t="s">
        <v>3285</v>
      </c>
      <c r="I46" s="277" t="s">
        <v>3296</v>
      </c>
      <c r="J46" s="822" t="s">
        <v>3280</v>
      </c>
      <c r="K46" s="822"/>
      <c r="L46" s="277" t="str">
        <f t="shared" si="1"/>
        <v>D:\1_Documents\1_Companies\C009-KOK SNUOL\ks_system\report\report_accounting\profit_loss\</v>
      </c>
      <c r="M46" s="1277" t="str">
        <f t="shared" si="2"/>
        <v>profit_loss</v>
      </c>
    </row>
    <row r="47" spans="3:13" s="754" customFormat="1" ht="24.95" customHeight="1">
      <c r="C47" s="270">
        <v>40</v>
      </c>
      <c r="D47" s="277" t="s">
        <v>194</v>
      </c>
      <c r="E47" s="277" t="s">
        <v>3367</v>
      </c>
      <c r="F47" s="277" t="str">
        <f t="shared" si="0"/>
        <v>D:\1_Documents\1_Companies\C009-KOK SNUOL\</v>
      </c>
      <c r="G47" s="270" t="s">
        <v>3419</v>
      </c>
      <c r="H47" s="277" t="s">
        <v>3420</v>
      </c>
      <c r="I47" s="277" t="s">
        <v>3368</v>
      </c>
      <c r="J47" s="277" t="s">
        <v>3367</v>
      </c>
      <c r="K47" s="277"/>
      <c r="L47" s="277" t="str">
        <f t="shared" ref="L47" si="3">IF(F47="","",F47)&amp;IF(G47="","",G47&amp;"\")&amp;IF(H47="","",H47&amp;"\")&amp;IF(I47="","",I47&amp;"\")&amp;IF(J47="","",J47&amp;"\")&amp;IF(K47="","",K47&amp;"\")</f>
        <v>D:\1_Documents\1_Companies\C009-KOK SNUOL\ks_system\src\public\product_photo\</v>
      </c>
      <c r="M47" s="1277" t="str">
        <f t="shared" si="2"/>
        <v>product_photo</v>
      </c>
    </row>
    <row r="48" spans="3:13" ht="24.95" customHeight="1">
      <c r="C48" s="270">
        <v>41</v>
      </c>
      <c r="D48" s="277" t="s">
        <v>3291</v>
      </c>
      <c r="E48" s="277" t="s">
        <v>3407</v>
      </c>
      <c r="F48" s="277" t="str">
        <f t="shared" si="0"/>
        <v>D:\1_Documents\1_Companies\C009-KOK SNUOL\</v>
      </c>
      <c r="G48" s="270" t="s">
        <v>3419</v>
      </c>
      <c r="H48" s="277" t="s">
        <v>3285</v>
      </c>
      <c r="I48" s="277" t="s">
        <v>3291</v>
      </c>
      <c r="J48" s="277" t="s">
        <v>3407</v>
      </c>
      <c r="K48" s="277"/>
      <c r="L48" s="277" t="str">
        <f t="shared" ref="L48" si="4">IF(F48="","",F48)&amp;IF(G48="","",G48&amp;"\")&amp;IF(H48="","",H48&amp;"\")&amp;IF(I48="","",I48&amp;"\")&amp;IF(J48="","",J48&amp;"\")&amp;IF(K48="","",K48&amp;"\")</f>
        <v>D:\1_Documents\1_Companies\C009-KOK SNUOL\ks_system\report\sales\receive_payment\</v>
      </c>
      <c r="M48" s="1277" t="str">
        <f t="shared" si="2"/>
        <v>receive_payment</v>
      </c>
    </row>
    <row r="49" spans="3:13" ht="24.95" customHeight="1">
      <c r="C49" s="270"/>
      <c r="D49" s="277"/>
      <c r="E49" s="277"/>
      <c r="F49" s="277"/>
      <c r="G49" s="270"/>
      <c r="H49" s="270"/>
      <c r="I49" s="277"/>
      <c r="J49" s="822"/>
      <c r="K49" s="822"/>
      <c r="L49" s="277" t="str">
        <f t="shared" ref="L49:L50" si="5">IF(F49="","",F49)&amp;IF(G49="","",G49&amp;"\")&amp;IF(H49="","",H49&amp;"\")&amp;IF(I49="","",I49&amp;"\")&amp;IF(J49="","",J49&amp;"\")&amp;IF(K49="","",K49&amp;"\")</f>
        <v/>
      </c>
      <c r="M49" s="1277" t="str">
        <f t="shared" ref="M49:M50" si="6">IF(AND(E49="",J49=""),"",HYPERLINK(database_path,IF(J49="",E49,J49)))</f>
        <v/>
      </c>
    </row>
    <row r="50" spans="3:13" ht="24.95" customHeight="1">
      <c r="C50" s="270"/>
      <c r="D50" s="277"/>
      <c r="E50" s="277"/>
      <c r="F50" s="277"/>
      <c r="G50" s="270"/>
      <c r="H50" s="270"/>
      <c r="I50" s="277"/>
      <c r="J50" s="822"/>
      <c r="K50" s="822"/>
      <c r="L50" s="277" t="str">
        <f t="shared" si="5"/>
        <v/>
      </c>
      <c r="M50" s="1277" t="str">
        <f t="shared" si="6"/>
        <v/>
      </c>
    </row>
    <row r="51" spans="3:13" ht="24.95" customHeight="1">
      <c r="F51" s="277"/>
    </row>
    <row r="52" spans="3:13" ht="24.95" customHeight="1">
      <c r="F52" s="277"/>
    </row>
    <row r="53" spans="3:13" ht="24.95" customHeight="1">
      <c r="F53" s="277"/>
    </row>
    <row r="54" spans="3:13" ht="24.95" customHeight="1">
      <c r="F54" s="277"/>
    </row>
    <row r="55" spans="3:13" ht="24.95" customHeight="1">
      <c r="F55" s="277"/>
    </row>
    <row r="56" spans="3:13" ht="24.95" customHeight="1">
      <c r="F56" s="277"/>
    </row>
    <row r="57" spans="3:13" ht="24.95" customHeight="1">
      <c r="F57" s="277"/>
    </row>
    <row r="58" spans="3:13" ht="24.95" customHeight="1">
      <c r="F58" s="277"/>
    </row>
    <row r="59" spans="3:13" ht="24.95" customHeight="1">
      <c r="F59" s="277"/>
    </row>
    <row r="60" spans="3:13" ht="24.95" customHeight="1">
      <c r="F60" s="277"/>
    </row>
  </sheetData>
  <sheetProtection formatCells="0" formatColumns="0" formatRows="0" insertColumns="0" insertRows="0" deleteColumns="0" deleteRows="0"/>
  <dataValidations count="2">
    <dataValidation type="list" allowBlank="1" showInputMessage="1" showErrorMessage="1" sqref="F49:F60" xr:uid="{37CD0C35-CE94-4512-B761-12E8BD5A4A45}">
      <formula1>$U$7:$U$8</formula1>
    </dataValidation>
    <dataValidation type="list" allowBlank="1" showInputMessage="1" showErrorMessage="1" sqref="P7" xr:uid="{DCFF0345-67DC-441D-8EF7-311AC1AF4186}">
      <formula1>$U$7:$U$11</formula1>
    </dataValidation>
  </dataValidations>
  <printOptions horizontalCentered="1"/>
  <pageMargins left="0" right="0" top="0.19685039370078741" bottom="0.39370078740157483" header="0" footer="0.19685039370078741"/>
  <pageSetup paperSize="9" scale="70" orientation="landscape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E83EE6-F658-448E-A08C-36B848CE2FB7}">
  <sheetPr codeName="Sheet7"/>
  <dimension ref="C1:G22"/>
  <sheetViews>
    <sheetView showGridLines="0" zoomScaleNormal="100" workbookViewId="0">
      <pane ySplit="7" topLeftCell="A11" activePane="bottomLeft" state="frozen"/>
      <selection pane="bottomLeft" activeCell="I11" sqref="I11"/>
    </sheetView>
  </sheetViews>
  <sheetFormatPr defaultRowHeight="15"/>
  <cols>
    <col min="2" max="2" width="4" customWidth="1"/>
    <col min="3" max="3" width="11.5703125" customWidth="1"/>
    <col min="4" max="4" width="25.85546875" customWidth="1"/>
    <col min="5" max="5" width="30.7109375" customWidth="1"/>
    <col min="6" max="6" width="15.140625" customWidth="1"/>
    <col min="7" max="7" width="33" style="126" customWidth="1"/>
  </cols>
  <sheetData>
    <row r="1" spans="3:7" hidden="1"/>
    <row r="2" spans="3:7" hidden="1"/>
    <row r="3" spans="3:7" hidden="1"/>
    <row r="5" spans="3:7" ht="45" customHeight="1"/>
    <row r="6" spans="3:7" ht="26.25" customHeight="1">
      <c r="C6" s="524" t="s">
        <v>47</v>
      </c>
      <c r="D6" s="536" t="s">
        <v>193</v>
      </c>
      <c r="E6" s="536" t="s">
        <v>239</v>
      </c>
      <c r="F6" s="536" t="s">
        <v>187</v>
      </c>
    </row>
    <row r="7" spans="3:7" ht="18.75" customHeight="1">
      <c r="C7" s="624" t="s">
        <v>1567</v>
      </c>
      <c r="D7" s="625" t="s">
        <v>12</v>
      </c>
      <c r="E7" s="625" t="s">
        <v>244</v>
      </c>
      <c r="F7" s="625" t="s">
        <v>1645</v>
      </c>
    </row>
    <row r="8" spans="3:7" ht="23.25">
      <c r="C8" s="324">
        <v>1</v>
      </c>
      <c r="D8" s="251" t="s">
        <v>1664</v>
      </c>
      <c r="E8" s="234" t="s">
        <v>1665</v>
      </c>
      <c r="F8" s="324">
        <v>1</v>
      </c>
      <c r="G8" s="128" t="str">
        <f>IF(AND(C8&lt;&gt;"",D8&lt;&gt;""),TEXT(C8,"000")&amp;"."&amp;D8,"")</f>
        <v>001.Cash and Bank</v>
      </c>
    </row>
    <row r="9" spans="3:7" ht="23.25">
      <c r="C9" s="324">
        <v>2</v>
      </c>
      <c r="D9" s="251" t="s">
        <v>562</v>
      </c>
      <c r="E9" s="234" t="s">
        <v>929</v>
      </c>
      <c r="F9" s="324">
        <v>1</v>
      </c>
      <c r="G9" s="128" t="str">
        <f t="shared" ref="G9:G22" si="0">IF(AND(C9&lt;&gt;"",D9&lt;&gt;""),TEXT(C9,"000")&amp;"."&amp;D9,"")</f>
        <v>002.Accounts Receivable</v>
      </c>
    </row>
    <row r="10" spans="3:7" ht="23.25">
      <c r="C10" s="324">
        <v>3</v>
      </c>
      <c r="D10" s="251" t="s">
        <v>1666</v>
      </c>
      <c r="E10" s="234" t="s">
        <v>1667</v>
      </c>
      <c r="F10" s="324">
        <v>1</v>
      </c>
      <c r="G10" s="128" t="str">
        <f t="shared" si="0"/>
        <v>003.Other Current Asset</v>
      </c>
    </row>
    <row r="11" spans="3:7" ht="23.25">
      <c r="C11" s="324">
        <v>4</v>
      </c>
      <c r="D11" s="251" t="s">
        <v>1627</v>
      </c>
      <c r="E11" s="234" t="s">
        <v>1668</v>
      </c>
      <c r="F11" s="324">
        <v>1</v>
      </c>
      <c r="G11" s="128" t="str">
        <f t="shared" si="0"/>
        <v>004.Fixed Asset</v>
      </c>
    </row>
    <row r="12" spans="3:7" ht="23.25">
      <c r="C12" s="324">
        <v>5</v>
      </c>
      <c r="D12" s="251" t="s">
        <v>1669</v>
      </c>
      <c r="E12" s="234" t="s">
        <v>1670</v>
      </c>
      <c r="F12" s="324">
        <v>1</v>
      </c>
      <c r="G12" s="128" t="str">
        <f t="shared" si="0"/>
        <v>005.Other Asset</v>
      </c>
    </row>
    <row r="13" spans="3:7" ht="23.25">
      <c r="C13" s="324">
        <v>6</v>
      </c>
      <c r="D13" s="251" t="s">
        <v>558</v>
      </c>
      <c r="E13" s="234" t="s">
        <v>1671</v>
      </c>
      <c r="F13" s="324">
        <v>1</v>
      </c>
      <c r="G13" s="128" t="str">
        <f t="shared" si="0"/>
        <v>006.Accounts Payable</v>
      </c>
    </row>
    <row r="14" spans="3:7" ht="23.25">
      <c r="C14" s="324">
        <v>7</v>
      </c>
      <c r="D14" s="251" t="s">
        <v>1672</v>
      </c>
      <c r="E14" s="234" t="s">
        <v>1673</v>
      </c>
      <c r="F14" s="324">
        <v>1</v>
      </c>
      <c r="G14" s="128" t="str">
        <f t="shared" si="0"/>
        <v>007.Credit Card</v>
      </c>
    </row>
    <row r="15" spans="3:7" ht="23.25">
      <c r="C15" s="324">
        <v>8</v>
      </c>
      <c r="D15" s="251" t="s">
        <v>1674</v>
      </c>
      <c r="E15" s="234" t="s">
        <v>1675</v>
      </c>
      <c r="F15" s="324">
        <v>1</v>
      </c>
      <c r="G15" s="128" t="str">
        <f t="shared" si="0"/>
        <v>008.Other Current Liability</v>
      </c>
    </row>
    <row r="16" spans="3:7" ht="23.25">
      <c r="C16" s="324">
        <v>9</v>
      </c>
      <c r="D16" s="251" t="s">
        <v>1676</v>
      </c>
      <c r="E16" s="234" t="s">
        <v>1677</v>
      </c>
      <c r="F16" s="324">
        <v>1</v>
      </c>
      <c r="G16" s="128" t="str">
        <f t="shared" si="0"/>
        <v>009.Long Term Liability</v>
      </c>
    </row>
    <row r="17" spans="3:7" ht="23.25">
      <c r="C17" s="324">
        <v>10</v>
      </c>
      <c r="D17" s="251" t="s">
        <v>1678</v>
      </c>
      <c r="E17" s="234" t="s">
        <v>1679</v>
      </c>
      <c r="F17" s="324">
        <v>1</v>
      </c>
      <c r="G17" s="128" t="str">
        <f t="shared" si="0"/>
        <v>010.Equity</v>
      </c>
    </row>
    <row r="18" spans="3:7" ht="23.25">
      <c r="C18" s="324">
        <v>11</v>
      </c>
      <c r="D18" s="251" t="s">
        <v>1680</v>
      </c>
      <c r="E18" s="234" t="s">
        <v>1681</v>
      </c>
      <c r="F18" s="324">
        <v>1</v>
      </c>
      <c r="G18" s="128" t="str">
        <f t="shared" si="0"/>
        <v>011.Income</v>
      </c>
    </row>
    <row r="19" spans="3:7" ht="23.25">
      <c r="C19" s="324">
        <v>12</v>
      </c>
      <c r="D19" s="251" t="s">
        <v>1682</v>
      </c>
      <c r="E19" s="234" t="s">
        <v>1683</v>
      </c>
      <c r="F19" s="324">
        <v>1</v>
      </c>
      <c r="G19" s="128" t="str">
        <f t="shared" si="0"/>
        <v>012.Cost of Goods Sold</v>
      </c>
    </row>
    <row r="20" spans="3:7" ht="23.25">
      <c r="C20" s="324">
        <v>13</v>
      </c>
      <c r="D20" s="251" t="s">
        <v>1684</v>
      </c>
      <c r="E20" s="234" t="s">
        <v>1685</v>
      </c>
      <c r="F20" s="324">
        <v>1</v>
      </c>
      <c r="G20" s="128" t="str">
        <f t="shared" si="0"/>
        <v>013.Expense</v>
      </c>
    </row>
    <row r="21" spans="3:7" ht="23.25">
      <c r="C21" s="324">
        <v>14</v>
      </c>
      <c r="D21" s="251" t="s">
        <v>1686</v>
      </c>
      <c r="E21" s="234" t="s">
        <v>1687</v>
      </c>
      <c r="F21" s="324">
        <v>1</v>
      </c>
      <c r="G21" s="128" t="str">
        <f t="shared" si="0"/>
        <v>014.Other Income</v>
      </c>
    </row>
    <row r="22" spans="3:7" ht="23.25">
      <c r="C22" s="324">
        <v>15</v>
      </c>
      <c r="D22" s="251" t="s">
        <v>1688</v>
      </c>
      <c r="E22" s="234" t="s">
        <v>1689</v>
      </c>
      <c r="F22" s="324">
        <v>1</v>
      </c>
      <c r="G22" s="128" t="str">
        <f t="shared" si="0"/>
        <v>015.Other Expense</v>
      </c>
    </row>
  </sheetData>
  <phoneticPr fontId="36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5AD4B4-9057-4498-A682-F29E4DE8CBD6}">
  <sheetPr codeName="Sheet14"/>
  <dimension ref="C1:I50"/>
  <sheetViews>
    <sheetView showGridLines="0" zoomScale="90" zoomScaleNormal="90" workbookViewId="0">
      <pane ySplit="7" topLeftCell="A8" activePane="bottomLeft" state="frozen"/>
      <selection pane="bottomLeft" activeCell="F31" sqref="F31"/>
    </sheetView>
  </sheetViews>
  <sheetFormatPr defaultRowHeight="15"/>
  <cols>
    <col min="1" max="1" width="1.140625" customWidth="1"/>
    <col min="2" max="2" width="2.28515625" customWidth="1"/>
    <col min="3" max="3" width="10.5703125" customWidth="1"/>
    <col min="4" max="4" width="22.42578125" bestFit="1" customWidth="1"/>
    <col min="5" max="5" width="24" bestFit="1" customWidth="1"/>
    <col min="6" max="6" width="26.140625" bestFit="1" customWidth="1"/>
    <col min="7" max="7" width="15" bestFit="1" customWidth="1"/>
    <col min="8" max="8" width="11.5703125" customWidth="1"/>
    <col min="9" max="9" width="28.140625" bestFit="1" customWidth="1"/>
    <col min="10" max="10" width="19.42578125" customWidth="1"/>
  </cols>
  <sheetData>
    <row r="1" spans="3:9" hidden="1"/>
    <row r="2" spans="3:9" hidden="1"/>
    <row r="4" spans="3:9" ht="33.75" customHeight="1"/>
    <row r="6" spans="3:9" ht="30" customHeight="1">
      <c r="C6" s="566" t="s">
        <v>47</v>
      </c>
      <c r="D6" s="566" t="s">
        <v>1780</v>
      </c>
      <c r="E6" s="615" t="s">
        <v>193</v>
      </c>
      <c r="F6" s="615" t="s">
        <v>239</v>
      </c>
      <c r="G6" s="615" t="s">
        <v>1781</v>
      </c>
      <c r="H6" s="615" t="s">
        <v>187</v>
      </c>
    </row>
    <row r="7" spans="3:9" ht="22.5" customHeight="1">
      <c r="C7" s="624" t="s">
        <v>214</v>
      </c>
      <c r="D7" s="624" t="s">
        <v>1776</v>
      </c>
      <c r="E7" s="625" t="s">
        <v>12</v>
      </c>
      <c r="F7" s="625" t="s">
        <v>99</v>
      </c>
      <c r="G7" s="625" t="s">
        <v>1779</v>
      </c>
      <c r="H7" s="625" t="s">
        <v>1645</v>
      </c>
    </row>
    <row r="8" spans="3:9" ht="23.25">
      <c r="C8" s="199" t="s">
        <v>49</v>
      </c>
      <c r="D8" s="199">
        <v>1</v>
      </c>
      <c r="E8" s="201" t="s">
        <v>1690</v>
      </c>
      <c r="F8" s="200" t="s">
        <v>1691</v>
      </c>
      <c r="G8" s="199">
        <v>0</v>
      </c>
      <c r="H8" s="199">
        <v>1</v>
      </c>
      <c r="I8" s="128" t="str">
        <f>IF(AND(C8&lt;&gt;"",E8&lt;&gt;""),TEXT(C8,"000")&amp;"."&amp;E8,"")</f>
        <v>001.Cash at Bank</v>
      </c>
    </row>
    <row r="9" spans="3:9" ht="23.25">
      <c r="C9" s="199" t="s">
        <v>52</v>
      </c>
      <c r="D9" s="199">
        <v>1</v>
      </c>
      <c r="E9" s="201" t="s">
        <v>1692</v>
      </c>
      <c r="F9" s="200" t="s">
        <v>1693</v>
      </c>
      <c r="G9" s="199">
        <v>0</v>
      </c>
      <c r="H9" s="199">
        <v>1</v>
      </c>
      <c r="I9" s="128" t="str">
        <f t="shared" ref="I9:I33" si="0">IF(AND(C9&lt;&gt;"",E9&lt;&gt;""),TEXT(C9,"000")&amp;"."&amp;E9,"")</f>
        <v>002.Cash on hand</v>
      </c>
    </row>
    <row r="10" spans="3:9" ht="23.25">
      <c r="C10" s="199" t="s">
        <v>54</v>
      </c>
      <c r="D10" s="199">
        <v>2</v>
      </c>
      <c r="E10" s="201" t="s">
        <v>1694</v>
      </c>
      <c r="F10" s="200" t="s">
        <v>929</v>
      </c>
      <c r="G10" s="199">
        <v>0</v>
      </c>
      <c r="H10" s="199">
        <v>1</v>
      </c>
      <c r="I10" s="128" t="str">
        <f t="shared" si="0"/>
        <v>003.Account Receivable</v>
      </c>
    </row>
    <row r="11" spans="3:9" ht="23.25">
      <c r="C11" s="199" t="s">
        <v>56</v>
      </c>
      <c r="D11" s="199">
        <v>2</v>
      </c>
      <c r="E11" s="201" t="s">
        <v>1695</v>
      </c>
      <c r="F11" s="200" t="s">
        <v>1696</v>
      </c>
      <c r="G11" s="199">
        <v>0</v>
      </c>
      <c r="H11" s="199">
        <v>1</v>
      </c>
      <c r="I11" s="128" t="str">
        <f t="shared" si="0"/>
        <v>004.Notes Receivable</v>
      </c>
    </row>
    <row r="12" spans="3:9" ht="23.25">
      <c r="C12" s="199" t="s">
        <v>57</v>
      </c>
      <c r="D12" s="199">
        <v>3</v>
      </c>
      <c r="E12" s="201" t="s">
        <v>1697</v>
      </c>
      <c r="F12" s="200" t="s">
        <v>1667</v>
      </c>
      <c r="G12" s="199">
        <v>0</v>
      </c>
      <c r="H12" s="199">
        <v>1</v>
      </c>
      <c r="I12" s="128" t="str">
        <f t="shared" si="0"/>
        <v>005.Other current assets</v>
      </c>
    </row>
    <row r="13" spans="3:9" ht="23.25">
      <c r="C13" s="199" t="s">
        <v>58</v>
      </c>
      <c r="D13" s="199">
        <v>3</v>
      </c>
      <c r="E13" s="201" t="s">
        <v>194</v>
      </c>
      <c r="F13" s="200" t="s">
        <v>920</v>
      </c>
      <c r="G13" s="199">
        <v>0</v>
      </c>
      <c r="H13" s="199">
        <v>1</v>
      </c>
      <c r="I13" s="128" t="str">
        <f t="shared" si="0"/>
        <v>006.Inventory</v>
      </c>
    </row>
    <row r="14" spans="3:9" ht="23.25">
      <c r="C14" s="199" t="s">
        <v>1531</v>
      </c>
      <c r="D14" s="199">
        <v>3</v>
      </c>
      <c r="E14" s="201" t="s">
        <v>1698</v>
      </c>
      <c r="F14" s="200" t="s">
        <v>1699</v>
      </c>
      <c r="G14" s="199">
        <v>0</v>
      </c>
      <c r="H14" s="199">
        <v>1</v>
      </c>
      <c r="I14" s="128" t="str">
        <f t="shared" si="0"/>
        <v>007.Prepaid Expense</v>
      </c>
    </row>
    <row r="15" spans="3:9" ht="23.25">
      <c r="C15" s="199" t="s">
        <v>1532</v>
      </c>
      <c r="D15" s="199">
        <v>4</v>
      </c>
      <c r="E15" s="201" t="s">
        <v>1700</v>
      </c>
      <c r="F15" s="200" t="s">
        <v>1668</v>
      </c>
      <c r="G15" s="199">
        <v>0</v>
      </c>
      <c r="H15" s="199">
        <v>1</v>
      </c>
      <c r="I15" s="128" t="str">
        <f t="shared" si="0"/>
        <v>008.Fixed assets</v>
      </c>
    </row>
    <row r="16" spans="3:9" ht="23.25">
      <c r="C16" s="199" t="s">
        <v>1533</v>
      </c>
      <c r="D16" s="199">
        <v>5</v>
      </c>
      <c r="E16" s="201" t="s">
        <v>1701</v>
      </c>
      <c r="F16" s="200" t="s">
        <v>1670</v>
      </c>
      <c r="G16" s="199">
        <v>0</v>
      </c>
      <c r="H16" s="199">
        <v>1</v>
      </c>
      <c r="I16" s="128" t="str">
        <f t="shared" si="0"/>
        <v>009.Other asset</v>
      </c>
    </row>
    <row r="17" spans="3:9" ht="23.25">
      <c r="C17" s="199" t="s">
        <v>25</v>
      </c>
      <c r="D17" s="199">
        <v>6</v>
      </c>
      <c r="E17" s="201" t="s">
        <v>1702</v>
      </c>
      <c r="F17" s="200" t="s">
        <v>1703</v>
      </c>
      <c r="G17" s="199">
        <v>0</v>
      </c>
      <c r="H17" s="199">
        <v>1</v>
      </c>
      <c r="I17" s="128" t="str">
        <f t="shared" si="0"/>
        <v>010.Account payables</v>
      </c>
    </row>
    <row r="18" spans="3:9" ht="23.25">
      <c r="C18" s="199" t="s">
        <v>27</v>
      </c>
      <c r="D18" s="199">
        <v>8</v>
      </c>
      <c r="E18" s="201" t="s">
        <v>1704</v>
      </c>
      <c r="F18" s="200" t="s">
        <v>1675</v>
      </c>
      <c r="G18" s="199">
        <v>0</v>
      </c>
      <c r="H18" s="199">
        <v>1</v>
      </c>
      <c r="I18" s="128" t="str">
        <f t="shared" si="0"/>
        <v>011.Other Current Liabilities</v>
      </c>
    </row>
    <row r="19" spans="3:9" ht="23.25">
      <c r="C19" s="199" t="s">
        <v>36</v>
      </c>
      <c r="D19" s="199">
        <v>8</v>
      </c>
      <c r="E19" s="201" t="s">
        <v>1705</v>
      </c>
      <c r="F19" s="200" t="s">
        <v>1706</v>
      </c>
      <c r="G19" s="199">
        <v>0</v>
      </c>
      <c r="H19" s="199">
        <v>1</v>
      </c>
      <c r="I19" s="128" t="str">
        <f t="shared" si="0"/>
        <v>012.Current liaiblities</v>
      </c>
    </row>
    <row r="20" spans="3:9" ht="23.25">
      <c r="C20" s="199" t="s">
        <v>38</v>
      </c>
      <c r="D20" s="199">
        <v>9</v>
      </c>
      <c r="E20" s="201" t="s">
        <v>1707</v>
      </c>
      <c r="F20" s="200" t="s">
        <v>1677</v>
      </c>
      <c r="G20" s="199">
        <v>0</v>
      </c>
      <c r="H20" s="199">
        <v>1</v>
      </c>
      <c r="I20" s="128" t="str">
        <f t="shared" si="0"/>
        <v>013.Long-term liabilities</v>
      </c>
    </row>
    <row r="21" spans="3:9" ht="23.25">
      <c r="C21" s="199" t="s">
        <v>39</v>
      </c>
      <c r="D21" s="199">
        <v>10</v>
      </c>
      <c r="E21" s="201" t="s">
        <v>1708</v>
      </c>
      <c r="F21" s="200" t="s">
        <v>1709</v>
      </c>
      <c r="G21" s="199">
        <v>0</v>
      </c>
      <c r="H21" s="199">
        <v>1</v>
      </c>
      <c r="I21" s="128" t="str">
        <f t="shared" si="0"/>
        <v>014.Share Capital</v>
      </c>
    </row>
    <row r="22" spans="3:9" ht="23.25">
      <c r="C22" s="199" t="s">
        <v>40</v>
      </c>
      <c r="D22" s="199">
        <v>10</v>
      </c>
      <c r="E22" s="201" t="s">
        <v>1710</v>
      </c>
      <c r="F22" s="200" t="s">
        <v>1711</v>
      </c>
      <c r="G22" s="199">
        <v>0</v>
      </c>
      <c r="H22" s="199">
        <v>1</v>
      </c>
      <c r="I22" s="128" t="str">
        <f t="shared" si="0"/>
        <v>015.Retained Earning</v>
      </c>
    </row>
    <row r="23" spans="3:9" ht="23.25">
      <c r="C23" s="199" t="s">
        <v>41</v>
      </c>
      <c r="D23" s="199">
        <v>10</v>
      </c>
      <c r="E23" s="201" t="s">
        <v>1678</v>
      </c>
      <c r="F23" s="200" t="s">
        <v>1679</v>
      </c>
      <c r="G23" s="199">
        <v>0</v>
      </c>
      <c r="H23" s="199">
        <v>1</v>
      </c>
      <c r="I23" s="128" t="str">
        <f t="shared" si="0"/>
        <v>016.Equity</v>
      </c>
    </row>
    <row r="24" spans="3:9" ht="23.25">
      <c r="C24" s="199" t="s">
        <v>42</v>
      </c>
      <c r="D24" s="199">
        <v>11</v>
      </c>
      <c r="E24" s="201" t="s">
        <v>1680</v>
      </c>
      <c r="F24" s="200" t="s">
        <v>1712</v>
      </c>
      <c r="G24" s="199">
        <v>0</v>
      </c>
      <c r="H24" s="199">
        <v>1</v>
      </c>
      <c r="I24" s="128" t="str">
        <f t="shared" si="0"/>
        <v>017.Income</v>
      </c>
    </row>
    <row r="25" spans="3:9" ht="23.25">
      <c r="C25" s="199" t="s">
        <v>43</v>
      </c>
      <c r="D25" s="199">
        <v>11</v>
      </c>
      <c r="E25" s="201" t="s">
        <v>1713</v>
      </c>
      <c r="F25" s="200" t="s">
        <v>1714</v>
      </c>
      <c r="G25" s="199">
        <v>0</v>
      </c>
      <c r="H25" s="199">
        <v>1</v>
      </c>
      <c r="I25" s="128" t="str">
        <f t="shared" si="0"/>
        <v>018.Sale Discounts</v>
      </c>
    </row>
    <row r="26" spans="3:9" ht="23.25">
      <c r="C26" s="199" t="s">
        <v>44</v>
      </c>
      <c r="D26" s="199">
        <v>12</v>
      </c>
      <c r="E26" s="201" t="s">
        <v>1682</v>
      </c>
      <c r="F26" s="200" t="s">
        <v>1683</v>
      </c>
      <c r="G26" s="199">
        <v>0</v>
      </c>
      <c r="H26" s="199">
        <v>1</v>
      </c>
      <c r="I26" s="128" t="str">
        <f t="shared" si="0"/>
        <v>019.Cost of Goods Sold</v>
      </c>
    </row>
    <row r="27" spans="3:9" ht="23.25">
      <c r="C27" s="199" t="s">
        <v>45</v>
      </c>
      <c r="D27" s="199">
        <v>12</v>
      </c>
      <c r="E27" s="201" t="s">
        <v>1715</v>
      </c>
      <c r="F27" s="200" t="s">
        <v>1716</v>
      </c>
      <c r="G27" s="199">
        <v>0</v>
      </c>
      <c r="H27" s="199">
        <v>1</v>
      </c>
      <c r="I27" s="128" t="str">
        <f t="shared" si="0"/>
        <v>020.Cost of Sale</v>
      </c>
    </row>
    <row r="28" spans="3:9" ht="23.25">
      <c r="C28" s="199" t="s">
        <v>1796</v>
      </c>
      <c r="D28" s="199">
        <v>13</v>
      </c>
      <c r="E28" s="201" t="s">
        <v>1717</v>
      </c>
      <c r="F28" s="200" t="s">
        <v>1718</v>
      </c>
      <c r="G28" s="199">
        <v>0</v>
      </c>
      <c r="H28" s="199">
        <v>1</v>
      </c>
      <c r="I28" s="128" t="str">
        <f t="shared" si="0"/>
        <v>021.Operation Expenses</v>
      </c>
    </row>
    <row r="29" spans="3:9" ht="23.25">
      <c r="C29" s="199" t="s">
        <v>1797</v>
      </c>
      <c r="D29" s="199">
        <v>13</v>
      </c>
      <c r="E29" s="201" t="s">
        <v>1719</v>
      </c>
      <c r="F29" s="200" t="s">
        <v>1720</v>
      </c>
      <c r="G29" s="199">
        <v>0</v>
      </c>
      <c r="H29" s="199">
        <v>1</v>
      </c>
      <c r="I29" s="128" t="str">
        <f t="shared" si="0"/>
        <v>022.Utilities Expense</v>
      </c>
    </row>
    <row r="30" spans="3:9" ht="23.25">
      <c r="C30" s="199" t="s">
        <v>1798</v>
      </c>
      <c r="D30" s="199">
        <v>13</v>
      </c>
      <c r="E30" s="201" t="s">
        <v>1721</v>
      </c>
      <c r="F30" s="200" t="s">
        <v>1722</v>
      </c>
      <c r="G30" s="199">
        <v>0</v>
      </c>
      <c r="H30" s="199">
        <v>1</v>
      </c>
      <c r="I30" s="128" t="str">
        <f t="shared" si="0"/>
        <v>023.Repairs Expense</v>
      </c>
    </row>
    <row r="31" spans="3:9" ht="23.25">
      <c r="C31" s="199" t="s">
        <v>1799</v>
      </c>
      <c r="D31" s="199">
        <v>13</v>
      </c>
      <c r="E31" s="201" t="s">
        <v>1723</v>
      </c>
      <c r="F31" s="200" t="s">
        <v>1724</v>
      </c>
      <c r="G31" s="199">
        <v>0</v>
      </c>
      <c r="H31" s="199">
        <v>1</v>
      </c>
      <c r="I31" s="128" t="str">
        <f t="shared" si="0"/>
        <v>024.Purchase Discounts</v>
      </c>
    </row>
    <row r="32" spans="3:9" ht="23.25">
      <c r="C32" s="199" t="s">
        <v>55</v>
      </c>
      <c r="D32" s="199">
        <v>14</v>
      </c>
      <c r="E32" s="201" t="s">
        <v>1725</v>
      </c>
      <c r="F32" s="200" t="s">
        <v>1726</v>
      </c>
      <c r="G32" s="199">
        <v>0</v>
      </c>
      <c r="H32" s="199">
        <v>1</v>
      </c>
      <c r="I32" s="128" t="str">
        <f t="shared" si="0"/>
        <v>025.Other income</v>
      </c>
    </row>
    <row r="33" spans="3:9" ht="23.25">
      <c r="C33" s="199" t="s">
        <v>1800</v>
      </c>
      <c r="D33" s="199">
        <v>15</v>
      </c>
      <c r="E33" s="201" t="s">
        <v>1727</v>
      </c>
      <c r="F33" s="200" t="s">
        <v>1728</v>
      </c>
      <c r="G33" s="199">
        <v>0</v>
      </c>
      <c r="H33" s="199">
        <v>1</v>
      </c>
      <c r="I33" s="128" t="str">
        <f t="shared" si="0"/>
        <v>026.Other expenses</v>
      </c>
    </row>
    <row r="34" spans="3:9">
      <c r="I34" s="128" t="str">
        <f>IF(AND(C34&lt;&gt;"",E34&lt;&gt;""),C34&amp;"."&amp;E34,"")</f>
        <v/>
      </c>
    </row>
    <row r="35" spans="3:9">
      <c r="I35" s="128" t="str">
        <f t="shared" ref="I35:I50" si="1">IF(AND(C35&lt;&gt;"",E35&lt;&gt;""),C35&amp;"."&amp;E35,"")</f>
        <v/>
      </c>
    </row>
    <row r="36" spans="3:9">
      <c r="I36" s="128" t="str">
        <f t="shared" si="1"/>
        <v/>
      </c>
    </row>
    <row r="37" spans="3:9">
      <c r="I37" s="128" t="str">
        <f t="shared" si="1"/>
        <v/>
      </c>
    </row>
    <row r="38" spans="3:9">
      <c r="I38" s="128" t="str">
        <f t="shared" si="1"/>
        <v/>
      </c>
    </row>
    <row r="39" spans="3:9">
      <c r="I39" s="128" t="str">
        <f t="shared" si="1"/>
        <v/>
      </c>
    </row>
    <row r="40" spans="3:9">
      <c r="I40" s="128" t="str">
        <f t="shared" si="1"/>
        <v/>
      </c>
    </row>
    <row r="41" spans="3:9">
      <c r="I41" s="128" t="str">
        <f t="shared" si="1"/>
        <v/>
      </c>
    </row>
    <row r="42" spans="3:9">
      <c r="I42" s="128" t="str">
        <f t="shared" si="1"/>
        <v/>
      </c>
    </row>
    <row r="43" spans="3:9">
      <c r="I43" s="128" t="str">
        <f t="shared" si="1"/>
        <v/>
      </c>
    </row>
    <row r="44" spans="3:9">
      <c r="I44" s="128" t="str">
        <f t="shared" si="1"/>
        <v/>
      </c>
    </row>
    <row r="45" spans="3:9">
      <c r="I45" s="128" t="str">
        <f t="shared" si="1"/>
        <v/>
      </c>
    </row>
    <row r="46" spans="3:9">
      <c r="I46" s="128" t="str">
        <f t="shared" si="1"/>
        <v/>
      </c>
    </row>
    <row r="47" spans="3:9">
      <c r="I47" s="128" t="str">
        <f t="shared" si="1"/>
        <v/>
      </c>
    </row>
    <row r="48" spans="3:9">
      <c r="I48" s="128" t="str">
        <f t="shared" si="1"/>
        <v/>
      </c>
    </row>
    <row r="49" spans="9:9">
      <c r="I49" s="128" t="str">
        <f t="shared" si="1"/>
        <v/>
      </c>
    </row>
    <row r="50" spans="9:9">
      <c r="I50" s="128" t="str">
        <f t="shared" si="1"/>
        <v/>
      </c>
    </row>
  </sheetData>
  <phoneticPr fontId="36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89E32B-BB05-4EE2-8DFB-F17FC5DD4D83}">
  <sheetPr codeName="Sheet22"/>
  <dimension ref="C6:L30"/>
  <sheetViews>
    <sheetView showGridLines="0" zoomScale="90" zoomScaleNormal="90" workbookViewId="0">
      <pane ySplit="7" topLeftCell="A8" activePane="bottomLeft" state="frozen"/>
      <selection pane="bottomLeft" activeCell="I25" sqref="I25"/>
    </sheetView>
  </sheetViews>
  <sheetFormatPr defaultRowHeight="15"/>
  <cols>
    <col min="1" max="1" width="4.140625" customWidth="1"/>
    <col min="2" max="2" width="4.28515625" customWidth="1"/>
    <col min="3" max="3" width="9.42578125" customWidth="1"/>
    <col min="4" max="4" width="14.7109375" customWidth="1"/>
    <col min="5" max="5" width="25.140625" customWidth="1"/>
    <col min="6" max="6" width="25.85546875" customWidth="1"/>
    <col min="7" max="7" width="20.42578125" customWidth="1"/>
    <col min="8" max="8" width="27" customWidth="1"/>
    <col min="9" max="9" width="28.85546875" customWidth="1"/>
    <col min="10" max="10" width="11.28515625" customWidth="1"/>
    <col min="11" max="11" width="15.5703125" customWidth="1"/>
    <col min="12" max="12" width="27.42578125" style="128" customWidth="1"/>
  </cols>
  <sheetData>
    <row r="6" spans="3:12" ht="24" customHeight="1">
      <c r="C6" s="531" t="s">
        <v>47</v>
      </c>
      <c r="D6" s="531" t="s">
        <v>1782</v>
      </c>
      <c r="E6" s="531" t="s">
        <v>1780</v>
      </c>
      <c r="F6" s="531" t="s">
        <v>1783</v>
      </c>
      <c r="G6" s="532" t="s">
        <v>1784</v>
      </c>
      <c r="H6" s="532" t="s">
        <v>1785</v>
      </c>
      <c r="I6" s="532" t="s">
        <v>1786</v>
      </c>
      <c r="J6" s="532" t="s">
        <v>64</v>
      </c>
      <c r="K6" s="532" t="s">
        <v>187</v>
      </c>
    </row>
    <row r="7" spans="3:12" ht="21.75" customHeight="1">
      <c r="C7" s="624" t="s">
        <v>1567</v>
      </c>
      <c r="D7" s="624" t="s">
        <v>1775</v>
      </c>
      <c r="E7" s="624" t="s">
        <v>1776</v>
      </c>
      <c r="F7" s="624" t="s">
        <v>1777</v>
      </c>
      <c r="G7" s="625" t="s">
        <v>549</v>
      </c>
      <c r="H7" s="625" t="s">
        <v>550</v>
      </c>
      <c r="I7" s="625" t="s">
        <v>1778</v>
      </c>
      <c r="J7" s="625" t="s">
        <v>77</v>
      </c>
      <c r="K7" s="625" t="s">
        <v>1645</v>
      </c>
    </row>
    <row r="8" spans="3:12" ht="23.25">
      <c r="C8" s="324">
        <v>1</v>
      </c>
      <c r="D8" s="324">
        <f>F8*1</f>
        <v>1</v>
      </c>
      <c r="E8" s="324">
        <v>1</v>
      </c>
      <c r="F8" s="324">
        <v>1</v>
      </c>
      <c r="G8" s="324">
        <v>1110</v>
      </c>
      <c r="H8" s="251" t="s">
        <v>1664</v>
      </c>
      <c r="I8" s="234" t="s">
        <v>1665</v>
      </c>
      <c r="J8" s="251"/>
      <c r="K8" s="324">
        <v>1</v>
      </c>
      <c r="L8" s="128" t="str">
        <f>IF(AND(C8&lt;&gt;"",H8&lt;&gt;""),TEXT(C8,"000")&amp;"."&amp;H8,"")</f>
        <v>001.Cash and Bank</v>
      </c>
    </row>
    <row r="9" spans="3:12" ht="23.25">
      <c r="C9" s="324">
        <v>2</v>
      </c>
      <c r="D9" s="324">
        <f t="shared" ref="D9:D30" si="0">F9*1</f>
        <v>3</v>
      </c>
      <c r="E9" s="324">
        <v>2</v>
      </c>
      <c r="F9" s="324">
        <v>3</v>
      </c>
      <c r="G9" s="324">
        <v>1120</v>
      </c>
      <c r="H9" s="251" t="s">
        <v>562</v>
      </c>
      <c r="I9" s="234" t="s">
        <v>929</v>
      </c>
      <c r="J9" s="251"/>
      <c r="K9" s="324">
        <v>1</v>
      </c>
      <c r="L9" s="128" t="str">
        <f t="shared" ref="L9:L30" si="1">IF(AND(C9&lt;&gt;"",H9&lt;&gt;""),TEXT(C9,"000")&amp;"."&amp;H9,"")</f>
        <v>002.Accounts Receivable</v>
      </c>
    </row>
    <row r="10" spans="3:12" ht="23.25">
      <c r="C10" s="324">
        <v>3</v>
      </c>
      <c r="D10" s="324">
        <f t="shared" si="0"/>
        <v>6</v>
      </c>
      <c r="E10" s="324">
        <v>3</v>
      </c>
      <c r="F10" s="324">
        <v>6</v>
      </c>
      <c r="G10" s="324">
        <v>1130</v>
      </c>
      <c r="H10" s="251" t="s">
        <v>194</v>
      </c>
      <c r="I10" s="234" t="s">
        <v>920</v>
      </c>
      <c r="J10" s="251"/>
      <c r="K10" s="324">
        <v>1</v>
      </c>
      <c r="L10" s="128" t="str">
        <f t="shared" si="1"/>
        <v>003.Inventory</v>
      </c>
    </row>
    <row r="11" spans="3:12" ht="23.25">
      <c r="C11" s="324">
        <v>4</v>
      </c>
      <c r="D11" s="324">
        <f t="shared" si="0"/>
        <v>8</v>
      </c>
      <c r="E11" s="324">
        <v>4</v>
      </c>
      <c r="F11" s="324">
        <v>8</v>
      </c>
      <c r="G11" s="324">
        <v>1210</v>
      </c>
      <c r="H11" s="251" t="s">
        <v>1729</v>
      </c>
      <c r="I11" s="234" t="s">
        <v>1730</v>
      </c>
      <c r="J11" s="251"/>
      <c r="K11" s="324">
        <v>1</v>
      </c>
      <c r="L11" s="128" t="str">
        <f t="shared" si="1"/>
        <v>004.Furniture and Fixtures</v>
      </c>
    </row>
    <row r="12" spans="3:12" ht="23.25">
      <c r="C12" s="324">
        <v>5</v>
      </c>
      <c r="D12" s="324">
        <f t="shared" si="0"/>
        <v>9</v>
      </c>
      <c r="E12" s="324">
        <v>5</v>
      </c>
      <c r="F12" s="324">
        <v>9</v>
      </c>
      <c r="G12" s="324">
        <v>1310</v>
      </c>
      <c r="H12" s="251" t="s">
        <v>1731</v>
      </c>
      <c r="I12" s="234" t="s">
        <v>1670</v>
      </c>
      <c r="J12" s="251"/>
      <c r="K12" s="324">
        <v>1</v>
      </c>
      <c r="L12" s="128" t="str">
        <f t="shared" si="1"/>
        <v>005.Other assets</v>
      </c>
    </row>
    <row r="13" spans="3:12" ht="23.25">
      <c r="C13" s="324">
        <v>6</v>
      </c>
      <c r="D13" s="324">
        <f t="shared" si="0"/>
        <v>10</v>
      </c>
      <c r="E13" s="324">
        <v>6</v>
      </c>
      <c r="F13" s="324">
        <v>10</v>
      </c>
      <c r="G13" s="324">
        <v>2120</v>
      </c>
      <c r="H13" s="251" t="s">
        <v>558</v>
      </c>
      <c r="I13" s="234" t="s">
        <v>1671</v>
      </c>
      <c r="J13" s="251"/>
      <c r="K13" s="324">
        <v>1</v>
      </c>
      <c r="L13" s="128" t="str">
        <f t="shared" si="1"/>
        <v>006.Accounts Payable</v>
      </c>
    </row>
    <row r="14" spans="3:12" ht="23.25">
      <c r="C14" s="324">
        <v>7</v>
      </c>
      <c r="D14" s="324">
        <f t="shared" si="0"/>
        <v>11</v>
      </c>
      <c r="E14" s="324">
        <v>8</v>
      </c>
      <c r="F14" s="324">
        <v>11</v>
      </c>
      <c r="G14" s="324">
        <v>2130</v>
      </c>
      <c r="H14" s="251" t="s">
        <v>1732</v>
      </c>
      <c r="I14" s="234" t="s">
        <v>1733</v>
      </c>
      <c r="J14" s="251"/>
      <c r="K14" s="324">
        <v>1</v>
      </c>
      <c r="L14" s="128" t="str">
        <f t="shared" si="1"/>
        <v>007.Liability</v>
      </c>
    </row>
    <row r="15" spans="3:12" ht="23.25">
      <c r="C15" s="324">
        <v>8</v>
      </c>
      <c r="D15" s="324">
        <f t="shared" si="0"/>
        <v>13</v>
      </c>
      <c r="E15" s="324">
        <v>9</v>
      </c>
      <c r="F15" s="324">
        <v>13</v>
      </c>
      <c r="G15" s="324">
        <v>2210</v>
      </c>
      <c r="H15" s="251" t="s">
        <v>1734</v>
      </c>
      <c r="I15" s="234" t="s">
        <v>1677</v>
      </c>
      <c r="J15" s="251"/>
      <c r="K15" s="324">
        <v>1</v>
      </c>
      <c r="L15" s="128" t="str">
        <f t="shared" si="1"/>
        <v>008.Long Term Liabilities</v>
      </c>
    </row>
    <row r="16" spans="3:12" ht="23.25">
      <c r="C16" s="324">
        <v>9</v>
      </c>
      <c r="D16" s="324">
        <f t="shared" si="0"/>
        <v>16</v>
      </c>
      <c r="E16" s="324">
        <v>10</v>
      </c>
      <c r="F16" s="324">
        <v>16</v>
      </c>
      <c r="G16" s="324">
        <v>3000</v>
      </c>
      <c r="H16" s="251" t="s">
        <v>1678</v>
      </c>
      <c r="I16" s="234" t="s">
        <v>1679</v>
      </c>
      <c r="J16" s="251"/>
      <c r="K16" s="324">
        <v>1</v>
      </c>
      <c r="L16" s="128" t="str">
        <f t="shared" si="1"/>
        <v>009.Equity</v>
      </c>
    </row>
    <row r="17" spans="3:12" ht="23.25">
      <c r="C17" s="324">
        <v>10</v>
      </c>
      <c r="D17" s="324">
        <f t="shared" si="0"/>
        <v>17</v>
      </c>
      <c r="E17" s="324">
        <v>11</v>
      </c>
      <c r="F17" s="324">
        <v>17</v>
      </c>
      <c r="G17" s="324">
        <v>4000</v>
      </c>
      <c r="H17" s="251" t="s">
        <v>1680</v>
      </c>
      <c r="I17" s="234" t="s">
        <v>1681</v>
      </c>
      <c r="J17" s="251"/>
      <c r="K17" s="324">
        <v>1</v>
      </c>
      <c r="L17" s="128" t="str">
        <f t="shared" si="1"/>
        <v>010.Income</v>
      </c>
    </row>
    <row r="18" spans="3:12" ht="23.25">
      <c r="C18" s="324">
        <v>11</v>
      </c>
      <c r="D18" s="324">
        <f t="shared" si="0"/>
        <v>19</v>
      </c>
      <c r="E18" s="324">
        <v>12</v>
      </c>
      <c r="F18" s="324">
        <v>19</v>
      </c>
      <c r="G18" s="324">
        <v>5000</v>
      </c>
      <c r="H18" s="251" t="s">
        <v>1682</v>
      </c>
      <c r="I18" s="234" t="s">
        <v>1683</v>
      </c>
      <c r="J18" s="251"/>
      <c r="K18" s="324">
        <v>1</v>
      </c>
      <c r="L18" s="128" t="str">
        <f t="shared" si="1"/>
        <v>011.Cost of Goods Sold</v>
      </c>
    </row>
    <row r="19" spans="3:12" ht="23.25">
      <c r="C19" s="324">
        <v>12</v>
      </c>
      <c r="D19" s="324">
        <f t="shared" si="0"/>
        <v>21</v>
      </c>
      <c r="E19" s="324">
        <v>13</v>
      </c>
      <c r="F19" s="324">
        <v>21</v>
      </c>
      <c r="G19" s="324">
        <v>6000</v>
      </c>
      <c r="H19" s="251" t="s">
        <v>1735</v>
      </c>
      <c r="I19" s="234" t="s">
        <v>1685</v>
      </c>
      <c r="J19" s="251"/>
      <c r="K19" s="324">
        <v>1</v>
      </c>
      <c r="L19" s="128" t="str">
        <f t="shared" si="1"/>
        <v>012.Expenses</v>
      </c>
    </row>
    <row r="20" spans="3:12" ht="23.25">
      <c r="C20" s="324">
        <v>13</v>
      </c>
      <c r="D20" s="324">
        <f t="shared" si="0"/>
        <v>25</v>
      </c>
      <c r="E20" s="324">
        <v>14</v>
      </c>
      <c r="F20" s="324">
        <v>25</v>
      </c>
      <c r="G20" s="324">
        <v>4900</v>
      </c>
      <c r="H20" s="251" t="s">
        <v>1686</v>
      </c>
      <c r="I20" s="234" t="s">
        <v>1687</v>
      </c>
      <c r="J20" s="251"/>
      <c r="K20" s="324">
        <v>1</v>
      </c>
      <c r="L20" s="128" t="str">
        <f t="shared" si="1"/>
        <v>013.Other Income</v>
      </c>
    </row>
    <row r="21" spans="3:12" ht="23.25">
      <c r="C21" s="324">
        <v>14</v>
      </c>
      <c r="D21" s="324">
        <f t="shared" si="0"/>
        <v>26</v>
      </c>
      <c r="E21" s="324">
        <v>15</v>
      </c>
      <c r="F21" s="324">
        <v>26</v>
      </c>
      <c r="G21" s="324">
        <v>6900</v>
      </c>
      <c r="H21" s="251" t="s">
        <v>1688</v>
      </c>
      <c r="I21" s="234" t="s">
        <v>1689</v>
      </c>
      <c r="J21" s="251"/>
      <c r="K21" s="324">
        <v>1</v>
      </c>
      <c r="L21" s="128" t="str">
        <f t="shared" si="1"/>
        <v>014.Other Expense</v>
      </c>
    </row>
    <row r="22" spans="3:12" ht="23.25">
      <c r="C22" s="324">
        <v>15</v>
      </c>
      <c r="D22" s="324">
        <f t="shared" si="0"/>
        <v>5</v>
      </c>
      <c r="E22" s="324">
        <v>3</v>
      </c>
      <c r="F22" s="324">
        <v>5</v>
      </c>
      <c r="G22" s="324">
        <v>1140</v>
      </c>
      <c r="H22" s="251" t="s">
        <v>553</v>
      </c>
      <c r="I22" s="234" t="s">
        <v>918</v>
      </c>
      <c r="J22" s="251"/>
      <c r="K22" s="324">
        <v>1</v>
      </c>
      <c r="L22" s="128" t="str">
        <f t="shared" si="1"/>
        <v>015.A/R Mirror</v>
      </c>
    </row>
    <row r="23" spans="3:12" ht="23.25">
      <c r="C23" s="324">
        <v>16</v>
      </c>
      <c r="D23" s="324">
        <f t="shared" si="0"/>
        <v>11</v>
      </c>
      <c r="E23" s="324">
        <v>8</v>
      </c>
      <c r="F23" s="324">
        <v>11</v>
      </c>
      <c r="G23" s="324">
        <v>2140</v>
      </c>
      <c r="H23" s="251" t="s">
        <v>554</v>
      </c>
      <c r="I23" s="234" t="s">
        <v>919</v>
      </c>
      <c r="J23" s="251"/>
      <c r="K23" s="324">
        <v>1</v>
      </c>
      <c r="L23" s="128" t="str">
        <f t="shared" si="1"/>
        <v>016.A/P Mirror</v>
      </c>
    </row>
    <row r="24" spans="3:12" ht="23.25">
      <c r="C24" s="324">
        <v>17</v>
      </c>
      <c r="D24" s="324">
        <f t="shared" si="0"/>
        <v>5</v>
      </c>
      <c r="E24" s="324">
        <v>3</v>
      </c>
      <c r="F24" s="324">
        <v>5</v>
      </c>
      <c r="G24" s="324">
        <v>1150</v>
      </c>
      <c r="H24" s="251" t="s">
        <v>1736</v>
      </c>
      <c r="I24" s="234" t="s">
        <v>1737</v>
      </c>
      <c r="J24" s="251"/>
      <c r="K24" s="324">
        <v>1</v>
      </c>
      <c r="L24" s="128" t="str">
        <f t="shared" si="1"/>
        <v>017.VAT Input</v>
      </c>
    </row>
    <row r="25" spans="3:12" ht="23.25">
      <c r="C25" s="324">
        <v>18</v>
      </c>
      <c r="D25" s="324">
        <f t="shared" si="0"/>
        <v>11</v>
      </c>
      <c r="E25" s="324">
        <v>8</v>
      </c>
      <c r="F25" s="324">
        <v>11</v>
      </c>
      <c r="G25" s="324">
        <v>2150</v>
      </c>
      <c r="H25" s="251" t="s">
        <v>1738</v>
      </c>
      <c r="I25" s="234" t="s">
        <v>1739</v>
      </c>
      <c r="J25" s="251"/>
      <c r="K25" s="324">
        <v>1</v>
      </c>
      <c r="L25" s="128" t="str">
        <f t="shared" si="1"/>
        <v>018.VAT Output</v>
      </c>
    </row>
    <row r="26" spans="3:12" ht="23.25">
      <c r="C26" s="324">
        <v>19</v>
      </c>
      <c r="D26" s="324">
        <f t="shared" si="0"/>
        <v>17</v>
      </c>
      <c r="E26" s="324">
        <v>11</v>
      </c>
      <c r="F26" s="324">
        <v>17</v>
      </c>
      <c r="G26" s="324">
        <v>4999</v>
      </c>
      <c r="H26" s="251" t="s">
        <v>565</v>
      </c>
      <c r="I26" s="234" t="s">
        <v>1714</v>
      </c>
      <c r="J26" s="251"/>
      <c r="K26" s="324">
        <v>1</v>
      </c>
      <c r="L26" s="128" t="str">
        <f t="shared" si="1"/>
        <v>019.Sales Discount</v>
      </c>
    </row>
    <row r="27" spans="3:12" ht="23.25">
      <c r="C27" s="324">
        <v>20</v>
      </c>
      <c r="D27" s="324">
        <f t="shared" si="0"/>
        <v>19</v>
      </c>
      <c r="E27" s="324">
        <v>12</v>
      </c>
      <c r="F27" s="324">
        <v>19</v>
      </c>
      <c r="G27" s="324">
        <v>5999</v>
      </c>
      <c r="H27" s="251" t="s">
        <v>1740</v>
      </c>
      <c r="I27" s="234" t="s">
        <v>1724</v>
      </c>
      <c r="J27" s="251"/>
      <c r="K27" s="324">
        <v>1</v>
      </c>
      <c r="L27" s="128" t="str">
        <f t="shared" si="1"/>
        <v>020.Puchase Discount</v>
      </c>
    </row>
    <row r="28" spans="3:12" ht="23.25">
      <c r="C28" s="324">
        <v>21</v>
      </c>
      <c r="D28" s="324">
        <f t="shared" si="0"/>
        <v>17</v>
      </c>
      <c r="E28" s="324">
        <v>10</v>
      </c>
      <c r="F28" s="324">
        <v>17</v>
      </c>
      <c r="G28" s="324">
        <v>3999</v>
      </c>
      <c r="H28" s="251" t="s">
        <v>1741</v>
      </c>
      <c r="I28" s="234" t="s">
        <v>1742</v>
      </c>
      <c r="J28" s="251"/>
      <c r="K28" s="324">
        <v>4</v>
      </c>
      <c r="L28" s="128" t="str">
        <f t="shared" si="1"/>
        <v>021.Income Summary</v>
      </c>
    </row>
    <row r="29" spans="3:12" ht="23.25">
      <c r="C29" s="324">
        <v>22</v>
      </c>
      <c r="D29" s="324">
        <f t="shared" si="0"/>
        <v>16</v>
      </c>
      <c r="E29" s="324">
        <v>10</v>
      </c>
      <c r="F29" s="324">
        <v>16</v>
      </c>
      <c r="G29" s="324">
        <v>3200</v>
      </c>
      <c r="H29" s="251" t="s">
        <v>1710</v>
      </c>
      <c r="I29" s="234" t="s">
        <v>1711</v>
      </c>
      <c r="J29" s="251"/>
      <c r="K29" s="324">
        <v>4</v>
      </c>
      <c r="L29" s="128" t="str">
        <f t="shared" si="1"/>
        <v>022.Retained Earning</v>
      </c>
    </row>
    <row r="30" spans="3:12" ht="23.25">
      <c r="C30" s="324">
        <v>23</v>
      </c>
      <c r="D30" s="324">
        <f t="shared" si="0"/>
        <v>16</v>
      </c>
      <c r="E30" s="324">
        <v>10</v>
      </c>
      <c r="F30" s="324">
        <v>16</v>
      </c>
      <c r="G30" s="324">
        <v>3300</v>
      </c>
      <c r="H30" s="251" t="s">
        <v>1743</v>
      </c>
      <c r="I30" s="234" t="s">
        <v>1744</v>
      </c>
      <c r="J30" s="251"/>
      <c r="K30" s="324">
        <v>2</v>
      </c>
      <c r="L30" s="128" t="str">
        <f t="shared" si="1"/>
        <v>023.Dividends</v>
      </c>
    </row>
  </sheetData>
  <phoneticPr fontId="36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C50D90-7B52-41B7-BCBA-7A7F9E67DE00}">
  <sheetPr codeName="Sheet6"/>
  <dimension ref="B7:I209"/>
  <sheetViews>
    <sheetView zoomScale="80" zoomScaleNormal="80" workbookViewId="0">
      <pane ySplit="7" topLeftCell="A186" activePane="bottomLeft" state="frozen"/>
      <selection pane="bottomLeft" activeCell="G141" sqref="G141"/>
    </sheetView>
  </sheetViews>
  <sheetFormatPr defaultRowHeight="15.75"/>
  <cols>
    <col min="2" max="2" width="12" style="187" customWidth="1"/>
    <col min="3" max="3" width="14.85546875" style="187" customWidth="1"/>
    <col min="4" max="4" width="48.140625" style="187" bestFit="1" customWidth="1"/>
    <col min="5" max="5" width="29" style="187" bestFit="1" customWidth="1"/>
    <col min="6" max="6" width="11.7109375" style="187" customWidth="1"/>
    <col min="7" max="7" width="22.7109375" style="187" bestFit="1" customWidth="1"/>
    <col min="8" max="8" width="24.140625" style="187" customWidth="1"/>
    <col min="9" max="9" width="11.85546875" style="187" bestFit="1" customWidth="1"/>
  </cols>
  <sheetData>
    <row r="7" spans="2:9" ht="28.5" customHeight="1">
      <c r="B7" s="1457" t="s">
        <v>3500</v>
      </c>
      <c r="C7" s="1456" t="s">
        <v>12</v>
      </c>
      <c r="D7" s="1456" t="s">
        <v>3501</v>
      </c>
      <c r="E7" s="1456" t="s">
        <v>525</v>
      </c>
      <c r="F7" s="1456" t="s">
        <v>3502</v>
      </c>
      <c r="G7" s="1456" t="s">
        <v>3503</v>
      </c>
      <c r="H7" s="1456" t="s">
        <v>3504</v>
      </c>
    </row>
    <row r="8" spans="2:9" ht="24.95" customHeight="1">
      <c r="B8" s="1458">
        <v>1</v>
      </c>
      <c r="C8" s="1465">
        <v>10100</v>
      </c>
      <c r="D8" s="1466" t="s">
        <v>3505</v>
      </c>
      <c r="E8" s="1460" t="s">
        <v>3506</v>
      </c>
      <c r="F8" s="1458" t="s">
        <v>3507</v>
      </c>
      <c r="G8" s="1458"/>
      <c r="H8" s="1462"/>
      <c r="I8" s="1462"/>
    </row>
    <row r="9" spans="2:9" ht="24.95" customHeight="1">
      <c r="B9" s="1458">
        <v>2</v>
      </c>
      <c r="C9" s="1458">
        <v>10121</v>
      </c>
      <c r="D9" s="1463" t="s">
        <v>3508</v>
      </c>
      <c r="E9" s="1460" t="s">
        <v>3506</v>
      </c>
      <c r="F9" s="1458" t="s">
        <v>3507</v>
      </c>
      <c r="G9" s="1458"/>
      <c r="H9" s="1462"/>
      <c r="I9" s="1461"/>
    </row>
    <row r="10" spans="2:9" ht="24.95" customHeight="1">
      <c r="B10" s="1458">
        <v>3</v>
      </c>
      <c r="C10" s="1465">
        <v>10200</v>
      </c>
      <c r="D10" s="1466" t="s">
        <v>3509</v>
      </c>
      <c r="E10" s="1460" t="s">
        <v>3506</v>
      </c>
      <c r="F10" s="1458" t="s">
        <v>3507</v>
      </c>
      <c r="G10" s="1458"/>
      <c r="H10" s="1462"/>
      <c r="I10" s="1462"/>
    </row>
    <row r="11" spans="2:9" ht="24.95" customHeight="1">
      <c r="B11" s="1458">
        <v>4</v>
      </c>
      <c r="C11" s="1465">
        <v>10210</v>
      </c>
      <c r="D11" s="1467" t="s">
        <v>3510</v>
      </c>
      <c r="E11" s="1460" t="s">
        <v>3506</v>
      </c>
      <c r="F11" s="1458" t="s">
        <v>3507</v>
      </c>
      <c r="G11" s="1458"/>
      <c r="H11" s="1462"/>
      <c r="I11" s="1462"/>
    </row>
    <row r="12" spans="2:9" ht="24.95" customHeight="1">
      <c r="B12" s="1458">
        <v>5</v>
      </c>
      <c r="C12" s="1458">
        <v>10220</v>
      </c>
      <c r="D12" s="1463" t="s">
        <v>3511</v>
      </c>
      <c r="E12" s="1460" t="s">
        <v>3506</v>
      </c>
      <c r="F12" s="1458" t="s">
        <v>3507</v>
      </c>
      <c r="G12" s="1458"/>
      <c r="H12" s="1462"/>
      <c r="I12" s="1462"/>
    </row>
    <row r="13" spans="2:9" ht="24.95" customHeight="1">
      <c r="B13" s="1458">
        <v>6</v>
      </c>
      <c r="C13" s="1465">
        <v>10700</v>
      </c>
      <c r="D13" s="1466" t="s">
        <v>3512</v>
      </c>
      <c r="E13" s="1460" t="s">
        <v>3513</v>
      </c>
      <c r="F13" s="1458" t="s">
        <v>3507</v>
      </c>
      <c r="G13" s="1458"/>
      <c r="H13" s="1462"/>
      <c r="I13" s="1462"/>
    </row>
    <row r="14" spans="2:9" ht="24.95" customHeight="1">
      <c r="B14" s="1458">
        <v>7</v>
      </c>
      <c r="C14" s="1458">
        <v>10720</v>
      </c>
      <c r="D14" s="1463" t="s">
        <v>3514</v>
      </c>
      <c r="E14" s="1460" t="s">
        <v>3513</v>
      </c>
      <c r="F14" s="1458" t="s">
        <v>3507</v>
      </c>
      <c r="G14" s="1458"/>
      <c r="H14" s="1462"/>
      <c r="I14" s="1462"/>
    </row>
    <row r="15" spans="2:9" ht="24.95" customHeight="1">
      <c r="B15" s="1458">
        <v>8</v>
      </c>
      <c r="C15" s="1458">
        <v>10730</v>
      </c>
      <c r="D15" s="1463" t="s">
        <v>3515</v>
      </c>
      <c r="E15" s="1460" t="s">
        <v>3513</v>
      </c>
      <c r="F15" s="1458" t="s">
        <v>3507</v>
      </c>
      <c r="G15" s="1458"/>
      <c r="H15" s="1462"/>
      <c r="I15" s="1462"/>
    </row>
    <row r="16" spans="2:9" ht="24.95" customHeight="1">
      <c r="B16" s="1458">
        <v>9</v>
      </c>
      <c r="C16" s="1465">
        <v>10740</v>
      </c>
      <c r="D16" s="1466" t="s">
        <v>3516</v>
      </c>
      <c r="E16" s="1460" t="s">
        <v>3513</v>
      </c>
      <c r="F16" s="1458" t="s">
        <v>3507</v>
      </c>
      <c r="G16" s="1458"/>
      <c r="H16" s="1462"/>
      <c r="I16" s="1462"/>
    </row>
    <row r="17" spans="2:9" ht="24.95" customHeight="1">
      <c r="B17" s="1458">
        <v>10</v>
      </c>
      <c r="C17" s="1465">
        <v>10310</v>
      </c>
      <c r="D17" s="1466" t="s">
        <v>3517</v>
      </c>
      <c r="E17" s="1460" t="s">
        <v>3518</v>
      </c>
      <c r="F17" s="1458" t="s">
        <v>3507</v>
      </c>
      <c r="G17" s="1458"/>
      <c r="H17" s="1462"/>
      <c r="I17" s="1462"/>
    </row>
    <row r="18" spans="2:9" ht="24.95" customHeight="1">
      <c r="B18" s="1458">
        <v>11</v>
      </c>
      <c r="C18" s="1465">
        <v>10800</v>
      </c>
      <c r="D18" s="1466" t="s">
        <v>3519</v>
      </c>
      <c r="E18" s="1460" t="s">
        <v>3518</v>
      </c>
      <c r="F18" s="1458" t="s">
        <v>3507</v>
      </c>
      <c r="G18" s="1458"/>
      <c r="H18" s="1462"/>
      <c r="I18" s="1462"/>
    </row>
    <row r="19" spans="2:9" ht="24.95" customHeight="1">
      <c r="B19" s="1458">
        <v>12</v>
      </c>
      <c r="C19" s="1458">
        <v>10811</v>
      </c>
      <c r="D19" s="1463" t="s">
        <v>3520</v>
      </c>
      <c r="E19" s="1460" t="s">
        <v>3518</v>
      </c>
      <c r="F19" s="1458" t="s">
        <v>3507</v>
      </c>
      <c r="G19" s="1458"/>
      <c r="H19" s="1462"/>
      <c r="I19" s="1462"/>
    </row>
    <row r="20" spans="2:9" ht="24.95" customHeight="1">
      <c r="B20" s="1458">
        <v>13</v>
      </c>
      <c r="C20" s="1458">
        <v>10822</v>
      </c>
      <c r="D20" s="1463" t="s">
        <v>3521</v>
      </c>
      <c r="E20" s="1460" t="s">
        <v>3518</v>
      </c>
      <c r="F20" s="1458" t="s">
        <v>3507</v>
      </c>
      <c r="G20" s="1458"/>
      <c r="H20" s="1462"/>
      <c r="I20" s="1462"/>
    </row>
    <row r="21" spans="2:9" ht="24.95" customHeight="1">
      <c r="B21" s="1458">
        <v>14</v>
      </c>
      <c r="C21" s="1458">
        <v>10833</v>
      </c>
      <c r="D21" s="1463" t="s">
        <v>3522</v>
      </c>
      <c r="E21" s="1460" t="s">
        <v>3518</v>
      </c>
      <c r="F21" s="1458" t="s">
        <v>3507</v>
      </c>
      <c r="G21" s="1458"/>
      <c r="H21" s="1462"/>
      <c r="I21" s="1462"/>
    </row>
    <row r="22" spans="2:9" ht="24.95" customHeight="1">
      <c r="B22" s="1458">
        <v>15</v>
      </c>
      <c r="C22" s="1458">
        <v>10844</v>
      </c>
      <c r="D22" s="1463" t="s">
        <v>3523</v>
      </c>
      <c r="E22" s="1460" t="s">
        <v>3518</v>
      </c>
      <c r="F22" s="1458" t="s">
        <v>3507</v>
      </c>
      <c r="G22" s="1458"/>
      <c r="H22" s="1462"/>
      <c r="I22" s="1462"/>
    </row>
    <row r="23" spans="2:9" ht="24.95" customHeight="1">
      <c r="B23" s="1458">
        <v>16</v>
      </c>
      <c r="C23" s="1458">
        <v>10849</v>
      </c>
      <c r="D23" s="1463" t="s">
        <v>3524</v>
      </c>
      <c r="E23" s="1460" t="s">
        <v>3518</v>
      </c>
      <c r="F23" s="1458" t="s">
        <v>3507</v>
      </c>
      <c r="G23" s="1458"/>
      <c r="H23" s="1462"/>
      <c r="I23" s="1462"/>
    </row>
    <row r="24" spans="2:9" ht="24.95" customHeight="1">
      <c r="B24" s="1458">
        <v>17</v>
      </c>
      <c r="C24" s="1465">
        <v>10850</v>
      </c>
      <c r="D24" s="1466" t="s">
        <v>3525</v>
      </c>
      <c r="E24" s="1460" t="s">
        <v>3518</v>
      </c>
      <c r="F24" s="1458" t="s">
        <v>3507</v>
      </c>
      <c r="G24" s="1458"/>
      <c r="H24" s="1462"/>
      <c r="I24" s="1462"/>
    </row>
    <row r="25" spans="2:9" ht="24.95" customHeight="1">
      <c r="B25" s="1458">
        <v>18</v>
      </c>
      <c r="C25" s="1458">
        <v>10851</v>
      </c>
      <c r="D25" s="1463" t="s">
        <v>3526</v>
      </c>
      <c r="E25" s="1460" t="s">
        <v>3518</v>
      </c>
      <c r="F25" s="1458" t="s">
        <v>3507</v>
      </c>
      <c r="G25" s="1458"/>
      <c r="H25" s="1462"/>
      <c r="I25" s="1462"/>
    </row>
    <row r="26" spans="2:9" ht="24.95" customHeight="1">
      <c r="B26" s="1458">
        <v>19</v>
      </c>
      <c r="C26" s="1458">
        <v>10855</v>
      </c>
      <c r="D26" s="1463" t="s">
        <v>3527</v>
      </c>
      <c r="E26" s="1460" t="s">
        <v>3518</v>
      </c>
      <c r="F26" s="1458" t="s">
        <v>3507</v>
      </c>
      <c r="G26" s="1458"/>
      <c r="H26" s="1462"/>
      <c r="I26" s="1462"/>
    </row>
    <row r="27" spans="2:9" ht="24.95" customHeight="1">
      <c r="B27" s="1458">
        <v>20</v>
      </c>
      <c r="C27" s="1465">
        <v>10859</v>
      </c>
      <c r="D27" s="1466" t="s">
        <v>3528</v>
      </c>
      <c r="E27" s="1460" t="s">
        <v>3518</v>
      </c>
      <c r="F27" s="1458" t="s">
        <v>3507</v>
      </c>
      <c r="G27" s="1458"/>
      <c r="H27" s="1462"/>
      <c r="I27" s="1462"/>
    </row>
    <row r="28" spans="2:9" ht="24.95" customHeight="1">
      <c r="B28" s="1458">
        <v>21</v>
      </c>
      <c r="C28" s="1458">
        <v>10900</v>
      </c>
      <c r="D28" s="1459" t="s">
        <v>3529</v>
      </c>
      <c r="E28" s="1460" t="s">
        <v>3518</v>
      </c>
      <c r="F28" s="1458" t="s">
        <v>3507</v>
      </c>
      <c r="G28" s="1458"/>
      <c r="H28" s="1462"/>
      <c r="I28" s="1462"/>
    </row>
    <row r="29" spans="2:9" ht="24.95" customHeight="1">
      <c r="B29" s="1458">
        <v>22</v>
      </c>
      <c r="C29" s="1458">
        <v>11100</v>
      </c>
      <c r="D29" s="1459" t="s">
        <v>3530</v>
      </c>
      <c r="E29" s="1460" t="s">
        <v>3518</v>
      </c>
      <c r="F29" s="1458" t="s">
        <v>3507</v>
      </c>
      <c r="G29" s="1458"/>
      <c r="H29" s="1462"/>
      <c r="I29" s="1462"/>
    </row>
    <row r="30" spans="2:9" ht="24.95" customHeight="1">
      <c r="B30" s="1458">
        <v>23</v>
      </c>
      <c r="C30" s="1458">
        <v>11101</v>
      </c>
      <c r="D30" s="1463" t="s">
        <v>3531</v>
      </c>
      <c r="E30" s="1460" t="s">
        <v>3518</v>
      </c>
      <c r="F30" s="1458" t="s">
        <v>3507</v>
      </c>
      <c r="G30" s="1458"/>
      <c r="H30" s="1462"/>
      <c r="I30" s="1462"/>
    </row>
    <row r="31" spans="2:9" ht="24.95" customHeight="1">
      <c r="B31" s="1458">
        <v>24</v>
      </c>
      <c r="C31" s="1465">
        <v>11200</v>
      </c>
      <c r="D31" s="1466" t="s">
        <v>3532</v>
      </c>
      <c r="E31" s="1460" t="s">
        <v>3518</v>
      </c>
      <c r="F31" s="1458" t="s">
        <v>3507</v>
      </c>
      <c r="G31" s="1458"/>
      <c r="H31" s="1462"/>
      <c r="I31" s="1462"/>
    </row>
    <row r="32" spans="2:9" ht="24.95" customHeight="1">
      <c r="B32" s="1458">
        <v>25</v>
      </c>
      <c r="C32" s="1458">
        <v>11201</v>
      </c>
      <c r="D32" s="1463" t="s">
        <v>3533</v>
      </c>
      <c r="E32" s="1460" t="s">
        <v>3518</v>
      </c>
      <c r="F32" s="1458" t="s">
        <v>3507</v>
      </c>
      <c r="G32" s="1458"/>
      <c r="H32" s="1462"/>
      <c r="I32" s="1462"/>
    </row>
    <row r="33" spans="2:9" ht="24.95" customHeight="1">
      <c r="B33" s="1458">
        <v>26</v>
      </c>
      <c r="C33" s="1458">
        <v>11202</v>
      </c>
      <c r="D33" s="1463" t="s">
        <v>3534</v>
      </c>
      <c r="E33" s="1460" t="s">
        <v>3518</v>
      </c>
      <c r="F33" s="1458" t="s">
        <v>3507</v>
      </c>
      <c r="G33" s="1458"/>
      <c r="H33" s="1462"/>
      <c r="I33" s="1462"/>
    </row>
    <row r="34" spans="2:9" ht="24.95" customHeight="1">
      <c r="B34" s="1458">
        <v>27</v>
      </c>
      <c r="C34" s="1458">
        <v>11300</v>
      </c>
      <c r="D34" s="1459" t="s">
        <v>3535</v>
      </c>
      <c r="E34" s="1460" t="s">
        <v>3518</v>
      </c>
      <c r="F34" s="1458" t="s">
        <v>3507</v>
      </c>
      <c r="G34" s="1458"/>
      <c r="H34" s="1462"/>
      <c r="I34" s="1462"/>
    </row>
    <row r="35" spans="2:9" ht="24.95" customHeight="1">
      <c r="B35" s="1458">
        <v>28</v>
      </c>
      <c r="C35" s="1458">
        <v>11400</v>
      </c>
      <c r="D35" s="1459" t="s">
        <v>3536</v>
      </c>
      <c r="E35" s="1460" t="s">
        <v>3518</v>
      </c>
      <c r="F35" s="1458" t="s">
        <v>3507</v>
      </c>
      <c r="G35" s="1458"/>
      <c r="H35" s="1462"/>
      <c r="I35" s="1462"/>
    </row>
    <row r="36" spans="2:9" ht="24.95" customHeight="1">
      <c r="B36" s="1458">
        <v>29</v>
      </c>
      <c r="C36" s="1458">
        <v>11500</v>
      </c>
      <c r="D36" s="1459" t="s">
        <v>3537</v>
      </c>
      <c r="E36" s="1460" t="s">
        <v>3518</v>
      </c>
      <c r="F36" s="1458" t="s">
        <v>3507</v>
      </c>
      <c r="G36" s="1458"/>
      <c r="H36" s="1462"/>
      <c r="I36" s="1462"/>
    </row>
    <row r="37" spans="2:9" ht="24.95" customHeight="1">
      <c r="B37" s="1458">
        <v>30</v>
      </c>
      <c r="C37" s="1458">
        <v>11501</v>
      </c>
      <c r="D37" s="1463" t="s">
        <v>3538</v>
      </c>
      <c r="E37" s="1460" t="s">
        <v>3518</v>
      </c>
      <c r="F37" s="1458" t="s">
        <v>3507</v>
      </c>
      <c r="G37" s="1458"/>
      <c r="H37" s="1462"/>
      <c r="I37" s="1462"/>
    </row>
    <row r="38" spans="2:9" ht="24.95" customHeight="1">
      <c r="B38" s="1458">
        <v>31</v>
      </c>
      <c r="C38" s="1458">
        <v>11600</v>
      </c>
      <c r="D38" s="1459" t="s">
        <v>3539</v>
      </c>
      <c r="E38" s="1460" t="s">
        <v>3518</v>
      </c>
      <c r="F38" s="1458" t="s">
        <v>3507</v>
      </c>
      <c r="G38" s="1458"/>
      <c r="H38" s="1462"/>
      <c r="I38" s="1462"/>
    </row>
    <row r="39" spans="2:9" ht="24.95" customHeight="1">
      <c r="B39" s="1458">
        <v>32</v>
      </c>
      <c r="C39" s="1458">
        <v>11601</v>
      </c>
      <c r="D39" s="1463" t="s">
        <v>3540</v>
      </c>
      <c r="E39" s="1460" t="s">
        <v>3518</v>
      </c>
      <c r="F39" s="1458" t="s">
        <v>3507</v>
      </c>
      <c r="G39" s="1458"/>
      <c r="H39" s="1462"/>
      <c r="I39" s="1462"/>
    </row>
    <row r="40" spans="2:9" ht="24.95" customHeight="1">
      <c r="B40" s="1458">
        <v>33</v>
      </c>
      <c r="C40" s="1458">
        <v>11699</v>
      </c>
      <c r="D40" s="1463" t="s">
        <v>3541</v>
      </c>
      <c r="E40" s="1460" t="s">
        <v>3518</v>
      </c>
      <c r="F40" s="1458" t="s">
        <v>3507</v>
      </c>
      <c r="G40" s="1458"/>
      <c r="H40" s="1462"/>
      <c r="I40" s="1462"/>
    </row>
    <row r="41" spans="2:9" ht="24.95" customHeight="1">
      <c r="B41" s="1458">
        <v>34</v>
      </c>
      <c r="C41" s="1458">
        <v>11700</v>
      </c>
      <c r="D41" s="1459" t="s">
        <v>3542</v>
      </c>
      <c r="E41" s="1460" t="s">
        <v>3518</v>
      </c>
      <c r="F41" s="1458" t="s">
        <v>3507</v>
      </c>
      <c r="G41" s="1458"/>
      <c r="H41" s="1462"/>
      <c r="I41" s="1462"/>
    </row>
    <row r="42" spans="2:9" ht="24.95" customHeight="1">
      <c r="B42" s="1458">
        <v>35</v>
      </c>
      <c r="C42" s="1458">
        <v>11701</v>
      </c>
      <c r="D42" s="1463" t="s">
        <v>3543</v>
      </c>
      <c r="E42" s="1460" t="s">
        <v>3518</v>
      </c>
      <c r="F42" s="1458" t="s">
        <v>3507</v>
      </c>
      <c r="G42" s="1458"/>
      <c r="H42" s="1462"/>
      <c r="I42" s="1462"/>
    </row>
    <row r="43" spans="2:9" ht="24.95" customHeight="1">
      <c r="B43" s="1458">
        <v>36</v>
      </c>
      <c r="C43" s="1458">
        <v>11702</v>
      </c>
      <c r="D43" s="1463" t="s">
        <v>3544</v>
      </c>
      <c r="E43" s="1460" t="s">
        <v>3518</v>
      </c>
      <c r="F43" s="1458" t="s">
        <v>3507</v>
      </c>
      <c r="G43" s="1458"/>
      <c r="H43" s="1462"/>
      <c r="I43" s="1462"/>
    </row>
    <row r="44" spans="2:9" ht="24.95" customHeight="1">
      <c r="B44" s="1458">
        <v>37</v>
      </c>
      <c r="C44" s="1458">
        <v>11703</v>
      </c>
      <c r="D44" s="1463" t="s">
        <v>3545</v>
      </c>
      <c r="E44" s="1460" t="s">
        <v>3518</v>
      </c>
      <c r="F44" s="1458" t="s">
        <v>3507</v>
      </c>
      <c r="G44" s="1458"/>
      <c r="H44" s="1462"/>
      <c r="I44" s="1462"/>
    </row>
    <row r="45" spans="2:9" ht="24.95" customHeight="1">
      <c r="B45" s="1458">
        <v>38</v>
      </c>
      <c r="C45" s="1458">
        <v>11800</v>
      </c>
      <c r="D45" s="1459" t="s">
        <v>3546</v>
      </c>
      <c r="E45" s="1460" t="s">
        <v>3518</v>
      </c>
      <c r="F45" s="1458" t="s">
        <v>3507</v>
      </c>
      <c r="G45" s="1458"/>
      <c r="H45" s="1462"/>
      <c r="I45" s="1462"/>
    </row>
    <row r="46" spans="2:9" ht="24.95" customHeight="1">
      <c r="B46" s="1458">
        <v>39</v>
      </c>
      <c r="C46" s="1458">
        <v>11900</v>
      </c>
      <c r="D46" s="1459" t="s">
        <v>3547</v>
      </c>
      <c r="E46" s="1460" t="s">
        <v>3518</v>
      </c>
      <c r="F46" s="1458" t="s">
        <v>3507</v>
      </c>
      <c r="G46" s="1458"/>
      <c r="H46" s="1462"/>
      <c r="I46" s="1462"/>
    </row>
    <row r="47" spans="2:9" ht="24.95" customHeight="1">
      <c r="B47" s="1458">
        <v>40</v>
      </c>
      <c r="C47" s="1458">
        <v>11999</v>
      </c>
      <c r="D47" s="1463" t="s">
        <v>3548</v>
      </c>
      <c r="E47" s="1460" t="s">
        <v>3518</v>
      </c>
      <c r="F47" s="1458" t="s">
        <v>3507</v>
      </c>
      <c r="G47" s="1458"/>
      <c r="H47" s="1462"/>
      <c r="I47" s="1462"/>
    </row>
    <row r="48" spans="2:9" ht="24.95" customHeight="1">
      <c r="B48" s="1458">
        <v>41</v>
      </c>
      <c r="C48" s="1458">
        <v>12000</v>
      </c>
      <c r="D48" s="1459" t="s">
        <v>3549</v>
      </c>
      <c r="E48" s="1460" t="s">
        <v>3518</v>
      </c>
      <c r="F48" s="1458" t="s">
        <v>3507</v>
      </c>
      <c r="G48" s="1458"/>
      <c r="H48" s="1462"/>
      <c r="I48" s="1462"/>
    </row>
    <row r="49" spans="2:9" ht="24.95" customHeight="1">
      <c r="B49" s="1458">
        <v>42</v>
      </c>
      <c r="C49" s="1458">
        <v>12001</v>
      </c>
      <c r="D49" s="1463" t="s">
        <v>3550</v>
      </c>
      <c r="E49" s="1460" t="s">
        <v>3518</v>
      </c>
      <c r="F49" s="1458" t="s">
        <v>3507</v>
      </c>
      <c r="G49" s="1458"/>
      <c r="H49" s="1462"/>
      <c r="I49" s="1462"/>
    </row>
    <row r="50" spans="2:9" ht="24.95" customHeight="1">
      <c r="B50" s="1458">
        <v>43</v>
      </c>
      <c r="C50" s="1458">
        <v>12099</v>
      </c>
      <c r="D50" s="1463" t="s">
        <v>3551</v>
      </c>
      <c r="E50" s="1460" t="s">
        <v>3518</v>
      </c>
      <c r="F50" s="1458" t="s">
        <v>3507</v>
      </c>
      <c r="G50" s="1458"/>
      <c r="H50" s="1462"/>
      <c r="I50" s="1462"/>
    </row>
    <row r="51" spans="2:9" ht="24.95" customHeight="1">
      <c r="B51" s="1458">
        <v>44</v>
      </c>
      <c r="C51" s="1458">
        <v>12100</v>
      </c>
      <c r="D51" s="1459" t="s">
        <v>3552</v>
      </c>
      <c r="E51" s="1460" t="s">
        <v>3518</v>
      </c>
      <c r="F51" s="1458" t="s">
        <v>3507</v>
      </c>
      <c r="G51" s="1458"/>
      <c r="H51" s="1462"/>
      <c r="I51" s="1462"/>
    </row>
    <row r="52" spans="2:9" ht="24.95" customHeight="1">
      <c r="B52" s="1458">
        <v>45</v>
      </c>
      <c r="C52" s="1458">
        <v>12200</v>
      </c>
      <c r="D52" s="1459" t="s">
        <v>3553</v>
      </c>
      <c r="E52" s="1460" t="s">
        <v>3518</v>
      </c>
      <c r="F52" s="1458" t="s">
        <v>3507</v>
      </c>
      <c r="G52" s="1458"/>
      <c r="H52" s="1462"/>
      <c r="I52" s="1462"/>
    </row>
    <row r="53" spans="2:9" ht="24.95" customHeight="1">
      <c r="B53" s="1458">
        <v>46</v>
      </c>
      <c r="C53" s="1458">
        <v>12201</v>
      </c>
      <c r="D53" s="1463" t="s">
        <v>3554</v>
      </c>
      <c r="E53" s="1460" t="s">
        <v>3518</v>
      </c>
      <c r="F53" s="1458" t="s">
        <v>3507</v>
      </c>
      <c r="G53" s="1458"/>
      <c r="H53" s="1462"/>
      <c r="I53" s="1462"/>
    </row>
    <row r="54" spans="2:9" ht="24.95" customHeight="1">
      <c r="B54" s="1458">
        <v>47</v>
      </c>
      <c r="C54" s="1458">
        <v>12202</v>
      </c>
      <c r="D54" s="1463" t="s">
        <v>3555</v>
      </c>
      <c r="E54" s="1460" t="s">
        <v>3518</v>
      </c>
      <c r="F54" s="1458" t="s">
        <v>3507</v>
      </c>
      <c r="G54" s="1458"/>
      <c r="H54" s="1462"/>
      <c r="I54" s="1462"/>
    </row>
    <row r="55" spans="2:9" ht="24.95" customHeight="1">
      <c r="B55" s="1458">
        <v>48</v>
      </c>
      <c r="C55" s="1458">
        <v>13000</v>
      </c>
      <c r="D55" s="1459" t="s">
        <v>3556</v>
      </c>
      <c r="E55" s="1460" t="s">
        <v>3518</v>
      </c>
      <c r="F55" s="1458" t="s">
        <v>3507</v>
      </c>
      <c r="G55" s="1458"/>
      <c r="H55" s="1462"/>
      <c r="I55" s="1462"/>
    </row>
    <row r="56" spans="2:9" ht="24.95" customHeight="1">
      <c r="B56" s="1458">
        <v>49</v>
      </c>
      <c r="C56" s="1458">
        <v>13001</v>
      </c>
      <c r="D56" s="1463" t="s">
        <v>3556</v>
      </c>
      <c r="E56" s="1460" t="s">
        <v>3518</v>
      </c>
      <c r="F56" s="1458" t="s">
        <v>3507</v>
      </c>
      <c r="G56" s="1458"/>
      <c r="H56" s="1462"/>
      <c r="I56" s="1462"/>
    </row>
    <row r="57" spans="2:9" ht="24.95" customHeight="1">
      <c r="B57" s="1458">
        <v>50</v>
      </c>
      <c r="C57" s="1458" t="s">
        <v>3557</v>
      </c>
      <c r="D57" s="1459" t="s">
        <v>3558</v>
      </c>
      <c r="E57" s="1460" t="s">
        <v>3518</v>
      </c>
      <c r="F57" s="1458" t="s">
        <v>3507</v>
      </c>
      <c r="G57" s="1458"/>
      <c r="H57" s="1462"/>
      <c r="I57" s="1462"/>
    </row>
    <row r="58" spans="2:9" ht="24.95" customHeight="1">
      <c r="B58" s="1458">
        <v>51</v>
      </c>
      <c r="C58" s="1458">
        <v>20000</v>
      </c>
      <c r="D58" s="1459" t="s">
        <v>3559</v>
      </c>
      <c r="E58" s="1460" t="s">
        <v>1700</v>
      </c>
      <c r="F58" s="1458" t="s">
        <v>3507</v>
      </c>
      <c r="G58" s="1458"/>
      <c r="H58" s="1462"/>
      <c r="I58" s="1462"/>
    </row>
    <row r="59" spans="2:9" ht="24.95" customHeight="1">
      <c r="B59" s="1458">
        <v>52</v>
      </c>
      <c r="C59" s="1458">
        <v>20500</v>
      </c>
      <c r="D59" s="1459" t="s">
        <v>3560</v>
      </c>
      <c r="E59" s="1460" t="s">
        <v>1700</v>
      </c>
      <c r="F59" s="1458" t="s">
        <v>3507</v>
      </c>
      <c r="G59" s="1458"/>
      <c r="H59" s="1462"/>
      <c r="I59" s="1462"/>
    </row>
    <row r="60" spans="2:9" ht="24.95" customHeight="1">
      <c r="B60" s="1458">
        <v>53</v>
      </c>
      <c r="C60" s="1458">
        <v>20800</v>
      </c>
      <c r="D60" s="1459" t="s">
        <v>3561</v>
      </c>
      <c r="E60" s="1460" t="s">
        <v>1700</v>
      </c>
      <c r="F60" s="1458" t="s">
        <v>3507</v>
      </c>
      <c r="G60" s="1458"/>
      <c r="H60" s="1462"/>
      <c r="I60" s="1462"/>
    </row>
    <row r="61" spans="2:9" ht="24.95" customHeight="1">
      <c r="B61" s="1458">
        <v>54</v>
      </c>
      <c r="C61" s="1458">
        <v>20801</v>
      </c>
      <c r="D61" s="1463" t="s">
        <v>3562</v>
      </c>
      <c r="E61" s="1460" t="s">
        <v>1700</v>
      </c>
      <c r="F61" s="1458" t="s">
        <v>3507</v>
      </c>
      <c r="G61" s="1458"/>
      <c r="H61" s="1462"/>
      <c r="I61" s="1462"/>
    </row>
    <row r="62" spans="2:9" ht="24.95" customHeight="1">
      <c r="B62" s="1458">
        <v>55</v>
      </c>
      <c r="C62" s="1458">
        <v>20802</v>
      </c>
      <c r="D62" s="1463" t="s">
        <v>3563</v>
      </c>
      <c r="E62" s="1460" t="s">
        <v>1700</v>
      </c>
      <c r="F62" s="1458" t="s">
        <v>3507</v>
      </c>
      <c r="G62" s="1458"/>
      <c r="H62" s="1462"/>
      <c r="I62" s="1462"/>
    </row>
    <row r="63" spans="2:9" ht="24.95" customHeight="1">
      <c r="B63" s="1458">
        <v>56</v>
      </c>
      <c r="C63" s="1458">
        <v>20900</v>
      </c>
      <c r="D63" s="1459" t="s">
        <v>3564</v>
      </c>
      <c r="E63" s="1460" t="s">
        <v>1700</v>
      </c>
      <c r="F63" s="1458" t="s">
        <v>3507</v>
      </c>
      <c r="G63" s="1458"/>
      <c r="H63" s="1462"/>
      <c r="I63" s="1462"/>
    </row>
    <row r="64" spans="2:9" ht="24.95" customHeight="1">
      <c r="B64" s="1458">
        <v>57</v>
      </c>
      <c r="C64" s="1458">
        <v>20901</v>
      </c>
      <c r="D64" s="1463" t="s">
        <v>3565</v>
      </c>
      <c r="E64" s="1460" t="s">
        <v>1700</v>
      </c>
      <c r="F64" s="1458" t="s">
        <v>3507</v>
      </c>
      <c r="G64" s="1458"/>
      <c r="H64" s="1462"/>
      <c r="I64" s="1462"/>
    </row>
    <row r="65" spans="2:9" ht="24.95" customHeight="1">
      <c r="B65" s="1458">
        <v>58</v>
      </c>
      <c r="C65" s="1458">
        <v>20902</v>
      </c>
      <c r="D65" s="1463" t="s">
        <v>3566</v>
      </c>
      <c r="E65" s="1460" t="s">
        <v>1700</v>
      </c>
      <c r="F65" s="1458" t="s">
        <v>3507</v>
      </c>
      <c r="G65" s="1458"/>
      <c r="H65" s="1462"/>
      <c r="I65" s="1462"/>
    </row>
    <row r="66" spans="2:9" ht="24.95" customHeight="1">
      <c r="B66" s="1458">
        <v>59</v>
      </c>
      <c r="C66" s="1458">
        <v>21000</v>
      </c>
      <c r="D66" s="1459" t="s">
        <v>3567</v>
      </c>
      <c r="E66" s="1460" t="s">
        <v>1700</v>
      </c>
      <c r="F66" s="1458" t="s">
        <v>3507</v>
      </c>
      <c r="G66" s="1458"/>
      <c r="H66" s="1462"/>
      <c r="I66" s="1462"/>
    </row>
    <row r="67" spans="2:9" ht="24.95" customHeight="1">
      <c r="B67" s="1458">
        <v>60</v>
      </c>
      <c r="C67" s="1458">
        <v>21001</v>
      </c>
      <c r="D67" s="1463" t="s">
        <v>3568</v>
      </c>
      <c r="E67" s="1460" t="s">
        <v>1700</v>
      </c>
      <c r="F67" s="1458" t="s">
        <v>3507</v>
      </c>
      <c r="G67" s="1458"/>
      <c r="H67" s="1462"/>
      <c r="I67" s="1462"/>
    </row>
    <row r="68" spans="2:9" ht="24.95" customHeight="1">
      <c r="B68" s="1458">
        <v>61</v>
      </c>
      <c r="C68" s="1458">
        <v>21002</v>
      </c>
      <c r="D68" s="1463" t="s">
        <v>3569</v>
      </c>
      <c r="E68" s="1460" t="s">
        <v>1700</v>
      </c>
      <c r="F68" s="1458" t="s">
        <v>3507</v>
      </c>
      <c r="G68" s="1458"/>
      <c r="H68" s="1462"/>
      <c r="I68" s="1462"/>
    </row>
    <row r="69" spans="2:9" ht="24.95" customHeight="1">
      <c r="B69" s="1458">
        <v>62</v>
      </c>
      <c r="C69" s="1458">
        <v>21050</v>
      </c>
      <c r="D69" s="1459" t="s">
        <v>3570</v>
      </c>
      <c r="E69" s="1460" t="s">
        <v>1700</v>
      </c>
      <c r="F69" s="1458" t="s">
        <v>3507</v>
      </c>
      <c r="G69" s="1458"/>
      <c r="H69" s="1462"/>
      <c r="I69" s="1462"/>
    </row>
    <row r="70" spans="2:9" ht="24.95" customHeight="1">
      <c r="B70" s="1458">
        <v>63</v>
      </c>
      <c r="C70" s="1458">
        <v>21051</v>
      </c>
      <c r="D70" s="1463" t="s">
        <v>3571</v>
      </c>
      <c r="E70" s="1460" t="s">
        <v>1700</v>
      </c>
      <c r="F70" s="1458" t="s">
        <v>3507</v>
      </c>
      <c r="G70" s="1458"/>
      <c r="H70" s="1462"/>
      <c r="I70" s="1462"/>
    </row>
    <row r="71" spans="2:9" ht="24.95" customHeight="1">
      <c r="B71" s="1458">
        <v>64</v>
      </c>
      <c r="C71" s="1458">
        <v>21052</v>
      </c>
      <c r="D71" s="1463" t="s">
        <v>3572</v>
      </c>
      <c r="E71" s="1460" t="s">
        <v>1700</v>
      </c>
      <c r="F71" s="1458" t="s">
        <v>3507</v>
      </c>
      <c r="G71" s="1458"/>
      <c r="H71" s="1462"/>
      <c r="I71" s="1462"/>
    </row>
    <row r="72" spans="2:9" ht="24.95" customHeight="1">
      <c r="B72" s="1458">
        <v>65</v>
      </c>
      <c r="C72" s="1458">
        <v>21100</v>
      </c>
      <c r="D72" s="1459" t="s">
        <v>3573</v>
      </c>
      <c r="E72" s="1460" t="s">
        <v>1700</v>
      </c>
      <c r="F72" s="1458" t="s">
        <v>3507</v>
      </c>
      <c r="G72" s="1458"/>
      <c r="H72" s="1462"/>
      <c r="I72" s="1462"/>
    </row>
    <row r="73" spans="2:9" ht="24.95" customHeight="1">
      <c r="B73" s="1458">
        <v>66</v>
      </c>
      <c r="C73" s="1458">
        <v>21101</v>
      </c>
      <c r="D73" s="1463" t="s">
        <v>3574</v>
      </c>
      <c r="E73" s="1460" t="s">
        <v>1700</v>
      </c>
      <c r="F73" s="1458" t="s">
        <v>3507</v>
      </c>
      <c r="G73" s="1458"/>
      <c r="H73" s="1462"/>
      <c r="I73" s="1462"/>
    </row>
    <row r="74" spans="2:9" ht="24.95" customHeight="1">
      <c r="B74" s="1458">
        <v>67</v>
      </c>
      <c r="C74" s="1458">
        <v>21102</v>
      </c>
      <c r="D74" s="1463" t="s">
        <v>3575</v>
      </c>
      <c r="E74" s="1460" t="s">
        <v>1700</v>
      </c>
      <c r="F74" s="1458" t="s">
        <v>3507</v>
      </c>
      <c r="G74" s="1458"/>
      <c r="H74" s="1462"/>
      <c r="I74" s="1462"/>
    </row>
    <row r="75" spans="2:9" ht="24.95" customHeight="1">
      <c r="B75" s="1458">
        <v>68</v>
      </c>
      <c r="C75" s="1458">
        <v>21200</v>
      </c>
      <c r="D75" s="1459" t="s">
        <v>3576</v>
      </c>
      <c r="E75" s="1460" t="s">
        <v>1700</v>
      </c>
      <c r="F75" s="1458" t="s">
        <v>3507</v>
      </c>
      <c r="G75" s="1458"/>
      <c r="H75" s="1462"/>
      <c r="I75" s="1462"/>
    </row>
    <row r="76" spans="2:9" ht="24.95" customHeight="1">
      <c r="B76" s="1458">
        <v>69</v>
      </c>
      <c r="C76" s="1458">
        <v>21390</v>
      </c>
      <c r="D76" s="1459" t="s">
        <v>3577</v>
      </c>
      <c r="E76" s="1460" t="s">
        <v>1700</v>
      </c>
      <c r="F76" s="1458" t="s">
        <v>3507</v>
      </c>
      <c r="G76" s="1458"/>
      <c r="H76" s="1462"/>
      <c r="I76" s="1462"/>
    </row>
    <row r="77" spans="2:9" ht="24.95" customHeight="1">
      <c r="B77" s="1458">
        <v>70</v>
      </c>
      <c r="C77" s="1458"/>
      <c r="D77" s="1459" t="s">
        <v>3578</v>
      </c>
      <c r="E77" s="1460" t="s">
        <v>1700</v>
      </c>
      <c r="F77" s="1458" t="s">
        <v>3507</v>
      </c>
      <c r="G77" s="1458"/>
      <c r="H77" s="1462"/>
      <c r="I77" s="1462"/>
    </row>
    <row r="78" spans="2:9" ht="24.95" customHeight="1">
      <c r="B78" s="1458">
        <v>71</v>
      </c>
      <c r="C78" s="1458">
        <v>21400</v>
      </c>
      <c r="D78" s="1459" t="s">
        <v>3579</v>
      </c>
      <c r="E78" s="1460" t="s">
        <v>3580</v>
      </c>
      <c r="F78" s="1458" t="s">
        <v>3507</v>
      </c>
      <c r="G78" s="1458"/>
      <c r="H78" s="1462"/>
      <c r="I78" s="1462"/>
    </row>
    <row r="79" spans="2:9" ht="24.95" customHeight="1">
      <c r="B79" s="1458">
        <v>72</v>
      </c>
      <c r="C79" s="1458">
        <v>21401</v>
      </c>
      <c r="D79" s="1463" t="s">
        <v>3581</v>
      </c>
      <c r="E79" s="1460" t="s">
        <v>3580</v>
      </c>
      <c r="F79" s="1458" t="s">
        <v>3507</v>
      </c>
      <c r="G79" s="1458"/>
      <c r="H79" s="1462"/>
      <c r="I79" s="1462"/>
    </row>
    <row r="80" spans="2:9" ht="24.95" customHeight="1">
      <c r="B80" s="1458">
        <v>73</v>
      </c>
      <c r="C80" s="1458">
        <v>21403</v>
      </c>
      <c r="D80" s="1463" t="s">
        <v>3582</v>
      </c>
      <c r="E80" s="1460" t="s">
        <v>3580</v>
      </c>
      <c r="F80" s="1458" t="s">
        <v>3507</v>
      </c>
      <c r="G80" s="1458"/>
      <c r="H80" s="1462"/>
      <c r="I80" s="1462"/>
    </row>
    <row r="81" spans="2:9" ht="24.95" customHeight="1">
      <c r="B81" s="1458">
        <v>74</v>
      </c>
      <c r="C81" s="1458">
        <v>21410</v>
      </c>
      <c r="D81" s="1459" t="s">
        <v>3583</v>
      </c>
      <c r="E81" s="1460" t="s">
        <v>3580</v>
      </c>
      <c r="F81" s="1458" t="s">
        <v>3507</v>
      </c>
      <c r="G81" s="1458"/>
      <c r="H81" s="1462"/>
      <c r="I81" s="1462"/>
    </row>
    <row r="82" spans="2:9" ht="24.95" customHeight="1">
      <c r="B82" s="1458">
        <v>75</v>
      </c>
      <c r="C82" s="1458">
        <v>21430</v>
      </c>
      <c r="D82" s="1459" t="s">
        <v>3584</v>
      </c>
      <c r="E82" s="1460" t="s">
        <v>3580</v>
      </c>
      <c r="F82" s="1458" t="s">
        <v>3507</v>
      </c>
      <c r="G82" s="1458"/>
      <c r="H82" s="1462"/>
      <c r="I82" s="1462"/>
    </row>
    <row r="83" spans="2:9" ht="24.95" customHeight="1">
      <c r="B83" s="1458">
        <v>76</v>
      </c>
      <c r="C83" s="1458">
        <v>21490</v>
      </c>
      <c r="D83" s="1459" t="s">
        <v>3585</v>
      </c>
      <c r="E83" s="1460" t="s">
        <v>3580</v>
      </c>
      <c r="F83" s="1458" t="s">
        <v>3507</v>
      </c>
      <c r="G83" s="1458"/>
      <c r="H83" s="1462"/>
      <c r="I83" s="1462"/>
    </row>
    <row r="84" spans="2:9" ht="24.95" customHeight="1">
      <c r="B84" s="1458">
        <v>77</v>
      </c>
      <c r="C84" s="1458">
        <v>22200</v>
      </c>
      <c r="D84" s="1459" t="s">
        <v>3586</v>
      </c>
      <c r="E84" s="1460" t="s">
        <v>3580</v>
      </c>
      <c r="F84" s="1458" t="s">
        <v>3507</v>
      </c>
      <c r="G84" s="1458"/>
      <c r="H84" s="1462"/>
      <c r="I84" s="1462"/>
    </row>
    <row r="85" spans="2:9" ht="24.95" customHeight="1">
      <c r="B85" s="1458">
        <v>78</v>
      </c>
      <c r="C85" s="1458">
        <v>22210</v>
      </c>
      <c r="D85" s="1463" t="s">
        <v>3587</v>
      </c>
      <c r="E85" s="1460" t="s">
        <v>3580</v>
      </c>
      <c r="F85" s="1458" t="s">
        <v>3507</v>
      </c>
      <c r="G85" s="1458"/>
      <c r="H85" s="1462"/>
      <c r="I85" s="1462"/>
    </row>
    <row r="86" spans="2:9" ht="24.95" customHeight="1">
      <c r="B86" s="1458">
        <v>79</v>
      </c>
      <c r="C86" s="1458">
        <v>30000</v>
      </c>
      <c r="D86" s="1459" t="s">
        <v>3588</v>
      </c>
      <c r="E86" s="1460" t="s">
        <v>3589</v>
      </c>
      <c r="F86" s="1458" t="s">
        <v>3507</v>
      </c>
      <c r="G86" s="1458"/>
      <c r="H86" s="1462"/>
      <c r="I86" s="1462"/>
    </row>
    <row r="87" spans="2:9" ht="24.95" customHeight="1">
      <c r="B87" s="1458">
        <v>80</v>
      </c>
      <c r="C87" s="1458">
        <v>30050</v>
      </c>
      <c r="D87" s="1459" t="s">
        <v>3590</v>
      </c>
      <c r="E87" s="1460" t="s">
        <v>3589</v>
      </c>
      <c r="F87" s="1458" t="s">
        <v>3591</v>
      </c>
      <c r="G87" s="1458"/>
      <c r="H87" s="1462"/>
      <c r="I87" s="1462"/>
    </row>
    <row r="88" spans="2:9" ht="24.95" customHeight="1">
      <c r="B88" s="1458">
        <v>81</v>
      </c>
      <c r="C88" s="1458">
        <v>30099</v>
      </c>
      <c r="D88" s="1459" t="s">
        <v>3592</v>
      </c>
      <c r="E88" s="1460" t="s">
        <v>3589</v>
      </c>
      <c r="F88" s="1458" t="s">
        <v>3507</v>
      </c>
      <c r="G88" s="1458"/>
      <c r="H88" s="1462"/>
      <c r="I88" s="1462"/>
    </row>
    <row r="89" spans="2:9" ht="24.95" customHeight="1">
      <c r="B89" s="1458">
        <v>82</v>
      </c>
      <c r="C89" s="1458">
        <v>30400</v>
      </c>
      <c r="D89" s="1459" t="s">
        <v>3593</v>
      </c>
      <c r="E89" s="1460" t="s">
        <v>3594</v>
      </c>
      <c r="F89" s="1458" t="s">
        <v>3507</v>
      </c>
      <c r="G89" s="1458"/>
      <c r="H89" s="1462"/>
      <c r="I89" s="1462"/>
    </row>
    <row r="90" spans="2:9" ht="24.95" customHeight="1">
      <c r="B90" s="1458">
        <v>83</v>
      </c>
      <c r="C90" s="1458">
        <v>30401</v>
      </c>
      <c r="D90" s="1463" t="s">
        <v>3595</v>
      </c>
      <c r="E90" s="1460" t="s">
        <v>3594</v>
      </c>
      <c r="F90" s="1458" t="s">
        <v>3507</v>
      </c>
      <c r="G90" s="1458"/>
      <c r="H90" s="1462"/>
      <c r="I90" s="1462"/>
    </row>
    <row r="91" spans="2:9" ht="24.95" customHeight="1">
      <c r="B91" s="1458">
        <v>84</v>
      </c>
      <c r="C91" s="1458">
        <v>30402</v>
      </c>
      <c r="D91" s="1463" t="s">
        <v>3596</v>
      </c>
      <c r="E91" s="1460" t="s">
        <v>3594</v>
      </c>
      <c r="F91" s="1458" t="s">
        <v>3507</v>
      </c>
      <c r="G91" s="1458"/>
      <c r="H91" s="1462"/>
      <c r="I91" s="1462"/>
    </row>
    <row r="92" spans="2:9" ht="24.95" customHeight="1">
      <c r="B92" s="1458">
        <v>85</v>
      </c>
      <c r="C92" s="1458">
        <v>30403</v>
      </c>
      <c r="D92" s="1463" t="s">
        <v>3597</v>
      </c>
      <c r="E92" s="1460" t="s">
        <v>3594</v>
      </c>
      <c r="F92" s="1458" t="s">
        <v>3507</v>
      </c>
      <c r="G92" s="1458"/>
      <c r="H92" s="1462"/>
      <c r="I92" s="1462"/>
    </row>
    <row r="93" spans="2:9" ht="24.95" customHeight="1">
      <c r="B93" s="1458">
        <v>86</v>
      </c>
      <c r="C93" s="1458">
        <v>30404</v>
      </c>
      <c r="D93" s="1463" t="s">
        <v>3598</v>
      </c>
      <c r="E93" s="1460" t="s">
        <v>3594</v>
      </c>
      <c r="F93" s="1458" t="s">
        <v>3507</v>
      </c>
      <c r="G93" s="1458"/>
      <c r="H93" s="1462"/>
      <c r="I93" s="1462"/>
    </row>
    <row r="94" spans="2:9" ht="24.95" customHeight="1">
      <c r="B94" s="1458">
        <v>87</v>
      </c>
      <c r="C94" s="1458">
        <v>30405</v>
      </c>
      <c r="D94" s="1463" t="s">
        <v>3599</v>
      </c>
      <c r="E94" s="1460" t="s">
        <v>3594</v>
      </c>
      <c r="F94" s="1458" t="s">
        <v>3507</v>
      </c>
      <c r="G94" s="1458"/>
      <c r="H94" s="1462"/>
      <c r="I94" s="1462"/>
    </row>
    <row r="95" spans="2:9" ht="24.95" customHeight="1">
      <c r="B95" s="1458">
        <v>88</v>
      </c>
      <c r="C95" s="1458">
        <v>30500</v>
      </c>
      <c r="D95" s="1459" t="s">
        <v>3600</v>
      </c>
      <c r="E95" s="1460" t="s">
        <v>3594</v>
      </c>
      <c r="F95" s="1458" t="s">
        <v>3507</v>
      </c>
      <c r="G95" s="1458"/>
      <c r="H95" s="1462"/>
      <c r="I95" s="1462"/>
    </row>
    <row r="96" spans="2:9" ht="24.95" customHeight="1">
      <c r="B96" s="1458">
        <v>89</v>
      </c>
      <c r="C96" s="1458">
        <v>30501</v>
      </c>
      <c r="D96" s="1463" t="s">
        <v>3601</v>
      </c>
      <c r="E96" s="1460" t="s">
        <v>3594</v>
      </c>
      <c r="F96" s="1458" t="s">
        <v>3507</v>
      </c>
      <c r="G96" s="1458"/>
      <c r="H96" s="1462"/>
      <c r="I96" s="1462"/>
    </row>
    <row r="97" spans="2:9" ht="24.95" customHeight="1">
      <c r="B97" s="1458">
        <v>90</v>
      </c>
      <c r="C97" s="1458">
        <v>30502</v>
      </c>
      <c r="D97" s="1463" t="s">
        <v>3602</v>
      </c>
      <c r="E97" s="1460" t="s">
        <v>3594</v>
      </c>
      <c r="F97" s="1458" t="s">
        <v>3507</v>
      </c>
      <c r="G97" s="1458"/>
      <c r="H97" s="1462"/>
      <c r="I97" s="1462"/>
    </row>
    <row r="98" spans="2:9" ht="24.95" customHeight="1">
      <c r="B98" s="1458">
        <v>91</v>
      </c>
      <c r="C98" s="1458">
        <v>30503</v>
      </c>
      <c r="D98" s="1463" t="s">
        <v>3603</v>
      </c>
      <c r="E98" s="1460" t="s">
        <v>3594</v>
      </c>
      <c r="F98" s="1458" t="s">
        <v>3507</v>
      </c>
      <c r="G98" s="1458"/>
      <c r="H98" s="1462"/>
      <c r="I98" s="1462"/>
    </row>
    <row r="99" spans="2:9" ht="24.95" customHeight="1">
      <c r="B99" s="1458">
        <v>92</v>
      </c>
      <c r="C99" s="1458">
        <v>30504</v>
      </c>
      <c r="D99" s="1463" t="s">
        <v>3604</v>
      </c>
      <c r="E99" s="1460" t="s">
        <v>3594</v>
      </c>
      <c r="F99" s="1458" t="s">
        <v>3507</v>
      </c>
      <c r="G99" s="1458"/>
      <c r="H99" s="1462"/>
      <c r="I99" s="1462"/>
    </row>
    <row r="100" spans="2:9" ht="24.95" customHeight="1">
      <c r="B100" s="1458">
        <v>93</v>
      </c>
      <c r="C100" s="1458">
        <v>30600</v>
      </c>
      <c r="D100" s="1459" t="s">
        <v>3605</v>
      </c>
      <c r="E100" s="1460" t="s">
        <v>3594</v>
      </c>
      <c r="F100" s="1458" t="s">
        <v>3507</v>
      </c>
      <c r="G100" s="1458"/>
      <c r="H100" s="1462"/>
      <c r="I100" s="1462"/>
    </row>
    <row r="101" spans="2:9" ht="24.95" customHeight="1">
      <c r="B101" s="1458">
        <v>94</v>
      </c>
      <c r="C101" s="1458">
        <v>30601</v>
      </c>
      <c r="D101" s="1463" t="s">
        <v>3606</v>
      </c>
      <c r="E101" s="1460" t="s">
        <v>3594</v>
      </c>
      <c r="F101" s="1458" t="s">
        <v>3507</v>
      </c>
      <c r="G101" s="1458"/>
      <c r="H101" s="1462"/>
      <c r="I101" s="1462"/>
    </row>
    <row r="102" spans="2:9" ht="24.95" customHeight="1">
      <c r="B102" s="1458">
        <v>95</v>
      </c>
      <c r="C102" s="1458">
        <v>30602</v>
      </c>
      <c r="D102" s="1463" t="s">
        <v>3607</v>
      </c>
      <c r="E102" s="1460" t="s">
        <v>3594</v>
      </c>
      <c r="F102" s="1458" t="s">
        <v>3507</v>
      </c>
      <c r="G102" s="1458"/>
      <c r="H102" s="1462"/>
      <c r="I102" s="1462"/>
    </row>
    <row r="103" spans="2:9" ht="24.95" customHeight="1">
      <c r="B103" s="1458">
        <v>96</v>
      </c>
      <c r="C103" s="1458">
        <v>30700</v>
      </c>
      <c r="D103" s="1459" t="s">
        <v>3608</v>
      </c>
      <c r="E103" s="1460" t="s">
        <v>3594</v>
      </c>
      <c r="F103" s="1458" t="s">
        <v>3507</v>
      </c>
      <c r="G103" s="1458"/>
      <c r="H103" s="1462"/>
      <c r="I103" s="1462"/>
    </row>
    <row r="104" spans="2:9" ht="24.95" customHeight="1">
      <c r="B104" s="1458">
        <v>97</v>
      </c>
      <c r="C104" s="1458">
        <v>30710</v>
      </c>
      <c r="D104" s="1463" t="s">
        <v>3609</v>
      </c>
      <c r="E104" s="1460" t="s">
        <v>3594</v>
      </c>
      <c r="F104" s="1458" t="s">
        <v>3507</v>
      </c>
      <c r="G104" s="1458"/>
      <c r="H104" s="1462"/>
      <c r="I104" s="1462"/>
    </row>
    <row r="105" spans="2:9" ht="24.95" customHeight="1">
      <c r="B105" s="1458">
        <v>98</v>
      </c>
      <c r="C105" s="1458">
        <v>30711</v>
      </c>
      <c r="D105" s="1464" t="s">
        <v>1738</v>
      </c>
      <c r="E105" s="1460" t="s">
        <v>3594</v>
      </c>
      <c r="F105" s="1458" t="s">
        <v>3507</v>
      </c>
      <c r="G105" s="1458"/>
      <c r="H105" s="1462"/>
      <c r="I105" s="1462"/>
    </row>
    <row r="106" spans="2:9" ht="24.95" customHeight="1">
      <c r="B106" s="1458">
        <v>99</v>
      </c>
      <c r="C106" s="1458">
        <v>30712</v>
      </c>
      <c r="D106" s="1464" t="s">
        <v>3610</v>
      </c>
      <c r="E106" s="1460" t="s">
        <v>3594</v>
      </c>
      <c r="F106" s="1458" t="s">
        <v>3507</v>
      </c>
      <c r="G106" s="1458"/>
      <c r="H106" s="1462"/>
      <c r="I106" s="1462"/>
    </row>
    <row r="107" spans="2:9" ht="24.95" customHeight="1">
      <c r="B107" s="1458">
        <v>100</v>
      </c>
      <c r="C107" s="1458">
        <v>30713</v>
      </c>
      <c r="D107" s="1464" t="s">
        <v>3611</v>
      </c>
      <c r="E107" s="1460" t="s">
        <v>3594</v>
      </c>
      <c r="F107" s="1458" t="s">
        <v>3507</v>
      </c>
      <c r="G107" s="1458"/>
      <c r="H107" s="1462"/>
      <c r="I107" s="1462"/>
    </row>
    <row r="108" spans="2:9" ht="24.95" customHeight="1">
      <c r="B108" s="1458">
        <v>101</v>
      </c>
      <c r="C108" s="1458">
        <v>30720</v>
      </c>
      <c r="D108" s="1463" t="s">
        <v>3612</v>
      </c>
      <c r="E108" s="1460" t="s">
        <v>3594</v>
      </c>
      <c r="F108" s="1458" t="s">
        <v>3507</v>
      </c>
      <c r="G108" s="1458"/>
      <c r="H108" s="1462"/>
      <c r="I108" s="1462"/>
    </row>
    <row r="109" spans="2:9" ht="24.95" customHeight="1">
      <c r="B109" s="1458">
        <v>102</v>
      </c>
      <c r="C109" s="1458">
        <v>30721</v>
      </c>
      <c r="D109" s="1464" t="s">
        <v>3613</v>
      </c>
      <c r="E109" s="1460" t="s">
        <v>3594</v>
      </c>
      <c r="F109" s="1458" t="s">
        <v>3507</v>
      </c>
      <c r="G109" s="1458"/>
      <c r="H109" s="1462"/>
      <c r="I109" s="1462"/>
    </row>
    <row r="110" spans="2:9" ht="24.95" customHeight="1">
      <c r="B110" s="1458">
        <v>103</v>
      </c>
      <c r="C110" s="1458">
        <v>30722</v>
      </c>
      <c r="D110" s="1464" t="s">
        <v>3614</v>
      </c>
      <c r="E110" s="1460" t="s">
        <v>3594</v>
      </c>
      <c r="F110" s="1458" t="s">
        <v>3507</v>
      </c>
      <c r="G110" s="1458"/>
      <c r="H110" s="1462"/>
      <c r="I110" s="1462"/>
    </row>
    <row r="111" spans="2:9" ht="24.95" customHeight="1">
      <c r="B111" s="1458">
        <v>104</v>
      </c>
      <c r="C111" s="1458">
        <v>30723</v>
      </c>
      <c r="D111" s="1464" t="s">
        <v>3615</v>
      </c>
      <c r="E111" s="1460" t="s">
        <v>3594</v>
      </c>
      <c r="F111" s="1458" t="s">
        <v>3507</v>
      </c>
      <c r="G111" s="1458"/>
      <c r="H111" s="1462"/>
      <c r="I111" s="1462"/>
    </row>
    <row r="112" spans="2:9" ht="24.95" customHeight="1">
      <c r="B112" s="1458">
        <v>105</v>
      </c>
      <c r="C112" s="1458">
        <v>30724</v>
      </c>
      <c r="D112" s="1464" t="s">
        <v>3616</v>
      </c>
      <c r="E112" s="1460" t="s">
        <v>3594</v>
      </c>
      <c r="F112" s="1458" t="s">
        <v>3507</v>
      </c>
      <c r="G112" s="1458"/>
      <c r="H112" s="1462"/>
      <c r="I112" s="1462"/>
    </row>
    <row r="113" spans="2:9" ht="24.95" customHeight="1">
      <c r="B113" s="1458">
        <v>106</v>
      </c>
      <c r="C113" s="1458">
        <v>30725</v>
      </c>
      <c r="D113" s="1464" t="s">
        <v>3617</v>
      </c>
      <c r="E113" s="1460" t="s">
        <v>3594</v>
      </c>
      <c r="F113" s="1458" t="s">
        <v>3507</v>
      </c>
      <c r="G113" s="1458"/>
      <c r="H113" s="1462"/>
      <c r="I113" s="1462"/>
    </row>
    <row r="114" spans="2:9" ht="24.95" customHeight="1">
      <c r="B114" s="1458">
        <v>107</v>
      </c>
      <c r="C114" s="1458">
        <v>30730</v>
      </c>
      <c r="D114" s="1463" t="s">
        <v>3618</v>
      </c>
      <c r="E114" s="1460" t="s">
        <v>3594</v>
      </c>
      <c r="F114" s="1458" t="s">
        <v>3507</v>
      </c>
      <c r="G114" s="1458"/>
      <c r="H114" s="1462"/>
      <c r="I114" s="1462"/>
    </row>
    <row r="115" spans="2:9" ht="24.95" customHeight="1">
      <c r="B115" s="1458">
        <v>108</v>
      </c>
      <c r="C115" s="1458">
        <v>30731</v>
      </c>
      <c r="D115" s="1464" t="s">
        <v>3618</v>
      </c>
      <c r="E115" s="1460" t="s">
        <v>3594</v>
      </c>
      <c r="F115" s="1458" t="s">
        <v>3507</v>
      </c>
      <c r="G115" s="1458"/>
      <c r="H115" s="1462"/>
      <c r="I115" s="1462"/>
    </row>
    <row r="116" spans="2:9" ht="24.95" customHeight="1">
      <c r="B116" s="1458">
        <v>109</v>
      </c>
      <c r="C116" s="1458">
        <v>30740</v>
      </c>
      <c r="D116" s="1463" t="s">
        <v>3619</v>
      </c>
      <c r="E116" s="1460" t="s">
        <v>3594</v>
      </c>
      <c r="F116" s="1458" t="s">
        <v>3507</v>
      </c>
      <c r="G116" s="1458"/>
      <c r="H116" s="1462"/>
      <c r="I116" s="1462"/>
    </row>
    <row r="117" spans="2:9" ht="24.95" customHeight="1">
      <c r="B117" s="1458">
        <v>110</v>
      </c>
      <c r="C117" s="1458">
        <v>30741</v>
      </c>
      <c r="D117" s="1464" t="s">
        <v>3620</v>
      </c>
      <c r="E117" s="1460" t="s">
        <v>3594</v>
      </c>
      <c r="F117" s="1458" t="s">
        <v>3507</v>
      </c>
      <c r="G117" s="1458"/>
      <c r="H117" s="1462"/>
      <c r="I117" s="1462"/>
    </row>
    <row r="118" spans="2:9" ht="24.95" customHeight="1">
      <c r="B118" s="1458">
        <v>111</v>
      </c>
      <c r="C118" s="1458">
        <v>30742</v>
      </c>
      <c r="D118" s="1464" t="s">
        <v>3621</v>
      </c>
      <c r="E118" s="1460" t="s">
        <v>3594</v>
      </c>
      <c r="F118" s="1458" t="s">
        <v>3507</v>
      </c>
      <c r="G118" s="1458"/>
      <c r="H118" s="1462"/>
      <c r="I118" s="1462"/>
    </row>
    <row r="119" spans="2:9" ht="24.95" customHeight="1">
      <c r="B119" s="1458">
        <v>112</v>
      </c>
      <c r="C119" s="1458">
        <v>30750</v>
      </c>
      <c r="D119" s="1463" t="s">
        <v>3622</v>
      </c>
      <c r="E119" s="1460" t="s">
        <v>3594</v>
      </c>
      <c r="F119" s="1458" t="s">
        <v>3507</v>
      </c>
      <c r="G119" s="1458"/>
      <c r="H119" s="1462"/>
      <c r="I119" s="1462"/>
    </row>
    <row r="120" spans="2:9" ht="24.95" customHeight="1">
      <c r="B120" s="1458">
        <v>113</v>
      </c>
      <c r="C120" s="1458">
        <v>32000</v>
      </c>
      <c r="D120" s="1459" t="s">
        <v>3623</v>
      </c>
      <c r="E120" s="1460" t="s">
        <v>3594</v>
      </c>
      <c r="F120" s="1458" t="s">
        <v>3507</v>
      </c>
      <c r="G120" s="1458"/>
      <c r="H120" s="1462"/>
      <c r="I120" s="1462"/>
    </row>
    <row r="121" spans="2:9" ht="24.95" customHeight="1">
      <c r="B121" s="1458">
        <v>114</v>
      </c>
      <c r="C121" s="1458">
        <v>32001</v>
      </c>
      <c r="D121" s="1463" t="s">
        <v>3624</v>
      </c>
      <c r="E121" s="1460" t="s">
        <v>3594</v>
      </c>
      <c r="F121" s="1458" t="s">
        <v>3507</v>
      </c>
      <c r="G121" s="1458"/>
      <c r="H121" s="1462"/>
      <c r="I121" s="1462"/>
    </row>
    <row r="122" spans="2:9" ht="24.95" customHeight="1">
      <c r="B122" s="1458">
        <v>115</v>
      </c>
      <c r="C122" s="1458">
        <v>35000</v>
      </c>
      <c r="D122" s="1459" t="s">
        <v>3625</v>
      </c>
      <c r="E122" s="1460" t="s">
        <v>3594</v>
      </c>
      <c r="F122" s="1458" t="s">
        <v>3507</v>
      </c>
      <c r="G122" s="1458"/>
      <c r="H122" s="1462"/>
      <c r="I122" s="1462"/>
    </row>
    <row r="123" spans="2:9" ht="24.95" customHeight="1">
      <c r="B123" s="1458">
        <v>116</v>
      </c>
      <c r="C123" s="1458">
        <v>35002</v>
      </c>
      <c r="D123" s="1463" t="s">
        <v>3626</v>
      </c>
      <c r="E123" s="1460" t="s">
        <v>3594</v>
      </c>
      <c r="F123" s="1458" t="s">
        <v>3507</v>
      </c>
      <c r="G123" s="1458"/>
      <c r="H123" s="1462"/>
      <c r="I123" s="1462"/>
    </row>
    <row r="124" spans="2:9" ht="24.95" customHeight="1">
      <c r="B124" s="1458">
        <v>117</v>
      </c>
      <c r="C124" s="1458">
        <v>38000</v>
      </c>
      <c r="D124" s="1459" t="s">
        <v>3627</v>
      </c>
      <c r="E124" s="1460" t="s">
        <v>3594</v>
      </c>
      <c r="F124" s="1458" t="s">
        <v>3507</v>
      </c>
      <c r="G124" s="1458"/>
      <c r="H124" s="1462"/>
      <c r="I124" s="1462"/>
    </row>
    <row r="125" spans="2:9" ht="24.95" customHeight="1">
      <c r="B125" s="1458">
        <v>118</v>
      </c>
      <c r="C125" s="1458">
        <v>39990</v>
      </c>
      <c r="D125" s="1459" t="s">
        <v>3628</v>
      </c>
      <c r="E125" s="1460" t="s">
        <v>3594</v>
      </c>
      <c r="F125" s="1458" t="s">
        <v>3507</v>
      </c>
      <c r="G125" s="1458"/>
      <c r="H125" s="1462"/>
      <c r="I125" s="1462"/>
    </row>
    <row r="126" spans="2:9" ht="24.95" customHeight="1">
      <c r="B126" s="1458">
        <v>119</v>
      </c>
      <c r="C126" s="1458"/>
      <c r="D126" s="1459" t="s">
        <v>3629</v>
      </c>
      <c r="E126" s="1460" t="s">
        <v>3594</v>
      </c>
      <c r="F126" s="1458" t="s">
        <v>3507</v>
      </c>
      <c r="G126" s="1458"/>
      <c r="H126" s="1462"/>
      <c r="I126" s="1462"/>
    </row>
    <row r="127" spans="2:9" ht="24.95" customHeight="1">
      <c r="B127" s="1458">
        <v>120</v>
      </c>
      <c r="C127" s="1458">
        <v>40000</v>
      </c>
      <c r="D127" s="1459" t="s">
        <v>3630</v>
      </c>
      <c r="E127" s="1460" t="s">
        <v>3631</v>
      </c>
      <c r="F127" s="1458" t="s">
        <v>3507</v>
      </c>
      <c r="G127" s="1458"/>
      <c r="H127" s="1462"/>
      <c r="I127" s="1462"/>
    </row>
    <row r="128" spans="2:9" ht="24.95" customHeight="1">
      <c r="B128" s="1458">
        <v>121</v>
      </c>
      <c r="C128" s="1458">
        <v>40002</v>
      </c>
      <c r="D128" s="1463" t="s">
        <v>3624</v>
      </c>
      <c r="E128" s="1460" t="s">
        <v>3631</v>
      </c>
      <c r="F128" s="1458" t="s">
        <v>3507</v>
      </c>
      <c r="G128" s="1458"/>
      <c r="H128" s="1462"/>
      <c r="I128" s="1462"/>
    </row>
    <row r="129" spans="2:9" ht="24.95" customHeight="1">
      <c r="B129" s="1458">
        <v>122</v>
      </c>
      <c r="C129" s="1458">
        <v>40100</v>
      </c>
      <c r="D129" s="1459" t="s">
        <v>3632</v>
      </c>
      <c r="E129" s="1460" t="s">
        <v>3631</v>
      </c>
      <c r="F129" s="1458" t="s">
        <v>3507</v>
      </c>
      <c r="G129" s="1458"/>
      <c r="H129" s="1462"/>
      <c r="I129" s="1462"/>
    </row>
    <row r="130" spans="2:9" ht="24.95" customHeight="1">
      <c r="B130" s="1458">
        <v>123</v>
      </c>
      <c r="C130" s="1458">
        <v>40102</v>
      </c>
      <c r="D130" s="1463" t="s">
        <v>3633</v>
      </c>
      <c r="E130" s="1460" t="s">
        <v>3631</v>
      </c>
      <c r="F130" s="1458" t="s">
        <v>3507</v>
      </c>
      <c r="G130" s="1458"/>
      <c r="H130" s="1462"/>
      <c r="I130" s="1462"/>
    </row>
    <row r="131" spans="2:9" ht="24.95" customHeight="1">
      <c r="B131" s="1458">
        <v>124</v>
      </c>
      <c r="C131" s="1458">
        <v>40103</v>
      </c>
      <c r="D131" s="1463" t="s">
        <v>3634</v>
      </c>
      <c r="E131" s="1460" t="s">
        <v>3631</v>
      </c>
      <c r="F131" s="1458" t="s">
        <v>3507</v>
      </c>
      <c r="G131" s="1458"/>
      <c r="H131" s="1462"/>
      <c r="I131" s="1462"/>
    </row>
    <row r="132" spans="2:9" ht="24.95" customHeight="1">
      <c r="B132" s="1458">
        <v>125</v>
      </c>
      <c r="C132" s="1458">
        <v>40200</v>
      </c>
      <c r="D132" s="1459" t="s">
        <v>3635</v>
      </c>
      <c r="E132" s="1460" t="s">
        <v>3631</v>
      </c>
      <c r="F132" s="1458" t="s">
        <v>3507</v>
      </c>
      <c r="G132" s="1458"/>
      <c r="H132" s="1462"/>
      <c r="I132" s="1462"/>
    </row>
    <row r="133" spans="2:9" ht="24.95" customHeight="1">
      <c r="B133" s="1458">
        <v>126</v>
      </c>
      <c r="C133" s="1458">
        <v>40201</v>
      </c>
      <c r="D133" s="1463" t="s">
        <v>3636</v>
      </c>
      <c r="E133" s="1460" t="s">
        <v>3631</v>
      </c>
      <c r="F133" s="1458" t="s">
        <v>3507</v>
      </c>
      <c r="G133" s="1458"/>
      <c r="H133" s="1462"/>
      <c r="I133" s="1462"/>
    </row>
    <row r="134" spans="2:9" ht="24.95" customHeight="1">
      <c r="B134" s="1458">
        <v>127</v>
      </c>
      <c r="C134" s="1458">
        <v>40300</v>
      </c>
      <c r="D134" s="1459" t="s">
        <v>3637</v>
      </c>
      <c r="E134" s="1460" t="s">
        <v>3631</v>
      </c>
      <c r="F134" s="1458" t="s">
        <v>3507</v>
      </c>
      <c r="G134" s="1458"/>
      <c r="H134" s="1462"/>
      <c r="I134" s="1462"/>
    </row>
    <row r="135" spans="2:9" ht="24.95" customHeight="1">
      <c r="B135" s="1458">
        <v>128</v>
      </c>
      <c r="C135" s="1458">
        <v>49990</v>
      </c>
      <c r="D135" s="1459" t="s">
        <v>3638</v>
      </c>
      <c r="E135" s="1460" t="s">
        <v>3631</v>
      </c>
      <c r="F135" s="1458" t="s">
        <v>3507</v>
      </c>
      <c r="G135" s="1458"/>
      <c r="H135" s="1462"/>
      <c r="I135" s="1462"/>
    </row>
    <row r="136" spans="2:9" ht="24.95" customHeight="1">
      <c r="B136" s="1458">
        <v>129</v>
      </c>
      <c r="C136" s="1458">
        <v>50000</v>
      </c>
      <c r="D136" s="1459" t="s">
        <v>3639</v>
      </c>
      <c r="E136" s="1460" t="s">
        <v>3640</v>
      </c>
      <c r="F136" s="1458" t="s">
        <v>3507</v>
      </c>
      <c r="G136" s="1458"/>
      <c r="H136" s="1462"/>
      <c r="I136" s="1462"/>
    </row>
    <row r="137" spans="2:9" ht="24.95" customHeight="1">
      <c r="B137" s="1458">
        <v>130</v>
      </c>
      <c r="C137" s="1458">
        <v>50100</v>
      </c>
      <c r="D137" s="1459" t="s">
        <v>3641</v>
      </c>
      <c r="E137" s="1460" t="s">
        <v>3640</v>
      </c>
      <c r="F137" s="1458" t="s">
        <v>3507</v>
      </c>
      <c r="G137" s="1458"/>
      <c r="H137" s="1462"/>
      <c r="I137" s="1462"/>
    </row>
    <row r="138" spans="2:9" ht="24.95" customHeight="1">
      <c r="B138" s="1458">
        <v>131</v>
      </c>
      <c r="C138" s="1458">
        <v>50101</v>
      </c>
      <c r="D138" s="1463" t="s">
        <v>3707</v>
      </c>
      <c r="E138" s="1460" t="s">
        <v>3640</v>
      </c>
      <c r="F138" s="1458" t="s">
        <v>3507</v>
      </c>
      <c r="G138" s="1458"/>
      <c r="H138" s="1462"/>
      <c r="I138" s="1462"/>
    </row>
    <row r="139" spans="2:9" ht="24.95" customHeight="1">
      <c r="B139" s="1458">
        <v>132</v>
      </c>
      <c r="C139" s="1458">
        <v>50300</v>
      </c>
      <c r="D139" s="1459" t="s">
        <v>3642</v>
      </c>
      <c r="E139" s="1460" t="s">
        <v>3640</v>
      </c>
      <c r="F139" s="1458" t="s">
        <v>3507</v>
      </c>
      <c r="G139" s="1458"/>
      <c r="H139" s="1462"/>
      <c r="I139" s="1462"/>
    </row>
    <row r="140" spans="2:9" ht="24.95" customHeight="1">
      <c r="B140" s="1458">
        <v>133</v>
      </c>
      <c r="C140" s="1458">
        <v>50301</v>
      </c>
      <c r="D140" s="1463" t="s">
        <v>3643</v>
      </c>
      <c r="E140" s="1460" t="s">
        <v>3640</v>
      </c>
      <c r="F140" s="1458" t="s">
        <v>3507</v>
      </c>
      <c r="G140" s="1458"/>
      <c r="H140" s="1462"/>
      <c r="I140" s="1462"/>
    </row>
    <row r="141" spans="2:9" ht="24.95" customHeight="1">
      <c r="B141" s="1458">
        <v>134</v>
      </c>
      <c r="C141" s="1458">
        <v>50400</v>
      </c>
      <c r="D141" s="1459" t="s">
        <v>3644</v>
      </c>
      <c r="E141" s="1460" t="s">
        <v>3640</v>
      </c>
      <c r="F141" s="1458" t="s">
        <v>3507</v>
      </c>
      <c r="G141" s="1458"/>
      <c r="H141" s="1462"/>
      <c r="I141" s="1462"/>
    </row>
    <row r="142" spans="2:9" ht="24.95" customHeight="1">
      <c r="B142" s="1458">
        <v>135</v>
      </c>
      <c r="C142" s="1458">
        <v>50500</v>
      </c>
      <c r="D142" s="1459" t="s">
        <v>3645</v>
      </c>
      <c r="E142" s="1460" t="s">
        <v>3640</v>
      </c>
      <c r="F142" s="1458" t="s">
        <v>3507</v>
      </c>
      <c r="G142" s="1458"/>
      <c r="H142" s="1462"/>
      <c r="I142" s="1462"/>
    </row>
    <row r="143" spans="2:9" ht="24.95" customHeight="1">
      <c r="B143" s="1458">
        <v>136</v>
      </c>
      <c r="C143" s="1458">
        <v>50501</v>
      </c>
      <c r="D143" s="1463" t="s">
        <v>3646</v>
      </c>
      <c r="E143" s="1460" t="s">
        <v>3640</v>
      </c>
      <c r="F143" s="1458" t="s">
        <v>3507</v>
      </c>
      <c r="G143" s="1458"/>
      <c r="H143" s="1462"/>
      <c r="I143" s="1462"/>
    </row>
    <row r="144" spans="2:9" ht="24.95" customHeight="1">
      <c r="B144" s="1458">
        <v>137</v>
      </c>
      <c r="C144" s="1458">
        <v>50600</v>
      </c>
      <c r="D144" s="1459" t="s">
        <v>3647</v>
      </c>
      <c r="E144" s="1460" t="s">
        <v>3640</v>
      </c>
      <c r="F144" s="1458" t="s">
        <v>3507</v>
      </c>
      <c r="G144" s="1458"/>
      <c r="H144" s="1462"/>
      <c r="I144" s="1462"/>
    </row>
    <row r="145" spans="2:9" ht="24.95" customHeight="1">
      <c r="B145" s="1458">
        <v>138</v>
      </c>
      <c r="C145" s="1458">
        <v>50601</v>
      </c>
      <c r="D145" s="1463" t="s">
        <v>3708</v>
      </c>
      <c r="E145" s="1460" t="s">
        <v>3640</v>
      </c>
      <c r="F145" s="1458" t="s">
        <v>3507</v>
      </c>
      <c r="G145" s="1458"/>
      <c r="H145" s="1462"/>
      <c r="I145" s="1462"/>
    </row>
    <row r="146" spans="2:9" ht="24.95" customHeight="1">
      <c r="B146" s="1458">
        <v>139</v>
      </c>
      <c r="C146" s="1458">
        <v>50700</v>
      </c>
      <c r="D146" s="1459" t="s">
        <v>3648</v>
      </c>
      <c r="E146" s="1460" t="s">
        <v>3640</v>
      </c>
      <c r="F146" s="1458" t="s">
        <v>3507</v>
      </c>
      <c r="G146" s="1458"/>
      <c r="H146" s="1462"/>
      <c r="I146" s="1462"/>
    </row>
    <row r="147" spans="2:9" ht="24.95" customHeight="1">
      <c r="B147" s="1458">
        <v>140</v>
      </c>
      <c r="C147" s="1458">
        <v>60000</v>
      </c>
      <c r="D147" s="1459" t="s">
        <v>3649</v>
      </c>
      <c r="E147" s="1460" t="s">
        <v>1680</v>
      </c>
      <c r="F147" s="1458" t="s">
        <v>3507</v>
      </c>
      <c r="G147" s="1458"/>
      <c r="H147" s="1462"/>
      <c r="I147" s="1462"/>
    </row>
    <row r="148" spans="2:9" ht="24.95" customHeight="1">
      <c r="B148" s="1458">
        <v>141</v>
      </c>
      <c r="C148" s="1458">
        <v>60010</v>
      </c>
      <c r="D148" s="1463" t="s">
        <v>3650</v>
      </c>
      <c r="E148" s="1460" t="s">
        <v>1680</v>
      </c>
      <c r="F148" s="1458" t="s">
        <v>3507</v>
      </c>
      <c r="G148" s="1458"/>
      <c r="H148" s="1462"/>
      <c r="I148" s="1462"/>
    </row>
    <row r="149" spans="2:9" ht="24.95" customHeight="1">
      <c r="B149" s="1458">
        <v>142</v>
      </c>
      <c r="C149" s="1458">
        <v>60020</v>
      </c>
      <c r="D149" s="1463" t="s">
        <v>3651</v>
      </c>
      <c r="E149" s="1460" t="s">
        <v>1680</v>
      </c>
      <c r="F149" s="1458" t="s">
        <v>3507</v>
      </c>
      <c r="G149" s="1458"/>
      <c r="H149" s="1462"/>
      <c r="I149" s="1462"/>
    </row>
    <row r="150" spans="2:9" ht="24.95" customHeight="1">
      <c r="B150" s="1458">
        <v>143</v>
      </c>
      <c r="C150" s="1458">
        <v>60300</v>
      </c>
      <c r="D150" s="1459" t="s">
        <v>565</v>
      </c>
      <c r="E150" s="1460" t="s">
        <v>1680</v>
      </c>
      <c r="F150" s="1458" t="s">
        <v>3507</v>
      </c>
      <c r="G150" s="1458"/>
      <c r="H150" s="1462"/>
      <c r="I150" s="1462"/>
    </row>
    <row r="151" spans="2:9" ht="24.95" customHeight="1">
      <c r="B151" s="1458">
        <v>144</v>
      </c>
      <c r="C151" s="1458">
        <v>60400</v>
      </c>
      <c r="D151" s="1459" t="s">
        <v>3652</v>
      </c>
      <c r="E151" s="1460" t="s">
        <v>1680</v>
      </c>
      <c r="F151" s="1458" t="s">
        <v>3507</v>
      </c>
      <c r="G151" s="1458"/>
      <c r="H151" s="1462"/>
      <c r="I151" s="1462"/>
    </row>
    <row r="152" spans="2:9" ht="24.95" customHeight="1">
      <c r="B152" s="1458">
        <v>145</v>
      </c>
      <c r="C152" s="1458">
        <v>60990</v>
      </c>
      <c r="D152" s="1459" t="s">
        <v>3653</v>
      </c>
      <c r="E152" s="1460" t="s">
        <v>1680</v>
      </c>
      <c r="F152" s="1458" t="s">
        <v>3507</v>
      </c>
      <c r="G152" s="1458"/>
      <c r="H152" s="1462"/>
      <c r="I152" s="1462"/>
    </row>
    <row r="153" spans="2:9" ht="24.95" customHeight="1">
      <c r="B153" s="1458">
        <v>146</v>
      </c>
      <c r="C153" s="1458">
        <v>61030</v>
      </c>
      <c r="D153" s="1459" t="s">
        <v>3654</v>
      </c>
      <c r="E153" s="1460" t="s">
        <v>1680</v>
      </c>
      <c r="F153" s="1458" t="s">
        <v>3507</v>
      </c>
      <c r="G153" s="1458"/>
      <c r="H153" s="1462"/>
      <c r="I153" s="1462"/>
    </row>
    <row r="154" spans="2:9" ht="24.95" customHeight="1">
      <c r="B154" s="1458">
        <v>147</v>
      </c>
      <c r="C154" s="1458">
        <v>61031</v>
      </c>
      <c r="D154" s="1463" t="s">
        <v>3655</v>
      </c>
      <c r="E154" s="1460" t="s">
        <v>1680</v>
      </c>
      <c r="F154" s="1458" t="s">
        <v>3507</v>
      </c>
      <c r="G154" s="1458"/>
      <c r="H154" s="1462"/>
      <c r="I154" s="1462"/>
    </row>
    <row r="155" spans="2:9" ht="24.95" customHeight="1">
      <c r="B155" s="1458">
        <v>148</v>
      </c>
      <c r="C155" s="1458">
        <v>61032</v>
      </c>
      <c r="D155" s="1463" t="s">
        <v>3656</v>
      </c>
      <c r="E155" s="1460" t="s">
        <v>1680</v>
      </c>
      <c r="F155" s="1458" t="s">
        <v>3507</v>
      </c>
      <c r="G155" s="1458"/>
      <c r="H155" s="1462"/>
      <c r="I155" s="1462"/>
    </row>
    <row r="156" spans="2:9" ht="24.95" customHeight="1">
      <c r="B156" s="1458">
        <v>149</v>
      </c>
      <c r="C156" s="1458">
        <v>61033</v>
      </c>
      <c r="D156" s="1463" t="s">
        <v>3657</v>
      </c>
      <c r="E156" s="1460" t="s">
        <v>1680</v>
      </c>
      <c r="F156" s="1458" t="s">
        <v>3507</v>
      </c>
      <c r="G156" s="1458"/>
      <c r="H156" s="1462"/>
      <c r="I156" s="1462"/>
    </row>
    <row r="157" spans="2:9" ht="24.95" customHeight="1">
      <c r="B157" s="1458">
        <v>150</v>
      </c>
      <c r="C157" s="1458">
        <v>61034</v>
      </c>
      <c r="D157" s="1463" t="s">
        <v>3658</v>
      </c>
      <c r="E157" s="1460" t="s">
        <v>1680</v>
      </c>
      <c r="F157" s="1458" t="s">
        <v>3507</v>
      </c>
      <c r="G157" s="1458"/>
      <c r="H157" s="1462"/>
      <c r="I157" s="1462"/>
    </row>
    <row r="158" spans="2:9" ht="24.95" customHeight="1">
      <c r="B158" s="1458">
        <v>151</v>
      </c>
      <c r="C158" s="1458">
        <v>61035</v>
      </c>
      <c r="D158" s="1463" t="s">
        <v>3659</v>
      </c>
      <c r="E158" s="1460" t="s">
        <v>1680</v>
      </c>
      <c r="F158" s="1458" t="s">
        <v>3507</v>
      </c>
      <c r="G158" s="1458"/>
      <c r="H158" s="1462"/>
      <c r="I158" s="1462"/>
    </row>
    <row r="159" spans="2:9" ht="24.95" customHeight="1">
      <c r="B159" s="1458">
        <v>152</v>
      </c>
      <c r="C159" s="1458">
        <v>61040</v>
      </c>
      <c r="D159" s="1459" t="s">
        <v>3660</v>
      </c>
      <c r="E159" s="1460" t="s">
        <v>1680</v>
      </c>
      <c r="F159" s="1458" t="s">
        <v>3507</v>
      </c>
      <c r="G159" s="1458"/>
      <c r="H159" s="1462"/>
      <c r="I159" s="1462"/>
    </row>
    <row r="160" spans="2:9" ht="24.95" customHeight="1">
      <c r="B160" s="1458">
        <v>153</v>
      </c>
      <c r="C160" s="1458">
        <v>61050</v>
      </c>
      <c r="D160" s="1459" t="s">
        <v>3661</v>
      </c>
      <c r="E160" s="1460" t="s">
        <v>1680</v>
      </c>
      <c r="F160" s="1458" t="s">
        <v>3507</v>
      </c>
      <c r="G160" s="1458"/>
      <c r="H160" s="1462"/>
      <c r="I160" s="1462"/>
    </row>
    <row r="161" spans="2:9" ht="24.95" customHeight="1">
      <c r="B161" s="1458">
        <v>154</v>
      </c>
      <c r="C161" s="1458">
        <v>61060</v>
      </c>
      <c r="D161" s="1459" t="s">
        <v>3662</v>
      </c>
      <c r="E161" s="1460" t="s">
        <v>1680</v>
      </c>
      <c r="F161" s="1458" t="s">
        <v>3507</v>
      </c>
      <c r="G161" s="1458"/>
      <c r="H161" s="1462"/>
      <c r="I161" s="1462"/>
    </row>
    <row r="162" spans="2:9" ht="24.95" customHeight="1">
      <c r="B162" s="1458">
        <v>155</v>
      </c>
      <c r="C162" s="1458"/>
      <c r="D162" s="1459" t="s">
        <v>3663</v>
      </c>
      <c r="E162" s="1460" t="s">
        <v>1680</v>
      </c>
      <c r="F162" s="1458" t="s">
        <v>3507</v>
      </c>
      <c r="G162" s="1458"/>
      <c r="H162" s="1462"/>
      <c r="I162" s="1462"/>
    </row>
    <row r="163" spans="2:9" ht="24.95" customHeight="1">
      <c r="B163" s="1458">
        <v>156</v>
      </c>
      <c r="C163" s="1458"/>
      <c r="D163" s="1459" t="s">
        <v>195</v>
      </c>
      <c r="E163" s="1460" t="s">
        <v>1680</v>
      </c>
      <c r="F163" s="1458" t="s">
        <v>3507</v>
      </c>
      <c r="G163" s="1458"/>
      <c r="H163" s="1462"/>
      <c r="I163" s="1462"/>
    </row>
    <row r="164" spans="2:9" ht="24.95" customHeight="1">
      <c r="B164" s="1458">
        <v>157</v>
      </c>
      <c r="C164" s="1458"/>
      <c r="D164" s="1459" t="s">
        <v>3664</v>
      </c>
      <c r="E164" s="1460" t="s">
        <v>1680</v>
      </c>
      <c r="F164" s="1458" t="s">
        <v>3507</v>
      </c>
      <c r="G164" s="1458"/>
      <c r="H164" s="1462"/>
      <c r="I164" s="1462"/>
    </row>
    <row r="165" spans="2:9" ht="24.95" customHeight="1">
      <c r="B165" s="1458">
        <v>158</v>
      </c>
      <c r="C165" s="1458"/>
      <c r="D165" s="1459" t="s">
        <v>3665</v>
      </c>
      <c r="E165" s="1460" t="s">
        <v>1680</v>
      </c>
      <c r="F165" s="1458" t="s">
        <v>3507</v>
      </c>
      <c r="G165" s="1458"/>
      <c r="H165" s="1462"/>
      <c r="I165" s="1462"/>
    </row>
    <row r="166" spans="2:9" ht="24.95" customHeight="1">
      <c r="B166" s="1458">
        <v>159</v>
      </c>
      <c r="C166" s="1458"/>
      <c r="D166" s="1459" t="s">
        <v>3666</v>
      </c>
      <c r="E166" s="1460" t="s">
        <v>1680</v>
      </c>
      <c r="F166" s="1458" t="s">
        <v>3507</v>
      </c>
      <c r="G166" s="1458"/>
      <c r="H166" s="1462"/>
      <c r="I166" s="1462"/>
    </row>
    <row r="167" spans="2:9" ht="24.95" customHeight="1">
      <c r="B167" s="1458">
        <v>160</v>
      </c>
      <c r="C167" s="1458"/>
      <c r="D167" s="1459" t="s">
        <v>3667</v>
      </c>
      <c r="E167" s="1460" t="s">
        <v>1680</v>
      </c>
      <c r="F167" s="1458" t="s">
        <v>3507</v>
      </c>
      <c r="G167" s="1458"/>
      <c r="H167" s="1462"/>
      <c r="I167" s="1462"/>
    </row>
    <row r="168" spans="2:9" ht="24.95" customHeight="1">
      <c r="B168" s="1458">
        <v>161</v>
      </c>
      <c r="C168" s="1458">
        <v>70000</v>
      </c>
      <c r="D168" s="1459" t="s">
        <v>3668</v>
      </c>
      <c r="E168" s="1460" t="s">
        <v>3669</v>
      </c>
      <c r="F168" s="1458" t="s">
        <v>3507</v>
      </c>
      <c r="G168" s="1458"/>
      <c r="H168" s="1462"/>
      <c r="I168" s="1462"/>
    </row>
    <row r="169" spans="2:9" ht="24.95" customHeight="1">
      <c r="B169" s="1458">
        <v>162</v>
      </c>
      <c r="C169" s="1458">
        <v>70010</v>
      </c>
      <c r="D169" s="1463" t="s">
        <v>3670</v>
      </c>
      <c r="E169" s="1460" t="s">
        <v>3669</v>
      </c>
      <c r="F169" s="1458" t="s">
        <v>3507</v>
      </c>
      <c r="G169" s="1458"/>
      <c r="H169" s="1462"/>
      <c r="I169" s="1462"/>
    </row>
    <row r="170" spans="2:9" ht="24.95" customHeight="1">
      <c r="B170" s="1458">
        <v>163</v>
      </c>
      <c r="C170" s="1458">
        <v>70011</v>
      </c>
      <c r="D170" s="1463" t="s">
        <v>3671</v>
      </c>
      <c r="E170" s="1460" t="s">
        <v>3669</v>
      </c>
      <c r="F170" s="1458" t="s">
        <v>3507</v>
      </c>
      <c r="G170" s="1458"/>
      <c r="H170" s="1462"/>
      <c r="I170" s="1462"/>
    </row>
    <row r="171" spans="2:9" ht="24.95" customHeight="1">
      <c r="B171" s="1458">
        <v>164</v>
      </c>
      <c r="C171" s="1458">
        <v>70013</v>
      </c>
      <c r="D171" s="1463" t="s">
        <v>3672</v>
      </c>
      <c r="E171" s="1460" t="s">
        <v>3669</v>
      </c>
      <c r="F171" s="1458" t="s">
        <v>3507</v>
      </c>
      <c r="G171" s="1458"/>
      <c r="H171" s="1462"/>
      <c r="I171" s="1462"/>
    </row>
    <row r="172" spans="2:9" ht="24.95" customHeight="1">
      <c r="B172" s="1458">
        <v>165</v>
      </c>
      <c r="C172" s="1458">
        <v>70014</v>
      </c>
      <c r="D172" s="1463" t="s">
        <v>3673</v>
      </c>
      <c r="E172" s="1460" t="s">
        <v>3669</v>
      </c>
      <c r="F172" s="1458" t="s">
        <v>3507</v>
      </c>
      <c r="G172" s="1458"/>
      <c r="H172" s="1462"/>
      <c r="I172" s="1462"/>
    </row>
    <row r="173" spans="2:9" ht="24.95" customHeight="1">
      <c r="B173" s="1458">
        <v>166</v>
      </c>
      <c r="C173" s="1458">
        <v>70019</v>
      </c>
      <c r="D173" s="1463" t="s">
        <v>3674</v>
      </c>
      <c r="E173" s="1460" t="s">
        <v>3669</v>
      </c>
      <c r="F173" s="1458" t="s">
        <v>3507</v>
      </c>
      <c r="G173" s="1458"/>
      <c r="H173" s="1462"/>
      <c r="I173" s="1462"/>
    </row>
    <row r="174" spans="2:9" ht="24.95" customHeight="1">
      <c r="B174" s="1458">
        <v>167</v>
      </c>
      <c r="C174" s="1458">
        <v>70120</v>
      </c>
      <c r="D174" s="1463" t="s">
        <v>3675</v>
      </c>
      <c r="E174" s="1460" t="s">
        <v>3669</v>
      </c>
      <c r="F174" s="1458" t="s">
        <v>3507</v>
      </c>
      <c r="G174" s="1458"/>
      <c r="H174" s="1462"/>
      <c r="I174" s="1462"/>
    </row>
    <row r="175" spans="2:9" ht="24.95" customHeight="1">
      <c r="B175" s="1458">
        <v>168</v>
      </c>
      <c r="C175" s="1458">
        <v>70100</v>
      </c>
      <c r="D175" s="1459" t="s">
        <v>3676</v>
      </c>
      <c r="E175" s="1460" t="s">
        <v>3669</v>
      </c>
      <c r="F175" s="1458" t="s">
        <v>3507</v>
      </c>
      <c r="G175" s="1458"/>
      <c r="H175" s="1462"/>
      <c r="I175" s="1462"/>
    </row>
    <row r="176" spans="2:9" ht="24.95" customHeight="1">
      <c r="B176" s="1458">
        <v>169</v>
      </c>
      <c r="C176" s="1458">
        <v>70020</v>
      </c>
      <c r="D176" s="1463" t="s">
        <v>3677</v>
      </c>
      <c r="E176" s="1460" t="s">
        <v>3669</v>
      </c>
      <c r="F176" s="1458" t="s">
        <v>3507</v>
      </c>
      <c r="G176" s="1458"/>
      <c r="H176" s="1462"/>
      <c r="I176" s="1462"/>
    </row>
    <row r="177" spans="2:9" ht="24.95" customHeight="1">
      <c r="B177" s="1458">
        <v>170</v>
      </c>
      <c r="C177" s="1458">
        <v>70110</v>
      </c>
      <c r="D177" s="1463" t="s">
        <v>3678</v>
      </c>
      <c r="E177" s="1460" t="s">
        <v>3669</v>
      </c>
      <c r="F177" s="1458" t="s">
        <v>3507</v>
      </c>
      <c r="G177" s="1458"/>
      <c r="H177" s="1462"/>
      <c r="I177" s="1462"/>
    </row>
    <row r="178" spans="2:9" ht="24.95" customHeight="1">
      <c r="B178" s="1458">
        <v>171</v>
      </c>
      <c r="C178" s="1458"/>
      <c r="D178" s="1459" t="s">
        <v>3669</v>
      </c>
      <c r="E178" s="1460" t="s">
        <v>3669</v>
      </c>
      <c r="F178" s="1458" t="s">
        <v>3507</v>
      </c>
      <c r="G178" s="1458"/>
      <c r="H178" s="1462"/>
      <c r="I178" s="1462"/>
    </row>
    <row r="179" spans="2:9" ht="24.95" customHeight="1">
      <c r="B179" s="1458">
        <v>172</v>
      </c>
      <c r="C179" s="1458"/>
      <c r="D179" s="1459" t="s">
        <v>3679</v>
      </c>
      <c r="E179" s="1460" t="s">
        <v>3669</v>
      </c>
      <c r="F179" s="1458" t="s">
        <v>3507</v>
      </c>
      <c r="G179" s="1458"/>
      <c r="H179" s="1462"/>
      <c r="I179" s="1462"/>
    </row>
    <row r="180" spans="2:9" ht="24.95" customHeight="1">
      <c r="B180" s="1458">
        <v>173</v>
      </c>
      <c r="C180" s="1458">
        <v>70200</v>
      </c>
      <c r="D180" s="1459" t="s">
        <v>3680</v>
      </c>
      <c r="E180" s="1460" t="s">
        <v>1735</v>
      </c>
      <c r="F180" s="1458" t="s">
        <v>3507</v>
      </c>
      <c r="G180" s="1458"/>
      <c r="H180" s="1462"/>
      <c r="I180" s="1462"/>
    </row>
    <row r="181" spans="2:9" ht="24.95" customHeight="1">
      <c r="B181" s="1458">
        <v>174</v>
      </c>
      <c r="C181" s="1458">
        <v>70201</v>
      </c>
      <c r="D181" s="1463" t="s">
        <v>3681</v>
      </c>
      <c r="E181" s="1460" t="s">
        <v>1735</v>
      </c>
      <c r="F181" s="1458" t="s">
        <v>3507</v>
      </c>
      <c r="G181" s="1458"/>
      <c r="H181" s="1462"/>
      <c r="I181" s="1462"/>
    </row>
    <row r="182" spans="2:9" ht="24.95" customHeight="1">
      <c r="B182" s="1458">
        <v>175</v>
      </c>
      <c r="C182" s="1458">
        <v>70202</v>
      </c>
      <c r="D182" s="1463" t="s">
        <v>3682</v>
      </c>
      <c r="E182" s="1460" t="s">
        <v>1735</v>
      </c>
      <c r="F182" s="1458" t="s">
        <v>3507</v>
      </c>
      <c r="G182" s="1458"/>
      <c r="H182" s="1462"/>
      <c r="I182" s="1462"/>
    </row>
    <row r="183" spans="2:9" ht="24.95" customHeight="1">
      <c r="B183" s="1458">
        <v>176</v>
      </c>
      <c r="C183" s="1458">
        <v>70203</v>
      </c>
      <c r="D183" s="1463" t="s">
        <v>3683</v>
      </c>
      <c r="E183" s="1460" t="s">
        <v>1735</v>
      </c>
      <c r="F183" s="1458" t="s">
        <v>3507</v>
      </c>
      <c r="G183" s="1458"/>
      <c r="H183" s="1462"/>
      <c r="I183" s="1462"/>
    </row>
    <row r="184" spans="2:9" ht="24.95" customHeight="1">
      <c r="B184" s="1458">
        <v>177</v>
      </c>
      <c r="C184" s="1458">
        <v>70204</v>
      </c>
      <c r="D184" s="1463" t="s">
        <v>3684</v>
      </c>
      <c r="E184" s="1460" t="s">
        <v>1735</v>
      </c>
      <c r="F184" s="1458" t="s">
        <v>3507</v>
      </c>
      <c r="G184" s="1458"/>
      <c r="H184" s="1462"/>
      <c r="I184" s="1462"/>
    </row>
    <row r="185" spans="2:9" ht="24.95" customHeight="1">
      <c r="B185" s="1458">
        <v>178</v>
      </c>
      <c r="C185" s="1458">
        <v>70205</v>
      </c>
      <c r="D185" s="1463" t="s">
        <v>3685</v>
      </c>
      <c r="E185" s="1460" t="s">
        <v>1735</v>
      </c>
      <c r="F185" s="1458" t="s">
        <v>3507</v>
      </c>
      <c r="G185" s="1458"/>
      <c r="H185" s="1462"/>
      <c r="I185" s="1462"/>
    </row>
    <row r="186" spans="2:9" ht="24.95" customHeight="1">
      <c r="B186" s="1458">
        <v>179</v>
      </c>
      <c r="C186" s="1458">
        <v>70206</v>
      </c>
      <c r="D186" s="1463" t="s">
        <v>3686</v>
      </c>
      <c r="E186" s="1460" t="s">
        <v>1735</v>
      </c>
      <c r="F186" s="1458" t="s">
        <v>3507</v>
      </c>
      <c r="G186" s="1458"/>
      <c r="H186" s="1462"/>
      <c r="I186" s="1462"/>
    </row>
    <row r="187" spans="2:9" ht="24.95" customHeight="1">
      <c r="B187" s="1458">
        <v>180</v>
      </c>
      <c r="C187" s="1458">
        <v>70207</v>
      </c>
      <c r="D187" s="1463" t="s">
        <v>3687</v>
      </c>
      <c r="E187" s="1460" t="s">
        <v>1735</v>
      </c>
      <c r="F187" s="1458" t="s">
        <v>3507</v>
      </c>
      <c r="G187" s="1458"/>
      <c r="H187" s="1462"/>
      <c r="I187" s="1462"/>
    </row>
    <row r="188" spans="2:9" ht="24.95" customHeight="1">
      <c r="B188" s="1458">
        <v>181</v>
      </c>
      <c r="C188" s="1458">
        <v>70208</v>
      </c>
      <c r="D188" s="1463" t="s">
        <v>3688</v>
      </c>
      <c r="E188" s="1460" t="s">
        <v>1735</v>
      </c>
      <c r="F188" s="1458" t="s">
        <v>3507</v>
      </c>
      <c r="G188" s="1458"/>
      <c r="H188" s="1462"/>
      <c r="I188" s="1462"/>
    </row>
    <row r="189" spans="2:9" ht="24.95" customHeight="1">
      <c r="B189" s="1458">
        <v>182</v>
      </c>
      <c r="C189" s="1458">
        <v>70209</v>
      </c>
      <c r="D189" s="1463" t="s">
        <v>3689</v>
      </c>
      <c r="E189" s="1460" t="s">
        <v>1735</v>
      </c>
      <c r="F189" s="1458" t="s">
        <v>3507</v>
      </c>
      <c r="G189" s="1458"/>
      <c r="H189" s="1462"/>
      <c r="I189" s="1462"/>
    </row>
    <row r="190" spans="2:9" ht="24.95" customHeight="1">
      <c r="B190" s="1458">
        <v>183</v>
      </c>
      <c r="C190" s="1458">
        <v>70210</v>
      </c>
      <c r="D190" s="1463" t="s">
        <v>3690</v>
      </c>
      <c r="E190" s="1460" t="s">
        <v>1735</v>
      </c>
      <c r="F190" s="1458" t="s">
        <v>3507</v>
      </c>
      <c r="G190" s="1458"/>
      <c r="H190" s="1462"/>
      <c r="I190" s="1462"/>
    </row>
    <row r="191" spans="2:9" ht="24.95" customHeight="1">
      <c r="B191" s="1458">
        <v>184</v>
      </c>
      <c r="C191" s="1458">
        <v>70211</v>
      </c>
      <c r="D191" s="1463" t="s">
        <v>3691</v>
      </c>
      <c r="E191" s="1460" t="s">
        <v>1735</v>
      </c>
      <c r="F191" s="1458" t="s">
        <v>3507</v>
      </c>
      <c r="G191" s="1458"/>
      <c r="H191" s="1462"/>
      <c r="I191" s="1462"/>
    </row>
    <row r="192" spans="2:9" ht="24.95" customHeight="1">
      <c r="B192" s="1458">
        <v>185</v>
      </c>
      <c r="C192" s="1458">
        <v>70212</v>
      </c>
      <c r="D192" s="1463" t="s">
        <v>3692</v>
      </c>
      <c r="E192" s="1460" t="s">
        <v>1735</v>
      </c>
      <c r="F192" s="1458" t="s">
        <v>3507</v>
      </c>
      <c r="G192" s="1458"/>
      <c r="H192" s="1462"/>
      <c r="I192" s="1462"/>
    </row>
    <row r="193" spans="2:9" ht="24.95" customHeight="1">
      <c r="B193" s="1458">
        <v>186</v>
      </c>
      <c r="C193" s="1458">
        <v>70300</v>
      </c>
      <c r="D193" s="1459" t="s">
        <v>3693</v>
      </c>
      <c r="E193" s="1460" t="s">
        <v>1735</v>
      </c>
      <c r="F193" s="1458" t="s">
        <v>3507</v>
      </c>
      <c r="G193" s="1458"/>
      <c r="H193" s="1462"/>
      <c r="I193" s="1462"/>
    </row>
    <row r="194" spans="2:9" ht="24.95" customHeight="1">
      <c r="B194" s="1458">
        <v>187</v>
      </c>
      <c r="C194" s="1458">
        <v>70301</v>
      </c>
      <c r="D194" s="1463" t="s">
        <v>3694</v>
      </c>
      <c r="E194" s="1460" t="s">
        <v>1735</v>
      </c>
      <c r="F194" s="1458" t="s">
        <v>3507</v>
      </c>
      <c r="G194" s="1458"/>
      <c r="H194" s="1462"/>
      <c r="I194" s="1462"/>
    </row>
    <row r="195" spans="2:9" ht="24.95" customHeight="1">
      <c r="B195" s="1458">
        <v>188</v>
      </c>
      <c r="C195" s="1458">
        <v>70302</v>
      </c>
      <c r="D195" s="1463" t="s">
        <v>3695</v>
      </c>
      <c r="E195" s="1460" t="s">
        <v>1735</v>
      </c>
      <c r="F195" s="1458" t="s">
        <v>3507</v>
      </c>
      <c r="G195" s="1458"/>
      <c r="H195" s="1462"/>
      <c r="I195" s="1462"/>
    </row>
    <row r="196" spans="2:9" ht="24.95" customHeight="1">
      <c r="B196" s="1458">
        <v>189</v>
      </c>
      <c r="C196" s="1458">
        <v>70303</v>
      </c>
      <c r="D196" s="1463" t="s">
        <v>3696</v>
      </c>
      <c r="E196" s="1460" t="s">
        <v>1735</v>
      </c>
      <c r="F196" s="1458" t="s">
        <v>3507</v>
      </c>
      <c r="G196" s="1458"/>
      <c r="H196" s="1462"/>
      <c r="I196" s="1462"/>
    </row>
    <row r="197" spans="2:9" ht="24.95" customHeight="1">
      <c r="B197" s="1458">
        <v>190</v>
      </c>
      <c r="C197" s="1458">
        <v>70304</v>
      </c>
      <c r="D197" s="1463" t="s">
        <v>3687</v>
      </c>
      <c r="E197" s="1460" t="s">
        <v>1735</v>
      </c>
      <c r="F197" s="1458" t="s">
        <v>3507</v>
      </c>
      <c r="G197" s="1458"/>
      <c r="H197" s="1462"/>
      <c r="I197" s="1462"/>
    </row>
    <row r="198" spans="2:9" ht="24.95" customHeight="1">
      <c r="B198" s="1458">
        <v>191</v>
      </c>
      <c r="C198" s="1458">
        <v>70305</v>
      </c>
      <c r="D198" s="1463" t="s">
        <v>3697</v>
      </c>
      <c r="E198" s="1460" t="s">
        <v>1735</v>
      </c>
      <c r="F198" s="1458" t="s">
        <v>3507</v>
      </c>
      <c r="G198" s="1458"/>
      <c r="H198" s="1462"/>
      <c r="I198" s="1462"/>
    </row>
    <row r="199" spans="2:9" ht="24.95" customHeight="1">
      <c r="B199" s="1458">
        <v>192</v>
      </c>
      <c r="C199" s="1458">
        <v>70306</v>
      </c>
      <c r="D199" s="1463" t="s">
        <v>3698</v>
      </c>
      <c r="E199" s="1460" t="s">
        <v>1735</v>
      </c>
      <c r="F199" s="1458" t="s">
        <v>3507</v>
      </c>
      <c r="G199" s="1458"/>
      <c r="H199" s="1462"/>
      <c r="I199" s="1462"/>
    </row>
    <row r="200" spans="2:9" ht="24.95" customHeight="1">
      <c r="B200" s="1458">
        <v>193</v>
      </c>
      <c r="C200" s="1458">
        <v>70307</v>
      </c>
      <c r="D200" s="1463" t="s">
        <v>3699</v>
      </c>
      <c r="E200" s="1460" t="s">
        <v>1735</v>
      </c>
      <c r="F200" s="1458" t="s">
        <v>3507</v>
      </c>
      <c r="G200" s="1458"/>
      <c r="H200" s="1462"/>
      <c r="I200" s="1462"/>
    </row>
    <row r="201" spans="2:9" ht="24.95" customHeight="1">
      <c r="B201" s="1458">
        <v>194</v>
      </c>
      <c r="C201" s="1458">
        <v>70308</v>
      </c>
      <c r="D201" s="1463" t="s">
        <v>3700</v>
      </c>
      <c r="E201" s="1460" t="s">
        <v>1735</v>
      </c>
      <c r="F201" s="1458" t="s">
        <v>3507</v>
      </c>
      <c r="G201" s="1458"/>
      <c r="H201" s="1462"/>
      <c r="I201" s="1462"/>
    </row>
    <row r="202" spans="2:9" ht="24.95" customHeight="1">
      <c r="B202" s="1458">
        <v>195</v>
      </c>
      <c r="C202" s="1458">
        <v>70350</v>
      </c>
      <c r="D202" s="1459" t="s">
        <v>3701</v>
      </c>
      <c r="E202" s="1460" t="s">
        <v>1735</v>
      </c>
      <c r="F202" s="1458" t="s">
        <v>3507</v>
      </c>
      <c r="G202" s="1458"/>
      <c r="H202" s="1462"/>
      <c r="I202" s="1462"/>
    </row>
    <row r="203" spans="2:9" ht="24.95" customHeight="1">
      <c r="B203" s="1458">
        <v>196</v>
      </c>
      <c r="C203" s="1458">
        <v>70351</v>
      </c>
      <c r="D203" s="1463" t="s">
        <v>3702</v>
      </c>
      <c r="E203" s="1460" t="s">
        <v>1735</v>
      </c>
      <c r="F203" s="1458" t="s">
        <v>3507</v>
      </c>
      <c r="G203" s="1458"/>
      <c r="H203" s="1462"/>
      <c r="I203" s="1462"/>
    </row>
    <row r="204" spans="2:9" ht="24.95" customHeight="1">
      <c r="B204" s="1458">
        <v>197</v>
      </c>
      <c r="C204" s="1458">
        <v>70352</v>
      </c>
      <c r="D204" s="1463" t="s">
        <v>3703</v>
      </c>
      <c r="E204" s="1460" t="s">
        <v>1735</v>
      </c>
      <c r="F204" s="1458" t="s">
        <v>3507</v>
      </c>
      <c r="G204" s="1458"/>
      <c r="H204" s="1462"/>
      <c r="I204" s="1462"/>
    </row>
    <row r="205" spans="2:9" ht="24.95" customHeight="1">
      <c r="B205" s="1458">
        <v>198</v>
      </c>
      <c r="C205" s="1458">
        <v>70400</v>
      </c>
      <c r="D205" s="1459" t="s">
        <v>3704</v>
      </c>
      <c r="E205" s="1460" t="s">
        <v>1735</v>
      </c>
      <c r="F205" s="1458" t="s">
        <v>3507</v>
      </c>
      <c r="G205" s="1458"/>
      <c r="H205" s="1462"/>
      <c r="I205" s="1462"/>
    </row>
    <row r="206" spans="2:9" ht="24.95" customHeight="1">
      <c r="B206" s="1458">
        <v>199</v>
      </c>
      <c r="C206" s="1458">
        <v>70401</v>
      </c>
      <c r="D206" s="1463" t="s">
        <v>3705</v>
      </c>
      <c r="E206" s="1460" t="s">
        <v>1735</v>
      </c>
      <c r="F206" s="1458" t="s">
        <v>3507</v>
      </c>
      <c r="G206" s="1458"/>
      <c r="H206" s="1462"/>
      <c r="I206" s="1462"/>
    </row>
    <row r="207" spans="2:9" ht="24.95" customHeight="1">
      <c r="B207" s="1458">
        <v>200</v>
      </c>
      <c r="C207" s="1458">
        <v>70402</v>
      </c>
      <c r="D207" s="1463" t="s">
        <v>3706</v>
      </c>
      <c r="E207" s="1460" t="s">
        <v>1735</v>
      </c>
      <c r="F207" s="1458" t="s">
        <v>3507</v>
      </c>
      <c r="G207" s="1458"/>
      <c r="H207" s="1462"/>
      <c r="I207" s="1462"/>
    </row>
    <row r="208" spans="2:9" ht="24.95" customHeight="1">
      <c r="B208"/>
      <c r="C208"/>
      <c r="D208"/>
      <c r="E208"/>
      <c r="F208"/>
      <c r="G208"/>
      <c r="H208"/>
      <c r="I208"/>
    </row>
    <row r="209" customFormat="1" ht="24.95" customHeight="1"/>
  </sheetData>
  <autoFilter ref="B7:H207" xr:uid="{1DC50D90-7B52-41B7-BCBA-7A7F9E67DE00}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17E74F-D932-4C9B-9356-E0F1985760F0}">
  <sheetPr codeName="Sheet23"/>
  <dimension ref="C1:O31"/>
  <sheetViews>
    <sheetView showGridLines="0" zoomScale="90" zoomScaleNormal="90" workbookViewId="0">
      <pane ySplit="7" topLeftCell="A8" activePane="bottomLeft" state="frozen"/>
      <selection pane="bottomLeft" activeCell="E33" sqref="E33"/>
    </sheetView>
  </sheetViews>
  <sheetFormatPr defaultRowHeight="15"/>
  <cols>
    <col min="1" max="1" width="1.42578125" customWidth="1"/>
    <col min="2" max="2" width="4.28515625" customWidth="1"/>
    <col min="3" max="3" width="8.7109375" customWidth="1"/>
    <col min="4" max="4" width="19.5703125" customWidth="1"/>
    <col min="5" max="5" width="34.7109375" bestFit="1" customWidth="1"/>
    <col min="6" max="6" width="28.7109375" bestFit="1" customWidth="1"/>
    <col min="7" max="7" width="17.28515625" bestFit="1" customWidth="1"/>
    <col min="8" max="8" width="26.28515625" customWidth="1"/>
    <col min="9" max="9" width="15.140625" customWidth="1"/>
    <col min="10" max="10" width="23.42578125" customWidth="1"/>
    <col min="11" max="11" width="10.28515625" customWidth="1"/>
    <col min="12" max="12" width="13.140625" customWidth="1"/>
    <col min="13" max="13" width="34.7109375" style="128" customWidth="1"/>
    <col min="14" max="14" width="11.85546875" customWidth="1"/>
  </cols>
  <sheetData>
    <row r="1" spans="3:15" hidden="1"/>
    <row r="2" spans="3:15" hidden="1"/>
    <row r="3" spans="3:15" ht="19.5" customHeight="1"/>
    <row r="4" spans="3:15" ht="37.5" customHeight="1">
      <c r="C4" s="608"/>
      <c r="M4" s="128" t="s">
        <v>1710</v>
      </c>
      <c r="N4" t="s">
        <v>1795</v>
      </c>
    </row>
    <row r="5" spans="3:15" ht="18" customHeight="1"/>
    <row r="6" spans="3:15" ht="26.25" customHeight="1">
      <c r="C6" s="566" t="s">
        <v>47</v>
      </c>
      <c r="D6" s="615" t="s">
        <v>1787</v>
      </c>
      <c r="E6" s="615" t="s">
        <v>193</v>
      </c>
      <c r="F6" s="615" t="s">
        <v>239</v>
      </c>
      <c r="G6" s="566" t="s">
        <v>1788</v>
      </c>
      <c r="H6" s="615" t="s">
        <v>1789</v>
      </c>
      <c r="I6" s="615" t="s">
        <v>1790</v>
      </c>
      <c r="J6" s="615" t="s">
        <v>1792</v>
      </c>
      <c r="K6" s="615" t="s">
        <v>1791</v>
      </c>
      <c r="L6" s="615" t="s">
        <v>187</v>
      </c>
    </row>
    <row r="7" spans="3:15" ht="24.75" customHeight="1">
      <c r="C7" s="527" t="s">
        <v>1567</v>
      </c>
      <c r="D7" s="626" t="s">
        <v>1772</v>
      </c>
      <c r="E7" s="626" t="s">
        <v>12</v>
      </c>
      <c r="F7" s="626" t="s">
        <v>99</v>
      </c>
      <c r="G7" s="527" t="s">
        <v>1773</v>
      </c>
      <c r="H7" s="626" t="s">
        <v>1771</v>
      </c>
      <c r="I7" s="626" t="s">
        <v>349</v>
      </c>
      <c r="J7" s="626" t="s">
        <v>1599</v>
      </c>
      <c r="K7" s="626" t="s">
        <v>1774</v>
      </c>
      <c r="L7" s="626" t="s">
        <v>163</v>
      </c>
    </row>
    <row r="8" spans="3:15" ht="23.25">
      <c r="C8" s="199">
        <v>1</v>
      </c>
      <c r="D8" s="199">
        <v>2</v>
      </c>
      <c r="E8" s="201" t="s">
        <v>555</v>
      </c>
      <c r="F8" s="200" t="s">
        <v>1746</v>
      </c>
      <c r="G8" s="199">
        <v>3</v>
      </c>
      <c r="H8" s="201" t="str">
        <f>IF(G8&lt;&gt;"",VLOOKUP(G8,ChartAccount!$C$8:$K$100,6,FALSE),"")</f>
        <v>Inventory</v>
      </c>
      <c r="I8" s="199">
        <v>1</v>
      </c>
      <c r="J8" s="199" t="s">
        <v>194</v>
      </c>
      <c r="K8" s="199">
        <v>1</v>
      </c>
      <c r="L8" s="199">
        <v>1</v>
      </c>
      <c r="M8" s="128" t="str">
        <f>IF(AND(C8&lt;&gt;"",E8&lt;&gt;""),TEXT(C8,"000")&amp;"."&amp;E8,"")</f>
        <v>001.Inventory Asset Account</v>
      </c>
      <c r="O8" s="152">
        <f>G8*1</f>
        <v>3</v>
      </c>
    </row>
    <row r="9" spans="3:15" ht="23.25">
      <c r="C9" s="199">
        <v>2</v>
      </c>
      <c r="D9" s="199">
        <v>2</v>
      </c>
      <c r="E9" s="201" t="s">
        <v>556</v>
      </c>
      <c r="F9" s="200" t="s">
        <v>922</v>
      </c>
      <c r="G9" s="199">
        <v>11</v>
      </c>
      <c r="H9" s="201" t="str">
        <f>IF(G9&lt;&gt;"",VLOOKUP(G9,ChartAccount!$C$8:$K$100,6,FALSE),"")</f>
        <v>Cost of Goods Sold</v>
      </c>
      <c r="I9" s="199">
        <v>2</v>
      </c>
      <c r="J9" s="199" t="s">
        <v>194</v>
      </c>
      <c r="K9" s="199">
        <v>2</v>
      </c>
      <c r="L9" s="199">
        <v>1</v>
      </c>
      <c r="M9" s="128" t="str">
        <f t="shared" ref="M9:M31" si="0">IF(AND(C9&lt;&gt;"",E9&lt;&gt;""),TEXT(C9,"000")&amp;"."&amp;E9,"")</f>
        <v>002.COGS Account</v>
      </c>
      <c r="O9" s="152">
        <f t="shared" ref="O9:O31" si="1">G9*1</f>
        <v>11</v>
      </c>
    </row>
    <row r="10" spans="3:15" ht="23.25">
      <c r="C10" s="199">
        <v>3</v>
      </c>
      <c r="D10" s="199">
        <v>2</v>
      </c>
      <c r="E10" s="201" t="s">
        <v>557</v>
      </c>
      <c r="F10" s="200" t="s">
        <v>1747</v>
      </c>
      <c r="G10" s="199">
        <v>9</v>
      </c>
      <c r="H10" s="201" t="str">
        <f>IF(G10&lt;&gt;"",VLOOKUP(G10,ChartAccount!$C$8:$K$100,6,FALSE),"")</f>
        <v>Equity</v>
      </c>
      <c r="I10" s="199">
        <v>3</v>
      </c>
      <c r="J10" s="199" t="s">
        <v>194</v>
      </c>
      <c r="K10" s="199">
        <v>3</v>
      </c>
      <c r="L10" s="199">
        <v>1</v>
      </c>
      <c r="M10" s="128" t="str">
        <f t="shared" si="0"/>
        <v>003.Inventory Adjustment Account</v>
      </c>
      <c r="O10" s="152">
        <f t="shared" si="1"/>
        <v>9</v>
      </c>
    </row>
    <row r="11" spans="3:15" ht="23.25">
      <c r="C11" s="199">
        <v>4</v>
      </c>
      <c r="D11" s="199">
        <v>3</v>
      </c>
      <c r="E11" s="201" t="s">
        <v>558</v>
      </c>
      <c r="F11" s="200" t="s">
        <v>1671</v>
      </c>
      <c r="G11" s="199">
        <v>6</v>
      </c>
      <c r="H11" s="201" t="str">
        <f>IF(G11&lt;&gt;"",VLOOKUP(G11,ChartAccount!$C$8:$K$100,6,FALSE),"")</f>
        <v>Accounts Payable</v>
      </c>
      <c r="I11" s="199">
        <v>1</v>
      </c>
      <c r="J11" s="199" t="s">
        <v>346</v>
      </c>
      <c r="K11" s="199">
        <v>4</v>
      </c>
      <c r="L11" s="199">
        <v>1</v>
      </c>
      <c r="M11" s="128" t="str">
        <f t="shared" si="0"/>
        <v>004.Accounts Payable</v>
      </c>
      <c r="O11" s="152">
        <f t="shared" si="1"/>
        <v>6</v>
      </c>
    </row>
    <row r="12" spans="3:15" ht="23.25">
      <c r="C12" s="199">
        <v>5</v>
      </c>
      <c r="D12" s="199">
        <v>3</v>
      </c>
      <c r="E12" s="201" t="s">
        <v>559</v>
      </c>
      <c r="F12" s="200" t="s">
        <v>1748</v>
      </c>
      <c r="G12" s="199">
        <v>13</v>
      </c>
      <c r="H12" s="201" t="str">
        <f>IF(G12&lt;&gt;"",VLOOKUP(G12,ChartAccount!$C$8:$K$100,6,FALSE),"")</f>
        <v>Other Income</v>
      </c>
      <c r="I12" s="199">
        <v>2</v>
      </c>
      <c r="J12" s="199" t="s">
        <v>346</v>
      </c>
      <c r="K12" s="199">
        <v>5</v>
      </c>
      <c r="L12" s="199">
        <v>1</v>
      </c>
      <c r="M12" s="128" t="str">
        <f t="shared" si="0"/>
        <v>005.Purchase Discount</v>
      </c>
      <c r="O12" s="152">
        <f t="shared" si="1"/>
        <v>13</v>
      </c>
    </row>
    <row r="13" spans="3:15" ht="23.25">
      <c r="C13" s="199">
        <v>6</v>
      </c>
      <c r="D13" s="199">
        <v>3</v>
      </c>
      <c r="E13" s="201" t="s">
        <v>560</v>
      </c>
      <c r="F13" s="200" t="s">
        <v>1749</v>
      </c>
      <c r="G13" s="199">
        <v>1</v>
      </c>
      <c r="H13" s="201" t="str">
        <f>IF(G13&lt;&gt;"",VLOOKUP(G13,ChartAccount!$C$8:$K$100,6,FALSE),"")</f>
        <v>Cash and Bank</v>
      </c>
      <c r="I13" s="199">
        <v>3</v>
      </c>
      <c r="J13" s="199" t="s">
        <v>346</v>
      </c>
      <c r="K13" s="199">
        <v>6</v>
      </c>
      <c r="L13" s="199">
        <v>1</v>
      </c>
      <c r="M13" s="128" t="str">
        <f t="shared" si="0"/>
        <v>006.Cash Pay Bill</v>
      </c>
      <c r="O13" s="152">
        <f t="shared" si="1"/>
        <v>1</v>
      </c>
    </row>
    <row r="14" spans="3:15" ht="23.25">
      <c r="C14" s="199">
        <v>7</v>
      </c>
      <c r="D14" s="199">
        <v>3</v>
      </c>
      <c r="E14" s="201" t="s">
        <v>561</v>
      </c>
      <c r="F14" s="200" t="s">
        <v>1750</v>
      </c>
      <c r="G14" s="199">
        <v>13</v>
      </c>
      <c r="H14" s="201" t="str">
        <f>IF(G14&lt;&gt;"",VLOOKUP(G14,ChartAccount!$C$8:$K$100,6,FALSE),"")</f>
        <v>Other Income</v>
      </c>
      <c r="I14" s="199">
        <v>4</v>
      </c>
      <c r="J14" s="199" t="s">
        <v>346</v>
      </c>
      <c r="K14" s="199">
        <v>7</v>
      </c>
      <c r="L14" s="199">
        <v>1</v>
      </c>
      <c r="M14" s="128" t="str">
        <f t="shared" si="0"/>
        <v>007.Paybill Discount</v>
      </c>
      <c r="O14" s="152">
        <f t="shared" si="1"/>
        <v>13</v>
      </c>
    </row>
    <row r="15" spans="3:15" ht="23.25">
      <c r="C15" s="199">
        <v>8</v>
      </c>
      <c r="D15" s="199">
        <v>3</v>
      </c>
      <c r="E15" s="201" t="s">
        <v>348</v>
      </c>
      <c r="F15" s="200" t="s">
        <v>1751</v>
      </c>
      <c r="G15" s="199">
        <v>1</v>
      </c>
      <c r="H15" s="201" t="str">
        <f>IF(G15&lt;&gt;"",VLOOKUP(G15,ChartAccount!$C$8:$K$100,6,FALSE),"")</f>
        <v>Cash and Bank</v>
      </c>
      <c r="I15" s="199">
        <v>5</v>
      </c>
      <c r="J15" s="199" t="s">
        <v>346</v>
      </c>
      <c r="K15" s="199">
        <v>8</v>
      </c>
      <c r="L15" s="199">
        <v>1</v>
      </c>
      <c r="M15" s="128" t="str">
        <f t="shared" si="0"/>
        <v>008.Cash Expense</v>
      </c>
      <c r="O15" s="152">
        <f t="shared" si="1"/>
        <v>1</v>
      </c>
    </row>
    <row r="16" spans="3:15" ht="23.25">
      <c r="C16" s="199">
        <v>9</v>
      </c>
      <c r="D16" s="199">
        <v>3</v>
      </c>
      <c r="E16" s="201" t="s">
        <v>1758</v>
      </c>
      <c r="F16" s="200" t="s">
        <v>1759</v>
      </c>
      <c r="G16" s="199">
        <v>2</v>
      </c>
      <c r="H16" s="201" t="str">
        <f>IF(G16&lt;&gt;"",VLOOKUP(G16,ChartAccount!$C$8:$K$100,6,FALSE),"")</f>
        <v>Accounts Receivable</v>
      </c>
      <c r="I16" s="199">
        <v>6</v>
      </c>
      <c r="J16" s="199" t="s">
        <v>346</v>
      </c>
      <c r="K16" s="199">
        <v>9</v>
      </c>
      <c r="L16" s="199">
        <v>1</v>
      </c>
      <c r="M16" s="128" t="str">
        <f t="shared" si="0"/>
        <v>009.Account Receivable (Landed Cost)</v>
      </c>
      <c r="O16" s="152">
        <f t="shared" si="1"/>
        <v>2</v>
      </c>
    </row>
    <row r="17" spans="3:15" ht="23.25">
      <c r="C17" s="199">
        <v>10</v>
      </c>
      <c r="D17" s="199">
        <v>3</v>
      </c>
      <c r="E17" s="201" t="s">
        <v>1762</v>
      </c>
      <c r="F17" s="200" t="s">
        <v>1763</v>
      </c>
      <c r="G17" s="199">
        <v>1</v>
      </c>
      <c r="H17" s="201" t="str">
        <f>IF(G17&lt;&gt;"",VLOOKUP(G17,ChartAccount!$C$8:$K$100,6,FALSE),"")</f>
        <v>Cash and Bank</v>
      </c>
      <c r="I17" s="199">
        <v>7</v>
      </c>
      <c r="J17" s="199" t="s">
        <v>346</v>
      </c>
      <c r="K17" s="199">
        <v>10</v>
      </c>
      <c r="L17" s="199">
        <v>1</v>
      </c>
      <c r="M17" s="128" t="str">
        <f t="shared" si="0"/>
        <v>010.Miscellaneous Account</v>
      </c>
      <c r="O17" s="152">
        <f t="shared" si="1"/>
        <v>1</v>
      </c>
    </row>
    <row r="18" spans="3:15" ht="23.25">
      <c r="C18" s="199">
        <v>11</v>
      </c>
      <c r="D18" s="199">
        <v>3</v>
      </c>
      <c r="E18" s="201" t="s">
        <v>1764</v>
      </c>
      <c r="F18" s="200" t="s">
        <v>1765</v>
      </c>
      <c r="G18" s="199">
        <v>11</v>
      </c>
      <c r="H18" s="201" t="str">
        <f>IF(G18&lt;&gt;"",VLOOKUP(G18,ChartAccount!$C$8:$K$100,6,FALSE),"")</f>
        <v>Cost of Goods Sold</v>
      </c>
      <c r="I18" s="199">
        <v>8</v>
      </c>
      <c r="J18" s="199" t="s">
        <v>346</v>
      </c>
      <c r="K18" s="199">
        <v>11</v>
      </c>
      <c r="L18" s="199">
        <v>1</v>
      </c>
      <c r="M18" s="128" t="str">
        <f t="shared" si="0"/>
        <v>011.Landing Costs</v>
      </c>
      <c r="O18" s="152">
        <f t="shared" si="1"/>
        <v>11</v>
      </c>
    </row>
    <row r="19" spans="3:15" ht="23.25">
      <c r="C19" s="199">
        <v>12</v>
      </c>
      <c r="D19" s="199">
        <v>3</v>
      </c>
      <c r="E19" s="201" t="s">
        <v>1961</v>
      </c>
      <c r="F19" s="200" t="s">
        <v>1963</v>
      </c>
      <c r="G19" s="199">
        <v>18</v>
      </c>
      <c r="H19" s="201" t="str">
        <f>IF(G19&lt;&gt;"",VLOOKUP(G19,ChartAccount!$C$8:$K$100,6,FALSE),"")</f>
        <v>VAT Output</v>
      </c>
      <c r="I19" s="199">
        <v>9</v>
      </c>
      <c r="J19" s="199" t="s">
        <v>346</v>
      </c>
      <c r="K19" s="199">
        <v>12</v>
      </c>
      <c r="L19" s="199">
        <v>1</v>
      </c>
      <c r="M19" s="128" t="str">
        <f t="shared" si="0"/>
        <v>012.Purchase VAT</v>
      </c>
      <c r="O19" s="152">
        <f t="shared" si="1"/>
        <v>18</v>
      </c>
    </row>
    <row r="20" spans="3:15" ht="23.25">
      <c r="C20" s="199">
        <v>13</v>
      </c>
      <c r="D20" s="199">
        <v>4</v>
      </c>
      <c r="E20" s="201" t="s">
        <v>1962</v>
      </c>
      <c r="F20" s="200" t="s">
        <v>1964</v>
      </c>
      <c r="G20" s="199">
        <v>17</v>
      </c>
      <c r="H20" s="201" t="str">
        <f>IF(G20&lt;&gt;"",VLOOKUP(G20,ChartAccount!$C$8:$K$100,6,FALSE),"")</f>
        <v>VAT Input</v>
      </c>
      <c r="I20" s="199">
        <v>1</v>
      </c>
      <c r="J20" s="199" t="s">
        <v>195</v>
      </c>
      <c r="K20" s="199">
        <v>13</v>
      </c>
      <c r="L20" s="199">
        <v>1</v>
      </c>
      <c r="M20" s="128" t="str">
        <f t="shared" si="0"/>
        <v>013.Sales VAT</v>
      </c>
      <c r="O20" s="152">
        <f t="shared" si="1"/>
        <v>17</v>
      </c>
    </row>
    <row r="21" spans="3:15" ht="23.25">
      <c r="C21" s="199">
        <v>14</v>
      </c>
      <c r="D21" s="199">
        <v>4</v>
      </c>
      <c r="E21" s="201" t="s">
        <v>562</v>
      </c>
      <c r="F21" s="200" t="s">
        <v>929</v>
      </c>
      <c r="G21" s="199">
        <v>2</v>
      </c>
      <c r="H21" s="201" t="str">
        <f>IF(G21&lt;&gt;"",VLOOKUP(G21,ChartAccount!$C$8:$K$100,6,FALSE),"")</f>
        <v>Accounts Receivable</v>
      </c>
      <c r="I21" s="199">
        <v>2</v>
      </c>
      <c r="J21" s="199" t="s">
        <v>195</v>
      </c>
      <c r="K21" s="199">
        <v>14</v>
      </c>
      <c r="L21" s="199">
        <v>1</v>
      </c>
      <c r="M21" s="128" t="str">
        <f t="shared" si="0"/>
        <v>014.Accounts Receivable</v>
      </c>
      <c r="O21" s="152">
        <f t="shared" si="1"/>
        <v>2</v>
      </c>
    </row>
    <row r="22" spans="3:15" ht="23.25">
      <c r="C22" s="199">
        <v>15</v>
      </c>
      <c r="D22" s="199">
        <v>4</v>
      </c>
      <c r="E22" s="201" t="s">
        <v>563</v>
      </c>
      <c r="F22" s="200" t="s">
        <v>930</v>
      </c>
      <c r="G22" s="199">
        <v>10</v>
      </c>
      <c r="H22" s="201" t="str">
        <f>IF(G22&lt;&gt;"",VLOOKUP(G22,ChartAccount!$C$8:$K$100,6,FALSE),"")</f>
        <v>Income</v>
      </c>
      <c r="I22" s="199">
        <v>3</v>
      </c>
      <c r="J22" s="199" t="s">
        <v>195</v>
      </c>
      <c r="K22" s="199">
        <v>15</v>
      </c>
      <c r="L22" s="199">
        <v>1</v>
      </c>
      <c r="M22" s="128" t="str">
        <f t="shared" si="0"/>
        <v>015.Sales Income</v>
      </c>
      <c r="O22" s="152">
        <f t="shared" si="1"/>
        <v>10</v>
      </c>
    </row>
    <row r="23" spans="3:15" ht="23.25">
      <c r="C23" s="199">
        <v>16</v>
      </c>
      <c r="D23" s="199">
        <v>4</v>
      </c>
      <c r="E23" s="201" t="s">
        <v>564</v>
      </c>
      <c r="F23" s="200" t="s">
        <v>1752</v>
      </c>
      <c r="G23" s="199">
        <v>10</v>
      </c>
      <c r="H23" s="201" t="str">
        <f>IF(G23&lt;&gt;"",VLOOKUP(G23,ChartAccount!$C$8:$K$100,6,FALSE),"")</f>
        <v>Income</v>
      </c>
      <c r="I23" s="199">
        <v>4</v>
      </c>
      <c r="J23" s="199" t="s">
        <v>195</v>
      </c>
      <c r="K23" s="199">
        <v>16</v>
      </c>
      <c r="L23" s="199">
        <v>1</v>
      </c>
      <c r="M23" s="128" t="str">
        <f t="shared" si="0"/>
        <v>016.Sales Markup</v>
      </c>
      <c r="O23" s="152">
        <f t="shared" si="1"/>
        <v>10</v>
      </c>
    </row>
    <row r="24" spans="3:15" ht="23.25">
      <c r="C24" s="199">
        <v>17</v>
      </c>
      <c r="D24" s="199">
        <v>4</v>
      </c>
      <c r="E24" s="201" t="s">
        <v>565</v>
      </c>
      <c r="F24" s="200" t="s">
        <v>1753</v>
      </c>
      <c r="G24" s="199">
        <v>12</v>
      </c>
      <c r="H24" s="201" t="str">
        <f>IF(G24&lt;&gt;"",VLOOKUP(G24,ChartAccount!$C$8:$K$100,6,FALSE),"")</f>
        <v>Expenses</v>
      </c>
      <c r="I24" s="199">
        <v>5</v>
      </c>
      <c r="J24" s="199" t="s">
        <v>195</v>
      </c>
      <c r="K24" s="199">
        <v>17</v>
      </c>
      <c r="L24" s="199">
        <v>1</v>
      </c>
      <c r="M24" s="128" t="str">
        <f t="shared" si="0"/>
        <v>017.Sales Discount</v>
      </c>
      <c r="O24" s="152">
        <f t="shared" si="1"/>
        <v>12</v>
      </c>
    </row>
    <row r="25" spans="3:15" ht="23.25">
      <c r="C25" s="199">
        <v>18</v>
      </c>
      <c r="D25" s="199">
        <v>4</v>
      </c>
      <c r="E25" s="201" t="s">
        <v>566</v>
      </c>
      <c r="F25" s="200" t="s">
        <v>933</v>
      </c>
      <c r="G25" s="199">
        <v>10</v>
      </c>
      <c r="H25" s="201" t="str">
        <f>IF(G25&lt;&gt;"",VLOOKUP(G25,ChartAccount!$C$8:$K$100,6,FALSE),"")</f>
        <v>Income</v>
      </c>
      <c r="I25" s="199">
        <v>6</v>
      </c>
      <c r="J25" s="199" t="s">
        <v>195</v>
      </c>
      <c r="K25" s="199">
        <v>18</v>
      </c>
      <c r="L25" s="199">
        <v>1</v>
      </c>
      <c r="M25" s="128" t="str">
        <f t="shared" si="0"/>
        <v>018.Service Account</v>
      </c>
      <c r="O25" s="152">
        <f t="shared" si="1"/>
        <v>10</v>
      </c>
    </row>
    <row r="26" spans="3:15" ht="23.25">
      <c r="C26" s="199">
        <v>19</v>
      </c>
      <c r="D26" s="199">
        <v>4</v>
      </c>
      <c r="E26" s="201" t="s">
        <v>567</v>
      </c>
      <c r="F26" s="200" t="s">
        <v>1754</v>
      </c>
      <c r="G26" s="199">
        <v>1</v>
      </c>
      <c r="H26" s="201" t="str">
        <f>IF(G26&lt;&gt;"",VLOOKUP(G26,ChartAccount!$C$8:$K$100,6,FALSE),"")</f>
        <v>Cash and Bank</v>
      </c>
      <c r="I26" s="199">
        <v>7</v>
      </c>
      <c r="J26" s="199" t="s">
        <v>195</v>
      </c>
      <c r="K26" s="199">
        <v>19</v>
      </c>
      <c r="L26" s="199">
        <v>1</v>
      </c>
      <c r="M26" s="128" t="str">
        <f t="shared" si="0"/>
        <v>019.Cash Payment</v>
      </c>
      <c r="O26" s="152">
        <f t="shared" si="1"/>
        <v>1</v>
      </c>
    </row>
    <row r="27" spans="3:15" ht="23.25">
      <c r="C27" s="199">
        <v>20</v>
      </c>
      <c r="D27" s="199">
        <v>4</v>
      </c>
      <c r="E27" s="201" t="s">
        <v>568</v>
      </c>
      <c r="F27" s="200" t="s">
        <v>1755</v>
      </c>
      <c r="G27" s="199">
        <v>14</v>
      </c>
      <c r="H27" s="201" t="str">
        <f>IF(G27&lt;&gt;"",VLOOKUP(G27,ChartAccount!$C$8:$K$100,6,FALSE),"")</f>
        <v>Other Expense</v>
      </c>
      <c r="I27" s="199">
        <v>8</v>
      </c>
      <c r="J27" s="199" t="s">
        <v>195</v>
      </c>
      <c r="K27" s="199">
        <v>20</v>
      </c>
      <c r="L27" s="199">
        <v>1</v>
      </c>
      <c r="M27" s="128" t="str">
        <f t="shared" si="0"/>
        <v>020.Payment Discount</v>
      </c>
      <c r="O27" s="152">
        <f t="shared" si="1"/>
        <v>14</v>
      </c>
    </row>
    <row r="28" spans="3:15" ht="23.25">
      <c r="C28" s="199">
        <v>21</v>
      </c>
      <c r="D28" s="199">
        <v>4</v>
      </c>
      <c r="E28" s="201" t="s">
        <v>1756</v>
      </c>
      <c r="F28" s="200" t="s">
        <v>1757</v>
      </c>
      <c r="G28" s="199">
        <v>1</v>
      </c>
      <c r="H28" s="201" t="str">
        <f>IF(G28&lt;&gt;"",VLOOKUP(G28,ChartAccount!$C$8:$K$100,6,FALSE),"")</f>
        <v>Cash and Bank</v>
      </c>
      <c r="I28" s="199">
        <v>9</v>
      </c>
      <c r="J28" s="199" t="s">
        <v>195</v>
      </c>
      <c r="K28" s="199">
        <v>21</v>
      </c>
      <c r="L28" s="199">
        <v>1</v>
      </c>
      <c r="M28" s="128" t="str">
        <f t="shared" si="0"/>
        <v>021.Cash Deposit</v>
      </c>
      <c r="O28" s="152">
        <f t="shared" si="1"/>
        <v>1</v>
      </c>
    </row>
    <row r="29" spans="3:15" ht="23.25">
      <c r="C29" s="199">
        <v>22</v>
      </c>
      <c r="D29" s="199">
        <v>4</v>
      </c>
      <c r="E29" s="201" t="s">
        <v>1760</v>
      </c>
      <c r="F29" s="200" t="s">
        <v>1761</v>
      </c>
      <c r="G29" s="199">
        <v>1</v>
      </c>
      <c r="H29" s="201" t="str">
        <f>IF(G29&lt;&gt;"",VLOOKUP(G29,ChartAccount!$C$8:$K$100,6,FALSE),"")</f>
        <v>Cash and Bank</v>
      </c>
      <c r="I29" s="199">
        <v>10</v>
      </c>
      <c r="J29" s="199" t="s">
        <v>195</v>
      </c>
      <c r="K29" s="199">
        <v>22</v>
      </c>
      <c r="L29" s="199">
        <v>1</v>
      </c>
      <c r="M29" s="128" t="str">
        <f t="shared" si="0"/>
        <v>022.Sales Change</v>
      </c>
      <c r="O29" s="152">
        <f t="shared" si="1"/>
        <v>1</v>
      </c>
    </row>
    <row r="30" spans="3:15" ht="23.25">
      <c r="C30" s="199">
        <v>23</v>
      </c>
      <c r="D30" s="199">
        <v>4</v>
      </c>
      <c r="E30" s="201" t="s">
        <v>1766</v>
      </c>
      <c r="F30" s="200" t="s">
        <v>1767</v>
      </c>
      <c r="G30" s="199">
        <v>2</v>
      </c>
      <c r="H30" s="201" t="str">
        <f>IF(G30&lt;&gt;"",VLOOKUP(G30,ChartAccount!$C$8:$K$100,6,FALSE),"")</f>
        <v>Accounts Receivable</v>
      </c>
      <c r="I30" s="199">
        <v>11</v>
      </c>
      <c r="J30" s="199" t="s">
        <v>195</v>
      </c>
      <c r="K30" s="199">
        <v>23</v>
      </c>
      <c r="L30" s="199">
        <v>1</v>
      </c>
      <c r="M30" s="128" t="str">
        <f t="shared" si="0"/>
        <v>023.Unearned Revenue</v>
      </c>
      <c r="O30" s="152">
        <f t="shared" si="1"/>
        <v>2</v>
      </c>
    </row>
    <row r="31" spans="3:15" ht="23.25">
      <c r="C31" s="199">
        <v>24</v>
      </c>
      <c r="D31" s="199">
        <v>4</v>
      </c>
      <c r="E31" s="201" t="s">
        <v>1768</v>
      </c>
      <c r="F31" s="200" t="s">
        <v>1769</v>
      </c>
      <c r="G31" s="199">
        <v>12</v>
      </c>
      <c r="H31" s="201" t="str">
        <f>IF(G31&lt;&gt;"",VLOOKUP(G31,ChartAccount!$C$8:$K$100,6,FALSE),"")</f>
        <v>Expenses</v>
      </c>
      <c r="I31" s="199">
        <v>12</v>
      </c>
      <c r="J31" s="199" t="s">
        <v>195</v>
      </c>
      <c r="K31" s="199">
        <v>24</v>
      </c>
      <c r="L31" s="199">
        <v>1</v>
      </c>
      <c r="M31" s="128" t="str">
        <f t="shared" si="0"/>
        <v>024.Unearned Discount</v>
      </c>
      <c r="O31" s="152">
        <f t="shared" si="1"/>
        <v>12</v>
      </c>
    </row>
  </sheetData>
  <phoneticPr fontId="36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3A5345-6C3E-4CF7-AFD3-DA037ABCC47B}">
  <sheetPr codeName="Sheet49"/>
  <dimension ref="C1:F21"/>
  <sheetViews>
    <sheetView showGridLines="0" workbookViewId="0">
      <pane ySplit="7" topLeftCell="A8" activePane="bottomLeft" state="frozen"/>
      <selection pane="bottomLeft" activeCell="I11" sqref="I11"/>
    </sheetView>
  </sheetViews>
  <sheetFormatPr defaultRowHeight="15"/>
  <cols>
    <col min="3" max="3" width="12.140625" customWidth="1"/>
    <col min="4" max="4" width="22.5703125" customWidth="1"/>
    <col min="5" max="5" width="13.140625" customWidth="1"/>
    <col min="6" max="6" width="16.140625" customWidth="1"/>
  </cols>
  <sheetData>
    <row r="1" spans="3:6" hidden="1"/>
    <row r="2" spans="3:6" hidden="1"/>
    <row r="3" spans="3:6" hidden="1"/>
    <row r="5" spans="3:6" ht="23.25">
      <c r="C5" s="325"/>
      <c r="D5" s="325"/>
      <c r="E5" s="325"/>
      <c r="F5" s="325"/>
    </row>
    <row r="7" spans="3:6" ht="33.75" customHeight="1">
      <c r="C7" s="629" t="s">
        <v>1662</v>
      </c>
      <c r="D7" s="630" t="s">
        <v>1663</v>
      </c>
      <c r="E7" s="630" t="s">
        <v>1745</v>
      </c>
      <c r="F7" s="631" t="s">
        <v>350</v>
      </c>
    </row>
    <row r="8" spans="3:6" ht="24.95" customHeight="1">
      <c r="C8" s="627">
        <v>1</v>
      </c>
      <c r="D8" s="628" t="s">
        <v>1600</v>
      </c>
      <c r="E8" s="627">
        <v>0</v>
      </c>
      <c r="F8" s="627">
        <v>1</v>
      </c>
    </row>
    <row r="9" spans="3:6" ht="24.95" customHeight="1">
      <c r="C9" s="322">
        <v>2</v>
      </c>
      <c r="D9" s="323" t="s">
        <v>194</v>
      </c>
      <c r="E9" s="322">
        <v>1</v>
      </c>
      <c r="F9" s="322">
        <v>1</v>
      </c>
    </row>
    <row r="10" spans="3:6" ht="24.95" customHeight="1">
      <c r="C10" s="322">
        <v>3</v>
      </c>
      <c r="D10" s="323" t="s">
        <v>346</v>
      </c>
      <c r="E10" s="322">
        <v>2</v>
      </c>
      <c r="F10" s="322">
        <v>1</v>
      </c>
    </row>
    <row r="11" spans="3:6" ht="24.95" customHeight="1">
      <c r="C11" s="322">
        <v>4</v>
      </c>
      <c r="D11" s="323" t="s">
        <v>195</v>
      </c>
      <c r="E11" s="322">
        <v>3</v>
      </c>
      <c r="F11" s="322">
        <v>1</v>
      </c>
    </row>
    <row r="12" spans="3:6" ht="24.95" customHeight="1">
      <c r="C12" s="322">
        <v>5</v>
      </c>
      <c r="D12" s="323" t="s">
        <v>1620</v>
      </c>
      <c r="E12" s="322">
        <v>4</v>
      </c>
      <c r="F12" s="322">
        <v>1</v>
      </c>
    </row>
    <row r="13" spans="3:6" ht="24.95" customHeight="1">
      <c r="C13" s="322">
        <v>6</v>
      </c>
      <c r="D13" s="323" t="s">
        <v>196</v>
      </c>
      <c r="E13" s="322">
        <v>5</v>
      </c>
      <c r="F13" s="322">
        <v>1</v>
      </c>
    </row>
    <row r="14" spans="3:6" ht="24.95" customHeight="1">
      <c r="C14" s="322">
        <v>7</v>
      </c>
      <c r="D14" s="323" t="s">
        <v>197</v>
      </c>
      <c r="E14" s="322">
        <v>6</v>
      </c>
      <c r="F14" s="322">
        <v>1</v>
      </c>
    </row>
    <row r="15" spans="3:6" ht="24.95" customHeight="1">
      <c r="C15" s="322">
        <v>8</v>
      </c>
      <c r="D15" s="323" t="s">
        <v>203</v>
      </c>
      <c r="E15" s="322">
        <v>7</v>
      </c>
      <c r="F15" s="322">
        <v>1</v>
      </c>
    </row>
    <row r="16" spans="3:6" ht="24.95" customHeight="1">
      <c r="C16" s="322">
        <v>9</v>
      </c>
      <c r="D16" s="323" t="s">
        <v>1770</v>
      </c>
      <c r="E16" s="322">
        <v>8</v>
      </c>
      <c r="F16" s="322">
        <v>1</v>
      </c>
    </row>
    <row r="17" ht="24.95" customHeight="1"/>
    <row r="18" ht="24.95" customHeight="1"/>
    <row r="19" ht="24.95" customHeight="1"/>
    <row r="20" ht="24.95" customHeight="1"/>
    <row r="21" ht="24.95" customHeight="1"/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B7B443-F77B-4301-BC2A-C58C5937530B}">
  <sheetPr codeName="Sheet50"/>
  <dimension ref="B3:I52"/>
  <sheetViews>
    <sheetView showGridLines="0" topLeftCell="C1" workbookViewId="0">
      <pane ySplit="6" topLeftCell="A32" activePane="bottomLeft" state="frozen"/>
      <selection activeCell="C1" sqref="C1"/>
      <selection pane="bottomLeft" activeCell="L53" sqref="L53"/>
    </sheetView>
  </sheetViews>
  <sheetFormatPr defaultColWidth="9.140625" defaultRowHeight="15"/>
  <cols>
    <col min="1" max="2" width="0" style="133" hidden="1" customWidth="1"/>
    <col min="3" max="3" width="9.140625" style="215"/>
    <col min="4" max="4" width="29.5703125" style="133" customWidth="1"/>
    <col min="5" max="5" width="26.42578125" style="133" customWidth="1"/>
    <col min="6" max="6" width="13.42578125" style="126" customWidth="1"/>
    <col min="7" max="7" width="11" style="126" bestFit="1" customWidth="1"/>
    <col min="8" max="8" width="32.7109375" style="133" customWidth="1"/>
    <col min="9" max="9" width="9.140625" style="126"/>
    <col min="10" max="16384" width="9.140625" style="133"/>
  </cols>
  <sheetData>
    <row r="3" spans="2:8" ht="26.25">
      <c r="C3" s="1867" t="s">
        <v>351</v>
      </c>
      <c r="D3" s="1867"/>
      <c r="E3" s="1867"/>
      <c r="F3" s="1867"/>
      <c r="G3" s="1867"/>
    </row>
    <row r="5" spans="2:8" ht="3.75" customHeight="1"/>
    <row r="6" spans="2:8" ht="29.25" customHeight="1">
      <c r="B6" s="126"/>
      <c r="C6" s="525" t="s">
        <v>214</v>
      </c>
      <c r="D6" s="525" t="s">
        <v>12</v>
      </c>
      <c r="E6" s="525" t="s">
        <v>1599</v>
      </c>
      <c r="F6" s="525" t="s">
        <v>349</v>
      </c>
      <c r="G6" s="525" t="s">
        <v>163</v>
      </c>
      <c r="H6" s="632"/>
    </row>
    <row r="7" spans="2:8" ht="20.100000000000001" customHeight="1">
      <c r="C7" s="199">
        <v>1</v>
      </c>
      <c r="D7" s="201" t="s">
        <v>1600</v>
      </c>
      <c r="E7" s="201" t="s">
        <v>1600</v>
      </c>
      <c r="F7" s="199">
        <v>1</v>
      </c>
      <c r="G7" s="199">
        <v>1</v>
      </c>
      <c r="H7" s="201" t="str">
        <f t="shared" ref="H7:H52" si="0">MID(TEXT(C7,"000"),1,40)&amp;"."&amp;D7</f>
        <v>001.Dashboard</v>
      </c>
    </row>
    <row r="8" spans="2:8" ht="20.100000000000001" customHeight="1">
      <c r="C8" s="199">
        <v>2</v>
      </c>
      <c r="D8" s="201" t="s">
        <v>1601</v>
      </c>
      <c r="E8" s="201" t="s">
        <v>1601</v>
      </c>
      <c r="F8" s="199">
        <v>2</v>
      </c>
      <c r="G8" s="199">
        <v>1</v>
      </c>
      <c r="H8" s="201" t="str">
        <f t="shared" si="0"/>
        <v>002.Home Page</v>
      </c>
    </row>
    <row r="9" spans="2:8" ht="20.100000000000001" customHeight="1">
      <c r="C9" s="199">
        <v>3</v>
      </c>
      <c r="D9" s="201" t="s">
        <v>344</v>
      </c>
      <c r="E9" s="201" t="s">
        <v>194</v>
      </c>
      <c r="F9" s="199">
        <v>3</v>
      </c>
      <c r="G9" s="199">
        <v>1</v>
      </c>
      <c r="H9" s="201" t="str">
        <f t="shared" si="0"/>
        <v>003.Product/Service</v>
      </c>
    </row>
    <row r="10" spans="2:8" ht="20.100000000000001" customHeight="1">
      <c r="C10" s="199">
        <v>4</v>
      </c>
      <c r="D10" s="201" t="s">
        <v>1602</v>
      </c>
      <c r="E10" s="201" t="s">
        <v>194</v>
      </c>
      <c r="F10" s="199">
        <v>4</v>
      </c>
      <c r="G10" s="199">
        <v>1</v>
      </c>
      <c r="H10" s="201" t="str">
        <f t="shared" si="0"/>
        <v>004.Inventory Adjustment</v>
      </c>
    </row>
    <row r="11" spans="2:8" ht="20.100000000000001" customHeight="1">
      <c r="C11" s="199">
        <v>5</v>
      </c>
      <c r="D11" s="201" t="s">
        <v>1603</v>
      </c>
      <c r="E11" s="201" t="s">
        <v>194</v>
      </c>
      <c r="F11" s="199">
        <v>5</v>
      </c>
      <c r="G11" s="199">
        <v>1</v>
      </c>
      <c r="H11" s="201" t="str">
        <f t="shared" si="0"/>
        <v>005.Tranfer Order</v>
      </c>
    </row>
    <row r="12" spans="2:8" ht="20.100000000000001" customHeight="1">
      <c r="C12" s="199">
        <v>6</v>
      </c>
      <c r="D12" s="201" t="s">
        <v>1604</v>
      </c>
      <c r="E12" s="201" t="s">
        <v>194</v>
      </c>
      <c r="F12" s="199">
        <v>6</v>
      </c>
      <c r="G12" s="199">
        <v>1</v>
      </c>
      <c r="H12" s="201" t="str">
        <f t="shared" si="0"/>
        <v>006.Goods Mixes</v>
      </c>
    </row>
    <row r="13" spans="2:8" ht="20.100000000000001" customHeight="1">
      <c r="C13" s="199">
        <v>7</v>
      </c>
      <c r="D13" s="201" t="s">
        <v>1605</v>
      </c>
      <c r="E13" s="201" t="s">
        <v>194</v>
      </c>
      <c r="F13" s="199">
        <v>7</v>
      </c>
      <c r="G13" s="199">
        <v>1</v>
      </c>
      <c r="H13" s="201" t="str">
        <f t="shared" si="0"/>
        <v>007.Transfer Receive</v>
      </c>
    </row>
    <row r="14" spans="2:8" ht="20.100000000000001" customHeight="1">
      <c r="C14" s="199">
        <v>8</v>
      </c>
      <c r="D14" s="201" t="s">
        <v>340</v>
      </c>
      <c r="E14" s="201" t="s">
        <v>346</v>
      </c>
      <c r="F14" s="199">
        <v>8</v>
      </c>
      <c r="G14" s="199">
        <v>1</v>
      </c>
      <c r="H14" s="201" t="str">
        <f t="shared" si="0"/>
        <v>008.Vendor</v>
      </c>
    </row>
    <row r="15" spans="2:8" ht="20.100000000000001" customHeight="1">
      <c r="C15" s="199">
        <v>9</v>
      </c>
      <c r="D15" s="201" t="s">
        <v>1606</v>
      </c>
      <c r="E15" s="201" t="s">
        <v>346</v>
      </c>
      <c r="F15" s="199">
        <v>9</v>
      </c>
      <c r="G15" s="199">
        <v>1</v>
      </c>
      <c r="H15" s="201" t="str">
        <f t="shared" si="0"/>
        <v>009.Purchase Order</v>
      </c>
    </row>
    <row r="16" spans="2:8" ht="20.100000000000001" customHeight="1">
      <c r="C16" s="199">
        <v>10</v>
      </c>
      <c r="D16" s="201" t="s">
        <v>1607</v>
      </c>
      <c r="E16" s="201" t="s">
        <v>346</v>
      </c>
      <c r="F16" s="199">
        <v>10</v>
      </c>
      <c r="G16" s="199">
        <v>1</v>
      </c>
      <c r="H16" s="201" t="str">
        <f t="shared" si="0"/>
        <v>010.Goods Receipt Note</v>
      </c>
    </row>
    <row r="17" spans="3:8" ht="20.100000000000001" customHeight="1">
      <c r="C17" s="199">
        <v>11</v>
      </c>
      <c r="D17" s="201" t="s">
        <v>1608</v>
      </c>
      <c r="E17" s="201" t="s">
        <v>346</v>
      </c>
      <c r="F17" s="199">
        <v>11</v>
      </c>
      <c r="G17" s="199">
        <v>1</v>
      </c>
      <c r="H17" s="201" t="str">
        <f t="shared" si="0"/>
        <v>011.Purchase Bill</v>
      </c>
    </row>
    <row r="18" spans="3:8" ht="20.100000000000001" customHeight="1">
      <c r="C18" s="199">
        <v>12</v>
      </c>
      <c r="D18" s="201" t="s">
        <v>1609</v>
      </c>
      <c r="E18" s="201" t="s">
        <v>346</v>
      </c>
      <c r="F18" s="199">
        <v>12</v>
      </c>
      <c r="G18" s="199">
        <v>1</v>
      </c>
      <c r="H18" s="201" t="str">
        <f t="shared" si="0"/>
        <v>012.Pay Bills</v>
      </c>
    </row>
    <row r="19" spans="3:8" ht="20.100000000000001" customHeight="1">
      <c r="C19" s="199">
        <v>13</v>
      </c>
      <c r="D19" s="201" t="s">
        <v>1610</v>
      </c>
      <c r="E19" s="201" t="s">
        <v>346</v>
      </c>
      <c r="F19" s="199">
        <v>13</v>
      </c>
      <c r="G19" s="199">
        <v>1</v>
      </c>
      <c r="H19" s="201" t="str">
        <f t="shared" si="0"/>
        <v>013.Purchase Return</v>
      </c>
    </row>
    <row r="20" spans="3:8" ht="20.100000000000001" customHeight="1">
      <c r="C20" s="199">
        <v>14</v>
      </c>
      <c r="D20" s="201" t="s">
        <v>348</v>
      </c>
      <c r="E20" s="201" t="s">
        <v>346</v>
      </c>
      <c r="F20" s="199">
        <v>14</v>
      </c>
      <c r="G20" s="199">
        <v>1</v>
      </c>
      <c r="H20" s="201" t="str">
        <f t="shared" si="0"/>
        <v>014.Cash Expense</v>
      </c>
    </row>
    <row r="21" spans="3:8" ht="20.100000000000001" customHeight="1">
      <c r="C21" s="199">
        <v>15</v>
      </c>
      <c r="D21" s="201" t="s">
        <v>1611</v>
      </c>
      <c r="E21" s="201" t="s">
        <v>346</v>
      </c>
      <c r="F21" s="199">
        <v>15</v>
      </c>
      <c r="G21" s="199">
        <v>1</v>
      </c>
      <c r="H21" s="201" t="str">
        <f t="shared" si="0"/>
        <v>015.Landing Cost</v>
      </c>
    </row>
    <row r="22" spans="3:8" ht="20.100000000000001" customHeight="1">
      <c r="C22" s="199">
        <v>16</v>
      </c>
      <c r="D22" s="201" t="s">
        <v>1612</v>
      </c>
      <c r="E22" s="201" t="s">
        <v>195</v>
      </c>
      <c r="F22" s="199">
        <v>16</v>
      </c>
      <c r="G22" s="199">
        <v>1</v>
      </c>
      <c r="H22" s="201" t="str">
        <f t="shared" si="0"/>
        <v>016.Quotation</v>
      </c>
    </row>
    <row r="23" spans="3:8" ht="20.100000000000001" customHeight="1">
      <c r="C23" s="199">
        <v>17</v>
      </c>
      <c r="D23" s="201" t="s">
        <v>1613</v>
      </c>
      <c r="E23" s="201" t="s">
        <v>195</v>
      </c>
      <c r="F23" s="199">
        <v>17</v>
      </c>
      <c r="G23" s="199">
        <v>1</v>
      </c>
      <c r="H23" s="201" t="str">
        <f t="shared" si="0"/>
        <v>017.Sales Order</v>
      </c>
    </row>
    <row r="24" spans="3:8" ht="20.100000000000001" customHeight="1">
      <c r="C24" s="199">
        <v>18</v>
      </c>
      <c r="D24" s="201" t="s">
        <v>1614</v>
      </c>
      <c r="E24" s="201" t="s">
        <v>195</v>
      </c>
      <c r="F24" s="199">
        <v>18</v>
      </c>
      <c r="G24" s="199">
        <v>1</v>
      </c>
      <c r="H24" s="201" t="str">
        <f t="shared" si="0"/>
        <v>018.Delivery Note</v>
      </c>
    </row>
    <row r="25" spans="3:8" ht="20.100000000000001" customHeight="1">
      <c r="C25" s="199">
        <v>19</v>
      </c>
      <c r="D25" s="201" t="s">
        <v>1615</v>
      </c>
      <c r="E25" s="201" t="s">
        <v>195</v>
      </c>
      <c r="F25" s="199">
        <v>19</v>
      </c>
      <c r="G25" s="199">
        <v>1</v>
      </c>
      <c r="H25" s="201" t="str">
        <f t="shared" si="0"/>
        <v>019.Sales / Invoice</v>
      </c>
    </row>
    <row r="26" spans="3:8" ht="20.100000000000001" customHeight="1">
      <c r="C26" s="199">
        <v>20</v>
      </c>
      <c r="D26" s="201" t="s">
        <v>1616</v>
      </c>
      <c r="E26" s="201" t="s">
        <v>195</v>
      </c>
      <c r="F26" s="199">
        <v>20</v>
      </c>
      <c r="G26" s="199">
        <v>1</v>
      </c>
      <c r="H26" s="201" t="str">
        <f t="shared" si="0"/>
        <v>020.Receive Payments</v>
      </c>
    </row>
    <row r="27" spans="3:8" ht="20.100000000000001" customHeight="1">
      <c r="C27" s="199">
        <v>21</v>
      </c>
      <c r="D27" s="201" t="s">
        <v>1617</v>
      </c>
      <c r="E27" s="201" t="s">
        <v>195</v>
      </c>
      <c r="F27" s="199">
        <v>21</v>
      </c>
      <c r="G27" s="199">
        <v>1</v>
      </c>
      <c r="H27" s="201" t="str">
        <f t="shared" si="0"/>
        <v>021.Sales Return</v>
      </c>
    </row>
    <row r="28" spans="3:8" ht="20.100000000000001" customHeight="1">
      <c r="C28" s="199">
        <v>22</v>
      </c>
      <c r="D28" s="201" t="s">
        <v>339</v>
      </c>
      <c r="E28" s="201" t="s">
        <v>195</v>
      </c>
      <c r="F28" s="199">
        <v>22</v>
      </c>
      <c r="G28" s="199">
        <v>1</v>
      </c>
      <c r="H28" s="201" t="str">
        <f t="shared" si="0"/>
        <v>022.Customer</v>
      </c>
    </row>
    <row r="29" spans="3:8" ht="20.100000000000001" customHeight="1">
      <c r="C29" s="199">
        <v>23</v>
      </c>
      <c r="D29" s="201" t="s">
        <v>1618</v>
      </c>
      <c r="E29" s="201" t="s">
        <v>195</v>
      </c>
      <c r="F29" s="199">
        <v>23</v>
      </c>
      <c r="G29" s="199">
        <v>1</v>
      </c>
      <c r="H29" s="201" t="str">
        <f t="shared" si="0"/>
        <v>023.Discount Promotional</v>
      </c>
    </row>
    <row r="30" spans="3:8" ht="20.100000000000001" customHeight="1">
      <c r="C30" s="199">
        <v>24</v>
      </c>
      <c r="D30" s="201" t="s">
        <v>1619</v>
      </c>
      <c r="E30" s="201" t="s">
        <v>1620</v>
      </c>
      <c r="F30" s="199">
        <v>24</v>
      </c>
      <c r="G30" s="199">
        <v>1</v>
      </c>
      <c r="H30" s="201" t="str">
        <f t="shared" si="0"/>
        <v>024.Point Of Sales</v>
      </c>
    </row>
    <row r="31" spans="3:8" ht="20.100000000000001" customHeight="1">
      <c r="C31" s="199">
        <v>25</v>
      </c>
      <c r="D31" s="201" t="s">
        <v>1621</v>
      </c>
      <c r="E31" s="201" t="s">
        <v>1620</v>
      </c>
      <c r="F31" s="199">
        <v>25</v>
      </c>
      <c r="G31" s="199">
        <v>1</v>
      </c>
      <c r="H31" s="201" t="str">
        <f t="shared" si="0"/>
        <v>025.Shift Control</v>
      </c>
    </row>
    <row r="32" spans="3:8" ht="20.100000000000001" customHeight="1">
      <c r="C32" s="199">
        <v>26</v>
      </c>
      <c r="D32" s="201" t="s">
        <v>1622</v>
      </c>
      <c r="E32" s="201" t="s">
        <v>1620</v>
      </c>
      <c r="F32" s="199">
        <v>26</v>
      </c>
      <c r="G32" s="199">
        <v>1</v>
      </c>
      <c r="H32" s="201" t="str">
        <f t="shared" si="0"/>
        <v>026.Shift Collect Cash</v>
      </c>
    </row>
    <row r="33" spans="3:8" ht="20.100000000000001" customHeight="1">
      <c r="C33" s="199">
        <v>27</v>
      </c>
      <c r="D33" s="201" t="s">
        <v>1623</v>
      </c>
      <c r="E33" s="201" t="s">
        <v>196</v>
      </c>
      <c r="F33" s="199">
        <v>27</v>
      </c>
      <c r="G33" s="199">
        <v>1</v>
      </c>
      <c r="H33" s="201" t="str">
        <f t="shared" si="0"/>
        <v>027.Journal Entry</v>
      </c>
    </row>
    <row r="34" spans="3:8" ht="20.100000000000001" customHeight="1">
      <c r="C34" s="199">
        <v>28</v>
      </c>
      <c r="D34" s="201" t="s">
        <v>1624</v>
      </c>
      <c r="E34" s="201" t="s">
        <v>196</v>
      </c>
      <c r="F34" s="199">
        <v>28</v>
      </c>
      <c r="G34" s="199">
        <v>1</v>
      </c>
      <c r="H34" s="201" t="str">
        <f t="shared" si="0"/>
        <v>028.Receive Payment Journal</v>
      </c>
    </row>
    <row r="35" spans="3:8" ht="20.100000000000001" customHeight="1">
      <c r="C35" s="199">
        <v>29</v>
      </c>
      <c r="D35" s="201" t="s">
        <v>1625</v>
      </c>
      <c r="E35" s="201" t="s">
        <v>196</v>
      </c>
      <c r="F35" s="199">
        <v>29</v>
      </c>
      <c r="G35" s="199">
        <v>1</v>
      </c>
      <c r="H35" s="201" t="str">
        <f t="shared" si="0"/>
        <v>029.Pay Bill Journal</v>
      </c>
    </row>
    <row r="36" spans="3:8" ht="20.100000000000001" customHeight="1">
      <c r="C36" s="199">
        <v>30</v>
      </c>
      <c r="D36" s="201" t="s">
        <v>1626</v>
      </c>
      <c r="E36" s="201" t="s">
        <v>196</v>
      </c>
      <c r="F36" s="199">
        <v>30</v>
      </c>
      <c r="G36" s="199">
        <v>1</v>
      </c>
      <c r="H36" s="201" t="str">
        <f t="shared" si="0"/>
        <v>030.Reconcil</v>
      </c>
    </row>
    <row r="37" spans="3:8" ht="20.100000000000001" customHeight="1">
      <c r="C37" s="199">
        <v>31</v>
      </c>
      <c r="D37" s="201" t="s">
        <v>1627</v>
      </c>
      <c r="E37" s="201" t="s">
        <v>196</v>
      </c>
      <c r="F37" s="199">
        <v>31</v>
      </c>
      <c r="G37" s="199">
        <v>1</v>
      </c>
      <c r="H37" s="201" t="str">
        <f t="shared" si="0"/>
        <v>031.Fixed Asset</v>
      </c>
    </row>
    <row r="38" spans="3:8" ht="20.100000000000001" customHeight="1">
      <c r="C38" s="199">
        <v>32</v>
      </c>
      <c r="D38" s="201" t="s">
        <v>1628</v>
      </c>
      <c r="E38" s="201" t="s">
        <v>197</v>
      </c>
      <c r="F38" s="199">
        <v>32</v>
      </c>
      <c r="G38" s="199">
        <v>1</v>
      </c>
      <c r="H38" s="201" t="str">
        <f t="shared" si="0"/>
        <v>032.Customer Balance</v>
      </c>
    </row>
    <row r="39" spans="3:8" ht="20.100000000000001" customHeight="1">
      <c r="C39" s="199">
        <v>33</v>
      </c>
      <c r="D39" s="201" t="s">
        <v>1629</v>
      </c>
      <c r="E39" s="201" t="s">
        <v>197</v>
      </c>
      <c r="F39" s="199">
        <v>33</v>
      </c>
      <c r="G39" s="199">
        <v>1</v>
      </c>
      <c r="H39" s="201" t="str">
        <f t="shared" si="0"/>
        <v>033.Sales Transaction</v>
      </c>
    </row>
    <row r="40" spans="3:8" ht="20.100000000000001" customHeight="1">
      <c r="C40" s="199">
        <v>34</v>
      </c>
      <c r="D40" s="201" t="s">
        <v>1630</v>
      </c>
      <c r="E40" s="201" t="s">
        <v>197</v>
      </c>
      <c r="F40" s="199">
        <v>34</v>
      </c>
      <c r="G40" s="199">
        <v>1</v>
      </c>
      <c r="H40" s="201" t="str">
        <f t="shared" si="0"/>
        <v>034.Vendor Balance</v>
      </c>
    </row>
    <row r="41" spans="3:8" ht="20.100000000000001" customHeight="1">
      <c r="C41" s="199">
        <v>35</v>
      </c>
      <c r="D41" s="201" t="s">
        <v>1631</v>
      </c>
      <c r="E41" s="201" t="s">
        <v>197</v>
      </c>
      <c r="F41" s="199">
        <v>35</v>
      </c>
      <c r="G41" s="199">
        <v>1</v>
      </c>
      <c r="H41" s="201" t="str">
        <f t="shared" si="0"/>
        <v>035.Purchase Transaction</v>
      </c>
    </row>
    <row r="42" spans="3:8" ht="20.100000000000001" customHeight="1">
      <c r="C42" s="199">
        <v>36</v>
      </c>
      <c r="D42" s="201" t="s">
        <v>1632</v>
      </c>
      <c r="E42" s="201" t="s">
        <v>197</v>
      </c>
      <c r="F42" s="199">
        <v>36</v>
      </c>
      <c r="G42" s="199">
        <v>1</v>
      </c>
      <c r="H42" s="201" t="str">
        <f t="shared" si="0"/>
        <v>036.Stock/Inventory</v>
      </c>
    </row>
    <row r="43" spans="3:8" ht="20.100000000000001" customHeight="1">
      <c r="C43" s="199">
        <v>37</v>
      </c>
      <c r="D43" s="201" t="s">
        <v>1633</v>
      </c>
      <c r="E43" s="201" t="s">
        <v>197</v>
      </c>
      <c r="F43" s="199">
        <v>37</v>
      </c>
      <c r="G43" s="199">
        <v>1</v>
      </c>
      <c r="H43" s="201" t="str">
        <f t="shared" si="0"/>
        <v>037.Financial</v>
      </c>
    </row>
    <row r="44" spans="3:8" ht="20.100000000000001" customHeight="1">
      <c r="C44" s="199">
        <v>38</v>
      </c>
      <c r="D44" s="201" t="s">
        <v>1634</v>
      </c>
      <c r="E44" s="201" t="s">
        <v>197</v>
      </c>
      <c r="F44" s="199">
        <v>38</v>
      </c>
      <c r="G44" s="199">
        <v>1</v>
      </c>
      <c r="H44" s="201" t="str">
        <f t="shared" si="0"/>
        <v>038.List</v>
      </c>
    </row>
    <row r="45" spans="3:8" ht="20.100000000000001" customHeight="1">
      <c r="C45" s="199">
        <v>39</v>
      </c>
      <c r="D45" s="201" t="s">
        <v>1635</v>
      </c>
      <c r="E45" s="201" t="s">
        <v>197</v>
      </c>
      <c r="F45" s="199">
        <v>39</v>
      </c>
      <c r="G45" s="199">
        <v>1</v>
      </c>
      <c r="H45" s="201" t="str">
        <f t="shared" si="0"/>
        <v>039.User</v>
      </c>
    </row>
    <row r="46" spans="3:8" ht="20.100000000000001" customHeight="1">
      <c r="C46" s="199">
        <v>40</v>
      </c>
      <c r="D46" s="201" t="s">
        <v>194</v>
      </c>
      <c r="E46" s="201" t="s">
        <v>1636</v>
      </c>
      <c r="F46" s="199">
        <v>40</v>
      </c>
      <c r="G46" s="199">
        <v>1</v>
      </c>
      <c r="H46" s="201" t="str">
        <f t="shared" si="0"/>
        <v>040.Inventory</v>
      </c>
    </row>
    <row r="47" spans="3:8" ht="20.100000000000001" customHeight="1">
      <c r="C47" s="199">
        <v>41</v>
      </c>
      <c r="D47" s="201" t="s">
        <v>346</v>
      </c>
      <c r="E47" s="201" t="s">
        <v>1636</v>
      </c>
      <c r="F47" s="199">
        <v>41</v>
      </c>
      <c r="G47" s="199">
        <v>1</v>
      </c>
      <c r="H47" s="201" t="str">
        <f t="shared" si="0"/>
        <v>041.Purchase</v>
      </c>
    </row>
    <row r="48" spans="3:8" ht="20.100000000000001" customHeight="1">
      <c r="C48" s="199">
        <v>42</v>
      </c>
      <c r="D48" s="201" t="s">
        <v>195</v>
      </c>
      <c r="E48" s="201" t="s">
        <v>1636</v>
      </c>
      <c r="F48" s="199">
        <v>42</v>
      </c>
      <c r="G48" s="199">
        <v>1</v>
      </c>
      <c r="H48" s="201" t="str">
        <f t="shared" si="0"/>
        <v>042.Sales</v>
      </c>
    </row>
    <row r="49" spans="3:8" ht="20.100000000000001" customHeight="1">
      <c r="C49" s="199">
        <v>43</v>
      </c>
      <c r="D49" s="201" t="s">
        <v>1620</v>
      </c>
      <c r="E49" s="201" t="s">
        <v>1636</v>
      </c>
      <c r="F49" s="199">
        <v>43</v>
      </c>
      <c r="G49" s="199">
        <v>1</v>
      </c>
      <c r="H49" s="201" t="str">
        <f t="shared" si="0"/>
        <v>043.POS</v>
      </c>
    </row>
    <row r="50" spans="3:8" ht="20.100000000000001" customHeight="1">
      <c r="C50" s="199">
        <v>44</v>
      </c>
      <c r="D50" s="201" t="s">
        <v>196</v>
      </c>
      <c r="E50" s="201" t="s">
        <v>1636</v>
      </c>
      <c r="F50" s="199">
        <v>44</v>
      </c>
      <c r="G50" s="199">
        <v>1</v>
      </c>
      <c r="H50" s="201" t="str">
        <f t="shared" si="0"/>
        <v>044.Accounting</v>
      </c>
    </row>
    <row r="51" spans="3:8" ht="20.100000000000001" customHeight="1">
      <c r="C51" s="199">
        <v>45</v>
      </c>
      <c r="D51" s="201" t="s">
        <v>347</v>
      </c>
      <c r="E51" s="201" t="s">
        <v>1636</v>
      </c>
      <c r="F51" s="199">
        <v>45</v>
      </c>
      <c r="G51" s="199">
        <v>1</v>
      </c>
      <c r="H51" s="201" t="str">
        <f t="shared" si="0"/>
        <v>045.General Setting</v>
      </c>
    </row>
    <row r="52" spans="3:8" ht="20.100000000000001" customHeight="1">
      <c r="C52" s="199">
        <v>46</v>
      </c>
      <c r="D52" s="201" t="s">
        <v>1636</v>
      </c>
      <c r="E52" s="201" t="s">
        <v>1636</v>
      </c>
      <c r="F52" s="199">
        <v>46</v>
      </c>
      <c r="G52" s="199">
        <v>1</v>
      </c>
      <c r="H52" s="201" t="str">
        <f t="shared" si="0"/>
        <v>046.System Setting</v>
      </c>
    </row>
  </sheetData>
  <mergeCells count="1">
    <mergeCell ref="C3:G3"/>
  </mergeCell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558283-FF8A-41F9-BAB7-D9618D2D7925}">
  <sheetPr codeName="Sheet15"/>
  <dimension ref="C1:AA363"/>
  <sheetViews>
    <sheetView showGridLines="0" zoomScaleNormal="100" workbookViewId="0">
      <pane ySplit="6" topLeftCell="A125" activePane="bottomLeft" state="frozen"/>
      <selection pane="bottomLeft" activeCell="H135" sqref="H135"/>
    </sheetView>
  </sheetViews>
  <sheetFormatPr defaultColWidth="9.140625" defaultRowHeight="23.25"/>
  <cols>
    <col min="1" max="3" width="9.140625" style="126"/>
    <col min="4" max="4" width="10.85546875" style="181" customWidth="1"/>
    <col min="5" max="5" width="16" style="126" customWidth="1"/>
    <col min="6" max="6" width="52" style="127" bestFit="1" customWidth="1"/>
    <col min="7" max="7" width="42.5703125" style="180" customWidth="1"/>
    <col min="8" max="8" width="40.7109375" style="180" customWidth="1"/>
    <col min="9" max="9" width="27.42578125" style="128" customWidth="1"/>
    <col min="10" max="16384" width="9.140625" style="126"/>
  </cols>
  <sheetData>
    <row r="1" spans="3:27" ht="11.25" hidden="1" customHeight="1"/>
    <row r="2" spans="3:27" ht="12.75" customHeight="1"/>
    <row r="3" spans="3:27" s="249" customFormat="1" ht="44.25">
      <c r="C3" s="1868" t="s">
        <v>1504</v>
      </c>
      <c r="D3" s="1868"/>
      <c r="E3" s="1868"/>
      <c r="F3" s="1868"/>
      <c r="G3" s="1868"/>
      <c r="H3" s="1868"/>
      <c r="I3" s="1868"/>
    </row>
    <row r="4" spans="3:27" ht="3" customHeight="1"/>
    <row r="5" spans="3:27" ht="25.5">
      <c r="C5" s="524" t="s">
        <v>47</v>
      </c>
      <c r="D5" s="524" t="s">
        <v>238</v>
      </c>
      <c r="E5" s="524" t="s">
        <v>337</v>
      </c>
      <c r="F5" s="524" t="s">
        <v>239</v>
      </c>
      <c r="G5" s="633" t="s">
        <v>338</v>
      </c>
      <c r="H5" s="633" t="s">
        <v>635</v>
      </c>
      <c r="I5" s="633" t="s">
        <v>172</v>
      </c>
      <c r="J5" s="245"/>
      <c r="K5" s="245"/>
      <c r="L5" s="245"/>
      <c r="M5" s="246"/>
      <c r="N5" s="245"/>
      <c r="O5" s="245"/>
      <c r="P5" s="245"/>
      <c r="Q5" s="245"/>
      <c r="R5" s="245"/>
      <c r="S5" s="245"/>
      <c r="T5" s="245"/>
      <c r="U5" s="245"/>
      <c r="V5" s="245"/>
      <c r="W5" s="245"/>
      <c r="X5" s="245"/>
      <c r="Y5" s="246"/>
      <c r="Z5" s="245"/>
      <c r="AA5" s="245"/>
    </row>
    <row r="6" spans="3:27" ht="13.5" customHeight="1">
      <c r="C6" s="634" t="s">
        <v>9</v>
      </c>
      <c r="D6" s="634" t="s">
        <v>98</v>
      </c>
      <c r="E6" s="634" t="s">
        <v>336</v>
      </c>
      <c r="F6" s="634" t="s">
        <v>244</v>
      </c>
      <c r="G6" s="635" t="s">
        <v>243</v>
      </c>
      <c r="H6" s="635" t="s">
        <v>634</v>
      </c>
      <c r="I6" s="635" t="s">
        <v>351</v>
      </c>
      <c r="J6" s="247"/>
      <c r="K6" s="247"/>
      <c r="L6" s="247"/>
      <c r="M6" s="248"/>
      <c r="N6" s="247"/>
      <c r="O6" s="247"/>
      <c r="P6" s="247"/>
      <c r="Q6" s="247"/>
      <c r="R6" s="247"/>
      <c r="S6" s="247"/>
      <c r="T6" s="247"/>
      <c r="U6" s="247"/>
      <c r="V6" s="247"/>
      <c r="W6" s="247"/>
      <c r="X6" s="247"/>
      <c r="Y6" s="248"/>
      <c r="Z6" s="247"/>
      <c r="AA6" s="247"/>
    </row>
    <row r="7" spans="3:27">
      <c r="C7" s="199">
        <v>1</v>
      </c>
      <c r="D7" s="198" t="s">
        <v>245</v>
      </c>
      <c r="E7" s="199">
        <f>MID(I7,1,3)*1</f>
        <v>3</v>
      </c>
      <c r="F7" s="200" t="s">
        <v>724</v>
      </c>
      <c r="G7" s="250" t="s">
        <v>358</v>
      </c>
      <c r="H7" s="250" t="s">
        <v>1287</v>
      </c>
      <c r="I7" s="201" t="s">
        <v>352</v>
      </c>
    </row>
    <row r="8" spans="3:27">
      <c r="C8" s="199">
        <v>2</v>
      </c>
      <c r="D8" s="198" t="s">
        <v>246</v>
      </c>
      <c r="E8" s="199">
        <f t="shared" ref="E8:E71" si="0">MID(I8,1,3)*1</f>
        <v>3</v>
      </c>
      <c r="F8" s="200" t="s">
        <v>92</v>
      </c>
      <c r="G8" s="250" t="s">
        <v>94</v>
      </c>
      <c r="H8" s="250" t="s">
        <v>1288</v>
      </c>
      <c r="I8" s="201" t="s">
        <v>352</v>
      </c>
    </row>
    <row r="9" spans="3:27">
      <c r="C9" s="199">
        <v>3</v>
      </c>
      <c r="D9" s="198" t="s">
        <v>247</v>
      </c>
      <c r="E9" s="199">
        <f t="shared" si="0"/>
        <v>3</v>
      </c>
      <c r="F9" s="200" t="s">
        <v>359</v>
      </c>
      <c r="G9" s="250" t="s">
        <v>359</v>
      </c>
      <c r="H9" s="250" t="s">
        <v>1289</v>
      </c>
      <c r="I9" s="201" t="s">
        <v>352</v>
      </c>
    </row>
    <row r="10" spans="3:27">
      <c r="C10" s="199">
        <v>4</v>
      </c>
      <c r="D10" s="198" t="s">
        <v>248</v>
      </c>
      <c r="E10" s="199">
        <f t="shared" si="0"/>
        <v>3</v>
      </c>
      <c r="F10" s="200" t="s">
        <v>725</v>
      </c>
      <c r="G10" s="250" t="s">
        <v>360</v>
      </c>
      <c r="H10" s="250" t="s">
        <v>1290</v>
      </c>
      <c r="I10" s="201" t="s">
        <v>352</v>
      </c>
    </row>
    <row r="11" spans="3:27">
      <c r="C11" s="199">
        <v>5</v>
      </c>
      <c r="D11" s="198" t="s">
        <v>249</v>
      </c>
      <c r="E11" s="199">
        <f t="shared" si="0"/>
        <v>3</v>
      </c>
      <c r="F11" s="200" t="s">
        <v>812</v>
      </c>
      <c r="G11" s="250" t="s">
        <v>392</v>
      </c>
      <c r="H11" s="250" t="s">
        <v>1291</v>
      </c>
      <c r="I11" s="201" t="s">
        <v>352</v>
      </c>
    </row>
    <row r="12" spans="3:27">
      <c r="C12" s="199">
        <v>6</v>
      </c>
      <c r="D12" s="198" t="s">
        <v>250</v>
      </c>
      <c r="E12" s="199">
        <f t="shared" si="0"/>
        <v>3</v>
      </c>
      <c r="F12" s="200" t="s">
        <v>726</v>
      </c>
      <c r="G12" s="250" t="s">
        <v>393</v>
      </c>
      <c r="H12" s="250" t="s">
        <v>1292</v>
      </c>
      <c r="I12" s="201" t="s">
        <v>352</v>
      </c>
    </row>
    <row r="13" spans="3:27">
      <c r="C13" s="199">
        <v>7</v>
      </c>
      <c r="D13" s="198" t="s">
        <v>251</v>
      </c>
      <c r="E13" s="199">
        <f t="shared" si="0"/>
        <v>3</v>
      </c>
      <c r="F13" s="200" t="s">
        <v>727</v>
      </c>
      <c r="G13" s="250" t="s">
        <v>366</v>
      </c>
      <c r="H13" s="250" t="s">
        <v>1293</v>
      </c>
      <c r="I13" s="201" t="s">
        <v>352</v>
      </c>
    </row>
    <row r="14" spans="3:27">
      <c r="C14" s="199">
        <v>8</v>
      </c>
      <c r="D14" s="198" t="s">
        <v>252</v>
      </c>
      <c r="E14" s="199">
        <f t="shared" si="0"/>
        <v>3</v>
      </c>
      <c r="F14" s="200" t="s">
        <v>728</v>
      </c>
      <c r="G14" s="250" t="s">
        <v>344</v>
      </c>
      <c r="H14" s="250" t="s">
        <v>1294</v>
      </c>
      <c r="I14" s="201" t="s">
        <v>352</v>
      </c>
    </row>
    <row r="15" spans="3:27">
      <c r="C15" s="199">
        <v>9</v>
      </c>
      <c r="D15" s="198" t="s">
        <v>253</v>
      </c>
      <c r="E15" s="199">
        <f t="shared" si="0"/>
        <v>3</v>
      </c>
      <c r="F15" s="200" t="s">
        <v>729</v>
      </c>
      <c r="G15" s="250" t="s">
        <v>367</v>
      </c>
      <c r="H15" s="250" t="s">
        <v>1295</v>
      </c>
      <c r="I15" s="201" t="s">
        <v>352</v>
      </c>
    </row>
    <row r="16" spans="3:27">
      <c r="C16" s="199">
        <v>10</v>
      </c>
      <c r="D16" s="198" t="s">
        <v>254</v>
      </c>
      <c r="E16" s="199">
        <f t="shared" si="0"/>
        <v>3</v>
      </c>
      <c r="F16" s="200" t="s">
        <v>730</v>
      </c>
      <c r="G16" s="250" t="s">
        <v>368</v>
      </c>
      <c r="H16" s="250" t="s">
        <v>1296</v>
      </c>
      <c r="I16" s="201" t="s">
        <v>352</v>
      </c>
    </row>
    <row r="17" spans="3:9">
      <c r="C17" s="199">
        <v>11</v>
      </c>
      <c r="D17" s="198" t="s">
        <v>255</v>
      </c>
      <c r="E17" s="199">
        <f t="shared" si="0"/>
        <v>3</v>
      </c>
      <c r="F17" s="200" t="s">
        <v>731</v>
      </c>
      <c r="G17" s="250" t="s">
        <v>369</v>
      </c>
      <c r="H17" s="250" t="s">
        <v>1297</v>
      </c>
      <c r="I17" s="201" t="s">
        <v>352</v>
      </c>
    </row>
    <row r="18" spans="3:9">
      <c r="C18" s="199">
        <v>12</v>
      </c>
      <c r="D18" s="198" t="s">
        <v>256</v>
      </c>
      <c r="E18" s="199">
        <f t="shared" si="0"/>
        <v>3</v>
      </c>
      <c r="F18" s="200" t="s">
        <v>732</v>
      </c>
      <c r="G18" s="250" t="s">
        <v>370</v>
      </c>
      <c r="H18" s="250" t="s">
        <v>1298</v>
      </c>
      <c r="I18" s="201" t="s">
        <v>352</v>
      </c>
    </row>
    <row r="19" spans="3:9" ht="30">
      <c r="C19" s="199">
        <v>13</v>
      </c>
      <c r="D19" s="198" t="s">
        <v>257</v>
      </c>
      <c r="E19" s="199">
        <f t="shared" si="0"/>
        <v>3</v>
      </c>
      <c r="F19" s="200" t="s">
        <v>733</v>
      </c>
      <c r="G19" s="250" t="s">
        <v>371</v>
      </c>
      <c r="H19" s="250" t="s">
        <v>1299</v>
      </c>
      <c r="I19" s="201" t="s">
        <v>352</v>
      </c>
    </row>
    <row r="20" spans="3:9">
      <c r="C20" s="199">
        <v>14</v>
      </c>
      <c r="D20" s="198" t="s">
        <v>258</v>
      </c>
      <c r="E20" s="199">
        <f t="shared" si="0"/>
        <v>3</v>
      </c>
      <c r="F20" s="200" t="s">
        <v>734</v>
      </c>
      <c r="G20" s="250" t="s">
        <v>375</v>
      </c>
      <c r="H20" s="250" t="s">
        <v>1300</v>
      </c>
      <c r="I20" s="201" t="s">
        <v>352</v>
      </c>
    </row>
    <row r="21" spans="3:9">
      <c r="C21" s="199">
        <v>15</v>
      </c>
      <c r="D21" s="198" t="s">
        <v>259</v>
      </c>
      <c r="E21" s="199">
        <f t="shared" si="0"/>
        <v>3</v>
      </c>
      <c r="F21" s="200" t="s">
        <v>735</v>
      </c>
      <c r="G21" s="250" t="s">
        <v>376</v>
      </c>
      <c r="H21" s="250" t="s">
        <v>1301</v>
      </c>
      <c r="I21" s="201" t="s">
        <v>352</v>
      </c>
    </row>
    <row r="22" spans="3:9">
      <c r="C22" s="199">
        <v>16</v>
      </c>
      <c r="D22" s="198" t="s">
        <v>260</v>
      </c>
      <c r="E22" s="199">
        <f t="shared" si="0"/>
        <v>3</v>
      </c>
      <c r="F22" s="200" t="s">
        <v>736</v>
      </c>
      <c r="G22" s="250" t="s">
        <v>361</v>
      </c>
      <c r="H22" s="250" t="s">
        <v>1302</v>
      </c>
      <c r="I22" s="201" t="s">
        <v>352</v>
      </c>
    </row>
    <row r="23" spans="3:9">
      <c r="C23" s="199">
        <v>17</v>
      </c>
      <c r="D23" s="198" t="s">
        <v>261</v>
      </c>
      <c r="E23" s="199">
        <f t="shared" si="0"/>
        <v>3</v>
      </c>
      <c r="F23" s="200" t="s">
        <v>737</v>
      </c>
      <c r="G23" s="250" t="s">
        <v>377</v>
      </c>
      <c r="H23" s="250" t="s">
        <v>1303</v>
      </c>
      <c r="I23" s="201" t="s">
        <v>352</v>
      </c>
    </row>
    <row r="24" spans="3:9">
      <c r="C24" s="199">
        <v>18</v>
      </c>
      <c r="D24" s="198" t="s">
        <v>262</v>
      </c>
      <c r="E24" s="199">
        <f t="shared" si="0"/>
        <v>3</v>
      </c>
      <c r="F24" s="200" t="s">
        <v>738</v>
      </c>
      <c r="G24" s="250" t="s">
        <v>378</v>
      </c>
      <c r="H24" s="250" t="s">
        <v>1304</v>
      </c>
      <c r="I24" s="201" t="s">
        <v>352</v>
      </c>
    </row>
    <row r="25" spans="3:9">
      <c r="C25" s="199">
        <v>19</v>
      </c>
      <c r="D25" s="198" t="s">
        <v>263</v>
      </c>
      <c r="E25" s="199">
        <f t="shared" si="0"/>
        <v>3</v>
      </c>
      <c r="F25" s="200" t="s">
        <v>739</v>
      </c>
      <c r="G25" s="250" t="s">
        <v>379</v>
      </c>
      <c r="H25" s="250" t="s">
        <v>1305</v>
      </c>
      <c r="I25" s="201" t="s">
        <v>352</v>
      </c>
    </row>
    <row r="26" spans="3:9">
      <c r="C26" s="199">
        <v>20</v>
      </c>
      <c r="D26" s="198" t="s">
        <v>264</v>
      </c>
      <c r="E26" s="199">
        <f t="shared" si="0"/>
        <v>3</v>
      </c>
      <c r="F26" s="200" t="s">
        <v>740</v>
      </c>
      <c r="G26" s="250" t="s">
        <v>380</v>
      </c>
      <c r="H26" s="250" t="s">
        <v>1306</v>
      </c>
      <c r="I26" s="201" t="s">
        <v>352</v>
      </c>
    </row>
    <row r="27" spans="3:9">
      <c r="C27" s="199">
        <v>21</v>
      </c>
      <c r="D27" s="198" t="s">
        <v>265</v>
      </c>
      <c r="E27" s="199">
        <f t="shared" si="0"/>
        <v>40</v>
      </c>
      <c r="F27" s="200" t="s">
        <v>741</v>
      </c>
      <c r="G27" s="250" t="s">
        <v>381</v>
      </c>
      <c r="H27" s="250" t="s">
        <v>1307</v>
      </c>
      <c r="I27" s="201" t="s">
        <v>353</v>
      </c>
    </row>
    <row r="28" spans="3:9" ht="30">
      <c r="C28" s="199">
        <v>22</v>
      </c>
      <c r="D28" s="198" t="s">
        <v>266</v>
      </c>
      <c r="E28" s="199">
        <f t="shared" si="0"/>
        <v>40</v>
      </c>
      <c r="F28" s="200" t="s">
        <v>742</v>
      </c>
      <c r="G28" s="250" t="s">
        <v>382</v>
      </c>
      <c r="H28" s="250" t="s">
        <v>1308</v>
      </c>
      <c r="I28" s="201" t="s">
        <v>353</v>
      </c>
    </row>
    <row r="29" spans="3:9">
      <c r="C29" s="199">
        <v>23</v>
      </c>
      <c r="D29" s="198" t="s">
        <v>267</v>
      </c>
      <c r="E29" s="199">
        <f t="shared" si="0"/>
        <v>40</v>
      </c>
      <c r="F29" s="200" t="s">
        <v>743</v>
      </c>
      <c r="G29" s="250" t="s">
        <v>408</v>
      </c>
      <c r="H29" s="250" t="s">
        <v>1309</v>
      </c>
      <c r="I29" s="201" t="s">
        <v>353</v>
      </c>
    </row>
    <row r="30" spans="3:9">
      <c r="C30" s="199">
        <v>24</v>
      </c>
      <c r="D30" s="198" t="s">
        <v>268</v>
      </c>
      <c r="E30" s="199">
        <f t="shared" si="0"/>
        <v>40</v>
      </c>
      <c r="F30" s="200" t="s">
        <v>744</v>
      </c>
      <c r="G30" s="250" t="s">
        <v>383</v>
      </c>
      <c r="H30" s="250" t="s">
        <v>1310</v>
      </c>
      <c r="I30" s="201" t="s">
        <v>353</v>
      </c>
    </row>
    <row r="31" spans="3:9">
      <c r="C31" s="199">
        <v>25</v>
      </c>
      <c r="D31" s="198" t="s">
        <v>269</v>
      </c>
      <c r="E31" s="199">
        <f t="shared" si="0"/>
        <v>40</v>
      </c>
      <c r="F31" s="200" t="s">
        <v>745</v>
      </c>
      <c r="G31" s="250" t="s">
        <v>362</v>
      </c>
      <c r="H31" s="250" t="s">
        <v>1311</v>
      </c>
      <c r="I31" s="201" t="s">
        <v>353</v>
      </c>
    </row>
    <row r="32" spans="3:9">
      <c r="C32" s="199">
        <v>26</v>
      </c>
      <c r="D32" s="198" t="s">
        <v>270</v>
      </c>
      <c r="E32" s="199">
        <f t="shared" si="0"/>
        <v>40</v>
      </c>
      <c r="F32" s="200" t="s">
        <v>746</v>
      </c>
      <c r="G32" s="250" t="s">
        <v>401</v>
      </c>
      <c r="H32" s="250" t="s">
        <v>1312</v>
      </c>
      <c r="I32" s="201" t="s">
        <v>353</v>
      </c>
    </row>
    <row r="33" spans="3:9">
      <c r="C33" s="199">
        <v>27</v>
      </c>
      <c r="D33" s="198" t="s">
        <v>271</v>
      </c>
      <c r="E33" s="199">
        <f t="shared" si="0"/>
        <v>40</v>
      </c>
      <c r="F33" s="200" t="s">
        <v>747</v>
      </c>
      <c r="G33" s="250" t="s">
        <v>384</v>
      </c>
      <c r="H33" s="250" t="s">
        <v>1313</v>
      </c>
      <c r="I33" s="201" t="s">
        <v>353</v>
      </c>
    </row>
    <row r="34" spans="3:9" ht="30">
      <c r="C34" s="199">
        <v>28</v>
      </c>
      <c r="D34" s="198" t="s">
        <v>272</v>
      </c>
      <c r="E34" s="199">
        <f t="shared" si="0"/>
        <v>40</v>
      </c>
      <c r="F34" s="200" t="s">
        <v>748</v>
      </c>
      <c r="G34" s="250" t="s">
        <v>385</v>
      </c>
      <c r="H34" s="250" t="s">
        <v>1314</v>
      </c>
      <c r="I34" s="201" t="s">
        <v>353</v>
      </c>
    </row>
    <row r="35" spans="3:9">
      <c r="C35" s="199">
        <v>29</v>
      </c>
      <c r="D35" s="198" t="s">
        <v>273</v>
      </c>
      <c r="E35" s="199">
        <f t="shared" si="0"/>
        <v>40</v>
      </c>
      <c r="F35" s="200" t="s">
        <v>749</v>
      </c>
      <c r="G35" s="250" t="s">
        <v>407</v>
      </c>
      <c r="H35" s="250" t="s">
        <v>1315</v>
      </c>
      <c r="I35" s="201" t="s">
        <v>353</v>
      </c>
    </row>
    <row r="36" spans="3:9">
      <c r="C36" s="199">
        <v>30</v>
      </c>
      <c r="D36" s="198" t="s">
        <v>274</v>
      </c>
      <c r="E36" s="199">
        <f t="shared" si="0"/>
        <v>40</v>
      </c>
      <c r="F36" s="200" t="s">
        <v>750</v>
      </c>
      <c r="G36" s="250" t="s">
        <v>386</v>
      </c>
      <c r="H36" s="250" t="s">
        <v>1310</v>
      </c>
      <c r="I36" s="201" t="s">
        <v>353</v>
      </c>
    </row>
    <row r="37" spans="3:9">
      <c r="C37" s="199">
        <v>31</v>
      </c>
      <c r="D37" s="198" t="s">
        <v>275</v>
      </c>
      <c r="E37" s="199">
        <f t="shared" si="0"/>
        <v>40</v>
      </c>
      <c r="F37" s="200" t="s">
        <v>745</v>
      </c>
      <c r="G37" s="250" t="s">
        <v>363</v>
      </c>
      <c r="H37" s="250" t="s">
        <v>1311</v>
      </c>
      <c r="I37" s="201" t="s">
        <v>353</v>
      </c>
    </row>
    <row r="38" spans="3:9">
      <c r="C38" s="199">
        <v>32</v>
      </c>
      <c r="D38" s="198" t="s">
        <v>276</v>
      </c>
      <c r="E38" s="199">
        <f t="shared" si="0"/>
        <v>40</v>
      </c>
      <c r="F38" s="200" t="s">
        <v>751</v>
      </c>
      <c r="G38" s="250" t="s">
        <v>402</v>
      </c>
      <c r="H38" s="250" t="s">
        <v>1312</v>
      </c>
      <c r="I38" s="201" t="s">
        <v>353</v>
      </c>
    </row>
    <row r="39" spans="3:9">
      <c r="C39" s="199">
        <v>33</v>
      </c>
      <c r="D39" s="198" t="s">
        <v>277</v>
      </c>
      <c r="E39" s="199">
        <f t="shared" si="0"/>
        <v>40</v>
      </c>
      <c r="F39" s="200" t="s">
        <v>752</v>
      </c>
      <c r="G39" s="250" t="s">
        <v>387</v>
      </c>
      <c r="H39" s="250" t="s">
        <v>1313</v>
      </c>
      <c r="I39" s="201" t="s">
        <v>353</v>
      </c>
    </row>
    <row r="40" spans="3:9" ht="30">
      <c r="C40" s="199">
        <v>34</v>
      </c>
      <c r="D40" s="198" t="s">
        <v>278</v>
      </c>
      <c r="E40" s="199">
        <f t="shared" si="0"/>
        <v>40</v>
      </c>
      <c r="F40" s="200" t="s">
        <v>753</v>
      </c>
      <c r="G40" s="250" t="s">
        <v>388</v>
      </c>
      <c r="H40" s="250" t="s">
        <v>1314</v>
      </c>
      <c r="I40" s="201" t="s">
        <v>353</v>
      </c>
    </row>
    <row r="41" spans="3:9">
      <c r="C41" s="199">
        <v>35</v>
      </c>
      <c r="D41" s="198" t="s">
        <v>279</v>
      </c>
      <c r="E41" s="199">
        <f t="shared" si="0"/>
        <v>40</v>
      </c>
      <c r="F41" s="200" t="s">
        <v>754</v>
      </c>
      <c r="G41" s="250" t="s">
        <v>406</v>
      </c>
      <c r="H41" s="250" t="s">
        <v>1315</v>
      </c>
      <c r="I41" s="201" t="s">
        <v>353</v>
      </c>
    </row>
    <row r="42" spans="3:9">
      <c r="C42" s="199">
        <v>36</v>
      </c>
      <c r="D42" s="198" t="s">
        <v>280</v>
      </c>
      <c r="E42" s="199">
        <f t="shared" si="0"/>
        <v>40</v>
      </c>
      <c r="F42" s="200" t="s">
        <v>755</v>
      </c>
      <c r="G42" s="250" t="s">
        <v>389</v>
      </c>
      <c r="H42" s="250" t="s">
        <v>1316</v>
      </c>
      <c r="I42" s="201" t="s">
        <v>353</v>
      </c>
    </row>
    <row r="43" spans="3:9">
      <c r="C43" s="199">
        <v>37</v>
      </c>
      <c r="D43" s="198" t="s">
        <v>281</v>
      </c>
      <c r="E43" s="199">
        <f t="shared" si="0"/>
        <v>40</v>
      </c>
      <c r="F43" s="200" t="s">
        <v>756</v>
      </c>
      <c r="G43" s="250" t="s">
        <v>364</v>
      </c>
      <c r="H43" s="250" t="s">
        <v>1317</v>
      </c>
      <c r="I43" s="201" t="s">
        <v>353</v>
      </c>
    </row>
    <row r="44" spans="3:9" ht="45">
      <c r="C44" s="199">
        <v>38</v>
      </c>
      <c r="D44" s="198" t="s">
        <v>282</v>
      </c>
      <c r="E44" s="199">
        <f t="shared" si="0"/>
        <v>40</v>
      </c>
      <c r="F44" s="200" t="s">
        <v>757</v>
      </c>
      <c r="G44" s="250" t="s">
        <v>390</v>
      </c>
      <c r="H44" s="250" t="s">
        <v>1318</v>
      </c>
      <c r="I44" s="201" t="s">
        <v>353</v>
      </c>
    </row>
    <row r="45" spans="3:9">
      <c r="C45" s="199">
        <v>39</v>
      </c>
      <c r="D45" s="198" t="s">
        <v>283</v>
      </c>
      <c r="E45" s="199">
        <f t="shared" si="0"/>
        <v>40</v>
      </c>
      <c r="F45" s="200" t="s">
        <v>758</v>
      </c>
      <c r="G45" s="250" t="s">
        <v>391</v>
      </c>
      <c r="H45" s="250" t="s">
        <v>1319</v>
      </c>
      <c r="I45" s="201" t="s">
        <v>353</v>
      </c>
    </row>
    <row r="46" spans="3:9">
      <c r="C46" s="199">
        <v>40</v>
      </c>
      <c r="D46" s="198" t="s">
        <v>284</v>
      </c>
      <c r="E46" s="199">
        <f t="shared" si="0"/>
        <v>40</v>
      </c>
      <c r="F46" s="200" t="s">
        <v>759</v>
      </c>
      <c r="G46" s="250" t="s">
        <v>405</v>
      </c>
      <c r="H46" s="250" t="s">
        <v>1320</v>
      </c>
      <c r="I46" s="201" t="s">
        <v>353</v>
      </c>
    </row>
    <row r="47" spans="3:9">
      <c r="C47" s="199">
        <v>41</v>
      </c>
      <c r="D47" s="198" t="s">
        <v>285</v>
      </c>
      <c r="E47" s="199">
        <f t="shared" si="0"/>
        <v>40</v>
      </c>
      <c r="F47" s="200" t="s">
        <v>760</v>
      </c>
      <c r="G47" s="250" t="s">
        <v>394</v>
      </c>
      <c r="H47" s="250" t="s">
        <v>1321</v>
      </c>
      <c r="I47" s="201" t="s">
        <v>353</v>
      </c>
    </row>
    <row r="48" spans="3:9">
      <c r="C48" s="199">
        <v>42</v>
      </c>
      <c r="D48" s="198" t="s">
        <v>286</v>
      </c>
      <c r="E48" s="199">
        <f t="shared" si="0"/>
        <v>40</v>
      </c>
      <c r="F48" s="200" t="s">
        <v>761</v>
      </c>
      <c r="G48" s="250" t="s">
        <v>395</v>
      </c>
      <c r="H48" s="250" t="s">
        <v>1322</v>
      </c>
      <c r="I48" s="201" t="s">
        <v>353</v>
      </c>
    </row>
    <row r="49" spans="3:9">
      <c r="C49" s="199">
        <v>43</v>
      </c>
      <c r="D49" s="198" t="s">
        <v>287</v>
      </c>
      <c r="E49" s="199">
        <f t="shared" si="0"/>
        <v>40</v>
      </c>
      <c r="F49" s="200" t="s">
        <v>762</v>
      </c>
      <c r="G49" s="250" t="s">
        <v>403</v>
      </c>
      <c r="H49" s="250" t="s">
        <v>1323</v>
      </c>
      <c r="I49" s="201" t="s">
        <v>353</v>
      </c>
    </row>
    <row r="50" spans="3:9" ht="30">
      <c r="C50" s="199">
        <v>44</v>
      </c>
      <c r="D50" s="198" t="s">
        <v>288</v>
      </c>
      <c r="E50" s="199">
        <f t="shared" si="0"/>
        <v>40</v>
      </c>
      <c r="F50" s="200" t="s">
        <v>763</v>
      </c>
      <c r="G50" s="250" t="s">
        <v>396</v>
      </c>
      <c r="H50" s="250" t="s">
        <v>1324</v>
      </c>
      <c r="I50" s="201" t="s">
        <v>353</v>
      </c>
    </row>
    <row r="51" spans="3:9">
      <c r="C51" s="199">
        <v>45</v>
      </c>
      <c r="D51" s="198" t="s">
        <v>289</v>
      </c>
      <c r="E51" s="199">
        <f t="shared" si="0"/>
        <v>40</v>
      </c>
      <c r="F51" s="200" t="s">
        <v>764</v>
      </c>
      <c r="G51" s="250" t="s">
        <v>397</v>
      </c>
      <c r="H51" s="250" t="s">
        <v>1325</v>
      </c>
      <c r="I51" s="201" t="s">
        <v>353</v>
      </c>
    </row>
    <row r="52" spans="3:9">
      <c r="C52" s="199">
        <v>46</v>
      </c>
      <c r="D52" s="198" t="s">
        <v>290</v>
      </c>
      <c r="E52" s="199">
        <f t="shared" si="0"/>
        <v>40</v>
      </c>
      <c r="F52" s="200" t="s">
        <v>765</v>
      </c>
      <c r="G52" s="250" t="s">
        <v>404</v>
      </c>
      <c r="H52" s="250" t="s">
        <v>1326</v>
      </c>
      <c r="I52" s="201" t="s">
        <v>353</v>
      </c>
    </row>
    <row r="53" spans="3:9">
      <c r="C53" s="199">
        <v>47</v>
      </c>
      <c r="D53" s="198" t="s">
        <v>291</v>
      </c>
      <c r="E53" s="199">
        <f t="shared" si="0"/>
        <v>40</v>
      </c>
      <c r="F53" s="200" t="s">
        <v>766</v>
      </c>
      <c r="G53" s="250" t="s">
        <v>398</v>
      </c>
      <c r="H53" s="250" t="s">
        <v>1327</v>
      </c>
      <c r="I53" s="201" t="s">
        <v>353</v>
      </c>
    </row>
    <row r="54" spans="3:9">
      <c r="C54" s="199">
        <v>48</v>
      </c>
      <c r="D54" s="198" t="s">
        <v>292</v>
      </c>
      <c r="E54" s="199">
        <f t="shared" si="0"/>
        <v>40</v>
      </c>
      <c r="F54" s="200" t="s">
        <v>767</v>
      </c>
      <c r="G54" s="250" t="s">
        <v>365</v>
      </c>
      <c r="H54" s="250" t="s">
        <v>399</v>
      </c>
      <c r="I54" s="201" t="s">
        <v>353</v>
      </c>
    </row>
    <row r="55" spans="3:9">
      <c r="C55" s="199">
        <v>49</v>
      </c>
      <c r="D55" s="198" t="s">
        <v>293</v>
      </c>
      <c r="E55" s="199">
        <f t="shared" si="0"/>
        <v>40</v>
      </c>
      <c r="F55" s="200" t="s">
        <v>399</v>
      </c>
      <c r="G55" s="250" t="s">
        <v>399</v>
      </c>
      <c r="H55" s="250" t="s">
        <v>1328</v>
      </c>
      <c r="I55" s="201" t="s">
        <v>353</v>
      </c>
    </row>
    <row r="56" spans="3:9" ht="30">
      <c r="C56" s="199">
        <v>50</v>
      </c>
      <c r="D56" s="198" t="s">
        <v>294</v>
      </c>
      <c r="E56" s="199">
        <f t="shared" si="0"/>
        <v>40</v>
      </c>
      <c r="F56" s="200" t="s">
        <v>768</v>
      </c>
      <c r="G56" s="250" t="s">
        <v>400</v>
      </c>
      <c r="H56" s="250" t="s">
        <v>1329</v>
      </c>
      <c r="I56" s="201" t="s">
        <v>353</v>
      </c>
    </row>
    <row r="57" spans="3:9" ht="30">
      <c r="C57" s="199">
        <v>51</v>
      </c>
      <c r="D57" s="198" t="s">
        <v>295</v>
      </c>
      <c r="E57" s="199">
        <f t="shared" si="0"/>
        <v>40</v>
      </c>
      <c r="F57" s="200" t="s">
        <v>769</v>
      </c>
      <c r="G57" s="250" t="s">
        <v>409</v>
      </c>
      <c r="H57" s="250" t="s">
        <v>1330</v>
      </c>
      <c r="I57" s="201" t="s">
        <v>353</v>
      </c>
    </row>
    <row r="58" spans="3:9" ht="30">
      <c r="C58" s="199">
        <v>52</v>
      </c>
      <c r="D58" s="198" t="s">
        <v>296</v>
      </c>
      <c r="E58" s="199">
        <f t="shared" si="0"/>
        <v>40</v>
      </c>
      <c r="F58" s="200" t="s">
        <v>770</v>
      </c>
      <c r="G58" s="250" t="s">
        <v>410</v>
      </c>
      <c r="H58" s="250" t="s">
        <v>1331</v>
      </c>
      <c r="I58" s="201" t="s">
        <v>353</v>
      </c>
    </row>
    <row r="59" spans="3:9" ht="30">
      <c r="C59" s="199">
        <v>53</v>
      </c>
      <c r="D59" s="198" t="s">
        <v>297</v>
      </c>
      <c r="E59" s="199">
        <f t="shared" si="0"/>
        <v>40</v>
      </c>
      <c r="F59" s="200" t="s">
        <v>771</v>
      </c>
      <c r="G59" s="250" t="s">
        <v>411</v>
      </c>
      <c r="H59" s="250" t="s">
        <v>1332</v>
      </c>
      <c r="I59" s="201" t="s">
        <v>353</v>
      </c>
    </row>
    <row r="60" spans="3:9" ht="30">
      <c r="C60" s="199">
        <v>54</v>
      </c>
      <c r="D60" s="198" t="s">
        <v>298</v>
      </c>
      <c r="E60" s="199">
        <f t="shared" si="0"/>
        <v>40</v>
      </c>
      <c r="F60" s="200" t="s">
        <v>772</v>
      </c>
      <c r="G60" s="250" t="s">
        <v>412</v>
      </c>
      <c r="H60" s="250" t="s">
        <v>1333</v>
      </c>
      <c r="I60" s="201" t="s">
        <v>353</v>
      </c>
    </row>
    <row r="61" spans="3:9">
      <c r="C61" s="199">
        <v>55</v>
      </c>
      <c r="D61" s="198" t="s">
        <v>299</v>
      </c>
      <c r="E61" s="199">
        <f t="shared" si="0"/>
        <v>40</v>
      </c>
      <c r="F61" s="200" t="s">
        <v>773</v>
      </c>
      <c r="G61" s="250" t="s">
        <v>413</v>
      </c>
      <c r="H61" s="250" t="s">
        <v>1334</v>
      </c>
      <c r="I61" s="201" t="s">
        <v>353</v>
      </c>
    </row>
    <row r="62" spans="3:9">
      <c r="C62" s="199">
        <v>56</v>
      </c>
      <c r="D62" s="198" t="s">
        <v>300</v>
      </c>
      <c r="E62" s="199">
        <f t="shared" si="0"/>
        <v>40</v>
      </c>
      <c r="F62" s="200" t="s">
        <v>774</v>
      </c>
      <c r="G62" s="250" t="s">
        <v>414</v>
      </c>
      <c r="H62" s="250" t="s">
        <v>1335</v>
      </c>
      <c r="I62" s="201" t="s">
        <v>353</v>
      </c>
    </row>
    <row r="63" spans="3:9" ht="30">
      <c r="C63" s="199">
        <v>57</v>
      </c>
      <c r="D63" s="198" t="s">
        <v>301</v>
      </c>
      <c r="E63" s="199">
        <f t="shared" si="0"/>
        <v>40</v>
      </c>
      <c r="F63" s="200" t="s">
        <v>775</v>
      </c>
      <c r="G63" s="250" t="s">
        <v>415</v>
      </c>
      <c r="H63" s="250" t="s">
        <v>1336</v>
      </c>
      <c r="I63" s="201" t="s">
        <v>353</v>
      </c>
    </row>
    <row r="64" spans="3:9">
      <c r="C64" s="199">
        <v>58</v>
      </c>
      <c r="D64" s="198" t="s">
        <v>302</v>
      </c>
      <c r="E64" s="199">
        <f t="shared" si="0"/>
        <v>40</v>
      </c>
      <c r="F64" s="200" t="s">
        <v>776</v>
      </c>
      <c r="G64" s="250" t="s">
        <v>416</v>
      </c>
      <c r="H64" s="250" t="s">
        <v>1337</v>
      </c>
      <c r="I64" s="201" t="s">
        <v>353</v>
      </c>
    </row>
    <row r="65" spans="3:9">
      <c r="C65" s="199">
        <v>59</v>
      </c>
      <c r="D65" s="198" t="s">
        <v>303</v>
      </c>
      <c r="E65" s="199">
        <f t="shared" si="0"/>
        <v>40</v>
      </c>
      <c r="F65" s="200" t="s">
        <v>777</v>
      </c>
      <c r="G65" s="250" t="s">
        <v>417</v>
      </c>
      <c r="H65" s="250" t="s">
        <v>1338</v>
      </c>
      <c r="I65" s="201" t="s">
        <v>353</v>
      </c>
    </row>
    <row r="66" spans="3:9">
      <c r="C66" s="199">
        <v>60</v>
      </c>
      <c r="D66" s="198" t="s">
        <v>304</v>
      </c>
      <c r="E66" s="199">
        <f t="shared" si="0"/>
        <v>40</v>
      </c>
      <c r="F66" s="200" t="s">
        <v>778</v>
      </c>
      <c r="G66" s="250" t="s">
        <v>418</v>
      </c>
      <c r="H66" s="250" t="s">
        <v>1339</v>
      </c>
      <c r="I66" s="201" t="s">
        <v>353</v>
      </c>
    </row>
    <row r="67" spans="3:9">
      <c r="C67" s="199">
        <v>61</v>
      </c>
      <c r="D67" s="198" t="s">
        <v>305</v>
      </c>
      <c r="E67" s="199">
        <f t="shared" si="0"/>
        <v>40</v>
      </c>
      <c r="F67" s="200" t="s">
        <v>779</v>
      </c>
      <c r="G67" s="250" t="s">
        <v>419</v>
      </c>
      <c r="H67" s="250" t="s">
        <v>1340</v>
      </c>
      <c r="I67" s="201" t="s">
        <v>353</v>
      </c>
    </row>
    <row r="68" spans="3:9" ht="30">
      <c r="C68" s="199">
        <v>62</v>
      </c>
      <c r="D68" s="198" t="s">
        <v>306</v>
      </c>
      <c r="E68" s="199">
        <f t="shared" si="0"/>
        <v>40</v>
      </c>
      <c r="F68" s="200" t="s">
        <v>780</v>
      </c>
      <c r="G68" s="250" t="s">
        <v>420</v>
      </c>
      <c r="H68" s="250" t="s">
        <v>1341</v>
      </c>
      <c r="I68" s="201" t="s">
        <v>353</v>
      </c>
    </row>
    <row r="69" spans="3:9" ht="30">
      <c r="C69" s="199">
        <v>63</v>
      </c>
      <c r="D69" s="198" t="s">
        <v>307</v>
      </c>
      <c r="E69" s="199">
        <f t="shared" si="0"/>
        <v>40</v>
      </c>
      <c r="F69" s="200" t="s">
        <v>781</v>
      </c>
      <c r="G69" s="250" t="s">
        <v>421</v>
      </c>
      <c r="H69" s="250" t="s">
        <v>1342</v>
      </c>
      <c r="I69" s="201" t="s">
        <v>353</v>
      </c>
    </row>
    <row r="70" spans="3:9" ht="30">
      <c r="C70" s="199">
        <v>64</v>
      </c>
      <c r="D70" s="198" t="s">
        <v>308</v>
      </c>
      <c r="E70" s="199">
        <f t="shared" si="0"/>
        <v>40</v>
      </c>
      <c r="F70" s="200" t="s">
        <v>782</v>
      </c>
      <c r="G70" s="250" t="s">
        <v>422</v>
      </c>
      <c r="H70" s="250" t="s">
        <v>1343</v>
      </c>
      <c r="I70" s="201" t="s">
        <v>353</v>
      </c>
    </row>
    <row r="71" spans="3:9" ht="30">
      <c r="C71" s="199">
        <v>65</v>
      </c>
      <c r="D71" s="198" t="s">
        <v>309</v>
      </c>
      <c r="E71" s="199">
        <f t="shared" si="0"/>
        <v>40</v>
      </c>
      <c r="F71" s="200" t="s">
        <v>783</v>
      </c>
      <c r="G71" s="250" t="s">
        <v>423</v>
      </c>
      <c r="H71" s="250" t="s">
        <v>1344</v>
      </c>
      <c r="I71" s="201" t="s">
        <v>353</v>
      </c>
    </row>
    <row r="72" spans="3:9">
      <c r="C72" s="199">
        <v>66</v>
      </c>
      <c r="D72" s="198" t="s">
        <v>310</v>
      </c>
      <c r="E72" s="199">
        <f t="shared" ref="E72:E135" si="1">MID(I72,1,3)*1</f>
        <v>40</v>
      </c>
      <c r="F72" s="200" t="s">
        <v>784</v>
      </c>
      <c r="G72" s="250" t="s">
        <v>424</v>
      </c>
      <c r="H72" s="250" t="s">
        <v>1345</v>
      </c>
      <c r="I72" s="201" t="s">
        <v>353</v>
      </c>
    </row>
    <row r="73" spans="3:9">
      <c r="C73" s="199">
        <v>67</v>
      </c>
      <c r="D73" s="198" t="s">
        <v>311</v>
      </c>
      <c r="E73" s="199">
        <f t="shared" si="1"/>
        <v>40</v>
      </c>
      <c r="F73" s="200" t="s">
        <v>785</v>
      </c>
      <c r="G73" s="250" t="s">
        <v>425</v>
      </c>
      <c r="H73" s="250" t="s">
        <v>1346</v>
      </c>
      <c r="I73" s="201" t="s">
        <v>353</v>
      </c>
    </row>
    <row r="74" spans="3:9">
      <c r="C74" s="199">
        <v>68</v>
      </c>
      <c r="D74" s="198" t="s">
        <v>312</v>
      </c>
      <c r="E74" s="199">
        <f t="shared" si="1"/>
        <v>40</v>
      </c>
      <c r="F74" s="200" t="s">
        <v>786</v>
      </c>
      <c r="G74" s="250" t="s">
        <v>426</v>
      </c>
      <c r="H74" s="250" t="s">
        <v>1347</v>
      </c>
      <c r="I74" s="201" t="s">
        <v>353</v>
      </c>
    </row>
    <row r="75" spans="3:9">
      <c r="C75" s="199">
        <v>69</v>
      </c>
      <c r="D75" s="198" t="s">
        <v>313</v>
      </c>
      <c r="E75" s="199">
        <f t="shared" si="1"/>
        <v>40</v>
      </c>
      <c r="F75" s="200" t="s">
        <v>787</v>
      </c>
      <c r="G75" s="250" t="s">
        <v>427</v>
      </c>
      <c r="H75" s="250" t="s">
        <v>1348</v>
      </c>
      <c r="I75" s="201" t="s">
        <v>353</v>
      </c>
    </row>
    <row r="76" spans="3:9">
      <c r="C76" s="199">
        <v>70</v>
      </c>
      <c r="D76" s="198" t="s">
        <v>314</v>
      </c>
      <c r="E76" s="199">
        <f t="shared" si="1"/>
        <v>40</v>
      </c>
      <c r="F76" s="200" t="s">
        <v>788</v>
      </c>
      <c r="G76" s="250" t="s">
        <v>428</v>
      </c>
      <c r="H76" s="250" t="s">
        <v>1349</v>
      </c>
      <c r="I76" s="201" t="s">
        <v>353</v>
      </c>
    </row>
    <row r="77" spans="3:9">
      <c r="C77" s="199">
        <v>71</v>
      </c>
      <c r="D77" s="198" t="s">
        <v>315</v>
      </c>
      <c r="E77" s="199">
        <f t="shared" si="1"/>
        <v>40</v>
      </c>
      <c r="F77" s="200" t="s">
        <v>726</v>
      </c>
      <c r="G77" s="250" t="s">
        <v>429</v>
      </c>
      <c r="H77" s="250" t="s">
        <v>1350</v>
      </c>
      <c r="I77" s="201" t="s">
        <v>353</v>
      </c>
    </row>
    <row r="78" spans="3:9">
      <c r="C78" s="199">
        <v>72</v>
      </c>
      <c r="D78" s="198" t="s">
        <v>316</v>
      </c>
      <c r="E78" s="199">
        <f t="shared" si="1"/>
        <v>40</v>
      </c>
      <c r="F78" s="200" t="s">
        <v>789</v>
      </c>
      <c r="G78" s="250" t="s">
        <v>430</v>
      </c>
      <c r="H78" s="250" t="s">
        <v>1351</v>
      </c>
      <c r="I78" s="201" t="s">
        <v>353</v>
      </c>
    </row>
    <row r="79" spans="3:9">
      <c r="C79" s="199">
        <v>73</v>
      </c>
      <c r="D79" s="198" t="s">
        <v>317</v>
      </c>
      <c r="E79" s="199">
        <f t="shared" si="1"/>
        <v>40</v>
      </c>
      <c r="F79" s="200" t="s">
        <v>790</v>
      </c>
      <c r="G79" s="250" t="s">
        <v>431</v>
      </c>
      <c r="H79" s="250" t="s">
        <v>1352</v>
      </c>
      <c r="I79" s="201" t="s">
        <v>353</v>
      </c>
    </row>
    <row r="80" spans="3:9" ht="30">
      <c r="C80" s="199">
        <v>74</v>
      </c>
      <c r="D80" s="198" t="s">
        <v>318</v>
      </c>
      <c r="E80" s="199">
        <f t="shared" si="1"/>
        <v>40</v>
      </c>
      <c r="F80" s="200" t="s">
        <v>791</v>
      </c>
      <c r="G80" s="250" t="s">
        <v>432</v>
      </c>
      <c r="H80" s="250" t="s">
        <v>1353</v>
      </c>
      <c r="I80" s="201" t="s">
        <v>353</v>
      </c>
    </row>
    <row r="81" spans="3:9" ht="30">
      <c r="C81" s="199">
        <v>75</v>
      </c>
      <c r="D81" s="198" t="s">
        <v>319</v>
      </c>
      <c r="E81" s="199">
        <f t="shared" si="1"/>
        <v>40</v>
      </c>
      <c r="F81" s="200" t="s">
        <v>792</v>
      </c>
      <c r="G81" s="250" t="s">
        <v>433</v>
      </c>
      <c r="H81" s="250" t="s">
        <v>1354</v>
      </c>
      <c r="I81" s="201" t="s">
        <v>353</v>
      </c>
    </row>
    <row r="82" spans="3:9" ht="30">
      <c r="C82" s="199">
        <v>76</v>
      </c>
      <c r="D82" s="198" t="s">
        <v>320</v>
      </c>
      <c r="E82" s="199">
        <f t="shared" si="1"/>
        <v>40</v>
      </c>
      <c r="F82" s="200" t="s">
        <v>793</v>
      </c>
      <c r="G82" s="250" t="s">
        <v>434</v>
      </c>
      <c r="H82" s="250" t="s">
        <v>1355</v>
      </c>
      <c r="I82" s="201" t="s">
        <v>353</v>
      </c>
    </row>
    <row r="83" spans="3:9" ht="30">
      <c r="C83" s="199">
        <v>77</v>
      </c>
      <c r="D83" s="198" t="s">
        <v>321</v>
      </c>
      <c r="E83" s="199">
        <f t="shared" si="1"/>
        <v>40</v>
      </c>
      <c r="F83" s="200" t="s">
        <v>794</v>
      </c>
      <c r="G83" s="250" t="s">
        <v>435</v>
      </c>
      <c r="H83" s="250" t="s">
        <v>1356</v>
      </c>
      <c r="I83" s="201" t="s">
        <v>353</v>
      </c>
    </row>
    <row r="84" spans="3:9" ht="30">
      <c r="C84" s="199">
        <v>78</v>
      </c>
      <c r="D84" s="198" t="s">
        <v>322</v>
      </c>
      <c r="E84" s="199">
        <f t="shared" si="1"/>
        <v>40</v>
      </c>
      <c r="F84" s="200" t="s">
        <v>795</v>
      </c>
      <c r="G84" s="250" t="s">
        <v>436</v>
      </c>
      <c r="H84" s="250" t="s">
        <v>1357</v>
      </c>
      <c r="I84" s="201" t="s">
        <v>353</v>
      </c>
    </row>
    <row r="85" spans="3:9" ht="30">
      <c r="C85" s="199">
        <v>79</v>
      </c>
      <c r="D85" s="198" t="s">
        <v>323</v>
      </c>
      <c r="E85" s="199">
        <f t="shared" si="1"/>
        <v>40</v>
      </c>
      <c r="F85" s="200" t="s">
        <v>796</v>
      </c>
      <c r="G85" s="250" t="s">
        <v>437</v>
      </c>
      <c r="H85" s="250" t="s">
        <v>1358</v>
      </c>
      <c r="I85" s="201" t="s">
        <v>353</v>
      </c>
    </row>
    <row r="86" spans="3:9">
      <c r="C86" s="199">
        <v>80</v>
      </c>
      <c r="D86" s="198" t="s">
        <v>324</v>
      </c>
      <c r="E86" s="199">
        <f t="shared" si="1"/>
        <v>40</v>
      </c>
      <c r="F86" s="200" t="s">
        <v>797</v>
      </c>
      <c r="G86" s="250" t="s">
        <v>345</v>
      </c>
      <c r="H86" s="250" t="s">
        <v>1359</v>
      </c>
      <c r="I86" s="201" t="s">
        <v>353</v>
      </c>
    </row>
    <row r="87" spans="3:9">
      <c r="C87" s="199">
        <v>81</v>
      </c>
      <c r="D87" s="198" t="s">
        <v>325</v>
      </c>
      <c r="E87" s="199">
        <f t="shared" si="1"/>
        <v>40</v>
      </c>
      <c r="F87" s="200" t="s">
        <v>798</v>
      </c>
      <c r="G87" s="250" t="s">
        <v>438</v>
      </c>
      <c r="H87" s="250" t="s">
        <v>1360</v>
      </c>
      <c r="I87" s="201" t="s">
        <v>353</v>
      </c>
    </row>
    <row r="88" spans="3:9">
      <c r="C88" s="199">
        <v>82</v>
      </c>
      <c r="D88" s="198" t="s">
        <v>326</v>
      </c>
      <c r="E88" s="199">
        <f t="shared" si="1"/>
        <v>40</v>
      </c>
      <c r="F88" s="200" t="s">
        <v>799</v>
      </c>
      <c r="G88" s="250" t="s">
        <v>439</v>
      </c>
      <c r="H88" s="250" t="s">
        <v>1361</v>
      </c>
      <c r="I88" s="201" t="s">
        <v>353</v>
      </c>
    </row>
    <row r="89" spans="3:9">
      <c r="C89" s="199">
        <v>83</v>
      </c>
      <c r="D89" s="198" t="s">
        <v>327</v>
      </c>
      <c r="E89" s="199">
        <f t="shared" si="1"/>
        <v>40</v>
      </c>
      <c r="F89" s="200" t="s">
        <v>800</v>
      </c>
      <c r="G89" s="250" t="s">
        <v>440</v>
      </c>
      <c r="H89" s="250" t="s">
        <v>1362</v>
      </c>
      <c r="I89" s="201" t="s">
        <v>353</v>
      </c>
    </row>
    <row r="90" spans="3:9">
      <c r="C90" s="199">
        <v>84</v>
      </c>
      <c r="D90" s="198" t="s">
        <v>328</v>
      </c>
      <c r="E90" s="199">
        <f t="shared" si="1"/>
        <v>40</v>
      </c>
      <c r="F90" s="200" t="s">
        <v>801</v>
      </c>
      <c r="G90" s="250" t="s">
        <v>441</v>
      </c>
      <c r="H90" s="250" t="s">
        <v>1363</v>
      </c>
      <c r="I90" s="201" t="s">
        <v>353</v>
      </c>
    </row>
    <row r="91" spans="3:9">
      <c r="C91" s="199">
        <v>85</v>
      </c>
      <c r="D91" s="198" t="s">
        <v>329</v>
      </c>
      <c r="E91" s="199">
        <f t="shared" si="1"/>
        <v>40</v>
      </c>
      <c r="F91" s="200" t="s">
        <v>802</v>
      </c>
      <c r="G91" s="250" t="s">
        <v>442</v>
      </c>
      <c r="H91" s="250" t="s">
        <v>1364</v>
      </c>
      <c r="I91" s="201" t="s">
        <v>353</v>
      </c>
    </row>
    <row r="92" spans="3:9">
      <c r="C92" s="199">
        <v>86</v>
      </c>
      <c r="D92" s="198" t="s">
        <v>330</v>
      </c>
      <c r="E92" s="199">
        <f t="shared" si="1"/>
        <v>40</v>
      </c>
      <c r="F92" s="200" t="s">
        <v>803</v>
      </c>
      <c r="G92" s="250" t="s">
        <v>443</v>
      </c>
      <c r="H92" s="250" t="s">
        <v>1365</v>
      </c>
      <c r="I92" s="201" t="s">
        <v>353</v>
      </c>
    </row>
    <row r="93" spans="3:9">
      <c r="C93" s="199">
        <v>87</v>
      </c>
      <c r="D93" s="198" t="s">
        <v>331</v>
      </c>
      <c r="E93" s="199">
        <f t="shared" si="1"/>
        <v>40</v>
      </c>
      <c r="F93" s="200" t="s">
        <v>804</v>
      </c>
      <c r="G93" s="250" t="s">
        <v>444</v>
      </c>
      <c r="H93" s="250" t="s">
        <v>1366</v>
      </c>
      <c r="I93" s="201" t="s">
        <v>353</v>
      </c>
    </row>
    <row r="94" spans="3:9">
      <c r="C94" s="199">
        <v>88</v>
      </c>
      <c r="D94" s="198" t="s">
        <v>332</v>
      </c>
      <c r="E94" s="199">
        <f t="shared" si="1"/>
        <v>40</v>
      </c>
      <c r="F94" s="200" t="s">
        <v>805</v>
      </c>
      <c r="G94" s="250" t="s">
        <v>445</v>
      </c>
      <c r="H94" s="250" t="s">
        <v>1367</v>
      </c>
      <c r="I94" s="201" t="s">
        <v>353</v>
      </c>
    </row>
    <row r="95" spans="3:9">
      <c r="C95" s="199">
        <v>89</v>
      </c>
      <c r="D95" s="198" t="s">
        <v>333</v>
      </c>
      <c r="E95" s="199">
        <f t="shared" si="1"/>
        <v>40</v>
      </c>
      <c r="F95" s="200" t="s">
        <v>806</v>
      </c>
      <c r="G95" s="250" t="s">
        <v>446</v>
      </c>
      <c r="H95" s="250" t="s">
        <v>1368</v>
      </c>
      <c r="I95" s="201" t="s">
        <v>353</v>
      </c>
    </row>
    <row r="96" spans="3:9">
      <c r="C96" s="199">
        <v>90</v>
      </c>
      <c r="D96" s="198" t="s">
        <v>334</v>
      </c>
      <c r="E96" s="199">
        <f t="shared" si="1"/>
        <v>40</v>
      </c>
      <c r="F96" s="200" t="s">
        <v>807</v>
      </c>
      <c r="G96" s="250" t="s">
        <v>447</v>
      </c>
      <c r="H96" s="250" t="s">
        <v>1369</v>
      </c>
      <c r="I96" s="201" t="s">
        <v>353</v>
      </c>
    </row>
    <row r="97" spans="3:9">
      <c r="C97" s="199">
        <v>91</v>
      </c>
      <c r="D97" s="198" t="s">
        <v>335</v>
      </c>
      <c r="E97" s="199">
        <f t="shared" si="1"/>
        <v>40</v>
      </c>
      <c r="F97" s="200" t="s">
        <v>808</v>
      </c>
      <c r="G97" s="250" t="s">
        <v>341</v>
      </c>
      <c r="H97" s="250" t="s">
        <v>1370</v>
      </c>
      <c r="I97" s="201" t="s">
        <v>353</v>
      </c>
    </row>
    <row r="98" spans="3:9">
      <c r="C98" s="199">
        <v>92</v>
      </c>
      <c r="D98" s="198" t="s">
        <v>1021</v>
      </c>
      <c r="E98" s="199">
        <f t="shared" si="1"/>
        <v>40</v>
      </c>
      <c r="F98" s="200" t="s">
        <v>809</v>
      </c>
      <c r="G98" s="250" t="s">
        <v>448</v>
      </c>
      <c r="H98" s="250" t="s">
        <v>1371</v>
      </c>
      <c r="I98" s="201" t="s">
        <v>353</v>
      </c>
    </row>
    <row r="99" spans="3:9">
      <c r="C99" s="199">
        <v>93</v>
      </c>
      <c r="D99" s="198" t="s">
        <v>1022</v>
      </c>
      <c r="E99" s="199">
        <f t="shared" si="1"/>
        <v>40</v>
      </c>
      <c r="F99" s="200" t="s">
        <v>810</v>
      </c>
      <c r="G99" s="250" t="s">
        <v>449</v>
      </c>
      <c r="H99" s="250" t="s">
        <v>1372</v>
      </c>
      <c r="I99" s="201" t="s">
        <v>353</v>
      </c>
    </row>
    <row r="100" spans="3:9">
      <c r="C100" s="199">
        <v>94</v>
      </c>
      <c r="D100" s="198" t="s">
        <v>1023</v>
      </c>
      <c r="E100" s="199">
        <f t="shared" si="1"/>
        <v>40</v>
      </c>
      <c r="F100" s="200" t="s">
        <v>811</v>
      </c>
      <c r="G100" s="250" t="s">
        <v>450</v>
      </c>
      <c r="H100" s="250" t="s">
        <v>1373</v>
      </c>
      <c r="I100" s="201" t="s">
        <v>353</v>
      </c>
    </row>
    <row r="101" spans="3:9" ht="30">
      <c r="C101" s="199">
        <v>95</v>
      </c>
      <c r="D101" s="198" t="s">
        <v>1024</v>
      </c>
      <c r="E101" s="199">
        <f t="shared" si="1"/>
        <v>40</v>
      </c>
      <c r="F101" s="200" t="s">
        <v>813</v>
      </c>
      <c r="G101" s="250" t="s">
        <v>451</v>
      </c>
      <c r="H101" s="250" t="s">
        <v>1374</v>
      </c>
      <c r="I101" s="201" t="s">
        <v>353</v>
      </c>
    </row>
    <row r="102" spans="3:9" ht="30">
      <c r="C102" s="199">
        <v>96</v>
      </c>
      <c r="D102" s="198" t="s">
        <v>1025</v>
      </c>
      <c r="E102" s="199">
        <f t="shared" si="1"/>
        <v>40</v>
      </c>
      <c r="F102" s="200" t="s">
        <v>814</v>
      </c>
      <c r="G102" s="250" t="s">
        <v>452</v>
      </c>
      <c r="H102" s="250" t="s">
        <v>1375</v>
      </c>
      <c r="I102" s="201" t="s">
        <v>353</v>
      </c>
    </row>
    <row r="103" spans="3:9">
      <c r="C103" s="199">
        <v>97</v>
      </c>
      <c r="D103" s="198" t="s">
        <v>1026</v>
      </c>
      <c r="E103" s="199">
        <f t="shared" si="1"/>
        <v>40</v>
      </c>
      <c r="F103" s="200" t="s">
        <v>815</v>
      </c>
      <c r="G103" s="250" t="s">
        <v>453</v>
      </c>
      <c r="H103" s="250" t="s">
        <v>1376</v>
      </c>
      <c r="I103" s="201" t="s">
        <v>353</v>
      </c>
    </row>
    <row r="104" spans="3:9">
      <c r="C104" s="199">
        <v>98</v>
      </c>
      <c r="D104" s="198" t="s">
        <v>1027</v>
      </c>
      <c r="E104" s="199">
        <f t="shared" si="1"/>
        <v>40</v>
      </c>
      <c r="F104" s="200" t="s">
        <v>816</v>
      </c>
      <c r="G104" s="250" t="s">
        <v>454</v>
      </c>
      <c r="H104" s="250" t="s">
        <v>1377</v>
      </c>
      <c r="I104" s="201" t="s">
        <v>353</v>
      </c>
    </row>
    <row r="105" spans="3:9">
      <c r="C105" s="199">
        <v>99</v>
      </c>
      <c r="D105" s="198" t="s">
        <v>1028</v>
      </c>
      <c r="E105" s="199">
        <f t="shared" si="1"/>
        <v>41</v>
      </c>
      <c r="F105" s="200" t="s">
        <v>4</v>
      </c>
      <c r="G105" s="250" t="s">
        <v>346</v>
      </c>
      <c r="H105" s="250" t="s">
        <v>1378</v>
      </c>
      <c r="I105" s="201" t="s">
        <v>354</v>
      </c>
    </row>
    <row r="106" spans="3:9">
      <c r="C106" s="199">
        <v>100</v>
      </c>
      <c r="D106" s="198" t="s">
        <v>1029</v>
      </c>
      <c r="E106" s="199">
        <f t="shared" si="1"/>
        <v>41</v>
      </c>
      <c r="F106" s="200" t="s">
        <v>817</v>
      </c>
      <c r="G106" s="250" t="s">
        <v>349</v>
      </c>
      <c r="H106" s="250" t="s">
        <v>1379</v>
      </c>
      <c r="I106" s="201" t="s">
        <v>354</v>
      </c>
    </row>
    <row r="107" spans="3:9" ht="30">
      <c r="C107" s="199">
        <v>101</v>
      </c>
      <c r="D107" s="198" t="s">
        <v>1030</v>
      </c>
      <c r="E107" s="199">
        <f t="shared" si="1"/>
        <v>41</v>
      </c>
      <c r="F107" s="200" t="s">
        <v>818</v>
      </c>
      <c r="G107" s="250" t="s">
        <v>455</v>
      </c>
      <c r="H107" s="250" t="s">
        <v>1380</v>
      </c>
      <c r="I107" s="201" t="s">
        <v>354</v>
      </c>
    </row>
    <row r="108" spans="3:9" ht="30">
      <c r="C108" s="199">
        <v>102</v>
      </c>
      <c r="D108" s="198" t="s">
        <v>1031</v>
      </c>
      <c r="E108" s="199">
        <f t="shared" si="1"/>
        <v>41</v>
      </c>
      <c r="F108" s="200" t="s">
        <v>819</v>
      </c>
      <c r="G108" s="250" t="s">
        <v>456</v>
      </c>
      <c r="H108" s="250" t="s">
        <v>1381</v>
      </c>
      <c r="I108" s="201" t="s">
        <v>354</v>
      </c>
    </row>
    <row r="109" spans="3:9">
      <c r="C109" s="199">
        <v>103</v>
      </c>
      <c r="D109" s="198" t="s">
        <v>1032</v>
      </c>
      <c r="E109" s="199">
        <f t="shared" si="1"/>
        <v>41</v>
      </c>
      <c r="F109" s="200" t="s">
        <v>820</v>
      </c>
      <c r="G109" s="250" t="s">
        <v>457</v>
      </c>
      <c r="H109" s="250" t="s">
        <v>1382</v>
      </c>
      <c r="I109" s="201" t="s">
        <v>354</v>
      </c>
    </row>
    <row r="110" spans="3:9">
      <c r="C110" s="199">
        <v>104</v>
      </c>
      <c r="D110" s="198" t="s">
        <v>1033</v>
      </c>
      <c r="E110" s="199">
        <f t="shared" si="1"/>
        <v>41</v>
      </c>
      <c r="F110" s="200" t="s">
        <v>821</v>
      </c>
      <c r="G110" s="250" t="s">
        <v>458</v>
      </c>
      <c r="H110" s="250" t="s">
        <v>1383</v>
      </c>
      <c r="I110" s="201" t="s">
        <v>354</v>
      </c>
    </row>
    <row r="111" spans="3:9">
      <c r="C111" s="199">
        <v>105</v>
      </c>
      <c r="D111" s="198" t="s">
        <v>1034</v>
      </c>
      <c r="E111" s="199">
        <f t="shared" si="1"/>
        <v>41</v>
      </c>
      <c r="F111" s="200" t="s">
        <v>822</v>
      </c>
      <c r="G111" s="250" t="s">
        <v>459</v>
      </c>
      <c r="H111" s="250" t="s">
        <v>1384</v>
      </c>
      <c r="I111" s="201" t="s">
        <v>354</v>
      </c>
    </row>
    <row r="112" spans="3:9">
      <c r="C112" s="199">
        <v>106</v>
      </c>
      <c r="D112" s="198" t="s">
        <v>1035</v>
      </c>
      <c r="E112" s="199">
        <f t="shared" si="1"/>
        <v>41</v>
      </c>
      <c r="F112" s="200" t="s">
        <v>823</v>
      </c>
      <c r="G112" s="250" t="s">
        <v>460</v>
      </c>
      <c r="H112" s="250" t="s">
        <v>1385</v>
      </c>
      <c r="I112" s="201" t="s">
        <v>354</v>
      </c>
    </row>
    <row r="113" spans="3:9">
      <c r="C113" s="199">
        <v>107</v>
      </c>
      <c r="D113" s="198" t="s">
        <v>1036</v>
      </c>
      <c r="E113" s="199">
        <f t="shared" si="1"/>
        <v>41</v>
      </c>
      <c r="F113" s="200" t="s">
        <v>824</v>
      </c>
      <c r="G113" s="250" t="s">
        <v>461</v>
      </c>
      <c r="H113" s="250" t="s">
        <v>1386</v>
      </c>
      <c r="I113" s="201" t="s">
        <v>354</v>
      </c>
    </row>
    <row r="114" spans="3:9">
      <c r="C114" s="199">
        <v>108</v>
      </c>
      <c r="D114" s="198" t="s">
        <v>1037</v>
      </c>
      <c r="E114" s="199">
        <f t="shared" si="1"/>
        <v>41</v>
      </c>
      <c r="F114" s="200" t="s">
        <v>825</v>
      </c>
      <c r="G114" s="250" t="s">
        <v>340</v>
      </c>
      <c r="H114" s="250" t="s">
        <v>1387</v>
      </c>
      <c r="I114" s="201" t="s">
        <v>354</v>
      </c>
    </row>
    <row r="115" spans="3:9" ht="30">
      <c r="C115" s="199">
        <v>109</v>
      </c>
      <c r="D115" s="198" t="s">
        <v>1038</v>
      </c>
      <c r="E115" s="199">
        <f t="shared" si="1"/>
        <v>41</v>
      </c>
      <c r="F115" s="200" t="s">
        <v>826</v>
      </c>
      <c r="G115" s="250" t="s">
        <v>462</v>
      </c>
      <c r="H115" s="250" t="s">
        <v>1388</v>
      </c>
      <c r="I115" s="201" t="s">
        <v>354</v>
      </c>
    </row>
    <row r="116" spans="3:9">
      <c r="C116" s="199">
        <v>110</v>
      </c>
      <c r="D116" s="198" t="s">
        <v>1039</v>
      </c>
      <c r="E116" s="199">
        <f t="shared" si="1"/>
        <v>41</v>
      </c>
      <c r="F116" s="200" t="s">
        <v>827</v>
      </c>
      <c r="G116" s="250" t="s">
        <v>372</v>
      </c>
      <c r="H116" s="250" t="s">
        <v>1389</v>
      </c>
      <c r="I116" s="201" t="s">
        <v>354</v>
      </c>
    </row>
    <row r="117" spans="3:9" ht="30">
      <c r="C117" s="199">
        <v>111</v>
      </c>
      <c r="D117" s="198" t="s">
        <v>1040</v>
      </c>
      <c r="E117" s="199">
        <f t="shared" si="1"/>
        <v>41</v>
      </c>
      <c r="F117" s="200" t="s">
        <v>828</v>
      </c>
      <c r="G117" s="250" t="s">
        <v>343</v>
      </c>
      <c r="H117" s="250" t="s">
        <v>1390</v>
      </c>
      <c r="I117" s="201" t="s">
        <v>354</v>
      </c>
    </row>
    <row r="118" spans="3:9" ht="30">
      <c r="C118" s="199">
        <v>112</v>
      </c>
      <c r="D118" s="198" t="s">
        <v>1041</v>
      </c>
      <c r="E118" s="199">
        <f t="shared" si="1"/>
        <v>41</v>
      </c>
      <c r="F118" s="200" t="s">
        <v>829</v>
      </c>
      <c r="G118" s="250" t="s">
        <v>463</v>
      </c>
      <c r="H118" s="250" t="s">
        <v>1391</v>
      </c>
      <c r="I118" s="201" t="s">
        <v>354</v>
      </c>
    </row>
    <row r="119" spans="3:9" ht="30">
      <c r="C119" s="199">
        <v>113</v>
      </c>
      <c r="D119" s="198" t="s">
        <v>1042</v>
      </c>
      <c r="E119" s="199">
        <f t="shared" si="1"/>
        <v>41</v>
      </c>
      <c r="F119" s="200" t="s">
        <v>830</v>
      </c>
      <c r="G119" s="250" t="s">
        <v>464</v>
      </c>
      <c r="H119" s="250" t="s">
        <v>1392</v>
      </c>
      <c r="I119" s="201" t="s">
        <v>354</v>
      </c>
    </row>
    <row r="120" spans="3:9" ht="30">
      <c r="C120" s="199">
        <v>114</v>
      </c>
      <c r="D120" s="198" t="s">
        <v>1043</v>
      </c>
      <c r="E120" s="199">
        <f t="shared" si="1"/>
        <v>41</v>
      </c>
      <c r="F120" s="200" t="s">
        <v>1019</v>
      </c>
      <c r="G120" s="250" t="s">
        <v>1020</v>
      </c>
      <c r="H120" s="250" t="s">
        <v>1393</v>
      </c>
      <c r="I120" s="201" t="s">
        <v>354</v>
      </c>
    </row>
    <row r="121" spans="3:9">
      <c r="C121" s="199">
        <v>115</v>
      </c>
      <c r="D121" s="198" t="s">
        <v>1044</v>
      </c>
      <c r="E121" s="199">
        <f t="shared" si="1"/>
        <v>41</v>
      </c>
      <c r="F121" s="200" t="s">
        <v>831</v>
      </c>
      <c r="G121" s="250" t="s">
        <v>465</v>
      </c>
      <c r="H121" s="250" t="s">
        <v>1394</v>
      </c>
      <c r="I121" s="201" t="s">
        <v>354</v>
      </c>
    </row>
    <row r="122" spans="3:9">
      <c r="C122" s="199">
        <v>116</v>
      </c>
      <c r="D122" s="198" t="s">
        <v>1045</v>
      </c>
      <c r="E122" s="199">
        <f t="shared" si="1"/>
        <v>42</v>
      </c>
      <c r="F122" s="200" t="s">
        <v>832</v>
      </c>
      <c r="G122" s="250" t="s">
        <v>467</v>
      </c>
      <c r="H122" s="250" t="s">
        <v>1395</v>
      </c>
      <c r="I122" s="201" t="s">
        <v>466</v>
      </c>
    </row>
    <row r="123" spans="3:9">
      <c r="C123" s="199">
        <v>117</v>
      </c>
      <c r="D123" s="198" t="s">
        <v>1046</v>
      </c>
      <c r="E123" s="199">
        <f t="shared" si="1"/>
        <v>42</v>
      </c>
      <c r="F123" s="200" t="s">
        <v>833</v>
      </c>
      <c r="G123" s="250" t="s">
        <v>468</v>
      </c>
      <c r="H123" s="250" t="s">
        <v>1396</v>
      </c>
      <c r="I123" s="201" t="s">
        <v>466</v>
      </c>
    </row>
    <row r="124" spans="3:9" ht="30">
      <c r="C124" s="199">
        <v>118</v>
      </c>
      <c r="D124" s="198" t="s">
        <v>1047</v>
      </c>
      <c r="E124" s="199">
        <f t="shared" si="1"/>
        <v>42</v>
      </c>
      <c r="F124" s="200" t="s">
        <v>834</v>
      </c>
      <c r="G124" s="250" t="s">
        <v>469</v>
      </c>
      <c r="H124" s="250" t="s">
        <v>1397</v>
      </c>
      <c r="I124" s="201" t="s">
        <v>466</v>
      </c>
    </row>
    <row r="125" spans="3:9" ht="30">
      <c r="C125" s="199">
        <v>119</v>
      </c>
      <c r="D125" s="198" t="s">
        <v>1048</v>
      </c>
      <c r="E125" s="199">
        <f t="shared" si="1"/>
        <v>42</v>
      </c>
      <c r="F125" s="200" t="s">
        <v>835</v>
      </c>
      <c r="G125" s="250" t="s">
        <v>470</v>
      </c>
      <c r="H125" s="250" t="s">
        <v>1398</v>
      </c>
      <c r="I125" s="201" t="s">
        <v>466</v>
      </c>
    </row>
    <row r="126" spans="3:9" ht="30">
      <c r="C126" s="199">
        <v>120</v>
      </c>
      <c r="D126" s="198" t="s">
        <v>1049</v>
      </c>
      <c r="E126" s="199">
        <f t="shared" si="1"/>
        <v>42</v>
      </c>
      <c r="F126" s="200" t="s">
        <v>836</v>
      </c>
      <c r="G126" s="250" t="s">
        <v>471</v>
      </c>
      <c r="H126" s="250" t="s">
        <v>1399</v>
      </c>
      <c r="I126" s="201" t="s">
        <v>466</v>
      </c>
    </row>
    <row r="127" spans="3:9">
      <c r="C127" s="199">
        <v>121</v>
      </c>
      <c r="D127" s="198" t="s">
        <v>1050</v>
      </c>
      <c r="E127" s="199">
        <f t="shared" si="1"/>
        <v>42</v>
      </c>
      <c r="F127" s="200" t="s">
        <v>837</v>
      </c>
      <c r="G127" s="250" t="s">
        <v>472</v>
      </c>
      <c r="H127" s="250" t="s">
        <v>1400</v>
      </c>
      <c r="I127" s="201" t="s">
        <v>466</v>
      </c>
    </row>
    <row r="128" spans="3:9">
      <c r="C128" s="199">
        <v>122</v>
      </c>
      <c r="D128" s="198" t="s">
        <v>1051</v>
      </c>
      <c r="E128" s="199">
        <f t="shared" si="1"/>
        <v>42</v>
      </c>
      <c r="F128" s="200" t="s">
        <v>838</v>
      </c>
      <c r="G128" s="250" t="s">
        <v>473</v>
      </c>
      <c r="H128" s="250" t="s">
        <v>1401</v>
      </c>
      <c r="I128" s="201" t="s">
        <v>466</v>
      </c>
    </row>
    <row r="129" spans="3:9">
      <c r="C129" s="199">
        <v>123</v>
      </c>
      <c r="D129" s="198" t="s">
        <v>1052</v>
      </c>
      <c r="E129" s="199">
        <f t="shared" si="1"/>
        <v>42</v>
      </c>
      <c r="F129" s="200" t="s">
        <v>839</v>
      </c>
      <c r="G129" s="250" t="s">
        <v>3709</v>
      </c>
      <c r="H129" s="250" t="s">
        <v>1402</v>
      </c>
      <c r="I129" s="201" t="s">
        <v>466</v>
      </c>
    </row>
    <row r="130" spans="3:9">
      <c r="C130" s="199">
        <v>124</v>
      </c>
      <c r="D130" s="198" t="s">
        <v>1053</v>
      </c>
      <c r="E130" s="199">
        <f t="shared" si="1"/>
        <v>42</v>
      </c>
      <c r="F130" s="200" t="s">
        <v>840</v>
      </c>
      <c r="G130" s="250" t="s">
        <v>474</v>
      </c>
      <c r="H130" s="250" t="s">
        <v>1403</v>
      </c>
      <c r="I130" s="201" t="s">
        <v>466</v>
      </c>
    </row>
    <row r="131" spans="3:9">
      <c r="C131" s="199">
        <v>125</v>
      </c>
      <c r="D131" s="198" t="s">
        <v>1054</v>
      </c>
      <c r="E131" s="199">
        <f t="shared" si="1"/>
        <v>42</v>
      </c>
      <c r="F131" s="200" t="s">
        <v>225</v>
      </c>
      <c r="G131" s="250" t="s">
        <v>339</v>
      </c>
      <c r="H131" s="250" t="s">
        <v>1404</v>
      </c>
      <c r="I131" s="201" t="s">
        <v>466</v>
      </c>
    </row>
    <row r="132" spans="3:9">
      <c r="C132" s="199">
        <v>126</v>
      </c>
      <c r="D132" s="198" t="s">
        <v>1055</v>
      </c>
      <c r="E132" s="199">
        <f t="shared" si="1"/>
        <v>42</v>
      </c>
      <c r="F132" s="200" t="s">
        <v>841</v>
      </c>
      <c r="G132" s="250" t="s">
        <v>475</v>
      </c>
      <c r="H132" s="250" t="s">
        <v>1405</v>
      </c>
      <c r="I132" s="201" t="s">
        <v>466</v>
      </c>
    </row>
    <row r="133" spans="3:9">
      <c r="C133" s="199">
        <v>127</v>
      </c>
      <c r="D133" s="198" t="s">
        <v>1056</v>
      </c>
      <c r="E133" s="199">
        <f t="shared" si="1"/>
        <v>42</v>
      </c>
      <c r="F133" s="200" t="s">
        <v>842</v>
      </c>
      <c r="G133" s="250" t="s">
        <v>478</v>
      </c>
      <c r="H133" s="250" t="s">
        <v>1406</v>
      </c>
      <c r="I133" s="201" t="s">
        <v>466</v>
      </c>
    </row>
    <row r="134" spans="3:9" ht="30">
      <c r="C134" s="199">
        <v>128</v>
      </c>
      <c r="D134" s="198" t="s">
        <v>1057</v>
      </c>
      <c r="E134" s="199">
        <f t="shared" si="1"/>
        <v>42</v>
      </c>
      <c r="F134" s="200" t="s">
        <v>843</v>
      </c>
      <c r="G134" s="250" t="s">
        <v>476</v>
      </c>
      <c r="H134" s="250" t="s">
        <v>1407</v>
      </c>
      <c r="I134" s="201" t="s">
        <v>466</v>
      </c>
    </row>
    <row r="135" spans="3:9" ht="30">
      <c r="C135" s="199">
        <v>129</v>
      </c>
      <c r="D135" s="198" t="s">
        <v>1058</v>
      </c>
      <c r="E135" s="199">
        <f t="shared" si="1"/>
        <v>42</v>
      </c>
      <c r="F135" s="200" t="s">
        <v>844</v>
      </c>
      <c r="G135" s="250" t="s">
        <v>477</v>
      </c>
      <c r="H135" s="250" t="s">
        <v>1408</v>
      </c>
      <c r="I135" s="201" t="s">
        <v>466</v>
      </c>
    </row>
    <row r="136" spans="3:9" ht="30">
      <c r="C136" s="199">
        <v>130</v>
      </c>
      <c r="D136" s="198" t="s">
        <v>1059</v>
      </c>
      <c r="E136" s="199">
        <f t="shared" ref="E136:E199" si="2">MID(I136,1,3)*1</f>
        <v>42</v>
      </c>
      <c r="F136" s="200" t="s">
        <v>845</v>
      </c>
      <c r="G136" s="250" t="s">
        <v>484</v>
      </c>
      <c r="H136" s="250" t="s">
        <v>1409</v>
      </c>
      <c r="I136" s="201" t="s">
        <v>466</v>
      </c>
    </row>
    <row r="137" spans="3:9" ht="30">
      <c r="C137" s="199">
        <v>131</v>
      </c>
      <c r="D137" s="198" t="s">
        <v>1060</v>
      </c>
      <c r="E137" s="199">
        <f t="shared" si="2"/>
        <v>42</v>
      </c>
      <c r="F137" s="200" t="s">
        <v>846</v>
      </c>
      <c r="G137" s="250" t="s">
        <v>485</v>
      </c>
      <c r="H137" s="250" t="s">
        <v>1410</v>
      </c>
      <c r="I137" s="201" t="s">
        <v>466</v>
      </c>
    </row>
    <row r="138" spans="3:9">
      <c r="C138" s="199">
        <v>132</v>
      </c>
      <c r="D138" s="198" t="s">
        <v>1061</v>
      </c>
      <c r="E138" s="199">
        <f t="shared" si="2"/>
        <v>42</v>
      </c>
      <c r="F138" s="200" t="s">
        <v>847</v>
      </c>
      <c r="G138" s="250" t="s">
        <v>486</v>
      </c>
      <c r="H138" s="250" t="s">
        <v>1411</v>
      </c>
      <c r="I138" s="201" t="s">
        <v>466</v>
      </c>
    </row>
    <row r="139" spans="3:9">
      <c r="C139" s="199">
        <v>133</v>
      </c>
      <c r="D139" s="198" t="s">
        <v>1062</v>
      </c>
      <c r="E139" s="199">
        <f t="shared" si="2"/>
        <v>42</v>
      </c>
      <c r="F139" s="200" t="s">
        <v>848</v>
      </c>
      <c r="G139" s="250" t="s">
        <v>479</v>
      </c>
      <c r="H139" s="250" t="s">
        <v>1412</v>
      </c>
      <c r="I139" s="201" t="s">
        <v>466</v>
      </c>
    </row>
    <row r="140" spans="3:9">
      <c r="C140" s="199">
        <v>134</v>
      </c>
      <c r="D140" s="198" t="s">
        <v>1063</v>
      </c>
      <c r="E140" s="199">
        <f t="shared" si="2"/>
        <v>42</v>
      </c>
      <c r="F140" s="200" t="s">
        <v>849</v>
      </c>
      <c r="G140" s="250" t="s">
        <v>480</v>
      </c>
      <c r="H140" s="250" t="s">
        <v>1413</v>
      </c>
      <c r="I140" s="201" t="s">
        <v>466</v>
      </c>
    </row>
    <row r="141" spans="3:9">
      <c r="C141" s="199">
        <v>135</v>
      </c>
      <c r="D141" s="198" t="s">
        <v>1064</v>
      </c>
      <c r="E141" s="199">
        <f t="shared" si="2"/>
        <v>42</v>
      </c>
      <c r="F141" s="200" t="s">
        <v>850</v>
      </c>
      <c r="G141" s="250" t="s">
        <v>481</v>
      </c>
      <c r="H141" s="250" t="s">
        <v>1414</v>
      </c>
      <c r="I141" s="201" t="s">
        <v>466</v>
      </c>
    </row>
    <row r="142" spans="3:9">
      <c r="C142" s="199">
        <v>136</v>
      </c>
      <c r="D142" s="198" t="s">
        <v>1065</v>
      </c>
      <c r="E142" s="199">
        <f t="shared" si="2"/>
        <v>42</v>
      </c>
      <c r="F142" s="200" t="s">
        <v>851</v>
      </c>
      <c r="G142" s="250" t="s">
        <v>482</v>
      </c>
      <c r="H142" s="250" t="s">
        <v>1415</v>
      </c>
      <c r="I142" s="201" t="s">
        <v>466</v>
      </c>
    </row>
    <row r="143" spans="3:9">
      <c r="C143" s="199">
        <v>137</v>
      </c>
      <c r="D143" s="198" t="s">
        <v>1066</v>
      </c>
      <c r="E143" s="199">
        <f t="shared" si="2"/>
        <v>42</v>
      </c>
      <c r="F143" s="200" t="s">
        <v>852</v>
      </c>
      <c r="G143" s="250" t="s">
        <v>483</v>
      </c>
      <c r="H143" s="250" t="s">
        <v>1416</v>
      </c>
      <c r="I143" s="201" t="s">
        <v>466</v>
      </c>
    </row>
    <row r="144" spans="3:9">
      <c r="C144" s="199">
        <v>138</v>
      </c>
      <c r="D144" s="198" t="s">
        <v>1067</v>
      </c>
      <c r="E144" s="199">
        <f t="shared" si="2"/>
        <v>42</v>
      </c>
      <c r="F144" s="200" t="s">
        <v>853</v>
      </c>
      <c r="G144" s="250" t="s">
        <v>487</v>
      </c>
      <c r="H144" s="250" t="s">
        <v>1417</v>
      </c>
      <c r="I144" s="201" t="s">
        <v>466</v>
      </c>
    </row>
    <row r="145" spans="3:9" ht="30">
      <c r="C145" s="199">
        <v>139</v>
      </c>
      <c r="D145" s="198" t="s">
        <v>1068</v>
      </c>
      <c r="E145" s="199">
        <f t="shared" si="2"/>
        <v>42</v>
      </c>
      <c r="F145" s="200" t="s">
        <v>854</v>
      </c>
      <c r="G145" s="250" t="s">
        <v>488</v>
      </c>
      <c r="H145" s="250" t="s">
        <v>1418</v>
      </c>
      <c r="I145" s="201" t="s">
        <v>466</v>
      </c>
    </row>
    <row r="146" spans="3:9">
      <c r="C146" s="199">
        <v>140</v>
      </c>
      <c r="D146" s="198" t="s">
        <v>1069</v>
      </c>
      <c r="E146" s="199">
        <f t="shared" si="2"/>
        <v>42</v>
      </c>
      <c r="F146" s="200" t="s">
        <v>855</v>
      </c>
      <c r="G146" s="250" t="s">
        <v>489</v>
      </c>
      <c r="H146" s="250" t="s">
        <v>1419</v>
      </c>
      <c r="I146" s="201" t="s">
        <v>466</v>
      </c>
    </row>
    <row r="147" spans="3:9">
      <c r="C147" s="199">
        <v>141</v>
      </c>
      <c r="D147" s="198" t="s">
        <v>1070</v>
      </c>
      <c r="E147" s="199">
        <f t="shared" si="2"/>
        <v>42</v>
      </c>
      <c r="F147" s="200" t="s">
        <v>856</v>
      </c>
      <c r="G147" s="250" t="s">
        <v>490</v>
      </c>
      <c r="H147" s="250" t="s">
        <v>1420</v>
      </c>
      <c r="I147" s="201" t="s">
        <v>466</v>
      </c>
    </row>
    <row r="148" spans="3:9">
      <c r="C148" s="199">
        <v>142</v>
      </c>
      <c r="D148" s="198" t="s">
        <v>1071</v>
      </c>
      <c r="E148" s="199">
        <f t="shared" si="2"/>
        <v>42</v>
      </c>
      <c r="F148" s="200" t="s">
        <v>857</v>
      </c>
      <c r="G148" s="250" t="s">
        <v>491</v>
      </c>
      <c r="H148" s="250" t="s">
        <v>1421</v>
      </c>
      <c r="I148" s="201" t="s">
        <v>466</v>
      </c>
    </row>
    <row r="149" spans="3:9">
      <c r="C149" s="199">
        <v>143</v>
      </c>
      <c r="D149" s="198" t="s">
        <v>1072</v>
      </c>
      <c r="E149" s="199">
        <f t="shared" si="2"/>
        <v>42</v>
      </c>
      <c r="F149" s="200" t="s">
        <v>858</v>
      </c>
      <c r="G149" s="250" t="s">
        <v>492</v>
      </c>
      <c r="H149" s="250" t="s">
        <v>1422</v>
      </c>
      <c r="I149" s="201" t="s">
        <v>466</v>
      </c>
    </row>
    <row r="150" spans="3:9" ht="30">
      <c r="C150" s="199">
        <v>144</v>
      </c>
      <c r="D150" s="198" t="s">
        <v>1073</v>
      </c>
      <c r="E150" s="199">
        <f t="shared" si="2"/>
        <v>42</v>
      </c>
      <c r="F150" s="200" t="s">
        <v>859</v>
      </c>
      <c r="G150" s="250" t="s">
        <v>493</v>
      </c>
      <c r="H150" s="250" t="s">
        <v>1418</v>
      </c>
      <c r="I150" s="201" t="s">
        <v>466</v>
      </c>
    </row>
    <row r="151" spans="3:9" ht="30">
      <c r="C151" s="199">
        <v>145</v>
      </c>
      <c r="D151" s="198" t="s">
        <v>1074</v>
      </c>
      <c r="E151" s="199">
        <f t="shared" si="2"/>
        <v>42</v>
      </c>
      <c r="F151" s="200" t="s">
        <v>860</v>
      </c>
      <c r="G151" s="250" t="s">
        <v>494</v>
      </c>
      <c r="H151" s="250" t="s">
        <v>1423</v>
      </c>
      <c r="I151" s="201" t="s">
        <v>466</v>
      </c>
    </row>
    <row r="152" spans="3:9">
      <c r="C152" s="199">
        <v>146</v>
      </c>
      <c r="D152" s="198" t="s">
        <v>1075</v>
      </c>
      <c r="E152" s="199">
        <f t="shared" si="2"/>
        <v>42</v>
      </c>
      <c r="F152" s="200" t="s">
        <v>861</v>
      </c>
      <c r="G152" s="250" t="s">
        <v>495</v>
      </c>
      <c r="H152" s="250" t="s">
        <v>1424</v>
      </c>
      <c r="I152" s="201" t="s">
        <v>466</v>
      </c>
    </row>
    <row r="153" spans="3:9">
      <c r="C153" s="199">
        <v>147</v>
      </c>
      <c r="D153" s="198" t="s">
        <v>1076</v>
      </c>
      <c r="E153" s="199">
        <f t="shared" si="2"/>
        <v>42</v>
      </c>
      <c r="F153" s="200" t="s">
        <v>862</v>
      </c>
      <c r="G153" s="250" t="s">
        <v>497</v>
      </c>
      <c r="H153" s="250" t="s">
        <v>1425</v>
      </c>
      <c r="I153" s="201" t="s">
        <v>466</v>
      </c>
    </row>
    <row r="154" spans="3:9" ht="30">
      <c r="C154" s="199">
        <v>148</v>
      </c>
      <c r="D154" s="198" t="s">
        <v>1077</v>
      </c>
      <c r="E154" s="199">
        <f t="shared" si="2"/>
        <v>42</v>
      </c>
      <c r="F154" s="200" t="s">
        <v>863</v>
      </c>
      <c r="G154" s="250" t="s">
        <v>498</v>
      </c>
      <c r="H154" s="250" t="s">
        <v>1418</v>
      </c>
      <c r="I154" s="201" t="s">
        <v>466</v>
      </c>
    </row>
    <row r="155" spans="3:9" ht="30">
      <c r="C155" s="199">
        <v>149</v>
      </c>
      <c r="D155" s="198" t="s">
        <v>1078</v>
      </c>
      <c r="E155" s="199">
        <f t="shared" si="2"/>
        <v>42</v>
      </c>
      <c r="F155" s="200" t="s">
        <v>864</v>
      </c>
      <c r="G155" s="250" t="s">
        <v>499</v>
      </c>
      <c r="H155" s="250" t="s">
        <v>1426</v>
      </c>
      <c r="I155" s="201" t="s">
        <v>466</v>
      </c>
    </row>
    <row r="156" spans="3:9">
      <c r="C156" s="199">
        <v>150</v>
      </c>
      <c r="D156" s="198" t="s">
        <v>1079</v>
      </c>
      <c r="E156" s="199">
        <f t="shared" si="2"/>
        <v>42</v>
      </c>
      <c r="F156" s="200" t="s">
        <v>865</v>
      </c>
      <c r="G156" s="250" t="s">
        <v>500</v>
      </c>
      <c r="H156" s="250" t="s">
        <v>1427</v>
      </c>
      <c r="I156" s="201" t="s">
        <v>466</v>
      </c>
    </row>
    <row r="157" spans="3:9">
      <c r="C157" s="199">
        <v>151</v>
      </c>
      <c r="D157" s="198" t="s">
        <v>1080</v>
      </c>
      <c r="E157" s="199">
        <f t="shared" si="2"/>
        <v>42</v>
      </c>
      <c r="F157" s="200" t="s">
        <v>866</v>
      </c>
      <c r="G157" s="250" t="s">
        <v>501</v>
      </c>
      <c r="H157" s="250" t="s">
        <v>1428</v>
      </c>
      <c r="I157" s="201" t="s">
        <v>466</v>
      </c>
    </row>
    <row r="158" spans="3:9">
      <c r="C158" s="199">
        <v>152</v>
      </c>
      <c r="D158" s="198" t="s">
        <v>1081</v>
      </c>
      <c r="E158" s="199">
        <f t="shared" si="2"/>
        <v>42</v>
      </c>
      <c r="F158" s="200" t="s">
        <v>867</v>
      </c>
      <c r="G158" s="250" t="s">
        <v>502</v>
      </c>
      <c r="H158" s="250" t="s">
        <v>1429</v>
      </c>
      <c r="I158" s="201" t="s">
        <v>466</v>
      </c>
    </row>
    <row r="159" spans="3:9">
      <c r="C159" s="199">
        <v>153</v>
      </c>
      <c r="D159" s="198" t="s">
        <v>1082</v>
      </c>
      <c r="E159" s="199">
        <f t="shared" si="2"/>
        <v>42</v>
      </c>
      <c r="F159" s="200" t="s">
        <v>868</v>
      </c>
      <c r="G159" s="250" t="s">
        <v>496</v>
      </c>
      <c r="H159" s="250" t="s">
        <v>1430</v>
      </c>
      <c r="I159" s="201" t="s">
        <v>466</v>
      </c>
    </row>
    <row r="160" spans="3:9">
      <c r="C160" s="199">
        <v>154</v>
      </c>
      <c r="D160" s="198" t="s">
        <v>1083</v>
      </c>
      <c r="E160" s="199">
        <f t="shared" si="2"/>
        <v>42</v>
      </c>
      <c r="F160" s="200" t="s">
        <v>869</v>
      </c>
      <c r="G160" s="250" t="s">
        <v>503</v>
      </c>
      <c r="H160" s="250" t="s">
        <v>1431</v>
      </c>
      <c r="I160" s="201" t="s">
        <v>466</v>
      </c>
    </row>
    <row r="161" spans="3:9">
      <c r="C161" s="199">
        <v>155</v>
      </c>
      <c r="D161" s="198" t="s">
        <v>1084</v>
      </c>
      <c r="E161" s="199">
        <f t="shared" si="2"/>
        <v>42</v>
      </c>
      <c r="F161" s="200" t="s">
        <v>870</v>
      </c>
      <c r="G161" s="250" t="s">
        <v>504</v>
      </c>
      <c r="H161" s="250" t="s">
        <v>1432</v>
      </c>
      <c r="I161" s="201" t="s">
        <v>466</v>
      </c>
    </row>
    <row r="162" spans="3:9">
      <c r="C162" s="199">
        <v>156</v>
      </c>
      <c r="D162" s="198" t="s">
        <v>1085</v>
      </c>
      <c r="E162" s="199">
        <f t="shared" si="2"/>
        <v>42</v>
      </c>
      <c r="F162" s="200" t="s">
        <v>871</v>
      </c>
      <c r="G162" s="250" t="s">
        <v>505</v>
      </c>
      <c r="H162" s="250" t="s">
        <v>1433</v>
      </c>
      <c r="I162" s="201" t="s">
        <v>466</v>
      </c>
    </row>
    <row r="163" spans="3:9">
      <c r="C163" s="199">
        <v>157</v>
      </c>
      <c r="D163" s="198" t="s">
        <v>1086</v>
      </c>
      <c r="E163" s="199">
        <f t="shared" si="2"/>
        <v>42</v>
      </c>
      <c r="F163" s="200" t="s">
        <v>872</v>
      </c>
      <c r="G163" s="250" t="s">
        <v>506</v>
      </c>
      <c r="H163" s="250" t="s">
        <v>1434</v>
      </c>
      <c r="I163" s="201" t="s">
        <v>466</v>
      </c>
    </row>
    <row r="164" spans="3:9" ht="30">
      <c r="C164" s="199">
        <v>158</v>
      </c>
      <c r="D164" s="198" t="s">
        <v>1087</v>
      </c>
      <c r="E164" s="199">
        <f t="shared" si="2"/>
        <v>42</v>
      </c>
      <c r="F164" s="200" t="s">
        <v>873</v>
      </c>
      <c r="G164" s="250" t="s">
        <v>507</v>
      </c>
      <c r="H164" s="250" t="s">
        <v>1435</v>
      </c>
      <c r="I164" s="201" t="s">
        <v>466</v>
      </c>
    </row>
    <row r="165" spans="3:9">
      <c r="C165" s="199">
        <v>159</v>
      </c>
      <c r="D165" s="198" t="s">
        <v>1088</v>
      </c>
      <c r="E165" s="199">
        <f t="shared" si="2"/>
        <v>42</v>
      </c>
      <c r="F165" s="200" t="s">
        <v>874</v>
      </c>
      <c r="G165" s="250" t="s">
        <v>508</v>
      </c>
      <c r="H165" s="250" t="s">
        <v>1436</v>
      </c>
      <c r="I165" s="201" t="s">
        <v>466</v>
      </c>
    </row>
    <row r="166" spans="3:9">
      <c r="C166" s="199">
        <v>160</v>
      </c>
      <c r="D166" s="198" t="s">
        <v>1089</v>
      </c>
      <c r="E166" s="199">
        <f t="shared" si="2"/>
        <v>42</v>
      </c>
      <c r="F166" s="200" t="s">
        <v>875</v>
      </c>
      <c r="G166" s="250" t="s">
        <v>509</v>
      </c>
      <c r="H166" s="250" t="s">
        <v>1437</v>
      </c>
      <c r="I166" s="201" t="s">
        <v>466</v>
      </c>
    </row>
    <row r="167" spans="3:9">
      <c r="C167" s="199">
        <v>161</v>
      </c>
      <c r="D167" s="198" t="s">
        <v>1090</v>
      </c>
      <c r="E167" s="199">
        <f t="shared" si="2"/>
        <v>42</v>
      </c>
      <c r="F167" s="200" t="s">
        <v>876</v>
      </c>
      <c r="G167" s="250" t="s">
        <v>510</v>
      </c>
      <c r="H167" s="250" t="s">
        <v>1438</v>
      </c>
      <c r="I167" s="201" t="s">
        <v>466</v>
      </c>
    </row>
    <row r="168" spans="3:9">
      <c r="C168" s="199">
        <v>162</v>
      </c>
      <c r="D168" s="198" t="s">
        <v>1091</v>
      </c>
      <c r="E168" s="199">
        <f t="shared" si="2"/>
        <v>42</v>
      </c>
      <c r="F168" s="200" t="s">
        <v>877</v>
      </c>
      <c r="G168" s="250" t="s">
        <v>342</v>
      </c>
      <c r="H168" s="250" t="s">
        <v>1439</v>
      </c>
      <c r="I168" s="201" t="s">
        <v>466</v>
      </c>
    </row>
    <row r="169" spans="3:9">
      <c r="C169" s="199">
        <v>163</v>
      </c>
      <c r="D169" s="198" t="s">
        <v>1092</v>
      </c>
      <c r="E169" s="199">
        <f t="shared" si="2"/>
        <v>42</v>
      </c>
      <c r="F169" s="200" t="s">
        <v>878</v>
      </c>
      <c r="G169" s="250" t="s">
        <v>511</v>
      </c>
      <c r="H169" s="250" t="s">
        <v>1440</v>
      </c>
      <c r="I169" s="201" t="s">
        <v>466</v>
      </c>
    </row>
    <row r="170" spans="3:9">
      <c r="C170" s="199">
        <v>164</v>
      </c>
      <c r="D170" s="198" t="s">
        <v>1093</v>
      </c>
      <c r="E170" s="199">
        <f t="shared" si="2"/>
        <v>42</v>
      </c>
      <c r="F170" s="200" t="s">
        <v>879</v>
      </c>
      <c r="G170" s="250" t="s">
        <v>512</v>
      </c>
      <c r="H170" s="250" t="s">
        <v>1400</v>
      </c>
      <c r="I170" s="201" t="s">
        <v>466</v>
      </c>
    </row>
    <row r="171" spans="3:9">
      <c r="C171" s="199">
        <v>165</v>
      </c>
      <c r="D171" s="198" t="s">
        <v>1094</v>
      </c>
      <c r="E171" s="199">
        <f t="shared" si="2"/>
        <v>43</v>
      </c>
      <c r="F171" s="200" t="s">
        <v>880</v>
      </c>
      <c r="G171" s="250" t="s">
        <v>514</v>
      </c>
      <c r="H171" s="250" t="s">
        <v>1441</v>
      </c>
      <c r="I171" s="201" t="s">
        <v>513</v>
      </c>
    </row>
    <row r="172" spans="3:9">
      <c r="C172" s="199">
        <v>166</v>
      </c>
      <c r="D172" s="198" t="s">
        <v>1095</v>
      </c>
      <c r="E172" s="199">
        <f t="shared" si="2"/>
        <v>43</v>
      </c>
      <c r="F172" s="200" t="s">
        <v>838</v>
      </c>
      <c r="G172" s="250" t="s">
        <v>473</v>
      </c>
      <c r="H172" s="250" t="s">
        <v>1442</v>
      </c>
      <c r="I172" s="201" t="s">
        <v>513</v>
      </c>
    </row>
    <row r="173" spans="3:9">
      <c r="C173" s="199">
        <v>167</v>
      </c>
      <c r="D173" s="198" t="s">
        <v>1096</v>
      </c>
      <c r="E173" s="199">
        <f t="shared" si="2"/>
        <v>43</v>
      </c>
      <c r="F173" s="200" t="s">
        <v>881</v>
      </c>
      <c r="G173" s="250" t="s">
        <v>13</v>
      </c>
      <c r="H173" s="250" t="s">
        <v>1443</v>
      </c>
      <c r="I173" s="201" t="s">
        <v>513</v>
      </c>
    </row>
    <row r="174" spans="3:9">
      <c r="C174" s="199">
        <v>168</v>
      </c>
      <c r="D174" s="198" t="s">
        <v>1097</v>
      </c>
      <c r="E174" s="199">
        <f t="shared" si="2"/>
        <v>43</v>
      </c>
      <c r="F174" s="200" t="s">
        <v>882</v>
      </c>
      <c r="G174" s="250" t="s">
        <v>515</v>
      </c>
      <c r="H174" s="250" t="s">
        <v>1444</v>
      </c>
      <c r="I174" s="201" t="s">
        <v>513</v>
      </c>
    </row>
    <row r="175" spans="3:9">
      <c r="C175" s="199">
        <v>169</v>
      </c>
      <c r="D175" s="198" t="s">
        <v>1098</v>
      </c>
      <c r="E175" s="199">
        <f t="shared" si="2"/>
        <v>43</v>
      </c>
      <c r="F175" s="200" t="s">
        <v>883</v>
      </c>
      <c r="G175" s="250" t="s">
        <v>516</v>
      </c>
      <c r="H175" s="250" t="s">
        <v>1445</v>
      </c>
      <c r="I175" s="201" t="s">
        <v>513</v>
      </c>
    </row>
    <row r="176" spans="3:9">
      <c r="C176" s="199">
        <v>170</v>
      </c>
      <c r="D176" s="198" t="s">
        <v>1099</v>
      </c>
      <c r="E176" s="199">
        <f t="shared" si="2"/>
        <v>43</v>
      </c>
      <c r="F176" s="200" t="s">
        <v>884</v>
      </c>
      <c r="G176" s="250" t="s">
        <v>517</v>
      </c>
      <c r="H176" s="250" t="s">
        <v>1446</v>
      </c>
      <c r="I176" s="201" t="s">
        <v>513</v>
      </c>
    </row>
    <row r="177" spans="3:9" ht="30">
      <c r="C177" s="199">
        <v>171</v>
      </c>
      <c r="D177" s="198" t="s">
        <v>1100</v>
      </c>
      <c r="E177" s="199">
        <f t="shared" si="2"/>
        <v>43</v>
      </c>
      <c r="F177" s="200" t="s">
        <v>885</v>
      </c>
      <c r="G177" s="250" t="s">
        <v>518</v>
      </c>
      <c r="H177" s="250" t="s">
        <v>1447</v>
      </c>
      <c r="I177" s="201" t="s">
        <v>513</v>
      </c>
    </row>
    <row r="178" spans="3:9" ht="30">
      <c r="C178" s="199">
        <v>172</v>
      </c>
      <c r="D178" s="198" t="s">
        <v>1101</v>
      </c>
      <c r="E178" s="199">
        <f t="shared" si="2"/>
        <v>43</v>
      </c>
      <c r="F178" s="200" t="s">
        <v>886</v>
      </c>
      <c r="G178" s="250" t="s">
        <v>519</v>
      </c>
      <c r="H178" s="250" t="s">
        <v>1448</v>
      </c>
      <c r="I178" s="201" t="s">
        <v>513</v>
      </c>
    </row>
    <row r="179" spans="3:9">
      <c r="C179" s="199">
        <v>173</v>
      </c>
      <c r="D179" s="198" t="s">
        <v>1102</v>
      </c>
      <c r="E179" s="199">
        <f t="shared" si="2"/>
        <v>43</v>
      </c>
      <c r="F179" s="200" t="s">
        <v>887</v>
      </c>
      <c r="G179" s="250" t="s">
        <v>520</v>
      </c>
      <c r="H179" s="250" t="s">
        <v>1449</v>
      </c>
      <c r="I179" s="201" t="s">
        <v>513</v>
      </c>
    </row>
    <row r="180" spans="3:9">
      <c r="C180" s="199">
        <v>174</v>
      </c>
      <c r="D180" s="198" t="s">
        <v>1103</v>
      </c>
      <c r="E180" s="199">
        <f t="shared" si="2"/>
        <v>43</v>
      </c>
      <c r="F180" s="200" t="s">
        <v>888</v>
      </c>
      <c r="G180" s="250" t="s">
        <v>521</v>
      </c>
      <c r="H180" s="250" t="s">
        <v>1450</v>
      </c>
      <c r="I180" s="201" t="s">
        <v>513</v>
      </c>
    </row>
    <row r="181" spans="3:9">
      <c r="C181" s="199">
        <v>175</v>
      </c>
      <c r="D181" s="198" t="s">
        <v>1104</v>
      </c>
      <c r="E181" s="199">
        <f t="shared" si="2"/>
        <v>43</v>
      </c>
      <c r="F181" s="200" t="s">
        <v>889</v>
      </c>
      <c r="G181" s="250" t="s">
        <v>522</v>
      </c>
      <c r="H181" s="250" t="s">
        <v>1451</v>
      </c>
      <c r="I181" s="201" t="s">
        <v>513</v>
      </c>
    </row>
    <row r="182" spans="3:9">
      <c r="C182" s="199">
        <v>176</v>
      </c>
      <c r="D182" s="198" t="s">
        <v>1105</v>
      </c>
      <c r="E182" s="199">
        <f t="shared" si="2"/>
        <v>43</v>
      </c>
      <c r="F182" s="200" t="s">
        <v>890</v>
      </c>
      <c r="G182" s="250" t="s">
        <v>523</v>
      </c>
      <c r="H182" s="250" t="s">
        <v>1452</v>
      </c>
      <c r="I182" s="201" t="s">
        <v>513</v>
      </c>
    </row>
    <row r="183" spans="3:9">
      <c r="C183" s="199">
        <v>177</v>
      </c>
      <c r="D183" s="198" t="s">
        <v>1106</v>
      </c>
      <c r="E183" s="199">
        <f t="shared" si="2"/>
        <v>43</v>
      </c>
      <c r="F183" s="200" t="s">
        <v>891</v>
      </c>
      <c r="G183" s="250" t="s">
        <v>524</v>
      </c>
      <c r="H183" s="250" t="s">
        <v>1453</v>
      </c>
      <c r="I183" s="201" t="s">
        <v>513</v>
      </c>
    </row>
    <row r="184" spans="3:9">
      <c r="C184" s="199">
        <v>178</v>
      </c>
      <c r="D184" s="198" t="s">
        <v>1107</v>
      </c>
      <c r="E184" s="199">
        <f t="shared" si="2"/>
        <v>43</v>
      </c>
      <c r="F184" s="200" t="s">
        <v>3</v>
      </c>
      <c r="G184" s="250" t="s">
        <v>525</v>
      </c>
      <c r="H184" s="250" t="s">
        <v>1454</v>
      </c>
      <c r="I184" s="201" t="s">
        <v>513</v>
      </c>
    </row>
    <row r="185" spans="3:9">
      <c r="C185" s="199">
        <v>179</v>
      </c>
      <c r="D185" s="198" t="s">
        <v>1108</v>
      </c>
      <c r="E185" s="199">
        <f t="shared" si="2"/>
        <v>43</v>
      </c>
      <c r="F185" s="200" t="s">
        <v>892</v>
      </c>
      <c r="G185" s="250" t="s">
        <v>526</v>
      </c>
      <c r="H185" s="250" t="s">
        <v>1455</v>
      </c>
      <c r="I185" s="201" t="s">
        <v>513</v>
      </c>
    </row>
    <row r="186" spans="3:9">
      <c r="C186" s="199">
        <v>180</v>
      </c>
      <c r="D186" s="198" t="s">
        <v>1109</v>
      </c>
      <c r="E186" s="199">
        <f t="shared" si="2"/>
        <v>43</v>
      </c>
      <c r="F186" s="200" t="s">
        <v>893</v>
      </c>
      <c r="G186" s="250" t="s">
        <v>527</v>
      </c>
      <c r="H186" s="250" t="s">
        <v>1456</v>
      </c>
      <c r="I186" s="201" t="s">
        <v>513</v>
      </c>
    </row>
    <row r="187" spans="3:9">
      <c r="C187" s="199">
        <v>181</v>
      </c>
      <c r="D187" s="198" t="s">
        <v>1110</v>
      </c>
      <c r="E187" s="199">
        <f t="shared" si="2"/>
        <v>43</v>
      </c>
      <c r="F187" s="200" t="s">
        <v>894</v>
      </c>
      <c r="G187" s="250" t="s">
        <v>528</v>
      </c>
      <c r="H187" s="250" t="s">
        <v>1457</v>
      </c>
      <c r="I187" s="201" t="s">
        <v>513</v>
      </c>
    </row>
    <row r="188" spans="3:9">
      <c r="C188" s="199">
        <v>182</v>
      </c>
      <c r="D188" s="198" t="s">
        <v>1111</v>
      </c>
      <c r="E188" s="199">
        <f t="shared" si="2"/>
        <v>43</v>
      </c>
      <c r="F188" s="200" t="s">
        <v>895</v>
      </c>
      <c r="G188" s="250" t="s">
        <v>529</v>
      </c>
      <c r="H188" s="250" t="s">
        <v>1458</v>
      </c>
      <c r="I188" s="201" t="s">
        <v>513</v>
      </c>
    </row>
    <row r="189" spans="3:9">
      <c r="C189" s="199">
        <v>183</v>
      </c>
      <c r="D189" s="198" t="s">
        <v>1112</v>
      </c>
      <c r="E189" s="199">
        <f t="shared" si="2"/>
        <v>43</v>
      </c>
      <c r="F189" s="200" t="s">
        <v>896</v>
      </c>
      <c r="G189" s="250" t="s">
        <v>530</v>
      </c>
      <c r="H189" s="250" t="s">
        <v>1459</v>
      </c>
      <c r="I189" s="201" t="s">
        <v>513</v>
      </c>
    </row>
    <row r="190" spans="3:9">
      <c r="C190" s="199">
        <v>184</v>
      </c>
      <c r="D190" s="198" t="s">
        <v>1113</v>
      </c>
      <c r="E190" s="199">
        <f t="shared" si="2"/>
        <v>43</v>
      </c>
      <c r="F190" s="200" t="s">
        <v>897</v>
      </c>
      <c r="G190" s="250" t="s">
        <v>531</v>
      </c>
      <c r="H190" s="250" t="s">
        <v>1460</v>
      </c>
      <c r="I190" s="201" t="s">
        <v>513</v>
      </c>
    </row>
    <row r="191" spans="3:9" ht="30">
      <c r="C191" s="199">
        <v>185</v>
      </c>
      <c r="D191" s="198" t="s">
        <v>1114</v>
      </c>
      <c r="E191" s="199">
        <f t="shared" si="2"/>
        <v>43</v>
      </c>
      <c r="F191" s="200" t="s">
        <v>898</v>
      </c>
      <c r="G191" s="250" t="s">
        <v>532</v>
      </c>
      <c r="H191" s="250" t="s">
        <v>1461</v>
      </c>
      <c r="I191" s="201" t="s">
        <v>513</v>
      </c>
    </row>
    <row r="192" spans="3:9" ht="30">
      <c r="C192" s="199">
        <v>186</v>
      </c>
      <c r="D192" s="198" t="s">
        <v>1115</v>
      </c>
      <c r="E192" s="199">
        <f t="shared" si="2"/>
        <v>43</v>
      </c>
      <c r="F192" s="200" t="s">
        <v>899</v>
      </c>
      <c r="G192" s="250" t="s">
        <v>533</v>
      </c>
      <c r="H192" s="250" t="s">
        <v>1462</v>
      </c>
      <c r="I192" s="201" t="s">
        <v>513</v>
      </c>
    </row>
    <row r="193" spans="3:9" ht="30">
      <c r="C193" s="199">
        <v>187</v>
      </c>
      <c r="D193" s="198" t="s">
        <v>1116</v>
      </c>
      <c r="E193" s="199">
        <f t="shared" si="2"/>
        <v>43</v>
      </c>
      <c r="F193" s="200" t="s">
        <v>900</v>
      </c>
      <c r="G193" s="250" t="s">
        <v>534</v>
      </c>
      <c r="H193" s="250" t="s">
        <v>357</v>
      </c>
      <c r="I193" s="201" t="s">
        <v>513</v>
      </c>
    </row>
    <row r="194" spans="3:9" ht="30">
      <c r="C194" s="199">
        <v>188</v>
      </c>
      <c r="D194" s="198" t="s">
        <v>1117</v>
      </c>
      <c r="E194" s="199">
        <f t="shared" si="2"/>
        <v>43</v>
      </c>
      <c r="F194" s="200" t="s">
        <v>901</v>
      </c>
      <c r="G194" s="250" t="s">
        <v>535</v>
      </c>
      <c r="H194" s="250" t="s">
        <v>1463</v>
      </c>
      <c r="I194" s="201" t="s">
        <v>513</v>
      </c>
    </row>
    <row r="195" spans="3:9">
      <c r="C195" s="199">
        <v>189</v>
      </c>
      <c r="D195" s="198" t="s">
        <v>1118</v>
      </c>
      <c r="E195" s="199">
        <f t="shared" si="2"/>
        <v>44</v>
      </c>
      <c r="F195" s="200" t="s">
        <v>337</v>
      </c>
      <c r="G195" s="250" t="s">
        <v>357</v>
      </c>
      <c r="H195" s="250" t="s">
        <v>1464</v>
      </c>
      <c r="I195" s="201" t="s">
        <v>355</v>
      </c>
    </row>
    <row r="196" spans="3:9">
      <c r="C196" s="199">
        <v>190</v>
      </c>
      <c r="D196" s="198" t="s">
        <v>1119</v>
      </c>
      <c r="E196" s="199">
        <f t="shared" si="2"/>
        <v>44</v>
      </c>
      <c r="F196" s="200" t="s">
        <v>694</v>
      </c>
      <c r="G196" s="250" t="s">
        <v>536</v>
      </c>
      <c r="H196" s="250" t="s">
        <v>1465</v>
      </c>
      <c r="I196" s="201" t="s">
        <v>355</v>
      </c>
    </row>
    <row r="197" spans="3:9">
      <c r="C197" s="199">
        <v>191</v>
      </c>
      <c r="D197" s="198" t="s">
        <v>1120</v>
      </c>
      <c r="E197" s="199">
        <f t="shared" si="2"/>
        <v>44</v>
      </c>
      <c r="F197" s="200" t="s">
        <v>902</v>
      </c>
      <c r="G197" s="250" t="s">
        <v>537</v>
      </c>
      <c r="H197" s="250" t="s">
        <v>1466</v>
      </c>
      <c r="I197" s="201" t="s">
        <v>355</v>
      </c>
    </row>
    <row r="198" spans="3:9">
      <c r="C198" s="199">
        <v>192</v>
      </c>
      <c r="D198" s="198" t="s">
        <v>1121</v>
      </c>
      <c r="E198" s="199">
        <f t="shared" si="2"/>
        <v>44</v>
      </c>
      <c r="F198" s="200" t="s">
        <v>903</v>
      </c>
      <c r="G198" s="250" t="s">
        <v>538</v>
      </c>
      <c r="H198" s="250" t="s">
        <v>1467</v>
      </c>
      <c r="I198" s="201" t="s">
        <v>355</v>
      </c>
    </row>
    <row r="199" spans="3:9">
      <c r="C199" s="199">
        <v>193</v>
      </c>
      <c r="D199" s="198" t="s">
        <v>1122</v>
      </c>
      <c r="E199" s="199">
        <f t="shared" si="2"/>
        <v>44</v>
      </c>
      <c r="F199" s="200" t="s">
        <v>904</v>
      </c>
      <c r="G199" s="250" t="s">
        <v>539</v>
      </c>
      <c r="H199" s="250" t="s">
        <v>1468</v>
      </c>
      <c r="I199" s="201" t="s">
        <v>355</v>
      </c>
    </row>
    <row r="200" spans="3:9">
      <c r="C200" s="199">
        <v>194</v>
      </c>
      <c r="D200" s="198" t="s">
        <v>1123</v>
      </c>
      <c r="E200" s="199">
        <f t="shared" ref="E200:E263" si="3">MID(I200,1,3)*1</f>
        <v>44</v>
      </c>
      <c r="F200" s="200" t="s">
        <v>905</v>
      </c>
      <c r="G200" s="250" t="s">
        <v>540</v>
      </c>
      <c r="H200" s="250" t="s">
        <v>1469</v>
      </c>
      <c r="I200" s="201" t="s">
        <v>355</v>
      </c>
    </row>
    <row r="201" spans="3:9" ht="30">
      <c r="C201" s="199">
        <v>195</v>
      </c>
      <c r="D201" s="198" t="s">
        <v>1124</v>
      </c>
      <c r="E201" s="199">
        <f t="shared" si="3"/>
        <v>44</v>
      </c>
      <c r="F201" s="200" t="s">
        <v>906</v>
      </c>
      <c r="G201" s="250" t="s">
        <v>541</v>
      </c>
      <c r="H201" s="250" t="s">
        <v>1470</v>
      </c>
      <c r="I201" s="201" t="s">
        <v>355</v>
      </c>
    </row>
    <row r="202" spans="3:9" ht="30">
      <c r="C202" s="199">
        <v>196</v>
      </c>
      <c r="D202" s="198" t="s">
        <v>1125</v>
      </c>
      <c r="E202" s="199">
        <f t="shared" si="3"/>
        <v>44</v>
      </c>
      <c r="F202" s="200" t="s">
        <v>907</v>
      </c>
      <c r="G202" s="250" t="s">
        <v>542</v>
      </c>
      <c r="H202" s="250" t="s">
        <v>1471</v>
      </c>
      <c r="I202" s="201" t="s">
        <v>355</v>
      </c>
    </row>
    <row r="203" spans="3:9" ht="30">
      <c r="C203" s="199">
        <v>197</v>
      </c>
      <c r="D203" s="198" t="s">
        <v>1126</v>
      </c>
      <c r="E203" s="199">
        <f t="shared" si="3"/>
        <v>44</v>
      </c>
      <c r="F203" s="200" t="s">
        <v>908</v>
      </c>
      <c r="G203" s="250" t="s">
        <v>543</v>
      </c>
      <c r="H203" s="250" t="s">
        <v>1472</v>
      </c>
      <c r="I203" s="201" t="s">
        <v>355</v>
      </c>
    </row>
    <row r="204" spans="3:9" ht="30">
      <c r="C204" s="199">
        <v>198</v>
      </c>
      <c r="D204" s="198" t="s">
        <v>1127</v>
      </c>
      <c r="E204" s="199">
        <f t="shared" si="3"/>
        <v>44</v>
      </c>
      <c r="F204" s="200" t="s">
        <v>909</v>
      </c>
      <c r="G204" s="250" t="s">
        <v>544</v>
      </c>
      <c r="H204" s="250" t="s">
        <v>1473</v>
      </c>
      <c r="I204" s="201" t="s">
        <v>355</v>
      </c>
    </row>
    <row r="205" spans="3:9" ht="30">
      <c r="C205" s="199">
        <v>199</v>
      </c>
      <c r="D205" s="198" t="s">
        <v>1128</v>
      </c>
      <c r="E205" s="199">
        <f t="shared" si="3"/>
        <v>44</v>
      </c>
      <c r="F205" s="200" t="s">
        <v>910</v>
      </c>
      <c r="G205" s="250" t="s">
        <v>545</v>
      </c>
      <c r="H205" s="250" t="s">
        <v>1474</v>
      </c>
      <c r="I205" s="201" t="s">
        <v>355</v>
      </c>
    </row>
    <row r="206" spans="3:9">
      <c r="C206" s="199">
        <v>200</v>
      </c>
      <c r="D206" s="198" t="s">
        <v>1129</v>
      </c>
      <c r="E206" s="199">
        <f t="shared" si="3"/>
        <v>44</v>
      </c>
      <c r="F206" s="200" t="s">
        <v>911</v>
      </c>
      <c r="G206" s="250" t="s">
        <v>546</v>
      </c>
      <c r="H206" s="250" t="s">
        <v>1475</v>
      </c>
      <c r="I206" s="201" t="s">
        <v>355</v>
      </c>
    </row>
    <row r="207" spans="3:9">
      <c r="C207" s="199">
        <v>201</v>
      </c>
      <c r="D207" s="198" t="s">
        <v>1130</v>
      </c>
      <c r="E207" s="199">
        <f t="shared" si="3"/>
        <v>44</v>
      </c>
      <c r="F207" s="200" t="s">
        <v>912</v>
      </c>
      <c r="G207" s="250" t="s">
        <v>547</v>
      </c>
      <c r="H207" s="250" t="s">
        <v>1476</v>
      </c>
      <c r="I207" s="201" t="s">
        <v>355</v>
      </c>
    </row>
    <row r="208" spans="3:9">
      <c r="C208" s="199">
        <v>202</v>
      </c>
      <c r="D208" s="198" t="s">
        <v>1131</v>
      </c>
      <c r="E208" s="199">
        <f t="shared" si="3"/>
        <v>44</v>
      </c>
      <c r="F208" s="200" t="s">
        <v>913</v>
      </c>
      <c r="G208" s="250" t="s">
        <v>548</v>
      </c>
      <c r="H208" s="250" t="s">
        <v>1477</v>
      </c>
      <c r="I208" s="201" t="s">
        <v>355</v>
      </c>
    </row>
    <row r="209" spans="3:9">
      <c r="C209" s="199">
        <v>203</v>
      </c>
      <c r="D209" s="198" t="s">
        <v>1132</v>
      </c>
      <c r="E209" s="199">
        <f t="shared" si="3"/>
        <v>44</v>
      </c>
      <c r="F209" s="200" t="s">
        <v>914</v>
      </c>
      <c r="G209" s="250" t="s">
        <v>549</v>
      </c>
      <c r="H209" s="250" t="s">
        <v>1478</v>
      </c>
      <c r="I209" s="201" t="s">
        <v>355</v>
      </c>
    </row>
    <row r="210" spans="3:9">
      <c r="C210" s="199">
        <v>204</v>
      </c>
      <c r="D210" s="198" t="s">
        <v>1133</v>
      </c>
      <c r="E210" s="199">
        <f t="shared" si="3"/>
        <v>44</v>
      </c>
      <c r="F210" s="200" t="s">
        <v>915</v>
      </c>
      <c r="G210" s="250" t="s">
        <v>550</v>
      </c>
      <c r="H210" s="250" t="s">
        <v>1479</v>
      </c>
      <c r="I210" s="201" t="s">
        <v>355</v>
      </c>
    </row>
    <row r="211" spans="3:9">
      <c r="C211" s="199">
        <v>205</v>
      </c>
      <c r="D211" s="198" t="s">
        <v>1134</v>
      </c>
      <c r="E211" s="199">
        <f t="shared" si="3"/>
        <v>44</v>
      </c>
      <c r="F211" s="200" t="s">
        <v>916</v>
      </c>
      <c r="G211" s="250" t="s">
        <v>551</v>
      </c>
      <c r="H211" s="250" t="s">
        <v>1480</v>
      </c>
      <c r="I211" s="201" t="s">
        <v>355</v>
      </c>
    </row>
    <row r="212" spans="3:9">
      <c r="C212" s="199">
        <v>206</v>
      </c>
      <c r="D212" s="198" t="s">
        <v>1135</v>
      </c>
      <c r="E212" s="199">
        <f t="shared" si="3"/>
        <v>44</v>
      </c>
      <c r="F212" s="200" t="s">
        <v>917</v>
      </c>
      <c r="G212" s="250" t="s">
        <v>552</v>
      </c>
      <c r="H212" s="250" t="s">
        <v>1481</v>
      </c>
      <c r="I212" s="201" t="s">
        <v>355</v>
      </c>
    </row>
    <row r="213" spans="3:9">
      <c r="C213" s="199">
        <v>207</v>
      </c>
      <c r="D213" s="198" t="s">
        <v>1136</v>
      </c>
      <c r="E213" s="199">
        <f t="shared" si="3"/>
        <v>44</v>
      </c>
      <c r="F213" s="200" t="s">
        <v>918</v>
      </c>
      <c r="G213" s="250" t="s">
        <v>553</v>
      </c>
      <c r="H213" s="250" t="s">
        <v>1482</v>
      </c>
      <c r="I213" s="201" t="s">
        <v>355</v>
      </c>
    </row>
    <row r="214" spans="3:9">
      <c r="C214" s="199">
        <v>208</v>
      </c>
      <c r="D214" s="198" t="s">
        <v>1137</v>
      </c>
      <c r="E214" s="199">
        <f t="shared" si="3"/>
        <v>44</v>
      </c>
      <c r="F214" s="200" t="s">
        <v>919</v>
      </c>
      <c r="G214" s="250" t="s">
        <v>554</v>
      </c>
      <c r="H214" s="250" t="s">
        <v>1483</v>
      </c>
      <c r="I214" s="201" t="s">
        <v>355</v>
      </c>
    </row>
    <row r="215" spans="3:9">
      <c r="C215" s="199">
        <v>209</v>
      </c>
      <c r="D215" s="198" t="s">
        <v>1138</v>
      </c>
      <c r="E215" s="199">
        <f t="shared" si="3"/>
        <v>44</v>
      </c>
      <c r="F215" s="200" t="s">
        <v>920</v>
      </c>
      <c r="G215" s="250" t="s">
        <v>194</v>
      </c>
      <c r="H215" s="250" t="s">
        <v>1484</v>
      </c>
      <c r="I215" s="201" t="s">
        <v>355</v>
      </c>
    </row>
    <row r="216" spans="3:9">
      <c r="C216" s="199">
        <v>210</v>
      </c>
      <c r="D216" s="198" t="s">
        <v>1139</v>
      </c>
      <c r="E216" s="199">
        <f t="shared" si="3"/>
        <v>44</v>
      </c>
      <c r="F216" s="200" t="s">
        <v>921</v>
      </c>
      <c r="G216" s="250" t="s">
        <v>555</v>
      </c>
      <c r="H216" s="250" t="s">
        <v>1485</v>
      </c>
      <c r="I216" s="201" t="s">
        <v>355</v>
      </c>
    </row>
    <row r="217" spans="3:9">
      <c r="C217" s="199">
        <v>211</v>
      </c>
      <c r="D217" s="198" t="s">
        <v>1140</v>
      </c>
      <c r="E217" s="199">
        <f t="shared" si="3"/>
        <v>44</v>
      </c>
      <c r="F217" s="200" t="s">
        <v>922</v>
      </c>
      <c r="G217" s="250" t="s">
        <v>556</v>
      </c>
      <c r="H217" s="250" t="s">
        <v>1377</v>
      </c>
      <c r="I217" s="201" t="s">
        <v>355</v>
      </c>
    </row>
    <row r="218" spans="3:9">
      <c r="C218" s="199">
        <v>212</v>
      </c>
      <c r="D218" s="198" t="s">
        <v>1141</v>
      </c>
      <c r="E218" s="199">
        <f t="shared" si="3"/>
        <v>44</v>
      </c>
      <c r="F218" s="200" t="s">
        <v>923</v>
      </c>
      <c r="G218" s="250" t="s">
        <v>557</v>
      </c>
      <c r="H218" s="250" t="s">
        <v>1486</v>
      </c>
      <c r="I218" s="201" t="s">
        <v>355</v>
      </c>
    </row>
    <row r="219" spans="3:9">
      <c r="C219" s="199">
        <v>213</v>
      </c>
      <c r="D219" s="198" t="s">
        <v>1142</v>
      </c>
      <c r="E219" s="199">
        <f t="shared" si="3"/>
        <v>44</v>
      </c>
      <c r="F219" s="200" t="s">
        <v>4</v>
      </c>
      <c r="G219" s="250" t="s">
        <v>346</v>
      </c>
      <c r="H219" s="250" t="s">
        <v>1487</v>
      </c>
      <c r="I219" s="201" t="s">
        <v>355</v>
      </c>
    </row>
    <row r="220" spans="3:9">
      <c r="C220" s="199">
        <v>214</v>
      </c>
      <c r="D220" s="198" t="s">
        <v>1143</v>
      </c>
      <c r="E220" s="199">
        <f t="shared" si="3"/>
        <v>44</v>
      </c>
      <c r="F220" s="200" t="s">
        <v>924</v>
      </c>
      <c r="G220" s="250" t="s">
        <v>558</v>
      </c>
      <c r="H220" s="250" t="s">
        <v>1488</v>
      </c>
      <c r="I220" s="201" t="s">
        <v>355</v>
      </c>
    </row>
    <row r="221" spans="3:9">
      <c r="C221" s="199">
        <v>215</v>
      </c>
      <c r="D221" s="198" t="s">
        <v>1144</v>
      </c>
      <c r="E221" s="199">
        <f t="shared" si="3"/>
        <v>44</v>
      </c>
      <c r="F221" s="200" t="s">
        <v>925</v>
      </c>
      <c r="G221" s="250" t="s">
        <v>559</v>
      </c>
      <c r="H221" s="250" t="s">
        <v>1489</v>
      </c>
      <c r="I221" s="201" t="s">
        <v>355</v>
      </c>
    </row>
    <row r="222" spans="3:9">
      <c r="C222" s="199">
        <v>216</v>
      </c>
      <c r="D222" s="198" t="s">
        <v>1145</v>
      </c>
      <c r="E222" s="199">
        <f t="shared" si="3"/>
        <v>44</v>
      </c>
      <c r="F222" s="200" t="s">
        <v>926</v>
      </c>
      <c r="G222" s="250" t="s">
        <v>560</v>
      </c>
      <c r="H222" s="250" t="s">
        <v>1490</v>
      </c>
      <c r="I222" s="201" t="s">
        <v>355</v>
      </c>
    </row>
    <row r="223" spans="3:9" ht="30">
      <c r="C223" s="199">
        <v>217</v>
      </c>
      <c r="D223" s="198" t="s">
        <v>1146</v>
      </c>
      <c r="E223" s="199">
        <f t="shared" si="3"/>
        <v>44</v>
      </c>
      <c r="F223" s="200" t="s">
        <v>927</v>
      </c>
      <c r="G223" s="250" t="s">
        <v>561</v>
      </c>
      <c r="H223" s="250" t="s">
        <v>1435</v>
      </c>
      <c r="I223" s="201" t="s">
        <v>355</v>
      </c>
    </row>
    <row r="224" spans="3:9">
      <c r="C224" s="199">
        <v>218</v>
      </c>
      <c r="D224" s="198" t="s">
        <v>1147</v>
      </c>
      <c r="E224" s="199">
        <f t="shared" si="3"/>
        <v>44</v>
      </c>
      <c r="F224" s="200" t="s">
        <v>928</v>
      </c>
      <c r="G224" s="250" t="s">
        <v>348</v>
      </c>
      <c r="H224" s="250" t="s">
        <v>1491</v>
      </c>
      <c r="I224" s="201" t="s">
        <v>355</v>
      </c>
    </row>
    <row r="225" spans="3:9">
      <c r="C225" s="199">
        <v>219</v>
      </c>
      <c r="D225" s="198" t="s">
        <v>1148</v>
      </c>
      <c r="E225" s="199">
        <f t="shared" si="3"/>
        <v>44</v>
      </c>
      <c r="F225" s="200" t="s">
        <v>875</v>
      </c>
      <c r="G225" s="250" t="s">
        <v>509</v>
      </c>
      <c r="H225" s="250" t="s">
        <v>1492</v>
      </c>
      <c r="I225" s="201" t="s">
        <v>355</v>
      </c>
    </row>
    <row r="226" spans="3:9">
      <c r="C226" s="199">
        <v>220</v>
      </c>
      <c r="D226" s="198" t="s">
        <v>1149</v>
      </c>
      <c r="E226" s="199">
        <f t="shared" si="3"/>
        <v>44</v>
      </c>
      <c r="F226" s="200" t="s">
        <v>929</v>
      </c>
      <c r="G226" s="250" t="s">
        <v>562</v>
      </c>
      <c r="H226" s="250" t="s">
        <v>1493</v>
      </c>
      <c r="I226" s="201" t="s">
        <v>355</v>
      </c>
    </row>
    <row r="227" spans="3:9">
      <c r="C227" s="199">
        <v>221</v>
      </c>
      <c r="D227" s="198" t="s">
        <v>1150</v>
      </c>
      <c r="E227" s="199">
        <f t="shared" si="3"/>
        <v>44</v>
      </c>
      <c r="F227" s="200" t="s">
        <v>930</v>
      </c>
      <c r="G227" s="250" t="s">
        <v>563</v>
      </c>
      <c r="H227" s="250" t="s">
        <v>1494</v>
      </c>
      <c r="I227" s="201" t="s">
        <v>355</v>
      </c>
    </row>
    <row r="228" spans="3:9">
      <c r="C228" s="199">
        <v>222</v>
      </c>
      <c r="D228" s="198" t="s">
        <v>1151</v>
      </c>
      <c r="E228" s="199">
        <f t="shared" si="3"/>
        <v>44</v>
      </c>
      <c r="F228" s="200" t="s">
        <v>931</v>
      </c>
      <c r="G228" s="250" t="s">
        <v>564</v>
      </c>
      <c r="H228" s="250" t="s">
        <v>1495</v>
      </c>
      <c r="I228" s="201" t="s">
        <v>355</v>
      </c>
    </row>
    <row r="229" spans="3:9">
      <c r="C229" s="199">
        <v>223</v>
      </c>
      <c r="D229" s="198" t="s">
        <v>1152</v>
      </c>
      <c r="E229" s="199">
        <f t="shared" si="3"/>
        <v>44</v>
      </c>
      <c r="F229" s="200" t="s">
        <v>932</v>
      </c>
      <c r="G229" s="250" t="s">
        <v>565</v>
      </c>
      <c r="H229" s="250" t="s">
        <v>1496</v>
      </c>
      <c r="I229" s="201" t="s">
        <v>355</v>
      </c>
    </row>
    <row r="230" spans="3:9">
      <c r="C230" s="199">
        <v>224</v>
      </c>
      <c r="D230" s="198" t="s">
        <v>1153</v>
      </c>
      <c r="E230" s="199">
        <f t="shared" si="3"/>
        <v>44</v>
      </c>
      <c r="F230" s="200" t="s">
        <v>933</v>
      </c>
      <c r="G230" s="250" t="s">
        <v>566</v>
      </c>
      <c r="H230" s="250" t="s">
        <v>1497</v>
      </c>
      <c r="I230" s="201" t="s">
        <v>355</v>
      </c>
    </row>
    <row r="231" spans="3:9">
      <c r="C231" s="199">
        <v>225</v>
      </c>
      <c r="D231" s="198" t="s">
        <v>1154</v>
      </c>
      <c r="E231" s="199">
        <f t="shared" si="3"/>
        <v>44</v>
      </c>
      <c r="F231" s="200" t="s">
        <v>934</v>
      </c>
      <c r="G231" s="250" t="s">
        <v>567</v>
      </c>
      <c r="H231" s="250" t="s">
        <v>1498</v>
      </c>
      <c r="I231" s="201" t="s">
        <v>355</v>
      </c>
    </row>
    <row r="232" spans="3:9">
      <c r="C232" s="199">
        <v>226</v>
      </c>
      <c r="D232" s="198" t="s">
        <v>1155</v>
      </c>
      <c r="E232" s="199">
        <f t="shared" si="3"/>
        <v>44</v>
      </c>
      <c r="F232" s="200" t="s">
        <v>935</v>
      </c>
      <c r="G232" s="250" t="s">
        <v>568</v>
      </c>
      <c r="H232" s="250" t="s">
        <v>1499</v>
      </c>
      <c r="I232" s="201" t="s">
        <v>355</v>
      </c>
    </row>
    <row r="233" spans="3:9">
      <c r="C233" s="199">
        <v>227</v>
      </c>
      <c r="D233" s="198" t="s">
        <v>1156</v>
      </c>
      <c r="E233" s="199">
        <f t="shared" si="3"/>
        <v>44</v>
      </c>
      <c r="F233" s="200" t="s">
        <v>936</v>
      </c>
      <c r="G233" s="250" t="s">
        <v>569</v>
      </c>
      <c r="H233" s="250" t="s">
        <v>1500</v>
      </c>
      <c r="I233" s="201" t="s">
        <v>355</v>
      </c>
    </row>
    <row r="234" spans="3:9">
      <c r="C234" s="199">
        <v>228</v>
      </c>
      <c r="D234" s="198" t="s">
        <v>1157</v>
      </c>
      <c r="E234" s="199">
        <f t="shared" si="3"/>
        <v>44</v>
      </c>
      <c r="F234" s="200" t="s">
        <v>937</v>
      </c>
      <c r="G234" s="250" t="s">
        <v>570</v>
      </c>
      <c r="H234" s="250" t="s">
        <v>1482</v>
      </c>
      <c r="I234" s="201" t="s">
        <v>355</v>
      </c>
    </row>
    <row r="235" spans="3:9">
      <c r="C235" s="199">
        <v>229</v>
      </c>
      <c r="D235" s="198" t="s">
        <v>1158</v>
      </c>
      <c r="E235" s="199">
        <f t="shared" si="3"/>
        <v>44</v>
      </c>
      <c r="F235" s="200" t="s">
        <v>938</v>
      </c>
      <c r="G235" s="250" t="s">
        <v>571</v>
      </c>
      <c r="H235" s="250" t="s">
        <v>1501</v>
      </c>
      <c r="I235" s="201" t="s">
        <v>355</v>
      </c>
    </row>
    <row r="236" spans="3:9">
      <c r="C236" s="199">
        <v>230</v>
      </c>
      <c r="D236" s="198" t="s">
        <v>1159</v>
      </c>
      <c r="E236" s="199">
        <f t="shared" si="3"/>
        <v>44</v>
      </c>
      <c r="F236" s="200" t="s">
        <v>920</v>
      </c>
      <c r="G236" s="250" t="s">
        <v>194</v>
      </c>
      <c r="H236" s="250" t="s">
        <v>1502</v>
      </c>
      <c r="I236" s="201" t="s">
        <v>355</v>
      </c>
    </row>
    <row r="237" spans="3:9">
      <c r="C237" s="199">
        <v>231</v>
      </c>
      <c r="D237" s="198" t="s">
        <v>1160</v>
      </c>
      <c r="E237" s="199">
        <f t="shared" si="3"/>
        <v>44</v>
      </c>
      <c r="F237" s="200" t="s">
        <v>939</v>
      </c>
      <c r="G237" s="250" t="s">
        <v>572</v>
      </c>
      <c r="H237" s="250" t="s">
        <v>1503</v>
      </c>
      <c r="I237" s="201" t="s">
        <v>355</v>
      </c>
    </row>
    <row r="238" spans="3:9">
      <c r="C238" s="199">
        <v>232</v>
      </c>
      <c r="D238" s="198" t="s">
        <v>1161</v>
      </c>
      <c r="E238" s="199">
        <f t="shared" si="3"/>
        <v>44</v>
      </c>
      <c r="F238" s="200" t="s">
        <v>940</v>
      </c>
      <c r="G238" s="250" t="s">
        <v>573</v>
      </c>
      <c r="H238" s="250"/>
      <c r="I238" s="201" t="s">
        <v>355</v>
      </c>
    </row>
    <row r="239" spans="3:9">
      <c r="C239" s="199">
        <v>233</v>
      </c>
      <c r="D239" s="198" t="s">
        <v>1162</v>
      </c>
      <c r="E239" s="199">
        <f t="shared" si="3"/>
        <v>44</v>
      </c>
      <c r="F239" s="200" t="s">
        <v>941</v>
      </c>
      <c r="G239" s="250" t="s">
        <v>574</v>
      </c>
      <c r="H239" s="250"/>
      <c r="I239" s="201" t="s">
        <v>355</v>
      </c>
    </row>
    <row r="240" spans="3:9">
      <c r="C240" s="199">
        <v>234</v>
      </c>
      <c r="D240" s="198" t="s">
        <v>1163</v>
      </c>
      <c r="E240" s="199">
        <f t="shared" si="3"/>
        <v>44</v>
      </c>
      <c r="F240" s="200" t="s">
        <v>942</v>
      </c>
      <c r="G240" s="250" t="s">
        <v>204</v>
      </c>
      <c r="H240" s="250"/>
      <c r="I240" s="201" t="s">
        <v>355</v>
      </c>
    </row>
    <row r="241" spans="3:9">
      <c r="C241" s="199">
        <v>235</v>
      </c>
      <c r="D241" s="198" t="s">
        <v>1164</v>
      </c>
      <c r="E241" s="199">
        <f t="shared" si="3"/>
        <v>44</v>
      </c>
      <c r="F241" s="200" t="s">
        <v>659</v>
      </c>
      <c r="G241" s="250" t="s">
        <v>575</v>
      </c>
      <c r="H241" s="250"/>
      <c r="I241" s="201" t="s">
        <v>355</v>
      </c>
    </row>
    <row r="242" spans="3:9">
      <c r="C242" s="199">
        <v>236</v>
      </c>
      <c r="D242" s="198" t="s">
        <v>1165</v>
      </c>
      <c r="E242" s="199">
        <f t="shared" si="3"/>
        <v>44</v>
      </c>
      <c r="F242" s="200" t="s">
        <v>943</v>
      </c>
      <c r="G242" s="250" t="s">
        <v>576</v>
      </c>
      <c r="H242" s="250"/>
      <c r="I242" s="201" t="s">
        <v>355</v>
      </c>
    </row>
    <row r="243" spans="3:9">
      <c r="C243" s="199">
        <v>237</v>
      </c>
      <c r="D243" s="198" t="s">
        <v>1166</v>
      </c>
      <c r="E243" s="199">
        <f t="shared" si="3"/>
        <v>44</v>
      </c>
      <c r="F243" s="200" t="s">
        <v>944</v>
      </c>
      <c r="G243" s="250" t="s">
        <v>577</v>
      </c>
      <c r="H243" s="250"/>
      <c r="I243" s="201" t="s">
        <v>355</v>
      </c>
    </row>
    <row r="244" spans="3:9">
      <c r="C244" s="199">
        <v>238</v>
      </c>
      <c r="D244" s="198" t="s">
        <v>1167</v>
      </c>
      <c r="E244" s="199">
        <f t="shared" si="3"/>
        <v>44</v>
      </c>
      <c r="F244" s="200" t="s">
        <v>945</v>
      </c>
      <c r="G244" s="250" t="s">
        <v>578</v>
      </c>
      <c r="H244" s="250"/>
      <c r="I244" s="201" t="s">
        <v>355</v>
      </c>
    </row>
    <row r="245" spans="3:9">
      <c r="C245" s="199">
        <v>239</v>
      </c>
      <c r="D245" s="198" t="s">
        <v>1168</v>
      </c>
      <c r="E245" s="199">
        <f t="shared" si="3"/>
        <v>44</v>
      </c>
      <c r="F245" s="200" t="s">
        <v>946</v>
      </c>
      <c r="G245" s="250" t="s">
        <v>579</v>
      </c>
      <c r="H245" s="250"/>
      <c r="I245" s="201" t="s">
        <v>355</v>
      </c>
    </row>
    <row r="246" spans="3:9">
      <c r="C246" s="199">
        <v>240</v>
      </c>
      <c r="D246" s="198" t="s">
        <v>1169</v>
      </c>
      <c r="E246" s="199">
        <f t="shared" si="3"/>
        <v>44</v>
      </c>
      <c r="F246" s="200" t="s">
        <v>947</v>
      </c>
      <c r="G246" s="250" t="s">
        <v>580</v>
      </c>
      <c r="H246" s="250"/>
      <c r="I246" s="201" t="s">
        <v>355</v>
      </c>
    </row>
    <row r="247" spans="3:9">
      <c r="C247" s="199">
        <v>241</v>
      </c>
      <c r="D247" s="198" t="s">
        <v>1170</v>
      </c>
      <c r="E247" s="199">
        <f t="shared" si="3"/>
        <v>44</v>
      </c>
      <c r="F247" s="200" t="s">
        <v>948</v>
      </c>
      <c r="G247" s="250" t="s">
        <v>195</v>
      </c>
      <c r="H247" s="250"/>
      <c r="I247" s="201" t="s">
        <v>355</v>
      </c>
    </row>
    <row r="248" spans="3:9">
      <c r="C248" s="199">
        <v>242</v>
      </c>
      <c r="D248" s="198" t="s">
        <v>1171</v>
      </c>
      <c r="E248" s="199">
        <f t="shared" si="3"/>
        <v>44</v>
      </c>
      <c r="F248" s="200" t="s">
        <v>949</v>
      </c>
      <c r="G248" s="250" t="s">
        <v>581</v>
      </c>
      <c r="H248" s="250"/>
      <c r="I248" s="201" t="s">
        <v>355</v>
      </c>
    </row>
    <row r="249" spans="3:9">
      <c r="C249" s="199">
        <v>243</v>
      </c>
      <c r="D249" s="198" t="s">
        <v>1172</v>
      </c>
      <c r="E249" s="199">
        <f t="shared" si="3"/>
        <v>44</v>
      </c>
      <c r="F249" s="200" t="s">
        <v>950</v>
      </c>
      <c r="G249" s="250" t="s">
        <v>582</v>
      </c>
      <c r="H249" s="250"/>
      <c r="I249" s="201" t="s">
        <v>355</v>
      </c>
    </row>
    <row r="250" spans="3:9">
      <c r="C250" s="199">
        <v>244</v>
      </c>
      <c r="D250" s="198" t="s">
        <v>1173</v>
      </c>
      <c r="E250" s="199">
        <f t="shared" si="3"/>
        <v>44</v>
      </c>
      <c r="F250" s="200" t="s">
        <v>659</v>
      </c>
      <c r="G250" s="250" t="s">
        <v>583</v>
      </c>
      <c r="H250" s="250"/>
      <c r="I250" s="201" t="s">
        <v>355</v>
      </c>
    </row>
    <row r="251" spans="3:9">
      <c r="C251" s="199">
        <v>245</v>
      </c>
      <c r="D251" s="198" t="s">
        <v>1174</v>
      </c>
      <c r="E251" s="199">
        <f t="shared" si="3"/>
        <v>44</v>
      </c>
      <c r="F251" s="200" t="s">
        <v>951</v>
      </c>
      <c r="G251" s="250" t="s">
        <v>584</v>
      </c>
      <c r="H251" s="250"/>
      <c r="I251" s="201" t="s">
        <v>355</v>
      </c>
    </row>
    <row r="252" spans="3:9">
      <c r="C252" s="199">
        <v>246</v>
      </c>
      <c r="D252" s="198" t="s">
        <v>1175</v>
      </c>
      <c r="E252" s="199">
        <f t="shared" si="3"/>
        <v>44</v>
      </c>
      <c r="F252" s="200" t="s">
        <v>952</v>
      </c>
      <c r="G252" s="250" t="s">
        <v>585</v>
      </c>
      <c r="H252" s="250"/>
      <c r="I252" s="201" t="s">
        <v>355</v>
      </c>
    </row>
    <row r="253" spans="3:9">
      <c r="C253" s="199">
        <v>247</v>
      </c>
      <c r="D253" s="198" t="s">
        <v>1176</v>
      </c>
      <c r="E253" s="199">
        <f t="shared" si="3"/>
        <v>44</v>
      </c>
      <c r="F253" s="200" t="s">
        <v>953</v>
      </c>
      <c r="G253" s="250" t="s">
        <v>586</v>
      </c>
      <c r="H253" s="250"/>
      <c r="I253" s="201" t="s">
        <v>355</v>
      </c>
    </row>
    <row r="254" spans="3:9">
      <c r="C254" s="199">
        <v>248</v>
      </c>
      <c r="D254" s="198" t="s">
        <v>1177</v>
      </c>
      <c r="E254" s="199">
        <f t="shared" si="3"/>
        <v>44</v>
      </c>
      <c r="F254" s="200" t="s">
        <v>954</v>
      </c>
      <c r="G254" s="250" t="s">
        <v>587</v>
      </c>
      <c r="H254" s="250"/>
      <c r="I254" s="201" t="s">
        <v>355</v>
      </c>
    </row>
    <row r="255" spans="3:9" ht="30">
      <c r="C255" s="199">
        <v>249</v>
      </c>
      <c r="D255" s="198" t="s">
        <v>1178</v>
      </c>
      <c r="E255" s="199">
        <f t="shared" si="3"/>
        <v>44</v>
      </c>
      <c r="F255" s="200" t="s">
        <v>955</v>
      </c>
      <c r="G255" s="250" t="s">
        <v>588</v>
      </c>
      <c r="H255" s="250"/>
      <c r="I255" s="201" t="s">
        <v>355</v>
      </c>
    </row>
    <row r="256" spans="3:9" ht="30">
      <c r="C256" s="199">
        <v>250</v>
      </c>
      <c r="D256" s="198" t="s">
        <v>1179</v>
      </c>
      <c r="E256" s="199">
        <f t="shared" si="3"/>
        <v>44</v>
      </c>
      <c r="F256" s="200" t="s">
        <v>956</v>
      </c>
      <c r="G256" s="250" t="s">
        <v>589</v>
      </c>
      <c r="H256" s="250"/>
      <c r="I256" s="201" t="s">
        <v>355</v>
      </c>
    </row>
    <row r="257" spans="3:9" ht="30">
      <c r="C257" s="199">
        <v>251</v>
      </c>
      <c r="D257" s="198" t="s">
        <v>1180</v>
      </c>
      <c r="E257" s="199">
        <f t="shared" si="3"/>
        <v>44</v>
      </c>
      <c r="F257" s="200" t="s">
        <v>957</v>
      </c>
      <c r="G257" s="250" t="s">
        <v>590</v>
      </c>
      <c r="H257" s="250"/>
      <c r="I257" s="201" t="s">
        <v>355</v>
      </c>
    </row>
    <row r="258" spans="3:9">
      <c r="C258" s="199">
        <v>252</v>
      </c>
      <c r="D258" s="198" t="s">
        <v>1181</v>
      </c>
      <c r="E258" s="199">
        <f t="shared" si="3"/>
        <v>44</v>
      </c>
      <c r="F258" s="200" t="s">
        <v>694</v>
      </c>
      <c r="G258" s="250" t="s">
        <v>536</v>
      </c>
      <c r="H258" s="250"/>
      <c r="I258" s="201" t="s">
        <v>355</v>
      </c>
    </row>
    <row r="259" spans="3:9">
      <c r="C259" s="199">
        <v>253</v>
      </c>
      <c r="D259" s="198" t="s">
        <v>1182</v>
      </c>
      <c r="E259" s="199">
        <f t="shared" si="3"/>
        <v>44</v>
      </c>
      <c r="F259" s="200" t="s">
        <v>958</v>
      </c>
      <c r="G259" s="250" t="s">
        <v>591</v>
      </c>
      <c r="H259" s="250"/>
      <c r="I259" s="201" t="s">
        <v>355</v>
      </c>
    </row>
    <row r="260" spans="3:9">
      <c r="C260" s="199">
        <v>254</v>
      </c>
      <c r="D260" s="198" t="s">
        <v>1183</v>
      </c>
      <c r="E260" s="199">
        <f t="shared" si="3"/>
        <v>44</v>
      </c>
      <c r="F260" s="200" t="s">
        <v>959</v>
      </c>
      <c r="G260" s="250" t="s">
        <v>592</v>
      </c>
      <c r="H260" s="250"/>
      <c r="I260" s="201" t="s">
        <v>355</v>
      </c>
    </row>
    <row r="261" spans="3:9">
      <c r="C261" s="199">
        <v>255</v>
      </c>
      <c r="D261" s="198" t="s">
        <v>1184</v>
      </c>
      <c r="E261" s="199">
        <f t="shared" si="3"/>
        <v>44</v>
      </c>
      <c r="F261" s="200" t="s">
        <v>960</v>
      </c>
      <c r="G261" s="250" t="s">
        <v>593</v>
      </c>
      <c r="H261" s="250"/>
      <c r="I261" s="201" t="s">
        <v>355</v>
      </c>
    </row>
    <row r="262" spans="3:9">
      <c r="C262" s="199">
        <v>256</v>
      </c>
      <c r="D262" s="198" t="s">
        <v>1185</v>
      </c>
      <c r="E262" s="199">
        <f t="shared" si="3"/>
        <v>44</v>
      </c>
      <c r="F262" s="200" t="s">
        <v>48</v>
      </c>
      <c r="G262" s="250" t="s">
        <v>594</v>
      </c>
      <c r="H262" s="250"/>
      <c r="I262" s="201" t="s">
        <v>355</v>
      </c>
    </row>
    <row r="263" spans="3:9">
      <c r="C263" s="199">
        <v>257</v>
      </c>
      <c r="D263" s="198" t="s">
        <v>1186</v>
      </c>
      <c r="E263" s="199">
        <f t="shared" si="3"/>
        <v>44</v>
      </c>
      <c r="F263" s="200" t="s">
        <v>889</v>
      </c>
      <c r="G263" s="250" t="s">
        <v>522</v>
      </c>
      <c r="H263" s="250"/>
      <c r="I263" s="201" t="s">
        <v>355</v>
      </c>
    </row>
    <row r="264" spans="3:9">
      <c r="C264" s="199">
        <v>258</v>
      </c>
      <c r="D264" s="198" t="s">
        <v>1187</v>
      </c>
      <c r="E264" s="199">
        <f t="shared" ref="E264:E327" si="4">MID(I264,1,3)*1</f>
        <v>44</v>
      </c>
      <c r="F264" s="200" t="s">
        <v>961</v>
      </c>
      <c r="G264" s="250" t="s">
        <v>595</v>
      </c>
      <c r="H264" s="250"/>
      <c r="I264" s="201" t="s">
        <v>355</v>
      </c>
    </row>
    <row r="265" spans="3:9">
      <c r="C265" s="199">
        <v>259</v>
      </c>
      <c r="D265" s="198" t="s">
        <v>1188</v>
      </c>
      <c r="E265" s="199">
        <f t="shared" si="4"/>
        <v>44</v>
      </c>
      <c r="F265" s="200" t="s">
        <v>962</v>
      </c>
      <c r="G265" s="250" t="s">
        <v>596</v>
      </c>
      <c r="H265" s="250"/>
      <c r="I265" s="201" t="s">
        <v>355</v>
      </c>
    </row>
    <row r="266" spans="3:9">
      <c r="C266" s="199">
        <v>260</v>
      </c>
      <c r="D266" s="198" t="s">
        <v>1189</v>
      </c>
      <c r="E266" s="199">
        <f t="shared" si="4"/>
        <v>44</v>
      </c>
      <c r="F266" s="200" t="s">
        <v>963</v>
      </c>
      <c r="G266" s="250" t="s">
        <v>597</v>
      </c>
      <c r="H266" s="250"/>
      <c r="I266" s="201" t="s">
        <v>355</v>
      </c>
    </row>
    <row r="267" spans="3:9">
      <c r="C267" s="199">
        <v>261</v>
      </c>
      <c r="D267" s="198" t="s">
        <v>1190</v>
      </c>
      <c r="E267" s="199">
        <f t="shared" si="4"/>
        <v>44</v>
      </c>
      <c r="F267" s="200" t="s">
        <v>964</v>
      </c>
      <c r="G267" s="250" t="s">
        <v>598</v>
      </c>
      <c r="H267" s="250"/>
      <c r="I267" s="201" t="s">
        <v>355</v>
      </c>
    </row>
    <row r="268" spans="3:9">
      <c r="C268" s="199">
        <v>262</v>
      </c>
      <c r="D268" s="198" t="s">
        <v>1191</v>
      </c>
      <c r="E268" s="199">
        <f t="shared" si="4"/>
        <v>44</v>
      </c>
      <c r="F268" s="200" t="s">
        <v>965</v>
      </c>
      <c r="G268" s="250" t="s">
        <v>599</v>
      </c>
      <c r="H268" s="250"/>
      <c r="I268" s="201" t="s">
        <v>355</v>
      </c>
    </row>
    <row r="269" spans="3:9">
      <c r="C269" s="199">
        <v>263</v>
      </c>
      <c r="D269" s="198" t="s">
        <v>1192</v>
      </c>
      <c r="E269" s="199">
        <f t="shared" si="4"/>
        <v>44</v>
      </c>
      <c r="F269" s="200" t="s">
        <v>966</v>
      </c>
      <c r="G269" s="250" t="s">
        <v>600</v>
      </c>
      <c r="H269" s="250"/>
      <c r="I269" s="201" t="s">
        <v>355</v>
      </c>
    </row>
    <row r="270" spans="3:9">
      <c r="C270" s="199">
        <v>264</v>
      </c>
      <c r="D270" s="198" t="s">
        <v>1193</v>
      </c>
      <c r="E270" s="199">
        <f t="shared" si="4"/>
        <v>44</v>
      </c>
      <c r="F270" s="200" t="s">
        <v>967</v>
      </c>
      <c r="G270" s="250" t="s">
        <v>601</v>
      </c>
      <c r="H270" s="250"/>
      <c r="I270" s="201" t="s">
        <v>355</v>
      </c>
    </row>
    <row r="271" spans="3:9" ht="30">
      <c r="C271" s="199">
        <v>265</v>
      </c>
      <c r="D271" s="198" t="s">
        <v>1194</v>
      </c>
      <c r="E271" s="199">
        <f t="shared" si="4"/>
        <v>44</v>
      </c>
      <c r="F271" s="200" t="s">
        <v>968</v>
      </c>
      <c r="G271" s="250" t="s">
        <v>602</v>
      </c>
      <c r="H271" s="250"/>
      <c r="I271" s="201" t="s">
        <v>355</v>
      </c>
    </row>
    <row r="272" spans="3:9" ht="30">
      <c r="C272" s="199">
        <v>266</v>
      </c>
      <c r="D272" s="198" t="s">
        <v>1195</v>
      </c>
      <c r="E272" s="199">
        <f t="shared" si="4"/>
        <v>44</v>
      </c>
      <c r="F272" s="200" t="s">
        <v>969</v>
      </c>
      <c r="G272" s="250" t="s">
        <v>603</v>
      </c>
      <c r="H272" s="250"/>
      <c r="I272" s="201" t="s">
        <v>355</v>
      </c>
    </row>
    <row r="273" spans="3:9">
      <c r="C273" s="199">
        <v>267</v>
      </c>
      <c r="D273" s="198" t="s">
        <v>1196</v>
      </c>
      <c r="E273" s="199">
        <f t="shared" si="4"/>
        <v>44</v>
      </c>
      <c r="F273" s="200" t="s">
        <v>160</v>
      </c>
      <c r="G273" s="250" t="s">
        <v>11</v>
      </c>
      <c r="H273" s="250"/>
      <c r="I273" s="201" t="s">
        <v>355</v>
      </c>
    </row>
    <row r="274" spans="3:9">
      <c r="C274" s="199">
        <v>268</v>
      </c>
      <c r="D274" s="198" t="s">
        <v>1197</v>
      </c>
      <c r="E274" s="199">
        <f t="shared" si="4"/>
        <v>44</v>
      </c>
      <c r="F274" s="200" t="s">
        <v>208</v>
      </c>
      <c r="G274" s="250" t="s">
        <v>209</v>
      </c>
      <c r="H274" s="250"/>
      <c r="I274" s="201" t="s">
        <v>355</v>
      </c>
    </row>
    <row r="275" spans="3:9">
      <c r="C275" s="199">
        <v>269</v>
      </c>
      <c r="D275" s="198" t="s">
        <v>1198</v>
      </c>
      <c r="E275" s="199">
        <f t="shared" si="4"/>
        <v>44</v>
      </c>
      <c r="F275" s="200" t="s">
        <v>970</v>
      </c>
      <c r="G275" s="250" t="s">
        <v>604</v>
      </c>
      <c r="H275" s="250"/>
      <c r="I275" s="201" t="s">
        <v>355</v>
      </c>
    </row>
    <row r="276" spans="3:9">
      <c r="C276" s="199">
        <v>270</v>
      </c>
      <c r="D276" s="198" t="s">
        <v>1199</v>
      </c>
      <c r="E276" s="199">
        <f t="shared" si="4"/>
        <v>44</v>
      </c>
      <c r="F276" s="200" t="s">
        <v>902</v>
      </c>
      <c r="G276" s="250" t="s">
        <v>537</v>
      </c>
      <c r="H276" s="250"/>
      <c r="I276" s="201" t="s">
        <v>355</v>
      </c>
    </row>
    <row r="277" spans="3:9">
      <c r="C277" s="199">
        <v>271</v>
      </c>
      <c r="D277" s="198" t="s">
        <v>1200</v>
      </c>
      <c r="E277" s="199">
        <f t="shared" si="4"/>
        <v>44</v>
      </c>
      <c r="F277" s="200" t="s">
        <v>971</v>
      </c>
      <c r="G277" s="250" t="s">
        <v>605</v>
      </c>
      <c r="H277" s="250"/>
      <c r="I277" s="201" t="s">
        <v>355</v>
      </c>
    </row>
    <row r="278" spans="3:9">
      <c r="C278" s="199">
        <v>272</v>
      </c>
      <c r="D278" s="198" t="s">
        <v>1201</v>
      </c>
      <c r="E278" s="199">
        <f t="shared" si="4"/>
        <v>44</v>
      </c>
      <c r="F278" s="200" t="s">
        <v>972</v>
      </c>
      <c r="G278" s="250" t="s">
        <v>606</v>
      </c>
      <c r="H278" s="250"/>
      <c r="I278" s="201" t="s">
        <v>355</v>
      </c>
    </row>
    <row r="279" spans="3:9">
      <c r="C279" s="199">
        <v>273</v>
      </c>
      <c r="D279" s="198" t="s">
        <v>1202</v>
      </c>
      <c r="E279" s="199">
        <f t="shared" si="4"/>
        <v>45</v>
      </c>
      <c r="F279" s="200" t="s">
        <v>973</v>
      </c>
      <c r="G279" s="250" t="s">
        <v>607</v>
      </c>
      <c r="H279" s="250"/>
      <c r="I279" s="201" t="s">
        <v>356</v>
      </c>
    </row>
    <row r="280" spans="3:9">
      <c r="C280" s="199">
        <v>274</v>
      </c>
      <c r="D280" s="198" t="s">
        <v>1203</v>
      </c>
      <c r="E280" s="199">
        <f t="shared" si="4"/>
        <v>45</v>
      </c>
      <c r="F280" s="200" t="s">
        <v>974</v>
      </c>
      <c r="G280" s="250" t="s">
        <v>608</v>
      </c>
      <c r="H280" s="250"/>
      <c r="I280" s="201" t="s">
        <v>356</v>
      </c>
    </row>
    <row r="281" spans="3:9">
      <c r="C281" s="199">
        <v>275</v>
      </c>
      <c r="D281" s="198" t="s">
        <v>1204</v>
      </c>
      <c r="E281" s="199">
        <f t="shared" si="4"/>
        <v>45</v>
      </c>
      <c r="F281" s="200" t="s">
        <v>971</v>
      </c>
      <c r="G281" s="250" t="s">
        <v>605</v>
      </c>
      <c r="H281" s="250"/>
      <c r="I281" s="201" t="s">
        <v>356</v>
      </c>
    </row>
    <row r="282" spans="3:9">
      <c r="C282" s="199">
        <v>276</v>
      </c>
      <c r="D282" s="198" t="s">
        <v>1205</v>
      </c>
      <c r="E282" s="199">
        <f t="shared" si="4"/>
        <v>45</v>
      </c>
      <c r="F282" s="200" t="s">
        <v>975</v>
      </c>
      <c r="G282" s="250" t="s">
        <v>613</v>
      </c>
      <c r="H282" s="250"/>
      <c r="I282" s="201" t="s">
        <v>356</v>
      </c>
    </row>
    <row r="283" spans="3:9">
      <c r="C283" s="199">
        <v>277</v>
      </c>
      <c r="D283" s="198" t="s">
        <v>1206</v>
      </c>
      <c r="E283" s="199">
        <f t="shared" si="4"/>
        <v>45</v>
      </c>
      <c r="F283" s="200" t="s">
        <v>976</v>
      </c>
      <c r="G283" s="250" t="s">
        <v>612</v>
      </c>
      <c r="H283" s="250"/>
      <c r="I283" s="201" t="s">
        <v>356</v>
      </c>
    </row>
    <row r="284" spans="3:9">
      <c r="C284" s="199">
        <v>278</v>
      </c>
      <c r="D284" s="198" t="s">
        <v>1207</v>
      </c>
      <c r="E284" s="199">
        <f t="shared" si="4"/>
        <v>45</v>
      </c>
      <c r="F284" s="200" t="s">
        <v>977</v>
      </c>
      <c r="G284" s="250" t="s">
        <v>609</v>
      </c>
      <c r="H284" s="250"/>
      <c r="I284" s="201" t="s">
        <v>356</v>
      </c>
    </row>
    <row r="285" spans="3:9">
      <c r="C285" s="199">
        <v>279</v>
      </c>
      <c r="D285" s="198" t="s">
        <v>1208</v>
      </c>
      <c r="E285" s="199">
        <f t="shared" si="4"/>
        <v>45</v>
      </c>
      <c r="F285" s="200" t="s">
        <v>978</v>
      </c>
      <c r="G285" s="250" t="s">
        <v>614</v>
      </c>
      <c r="H285" s="250"/>
      <c r="I285" s="201" t="s">
        <v>356</v>
      </c>
    </row>
    <row r="286" spans="3:9">
      <c r="C286" s="199">
        <v>280</v>
      </c>
      <c r="D286" s="198" t="s">
        <v>1209</v>
      </c>
      <c r="E286" s="199">
        <f t="shared" si="4"/>
        <v>45</v>
      </c>
      <c r="F286" s="200" t="s">
        <v>979</v>
      </c>
      <c r="G286" s="250" t="s">
        <v>615</v>
      </c>
      <c r="H286" s="250"/>
      <c r="I286" s="201" t="s">
        <v>356</v>
      </c>
    </row>
    <row r="287" spans="3:9">
      <c r="C287" s="199">
        <v>281</v>
      </c>
      <c r="D287" s="198" t="s">
        <v>1210</v>
      </c>
      <c r="E287" s="199">
        <f t="shared" si="4"/>
        <v>45</v>
      </c>
      <c r="F287" s="200" t="s">
        <v>690</v>
      </c>
      <c r="G287" s="250" t="s">
        <v>616</v>
      </c>
      <c r="H287" s="250"/>
      <c r="I287" s="201" t="s">
        <v>356</v>
      </c>
    </row>
    <row r="288" spans="3:9">
      <c r="C288" s="199">
        <v>282</v>
      </c>
      <c r="D288" s="198" t="s">
        <v>1211</v>
      </c>
      <c r="E288" s="199">
        <f t="shared" si="4"/>
        <v>45</v>
      </c>
      <c r="F288" s="200" t="s">
        <v>937</v>
      </c>
      <c r="G288" s="250" t="s">
        <v>570</v>
      </c>
      <c r="H288" s="250"/>
      <c r="I288" s="201" t="s">
        <v>356</v>
      </c>
    </row>
    <row r="289" spans="3:9">
      <c r="C289" s="199">
        <v>283</v>
      </c>
      <c r="D289" s="198" t="s">
        <v>1212</v>
      </c>
      <c r="E289" s="199">
        <f t="shared" si="4"/>
        <v>45</v>
      </c>
      <c r="F289" s="200" t="s">
        <v>980</v>
      </c>
      <c r="G289" s="250" t="s">
        <v>617</v>
      </c>
      <c r="H289" s="250"/>
      <c r="I289" s="201" t="s">
        <v>356</v>
      </c>
    </row>
    <row r="290" spans="3:9">
      <c r="C290" s="199">
        <v>284</v>
      </c>
      <c r="D290" s="198" t="s">
        <v>1213</v>
      </c>
      <c r="E290" s="199">
        <f t="shared" si="4"/>
        <v>45</v>
      </c>
      <c r="F290" s="200" t="s">
        <v>981</v>
      </c>
      <c r="G290" s="250" t="s">
        <v>618</v>
      </c>
      <c r="H290" s="250"/>
      <c r="I290" s="201" t="s">
        <v>356</v>
      </c>
    </row>
    <row r="291" spans="3:9">
      <c r="C291" s="199">
        <v>285</v>
      </c>
      <c r="D291" s="198" t="s">
        <v>1214</v>
      </c>
      <c r="E291" s="199">
        <f t="shared" si="4"/>
        <v>45</v>
      </c>
      <c r="F291" s="200" t="s">
        <v>806</v>
      </c>
      <c r="G291" s="250" t="s">
        <v>446</v>
      </c>
      <c r="H291" s="250"/>
      <c r="I291" s="201" t="s">
        <v>356</v>
      </c>
    </row>
    <row r="292" spans="3:9">
      <c r="C292" s="199">
        <v>286</v>
      </c>
      <c r="D292" s="198" t="s">
        <v>1215</v>
      </c>
      <c r="E292" s="199">
        <f t="shared" si="4"/>
        <v>45</v>
      </c>
      <c r="F292" s="200" t="s">
        <v>982</v>
      </c>
      <c r="G292" s="250" t="s">
        <v>619</v>
      </c>
      <c r="H292" s="250"/>
      <c r="I292" s="201" t="s">
        <v>356</v>
      </c>
    </row>
    <row r="293" spans="3:9">
      <c r="C293" s="199">
        <v>287</v>
      </c>
      <c r="D293" s="198" t="s">
        <v>1216</v>
      </c>
      <c r="E293" s="199">
        <f t="shared" si="4"/>
        <v>45</v>
      </c>
      <c r="F293" s="200" t="s">
        <v>983</v>
      </c>
      <c r="G293" s="250" t="s">
        <v>620</v>
      </c>
      <c r="H293" s="250"/>
      <c r="I293" s="201" t="s">
        <v>356</v>
      </c>
    </row>
    <row r="294" spans="3:9">
      <c r="C294" s="199">
        <v>288</v>
      </c>
      <c r="D294" s="198" t="s">
        <v>1217</v>
      </c>
      <c r="E294" s="199">
        <f t="shared" si="4"/>
        <v>45</v>
      </c>
      <c r="F294" s="200" t="s">
        <v>984</v>
      </c>
      <c r="G294" s="250" t="s">
        <v>621</v>
      </c>
      <c r="H294" s="250"/>
      <c r="I294" s="201" t="s">
        <v>356</v>
      </c>
    </row>
    <row r="295" spans="3:9">
      <c r="C295" s="199">
        <v>289</v>
      </c>
      <c r="D295" s="198" t="s">
        <v>1218</v>
      </c>
      <c r="E295" s="199">
        <f t="shared" si="4"/>
        <v>45</v>
      </c>
      <c r="F295" s="200" t="s">
        <v>985</v>
      </c>
      <c r="G295" s="250" t="s">
        <v>622</v>
      </c>
      <c r="H295" s="250"/>
      <c r="I295" s="201" t="s">
        <v>356</v>
      </c>
    </row>
    <row r="296" spans="3:9">
      <c r="C296" s="199">
        <v>290</v>
      </c>
      <c r="D296" s="198" t="s">
        <v>1219</v>
      </c>
      <c r="E296" s="199">
        <f t="shared" si="4"/>
        <v>45</v>
      </c>
      <c r="F296" s="200" t="s">
        <v>986</v>
      </c>
      <c r="G296" s="250" t="s">
        <v>610</v>
      </c>
      <c r="H296" s="250"/>
      <c r="I296" s="201" t="s">
        <v>356</v>
      </c>
    </row>
    <row r="297" spans="3:9">
      <c r="C297" s="199">
        <v>291</v>
      </c>
      <c r="D297" s="198" t="s">
        <v>1220</v>
      </c>
      <c r="E297" s="199">
        <f t="shared" si="4"/>
        <v>45</v>
      </c>
      <c r="F297" s="200" t="s">
        <v>987</v>
      </c>
      <c r="G297" s="250" t="s">
        <v>623</v>
      </c>
      <c r="H297" s="250"/>
      <c r="I297" s="201" t="s">
        <v>356</v>
      </c>
    </row>
    <row r="298" spans="3:9">
      <c r="C298" s="199">
        <v>292</v>
      </c>
      <c r="D298" s="198" t="s">
        <v>1221</v>
      </c>
      <c r="E298" s="199">
        <f t="shared" si="4"/>
        <v>45</v>
      </c>
      <c r="F298" s="200" t="s">
        <v>726</v>
      </c>
      <c r="G298" s="250" t="s">
        <v>624</v>
      </c>
      <c r="H298" s="250"/>
      <c r="I298" s="201" t="s">
        <v>356</v>
      </c>
    </row>
    <row r="299" spans="3:9">
      <c r="C299" s="199">
        <v>293</v>
      </c>
      <c r="D299" s="198" t="s">
        <v>1222</v>
      </c>
      <c r="E299" s="199">
        <f t="shared" si="4"/>
        <v>45</v>
      </c>
      <c r="F299" s="200" t="s">
        <v>988</v>
      </c>
      <c r="G299" s="250" t="s">
        <v>625</v>
      </c>
      <c r="H299" s="250"/>
      <c r="I299" s="201" t="s">
        <v>356</v>
      </c>
    </row>
    <row r="300" spans="3:9">
      <c r="C300" s="199">
        <v>294</v>
      </c>
      <c r="D300" s="198" t="s">
        <v>1223</v>
      </c>
      <c r="E300" s="199">
        <f t="shared" si="4"/>
        <v>45</v>
      </c>
      <c r="F300" s="200" t="s">
        <v>989</v>
      </c>
      <c r="G300" s="250" t="s">
        <v>626</v>
      </c>
      <c r="H300" s="250"/>
      <c r="I300" s="201" t="s">
        <v>356</v>
      </c>
    </row>
    <row r="301" spans="3:9">
      <c r="C301" s="199">
        <v>295</v>
      </c>
      <c r="D301" s="198" t="s">
        <v>1224</v>
      </c>
      <c r="E301" s="199">
        <f t="shared" si="4"/>
        <v>45</v>
      </c>
      <c r="F301" s="200" t="s">
        <v>990</v>
      </c>
      <c r="G301" s="250" t="s">
        <v>627</v>
      </c>
      <c r="H301" s="250"/>
      <c r="I301" s="201" t="s">
        <v>356</v>
      </c>
    </row>
    <row r="302" spans="3:9">
      <c r="C302" s="199">
        <v>296</v>
      </c>
      <c r="D302" s="198" t="s">
        <v>1225</v>
      </c>
      <c r="E302" s="199">
        <f t="shared" si="4"/>
        <v>45</v>
      </c>
      <c r="F302" s="200" t="s">
        <v>991</v>
      </c>
      <c r="G302" s="250" t="s">
        <v>628</v>
      </c>
      <c r="H302" s="250"/>
      <c r="I302" s="201" t="s">
        <v>356</v>
      </c>
    </row>
    <row r="303" spans="3:9">
      <c r="C303" s="199">
        <v>297</v>
      </c>
      <c r="D303" s="198" t="s">
        <v>1226</v>
      </c>
      <c r="E303" s="199">
        <f t="shared" si="4"/>
        <v>45</v>
      </c>
      <c r="F303" s="200" t="s">
        <v>992</v>
      </c>
      <c r="G303" s="250" t="s">
        <v>629</v>
      </c>
      <c r="H303" s="250"/>
      <c r="I303" s="201" t="s">
        <v>356</v>
      </c>
    </row>
    <row r="304" spans="3:9">
      <c r="C304" s="199">
        <v>298</v>
      </c>
      <c r="D304" s="198" t="s">
        <v>1227</v>
      </c>
      <c r="E304" s="199">
        <f t="shared" si="4"/>
        <v>45</v>
      </c>
      <c r="F304" s="200" t="s">
        <v>993</v>
      </c>
      <c r="G304" s="250" t="s">
        <v>373</v>
      </c>
      <c r="H304" s="250"/>
      <c r="I304" s="201" t="s">
        <v>356</v>
      </c>
    </row>
    <row r="305" spans="3:13">
      <c r="C305" s="199">
        <v>299</v>
      </c>
      <c r="D305" s="198" t="s">
        <v>1228</v>
      </c>
      <c r="E305" s="199">
        <f t="shared" si="4"/>
        <v>45</v>
      </c>
      <c r="F305" s="200" t="s">
        <v>994</v>
      </c>
      <c r="G305" s="250" t="s">
        <v>611</v>
      </c>
      <c r="H305" s="250"/>
      <c r="I305" s="201" t="s">
        <v>356</v>
      </c>
    </row>
    <row r="306" spans="3:13">
      <c r="C306" s="199">
        <v>300</v>
      </c>
      <c r="D306" s="198" t="s">
        <v>1229</v>
      </c>
      <c r="E306" s="199">
        <f t="shared" si="4"/>
        <v>45</v>
      </c>
      <c r="F306" s="200" t="s">
        <v>995</v>
      </c>
      <c r="G306" s="250" t="s">
        <v>374</v>
      </c>
      <c r="H306" s="250"/>
      <c r="I306" s="201" t="s">
        <v>356</v>
      </c>
    </row>
    <row r="307" spans="3:13" ht="30">
      <c r="C307" s="199">
        <v>301</v>
      </c>
      <c r="D307" s="198" t="s">
        <v>1230</v>
      </c>
      <c r="E307" s="199">
        <f t="shared" si="4"/>
        <v>45</v>
      </c>
      <c r="F307" s="200" t="s">
        <v>996</v>
      </c>
      <c r="G307" s="250" t="s">
        <v>630</v>
      </c>
      <c r="H307" s="250"/>
      <c r="I307" s="201" t="s">
        <v>356</v>
      </c>
    </row>
    <row r="308" spans="3:13" ht="30">
      <c r="C308" s="199">
        <v>302</v>
      </c>
      <c r="D308" s="198" t="s">
        <v>1231</v>
      </c>
      <c r="E308" s="199">
        <f t="shared" si="4"/>
        <v>45</v>
      </c>
      <c r="F308" s="200" t="s">
        <v>997</v>
      </c>
      <c r="G308" s="250" t="s">
        <v>631</v>
      </c>
      <c r="H308" s="250"/>
      <c r="I308" s="201" t="s">
        <v>356</v>
      </c>
    </row>
    <row r="309" spans="3:13" ht="30">
      <c r="C309" s="199">
        <v>303</v>
      </c>
      <c r="D309" s="198" t="s">
        <v>1232</v>
      </c>
      <c r="E309" s="199">
        <f t="shared" si="4"/>
        <v>45</v>
      </c>
      <c r="F309" s="200" t="s">
        <v>998</v>
      </c>
      <c r="G309" s="250" t="s">
        <v>632</v>
      </c>
      <c r="H309" s="250"/>
      <c r="I309" s="201" t="s">
        <v>356</v>
      </c>
    </row>
    <row r="310" spans="3:13">
      <c r="C310" s="199">
        <v>304</v>
      </c>
      <c r="D310" s="198" t="s">
        <v>1233</v>
      </c>
      <c r="E310" s="199">
        <f t="shared" si="4"/>
        <v>45</v>
      </c>
      <c r="F310" s="200" t="s">
        <v>999</v>
      </c>
      <c r="G310" s="250" t="s">
        <v>633</v>
      </c>
      <c r="H310" s="250"/>
      <c r="I310" s="201" t="s">
        <v>356</v>
      </c>
      <c r="M310" s="128"/>
    </row>
    <row r="311" spans="3:13">
      <c r="C311" s="199">
        <v>305</v>
      </c>
      <c r="D311" s="198" t="s">
        <v>1234</v>
      </c>
      <c r="E311" s="199">
        <f t="shared" si="4"/>
        <v>45</v>
      </c>
      <c r="F311" s="200" t="s">
        <v>1000</v>
      </c>
      <c r="G311" s="250" t="s">
        <v>76</v>
      </c>
      <c r="H311" s="250"/>
      <c r="I311" s="201" t="s">
        <v>356</v>
      </c>
      <c r="M311" s="128"/>
    </row>
    <row r="312" spans="3:13">
      <c r="C312" s="199">
        <v>306</v>
      </c>
      <c r="D312" s="198" t="s">
        <v>1235</v>
      </c>
      <c r="E312" s="199">
        <f t="shared" si="4"/>
        <v>45</v>
      </c>
      <c r="F312" s="200" t="s">
        <v>1001</v>
      </c>
      <c r="G312" s="250" t="s">
        <v>77</v>
      </c>
      <c r="H312" s="250"/>
      <c r="I312" s="201" t="s">
        <v>356</v>
      </c>
      <c r="M312" s="128"/>
    </row>
    <row r="313" spans="3:13">
      <c r="C313" s="199">
        <v>307</v>
      </c>
      <c r="D313" s="198" t="s">
        <v>1236</v>
      </c>
      <c r="E313" s="199">
        <f t="shared" si="4"/>
        <v>45</v>
      </c>
      <c r="F313" s="200" t="s">
        <v>1002</v>
      </c>
      <c r="G313" s="250" t="s">
        <v>643</v>
      </c>
      <c r="H313" s="250"/>
      <c r="I313" s="201" t="s">
        <v>356</v>
      </c>
      <c r="M313" s="128"/>
    </row>
    <row r="314" spans="3:13">
      <c r="C314" s="199">
        <v>308</v>
      </c>
      <c r="D314" s="198" t="s">
        <v>1237</v>
      </c>
      <c r="E314" s="199">
        <f t="shared" si="4"/>
        <v>45</v>
      </c>
      <c r="F314" s="200" t="s">
        <v>1003</v>
      </c>
      <c r="G314" s="250" t="s">
        <v>636</v>
      </c>
      <c r="H314" s="250"/>
      <c r="I314" s="201" t="s">
        <v>356</v>
      </c>
      <c r="M314" s="128"/>
    </row>
    <row r="315" spans="3:13">
      <c r="C315" s="199">
        <v>309</v>
      </c>
      <c r="D315" s="198" t="s">
        <v>1238</v>
      </c>
      <c r="E315" s="199">
        <f t="shared" si="4"/>
        <v>45</v>
      </c>
      <c r="F315" s="200" t="s">
        <v>224</v>
      </c>
      <c r="G315" s="250" t="s">
        <v>637</v>
      </c>
      <c r="H315" s="250"/>
      <c r="I315" s="201" t="s">
        <v>356</v>
      </c>
    </row>
    <row r="316" spans="3:13">
      <c r="C316" s="199">
        <v>310</v>
      </c>
      <c r="D316" s="198" t="s">
        <v>1239</v>
      </c>
      <c r="E316" s="199">
        <f t="shared" si="4"/>
        <v>45</v>
      </c>
      <c r="F316" s="200" t="s">
        <v>1004</v>
      </c>
      <c r="G316" s="250" t="s">
        <v>9</v>
      </c>
      <c r="H316" s="250"/>
      <c r="I316" s="201" t="s">
        <v>356</v>
      </c>
    </row>
    <row r="317" spans="3:13">
      <c r="C317" s="199">
        <v>311</v>
      </c>
      <c r="D317" s="198" t="s">
        <v>1240</v>
      </c>
      <c r="E317" s="199">
        <f t="shared" si="4"/>
        <v>45</v>
      </c>
      <c r="F317" s="200" t="s">
        <v>73</v>
      </c>
      <c r="G317" s="250" t="s">
        <v>70</v>
      </c>
      <c r="H317" s="250"/>
      <c r="I317" s="201" t="s">
        <v>356</v>
      </c>
    </row>
    <row r="318" spans="3:13">
      <c r="C318" s="199">
        <v>312</v>
      </c>
      <c r="D318" s="198" t="s">
        <v>1241</v>
      </c>
      <c r="E318" s="199">
        <f t="shared" si="4"/>
        <v>45</v>
      </c>
      <c r="F318" s="200" t="s">
        <v>187</v>
      </c>
      <c r="G318" s="250" t="s">
        <v>163</v>
      </c>
      <c r="H318" s="250"/>
      <c r="I318" s="201" t="s">
        <v>356</v>
      </c>
    </row>
    <row r="319" spans="3:13">
      <c r="C319" s="199">
        <v>313</v>
      </c>
      <c r="D319" s="198" t="s">
        <v>1242</v>
      </c>
      <c r="E319" s="199">
        <f t="shared" si="4"/>
        <v>45</v>
      </c>
      <c r="F319" s="200" t="s">
        <v>1005</v>
      </c>
      <c r="G319" s="250" t="s">
        <v>638</v>
      </c>
      <c r="H319" s="250"/>
      <c r="I319" s="201" t="s">
        <v>356</v>
      </c>
    </row>
    <row r="320" spans="3:13">
      <c r="C320" s="199">
        <v>314</v>
      </c>
      <c r="D320" s="198" t="s">
        <v>1243</v>
      </c>
      <c r="E320" s="199">
        <f t="shared" si="4"/>
        <v>45</v>
      </c>
      <c r="F320" s="200" t="s">
        <v>1006</v>
      </c>
      <c r="G320" s="250" t="s">
        <v>639</v>
      </c>
      <c r="H320" s="250"/>
      <c r="I320" s="201" t="s">
        <v>356</v>
      </c>
    </row>
    <row r="321" spans="3:9">
      <c r="C321" s="199">
        <v>315</v>
      </c>
      <c r="D321" s="198" t="s">
        <v>1244</v>
      </c>
      <c r="E321" s="199">
        <f t="shared" si="4"/>
        <v>45</v>
      </c>
      <c r="F321" s="200" t="s">
        <v>1007</v>
      </c>
      <c r="G321" s="250" t="s">
        <v>230</v>
      </c>
      <c r="H321" s="250"/>
      <c r="I321" s="201" t="s">
        <v>356</v>
      </c>
    </row>
    <row r="322" spans="3:9">
      <c r="C322" s="199">
        <v>316</v>
      </c>
      <c r="D322" s="198" t="s">
        <v>1245</v>
      </c>
      <c r="E322" s="199">
        <f t="shared" si="4"/>
        <v>45</v>
      </c>
      <c r="F322" s="200" t="s">
        <v>1008</v>
      </c>
      <c r="G322" s="250" t="s">
        <v>640</v>
      </c>
      <c r="H322" s="250"/>
      <c r="I322" s="201" t="s">
        <v>356</v>
      </c>
    </row>
    <row r="323" spans="3:9">
      <c r="C323" s="199">
        <v>317</v>
      </c>
      <c r="D323" s="198" t="s">
        <v>1246</v>
      </c>
      <c r="E323" s="199">
        <f t="shared" si="4"/>
        <v>45</v>
      </c>
      <c r="F323" s="200" t="s">
        <v>1009</v>
      </c>
      <c r="G323" s="250" t="s">
        <v>641</v>
      </c>
      <c r="H323" s="250"/>
      <c r="I323" s="201" t="s">
        <v>356</v>
      </c>
    </row>
    <row r="324" spans="3:9">
      <c r="C324" s="199">
        <v>318</v>
      </c>
      <c r="D324" s="198" t="s">
        <v>1247</v>
      </c>
      <c r="E324" s="199">
        <f t="shared" si="4"/>
        <v>45</v>
      </c>
      <c r="F324" s="200" t="s">
        <v>1010</v>
      </c>
      <c r="G324" s="250" t="s">
        <v>642</v>
      </c>
      <c r="H324" s="250"/>
      <c r="I324" s="201" t="s">
        <v>356</v>
      </c>
    </row>
    <row r="325" spans="3:9">
      <c r="C325" s="199">
        <v>319</v>
      </c>
      <c r="D325" s="198" t="s">
        <v>1248</v>
      </c>
      <c r="E325" s="199">
        <f t="shared" si="4"/>
        <v>45</v>
      </c>
      <c r="F325" s="200" t="s">
        <v>1011</v>
      </c>
      <c r="G325" s="250" t="s">
        <v>644</v>
      </c>
      <c r="H325" s="250"/>
      <c r="I325" s="201" t="s">
        <v>356</v>
      </c>
    </row>
    <row r="326" spans="3:9">
      <c r="C326" s="199">
        <v>320</v>
      </c>
      <c r="D326" s="198" t="s">
        <v>1249</v>
      </c>
      <c r="E326" s="199">
        <f t="shared" si="4"/>
        <v>45</v>
      </c>
      <c r="F326" s="200" t="s">
        <v>14</v>
      </c>
      <c r="G326" s="250" t="s">
        <v>14</v>
      </c>
      <c r="H326" s="250"/>
      <c r="I326" s="201" t="s">
        <v>356</v>
      </c>
    </row>
    <row r="327" spans="3:9">
      <c r="C327" s="199">
        <v>321</v>
      </c>
      <c r="D327" s="198" t="s">
        <v>1250</v>
      </c>
      <c r="E327" s="199">
        <f t="shared" si="4"/>
        <v>45</v>
      </c>
      <c r="F327" s="200" t="s">
        <v>645</v>
      </c>
      <c r="G327" s="250" t="s">
        <v>645</v>
      </c>
      <c r="H327" s="250"/>
      <c r="I327" s="201" t="s">
        <v>356</v>
      </c>
    </row>
    <row r="328" spans="3:9">
      <c r="C328" s="199">
        <v>322</v>
      </c>
      <c r="D328" s="198" t="s">
        <v>1251</v>
      </c>
      <c r="E328" s="199">
        <f t="shared" ref="E328:E363" si="5">MID(I328,1,3)*1</f>
        <v>45</v>
      </c>
      <c r="F328" s="200" t="s">
        <v>651</v>
      </c>
      <c r="G328" s="250" t="s">
        <v>651</v>
      </c>
      <c r="H328" s="250"/>
      <c r="I328" s="201" t="s">
        <v>356</v>
      </c>
    </row>
    <row r="329" spans="3:9">
      <c r="C329" s="199">
        <v>323</v>
      </c>
      <c r="D329" s="198" t="s">
        <v>1252</v>
      </c>
      <c r="E329" s="199">
        <f t="shared" si="5"/>
        <v>45</v>
      </c>
      <c r="F329" s="200" t="s">
        <v>90</v>
      </c>
      <c r="G329" s="250" t="s">
        <v>68</v>
      </c>
      <c r="H329" s="250"/>
      <c r="I329" s="201" t="s">
        <v>356</v>
      </c>
    </row>
    <row r="330" spans="3:9">
      <c r="C330" s="199">
        <v>324</v>
      </c>
      <c r="D330" s="198" t="s">
        <v>1253</v>
      </c>
      <c r="E330" s="199">
        <f t="shared" si="5"/>
        <v>45</v>
      </c>
      <c r="F330" s="200" t="s">
        <v>1012</v>
      </c>
      <c r="G330" s="250" t="s">
        <v>646</v>
      </c>
      <c r="H330" s="250"/>
      <c r="I330" s="201" t="s">
        <v>356</v>
      </c>
    </row>
    <row r="331" spans="3:9">
      <c r="C331" s="199">
        <v>325</v>
      </c>
      <c r="D331" s="198" t="s">
        <v>1254</v>
      </c>
      <c r="E331" s="199">
        <f t="shared" si="5"/>
        <v>45</v>
      </c>
      <c r="F331" s="200" t="s">
        <v>90</v>
      </c>
      <c r="G331" s="250" t="s">
        <v>29</v>
      </c>
      <c r="H331" s="250"/>
      <c r="I331" s="201" t="s">
        <v>356</v>
      </c>
    </row>
    <row r="332" spans="3:9">
      <c r="C332" s="199">
        <v>326</v>
      </c>
      <c r="D332" s="198" t="s">
        <v>1255</v>
      </c>
      <c r="E332" s="199">
        <f t="shared" si="5"/>
        <v>45</v>
      </c>
      <c r="F332" s="200" t="s">
        <v>85</v>
      </c>
      <c r="G332" s="250" t="s">
        <v>236</v>
      </c>
      <c r="H332" s="250"/>
      <c r="I332" s="201" t="s">
        <v>356</v>
      </c>
    </row>
    <row r="333" spans="3:9">
      <c r="C333" s="199">
        <v>327</v>
      </c>
      <c r="D333" s="198" t="s">
        <v>1256</v>
      </c>
      <c r="E333" s="199">
        <f t="shared" si="5"/>
        <v>45</v>
      </c>
      <c r="F333" s="200" t="s">
        <v>1013</v>
      </c>
      <c r="G333" s="250" t="s">
        <v>647</v>
      </c>
      <c r="H333" s="250"/>
      <c r="I333" s="201" t="s">
        <v>356</v>
      </c>
    </row>
    <row r="334" spans="3:9">
      <c r="C334" s="199">
        <v>328</v>
      </c>
      <c r="D334" s="198" t="s">
        <v>1257</v>
      </c>
      <c r="E334" s="199">
        <f t="shared" si="5"/>
        <v>45</v>
      </c>
      <c r="F334" s="200" t="s">
        <v>694</v>
      </c>
      <c r="G334" s="250" t="s">
        <v>536</v>
      </c>
      <c r="H334" s="250"/>
      <c r="I334" s="201" t="s">
        <v>356</v>
      </c>
    </row>
    <row r="335" spans="3:9">
      <c r="C335" s="199">
        <v>329</v>
      </c>
      <c r="D335" s="198" t="s">
        <v>1258</v>
      </c>
      <c r="E335" s="199">
        <f t="shared" si="5"/>
        <v>45</v>
      </c>
      <c r="F335" s="200" t="s">
        <v>1014</v>
      </c>
      <c r="G335" s="250" t="s">
        <v>648</v>
      </c>
      <c r="H335" s="250"/>
      <c r="I335" s="201" t="s">
        <v>356</v>
      </c>
    </row>
    <row r="336" spans="3:9">
      <c r="C336" s="199">
        <v>330</v>
      </c>
      <c r="D336" s="198" t="s">
        <v>1259</v>
      </c>
      <c r="E336" s="199">
        <f t="shared" si="5"/>
        <v>45</v>
      </c>
      <c r="F336" s="200" t="s">
        <v>1015</v>
      </c>
      <c r="G336" s="250" t="s">
        <v>82</v>
      </c>
      <c r="H336" s="250"/>
      <c r="I336" s="201" t="s">
        <v>356</v>
      </c>
    </row>
    <row r="337" spans="3:9">
      <c r="C337" s="199">
        <v>331</v>
      </c>
      <c r="D337" s="198" t="s">
        <v>1260</v>
      </c>
      <c r="E337" s="199">
        <f t="shared" si="5"/>
        <v>45</v>
      </c>
      <c r="F337" s="200" t="s">
        <v>1016</v>
      </c>
      <c r="G337" s="250" t="s">
        <v>650</v>
      </c>
      <c r="H337" s="250"/>
      <c r="I337" s="201" t="s">
        <v>356</v>
      </c>
    </row>
    <row r="338" spans="3:9">
      <c r="C338" s="199">
        <v>332</v>
      </c>
      <c r="D338" s="198" t="s">
        <v>1261</v>
      </c>
      <c r="E338" s="199">
        <f t="shared" si="5"/>
        <v>45</v>
      </c>
      <c r="F338" s="200" t="s">
        <v>1017</v>
      </c>
      <c r="G338" s="250" t="s">
        <v>84</v>
      </c>
      <c r="H338" s="250"/>
      <c r="I338" s="201" t="s">
        <v>356</v>
      </c>
    </row>
    <row r="339" spans="3:9">
      <c r="C339" s="199">
        <v>333</v>
      </c>
      <c r="D339" s="198" t="s">
        <v>1262</v>
      </c>
      <c r="E339" s="199">
        <f t="shared" si="5"/>
        <v>45</v>
      </c>
      <c r="F339" s="200" t="s">
        <v>1018</v>
      </c>
      <c r="G339" s="250" t="s">
        <v>649</v>
      </c>
      <c r="H339" s="250"/>
      <c r="I339" s="201" t="s">
        <v>356</v>
      </c>
    </row>
    <row r="340" spans="3:9">
      <c r="C340" s="199">
        <v>334</v>
      </c>
      <c r="D340" s="198" t="s">
        <v>1263</v>
      </c>
      <c r="E340" s="199">
        <f t="shared" si="5"/>
        <v>45</v>
      </c>
      <c r="F340" s="200" t="s">
        <v>825</v>
      </c>
      <c r="G340" s="250" t="s">
        <v>340</v>
      </c>
      <c r="H340" s="250"/>
      <c r="I340" s="201" t="s">
        <v>356</v>
      </c>
    </row>
    <row r="341" spans="3:9">
      <c r="C341" s="199">
        <v>335</v>
      </c>
      <c r="D341" s="198" t="s">
        <v>1264</v>
      </c>
      <c r="E341" s="199">
        <f t="shared" si="5"/>
        <v>45</v>
      </c>
      <c r="F341" s="200"/>
      <c r="G341" s="250"/>
      <c r="H341" s="250"/>
      <c r="I341" s="201" t="s">
        <v>356</v>
      </c>
    </row>
    <row r="342" spans="3:9">
      <c r="C342" s="199">
        <v>336</v>
      </c>
      <c r="D342" s="198" t="s">
        <v>1265</v>
      </c>
      <c r="E342" s="199">
        <f t="shared" si="5"/>
        <v>45</v>
      </c>
      <c r="F342" s="200"/>
      <c r="G342" s="250"/>
      <c r="H342" s="250"/>
      <c r="I342" s="201" t="s">
        <v>356</v>
      </c>
    </row>
    <row r="343" spans="3:9">
      <c r="C343" s="199">
        <v>337</v>
      </c>
      <c r="D343" s="198" t="s">
        <v>1266</v>
      </c>
      <c r="E343" s="199">
        <f t="shared" si="5"/>
        <v>45</v>
      </c>
      <c r="F343" s="200"/>
      <c r="G343" s="250"/>
      <c r="H343" s="250"/>
      <c r="I343" s="201" t="s">
        <v>356</v>
      </c>
    </row>
    <row r="344" spans="3:9">
      <c r="C344" s="199">
        <v>338</v>
      </c>
      <c r="D344" s="198" t="s">
        <v>1267</v>
      </c>
      <c r="E344" s="199">
        <f t="shared" si="5"/>
        <v>45</v>
      </c>
      <c r="F344" s="200"/>
      <c r="G344" s="250"/>
      <c r="H344" s="250"/>
      <c r="I344" s="201" t="s">
        <v>356</v>
      </c>
    </row>
    <row r="345" spans="3:9">
      <c r="C345" s="199">
        <v>339</v>
      </c>
      <c r="D345" s="198" t="s">
        <v>1268</v>
      </c>
      <c r="E345" s="199">
        <f t="shared" si="5"/>
        <v>45</v>
      </c>
      <c r="F345" s="200"/>
      <c r="G345" s="250"/>
      <c r="H345" s="250"/>
      <c r="I345" s="201" t="s">
        <v>356</v>
      </c>
    </row>
    <row r="346" spans="3:9">
      <c r="C346" s="199">
        <v>340</v>
      </c>
      <c r="D346" s="198" t="s">
        <v>1269</v>
      </c>
      <c r="E346" s="199">
        <f t="shared" si="5"/>
        <v>45</v>
      </c>
      <c r="F346" s="200"/>
      <c r="G346" s="250"/>
      <c r="H346" s="250"/>
      <c r="I346" s="201" t="s">
        <v>356</v>
      </c>
    </row>
    <row r="347" spans="3:9">
      <c r="C347" s="199">
        <v>341</v>
      </c>
      <c r="D347" s="198" t="s">
        <v>1270</v>
      </c>
      <c r="E347" s="199">
        <f t="shared" si="5"/>
        <v>45</v>
      </c>
      <c r="F347" s="200"/>
      <c r="G347" s="250"/>
      <c r="H347" s="250"/>
      <c r="I347" s="201" t="s">
        <v>356</v>
      </c>
    </row>
    <row r="348" spans="3:9">
      <c r="C348" s="199">
        <v>342</v>
      </c>
      <c r="D348" s="198" t="s">
        <v>1271</v>
      </c>
      <c r="E348" s="199">
        <f t="shared" si="5"/>
        <v>45</v>
      </c>
      <c r="F348" s="200"/>
      <c r="G348" s="250"/>
      <c r="H348" s="250"/>
      <c r="I348" s="201" t="s">
        <v>356</v>
      </c>
    </row>
    <row r="349" spans="3:9">
      <c r="C349" s="199">
        <v>343</v>
      </c>
      <c r="D349" s="198" t="s">
        <v>1272</v>
      </c>
      <c r="E349" s="199">
        <f t="shared" si="5"/>
        <v>45</v>
      </c>
      <c r="F349" s="200"/>
      <c r="G349" s="250"/>
      <c r="H349" s="250"/>
      <c r="I349" s="201" t="s">
        <v>356</v>
      </c>
    </row>
    <row r="350" spans="3:9">
      <c r="C350" s="199">
        <v>344</v>
      </c>
      <c r="D350" s="198" t="s">
        <v>1273</v>
      </c>
      <c r="E350" s="199">
        <f t="shared" si="5"/>
        <v>45</v>
      </c>
      <c r="F350" s="200"/>
      <c r="G350" s="250"/>
      <c r="H350" s="250"/>
      <c r="I350" s="201" t="s">
        <v>356</v>
      </c>
    </row>
    <row r="351" spans="3:9">
      <c r="C351" s="199">
        <v>345</v>
      </c>
      <c r="D351" s="198" t="s">
        <v>1274</v>
      </c>
      <c r="E351" s="199">
        <f t="shared" si="5"/>
        <v>45</v>
      </c>
      <c r="F351" s="200"/>
      <c r="G351" s="250"/>
      <c r="H351" s="250"/>
      <c r="I351" s="201" t="s">
        <v>356</v>
      </c>
    </row>
    <row r="352" spans="3:9">
      <c r="C352" s="199">
        <v>346</v>
      </c>
      <c r="D352" s="198" t="s">
        <v>1275</v>
      </c>
      <c r="E352" s="199">
        <f t="shared" si="5"/>
        <v>45</v>
      </c>
      <c r="F352" s="200"/>
      <c r="G352" s="250"/>
      <c r="H352" s="250"/>
      <c r="I352" s="201" t="s">
        <v>356</v>
      </c>
    </row>
    <row r="353" spans="3:9">
      <c r="C353" s="199">
        <v>347</v>
      </c>
      <c r="D353" s="198" t="s">
        <v>1276</v>
      </c>
      <c r="E353" s="199">
        <f t="shared" si="5"/>
        <v>45</v>
      </c>
      <c r="F353" s="200"/>
      <c r="G353" s="250"/>
      <c r="H353" s="250"/>
      <c r="I353" s="201" t="s">
        <v>356</v>
      </c>
    </row>
    <row r="354" spans="3:9">
      <c r="C354" s="199">
        <v>348</v>
      </c>
      <c r="D354" s="198" t="s">
        <v>1277</v>
      </c>
      <c r="E354" s="199">
        <f t="shared" si="5"/>
        <v>45</v>
      </c>
      <c r="F354" s="200"/>
      <c r="G354" s="250"/>
      <c r="H354" s="250"/>
      <c r="I354" s="201" t="s">
        <v>356</v>
      </c>
    </row>
    <row r="355" spans="3:9">
      <c r="C355" s="199">
        <v>349</v>
      </c>
      <c r="D355" s="198" t="s">
        <v>1278</v>
      </c>
      <c r="E355" s="199">
        <f t="shared" si="5"/>
        <v>45</v>
      </c>
      <c r="F355" s="200"/>
      <c r="G355" s="250"/>
      <c r="H355" s="250"/>
      <c r="I355" s="201" t="s">
        <v>356</v>
      </c>
    </row>
    <row r="356" spans="3:9">
      <c r="C356" s="199">
        <v>350</v>
      </c>
      <c r="D356" s="198" t="s">
        <v>1279</v>
      </c>
      <c r="E356" s="199">
        <f t="shared" si="5"/>
        <v>45</v>
      </c>
      <c r="F356" s="200"/>
      <c r="G356" s="250"/>
      <c r="H356" s="250"/>
      <c r="I356" s="201" t="s">
        <v>356</v>
      </c>
    </row>
    <row r="357" spans="3:9">
      <c r="C357" s="199">
        <v>351</v>
      </c>
      <c r="D357" s="198" t="s">
        <v>1280</v>
      </c>
      <c r="E357" s="199">
        <f t="shared" si="5"/>
        <v>45</v>
      </c>
      <c r="F357" s="200"/>
      <c r="G357" s="250"/>
      <c r="H357" s="250"/>
      <c r="I357" s="201" t="s">
        <v>356</v>
      </c>
    </row>
    <row r="358" spans="3:9">
      <c r="C358" s="199">
        <v>352</v>
      </c>
      <c r="D358" s="198" t="s">
        <v>1281</v>
      </c>
      <c r="E358" s="199">
        <f t="shared" si="5"/>
        <v>45</v>
      </c>
      <c r="F358" s="200"/>
      <c r="G358" s="250"/>
      <c r="H358" s="250"/>
      <c r="I358" s="201" t="s">
        <v>356</v>
      </c>
    </row>
    <row r="359" spans="3:9">
      <c r="C359" s="199">
        <v>353</v>
      </c>
      <c r="D359" s="198" t="s">
        <v>1282</v>
      </c>
      <c r="E359" s="199">
        <f t="shared" si="5"/>
        <v>45</v>
      </c>
      <c r="F359" s="200"/>
      <c r="G359" s="250"/>
      <c r="H359" s="250"/>
      <c r="I359" s="201" t="s">
        <v>356</v>
      </c>
    </row>
    <row r="360" spans="3:9">
      <c r="C360" s="199">
        <v>354</v>
      </c>
      <c r="D360" s="198" t="s">
        <v>1283</v>
      </c>
      <c r="E360" s="199">
        <f t="shared" si="5"/>
        <v>45</v>
      </c>
      <c r="F360" s="200"/>
      <c r="G360" s="250"/>
      <c r="H360" s="250"/>
      <c r="I360" s="201" t="s">
        <v>356</v>
      </c>
    </row>
    <row r="361" spans="3:9">
      <c r="C361" s="199">
        <v>355</v>
      </c>
      <c r="D361" s="198" t="s">
        <v>1284</v>
      </c>
      <c r="E361" s="199">
        <f t="shared" si="5"/>
        <v>45</v>
      </c>
      <c r="F361" s="200"/>
      <c r="G361" s="250"/>
      <c r="H361" s="250"/>
      <c r="I361" s="201" t="s">
        <v>356</v>
      </c>
    </row>
    <row r="362" spans="3:9">
      <c r="C362" s="199">
        <v>356</v>
      </c>
      <c r="D362" s="198" t="s">
        <v>1285</v>
      </c>
      <c r="E362" s="199">
        <f t="shared" si="5"/>
        <v>45</v>
      </c>
      <c r="F362" s="200"/>
      <c r="G362" s="250"/>
      <c r="H362" s="250"/>
      <c r="I362" s="201" t="s">
        <v>356</v>
      </c>
    </row>
    <row r="363" spans="3:9">
      <c r="C363" s="199">
        <v>357</v>
      </c>
      <c r="D363" s="198" t="s">
        <v>1286</v>
      </c>
      <c r="E363" s="199">
        <f t="shared" si="5"/>
        <v>45</v>
      </c>
      <c r="F363" s="200"/>
      <c r="G363" s="250"/>
      <c r="H363" s="250"/>
      <c r="I363" s="201" t="s">
        <v>356</v>
      </c>
    </row>
  </sheetData>
  <mergeCells count="1">
    <mergeCell ref="C3:I3"/>
  </mergeCells>
  <phoneticPr fontId="36" type="noConversion"/>
  <conditionalFormatting sqref="Q5:Q6 D5:D6">
    <cfRule type="duplicateValues" dxfId="5" priority="1"/>
  </conditionalFormatting>
  <dataValidations count="1">
    <dataValidation type="list" allowBlank="1" showInputMessage="1" showErrorMessage="1" sqref="I7:I363" xr:uid="{7118485D-0AE9-49BE-B606-EC78350DDDEA}">
      <formula1>module_type_option</formula1>
    </dataValidation>
  </dataValidation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3"/>
  <dimension ref="B1:W320"/>
  <sheetViews>
    <sheetView showGridLines="0" zoomScale="80" zoomScaleNormal="80" zoomScaleSheetLayoutView="100" workbookViewId="0">
      <pane ySplit="6" topLeftCell="A7" activePane="bottomLeft" state="frozen"/>
      <selection pane="bottomLeft" activeCell="F7" sqref="F7"/>
    </sheetView>
  </sheetViews>
  <sheetFormatPr defaultRowHeight="23.25"/>
  <cols>
    <col min="1" max="1" width="4.85546875" customWidth="1"/>
    <col min="2" max="2" width="7.7109375" style="169" customWidth="1"/>
    <col min="3" max="3" width="22.140625" style="169" customWidth="1"/>
    <col min="4" max="4" width="45" style="169" bestFit="1" customWidth="1"/>
    <col min="5" max="5" width="24.140625" style="169" customWidth="1"/>
    <col min="6" max="6" width="19.28515625" style="143" customWidth="1"/>
    <col min="7" max="7" width="20.5703125" style="143" customWidth="1"/>
    <col min="8" max="8" width="19" style="143" customWidth="1"/>
    <col min="9" max="9" width="15.28515625" style="143" customWidth="1"/>
    <col min="10" max="10" width="19" style="304" customWidth="1"/>
    <col min="11" max="11" width="11.140625" style="156" customWidth="1"/>
    <col min="12" max="12" width="13.42578125" bestFit="1" customWidth="1"/>
    <col min="13" max="13" width="11.140625" customWidth="1"/>
    <col min="14" max="14" width="15.28515625" customWidth="1"/>
    <col min="15" max="16" width="15.7109375" customWidth="1"/>
    <col min="17" max="17" width="13" bestFit="1" customWidth="1"/>
    <col min="18" max="18" width="21" customWidth="1"/>
    <col min="22" max="22" width="14.28515625" customWidth="1"/>
    <col min="23" max="23" width="19.5703125" style="13" customWidth="1"/>
  </cols>
  <sheetData>
    <row r="1" spans="2:18" ht="3.75" customHeight="1">
      <c r="B1" s="259"/>
      <c r="C1" s="167"/>
      <c r="D1" s="167"/>
      <c r="E1" s="167"/>
      <c r="F1" s="167"/>
      <c r="G1" s="167"/>
      <c r="H1" s="167"/>
      <c r="I1" s="167"/>
      <c r="J1" s="299"/>
      <c r="K1" s="224"/>
    </row>
    <row r="2" spans="2:18" ht="46.5" customHeight="1">
      <c r="B2" s="1871" t="s">
        <v>91</v>
      </c>
      <c r="C2" s="1871"/>
      <c r="D2" s="1871"/>
      <c r="E2" s="1871"/>
      <c r="F2" s="1871"/>
      <c r="G2" s="1871"/>
      <c r="H2" s="1871"/>
      <c r="I2" s="1871"/>
      <c r="J2" s="152"/>
      <c r="K2"/>
    </row>
    <row r="3" spans="2:18" ht="27.75" customHeight="1">
      <c r="B3" s="1870" t="str">
        <f>$L$4&amp;"( "&amp;$N$4&amp;" - "&amp;DAY($O$4)&amp;"/"&amp;$M$3&amp;"/"&amp;YEAR($O$4)&amp;" )"</f>
        <v>ប្រចាំខែ កក្កដា  ( 01/07/2026 - 31/07/2026 )</v>
      </c>
      <c r="C3" s="1870"/>
      <c r="D3" s="1870"/>
      <c r="E3" s="1870"/>
      <c r="F3" s="1870"/>
      <c r="G3" s="1870"/>
      <c r="H3" s="1870"/>
      <c r="I3" s="1870"/>
      <c r="J3" s="152"/>
      <c r="K3"/>
      <c r="L3" s="129" t="s">
        <v>30</v>
      </c>
      <c r="M3" s="133" t="str">
        <f>MID(L3,1,2)</f>
        <v>07</v>
      </c>
      <c r="N3" s="13">
        <v>2026</v>
      </c>
      <c r="P3" s="229">
        <v>45292</v>
      </c>
      <c r="Q3" s="229">
        <f>EOMONTH(DATE(YEAR(N4),MONTH(N4),1),-1)</f>
        <v>46203</v>
      </c>
    </row>
    <row r="4" spans="2:18" ht="29.25" customHeight="1">
      <c r="B4" s="531" t="s">
        <v>47</v>
      </c>
      <c r="C4" s="531" t="s">
        <v>92</v>
      </c>
      <c r="D4" s="531" t="s">
        <v>60</v>
      </c>
      <c r="E4" s="531" t="s">
        <v>61</v>
      </c>
      <c r="F4" s="531" t="s">
        <v>1553</v>
      </c>
      <c r="G4" s="531" t="str">
        <f>"ស្តុកផលិត"&amp;" ខែ"&amp;MID(L3,4,50)</f>
        <v>ស្តុកផលិត ខែកក្កដា</v>
      </c>
      <c r="H4" s="531" t="str">
        <f>"ស្តុកលក់"&amp;" ខែ"&amp;MID(L3,4,50)</f>
        <v>ស្តុកលក់ ខែកក្កដា</v>
      </c>
      <c r="I4" s="531" t="s">
        <v>93</v>
      </c>
      <c r="J4" s="531" t="s">
        <v>210</v>
      </c>
      <c r="K4"/>
      <c r="L4" s="129" t="str">
        <f>"ប្រចាំខែ "&amp;MID(L3,4,50)&amp;"  "</f>
        <v xml:space="preserve">ប្រចាំខែ កក្កដា  </v>
      </c>
      <c r="N4" s="126" t="str">
        <f>"01/"&amp;M3&amp;"/"&amp;N3</f>
        <v>01/07/2026</v>
      </c>
      <c r="O4" s="228">
        <f>EOMONTH(N4,0)</f>
        <v>46234</v>
      </c>
      <c r="P4" s="13"/>
      <c r="Q4" s="121"/>
    </row>
    <row r="5" spans="2:18" ht="21" customHeight="1">
      <c r="B5" s="523" t="s">
        <v>10</v>
      </c>
      <c r="C5" s="523" t="s">
        <v>94</v>
      </c>
      <c r="D5" s="523" t="s">
        <v>66</v>
      </c>
      <c r="E5" s="523" t="s">
        <v>14</v>
      </c>
      <c r="F5" s="523" t="s">
        <v>95</v>
      </c>
      <c r="G5" s="523" t="s">
        <v>96</v>
      </c>
      <c r="H5" s="523" t="s">
        <v>181</v>
      </c>
      <c r="I5" s="523" t="s">
        <v>97</v>
      </c>
      <c r="J5" s="523" t="s">
        <v>211</v>
      </c>
      <c r="K5"/>
      <c r="L5" s="257" t="s">
        <v>658</v>
      </c>
      <c r="N5" s="126" t="str">
        <f>"01/01/"&amp;N3</f>
        <v>01/01/2026</v>
      </c>
      <c r="O5" s="228">
        <f ca="1">NOW()</f>
        <v>46307.489509490741</v>
      </c>
      <c r="P5" s="228">
        <f>EOMONTH(N5,-1)</f>
        <v>46022</v>
      </c>
    </row>
    <row r="6" spans="2:18" ht="35.25" hidden="1" customHeight="1">
      <c r="B6" s="2"/>
      <c r="C6" s="568"/>
      <c r="D6" s="568"/>
      <c r="E6" s="568"/>
      <c r="F6" s="568"/>
      <c r="G6" s="568"/>
      <c r="H6" s="568"/>
      <c r="I6" s="568"/>
      <c r="J6" s="152"/>
      <c r="K6"/>
    </row>
    <row r="7" spans="2:18" ht="24.95" customHeight="1">
      <c r="B7" s="270">
        <v>1</v>
      </c>
      <c r="C7" s="273" t="str">
        <f>IFERROR(IF(D7&lt;&gt;"",VLOOKUP(MID(D7,1,2),product_list,2,FALSE),""),"")</f>
        <v/>
      </c>
      <c r="D7" s="667" t="s">
        <v>3030</v>
      </c>
      <c r="E7" s="335" t="str">
        <f t="shared" ref="E7:E18" si="0">IF(D7="","",MID(VLOOKUP(MID(D7,1,5)*1,product_list,11,FALSE),5,50))</f>
        <v>width:4m</v>
      </c>
      <c r="F7" s="270" t="e">
        <f>IF(OR(C7="",SUMIFS(#REF!,#REF!,C7,#REF!,"&gt;="&amp;$P$3,#REF!,"&lt;="&amp;$Q$3,#REF!,"=1")=0,SUMIFS(#REF!,#REF!,C7,#REF!,"&gt;="&amp;$P$3,#REF!,"&lt;="&amp;$Q$3,#REF!,"=1")=""),0,SUMIFS(#REF!,#REF!,C7,#REF!,"&gt;="&amp;$P$3,#REF!,"&lt;="&amp;$Q$3,#REF!,"=1"))-IF(OR(C7="",SUMIFS(#REF!,#REF!,C7,#REF!,"&gt;="&amp;$P$3,#REF!,"&lt;="&amp;$Q$3,#REF!,"=1")+SUMIFS(#REF!,#REF!,C7,#REF!,"&gt;="&amp;$P$3,#REF!,"&lt;="&amp;$Q$3,#REF!,"&gt;0")=0),0,SUMIFS(#REF!,#REF!,C7,#REF!,"&gt;="&amp;$P$3,#REF!,"&lt;="&amp;$Q$3,#REF!,"=1")+SUMIFS(#REF!,#REF!,C7,#REF!,"&gt;="&amp;$P$3,#REF!,"&lt;="&amp;$Q$3,#REF!,"&gt;0"))</f>
        <v>#REF!</v>
      </c>
      <c r="G7" s="270" t="e">
        <f>IF(OR(C7="",SUMIFS(#REF!,#REF!,C7,#REF!,$M$3,#REF!,$N$3,#REF!,"=1")=0),"",SUMIFS(#REF!,#REF!,C7,#REF!,$M$3,#REF!,$N$3,#REF!,"=1"))</f>
        <v>#REF!</v>
      </c>
      <c r="H7" s="270" t="str">
        <f>IFERROR(IF(OR(C7="",SUMIFS(#REF!,#REF!,C7,#REF!,$M$3*1,#REF!,$N$3,#REF!,"&gt;0")+SUMIFS(#REF!,#REF!,C7,#REF!,$M$3*1,#REF!,$N$3,#REF!,"&gt;0")=0),"",SUMIFS(#REF!,#REF!,C7,#REF!,$M$3*1,#REF!,$N$3,#REF!,"&gt;0")+SUMIFS(#REF!,#REF!,C7,#REF!,$M$3*1,#REF!,$N$3,#REF!,"&gt;0",#REF!,"&gt;0")),"")</f>
        <v/>
      </c>
      <c r="I7" s="270" t="e">
        <f>IF((IF(F7="",0,F7)+IF(G7="",0,G7)-IF(H7="",0,H7))=0,"",IF(F7="",0,F7)+IF(G7="",0,G7)-IF(H7="",0,H7))</f>
        <v>#REF!</v>
      </c>
      <c r="J7" s="227"/>
      <c r="K7"/>
      <c r="R7" s="152"/>
    </row>
    <row r="8" spans="2:18" ht="24.95" customHeight="1">
      <c r="B8" s="270">
        <v>2</v>
      </c>
      <c r="C8" s="273" t="str">
        <f t="shared" ref="C8:C262" si="1">IFERROR(IF(D8&lt;&gt;"",VLOOKUP(MID(D8,1,2),product_list,2,FALSE),""),"")</f>
        <v/>
      </c>
      <c r="D8" s="667" t="s">
        <v>3031</v>
      </c>
      <c r="E8" s="335" t="str">
        <f t="shared" si="0"/>
        <v>idth: 4m</v>
      </c>
      <c r="F8" s="270" t="e">
        <f>IF(OR(C8="",SUMIFS(#REF!,#REF!,C8,#REF!,"&gt;="&amp;$P$3,#REF!,"&lt;="&amp;$Q$3,#REF!,"=1")=0,SUMIFS(#REF!,#REF!,C8,#REF!,"&gt;="&amp;$P$3,#REF!,"&lt;="&amp;$Q$3,#REF!,"=1")=""),0,SUMIFS(#REF!,#REF!,C8,#REF!,"&gt;="&amp;$P$3,#REF!,"&lt;="&amp;$Q$3,#REF!,"=1"))-IF(OR(C8="",SUMIFS(#REF!,#REF!,C8,#REF!,"&gt;="&amp;$P$3,#REF!,"&lt;="&amp;$Q$3,#REF!,"=1")+SUMIFS(#REF!,#REF!,C8,#REF!,"&gt;="&amp;$P$3,#REF!,"&lt;="&amp;$Q$3,#REF!,"&gt;0")=0),0,SUMIFS(#REF!,#REF!,C8,#REF!,"&gt;="&amp;$P$3,#REF!,"&lt;="&amp;$Q$3,#REF!,"=1")+SUMIFS(#REF!,#REF!,C8,#REF!,"&gt;="&amp;$P$3,#REF!,"&lt;="&amp;$Q$3,#REF!,"&gt;0"))</f>
        <v>#REF!</v>
      </c>
      <c r="G8" s="270" t="e">
        <f>IF(OR(C8="",SUMIFS(#REF!,#REF!,C8,#REF!,$M$3,#REF!,$N$3,#REF!,"=1")=0),"",SUMIFS(#REF!,#REF!,C8,#REF!,$M$3,#REF!,$N$3,#REF!,"=1"))</f>
        <v>#REF!</v>
      </c>
      <c r="H8" s="270" t="str">
        <f>IFERROR(IF(OR(C8="",SUMIFS(#REF!,#REF!,C8,#REF!,$M$3*1,#REF!,$N$3,#REF!,"&gt;0")+SUMIFS(#REF!,#REF!,C8,#REF!,$M$3*1,#REF!,$N$3,#REF!,"&gt;0")=0),"",SUMIFS(#REF!,#REF!,C8,#REF!,$M$3*1,#REF!,$N$3,#REF!,"&gt;0")+SUMIFS(#REF!,#REF!,C8,#REF!,$M$3*1,#REF!,$N$3,#REF!,"&gt;0",#REF!,"&gt;0")),"")</f>
        <v/>
      </c>
      <c r="I8" s="270" t="e">
        <f t="shared" ref="I8" si="2">IF((IF(F8="",0,F8)+IF(G8="",0,G8)-IF(H8="",0,H8))=0,"",IF(F8="",0,F8)+IF(G8="",0,G8)-IF(H8="",0,H8))</f>
        <v>#REF!</v>
      </c>
      <c r="J8" s="227"/>
      <c r="K8"/>
      <c r="L8" s="13"/>
      <c r="M8" s="13"/>
      <c r="R8" s="152"/>
    </row>
    <row r="9" spans="2:18" ht="24.95" customHeight="1">
      <c r="B9" s="270">
        <v>3</v>
      </c>
      <c r="C9" s="273"/>
      <c r="D9" s="667" t="s">
        <v>3032</v>
      </c>
      <c r="E9" s="335" t="str">
        <f t="shared" si="0"/>
        <v>idth:4m</v>
      </c>
      <c r="F9" s="270"/>
      <c r="G9" s="270"/>
      <c r="H9" s="270"/>
      <c r="I9" s="270"/>
      <c r="J9" s="227"/>
      <c r="K9"/>
      <c r="L9" s="13"/>
      <c r="M9" s="13"/>
      <c r="R9" s="152"/>
    </row>
    <row r="10" spans="2:18" ht="24.95" customHeight="1">
      <c r="B10" s="270">
        <v>4</v>
      </c>
      <c r="C10" s="273"/>
      <c r="D10" s="667" t="s">
        <v>3033</v>
      </c>
      <c r="E10" s="335" t="str">
        <f t="shared" si="0"/>
        <v>idth:4m</v>
      </c>
      <c r="F10" s="270"/>
      <c r="G10" s="270"/>
      <c r="H10" s="270"/>
      <c r="I10" s="270"/>
      <c r="J10" s="227"/>
      <c r="K10"/>
      <c r="L10" s="13"/>
      <c r="M10" s="13"/>
      <c r="R10" s="152"/>
    </row>
    <row r="11" spans="2:18" ht="24.95" customHeight="1">
      <c r="B11" s="270">
        <v>5</v>
      </c>
      <c r="C11" s="273"/>
      <c r="D11" s="667" t="s">
        <v>3034</v>
      </c>
      <c r="E11" s="335" t="str">
        <f t="shared" si="0"/>
        <v>idth:4m</v>
      </c>
      <c r="F11" s="270"/>
      <c r="G11" s="270"/>
      <c r="H11" s="270"/>
      <c r="I11" s="270"/>
      <c r="J11" s="227"/>
      <c r="K11"/>
      <c r="L11" s="13"/>
      <c r="M11" s="13"/>
      <c r="R11" s="152"/>
    </row>
    <row r="12" spans="2:18" ht="24.95" customHeight="1">
      <c r="B12" s="270">
        <v>6</v>
      </c>
      <c r="C12" s="273"/>
      <c r="D12" s="667" t="s">
        <v>3035</v>
      </c>
      <c r="E12" s="335" t="str">
        <f t="shared" si="0"/>
        <v>idth:4m</v>
      </c>
      <c r="F12" s="270"/>
      <c r="G12" s="270"/>
      <c r="H12" s="270"/>
      <c r="I12" s="270"/>
      <c r="J12" s="227"/>
      <c r="K12"/>
      <c r="L12" s="13"/>
      <c r="M12" s="13"/>
      <c r="R12" s="152"/>
    </row>
    <row r="13" spans="2:18" ht="24.95" customHeight="1">
      <c r="B13" s="270">
        <v>7</v>
      </c>
      <c r="C13" s="273"/>
      <c r="D13" s="667" t="s">
        <v>3036</v>
      </c>
      <c r="E13" s="335" t="str">
        <f t="shared" si="0"/>
        <v>idth:4m</v>
      </c>
      <c r="F13" s="270"/>
      <c r="G13" s="270"/>
      <c r="H13" s="270"/>
      <c r="I13" s="270"/>
      <c r="J13" s="227"/>
      <c r="K13"/>
      <c r="L13" s="13"/>
      <c r="M13" s="13"/>
      <c r="R13" s="152"/>
    </row>
    <row r="14" spans="2:18" ht="24.95" customHeight="1">
      <c r="B14" s="270">
        <v>8</v>
      </c>
      <c r="C14" s="273"/>
      <c r="D14" s="667" t="s">
        <v>3037</v>
      </c>
      <c r="E14" s="335" t="str">
        <f t="shared" si="0"/>
        <v>idth:4m</v>
      </c>
      <c r="F14" s="270"/>
      <c r="G14" s="270"/>
      <c r="H14" s="270"/>
      <c r="I14" s="270"/>
      <c r="J14" s="227"/>
      <c r="K14"/>
      <c r="L14" s="13"/>
      <c r="M14" s="13"/>
      <c r="R14" s="152"/>
    </row>
    <row r="15" spans="2:18" ht="24.95" customHeight="1">
      <c r="B15" s="270">
        <v>9</v>
      </c>
      <c r="C15" s="273"/>
      <c r="D15" s="667" t="s">
        <v>3038</v>
      </c>
      <c r="E15" s="335" t="str">
        <f t="shared" si="0"/>
        <v>width:4m</v>
      </c>
      <c r="F15" s="270"/>
      <c r="G15" s="270"/>
      <c r="H15" s="270"/>
      <c r="I15" s="270"/>
      <c r="J15" s="227"/>
      <c r="K15"/>
      <c r="L15" s="13"/>
      <c r="M15" s="13"/>
      <c r="R15" s="152"/>
    </row>
    <row r="16" spans="2:18" ht="24.95" customHeight="1">
      <c r="B16" s="270">
        <v>10</v>
      </c>
      <c r="C16" s="273"/>
      <c r="D16" s="667" t="s">
        <v>3039</v>
      </c>
      <c r="E16" s="335" t="str">
        <f t="shared" si="0"/>
        <v>width:4m</v>
      </c>
      <c r="F16" s="270"/>
      <c r="G16" s="270"/>
      <c r="H16" s="270"/>
      <c r="I16" s="270"/>
      <c r="J16" s="227"/>
      <c r="K16"/>
      <c r="L16" s="13"/>
      <c r="M16" s="13"/>
      <c r="R16" s="152"/>
    </row>
    <row r="17" spans="2:18" ht="24.95" customHeight="1">
      <c r="B17" s="270">
        <v>11</v>
      </c>
      <c r="C17" s="273"/>
      <c r="D17" s="667" t="s">
        <v>3040</v>
      </c>
      <c r="E17" s="335" t="str">
        <f t="shared" si="0"/>
        <v>idth: 4m</v>
      </c>
      <c r="F17" s="270"/>
      <c r="G17" s="270"/>
      <c r="H17" s="270"/>
      <c r="I17" s="270"/>
      <c r="J17" s="227"/>
      <c r="K17"/>
      <c r="L17" s="13"/>
      <c r="M17" s="13"/>
      <c r="R17" s="152"/>
    </row>
    <row r="18" spans="2:18" ht="24.95" customHeight="1">
      <c r="B18" s="270">
        <v>12</v>
      </c>
      <c r="C18" s="273"/>
      <c r="D18" s="667" t="s">
        <v>3041</v>
      </c>
      <c r="E18" s="335" t="str">
        <f t="shared" si="0"/>
        <v>idth:4m</v>
      </c>
      <c r="F18" s="270"/>
      <c r="G18" s="270"/>
      <c r="H18" s="270"/>
      <c r="I18" s="270"/>
      <c r="J18" s="227"/>
      <c r="K18"/>
      <c r="L18" s="13"/>
      <c r="M18" s="13"/>
      <c r="R18" s="152"/>
    </row>
    <row r="19" spans="2:18" ht="24.95" customHeight="1">
      <c r="B19" s="270">
        <v>13</v>
      </c>
      <c r="C19" s="273"/>
      <c r="D19" s="667" t="s">
        <v>3042</v>
      </c>
      <c r="E19" s="335"/>
      <c r="F19" s="270"/>
      <c r="G19" s="270"/>
      <c r="H19" s="270"/>
      <c r="I19" s="270"/>
      <c r="J19" s="227"/>
      <c r="K19"/>
      <c r="L19" s="13"/>
      <c r="M19" s="13"/>
      <c r="R19" s="152"/>
    </row>
    <row r="20" spans="2:18" ht="24.95" customHeight="1">
      <c r="B20" s="270">
        <v>14</v>
      </c>
      <c r="C20" s="273"/>
      <c r="D20" s="667" t="s">
        <v>3043</v>
      </c>
      <c r="E20" s="335"/>
      <c r="F20" s="270"/>
      <c r="G20" s="270"/>
      <c r="H20" s="270"/>
      <c r="I20" s="270"/>
      <c r="J20" s="227"/>
      <c r="K20"/>
      <c r="L20" s="13"/>
      <c r="M20" s="13"/>
      <c r="R20" s="152"/>
    </row>
    <row r="21" spans="2:18" ht="24.95" customHeight="1">
      <c r="B21" s="270">
        <v>15</v>
      </c>
      <c r="C21" s="273"/>
      <c r="D21" s="667" t="s">
        <v>3044</v>
      </c>
      <c r="E21" s="335"/>
      <c r="F21" s="270"/>
      <c r="G21" s="270"/>
      <c r="H21" s="270"/>
      <c r="I21" s="270"/>
      <c r="J21" s="227"/>
      <c r="K21"/>
      <c r="L21" s="13"/>
      <c r="M21" s="13"/>
      <c r="R21" s="152"/>
    </row>
    <row r="22" spans="2:18" ht="24.95" customHeight="1">
      <c r="B22" s="270">
        <v>16</v>
      </c>
      <c r="C22" s="273"/>
      <c r="D22" s="667" t="s">
        <v>3045</v>
      </c>
      <c r="E22" s="335"/>
      <c r="F22" s="270"/>
      <c r="G22" s="270"/>
      <c r="H22" s="270"/>
      <c r="I22" s="270"/>
      <c r="J22" s="227"/>
      <c r="K22"/>
      <c r="L22" s="13"/>
      <c r="M22" s="13"/>
      <c r="R22" s="152"/>
    </row>
    <row r="23" spans="2:18" ht="24.95" customHeight="1">
      <c r="B23" s="270">
        <v>17</v>
      </c>
      <c r="C23" s="273"/>
      <c r="D23" s="667" t="s">
        <v>3046</v>
      </c>
      <c r="E23" s="335"/>
      <c r="F23" s="270"/>
      <c r="G23" s="270"/>
      <c r="H23" s="270"/>
      <c r="I23" s="270"/>
      <c r="J23" s="227"/>
      <c r="K23"/>
      <c r="L23" s="13"/>
      <c r="M23" s="13"/>
      <c r="R23" s="152"/>
    </row>
    <row r="24" spans="2:18" ht="24.95" customHeight="1">
      <c r="B24" s="270">
        <v>18</v>
      </c>
      <c r="C24" s="273"/>
      <c r="D24" s="667" t="s">
        <v>3047</v>
      </c>
      <c r="E24" s="335"/>
      <c r="F24" s="270"/>
      <c r="G24" s="270"/>
      <c r="H24" s="270"/>
      <c r="I24" s="270"/>
      <c r="J24" s="227"/>
      <c r="K24"/>
      <c r="L24" s="13"/>
      <c r="M24" s="13"/>
      <c r="R24" s="152"/>
    </row>
    <row r="25" spans="2:18" ht="24.95" customHeight="1">
      <c r="B25" s="270">
        <v>19</v>
      </c>
      <c r="C25" s="273"/>
      <c r="D25" s="667" t="s">
        <v>3048</v>
      </c>
      <c r="E25" s="335"/>
      <c r="F25" s="270"/>
      <c r="G25" s="270"/>
      <c r="H25" s="270"/>
      <c r="I25" s="270"/>
      <c r="J25" s="227"/>
      <c r="K25"/>
      <c r="L25" s="13"/>
      <c r="M25" s="13"/>
      <c r="R25" s="152"/>
    </row>
    <row r="26" spans="2:18" ht="24.95" customHeight="1">
      <c r="B26" s="270">
        <v>20</v>
      </c>
      <c r="C26" s="273"/>
      <c r="D26" s="667" t="s">
        <v>3049</v>
      </c>
      <c r="E26" s="335"/>
      <c r="F26" s="270"/>
      <c r="G26" s="270"/>
      <c r="H26" s="270"/>
      <c r="I26" s="270"/>
      <c r="J26" s="227"/>
      <c r="K26"/>
      <c r="L26" s="13"/>
      <c r="M26" s="13"/>
      <c r="R26" s="152"/>
    </row>
    <row r="27" spans="2:18" ht="24.95" customHeight="1">
      <c r="B27" s="270">
        <v>21</v>
      </c>
      <c r="C27" s="273"/>
      <c r="D27" s="667" t="s">
        <v>3050</v>
      </c>
      <c r="E27" s="335"/>
      <c r="F27" s="270"/>
      <c r="G27" s="270"/>
      <c r="H27" s="270"/>
      <c r="I27" s="270"/>
      <c r="J27" s="227"/>
      <c r="K27"/>
      <c r="L27" s="13"/>
      <c r="M27" s="13"/>
      <c r="R27" s="152"/>
    </row>
    <row r="28" spans="2:18" ht="24.95" customHeight="1">
      <c r="B28" s="270">
        <v>22</v>
      </c>
      <c r="C28" s="273"/>
      <c r="D28" s="667" t="s">
        <v>3051</v>
      </c>
      <c r="E28" s="335"/>
      <c r="F28" s="270"/>
      <c r="G28" s="270"/>
      <c r="H28" s="270"/>
      <c r="I28" s="270"/>
      <c r="J28" s="227"/>
      <c r="K28"/>
      <c r="L28" s="13"/>
      <c r="M28" s="13"/>
      <c r="R28" s="152"/>
    </row>
    <row r="29" spans="2:18" ht="24.95" customHeight="1">
      <c r="B29" s="270">
        <v>23</v>
      </c>
      <c r="C29" s="273"/>
      <c r="D29" s="667" t="s">
        <v>3052</v>
      </c>
      <c r="E29" s="335"/>
      <c r="F29" s="270"/>
      <c r="G29" s="270"/>
      <c r="H29" s="270"/>
      <c r="I29" s="270"/>
      <c r="J29" s="227"/>
      <c r="K29"/>
      <c r="L29" s="13"/>
      <c r="M29" s="13"/>
      <c r="R29" s="152"/>
    </row>
    <row r="30" spans="2:18" ht="24.95" customHeight="1">
      <c r="B30" s="270">
        <v>24</v>
      </c>
      <c r="C30" s="273"/>
      <c r="D30" s="667" t="s">
        <v>3053</v>
      </c>
      <c r="E30" s="335"/>
      <c r="F30" s="270"/>
      <c r="G30" s="270"/>
      <c r="H30" s="270"/>
      <c r="I30" s="270"/>
      <c r="J30" s="227"/>
      <c r="K30"/>
      <c r="L30" s="13"/>
      <c r="M30" s="13"/>
      <c r="R30" s="152"/>
    </row>
    <row r="31" spans="2:18" ht="24.95" customHeight="1">
      <c r="B31" s="270">
        <v>25</v>
      </c>
      <c r="C31" s="273"/>
      <c r="D31" s="667" t="s">
        <v>3054</v>
      </c>
      <c r="E31" s="335"/>
      <c r="F31" s="270"/>
      <c r="G31" s="270"/>
      <c r="H31" s="270"/>
      <c r="I31" s="270"/>
      <c r="J31" s="227"/>
      <c r="K31"/>
      <c r="L31" s="13"/>
      <c r="M31" s="13"/>
      <c r="R31" s="152"/>
    </row>
    <row r="32" spans="2:18" ht="24.95" customHeight="1">
      <c r="B32" s="270">
        <v>26</v>
      </c>
      <c r="C32" s="273"/>
      <c r="D32" s="667" t="s">
        <v>3055</v>
      </c>
      <c r="E32" s="335"/>
      <c r="F32" s="270"/>
      <c r="G32" s="270"/>
      <c r="H32" s="270"/>
      <c r="I32" s="270"/>
      <c r="J32" s="227"/>
      <c r="K32"/>
      <c r="L32" s="13"/>
      <c r="M32" s="13"/>
      <c r="R32" s="152"/>
    </row>
    <row r="33" spans="2:18" ht="24.95" customHeight="1">
      <c r="B33" s="270">
        <v>27</v>
      </c>
      <c r="C33" s="273"/>
      <c r="D33" s="667" t="s">
        <v>3056</v>
      </c>
      <c r="E33" s="335"/>
      <c r="F33" s="270"/>
      <c r="G33" s="270"/>
      <c r="H33" s="270"/>
      <c r="I33" s="270"/>
      <c r="J33" s="227"/>
      <c r="K33"/>
      <c r="L33" s="13"/>
      <c r="M33" s="13"/>
      <c r="R33" s="152"/>
    </row>
    <row r="34" spans="2:18" ht="24.95" customHeight="1">
      <c r="B34" s="270">
        <v>28</v>
      </c>
      <c r="C34" s="273"/>
      <c r="D34" s="667" t="s">
        <v>3057</v>
      </c>
      <c r="E34" s="335"/>
      <c r="F34" s="270"/>
      <c r="G34" s="270"/>
      <c r="H34" s="270"/>
      <c r="I34" s="270"/>
      <c r="J34" s="227"/>
      <c r="K34"/>
      <c r="L34" s="13"/>
      <c r="M34" s="13"/>
      <c r="R34" s="152"/>
    </row>
    <row r="35" spans="2:18" ht="24.95" customHeight="1">
      <c r="B35" s="270">
        <v>29</v>
      </c>
      <c r="C35" s="273"/>
      <c r="D35" s="667" t="s">
        <v>3058</v>
      </c>
      <c r="E35" s="335"/>
      <c r="F35" s="270"/>
      <c r="G35" s="270"/>
      <c r="H35" s="270"/>
      <c r="I35" s="270"/>
      <c r="J35" s="227"/>
      <c r="K35"/>
      <c r="L35" s="13"/>
      <c r="M35" s="13"/>
      <c r="R35" s="152"/>
    </row>
    <row r="36" spans="2:18" ht="24.95" customHeight="1">
      <c r="B36" s="270">
        <v>30</v>
      </c>
      <c r="C36" s="273"/>
      <c r="D36" s="667" t="s">
        <v>3059</v>
      </c>
      <c r="E36" s="335"/>
      <c r="F36" s="270"/>
      <c r="G36" s="270"/>
      <c r="H36" s="270"/>
      <c r="I36" s="270"/>
      <c r="J36" s="227"/>
      <c r="K36"/>
      <c r="L36" s="13"/>
      <c r="M36" s="13"/>
      <c r="R36" s="152"/>
    </row>
    <row r="37" spans="2:18" ht="24.95" customHeight="1">
      <c r="B37" s="270">
        <v>31</v>
      </c>
      <c r="C37" s="273"/>
      <c r="D37" s="667" t="s">
        <v>3060</v>
      </c>
      <c r="E37" s="335"/>
      <c r="F37" s="270"/>
      <c r="G37" s="270"/>
      <c r="H37" s="270"/>
      <c r="I37" s="270"/>
      <c r="J37" s="227"/>
      <c r="K37"/>
      <c r="L37" s="13"/>
      <c r="M37" s="13"/>
      <c r="R37" s="152"/>
    </row>
    <row r="38" spans="2:18" ht="24.95" customHeight="1">
      <c r="B38" s="270">
        <v>32</v>
      </c>
      <c r="C38" s="273"/>
      <c r="D38" s="667" t="s">
        <v>3061</v>
      </c>
      <c r="E38" s="335"/>
      <c r="F38" s="270"/>
      <c r="G38" s="270"/>
      <c r="H38" s="270"/>
      <c r="I38" s="270"/>
      <c r="J38" s="227"/>
      <c r="K38"/>
      <c r="L38" s="13"/>
      <c r="M38" s="13"/>
      <c r="R38" s="152"/>
    </row>
    <row r="39" spans="2:18" ht="24.95" customHeight="1">
      <c r="B39" s="270">
        <v>33</v>
      </c>
      <c r="C39" s="273"/>
      <c r="D39" s="667" t="s">
        <v>3062</v>
      </c>
      <c r="E39" s="335"/>
      <c r="F39" s="270"/>
      <c r="G39" s="270"/>
      <c r="H39" s="270"/>
      <c r="I39" s="270"/>
      <c r="J39" s="227"/>
      <c r="K39"/>
      <c r="L39" s="13"/>
      <c r="M39" s="13"/>
      <c r="R39" s="152"/>
    </row>
    <row r="40" spans="2:18" ht="24.95" customHeight="1">
      <c r="B40" s="270">
        <v>34</v>
      </c>
      <c r="C40" s="273"/>
      <c r="D40" s="667" t="s">
        <v>3063</v>
      </c>
      <c r="E40" s="335"/>
      <c r="F40" s="270"/>
      <c r="G40" s="270"/>
      <c r="H40" s="270"/>
      <c r="I40" s="270"/>
      <c r="J40" s="227"/>
      <c r="K40"/>
      <c r="L40" s="13"/>
      <c r="M40" s="13"/>
      <c r="R40" s="152"/>
    </row>
    <row r="41" spans="2:18" ht="24.95" customHeight="1">
      <c r="B41" s="270">
        <v>35</v>
      </c>
      <c r="C41" s="273"/>
      <c r="D41" s="667" t="s">
        <v>3064</v>
      </c>
      <c r="E41" s="335"/>
      <c r="F41" s="270"/>
      <c r="G41" s="270"/>
      <c r="H41" s="270"/>
      <c r="I41" s="270"/>
      <c r="J41" s="227"/>
      <c r="K41"/>
      <c r="L41" s="13"/>
      <c r="M41" s="13"/>
      <c r="R41" s="152"/>
    </row>
    <row r="42" spans="2:18" ht="24.95" customHeight="1">
      <c r="B42" s="270">
        <v>36</v>
      </c>
      <c r="C42" s="273"/>
      <c r="D42" s="667" t="s">
        <v>3065</v>
      </c>
      <c r="E42" s="335"/>
      <c r="F42" s="270"/>
      <c r="G42" s="270"/>
      <c r="H42" s="270"/>
      <c r="I42" s="270"/>
      <c r="J42" s="227"/>
      <c r="K42"/>
      <c r="L42" s="13"/>
      <c r="M42" s="13"/>
      <c r="R42" s="152"/>
    </row>
    <row r="43" spans="2:18" ht="24.95" customHeight="1">
      <c r="B43" s="270">
        <v>37</v>
      </c>
      <c r="C43" s="273"/>
      <c r="D43" s="667" t="s">
        <v>3066</v>
      </c>
      <c r="E43" s="335"/>
      <c r="F43" s="270"/>
      <c r="G43" s="270"/>
      <c r="H43" s="270"/>
      <c r="I43" s="270"/>
      <c r="J43" s="227"/>
      <c r="K43"/>
      <c r="L43" s="13"/>
      <c r="M43" s="13"/>
      <c r="R43" s="152"/>
    </row>
    <row r="44" spans="2:18" ht="24.95" customHeight="1">
      <c r="B44" s="270">
        <v>38</v>
      </c>
      <c r="C44" s="273"/>
      <c r="D44" s="667" t="s">
        <v>3067</v>
      </c>
      <c r="E44" s="335"/>
      <c r="F44" s="270"/>
      <c r="G44" s="270"/>
      <c r="H44" s="270"/>
      <c r="I44" s="270"/>
      <c r="J44" s="227"/>
      <c r="K44"/>
      <c r="L44" s="13"/>
      <c r="M44" s="13"/>
      <c r="R44" s="152"/>
    </row>
    <row r="45" spans="2:18" ht="24.95" customHeight="1">
      <c r="B45" s="270">
        <v>39</v>
      </c>
      <c r="C45" s="273"/>
      <c r="D45" s="667" t="s">
        <v>3068</v>
      </c>
      <c r="E45" s="335"/>
      <c r="F45" s="270"/>
      <c r="G45" s="270"/>
      <c r="H45" s="270"/>
      <c r="I45" s="270"/>
      <c r="J45" s="227"/>
      <c r="K45"/>
      <c r="L45" s="13"/>
      <c r="M45" s="13"/>
      <c r="R45" s="152"/>
    </row>
    <row r="46" spans="2:18" ht="24.95" customHeight="1">
      <c r="B46" s="270">
        <v>40</v>
      </c>
      <c r="C46" s="273"/>
      <c r="D46" s="667" t="s">
        <v>3069</v>
      </c>
      <c r="E46" s="335"/>
      <c r="F46" s="270"/>
      <c r="G46" s="270"/>
      <c r="H46" s="270"/>
      <c r="I46" s="270"/>
      <c r="J46" s="227"/>
      <c r="K46"/>
      <c r="L46" s="13"/>
      <c r="M46" s="13"/>
      <c r="R46" s="152"/>
    </row>
    <row r="47" spans="2:18" ht="24.95" customHeight="1">
      <c r="B47" s="270">
        <v>41</v>
      </c>
      <c r="C47" s="273"/>
      <c r="D47" s="667" t="s">
        <v>3070</v>
      </c>
      <c r="E47" s="335"/>
      <c r="F47" s="270"/>
      <c r="G47" s="270"/>
      <c r="H47" s="270"/>
      <c r="I47" s="270"/>
      <c r="J47" s="227"/>
      <c r="K47"/>
      <c r="L47" s="13"/>
      <c r="M47" s="13"/>
      <c r="R47" s="152"/>
    </row>
    <row r="48" spans="2:18" ht="24.95" customHeight="1">
      <c r="B48" s="270">
        <v>42</v>
      </c>
      <c r="C48" s="273"/>
      <c r="D48" s="667" t="s">
        <v>3071</v>
      </c>
      <c r="E48" s="335"/>
      <c r="F48" s="270"/>
      <c r="G48" s="270"/>
      <c r="H48" s="270"/>
      <c r="I48" s="270"/>
      <c r="J48" s="227"/>
      <c r="K48"/>
      <c r="L48" s="13"/>
      <c r="M48" s="13"/>
      <c r="R48" s="152"/>
    </row>
    <row r="49" spans="2:18" ht="24.95" customHeight="1">
      <c r="B49" s="270">
        <v>43</v>
      </c>
      <c r="C49" s="273"/>
      <c r="D49" s="667" t="s">
        <v>3072</v>
      </c>
      <c r="E49" s="335"/>
      <c r="F49" s="270"/>
      <c r="G49" s="270"/>
      <c r="H49" s="270"/>
      <c r="I49" s="270"/>
      <c r="J49" s="227"/>
      <c r="K49"/>
      <c r="L49" s="13"/>
      <c r="M49" s="13"/>
      <c r="R49" s="152"/>
    </row>
    <row r="50" spans="2:18" ht="24.95" customHeight="1">
      <c r="B50" s="270">
        <v>44</v>
      </c>
      <c r="C50" s="273"/>
      <c r="D50" s="667" t="s">
        <v>3073</v>
      </c>
      <c r="E50" s="335"/>
      <c r="F50" s="270"/>
      <c r="G50" s="270"/>
      <c r="H50" s="270"/>
      <c r="I50" s="270"/>
      <c r="J50" s="227"/>
      <c r="K50"/>
      <c r="L50" s="13"/>
      <c r="M50" s="13"/>
      <c r="R50" s="152"/>
    </row>
    <row r="51" spans="2:18" ht="24.95" customHeight="1">
      <c r="B51" s="270">
        <v>45</v>
      </c>
      <c r="C51" s="273"/>
      <c r="D51" s="667" t="s">
        <v>3074</v>
      </c>
      <c r="E51" s="335"/>
      <c r="F51" s="270"/>
      <c r="G51" s="270"/>
      <c r="H51" s="270"/>
      <c r="I51" s="270"/>
      <c r="J51" s="227"/>
      <c r="K51"/>
      <c r="L51" s="13"/>
      <c r="M51" s="13"/>
      <c r="R51" s="152"/>
    </row>
    <row r="52" spans="2:18" ht="24.95" customHeight="1">
      <c r="B52" s="270">
        <v>46</v>
      </c>
      <c r="C52" s="273"/>
      <c r="D52" s="667" t="s">
        <v>3075</v>
      </c>
      <c r="E52" s="335"/>
      <c r="F52" s="270"/>
      <c r="G52" s="270"/>
      <c r="H52" s="270"/>
      <c r="I52" s="270"/>
      <c r="J52" s="227"/>
      <c r="K52"/>
      <c r="L52" s="13"/>
      <c r="M52" s="13"/>
      <c r="R52" s="152"/>
    </row>
    <row r="53" spans="2:18" ht="24.95" customHeight="1">
      <c r="B53" s="270">
        <v>47</v>
      </c>
      <c r="C53" s="273"/>
      <c r="D53" s="667" t="s">
        <v>3076</v>
      </c>
      <c r="E53" s="335"/>
      <c r="F53" s="270"/>
      <c r="G53" s="270"/>
      <c r="H53" s="270"/>
      <c r="I53" s="270"/>
      <c r="J53" s="227"/>
      <c r="K53"/>
      <c r="L53" s="13"/>
      <c r="M53" s="13"/>
      <c r="R53" s="152"/>
    </row>
    <row r="54" spans="2:18" ht="24.95" customHeight="1">
      <c r="B54" s="270">
        <v>48</v>
      </c>
      <c r="C54" s="273"/>
      <c r="D54" s="667" t="s">
        <v>3077</v>
      </c>
      <c r="E54" s="335"/>
      <c r="F54" s="270"/>
      <c r="G54" s="270"/>
      <c r="H54" s="270"/>
      <c r="I54" s="270"/>
      <c r="J54" s="227"/>
      <c r="K54"/>
      <c r="L54" s="13"/>
      <c r="M54" s="13"/>
      <c r="R54" s="152"/>
    </row>
    <row r="55" spans="2:18" ht="24.95" customHeight="1">
      <c r="B55" s="270">
        <v>49</v>
      </c>
      <c r="C55" s="273"/>
      <c r="D55" s="667" t="s">
        <v>3078</v>
      </c>
      <c r="E55" s="335"/>
      <c r="F55" s="270"/>
      <c r="G55" s="270"/>
      <c r="H55" s="270"/>
      <c r="I55" s="270"/>
      <c r="J55" s="227"/>
      <c r="K55"/>
      <c r="L55" s="13"/>
      <c r="M55" s="13"/>
      <c r="R55" s="152"/>
    </row>
    <row r="56" spans="2:18" ht="24.95" customHeight="1">
      <c r="B56" s="270">
        <v>50</v>
      </c>
      <c r="C56" s="273"/>
      <c r="D56" s="667" t="s">
        <v>3079</v>
      </c>
      <c r="E56" s="335"/>
      <c r="F56" s="270"/>
      <c r="G56" s="270"/>
      <c r="H56" s="270"/>
      <c r="I56" s="270"/>
      <c r="J56" s="227"/>
      <c r="K56"/>
      <c r="L56" s="13"/>
      <c r="M56" s="13"/>
      <c r="R56" s="152"/>
    </row>
    <row r="57" spans="2:18" ht="24.95" customHeight="1">
      <c r="B57" s="270">
        <v>51</v>
      </c>
      <c r="C57" s="273"/>
      <c r="D57" s="667" t="s">
        <v>3080</v>
      </c>
      <c r="E57" s="335"/>
      <c r="F57" s="270"/>
      <c r="G57" s="270"/>
      <c r="H57" s="270"/>
      <c r="I57" s="270"/>
      <c r="J57" s="227"/>
      <c r="K57"/>
      <c r="L57" s="13"/>
      <c r="M57" s="13"/>
      <c r="R57" s="152"/>
    </row>
    <row r="58" spans="2:18" ht="24.95" customHeight="1">
      <c r="B58" s="270">
        <v>52</v>
      </c>
      <c r="C58" s="273"/>
      <c r="D58" s="667" t="s">
        <v>3081</v>
      </c>
      <c r="E58" s="335"/>
      <c r="F58" s="270"/>
      <c r="G58" s="270"/>
      <c r="H58" s="270"/>
      <c r="I58" s="270"/>
      <c r="J58" s="227"/>
      <c r="K58"/>
      <c r="L58" s="13"/>
      <c r="M58" s="13"/>
      <c r="R58" s="152"/>
    </row>
    <row r="59" spans="2:18" ht="24.95" customHeight="1">
      <c r="B59" s="270">
        <v>53</v>
      </c>
      <c r="C59" s="273"/>
      <c r="D59" s="667" t="s">
        <v>3082</v>
      </c>
      <c r="E59" s="335"/>
      <c r="F59" s="270"/>
      <c r="G59" s="270"/>
      <c r="H59" s="270"/>
      <c r="I59" s="270"/>
      <c r="J59" s="227"/>
      <c r="K59"/>
      <c r="L59" s="13"/>
      <c r="M59" s="13"/>
      <c r="R59" s="152"/>
    </row>
    <row r="60" spans="2:18" ht="24.95" customHeight="1">
      <c r="B60" s="270">
        <v>54</v>
      </c>
      <c r="C60" s="273"/>
      <c r="D60" s="667" t="s">
        <v>3083</v>
      </c>
      <c r="E60" s="335"/>
      <c r="F60" s="270"/>
      <c r="G60" s="270"/>
      <c r="H60" s="270"/>
      <c r="I60" s="270"/>
      <c r="J60" s="227"/>
      <c r="K60"/>
      <c r="L60" s="13"/>
      <c r="M60" s="13"/>
      <c r="R60" s="152"/>
    </row>
    <row r="61" spans="2:18" ht="24.95" customHeight="1">
      <c r="B61" s="270">
        <v>55</v>
      </c>
      <c r="C61" s="273"/>
      <c r="D61" s="667" t="s">
        <v>3084</v>
      </c>
      <c r="E61" s="335"/>
      <c r="F61" s="270"/>
      <c r="G61" s="270"/>
      <c r="H61" s="270"/>
      <c r="I61" s="270"/>
      <c r="J61" s="227"/>
      <c r="K61"/>
      <c r="L61" s="13"/>
      <c r="M61" s="13"/>
      <c r="R61" s="152"/>
    </row>
    <row r="62" spans="2:18" ht="24.95" customHeight="1">
      <c r="B62" s="270">
        <v>56</v>
      </c>
      <c r="C62" s="273"/>
      <c r="D62" s="667" t="s">
        <v>3085</v>
      </c>
      <c r="E62" s="335"/>
      <c r="F62" s="270"/>
      <c r="G62" s="270"/>
      <c r="H62" s="270"/>
      <c r="I62" s="270"/>
      <c r="J62" s="227"/>
      <c r="K62"/>
      <c r="L62" s="13"/>
      <c r="M62" s="13"/>
      <c r="R62" s="152"/>
    </row>
    <row r="63" spans="2:18" ht="24.95" customHeight="1">
      <c r="B63" s="270">
        <v>57</v>
      </c>
      <c r="C63" s="273"/>
      <c r="D63" s="667" t="s">
        <v>3086</v>
      </c>
      <c r="E63" s="335"/>
      <c r="F63" s="270"/>
      <c r="G63" s="270"/>
      <c r="H63" s="270"/>
      <c r="I63" s="270"/>
      <c r="J63" s="227"/>
      <c r="K63"/>
      <c r="L63" s="13"/>
      <c r="M63" s="13"/>
      <c r="R63" s="152"/>
    </row>
    <row r="64" spans="2:18" ht="24.95" customHeight="1">
      <c r="B64" s="270">
        <v>58</v>
      </c>
      <c r="C64" s="273"/>
      <c r="D64" s="667" t="s">
        <v>3087</v>
      </c>
      <c r="E64" s="335"/>
      <c r="F64" s="270"/>
      <c r="G64" s="270"/>
      <c r="H64" s="270"/>
      <c r="I64" s="270"/>
      <c r="J64" s="227"/>
      <c r="K64"/>
      <c r="L64" s="13"/>
      <c r="M64" s="13"/>
      <c r="R64" s="152"/>
    </row>
    <row r="65" spans="2:18" ht="24.95" customHeight="1">
      <c r="B65" s="270">
        <v>59</v>
      </c>
      <c r="C65" s="273"/>
      <c r="D65" s="667" t="s">
        <v>3088</v>
      </c>
      <c r="E65" s="335"/>
      <c r="F65" s="270"/>
      <c r="G65" s="270"/>
      <c r="H65" s="270"/>
      <c r="I65" s="270"/>
      <c r="J65" s="227"/>
      <c r="K65"/>
      <c r="L65" s="13"/>
      <c r="M65" s="13"/>
      <c r="R65" s="152"/>
    </row>
    <row r="66" spans="2:18" ht="24.95" customHeight="1">
      <c r="B66" s="270">
        <v>60</v>
      </c>
      <c r="C66" s="273"/>
      <c r="D66" s="667" t="s">
        <v>3089</v>
      </c>
      <c r="E66" s="335"/>
      <c r="F66" s="270"/>
      <c r="G66" s="270"/>
      <c r="H66" s="270"/>
      <c r="I66" s="270"/>
      <c r="J66" s="227"/>
      <c r="K66"/>
      <c r="L66" s="13"/>
      <c r="M66" s="13"/>
      <c r="R66" s="152"/>
    </row>
    <row r="67" spans="2:18" ht="24.95" customHeight="1">
      <c r="B67" s="270">
        <v>61</v>
      </c>
      <c r="C67" s="273"/>
      <c r="D67" s="667" t="s">
        <v>3090</v>
      </c>
      <c r="E67" s="335"/>
      <c r="F67" s="270"/>
      <c r="G67" s="270"/>
      <c r="H67" s="270"/>
      <c r="I67" s="270"/>
      <c r="J67" s="227"/>
      <c r="K67"/>
      <c r="L67" s="13"/>
      <c r="M67" s="13"/>
      <c r="R67" s="152"/>
    </row>
    <row r="68" spans="2:18" ht="24.95" customHeight="1">
      <c r="B68" s="270">
        <v>62</v>
      </c>
      <c r="C68" s="273"/>
      <c r="D68" s="667" t="s">
        <v>3091</v>
      </c>
      <c r="E68" s="335"/>
      <c r="F68" s="270"/>
      <c r="G68" s="270"/>
      <c r="H68" s="270"/>
      <c r="I68" s="270"/>
      <c r="J68" s="227"/>
      <c r="K68"/>
      <c r="L68" s="13"/>
      <c r="M68" s="13"/>
      <c r="R68" s="152"/>
    </row>
    <row r="69" spans="2:18" ht="24.95" customHeight="1">
      <c r="B69" s="270">
        <v>63</v>
      </c>
      <c r="C69" s="273"/>
      <c r="D69" s="667" t="s">
        <v>3092</v>
      </c>
      <c r="E69" s="335"/>
      <c r="F69" s="270"/>
      <c r="G69" s="270"/>
      <c r="H69" s="270"/>
      <c r="I69" s="270"/>
      <c r="J69" s="227"/>
      <c r="K69"/>
      <c r="L69" s="13"/>
      <c r="M69" s="13"/>
      <c r="R69" s="152"/>
    </row>
    <row r="70" spans="2:18" ht="24.95" customHeight="1">
      <c r="B70" s="270">
        <v>64</v>
      </c>
      <c r="C70" s="273"/>
      <c r="D70" s="667" t="s">
        <v>3093</v>
      </c>
      <c r="E70" s="335"/>
      <c r="F70" s="270"/>
      <c r="G70" s="270"/>
      <c r="H70" s="270"/>
      <c r="I70" s="270"/>
      <c r="J70" s="227"/>
      <c r="K70"/>
      <c r="L70" s="13"/>
      <c r="M70" s="13"/>
      <c r="R70" s="152"/>
    </row>
    <row r="71" spans="2:18" ht="24.95" customHeight="1">
      <c r="B71" s="270">
        <v>65</v>
      </c>
      <c r="C71" s="273"/>
      <c r="D71" s="667" t="s">
        <v>3094</v>
      </c>
      <c r="E71" s="335"/>
      <c r="F71" s="270"/>
      <c r="G71" s="270"/>
      <c r="H71" s="270"/>
      <c r="I71" s="270"/>
      <c r="J71" s="227"/>
      <c r="K71"/>
      <c r="L71" s="13"/>
      <c r="M71" s="13"/>
      <c r="R71" s="152"/>
    </row>
    <row r="72" spans="2:18" ht="24.95" customHeight="1">
      <c r="B72" s="270">
        <v>66</v>
      </c>
      <c r="C72" s="273"/>
      <c r="D72" s="667" t="s">
        <v>3095</v>
      </c>
      <c r="E72" s="335"/>
      <c r="F72" s="270"/>
      <c r="G72" s="270"/>
      <c r="H72" s="270"/>
      <c r="I72" s="270"/>
      <c r="J72" s="227"/>
      <c r="K72"/>
      <c r="L72" s="13"/>
      <c r="M72" s="13"/>
      <c r="R72" s="152"/>
    </row>
    <row r="73" spans="2:18" ht="24.95" customHeight="1">
      <c r="B73" s="270">
        <v>67</v>
      </c>
      <c r="C73" s="273"/>
      <c r="D73" s="667" t="s">
        <v>3096</v>
      </c>
      <c r="E73" s="335"/>
      <c r="F73" s="270"/>
      <c r="G73" s="270"/>
      <c r="H73" s="270"/>
      <c r="I73" s="270"/>
      <c r="J73" s="227"/>
      <c r="K73"/>
      <c r="L73" s="13"/>
      <c r="M73" s="13"/>
      <c r="R73" s="152"/>
    </row>
    <row r="74" spans="2:18" ht="24.95" customHeight="1">
      <c r="B74" s="270">
        <v>68</v>
      </c>
      <c r="C74" s="273"/>
      <c r="D74" s="667" t="s">
        <v>3097</v>
      </c>
      <c r="E74" s="335"/>
      <c r="F74" s="270"/>
      <c r="G74" s="270"/>
      <c r="H74" s="270"/>
      <c r="I74" s="270"/>
      <c r="J74" s="227"/>
      <c r="K74"/>
      <c r="L74" s="13"/>
      <c r="M74" s="13"/>
      <c r="R74" s="152"/>
    </row>
    <row r="75" spans="2:18" ht="24.95" customHeight="1">
      <c r="B75" s="270">
        <v>69</v>
      </c>
      <c r="C75" s="273"/>
      <c r="D75" s="667" t="s">
        <v>3098</v>
      </c>
      <c r="E75" s="335"/>
      <c r="F75" s="270"/>
      <c r="G75" s="270"/>
      <c r="H75" s="270"/>
      <c r="I75" s="270"/>
      <c r="J75" s="227"/>
      <c r="K75"/>
      <c r="L75" s="13"/>
      <c r="M75" s="13"/>
      <c r="R75" s="152"/>
    </row>
    <row r="76" spans="2:18" ht="24.95" customHeight="1">
      <c r="B76" s="270">
        <v>70</v>
      </c>
      <c r="C76" s="273"/>
      <c r="D76" s="667" t="s">
        <v>3099</v>
      </c>
      <c r="E76" s="335"/>
      <c r="F76" s="270"/>
      <c r="G76" s="270"/>
      <c r="H76" s="270"/>
      <c r="I76" s="270"/>
      <c r="J76" s="227"/>
      <c r="K76"/>
      <c r="L76" s="13"/>
      <c r="M76" s="13"/>
      <c r="R76" s="152"/>
    </row>
    <row r="77" spans="2:18" ht="24.95" customHeight="1">
      <c r="B77" s="270">
        <v>71</v>
      </c>
      <c r="C77" s="273"/>
      <c r="D77" s="667" t="s">
        <v>3100</v>
      </c>
      <c r="E77" s="335"/>
      <c r="F77" s="270"/>
      <c r="G77" s="270"/>
      <c r="H77" s="270"/>
      <c r="I77" s="270"/>
      <c r="J77" s="227"/>
      <c r="K77"/>
      <c r="L77" s="13"/>
      <c r="M77" s="13"/>
      <c r="R77" s="152"/>
    </row>
    <row r="78" spans="2:18" ht="24.95" customHeight="1">
      <c r="B78" s="270">
        <v>72</v>
      </c>
      <c r="C78" s="273"/>
      <c r="D78" s="667" t="s">
        <v>3101</v>
      </c>
      <c r="E78" s="335"/>
      <c r="F78" s="270"/>
      <c r="G78" s="270"/>
      <c r="H78" s="270"/>
      <c r="I78" s="270"/>
      <c r="J78" s="227"/>
      <c r="K78"/>
      <c r="L78" s="13"/>
      <c r="M78" s="13"/>
      <c r="R78" s="152"/>
    </row>
    <row r="79" spans="2:18" ht="24.95" customHeight="1">
      <c r="B79" s="270">
        <v>73</v>
      </c>
      <c r="C79" s="273"/>
      <c r="D79" s="667" t="s">
        <v>3102</v>
      </c>
      <c r="E79" s="335"/>
      <c r="F79" s="270"/>
      <c r="G79" s="270"/>
      <c r="H79" s="270"/>
      <c r="I79" s="270"/>
      <c r="J79" s="227"/>
      <c r="K79"/>
      <c r="L79" s="13"/>
      <c r="M79" s="13"/>
      <c r="R79" s="152"/>
    </row>
    <row r="80" spans="2:18" ht="24.95" customHeight="1">
      <c r="B80" s="270">
        <v>74</v>
      </c>
      <c r="C80" s="273"/>
      <c r="D80" s="667" t="s">
        <v>3103</v>
      </c>
      <c r="E80" s="335"/>
      <c r="F80" s="270"/>
      <c r="G80" s="270"/>
      <c r="H80" s="270"/>
      <c r="I80" s="270"/>
      <c r="J80" s="227"/>
      <c r="K80"/>
      <c r="L80" s="13"/>
      <c r="M80" s="13"/>
      <c r="R80" s="152"/>
    </row>
    <row r="81" spans="2:18" ht="24.95" customHeight="1">
      <c r="B81" s="270">
        <v>75</v>
      </c>
      <c r="C81" s="273"/>
      <c r="D81" s="667" t="s">
        <v>3104</v>
      </c>
      <c r="E81" s="335"/>
      <c r="F81" s="270"/>
      <c r="G81" s="270"/>
      <c r="H81" s="270"/>
      <c r="I81" s="270"/>
      <c r="J81" s="227"/>
      <c r="K81"/>
      <c r="L81" s="13"/>
      <c r="M81" s="13"/>
      <c r="R81" s="152"/>
    </row>
    <row r="82" spans="2:18" ht="24.95" customHeight="1">
      <c r="B82" s="270">
        <v>76</v>
      </c>
      <c r="C82" s="273"/>
      <c r="D82" s="667" t="s">
        <v>3105</v>
      </c>
      <c r="E82" s="335"/>
      <c r="F82" s="270"/>
      <c r="G82" s="270"/>
      <c r="H82" s="270"/>
      <c r="I82" s="270"/>
      <c r="J82" s="227"/>
      <c r="K82"/>
      <c r="L82" s="13"/>
      <c r="M82" s="13"/>
      <c r="R82" s="152"/>
    </row>
    <row r="83" spans="2:18" ht="24.95" customHeight="1">
      <c r="B83" s="270">
        <v>77</v>
      </c>
      <c r="C83" s="273"/>
      <c r="D83" s="667" t="s">
        <v>3106</v>
      </c>
      <c r="E83" s="335"/>
      <c r="F83" s="270"/>
      <c r="G83" s="270"/>
      <c r="H83" s="270"/>
      <c r="I83" s="270"/>
      <c r="J83" s="227"/>
      <c r="K83"/>
      <c r="L83" s="13"/>
      <c r="M83" s="13"/>
      <c r="R83" s="152"/>
    </row>
    <row r="84" spans="2:18" ht="24.95" customHeight="1">
      <c r="B84" s="270">
        <v>78</v>
      </c>
      <c r="C84" s="273"/>
      <c r="D84" s="667" t="s">
        <v>3107</v>
      </c>
      <c r="E84" s="335"/>
      <c r="F84" s="270"/>
      <c r="G84" s="270"/>
      <c r="H84" s="270"/>
      <c r="I84" s="270"/>
      <c r="J84" s="227"/>
      <c r="K84"/>
      <c r="L84" s="13"/>
      <c r="M84" s="13"/>
      <c r="R84" s="152"/>
    </row>
    <row r="85" spans="2:18" ht="24.95" customHeight="1">
      <c r="B85" s="270">
        <v>79</v>
      </c>
      <c r="C85" s="273"/>
      <c r="D85" s="667" t="s">
        <v>3108</v>
      </c>
      <c r="E85" s="335"/>
      <c r="F85" s="270"/>
      <c r="G85" s="270"/>
      <c r="H85" s="270"/>
      <c r="I85" s="270"/>
      <c r="J85" s="227"/>
      <c r="K85"/>
      <c r="L85" s="13"/>
      <c r="M85" s="13"/>
      <c r="R85" s="152"/>
    </row>
    <row r="86" spans="2:18" ht="24.95" customHeight="1">
      <c r="B86" s="270">
        <v>80</v>
      </c>
      <c r="C86" s="273"/>
      <c r="D86" s="667" t="s">
        <v>3109</v>
      </c>
      <c r="E86" s="335"/>
      <c r="F86" s="270"/>
      <c r="G86" s="270"/>
      <c r="H86" s="270"/>
      <c r="I86" s="270"/>
      <c r="J86" s="227"/>
      <c r="K86"/>
      <c r="L86" s="13"/>
      <c r="M86" s="13"/>
      <c r="R86" s="152"/>
    </row>
    <row r="87" spans="2:18" ht="24.95" customHeight="1">
      <c r="B87" s="270">
        <v>81</v>
      </c>
      <c r="C87" s="273"/>
      <c r="D87" s="667" t="s">
        <v>3110</v>
      </c>
      <c r="E87" s="335"/>
      <c r="F87" s="270"/>
      <c r="G87" s="270"/>
      <c r="H87" s="270"/>
      <c r="I87" s="270"/>
      <c r="J87" s="227"/>
      <c r="K87"/>
      <c r="L87" s="13"/>
      <c r="M87" s="13"/>
      <c r="R87" s="152"/>
    </row>
    <row r="88" spans="2:18" ht="24.95" customHeight="1">
      <c r="B88" s="270">
        <v>82</v>
      </c>
      <c r="C88" s="273"/>
      <c r="D88" s="667" t="s">
        <v>3111</v>
      </c>
      <c r="E88" s="335"/>
      <c r="F88" s="270"/>
      <c r="G88" s="270"/>
      <c r="H88" s="270"/>
      <c r="I88" s="270"/>
      <c r="J88" s="227"/>
      <c r="K88"/>
      <c r="L88" s="13"/>
      <c r="M88" s="13"/>
      <c r="R88" s="152"/>
    </row>
    <row r="89" spans="2:18" ht="24.95" customHeight="1">
      <c r="B89" s="270">
        <v>83</v>
      </c>
      <c r="C89" s="273"/>
      <c r="D89" s="667" t="s">
        <v>3112</v>
      </c>
      <c r="E89" s="335"/>
      <c r="F89" s="270"/>
      <c r="G89" s="270"/>
      <c r="H89" s="270"/>
      <c r="I89" s="270"/>
      <c r="J89" s="227"/>
      <c r="K89"/>
      <c r="L89" s="13"/>
      <c r="M89" s="13"/>
      <c r="R89" s="152"/>
    </row>
    <row r="90" spans="2:18" ht="24.95" customHeight="1">
      <c r="B90" s="270">
        <v>84</v>
      </c>
      <c r="C90" s="273"/>
      <c r="D90" s="667" t="s">
        <v>3113</v>
      </c>
      <c r="E90" s="335"/>
      <c r="F90" s="270"/>
      <c r="G90" s="270"/>
      <c r="H90" s="270"/>
      <c r="I90" s="270"/>
      <c r="J90" s="227"/>
      <c r="K90"/>
      <c r="L90" s="13"/>
      <c r="M90" s="13"/>
      <c r="R90" s="152"/>
    </row>
    <row r="91" spans="2:18" ht="24.95" customHeight="1">
      <c r="B91" s="270">
        <v>85</v>
      </c>
      <c r="C91" s="273"/>
      <c r="D91" s="667" t="s">
        <v>3114</v>
      </c>
      <c r="E91" s="335"/>
      <c r="F91" s="270"/>
      <c r="G91" s="270"/>
      <c r="H91" s="270"/>
      <c r="I91" s="270"/>
      <c r="J91" s="227"/>
      <c r="K91"/>
      <c r="L91" s="13"/>
      <c r="M91" s="13"/>
      <c r="R91" s="152"/>
    </row>
    <row r="92" spans="2:18" ht="24.95" customHeight="1">
      <c r="B92" s="270">
        <v>86</v>
      </c>
      <c r="C92" s="273"/>
      <c r="D92" s="667" t="s">
        <v>3115</v>
      </c>
      <c r="E92" s="335"/>
      <c r="F92" s="270"/>
      <c r="G92" s="270"/>
      <c r="H92" s="270"/>
      <c r="I92" s="270"/>
      <c r="J92" s="227"/>
      <c r="K92"/>
      <c r="L92" s="13"/>
      <c r="M92" s="13"/>
      <c r="R92" s="152"/>
    </row>
    <row r="93" spans="2:18" ht="24.95" customHeight="1">
      <c r="B93" s="270">
        <v>87</v>
      </c>
      <c r="C93" s="273"/>
      <c r="D93" s="667" t="s">
        <v>3116</v>
      </c>
      <c r="E93" s="335"/>
      <c r="F93" s="270"/>
      <c r="G93" s="270"/>
      <c r="H93" s="270"/>
      <c r="I93" s="270"/>
      <c r="J93" s="227"/>
      <c r="K93"/>
      <c r="L93" s="13"/>
      <c r="M93" s="13"/>
      <c r="R93" s="152"/>
    </row>
    <row r="94" spans="2:18" ht="24.95" customHeight="1">
      <c r="B94" s="270">
        <v>88</v>
      </c>
      <c r="C94" s="273"/>
      <c r="D94" s="667" t="s">
        <v>3117</v>
      </c>
      <c r="E94" s="335"/>
      <c r="F94" s="270"/>
      <c r="G94" s="270"/>
      <c r="H94" s="270"/>
      <c r="I94" s="270"/>
      <c r="J94" s="227"/>
      <c r="K94"/>
      <c r="L94" s="13"/>
      <c r="M94" s="13"/>
      <c r="R94" s="152"/>
    </row>
    <row r="95" spans="2:18" ht="24.95" customHeight="1">
      <c r="B95" s="270">
        <v>89</v>
      </c>
      <c r="C95" s="273"/>
      <c r="D95" s="667" t="s">
        <v>3118</v>
      </c>
      <c r="E95" s="335"/>
      <c r="F95" s="270"/>
      <c r="G95" s="270"/>
      <c r="H95" s="270"/>
      <c r="I95" s="270"/>
      <c r="J95" s="227"/>
      <c r="K95"/>
      <c r="L95" s="13"/>
      <c r="M95" s="13"/>
      <c r="R95" s="152"/>
    </row>
    <row r="96" spans="2:18" ht="24.95" customHeight="1">
      <c r="B96" s="270">
        <v>90</v>
      </c>
      <c r="C96" s="273"/>
      <c r="D96" s="667" t="s">
        <v>3119</v>
      </c>
      <c r="E96" s="335"/>
      <c r="F96" s="270"/>
      <c r="G96" s="270"/>
      <c r="H96" s="270"/>
      <c r="I96" s="270"/>
      <c r="J96" s="227"/>
      <c r="K96"/>
      <c r="L96" s="13"/>
      <c r="M96" s="13"/>
      <c r="R96" s="152"/>
    </row>
    <row r="97" spans="2:18" ht="24.95" customHeight="1">
      <c r="B97" s="270">
        <v>91</v>
      </c>
      <c r="C97" s="273"/>
      <c r="D97" s="667" t="s">
        <v>3120</v>
      </c>
      <c r="E97" s="335"/>
      <c r="F97" s="270"/>
      <c r="G97" s="270"/>
      <c r="H97" s="270"/>
      <c r="I97" s="270"/>
      <c r="J97" s="227"/>
      <c r="K97"/>
      <c r="L97" s="13"/>
      <c r="M97" s="13"/>
      <c r="R97" s="152"/>
    </row>
    <row r="98" spans="2:18" ht="24.95" customHeight="1">
      <c r="B98" s="270">
        <v>92</v>
      </c>
      <c r="C98" s="273"/>
      <c r="D98" s="667" t="s">
        <v>3121</v>
      </c>
      <c r="E98" s="335"/>
      <c r="F98" s="270"/>
      <c r="G98" s="270"/>
      <c r="H98" s="270"/>
      <c r="I98" s="270"/>
      <c r="J98" s="227"/>
      <c r="K98"/>
      <c r="L98" s="13"/>
      <c r="M98" s="13"/>
      <c r="R98" s="152"/>
    </row>
    <row r="99" spans="2:18" ht="24.95" customHeight="1">
      <c r="B99" s="270">
        <v>93</v>
      </c>
      <c r="C99" s="273"/>
      <c r="D99" s="667" t="s">
        <v>3122</v>
      </c>
      <c r="E99" s="335"/>
      <c r="F99" s="270"/>
      <c r="G99" s="270"/>
      <c r="H99" s="270"/>
      <c r="I99" s="270"/>
      <c r="J99" s="227"/>
      <c r="K99"/>
      <c r="L99" s="13"/>
      <c r="M99" s="13"/>
      <c r="R99" s="152"/>
    </row>
    <row r="100" spans="2:18" ht="24.95" customHeight="1">
      <c r="B100" s="270">
        <v>94</v>
      </c>
      <c r="C100" s="273"/>
      <c r="D100" s="667" t="s">
        <v>3123</v>
      </c>
      <c r="E100" s="335"/>
      <c r="F100" s="270"/>
      <c r="G100" s="270"/>
      <c r="H100" s="270"/>
      <c r="I100" s="270"/>
      <c r="J100" s="227"/>
      <c r="K100"/>
      <c r="L100" s="13"/>
      <c r="M100" s="13"/>
      <c r="R100" s="152"/>
    </row>
    <row r="101" spans="2:18" ht="24.95" customHeight="1">
      <c r="B101" s="270">
        <v>95</v>
      </c>
      <c r="C101" s="273"/>
      <c r="D101" s="667" t="s">
        <v>3124</v>
      </c>
      <c r="E101" s="335"/>
      <c r="F101" s="270"/>
      <c r="G101" s="270"/>
      <c r="H101" s="270"/>
      <c r="I101" s="270"/>
      <c r="J101" s="227"/>
      <c r="K101"/>
      <c r="L101" s="13"/>
      <c r="M101" s="13"/>
      <c r="R101" s="152"/>
    </row>
    <row r="102" spans="2:18" ht="24.95" customHeight="1">
      <c r="B102" s="270">
        <v>96</v>
      </c>
      <c r="C102" s="273"/>
      <c r="D102" s="667" t="s">
        <v>3125</v>
      </c>
      <c r="E102" s="335"/>
      <c r="F102" s="270"/>
      <c r="G102" s="270"/>
      <c r="H102" s="270"/>
      <c r="I102" s="270"/>
      <c r="J102" s="227"/>
      <c r="K102"/>
      <c r="L102" s="13"/>
      <c r="M102" s="13"/>
      <c r="R102" s="152"/>
    </row>
    <row r="103" spans="2:18" ht="24.95" customHeight="1">
      <c r="B103" s="270">
        <v>97</v>
      </c>
      <c r="C103" s="273"/>
      <c r="D103" s="667" t="s">
        <v>3126</v>
      </c>
      <c r="E103" s="335"/>
      <c r="F103" s="270"/>
      <c r="G103" s="270"/>
      <c r="H103" s="270"/>
      <c r="I103" s="270"/>
      <c r="J103" s="227"/>
      <c r="K103"/>
      <c r="L103" s="13"/>
      <c r="M103" s="13"/>
      <c r="R103" s="152"/>
    </row>
    <row r="104" spans="2:18" ht="24.95" customHeight="1">
      <c r="B104" s="270">
        <v>98</v>
      </c>
      <c r="C104" s="273"/>
      <c r="D104" s="667" t="s">
        <v>3127</v>
      </c>
      <c r="E104" s="335"/>
      <c r="F104" s="270"/>
      <c r="G104" s="270"/>
      <c r="H104" s="270"/>
      <c r="I104" s="270"/>
      <c r="J104" s="227"/>
      <c r="K104"/>
      <c r="L104" s="13"/>
      <c r="M104" s="13"/>
      <c r="R104" s="152"/>
    </row>
    <row r="105" spans="2:18" ht="24.95" customHeight="1">
      <c r="B105" s="270">
        <v>99</v>
      </c>
      <c r="C105" s="273"/>
      <c r="D105" s="667" t="s">
        <v>3128</v>
      </c>
      <c r="E105" s="335"/>
      <c r="F105" s="270"/>
      <c r="G105" s="270"/>
      <c r="H105" s="270"/>
      <c r="I105" s="270"/>
      <c r="J105" s="227"/>
      <c r="K105"/>
      <c r="L105" s="13"/>
      <c r="M105" s="13"/>
      <c r="R105" s="152"/>
    </row>
    <row r="106" spans="2:18" ht="24.95" customHeight="1">
      <c r="B106" s="270">
        <v>100</v>
      </c>
      <c r="C106" s="273"/>
      <c r="D106" s="667" t="s">
        <v>3129</v>
      </c>
      <c r="E106" s="335"/>
      <c r="F106" s="270"/>
      <c r="G106" s="270"/>
      <c r="H106" s="270"/>
      <c r="I106" s="270"/>
      <c r="J106" s="227"/>
      <c r="K106"/>
      <c r="L106" s="13"/>
      <c r="M106" s="13"/>
      <c r="R106" s="152"/>
    </row>
    <row r="107" spans="2:18" ht="24.95" customHeight="1">
      <c r="B107" s="270">
        <v>101</v>
      </c>
      <c r="C107" s="273"/>
      <c r="D107" s="667" t="s">
        <v>3130</v>
      </c>
      <c r="E107" s="335"/>
      <c r="F107" s="270"/>
      <c r="G107" s="270"/>
      <c r="H107" s="270"/>
      <c r="I107" s="270"/>
      <c r="J107" s="227"/>
      <c r="K107"/>
      <c r="L107" s="13"/>
      <c r="M107" s="13"/>
      <c r="R107" s="152"/>
    </row>
    <row r="108" spans="2:18" ht="24.95" customHeight="1">
      <c r="B108" s="270">
        <v>102</v>
      </c>
      <c r="C108" s="273"/>
      <c r="D108" s="667" t="s">
        <v>3131</v>
      </c>
      <c r="E108" s="335"/>
      <c r="F108" s="270"/>
      <c r="G108" s="270"/>
      <c r="H108" s="270"/>
      <c r="I108" s="270"/>
      <c r="J108" s="227"/>
      <c r="K108"/>
      <c r="L108" s="13"/>
      <c r="M108" s="13"/>
      <c r="R108" s="152"/>
    </row>
    <row r="109" spans="2:18" ht="24.95" customHeight="1">
      <c r="B109" s="270">
        <v>103</v>
      </c>
      <c r="C109" s="273"/>
      <c r="D109" s="667" t="s">
        <v>3132</v>
      </c>
      <c r="E109" s="335"/>
      <c r="F109" s="270"/>
      <c r="G109" s="270"/>
      <c r="H109" s="270"/>
      <c r="I109" s="270"/>
      <c r="J109" s="227"/>
      <c r="K109"/>
      <c r="L109" s="13"/>
      <c r="M109" s="13"/>
      <c r="R109" s="152"/>
    </row>
    <row r="110" spans="2:18" ht="24.95" customHeight="1">
      <c r="B110" s="270">
        <v>104</v>
      </c>
      <c r="C110" s="273"/>
      <c r="D110" s="667" t="s">
        <v>3133</v>
      </c>
      <c r="E110" s="335"/>
      <c r="F110" s="270"/>
      <c r="G110" s="270"/>
      <c r="H110" s="270"/>
      <c r="I110" s="270"/>
      <c r="J110" s="227"/>
      <c r="K110"/>
      <c r="L110" s="13"/>
      <c r="M110" s="13"/>
      <c r="R110" s="152"/>
    </row>
    <row r="111" spans="2:18" ht="24.95" customHeight="1">
      <c r="B111" s="270">
        <v>105</v>
      </c>
      <c r="C111" s="273"/>
      <c r="D111" s="667" t="s">
        <v>3134</v>
      </c>
      <c r="E111" s="335"/>
      <c r="F111" s="270"/>
      <c r="G111" s="270"/>
      <c r="H111" s="270"/>
      <c r="I111" s="270"/>
      <c r="J111" s="227"/>
      <c r="K111"/>
      <c r="L111" s="13"/>
      <c r="M111" s="13"/>
      <c r="R111" s="152"/>
    </row>
    <row r="112" spans="2:18" ht="24.95" customHeight="1">
      <c r="B112" s="270">
        <v>106</v>
      </c>
      <c r="C112" s="273"/>
      <c r="D112" s="667" t="s">
        <v>3135</v>
      </c>
      <c r="E112" s="335"/>
      <c r="F112" s="270"/>
      <c r="G112" s="270"/>
      <c r="H112" s="270"/>
      <c r="I112" s="270"/>
      <c r="J112" s="227"/>
      <c r="K112"/>
      <c r="L112" s="13"/>
      <c r="M112" s="13"/>
      <c r="R112" s="152"/>
    </row>
    <row r="113" spans="2:18" ht="24.95" customHeight="1">
      <c r="B113" s="270">
        <v>107</v>
      </c>
      <c r="C113" s="273"/>
      <c r="D113" s="667" t="s">
        <v>3136</v>
      </c>
      <c r="E113" s="335"/>
      <c r="F113" s="270"/>
      <c r="G113" s="270"/>
      <c r="H113" s="270"/>
      <c r="I113" s="270"/>
      <c r="J113" s="227"/>
      <c r="K113"/>
      <c r="L113" s="13"/>
      <c r="M113" s="13"/>
      <c r="R113" s="152"/>
    </row>
    <row r="114" spans="2:18" ht="24.95" customHeight="1">
      <c r="B114" s="270">
        <v>108</v>
      </c>
      <c r="C114" s="273"/>
      <c r="D114" s="667" t="s">
        <v>3137</v>
      </c>
      <c r="E114" s="335"/>
      <c r="F114" s="270"/>
      <c r="G114" s="270"/>
      <c r="H114" s="270"/>
      <c r="I114" s="270"/>
      <c r="J114" s="227"/>
      <c r="K114"/>
      <c r="L114" s="13"/>
      <c r="M114" s="13"/>
      <c r="R114" s="152"/>
    </row>
    <row r="115" spans="2:18" ht="24.95" customHeight="1">
      <c r="B115" s="270">
        <v>109</v>
      </c>
      <c r="C115" s="273"/>
      <c r="D115" s="667" t="s">
        <v>3138</v>
      </c>
      <c r="E115" s="335"/>
      <c r="F115" s="270"/>
      <c r="G115" s="270"/>
      <c r="H115" s="270"/>
      <c r="I115" s="270"/>
      <c r="J115" s="227"/>
      <c r="K115"/>
      <c r="L115" s="13"/>
      <c r="M115" s="13"/>
      <c r="R115" s="152"/>
    </row>
    <row r="116" spans="2:18" ht="24.95" customHeight="1">
      <c r="B116" s="270">
        <v>110</v>
      </c>
      <c r="C116" s="273"/>
      <c r="D116" s="667" t="s">
        <v>3139</v>
      </c>
      <c r="E116" s="335"/>
      <c r="F116" s="270"/>
      <c r="G116" s="270"/>
      <c r="H116" s="270"/>
      <c r="I116" s="270"/>
      <c r="J116" s="227"/>
      <c r="K116"/>
      <c r="L116" s="13"/>
      <c r="M116" s="13"/>
      <c r="R116" s="152"/>
    </row>
    <row r="117" spans="2:18" ht="24.95" customHeight="1">
      <c r="B117" s="270">
        <v>111</v>
      </c>
      <c r="C117" s="273"/>
      <c r="D117" s="667" t="s">
        <v>3140</v>
      </c>
      <c r="E117" s="335"/>
      <c r="F117" s="270"/>
      <c r="G117" s="270"/>
      <c r="H117" s="270"/>
      <c r="I117" s="270"/>
      <c r="J117" s="227"/>
      <c r="K117"/>
      <c r="L117" s="13"/>
      <c r="M117" s="13"/>
      <c r="R117" s="152"/>
    </row>
    <row r="118" spans="2:18" ht="24.95" customHeight="1">
      <c r="B118" s="270">
        <v>112</v>
      </c>
      <c r="C118" s="273"/>
      <c r="D118" s="667" t="s">
        <v>3141</v>
      </c>
      <c r="E118" s="335"/>
      <c r="F118" s="270"/>
      <c r="G118" s="270"/>
      <c r="H118" s="270"/>
      <c r="I118" s="270"/>
      <c r="J118" s="227"/>
      <c r="K118"/>
      <c r="L118" s="13"/>
      <c r="M118" s="13"/>
      <c r="R118" s="152"/>
    </row>
    <row r="119" spans="2:18" ht="24.95" customHeight="1">
      <c r="B119" s="270">
        <v>113</v>
      </c>
      <c r="C119" s="273"/>
      <c r="D119" s="667" t="s">
        <v>3142</v>
      </c>
      <c r="E119" s="335"/>
      <c r="F119" s="270"/>
      <c r="G119" s="270"/>
      <c r="H119" s="270"/>
      <c r="I119" s="270"/>
      <c r="J119" s="227"/>
      <c r="K119"/>
      <c r="L119" s="13"/>
      <c r="M119" s="13"/>
      <c r="R119" s="152"/>
    </row>
    <row r="120" spans="2:18" ht="24.95" customHeight="1">
      <c r="B120" s="270">
        <v>114</v>
      </c>
      <c r="C120" s="273"/>
      <c r="D120" s="667" t="s">
        <v>3143</v>
      </c>
      <c r="E120" s="335"/>
      <c r="F120" s="270"/>
      <c r="G120" s="270"/>
      <c r="H120" s="270"/>
      <c r="I120" s="270"/>
      <c r="J120" s="227"/>
      <c r="K120"/>
      <c r="L120" s="13"/>
      <c r="M120" s="13"/>
      <c r="R120" s="152"/>
    </row>
    <row r="121" spans="2:18" ht="24.95" customHeight="1">
      <c r="B121" s="270">
        <v>115</v>
      </c>
      <c r="C121" s="273"/>
      <c r="D121" s="667" t="s">
        <v>3144</v>
      </c>
      <c r="E121" s="335"/>
      <c r="F121" s="270"/>
      <c r="G121" s="270"/>
      <c r="H121" s="270"/>
      <c r="I121" s="270"/>
      <c r="J121" s="227"/>
      <c r="K121"/>
      <c r="L121" s="13"/>
      <c r="M121" s="13"/>
      <c r="R121" s="152"/>
    </row>
    <row r="122" spans="2:18" ht="24.95" customHeight="1">
      <c r="B122" s="270">
        <v>116</v>
      </c>
      <c r="C122" s="273"/>
      <c r="D122" s="667" t="s">
        <v>3145</v>
      </c>
      <c r="E122" s="335"/>
      <c r="F122" s="270"/>
      <c r="G122" s="270"/>
      <c r="H122" s="270"/>
      <c r="I122" s="270"/>
      <c r="J122" s="227"/>
      <c r="K122"/>
      <c r="L122" s="13"/>
      <c r="M122" s="13"/>
      <c r="R122" s="152"/>
    </row>
    <row r="123" spans="2:18" ht="24.95" customHeight="1">
      <c r="B123" s="270">
        <v>117</v>
      </c>
      <c r="C123" s="273"/>
      <c r="D123" s="667" t="s">
        <v>3146</v>
      </c>
      <c r="E123" s="335"/>
      <c r="F123" s="270"/>
      <c r="G123" s="270"/>
      <c r="H123" s="270"/>
      <c r="I123" s="270"/>
      <c r="J123" s="227"/>
      <c r="K123"/>
      <c r="L123" s="13"/>
      <c r="M123" s="13"/>
      <c r="R123" s="152"/>
    </row>
    <row r="124" spans="2:18" ht="24.95" customHeight="1">
      <c r="B124" s="270">
        <v>118</v>
      </c>
      <c r="C124" s="273"/>
      <c r="D124" s="667" t="s">
        <v>3147</v>
      </c>
      <c r="E124" s="335"/>
      <c r="F124" s="270"/>
      <c r="G124" s="270"/>
      <c r="H124" s="270"/>
      <c r="I124" s="270"/>
      <c r="J124" s="227"/>
      <c r="K124"/>
      <c r="L124" s="13"/>
      <c r="M124" s="13"/>
      <c r="R124" s="152"/>
    </row>
    <row r="125" spans="2:18" ht="24.95" customHeight="1">
      <c r="B125" s="270">
        <v>119</v>
      </c>
      <c r="C125" s="273"/>
      <c r="D125" s="667" t="s">
        <v>3148</v>
      </c>
      <c r="E125" s="335"/>
      <c r="F125" s="270"/>
      <c r="G125" s="270"/>
      <c r="H125" s="270"/>
      <c r="I125" s="270"/>
      <c r="J125" s="227"/>
      <c r="K125"/>
      <c r="L125" s="13"/>
      <c r="M125" s="13"/>
      <c r="R125" s="152"/>
    </row>
    <row r="126" spans="2:18" ht="24.95" customHeight="1">
      <c r="B126" s="270">
        <v>120</v>
      </c>
      <c r="C126" s="273"/>
      <c r="D126" s="667" t="s">
        <v>3149</v>
      </c>
      <c r="E126" s="335"/>
      <c r="F126" s="270"/>
      <c r="G126" s="270"/>
      <c r="H126" s="270"/>
      <c r="I126" s="270"/>
      <c r="J126" s="227"/>
      <c r="K126"/>
      <c r="L126" s="13"/>
      <c r="M126" s="13"/>
      <c r="R126" s="152"/>
    </row>
    <row r="127" spans="2:18" ht="24.95" customHeight="1">
      <c r="B127" s="270">
        <v>121</v>
      </c>
      <c r="C127" s="273"/>
      <c r="D127" s="667" t="s">
        <v>3150</v>
      </c>
      <c r="E127" s="335"/>
      <c r="F127" s="270"/>
      <c r="G127" s="270"/>
      <c r="H127" s="270"/>
      <c r="I127" s="270"/>
      <c r="J127" s="227"/>
      <c r="K127"/>
      <c r="L127" s="13"/>
      <c r="M127" s="13"/>
      <c r="R127" s="152"/>
    </row>
    <row r="128" spans="2:18" ht="24.95" customHeight="1">
      <c r="B128" s="270">
        <v>122</v>
      </c>
      <c r="C128" s="273"/>
      <c r="D128" s="667" t="s">
        <v>3151</v>
      </c>
      <c r="E128" s="335"/>
      <c r="F128" s="270"/>
      <c r="G128" s="270"/>
      <c r="H128" s="270"/>
      <c r="I128" s="270"/>
      <c r="J128" s="227"/>
      <c r="K128"/>
      <c r="L128" s="13"/>
      <c r="M128" s="13"/>
      <c r="R128" s="152"/>
    </row>
    <row r="129" spans="2:18" ht="24.95" customHeight="1">
      <c r="B129" s="270">
        <v>123</v>
      </c>
      <c r="C129" s="273"/>
      <c r="D129" s="667" t="s">
        <v>3152</v>
      </c>
      <c r="E129" s="335"/>
      <c r="F129" s="270"/>
      <c r="G129" s="270"/>
      <c r="H129" s="270"/>
      <c r="I129" s="270"/>
      <c r="J129" s="227"/>
      <c r="K129"/>
      <c r="L129" s="13"/>
      <c r="M129" s="13"/>
      <c r="R129" s="152"/>
    </row>
    <row r="130" spans="2:18" ht="24.95" customHeight="1">
      <c r="B130" s="270">
        <v>124</v>
      </c>
      <c r="C130" s="273"/>
      <c r="D130" s="667" t="s">
        <v>3153</v>
      </c>
      <c r="E130" s="335"/>
      <c r="F130" s="270"/>
      <c r="G130" s="270"/>
      <c r="H130" s="270"/>
      <c r="I130" s="270"/>
      <c r="J130" s="227"/>
      <c r="K130"/>
      <c r="L130" s="13"/>
      <c r="M130" s="13"/>
      <c r="R130" s="152"/>
    </row>
    <row r="131" spans="2:18" ht="24.95" customHeight="1">
      <c r="B131" s="270">
        <v>125</v>
      </c>
      <c r="C131" s="273"/>
      <c r="D131" s="667" t="s">
        <v>3154</v>
      </c>
      <c r="E131" s="335"/>
      <c r="F131" s="270"/>
      <c r="G131" s="270"/>
      <c r="H131" s="270"/>
      <c r="I131" s="270"/>
      <c r="J131" s="227"/>
      <c r="K131"/>
      <c r="L131" s="13"/>
      <c r="M131" s="13"/>
      <c r="R131" s="152"/>
    </row>
    <row r="132" spans="2:18" ht="24.95" customHeight="1">
      <c r="B132" s="270">
        <v>126</v>
      </c>
      <c r="C132" s="273"/>
      <c r="D132" s="667" t="s">
        <v>3155</v>
      </c>
      <c r="E132" s="335"/>
      <c r="F132" s="270"/>
      <c r="G132" s="270"/>
      <c r="H132" s="270"/>
      <c r="I132" s="270"/>
      <c r="J132" s="227"/>
      <c r="K132"/>
      <c r="L132" s="13"/>
      <c r="M132" s="13"/>
      <c r="R132" s="152"/>
    </row>
    <row r="133" spans="2:18" ht="24.95" customHeight="1">
      <c r="B133" s="270">
        <v>127</v>
      </c>
      <c r="C133" s="273"/>
      <c r="D133" s="667" t="s">
        <v>3156</v>
      </c>
      <c r="E133" s="335"/>
      <c r="F133" s="270"/>
      <c r="G133" s="270"/>
      <c r="H133" s="270"/>
      <c r="I133" s="270"/>
      <c r="J133" s="227"/>
      <c r="K133"/>
      <c r="L133" s="13"/>
      <c r="M133" s="13"/>
      <c r="R133" s="152"/>
    </row>
    <row r="134" spans="2:18" ht="24.95" customHeight="1">
      <c r="B134" s="270">
        <v>128</v>
      </c>
      <c r="C134" s="273"/>
      <c r="D134" s="667" t="s">
        <v>3157</v>
      </c>
      <c r="E134" s="335"/>
      <c r="F134" s="270"/>
      <c r="G134" s="270"/>
      <c r="H134" s="270"/>
      <c r="I134" s="270"/>
      <c r="J134" s="227"/>
      <c r="K134"/>
      <c r="L134" s="13"/>
      <c r="M134" s="13"/>
      <c r="R134" s="152"/>
    </row>
    <row r="135" spans="2:18" ht="24.95" customHeight="1">
      <c r="B135" s="270">
        <v>129</v>
      </c>
      <c r="C135" s="273"/>
      <c r="D135" s="667" t="s">
        <v>3158</v>
      </c>
      <c r="E135" s="335"/>
      <c r="F135" s="270"/>
      <c r="G135" s="270"/>
      <c r="H135" s="270"/>
      <c r="I135" s="270"/>
      <c r="J135" s="227"/>
      <c r="K135"/>
      <c r="L135" s="13"/>
      <c r="M135" s="13"/>
      <c r="R135" s="152"/>
    </row>
    <row r="136" spans="2:18" ht="24.95" customHeight="1">
      <c r="B136" s="270">
        <v>130</v>
      </c>
      <c r="C136" s="273"/>
      <c r="D136" s="667" t="s">
        <v>3159</v>
      </c>
      <c r="E136" s="335"/>
      <c r="F136" s="270"/>
      <c r="G136" s="270"/>
      <c r="H136" s="270"/>
      <c r="I136" s="270"/>
      <c r="J136" s="227"/>
      <c r="K136"/>
      <c r="L136" s="13"/>
      <c r="M136" s="13"/>
      <c r="R136" s="152"/>
    </row>
    <row r="137" spans="2:18" ht="24.95" customHeight="1">
      <c r="B137" s="270">
        <v>131</v>
      </c>
      <c r="C137" s="273"/>
      <c r="D137" s="667" t="s">
        <v>3160</v>
      </c>
      <c r="E137" s="335"/>
      <c r="F137" s="270"/>
      <c r="G137" s="270"/>
      <c r="H137" s="270"/>
      <c r="I137" s="270"/>
      <c r="J137" s="227"/>
      <c r="K137"/>
      <c r="L137" s="13"/>
      <c r="M137" s="13"/>
      <c r="R137" s="152"/>
    </row>
    <row r="138" spans="2:18" ht="24.95" customHeight="1">
      <c r="B138" s="270">
        <v>132</v>
      </c>
      <c r="C138" s="273"/>
      <c r="D138" s="667" t="s">
        <v>3161</v>
      </c>
      <c r="E138" s="335"/>
      <c r="F138" s="270"/>
      <c r="G138" s="270"/>
      <c r="H138" s="270"/>
      <c r="I138" s="270"/>
      <c r="J138" s="227"/>
      <c r="K138"/>
      <c r="L138" s="13"/>
      <c r="M138" s="13"/>
      <c r="R138" s="152"/>
    </row>
    <row r="139" spans="2:18" ht="24.95" customHeight="1">
      <c r="B139" s="270">
        <v>133</v>
      </c>
      <c r="C139" s="273"/>
      <c r="D139" s="667" t="s">
        <v>3162</v>
      </c>
      <c r="E139" s="335"/>
      <c r="F139" s="270"/>
      <c r="G139" s="270"/>
      <c r="H139" s="270"/>
      <c r="I139" s="270"/>
      <c r="J139" s="227"/>
      <c r="K139"/>
      <c r="L139" s="13"/>
      <c r="M139" s="13"/>
      <c r="R139" s="152"/>
    </row>
    <row r="140" spans="2:18" ht="24.95" customHeight="1">
      <c r="B140" s="270">
        <v>134</v>
      </c>
      <c r="C140" s="273"/>
      <c r="D140" s="667" t="s">
        <v>3163</v>
      </c>
      <c r="E140" s="335"/>
      <c r="F140" s="270"/>
      <c r="G140" s="270"/>
      <c r="H140" s="270"/>
      <c r="I140" s="270"/>
      <c r="J140" s="227"/>
      <c r="K140"/>
      <c r="L140" s="13"/>
      <c r="M140" s="13"/>
      <c r="R140" s="152"/>
    </row>
    <row r="141" spans="2:18" ht="24.95" customHeight="1">
      <c r="B141" s="270">
        <v>135</v>
      </c>
      <c r="C141" s="273"/>
      <c r="D141" s="667" t="s">
        <v>3164</v>
      </c>
      <c r="E141" s="335"/>
      <c r="F141" s="270"/>
      <c r="G141" s="270"/>
      <c r="H141" s="270"/>
      <c r="I141" s="270"/>
      <c r="J141" s="227"/>
      <c r="K141"/>
      <c r="L141" s="13"/>
      <c r="M141" s="13"/>
      <c r="R141" s="152"/>
    </row>
    <row r="142" spans="2:18" ht="24.95" customHeight="1">
      <c r="B142" s="270">
        <v>136</v>
      </c>
      <c r="C142" s="273"/>
      <c r="D142" s="667" t="s">
        <v>3165</v>
      </c>
      <c r="E142" s="335"/>
      <c r="F142" s="270"/>
      <c r="G142" s="270"/>
      <c r="H142" s="270"/>
      <c r="I142" s="270"/>
      <c r="J142" s="227"/>
      <c r="K142"/>
      <c r="L142" s="13"/>
      <c r="M142" s="13"/>
      <c r="R142" s="152"/>
    </row>
    <row r="143" spans="2:18" ht="24.95" customHeight="1">
      <c r="B143" s="270">
        <v>137</v>
      </c>
      <c r="C143" s="273"/>
      <c r="D143" s="667" t="s">
        <v>3166</v>
      </c>
      <c r="E143" s="335"/>
      <c r="F143" s="270"/>
      <c r="G143" s="270"/>
      <c r="H143" s="270"/>
      <c r="I143" s="270"/>
      <c r="J143" s="227"/>
      <c r="K143"/>
      <c r="L143" s="13"/>
      <c r="M143" s="13"/>
      <c r="R143" s="152"/>
    </row>
    <row r="144" spans="2:18" ht="24.95" customHeight="1">
      <c r="B144" s="270">
        <v>138</v>
      </c>
      <c r="C144" s="273"/>
      <c r="D144" s="667" t="s">
        <v>3167</v>
      </c>
      <c r="E144" s="335"/>
      <c r="F144" s="270"/>
      <c r="G144" s="270"/>
      <c r="H144" s="270"/>
      <c r="I144" s="270"/>
      <c r="J144" s="227"/>
      <c r="K144"/>
      <c r="L144" s="13"/>
      <c r="M144" s="13"/>
      <c r="R144" s="152"/>
    </row>
    <row r="145" spans="2:18" ht="24.95" customHeight="1">
      <c r="B145" s="270">
        <v>139</v>
      </c>
      <c r="C145" s="273"/>
      <c r="D145" s="667" t="s">
        <v>3168</v>
      </c>
      <c r="E145" s="335"/>
      <c r="F145" s="270"/>
      <c r="G145" s="270"/>
      <c r="H145" s="270"/>
      <c r="I145" s="270"/>
      <c r="J145" s="227"/>
      <c r="K145"/>
      <c r="L145" s="13"/>
      <c r="M145" s="13"/>
      <c r="R145" s="152"/>
    </row>
    <row r="146" spans="2:18" ht="24.95" customHeight="1">
      <c r="B146" s="270">
        <v>140</v>
      </c>
      <c r="C146" s="273"/>
      <c r="D146" s="667" t="s">
        <v>3169</v>
      </c>
      <c r="E146" s="335"/>
      <c r="F146" s="270"/>
      <c r="G146" s="270"/>
      <c r="H146" s="270"/>
      <c r="I146" s="270"/>
      <c r="J146" s="227"/>
      <c r="K146"/>
      <c r="L146" s="13"/>
      <c r="M146" s="13"/>
      <c r="R146" s="152"/>
    </row>
    <row r="147" spans="2:18" ht="24.95" customHeight="1">
      <c r="B147" s="270">
        <v>141</v>
      </c>
      <c r="C147" s="273"/>
      <c r="D147" s="667" t="s">
        <v>3170</v>
      </c>
      <c r="E147" s="335"/>
      <c r="F147" s="270"/>
      <c r="G147" s="270"/>
      <c r="H147" s="270"/>
      <c r="I147" s="270"/>
      <c r="J147" s="227"/>
      <c r="K147"/>
      <c r="L147" s="13"/>
      <c r="M147" s="13"/>
      <c r="R147" s="152"/>
    </row>
    <row r="148" spans="2:18" ht="24.95" customHeight="1">
      <c r="B148" s="270">
        <v>142</v>
      </c>
      <c r="C148" s="273"/>
      <c r="D148" s="667" t="s">
        <v>3171</v>
      </c>
      <c r="E148" s="335"/>
      <c r="F148" s="270"/>
      <c r="G148" s="270"/>
      <c r="H148" s="270"/>
      <c r="I148" s="270"/>
      <c r="J148" s="227"/>
      <c r="K148"/>
      <c r="L148" s="13"/>
      <c r="M148" s="13"/>
      <c r="R148" s="152"/>
    </row>
    <row r="149" spans="2:18" ht="24.95" customHeight="1">
      <c r="B149" s="270">
        <v>143</v>
      </c>
      <c r="C149" s="273"/>
      <c r="D149" s="667" t="s">
        <v>3172</v>
      </c>
      <c r="E149" s="335"/>
      <c r="F149" s="270"/>
      <c r="G149" s="270"/>
      <c r="H149" s="270"/>
      <c r="I149" s="270"/>
      <c r="J149" s="227"/>
      <c r="K149"/>
      <c r="L149" s="13"/>
      <c r="M149" s="13"/>
      <c r="R149" s="152"/>
    </row>
    <row r="150" spans="2:18" ht="24.95" customHeight="1">
      <c r="B150" s="270">
        <v>144</v>
      </c>
      <c r="C150" s="273"/>
      <c r="D150" s="667" t="s">
        <v>3173</v>
      </c>
      <c r="E150" s="335"/>
      <c r="F150" s="270"/>
      <c r="G150" s="270"/>
      <c r="H150" s="270"/>
      <c r="I150" s="270"/>
      <c r="J150" s="227"/>
      <c r="K150"/>
      <c r="L150" s="13"/>
      <c r="M150" s="13"/>
      <c r="R150" s="152"/>
    </row>
    <row r="151" spans="2:18" ht="24.95" customHeight="1">
      <c r="B151" s="270">
        <v>145</v>
      </c>
      <c r="C151" s="273"/>
      <c r="D151" s="667" t="s">
        <v>3174</v>
      </c>
      <c r="E151" s="335"/>
      <c r="F151" s="270"/>
      <c r="G151" s="270"/>
      <c r="H151" s="270"/>
      <c r="I151" s="270"/>
      <c r="J151" s="227"/>
      <c r="K151"/>
      <c r="L151" s="13"/>
      <c r="M151" s="13"/>
      <c r="R151" s="152"/>
    </row>
    <row r="152" spans="2:18" ht="24.95" customHeight="1">
      <c r="B152" s="270">
        <v>146</v>
      </c>
      <c r="C152" s="273"/>
      <c r="D152" s="667" t="s">
        <v>3175</v>
      </c>
      <c r="E152" s="335"/>
      <c r="F152" s="270"/>
      <c r="G152" s="270"/>
      <c r="H152" s="270"/>
      <c r="I152" s="270"/>
      <c r="J152" s="227"/>
      <c r="K152"/>
      <c r="L152" s="13"/>
      <c r="M152" s="13"/>
      <c r="R152" s="152"/>
    </row>
    <row r="153" spans="2:18" ht="24.95" customHeight="1">
      <c r="B153" s="270">
        <v>147</v>
      </c>
      <c r="C153" s="273"/>
      <c r="D153" s="667" t="s">
        <v>3176</v>
      </c>
      <c r="E153" s="335"/>
      <c r="F153" s="270"/>
      <c r="G153" s="270"/>
      <c r="H153" s="270"/>
      <c r="I153" s="270"/>
      <c r="J153" s="227"/>
      <c r="K153"/>
      <c r="L153" s="13"/>
      <c r="M153" s="13"/>
      <c r="R153" s="152"/>
    </row>
    <row r="154" spans="2:18" ht="24.95" customHeight="1">
      <c r="B154" s="270">
        <v>148</v>
      </c>
      <c r="C154" s="273"/>
      <c r="D154" s="667" t="s">
        <v>3177</v>
      </c>
      <c r="E154" s="335"/>
      <c r="F154" s="270"/>
      <c r="G154" s="270"/>
      <c r="H154" s="270"/>
      <c r="I154" s="270"/>
      <c r="J154" s="227"/>
      <c r="K154"/>
      <c r="L154" s="13"/>
      <c r="M154" s="13"/>
      <c r="R154" s="152"/>
    </row>
    <row r="155" spans="2:18" ht="24.95" customHeight="1">
      <c r="B155" s="270">
        <v>149</v>
      </c>
      <c r="C155" s="273"/>
      <c r="D155" s="667" t="s">
        <v>3178</v>
      </c>
      <c r="E155" s="335"/>
      <c r="F155" s="270"/>
      <c r="G155" s="270"/>
      <c r="H155" s="270"/>
      <c r="I155" s="270"/>
      <c r="J155" s="227"/>
      <c r="K155"/>
      <c r="L155" s="13"/>
      <c r="M155" s="13"/>
      <c r="R155" s="152"/>
    </row>
    <row r="156" spans="2:18" ht="24.95" customHeight="1">
      <c r="B156" s="270">
        <v>150</v>
      </c>
      <c r="C156" s="273"/>
      <c r="D156" s="667" t="s">
        <v>3179</v>
      </c>
      <c r="E156" s="335"/>
      <c r="F156" s="270"/>
      <c r="G156" s="270"/>
      <c r="H156" s="270"/>
      <c r="I156" s="270"/>
      <c r="J156" s="227"/>
      <c r="K156"/>
      <c r="L156" s="13"/>
      <c r="M156" s="13"/>
      <c r="R156" s="152"/>
    </row>
    <row r="157" spans="2:18" ht="24.95" customHeight="1">
      <c r="B157" s="270">
        <v>151</v>
      </c>
      <c r="C157" s="273"/>
      <c r="D157" s="667" t="s">
        <v>3180</v>
      </c>
      <c r="E157" s="335"/>
      <c r="F157" s="270"/>
      <c r="G157" s="270"/>
      <c r="H157" s="270"/>
      <c r="I157" s="270"/>
      <c r="J157" s="227"/>
      <c r="K157"/>
      <c r="L157" s="13"/>
      <c r="M157" s="13"/>
      <c r="R157" s="152"/>
    </row>
    <row r="158" spans="2:18" ht="24.95" customHeight="1">
      <c r="B158" s="270">
        <v>152</v>
      </c>
      <c r="C158" s="273"/>
      <c r="D158" s="667" t="s">
        <v>3181</v>
      </c>
      <c r="E158" s="335"/>
      <c r="F158" s="270"/>
      <c r="G158" s="270"/>
      <c r="H158" s="270"/>
      <c r="I158" s="270"/>
      <c r="J158" s="227"/>
      <c r="K158"/>
      <c r="L158" s="13"/>
      <c r="M158" s="13"/>
      <c r="R158" s="152"/>
    </row>
    <row r="159" spans="2:18" ht="24.95" customHeight="1">
      <c r="B159" s="270">
        <v>153</v>
      </c>
      <c r="C159" s="273"/>
      <c r="D159" s="667" t="s">
        <v>3182</v>
      </c>
      <c r="E159" s="335"/>
      <c r="F159" s="270"/>
      <c r="G159" s="270"/>
      <c r="H159" s="270"/>
      <c r="I159" s="270"/>
      <c r="J159" s="227"/>
      <c r="K159"/>
      <c r="L159" s="13"/>
      <c r="M159" s="13"/>
      <c r="R159" s="152"/>
    </row>
    <row r="160" spans="2:18" ht="24.95" customHeight="1">
      <c r="B160" s="270">
        <v>154</v>
      </c>
      <c r="C160" s="273"/>
      <c r="D160" s="667" t="s">
        <v>3183</v>
      </c>
      <c r="E160" s="335"/>
      <c r="F160" s="270"/>
      <c r="G160" s="270"/>
      <c r="H160" s="270"/>
      <c r="I160" s="270"/>
      <c r="J160" s="227"/>
      <c r="K160"/>
      <c r="L160" s="13"/>
      <c r="M160" s="13"/>
      <c r="R160" s="152"/>
    </row>
    <row r="161" spans="2:18" ht="24.95" customHeight="1">
      <c r="B161" s="270">
        <v>155</v>
      </c>
      <c r="C161" s="273"/>
      <c r="D161" s="667" t="s">
        <v>3184</v>
      </c>
      <c r="E161" s="335"/>
      <c r="F161" s="270"/>
      <c r="G161" s="270"/>
      <c r="H161" s="270"/>
      <c r="I161" s="270"/>
      <c r="J161" s="227"/>
      <c r="K161"/>
      <c r="L161" s="13"/>
      <c r="M161" s="13"/>
      <c r="R161" s="152"/>
    </row>
    <row r="162" spans="2:18" ht="24.95" customHeight="1">
      <c r="B162" s="270">
        <v>156</v>
      </c>
      <c r="C162" s="273"/>
      <c r="D162" s="667" t="s">
        <v>3185</v>
      </c>
      <c r="E162" s="335"/>
      <c r="F162" s="270"/>
      <c r="G162" s="270"/>
      <c r="H162" s="270"/>
      <c r="I162" s="270"/>
      <c r="J162" s="227"/>
      <c r="K162"/>
      <c r="L162" s="13"/>
      <c r="M162" s="13"/>
      <c r="R162" s="152"/>
    </row>
    <row r="163" spans="2:18" ht="24.95" customHeight="1">
      <c r="B163" s="270">
        <v>157</v>
      </c>
      <c r="C163" s="273"/>
      <c r="D163" s="667" t="s">
        <v>3186</v>
      </c>
      <c r="E163" s="335"/>
      <c r="F163" s="270"/>
      <c r="G163" s="270"/>
      <c r="H163" s="270"/>
      <c r="I163" s="270"/>
      <c r="J163" s="227"/>
      <c r="K163"/>
      <c r="L163" s="13"/>
      <c r="M163" s="13"/>
      <c r="R163" s="152"/>
    </row>
    <row r="164" spans="2:18" ht="24.95" customHeight="1">
      <c r="B164" s="270">
        <v>158</v>
      </c>
      <c r="C164" s="273"/>
      <c r="D164" s="667" t="s">
        <v>3187</v>
      </c>
      <c r="E164" s="335"/>
      <c r="F164" s="270"/>
      <c r="G164" s="270"/>
      <c r="H164" s="270"/>
      <c r="I164" s="270"/>
      <c r="J164" s="227"/>
      <c r="K164"/>
      <c r="L164" s="13"/>
      <c r="M164" s="13"/>
      <c r="R164" s="152"/>
    </row>
    <row r="165" spans="2:18" ht="24.95" customHeight="1">
      <c r="B165" s="270">
        <v>159</v>
      </c>
      <c r="C165" s="273"/>
      <c r="D165" s="667" t="s">
        <v>3188</v>
      </c>
      <c r="E165" s="335"/>
      <c r="F165" s="270"/>
      <c r="G165" s="270"/>
      <c r="H165" s="270"/>
      <c r="I165" s="270"/>
      <c r="J165" s="227"/>
      <c r="K165"/>
      <c r="L165" s="13"/>
      <c r="M165" s="13"/>
      <c r="R165" s="152"/>
    </row>
    <row r="166" spans="2:18" ht="24.95" customHeight="1">
      <c r="B166" s="270">
        <v>160</v>
      </c>
      <c r="C166" s="273"/>
      <c r="D166" s="667" t="s">
        <v>3189</v>
      </c>
      <c r="E166" s="335"/>
      <c r="F166" s="270"/>
      <c r="G166" s="270"/>
      <c r="H166" s="270"/>
      <c r="I166" s="270"/>
      <c r="J166" s="227"/>
      <c r="K166"/>
      <c r="L166" s="13"/>
      <c r="M166" s="13"/>
      <c r="R166" s="152"/>
    </row>
    <row r="167" spans="2:18" ht="24.95" customHeight="1">
      <c r="B167" s="270">
        <v>161</v>
      </c>
      <c r="C167" s="273"/>
      <c r="D167" s="667" t="s">
        <v>3190</v>
      </c>
      <c r="E167" s="335"/>
      <c r="F167" s="270"/>
      <c r="G167" s="270"/>
      <c r="H167" s="270"/>
      <c r="I167" s="270"/>
      <c r="J167" s="227"/>
      <c r="K167"/>
      <c r="L167" s="13"/>
      <c r="M167" s="13"/>
      <c r="R167" s="152"/>
    </row>
    <row r="168" spans="2:18" ht="24.95" customHeight="1">
      <c r="B168" s="270">
        <v>162</v>
      </c>
      <c r="C168" s="273"/>
      <c r="D168" s="667" t="s">
        <v>3191</v>
      </c>
      <c r="E168" s="335"/>
      <c r="F168" s="270"/>
      <c r="G168" s="270"/>
      <c r="H168" s="270"/>
      <c r="I168" s="270"/>
      <c r="J168" s="227"/>
      <c r="K168"/>
      <c r="L168" s="13"/>
      <c r="M168" s="13"/>
      <c r="R168" s="152"/>
    </row>
    <row r="169" spans="2:18" ht="24.95" customHeight="1">
      <c r="B169" s="270">
        <v>163</v>
      </c>
      <c r="C169" s="273"/>
      <c r="D169" s="667" t="s">
        <v>3192</v>
      </c>
      <c r="E169" s="335"/>
      <c r="F169" s="270"/>
      <c r="G169" s="270"/>
      <c r="H169" s="270"/>
      <c r="I169" s="270"/>
      <c r="J169" s="227"/>
      <c r="K169"/>
      <c r="L169" s="13"/>
      <c r="M169" s="13"/>
      <c r="R169" s="152"/>
    </row>
    <row r="170" spans="2:18" ht="24.95" customHeight="1">
      <c r="B170" s="270">
        <v>164</v>
      </c>
      <c r="C170" s="273"/>
      <c r="D170" s="667" t="s">
        <v>3193</v>
      </c>
      <c r="E170" s="335"/>
      <c r="F170" s="270"/>
      <c r="G170" s="270"/>
      <c r="H170" s="270"/>
      <c r="I170" s="270"/>
      <c r="J170" s="227"/>
      <c r="K170"/>
      <c r="L170" s="13"/>
      <c r="M170" s="13"/>
      <c r="R170" s="152"/>
    </row>
    <row r="171" spans="2:18" ht="24.95" customHeight="1">
      <c r="B171" s="270">
        <v>165</v>
      </c>
      <c r="C171" s="273"/>
      <c r="D171" s="667" t="s">
        <v>3194</v>
      </c>
      <c r="E171" s="335"/>
      <c r="F171" s="270"/>
      <c r="G171" s="270"/>
      <c r="H171" s="270"/>
      <c r="I171" s="270"/>
      <c r="J171" s="227"/>
      <c r="K171"/>
      <c r="L171" s="13"/>
      <c r="M171" s="13"/>
      <c r="R171" s="152"/>
    </row>
    <row r="172" spans="2:18" ht="24.95" customHeight="1">
      <c r="B172" s="270">
        <v>166</v>
      </c>
      <c r="C172" s="273"/>
      <c r="D172" s="667" t="s">
        <v>3195</v>
      </c>
      <c r="E172" s="335"/>
      <c r="F172" s="270"/>
      <c r="G172" s="270"/>
      <c r="H172" s="270"/>
      <c r="I172" s="270"/>
      <c r="J172" s="227"/>
      <c r="K172"/>
      <c r="L172" s="13"/>
      <c r="M172" s="13"/>
      <c r="R172" s="152"/>
    </row>
    <row r="173" spans="2:18" ht="24.95" customHeight="1">
      <c r="B173" s="270">
        <v>167</v>
      </c>
      <c r="C173" s="273"/>
      <c r="D173" s="667" t="s">
        <v>3196</v>
      </c>
      <c r="E173" s="335"/>
      <c r="F173" s="270"/>
      <c r="G173" s="270"/>
      <c r="H173" s="270"/>
      <c r="I173" s="270"/>
      <c r="J173" s="227"/>
      <c r="K173"/>
      <c r="L173" s="13"/>
      <c r="M173" s="13"/>
      <c r="R173" s="152"/>
    </row>
    <row r="174" spans="2:18" ht="24.95" customHeight="1">
      <c r="B174" s="270">
        <v>168</v>
      </c>
      <c r="C174" s="273"/>
      <c r="D174" s="667" t="s">
        <v>3197</v>
      </c>
      <c r="E174" s="335"/>
      <c r="F174" s="270"/>
      <c r="G174" s="270"/>
      <c r="H174" s="270"/>
      <c r="I174" s="270"/>
      <c r="J174" s="227"/>
      <c r="K174"/>
      <c r="L174" s="13"/>
      <c r="M174" s="13"/>
      <c r="R174" s="152"/>
    </row>
    <row r="175" spans="2:18" ht="24.95" customHeight="1">
      <c r="B175" s="270">
        <v>169</v>
      </c>
      <c r="C175" s="273"/>
      <c r="D175" s="667" t="s">
        <v>3198</v>
      </c>
      <c r="E175" s="335"/>
      <c r="F175" s="270"/>
      <c r="G175" s="270"/>
      <c r="H175" s="270"/>
      <c r="I175" s="270"/>
      <c r="J175" s="227"/>
      <c r="K175"/>
      <c r="L175" s="13"/>
      <c r="M175" s="13"/>
      <c r="R175" s="152"/>
    </row>
    <row r="176" spans="2:18" ht="24.95" customHeight="1">
      <c r="B176" s="270">
        <v>170</v>
      </c>
      <c r="C176" s="273"/>
      <c r="D176" s="667" t="s">
        <v>3199</v>
      </c>
      <c r="E176" s="335"/>
      <c r="F176" s="270"/>
      <c r="G176" s="270"/>
      <c r="H176" s="270"/>
      <c r="I176" s="270"/>
      <c r="J176" s="227"/>
      <c r="K176"/>
      <c r="L176" s="13"/>
      <c r="M176" s="13"/>
      <c r="R176" s="152"/>
    </row>
    <row r="177" spans="2:18" ht="24.95" customHeight="1">
      <c r="B177" s="270">
        <v>171</v>
      </c>
      <c r="C177" s="273"/>
      <c r="D177" s="667" t="s">
        <v>3200</v>
      </c>
      <c r="E177" s="335"/>
      <c r="F177" s="270"/>
      <c r="G177" s="270"/>
      <c r="H177" s="270"/>
      <c r="I177" s="270"/>
      <c r="J177" s="227"/>
      <c r="K177"/>
      <c r="L177" s="13"/>
      <c r="M177" s="13"/>
      <c r="R177" s="152"/>
    </row>
    <row r="178" spans="2:18" ht="24.95" customHeight="1">
      <c r="B178" s="270">
        <v>172</v>
      </c>
      <c r="C178" s="273"/>
      <c r="D178" s="667" t="s">
        <v>3201</v>
      </c>
      <c r="E178" s="335"/>
      <c r="F178" s="270"/>
      <c r="G178" s="270"/>
      <c r="H178" s="270"/>
      <c r="I178" s="270"/>
      <c r="J178" s="227"/>
      <c r="K178"/>
      <c r="L178" s="13"/>
      <c r="M178" s="13"/>
      <c r="R178" s="152"/>
    </row>
    <row r="179" spans="2:18" ht="24.95" customHeight="1">
      <c r="B179" s="270">
        <v>173</v>
      </c>
      <c r="C179" s="273"/>
      <c r="D179" s="667" t="s">
        <v>3202</v>
      </c>
      <c r="E179" s="335"/>
      <c r="F179" s="270"/>
      <c r="G179" s="270"/>
      <c r="H179" s="270"/>
      <c r="I179" s="270"/>
      <c r="J179" s="227"/>
      <c r="K179"/>
      <c r="L179" s="13"/>
      <c r="M179" s="13"/>
      <c r="R179" s="152"/>
    </row>
    <row r="180" spans="2:18" ht="24.95" customHeight="1">
      <c r="B180" s="270">
        <v>174</v>
      </c>
      <c r="C180" s="273"/>
      <c r="D180" s="667" t="s">
        <v>3203</v>
      </c>
      <c r="E180" s="335"/>
      <c r="F180" s="270"/>
      <c r="G180" s="270"/>
      <c r="H180" s="270"/>
      <c r="I180" s="270"/>
      <c r="J180" s="227"/>
      <c r="K180"/>
      <c r="L180" s="13"/>
      <c r="M180" s="13"/>
      <c r="R180" s="152"/>
    </row>
    <row r="181" spans="2:18" ht="24.95" customHeight="1">
      <c r="B181" s="270">
        <v>175</v>
      </c>
      <c r="C181" s="273"/>
      <c r="D181" s="667" t="s">
        <v>3204</v>
      </c>
      <c r="E181" s="335"/>
      <c r="F181" s="270"/>
      <c r="G181" s="270"/>
      <c r="H181" s="270"/>
      <c r="I181" s="270"/>
      <c r="J181" s="227"/>
      <c r="K181"/>
      <c r="L181" s="13"/>
      <c r="M181" s="13"/>
      <c r="R181" s="152"/>
    </row>
    <row r="182" spans="2:18" ht="24.95" customHeight="1">
      <c r="B182" s="270">
        <v>176</v>
      </c>
      <c r="C182" s="273"/>
      <c r="D182" s="667" t="s">
        <v>3205</v>
      </c>
      <c r="E182" s="335"/>
      <c r="F182" s="270"/>
      <c r="G182" s="270"/>
      <c r="H182" s="270"/>
      <c r="I182" s="270"/>
      <c r="J182" s="227"/>
      <c r="K182"/>
      <c r="L182" s="13"/>
      <c r="M182" s="13"/>
      <c r="R182" s="152"/>
    </row>
    <row r="183" spans="2:18" ht="24.95" customHeight="1">
      <c r="B183" s="270">
        <v>177</v>
      </c>
      <c r="C183" s="273"/>
      <c r="D183" s="667" t="s">
        <v>3206</v>
      </c>
      <c r="E183" s="335"/>
      <c r="F183" s="270"/>
      <c r="G183" s="270"/>
      <c r="H183" s="270"/>
      <c r="I183" s="270"/>
      <c r="J183" s="227"/>
      <c r="K183"/>
      <c r="L183" s="13"/>
      <c r="M183" s="13"/>
      <c r="R183" s="152"/>
    </row>
    <row r="184" spans="2:18" ht="24.95" customHeight="1">
      <c r="B184" s="270">
        <v>178</v>
      </c>
      <c r="C184" s="273"/>
      <c r="D184" s="667" t="s">
        <v>3207</v>
      </c>
      <c r="E184" s="335"/>
      <c r="F184" s="270"/>
      <c r="G184" s="270"/>
      <c r="H184" s="270"/>
      <c r="I184" s="270"/>
      <c r="J184" s="227"/>
      <c r="K184"/>
      <c r="L184" s="13"/>
      <c r="M184" s="13"/>
      <c r="R184" s="152"/>
    </row>
    <row r="185" spans="2:18" ht="24.95" customHeight="1">
      <c r="B185" s="270">
        <v>179</v>
      </c>
      <c r="C185" s="273"/>
      <c r="D185" s="667" t="s">
        <v>3208</v>
      </c>
      <c r="E185" s="335"/>
      <c r="F185" s="270"/>
      <c r="G185" s="270"/>
      <c r="H185" s="270"/>
      <c r="I185" s="270"/>
      <c r="J185" s="227"/>
      <c r="K185"/>
      <c r="L185" s="13"/>
      <c r="M185" s="13"/>
      <c r="R185" s="152"/>
    </row>
    <row r="186" spans="2:18" ht="24.95" customHeight="1">
      <c r="B186" s="270">
        <v>180</v>
      </c>
      <c r="C186" s="273"/>
      <c r="D186" s="667" t="s">
        <v>3209</v>
      </c>
      <c r="E186" s="335"/>
      <c r="F186" s="270"/>
      <c r="G186" s="270"/>
      <c r="H186" s="270"/>
      <c r="I186" s="270"/>
      <c r="J186" s="227"/>
      <c r="K186"/>
      <c r="L186" s="13"/>
      <c r="M186" s="13"/>
      <c r="R186" s="152"/>
    </row>
    <row r="187" spans="2:18" ht="24.95" customHeight="1">
      <c r="B187" s="270">
        <v>181</v>
      </c>
      <c r="C187" s="273"/>
      <c r="D187" s="667" t="s">
        <v>3210</v>
      </c>
      <c r="E187" s="335"/>
      <c r="F187" s="270"/>
      <c r="G187" s="270"/>
      <c r="H187" s="270"/>
      <c r="I187" s="270"/>
      <c r="J187" s="227"/>
      <c r="K187"/>
      <c r="L187" s="13"/>
      <c r="M187" s="13"/>
      <c r="R187" s="152"/>
    </row>
    <row r="188" spans="2:18" ht="24.95" customHeight="1">
      <c r="B188" s="270">
        <v>182</v>
      </c>
      <c r="C188" s="273"/>
      <c r="D188" s="667" t="s">
        <v>3211</v>
      </c>
      <c r="E188" s="335"/>
      <c r="F188" s="270"/>
      <c r="G188" s="270"/>
      <c r="H188" s="270"/>
      <c r="I188" s="270"/>
      <c r="J188" s="227"/>
      <c r="K188"/>
      <c r="L188" s="13"/>
      <c r="M188" s="13"/>
      <c r="R188" s="152"/>
    </row>
    <row r="189" spans="2:18" ht="24.95" customHeight="1">
      <c r="B189" s="270">
        <v>183</v>
      </c>
      <c r="C189" s="273"/>
      <c r="D189" s="667" t="s">
        <v>3212</v>
      </c>
      <c r="E189" s="335"/>
      <c r="F189" s="270"/>
      <c r="G189" s="270"/>
      <c r="H189" s="270"/>
      <c r="I189" s="270"/>
      <c r="J189" s="227"/>
      <c r="K189"/>
      <c r="L189" s="13"/>
      <c r="M189" s="13"/>
      <c r="R189" s="152"/>
    </row>
    <row r="190" spans="2:18" ht="24.95" customHeight="1">
      <c r="B190" s="270">
        <v>184</v>
      </c>
      <c r="C190" s="273"/>
      <c r="D190" s="667" t="s">
        <v>3213</v>
      </c>
      <c r="E190" s="335"/>
      <c r="F190" s="270"/>
      <c r="G190" s="270"/>
      <c r="H190" s="270"/>
      <c r="I190" s="270"/>
      <c r="J190" s="227"/>
      <c r="K190"/>
      <c r="L190" s="13"/>
      <c r="M190" s="13"/>
      <c r="R190" s="152"/>
    </row>
    <row r="191" spans="2:18" ht="24.95" customHeight="1">
      <c r="B191" s="270">
        <v>185</v>
      </c>
      <c r="C191" s="273"/>
      <c r="D191" s="667" t="s">
        <v>3214</v>
      </c>
      <c r="E191" s="335"/>
      <c r="F191" s="270"/>
      <c r="G191" s="270"/>
      <c r="H191" s="270"/>
      <c r="I191" s="270"/>
      <c r="J191" s="227"/>
      <c r="K191"/>
      <c r="L191" s="13"/>
      <c r="M191" s="13"/>
      <c r="R191" s="152"/>
    </row>
    <row r="192" spans="2:18" ht="24.95" customHeight="1">
      <c r="B192" s="270">
        <v>186</v>
      </c>
      <c r="C192" s="273"/>
      <c r="D192" s="667" t="s">
        <v>3215</v>
      </c>
      <c r="E192" s="335"/>
      <c r="F192" s="270"/>
      <c r="G192" s="270"/>
      <c r="H192" s="270"/>
      <c r="I192" s="270"/>
      <c r="J192" s="227"/>
      <c r="K192"/>
      <c r="L192" s="13"/>
      <c r="M192" s="13"/>
      <c r="R192" s="152"/>
    </row>
    <row r="193" spans="2:18" ht="24.95" customHeight="1">
      <c r="B193" s="270">
        <v>187</v>
      </c>
      <c r="C193" s="273"/>
      <c r="D193" s="667" t="s">
        <v>3216</v>
      </c>
      <c r="E193" s="335"/>
      <c r="F193" s="270"/>
      <c r="G193" s="270"/>
      <c r="H193" s="270"/>
      <c r="I193" s="270"/>
      <c r="J193" s="227"/>
      <c r="K193"/>
      <c r="L193" s="13"/>
      <c r="M193" s="13"/>
      <c r="R193" s="152"/>
    </row>
    <row r="194" spans="2:18" ht="24.95" customHeight="1">
      <c r="B194" s="270">
        <v>188</v>
      </c>
      <c r="C194" s="273"/>
      <c r="D194" s="667" t="s">
        <v>3217</v>
      </c>
      <c r="E194" s="335"/>
      <c r="F194" s="270"/>
      <c r="G194" s="270"/>
      <c r="H194" s="270"/>
      <c r="I194" s="270"/>
      <c r="J194" s="227"/>
      <c r="K194"/>
      <c r="L194" s="13"/>
      <c r="M194" s="13"/>
      <c r="R194" s="152"/>
    </row>
    <row r="195" spans="2:18" ht="24.95" customHeight="1">
      <c r="B195" s="270">
        <v>189</v>
      </c>
      <c r="C195" s="273"/>
      <c r="D195" s="667" t="s">
        <v>3218</v>
      </c>
      <c r="E195" s="335"/>
      <c r="F195" s="270"/>
      <c r="G195" s="270"/>
      <c r="H195" s="270"/>
      <c r="I195" s="270"/>
      <c r="J195" s="227"/>
      <c r="K195"/>
      <c r="L195" s="13"/>
      <c r="M195" s="13"/>
      <c r="R195" s="152"/>
    </row>
    <row r="196" spans="2:18" ht="24.95" customHeight="1">
      <c r="B196" s="270">
        <v>190</v>
      </c>
      <c r="C196" s="273"/>
      <c r="D196" s="667" t="s">
        <v>3219</v>
      </c>
      <c r="E196" s="335"/>
      <c r="F196" s="270"/>
      <c r="G196" s="270"/>
      <c r="H196" s="270"/>
      <c r="I196" s="270"/>
      <c r="J196" s="227"/>
      <c r="K196"/>
      <c r="L196" s="13"/>
      <c r="M196" s="13"/>
      <c r="R196" s="152"/>
    </row>
    <row r="197" spans="2:18" ht="24.95" customHeight="1">
      <c r="B197" s="270">
        <v>191</v>
      </c>
      <c r="C197" s="273"/>
      <c r="D197" s="667" t="s">
        <v>3220</v>
      </c>
      <c r="E197" s="335"/>
      <c r="F197" s="270"/>
      <c r="G197" s="270"/>
      <c r="H197" s="270"/>
      <c r="I197" s="270"/>
      <c r="J197" s="227"/>
      <c r="K197"/>
      <c r="L197" s="13"/>
      <c r="M197" s="13"/>
      <c r="R197" s="152"/>
    </row>
    <row r="198" spans="2:18" ht="24.95" customHeight="1">
      <c r="B198" s="270">
        <v>192</v>
      </c>
      <c r="C198" s="273"/>
      <c r="D198" s="667" t="s">
        <v>3221</v>
      </c>
      <c r="E198" s="335"/>
      <c r="F198" s="270"/>
      <c r="G198" s="270"/>
      <c r="H198" s="270"/>
      <c r="I198" s="270"/>
      <c r="J198" s="227"/>
      <c r="K198"/>
      <c r="L198" s="13"/>
      <c r="M198" s="13"/>
      <c r="R198" s="152"/>
    </row>
    <row r="199" spans="2:18" ht="24.95" customHeight="1">
      <c r="B199" s="270">
        <v>193</v>
      </c>
      <c r="C199" s="273"/>
      <c r="D199" s="667" t="s">
        <v>3222</v>
      </c>
      <c r="E199" s="335"/>
      <c r="F199" s="270"/>
      <c r="G199" s="270"/>
      <c r="H199" s="270"/>
      <c r="I199" s="270"/>
      <c r="J199" s="227"/>
      <c r="K199"/>
      <c r="L199" s="13"/>
      <c r="M199" s="13"/>
      <c r="R199" s="152"/>
    </row>
    <row r="200" spans="2:18" ht="24.95" customHeight="1">
      <c r="B200" s="270">
        <v>194</v>
      </c>
      <c r="C200" s="273"/>
      <c r="D200" s="667" t="s">
        <v>3223</v>
      </c>
      <c r="E200" s="335"/>
      <c r="F200" s="270"/>
      <c r="G200" s="270"/>
      <c r="H200" s="270"/>
      <c r="I200" s="270"/>
      <c r="J200" s="227"/>
      <c r="K200"/>
      <c r="L200" s="13"/>
      <c r="M200" s="13"/>
      <c r="R200" s="152"/>
    </row>
    <row r="201" spans="2:18" ht="24.95" customHeight="1">
      <c r="B201" s="270">
        <v>195</v>
      </c>
      <c r="C201" s="273"/>
      <c r="D201" s="667" t="s">
        <v>3224</v>
      </c>
      <c r="E201" s="335"/>
      <c r="F201" s="270"/>
      <c r="G201" s="270"/>
      <c r="H201" s="270"/>
      <c r="I201" s="270"/>
      <c r="J201" s="227"/>
      <c r="K201"/>
      <c r="L201" s="13"/>
      <c r="M201" s="13"/>
      <c r="R201" s="152"/>
    </row>
    <row r="202" spans="2:18" ht="24.95" customHeight="1">
      <c r="B202" s="270">
        <v>196</v>
      </c>
      <c r="C202" s="273"/>
      <c r="D202" s="667" t="s">
        <v>3225</v>
      </c>
      <c r="E202" s="335"/>
      <c r="F202" s="270"/>
      <c r="G202" s="270"/>
      <c r="H202" s="270"/>
      <c r="I202" s="270"/>
      <c r="J202" s="227"/>
      <c r="K202"/>
      <c r="L202" s="13"/>
      <c r="M202" s="13"/>
      <c r="R202" s="152"/>
    </row>
    <row r="203" spans="2:18" ht="24.95" customHeight="1">
      <c r="B203" s="270">
        <v>197</v>
      </c>
      <c r="C203" s="273"/>
      <c r="D203" s="667" t="s">
        <v>3226</v>
      </c>
      <c r="E203" s="335"/>
      <c r="F203" s="270"/>
      <c r="G203" s="270"/>
      <c r="H203" s="270"/>
      <c r="I203" s="270"/>
      <c r="J203" s="227"/>
      <c r="K203"/>
      <c r="L203" s="13"/>
      <c r="M203" s="13"/>
      <c r="R203" s="152"/>
    </row>
    <row r="204" spans="2:18" ht="24.95" customHeight="1">
      <c r="B204" s="270">
        <v>198</v>
      </c>
      <c r="C204" s="273"/>
      <c r="D204" s="667" t="s">
        <v>3227</v>
      </c>
      <c r="E204" s="335"/>
      <c r="F204" s="270"/>
      <c r="G204" s="270"/>
      <c r="H204" s="270"/>
      <c r="I204" s="270"/>
      <c r="J204" s="227"/>
      <c r="K204"/>
      <c r="L204" s="13"/>
      <c r="M204" s="13"/>
      <c r="R204" s="152"/>
    </row>
    <row r="205" spans="2:18" ht="24.95" customHeight="1">
      <c r="B205" s="270">
        <v>199</v>
      </c>
      <c r="C205" s="273"/>
      <c r="D205" s="667" t="s">
        <v>3228</v>
      </c>
      <c r="E205" s="335"/>
      <c r="F205" s="270"/>
      <c r="G205" s="270"/>
      <c r="H205" s="270"/>
      <c r="I205" s="270"/>
      <c r="J205" s="227"/>
      <c r="K205"/>
      <c r="L205" s="13"/>
      <c r="M205" s="13"/>
      <c r="R205" s="152"/>
    </row>
    <row r="206" spans="2:18" ht="24.95" customHeight="1">
      <c r="B206" s="270">
        <v>200</v>
      </c>
      <c r="C206" s="273"/>
      <c r="D206" s="667" t="s">
        <v>3229</v>
      </c>
      <c r="E206" s="335"/>
      <c r="F206" s="270"/>
      <c r="G206" s="270"/>
      <c r="H206" s="270"/>
      <c r="I206" s="270"/>
      <c r="J206" s="227"/>
      <c r="K206"/>
      <c r="L206" s="13"/>
      <c r="M206" s="13"/>
      <c r="R206" s="152"/>
    </row>
    <row r="207" spans="2:18" ht="24.95" customHeight="1">
      <c r="B207" s="270">
        <v>201</v>
      </c>
      <c r="C207" s="273"/>
      <c r="D207" s="274"/>
      <c r="E207" s="335"/>
      <c r="F207" s="270"/>
      <c r="G207" s="270"/>
      <c r="H207" s="270"/>
      <c r="I207" s="270"/>
      <c r="J207" s="227"/>
      <c r="K207"/>
      <c r="L207" s="13"/>
      <c r="M207" s="13"/>
      <c r="R207" s="152"/>
    </row>
    <row r="208" spans="2:18" ht="24.95" customHeight="1">
      <c r="B208" s="270">
        <v>202</v>
      </c>
      <c r="C208" s="273"/>
      <c r="D208" s="274"/>
      <c r="E208" s="335"/>
      <c r="F208" s="270"/>
      <c r="G208" s="270"/>
      <c r="H208" s="270"/>
      <c r="I208" s="270"/>
      <c r="J208" s="227"/>
      <c r="K208"/>
      <c r="L208" s="13"/>
      <c r="M208" s="13"/>
      <c r="R208" s="152"/>
    </row>
    <row r="209" spans="2:18" ht="24.95" customHeight="1">
      <c r="B209" s="270">
        <v>203</v>
      </c>
      <c r="C209" s="273"/>
      <c r="D209" s="274"/>
      <c r="E209" s="335"/>
      <c r="F209" s="270"/>
      <c r="G209" s="270"/>
      <c r="H209" s="270"/>
      <c r="I209" s="270"/>
      <c r="J209" s="227"/>
      <c r="K209"/>
      <c r="L209" s="13"/>
      <c r="M209" s="13"/>
      <c r="R209" s="152"/>
    </row>
    <row r="210" spans="2:18" ht="24.95" customHeight="1">
      <c r="B210" s="270">
        <v>204</v>
      </c>
      <c r="C210" s="273"/>
      <c r="D210" s="274"/>
      <c r="E210" s="335"/>
      <c r="F210" s="270"/>
      <c r="G210" s="270"/>
      <c r="H210" s="270"/>
      <c r="I210" s="270"/>
      <c r="J210" s="227"/>
      <c r="K210"/>
      <c r="L210" s="13"/>
      <c r="M210" s="13"/>
      <c r="R210" s="152"/>
    </row>
    <row r="211" spans="2:18" ht="24.95" customHeight="1">
      <c r="B211" s="270">
        <v>205</v>
      </c>
      <c r="C211" s="273"/>
      <c r="D211" s="274"/>
      <c r="E211" s="335"/>
      <c r="F211" s="270"/>
      <c r="G211" s="270"/>
      <c r="H211" s="270"/>
      <c r="I211" s="270"/>
      <c r="J211" s="227"/>
      <c r="K211"/>
      <c r="L211" s="13"/>
      <c r="M211" s="13"/>
      <c r="R211" s="152"/>
    </row>
    <row r="212" spans="2:18" ht="24.95" customHeight="1">
      <c r="B212" s="270">
        <v>206</v>
      </c>
      <c r="C212" s="273"/>
      <c r="D212" s="274"/>
      <c r="E212" s="335"/>
      <c r="F212" s="270"/>
      <c r="G212" s="270"/>
      <c r="H212" s="270"/>
      <c r="I212" s="270"/>
      <c r="J212" s="227"/>
      <c r="K212"/>
      <c r="L212" s="13"/>
      <c r="M212" s="13"/>
      <c r="R212" s="152"/>
    </row>
    <row r="213" spans="2:18" ht="24.95" customHeight="1">
      <c r="B213" s="270">
        <v>207</v>
      </c>
      <c r="C213" s="273"/>
      <c r="D213" s="274"/>
      <c r="E213" s="335"/>
      <c r="F213" s="270"/>
      <c r="G213" s="270"/>
      <c r="H213" s="270"/>
      <c r="I213" s="270"/>
      <c r="J213" s="227"/>
      <c r="K213"/>
      <c r="L213" s="13"/>
      <c r="M213" s="13"/>
      <c r="R213" s="152"/>
    </row>
    <row r="214" spans="2:18" ht="24.95" customHeight="1">
      <c r="B214" s="270">
        <v>208</v>
      </c>
      <c r="C214" s="273"/>
      <c r="D214" s="274"/>
      <c r="E214" s="335"/>
      <c r="F214" s="270"/>
      <c r="G214" s="270"/>
      <c r="H214" s="270"/>
      <c r="I214" s="270"/>
      <c r="J214" s="227"/>
      <c r="K214"/>
      <c r="L214" s="13"/>
      <c r="M214" s="13"/>
      <c r="R214" s="152"/>
    </row>
    <row r="215" spans="2:18" ht="24.95" customHeight="1">
      <c r="B215" s="270">
        <v>209</v>
      </c>
      <c r="C215" s="273"/>
      <c r="D215" s="274"/>
      <c r="E215" s="335"/>
      <c r="F215" s="270"/>
      <c r="G215" s="270"/>
      <c r="H215" s="270"/>
      <c r="I215" s="270"/>
      <c r="J215" s="227"/>
      <c r="K215"/>
      <c r="L215" s="13"/>
      <c r="M215" s="13"/>
      <c r="R215" s="152"/>
    </row>
    <row r="216" spans="2:18" ht="24.95" customHeight="1">
      <c r="B216" s="270">
        <v>210</v>
      </c>
      <c r="C216" s="273"/>
      <c r="D216" s="274"/>
      <c r="E216" s="335"/>
      <c r="F216" s="270"/>
      <c r="G216" s="270"/>
      <c r="H216" s="270"/>
      <c r="I216" s="270"/>
      <c r="J216" s="227"/>
      <c r="K216"/>
      <c r="L216" s="13"/>
      <c r="M216" s="13"/>
      <c r="R216" s="152"/>
    </row>
    <row r="217" spans="2:18" ht="24.95" customHeight="1">
      <c r="B217" s="270">
        <v>211</v>
      </c>
      <c r="C217" s="273"/>
      <c r="D217" s="274"/>
      <c r="E217" s="335"/>
      <c r="F217" s="270"/>
      <c r="G217" s="270"/>
      <c r="H217" s="270"/>
      <c r="I217" s="270"/>
      <c r="J217" s="227"/>
      <c r="K217"/>
      <c r="L217" s="13"/>
      <c r="M217" s="13"/>
      <c r="R217" s="152"/>
    </row>
    <row r="218" spans="2:18" ht="24.95" customHeight="1">
      <c r="B218" s="270">
        <v>212</v>
      </c>
      <c r="C218" s="273"/>
      <c r="D218" s="274"/>
      <c r="E218" s="335"/>
      <c r="F218" s="270"/>
      <c r="G218" s="270"/>
      <c r="H218" s="270"/>
      <c r="I218" s="270"/>
      <c r="J218" s="227"/>
      <c r="K218"/>
      <c r="L218" s="13"/>
      <c r="M218" s="13"/>
      <c r="R218" s="152"/>
    </row>
    <row r="219" spans="2:18" ht="24.95" customHeight="1">
      <c r="B219" s="270">
        <v>213</v>
      </c>
      <c r="C219" s="273"/>
      <c r="D219" s="274"/>
      <c r="E219" s="335"/>
      <c r="F219" s="270"/>
      <c r="G219" s="270"/>
      <c r="H219" s="270"/>
      <c r="I219" s="270"/>
      <c r="J219" s="227"/>
      <c r="K219"/>
      <c r="L219" s="13"/>
      <c r="M219" s="13"/>
      <c r="R219" s="152"/>
    </row>
    <row r="220" spans="2:18" ht="24.95" customHeight="1">
      <c r="B220" s="270">
        <v>214</v>
      </c>
      <c r="C220" s="273"/>
      <c r="D220" s="274"/>
      <c r="E220" s="335"/>
      <c r="F220" s="270"/>
      <c r="G220" s="270"/>
      <c r="H220" s="270"/>
      <c r="I220" s="270"/>
      <c r="J220" s="227"/>
      <c r="K220"/>
      <c r="L220" s="13"/>
      <c r="M220" s="13"/>
      <c r="R220" s="152"/>
    </row>
    <row r="221" spans="2:18" ht="24.95" customHeight="1">
      <c r="B221" s="270">
        <v>215</v>
      </c>
      <c r="C221" s="273"/>
      <c r="D221" s="274"/>
      <c r="E221" s="335"/>
      <c r="F221" s="270"/>
      <c r="G221" s="270"/>
      <c r="H221" s="270"/>
      <c r="I221" s="270"/>
      <c r="J221" s="227"/>
      <c r="K221"/>
      <c r="L221" s="13"/>
      <c r="M221" s="13"/>
      <c r="R221" s="152"/>
    </row>
    <row r="222" spans="2:18" ht="24.95" customHeight="1">
      <c r="B222" s="270">
        <v>216</v>
      </c>
      <c r="C222" s="273"/>
      <c r="D222" s="274"/>
      <c r="E222" s="335"/>
      <c r="F222" s="270"/>
      <c r="G222" s="270"/>
      <c r="H222" s="270"/>
      <c r="I222" s="270"/>
      <c r="J222" s="227"/>
      <c r="K222"/>
      <c r="L222" s="13"/>
      <c r="M222" s="13"/>
      <c r="R222" s="152"/>
    </row>
    <row r="223" spans="2:18" ht="24.95" customHeight="1">
      <c r="B223" s="270">
        <v>217</v>
      </c>
      <c r="C223" s="273"/>
      <c r="D223" s="274"/>
      <c r="E223" s="335"/>
      <c r="F223" s="270"/>
      <c r="G223" s="270"/>
      <c r="H223" s="270"/>
      <c r="I223" s="270"/>
      <c r="J223" s="227"/>
      <c r="K223"/>
      <c r="L223" s="13"/>
      <c r="M223" s="13"/>
      <c r="R223" s="152"/>
    </row>
    <row r="224" spans="2:18" ht="24.95" customHeight="1">
      <c r="B224" s="270">
        <v>218</v>
      </c>
      <c r="C224" s="273"/>
      <c r="D224" s="274"/>
      <c r="E224" s="335"/>
      <c r="F224" s="270"/>
      <c r="G224" s="270"/>
      <c r="H224" s="270"/>
      <c r="I224" s="270"/>
      <c r="J224" s="227"/>
      <c r="K224"/>
      <c r="L224" s="13"/>
      <c r="M224" s="13"/>
      <c r="R224" s="152"/>
    </row>
    <row r="225" spans="2:18" ht="24.95" customHeight="1">
      <c r="B225" s="270">
        <v>219</v>
      </c>
      <c r="C225" s="273"/>
      <c r="D225" s="274"/>
      <c r="E225" s="335"/>
      <c r="F225" s="270"/>
      <c r="G225" s="270"/>
      <c r="H225" s="270"/>
      <c r="I225" s="270"/>
      <c r="J225" s="227"/>
      <c r="K225"/>
      <c r="L225" s="13"/>
      <c r="M225" s="13"/>
      <c r="R225" s="152"/>
    </row>
    <row r="226" spans="2:18" ht="24.95" customHeight="1">
      <c r="B226" s="270">
        <v>220</v>
      </c>
      <c r="C226" s="273"/>
      <c r="D226" s="274"/>
      <c r="E226" s="335"/>
      <c r="F226" s="270"/>
      <c r="G226" s="270"/>
      <c r="H226" s="270"/>
      <c r="I226" s="270"/>
      <c r="J226" s="227"/>
      <c r="K226"/>
      <c r="L226" s="13"/>
      <c r="M226" s="13"/>
      <c r="R226" s="152"/>
    </row>
    <row r="227" spans="2:18" ht="24.95" customHeight="1">
      <c r="B227" s="270">
        <v>221</v>
      </c>
      <c r="C227" s="273"/>
      <c r="D227" s="274"/>
      <c r="E227" s="335"/>
      <c r="F227" s="270"/>
      <c r="G227" s="270"/>
      <c r="H227" s="270"/>
      <c r="I227" s="270"/>
      <c r="J227" s="227"/>
      <c r="K227"/>
      <c r="L227" s="13"/>
      <c r="M227" s="13"/>
      <c r="R227" s="152"/>
    </row>
    <row r="228" spans="2:18" ht="24.95" customHeight="1">
      <c r="B228" s="270">
        <v>222</v>
      </c>
      <c r="C228" s="273"/>
      <c r="D228" s="274"/>
      <c r="E228" s="335"/>
      <c r="F228" s="270"/>
      <c r="G228" s="270"/>
      <c r="H228" s="270"/>
      <c r="I228" s="270"/>
      <c r="J228" s="227"/>
      <c r="K228"/>
      <c r="L228" s="13"/>
      <c r="M228" s="13"/>
      <c r="R228" s="152"/>
    </row>
    <row r="229" spans="2:18" ht="24.95" customHeight="1">
      <c r="B229" s="270">
        <v>223</v>
      </c>
      <c r="C229" s="273"/>
      <c r="D229" s="274"/>
      <c r="E229" s="335"/>
      <c r="F229" s="270"/>
      <c r="G229" s="270"/>
      <c r="H229" s="270"/>
      <c r="I229" s="270"/>
      <c r="J229" s="227"/>
      <c r="K229"/>
      <c r="L229" s="13"/>
      <c r="M229" s="13"/>
      <c r="R229" s="152"/>
    </row>
    <row r="230" spans="2:18" ht="24.95" customHeight="1">
      <c r="B230" s="270">
        <v>224</v>
      </c>
      <c r="C230" s="273"/>
      <c r="D230" s="274"/>
      <c r="E230" s="335"/>
      <c r="F230" s="270"/>
      <c r="G230" s="270"/>
      <c r="H230" s="270"/>
      <c r="I230" s="270"/>
      <c r="J230" s="227"/>
      <c r="K230"/>
      <c r="L230" s="13"/>
      <c r="M230" s="13"/>
      <c r="R230" s="152"/>
    </row>
    <row r="231" spans="2:18" ht="24.95" customHeight="1">
      <c r="B231" s="270">
        <v>225</v>
      </c>
      <c r="C231" s="273"/>
      <c r="D231" s="274"/>
      <c r="E231" s="335"/>
      <c r="F231" s="270"/>
      <c r="G231" s="270"/>
      <c r="H231" s="270"/>
      <c r="I231" s="270"/>
      <c r="J231" s="227"/>
      <c r="K231"/>
      <c r="L231" s="13"/>
      <c r="M231" s="13"/>
      <c r="R231" s="152"/>
    </row>
    <row r="232" spans="2:18" ht="24.95" customHeight="1">
      <c r="B232" s="270">
        <v>226</v>
      </c>
      <c r="C232" s="273" t="str">
        <f t="shared" si="1"/>
        <v/>
      </c>
      <c r="D232" s="274"/>
      <c r="E232" s="335"/>
      <c r="F232" s="270"/>
      <c r="G232" s="270"/>
      <c r="H232" s="270"/>
      <c r="I232" s="270"/>
      <c r="J232" s="300"/>
      <c r="L232" s="13"/>
      <c r="M232" s="13"/>
      <c r="R232" s="152"/>
    </row>
    <row r="233" spans="2:18" ht="24.95" customHeight="1">
      <c r="B233" s="270">
        <v>227</v>
      </c>
      <c r="C233" s="273" t="str">
        <f t="shared" si="1"/>
        <v/>
      </c>
      <c r="D233" s="274"/>
      <c r="E233" s="335"/>
      <c r="F233" s="270"/>
      <c r="G233" s="270"/>
      <c r="H233" s="270"/>
      <c r="I233" s="270"/>
      <c r="J233" s="300"/>
      <c r="L233" s="13"/>
      <c r="M233" s="13"/>
      <c r="R233" s="152"/>
    </row>
    <row r="234" spans="2:18" ht="24.95" customHeight="1">
      <c r="B234" s="270">
        <v>228</v>
      </c>
      <c r="C234" s="273" t="str">
        <f t="shared" si="1"/>
        <v/>
      </c>
      <c r="D234" s="274"/>
      <c r="E234" s="335"/>
      <c r="F234" s="270"/>
      <c r="G234" s="270"/>
      <c r="H234" s="270"/>
      <c r="I234" s="270"/>
      <c r="J234" s="300"/>
      <c r="R234" s="152"/>
    </row>
    <row r="235" spans="2:18" ht="24.95" customHeight="1">
      <c r="B235" s="270">
        <v>229</v>
      </c>
      <c r="C235" s="273" t="str">
        <f t="shared" si="1"/>
        <v/>
      </c>
      <c r="D235" s="274"/>
      <c r="E235" s="335"/>
      <c r="F235" s="270"/>
      <c r="G235" s="270"/>
      <c r="H235" s="270"/>
      <c r="I235" s="270"/>
      <c r="J235" s="300"/>
      <c r="R235" s="152"/>
    </row>
    <row r="236" spans="2:18" ht="24.95" customHeight="1">
      <c r="B236" s="270">
        <v>230</v>
      </c>
      <c r="C236" s="273" t="str">
        <f t="shared" si="1"/>
        <v/>
      </c>
      <c r="D236" s="274"/>
      <c r="E236" s="335"/>
      <c r="F236" s="270"/>
      <c r="G236" s="270"/>
      <c r="H236" s="270"/>
      <c r="I236" s="270"/>
      <c r="J236" s="300"/>
      <c r="R236" s="152"/>
    </row>
    <row r="237" spans="2:18" ht="24.95" customHeight="1">
      <c r="B237" s="270">
        <v>231</v>
      </c>
      <c r="C237" s="273" t="str">
        <f t="shared" si="1"/>
        <v/>
      </c>
      <c r="D237" s="274"/>
      <c r="E237" s="335"/>
      <c r="F237" s="270"/>
      <c r="G237" s="270"/>
      <c r="H237" s="270"/>
      <c r="I237" s="270"/>
      <c r="J237" s="300"/>
      <c r="R237" s="152"/>
    </row>
    <row r="238" spans="2:18" ht="24.95" customHeight="1">
      <c r="B238" s="270">
        <v>232</v>
      </c>
      <c r="C238" s="273" t="str">
        <f t="shared" si="1"/>
        <v/>
      </c>
      <c r="D238" s="274"/>
      <c r="E238" s="335"/>
      <c r="F238" s="270"/>
      <c r="G238" s="270"/>
      <c r="H238" s="270"/>
      <c r="I238" s="270"/>
      <c r="J238" s="300"/>
    </row>
    <row r="239" spans="2:18" ht="24.95" customHeight="1">
      <c r="B239" s="270">
        <v>233</v>
      </c>
      <c r="C239" s="273" t="str">
        <f t="shared" si="1"/>
        <v/>
      </c>
      <c r="D239" s="274"/>
      <c r="E239" s="335"/>
      <c r="F239" s="270"/>
      <c r="G239" s="270"/>
      <c r="H239" s="270"/>
      <c r="I239" s="270"/>
      <c r="J239" s="300"/>
    </row>
    <row r="240" spans="2:18" ht="24.95" customHeight="1">
      <c r="B240" s="270">
        <v>234</v>
      </c>
      <c r="C240" s="273" t="str">
        <f t="shared" si="1"/>
        <v/>
      </c>
      <c r="D240" s="274"/>
      <c r="E240" s="335"/>
      <c r="F240" s="270"/>
      <c r="G240" s="270"/>
      <c r="H240" s="270"/>
      <c r="I240" s="270"/>
      <c r="J240" s="300"/>
    </row>
    <row r="241" spans="2:11" ht="24.95" customHeight="1">
      <c r="B241" s="270">
        <v>235</v>
      </c>
      <c r="C241" s="271" t="str">
        <f t="shared" si="1"/>
        <v/>
      </c>
      <c r="D241" s="272"/>
      <c r="E241" s="275"/>
      <c r="F241" s="269"/>
      <c r="G241" s="271"/>
      <c r="H241" s="269"/>
      <c r="I241" s="271"/>
      <c r="J241" s="300"/>
      <c r="K241" s="139"/>
    </row>
    <row r="242" spans="2:11" ht="24.95" customHeight="1">
      <c r="B242" s="270">
        <v>236</v>
      </c>
      <c r="C242" s="261" t="str">
        <f t="shared" si="1"/>
        <v/>
      </c>
      <c r="D242" s="262"/>
      <c r="E242" s="275"/>
      <c r="F242" s="197"/>
      <c r="G242" s="261"/>
      <c r="H242" s="197"/>
      <c r="I242" s="261"/>
      <c r="J242" s="300"/>
      <c r="K242" s="139"/>
    </row>
    <row r="243" spans="2:11" ht="24.95" customHeight="1">
      <c r="B243" s="270">
        <v>237</v>
      </c>
      <c r="C243" s="261" t="str">
        <f t="shared" si="1"/>
        <v/>
      </c>
      <c r="D243" s="262"/>
      <c r="E243" s="275"/>
      <c r="F243" s="197"/>
      <c r="G243" s="261"/>
      <c r="H243" s="197"/>
      <c r="I243" s="261"/>
      <c r="J243" s="300"/>
      <c r="K243" s="139"/>
    </row>
    <row r="244" spans="2:11" ht="24.95" customHeight="1">
      <c r="B244" s="270">
        <v>238</v>
      </c>
      <c r="C244" s="261" t="str">
        <f t="shared" si="1"/>
        <v/>
      </c>
      <c r="D244" s="262"/>
      <c r="E244" s="275"/>
      <c r="F244" s="197"/>
      <c r="G244" s="261"/>
      <c r="H244" s="197"/>
      <c r="I244" s="261"/>
      <c r="J244" s="300"/>
      <c r="K244" s="139"/>
    </row>
    <row r="245" spans="2:11" ht="24.95" customHeight="1">
      <c r="B245" s="270">
        <v>239</v>
      </c>
      <c r="C245" s="261" t="str">
        <f t="shared" si="1"/>
        <v/>
      </c>
      <c r="D245" s="262"/>
      <c r="E245" s="275"/>
      <c r="F245" s="197"/>
      <c r="G245" s="261"/>
      <c r="H245" s="197"/>
      <c r="I245" s="261"/>
      <c r="J245" s="300"/>
      <c r="K245" s="139"/>
    </row>
    <row r="246" spans="2:11" ht="24.95" customHeight="1">
      <c r="B246" s="270">
        <v>240</v>
      </c>
      <c r="C246" s="261" t="str">
        <f t="shared" si="1"/>
        <v/>
      </c>
      <c r="D246" s="262"/>
      <c r="E246" s="275"/>
      <c r="F246" s="197"/>
      <c r="G246" s="261"/>
      <c r="H246" s="197"/>
      <c r="I246" s="261"/>
      <c r="J246" s="300"/>
      <c r="K246" s="139"/>
    </row>
    <row r="247" spans="2:11" ht="24.95" customHeight="1">
      <c r="B247" s="270">
        <v>241</v>
      </c>
      <c r="C247" s="261"/>
      <c r="D247" s="262"/>
      <c r="E247" s="275"/>
      <c r="F247" s="197"/>
      <c r="G247" s="261"/>
      <c r="H247" s="197"/>
      <c r="I247" s="261"/>
      <c r="J247" s="300"/>
      <c r="K247" s="139"/>
    </row>
    <row r="248" spans="2:11" ht="24.95" customHeight="1">
      <c r="B248" s="270">
        <v>242</v>
      </c>
      <c r="C248" s="261"/>
      <c r="D248" s="262"/>
      <c r="E248" s="275"/>
      <c r="F248" s="197"/>
      <c r="G248" s="261"/>
      <c r="H248" s="197"/>
      <c r="I248" s="261"/>
      <c r="J248" s="300"/>
      <c r="K248" s="139"/>
    </row>
    <row r="249" spans="2:11" ht="24.95" customHeight="1">
      <c r="B249" s="270">
        <v>243</v>
      </c>
      <c r="C249" s="261"/>
      <c r="D249" s="262"/>
      <c r="E249" s="275"/>
      <c r="F249" s="197"/>
      <c r="G249" s="261"/>
      <c r="H249" s="197"/>
      <c r="I249" s="261"/>
      <c r="J249" s="300"/>
      <c r="K249" s="139"/>
    </row>
    <row r="250" spans="2:11" ht="24.95" customHeight="1">
      <c r="B250" s="270">
        <v>244</v>
      </c>
      <c r="C250" s="261"/>
      <c r="D250" s="262"/>
      <c r="E250" s="275"/>
      <c r="F250" s="197"/>
      <c r="G250" s="261"/>
      <c r="H250" s="197"/>
      <c r="I250" s="261"/>
      <c r="J250" s="300"/>
      <c r="K250" s="139"/>
    </row>
    <row r="251" spans="2:11" ht="24.95" customHeight="1">
      <c r="B251" s="270">
        <v>245</v>
      </c>
      <c r="C251" s="261"/>
      <c r="D251" s="262"/>
      <c r="E251" s="275"/>
      <c r="F251" s="197"/>
      <c r="G251" s="261"/>
      <c r="H251" s="197"/>
      <c r="I251" s="261"/>
      <c r="J251" s="300"/>
      <c r="K251" s="139"/>
    </row>
    <row r="252" spans="2:11" ht="24.95" customHeight="1">
      <c r="B252" s="270">
        <v>246</v>
      </c>
      <c r="C252" s="261"/>
      <c r="D252" s="262"/>
      <c r="E252" s="275"/>
      <c r="F252" s="197"/>
      <c r="G252" s="261"/>
      <c r="H252" s="197"/>
      <c r="I252" s="261"/>
      <c r="J252" s="300"/>
      <c r="K252" s="139"/>
    </row>
    <row r="253" spans="2:11" ht="24.95" customHeight="1">
      <c r="B253" s="270">
        <v>247</v>
      </c>
      <c r="C253" s="261"/>
      <c r="D253" s="262"/>
      <c r="E253" s="275"/>
      <c r="F253" s="197"/>
      <c r="G253" s="261"/>
      <c r="H253" s="197"/>
      <c r="I253" s="261"/>
      <c r="J253" s="300"/>
      <c r="K253" s="139"/>
    </row>
    <row r="254" spans="2:11" ht="24.95" customHeight="1">
      <c r="B254" s="270">
        <v>248</v>
      </c>
      <c r="C254" s="261" t="str">
        <f t="shared" si="1"/>
        <v/>
      </c>
      <c r="D254" s="262"/>
      <c r="E254" s="275"/>
      <c r="F254" s="197"/>
      <c r="G254" s="261"/>
      <c r="H254" s="197"/>
      <c r="I254" s="261"/>
      <c r="J254" s="300"/>
      <c r="K254" s="139"/>
    </row>
    <row r="255" spans="2:11" ht="24.95" customHeight="1">
      <c r="B255" s="270">
        <v>249</v>
      </c>
      <c r="C255" s="261"/>
      <c r="D255" s="262"/>
      <c r="E255" s="275"/>
      <c r="F255" s="197"/>
      <c r="G255" s="261"/>
      <c r="H255" s="197"/>
      <c r="I255" s="261"/>
      <c r="J255" s="300"/>
      <c r="K255" s="139"/>
    </row>
    <row r="256" spans="2:11" ht="24.95" customHeight="1">
      <c r="B256" s="270">
        <v>250</v>
      </c>
      <c r="C256" s="261"/>
      <c r="D256" s="262"/>
      <c r="E256" s="275"/>
      <c r="F256" s="197"/>
      <c r="G256" s="261"/>
      <c r="H256" s="197"/>
      <c r="I256" s="261"/>
      <c r="J256" s="300"/>
      <c r="K256" s="139"/>
    </row>
    <row r="257" spans="2:22" ht="24.95" customHeight="1">
      <c r="B257" s="270">
        <v>251</v>
      </c>
      <c r="C257" s="261"/>
      <c r="D257" s="262"/>
      <c r="E257" s="275"/>
      <c r="F257" s="197"/>
      <c r="G257" s="261"/>
      <c r="H257" s="197"/>
      <c r="I257" s="261"/>
      <c r="J257" s="300"/>
      <c r="K257" s="139"/>
    </row>
    <row r="258" spans="2:22" ht="24.95" customHeight="1">
      <c r="B258" s="270">
        <v>252</v>
      </c>
      <c r="C258" s="261"/>
      <c r="D258" s="262"/>
      <c r="E258" s="275"/>
      <c r="F258" s="197"/>
      <c r="G258" s="261"/>
      <c r="H258" s="197"/>
      <c r="I258" s="261"/>
      <c r="J258" s="300"/>
      <c r="K258" s="139"/>
    </row>
    <row r="259" spans="2:22" ht="24.95" customHeight="1">
      <c r="B259" s="270">
        <v>253</v>
      </c>
      <c r="C259" s="261"/>
      <c r="D259" s="262"/>
      <c r="E259" s="275"/>
      <c r="F259" s="197"/>
      <c r="G259" s="261"/>
      <c r="H259" s="197"/>
      <c r="I259" s="261"/>
      <c r="J259" s="300"/>
      <c r="K259" s="139"/>
    </row>
    <row r="260" spans="2:22" ht="24.95" customHeight="1">
      <c r="B260" s="270">
        <v>254</v>
      </c>
      <c r="C260" s="261"/>
      <c r="D260" s="262"/>
      <c r="E260" s="275"/>
      <c r="F260" s="197"/>
      <c r="G260" s="261"/>
      <c r="H260" s="197"/>
      <c r="I260" s="261"/>
      <c r="J260" s="300"/>
      <c r="K260" s="139"/>
    </row>
    <row r="261" spans="2:22" ht="24.95" customHeight="1">
      <c r="B261" s="270">
        <v>255</v>
      </c>
      <c r="C261" s="261" t="str">
        <f t="shared" si="1"/>
        <v/>
      </c>
      <c r="D261" s="262"/>
      <c r="E261" s="275"/>
      <c r="F261" s="197"/>
      <c r="G261" s="261"/>
      <c r="H261" s="197"/>
      <c r="I261" s="261"/>
      <c r="J261" s="300"/>
      <c r="K261" s="139"/>
    </row>
    <row r="262" spans="2:22" ht="24.95" customHeight="1">
      <c r="B262" s="270">
        <v>256</v>
      </c>
      <c r="C262" s="261" t="str">
        <f t="shared" si="1"/>
        <v/>
      </c>
      <c r="D262" s="262"/>
      <c r="E262" s="275"/>
      <c r="F262" s="197"/>
      <c r="G262" s="261"/>
      <c r="H262" s="197"/>
      <c r="I262" s="261"/>
      <c r="J262" s="300"/>
      <c r="K262" s="139"/>
    </row>
    <row r="263" spans="2:22" ht="24.95" customHeight="1">
      <c r="B263" s="270">
        <v>257</v>
      </c>
      <c r="C263" s="261" t="str">
        <f>IFERROR(IF(D263&lt;&gt;"",VLOOKUP(MID(D263,1,2),product_list,2,FALSE),""),"")</f>
        <v/>
      </c>
      <c r="D263" s="262"/>
      <c r="E263" s="275"/>
      <c r="F263" s="197"/>
      <c r="G263" s="261"/>
      <c r="H263" s="197"/>
      <c r="I263" s="261"/>
      <c r="J263" s="300"/>
      <c r="K263" s="139"/>
    </row>
    <row r="264" spans="2:22" ht="24.95" customHeight="1">
      <c r="B264" s="270">
        <v>258</v>
      </c>
      <c r="C264" s="261" t="str">
        <f>IFERROR(IF(D264&lt;&gt;"",VLOOKUP(MID(D264,1,2),product_list,2,FALSE),""),"")</f>
        <v/>
      </c>
      <c r="D264" s="262"/>
      <c r="E264" s="275"/>
      <c r="F264" s="197"/>
      <c r="G264" s="261"/>
      <c r="H264" s="197"/>
      <c r="I264" s="261"/>
      <c r="J264" s="300"/>
      <c r="K264" s="139"/>
    </row>
    <row r="265" spans="2:22" ht="24.95" customHeight="1">
      <c r="B265" s="270">
        <v>259</v>
      </c>
      <c r="C265" s="261" t="str">
        <f>IFERROR(IF(D265&lt;&gt;"",VLOOKUP(MID(D265,1,2),product_list,2,FALSE),""),"")</f>
        <v/>
      </c>
      <c r="D265" s="262"/>
      <c r="E265" s="275"/>
      <c r="F265" s="197"/>
      <c r="G265" s="261"/>
      <c r="H265" s="197"/>
      <c r="I265" s="261"/>
      <c r="J265" s="300"/>
      <c r="K265" s="139"/>
    </row>
    <row r="266" spans="2:22" ht="24.95" customHeight="1">
      <c r="B266" s="270">
        <v>260</v>
      </c>
      <c r="C266" s="261" t="str">
        <f>IFERROR(IF(D266&lt;&gt;"",VLOOKUP(MID(D266,1,2),product_list,2,FALSE),""),"")</f>
        <v/>
      </c>
      <c r="D266" s="262"/>
      <c r="E266" s="275"/>
      <c r="F266" s="268"/>
      <c r="G266" s="276"/>
      <c r="H266" s="268"/>
      <c r="I266" s="276"/>
      <c r="J266" s="300"/>
      <c r="K266" s="139"/>
    </row>
    <row r="267" spans="2:22" ht="26.25" customHeight="1">
      <c r="B267" s="258"/>
      <c r="C267" s="187"/>
      <c r="E267" s="204" t="s">
        <v>1538</v>
      </c>
      <c r="F267" s="270"/>
      <c r="G267" s="270"/>
      <c r="H267" s="270"/>
      <c r="I267" s="270"/>
      <c r="J267" s="181"/>
      <c r="K267"/>
    </row>
    <row r="268" spans="2:22" s="13" customFormat="1">
      <c r="B268" s="169"/>
      <c r="C268" s="169"/>
      <c r="E268" s="169"/>
      <c r="F268" s="143"/>
      <c r="G268" s="143"/>
      <c r="H268" s="143"/>
      <c r="I268" s="143"/>
      <c r="J268" s="299"/>
      <c r="K268" s="221"/>
      <c r="R268"/>
      <c r="S268"/>
      <c r="T268"/>
      <c r="U268"/>
      <c r="V268"/>
    </row>
    <row r="269" spans="2:22" s="13" customFormat="1">
      <c r="B269" s="169"/>
      <c r="C269" s="169"/>
      <c r="D269" s="169"/>
      <c r="E269" s="169"/>
      <c r="F269" s="143"/>
      <c r="G269" s="143"/>
      <c r="H269" s="143"/>
      <c r="I269" s="143"/>
      <c r="J269" s="299"/>
      <c r="K269" s="221"/>
      <c r="R269"/>
      <c r="S269"/>
      <c r="T269"/>
      <c r="U269"/>
      <c r="V269"/>
    </row>
    <row r="270" spans="2:22" s="13" customFormat="1">
      <c r="B270" s="169"/>
      <c r="C270" s="169"/>
      <c r="D270" s="169"/>
      <c r="E270" s="169"/>
      <c r="F270" s="143"/>
      <c r="G270" s="143"/>
      <c r="H270" s="169"/>
      <c r="I270" s="143"/>
      <c r="J270" s="299"/>
      <c r="K270" s="221"/>
      <c r="R270"/>
      <c r="S270"/>
      <c r="T270"/>
      <c r="U270"/>
      <c r="V270"/>
    </row>
    <row r="271" spans="2:22" s="13" customFormat="1" ht="25.5">
      <c r="C271" s="169"/>
      <c r="D271" s="169"/>
      <c r="E271" s="169"/>
      <c r="F271" s="143"/>
      <c r="G271" s="143"/>
      <c r="H271" s="143"/>
      <c r="I271" s="225"/>
      <c r="J271" s="299"/>
      <c r="K271" s="226"/>
      <c r="L271" s="223"/>
      <c r="M271" s="223"/>
      <c r="N271" s="223"/>
      <c r="R271"/>
      <c r="S271"/>
      <c r="T271"/>
      <c r="U271"/>
      <c r="V271"/>
    </row>
    <row r="272" spans="2:22" s="13" customFormat="1" ht="25.5">
      <c r="B272" s="169"/>
      <c r="C272" s="169"/>
      <c r="D272" s="169"/>
      <c r="E272" s="169"/>
      <c r="F272" s="143"/>
      <c r="G272" s="143"/>
      <c r="H272" s="143"/>
      <c r="I272" s="225"/>
      <c r="J272" s="301"/>
      <c r="K272" s="226"/>
      <c r="L272" s="223"/>
      <c r="M272" s="223"/>
      <c r="N272" s="223"/>
      <c r="R272"/>
      <c r="S272"/>
      <c r="T272"/>
      <c r="U272"/>
      <c r="V272"/>
    </row>
    <row r="273" spans="2:22" s="13" customFormat="1" ht="25.5">
      <c r="B273" s="169"/>
      <c r="C273" s="169"/>
      <c r="D273" s="169"/>
      <c r="E273" s="169"/>
      <c r="F273" s="143"/>
      <c r="G273" s="143"/>
      <c r="H273" s="143"/>
      <c r="I273" s="225"/>
      <c r="J273" s="301"/>
      <c r="K273" s="221"/>
      <c r="L273" s="223"/>
      <c r="M273" s="223"/>
      <c r="N273" s="223"/>
      <c r="R273"/>
      <c r="S273"/>
      <c r="T273"/>
      <c r="U273"/>
      <c r="V273"/>
    </row>
    <row r="274" spans="2:22" s="13" customFormat="1" ht="25.5">
      <c r="B274" s="169"/>
      <c r="C274" s="169"/>
      <c r="D274" s="169"/>
      <c r="E274" s="169"/>
      <c r="F274" s="143"/>
      <c r="G274" s="143"/>
      <c r="H274" s="143"/>
      <c r="I274" s="225"/>
      <c r="J274" s="301"/>
      <c r="K274" s="221"/>
      <c r="M274" s="223"/>
      <c r="N274" s="223"/>
      <c r="R274"/>
      <c r="S274"/>
      <c r="T274"/>
      <c r="U274"/>
      <c r="V274"/>
    </row>
    <row r="275" spans="2:22" s="13" customFormat="1" ht="25.5" hidden="1">
      <c r="B275" s="169"/>
      <c r="C275" s="169"/>
      <c r="D275" s="169"/>
      <c r="E275" s="169"/>
      <c r="F275" s="143"/>
      <c r="G275" s="143"/>
      <c r="H275" s="143"/>
      <c r="I275" s="225"/>
      <c r="J275" s="301"/>
      <c r="K275" s="221"/>
      <c r="L275" s="223"/>
      <c r="M275" s="223"/>
      <c r="N275" s="223"/>
      <c r="R275"/>
      <c r="S275"/>
      <c r="T275"/>
      <c r="U275"/>
      <c r="V275"/>
    </row>
    <row r="276" spans="2:22" s="13" customFormat="1" hidden="1">
      <c r="B276" s="169"/>
      <c r="C276" s="169"/>
      <c r="D276" s="169"/>
      <c r="E276" s="169"/>
      <c r="F276" s="143"/>
      <c r="H276" s="143"/>
      <c r="I276" s="143"/>
      <c r="J276" s="299"/>
      <c r="K276" s="221"/>
      <c r="R276"/>
      <c r="S276"/>
      <c r="T276"/>
      <c r="U276"/>
      <c r="V276"/>
    </row>
    <row r="277" spans="2:22" s="13" customFormat="1" hidden="1">
      <c r="B277" s="169"/>
      <c r="C277" s="169"/>
      <c r="D277" s="169"/>
      <c r="E277" s="169"/>
      <c r="F277" s="143"/>
      <c r="G277" s="143"/>
      <c r="H277" s="143"/>
      <c r="I277" s="143"/>
      <c r="J277" s="299"/>
      <c r="K277" s="221"/>
      <c r="R277"/>
      <c r="S277"/>
      <c r="T277"/>
      <c r="U277"/>
      <c r="V277"/>
    </row>
    <row r="278" spans="2:22" s="13" customFormat="1" ht="23.25" hidden="1" customHeight="1">
      <c r="B278" s="169"/>
      <c r="C278" s="169"/>
      <c r="D278" s="169"/>
      <c r="E278" s="169"/>
      <c r="F278" s="143"/>
      <c r="G278" s="143"/>
      <c r="H278" s="143"/>
      <c r="I278" s="143"/>
      <c r="J278" s="299"/>
      <c r="K278" s="221"/>
      <c r="R278"/>
      <c r="S278"/>
      <c r="T278"/>
      <c r="U278"/>
      <c r="V278"/>
    </row>
    <row r="279" spans="2:22" s="13" customFormat="1" ht="10.5" hidden="1" customHeight="1">
      <c r="B279" s="260"/>
      <c r="C279" s="194"/>
      <c r="D279" s="194"/>
      <c r="E279" s="194"/>
      <c r="F279" s="194"/>
      <c r="G279" s="194"/>
      <c r="H279" s="194"/>
      <c r="I279" s="194"/>
      <c r="J279" s="299"/>
      <c r="K279" s="221"/>
      <c r="R279"/>
      <c r="S279"/>
      <c r="T279"/>
      <c r="U279"/>
      <c r="V279"/>
    </row>
    <row r="280" spans="2:22" s="13" customFormat="1" ht="61.5" customHeight="1">
      <c r="B280" s="1872" t="str">
        <f>"របាយការណ៍ស្តុកសរុប"&amp;$N$3</f>
        <v>របាយការណ៍ស្តុកសរុប2026</v>
      </c>
      <c r="C280" s="1872"/>
      <c r="D280" s="1872"/>
      <c r="E280" s="1872"/>
      <c r="F280" s="1872"/>
      <c r="G280" s="1872"/>
      <c r="H280" s="1872"/>
      <c r="I280" s="1872"/>
      <c r="J280" s="299"/>
      <c r="K280" s="221"/>
      <c r="R280"/>
      <c r="S280"/>
      <c r="T280"/>
      <c r="U280"/>
      <c r="V280"/>
    </row>
    <row r="281" spans="2:22" s="13" customFormat="1" ht="36.75" customHeight="1">
      <c r="B281" s="1869" t="str">
        <f>"ចាប់ពីខែ ( "&amp;$N$5&amp;" - "&amp;DAY($O$4)&amp;"/"&amp;$M$3&amp;"/"&amp;YEAR($O$4)&amp;" )"</f>
        <v>ចាប់ពីខែ ( 01/01/2026 - 31/07/2026 )</v>
      </c>
      <c r="C281" s="1869"/>
      <c r="D281" s="1869"/>
      <c r="E281" s="1869"/>
      <c r="F281" s="1869"/>
      <c r="G281" s="1869"/>
      <c r="H281" s="1869"/>
      <c r="I281" s="1869"/>
      <c r="J281" s="299"/>
      <c r="K281" s="221"/>
      <c r="R281"/>
      <c r="S281"/>
      <c r="T281"/>
      <c r="U281"/>
      <c r="V281"/>
    </row>
    <row r="282" spans="2:22" s="13" customFormat="1" ht="25.5">
      <c r="B282" s="279" t="s">
        <v>47</v>
      </c>
      <c r="C282" s="279" t="s">
        <v>92</v>
      </c>
      <c r="D282" s="279" t="s">
        <v>60</v>
      </c>
      <c r="E282" s="279" t="s">
        <v>61</v>
      </c>
      <c r="F282" s="279" t="str">
        <f>"ស្តុកចុងឆ្នាំ"&amp;N3-1</f>
        <v>ស្តុកចុងឆ្នាំ2025</v>
      </c>
      <c r="G282" s="279" t="s">
        <v>206</v>
      </c>
      <c r="H282" s="279" t="s">
        <v>207</v>
      </c>
      <c r="I282" s="279" t="s">
        <v>93</v>
      </c>
      <c r="J282" s="302" t="s">
        <v>210</v>
      </c>
      <c r="K282" s="221"/>
      <c r="R282"/>
      <c r="S282"/>
      <c r="T282"/>
      <c r="U282"/>
      <c r="V282"/>
    </row>
    <row r="283" spans="2:22" s="13" customFormat="1" ht="20.25" customHeight="1">
      <c r="B283" s="280" t="s">
        <v>10</v>
      </c>
      <c r="C283" s="280" t="s">
        <v>94</v>
      </c>
      <c r="D283" s="280" t="s">
        <v>66</v>
      </c>
      <c r="E283" s="280" t="s">
        <v>14</v>
      </c>
      <c r="F283" s="280" t="s">
        <v>95</v>
      </c>
      <c r="G283" s="280" t="s">
        <v>96</v>
      </c>
      <c r="H283" s="280" t="s">
        <v>181</v>
      </c>
      <c r="I283" s="280" t="s">
        <v>97</v>
      </c>
      <c r="J283" s="303" t="s">
        <v>211</v>
      </c>
      <c r="K283" s="221"/>
      <c r="R283"/>
      <c r="S283"/>
      <c r="T283"/>
      <c r="U283"/>
      <c r="V283"/>
    </row>
    <row r="284" spans="2:22" s="13" customFormat="1" ht="25.5">
      <c r="B284" s="270">
        <v>1</v>
      </c>
      <c r="C284" s="277" t="str">
        <f t="shared" ref="C284:C293" si="3">IFERROR(IF(D284&lt;&gt;"",VLOOKUP(MID(D284,1,2),product_list,2,FALSE),""),"")</f>
        <v/>
      </c>
      <c r="D284" s="278" t="s">
        <v>1575</v>
      </c>
      <c r="E284" s="336" t="str">
        <f t="shared" ref="E284:E296" si="4">IF(D284="","",MID(VLOOKUP(MID(D284,1,5)*1,product_list,11,FALSE),5,50))</f>
        <v>width:4m</v>
      </c>
      <c r="F284" s="270" t="e">
        <f>IF(OR(C284="",SUMIFS(#REF!,#REF!,C284,#REF!,"&gt;="&amp;$P$3,#REF!,"&lt;="&amp;$P$5,#REF!,"=1")-(SUMIFS(#REF!,#REF!,C284,#REF!,"&gt;="&amp;$P$3,#REF!,"&lt;="&amp;$P$5,#REF!,"=1")+SUMIFS(#REF!,#REF!,C284,#REF!,"&gt;="&amp;$P$3,#REF!,"&lt;="&amp;$P$5,#REF!,"&gt;0"))=""),"",SUMIFS(#REF!,#REF!,C284,#REF!,"&gt;="&amp;$P$3,#REF!,"&lt;="&amp;$P$5,#REF!,"=1")-(SUMIFS(#REF!,#REF!,C284,#REF!,"&gt;="&amp;$P$3,#REF!,"&lt;="&amp;$P$5,#REF!,"=1")+SUMIFS(#REF!,#REF!,C284,#REF!,"&gt;="&amp;$P$3,#REF!,"&lt;="&amp;$P$5,#REF!,"&gt;0")))</f>
        <v>#REF!</v>
      </c>
      <c r="G284" s="270" t="e">
        <f>SUMIFS(#REF!,#REF!,C284,#REF!,$N$3)</f>
        <v>#REF!</v>
      </c>
      <c r="H284" s="270" t="e">
        <f>SUMIFS(#REF!,#REF!,C284,#REF!,$N$3,#REF!,"&gt;0")+SUMIFS(#REF!,#REF!,C284,#REF!,$N$3,#REF!,"&gt;0",#REF!,"&gt;0")</f>
        <v>#REF!</v>
      </c>
      <c r="I284" s="270" t="e">
        <f>IF((N(F284)+N(G284)-N(H284))=0,"",N(F284)+N(G284)-N(H284))</f>
        <v>#REF!</v>
      </c>
      <c r="J284" s="299"/>
      <c r="K284" s="126"/>
      <c r="L284" s="128"/>
      <c r="M284" s="126"/>
      <c r="R284"/>
      <c r="S284"/>
      <c r="T284"/>
      <c r="U284"/>
      <c r="V284"/>
    </row>
    <row r="285" spans="2:22" s="13" customFormat="1" ht="25.5">
      <c r="B285" s="270">
        <v>2</v>
      </c>
      <c r="C285" s="277" t="str">
        <f t="shared" si="3"/>
        <v/>
      </c>
      <c r="D285" s="278" t="s">
        <v>1575</v>
      </c>
      <c r="E285" s="336" t="str">
        <f t="shared" si="4"/>
        <v>width:4m</v>
      </c>
      <c r="F285" s="270" t="e">
        <f>IF(OR(C285="",SUMIFS(#REF!,#REF!,C285,#REF!,"&gt;="&amp;$P$3,#REF!,"&lt;="&amp;$P$5,#REF!,"=1")-(SUMIFS(#REF!,#REF!,C285,#REF!,"&gt;="&amp;$P$3,#REF!,"&lt;="&amp;$P$5,#REF!,"=1")+SUMIFS(#REF!,#REF!,C285,#REF!,"&gt;="&amp;$P$3,#REF!,"&lt;="&amp;$P$5,#REF!,"&gt;0"))=""),"",SUMIFS(#REF!,#REF!,C285,#REF!,"&gt;="&amp;$P$3,#REF!,"&lt;="&amp;$P$5,#REF!,"=1")-(SUMIFS(#REF!,#REF!,C285,#REF!,"&gt;="&amp;$P$3,#REF!,"&lt;="&amp;$P$5,#REF!,"=1")+SUMIFS(#REF!,#REF!,C285,#REF!,"&gt;="&amp;$P$3,#REF!,"&lt;="&amp;$P$5,#REF!,"&gt;0")))</f>
        <v>#REF!</v>
      </c>
      <c r="G285" s="270" t="e">
        <f>SUMIFS(#REF!,#REF!,C285,#REF!,$N$3)</f>
        <v>#REF!</v>
      </c>
      <c r="H285" s="270" t="e">
        <f>SUMIFS(#REF!,#REF!,C285,#REF!,$N$3,#REF!,"&gt;0")+SUMIFS(#REF!,#REF!,C285,#REF!,$N$3,#REF!,"&gt;0",#REF!,"&gt;0")</f>
        <v>#REF!</v>
      </c>
      <c r="I285" s="270" t="e">
        <f t="shared" ref="I285:I296" si="5">IF((N(F285)+N(G285)-N(H285))=0,"",N(F285)+N(G285)-N(H285))</f>
        <v>#REF!</v>
      </c>
      <c r="J285" s="299"/>
      <c r="K285" s="126"/>
      <c r="L285" s="128"/>
      <c r="M285" s="126"/>
      <c r="R285"/>
      <c r="S285"/>
      <c r="T285"/>
      <c r="U285"/>
      <c r="V285"/>
    </row>
    <row r="286" spans="2:22" s="13" customFormat="1" ht="25.5">
      <c r="B286" s="270">
        <v>3</v>
      </c>
      <c r="C286" s="277" t="str">
        <f t="shared" si="3"/>
        <v/>
      </c>
      <c r="D286" s="278" t="s">
        <v>1575</v>
      </c>
      <c r="E286" s="336" t="str">
        <f t="shared" si="4"/>
        <v>width:4m</v>
      </c>
      <c r="F286" s="270" t="e">
        <f>IF(OR(C286="",SUMIFS(#REF!,#REF!,C286,#REF!,"&gt;="&amp;$P$3,#REF!,"&lt;="&amp;$P$5,#REF!,"=1")-(SUMIFS(#REF!,#REF!,C286,#REF!,"&gt;="&amp;$P$3,#REF!,"&lt;="&amp;$P$5,#REF!,"=1")+SUMIFS(#REF!,#REF!,C286,#REF!,"&gt;="&amp;$P$3,#REF!,"&lt;="&amp;$P$5,#REF!,"&gt;0"))=""),"",SUMIFS(#REF!,#REF!,C286,#REF!,"&gt;="&amp;$P$3,#REF!,"&lt;="&amp;$P$5,#REF!,"=1")-(SUMIFS(#REF!,#REF!,C286,#REF!,"&gt;="&amp;$P$3,#REF!,"&lt;="&amp;$P$5,#REF!,"=1")+SUMIFS(#REF!,#REF!,C286,#REF!,"&gt;="&amp;$P$3,#REF!,"&lt;="&amp;$P$5,#REF!,"&gt;0")))</f>
        <v>#REF!</v>
      </c>
      <c r="G286" s="270" t="e">
        <f>SUMIFS(#REF!,#REF!,C286,#REF!,$N$3)</f>
        <v>#REF!</v>
      </c>
      <c r="H286" s="270" t="e">
        <f>SUMIFS(#REF!,#REF!,C286,#REF!,$N$3,#REF!,"&gt;0")+SUMIFS(#REF!,#REF!,C286,#REF!,$N$3,#REF!,"&gt;0",#REF!,"&gt;0")</f>
        <v>#REF!</v>
      </c>
      <c r="I286" s="270" t="e">
        <f t="shared" si="5"/>
        <v>#REF!</v>
      </c>
      <c r="J286" s="299"/>
      <c r="K286" s="126"/>
      <c r="L286" s="128"/>
      <c r="M286" s="126"/>
      <c r="R286"/>
      <c r="S286"/>
      <c r="T286"/>
      <c r="U286"/>
      <c r="V286"/>
    </row>
    <row r="287" spans="2:22" s="13" customFormat="1" ht="25.5">
      <c r="B287" s="270">
        <v>4</v>
      </c>
      <c r="C287" s="277" t="str">
        <f t="shared" si="3"/>
        <v/>
      </c>
      <c r="D287" s="278" t="s">
        <v>1575</v>
      </c>
      <c r="E287" s="336" t="str">
        <f t="shared" si="4"/>
        <v>width:4m</v>
      </c>
      <c r="F287" s="270" t="e">
        <f>IF(OR(C287="",SUMIFS(#REF!,#REF!,C287,#REF!,"&gt;="&amp;$P$3,#REF!,"&lt;="&amp;$P$5,#REF!,"=1")-(SUMIFS(#REF!,#REF!,C287,#REF!,"&gt;="&amp;$P$3,#REF!,"&lt;="&amp;$P$5,#REF!,"=1")+SUMIFS(#REF!,#REF!,C287,#REF!,"&gt;="&amp;$P$3,#REF!,"&lt;="&amp;$P$5,#REF!,"&gt;0"))=""),"",SUMIFS(#REF!,#REF!,C287,#REF!,"&gt;="&amp;$P$3,#REF!,"&lt;="&amp;$P$5,#REF!,"=1")-(SUMIFS(#REF!,#REF!,C287,#REF!,"&gt;="&amp;$P$3,#REF!,"&lt;="&amp;$P$5,#REF!,"=1")+SUMIFS(#REF!,#REF!,C287,#REF!,"&gt;="&amp;$P$3,#REF!,"&lt;="&amp;$P$5,#REF!,"&gt;0")))</f>
        <v>#REF!</v>
      </c>
      <c r="G287" s="270" t="e">
        <f>SUMIFS(#REF!,#REF!,C287,#REF!,$N$3)</f>
        <v>#REF!</v>
      </c>
      <c r="H287" s="270" t="e">
        <f>SUMIFS(#REF!,#REF!,C287,#REF!,$N$3,#REF!,"&gt;0")+SUMIFS(#REF!,#REF!,C287,#REF!,$N$3,#REF!,"&gt;0",#REF!,"&gt;0")</f>
        <v>#REF!</v>
      </c>
      <c r="I287" s="270" t="e">
        <f t="shared" si="5"/>
        <v>#REF!</v>
      </c>
      <c r="J287" s="299"/>
      <c r="K287" s="126"/>
      <c r="L287" s="128"/>
      <c r="M287" s="126"/>
      <c r="R287"/>
      <c r="S287"/>
      <c r="T287"/>
      <c r="U287"/>
      <c r="V287"/>
    </row>
    <row r="288" spans="2:22" s="13" customFormat="1" ht="25.5" hidden="1" customHeight="1">
      <c r="B288" s="270">
        <v>5</v>
      </c>
      <c r="C288" s="277" t="str">
        <f t="shared" si="3"/>
        <v/>
      </c>
      <c r="D288" s="278" t="s">
        <v>1575</v>
      </c>
      <c r="E288" s="336" t="str">
        <f t="shared" si="4"/>
        <v>width:4m</v>
      </c>
      <c r="F288" s="270" t="e">
        <f>IF(OR(C288="",SUMIFS(#REF!,#REF!,C288,#REF!,"&gt;="&amp;$P$3,#REF!,"&lt;="&amp;$P$5,#REF!,"=1")-(SUMIFS(#REF!,#REF!,C288,#REF!,"&gt;="&amp;$P$3,#REF!,"&lt;="&amp;$P$5,#REF!,"=1")+SUMIFS(#REF!,#REF!,C288,#REF!,"&gt;="&amp;$P$3,#REF!,"&lt;="&amp;$P$5,#REF!,"&gt;0"))=""),"",SUMIFS(#REF!,#REF!,C288,#REF!,"&gt;="&amp;$P$3,#REF!,"&lt;="&amp;$P$5,#REF!,"=1")-(SUMIFS(#REF!,#REF!,C288,#REF!,"&gt;="&amp;$P$3,#REF!,"&lt;="&amp;$P$5,#REF!,"=1")+SUMIFS(#REF!,#REF!,C288,#REF!,"&gt;="&amp;$P$3,#REF!,"&lt;="&amp;$P$5,#REF!,"&gt;0")))</f>
        <v>#REF!</v>
      </c>
      <c r="G288" s="270" t="e">
        <f>SUMIFS(#REF!,#REF!,C288,#REF!,$N$3)</f>
        <v>#REF!</v>
      </c>
      <c r="H288" s="270" t="e">
        <f>SUMIFS(#REF!,#REF!,C288,#REF!,$N$3,#REF!,"&gt;0")+SUMIFS(#REF!,#REF!,C288,#REF!,$N$3,#REF!,"&gt;0",#REF!,"&gt;0")</f>
        <v>#REF!</v>
      </c>
      <c r="I288" s="270" t="e">
        <f t="shared" si="5"/>
        <v>#REF!</v>
      </c>
      <c r="J288" s="299"/>
      <c r="K288" s="126"/>
      <c r="L288" s="128"/>
      <c r="M288" s="126"/>
      <c r="R288"/>
      <c r="S288"/>
      <c r="T288"/>
      <c r="U288"/>
      <c r="V288"/>
    </row>
    <row r="289" spans="2:22" s="13" customFormat="1" ht="25.5">
      <c r="B289" s="270">
        <v>5</v>
      </c>
      <c r="C289" s="277" t="str">
        <f t="shared" si="3"/>
        <v/>
      </c>
      <c r="D289" s="278" t="s">
        <v>1575</v>
      </c>
      <c r="E289" s="336" t="str">
        <f t="shared" si="4"/>
        <v>width:4m</v>
      </c>
      <c r="F289" s="270" t="e">
        <f>IF(OR(C289="",SUMIFS(#REF!,#REF!,C289,#REF!,"&gt;="&amp;$P$3,#REF!,"&lt;="&amp;$P$5,#REF!,"=1")-(SUMIFS(#REF!,#REF!,C289,#REF!,"&gt;="&amp;$P$3,#REF!,"&lt;="&amp;$P$5,#REF!,"=1")+SUMIFS(#REF!,#REF!,C289,#REF!,"&gt;="&amp;$P$3,#REF!,"&lt;="&amp;$P$5,#REF!,"&gt;0"))=""),"",SUMIFS(#REF!,#REF!,C289,#REF!,"&gt;="&amp;$P$3,#REF!,"&lt;="&amp;$P$5,#REF!,"=1")-(SUMIFS(#REF!,#REF!,C289,#REF!,"&gt;="&amp;$P$3,#REF!,"&lt;="&amp;$P$5,#REF!,"=1")+SUMIFS(#REF!,#REF!,C289,#REF!,"&gt;="&amp;$P$3,#REF!,"&lt;="&amp;$P$5,#REF!,"&gt;0")))</f>
        <v>#REF!</v>
      </c>
      <c r="G289" s="270" t="e">
        <f>SUMIFS(#REF!,#REF!,C289,#REF!,$N$3)</f>
        <v>#REF!</v>
      </c>
      <c r="H289" s="270" t="e">
        <f>SUMIFS(#REF!,#REF!,C289,#REF!,$N$3,#REF!,"&gt;0")+SUMIFS(#REF!,#REF!,C289,#REF!,$N$3,#REF!,"&gt;0",#REF!,"&gt;0")</f>
        <v>#REF!</v>
      </c>
      <c r="I289" s="270" t="e">
        <f t="shared" si="5"/>
        <v>#REF!</v>
      </c>
      <c r="J289" s="299"/>
      <c r="K289" s="126"/>
      <c r="L289" s="128"/>
      <c r="M289" s="126"/>
      <c r="R289"/>
      <c r="S289"/>
      <c r="T289"/>
      <c r="U289"/>
      <c r="V289"/>
    </row>
    <row r="290" spans="2:22" s="13" customFormat="1" ht="25.5">
      <c r="B290" s="270">
        <v>6</v>
      </c>
      <c r="C290" s="277" t="str">
        <f t="shared" si="3"/>
        <v/>
      </c>
      <c r="D290" s="278" t="s">
        <v>1575</v>
      </c>
      <c r="E290" s="336" t="str">
        <f t="shared" si="4"/>
        <v>width:4m</v>
      </c>
      <c r="F290" s="270" t="e">
        <f>IF(OR(C290="",SUMIFS(#REF!,#REF!,C290,#REF!,"&gt;="&amp;$P$3,#REF!,"&lt;="&amp;$P$5,#REF!,"=1")-(SUMIFS(#REF!,#REF!,C290,#REF!,"&gt;="&amp;$P$3,#REF!,"&lt;="&amp;$P$5,#REF!,"=1")+SUMIFS(#REF!,#REF!,C290,#REF!,"&gt;="&amp;$P$3,#REF!,"&lt;="&amp;$P$5,#REF!,"&gt;0"))=""),"",SUMIFS(#REF!,#REF!,C290,#REF!,"&gt;="&amp;$P$3,#REF!,"&lt;="&amp;$P$5,#REF!,"=1")-(SUMIFS(#REF!,#REF!,C290,#REF!,"&gt;="&amp;$P$3,#REF!,"&lt;="&amp;$P$5,#REF!,"=1")+SUMIFS(#REF!,#REF!,C290,#REF!,"&gt;="&amp;$P$3,#REF!,"&lt;="&amp;$P$5,#REF!,"&gt;0")))</f>
        <v>#REF!</v>
      </c>
      <c r="G290" s="270" t="e">
        <f>SUMIFS(#REF!,#REF!,C290,#REF!,$N$3)</f>
        <v>#REF!</v>
      </c>
      <c r="H290" s="270" t="e">
        <f>SUMIFS(#REF!,#REF!,C290,#REF!,$N$3,#REF!,"&gt;0")+SUMIFS(#REF!,#REF!,C290,#REF!,$N$3,#REF!,"&gt;0",#REF!,"&gt;0")</f>
        <v>#REF!</v>
      </c>
      <c r="I290" s="270" t="e">
        <f t="shared" si="5"/>
        <v>#REF!</v>
      </c>
      <c r="J290" s="299"/>
      <c r="K290" s="126"/>
      <c r="L290" s="128"/>
      <c r="M290" s="126"/>
      <c r="R290"/>
      <c r="S290"/>
      <c r="T290"/>
      <c r="U290"/>
      <c r="V290"/>
    </row>
    <row r="291" spans="2:22" s="13" customFormat="1" ht="25.5">
      <c r="B291" s="270">
        <v>7</v>
      </c>
      <c r="C291" s="277" t="str">
        <f t="shared" si="3"/>
        <v/>
      </c>
      <c r="D291" s="278" t="s">
        <v>1575</v>
      </c>
      <c r="E291" s="336" t="str">
        <f t="shared" si="4"/>
        <v>width:4m</v>
      </c>
      <c r="F291" s="270" t="e">
        <f>IF(OR(C291="",SUMIFS(#REF!,#REF!,C291,#REF!,"&gt;="&amp;$P$3,#REF!,"&lt;="&amp;$P$5,#REF!,"=1")-(SUMIFS(#REF!,#REF!,C291,#REF!,"&gt;="&amp;$P$3,#REF!,"&lt;="&amp;$P$5,#REF!,"=1")+SUMIFS(#REF!,#REF!,C291,#REF!,"&gt;="&amp;$P$3,#REF!,"&lt;="&amp;$P$5,#REF!,"&gt;0"))=""),"",SUMIFS(#REF!,#REF!,C291,#REF!,"&gt;="&amp;$P$3,#REF!,"&lt;="&amp;$P$5,#REF!,"=1")-(SUMIFS(#REF!,#REF!,C291,#REF!,"&gt;="&amp;$P$3,#REF!,"&lt;="&amp;$P$5,#REF!,"=1")+SUMIFS(#REF!,#REF!,C291,#REF!,"&gt;="&amp;$P$3,#REF!,"&lt;="&amp;$P$5,#REF!,"&gt;0")))</f>
        <v>#REF!</v>
      </c>
      <c r="G291" s="270" t="e">
        <f>SUMIFS(#REF!,#REF!,C291,#REF!,$N$3)</f>
        <v>#REF!</v>
      </c>
      <c r="H291" s="270" t="e">
        <f>SUMIFS(#REF!,#REF!,C291,#REF!,$N$3,#REF!,"&gt;0")+SUMIFS(#REF!,#REF!,C291,#REF!,$N$3,#REF!,"&gt;0",#REF!,"&gt;0")</f>
        <v>#REF!</v>
      </c>
      <c r="I291" s="270" t="e">
        <f t="shared" si="5"/>
        <v>#REF!</v>
      </c>
      <c r="J291" s="299"/>
      <c r="K291" s="126"/>
      <c r="L291" s="128"/>
      <c r="M291" s="126"/>
      <c r="R291"/>
      <c r="S291"/>
      <c r="T291"/>
      <c r="U291"/>
      <c r="V291"/>
    </row>
    <row r="292" spans="2:22" s="13" customFormat="1" ht="25.5">
      <c r="B292" s="270">
        <v>8</v>
      </c>
      <c r="C292" s="277" t="str">
        <f t="shared" si="3"/>
        <v/>
      </c>
      <c r="D292" s="278" t="s">
        <v>1575</v>
      </c>
      <c r="E292" s="336" t="str">
        <f t="shared" si="4"/>
        <v>width:4m</v>
      </c>
      <c r="F292" s="270" t="e">
        <f>IF(OR(C292="",SUMIFS(#REF!,#REF!,C292,#REF!,"&gt;="&amp;$P$3,#REF!,"&lt;="&amp;$P$5,#REF!,"=1")-(SUMIFS(#REF!,#REF!,C292,#REF!,"&gt;="&amp;$P$3,#REF!,"&lt;="&amp;$P$5,#REF!,"=1")+SUMIFS(#REF!,#REF!,C292,#REF!,"&gt;="&amp;$P$3,#REF!,"&lt;="&amp;$P$5,#REF!,"&gt;0"))=""),"",SUMIFS(#REF!,#REF!,C292,#REF!,"&gt;="&amp;$P$3,#REF!,"&lt;="&amp;$P$5,#REF!,"=1")-(SUMIFS(#REF!,#REF!,C292,#REF!,"&gt;="&amp;$P$3,#REF!,"&lt;="&amp;$P$5,#REF!,"=1")+SUMIFS(#REF!,#REF!,C292,#REF!,"&gt;="&amp;$P$3,#REF!,"&lt;="&amp;$P$5,#REF!,"&gt;0")))</f>
        <v>#REF!</v>
      </c>
      <c r="G292" s="270" t="e">
        <f>SUMIFS(#REF!,#REF!,C292,#REF!,$N$3)</f>
        <v>#REF!</v>
      </c>
      <c r="H292" s="270" t="e">
        <f>SUMIFS(#REF!,#REF!,C292,#REF!,$N$3,#REF!,"&gt;0")+SUMIFS(#REF!,#REF!,C292,#REF!,$N$3,#REF!,"&gt;0",#REF!,"&gt;0")</f>
        <v>#REF!</v>
      </c>
      <c r="I292" s="270" t="e">
        <f t="shared" si="5"/>
        <v>#REF!</v>
      </c>
      <c r="J292" s="299"/>
      <c r="K292" s="126"/>
      <c r="L292" s="128"/>
      <c r="M292" s="126"/>
      <c r="R292"/>
      <c r="S292"/>
      <c r="T292"/>
      <c r="U292"/>
      <c r="V292"/>
    </row>
    <row r="293" spans="2:22" s="13" customFormat="1" ht="25.5">
      <c r="B293" s="270">
        <v>9</v>
      </c>
      <c r="C293" s="277" t="str">
        <f t="shared" si="3"/>
        <v/>
      </c>
      <c r="D293" s="278" t="s">
        <v>1575</v>
      </c>
      <c r="E293" s="336" t="str">
        <f t="shared" si="4"/>
        <v>width:4m</v>
      </c>
      <c r="F293" s="270" t="e">
        <f>IF(OR(C293="",SUMIFS(#REF!,#REF!,C293,#REF!,"&gt;="&amp;$P$3,#REF!,"&lt;="&amp;$P$5,#REF!,"=1")-(SUMIFS(#REF!,#REF!,C293,#REF!,"&gt;="&amp;$P$3,#REF!,"&lt;="&amp;$P$5,#REF!,"=1")+SUMIFS(#REF!,#REF!,C293,#REF!,"&gt;="&amp;$P$3,#REF!,"&lt;="&amp;$P$5,#REF!,"&gt;0"))=""),"",SUMIFS(#REF!,#REF!,C293,#REF!,"&gt;="&amp;$P$3,#REF!,"&lt;="&amp;$P$5,#REF!,"=1")-(SUMIFS(#REF!,#REF!,C293,#REF!,"&gt;="&amp;$P$3,#REF!,"&lt;="&amp;$P$5,#REF!,"=1")+SUMIFS(#REF!,#REF!,C293,#REF!,"&gt;="&amp;$P$3,#REF!,"&lt;="&amp;$P$5,#REF!,"&gt;0")))</f>
        <v>#REF!</v>
      </c>
      <c r="G293" s="270" t="e">
        <f>SUMIFS(#REF!,#REF!,C293,#REF!,$N$3)</f>
        <v>#REF!</v>
      </c>
      <c r="H293" s="270" t="e">
        <f>SUMIFS(#REF!,#REF!,C293,#REF!,$N$3,#REF!,"&gt;0")+SUMIFS(#REF!,#REF!,C293,#REF!,$N$3,#REF!,"&gt;0",#REF!,"&gt;0")</f>
        <v>#REF!</v>
      </c>
      <c r="I293" s="270" t="e">
        <f t="shared" si="5"/>
        <v>#REF!</v>
      </c>
      <c r="J293" s="299"/>
      <c r="K293" s="126"/>
      <c r="L293" s="128"/>
      <c r="M293" s="126"/>
      <c r="R293"/>
      <c r="S293"/>
      <c r="T293"/>
      <c r="U293"/>
      <c r="V293"/>
    </row>
    <row r="294" spans="2:22" s="13" customFormat="1" ht="25.5">
      <c r="B294" s="270">
        <v>10</v>
      </c>
      <c r="C294" s="277" t="str">
        <f>IFERROR(IF(D294&lt;&gt;"",VLOOKUP(MID(D294,1,2),product_list,2,FALSE),""),"")</f>
        <v/>
      </c>
      <c r="D294" s="278" t="s">
        <v>1575</v>
      </c>
      <c r="E294" s="336" t="str">
        <f t="shared" si="4"/>
        <v>width:4m</v>
      </c>
      <c r="F294" s="270" t="e">
        <f>IF(OR(C294="",SUMIFS(#REF!,#REF!,C294,#REF!,"&gt;="&amp;$P$3,#REF!,"&lt;="&amp;$P$5,#REF!,"=1")-(SUMIFS(#REF!,#REF!,C294,#REF!,"&gt;="&amp;$P$3,#REF!,"&lt;="&amp;$P$5,#REF!,"=1")+SUMIFS(#REF!,#REF!,C294,#REF!,"&gt;="&amp;$P$3,#REF!,"&lt;="&amp;$P$5,#REF!,"&gt;0"))=""),"",SUMIFS(#REF!,#REF!,C294,#REF!,"&gt;="&amp;$P$3,#REF!,"&lt;="&amp;$P$5,#REF!,"=1")-(SUMIFS(#REF!,#REF!,C294,#REF!,"&gt;="&amp;$P$3,#REF!,"&lt;="&amp;$P$5,#REF!,"=1")+SUMIFS(#REF!,#REF!,C294,#REF!,"&gt;="&amp;$P$3,#REF!,"&lt;="&amp;$P$5,#REF!,"&gt;0")))</f>
        <v>#REF!</v>
      </c>
      <c r="G294" s="270" t="e">
        <f>SUMIFS(#REF!,#REF!,C294,#REF!,$N$3)</f>
        <v>#REF!</v>
      </c>
      <c r="H294" s="270" t="e">
        <f>SUMIFS(#REF!,#REF!,C294,#REF!,$N$3,#REF!,"&gt;0")+SUMIFS(#REF!,#REF!,C294,#REF!,$N$3,#REF!,"&gt;0",#REF!,"&gt;0")</f>
        <v>#REF!</v>
      </c>
      <c r="I294" s="270" t="e">
        <f t="shared" si="5"/>
        <v>#REF!</v>
      </c>
      <c r="J294" s="299"/>
      <c r="K294" s="221"/>
      <c r="R294"/>
      <c r="S294"/>
      <c r="T294"/>
      <c r="U294"/>
      <c r="V294"/>
    </row>
    <row r="295" spans="2:22" s="13" customFormat="1" ht="25.5">
      <c r="B295" s="270">
        <v>11</v>
      </c>
      <c r="C295" s="277" t="str">
        <f>IFERROR(IF(D295&lt;&gt;"",VLOOKUP(MID(D295,1,2),product_list,2,FALSE),""),"")</f>
        <v/>
      </c>
      <c r="D295" s="278" t="s">
        <v>1575</v>
      </c>
      <c r="E295" s="336" t="str">
        <f t="shared" si="4"/>
        <v>width:4m</v>
      </c>
      <c r="F295" s="270" t="e">
        <f>IF(OR(C295="",SUMIFS(#REF!,#REF!,C295,#REF!,"&gt;="&amp;$P$3,#REF!,"&lt;="&amp;$P$5,#REF!,"=1")-(SUMIFS(#REF!,#REF!,C295,#REF!,"&gt;="&amp;$P$3,#REF!,"&lt;="&amp;$P$5,#REF!,"=1")+SUMIFS(#REF!,#REF!,C295,#REF!,"&gt;="&amp;$P$3,#REF!,"&lt;="&amp;$P$5,#REF!,"&gt;0"))=""),"",SUMIFS(#REF!,#REF!,C295,#REF!,"&gt;="&amp;$P$3,#REF!,"&lt;="&amp;$P$5,#REF!,"=1")-(SUMIFS(#REF!,#REF!,C295,#REF!,"&gt;="&amp;$P$3,#REF!,"&lt;="&amp;$P$5,#REF!,"=1")+SUMIFS(#REF!,#REF!,C295,#REF!,"&gt;="&amp;$P$3,#REF!,"&lt;="&amp;$P$5,#REF!,"&gt;0")))</f>
        <v>#REF!</v>
      </c>
      <c r="G295" s="270" t="e">
        <f>SUMIFS(#REF!,#REF!,C295,#REF!,$N$3)</f>
        <v>#REF!</v>
      </c>
      <c r="H295" s="270" t="e">
        <f>SUMIFS(#REF!,#REF!,C295,#REF!,$N$3,#REF!,"&gt;0")+SUMIFS(#REF!,#REF!,C295,#REF!,$N$3,#REF!,"&gt;0",#REF!,"&gt;0")</f>
        <v>#REF!</v>
      </c>
      <c r="I295" s="270" t="e">
        <f t="shared" si="5"/>
        <v>#REF!</v>
      </c>
      <c r="J295" s="299"/>
      <c r="K295" s="221"/>
      <c r="R295"/>
      <c r="S295"/>
      <c r="T295"/>
      <c r="U295"/>
      <c r="V295"/>
    </row>
    <row r="296" spans="2:22" s="13" customFormat="1" ht="25.5">
      <c r="B296" s="270">
        <v>12</v>
      </c>
      <c r="C296" s="277" t="str">
        <f>IFERROR(IF(D296&lt;&gt;"",VLOOKUP(MID(D296,1,2),product_list,2,FALSE),""),"")</f>
        <v/>
      </c>
      <c r="D296" s="278" t="s">
        <v>1575</v>
      </c>
      <c r="E296" s="336" t="str">
        <f t="shared" si="4"/>
        <v>width:4m</v>
      </c>
      <c r="F296" s="270" t="e">
        <f>IF(OR(C296="",SUMIFS(#REF!,#REF!,C296,#REF!,"&gt;="&amp;$P$3,#REF!,"&lt;="&amp;$P$5,#REF!,"=1")-(SUMIFS(#REF!,#REF!,C296,#REF!,"&gt;="&amp;$P$3,#REF!,"&lt;="&amp;$P$5,#REF!,"=1")+SUMIFS(#REF!,#REF!,C296,#REF!,"&gt;="&amp;$P$3,#REF!,"&lt;="&amp;$P$5,#REF!,"&gt;0"))=""),"",SUMIFS(#REF!,#REF!,C296,#REF!,"&gt;="&amp;$P$3,#REF!,"&lt;="&amp;$P$5,#REF!,"=1")-(SUMIFS(#REF!,#REF!,C296,#REF!,"&gt;="&amp;$P$3,#REF!,"&lt;="&amp;$P$5,#REF!,"=1")+SUMIFS(#REF!,#REF!,C296,#REF!,"&gt;="&amp;$P$3,#REF!,"&lt;="&amp;$P$5,#REF!,"&gt;0")))</f>
        <v>#REF!</v>
      </c>
      <c r="G296" s="270" t="e">
        <f>SUMIFS(#REF!,#REF!,C296,#REF!,$N$3)</f>
        <v>#REF!</v>
      </c>
      <c r="H296" s="270" t="e">
        <f>SUMIFS(#REF!,#REF!,C296,#REF!,$N$3,#REF!,"&gt;0")+SUMIFS(#REF!,#REF!,C296,#REF!,$N$3,#REF!,"&gt;0",#REF!,"&gt;0")</f>
        <v>#REF!</v>
      </c>
      <c r="I296" s="270" t="e">
        <f t="shared" si="5"/>
        <v>#REF!</v>
      </c>
      <c r="J296" s="299"/>
      <c r="K296" s="221"/>
      <c r="R296"/>
      <c r="S296"/>
      <c r="T296"/>
      <c r="U296"/>
      <c r="V296"/>
    </row>
    <row r="297" spans="2:22" s="13" customFormat="1">
      <c r="B297" s="169"/>
      <c r="C297" s="169"/>
      <c r="D297" s="169"/>
      <c r="E297" s="169"/>
      <c r="F297" s="143"/>
      <c r="G297" s="143"/>
      <c r="H297" s="143"/>
      <c r="I297" s="143"/>
      <c r="J297" s="299"/>
      <c r="K297" s="221"/>
      <c r="R297"/>
      <c r="S297"/>
      <c r="T297"/>
      <c r="U297"/>
      <c r="V297"/>
    </row>
    <row r="298" spans="2:22" s="13" customFormat="1">
      <c r="B298" s="169"/>
      <c r="C298" s="169"/>
      <c r="D298" s="169"/>
      <c r="E298" s="169"/>
      <c r="F298" s="143"/>
      <c r="G298" s="143"/>
      <c r="H298" s="143"/>
      <c r="I298" s="143"/>
      <c r="J298" s="299"/>
      <c r="K298" s="221"/>
      <c r="R298"/>
      <c r="S298"/>
      <c r="T298"/>
      <c r="U298"/>
      <c r="V298"/>
    </row>
    <row r="299" spans="2:22" s="13" customFormat="1">
      <c r="B299" s="169"/>
      <c r="C299" s="169"/>
      <c r="D299" s="169"/>
      <c r="E299" s="169"/>
      <c r="F299" s="143"/>
      <c r="G299" s="143"/>
      <c r="H299" s="143"/>
      <c r="I299" s="143"/>
      <c r="J299" s="299"/>
      <c r="K299" s="221"/>
      <c r="R299"/>
      <c r="S299"/>
      <c r="T299"/>
      <c r="U299"/>
      <c r="V299"/>
    </row>
    <row r="300" spans="2:22" s="13" customFormat="1">
      <c r="B300" s="169"/>
      <c r="C300" s="169"/>
      <c r="D300" s="169"/>
      <c r="E300" s="169"/>
      <c r="F300" s="143"/>
      <c r="G300" s="143"/>
      <c r="H300" s="143"/>
      <c r="I300" s="143"/>
      <c r="J300" s="299"/>
      <c r="K300" s="221"/>
      <c r="R300"/>
      <c r="S300"/>
      <c r="T300"/>
      <c r="U300"/>
      <c r="V300"/>
    </row>
    <row r="304" spans="2:22" ht="49.5" customHeight="1">
      <c r="B304" s="1872" t="str">
        <f>"របាយការណ៍ស្តុកឆ្នាំ2024-"&amp;$N$3</f>
        <v>របាយការណ៍ស្តុកឆ្នាំ2024-2026</v>
      </c>
      <c r="C304" s="1872"/>
      <c r="D304" s="1872"/>
      <c r="E304" s="1872"/>
      <c r="F304" s="1872"/>
      <c r="G304" s="1872"/>
      <c r="H304" s="1872"/>
      <c r="I304" s="1872"/>
    </row>
    <row r="305" spans="2:10" ht="29.25">
      <c r="B305" s="1869" t="str">
        <f>"ចាប់ពីខែ ( "&amp;MID(TEXT(DAY($P$3),"00"),1,40)&amp;"/"&amp;MID(TEXT(MONTH($P$3),"00"),1,40)&amp;"/"&amp;YEAR($P$3)&amp;" - "&amp;DAY($O$4)&amp;"/"&amp;$M$3&amp;"/"&amp;YEAR($O$4)&amp;" )"</f>
        <v>ចាប់ពីខែ ( 01/01/2024 - 31/07/2026 )</v>
      </c>
      <c r="C305" s="1869"/>
      <c r="D305" s="1869"/>
      <c r="E305" s="1869"/>
      <c r="F305" s="1869"/>
      <c r="G305" s="1869"/>
      <c r="H305" s="1869"/>
      <c r="I305" s="1869"/>
    </row>
    <row r="306" spans="2:10" ht="25.5">
      <c r="B306" s="279" t="s">
        <v>47</v>
      </c>
      <c r="C306" s="279" t="s">
        <v>92</v>
      </c>
      <c r="D306" s="279" t="s">
        <v>60</v>
      </c>
      <c r="E306" s="279" t="s">
        <v>61</v>
      </c>
      <c r="F306" s="279" t="str">
        <f>"ស្តុកចុងឆ្នាំ2023"</f>
        <v>ស្តុកចុងឆ្នាំ2023</v>
      </c>
      <c r="G306" s="279" t="s">
        <v>206</v>
      </c>
      <c r="H306" s="279" t="s">
        <v>207</v>
      </c>
      <c r="I306" s="279" t="s">
        <v>93</v>
      </c>
    </row>
    <row r="307" spans="2:10">
      <c r="B307" s="280" t="s">
        <v>10</v>
      </c>
      <c r="C307" s="280" t="s">
        <v>94</v>
      </c>
      <c r="D307" s="280" t="s">
        <v>66</v>
      </c>
      <c r="E307" s="280" t="s">
        <v>14</v>
      </c>
      <c r="F307" s="280" t="s">
        <v>95</v>
      </c>
      <c r="G307" s="280" t="s">
        <v>96</v>
      </c>
      <c r="H307" s="280" t="s">
        <v>181</v>
      </c>
      <c r="I307" s="280" t="s">
        <v>97</v>
      </c>
    </row>
    <row r="308" spans="2:10" ht="25.5">
      <c r="B308" s="270" t="str">
        <f>MID(D308,1,2)</f>
        <v>00</v>
      </c>
      <c r="C308" s="277" t="str">
        <f t="shared" ref="C308:C317" si="6">IFERROR(IF(D308&lt;&gt;"",VLOOKUP(MID(D308,1,2),product_list,2,FALSE),""),"")</f>
        <v/>
      </c>
      <c r="D308" s="278" t="s">
        <v>1575</v>
      </c>
      <c r="E308" s="336" t="str">
        <f t="shared" ref="E308:E320" si="7">IF(D308="","",MID(VLOOKUP(MID(D308,1,5)*1,product_list,11,FALSE),5,50))</f>
        <v>width:4m</v>
      </c>
      <c r="F308" s="270"/>
      <c r="G308" s="270" t="e">
        <f>SUMIFS(#REF!,#REF!,B308)</f>
        <v>#REF!</v>
      </c>
      <c r="H308" s="270" t="e">
        <f>SUMIFS(#REF!,#REF!,C308)</f>
        <v>#REF!</v>
      </c>
      <c r="I308" s="270" t="e">
        <f>IF(OR(C308="",N(G308)-N(H308)=0),"",N(G308)-N(H308))</f>
        <v>#REF!</v>
      </c>
      <c r="J308"/>
    </row>
    <row r="309" spans="2:10" ht="25.5">
      <c r="B309" s="270" t="str">
        <f t="shared" ref="B309:B320" si="8">MID(D309,1,2)</f>
        <v>00</v>
      </c>
      <c r="C309" s="277" t="str">
        <f>IFERROR(IF(D309&lt;&gt;"",VLOOKUP(MID(D309,1,2),product_list,2,FALSE),""),"")</f>
        <v/>
      </c>
      <c r="D309" s="278" t="s">
        <v>1575</v>
      </c>
      <c r="E309" s="336" t="str">
        <f t="shared" si="7"/>
        <v>width:4m</v>
      </c>
      <c r="F309" s="270"/>
      <c r="G309" s="270" t="e">
        <f>SUMIFS(#REF!,#REF!,B309)</f>
        <v>#REF!</v>
      </c>
      <c r="H309" s="270" t="e">
        <f>SUMIFS(#REF!,#REF!,C309)</f>
        <v>#REF!</v>
      </c>
      <c r="I309" s="270" t="e">
        <f t="shared" ref="I309:I317" si="9">IF(OR(C309="",N(G309)-N(H309)=0),"",N(G309)-N(H309))</f>
        <v>#REF!</v>
      </c>
      <c r="J309"/>
    </row>
    <row r="310" spans="2:10" ht="25.5">
      <c r="B310" s="270" t="str">
        <f t="shared" si="8"/>
        <v>00</v>
      </c>
      <c r="C310" s="277" t="str">
        <f t="shared" si="6"/>
        <v/>
      </c>
      <c r="D310" s="278" t="s">
        <v>1575</v>
      </c>
      <c r="E310" s="336" t="str">
        <f t="shared" si="7"/>
        <v>width:4m</v>
      </c>
      <c r="F310" s="270"/>
      <c r="G310" s="270" t="e">
        <f>SUMIFS(#REF!,#REF!,B310)</f>
        <v>#REF!</v>
      </c>
      <c r="H310" s="270" t="e">
        <f>SUMIFS(#REF!,#REF!,C310)</f>
        <v>#REF!</v>
      </c>
      <c r="I310" s="270" t="e">
        <f t="shared" si="9"/>
        <v>#REF!</v>
      </c>
      <c r="J310"/>
    </row>
    <row r="311" spans="2:10" ht="25.5">
      <c r="B311" s="270" t="str">
        <f t="shared" si="8"/>
        <v>00</v>
      </c>
      <c r="C311" s="277" t="str">
        <f t="shared" si="6"/>
        <v/>
      </c>
      <c r="D311" s="278" t="s">
        <v>1575</v>
      </c>
      <c r="E311" s="336" t="str">
        <f t="shared" si="7"/>
        <v>width:4m</v>
      </c>
      <c r="F311" s="270"/>
      <c r="G311" s="270" t="e">
        <f>SUMIFS(#REF!,#REF!,B311)</f>
        <v>#REF!</v>
      </c>
      <c r="H311" s="270" t="e">
        <f>SUMIFS(#REF!,#REF!,C311)</f>
        <v>#REF!</v>
      </c>
      <c r="I311" s="270" t="e">
        <f t="shared" si="9"/>
        <v>#REF!</v>
      </c>
      <c r="J311"/>
    </row>
    <row r="312" spans="2:10" ht="25.5">
      <c r="B312" s="270" t="str">
        <f t="shared" si="8"/>
        <v>00</v>
      </c>
      <c r="C312" s="277" t="str">
        <f t="shared" si="6"/>
        <v/>
      </c>
      <c r="D312" s="278" t="s">
        <v>1575</v>
      </c>
      <c r="E312" s="336" t="str">
        <f t="shared" si="7"/>
        <v>width:4m</v>
      </c>
      <c r="F312" s="270"/>
      <c r="G312" s="270" t="e">
        <f>SUMIFS(#REF!,#REF!,B312)</f>
        <v>#REF!</v>
      </c>
      <c r="H312" s="270" t="e">
        <f>SUMIFS(#REF!,#REF!,C312)</f>
        <v>#REF!</v>
      </c>
      <c r="I312" s="270" t="e">
        <f t="shared" si="9"/>
        <v>#REF!</v>
      </c>
      <c r="J312"/>
    </row>
    <row r="313" spans="2:10" ht="25.5">
      <c r="B313" s="270" t="str">
        <f t="shared" si="8"/>
        <v>00</v>
      </c>
      <c r="C313" s="277" t="str">
        <f t="shared" si="6"/>
        <v/>
      </c>
      <c r="D313" s="278" t="s">
        <v>1575</v>
      </c>
      <c r="E313" s="336" t="str">
        <f t="shared" si="7"/>
        <v>width:4m</v>
      </c>
      <c r="F313" s="270"/>
      <c r="G313" s="270" t="e">
        <f>SUMIFS(#REF!,#REF!,B313)</f>
        <v>#REF!</v>
      </c>
      <c r="H313" s="270" t="e">
        <f>SUMIFS(#REF!,#REF!,C313)</f>
        <v>#REF!</v>
      </c>
      <c r="I313" s="270" t="e">
        <f t="shared" si="9"/>
        <v>#REF!</v>
      </c>
      <c r="J313"/>
    </row>
    <row r="314" spans="2:10" ht="25.5">
      <c r="B314" s="270" t="str">
        <f t="shared" si="8"/>
        <v>00</v>
      </c>
      <c r="C314" s="277" t="str">
        <f t="shared" si="6"/>
        <v/>
      </c>
      <c r="D314" s="278" t="s">
        <v>1575</v>
      </c>
      <c r="E314" s="336" t="str">
        <f t="shared" si="7"/>
        <v>width:4m</v>
      </c>
      <c r="F314" s="270"/>
      <c r="G314" s="270" t="e">
        <f>SUMIFS(#REF!,#REF!,B314)</f>
        <v>#REF!</v>
      </c>
      <c r="H314" s="270" t="e">
        <f>SUMIFS(#REF!,#REF!,C314)</f>
        <v>#REF!</v>
      </c>
      <c r="I314" s="270" t="e">
        <f t="shared" si="9"/>
        <v>#REF!</v>
      </c>
      <c r="J314"/>
    </row>
    <row r="315" spans="2:10" ht="25.5">
      <c r="B315" s="270" t="str">
        <f t="shared" si="8"/>
        <v>00</v>
      </c>
      <c r="C315" s="277" t="str">
        <f t="shared" si="6"/>
        <v/>
      </c>
      <c r="D315" s="278" t="s">
        <v>1575</v>
      </c>
      <c r="E315" s="336" t="str">
        <f t="shared" si="7"/>
        <v>width:4m</v>
      </c>
      <c r="F315" s="270"/>
      <c r="G315" s="270" t="e">
        <f>SUMIFS(#REF!,#REF!,B315)</f>
        <v>#REF!</v>
      </c>
      <c r="H315" s="270" t="e">
        <f>SUMIFS(#REF!,#REF!,C315)</f>
        <v>#REF!</v>
      </c>
      <c r="I315" s="270" t="e">
        <f t="shared" si="9"/>
        <v>#REF!</v>
      </c>
      <c r="J315"/>
    </row>
    <row r="316" spans="2:10" ht="25.5">
      <c r="B316" s="270" t="str">
        <f t="shared" si="8"/>
        <v>00</v>
      </c>
      <c r="C316" s="277" t="str">
        <f t="shared" si="6"/>
        <v/>
      </c>
      <c r="D316" s="278" t="s">
        <v>1575</v>
      </c>
      <c r="E316" s="336" t="str">
        <f t="shared" si="7"/>
        <v>width:4m</v>
      </c>
      <c r="F316" s="270"/>
      <c r="G316" s="270" t="e">
        <f>SUMIFS(#REF!,#REF!,B316)</f>
        <v>#REF!</v>
      </c>
      <c r="H316" s="270" t="e">
        <f>SUMIFS(#REF!,#REF!,C316)</f>
        <v>#REF!</v>
      </c>
      <c r="I316" s="270" t="e">
        <f t="shared" si="9"/>
        <v>#REF!</v>
      </c>
      <c r="J316"/>
    </row>
    <row r="317" spans="2:10" ht="25.5">
      <c r="B317" s="270" t="str">
        <f t="shared" si="8"/>
        <v>00</v>
      </c>
      <c r="C317" s="277" t="str">
        <f t="shared" si="6"/>
        <v/>
      </c>
      <c r="D317" s="278" t="s">
        <v>1575</v>
      </c>
      <c r="E317" s="336" t="str">
        <f t="shared" si="7"/>
        <v>width:4m</v>
      </c>
      <c r="F317" s="270"/>
      <c r="G317" s="270" t="e">
        <f>SUMIFS(#REF!,#REF!,B317)</f>
        <v>#REF!</v>
      </c>
      <c r="H317" s="270" t="e">
        <f>SUMIFS(#REF!,#REF!,C317)</f>
        <v>#REF!</v>
      </c>
      <c r="I317" s="270" t="e">
        <f t="shared" si="9"/>
        <v>#REF!</v>
      </c>
      <c r="J317"/>
    </row>
    <row r="318" spans="2:10" ht="25.5">
      <c r="B318" s="270" t="str">
        <f t="shared" si="8"/>
        <v>00</v>
      </c>
      <c r="C318" s="277" t="str">
        <f>IFERROR(IF(D318&lt;&gt;"",VLOOKUP(MID(D318,1,2),product_list,2,FALSE),""),"")</f>
        <v/>
      </c>
      <c r="D318" s="278" t="s">
        <v>1575</v>
      </c>
      <c r="E318" s="336" t="str">
        <f t="shared" si="7"/>
        <v>width:4m</v>
      </c>
      <c r="F318" s="270"/>
      <c r="G318" s="270" t="e">
        <f>SUMIFS(#REF!,#REF!,B318)</f>
        <v>#REF!</v>
      </c>
      <c r="H318" s="270" t="e">
        <f>SUMIFS(#REF!,#REF!,C318)</f>
        <v>#REF!</v>
      </c>
      <c r="I318" s="270" t="e">
        <f>IF(OR(C318="",N(G318)-N(H318)=0),"",N(G318)-N(H318))</f>
        <v>#REF!</v>
      </c>
    </row>
    <row r="319" spans="2:10" ht="25.5">
      <c r="B319" s="270" t="str">
        <f t="shared" si="8"/>
        <v>00</v>
      </c>
      <c r="C319" s="277" t="str">
        <f>IFERROR(IF(D319&lt;&gt;"",VLOOKUP(MID(D319,1,2),product_list,2,FALSE),""),"")</f>
        <v/>
      </c>
      <c r="D319" s="278" t="s">
        <v>1575</v>
      </c>
      <c r="E319" s="336" t="str">
        <f t="shared" si="7"/>
        <v>width:4m</v>
      </c>
      <c r="F319" s="270"/>
      <c r="G319" s="270" t="e">
        <f>SUMIFS(#REF!,#REF!,B319)</f>
        <v>#REF!</v>
      </c>
      <c r="H319" s="270" t="e">
        <f>SUMIFS(#REF!,#REF!,C319)</f>
        <v>#REF!</v>
      </c>
      <c r="I319" s="270" t="e">
        <f>IF(OR(C319="",N(G319)-N(H319)=0),"",N(G319)-N(H319))</f>
        <v>#REF!</v>
      </c>
    </row>
    <row r="320" spans="2:10" ht="25.5">
      <c r="B320" s="270" t="str">
        <f t="shared" si="8"/>
        <v>00</v>
      </c>
      <c r="C320" s="277" t="str">
        <f>IFERROR(IF(D320&lt;&gt;"",VLOOKUP(MID(D320,1,2),product_list,2,FALSE),""),"")</f>
        <v/>
      </c>
      <c r="D320" s="278" t="s">
        <v>1575</v>
      </c>
      <c r="E320" s="336" t="str">
        <f t="shared" si="7"/>
        <v>width:4m</v>
      </c>
      <c r="F320" s="270"/>
      <c r="G320" s="270" t="e">
        <f>SUMIFS(#REF!,#REF!,B320)</f>
        <v>#REF!</v>
      </c>
      <c r="H320" s="270" t="e">
        <f>SUMIFS(#REF!,#REF!,C320)</f>
        <v>#REF!</v>
      </c>
      <c r="I320" s="270" t="e">
        <f>IF(OR(C320="",N(G320)-N(H320)=0),"",N(G320)-N(H320))</f>
        <v>#REF!</v>
      </c>
    </row>
  </sheetData>
  <dataConsolidate/>
  <mergeCells count="6">
    <mergeCell ref="B305:I305"/>
    <mergeCell ref="B281:I281"/>
    <mergeCell ref="B3:I3"/>
    <mergeCell ref="B2:I2"/>
    <mergeCell ref="B280:I280"/>
    <mergeCell ref="B304:I304"/>
  </mergeCells>
  <dataValidations count="2">
    <dataValidation type="list" allowBlank="1" showInputMessage="1" showErrorMessage="1" sqref="D284:D296 D308:D320 D7:D266" xr:uid="{00000000-0002-0000-0E00-000001000000}">
      <formula1>product_name_option</formula1>
    </dataValidation>
    <dataValidation type="list" allowBlank="1" showInputMessage="1" showErrorMessage="1" sqref="L3" xr:uid="{0A26FCEA-D464-4579-BB23-B5069231DFE9}">
      <formula1>month_kh_option</formula1>
    </dataValidation>
  </dataValidations>
  <printOptions horizontalCentered="1"/>
  <pageMargins left="7.874015748031496E-2" right="7.874015748031496E-2" top="7.874015748031496E-2" bottom="7.874015748031496E-2" header="7.874015748031496E-2" footer="7.874015748031496E-2"/>
  <pageSetup paperSize="9" scale="98" orientation="landscape" r:id="rId1"/>
  <headerFooter>
    <oddFooter>&amp;CPage &amp;P of &amp;N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7A3806-2F64-4363-9612-8B7522975428}">
  <sheetPr codeName="Sheet56"/>
  <dimension ref="A1:BW208"/>
  <sheetViews>
    <sheetView showGridLines="0" zoomScale="80" zoomScaleNormal="80" zoomScaleSheetLayoutView="80" zoomScalePageLayoutView="80" workbookViewId="0">
      <selection activeCell="M11" sqref="M11"/>
    </sheetView>
  </sheetViews>
  <sheetFormatPr defaultColWidth="9.140625" defaultRowHeight="24.95" customHeight="1"/>
  <cols>
    <col min="1" max="1" width="1.5703125" style="892" customWidth="1"/>
    <col min="2" max="2" width="2.5703125" style="892" customWidth="1"/>
    <col min="3" max="3" width="32" style="892" customWidth="1"/>
    <col min="4" max="4" width="8.7109375" style="892" customWidth="1"/>
    <col min="5" max="5" width="30.28515625" style="892" customWidth="1"/>
    <col min="6" max="6" width="3.42578125" style="892" customWidth="1"/>
    <col min="7" max="7" width="2.5703125" style="896" hidden="1" customWidth="1"/>
    <col min="8" max="8" width="3.28515625" style="896" hidden="1" customWidth="1"/>
    <col min="9" max="9" width="2.5703125" style="933" customWidth="1"/>
    <col min="10" max="10" width="8" style="882" customWidth="1"/>
    <col min="11" max="11" width="15" style="882" customWidth="1"/>
    <col min="12" max="12" width="46" style="1092" customWidth="1"/>
    <col min="13" max="17" width="20.7109375" style="882" customWidth="1"/>
    <col min="18" max="18" width="17.42578125" style="882" customWidth="1"/>
    <col min="19" max="19" width="17.42578125" style="882" hidden="1" customWidth="1"/>
    <col min="20" max="20" width="20.7109375" style="882" hidden="1" customWidth="1"/>
    <col min="21" max="21" width="17.140625" style="882" customWidth="1"/>
    <col min="22" max="22" width="16.5703125" style="1164" customWidth="1"/>
    <col min="23" max="23" width="19.5703125" style="1164" customWidth="1"/>
    <col min="24" max="24" width="15.7109375" style="908" customWidth="1"/>
    <col min="25" max="25" width="17.140625" style="908" customWidth="1"/>
    <col min="26" max="26" width="16.85546875" style="1164" customWidth="1"/>
    <col min="27" max="27" width="21.28515625" style="1164" customWidth="1"/>
    <col min="28" max="28" width="15.140625" style="1164" customWidth="1"/>
    <col min="29" max="29" width="21.7109375" style="1164" customWidth="1"/>
    <col min="30" max="30" width="18.5703125" style="1164" customWidth="1"/>
    <col min="31" max="32" width="19.85546875" style="1165" hidden="1" customWidth="1"/>
    <col min="33" max="33" width="19.85546875" style="907" hidden="1" customWidth="1"/>
    <col min="34" max="35" width="19.85546875" style="908" hidden="1" customWidth="1"/>
    <col min="36" max="36" width="20.5703125" style="907" hidden="1" customWidth="1"/>
    <col min="37" max="37" width="14.42578125" style="907" hidden="1" customWidth="1"/>
    <col min="38" max="38" width="19.85546875" style="907" hidden="1" customWidth="1"/>
    <col min="39" max="40" width="16.28515625" style="907" hidden="1" customWidth="1"/>
    <col min="41" max="41" width="16.28515625" style="1165" hidden="1" customWidth="1"/>
    <col min="42" max="42" width="18" style="1165" bestFit="1" customWidth="1"/>
    <col min="43" max="43" width="15.7109375" style="907" bestFit="1" customWidth="1"/>
    <col min="44" max="44" width="18" style="882" bestFit="1" customWidth="1"/>
    <col min="45" max="45" width="17.42578125" style="882" bestFit="1" customWidth="1"/>
    <col min="46" max="46" width="9.85546875" style="892" customWidth="1"/>
    <col min="47" max="47" width="21" style="892" customWidth="1"/>
    <col min="48" max="48" width="7.7109375" style="892" customWidth="1"/>
    <col min="49" max="49" width="6.7109375" style="892" customWidth="1"/>
    <col min="50" max="50" width="6.140625" style="892" bestFit="1" customWidth="1"/>
    <col min="51" max="51" width="9.140625" style="892" customWidth="1"/>
    <col min="52" max="52" width="2.7109375" style="1002" customWidth="1"/>
    <col min="53" max="53" width="9.7109375" style="892" customWidth="1"/>
    <col min="54" max="54" width="2.7109375" style="1002" customWidth="1"/>
    <col min="55" max="55" width="11.85546875" style="892" customWidth="1"/>
    <col min="56" max="56" width="2.7109375" style="1002" customWidth="1"/>
    <col min="57" max="57" width="16" style="892" customWidth="1"/>
    <col min="58" max="58" width="2.85546875" style="892" customWidth="1"/>
    <col min="59" max="59" width="5.140625" style="892" customWidth="1"/>
    <col min="60" max="60" width="1.85546875" style="892" customWidth="1"/>
    <col min="61" max="61" width="5.85546875" style="892" customWidth="1"/>
    <col min="62" max="62" width="7.140625" style="892" customWidth="1"/>
    <col min="63" max="63" width="1.42578125" style="892" customWidth="1"/>
    <col min="64" max="64" width="9.85546875" style="892" customWidth="1"/>
    <col min="65" max="65" width="21" style="892" customWidth="1"/>
    <col min="66" max="66" width="7.7109375" style="892" customWidth="1"/>
    <col min="67" max="68" width="6.7109375" style="892" customWidth="1"/>
    <col min="69" max="69" width="9.28515625" style="892" customWidth="1"/>
    <col min="70" max="70" width="2.7109375" style="1002" customWidth="1"/>
    <col min="71" max="71" width="9.7109375" style="892" customWidth="1"/>
    <col min="72" max="72" width="2.7109375" style="1002" customWidth="1"/>
    <col min="73" max="73" width="11.85546875" style="892" customWidth="1"/>
    <col min="74" max="74" width="2.7109375" style="1002" customWidth="1"/>
    <col min="75" max="75" width="16" style="892" customWidth="1"/>
    <col min="76" max="76" width="1.7109375" style="892" customWidth="1"/>
    <col min="77" max="77" width="9.140625" style="892" customWidth="1"/>
    <col min="78" max="16384" width="9.140625" style="892"/>
  </cols>
  <sheetData>
    <row r="1" spans="1:74" ht="8.25" customHeight="1">
      <c r="B1" s="893"/>
      <c r="C1" s="894"/>
      <c r="D1" s="894"/>
      <c r="E1" s="894"/>
      <c r="F1" s="894"/>
    </row>
    <row r="2" spans="1:74" ht="36.75">
      <c r="B2" s="1166"/>
      <c r="C2" s="1167"/>
      <c r="D2" s="1167"/>
      <c r="E2" s="1167"/>
      <c r="F2" s="1168"/>
      <c r="G2" s="909"/>
      <c r="H2" s="909"/>
      <c r="I2" s="985"/>
      <c r="J2" s="1006" t="s">
        <v>1794</v>
      </c>
      <c r="K2" s="912"/>
      <c r="L2" s="912"/>
      <c r="M2" s="912"/>
      <c r="N2" s="912"/>
      <c r="O2" s="912"/>
      <c r="P2" s="912"/>
      <c r="Q2" s="912"/>
      <c r="R2" s="912"/>
      <c r="S2" s="912"/>
      <c r="T2" s="912"/>
      <c r="U2" s="912"/>
      <c r="V2" s="1169"/>
    </row>
    <row r="3" spans="1:74" ht="8.25" customHeight="1">
      <c r="B3" s="1170"/>
      <c r="C3" s="916"/>
      <c r="D3" s="916"/>
      <c r="E3" s="916"/>
      <c r="F3" s="1171"/>
      <c r="G3" s="917"/>
      <c r="H3" s="917"/>
      <c r="I3" s="986"/>
      <c r="J3" s="919"/>
      <c r="K3" s="919"/>
      <c r="L3" s="912"/>
      <c r="M3" s="919"/>
      <c r="N3" s="919"/>
      <c r="O3" s="919"/>
      <c r="P3" s="919"/>
      <c r="Q3" s="919"/>
      <c r="R3" s="919"/>
      <c r="S3" s="919"/>
      <c r="T3" s="919"/>
      <c r="U3" s="919"/>
    </row>
    <row r="4" spans="1:74" ht="35.1" customHeight="1">
      <c r="A4" s="923"/>
      <c r="B4" s="1172"/>
      <c r="C4" s="924"/>
      <c r="D4" s="924"/>
      <c r="E4" s="924"/>
      <c r="F4" s="1173"/>
      <c r="J4" s="1240"/>
      <c r="K4" s="1240"/>
      <c r="L4" s="1240"/>
      <c r="M4" s="965"/>
      <c r="N4" s="965"/>
      <c r="O4" s="965"/>
      <c r="P4" s="965"/>
      <c r="Q4" s="965"/>
      <c r="R4" s="929"/>
      <c r="S4" s="965"/>
      <c r="T4" s="965"/>
      <c r="U4" s="965"/>
    </row>
    <row r="5" spans="1:74" s="882" customFormat="1" ht="9" customHeight="1">
      <c r="A5" s="930"/>
      <c r="B5" s="1174"/>
      <c r="C5" s="931"/>
      <c r="D5" s="931"/>
      <c r="E5" s="931"/>
      <c r="F5" s="1175"/>
      <c r="G5" s="932"/>
      <c r="H5" s="932"/>
      <c r="I5" s="933"/>
      <c r="L5" s="1092"/>
      <c r="V5" s="908"/>
      <c r="W5" s="908"/>
      <c r="X5" s="908"/>
      <c r="Y5" s="908"/>
      <c r="Z5" s="908"/>
      <c r="AA5" s="908"/>
      <c r="AB5" s="908"/>
      <c r="AC5" s="908"/>
      <c r="AD5" s="908"/>
      <c r="AE5" s="954"/>
      <c r="AF5" s="954"/>
      <c r="AG5" s="907"/>
      <c r="AH5" s="908"/>
      <c r="AI5" s="908"/>
      <c r="AJ5" s="907"/>
      <c r="AK5" s="907"/>
      <c r="AL5" s="907"/>
      <c r="AM5" s="907"/>
      <c r="AN5" s="907"/>
      <c r="AO5" s="954"/>
      <c r="AP5" s="954"/>
      <c r="AQ5" s="907"/>
      <c r="AZ5" s="978"/>
      <c r="BB5" s="978"/>
      <c r="BD5" s="978"/>
      <c r="BR5" s="978"/>
      <c r="BT5" s="978"/>
      <c r="BV5" s="978"/>
    </row>
    <row r="6" spans="1:74" s="907" customFormat="1" ht="28.5" customHeight="1">
      <c r="A6" s="937"/>
      <c r="B6" s="1176"/>
      <c r="C6" s="996" t="s">
        <v>1825</v>
      </c>
      <c r="D6" s="1609">
        <v>1</v>
      </c>
      <c r="E6" s="996" t="str">
        <f>IF(D6=1,"Issue",IF(D6=2,"Fullfilied",IF(D6=-1,"Edit","")))</f>
        <v>Issue</v>
      </c>
      <c r="F6" s="1177"/>
      <c r="G6" s="938"/>
      <c r="H6" s="938"/>
      <c r="I6" s="939"/>
      <c r="J6" s="1019" t="s">
        <v>47</v>
      </c>
      <c r="K6" s="1019" t="s">
        <v>159</v>
      </c>
      <c r="L6" s="1019" t="s">
        <v>89</v>
      </c>
      <c r="M6" s="1019" t="s">
        <v>61</v>
      </c>
      <c r="N6" s="1019" t="s">
        <v>1655</v>
      </c>
      <c r="O6" s="1019" t="s">
        <v>1830</v>
      </c>
      <c r="P6" s="1019" t="s">
        <v>227</v>
      </c>
      <c r="Q6" s="1019" t="s">
        <v>213</v>
      </c>
      <c r="R6" s="1019" t="s">
        <v>1981</v>
      </c>
      <c r="S6" s="1019" t="s">
        <v>655</v>
      </c>
      <c r="T6" s="1019" t="s">
        <v>654</v>
      </c>
      <c r="U6" s="1019" t="s">
        <v>64</v>
      </c>
      <c r="V6" s="1019" t="s">
        <v>1530</v>
      </c>
      <c r="W6" s="1019" t="s">
        <v>1809</v>
      </c>
      <c r="X6" s="1019" t="s">
        <v>62</v>
      </c>
      <c r="Y6" s="1019" t="s">
        <v>62</v>
      </c>
      <c r="Z6" s="1019" t="s">
        <v>1986</v>
      </c>
      <c r="AA6" s="1019" t="s">
        <v>1987</v>
      </c>
      <c r="AB6" s="1019" t="s">
        <v>1984</v>
      </c>
      <c r="AC6" s="1019" t="s">
        <v>1985</v>
      </c>
      <c r="AD6" s="1019" t="s">
        <v>1883</v>
      </c>
      <c r="AE6" s="1026" t="s">
        <v>1812</v>
      </c>
      <c r="AF6" s="1026" t="s">
        <v>1813</v>
      </c>
      <c r="AG6" s="1026" t="s">
        <v>1814</v>
      </c>
      <c r="AH6" s="1026" t="s">
        <v>1815</v>
      </c>
      <c r="AI6" s="1026" t="s">
        <v>1817</v>
      </c>
      <c r="AJ6" s="1026"/>
      <c r="AK6" s="1026"/>
      <c r="AL6" s="1026"/>
      <c r="AM6" s="1026"/>
      <c r="AN6" s="1026"/>
      <c r="AO6" s="1026"/>
      <c r="AP6" s="954"/>
      <c r="AZ6" s="1027"/>
      <c r="BB6" s="1027"/>
      <c r="BD6" s="1027"/>
      <c r="BR6" s="1027"/>
      <c r="BT6" s="1027"/>
      <c r="BV6" s="1027"/>
    </row>
    <row r="7" spans="1:74" ht="19.5" customHeight="1">
      <c r="A7" s="923"/>
      <c r="B7" s="1178"/>
      <c r="C7" s="940"/>
      <c r="D7" s="940"/>
      <c r="E7" s="940"/>
      <c r="F7" s="1179"/>
      <c r="G7" s="941"/>
      <c r="I7" s="933" t="s">
        <v>1827</v>
      </c>
      <c r="J7" s="1234" t="s">
        <v>9</v>
      </c>
      <c r="K7" s="1234" t="s">
        <v>1982</v>
      </c>
      <c r="L7" s="1234" t="s">
        <v>87</v>
      </c>
      <c r="M7" s="1234" t="s">
        <v>1539</v>
      </c>
      <c r="N7" s="1234" t="s">
        <v>1983</v>
      </c>
      <c r="O7" s="1234" t="s">
        <v>1829</v>
      </c>
      <c r="P7" s="1234" t="s">
        <v>228</v>
      </c>
      <c r="Q7" s="1234" t="s">
        <v>217</v>
      </c>
      <c r="R7" s="1234" t="s">
        <v>1905</v>
      </c>
      <c r="S7" s="1234" t="s">
        <v>1957</v>
      </c>
      <c r="T7" s="1234" t="s">
        <v>393</v>
      </c>
      <c r="U7" s="1234" t="s">
        <v>77</v>
      </c>
      <c r="V7" s="1234" t="s">
        <v>234</v>
      </c>
      <c r="W7" s="1234" t="s">
        <v>1818</v>
      </c>
      <c r="X7" s="1234" t="s">
        <v>1954</v>
      </c>
      <c r="Y7" s="1234" t="s">
        <v>1836</v>
      </c>
      <c r="Z7" s="1234" t="s">
        <v>656</v>
      </c>
      <c r="AA7" s="1234" t="s">
        <v>657</v>
      </c>
      <c r="AB7" s="1234" t="s">
        <v>1979</v>
      </c>
      <c r="AC7" s="1234" t="s">
        <v>1953</v>
      </c>
      <c r="AD7" s="1234" t="s">
        <v>1980</v>
      </c>
      <c r="AE7" s="1038" t="s">
        <v>1539</v>
      </c>
      <c r="AF7" s="1038" t="s">
        <v>1819</v>
      </c>
      <c r="AG7" s="1038" t="s">
        <v>1820</v>
      </c>
      <c r="AH7" s="1038" t="s">
        <v>1821</v>
      </c>
      <c r="AI7" s="1038" t="s">
        <v>1816</v>
      </c>
      <c r="AJ7" s="1038" t="s">
        <v>1988</v>
      </c>
      <c r="AK7" s="1038" t="s">
        <v>1821</v>
      </c>
      <c r="AL7" s="1038" t="s">
        <v>656</v>
      </c>
      <c r="AM7" s="1038" t="s">
        <v>1951</v>
      </c>
      <c r="AN7" s="1038" t="s">
        <v>2158</v>
      </c>
      <c r="AO7" s="1038" t="s">
        <v>2157</v>
      </c>
      <c r="AP7" s="1180"/>
      <c r="AR7" s="1180"/>
      <c r="AS7" s="1180"/>
      <c r="AT7" s="1180"/>
    </row>
    <row r="8" spans="1:74" ht="27" customHeight="1" thickBot="1">
      <c r="A8" s="923"/>
      <c r="B8" s="1181"/>
      <c r="C8" s="1182" t="s">
        <v>1823</v>
      </c>
      <c r="D8" s="1182"/>
      <c r="E8" s="1183" t="s">
        <v>1582</v>
      </c>
      <c r="F8" s="1794" t="e">
        <f>COUNTIFS([1]InvAdjData!$L$8:$L$10000,"&gt;0")</f>
        <v>#VALUE!</v>
      </c>
      <c r="G8" s="945"/>
      <c r="H8" s="945"/>
      <c r="I8" s="1610" t="str">
        <f>IF(L8="","",MID(L8,1,5)*1)</f>
        <v/>
      </c>
      <c r="J8" s="270" t="str">
        <f>IF(L8="","",1)</f>
        <v/>
      </c>
      <c r="K8" s="813" t="str">
        <f t="shared" ref="K8:K39" si="0">IF(L8="","",VLOOKUP(I8,product_list,4,FALSE))</f>
        <v/>
      </c>
      <c r="L8" s="1184"/>
      <c r="M8" s="1185"/>
      <c r="N8" s="1186"/>
      <c r="O8" s="1534"/>
      <c r="P8" s="336" t="str">
        <f>IF(AND(adj_type&lt;&gt;"",L8&lt;&gt;"",M8&lt;&gt;""),IF(adj_type=1,O8*W8/V8,O8*W8/V8-Q8),"")</f>
        <v/>
      </c>
      <c r="Q8" s="336" t="str">
        <f>IF(L8="","",IF(AD8=0,0,(SUMIFS('[1]1_group_total_details'!$I$8:$I$10000,'[1]1_group_total_details'!$C$8:$C$10000,I8,'[1]1_group_total_details'!$F$8:$F$10000,adj_location_group_id,'[1]1_group_total_details'!$G$8:$G$10000,MID(N8,1,3)*1,'[1]1_group_total_details'!$H$8:$H$10000,"&lt;="&amp;adj_date)+SUMIFS('[1]1_group_total_details'!$L$8:$L$10000,'[1]1_group_total_details'!$C$8:$C$10000,I8,'[1]1_group_total_details'!$F$8:$F$10000,adj_location_group_id,'[1]1_group_total_details'!$G$8:$G$10000,MID(N8,1,3)*1,'[1]1_group_total_details'!$H$8:$H$10000,"&lt;="&amp;adj_date)+SUMIFS('[1]1_group_total_details'!$N$8:$N$10000,'[1]1_group_total_details'!$C$8:$C$10000,I8,'[1]1_group_total_details'!$F$8:$F$10000,adj_location_group_id,'[1]1_group_total_details'!$G$8:$G$10000,MID(N8,1,3)*1,'[1]1_group_total_details'!$H$8:$H$10000,"&lt;="&amp;adj_date)+SUMIFS('[1]1_group_total_details'!$O$8:$O$10000,'[1]1_group_total_details'!$C$8:$C$10000,I8,'[1]1_group_total_details'!$F$8:$F$10000,adj_location_group_id,'[1]1_group_total_details'!$G$8:$G$10000,MID(N8,1,3)*1,'[1]1_group_total_details'!$H$8:$H$10000,"&lt;="&amp;adj_date))-(SUMIFS('[1]1_group_total_details'!$J$8:$J$10000,'[1]1_group_total_details'!$C$8:$C$10000,I8,'[1]1_group_total_details'!$F$8:$F$10000,adj_location_group_id,'[1]1_group_total_details'!$G$8:$G$10000,MID(N8,1,3)*1,'[1]1_group_total_details'!$H$8:$H$10000,"&lt;="&amp;adj_date)+SUMIFS('[1]1_group_total_details'!$K$8:$K$10000,'[1]1_group_total_details'!$C$8:$C$10000,I8,'[1]1_group_total_details'!$F$8:$F$10000,adj_location_group_id,'[1]1_group_total_details'!$G$8:$G$10000,MID(N8,1,3)*1,'[1]1_group_total_details'!$H$8:$H$10000,"&lt;="&amp;adj_date)+SUMIFS('[1]1_group_total_details'!$M$8:$M$10000,'[1]1_group_total_details'!$C$8:$C$10000,I8,'[1]1_group_total_details'!$F$8:$F$10000,adj_location_group_id,'[1]1_group_total_details'!$G$8:$G$10000,MID(N8,1,3)*1,'[1]1_group_total_details'!$H$8:$H$10000,"&lt;="&amp;adj_date)+SUMIFS('[1]1_group_total_details'!$P$8:$P$10000,'[1]1_group_total_details'!$C$8:$C$10000,I8,'[1]1_group_total_details'!$F$8:$F$10000,adj_location_group_id,'[1]1_group_total_details'!$G$8:$G$10000,MID(N8,1,3)*1,'[1]1_group_total_details'!$H$8:$H$10000,"&lt;="&amp;adj_date))))</f>
        <v/>
      </c>
      <c r="R8" s="1187"/>
      <c r="S8" s="1186"/>
      <c r="T8" s="1186"/>
      <c r="U8" s="1184"/>
      <c r="V8" s="270" t="str" cm="1">
        <f t="array" ref="V8">IF(L8="","",IF(M8=AE8,1,Slookup(MID(AE8,1,3)*1,UomConversion!$D$8:$J$500,5,UomConversion!$E$8:$E$500,MID(M8,1,3)*1,UomConversion!$J$8:$J$500,1)))</f>
        <v/>
      </c>
      <c r="W8" s="270" t="str">
        <f t="shared" ref="W8" si="1">IF(AND(L8="",ISNA(VLOOKUP(I8,product_list,18,FALSE))),"",VLOOKUP(I8,product_list,18,FALSE))</f>
        <v/>
      </c>
      <c r="X8" s="1795" t="str">
        <f>IF(L8="","",IF(M8=AE8,Y8,IF(M8=AF8,ROUND(Y8/V8,2),IF(M8=AG8,ROUND(Y8/W8,2)))))</f>
        <v/>
      </c>
      <c r="Y8" s="1795" t="str">
        <f t="shared" ref="Y8" si="2">IF(L8="","",VLOOKUP(I8,product_list,14,FALSE))</f>
        <v/>
      </c>
      <c r="Z8" s="270" t="str">
        <f>IF(I8="","",IF(ISNA(MATCH(I8,IF(MID(N8,1,3)*1=1,'[1]1_inventory_totals'!$C$8:$C$10000,IF(MID(N8,1,3)*1=2,'[1]2_inventory_totals'!$C$8:$C$10000,"")),0)),0,IF(AL8&gt;0,1,0)))</f>
        <v/>
      </c>
      <c r="AA8" s="270" t="str">
        <f>IF(L8="","",IF(MID(N8,1,3)*1=1,SUMIFS('[1]1_inventory_total_details'!$J$8:$J$10000,'[1]1_inventory_total_details'!$C$8:$C$10000,I8,'[1]1_inventory_total_details'!$F$8:$F$10000,MID(N8,1,3)*1,'[1]1_inventory_total_details'!$G$8:$G$10000,"="&amp;S8,'[1]1_inventory_total_details'!$H$8:$H$10000,"="&amp;T8,'[1]1_inventory_total_details'!$I$8:$I$10000,"="&amp;adj_date)+SUMIFS('[1]1_inventory_total_details'!$M$8:$M$10000,'[1]1_inventory_total_details'!$C$8:$C$10000,I8,'[1]1_inventory_total_details'!$F$8:$F$10000,MID(N8,1,3)*1,'[1]1_inventory_total_details'!$G$8:$G$10000,"="&amp;S8,'[1]1_inventory_total_details'!$H$8:$H$10000,"="&amp;T8,'[1]1_inventory_total_details'!$I$8:$I$10000,"="&amp;adj_date)+SUMIFS('[1]1_inventory_total_details'!$K$8:$K$10000,'[1]1_inventory_total_details'!$C$8:$C$10000,I8,'[1]1_inventory_total_details'!$F$8:$F$10000,MID(N8,1,3)*1,'[1]1_inventory_total_details'!$G$8:$G$10000,"="&amp;S8,'[1]1_inventory_total_details'!$H$8:$H$10000,"="&amp;T8,'[1]1_inventory_total_details'!$I$8:$I$10000,"="&amp;adj_date)+SUMIFS('[1]1_inventory_total_details'!$L$8:$L$10000,'[1]1_inventory_total_details'!$C$8:$C$10000,I8,'[1]1_inventory_total_details'!$F$8:$F$10000,MID(N8,1,3)*1,'[1]1_inventory_total_details'!$G$8:$G$10000,"="&amp;S8,'[1]1_inventory_total_details'!$H$8:$H$10000,"="&amp;T8,'[1]1_inventory_total_details'!$I$8:$I$10000,"="&amp;adj_date),SUMIFS('[1]2_inventory_total_details'!$J$8:$J$10000,'[1]2_inventory_total_details'!$C$8:$C$10000,I8,'[1]2_inventory_total_details'!$F$8:$F$10000,MID(N8,1,3)*1,'[1]2_inventory_total_details'!$G$8:$G$10000,"="&amp;S8,'[1]2_inventory_total_details'!$H$8:$H$10000,"="&amp;T8,'[1]2_inventory_total_details'!$I$8:$I$10000,"="&amp;adj_date)+SUMIFS('[1]2_inventory_total_details'!$M$8:$M$10000,'[1]1_inventory_total_details'!$C$8:$C$10000,I8,'[1]2_inventory_total_details'!$F$8:$F$10000,MID(N8,1,3)*1,'[1]2_inventory_total_details'!$G$8:$G$10000,"="&amp;S8,'[1]2_inventory_total_details'!$H$8:$H$10000,"="&amp;T8,'[1]2_inventory_total_details'!$I$8:$I$10000,"="&amp;adj_date)+SUMIFS('[1]2_inventory_total_details'!$K$8:$K$10000,'[1]2_inventory_total_details'!$C$8:$C$10000,I8,'[1]2_inventory_total_details'!$F$8:$F$10000,MID(N8,1,3)*1,'[1]2_inventory_total_details'!$G$8:$G$10000,"="&amp;S8,'[1]2_inventory_total_details'!$H$8:$H$10000,"="&amp;T8,'[1]2_inventory_total_details'!$I$8:$I$10000,"="&amp;adj_date)+SUMIFS('[1]2_inventory_total_details'!$L$8:$L$10000,'[1]2_inventory_total_details'!$C$8:$C$10000,I8,'[1]2_inventory_total_details'!$F$8:$F$10000,MID(N8,1,3)*1,'[1]2_inventory_total_details'!$G$8:$G$10000,"="&amp;S8,'[1]2_inventory_total_details'!$H$8:$H$10000,"="&amp;T8,'[1]2_inventory_total_details'!$I$8:$I$10000,"="&amp;adj_date)))</f>
        <v/>
      </c>
      <c r="AB8" s="270" t="str">
        <f>IF(L8="","",IF(MID(N8,1,3)*1=1,SUMIFS('[1]1_inventory_total_details'!$J$8:$J$10000,'[1]1_inventory_total_details'!$C$8:$C$10000,I8,'[1]1_inventory_total_details'!$F$8:$F$10000,MID(N8,1,3)*1,'[1]1_inventory_total_details'!$G$8:$G$10000,"="&amp;S8,'[1]1_inventory_total_details'!$H$8:$H$10000,"="&amp;T8,'[1]1_inventory_total_details'!$I$8:$I$10000,"="&amp;adj_date)+SUMIFS('[1]1_inventory_total_details'!$M$8:$M$10000,'[1]1_inventory_total_details'!$C$8:$C$10000,I8,'[1]1_inventory_total_details'!$F$8:$F$10000,MID(N8,1,3)*1,'[1]1_inventory_total_details'!$G$8:$G$10000,"="&amp;S8,'[1]1_inventory_total_details'!$H$8:$H$10000,"="&amp;T8,'[1]1_inventory_total_details'!$I$8:$I$10000,"="&amp;adj_date)+SUMIFS('[1]1_inventory_total_details'!$K$8:$K$10000,'[1]1_inventory_total_details'!$C$8:$C$10000,I8,'[1]1_inventory_total_details'!$F$8:$F$10000,MID(N8,1,3)*1,'[1]1_inventory_total_details'!$G$8:$G$10000,"="&amp;S8,'[1]1_inventory_total_details'!$H$8:$H$10000,"="&amp;T8,'[1]1_inventory_total_details'!$I$8:$I$10000,"="&amp;adj_date)+SUMIFS('[1]1_inventory_total_details'!$L$8:$L$10000,'[1]1_inventory_total_details'!$C$8:$C$10000,I8,'[1]1_inventory_total_details'!$F$8:$F$10000,MID(N8,1,3)*1,'[1]1_inventory_total_details'!$G$8:$G$10000,"="&amp;S8,'[1]1_inventory_total_details'!$H$8:$H$10000,"="&amp;T8,'[1]1_inventory_total_details'!$I$8:$I$10000,"="&amp;adj_date),SUMIFS('[1]2_inventory_total_details'!$J$8:$J$10000,'[1]2_inventory_total_details'!$C$8:$C$10000,I8,'[1]2_inventory_total_details'!$F$8:$F$10000,MID(N8,1,3)*1,'[1]2_inventory_total_details'!$G$8:$G$10000,"="&amp;S8,'[1]2_inventory_total_details'!$H$8:$H$10000,"="&amp;T8,'[1]2_inventory_total_details'!$I$8:$I$10000,"="&amp;adj_date)+SUMIFS('[1]2_inventory_total_details'!$M$8:$M$10000,'[1]1_inventory_total_details'!$C$8:$C$10000,I8,'[1]2_inventory_total_details'!$F$8:$F$10000,MID(N8,1,3)*1,'[1]2_inventory_total_details'!$G$8:$G$10000,"="&amp;S8,'[1]2_inventory_total_details'!$H$8:$H$10000,"="&amp;T8,'[1]2_inventory_total_details'!$I$8:$I$10000,"="&amp;adj_date)+SUMIFS('[1]2_inventory_total_details'!$K$8:$K$10000,'[1]2_inventory_total_details'!$C$8:$C$10000,I8,'[1]2_inventory_total_details'!$F$8:$F$10000,MID(N8,1,3)*1,'[1]2_inventory_total_details'!$G$8:$G$10000,"="&amp;S8,'[1]2_inventory_total_details'!$H$8:$H$10000,"="&amp;T8,'[1]2_inventory_total_details'!$I$8:$I$10000,"="&amp;adj_date)+SUMIFS('[1]2_inventory_total_details'!$L$8:$L$10000,'[1]2_inventory_total_details'!$C$8:$C$10000,I8,'[1]2_inventory_total_details'!$F$8:$F$10000,MID(N8,1,3)*1,'[1]2_inventory_total_details'!$G$8:$G$10000,"="&amp;S8,'[1]2_inventory_total_details'!$H$8:$H$10000,"="&amp;T8,'[1]2_inventory_total_details'!$I$8:$I$10000,"="&amp;adj_date)))</f>
        <v/>
      </c>
      <c r="AC8" s="270" t="str">
        <f>IF(L8="","",IF(MID(N8,1,3)*1=1,SUMIFS('[1]1_inventory_total_details'!$J$8:$J$10000,'[1]1_inventory_total_details'!$C$8:$C$10000,I8,'[1]1_inventory_total_details'!$F$8:$F$10000,MID(N8,1,3)*1,'[1]1_inventory_total_details'!$G$8:$G$10000,"="&amp;S8,'[1]1_inventory_total_details'!$H$8:$H$10000,"="&amp;T8,'[1]1_inventory_total_details'!$I$8:$I$10000,"="&amp;adj_date)+SUMIFS('[1]1_inventory_total_details'!$M$8:$M$10000,'[1]1_inventory_total_details'!$C$8:$C$10000,I8,'[1]1_inventory_total_details'!$F$8:$F$10000,MID(N8,1,3)*1,'[1]1_inventory_total_details'!$G$8:$G$10000,"="&amp;S8,'[1]1_inventory_total_details'!$H$8:$H$10000,"="&amp;T8,'[1]1_inventory_total_details'!$I$8:$I$10000,"="&amp;adj_date)+SUMIFS('[1]1_inventory_total_details'!$K$8:$K$10000,'[1]1_inventory_total_details'!$C$8:$C$10000,I8,'[1]1_inventory_total_details'!$F$8:$F$10000,MID(N8,1,3)*1,'[1]1_inventory_total_details'!$G$8:$G$10000,"="&amp;S8,'[1]1_inventory_total_details'!$H$8:$H$10000,"="&amp;T8,'[1]1_inventory_total_details'!$I$8:$I$10000,"="&amp;adj_date)+SUMIFS('[1]1_inventory_total_details'!$L$8:$L$10000,'[1]1_inventory_total_details'!$C$8:$C$10000,I8,'[1]1_inventory_total_details'!$F$8:$F$10000,MID(N8,1,3)*1,'[1]1_inventory_total_details'!$G$8:$G$10000,"="&amp;S8,'[1]1_inventory_total_details'!$H$8:$H$10000,"="&amp;T8,'[1]1_inventory_total_details'!$I$8:$I$10000,"="&amp;adj_date),SUMIFS('[1]2_inventory_total_details'!$J$8:$J$10000,'[1]2_inventory_total_details'!$C$8:$C$10000,I8,'[1]2_inventory_total_details'!$F$8:$F$10000,MID(N8,1,3)*1,'[1]2_inventory_total_details'!$G$8:$G$10000,"="&amp;S8,'[1]2_inventory_total_details'!$H$8:$H$10000,"="&amp;T8,'[1]2_inventory_total_details'!$I$8:$I$10000,"="&amp;adj_date)+SUMIFS('[1]2_inventory_total_details'!$M$8:$M$10000,'[1]1_inventory_total_details'!$C$8:$C$10000,I8,'[1]2_inventory_total_details'!$F$8:$F$10000,MID(N8,1,3)*1,'[1]2_inventory_total_details'!$G$8:$G$10000,"="&amp;S8,'[1]2_inventory_total_details'!$H$8:$H$10000,"="&amp;T8,'[1]2_inventory_total_details'!$I$8:$I$10000,"="&amp;adj_date)+SUMIFS('[1]2_inventory_total_details'!$K$8:$K$10000,'[1]2_inventory_total_details'!$C$8:$C$10000,I8,'[1]2_inventory_total_details'!$F$8:$F$10000,MID(N8,1,3)*1,'[1]2_inventory_total_details'!$G$8:$G$10000,"="&amp;S8,'[1]2_inventory_total_details'!$H$8:$H$10000,"="&amp;T8,'[1]2_inventory_total_details'!$I$8:$I$10000,"="&amp;adj_date)+SUMIFS('[1]2_inventory_total_details'!$L$8:$L$10000,'[1]2_inventory_total_details'!$C$8:$C$10000,I8,'[1]2_inventory_total_details'!$F$8:$F$10000,MID(N8,1,3)*1,'[1]2_inventory_total_details'!$G$8:$G$10000,"="&amp;S8,'[1]2_inventory_total_details'!$H$8:$H$10000,"="&amp;T8,'[1]2_inventory_total_details'!$I$8:$I$10000,"="&amp;adj_date)))</f>
        <v/>
      </c>
      <c r="AD8" s="270" t="str">
        <f>IF(L8="","",SUMIFS('[1]1_group_totals'!$J$8:$J$10000,'[1]1_group_totals'!$C$8:$C$10000,I8,'[1]1_group_totals'!$F$8:$F$10000,adj_location_group_id,'[1]1_group_totals'!$G$8:$G$10000,MID(N8,1,3)*1,'[1]1_group_totals'!$H$8:$H$10000,"="&amp;S8,'[1]1_group_totals'!$I$8:$I$10000,"="&amp;T8))</f>
        <v/>
      </c>
      <c r="AE8" s="1796" t="str">
        <f t="shared" ref="AE8" si="3">IF(L8="","",VLOOKUP(I8,product_list,8,FALSE))</f>
        <v/>
      </c>
      <c r="AF8" s="1797" t="str">
        <f>IF(ISNA(MATCH(MID(AE8,1,3)*1,UomConversion!$D$8:$D$500,0)),"",IF(AJ8&lt;&gt;"",AJ8,""))</f>
        <v/>
      </c>
      <c r="AG8" s="1797" t="str">
        <f>IF(AND(AH8&gt;0,COUNTIFS(UomConversion!$D$8:$D$500,MID(AE8,1,3)*1,UomConversion!$J$8:$J$500,1)&gt;1),TEXT(AH8,"000")&amp;"."&amp;VLOOKUP(AH8,uom_list,5,FALSE),"")</f>
        <v/>
      </c>
      <c r="AH8" s="270" t="str">
        <f>IF(AND(L8&lt;&gt;"",AK8&gt;0),AK8,"")</f>
        <v/>
      </c>
      <c r="AI8" s="270" t="str">
        <f>IF(L8="","",IF(V8&gt;0,W8/V8,""))</f>
        <v/>
      </c>
      <c r="AJ8" s="270" t="str">
        <f t="shared" ref="AJ8" si="4">IF(OR(ISNA(VLOOKUP(MID(AE8,1,3)*1,uom_converion_list,2,FALSE)),L8=""),"",TEXT(VLOOKUP(MID(AE8,1,3)*1,uom_converion_list,2,FALSE),"000")&amp;"."&amp;VLOOKUP(VLOOKUP(MID(AE8,1,3)*1,uom_converion_list,2,FALSE),uom_list,5,FALSE))</f>
        <v/>
      </c>
      <c r="AK8" s="270" t="str" cm="1">
        <f t="array" ref="AK8">IF(L8="","",Slookup(MID(AE8,1,3)*1,UomConversion!$D$8:$J$500,2,UomConversion!$I$8:$I$500,1,UomConversion!$J$8:$J$500,1))</f>
        <v/>
      </c>
      <c r="AL8" s="270" t="str">
        <f>IF(L8="","",IF(MID(N8,1,3)*1 = 1,AN8, IF(MID(N8,1,3)*1 = 2,AO8,0)))</f>
        <v/>
      </c>
      <c r="AM8" s="270" t="str">
        <f>IF(L8="","",(SUMIFS('[1]1_group_totals'!$K$8:$K$10000,'[1]1_group_totals'!$C$8:$C$10000,I8,'[1]1_group_totals'!$F$8:$F$10000,adj_location_group_id,'[1]1_group_totals'!$G$8:$G$10000,MID(N8,1,3)*1,'[1]1_group_totals'!$H$8:$H$10000,"="&amp;S8,'[1]1_group_totals'!$I$8:$I$10000,"="&amp;T8)+SUMIFS('[1]1_group_totals'!$N$8:$N$10000,'[1]1_group_totals'!$C$8:$C$10000,I8,'[1]1_group_totals'!$F$8:$F$10000,adj_location_group_id,'[1]1_group_totals'!$G$8:$G$10000,MID(N8,1,3)*1,'[1]1_group_totals'!$H$8:$H$10000,"="&amp;S8,'[1]1_group_totals'!$I$8:$I$10000,"="&amp;T8)+SUMIFS('[1]1_group_totals'!$P$8:$P$10000,'[1]1_group_totals'!$C$8:$C$10000,I8,'[1]1_group_totals'!$F$8:$F$10000,adj_location_group_id,'[1]1_group_totals'!$G$8:$G$10000,MID(N8,1,3)*1,'[1]1_group_totals'!$H$8:$H$10000,"="&amp;S8,'[1]1_group_totals'!$I$8:$I$10000,"="&amp;T8)+SUMIFS('[1]1_group_totals'!$Q$8:$Q$10000,'[1]1_group_totals'!$C$8:$C$10000,I8,'[1]1_group_totals'!$F$8:$F$10000,adj_location_group_id,'[1]1_group_totals'!$G$8:$G$10000,MID(N8,1,3)*1,'[1]1_group_totals'!$H$8:$H$10000,"="&amp;S8,'[1]1_group_totals'!$I$8:$I$10000,"="&amp;T8))+(SUMIFS('[1]1_group_totals'!$L$8:$L$10000,'[1]1_group_totals'!$C$8:$C$10000,I8,'[1]1_group_totals'!$F$8:$F$10000,adj_location_group_id,'[1]1_group_totals'!$G$8:$G$10000,MID(N8,1,3)*1,'[1]1_group_totals'!$H$8:$H$10000,"="&amp;S8,'[1]1_group_totals'!$I$8:$I$10000,"="&amp;T8)+SUMIFS('[1]1_group_totals'!$M$8:$M$10000,'[1]1_group_totals'!$C$8:$C$10000,I8,'[1]1_group_totals'!$F$8:$F$10000,adj_location_group_id,'[1]1_group_totals'!$G$8:$G$10000,MID(N8,1,3)*1,'[1]1_group_totals'!$H$8:$H$10000,"="&amp;S8,'[1]1_group_totals'!$I$8:$I$10000,"="&amp;T8)+SUMIFS('[1]1_group_totals'!$O$8:$O$10000,'[1]1_group_totals'!$C$8:$C$10000,I8,'[1]1_group_totals'!$F$8:$F$10000,adj_location_group_id,'[1]1_group_totals'!$G$8:$G$10000,MID(N8,1,3)*1,'[1]1_group_totals'!$H$8:$H$10000,"="&amp;S8,'[1]1_group_totals'!$I$8:$I$10000,"="&amp;T8)+SUMIFS('[1]1_group_totals'!$R$8:$R$10000,'[1]1_group_totals'!$C$8:$C$10000,I8,'[1]1_group_totals'!$F$8:$F$10000,adj_location_group_id,'[1]1_group_totals'!$G$8:$G$10000,MID(N8,1,3)*1,'[1]1_group_totals'!$H$8:$H$10000,"="&amp;S8,'[1]1_group_totals'!$I$8:$I$10000,"="&amp;T8)))</f>
        <v/>
      </c>
      <c r="AN8" s="270" t="str">
        <f>IF(L8="","",(SUMIFS('[1]1_inventory_totals'!$I$8:$I$10000,'[1]1_inventory_totals'!$C$8:$C$10000,I8,'[1]1_inventory_totals'!$F$8:$F$10000,"="&amp;S8,'[1]1_inventory_totals'!$G$8:$G$10000,"="&amp;T8)+SUMIFS('[1]1_inventory_totals'!$N$8:$N$10000,'[1]1_inventory_totals'!$C$8:$C$10000,I8,'[1]1_inventory_totals'!$F$8:$F$10000,"="&amp;S8,'[1]1_inventory_totals'!$G$8:$G$10000,"="&amp;T8)+SUMIFS('[1]1_inventory_totals'!$P$8:$P$10000,'[1]1_inventory_totals'!$C$8:$C$10000,I8,'[1]1_inventory_totals'!$F$8:$F$10000,"="&amp;S8,'[1]1_inventory_totals'!$G$8:$G$10000,"="&amp;T8)+SUMIFS('[1]1_inventory_totals'!$Q$8:$Q$10000,'[1]1_inventory_totals'!$C$8:$C$10000,I8,'[1]1_inventory_totals'!$F$8:$F$10000,"="&amp;S8,'[1]1_inventory_totals'!$G$8:$G$10000,"="&amp;T8)+SUMIFS('[1]1_inventory_totals'!$R$8:$R$10000,'[1]1_inventory_totals'!$C$8:$C$10000,I8,'[1]1_inventory_totals'!$F$8:$F$10000,"="&amp;S8,'[1]1_inventory_totals'!$G$8:$G$10000,"="&amp;T8))+(SUMIFS('[1]1_inventory_totals'!$J$8:$J$10000,'[1]1_inventory_totals'!$C$8:$C$10000,I8,'[1]1_inventory_totals'!$F$8:$F$10000,"="&amp;S8,'[1]1_inventory_totals'!$G$8:$G$10000,"="&amp;T8)+SUMIFS('[1]1_inventory_totals'!$K$8:$K$10000,'[1]1_inventory_totals'!$C$8:$C$10000,I8,'[1]1_inventory_totals'!$F$8:$F$10000,"="&amp;S8,'[1]1_inventory_totals'!$G$8:$G$10000,"="&amp;T8)+SUMIFS('[1]1_inventory_totals'!$L$8:$L$10000,'[1]1_inventory_totals'!$C$8:$C$10000,I8,'[1]1_inventory_totals'!$F$8:$F$10000,"="&amp;S8,'[1]1_inventory_totals'!$G$8:$G$10000,"="&amp;T8)+SUMIFS('[1]1_inventory_totals'!$M$8:$M$10000,'[1]1_inventory_totals'!$C$8:$C$10000,I8,'[1]1_inventory_totals'!$F$8:$F$10000,"="&amp;S8,'[1]1_inventory_totals'!$G$8:$G$10000,"="&amp;T8)+SUMIFS('[1]1_inventory_totals'!$O$8:$O$10000,'[1]1_inventory_totals'!$C$8:$C$10000,I8,'[1]1_inventory_totals'!$F$8:$F$10000,"="&amp;S8,'[1]1_inventory_totals'!$G$8:$G$10000,"="&amp;T8)+SUMIFS('[1]1_inventory_totals'!$S$8:$S$10000,'[1]1_inventory_totals'!$C$8:$C$10000,I8,'[1]1_inventory_totals'!$F$8:$F$10000,"="&amp;S8,'[1]1_inventory_totals'!$G$8:$G$10000,"="&amp;T8)))</f>
        <v/>
      </c>
      <c r="AO8" s="270" t="str">
        <f>IF(L8="","",(SUMIFS('[1]2_inventory_totals'!$I$8:$I$10000,'[1]2_inventory_totals'!$C$8:$C$10000,I8,'[1]2_inventory_totals'!$F$8:$F$10000,"="&amp;S8,'[1]2_inventory_totals'!$G$8:$G$10000,"="&amp;T8)+SUMIFS('[1]2_inventory_totals'!$N$8:$N$10000,'[1]2_inventory_totals'!$C$8:$C$10000,I8,'[1]2_inventory_totals'!$F$8:$F$10000,"="&amp;S8,'[1]2_inventory_totals'!$G$8:$G$10000,"="&amp;T8)+SUMIFS('[1]2_inventory_totals'!$P$8:$P$10000,'[1]2_inventory_totals'!$C$8:$C$10000,I8,'[1]2_inventory_totals'!$F$8:$F$10000,"="&amp;S8,'[1]2_inventory_totals'!$G$8:$G$10000,"="&amp;T8)+SUMIFS('[1]2_inventory_totals'!$Q$8:$Q$10000,'[1]2_inventory_totals'!$C$8:$C$10000,I8,'[1]2_inventory_totals'!$F$8:$F$10000,"="&amp;S8,'[1]2_inventory_totals'!$G$8:$G$10000,"="&amp;T8)+SUMIFS('[1]2_inventory_totals'!$R$8:$R$10000,'[1]2_inventory_totals'!$C$8:$C$10000,I8,'[1]2_inventory_totals'!$F$8:$F$10000,"="&amp;S8,'[1]2_inventory_totals'!$G$8:$G$10000,"="&amp;T8))+(SUMIFS('[1]2_inventory_totals'!$J$8:$J$10000,'[1]2_inventory_totals'!$C$8:$C$10000,I8,'[1]2_inventory_totals'!$F$8:$F$10000,"="&amp;S8,'[1]2_inventory_totals'!$G$8:$G$10000,"="&amp;T8)+SUMIFS('[1]2_inventory_totals'!$K$8:$K$10000,'[1]2_inventory_totals'!$C$8:$C$10000,I8,'[1]2_inventory_totals'!$F$8:$F$10000,"="&amp;S8,'[1]2_inventory_totals'!$G$8:$G$10000,"="&amp;T8)+SUMIFS('[1]2_inventory_totals'!$L$8:$L$10000,'[1]2_inventory_totals'!$C$8:$C$10000,I8,'[1]2_inventory_totals'!$F$8:$F$10000,"="&amp;S8,'[1]2_inventory_totals'!$G$8:$G$10000,"="&amp;T8)+SUMIFS('[1]2_inventory_totals'!$M$8:$M$10000,'[1]2_inventory_totals'!$C$8:$C$10000,I8,'[1]2_inventory_totals'!$F$8:$F$10000,"="&amp;S8,'[1]2_inventory_totals'!$G$8:$G$10000,"="&amp;T8)+SUMIFS('[1]2_inventory_totals'!$O$8:$O$10000,'[1]2_inventory_totals'!$C$8:$C$10000,I8,'[1]2_inventory_totals'!$F$8:$F$10000,"="&amp;S8,'[1]2_inventory_totals'!$G$8:$G$10000,"="&amp;T8)+SUMIFS('[1]2_inventory_totals'!$S$8:$S$10000,'[1]2_inventory_totals'!$C$8:$C$10000,I8,'[1]2_inventory_totals'!$F$8:$F$10000,"="&amp;S8,'[1]2_inventory_totals'!$G$8:$G$10000,"="&amp;T8)))</f>
        <v/>
      </c>
      <c r="AP8" s="1165" t="e">
        <f>(AD8*-1)/W8</f>
        <v>#VALUE!</v>
      </c>
    </row>
    <row r="9" spans="1:74" ht="27" customHeight="1" thickBot="1">
      <c r="A9" s="923"/>
      <c r="B9" s="1178"/>
      <c r="C9" s="1235">
        <v>46204</v>
      </c>
      <c r="D9" s="1605">
        <f>IFERROR(IF(adj_date="","",IF(AND(DAY(adj_date)&gt;0,DAY(adj_date)&lt;8),1,IF(AND(DAY(adj_date)&gt;7,DAY(adj_date)&lt;15),2,IF(AND(DAY(adj_date)&gt;14,DAY(adj_date)&lt;22),3,IF(AND(DAY(adj_date)&gt;21,DAY(adj_date)&lt;32),4,""))))),"")</f>
        <v>1</v>
      </c>
      <c r="E9" s="1790" t="e">
        <f>"KSADJ"&amp;RIGHT(YEAR(C9),2)&amp;"-"&amp;TEXT(adj_no,"0000")</f>
        <v>#VALUE!</v>
      </c>
      <c r="F9" s="1791" t="e">
        <f>COUNTIFS([1]InvAdjData!$L$8:$L$10000,"&gt;0")+1</f>
        <v>#VALUE!</v>
      </c>
      <c r="G9" s="941"/>
      <c r="I9" s="1610" t="str">
        <f t="shared" ref="I9:I72" si="5">IF(L9="","",MID(L9,1,5)*1)</f>
        <v/>
      </c>
      <c r="J9" s="270" t="str">
        <f t="shared" ref="J9:J72" si="6">IF(L9="","",J8+1)</f>
        <v/>
      </c>
      <c r="K9" s="813" t="str">
        <f t="shared" si="0"/>
        <v/>
      </c>
      <c r="L9" s="1184"/>
      <c r="M9" s="1185"/>
      <c r="N9" s="1186"/>
      <c r="O9" s="1534"/>
      <c r="P9" s="336" t="str">
        <f t="shared" ref="P9:P39" si="7">IF(AND(adj_type&lt;&gt;"",L9&lt;&gt;"",M9&lt;&gt;""),IF(adj_type=1,O9*W9/V9,O9*W9/V9-Q9),"")</f>
        <v/>
      </c>
      <c r="Q9" s="336" t="str">
        <f>IF(L9="","",IF(AD9=0,0,(SUMIFS('[1]1_group_total_details'!$I$8:$I$10000,'[1]1_group_total_details'!$C$8:$C$10000,I9,'[1]1_group_total_details'!$F$8:$F$10000,adj_location_group_id,'[1]1_group_total_details'!$G$8:$G$10000,MID(N9,1,3)*1,'[1]1_group_total_details'!$H$8:$H$10000,"&lt;="&amp;adj_date)+SUMIFS('[1]1_group_total_details'!$L$8:$L$10000,'[1]1_group_total_details'!$C$8:$C$10000,I9,'[1]1_group_total_details'!$F$8:$F$10000,adj_location_group_id,'[1]1_group_total_details'!$G$8:$G$10000,MID(N9,1,3)*1,'[1]1_group_total_details'!$H$8:$H$10000,"&lt;="&amp;adj_date)+SUMIFS('[1]1_group_total_details'!$N$8:$N$10000,'[1]1_group_total_details'!$C$8:$C$10000,I9,'[1]1_group_total_details'!$F$8:$F$10000,adj_location_group_id,'[1]1_group_total_details'!$G$8:$G$10000,MID(N9,1,3)*1,'[1]1_group_total_details'!$H$8:$H$10000,"&lt;="&amp;adj_date)+SUMIFS('[1]1_group_total_details'!$O$8:$O$10000,'[1]1_group_total_details'!$C$8:$C$10000,I9,'[1]1_group_total_details'!$F$8:$F$10000,adj_location_group_id,'[1]1_group_total_details'!$G$8:$G$10000,MID(N9,1,3)*1,'[1]1_group_total_details'!$H$8:$H$10000,"&lt;="&amp;adj_date))-(SUMIFS('[1]1_group_total_details'!$J$8:$J$10000,'[1]1_group_total_details'!$C$8:$C$10000,I9,'[1]1_group_total_details'!$F$8:$F$10000,adj_location_group_id,'[1]1_group_total_details'!$G$8:$G$10000,MID(N9,1,3)*1,'[1]1_group_total_details'!$H$8:$H$10000,"&lt;="&amp;adj_date)+SUMIFS('[1]1_group_total_details'!$K$8:$K$10000,'[1]1_group_total_details'!$C$8:$C$10000,I9,'[1]1_group_total_details'!$F$8:$F$10000,adj_location_group_id,'[1]1_group_total_details'!$G$8:$G$10000,MID(N9,1,3)*1,'[1]1_group_total_details'!$H$8:$H$10000,"&lt;="&amp;adj_date)+SUMIFS('[1]1_group_total_details'!$M$8:$M$10000,'[1]1_group_total_details'!$C$8:$C$10000,I9,'[1]1_group_total_details'!$F$8:$F$10000,adj_location_group_id,'[1]1_group_total_details'!$G$8:$G$10000,MID(N9,1,3)*1,'[1]1_group_total_details'!$H$8:$H$10000,"&lt;="&amp;adj_date)+SUMIFS('[1]1_group_total_details'!$P$8:$P$10000,'[1]1_group_total_details'!$C$8:$C$10000,I9,'[1]1_group_total_details'!$F$8:$F$10000,adj_location_group_id,'[1]1_group_total_details'!$G$8:$G$10000,MID(N9,1,3)*1,'[1]1_group_total_details'!$H$8:$H$10000,"&lt;="&amp;adj_date))))</f>
        <v/>
      </c>
      <c r="R9" s="1187"/>
      <c r="S9" s="1186"/>
      <c r="T9" s="1186"/>
      <c r="U9" s="1184"/>
      <c r="V9" s="270" t="str" cm="1">
        <f t="array" ref="V9">IF(L9="","",IF(M9=AE9,1,Slookup(MID(AE9,1,3)*1,UomConversion!$D$8:$J$500,5,UomConversion!$E$8:$E$500,MID(M9,1,3)*1,UomConversion!$J$8:$J$500,1)))</f>
        <v/>
      </c>
      <c r="W9" s="270" t="str">
        <f t="shared" ref="W9:W72" si="8">IF(AND(L9="",ISNA(VLOOKUP(I9,product_list,18,FALSE))),"",VLOOKUP(I9,product_list,18,FALSE))</f>
        <v/>
      </c>
      <c r="X9" s="1795" t="str">
        <f t="shared" ref="X9:X72" si="9">IF(L9="","",IF(M9=AE9,Y9,IF(M9=AF9,ROUND(Y9/V9,2),IF(M9=AG9,ROUND(Y9/W9,2)))))</f>
        <v/>
      </c>
      <c r="Y9" s="1795" t="str">
        <f t="shared" ref="Y9:Y72" si="10">IF(L9="","",VLOOKUP(I9,product_list,14,FALSE))</f>
        <v/>
      </c>
      <c r="Z9" s="270" t="str">
        <f>IF(I9="","",IF(ISNA(MATCH(I9,IF(MID(N9,1,3)*1=1,'[1]1_inventory_totals'!$C$8:$C$10000,IF(MID(N9,1,3)*1=2,'[1]2_inventory_totals'!$C$8:$C$10000,"")),0)),0,IF(AL9&gt;0,1,0)))</f>
        <v/>
      </c>
      <c r="AA9" s="270" t="str">
        <f>IF(L9="","",IF(MID(N9,1,3)*1=1,SUMIFS('[1]1_inventory_total_details'!$J$8:$J$10000,'[1]1_inventory_total_details'!$C$8:$C$10000,I9,'[1]1_inventory_total_details'!$F$8:$F$10000,MID(N9,1,3)*1,'[1]1_inventory_total_details'!$G$8:$G$10000,"="&amp;S9,'[1]1_inventory_total_details'!$H$8:$H$10000,"="&amp;T9,'[1]1_inventory_total_details'!$I$8:$I$10000,"="&amp;adj_date)+SUMIFS('[1]1_inventory_total_details'!$M$8:$M$10000,'[1]1_inventory_total_details'!$C$8:$C$10000,I9,'[1]1_inventory_total_details'!$F$8:$F$10000,MID(N9,1,3)*1,'[1]1_inventory_total_details'!$G$8:$G$10000,"="&amp;S9,'[1]1_inventory_total_details'!$H$8:$H$10000,"="&amp;T9,'[1]1_inventory_total_details'!$I$8:$I$10000,"="&amp;adj_date)+SUMIFS('[1]1_inventory_total_details'!$K$8:$K$10000,'[1]1_inventory_total_details'!$C$8:$C$10000,I9,'[1]1_inventory_total_details'!$F$8:$F$10000,MID(N9,1,3)*1,'[1]1_inventory_total_details'!$G$8:$G$10000,"="&amp;S9,'[1]1_inventory_total_details'!$H$8:$H$10000,"="&amp;T9,'[1]1_inventory_total_details'!$I$8:$I$10000,"="&amp;adj_date)+SUMIFS('[1]1_inventory_total_details'!$L$8:$L$10000,'[1]1_inventory_total_details'!$C$8:$C$10000,I9,'[1]1_inventory_total_details'!$F$8:$F$10000,MID(N9,1,3)*1,'[1]1_inventory_total_details'!$G$8:$G$10000,"="&amp;S9,'[1]1_inventory_total_details'!$H$8:$H$10000,"="&amp;T9,'[1]1_inventory_total_details'!$I$8:$I$10000,"="&amp;adj_date),SUMIFS('[1]2_inventory_total_details'!$J$8:$J$10000,'[1]2_inventory_total_details'!$C$8:$C$10000,I9,'[1]2_inventory_total_details'!$F$8:$F$10000,MID(N9,1,3)*1,'[1]2_inventory_total_details'!$G$8:$G$10000,"="&amp;S9,'[1]2_inventory_total_details'!$H$8:$H$10000,"="&amp;T9,'[1]2_inventory_total_details'!$I$8:$I$10000,"="&amp;adj_date)+SUMIFS('[1]2_inventory_total_details'!$M$8:$M$10000,'[1]1_inventory_total_details'!$C$8:$C$10000,I9,'[1]2_inventory_total_details'!$F$8:$F$10000,MID(N9,1,3)*1,'[1]2_inventory_total_details'!$G$8:$G$10000,"="&amp;S9,'[1]2_inventory_total_details'!$H$8:$H$10000,"="&amp;T9,'[1]2_inventory_total_details'!$I$8:$I$10000,"="&amp;adj_date)+SUMIFS('[1]2_inventory_total_details'!$K$8:$K$10000,'[1]2_inventory_total_details'!$C$8:$C$10000,I9,'[1]2_inventory_total_details'!$F$8:$F$10000,MID(N9,1,3)*1,'[1]2_inventory_total_details'!$G$8:$G$10000,"="&amp;S9,'[1]2_inventory_total_details'!$H$8:$H$10000,"="&amp;T9,'[1]2_inventory_total_details'!$I$8:$I$10000,"="&amp;adj_date)+SUMIFS('[1]2_inventory_total_details'!$L$8:$L$10000,'[1]2_inventory_total_details'!$C$8:$C$10000,I9,'[1]2_inventory_total_details'!$F$8:$F$10000,MID(N9,1,3)*1,'[1]2_inventory_total_details'!$G$8:$G$10000,"="&amp;S9,'[1]2_inventory_total_details'!$H$8:$H$10000,"="&amp;T9,'[1]2_inventory_total_details'!$I$8:$I$10000,"="&amp;adj_date)))</f>
        <v/>
      </c>
      <c r="AB9" s="270" t="str">
        <f>IF(L9="","",IF(MID(N9,1,3)*1=1,SUMIFS('[1]1_inventory_total_details'!$J$8:$J$10000,'[1]1_inventory_total_details'!$C$8:$C$10000,I9,'[1]1_inventory_total_details'!$F$8:$F$10000,MID(N9,1,3)*1,'[1]1_inventory_total_details'!$G$8:$G$10000,"="&amp;S9,'[1]1_inventory_total_details'!$H$8:$H$10000,"="&amp;T9,'[1]1_inventory_total_details'!$I$8:$I$10000,"="&amp;adj_date)+SUMIFS('[1]1_inventory_total_details'!$M$8:$M$10000,'[1]1_inventory_total_details'!$C$8:$C$10000,I9,'[1]1_inventory_total_details'!$F$8:$F$10000,MID(N9,1,3)*1,'[1]1_inventory_total_details'!$G$8:$G$10000,"="&amp;S9,'[1]1_inventory_total_details'!$H$8:$H$10000,"="&amp;T9,'[1]1_inventory_total_details'!$I$8:$I$10000,"="&amp;adj_date)+SUMIFS('[1]1_inventory_total_details'!$K$8:$K$10000,'[1]1_inventory_total_details'!$C$8:$C$10000,I9,'[1]1_inventory_total_details'!$F$8:$F$10000,MID(N9,1,3)*1,'[1]1_inventory_total_details'!$G$8:$G$10000,"="&amp;S9,'[1]1_inventory_total_details'!$H$8:$H$10000,"="&amp;T9,'[1]1_inventory_total_details'!$I$8:$I$10000,"="&amp;adj_date)+SUMIFS('[1]1_inventory_total_details'!$L$8:$L$10000,'[1]1_inventory_total_details'!$C$8:$C$10000,I9,'[1]1_inventory_total_details'!$F$8:$F$10000,MID(N9,1,3)*1,'[1]1_inventory_total_details'!$G$8:$G$10000,"="&amp;S9,'[1]1_inventory_total_details'!$H$8:$H$10000,"="&amp;T9,'[1]1_inventory_total_details'!$I$8:$I$10000,"="&amp;adj_date),SUMIFS('[1]2_inventory_total_details'!$J$8:$J$10000,'[1]2_inventory_total_details'!$C$8:$C$10000,I9,'[1]2_inventory_total_details'!$F$8:$F$10000,MID(N9,1,3)*1,'[1]2_inventory_total_details'!$G$8:$G$10000,"="&amp;S9,'[1]2_inventory_total_details'!$H$8:$H$10000,"="&amp;T9,'[1]2_inventory_total_details'!$I$8:$I$10000,"="&amp;adj_date)+SUMIFS('[1]2_inventory_total_details'!$M$8:$M$10000,'[1]1_inventory_total_details'!$C$8:$C$10000,I9,'[1]2_inventory_total_details'!$F$8:$F$10000,MID(N9,1,3)*1,'[1]2_inventory_total_details'!$G$8:$G$10000,"="&amp;S9,'[1]2_inventory_total_details'!$H$8:$H$10000,"="&amp;T9,'[1]2_inventory_total_details'!$I$8:$I$10000,"="&amp;adj_date)+SUMIFS('[1]2_inventory_total_details'!$K$8:$K$10000,'[1]2_inventory_total_details'!$C$8:$C$10000,I9,'[1]2_inventory_total_details'!$F$8:$F$10000,MID(N9,1,3)*1,'[1]2_inventory_total_details'!$G$8:$G$10000,"="&amp;S9,'[1]2_inventory_total_details'!$H$8:$H$10000,"="&amp;T9,'[1]2_inventory_total_details'!$I$8:$I$10000,"="&amp;adj_date)+SUMIFS('[1]2_inventory_total_details'!$L$8:$L$10000,'[1]2_inventory_total_details'!$C$8:$C$10000,I9,'[1]2_inventory_total_details'!$F$8:$F$10000,MID(N9,1,3)*1,'[1]2_inventory_total_details'!$G$8:$G$10000,"="&amp;S9,'[1]2_inventory_total_details'!$H$8:$H$10000,"="&amp;T9,'[1]2_inventory_total_details'!$I$8:$I$10000,"="&amp;adj_date)))</f>
        <v/>
      </c>
      <c r="AC9" s="270" t="str">
        <f>IF(L9="","",IF(MID(N9,1,3)*1=1,SUMIFS('[1]1_inventory_total_details'!$J$8:$J$10000,'[1]1_inventory_total_details'!$C$8:$C$10000,I9,'[1]1_inventory_total_details'!$F$8:$F$10000,MID(N9,1,3)*1,'[1]1_inventory_total_details'!$G$8:$G$10000,"="&amp;S9,'[1]1_inventory_total_details'!$H$8:$H$10000,"="&amp;T9,'[1]1_inventory_total_details'!$I$8:$I$10000,"="&amp;adj_date)+SUMIFS('[1]1_inventory_total_details'!$M$8:$M$10000,'[1]1_inventory_total_details'!$C$8:$C$10000,I9,'[1]1_inventory_total_details'!$F$8:$F$10000,MID(N9,1,3)*1,'[1]1_inventory_total_details'!$G$8:$G$10000,"="&amp;S9,'[1]1_inventory_total_details'!$H$8:$H$10000,"="&amp;T9,'[1]1_inventory_total_details'!$I$8:$I$10000,"="&amp;adj_date)+SUMIFS('[1]1_inventory_total_details'!$K$8:$K$10000,'[1]1_inventory_total_details'!$C$8:$C$10000,I9,'[1]1_inventory_total_details'!$F$8:$F$10000,MID(N9,1,3)*1,'[1]1_inventory_total_details'!$G$8:$G$10000,"="&amp;S9,'[1]1_inventory_total_details'!$H$8:$H$10000,"="&amp;T9,'[1]1_inventory_total_details'!$I$8:$I$10000,"="&amp;adj_date)+SUMIFS('[1]1_inventory_total_details'!$L$8:$L$10000,'[1]1_inventory_total_details'!$C$8:$C$10000,I9,'[1]1_inventory_total_details'!$F$8:$F$10000,MID(N9,1,3)*1,'[1]1_inventory_total_details'!$G$8:$G$10000,"="&amp;S9,'[1]1_inventory_total_details'!$H$8:$H$10000,"="&amp;T9,'[1]1_inventory_total_details'!$I$8:$I$10000,"="&amp;adj_date),SUMIFS('[1]2_inventory_total_details'!$J$8:$J$10000,'[1]2_inventory_total_details'!$C$8:$C$10000,I9,'[1]2_inventory_total_details'!$F$8:$F$10000,MID(N9,1,3)*1,'[1]2_inventory_total_details'!$G$8:$G$10000,"="&amp;S9,'[1]2_inventory_total_details'!$H$8:$H$10000,"="&amp;T9,'[1]2_inventory_total_details'!$I$8:$I$10000,"="&amp;adj_date)+SUMIFS('[1]2_inventory_total_details'!$M$8:$M$10000,'[1]1_inventory_total_details'!$C$8:$C$10000,I9,'[1]2_inventory_total_details'!$F$8:$F$10000,MID(N9,1,3)*1,'[1]2_inventory_total_details'!$G$8:$G$10000,"="&amp;S9,'[1]2_inventory_total_details'!$H$8:$H$10000,"="&amp;T9,'[1]2_inventory_total_details'!$I$8:$I$10000,"="&amp;adj_date)+SUMIFS('[1]2_inventory_total_details'!$K$8:$K$10000,'[1]2_inventory_total_details'!$C$8:$C$10000,I9,'[1]2_inventory_total_details'!$F$8:$F$10000,MID(N9,1,3)*1,'[1]2_inventory_total_details'!$G$8:$G$10000,"="&amp;S9,'[1]2_inventory_total_details'!$H$8:$H$10000,"="&amp;T9,'[1]2_inventory_total_details'!$I$8:$I$10000,"="&amp;adj_date)+SUMIFS('[1]2_inventory_total_details'!$L$8:$L$10000,'[1]2_inventory_total_details'!$C$8:$C$10000,I9,'[1]2_inventory_total_details'!$F$8:$F$10000,MID(N9,1,3)*1,'[1]2_inventory_total_details'!$G$8:$G$10000,"="&amp;S9,'[1]2_inventory_total_details'!$H$8:$H$10000,"="&amp;T9,'[1]2_inventory_total_details'!$I$8:$I$10000,"="&amp;adj_date)))</f>
        <v/>
      </c>
      <c r="AD9" s="270" t="str">
        <f>IF(L9="","",SUMIFS('[1]1_group_totals'!$J$8:$J$10000,'[1]1_group_totals'!$C$8:$C$10000,I9,'[1]1_group_totals'!$F$8:$F$10000,adj_location_group_id,'[1]1_group_totals'!$G$8:$G$10000,MID(N9,1,3)*1,'[1]1_group_totals'!$H$8:$H$10000,"="&amp;S9,'[1]1_group_totals'!$I$8:$I$10000,"="&amp;T9))</f>
        <v/>
      </c>
      <c r="AE9" s="1796" t="str">
        <f t="shared" ref="AE9:AE72" si="11">IF(L9="","",VLOOKUP(I9,product_list,8,FALSE))</f>
        <v/>
      </c>
      <c r="AF9" s="1797" t="str">
        <f>IF(ISNA(MATCH(MID(AE9,1,3)*1,UomConversion!$D$8:$D$500,0)),"",IF(AJ9&lt;&gt;"",AJ9,""))</f>
        <v/>
      </c>
      <c r="AG9" s="1797" t="str">
        <f>IF(AND(AH9&gt;0,COUNTIFS(UomConversion!$D$8:$D$500,MID(AE9,1,3)*1,UomConversion!$J$8:$J$500,1)&gt;1),TEXT(AH9,"000")&amp;"."&amp;VLOOKUP(AH9,uom_list,5,FALSE),"")</f>
        <v/>
      </c>
      <c r="AH9" s="270" t="str">
        <f t="shared" ref="AH9:AH72" si="12">IF(AND(L9&lt;&gt;"",AK9&gt;0),AK9,"")</f>
        <v/>
      </c>
      <c r="AI9" s="270" t="str">
        <f t="shared" ref="AI9:AI72" si="13">IF(L9="","",IF(V9&gt;0,W9/V9,""))</f>
        <v/>
      </c>
      <c r="AJ9" s="270" t="str">
        <f t="shared" ref="AJ9:AJ72" si="14">IF(OR(ISNA(VLOOKUP(MID(AE9,1,3)*1,uom_converion_list,2,FALSE)),L9=""),"",TEXT(VLOOKUP(MID(AE9,1,3)*1,uom_converion_list,2,FALSE),"000")&amp;"."&amp;VLOOKUP(VLOOKUP(MID(AE9,1,3)*1,uom_converion_list,2,FALSE),uom_list,5,FALSE))</f>
        <v/>
      </c>
      <c r="AK9" s="270" t="str" cm="1">
        <f t="array" ref="AK9">IF(L9="","",Slookup(MID(AE9,1,3)*1,UomConversion!$D$8:$J$500,2,UomConversion!$I$8:$I$500,1,UomConversion!$J$8:$J$500,1))</f>
        <v/>
      </c>
      <c r="AL9" s="270" t="str">
        <f t="shared" ref="AL9:AL72" si="15">IF(L9="","",IF(MID(N9,1,3)*1 = 1,AN9, IF(MID(N9,1,3)*1 = 2,AO9,0)))</f>
        <v/>
      </c>
      <c r="AM9" s="270" t="str">
        <f>IF(L9="","",(SUMIFS('[1]1_group_totals'!$K$8:$K$10000,'[1]1_group_totals'!$C$8:$C$10000,I9,'[1]1_group_totals'!$F$8:$F$10000,adj_location_group_id,'[1]1_group_totals'!$G$8:$G$10000,MID(N9,1,3)*1,'[1]1_group_totals'!$H$8:$H$10000,"="&amp;S9,'[1]1_group_totals'!$I$8:$I$10000,"="&amp;T9)+SUMIFS('[1]1_group_totals'!$N$8:$N$10000,'[1]1_group_totals'!$C$8:$C$10000,I9,'[1]1_group_totals'!$F$8:$F$10000,adj_location_group_id,'[1]1_group_totals'!$G$8:$G$10000,MID(N9,1,3)*1,'[1]1_group_totals'!$H$8:$H$10000,"="&amp;S9,'[1]1_group_totals'!$I$8:$I$10000,"="&amp;T9)+SUMIFS('[1]1_group_totals'!$P$8:$P$10000,'[1]1_group_totals'!$C$8:$C$10000,I9,'[1]1_group_totals'!$F$8:$F$10000,adj_location_group_id,'[1]1_group_totals'!$G$8:$G$10000,MID(N9,1,3)*1,'[1]1_group_totals'!$H$8:$H$10000,"="&amp;S9,'[1]1_group_totals'!$I$8:$I$10000,"="&amp;T9)+SUMIFS('[1]1_group_totals'!$Q$8:$Q$10000,'[1]1_group_totals'!$C$8:$C$10000,I9,'[1]1_group_totals'!$F$8:$F$10000,adj_location_group_id,'[1]1_group_totals'!$G$8:$G$10000,MID(N9,1,3)*1,'[1]1_group_totals'!$H$8:$H$10000,"="&amp;S9,'[1]1_group_totals'!$I$8:$I$10000,"="&amp;T9))+(SUMIFS('[1]1_group_totals'!$L$8:$L$10000,'[1]1_group_totals'!$C$8:$C$10000,I9,'[1]1_group_totals'!$F$8:$F$10000,adj_location_group_id,'[1]1_group_totals'!$G$8:$G$10000,MID(N9,1,3)*1,'[1]1_group_totals'!$H$8:$H$10000,"="&amp;S9,'[1]1_group_totals'!$I$8:$I$10000,"="&amp;T9)+SUMIFS('[1]1_group_totals'!$M$8:$M$10000,'[1]1_group_totals'!$C$8:$C$10000,I9,'[1]1_group_totals'!$F$8:$F$10000,adj_location_group_id,'[1]1_group_totals'!$G$8:$G$10000,MID(N9,1,3)*1,'[1]1_group_totals'!$H$8:$H$10000,"="&amp;S9,'[1]1_group_totals'!$I$8:$I$10000,"="&amp;T9)+SUMIFS('[1]1_group_totals'!$O$8:$O$10000,'[1]1_group_totals'!$C$8:$C$10000,I9,'[1]1_group_totals'!$F$8:$F$10000,adj_location_group_id,'[1]1_group_totals'!$G$8:$G$10000,MID(N9,1,3)*1,'[1]1_group_totals'!$H$8:$H$10000,"="&amp;S9,'[1]1_group_totals'!$I$8:$I$10000,"="&amp;T9)+SUMIFS('[1]1_group_totals'!$R$8:$R$10000,'[1]1_group_totals'!$C$8:$C$10000,I9,'[1]1_group_totals'!$F$8:$F$10000,adj_location_group_id,'[1]1_group_totals'!$G$8:$G$10000,MID(N9,1,3)*1,'[1]1_group_totals'!$H$8:$H$10000,"="&amp;S9,'[1]1_group_totals'!$I$8:$I$10000,"="&amp;T9)))</f>
        <v/>
      </c>
      <c r="AN9" s="270" t="str">
        <f>IF(L9="","",(SUMIFS('[1]1_inventory_totals'!$I$8:$I$10000,'[1]1_inventory_totals'!$C$8:$C$10000,I9,'[1]1_inventory_totals'!$F$8:$F$10000,"="&amp;S9,'[1]1_inventory_totals'!$G$8:$G$10000,"="&amp;T9)+SUMIFS('[1]1_inventory_totals'!$N$8:$N$10000,'[1]1_inventory_totals'!$C$8:$C$10000,I9,'[1]1_inventory_totals'!$F$8:$F$10000,"="&amp;S9,'[1]1_inventory_totals'!$G$8:$G$10000,"="&amp;T9)+SUMIFS('[1]1_inventory_totals'!$P$8:$P$10000,'[1]1_inventory_totals'!$C$8:$C$10000,I9,'[1]1_inventory_totals'!$F$8:$F$10000,"="&amp;S9,'[1]1_inventory_totals'!$G$8:$G$10000,"="&amp;T9)+SUMIFS('[1]1_inventory_totals'!$Q$8:$Q$10000,'[1]1_inventory_totals'!$C$8:$C$10000,I9,'[1]1_inventory_totals'!$F$8:$F$10000,"="&amp;S9,'[1]1_inventory_totals'!$G$8:$G$10000,"="&amp;T9)+SUMIFS('[1]1_inventory_totals'!$R$8:$R$10000,'[1]1_inventory_totals'!$C$8:$C$10000,I9,'[1]1_inventory_totals'!$F$8:$F$10000,"="&amp;S9,'[1]1_inventory_totals'!$G$8:$G$10000,"="&amp;T9))+(SUMIFS('[1]1_inventory_totals'!$J$8:$J$10000,'[1]1_inventory_totals'!$C$8:$C$10000,I9,'[1]1_inventory_totals'!$F$8:$F$10000,"="&amp;S9,'[1]1_inventory_totals'!$G$8:$G$10000,"="&amp;T9)+SUMIFS('[1]1_inventory_totals'!$K$8:$K$10000,'[1]1_inventory_totals'!$C$8:$C$10000,I9,'[1]1_inventory_totals'!$F$8:$F$10000,"="&amp;S9,'[1]1_inventory_totals'!$G$8:$G$10000,"="&amp;T9)+SUMIFS('[1]1_inventory_totals'!$L$8:$L$10000,'[1]1_inventory_totals'!$C$8:$C$10000,I9,'[1]1_inventory_totals'!$F$8:$F$10000,"="&amp;S9,'[1]1_inventory_totals'!$G$8:$G$10000,"="&amp;T9)+SUMIFS('[1]1_inventory_totals'!$M$8:$M$10000,'[1]1_inventory_totals'!$C$8:$C$10000,I9,'[1]1_inventory_totals'!$F$8:$F$10000,"="&amp;S9,'[1]1_inventory_totals'!$G$8:$G$10000,"="&amp;T9)+SUMIFS('[1]1_inventory_totals'!$O$8:$O$10000,'[1]1_inventory_totals'!$C$8:$C$10000,I9,'[1]1_inventory_totals'!$F$8:$F$10000,"="&amp;S9,'[1]1_inventory_totals'!$G$8:$G$10000,"="&amp;T9)+SUMIFS('[1]1_inventory_totals'!$S$8:$S$10000,'[1]1_inventory_totals'!$C$8:$C$10000,I9,'[1]1_inventory_totals'!$F$8:$F$10000,"="&amp;S9,'[1]1_inventory_totals'!$G$8:$G$10000,"="&amp;T9)))</f>
        <v/>
      </c>
      <c r="AO9" s="270" t="str">
        <f>IF(L9="","",(SUMIFS('[1]2_inventory_totals'!$I$8:$I$10000,'[1]2_inventory_totals'!$C$8:$C$10000,I9,'[1]2_inventory_totals'!$F$8:$F$10000,"="&amp;S9,'[1]2_inventory_totals'!$G$8:$G$10000,"="&amp;T9)+SUMIFS('[1]2_inventory_totals'!$N$8:$N$10000,'[1]2_inventory_totals'!$C$8:$C$10000,I9,'[1]2_inventory_totals'!$F$8:$F$10000,"="&amp;S9,'[1]2_inventory_totals'!$G$8:$G$10000,"="&amp;T9)+SUMIFS('[1]2_inventory_totals'!$P$8:$P$10000,'[1]2_inventory_totals'!$C$8:$C$10000,I9,'[1]2_inventory_totals'!$F$8:$F$10000,"="&amp;S9,'[1]2_inventory_totals'!$G$8:$G$10000,"="&amp;T9)+SUMIFS('[1]2_inventory_totals'!$Q$8:$Q$10000,'[1]2_inventory_totals'!$C$8:$C$10000,I9,'[1]2_inventory_totals'!$F$8:$F$10000,"="&amp;S9,'[1]2_inventory_totals'!$G$8:$G$10000,"="&amp;T9)+SUMIFS('[1]2_inventory_totals'!$R$8:$R$10000,'[1]2_inventory_totals'!$C$8:$C$10000,I9,'[1]2_inventory_totals'!$F$8:$F$10000,"="&amp;S9,'[1]2_inventory_totals'!$G$8:$G$10000,"="&amp;T9))+(SUMIFS('[1]2_inventory_totals'!$J$8:$J$10000,'[1]2_inventory_totals'!$C$8:$C$10000,I9,'[1]2_inventory_totals'!$F$8:$F$10000,"="&amp;S9,'[1]2_inventory_totals'!$G$8:$G$10000,"="&amp;T9)+SUMIFS('[1]2_inventory_totals'!$K$8:$K$10000,'[1]2_inventory_totals'!$C$8:$C$10000,I9,'[1]2_inventory_totals'!$F$8:$F$10000,"="&amp;S9,'[1]2_inventory_totals'!$G$8:$G$10000,"="&amp;T9)+SUMIFS('[1]2_inventory_totals'!$L$8:$L$10000,'[1]2_inventory_totals'!$C$8:$C$10000,I9,'[1]2_inventory_totals'!$F$8:$F$10000,"="&amp;S9,'[1]2_inventory_totals'!$G$8:$G$10000,"="&amp;T9)+SUMIFS('[1]2_inventory_totals'!$M$8:$M$10000,'[1]2_inventory_totals'!$C$8:$C$10000,I9,'[1]2_inventory_totals'!$F$8:$F$10000,"="&amp;S9,'[1]2_inventory_totals'!$G$8:$G$10000,"="&amp;T9)+SUMIFS('[1]2_inventory_totals'!$O$8:$O$10000,'[1]2_inventory_totals'!$C$8:$C$10000,I9,'[1]2_inventory_totals'!$F$8:$F$10000,"="&amp;S9,'[1]2_inventory_totals'!$G$8:$G$10000,"="&amp;T9)+SUMIFS('[1]2_inventory_totals'!$S$8:$S$10000,'[1]2_inventory_totals'!$C$8:$C$10000,I9,'[1]2_inventory_totals'!$F$8:$F$10000,"="&amp;S9,'[1]2_inventory_totals'!$G$8:$G$10000,"="&amp;T9)))</f>
        <v/>
      </c>
      <c r="AP9" s="954"/>
    </row>
    <row r="10" spans="1:74" ht="27" customHeight="1" thickBot="1">
      <c r="A10" s="923"/>
      <c r="B10" s="1178"/>
      <c r="C10" s="1188" t="s">
        <v>1960</v>
      </c>
      <c r="E10" s="1188" t="s">
        <v>1826</v>
      </c>
      <c r="F10" s="1189"/>
      <c r="I10" s="1610" t="str">
        <f t="shared" si="5"/>
        <v/>
      </c>
      <c r="J10" s="270" t="str">
        <f t="shared" si="6"/>
        <v/>
      </c>
      <c r="K10" s="813" t="str">
        <f t="shared" si="0"/>
        <v/>
      </c>
      <c r="L10" s="1184"/>
      <c r="M10" s="1185"/>
      <c r="N10" s="1186"/>
      <c r="O10" s="1534"/>
      <c r="P10" s="336" t="str">
        <f>IF(AND(adj_type&lt;&gt;"",L10&lt;&gt;"",M10&lt;&gt;""),IF(adj_type=1,O10*W10/V10,O10*W10/V10-Q10),"")</f>
        <v/>
      </c>
      <c r="Q10" s="336" t="str">
        <f>IF(L10="","",IF(AD10=0,0,(SUMIFS('[1]1_group_total_details'!$I$8:$I$10000,'[1]1_group_total_details'!$C$8:$C$10000,I10,'[1]1_group_total_details'!$F$8:$F$10000,adj_location_group_id,'[1]1_group_total_details'!$G$8:$G$10000,MID(N10,1,3)*1,'[1]1_group_total_details'!$H$8:$H$10000,"&lt;="&amp;adj_date)+SUMIFS('[1]1_group_total_details'!$L$8:$L$10000,'[1]1_group_total_details'!$C$8:$C$10000,I10,'[1]1_group_total_details'!$F$8:$F$10000,adj_location_group_id,'[1]1_group_total_details'!$G$8:$G$10000,MID(N10,1,3)*1,'[1]1_group_total_details'!$H$8:$H$10000,"&lt;="&amp;adj_date)+SUMIFS('[1]1_group_total_details'!$N$8:$N$10000,'[1]1_group_total_details'!$C$8:$C$10000,I10,'[1]1_group_total_details'!$F$8:$F$10000,adj_location_group_id,'[1]1_group_total_details'!$G$8:$G$10000,MID(N10,1,3)*1,'[1]1_group_total_details'!$H$8:$H$10000,"&lt;="&amp;adj_date)+SUMIFS('[1]1_group_total_details'!$O$8:$O$10000,'[1]1_group_total_details'!$C$8:$C$10000,I10,'[1]1_group_total_details'!$F$8:$F$10000,adj_location_group_id,'[1]1_group_total_details'!$G$8:$G$10000,MID(N10,1,3)*1,'[1]1_group_total_details'!$H$8:$H$10000,"&lt;="&amp;adj_date))-(SUMIFS('[1]1_group_total_details'!$J$8:$J$10000,'[1]1_group_total_details'!$C$8:$C$10000,I10,'[1]1_group_total_details'!$F$8:$F$10000,adj_location_group_id,'[1]1_group_total_details'!$G$8:$G$10000,MID(N10,1,3)*1,'[1]1_group_total_details'!$H$8:$H$10000,"&lt;="&amp;adj_date)+SUMIFS('[1]1_group_total_details'!$K$8:$K$10000,'[1]1_group_total_details'!$C$8:$C$10000,I10,'[1]1_group_total_details'!$F$8:$F$10000,adj_location_group_id,'[1]1_group_total_details'!$G$8:$G$10000,MID(N10,1,3)*1,'[1]1_group_total_details'!$H$8:$H$10000,"&lt;="&amp;adj_date)+SUMIFS('[1]1_group_total_details'!$M$8:$M$10000,'[1]1_group_total_details'!$C$8:$C$10000,I10,'[1]1_group_total_details'!$F$8:$F$10000,adj_location_group_id,'[1]1_group_total_details'!$G$8:$G$10000,MID(N10,1,3)*1,'[1]1_group_total_details'!$H$8:$H$10000,"&lt;="&amp;adj_date)+SUMIFS('[1]1_group_total_details'!$P$8:$P$10000,'[1]1_group_total_details'!$C$8:$C$10000,I10,'[1]1_group_total_details'!$F$8:$F$10000,adj_location_group_id,'[1]1_group_total_details'!$G$8:$G$10000,MID(N10,1,3)*1,'[1]1_group_total_details'!$H$8:$H$10000,"&lt;="&amp;adj_date))))</f>
        <v/>
      </c>
      <c r="R10" s="1187"/>
      <c r="S10" s="1186"/>
      <c r="T10" s="1186"/>
      <c r="U10" s="1184"/>
      <c r="V10" s="270" t="str" cm="1">
        <f t="array" ref="V10">IF(L10="","",IF(M10=AE10,1,Slookup(MID(AE10,1,3)*1,UomConversion!$D$8:$J$500,5,UomConversion!$E$8:$E$500,MID(M10,1,3)*1,UomConversion!$J$8:$J$500,1)))</f>
        <v/>
      </c>
      <c r="W10" s="270" t="str">
        <f t="shared" si="8"/>
        <v/>
      </c>
      <c r="X10" s="1795" t="str">
        <f t="shared" si="9"/>
        <v/>
      </c>
      <c r="Y10" s="1795" t="str">
        <f t="shared" si="10"/>
        <v/>
      </c>
      <c r="Z10" s="270" t="str">
        <f>IF(I10="","",IF(ISNA(MATCH(I10,IF(MID(N10,1,3)*1=1,'[1]1_inventory_totals'!$C$8:$C$10000,IF(MID(N10,1,3)*1=2,'[1]2_inventory_totals'!$C$8:$C$10000,"")),0)),0,IF(AL10&gt;0,1,0)))</f>
        <v/>
      </c>
      <c r="AA10" s="270" t="str">
        <f>IF(L10="","",IF(MID(N10,1,3)*1=1,SUMIFS('[1]1_inventory_total_details'!$J$8:$J$10000,'[1]1_inventory_total_details'!$C$8:$C$10000,I10,'[1]1_inventory_total_details'!$F$8:$F$10000,MID(N10,1,3)*1,'[1]1_inventory_total_details'!$G$8:$G$10000,"="&amp;S10,'[1]1_inventory_total_details'!$H$8:$H$10000,"="&amp;T10,'[1]1_inventory_total_details'!$I$8:$I$10000,"="&amp;adj_date)+SUMIFS('[1]1_inventory_total_details'!$M$8:$M$10000,'[1]1_inventory_total_details'!$C$8:$C$10000,I10,'[1]1_inventory_total_details'!$F$8:$F$10000,MID(N10,1,3)*1,'[1]1_inventory_total_details'!$G$8:$G$10000,"="&amp;S10,'[1]1_inventory_total_details'!$H$8:$H$10000,"="&amp;T10,'[1]1_inventory_total_details'!$I$8:$I$10000,"="&amp;adj_date)+SUMIFS('[1]1_inventory_total_details'!$K$8:$K$10000,'[1]1_inventory_total_details'!$C$8:$C$10000,I10,'[1]1_inventory_total_details'!$F$8:$F$10000,MID(N10,1,3)*1,'[1]1_inventory_total_details'!$G$8:$G$10000,"="&amp;S10,'[1]1_inventory_total_details'!$H$8:$H$10000,"="&amp;T10,'[1]1_inventory_total_details'!$I$8:$I$10000,"="&amp;adj_date)+SUMIFS('[1]1_inventory_total_details'!$L$8:$L$10000,'[1]1_inventory_total_details'!$C$8:$C$10000,I10,'[1]1_inventory_total_details'!$F$8:$F$10000,MID(N10,1,3)*1,'[1]1_inventory_total_details'!$G$8:$G$10000,"="&amp;S10,'[1]1_inventory_total_details'!$H$8:$H$10000,"="&amp;T10,'[1]1_inventory_total_details'!$I$8:$I$10000,"="&amp;adj_date),SUMIFS('[1]2_inventory_total_details'!$J$8:$J$10000,'[1]2_inventory_total_details'!$C$8:$C$10000,I10,'[1]2_inventory_total_details'!$F$8:$F$10000,MID(N10,1,3)*1,'[1]2_inventory_total_details'!$G$8:$G$10000,"="&amp;S10,'[1]2_inventory_total_details'!$H$8:$H$10000,"="&amp;T10,'[1]2_inventory_total_details'!$I$8:$I$10000,"="&amp;adj_date)+SUMIFS('[1]2_inventory_total_details'!$M$8:$M$10000,'[1]1_inventory_total_details'!$C$8:$C$10000,I10,'[1]2_inventory_total_details'!$F$8:$F$10000,MID(N10,1,3)*1,'[1]2_inventory_total_details'!$G$8:$G$10000,"="&amp;S10,'[1]2_inventory_total_details'!$H$8:$H$10000,"="&amp;T10,'[1]2_inventory_total_details'!$I$8:$I$10000,"="&amp;adj_date)+SUMIFS('[1]2_inventory_total_details'!$K$8:$K$10000,'[1]2_inventory_total_details'!$C$8:$C$10000,I10,'[1]2_inventory_total_details'!$F$8:$F$10000,MID(N10,1,3)*1,'[1]2_inventory_total_details'!$G$8:$G$10000,"="&amp;S10,'[1]2_inventory_total_details'!$H$8:$H$10000,"="&amp;T10,'[1]2_inventory_total_details'!$I$8:$I$10000,"="&amp;adj_date)+SUMIFS('[1]2_inventory_total_details'!$L$8:$L$10000,'[1]2_inventory_total_details'!$C$8:$C$10000,I10,'[1]2_inventory_total_details'!$F$8:$F$10000,MID(N10,1,3)*1,'[1]2_inventory_total_details'!$G$8:$G$10000,"="&amp;S10,'[1]2_inventory_total_details'!$H$8:$H$10000,"="&amp;T10,'[1]2_inventory_total_details'!$I$8:$I$10000,"="&amp;adj_date)))</f>
        <v/>
      </c>
      <c r="AB10" s="270" t="str">
        <f>IF(L10="","",IF(MID(N10,1,3)*1=1,SUMIFS('[1]1_inventory_total_details'!$J$8:$J$10000,'[1]1_inventory_total_details'!$C$8:$C$10000,I10,'[1]1_inventory_total_details'!$F$8:$F$10000,MID(N10,1,3)*1,'[1]1_inventory_total_details'!$G$8:$G$10000,"="&amp;S10,'[1]1_inventory_total_details'!$H$8:$H$10000,"="&amp;T10,'[1]1_inventory_total_details'!$I$8:$I$10000,"="&amp;adj_date)+SUMIFS('[1]1_inventory_total_details'!$M$8:$M$10000,'[1]1_inventory_total_details'!$C$8:$C$10000,I10,'[1]1_inventory_total_details'!$F$8:$F$10000,MID(N10,1,3)*1,'[1]1_inventory_total_details'!$G$8:$G$10000,"="&amp;S10,'[1]1_inventory_total_details'!$H$8:$H$10000,"="&amp;T10,'[1]1_inventory_total_details'!$I$8:$I$10000,"="&amp;adj_date)+SUMIFS('[1]1_inventory_total_details'!$K$8:$K$10000,'[1]1_inventory_total_details'!$C$8:$C$10000,I10,'[1]1_inventory_total_details'!$F$8:$F$10000,MID(N10,1,3)*1,'[1]1_inventory_total_details'!$G$8:$G$10000,"="&amp;S10,'[1]1_inventory_total_details'!$H$8:$H$10000,"="&amp;T10,'[1]1_inventory_total_details'!$I$8:$I$10000,"="&amp;adj_date)+SUMIFS('[1]1_inventory_total_details'!$L$8:$L$10000,'[1]1_inventory_total_details'!$C$8:$C$10000,I10,'[1]1_inventory_total_details'!$F$8:$F$10000,MID(N10,1,3)*1,'[1]1_inventory_total_details'!$G$8:$G$10000,"="&amp;S10,'[1]1_inventory_total_details'!$H$8:$H$10000,"="&amp;T10,'[1]1_inventory_total_details'!$I$8:$I$10000,"="&amp;adj_date),SUMIFS('[1]2_inventory_total_details'!$J$8:$J$10000,'[1]2_inventory_total_details'!$C$8:$C$10000,I10,'[1]2_inventory_total_details'!$F$8:$F$10000,MID(N10,1,3)*1,'[1]2_inventory_total_details'!$G$8:$G$10000,"="&amp;S10,'[1]2_inventory_total_details'!$H$8:$H$10000,"="&amp;T10,'[1]2_inventory_total_details'!$I$8:$I$10000,"="&amp;adj_date)+SUMIFS('[1]2_inventory_total_details'!$M$8:$M$10000,'[1]1_inventory_total_details'!$C$8:$C$10000,I10,'[1]2_inventory_total_details'!$F$8:$F$10000,MID(N10,1,3)*1,'[1]2_inventory_total_details'!$G$8:$G$10000,"="&amp;S10,'[1]2_inventory_total_details'!$H$8:$H$10000,"="&amp;T10,'[1]2_inventory_total_details'!$I$8:$I$10000,"="&amp;adj_date)+SUMIFS('[1]2_inventory_total_details'!$K$8:$K$10000,'[1]2_inventory_total_details'!$C$8:$C$10000,I10,'[1]2_inventory_total_details'!$F$8:$F$10000,MID(N10,1,3)*1,'[1]2_inventory_total_details'!$G$8:$G$10000,"="&amp;S10,'[1]2_inventory_total_details'!$H$8:$H$10000,"="&amp;T10,'[1]2_inventory_total_details'!$I$8:$I$10000,"="&amp;adj_date)+SUMIFS('[1]2_inventory_total_details'!$L$8:$L$10000,'[1]2_inventory_total_details'!$C$8:$C$10000,I10,'[1]2_inventory_total_details'!$F$8:$F$10000,MID(N10,1,3)*1,'[1]2_inventory_total_details'!$G$8:$G$10000,"="&amp;S10,'[1]2_inventory_total_details'!$H$8:$H$10000,"="&amp;T10,'[1]2_inventory_total_details'!$I$8:$I$10000,"="&amp;adj_date)))</f>
        <v/>
      </c>
      <c r="AC10" s="270" t="str">
        <f>IF(L10="","",IF(MID(N10,1,3)*1=1,SUMIFS('[1]1_inventory_total_details'!$J$8:$J$10000,'[1]1_inventory_total_details'!$C$8:$C$10000,I10,'[1]1_inventory_total_details'!$F$8:$F$10000,MID(N10,1,3)*1,'[1]1_inventory_total_details'!$G$8:$G$10000,"="&amp;S10,'[1]1_inventory_total_details'!$H$8:$H$10000,"="&amp;T10,'[1]1_inventory_total_details'!$I$8:$I$10000,"="&amp;adj_date)+SUMIFS('[1]1_inventory_total_details'!$M$8:$M$10000,'[1]1_inventory_total_details'!$C$8:$C$10000,I10,'[1]1_inventory_total_details'!$F$8:$F$10000,MID(N10,1,3)*1,'[1]1_inventory_total_details'!$G$8:$G$10000,"="&amp;S10,'[1]1_inventory_total_details'!$H$8:$H$10000,"="&amp;T10,'[1]1_inventory_total_details'!$I$8:$I$10000,"="&amp;adj_date)+SUMIFS('[1]1_inventory_total_details'!$K$8:$K$10000,'[1]1_inventory_total_details'!$C$8:$C$10000,I10,'[1]1_inventory_total_details'!$F$8:$F$10000,MID(N10,1,3)*1,'[1]1_inventory_total_details'!$G$8:$G$10000,"="&amp;S10,'[1]1_inventory_total_details'!$H$8:$H$10000,"="&amp;T10,'[1]1_inventory_total_details'!$I$8:$I$10000,"="&amp;adj_date)+SUMIFS('[1]1_inventory_total_details'!$L$8:$L$10000,'[1]1_inventory_total_details'!$C$8:$C$10000,I10,'[1]1_inventory_total_details'!$F$8:$F$10000,MID(N10,1,3)*1,'[1]1_inventory_total_details'!$G$8:$G$10000,"="&amp;S10,'[1]1_inventory_total_details'!$H$8:$H$10000,"="&amp;T10,'[1]1_inventory_total_details'!$I$8:$I$10000,"="&amp;adj_date),SUMIFS('[1]2_inventory_total_details'!$J$8:$J$10000,'[1]2_inventory_total_details'!$C$8:$C$10000,I10,'[1]2_inventory_total_details'!$F$8:$F$10000,MID(N10,1,3)*1,'[1]2_inventory_total_details'!$G$8:$G$10000,"="&amp;S10,'[1]2_inventory_total_details'!$H$8:$H$10000,"="&amp;T10,'[1]2_inventory_total_details'!$I$8:$I$10000,"="&amp;adj_date)+SUMIFS('[1]2_inventory_total_details'!$M$8:$M$10000,'[1]1_inventory_total_details'!$C$8:$C$10000,I10,'[1]2_inventory_total_details'!$F$8:$F$10000,MID(N10,1,3)*1,'[1]2_inventory_total_details'!$G$8:$G$10000,"="&amp;S10,'[1]2_inventory_total_details'!$H$8:$H$10000,"="&amp;T10,'[1]2_inventory_total_details'!$I$8:$I$10000,"="&amp;adj_date)+SUMIFS('[1]2_inventory_total_details'!$K$8:$K$10000,'[1]2_inventory_total_details'!$C$8:$C$10000,I10,'[1]2_inventory_total_details'!$F$8:$F$10000,MID(N10,1,3)*1,'[1]2_inventory_total_details'!$G$8:$G$10000,"="&amp;S10,'[1]2_inventory_total_details'!$H$8:$H$10000,"="&amp;T10,'[1]2_inventory_total_details'!$I$8:$I$10000,"="&amp;adj_date)+SUMIFS('[1]2_inventory_total_details'!$L$8:$L$10000,'[1]2_inventory_total_details'!$C$8:$C$10000,I10,'[1]2_inventory_total_details'!$F$8:$F$10000,MID(N10,1,3)*1,'[1]2_inventory_total_details'!$G$8:$G$10000,"="&amp;S10,'[1]2_inventory_total_details'!$H$8:$H$10000,"="&amp;T10,'[1]2_inventory_total_details'!$I$8:$I$10000,"="&amp;adj_date)))</f>
        <v/>
      </c>
      <c r="AD10" s="270" t="str">
        <f>IF(L10="","",SUMIFS('[1]1_group_totals'!$J$8:$J$10000,'[1]1_group_totals'!$C$8:$C$10000,I10,'[1]1_group_totals'!$F$8:$F$10000,adj_location_group_id,'[1]1_group_totals'!$G$8:$G$10000,MID(N10,1,3)*1,'[1]1_group_totals'!$H$8:$H$10000,"="&amp;S10,'[1]1_group_totals'!$I$8:$I$10000,"="&amp;T10))</f>
        <v/>
      </c>
      <c r="AE10" s="1796" t="str">
        <f t="shared" si="11"/>
        <v/>
      </c>
      <c r="AF10" s="1797" t="str">
        <f>IF(ISNA(MATCH(MID(AE10,1,3)*1,UomConversion!$D$8:$D$500,0)),"",IF(AJ10&lt;&gt;"",AJ10,""))</f>
        <v/>
      </c>
      <c r="AG10" s="1797" t="str">
        <f>IF(AND(AH10&gt;0,COUNTIFS(UomConversion!$D$8:$D$500,MID(AE10,1,3)*1,UomConversion!$J$8:$J$500,1)&gt;1),TEXT(AH10,"000")&amp;"."&amp;VLOOKUP(AH10,uom_list,5,FALSE),"")</f>
        <v/>
      </c>
      <c r="AH10" s="270" t="str">
        <f t="shared" si="12"/>
        <v/>
      </c>
      <c r="AI10" s="270" t="str">
        <f t="shared" si="13"/>
        <v/>
      </c>
      <c r="AJ10" s="270" t="str">
        <f t="shared" si="14"/>
        <v/>
      </c>
      <c r="AK10" s="270" t="str" cm="1">
        <f t="array" ref="AK10">IF(L10="","",Slookup(MID(AE10,1,3)*1,UomConversion!$D$8:$J$500,2,UomConversion!$I$8:$I$500,1,UomConversion!$J$8:$J$500,1))</f>
        <v/>
      </c>
      <c r="AL10" s="270" t="str">
        <f t="shared" si="15"/>
        <v/>
      </c>
      <c r="AM10" s="270" t="str">
        <f>IF(L10="","",(SUMIFS('[1]1_group_totals'!$K$8:$K$10000,'[1]1_group_totals'!$C$8:$C$10000,I10,'[1]1_group_totals'!$F$8:$F$10000,adj_location_group_id,'[1]1_group_totals'!$G$8:$G$10000,MID(N10,1,3)*1,'[1]1_group_totals'!$H$8:$H$10000,"="&amp;S10,'[1]1_group_totals'!$I$8:$I$10000,"="&amp;T10)+SUMIFS('[1]1_group_totals'!$N$8:$N$10000,'[1]1_group_totals'!$C$8:$C$10000,I10,'[1]1_group_totals'!$F$8:$F$10000,adj_location_group_id,'[1]1_group_totals'!$G$8:$G$10000,MID(N10,1,3)*1,'[1]1_group_totals'!$H$8:$H$10000,"="&amp;S10,'[1]1_group_totals'!$I$8:$I$10000,"="&amp;T10)+SUMIFS('[1]1_group_totals'!$P$8:$P$10000,'[1]1_group_totals'!$C$8:$C$10000,I10,'[1]1_group_totals'!$F$8:$F$10000,adj_location_group_id,'[1]1_group_totals'!$G$8:$G$10000,MID(N10,1,3)*1,'[1]1_group_totals'!$H$8:$H$10000,"="&amp;S10,'[1]1_group_totals'!$I$8:$I$10000,"="&amp;T10)+SUMIFS('[1]1_group_totals'!$Q$8:$Q$10000,'[1]1_group_totals'!$C$8:$C$10000,I10,'[1]1_group_totals'!$F$8:$F$10000,adj_location_group_id,'[1]1_group_totals'!$G$8:$G$10000,MID(N10,1,3)*1,'[1]1_group_totals'!$H$8:$H$10000,"="&amp;S10,'[1]1_group_totals'!$I$8:$I$10000,"="&amp;T10))+(SUMIFS('[1]1_group_totals'!$L$8:$L$10000,'[1]1_group_totals'!$C$8:$C$10000,I10,'[1]1_group_totals'!$F$8:$F$10000,adj_location_group_id,'[1]1_group_totals'!$G$8:$G$10000,MID(N10,1,3)*1,'[1]1_group_totals'!$H$8:$H$10000,"="&amp;S10,'[1]1_group_totals'!$I$8:$I$10000,"="&amp;T10)+SUMIFS('[1]1_group_totals'!$M$8:$M$10000,'[1]1_group_totals'!$C$8:$C$10000,I10,'[1]1_group_totals'!$F$8:$F$10000,adj_location_group_id,'[1]1_group_totals'!$G$8:$G$10000,MID(N10,1,3)*1,'[1]1_group_totals'!$H$8:$H$10000,"="&amp;S10,'[1]1_group_totals'!$I$8:$I$10000,"="&amp;T10)+SUMIFS('[1]1_group_totals'!$O$8:$O$10000,'[1]1_group_totals'!$C$8:$C$10000,I10,'[1]1_group_totals'!$F$8:$F$10000,adj_location_group_id,'[1]1_group_totals'!$G$8:$G$10000,MID(N10,1,3)*1,'[1]1_group_totals'!$H$8:$H$10000,"="&amp;S10,'[1]1_group_totals'!$I$8:$I$10000,"="&amp;T10)+SUMIFS('[1]1_group_totals'!$R$8:$R$10000,'[1]1_group_totals'!$C$8:$C$10000,I10,'[1]1_group_totals'!$F$8:$F$10000,adj_location_group_id,'[1]1_group_totals'!$G$8:$G$10000,MID(N10,1,3)*1,'[1]1_group_totals'!$H$8:$H$10000,"="&amp;S10,'[1]1_group_totals'!$I$8:$I$10000,"="&amp;T10)))</f>
        <v/>
      </c>
      <c r="AN10" s="270" t="str">
        <f>IF(L10="","",(SUMIFS('[1]1_inventory_totals'!$I$8:$I$10000,'[1]1_inventory_totals'!$C$8:$C$10000,I10,'[1]1_inventory_totals'!$F$8:$F$10000,"="&amp;S10,'[1]1_inventory_totals'!$G$8:$G$10000,"="&amp;T10)+SUMIFS('[1]1_inventory_totals'!$N$8:$N$10000,'[1]1_inventory_totals'!$C$8:$C$10000,I10,'[1]1_inventory_totals'!$F$8:$F$10000,"="&amp;S10,'[1]1_inventory_totals'!$G$8:$G$10000,"="&amp;T10)+SUMIFS('[1]1_inventory_totals'!$P$8:$P$10000,'[1]1_inventory_totals'!$C$8:$C$10000,I10,'[1]1_inventory_totals'!$F$8:$F$10000,"="&amp;S10,'[1]1_inventory_totals'!$G$8:$G$10000,"="&amp;T10)+SUMIFS('[1]1_inventory_totals'!$Q$8:$Q$10000,'[1]1_inventory_totals'!$C$8:$C$10000,I10,'[1]1_inventory_totals'!$F$8:$F$10000,"="&amp;S10,'[1]1_inventory_totals'!$G$8:$G$10000,"="&amp;T10)+SUMIFS('[1]1_inventory_totals'!$R$8:$R$10000,'[1]1_inventory_totals'!$C$8:$C$10000,I10,'[1]1_inventory_totals'!$F$8:$F$10000,"="&amp;S10,'[1]1_inventory_totals'!$G$8:$G$10000,"="&amp;T10))+(SUMIFS('[1]1_inventory_totals'!$J$8:$J$10000,'[1]1_inventory_totals'!$C$8:$C$10000,I10,'[1]1_inventory_totals'!$F$8:$F$10000,"="&amp;S10,'[1]1_inventory_totals'!$G$8:$G$10000,"="&amp;T10)+SUMIFS('[1]1_inventory_totals'!$K$8:$K$10000,'[1]1_inventory_totals'!$C$8:$C$10000,I10,'[1]1_inventory_totals'!$F$8:$F$10000,"="&amp;S10,'[1]1_inventory_totals'!$G$8:$G$10000,"="&amp;T10)+SUMIFS('[1]1_inventory_totals'!$L$8:$L$10000,'[1]1_inventory_totals'!$C$8:$C$10000,I10,'[1]1_inventory_totals'!$F$8:$F$10000,"="&amp;S10,'[1]1_inventory_totals'!$G$8:$G$10000,"="&amp;T10)+SUMIFS('[1]1_inventory_totals'!$M$8:$M$10000,'[1]1_inventory_totals'!$C$8:$C$10000,I10,'[1]1_inventory_totals'!$F$8:$F$10000,"="&amp;S10,'[1]1_inventory_totals'!$G$8:$G$10000,"="&amp;T10)+SUMIFS('[1]1_inventory_totals'!$O$8:$O$10000,'[1]1_inventory_totals'!$C$8:$C$10000,I10,'[1]1_inventory_totals'!$F$8:$F$10000,"="&amp;S10,'[1]1_inventory_totals'!$G$8:$G$10000,"="&amp;T10)+SUMIFS('[1]1_inventory_totals'!$S$8:$S$10000,'[1]1_inventory_totals'!$C$8:$C$10000,I10,'[1]1_inventory_totals'!$F$8:$F$10000,"="&amp;S10,'[1]1_inventory_totals'!$G$8:$G$10000,"="&amp;T10)))</f>
        <v/>
      </c>
      <c r="AO10" s="270" t="str">
        <f>IF(L10="","",(SUMIFS('[1]2_inventory_totals'!$I$8:$I$10000,'[1]2_inventory_totals'!$C$8:$C$10000,I10,'[1]2_inventory_totals'!$F$8:$F$10000,"="&amp;S10,'[1]2_inventory_totals'!$G$8:$G$10000,"="&amp;T10)+SUMIFS('[1]2_inventory_totals'!$N$8:$N$10000,'[1]2_inventory_totals'!$C$8:$C$10000,I10,'[1]2_inventory_totals'!$F$8:$F$10000,"="&amp;S10,'[1]2_inventory_totals'!$G$8:$G$10000,"="&amp;T10)+SUMIFS('[1]2_inventory_totals'!$P$8:$P$10000,'[1]2_inventory_totals'!$C$8:$C$10000,I10,'[1]2_inventory_totals'!$F$8:$F$10000,"="&amp;S10,'[1]2_inventory_totals'!$G$8:$G$10000,"="&amp;T10)+SUMIFS('[1]2_inventory_totals'!$Q$8:$Q$10000,'[1]2_inventory_totals'!$C$8:$C$10000,I10,'[1]2_inventory_totals'!$F$8:$F$10000,"="&amp;S10,'[1]2_inventory_totals'!$G$8:$G$10000,"="&amp;T10)+SUMIFS('[1]2_inventory_totals'!$R$8:$R$10000,'[1]2_inventory_totals'!$C$8:$C$10000,I10,'[1]2_inventory_totals'!$F$8:$F$10000,"="&amp;S10,'[1]2_inventory_totals'!$G$8:$G$10000,"="&amp;T10))+(SUMIFS('[1]2_inventory_totals'!$J$8:$J$10000,'[1]2_inventory_totals'!$C$8:$C$10000,I10,'[1]2_inventory_totals'!$F$8:$F$10000,"="&amp;S10,'[1]2_inventory_totals'!$G$8:$G$10000,"="&amp;T10)+SUMIFS('[1]2_inventory_totals'!$K$8:$K$10000,'[1]2_inventory_totals'!$C$8:$C$10000,I10,'[1]2_inventory_totals'!$F$8:$F$10000,"="&amp;S10,'[1]2_inventory_totals'!$G$8:$G$10000,"="&amp;T10)+SUMIFS('[1]2_inventory_totals'!$L$8:$L$10000,'[1]2_inventory_totals'!$C$8:$C$10000,I10,'[1]2_inventory_totals'!$F$8:$F$10000,"="&amp;S10,'[1]2_inventory_totals'!$G$8:$G$10000,"="&amp;T10)+SUMIFS('[1]2_inventory_totals'!$M$8:$M$10000,'[1]2_inventory_totals'!$C$8:$C$10000,I10,'[1]2_inventory_totals'!$F$8:$F$10000,"="&amp;S10,'[1]2_inventory_totals'!$G$8:$G$10000,"="&amp;T10)+SUMIFS('[1]2_inventory_totals'!$O$8:$O$10000,'[1]2_inventory_totals'!$C$8:$C$10000,I10,'[1]2_inventory_totals'!$F$8:$F$10000,"="&amp;S10,'[1]2_inventory_totals'!$G$8:$G$10000,"="&amp;T10)+SUMIFS('[1]2_inventory_totals'!$S$8:$S$10000,'[1]2_inventory_totals'!$C$8:$C$10000,I10,'[1]2_inventory_totals'!$F$8:$F$10000,"="&amp;S10,'[1]2_inventory_totals'!$G$8:$G$10000,"="&amp;T10)))</f>
        <v/>
      </c>
      <c r="AP10" s="954"/>
    </row>
    <row r="11" spans="1:74" ht="27" customHeight="1" thickBot="1">
      <c r="A11" s="923"/>
      <c r="B11" s="1178"/>
      <c r="C11" s="1237" t="s">
        <v>2599</v>
      </c>
      <c r="D11" s="478">
        <f>MID(C11,1,3)*1</f>
        <v>1</v>
      </c>
      <c r="E11" s="1236"/>
      <c r="F11" s="1190"/>
      <c r="G11" s="941"/>
      <c r="I11" s="1610" t="str">
        <f t="shared" si="5"/>
        <v/>
      </c>
      <c r="J11" s="270" t="str">
        <f t="shared" si="6"/>
        <v/>
      </c>
      <c r="K11" s="813" t="str">
        <f t="shared" si="0"/>
        <v/>
      </c>
      <c r="L11" s="1184"/>
      <c r="M11" s="1185"/>
      <c r="N11" s="1186"/>
      <c r="O11" s="1534"/>
      <c r="P11" s="336" t="str">
        <f t="shared" si="7"/>
        <v/>
      </c>
      <c r="Q11" s="336" t="str">
        <f>IF(L11="","",IF(AD11=0,0,(SUMIFS('[1]1_group_total_details'!$I$8:$I$10000,'[1]1_group_total_details'!$C$8:$C$10000,I11,'[1]1_group_total_details'!$F$8:$F$10000,adj_location_group_id,'[1]1_group_total_details'!$G$8:$G$10000,MID(N11,1,3)*1,'[1]1_group_total_details'!$H$8:$H$10000,"&lt;="&amp;adj_date)+SUMIFS('[1]1_group_total_details'!$L$8:$L$10000,'[1]1_group_total_details'!$C$8:$C$10000,I11,'[1]1_group_total_details'!$F$8:$F$10000,adj_location_group_id,'[1]1_group_total_details'!$G$8:$G$10000,MID(N11,1,3)*1,'[1]1_group_total_details'!$H$8:$H$10000,"&lt;="&amp;adj_date)+SUMIFS('[1]1_group_total_details'!$N$8:$N$10000,'[1]1_group_total_details'!$C$8:$C$10000,I11,'[1]1_group_total_details'!$F$8:$F$10000,adj_location_group_id,'[1]1_group_total_details'!$G$8:$G$10000,MID(N11,1,3)*1,'[1]1_group_total_details'!$H$8:$H$10000,"&lt;="&amp;adj_date)+SUMIFS('[1]1_group_total_details'!$O$8:$O$10000,'[1]1_group_total_details'!$C$8:$C$10000,I11,'[1]1_group_total_details'!$F$8:$F$10000,adj_location_group_id,'[1]1_group_total_details'!$G$8:$G$10000,MID(N11,1,3)*1,'[1]1_group_total_details'!$H$8:$H$10000,"&lt;="&amp;adj_date))-(SUMIFS('[1]1_group_total_details'!$J$8:$J$10000,'[1]1_group_total_details'!$C$8:$C$10000,I11,'[1]1_group_total_details'!$F$8:$F$10000,adj_location_group_id,'[1]1_group_total_details'!$G$8:$G$10000,MID(N11,1,3)*1,'[1]1_group_total_details'!$H$8:$H$10000,"&lt;="&amp;adj_date)+SUMIFS('[1]1_group_total_details'!$K$8:$K$10000,'[1]1_group_total_details'!$C$8:$C$10000,I11,'[1]1_group_total_details'!$F$8:$F$10000,adj_location_group_id,'[1]1_group_total_details'!$G$8:$G$10000,MID(N11,1,3)*1,'[1]1_group_total_details'!$H$8:$H$10000,"&lt;="&amp;adj_date)+SUMIFS('[1]1_group_total_details'!$M$8:$M$10000,'[1]1_group_total_details'!$C$8:$C$10000,I11,'[1]1_group_total_details'!$F$8:$F$10000,adj_location_group_id,'[1]1_group_total_details'!$G$8:$G$10000,MID(N11,1,3)*1,'[1]1_group_total_details'!$H$8:$H$10000,"&lt;="&amp;adj_date)+SUMIFS('[1]1_group_total_details'!$P$8:$P$10000,'[1]1_group_total_details'!$C$8:$C$10000,I11,'[1]1_group_total_details'!$F$8:$F$10000,adj_location_group_id,'[1]1_group_total_details'!$G$8:$G$10000,MID(N11,1,3)*1,'[1]1_group_total_details'!$H$8:$H$10000,"&lt;="&amp;adj_date))))</f>
        <v/>
      </c>
      <c r="R11" s="1187"/>
      <c r="S11" s="1186"/>
      <c r="T11" s="1186"/>
      <c r="U11" s="1184"/>
      <c r="V11" s="270" t="str" cm="1">
        <f t="array" ref="V11">IF(L11="","",IF(M11=AE11,1,Slookup(MID(AE11,1,3)*1,UomConversion!$D$8:$J$500,5,UomConversion!$E$8:$E$500,MID(M11,1,3)*1,UomConversion!$J$8:$J$500,1)))</f>
        <v/>
      </c>
      <c r="W11" s="270" t="str">
        <f t="shared" si="8"/>
        <v/>
      </c>
      <c r="X11" s="1795" t="str">
        <f t="shared" si="9"/>
        <v/>
      </c>
      <c r="Y11" s="1795" t="str">
        <f t="shared" si="10"/>
        <v/>
      </c>
      <c r="Z11" s="270" t="str">
        <f>IF(I11="","",IF(ISNA(MATCH(I11,IF(MID(N11,1,3)*1=1,'[1]1_inventory_totals'!$C$8:$C$10000,IF(MID(N11,1,3)*1=2,'[1]2_inventory_totals'!$C$8:$C$10000,"")),0)),0,IF(AL11&gt;0,1,0)))</f>
        <v/>
      </c>
      <c r="AA11" s="270" t="str">
        <f>IF(L11="","",IF(MID(N11,1,3)*1=1,SUMIFS('[1]1_inventory_total_details'!$J$8:$J$10000,'[1]1_inventory_total_details'!$C$8:$C$10000,I11,'[1]1_inventory_total_details'!$F$8:$F$10000,MID(N11,1,3)*1,'[1]1_inventory_total_details'!$G$8:$G$10000,"="&amp;S11,'[1]1_inventory_total_details'!$H$8:$H$10000,"="&amp;T11,'[1]1_inventory_total_details'!$I$8:$I$10000,"="&amp;adj_date)+SUMIFS('[1]1_inventory_total_details'!$M$8:$M$10000,'[1]1_inventory_total_details'!$C$8:$C$10000,I11,'[1]1_inventory_total_details'!$F$8:$F$10000,MID(N11,1,3)*1,'[1]1_inventory_total_details'!$G$8:$G$10000,"="&amp;S11,'[1]1_inventory_total_details'!$H$8:$H$10000,"="&amp;T11,'[1]1_inventory_total_details'!$I$8:$I$10000,"="&amp;adj_date)+SUMIFS('[1]1_inventory_total_details'!$K$8:$K$10000,'[1]1_inventory_total_details'!$C$8:$C$10000,I11,'[1]1_inventory_total_details'!$F$8:$F$10000,MID(N11,1,3)*1,'[1]1_inventory_total_details'!$G$8:$G$10000,"="&amp;S11,'[1]1_inventory_total_details'!$H$8:$H$10000,"="&amp;T11,'[1]1_inventory_total_details'!$I$8:$I$10000,"="&amp;adj_date)+SUMIFS('[1]1_inventory_total_details'!$L$8:$L$10000,'[1]1_inventory_total_details'!$C$8:$C$10000,I11,'[1]1_inventory_total_details'!$F$8:$F$10000,MID(N11,1,3)*1,'[1]1_inventory_total_details'!$G$8:$G$10000,"="&amp;S11,'[1]1_inventory_total_details'!$H$8:$H$10000,"="&amp;T11,'[1]1_inventory_total_details'!$I$8:$I$10000,"="&amp;adj_date),SUMIFS('[1]2_inventory_total_details'!$J$8:$J$10000,'[1]2_inventory_total_details'!$C$8:$C$10000,I11,'[1]2_inventory_total_details'!$F$8:$F$10000,MID(N11,1,3)*1,'[1]2_inventory_total_details'!$G$8:$G$10000,"="&amp;S11,'[1]2_inventory_total_details'!$H$8:$H$10000,"="&amp;T11,'[1]2_inventory_total_details'!$I$8:$I$10000,"="&amp;adj_date)+SUMIFS('[1]2_inventory_total_details'!$M$8:$M$10000,'[1]1_inventory_total_details'!$C$8:$C$10000,I11,'[1]2_inventory_total_details'!$F$8:$F$10000,MID(N11,1,3)*1,'[1]2_inventory_total_details'!$G$8:$G$10000,"="&amp;S11,'[1]2_inventory_total_details'!$H$8:$H$10000,"="&amp;T11,'[1]2_inventory_total_details'!$I$8:$I$10000,"="&amp;adj_date)+SUMIFS('[1]2_inventory_total_details'!$K$8:$K$10000,'[1]2_inventory_total_details'!$C$8:$C$10000,I11,'[1]2_inventory_total_details'!$F$8:$F$10000,MID(N11,1,3)*1,'[1]2_inventory_total_details'!$G$8:$G$10000,"="&amp;S11,'[1]2_inventory_total_details'!$H$8:$H$10000,"="&amp;T11,'[1]2_inventory_total_details'!$I$8:$I$10000,"="&amp;adj_date)+SUMIFS('[1]2_inventory_total_details'!$L$8:$L$10000,'[1]2_inventory_total_details'!$C$8:$C$10000,I11,'[1]2_inventory_total_details'!$F$8:$F$10000,MID(N11,1,3)*1,'[1]2_inventory_total_details'!$G$8:$G$10000,"="&amp;S11,'[1]2_inventory_total_details'!$H$8:$H$10000,"="&amp;T11,'[1]2_inventory_total_details'!$I$8:$I$10000,"="&amp;adj_date)))</f>
        <v/>
      </c>
      <c r="AB11" s="270" t="str">
        <f>IF(L11="","",IF(MID(N11,1,3)*1=1,SUMIFS('[1]1_inventory_total_details'!$J$8:$J$10000,'[1]1_inventory_total_details'!$C$8:$C$10000,I11,'[1]1_inventory_total_details'!$F$8:$F$10000,MID(N11,1,3)*1,'[1]1_inventory_total_details'!$G$8:$G$10000,"="&amp;S11,'[1]1_inventory_total_details'!$H$8:$H$10000,"="&amp;T11,'[1]1_inventory_total_details'!$I$8:$I$10000,"="&amp;adj_date)+SUMIFS('[1]1_inventory_total_details'!$M$8:$M$10000,'[1]1_inventory_total_details'!$C$8:$C$10000,I11,'[1]1_inventory_total_details'!$F$8:$F$10000,MID(N11,1,3)*1,'[1]1_inventory_total_details'!$G$8:$G$10000,"="&amp;S11,'[1]1_inventory_total_details'!$H$8:$H$10000,"="&amp;T11,'[1]1_inventory_total_details'!$I$8:$I$10000,"="&amp;adj_date)+SUMIFS('[1]1_inventory_total_details'!$K$8:$K$10000,'[1]1_inventory_total_details'!$C$8:$C$10000,I11,'[1]1_inventory_total_details'!$F$8:$F$10000,MID(N11,1,3)*1,'[1]1_inventory_total_details'!$G$8:$G$10000,"="&amp;S11,'[1]1_inventory_total_details'!$H$8:$H$10000,"="&amp;T11,'[1]1_inventory_total_details'!$I$8:$I$10000,"="&amp;adj_date)+SUMIFS('[1]1_inventory_total_details'!$L$8:$L$10000,'[1]1_inventory_total_details'!$C$8:$C$10000,I11,'[1]1_inventory_total_details'!$F$8:$F$10000,MID(N11,1,3)*1,'[1]1_inventory_total_details'!$G$8:$G$10000,"="&amp;S11,'[1]1_inventory_total_details'!$H$8:$H$10000,"="&amp;T11,'[1]1_inventory_total_details'!$I$8:$I$10000,"="&amp;adj_date),SUMIFS('[1]2_inventory_total_details'!$J$8:$J$10000,'[1]2_inventory_total_details'!$C$8:$C$10000,I11,'[1]2_inventory_total_details'!$F$8:$F$10000,MID(N11,1,3)*1,'[1]2_inventory_total_details'!$G$8:$G$10000,"="&amp;S11,'[1]2_inventory_total_details'!$H$8:$H$10000,"="&amp;T11,'[1]2_inventory_total_details'!$I$8:$I$10000,"="&amp;adj_date)+SUMIFS('[1]2_inventory_total_details'!$M$8:$M$10000,'[1]1_inventory_total_details'!$C$8:$C$10000,I11,'[1]2_inventory_total_details'!$F$8:$F$10000,MID(N11,1,3)*1,'[1]2_inventory_total_details'!$G$8:$G$10000,"="&amp;S11,'[1]2_inventory_total_details'!$H$8:$H$10000,"="&amp;T11,'[1]2_inventory_total_details'!$I$8:$I$10000,"="&amp;adj_date)+SUMIFS('[1]2_inventory_total_details'!$K$8:$K$10000,'[1]2_inventory_total_details'!$C$8:$C$10000,I11,'[1]2_inventory_total_details'!$F$8:$F$10000,MID(N11,1,3)*1,'[1]2_inventory_total_details'!$G$8:$G$10000,"="&amp;S11,'[1]2_inventory_total_details'!$H$8:$H$10000,"="&amp;T11,'[1]2_inventory_total_details'!$I$8:$I$10000,"="&amp;adj_date)+SUMIFS('[1]2_inventory_total_details'!$L$8:$L$10000,'[1]2_inventory_total_details'!$C$8:$C$10000,I11,'[1]2_inventory_total_details'!$F$8:$F$10000,MID(N11,1,3)*1,'[1]2_inventory_total_details'!$G$8:$G$10000,"="&amp;S11,'[1]2_inventory_total_details'!$H$8:$H$10000,"="&amp;T11,'[1]2_inventory_total_details'!$I$8:$I$10000,"="&amp;adj_date)))</f>
        <v/>
      </c>
      <c r="AC11" s="270" t="str">
        <f>IF(L11="","",IF(MID(N11,1,3)*1=1,SUMIFS('[1]1_inventory_total_details'!$J$8:$J$10000,'[1]1_inventory_total_details'!$C$8:$C$10000,I11,'[1]1_inventory_total_details'!$F$8:$F$10000,MID(N11,1,3)*1,'[1]1_inventory_total_details'!$G$8:$G$10000,"="&amp;S11,'[1]1_inventory_total_details'!$H$8:$H$10000,"="&amp;T11,'[1]1_inventory_total_details'!$I$8:$I$10000,"="&amp;adj_date)+SUMIFS('[1]1_inventory_total_details'!$M$8:$M$10000,'[1]1_inventory_total_details'!$C$8:$C$10000,I11,'[1]1_inventory_total_details'!$F$8:$F$10000,MID(N11,1,3)*1,'[1]1_inventory_total_details'!$G$8:$G$10000,"="&amp;S11,'[1]1_inventory_total_details'!$H$8:$H$10000,"="&amp;T11,'[1]1_inventory_total_details'!$I$8:$I$10000,"="&amp;adj_date)+SUMIFS('[1]1_inventory_total_details'!$K$8:$K$10000,'[1]1_inventory_total_details'!$C$8:$C$10000,I11,'[1]1_inventory_total_details'!$F$8:$F$10000,MID(N11,1,3)*1,'[1]1_inventory_total_details'!$G$8:$G$10000,"="&amp;S11,'[1]1_inventory_total_details'!$H$8:$H$10000,"="&amp;T11,'[1]1_inventory_total_details'!$I$8:$I$10000,"="&amp;adj_date)+SUMIFS('[1]1_inventory_total_details'!$L$8:$L$10000,'[1]1_inventory_total_details'!$C$8:$C$10000,I11,'[1]1_inventory_total_details'!$F$8:$F$10000,MID(N11,1,3)*1,'[1]1_inventory_total_details'!$G$8:$G$10000,"="&amp;S11,'[1]1_inventory_total_details'!$H$8:$H$10000,"="&amp;T11,'[1]1_inventory_total_details'!$I$8:$I$10000,"="&amp;adj_date),SUMIFS('[1]2_inventory_total_details'!$J$8:$J$10000,'[1]2_inventory_total_details'!$C$8:$C$10000,I11,'[1]2_inventory_total_details'!$F$8:$F$10000,MID(N11,1,3)*1,'[1]2_inventory_total_details'!$G$8:$G$10000,"="&amp;S11,'[1]2_inventory_total_details'!$H$8:$H$10000,"="&amp;T11,'[1]2_inventory_total_details'!$I$8:$I$10000,"="&amp;adj_date)+SUMIFS('[1]2_inventory_total_details'!$M$8:$M$10000,'[1]1_inventory_total_details'!$C$8:$C$10000,I11,'[1]2_inventory_total_details'!$F$8:$F$10000,MID(N11,1,3)*1,'[1]2_inventory_total_details'!$G$8:$G$10000,"="&amp;S11,'[1]2_inventory_total_details'!$H$8:$H$10000,"="&amp;T11,'[1]2_inventory_total_details'!$I$8:$I$10000,"="&amp;adj_date)+SUMIFS('[1]2_inventory_total_details'!$K$8:$K$10000,'[1]2_inventory_total_details'!$C$8:$C$10000,I11,'[1]2_inventory_total_details'!$F$8:$F$10000,MID(N11,1,3)*1,'[1]2_inventory_total_details'!$G$8:$G$10000,"="&amp;S11,'[1]2_inventory_total_details'!$H$8:$H$10000,"="&amp;T11,'[1]2_inventory_total_details'!$I$8:$I$10000,"="&amp;adj_date)+SUMIFS('[1]2_inventory_total_details'!$L$8:$L$10000,'[1]2_inventory_total_details'!$C$8:$C$10000,I11,'[1]2_inventory_total_details'!$F$8:$F$10000,MID(N11,1,3)*1,'[1]2_inventory_total_details'!$G$8:$G$10000,"="&amp;S11,'[1]2_inventory_total_details'!$H$8:$H$10000,"="&amp;T11,'[1]2_inventory_total_details'!$I$8:$I$10000,"="&amp;adj_date)))</f>
        <v/>
      </c>
      <c r="AD11" s="270" t="str">
        <f>IF(L11="","",SUMIFS('[1]1_group_totals'!$J$8:$J$10000,'[1]1_group_totals'!$C$8:$C$10000,I11,'[1]1_group_totals'!$F$8:$F$10000,adj_location_group_id,'[1]1_group_totals'!$G$8:$G$10000,MID(N11,1,3)*1,'[1]1_group_totals'!$H$8:$H$10000,"="&amp;S11,'[1]1_group_totals'!$I$8:$I$10000,"="&amp;T11))</f>
        <v/>
      </c>
      <c r="AE11" s="1796" t="str">
        <f t="shared" si="11"/>
        <v/>
      </c>
      <c r="AF11" s="1797" t="str">
        <f>IF(ISNA(MATCH(MID(AE11,1,3)*1,UomConversion!$D$8:$D$500,0)),"",IF(AJ11&lt;&gt;"",AJ11,""))</f>
        <v/>
      </c>
      <c r="AG11" s="1797" t="str">
        <f>IF(AND(AH11&gt;0,COUNTIFS(UomConversion!$D$8:$D$500,MID(AE11,1,3)*1,UomConversion!$J$8:$J$500,1)&gt;1),TEXT(AH11,"000")&amp;"."&amp;VLOOKUP(AH11,uom_list,5,FALSE),"")</f>
        <v/>
      </c>
      <c r="AH11" s="270" t="str">
        <f t="shared" si="12"/>
        <v/>
      </c>
      <c r="AI11" s="270" t="str">
        <f t="shared" si="13"/>
        <v/>
      </c>
      <c r="AJ11" s="270" t="str">
        <f t="shared" si="14"/>
        <v/>
      </c>
      <c r="AK11" s="270" t="str" cm="1">
        <f t="array" ref="AK11">IF(L11="","",Slookup(MID(AE11,1,3)*1,UomConversion!$D$8:$J$500,2,UomConversion!$I$8:$I$500,1,UomConversion!$J$8:$J$500,1))</f>
        <v/>
      </c>
      <c r="AL11" s="270" t="str">
        <f t="shared" si="15"/>
        <v/>
      </c>
      <c r="AM11" s="270" t="str">
        <f>IF(L11="","",(SUMIFS('[1]1_group_totals'!$K$8:$K$10000,'[1]1_group_totals'!$C$8:$C$10000,I11,'[1]1_group_totals'!$F$8:$F$10000,adj_location_group_id,'[1]1_group_totals'!$G$8:$G$10000,MID(N11,1,3)*1,'[1]1_group_totals'!$H$8:$H$10000,"="&amp;S11,'[1]1_group_totals'!$I$8:$I$10000,"="&amp;T11)+SUMIFS('[1]1_group_totals'!$N$8:$N$10000,'[1]1_group_totals'!$C$8:$C$10000,I11,'[1]1_group_totals'!$F$8:$F$10000,adj_location_group_id,'[1]1_group_totals'!$G$8:$G$10000,MID(N11,1,3)*1,'[1]1_group_totals'!$H$8:$H$10000,"="&amp;S11,'[1]1_group_totals'!$I$8:$I$10000,"="&amp;T11)+SUMIFS('[1]1_group_totals'!$P$8:$P$10000,'[1]1_group_totals'!$C$8:$C$10000,I11,'[1]1_group_totals'!$F$8:$F$10000,adj_location_group_id,'[1]1_group_totals'!$G$8:$G$10000,MID(N11,1,3)*1,'[1]1_group_totals'!$H$8:$H$10000,"="&amp;S11,'[1]1_group_totals'!$I$8:$I$10000,"="&amp;T11)+SUMIFS('[1]1_group_totals'!$Q$8:$Q$10000,'[1]1_group_totals'!$C$8:$C$10000,I11,'[1]1_group_totals'!$F$8:$F$10000,adj_location_group_id,'[1]1_group_totals'!$G$8:$G$10000,MID(N11,1,3)*1,'[1]1_group_totals'!$H$8:$H$10000,"="&amp;S11,'[1]1_group_totals'!$I$8:$I$10000,"="&amp;T11))+(SUMIFS('[1]1_group_totals'!$L$8:$L$10000,'[1]1_group_totals'!$C$8:$C$10000,I11,'[1]1_group_totals'!$F$8:$F$10000,adj_location_group_id,'[1]1_group_totals'!$G$8:$G$10000,MID(N11,1,3)*1,'[1]1_group_totals'!$H$8:$H$10000,"="&amp;S11,'[1]1_group_totals'!$I$8:$I$10000,"="&amp;T11)+SUMIFS('[1]1_group_totals'!$M$8:$M$10000,'[1]1_group_totals'!$C$8:$C$10000,I11,'[1]1_group_totals'!$F$8:$F$10000,adj_location_group_id,'[1]1_group_totals'!$G$8:$G$10000,MID(N11,1,3)*1,'[1]1_group_totals'!$H$8:$H$10000,"="&amp;S11,'[1]1_group_totals'!$I$8:$I$10000,"="&amp;T11)+SUMIFS('[1]1_group_totals'!$O$8:$O$10000,'[1]1_group_totals'!$C$8:$C$10000,I11,'[1]1_group_totals'!$F$8:$F$10000,adj_location_group_id,'[1]1_group_totals'!$G$8:$G$10000,MID(N11,1,3)*1,'[1]1_group_totals'!$H$8:$H$10000,"="&amp;S11,'[1]1_group_totals'!$I$8:$I$10000,"="&amp;T11)+SUMIFS('[1]1_group_totals'!$R$8:$R$10000,'[1]1_group_totals'!$C$8:$C$10000,I11,'[1]1_group_totals'!$F$8:$F$10000,adj_location_group_id,'[1]1_group_totals'!$G$8:$G$10000,MID(N11,1,3)*1,'[1]1_group_totals'!$H$8:$H$10000,"="&amp;S11,'[1]1_group_totals'!$I$8:$I$10000,"="&amp;T11)))</f>
        <v/>
      </c>
      <c r="AN11" s="270" t="str">
        <f>IF(L11="","",(SUMIFS('[1]1_inventory_totals'!$I$8:$I$10000,'[1]1_inventory_totals'!$C$8:$C$10000,I11,'[1]1_inventory_totals'!$F$8:$F$10000,"="&amp;S11,'[1]1_inventory_totals'!$G$8:$G$10000,"="&amp;T11)+SUMIFS('[1]1_inventory_totals'!$N$8:$N$10000,'[1]1_inventory_totals'!$C$8:$C$10000,I11,'[1]1_inventory_totals'!$F$8:$F$10000,"="&amp;S11,'[1]1_inventory_totals'!$G$8:$G$10000,"="&amp;T11)+SUMIFS('[1]1_inventory_totals'!$P$8:$P$10000,'[1]1_inventory_totals'!$C$8:$C$10000,I11,'[1]1_inventory_totals'!$F$8:$F$10000,"="&amp;S11,'[1]1_inventory_totals'!$G$8:$G$10000,"="&amp;T11)+SUMIFS('[1]1_inventory_totals'!$Q$8:$Q$10000,'[1]1_inventory_totals'!$C$8:$C$10000,I11,'[1]1_inventory_totals'!$F$8:$F$10000,"="&amp;S11,'[1]1_inventory_totals'!$G$8:$G$10000,"="&amp;T11)+SUMIFS('[1]1_inventory_totals'!$R$8:$R$10000,'[1]1_inventory_totals'!$C$8:$C$10000,I11,'[1]1_inventory_totals'!$F$8:$F$10000,"="&amp;S11,'[1]1_inventory_totals'!$G$8:$G$10000,"="&amp;T11))+(SUMIFS('[1]1_inventory_totals'!$J$8:$J$10000,'[1]1_inventory_totals'!$C$8:$C$10000,I11,'[1]1_inventory_totals'!$F$8:$F$10000,"="&amp;S11,'[1]1_inventory_totals'!$G$8:$G$10000,"="&amp;T11)+SUMIFS('[1]1_inventory_totals'!$K$8:$K$10000,'[1]1_inventory_totals'!$C$8:$C$10000,I11,'[1]1_inventory_totals'!$F$8:$F$10000,"="&amp;S11,'[1]1_inventory_totals'!$G$8:$G$10000,"="&amp;T11)+SUMIFS('[1]1_inventory_totals'!$L$8:$L$10000,'[1]1_inventory_totals'!$C$8:$C$10000,I11,'[1]1_inventory_totals'!$F$8:$F$10000,"="&amp;S11,'[1]1_inventory_totals'!$G$8:$G$10000,"="&amp;T11)+SUMIFS('[1]1_inventory_totals'!$M$8:$M$10000,'[1]1_inventory_totals'!$C$8:$C$10000,I11,'[1]1_inventory_totals'!$F$8:$F$10000,"="&amp;S11,'[1]1_inventory_totals'!$G$8:$G$10000,"="&amp;T11)+SUMIFS('[1]1_inventory_totals'!$O$8:$O$10000,'[1]1_inventory_totals'!$C$8:$C$10000,I11,'[1]1_inventory_totals'!$F$8:$F$10000,"="&amp;S11,'[1]1_inventory_totals'!$G$8:$G$10000,"="&amp;T11)+SUMIFS('[1]1_inventory_totals'!$S$8:$S$10000,'[1]1_inventory_totals'!$C$8:$C$10000,I11,'[1]1_inventory_totals'!$F$8:$F$10000,"="&amp;S11,'[1]1_inventory_totals'!$G$8:$G$10000,"="&amp;T11)))</f>
        <v/>
      </c>
      <c r="AO11" s="270" t="str">
        <f>IF(L11="","",(SUMIFS('[1]2_inventory_totals'!$I$8:$I$10000,'[1]2_inventory_totals'!$C$8:$C$10000,I11,'[1]2_inventory_totals'!$F$8:$F$10000,"="&amp;S11,'[1]2_inventory_totals'!$G$8:$G$10000,"="&amp;T11)+SUMIFS('[1]2_inventory_totals'!$N$8:$N$10000,'[1]2_inventory_totals'!$C$8:$C$10000,I11,'[1]2_inventory_totals'!$F$8:$F$10000,"="&amp;S11,'[1]2_inventory_totals'!$G$8:$G$10000,"="&amp;T11)+SUMIFS('[1]2_inventory_totals'!$P$8:$P$10000,'[1]2_inventory_totals'!$C$8:$C$10000,I11,'[1]2_inventory_totals'!$F$8:$F$10000,"="&amp;S11,'[1]2_inventory_totals'!$G$8:$G$10000,"="&amp;T11)+SUMIFS('[1]2_inventory_totals'!$Q$8:$Q$10000,'[1]2_inventory_totals'!$C$8:$C$10000,I11,'[1]2_inventory_totals'!$F$8:$F$10000,"="&amp;S11,'[1]2_inventory_totals'!$G$8:$G$10000,"="&amp;T11)+SUMIFS('[1]2_inventory_totals'!$R$8:$R$10000,'[1]2_inventory_totals'!$C$8:$C$10000,I11,'[1]2_inventory_totals'!$F$8:$F$10000,"="&amp;S11,'[1]2_inventory_totals'!$G$8:$G$10000,"="&amp;T11))+(SUMIFS('[1]2_inventory_totals'!$J$8:$J$10000,'[1]2_inventory_totals'!$C$8:$C$10000,I11,'[1]2_inventory_totals'!$F$8:$F$10000,"="&amp;S11,'[1]2_inventory_totals'!$G$8:$G$10000,"="&amp;T11)+SUMIFS('[1]2_inventory_totals'!$K$8:$K$10000,'[1]2_inventory_totals'!$C$8:$C$10000,I11,'[1]2_inventory_totals'!$F$8:$F$10000,"="&amp;S11,'[1]2_inventory_totals'!$G$8:$G$10000,"="&amp;T11)+SUMIFS('[1]2_inventory_totals'!$L$8:$L$10000,'[1]2_inventory_totals'!$C$8:$C$10000,I11,'[1]2_inventory_totals'!$F$8:$F$10000,"="&amp;S11,'[1]2_inventory_totals'!$G$8:$G$10000,"="&amp;T11)+SUMIFS('[1]2_inventory_totals'!$M$8:$M$10000,'[1]2_inventory_totals'!$C$8:$C$10000,I11,'[1]2_inventory_totals'!$F$8:$F$10000,"="&amp;S11,'[1]2_inventory_totals'!$G$8:$G$10000,"="&amp;T11)+SUMIFS('[1]2_inventory_totals'!$O$8:$O$10000,'[1]2_inventory_totals'!$C$8:$C$10000,I11,'[1]2_inventory_totals'!$F$8:$F$10000,"="&amp;S11,'[1]2_inventory_totals'!$G$8:$G$10000,"="&amp;T11)+SUMIFS('[1]2_inventory_totals'!$S$8:$S$10000,'[1]2_inventory_totals'!$C$8:$C$10000,I11,'[1]2_inventory_totals'!$F$8:$F$10000,"="&amp;S11,'[1]2_inventory_totals'!$G$8:$G$10000,"="&amp;T11)))</f>
        <v/>
      </c>
      <c r="AP11" s="954"/>
    </row>
    <row r="12" spans="1:74" ht="27" customHeight="1" thickBot="1">
      <c r="A12" s="923"/>
      <c r="B12" s="1178"/>
      <c r="C12" s="1188" t="s">
        <v>1544</v>
      </c>
      <c r="D12" s="1191"/>
      <c r="E12" s="249" t="str">
        <f>IF(OR(ISNA(MATCH(adj_ref_invoice,[1]InvAdjData!$J$8:$J$10000,0)),adj_type=2),"not exist","exist")</f>
        <v>not exist</v>
      </c>
      <c r="F12" s="1192"/>
      <c r="G12" s="941"/>
      <c r="I12" s="1610" t="str">
        <f t="shared" si="5"/>
        <v/>
      </c>
      <c r="J12" s="270" t="str">
        <f t="shared" si="6"/>
        <v/>
      </c>
      <c r="K12" s="813" t="str">
        <f t="shared" si="0"/>
        <v/>
      </c>
      <c r="L12" s="1184"/>
      <c r="M12" s="1185"/>
      <c r="N12" s="1186"/>
      <c r="O12" s="1534"/>
      <c r="P12" s="336" t="str">
        <f t="shared" si="7"/>
        <v/>
      </c>
      <c r="Q12" s="336" t="str">
        <f>IF(L12="","",IF(AD12=0,0,(SUMIFS('[1]1_group_total_details'!$I$8:$I$10000,'[1]1_group_total_details'!$C$8:$C$10000,I12,'[1]1_group_total_details'!$F$8:$F$10000,adj_location_group_id,'[1]1_group_total_details'!$G$8:$G$10000,MID(N12,1,3)*1,'[1]1_group_total_details'!$H$8:$H$10000,"&lt;="&amp;adj_date)+SUMIFS('[1]1_group_total_details'!$L$8:$L$10000,'[1]1_group_total_details'!$C$8:$C$10000,I12,'[1]1_group_total_details'!$F$8:$F$10000,adj_location_group_id,'[1]1_group_total_details'!$G$8:$G$10000,MID(N12,1,3)*1,'[1]1_group_total_details'!$H$8:$H$10000,"&lt;="&amp;adj_date)+SUMIFS('[1]1_group_total_details'!$N$8:$N$10000,'[1]1_group_total_details'!$C$8:$C$10000,I12,'[1]1_group_total_details'!$F$8:$F$10000,adj_location_group_id,'[1]1_group_total_details'!$G$8:$G$10000,MID(N12,1,3)*1,'[1]1_group_total_details'!$H$8:$H$10000,"&lt;="&amp;adj_date)+SUMIFS('[1]1_group_total_details'!$O$8:$O$10000,'[1]1_group_total_details'!$C$8:$C$10000,I12,'[1]1_group_total_details'!$F$8:$F$10000,adj_location_group_id,'[1]1_group_total_details'!$G$8:$G$10000,MID(N12,1,3)*1,'[1]1_group_total_details'!$H$8:$H$10000,"&lt;="&amp;adj_date))-(SUMIFS('[1]1_group_total_details'!$J$8:$J$10000,'[1]1_group_total_details'!$C$8:$C$10000,I12,'[1]1_group_total_details'!$F$8:$F$10000,adj_location_group_id,'[1]1_group_total_details'!$G$8:$G$10000,MID(N12,1,3)*1,'[1]1_group_total_details'!$H$8:$H$10000,"&lt;="&amp;adj_date)+SUMIFS('[1]1_group_total_details'!$K$8:$K$10000,'[1]1_group_total_details'!$C$8:$C$10000,I12,'[1]1_group_total_details'!$F$8:$F$10000,adj_location_group_id,'[1]1_group_total_details'!$G$8:$G$10000,MID(N12,1,3)*1,'[1]1_group_total_details'!$H$8:$H$10000,"&lt;="&amp;adj_date)+SUMIFS('[1]1_group_total_details'!$M$8:$M$10000,'[1]1_group_total_details'!$C$8:$C$10000,I12,'[1]1_group_total_details'!$F$8:$F$10000,adj_location_group_id,'[1]1_group_total_details'!$G$8:$G$10000,MID(N12,1,3)*1,'[1]1_group_total_details'!$H$8:$H$10000,"&lt;="&amp;adj_date)+SUMIFS('[1]1_group_total_details'!$P$8:$P$10000,'[1]1_group_total_details'!$C$8:$C$10000,I12,'[1]1_group_total_details'!$F$8:$F$10000,adj_location_group_id,'[1]1_group_total_details'!$G$8:$G$10000,MID(N12,1,3)*1,'[1]1_group_total_details'!$H$8:$H$10000,"&lt;="&amp;adj_date))))</f>
        <v/>
      </c>
      <c r="R12" s="1187"/>
      <c r="S12" s="1186"/>
      <c r="T12" s="1186"/>
      <c r="U12" s="1184"/>
      <c r="V12" s="270" t="str" cm="1">
        <f t="array" ref="V12">IF(L12="","",IF(M12=AE12,1,Slookup(MID(AE12,1,3)*1,UomConversion!$D$8:$J$500,5,UomConversion!$E$8:$E$500,MID(M12,1,3)*1,UomConversion!$J$8:$J$500,1)))</f>
        <v/>
      </c>
      <c r="W12" s="270" t="str">
        <f t="shared" si="8"/>
        <v/>
      </c>
      <c r="X12" s="1795" t="str">
        <f t="shared" si="9"/>
        <v/>
      </c>
      <c r="Y12" s="1795" t="str">
        <f t="shared" si="10"/>
        <v/>
      </c>
      <c r="Z12" s="270" t="str">
        <f>IF(I12="","",IF(ISNA(MATCH(I12,IF(MID(N12,1,3)*1=1,'[1]1_inventory_totals'!$C$8:$C$10000,IF(MID(N12,1,3)*1=2,'[1]2_inventory_totals'!$C$8:$C$10000,"")),0)),0,IF(AL12&gt;0,1,0)))</f>
        <v/>
      </c>
      <c r="AA12" s="270" t="str">
        <f>IF(L12="","",IF(MID(N12,1,3)*1=1,SUMIFS('[1]1_inventory_total_details'!$J$8:$J$10000,'[1]1_inventory_total_details'!$C$8:$C$10000,I12,'[1]1_inventory_total_details'!$F$8:$F$10000,MID(N12,1,3)*1,'[1]1_inventory_total_details'!$G$8:$G$10000,"="&amp;S12,'[1]1_inventory_total_details'!$H$8:$H$10000,"="&amp;T12,'[1]1_inventory_total_details'!$I$8:$I$10000,"="&amp;adj_date)+SUMIFS('[1]1_inventory_total_details'!$M$8:$M$10000,'[1]1_inventory_total_details'!$C$8:$C$10000,I12,'[1]1_inventory_total_details'!$F$8:$F$10000,MID(N12,1,3)*1,'[1]1_inventory_total_details'!$G$8:$G$10000,"="&amp;S12,'[1]1_inventory_total_details'!$H$8:$H$10000,"="&amp;T12,'[1]1_inventory_total_details'!$I$8:$I$10000,"="&amp;adj_date)+SUMIFS('[1]1_inventory_total_details'!$K$8:$K$10000,'[1]1_inventory_total_details'!$C$8:$C$10000,I12,'[1]1_inventory_total_details'!$F$8:$F$10000,MID(N12,1,3)*1,'[1]1_inventory_total_details'!$G$8:$G$10000,"="&amp;S12,'[1]1_inventory_total_details'!$H$8:$H$10000,"="&amp;T12,'[1]1_inventory_total_details'!$I$8:$I$10000,"="&amp;adj_date)+SUMIFS('[1]1_inventory_total_details'!$L$8:$L$10000,'[1]1_inventory_total_details'!$C$8:$C$10000,I12,'[1]1_inventory_total_details'!$F$8:$F$10000,MID(N12,1,3)*1,'[1]1_inventory_total_details'!$G$8:$G$10000,"="&amp;S12,'[1]1_inventory_total_details'!$H$8:$H$10000,"="&amp;T12,'[1]1_inventory_total_details'!$I$8:$I$10000,"="&amp;adj_date),SUMIFS('[1]2_inventory_total_details'!$J$8:$J$10000,'[1]2_inventory_total_details'!$C$8:$C$10000,I12,'[1]2_inventory_total_details'!$F$8:$F$10000,MID(N12,1,3)*1,'[1]2_inventory_total_details'!$G$8:$G$10000,"="&amp;S12,'[1]2_inventory_total_details'!$H$8:$H$10000,"="&amp;T12,'[1]2_inventory_total_details'!$I$8:$I$10000,"="&amp;adj_date)+SUMIFS('[1]2_inventory_total_details'!$M$8:$M$10000,'[1]1_inventory_total_details'!$C$8:$C$10000,I12,'[1]2_inventory_total_details'!$F$8:$F$10000,MID(N12,1,3)*1,'[1]2_inventory_total_details'!$G$8:$G$10000,"="&amp;S12,'[1]2_inventory_total_details'!$H$8:$H$10000,"="&amp;T12,'[1]2_inventory_total_details'!$I$8:$I$10000,"="&amp;adj_date)+SUMIFS('[1]2_inventory_total_details'!$K$8:$K$10000,'[1]2_inventory_total_details'!$C$8:$C$10000,I12,'[1]2_inventory_total_details'!$F$8:$F$10000,MID(N12,1,3)*1,'[1]2_inventory_total_details'!$G$8:$G$10000,"="&amp;S12,'[1]2_inventory_total_details'!$H$8:$H$10000,"="&amp;T12,'[1]2_inventory_total_details'!$I$8:$I$10000,"="&amp;adj_date)+SUMIFS('[1]2_inventory_total_details'!$L$8:$L$10000,'[1]2_inventory_total_details'!$C$8:$C$10000,I12,'[1]2_inventory_total_details'!$F$8:$F$10000,MID(N12,1,3)*1,'[1]2_inventory_total_details'!$G$8:$G$10000,"="&amp;S12,'[1]2_inventory_total_details'!$H$8:$H$10000,"="&amp;T12,'[1]2_inventory_total_details'!$I$8:$I$10000,"="&amp;adj_date)))</f>
        <v/>
      </c>
      <c r="AB12" s="270" t="str">
        <f>IF(L12="","",IF(MID(N12,1,3)*1=1,SUMIFS('[1]1_inventory_total_details'!$J$8:$J$10000,'[1]1_inventory_total_details'!$C$8:$C$10000,I12,'[1]1_inventory_total_details'!$F$8:$F$10000,MID(N12,1,3)*1,'[1]1_inventory_total_details'!$G$8:$G$10000,"="&amp;S12,'[1]1_inventory_total_details'!$H$8:$H$10000,"="&amp;T12,'[1]1_inventory_total_details'!$I$8:$I$10000,"="&amp;adj_date)+SUMIFS('[1]1_inventory_total_details'!$M$8:$M$10000,'[1]1_inventory_total_details'!$C$8:$C$10000,I12,'[1]1_inventory_total_details'!$F$8:$F$10000,MID(N12,1,3)*1,'[1]1_inventory_total_details'!$G$8:$G$10000,"="&amp;S12,'[1]1_inventory_total_details'!$H$8:$H$10000,"="&amp;T12,'[1]1_inventory_total_details'!$I$8:$I$10000,"="&amp;adj_date)+SUMIFS('[1]1_inventory_total_details'!$K$8:$K$10000,'[1]1_inventory_total_details'!$C$8:$C$10000,I12,'[1]1_inventory_total_details'!$F$8:$F$10000,MID(N12,1,3)*1,'[1]1_inventory_total_details'!$G$8:$G$10000,"="&amp;S12,'[1]1_inventory_total_details'!$H$8:$H$10000,"="&amp;T12,'[1]1_inventory_total_details'!$I$8:$I$10000,"="&amp;adj_date)+SUMIFS('[1]1_inventory_total_details'!$L$8:$L$10000,'[1]1_inventory_total_details'!$C$8:$C$10000,I12,'[1]1_inventory_total_details'!$F$8:$F$10000,MID(N12,1,3)*1,'[1]1_inventory_total_details'!$G$8:$G$10000,"="&amp;S12,'[1]1_inventory_total_details'!$H$8:$H$10000,"="&amp;T12,'[1]1_inventory_total_details'!$I$8:$I$10000,"="&amp;adj_date),SUMIFS('[1]2_inventory_total_details'!$J$8:$J$10000,'[1]2_inventory_total_details'!$C$8:$C$10000,I12,'[1]2_inventory_total_details'!$F$8:$F$10000,MID(N12,1,3)*1,'[1]2_inventory_total_details'!$G$8:$G$10000,"="&amp;S12,'[1]2_inventory_total_details'!$H$8:$H$10000,"="&amp;T12,'[1]2_inventory_total_details'!$I$8:$I$10000,"="&amp;adj_date)+SUMIFS('[1]2_inventory_total_details'!$M$8:$M$10000,'[1]1_inventory_total_details'!$C$8:$C$10000,I12,'[1]2_inventory_total_details'!$F$8:$F$10000,MID(N12,1,3)*1,'[1]2_inventory_total_details'!$G$8:$G$10000,"="&amp;S12,'[1]2_inventory_total_details'!$H$8:$H$10000,"="&amp;T12,'[1]2_inventory_total_details'!$I$8:$I$10000,"="&amp;adj_date)+SUMIFS('[1]2_inventory_total_details'!$K$8:$K$10000,'[1]2_inventory_total_details'!$C$8:$C$10000,I12,'[1]2_inventory_total_details'!$F$8:$F$10000,MID(N12,1,3)*1,'[1]2_inventory_total_details'!$G$8:$G$10000,"="&amp;S12,'[1]2_inventory_total_details'!$H$8:$H$10000,"="&amp;T12,'[1]2_inventory_total_details'!$I$8:$I$10000,"="&amp;adj_date)+SUMIFS('[1]2_inventory_total_details'!$L$8:$L$10000,'[1]2_inventory_total_details'!$C$8:$C$10000,I12,'[1]2_inventory_total_details'!$F$8:$F$10000,MID(N12,1,3)*1,'[1]2_inventory_total_details'!$G$8:$G$10000,"="&amp;S12,'[1]2_inventory_total_details'!$H$8:$H$10000,"="&amp;T12,'[1]2_inventory_total_details'!$I$8:$I$10000,"="&amp;adj_date)))</f>
        <v/>
      </c>
      <c r="AC12" s="270" t="str">
        <f>IF(L12="","",IF(MID(N12,1,3)*1=1,SUMIFS('[1]1_inventory_total_details'!$J$8:$J$10000,'[1]1_inventory_total_details'!$C$8:$C$10000,I12,'[1]1_inventory_total_details'!$F$8:$F$10000,MID(N12,1,3)*1,'[1]1_inventory_total_details'!$G$8:$G$10000,"="&amp;S12,'[1]1_inventory_total_details'!$H$8:$H$10000,"="&amp;T12,'[1]1_inventory_total_details'!$I$8:$I$10000,"="&amp;adj_date)+SUMIFS('[1]1_inventory_total_details'!$M$8:$M$10000,'[1]1_inventory_total_details'!$C$8:$C$10000,I12,'[1]1_inventory_total_details'!$F$8:$F$10000,MID(N12,1,3)*1,'[1]1_inventory_total_details'!$G$8:$G$10000,"="&amp;S12,'[1]1_inventory_total_details'!$H$8:$H$10000,"="&amp;T12,'[1]1_inventory_total_details'!$I$8:$I$10000,"="&amp;adj_date)+SUMIFS('[1]1_inventory_total_details'!$K$8:$K$10000,'[1]1_inventory_total_details'!$C$8:$C$10000,I12,'[1]1_inventory_total_details'!$F$8:$F$10000,MID(N12,1,3)*1,'[1]1_inventory_total_details'!$G$8:$G$10000,"="&amp;S12,'[1]1_inventory_total_details'!$H$8:$H$10000,"="&amp;T12,'[1]1_inventory_total_details'!$I$8:$I$10000,"="&amp;adj_date)+SUMIFS('[1]1_inventory_total_details'!$L$8:$L$10000,'[1]1_inventory_total_details'!$C$8:$C$10000,I12,'[1]1_inventory_total_details'!$F$8:$F$10000,MID(N12,1,3)*1,'[1]1_inventory_total_details'!$G$8:$G$10000,"="&amp;S12,'[1]1_inventory_total_details'!$H$8:$H$10000,"="&amp;T12,'[1]1_inventory_total_details'!$I$8:$I$10000,"="&amp;adj_date),SUMIFS('[1]2_inventory_total_details'!$J$8:$J$10000,'[1]2_inventory_total_details'!$C$8:$C$10000,I12,'[1]2_inventory_total_details'!$F$8:$F$10000,MID(N12,1,3)*1,'[1]2_inventory_total_details'!$G$8:$G$10000,"="&amp;S12,'[1]2_inventory_total_details'!$H$8:$H$10000,"="&amp;T12,'[1]2_inventory_total_details'!$I$8:$I$10000,"="&amp;adj_date)+SUMIFS('[1]2_inventory_total_details'!$M$8:$M$10000,'[1]1_inventory_total_details'!$C$8:$C$10000,I12,'[1]2_inventory_total_details'!$F$8:$F$10000,MID(N12,1,3)*1,'[1]2_inventory_total_details'!$G$8:$G$10000,"="&amp;S12,'[1]2_inventory_total_details'!$H$8:$H$10000,"="&amp;T12,'[1]2_inventory_total_details'!$I$8:$I$10000,"="&amp;adj_date)+SUMIFS('[1]2_inventory_total_details'!$K$8:$K$10000,'[1]2_inventory_total_details'!$C$8:$C$10000,I12,'[1]2_inventory_total_details'!$F$8:$F$10000,MID(N12,1,3)*1,'[1]2_inventory_total_details'!$G$8:$G$10000,"="&amp;S12,'[1]2_inventory_total_details'!$H$8:$H$10000,"="&amp;T12,'[1]2_inventory_total_details'!$I$8:$I$10000,"="&amp;adj_date)+SUMIFS('[1]2_inventory_total_details'!$L$8:$L$10000,'[1]2_inventory_total_details'!$C$8:$C$10000,I12,'[1]2_inventory_total_details'!$F$8:$F$10000,MID(N12,1,3)*1,'[1]2_inventory_total_details'!$G$8:$G$10000,"="&amp;S12,'[1]2_inventory_total_details'!$H$8:$H$10000,"="&amp;T12,'[1]2_inventory_total_details'!$I$8:$I$10000,"="&amp;adj_date)))</f>
        <v/>
      </c>
      <c r="AD12" s="270" t="str">
        <f>IF(L12="","",SUMIFS('[1]1_group_totals'!$J$8:$J$10000,'[1]1_group_totals'!$C$8:$C$10000,I12,'[1]1_group_totals'!$F$8:$F$10000,adj_location_group_id,'[1]1_group_totals'!$G$8:$G$10000,MID(N12,1,3)*1,'[1]1_group_totals'!$H$8:$H$10000,"="&amp;S12,'[1]1_group_totals'!$I$8:$I$10000,"="&amp;T12))</f>
        <v/>
      </c>
      <c r="AE12" s="1796" t="str">
        <f t="shared" si="11"/>
        <v/>
      </c>
      <c r="AF12" s="1797" t="str">
        <f>IF(ISNA(MATCH(MID(AE12,1,3)*1,UomConversion!$D$8:$D$500,0)),"",IF(AJ12&lt;&gt;"",AJ12,""))</f>
        <v/>
      </c>
      <c r="AG12" s="1797" t="str">
        <f>IF(AND(AH12&gt;0,COUNTIFS(UomConversion!$D$8:$D$500,MID(AE12,1,3)*1,UomConversion!$J$8:$J$500,1)&gt;1),TEXT(AH12,"000")&amp;"."&amp;VLOOKUP(AH12,uom_list,5,FALSE),"")</f>
        <v/>
      </c>
      <c r="AH12" s="270" t="str">
        <f t="shared" si="12"/>
        <v/>
      </c>
      <c r="AI12" s="270" t="str">
        <f t="shared" si="13"/>
        <v/>
      </c>
      <c r="AJ12" s="270" t="str">
        <f t="shared" si="14"/>
        <v/>
      </c>
      <c r="AK12" s="270" t="str" cm="1">
        <f t="array" ref="AK12">IF(L12="","",Slookup(MID(AE12,1,3)*1,UomConversion!$D$8:$J$500,2,UomConversion!$I$8:$I$500,1,UomConversion!$J$8:$J$500,1))</f>
        <v/>
      </c>
      <c r="AL12" s="270" t="str">
        <f t="shared" si="15"/>
        <v/>
      </c>
      <c r="AM12" s="270" t="str">
        <f>IF(L12="","",(SUMIFS('[1]1_group_totals'!$K$8:$K$10000,'[1]1_group_totals'!$C$8:$C$10000,I12,'[1]1_group_totals'!$F$8:$F$10000,adj_location_group_id,'[1]1_group_totals'!$G$8:$G$10000,MID(N12,1,3)*1,'[1]1_group_totals'!$H$8:$H$10000,"="&amp;S12,'[1]1_group_totals'!$I$8:$I$10000,"="&amp;T12)+SUMIFS('[1]1_group_totals'!$N$8:$N$10000,'[1]1_group_totals'!$C$8:$C$10000,I12,'[1]1_group_totals'!$F$8:$F$10000,adj_location_group_id,'[1]1_group_totals'!$G$8:$G$10000,MID(N12,1,3)*1,'[1]1_group_totals'!$H$8:$H$10000,"="&amp;S12,'[1]1_group_totals'!$I$8:$I$10000,"="&amp;T12)+SUMIFS('[1]1_group_totals'!$P$8:$P$10000,'[1]1_group_totals'!$C$8:$C$10000,I12,'[1]1_group_totals'!$F$8:$F$10000,adj_location_group_id,'[1]1_group_totals'!$G$8:$G$10000,MID(N12,1,3)*1,'[1]1_group_totals'!$H$8:$H$10000,"="&amp;S12,'[1]1_group_totals'!$I$8:$I$10000,"="&amp;T12)+SUMIFS('[1]1_group_totals'!$Q$8:$Q$10000,'[1]1_group_totals'!$C$8:$C$10000,I12,'[1]1_group_totals'!$F$8:$F$10000,adj_location_group_id,'[1]1_group_totals'!$G$8:$G$10000,MID(N12,1,3)*1,'[1]1_group_totals'!$H$8:$H$10000,"="&amp;S12,'[1]1_group_totals'!$I$8:$I$10000,"="&amp;T12))+(SUMIFS('[1]1_group_totals'!$L$8:$L$10000,'[1]1_group_totals'!$C$8:$C$10000,I12,'[1]1_group_totals'!$F$8:$F$10000,adj_location_group_id,'[1]1_group_totals'!$G$8:$G$10000,MID(N12,1,3)*1,'[1]1_group_totals'!$H$8:$H$10000,"="&amp;S12,'[1]1_group_totals'!$I$8:$I$10000,"="&amp;T12)+SUMIFS('[1]1_group_totals'!$M$8:$M$10000,'[1]1_group_totals'!$C$8:$C$10000,I12,'[1]1_group_totals'!$F$8:$F$10000,adj_location_group_id,'[1]1_group_totals'!$G$8:$G$10000,MID(N12,1,3)*1,'[1]1_group_totals'!$H$8:$H$10000,"="&amp;S12,'[1]1_group_totals'!$I$8:$I$10000,"="&amp;T12)+SUMIFS('[1]1_group_totals'!$O$8:$O$10000,'[1]1_group_totals'!$C$8:$C$10000,I12,'[1]1_group_totals'!$F$8:$F$10000,adj_location_group_id,'[1]1_group_totals'!$G$8:$G$10000,MID(N12,1,3)*1,'[1]1_group_totals'!$H$8:$H$10000,"="&amp;S12,'[1]1_group_totals'!$I$8:$I$10000,"="&amp;T12)+SUMIFS('[1]1_group_totals'!$R$8:$R$10000,'[1]1_group_totals'!$C$8:$C$10000,I12,'[1]1_group_totals'!$F$8:$F$10000,adj_location_group_id,'[1]1_group_totals'!$G$8:$G$10000,MID(N12,1,3)*1,'[1]1_group_totals'!$H$8:$H$10000,"="&amp;S12,'[1]1_group_totals'!$I$8:$I$10000,"="&amp;T12)))</f>
        <v/>
      </c>
      <c r="AN12" s="270" t="str">
        <f>IF(L12="","",(SUMIFS('[1]1_inventory_totals'!$I$8:$I$10000,'[1]1_inventory_totals'!$C$8:$C$10000,I12,'[1]1_inventory_totals'!$F$8:$F$10000,"="&amp;S12,'[1]1_inventory_totals'!$G$8:$G$10000,"="&amp;T12)+SUMIFS('[1]1_inventory_totals'!$N$8:$N$10000,'[1]1_inventory_totals'!$C$8:$C$10000,I12,'[1]1_inventory_totals'!$F$8:$F$10000,"="&amp;S12,'[1]1_inventory_totals'!$G$8:$G$10000,"="&amp;T12)+SUMIFS('[1]1_inventory_totals'!$P$8:$P$10000,'[1]1_inventory_totals'!$C$8:$C$10000,I12,'[1]1_inventory_totals'!$F$8:$F$10000,"="&amp;S12,'[1]1_inventory_totals'!$G$8:$G$10000,"="&amp;T12)+SUMIFS('[1]1_inventory_totals'!$Q$8:$Q$10000,'[1]1_inventory_totals'!$C$8:$C$10000,I12,'[1]1_inventory_totals'!$F$8:$F$10000,"="&amp;S12,'[1]1_inventory_totals'!$G$8:$G$10000,"="&amp;T12)+SUMIFS('[1]1_inventory_totals'!$R$8:$R$10000,'[1]1_inventory_totals'!$C$8:$C$10000,I12,'[1]1_inventory_totals'!$F$8:$F$10000,"="&amp;S12,'[1]1_inventory_totals'!$G$8:$G$10000,"="&amp;T12))+(SUMIFS('[1]1_inventory_totals'!$J$8:$J$10000,'[1]1_inventory_totals'!$C$8:$C$10000,I12,'[1]1_inventory_totals'!$F$8:$F$10000,"="&amp;S12,'[1]1_inventory_totals'!$G$8:$G$10000,"="&amp;T12)+SUMIFS('[1]1_inventory_totals'!$K$8:$K$10000,'[1]1_inventory_totals'!$C$8:$C$10000,I12,'[1]1_inventory_totals'!$F$8:$F$10000,"="&amp;S12,'[1]1_inventory_totals'!$G$8:$G$10000,"="&amp;T12)+SUMIFS('[1]1_inventory_totals'!$L$8:$L$10000,'[1]1_inventory_totals'!$C$8:$C$10000,I12,'[1]1_inventory_totals'!$F$8:$F$10000,"="&amp;S12,'[1]1_inventory_totals'!$G$8:$G$10000,"="&amp;T12)+SUMIFS('[1]1_inventory_totals'!$M$8:$M$10000,'[1]1_inventory_totals'!$C$8:$C$10000,I12,'[1]1_inventory_totals'!$F$8:$F$10000,"="&amp;S12,'[1]1_inventory_totals'!$G$8:$G$10000,"="&amp;T12)+SUMIFS('[1]1_inventory_totals'!$O$8:$O$10000,'[1]1_inventory_totals'!$C$8:$C$10000,I12,'[1]1_inventory_totals'!$F$8:$F$10000,"="&amp;S12,'[1]1_inventory_totals'!$G$8:$G$10000,"="&amp;T12)+SUMIFS('[1]1_inventory_totals'!$S$8:$S$10000,'[1]1_inventory_totals'!$C$8:$C$10000,I12,'[1]1_inventory_totals'!$F$8:$F$10000,"="&amp;S12,'[1]1_inventory_totals'!$G$8:$G$10000,"="&amp;T12)))</f>
        <v/>
      </c>
      <c r="AO12" s="270" t="str">
        <f>IF(L12="","",(SUMIFS('[1]2_inventory_totals'!$I$8:$I$10000,'[1]2_inventory_totals'!$C$8:$C$10000,I12,'[1]2_inventory_totals'!$F$8:$F$10000,"="&amp;S12,'[1]2_inventory_totals'!$G$8:$G$10000,"="&amp;T12)+SUMIFS('[1]2_inventory_totals'!$N$8:$N$10000,'[1]2_inventory_totals'!$C$8:$C$10000,I12,'[1]2_inventory_totals'!$F$8:$F$10000,"="&amp;S12,'[1]2_inventory_totals'!$G$8:$G$10000,"="&amp;T12)+SUMIFS('[1]2_inventory_totals'!$P$8:$P$10000,'[1]2_inventory_totals'!$C$8:$C$10000,I12,'[1]2_inventory_totals'!$F$8:$F$10000,"="&amp;S12,'[1]2_inventory_totals'!$G$8:$G$10000,"="&amp;T12)+SUMIFS('[1]2_inventory_totals'!$Q$8:$Q$10000,'[1]2_inventory_totals'!$C$8:$C$10000,I12,'[1]2_inventory_totals'!$F$8:$F$10000,"="&amp;S12,'[1]2_inventory_totals'!$G$8:$G$10000,"="&amp;T12)+SUMIFS('[1]2_inventory_totals'!$R$8:$R$10000,'[1]2_inventory_totals'!$C$8:$C$10000,I12,'[1]2_inventory_totals'!$F$8:$F$10000,"="&amp;S12,'[1]2_inventory_totals'!$G$8:$G$10000,"="&amp;T12))+(SUMIFS('[1]2_inventory_totals'!$J$8:$J$10000,'[1]2_inventory_totals'!$C$8:$C$10000,I12,'[1]2_inventory_totals'!$F$8:$F$10000,"="&amp;S12,'[1]2_inventory_totals'!$G$8:$G$10000,"="&amp;T12)+SUMIFS('[1]2_inventory_totals'!$K$8:$K$10000,'[1]2_inventory_totals'!$C$8:$C$10000,I12,'[1]2_inventory_totals'!$F$8:$F$10000,"="&amp;S12,'[1]2_inventory_totals'!$G$8:$G$10000,"="&amp;T12)+SUMIFS('[1]2_inventory_totals'!$L$8:$L$10000,'[1]2_inventory_totals'!$C$8:$C$10000,I12,'[1]2_inventory_totals'!$F$8:$F$10000,"="&amp;S12,'[1]2_inventory_totals'!$G$8:$G$10000,"="&amp;T12)+SUMIFS('[1]2_inventory_totals'!$M$8:$M$10000,'[1]2_inventory_totals'!$C$8:$C$10000,I12,'[1]2_inventory_totals'!$F$8:$F$10000,"="&amp;S12,'[1]2_inventory_totals'!$G$8:$G$10000,"="&amp;T12)+SUMIFS('[1]2_inventory_totals'!$O$8:$O$10000,'[1]2_inventory_totals'!$C$8:$C$10000,I12,'[1]2_inventory_totals'!$F$8:$F$10000,"="&amp;S12,'[1]2_inventory_totals'!$G$8:$G$10000,"="&amp;T12)+SUMIFS('[1]2_inventory_totals'!$S$8:$S$10000,'[1]2_inventory_totals'!$C$8:$C$10000,I12,'[1]2_inventory_totals'!$F$8:$F$10000,"="&amp;S12,'[1]2_inventory_totals'!$G$8:$G$10000,"="&amp;T12)))</f>
        <v/>
      </c>
      <c r="AP12" s="954"/>
    </row>
    <row r="13" spans="1:74" ht="27" customHeight="1" thickBot="1">
      <c r="A13" s="923"/>
      <c r="B13" s="1178"/>
      <c r="C13" s="1893" t="s">
        <v>1858</v>
      </c>
      <c r="D13" s="1894"/>
      <c r="E13" s="1895"/>
      <c r="F13" s="1791">
        <f>MID(C13,1,2)*1</f>
        <v>1</v>
      </c>
      <c r="G13" s="941"/>
      <c r="I13" s="1610" t="str">
        <f t="shared" si="5"/>
        <v/>
      </c>
      <c r="J13" s="270" t="str">
        <f t="shared" si="6"/>
        <v/>
      </c>
      <c r="K13" s="813" t="str">
        <f t="shared" si="0"/>
        <v/>
      </c>
      <c r="L13" s="1184"/>
      <c r="M13" s="1185"/>
      <c r="N13" s="1186"/>
      <c r="O13" s="1534"/>
      <c r="P13" s="336" t="str">
        <f t="shared" si="7"/>
        <v/>
      </c>
      <c r="Q13" s="336" t="str">
        <f>IF(L13="","",IF(AD13=0,0,(SUMIFS('[1]1_group_total_details'!$I$8:$I$10000,'[1]1_group_total_details'!$C$8:$C$10000,I13,'[1]1_group_total_details'!$F$8:$F$10000,adj_location_group_id,'[1]1_group_total_details'!$G$8:$G$10000,MID(N13,1,3)*1,'[1]1_group_total_details'!$H$8:$H$10000,"&lt;="&amp;adj_date)+SUMIFS('[1]1_group_total_details'!$L$8:$L$10000,'[1]1_group_total_details'!$C$8:$C$10000,I13,'[1]1_group_total_details'!$F$8:$F$10000,adj_location_group_id,'[1]1_group_total_details'!$G$8:$G$10000,MID(N13,1,3)*1,'[1]1_group_total_details'!$H$8:$H$10000,"&lt;="&amp;adj_date)+SUMIFS('[1]1_group_total_details'!$N$8:$N$10000,'[1]1_group_total_details'!$C$8:$C$10000,I13,'[1]1_group_total_details'!$F$8:$F$10000,adj_location_group_id,'[1]1_group_total_details'!$G$8:$G$10000,MID(N13,1,3)*1,'[1]1_group_total_details'!$H$8:$H$10000,"&lt;="&amp;adj_date)+SUMIFS('[1]1_group_total_details'!$O$8:$O$10000,'[1]1_group_total_details'!$C$8:$C$10000,I13,'[1]1_group_total_details'!$F$8:$F$10000,adj_location_group_id,'[1]1_group_total_details'!$G$8:$G$10000,MID(N13,1,3)*1,'[1]1_group_total_details'!$H$8:$H$10000,"&lt;="&amp;adj_date))-(SUMIFS('[1]1_group_total_details'!$J$8:$J$10000,'[1]1_group_total_details'!$C$8:$C$10000,I13,'[1]1_group_total_details'!$F$8:$F$10000,adj_location_group_id,'[1]1_group_total_details'!$G$8:$G$10000,MID(N13,1,3)*1,'[1]1_group_total_details'!$H$8:$H$10000,"&lt;="&amp;adj_date)+SUMIFS('[1]1_group_total_details'!$K$8:$K$10000,'[1]1_group_total_details'!$C$8:$C$10000,I13,'[1]1_group_total_details'!$F$8:$F$10000,adj_location_group_id,'[1]1_group_total_details'!$G$8:$G$10000,MID(N13,1,3)*1,'[1]1_group_total_details'!$H$8:$H$10000,"&lt;="&amp;adj_date)+SUMIFS('[1]1_group_total_details'!$M$8:$M$10000,'[1]1_group_total_details'!$C$8:$C$10000,I13,'[1]1_group_total_details'!$F$8:$F$10000,adj_location_group_id,'[1]1_group_total_details'!$G$8:$G$10000,MID(N13,1,3)*1,'[1]1_group_total_details'!$H$8:$H$10000,"&lt;="&amp;adj_date)+SUMIFS('[1]1_group_total_details'!$P$8:$P$10000,'[1]1_group_total_details'!$C$8:$C$10000,I13,'[1]1_group_total_details'!$F$8:$F$10000,adj_location_group_id,'[1]1_group_total_details'!$G$8:$G$10000,MID(N13,1,3)*1,'[1]1_group_total_details'!$H$8:$H$10000,"&lt;="&amp;adj_date))))</f>
        <v/>
      </c>
      <c r="R13" s="1187"/>
      <c r="S13" s="1186"/>
      <c r="T13" s="1186"/>
      <c r="U13" s="1184"/>
      <c r="V13" s="270" t="str" cm="1">
        <f t="array" ref="V13">IF(L13="","",IF(M13=AE13,1,Slookup(MID(AE13,1,3)*1,UomConversion!$D$8:$J$500,5,UomConversion!$E$8:$E$500,MID(M13,1,3)*1,UomConversion!$J$8:$J$500,1)))</f>
        <v/>
      </c>
      <c r="W13" s="270" t="str">
        <f t="shared" si="8"/>
        <v/>
      </c>
      <c r="X13" s="1795" t="str">
        <f t="shared" si="9"/>
        <v/>
      </c>
      <c r="Y13" s="1795" t="str">
        <f t="shared" si="10"/>
        <v/>
      </c>
      <c r="Z13" s="270" t="str">
        <f>IF(I13="","",IF(ISNA(MATCH(I13,IF(MID(N13,1,3)*1=1,'[1]1_inventory_totals'!$C$8:$C$10000,IF(MID(N13,1,3)*1=2,'[1]2_inventory_totals'!$C$8:$C$10000,"")),0)),0,IF(AL13&gt;0,1,0)))</f>
        <v/>
      </c>
      <c r="AA13" s="270" t="str">
        <f>IF(L13="","",IF(MID(N13,1,3)*1=1,SUMIFS('[1]1_inventory_total_details'!$J$8:$J$10000,'[1]1_inventory_total_details'!$C$8:$C$10000,I13,'[1]1_inventory_total_details'!$F$8:$F$10000,MID(N13,1,3)*1,'[1]1_inventory_total_details'!$G$8:$G$10000,"="&amp;S13,'[1]1_inventory_total_details'!$H$8:$H$10000,"="&amp;T13,'[1]1_inventory_total_details'!$I$8:$I$10000,"="&amp;adj_date)+SUMIFS('[1]1_inventory_total_details'!$M$8:$M$10000,'[1]1_inventory_total_details'!$C$8:$C$10000,I13,'[1]1_inventory_total_details'!$F$8:$F$10000,MID(N13,1,3)*1,'[1]1_inventory_total_details'!$G$8:$G$10000,"="&amp;S13,'[1]1_inventory_total_details'!$H$8:$H$10000,"="&amp;T13,'[1]1_inventory_total_details'!$I$8:$I$10000,"="&amp;adj_date)+SUMIFS('[1]1_inventory_total_details'!$K$8:$K$10000,'[1]1_inventory_total_details'!$C$8:$C$10000,I13,'[1]1_inventory_total_details'!$F$8:$F$10000,MID(N13,1,3)*1,'[1]1_inventory_total_details'!$G$8:$G$10000,"="&amp;S13,'[1]1_inventory_total_details'!$H$8:$H$10000,"="&amp;T13,'[1]1_inventory_total_details'!$I$8:$I$10000,"="&amp;adj_date)+SUMIFS('[1]1_inventory_total_details'!$L$8:$L$10000,'[1]1_inventory_total_details'!$C$8:$C$10000,I13,'[1]1_inventory_total_details'!$F$8:$F$10000,MID(N13,1,3)*1,'[1]1_inventory_total_details'!$G$8:$G$10000,"="&amp;S13,'[1]1_inventory_total_details'!$H$8:$H$10000,"="&amp;T13,'[1]1_inventory_total_details'!$I$8:$I$10000,"="&amp;adj_date),SUMIFS('[1]2_inventory_total_details'!$J$8:$J$10000,'[1]2_inventory_total_details'!$C$8:$C$10000,I13,'[1]2_inventory_total_details'!$F$8:$F$10000,MID(N13,1,3)*1,'[1]2_inventory_total_details'!$G$8:$G$10000,"="&amp;S13,'[1]2_inventory_total_details'!$H$8:$H$10000,"="&amp;T13,'[1]2_inventory_total_details'!$I$8:$I$10000,"="&amp;adj_date)+SUMIFS('[1]2_inventory_total_details'!$M$8:$M$10000,'[1]1_inventory_total_details'!$C$8:$C$10000,I13,'[1]2_inventory_total_details'!$F$8:$F$10000,MID(N13,1,3)*1,'[1]2_inventory_total_details'!$G$8:$G$10000,"="&amp;S13,'[1]2_inventory_total_details'!$H$8:$H$10000,"="&amp;T13,'[1]2_inventory_total_details'!$I$8:$I$10000,"="&amp;adj_date)+SUMIFS('[1]2_inventory_total_details'!$K$8:$K$10000,'[1]2_inventory_total_details'!$C$8:$C$10000,I13,'[1]2_inventory_total_details'!$F$8:$F$10000,MID(N13,1,3)*1,'[1]2_inventory_total_details'!$G$8:$G$10000,"="&amp;S13,'[1]2_inventory_total_details'!$H$8:$H$10000,"="&amp;T13,'[1]2_inventory_total_details'!$I$8:$I$10000,"="&amp;adj_date)+SUMIFS('[1]2_inventory_total_details'!$L$8:$L$10000,'[1]2_inventory_total_details'!$C$8:$C$10000,I13,'[1]2_inventory_total_details'!$F$8:$F$10000,MID(N13,1,3)*1,'[1]2_inventory_total_details'!$G$8:$G$10000,"="&amp;S13,'[1]2_inventory_total_details'!$H$8:$H$10000,"="&amp;T13,'[1]2_inventory_total_details'!$I$8:$I$10000,"="&amp;adj_date)))</f>
        <v/>
      </c>
      <c r="AB13" s="270" t="str">
        <f>IF(L13="","",IF(MID(N13,1,3)*1=1,SUMIFS('[1]1_inventory_total_details'!$J$8:$J$10000,'[1]1_inventory_total_details'!$C$8:$C$10000,I13,'[1]1_inventory_total_details'!$F$8:$F$10000,MID(N13,1,3)*1,'[1]1_inventory_total_details'!$G$8:$G$10000,"="&amp;S13,'[1]1_inventory_total_details'!$H$8:$H$10000,"="&amp;T13,'[1]1_inventory_total_details'!$I$8:$I$10000,"="&amp;adj_date)+SUMIFS('[1]1_inventory_total_details'!$M$8:$M$10000,'[1]1_inventory_total_details'!$C$8:$C$10000,I13,'[1]1_inventory_total_details'!$F$8:$F$10000,MID(N13,1,3)*1,'[1]1_inventory_total_details'!$G$8:$G$10000,"="&amp;S13,'[1]1_inventory_total_details'!$H$8:$H$10000,"="&amp;T13,'[1]1_inventory_total_details'!$I$8:$I$10000,"="&amp;adj_date)+SUMIFS('[1]1_inventory_total_details'!$K$8:$K$10000,'[1]1_inventory_total_details'!$C$8:$C$10000,I13,'[1]1_inventory_total_details'!$F$8:$F$10000,MID(N13,1,3)*1,'[1]1_inventory_total_details'!$G$8:$G$10000,"="&amp;S13,'[1]1_inventory_total_details'!$H$8:$H$10000,"="&amp;T13,'[1]1_inventory_total_details'!$I$8:$I$10000,"="&amp;adj_date)+SUMIFS('[1]1_inventory_total_details'!$L$8:$L$10000,'[1]1_inventory_total_details'!$C$8:$C$10000,I13,'[1]1_inventory_total_details'!$F$8:$F$10000,MID(N13,1,3)*1,'[1]1_inventory_total_details'!$G$8:$G$10000,"="&amp;S13,'[1]1_inventory_total_details'!$H$8:$H$10000,"="&amp;T13,'[1]1_inventory_total_details'!$I$8:$I$10000,"="&amp;adj_date),SUMIFS('[1]2_inventory_total_details'!$J$8:$J$10000,'[1]2_inventory_total_details'!$C$8:$C$10000,I13,'[1]2_inventory_total_details'!$F$8:$F$10000,MID(N13,1,3)*1,'[1]2_inventory_total_details'!$G$8:$G$10000,"="&amp;S13,'[1]2_inventory_total_details'!$H$8:$H$10000,"="&amp;T13,'[1]2_inventory_total_details'!$I$8:$I$10000,"="&amp;adj_date)+SUMIFS('[1]2_inventory_total_details'!$M$8:$M$10000,'[1]1_inventory_total_details'!$C$8:$C$10000,I13,'[1]2_inventory_total_details'!$F$8:$F$10000,MID(N13,1,3)*1,'[1]2_inventory_total_details'!$G$8:$G$10000,"="&amp;S13,'[1]2_inventory_total_details'!$H$8:$H$10000,"="&amp;T13,'[1]2_inventory_total_details'!$I$8:$I$10000,"="&amp;adj_date)+SUMIFS('[1]2_inventory_total_details'!$K$8:$K$10000,'[1]2_inventory_total_details'!$C$8:$C$10000,I13,'[1]2_inventory_total_details'!$F$8:$F$10000,MID(N13,1,3)*1,'[1]2_inventory_total_details'!$G$8:$G$10000,"="&amp;S13,'[1]2_inventory_total_details'!$H$8:$H$10000,"="&amp;T13,'[1]2_inventory_total_details'!$I$8:$I$10000,"="&amp;adj_date)+SUMIFS('[1]2_inventory_total_details'!$L$8:$L$10000,'[1]2_inventory_total_details'!$C$8:$C$10000,I13,'[1]2_inventory_total_details'!$F$8:$F$10000,MID(N13,1,3)*1,'[1]2_inventory_total_details'!$G$8:$G$10000,"="&amp;S13,'[1]2_inventory_total_details'!$H$8:$H$10000,"="&amp;T13,'[1]2_inventory_total_details'!$I$8:$I$10000,"="&amp;adj_date)))</f>
        <v/>
      </c>
      <c r="AC13" s="270" t="str">
        <f>IF(L13="","",IF(MID(N13,1,3)*1=1,SUMIFS('[1]1_inventory_total_details'!$J$8:$J$10000,'[1]1_inventory_total_details'!$C$8:$C$10000,I13,'[1]1_inventory_total_details'!$F$8:$F$10000,MID(N13,1,3)*1,'[1]1_inventory_total_details'!$G$8:$G$10000,"="&amp;S13,'[1]1_inventory_total_details'!$H$8:$H$10000,"="&amp;T13,'[1]1_inventory_total_details'!$I$8:$I$10000,"="&amp;adj_date)+SUMIFS('[1]1_inventory_total_details'!$M$8:$M$10000,'[1]1_inventory_total_details'!$C$8:$C$10000,I13,'[1]1_inventory_total_details'!$F$8:$F$10000,MID(N13,1,3)*1,'[1]1_inventory_total_details'!$G$8:$G$10000,"="&amp;S13,'[1]1_inventory_total_details'!$H$8:$H$10000,"="&amp;T13,'[1]1_inventory_total_details'!$I$8:$I$10000,"="&amp;adj_date)+SUMIFS('[1]1_inventory_total_details'!$K$8:$K$10000,'[1]1_inventory_total_details'!$C$8:$C$10000,I13,'[1]1_inventory_total_details'!$F$8:$F$10000,MID(N13,1,3)*1,'[1]1_inventory_total_details'!$G$8:$G$10000,"="&amp;S13,'[1]1_inventory_total_details'!$H$8:$H$10000,"="&amp;T13,'[1]1_inventory_total_details'!$I$8:$I$10000,"="&amp;adj_date)+SUMIFS('[1]1_inventory_total_details'!$L$8:$L$10000,'[1]1_inventory_total_details'!$C$8:$C$10000,I13,'[1]1_inventory_total_details'!$F$8:$F$10000,MID(N13,1,3)*1,'[1]1_inventory_total_details'!$G$8:$G$10000,"="&amp;S13,'[1]1_inventory_total_details'!$H$8:$H$10000,"="&amp;T13,'[1]1_inventory_total_details'!$I$8:$I$10000,"="&amp;adj_date),SUMIFS('[1]2_inventory_total_details'!$J$8:$J$10000,'[1]2_inventory_total_details'!$C$8:$C$10000,I13,'[1]2_inventory_total_details'!$F$8:$F$10000,MID(N13,1,3)*1,'[1]2_inventory_total_details'!$G$8:$G$10000,"="&amp;S13,'[1]2_inventory_total_details'!$H$8:$H$10000,"="&amp;T13,'[1]2_inventory_total_details'!$I$8:$I$10000,"="&amp;adj_date)+SUMIFS('[1]2_inventory_total_details'!$M$8:$M$10000,'[1]1_inventory_total_details'!$C$8:$C$10000,I13,'[1]2_inventory_total_details'!$F$8:$F$10000,MID(N13,1,3)*1,'[1]2_inventory_total_details'!$G$8:$G$10000,"="&amp;S13,'[1]2_inventory_total_details'!$H$8:$H$10000,"="&amp;T13,'[1]2_inventory_total_details'!$I$8:$I$10000,"="&amp;adj_date)+SUMIFS('[1]2_inventory_total_details'!$K$8:$K$10000,'[1]2_inventory_total_details'!$C$8:$C$10000,I13,'[1]2_inventory_total_details'!$F$8:$F$10000,MID(N13,1,3)*1,'[1]2_inventory_total_details'!$G$8:$G$10000,"="&amp;S13,'[1]2_inventory_total_details'!$H$8:$H$10000,"="&amp;T13,'[1]2_inventory_total_details'!$I$8:$I$10000,"="&amp;adj_date)+SUMIFS('[1]2_inventory_total_details'!$L$8:$L$10000,'[1]2_inventory_total_details'!$C$8:$C$10000,I13,'[1]2_inventory_total_details'!$F$8:$F$10000,MID(N13,1,3)*1,'[1]2_inventory_total_details'!$G$8:$G$10000,"="&amp;S13,'[1]2_inventory_total_details'!$H$8:$H$10000,"="&amp;T13,'[1]2_inventory_total_details'!$I$8:$I$10000,"="&amp;adj_date)))</f>
        <v/>
      </c>
      <c r="AD13" s="270" t="str">
        <f>IF(L13="","",SUMIFS('[1]1_group_totals'!$J$8:$J$10000,'[1]1_group_totals'!$C$8:$C$10000,I13,'[1]1_group_totals'!$F$8:$F$10000,adj_location_group_id,'[1]1_group_totals'!$G$8:$G$10000,MID(N13,1,3)*1,'[1]1_group_totals'!$H$8:$H$10000,"="&amp;S13,'[1]1_group_totals'!$I$8:$I$10000,"="&amp;T13))</f>
        <v/>
      </c>
      <c r="AE13" s="1796" t="str">
        <f t="shared" si="11"/>
        <v/>
      </c>
      <c r="AF13" s="1797" t="str">
        <f>IF(ISNA(MATCH(MID(AE13,1,3)*1,UomConversion!$D$8:$D$500,0)),"",IF(AJ13&lt;&gt;"",AJ13,""))</f>
        <v/>
      </c>
      <c r="AG13" s="1797" t="str">
        <f>IF(AND(AH13&gt;0,COUNTIFS(UomConversion!$D$8:$D$500,MID(AE13,1,3)*1,UomConversion!$J$8:$J$500,1)&gt;1),TEXT(AH13,"000")&amp;"."&amp;VLOOKUP(AH13,uom_list,5,FALSE),"")</f>
        <v/>
      </c>
      <c r="AH13" s="270" t="str">
        <f t="shared" si="12"/>
        <v/>
      </c>
      <c r="AI13" s="270" t="str">
        <f t="shared" si="13"/>
        <v/>
      </c>
      <c r="AJ13" s="270" t="str">
        <f t="shared" si="14"/>
        <v/>
      </c>
      <c r="AK13" s="270" t="str" cm="1">
        <f t="array" ref="AK13">IF(L13="","",Slookup(MID(AE13,1,3)*1,UomConversion!$D$8:$J$500,2,UomConversion!$I$8:$I$500,1,UomConversion!$J$8:$J$500,1))</f>
        <v/>
      </c>
      <c r="AL13" s="270" t="str">
        <f t="shared" si="15"/>
        <v/>
      </c>
      <c r="AM13" s="270" t="str">
        <f>IF(L13="","",(SUMIFS('[1]1_group_totals'!$K$8:$K$10000,'[1]1_group_totals'!$C$8:$C$10000,I13,'[1]1_group_totals'!$F$8:$F$10000,adj_location_group_id,'[1]1_group_totals'!$G$8:$G$10000,MID(N13,1,3)*1,'[1]1_group_totals'!$H$8:$H$10000,"="&amp;S13,'[1]1_group_totals'!$I$8:$I$10000,"="&amp;T13)+SUMIFS('[1]1_group_totals'!$N$8:$N$10000,'[1]1_group_totals'!$C$8:$C$10000,I13,'[1]1_group_totals'!$F$8:$F$10000,adj_location_group_id,'[1]1_group_totals'!$G$8:$G$10000,MID(N13,1,3)*1,'[1]1_group_totals'!$H$8:$H$10000,"="&amp;S13,'[1]1_group_totals'!$I$8:$I$10000,"="&amp;T13)+SUMIFS('[1]1_group_totals'!$P$8:$P$10000,'[1]1_group_totals'!$C$8:$C$10000,I13,'[1]1_group_totals'!$F$8:$F$10000,adj_location_group_id,'[1]1_group_totals'!$G$8:$G$10000,MID(N13,1,3)*1,'[1]1_group_totals'!$H$8:$H$10000,"="&amp;S13,'[1]1_group_totals'!$I$8:$I$10000,"="&amp;T13)+SUMIFS('[1]1_group_totals'!$Q$8:$Q$10000,'[1]1_group_totals'!$C$8:$C$10000,I13,'[1]1_group_totals'!$F$8:$F$10000,adj_location_group_id,'[1]1_group_totals'!$G$8:$G$10000,MID(N13,1,3)*1,'[1]1_group_totals'!$H$8:$H$10000,"="&amp;S13,'[1]1_group_totals'!$I$8:$I$10000,"="&amp;T13))+(SUMIFS('[1]1_group_totals'!$L$8:$L$10000,'[1]1_group_totals'!$C$8:$C$10000,I13,'[1]1_group_totals'!$F$8:$F$10000,adj_location_group_id,'[1]1_group_totals'!$G$8:$G$10000,MID(N13,1,3)*1,'[1]1_group_totals'!$H$8:$H$10000,"="&amp;S13,'[1]1_group_totals'!$I$8:$I$10000,"="&amp;T13)+SUMIFS('[1]1_group_totals'!$M$8:$M$10000,'[1]1_group_totals'!$C$8:$C$10000,I13,'[1]1_group_totals'!$F$8:$F$10000,adj_location_group_id,'[1]1_group_totals'!$G$8:$G$10000,MID(N13,1,3)*1,'[1]1_group_totals'!$H$8:$H$10000,"="&amp;S13,'[1]1_group_totals'!$I$8:$I$10000,"="&amp;T13)+SUMIFS('[1]1_group_totals'!$O$8:$O$10000,'[1]1_group_totals'!$C$8:$C$10000,I13,'[1]1_group_totals'!$F$8:$F$10000,adj_location_group_id,'[1]1_group_totals'!$G$8:$G$10000,MID(N13,1,3)*1,'[1]1_group_totals'!$H$8:$H$10000,"="&amp;S13,'[1]1_group_totals'!$I$8:$I$10000,"="&amp;T13)+SUMIFS('[1]1_group_totals'!$R$8:$R$10000,'[1]1_group_totals'!$C$8:$C$10000,I13,'[1]1_group_totals'!$F$8:$F$10000,adj_location_group_id,'[1]1_group_totals'!$G$8:$G$10000,MID(N13,1,3)*1,'[1]1_group_totals'!$H$8:$H$10000,"="&amp;S13,'[1]1_group_totals'!$I$8:$I$10000,"="&amp;T13)))</f>
        <v/>
      </c>
      <c r="AN13" s="270" t="str">
        <f>IF(L13="","",(SUMIFS('[1]1_inventory_totals'!$I$8:$I$10000,'[1]1_inventory_totals'!$C$8:$C$10000,I13,'[1]1_inventory_totals'!$F$8:$F$10000,"="&amp;S13,'[1]1_inventory_totals'!$G$8:$G$10000,"="&amp;T13)+SUMIFS('[1]1_inventory_totals'!$N$8:$N$10000,'[1]1_inventory_totals'!$C$8:$C$10000,I13,'[1]1_inventory_totals'!$F$8:$F$10000,"="&amp;S13,'[1]1_inventory_totals'!$G$8:$G$10000,"="&amp;T13)+SUMIFS('[1]1_inventory_totals'!$P$8:$P$10000,'[1]1_inventory_totals'!$C$8:$C$10000,I13,'[1]1_inventory_totals'!$F$8:$F$10000,"="&amp;S13,'[1]1_inventory_totals'!$G$8:$G$10000,"="&amp;T13)+SUMIFS('[1]1_inventory_totals'!$Q$8:$Q$10000,'[1]1_inventory_totals'!$C$8:$C$10000,I13,'[1]1_inventory_totals'!$F$8:$F$10000,"="&amp;S13,'[1]1_inventory_totals'!$G$8:$G$10000,"="&amp;T13)+SUMIFS('[1]1_inventory_totals'!$R$8:$R$10000,'[1]1_inventory_totals'!$C$8:$C$10000,I13,'[1]1_inventory_totals'!$F$8:$F$10000,"="&amp;S13,'[1]1_inventory_totals'!$G$8:$G$10000,"="&amp;T13))+(SUMIFS('[1]1_inventory_totals'!$J$8:$J$10000,'[1]1_inventory_totals'!$C$8:$C$10000,I13,'[1]1_inventory_totals'!$F$8:$F$10000,"="&amp;S13,'[1]1_inventory_totals'!$G$8:$G$10000,"="&amp;T13)+SUMIFS('[1]1_inventory_totals'!$K$8:$K$10000,'[1]1_inventory_totals'!$C$8:$C$10000,I13,'[1]1_inventory_totals'!$F$8:$F$10000,"="&amp;S13,'[1]1_inventory_totals'!$G$8:$G$10000,"="&amp;T13)+SUMIFS('[1]1_inventory_totals'!$L$8:$L$10000,'[1]1_inventory_totals'!$C$8:$C$10000,I13,'[1]1_inventory_totals'!$F$8:$F$10000,"="&amp;S13,'[1]1_inventory_totals'!$G$8:$G$10000,"="&amp;T13)+SUMIFS('[1]1_inventory_totals'!$M$8:$M$10000,'[1]1_inventory_totals'!$C$8:$C$10000,I13,'[1]1_inventory_totals'!$F$8:$F$10000,"="&amp;S13,'[1]1_inventory_totals'!$G$8:$G$10000,"="&amp;T13)+SUMIFS('[1]1_inventory_totals'!$O$8:$O$10000,'[1]1_inventory_totals'!$C$8:$C$10000,I13,'[1]1_inventory_totals'!$F$8:$F$10000,"="&amp;S13,'[1]1_inventory_totals'!$G$8:$G$10000,"="&amp;T13)+SUMIFS('[1]1_inventory_totals'!$S$8:$S$10000,'[1]1_inventory_totals'!$C$8:$C$10000,I13,'[1]1_inventory_totals'!$F$8:$F$10000,"="&amp;S13,'[1]1_inventory_totals'!$G$8:$G$10000,"="&amp;T13)))</f>
        <v/>
      </c>
      <c r="AO13" s="270" t="str">
        <f>IF(L13="","",(SUMIFS('[1]2_inventory_totals'!$I$8:$I$10000,'[1]2_inventory_totals'!$C$8:$C$10000,I13,'[1]2_inventory_totals'!$F$8:$F$10000,"="&amp;S13,'[1]2_inventory_totals'!$G$8:$G$10000,"="&amp;T13)+SUMIFS('[1]2_inventory_totals'!$N$8:$N$10000,'[1]2_inventory_totals'!$C$8:$C$10000,I13,'[1]2_inventory_totals'!$F$8:$F$10000,"="&amp;S13,'[1]2_inventory_totals'!$G$8:$G$10000,"="&amp;T13)+SUMIFS('[1]2_inventory_totals'!$P$8:$P$10000,'[1]2_inventory_totals'!$C$8:$C$10000,I13,'[1]2_inventory_totals'!$F$8:$F$10000,"="&amp;S13,'[1]2_inventory_totals'!$G$8:$G$10000,"="&amp;T13)+SUMIFS('[1]2_inventory_totals'!$Q$8:$Q$10000,'[1]2_inventory_totals'!$C$8:$C$10000,I13,'[1]2_inventory_totals'!$F$8:$F$10000,"="&amp;S13,'[1]2_inventory_totals'!$G$8:$G$10000,"="&amp;T13)+SUMIFS('[1]2_inventory_totals'!$R$8:$R$10000,'[1]2_inventory_totals'!$C$8:$C$10000,I13,'[1]2_inventory_totals'!$F$8:$F$10000,"="&amp;S13,'[1]2_inventory_totals'!$G$8:$G$10000,"="&amp;T13))+(SUMIFS('[1]2_inventory_totals'!$J$8:$J$10000,'[1]2_inventory_totals'!$C$8:$C$10000,I13,'[1]2_inventory_totals'!$F$8:$F$10000,"="&amp;S13,'[1]2_inventory_totals'!$G$8:$G$10000,"="&amp;T13)+SUMIFS('[1]2_inventory_totals'!$K$8:$K$10000,'[1]2_inventory_totals'!$C$8:$C$10000,I13,'[1]2_inventory_totals'!$F$8:$F$10000,"="&amp;S13,'[1]2_inventory_totals'!$G$8:$G$10000,"="&amp;T13)+SUMIFS('[1]2_inventory_totals'!$L$8:$L$10000,'[1]2_inventory_totals'!$C$8:$C$10000,I13,'[1]2_inventory_totals'!$F$8:$F$10000,"="&amp;S13,'[1]2_inventory_totals'!$G$8:$G$10000,"="&amp;T13)+SUMIFS('[1]2_inventory_totals'!$M$8:$M$10000,'[1]2_inventory_totals'!$C$8:$C$10000,I13,'[1]2_inventory_totals'!$F$8:$F$10000,"="&amp;S13,'[1]2_inventory_totals'!$G$8:$G$10000,"="&amp;T13)+SUMIFS('[1]2_inventory_totals'!$O$8:$O$10000,'[1]2_inventory_totals'!$C$8:$C$10000,I13,'[1]2_inventory_totals'!$F$8:$F$10000,"="&amp;S13,'[1]2_inventory_totals'!$G$8:$G$10000,"="&amp;T13)+SUMIFS('[1]2_inventory_totals'!$S$8:$S$10000,'[1]2_inventory_totals'!$C$8:$C$10000,I13,'[1]2_inventory_totals'!$F$8:$F$10000,"="&amp;S13,'[1]2_inventory_totals'!$G$8:$G$10000,"="&amp;T13)))</f>
        <v/>
      </c>
      <c r="AP13" s="954"/>
    </row>
    <row r="14" spans="1:74" ht="27" customHeight="1" thickBot="1">
      <c r="A14" s="923"/>
      <c r="B14" s="1172"/>
      <c r="C14" s="1188" t="s">
        <v>1824</v>
      </c>
      <c r="D14" s="1191"/>
      <c r="F14" s="1192"/>
      <c r="I14" s="1610" t="str">
        <f t="shared" si="5"/>
        <v/>
      </c>
      <c r="J14" s="270" t="str">
        <f t="shared" si="6"/>
        <v/>
      </c>
      <c r="K14" s="813" t="str">
        <f t="shared" si="0"/>
        <v/>
      </c>
      <c r="L14" s="1184"/>
      <c r="M14" s="1185"/>
      <c r="N14" s="1186"/>
      <c r="O14" s="1534"/>
      <c r="P14" s="336" t="str">
        <f t="shared" si="7"/>
        <v/>
      </c>
      <c r="Q14" s="336" t="str">
        <f>IF(L14="","",IF(AD14=0,0,(SUMIFS('[1]1_group_total_details'!$I$8:$I$10000,'[1]1_group_total_details'!$C$8:$C$10000,I14,'[1]1_group_total_details'!$F$8:$F$10000,adj_location_group_id,'[1]1_group_total_details'!$G$8:$G$10000,MID(N14,1,3)*1,'[1]1_group_total_details'!$H$8:$H$10000,"&lt;="&amp;adj_date)+SUMIFS('[1]1_group_total_details'!$L$8:$L$10000,'[1]1_group_total_details'!$C$8:$C$10000,I14,'[1]1_group_total_details'!$F$8:$F$10000,adj_location_group_id,'[1]1_group_total_details'!$G$8:$G$10000,MID(N14,1,3)*1,'[1]1_group_total_details'!$H$8:$H$10000,"&lt;="&amp;adj_date)+SUMIFS('[1]1_group_total_details'!$N$8:$N$10000,'[1]1_group_total_details'!$C$8:$C$10000,I14,'[1]1_group_total_details'!$F$8:$F$10000,adj_location_group_id,'[1]1_group_total_details'!$G$8:$G$10000,MID(N14,1,3)*1,'[1]1_group_total_details'!$H$8:$H$10000,"&lt;="&amp;adj_date)+SUMIFS('[1]1_group_total_details'!$O$8:$O$10000,'[1]1_group_total_details'!$C$8:$C$10000,I14,'[1]1_group_total_details'!$F$8:$F$10000,adj_location_group_id,'[1]1_group_total_details'!$G$8:$G$10000,MID(N14,1,3)*1,'[1]1_group_total_details'!$H$8:$H$10000,"&lt;="&amp;adj_date))-(SUMIFS('[1]1_group_total_details'!$J$8:$J$10000,'[1]1_group_total_details'!$C$8:$C$10000,I14,'[1]1_group_total_details'!$F$8:$F$10000,adj_location_group_id,'[1]1_group_total_details'!$G$8:$G$10000,MID(N14,1,3)*1,'[1]1_group_total_details'!$H$8:$H$10000,"&lt;="&amp;adj_date)+SUMIFS('[1]1_group_total_details'!$K$8:$K$10000,'[1]1_group_total_details'!$C$8:$C$10000,I14,'[1]1_group_total_details'!$F$8:$F$10000,adj_location_group_id,'[1]1_group_total_details'!$G$8:$G$10000,MID(N14,1,3)*1,'[1]1_group_total_details'!$H$8:$H$10000,"&lt;="&amp;adj_date)+SUMIFS('[1]1_group_total_details'!$M$8:$M$10000,'[1]1_group_total_details'!$C$8:$C$10000,I14,'[1]1_group_total_details'!$F$8:$F$10000,adj_location_group_id,'[1]1_group_total_details'!$G$8:$G$10000,MID(N14,1,3)*1,'[1]1_group_total_details'!$H$8:$H$10000,"&lt;="&amp;adj_date)+SUMIFS('[1]1_group_total_details'!$P$8:$P$10000,'[1]1_group_total_details'!$C$8:$C$10000,I14,'[1]1_group_total_details'!$F$8:$F$10000,adj_location_group_id,'[1]1_group_total_details'!$G$8:$G$10000,MID(N14,1,3)*1,'[1]1_group_total_details'!$H$8:$H$10000,"&lt;="&amp;adj_date))))</f>
        <v/>
      </c>
      <c r="R14" s="1187"/>
      <c r="S14" s="1186"/>
      <c r="T14" s="1186"/>
      <c r="U14" s="1184"/>
      <c r="V14" s="270" t="str" cm="1">
        <f t="array" ref="V14">IF(L14="","",IF(M14=AE14,1,Slookup(MID(AE14,1,3)*1,UomConversion!$D$8:$J$500,5,UomConversion!$E$8:$E$500,MID(M14,1,3)*1,UomConversion!$J$8:$J$500,1)))</f>
        <v/>
      </c>
      <c r="W14" s="270" t="str">
        <f t="shared" si="8"/>
        <v/>
      </c>
      <c r="X14" s="1795" t="str">
        <f t="shared" si="9"/>
        <v/>
      </c>
      <c r="Y14" s="1795" t="str">
        <f t="shared" si="10"/>
        <v/>
      </c>
      <c r="Z14" s="270" t="str">
        <f>IF(I14="","",IF(ISNA(MATCH(I14,IF(MID(N14,1,3)*1=1,'[1]1_inventory_totals'!$C$8:$C$10000,IF(MID(N14,1,3)*1=2,'[1]2_inventory_totals'!$C$8:$C$10000,"")),0)),0,IF(AL14&gt;0,1,0)))</f>
        <v/>
      </c>
      <c r="AA14" s="270" t="str">
        <f>IF(L14="","",IF(MID(N14,1,3)*1=1,SUMIFS('[1]1_inventory_total_details'!$J$8:$J$10000,'[1]1_inventory_total_details'!$C$8:$C$10000,I14,'[1]1_inventory_total_details'!$F$8:$F$10000,MID(N14,1,3)*1,'[1]1_inventory_total_details'!$G$8:$G$10000,"="&amp;S14,'[1]1_inventory_total_details'!$H$8:$H$10000,"="&amp;T14,'[1]1_inventory_total_details'!$I$8:$I$10000,"="&amp;adj_date)+SUMIFS('[1]1_inventory_total_details'!$M$8:$M$10000,'[1]1_inventory_total_details'!$C$8:$C$10000,I14,'[1]1_inventory_total_details'!$F$8:$F$10000,MID(N14,1,3)*1,'[1]1_inventory_total_details'!$G$8:$G$10000,"="&amp;S14,'[1]1_inventory_total_details'!$H$8:$H$10000,"="&amp;T14,'[1]1_inventory_total_details'!$I$8:$I$10000,"="&amp;adj_date)+SUMIFS('[1]1_inventory_total_details'!$K$8:$K$10000,'[1]1_inventory_total_details'!$C$8:$C$10000,I14,'[1]1_inventory_total_details'!$F$8:$F$10000,MID(N14,1,3)*1,'[1]1_inventory_total_details'!$G$8:$G$10000,"="&amp;S14,'[1]1_inventory_total_details'!$H$8:$H$10000,"="&amp;T14,'[1]1_inventory_total_details'!$I$8:$I$10000,"="&amp;adj_date)+SUMIFS('[1]1_inventory_total_details'!$L$8:$L$10000,'[1]1_inventory_total_details'!$C$8:$C$10000,I14,'[1]1_inventory_total_details'!$F$8:$F$10000,MID(N14,1,3)*1,'[1]1_inventory_total_details'!$G$8:$G$10000,"="&amp;S14,'[1]1_inventory_total_details'!$H$8:$H$10000,"="&amp;T14,'[1]1_inventory_total_details'!$I$8:$I$10000,"="&amp;adj_date),SUMIFS('[1]2_inventory_total_details'!$J$8:$J$10000,'[1]2_inventory_total_details'!$C$8:$C$10000,I14,'[1]2_inventory_total_details'!$F$8:$F$10000,MID(N14,1,3)*1,'[1]2_inventory_total_details'!$G$8:$G$10000,"="&amp;S14,'[1]2_inventory_total_details'!$H$8:$H$10000,"="&amp;T14,'[1]2_inventory_total_details'!$I$8:$I$10000,"="&amp;adj_date)+SUMIFS('[1]2_inventory_total_details'!$M$8:$M$10000,'[1]1_inventory_total_details'!$C$8:$C$10000,I14,'[1]2_inventory_total_details'!$F$8:$F$10000,MID(N14,1,3)*1,'[1]2_inventory_total_details'!$G$8:$G$10000,"="&amp;S14,'[1]2_inventory_total_details'!$H$8:$H$10000,"="&amp;T14,'[1]2_inventory_total_details'!$I$8:$I$10000,"="&amp;adj_date)+SUMIFS('[1]2_inventory_total_details'!$K$8:$K$10000,'[1]2_inventory_total_details'!$C$8:$C$10000,I14,'[1]2_inventory_total_details'!$F$8:$F$10000,MID(N14,1,3)*1,'[1]2_inventory_total_details'!$G$8:$G$10000,"="&amp;S14,'[1]2_inventory_total_details'!$H$8:$H$10000,"="&amp;T14,'[1]2_inventory_total_details'!$I$8:$I$10000,"="&amp;adj_date)+SUMIFS('[1]2_inventory_total_details'!$L$8:$L$10000,'[1]2_inventory_total_details'!$C$8:$C$10000,I14,'[1]2_inventory_total_details'!$F$8:$F$10000,MID(N14,1,3)*1,'[1]2_inventory_total_details'!$G$8:$G$10000,"="&amp;S14,'[1]2_inventory_total_details'!$H$8:$H$10000,"="&amp;T14,'[1]2_inventory_total_details'!$I$8:$I$10000,"="&amp;adj_date)))</f>
        <v/>
      </c>
      <c r="AB14" s="270" t="str">
        <f>IF(L14="","",IF(MID(N14,1,3)*1=1,SUMIFS('[1]1_inventory_total_details'!$J$8:$J$10000,'[1]1_inventory_total_details'!$C$8:$C$10000,I14,'[1]1_inventory_total_details'!$F$8:$F$10000,MID(N14,1,3)*1,'[1]1_inventory_total_details'!$G$8:$G$10000,"="&amp;S14,'[1]1_inventory_total_details'!$H$8:$H$10000,"="&amp;T14,'[1]1_inventory_total_details'!$I$8:$I$10000,"="&amp;adj_date)+SUMIFS('[1]1_inventory_total_details'!$M$8:$M$10000,'[1]1_inventory_total_details'!$C$8:$C$10000,I14,'[1]1_inventory_total_details'!$F$8:$F$10000,MID(N14,1,3)*1,'[1]1_inventory_total_details'!$G$8:$G$10000,"="&amp;S14,'[1]1_inventory_total_details'!$H$8:$H$10000,"="&amp;T14,'[1]1_inventory_total_details'!$I$8:$I$10000,"="&amp;adj_date)+SUMIFS('[1]1_inventory_total_details'!$K$8:$K$10000,'[1]1_inventory_total_details'!$C$8:$C$10000,I14,'[1]1_inventory_total_details'!$F$8:$F$10000,MID(N14,1,3)*1,'[1]1_inventory_total_details'!$G$8:$G$10000,"="&amp;S14,'[1]1_inventory_total_details'!$H$8:$H$10000,"="&amp;T14,'[1]1_inventory_total_details'!$I$8:$I$10000,"="&amp;adj_date)+SUMIFS('[1]1_inventory_total_details'!$L$8:$L$10000,'[1]1_inventory_total_details'!$C$8:$C$10000,I14,'[1]1_inventory_total_details'!$F$8:$F$10000,MID(N14,1,3)*1,'[1]1_inventory_total_details'!$G$8:$G$10000,"="&amp;S14,'[1]1_inventory_total_details'!$H$8:$H$10000,"="&amp;T14,'[1]1_inventory_total_details'!$I$8:$I$10000,"="&amp;adj_date),SUMIFS('[1]2_inventory_total_details'!$J$8:$J$10000,'[1]2_inventory_total_details'!$C$8:$C$10000,I14,'[1]2_inventory_total_details'!$F$8:$F$10000,MID(N14,1,3)*1,'[1]2_inventory_total_details'!$G$8:$G$10000,"="&amp;S14,'[1]2_inventory_total_details'!$H$8:$H$10000,"="&amp;T14,'[1]2_inventory_total_details'!$I$8:$I$10000,"="&amp;adj_date)+SUMIFS('[1]2_inventory_total_details'!$M$8:$M$10000,'[1]1_inventory_total_details'!$C$8:$C$10000,I14,'[1]2_inventory_total_details'!$F$8:$F$10000,MID(N14,1,3)*1,'[1]2_inventory_total_details'!$G$8:$G$10000,"="&amp;S14,'[1]2_inventory_total_details'!$H$8:$H$10000,"="&amp;T14,'[1]2_inventory_total_details'!$I$8:$I$10000,"="&amp;adj_date)+SUMIFS('[1]2_inventory_total_details'!$K$8:$K$10000,'[1]2_inventory_total_details'!$C$8:$C$10000,I14,'[1]2_inventory_total_details'!$F$8:$F$10000,MID(N14,1,3)*1,'[1]2_inventory_total_details'!$G$8:$G$10000,"="&amp;S14,'[1]2_inventory_total_details'!$H$8:$H$10000,"="&amp;T14,'[1]2_inventory_total_details'!$I$8:$I$10000,"="&amp;adj_date)+SUMIFS('[1]2_inventory_total_details'!$L$8:$L$10000,'[1]2_inventory_total_details'!$C$8:$C$10000,I14,'[1]2_inventory_total_details'!$F$8:$F$10000,MID(N14,1,3)*1,'[1]2_inventory_total_details'!$G$8:$G$10000,"="&amp;S14,'[1]2_inventory_total_details'!$H$8:$H$10000,"="&amp;T14,'[1]2_inventory_total_details'!$I$8:$I$10000,"="&amp;adj_date)))</f>
        <v/>
      </c>
      <c r="AC14" s="270" t="str">
        <f>IF(L14="","",IF(MID(N14,1,3)*1=1,SUMIFS('[1]1_inventory_total_details'!$J$8:$J$10000,'[1]1_inventory_total_details'!$C$8:$C$10000,I14,'[1]1_inventory_total_details'!$F$8:$F$10000,MID(N14,1,3)*1,'[1]1_inventory_total_details'!$G$8:$G$10000,"="&amp;S14,'[1]1_inventory_total_details'!$H$8:$H$10000,"="&amp;T14,'[1]1_inventory_total_details'!$I$8:$I$10000,"="&amp;adj_date)+SUMIFS('[1]1_inventory_total_details'!$M$8:$M$10000,'[1]1_inventory_total_details'!$C$8:$C$10000,I14,'[1]1_inventory_total_details'!$F$8:$F$10000,MID(N14,1,3)*1,'[1]1_inventory_total_details'!$G$8:$G$10000,"="&amp;S14,'[1]1_inventory_total_details'!$H$8:$H$10000,"="&amp;T14,'[1]1_inventory_total_details'!$I$8:$I$10000,"="&amp;adj_date)+SUMIFS('[1]1_inventory_total_details'!$K$8:$K$10000,'[1]1_inventory_total_details'!$C$8:$C$10000,I14,'[1]1_inventory_total_details'!$F$8:$F$10000,MID(N14,1,3)*1,'[1]1_inventory_total_details'!$G$8:$G$10000,"="&amp;S14,'[1]1_inventory_total_details'!$H$8:$H$10000,"="&amp;T14,'[1]1_inventory_total_details'!$I$8:$I$10000,"="&amp;adj_date)+SUMIFS('[1]1_inventory_total_details'!$L$8:$L$10000,'[1]1_inventory_total_details'!$C$8:$C$10000,I14,'[1]1_inventory_total_details'!$F$8:$F$10000,MID(N14,1,3)*1,'[1]1_inventory_total_details'!$G$8:$G$10000,"="&amp;S14,'[1]1_inventory_total_details'!$H$8:$H$10000,"="&amp;T14,'[1]1_inventory_total_details'!$I$8:$I$10000,"="&amp;adj_date),SUMIFS('[1]2_inventory_total_details'!$J$8:$J$10000,'[1]2_inventory_total_details'!$C$8:$C$10000,I14,'[1]2_inventory_total_details'!$F$8:$F$10000,MID(N14,1,3)*1,'[1]2_inventory_total_details'!$G$8:$G$10000,"="&amp;S14,'[1]2_inventory_total_details'!$H$8:$H$10000,"="&amp;T14,'[1]2_inventory_total_details'!$I$8:$I$10000,"="&amp;adj_date)+SUMIFS('[1]2_inventory_total_details'!$M$8:$M$10000,'[1]1_inventory_total_details'!$C$8:$C$10000,I14,'[1]2_inventory_total_details'!$F$8:$F$10000,MID(N14,1,3)*1,'[1]2_inventory_total_details'!$G$8:$G$10000,"="&amp;S14,'[1]2_inventory_total_details'!$H$8:$H$10000,"="&amp;T14,'[1]2_inventory_total_details'!$I$8:$I$10000,"="&amp;adj_date)+SUMIFS('[1]2_inventory_total_details'!$K$8:$K$10000,'[1]2_inventory_total_details'!$C$8:$C$10000,I14,'[1]2_inventory_total_details'!$F$8:$F$10000,MID(N14,1,3)*1,'[1]2_inventory_total_details'!$G$8:$G$10000,"="&amp;S14,'[1]2_inventory_total_details'!$H$8:$H$10000,"="&amp;T14,'[1]2_inventory_total_details'!$I$8:$I$10000,"="&amp;adj_date)+SUMIFS('[1]2_inventory_total_details'!$L$8:$L$10000,'[1]2_inventory_total_details'!$C$8:$C$10000,I14,'[1]2_inventory_total_details'!$F$8:$F$10000,MID(N14,1,3)*1,'[1]2_inventory_total_details'!$G$8:$G$10000,"="&amp;S14,'[1]2_inventory_total_details'!$H$8:$H$10000,"="&amp;T14,'[1]2_inventory_total_details'!$I$8:$I$10000,"="&amp;adj_date)))</f>
        <v/>
      </c>
      <c r="AD14" s="270" t="str">
        <f>IF(L14="","",SUMIFS('[1]1_group_totals'!$J$8:$J$10000,'[1]1_group_totals'!$C$8:$C$10000,I14,'[1]1_group_totals'!$F$8:$F$10000,adj_location_group_id,'[1]1_group_totals'!$G$8:$G$10000,MID(N14,1,3)*1,'[1]1_group_totals'!$H$8:$H$10000,"="&amp;S14,'[1]1_group_totals'!$I$8:$I$10000,"="&amp;T14))</f>
        <v/>
      </c>
      <c r="AE14" s="1796" t="str">
        <f t="shared" si="11"/>
        <v/>
      </c>
      <c r="AF14" s="1797" t="str">
        <f>IF(ISNA(MATCH(MID(AE14,1,3)*1,UomConversion!$D$8:$D$500,0)),"",IF(AJ14&lt;&gt;"",AJ14,""))</f>
        <v/>
      </c>
      <c r="AG14" s="1797" t="str">
        <f>IF(AND(AH14&gt;0,COUNTIFS(UomConversion!$D$8:$D$500,MID(AE14,1,3)*1,UomConversion!$J$8:$J$500,1)&gt;1),TEXT(AH14,"000")&amp;"."&amp;VLOOKUP(AH14,uom_list,5,FALSE),"")</f>
        <v/>
      </c>
      <c r="AH14" s="270" t="str">
        <f t="shared" si="12"/>
        <v/>
      </c>
      <c r="AI14" s="270" t="str">
        <f t="shared" si="13"/>
        <v/>
      </c>
      <c r="AJ14" s="270" t="str">
        <f t="shared" si="14"/>
        <v/>
      </c>
      <c r="AK14" s="270" t="str" cm="1">
        <f t="array" ref="AK14">IF(L14="","",Slookup(MID(AE14,1,3)*1,UomConversion!$D$8:$J$500,2,UomConversion!$I$8:$I$500,1,UomConversion!$J$8:$J$500,1))</f>
        <v/>
      </c>
      <c r="AL14" s="270" t="str">
        <f t="shared" si="15"/>
        <v/>
      </c>
      <c r="AM14" s="270" t="str">
        <f>IF(L14="","",(SUMIFS('[1]1_group_totals'!$K$8:$K$10000,'[1]1_group_totals'!$C$8:$C$10000,I14,'[1]1_group_totals'!$F$8:$F$10000,adj_location_group_id,'[1]1_group_totals'!$G$8:$G$10000,MID(N14,1,3)*1,'[1]1_group_totals'!$H$8:$H$10000,"="&amp;S14,'[1]1_group_totals'!$I$8:$I$10000,"="&amp;T14)+SUMIFS('[1]1_group_totals'!$N$8:$N$10000,'[1]1_group_totals'!$C$8:$C$10000,I14,'[1]1_group_totals'!$F$8:$F$10000,adj_location_group_id,'[1]1_group_totals'!$G$8:$G$10000,MID(N14,1,3)*1,'[1]1_group_totals'!$H$8:$H$10000,"="&amp;S14,'[1]1_group_totals'!$I$8:$I$10000,"="&amp;T14)+SUMIFS('[1]1_group_totals'!$P$8:$P$10000,'[1]1_group_totals'!$C$8:$C$10000,I14,'[1]1_group_totals'!$F$8:$F$10000,adj_location_group_id,'[1]1_group_totals'!$G$8:$G$10000,MID(N14,1,3)*1,'[1]1_group_totals'!$H$8:$H$10000,"="&amp;S14,'[1]1_group_totals'!$I$8:$I$10000,"="&amp;T14)+SUMIFS('[1]1_group_totals'!$Q$8:$Q$10000,'[1]1_group_totals'!$C$8:$C$10000,I14,'[1]1_group_totals'!$F$8:$F$10000,adj_location_group_id,'[1]1_group_totals'!$G$8:$G$10000,MID(N14,1,3)*1,'[1]1_group_totals'!$H$8:$H$10000,"="&amp;S14,'[1]1_group_totals'!$I$8:$I$10000,"="&amp;T14))+(SUMIFS('[1]1_group_totals'!$L$8:$L$10000,'[1]1_group_totals'!$C$8:$C$10000,I14,'[1]1_group_totals'!$F$8:$F$10000,adj_location_group_id,'[1]1_group_totals'!$G$8:$G$10000,MID(N14,1,3)*1,'[1]1_group_totals'!$H$8:$H$10000,"="&amp;S14,'[1]1_group_totals'!$I$8:$I$10000,"="&amp;T14)+SUMIFS('[1]1_group_totals'!$M$8:$M$10000,'[1]1_group_totals'!$C$8:$C$10000,I14,'[1]1_group_totals'!$F$8:$F$10000,adj_location_group_id,'[1]1_group_totals'!$G$8:$G$10000,MID(N14,1,3)*1,'[1]1_group_totals'!$H$8:$H$10000,"="&amp;S14,'[1]1_group_totals'!$I$8:$I$10000,"="&amp;T14)+SUMIFS('[1]1_group_totals'!$O$8:$O$10000,'[1]1_group_totals'!$C$8:$C$10000,I14,'[1]1_group_totals'!$F$8:$F$10000,adj_location_group_id,'[1]1_group_totals'!$G$8:$G$10000,MID(N14,1,3)*1,'[1]1_group_totals'!$H$8:$H$10000,"="&amp;S14,'[1]1_group_totals'!$I$8:$I$10000,"="&amp;T14)+SUMIFS('[1]1_group_totals'!$R$8:$R$10000,'[1]1_group_totals'!$C$8:$C$10000,I14,'[1]1_group_totals'!$F$8:$F$10000,adj_location_group_id,'[1]1_group_totals'!$G$8:$G$10000,MID(N14,1,3)*1,'[1]1_group_totals'!$H$8:$H$10000,"="&amp;S14,'[1]1_group_totals'!$I$8:$I$10000,"="&amp;T14)))</f>
        <v/>
      </c>
      <c r="AN14" s="270" t="str">
        <f>IF(L14="","",(SUMIFS('[1]1_inventory_totals'!$I$8:$I$10000,'[1]1_inventory_totals'!$C$8:$C$10000,I14,'[1]1_inventory_totals'!$F$8:$F$10000,"="&amp;S14,'[1]1_inventory_totals'!$G$8:$G$10000,"="&amp;T14)+SUMIFS('[1]1_inventory_totals'!$N$8:$N$10000,'[1]1_inventory_totals'!$C$8:$C$10000,I14,'[1]1_inventory_totals'!$F$8:$F$10000,"="&amp;S14,'[1]1_inventory_totals'!$G$8:$G$10000,"="&amp;T14)+SUMIFS('[1]1_inventory_totals'!$P$8:$P$10000,'[1]1_inventory_totals'!$C$8:$C$10000,I14,'[1]1_inventory_totals'!$F$8:$F$10000,"="&amp;S14,'[1]1_inventory_totals'!$G$8:$G$10000,"="&amp;T14)+SUMIFS('[1]1_inventory_totals'!$Q$8:$Q$10000,'[1]1_inventory_totals'!$C$8:$C$10000,I14,'[1]1_inventory_totals'!$F$8:$F$10000,"="&amp;S14,'[1]1_inventory_totals'!$G$8:$G$10000,"="&amp;T14)+SUMIFS('[1]1_inventory_totals'!$R$8:$R$10000,'[1]1_inventory_totals'!$C$8:$C$10000,I14,'[1]1_inventory_totals'!$F$8:$F$10000,"="&amp;S14,'[1]1_inventory_totals'!$G$8:$G$10000,"="&amp;T14))+(SUMIFS('[1]1_inventory_totals'!$J$8:$J$10000,'[1]1_inventory_totals'!$C$8:$C$10000,I14,'[1]1_inventory_totals'!$F$8:$F$10000,"="&amp;S14,'[1]1_inventory_totals'!$G$8:$G$10000,"="&amp;T14)+SUMIFS('[1]1_inventory_totals'!$K$8:$K$10000,'[1]1_inventory_totals'!$C$8:$C$10000,I14,'[1]1_inventory_totals'!$F$8:$F$10000,"="&amp;S14,'[1]1_inventory_totals'!$G$8:$G$10000,"="&amp;T14)+SUMIFS('[1]1_inventory_totals'!$L$8:$L$10000,'[1]1_inventory_totals'!$C$8:$C$10000,I14,'[1]1_inventory_totals'!$F$8:$F$10000,"="&amp;S14,'[1]1_inventory_totals'!$G$8:$G$10000,"="&amp;T14)+SUMIFS('[1]1_inventory_totals'!$M$8:$M$10000,'[1]1_inventory_totals'!$C$8:$C$10000,I14,'[1]1_inventory_totals'!$F$8:$F$10000,"="&amp;S14,'[1]1_inventory_totals'!$G$8:$G$10000,"="&amp;T14)+SUMIFS('[1]1_inventory_totals'!$O$8:$O$10000,'[1]1_inventory_totals'!$C$8:$C$10000,I14,'[1]1_inventory_totals'!$F$8:$F$10000,"="&amp;S14,'[1]1_inventory_totals'!$G$8:$G$10000,"="&amp;T14)+SUMIFS('[1]1_inventory_totals'!$S$8:$S$10000,'[1]1_inventory_totals'!$C$8:$C$10000,I14,'[1]1_inventory_totals'!$F$8:$F$10000,"="&amp;S14,'[1]1_inventory_totals'!$G$8:$G$10000,"="&amp;T14)))</f>
        <v/>
      </c>
      <c r="AO14" s="270" t="str">
        <f>IF(L14="","",(SUMIFS('[1]2_inventory_totals'!$I$8:$I$10000,'[1]2_inventory_totals'!$C$8:$C$10000,I14,'[1]2_inventory_totals'!$F$8:$F$10000,"="&amp;S14,'[1]2_inventory_totals'!$G$8:$G$10000,"="&amp;T14)+SUMIFS('[1]2_inventory_totals'!$N$8:$N$10000,'[1]2_inventory_totals'!$C$8:$C$10000,I14,'[1]2_inventory_totals'!$F$8:$F$10000,"="&amp;S14,'[1]2_inventory_totals'!$G$8:$G$10000,"="&amp;T14)+SUMIFS('[1]2_inventory_totals'!$P$8:$P$10000,'[1]2_inventory_totals'!$C$8:$C$10000,I14,'[1]2_inventory_totals'!$F$8:$F$10000,"="&amp;S14,'[1]2_inventory_totals'!$G$8:$G$10000,"="&amp;T14)+SUMIFS('[1]2_inventory_totals'!$Q$8:$Q$10000,'[1]2_inventory_totals'!$C$8:$C$10000,I14,'[1]2_inventory_totals'!$F$8:$F$10000,"="&amp;S14,'[1]2_inventory_totals'!$G$8:$G$10000,"="&amp;T14)+SUMIFS('[1]2_inventory_totals'!$R$8:$R$10000,'[1]2_inventory_totals'!$C$8:$C$10000,I14,'[1]2_inventory_totals'!$F$8:$F$10000,"="&amp;S14,'[1]2_inventory_totals'!$G$8:$G$10000,"="&amp;T14))+(SUMIFS('[1]2_inventory_totals'!$J$8:$J$10000,'[1]2_inventory_totals'!$C$8:$C$10000,I14,'[1]2_inventory_totals'!$F$8:$F$10000,"="&amp;S14,'[1]2_inventory_totals'!$G$8:$G$10000,"="&amp;T14)+SUMIFS('[1]2_inventory_totals'!$K$8:$K$10000,'[1]2_inventory_totals'!$C$8:$C$10000,I14,'[1]2_inventory_totals'!$F$8:$F$10000,"="&amp;S14,'[1]2_inventory_totals'!$G$8:$G$10000,"="&amp;T14)+SUMIFS('[1]2_inventory_totals'!$L$8:$L$10000,'[1]2_inventory_totals'!$C$8:$C$10000,I14,'[1]2_inventory_totals'!$F$8:$F$10000,"="&amp;S14,'[1]2_inventory_totals'!$G$8:$G$10000,"="&amp;T14)+SUMIFS('[1]2_inventory_totals'!$M$8:$M$10000,'[1]2_inventory_totals'!$C$8:$C$10000,I14,'[1]2_inventory_totals'!$F$8:$F$10000,"="&amp;S14,'[1]2_inventory_totals'!$G$8:$G$10000,"="&amp;T14)+SUMIFS('[1]2_inventory_totals'!$O$8:$O$10000,'[1]2_inventory_totals'!$C$8:$C$10000,I14,'[1]2_inventory_totals'!$F$8:$F$10000,"="&amp;S14,'[1]2_inventory_totals'!$G$8:$G$10000,"="&amp;T14)+SUMIFS('[1]2_inventory_totals'!$S$8:$S$10000,'[1]2_inventory_totals'!$C$8:$C$10000,I14,'[1]2_inventory_totals'!$F$8:$F$10000,"="&amp;S14,'[1]2_inventory_totals'!$G$8:$G$10000,"="&amp;T14)))</f>
        <v/>
      </c>
      <c r="AP14" s="954"/>
    </row>
    <row r="15" spans="1:74" ht="27" customHeight="1" thickBot="1">
      <c r="A15" s="923"/>
      <c r="B15" s="1178"/>
      <c r="C15" s="1893" t="s">
        <v>3242</v>
      </c>
      <c r="D15" s="1894"/>
      <c r="E15" s="1895"/>
      <c r="F15" s="1791">
        <f>MID(adj_stock_creator,1,3)*1</f>
        <v>1</v>
      </c>
      <c r="G15" s="941"/>
      <c r="I15" s="1610" t="str">
        <f t="shared" si="5"/>
        <v/>
      </c>
      <c r="J15" s="270" t="str">
        <f t="shared" si="6"/>
        <v/>
      </c>
      <c r="K15" s="813" t="str">
        <f t="shared" si="0"/>
        <v/>
      </c>
      <c r="L15" s="1184"/>
      <c r="M15" s="1185"/>
      <c r="N15" s="1186"/>
      <c r="O15" s="1534"/>
      <c r="P15" s="336" t="str">
        <f t="shared" si="7"/>
        <v/>
      </c>
      <c r="Q15" s="336" t="str">
        <f>IF(L15="","",IF(AD15=0,0,(SUMIFS('[1]1_group_total_details'!$I$8:$I$10000,'[1]1_group_total_details'!$C$8:$C$10000,I15,'[1]1_group_total_details'!$F$8:$F$10000,adj_location_group_id,'[1]1_group_total_details'!$G$8:$G$10000,MID(N15,1,3)*1,'[1]1_group_total_details'!$H$8:$H$10000,"&lt;="&amp;adj_date)+SUMIFS('[1]1_group_total_details'!$L$8:$L$10000,'[1]1_group_total_details'!$C$8:$C$10000,I15,'[1]1_group_total_details'!$F$8:$F$10000,adj_location_group_id,'[1]1_group_total_details'!$G$8:$G$10000,MID(N15,1,3)*1,'[1]1_group_total_details'!$H$8:$H$10000,"&lt;="&amp;adj_date)+SUMIFS('[1]1_group_total_details'!$N$8:$N$10000,'[1]1_group_total_details'!$C$8:$C$10000,I15,'[1]1_group_total_details'!$F$8:$F$10000,adj_location_group_id,'[1]1_group_total_details'!$G$8:$G$10000,MID(N15,1,3)*1,'[1]1_group_total_details'!$H$8:$H$10000,"&lt;="&amp;adj_date)+SUMIFS('[1]1_group_total_details'!$O$8:$O$10000,'[1]1_group_total_details'!$C$8:$C$10000,I15,'[1]1_group_total_details'!$F$8:$F$10000,adj_location_group_id,'[1]1_group_total_details'!$G$8:$G$10000,MID(N15,1,3)*1,'[1]1_group_total_details'!$H$8:$H$10000,"&lt;="&amp;adj_date))-(SUMIFS('[1]1_group_total_details'!$J$8:$J$10000,'[1]1_group_total_details'!$C$8:$C$10000,I15,'[1]1_group_total_details'!$F$8:$F$10000,adj_location_group_id,'[1]1_group_total_details'!$G$8:$G$10000,MID(N15,1,3)*1,'[1]1_group_total_details'!$H$8:$H$10000,"&lt;="&amp;adj_date)+SUMIFS('[1]1_group_total_details'!$K$8:$K$10000,'[1]1_group_total_details'!$C$8:$C$10000,I15,'[1]1_group_total_details'!$F$8:$F$10000,adj_location_group_id,'[1]1_group_total_details'!$G$8:$G$10000,MID(N15,1,3)*1,'[1]1_group_total_details'!$H$8:$H$10000,"&lt;="&amp;adj_date)+SUMIFS('[1]1_group_total_details'!$M$8:$M$10000,'[1]1_group_total_details'!$C$8:$C$10000,I15,'[1]1_group_total_details'!$F$8:$F$10000,adj_location_group_id,'[1]1_group_total_details'!$G$8:$G$10000,MID(N15,1,3)*1,'[1]1_group_total_details'!$H$8:$H$10000,"&lt;="&amp;adj_date)+SUMIFS('[1]1_group_total_details'!$P$8:$P$10000,'[1]1_group_total_details'!$C$8:$C$10000,I15,'[1]1_group_total_details'!$F$8:$F$10000,adj_location_group_id,'[1]1_group_total_details'!$G$8:$G$10000,MID(N15,1,3)*1,'[1]1_group_total_details'!$H$8:$H$10000,"&lt;="&amp;adj_date))))</f>
        <v/>
      </c>
      <c r="R15" s="1187"/>
      <c r="S15" s="1186"/>
      <c r="T15" s="1186"/>
      <c r="U15" s="1184"/>
      <c r="V15" s="270" t="str" cm="1">
        <f t="array" ref="V15">IF(L15="","",IF(M15=AE15,1,Slookup(MID(AE15,1,3)*1,UomConversion!$D$8:$J$500,5,UomConversion!$E$8:$E$500,MID(M15,1,3)*1,UomConversion!$J$8:$J$500,1)))</f>
        <v/>
      </c>
      <c r="W15" s="270" t="str">
        <f t="shared" si="8"/>
        <v/>
      </c>
      <c r="X15" s="1795" t="str">
        <f t="shared" si="9"/>
        <v/>
      </c>
      <c r="Y15" s="1795" t="str">
        <f t="shared" si="10"/>
        <v/>
      </c>
      <c r="Z15" s="270" t="str">
        <f>IF(I15="","",IF(ISNA(MATCH(I15,IF(MID(N15,1,3)*1=1,'[1]1_inventory_totals'!$C$8:$C$10000,IF(MID(N15,1,3)*1=2,'[1]2_inventory_totals'!$C$8:$C$10000,"")),0)),0,IF(AL15&gt;0,1,0)))</f>
        <v/>
      </c>
      <c r="AA15" s="270" t="str">
        <f>IF(L15="","",IF(MID(N15,1,3)*1=1,SUMIFS('[1]1_inventory_total_details'!$J$8:$J$10000,'[1]1_inventory_total_details'!$C$8:$C$10000,I15,'[1]1_inventory_total_details'!$F$8:$F$10000,MID(N15,1,3)*1,'[1]1_inventory_total_details'!$G$8:$G$10000,"="&amp;S15,'[1]1_inventory_total_details'!$H$8:$H$10000,"="&amp;T15,'[1]1_inventory_total_details'!$I$8:$I$10000,"="&amp;adj_date)+SUMIFS('[1]1_inventory_total_details'!$M$8:$M$10000,'[1]1_inventory_total_details'!$C$8:$C$10000,I15,'[1]1_inventory_total_details'!$F$8:$F$10000,MID(N15,1,3)*1,'[1]1_inventory_total_details'!$G$8:$G$10000,"="&amp;S15,'[1]1_inventory_total_details'!$H$8:$H$10000,"="&amp;T15,'[1]1_inventory_total_details'!$I$8:$I$10000,"="&amp;adj_date)+SUMIFS('[1]1_inventory_total_details'!$K$8:$K$10000,'[1]1_inventory_total_details'!$C$8:$C$10000,I15,'[1]1_inventory_total_details'!$F$8:$F$10000,MID(N15,1,3)*1,'[1]1_inventory_total_details'!$G$8:$G$10000,"="&amp;S15,'[1]1_inventory_total_details'!$H$8:$H$10000,"="&amp;T15,'[1]1_inventory_total_details'!$I$8:$I$10000,"="&amp;adj_date)+SUMIFS('[1]1_inventory_total_details'!$L$8:$L$10000,'[1]1_inventory_total_details'!$C$8:$C$10000,I15,'[1]1_inventory_total_details'!$F$8:$F$10000,MID(N15,1,3)*1,'[1]1_inventory_total_details'!$G$8:$G$10000,"="&amp;S15,'[1]1_inventory_total_details'!$H$8:$H$10000,"="&amp;T15,'[1]1_inventory_total_details'!$I$8:$I$10000,"="&amp;adj_date),SUMIFS('[1]2_inventory_total_details'!$J$8:$J$10000,'[1]2_inventory_total_details'!$C$8:$C$10000,I15,'[1]2_inventory_total_details'!$F$8:$F$10000,MID(N15,1,3)*1,'[1]2_inventory_total_details'!$G$8:$G$10000,"="&amp;S15,'[1]2_inventory_total_details'!$H$8:$H$10000,"="&amp;T15,'[1]2_inventory_total_details'!$I$8:$I$10000,"="&amp;adj_date)+SUMIFS('[1]2_inventory_total_details'!$M$8:$M$10000,'[1]1_inventory_total_details'!$C$8:$C$10000,I15,'[1]2_inventory_total_details'!$F$8:$F$10000,MID(N15,1,3)*1,'[1]2_inventory_total_details'!$G$8:$G$10000,"="&amp;S15,'[1]2_inventory_total_details'!$H$8:$H$10000,"="&amp;T15,'[1]2_inventory_total_details'!$I$8:$I$10000,"="&amp;adj_date)+SUMIFS('[1]2_inventory_total_details'!$K$8:$K$10000,'[1]2_inventory_total_details'!$C$8:$C$10000,I15,'[1]2_inventory_total_details'!$F$8:$F$10000,MID(N15,1,3)*1,'[1]2_inventory_total_details'!$G$8:$G$10000,"="&amp;S15,'[1]2_inventory_total_details'!$H$8:$H$10000,"="&amp;T15,'[1]2_inventory_total_details'!$I$8:$I$10000,"="&amp;adj_date)+SUMIFS('[1]2_inventory_total_details'!$L$8:$L$10000,'[1]2_inventory_total_details'!$C$8:$C$10000,I15,'[1]2_inventory_total_details'!$F$8:$F$10000,MID(N15,1,3)*1,'[1]2_inventory_total_details'!$G$8:$G$10000,"="&amp;S15,'[1]2_inventory_total_details'!$H$8:$H$10000,"="&amp;T15,'[1]2_inventory_total_details'!$I$8:$I$10000,"="&amp;adj_date)))</f>
        <v/>
      </c>
      <c r="AB15" s="270" t="str">
        <f>IF(L15="","",IF(MID(N15,1,3)*1=1,SUMIFS('[1]1_inventory_total_details'!$J$8:$J$10000,'[1]1_inventory_total_details'!$C$8:$C$10000,I15,'[1]1_inventory_total_details'!$F$8:$F$10000,MID(N15,1,3)*1,'[1]1_inventory_total_details'!$G$8:$G$10000,"="&amp;S15,'[1]1_inventory_total_details'!$H$8:$H$10000,"="&amp;T15,'[1]1_inventory_total_details'!$I$8:$I$10000,"="&amp;adj_date)+SUMIFS('[1]1_inventory_total_details'!$M$8:$M$10000,'[1]1_inventory_total_details'!$C$8:$C$10000,I15,'[1]1_inventory_total_details'!$F$8:$F$10000,MID(N15,1,3)*1,'[1]1_inventory_total_details'!$G$8:$G$10000,"="&amp;S15,'[1]1_inventory_total_details'!$H$8:$H$10000,"="&amp;T15,'[1]1_inventory_total_details'!$I$8:$I$10000,"="&amp;adj_date)+SUMIFS('[1]1_inventory_total_details'!$K$8:$K$10000,'[1]1_inventory_total_details'!$C$8:$C$10000,I15,'[1]1_inventory_total_details'!$F$8:$F$10000,MID(N15,1,3)*1,'[1]1_inventory_total_details'!$G$8:$G$10000,"="&amp;S15,'[1]1_inventory_total_details'!$H$8:$H$10000,"="&amp;T15,'[1]1_inventory_total_details'!$I$8:$I$10000,"="&amp;adj_date)+SUMIFS('[1]1_inventory_total_details'!$L$8:$L$10000,'[1]1_inventory_total_details'!$C$8:$C$10000,I15,'[1]1_inventory_total_details'!$F$8:$F$10000,MID(N15,1,3)*1,'[1]1_inventory_total_details'!$G$8:$G$10000,"="&amp;S15,'[1]1_inventory_total_details'!$H$8:$H$10000,"="&amp;T15,'[1]1_inventory_total_details'!$I$8:$I$10000,"="&amp;adj_date),SUMIFS('[1]2_inventory_total_details'!$J$8:$J$10000,'[1]2_inventory_total_details'!$C$8:$C$10000,I15,'[1]2_inventory_total_details'!$F$8:$F$10000,MID(N15,1,3)*1,'[1]2_inventory_total_details'!$G$8:$G$10000,"="&amp;S15,'[1]2_inventory_total_details'!$H$8:$H$10000,"="&amp;T15,'[1]2_inventory_total_details'!$I$8:$I$10000,"="&amp;adj_date)+SUMIFS('[1]2_inventory_total_details'!$M$8:$M$10000,'[1]1_inventory_total_details'!$C$8:$C$10000,I15,'[1]2_inventory_total_details'!$F$8:$F$10000,MID(N15,1,3)*1,'[1]2_inventory_total_details'!$G$8:$G$10000,"="&amp;S15,'[1]2_inventory_total_details'!$H$8:$H$10000,"="&amp;T15,'[1]2_inventory_total_details'!$I$8:$I$10000,"="&amp;adj_date)+SUMIFS('[1]2_inventory_total_details'!$K$8:$K$10000,'[1]2_inventory_total_details'!$C$8:$C$10000,I15,'[1]2_inventory_total_details'!$F$8:$F$10000,MID(N15,1,3)*1,'[1]2_inventory_total_details'!$G$8:$G$10000,"="&amp;S15,'[1]2_inventory_total_details'!$H$8:$H$10000,"="&amp;T15,'[1]2_inventory_total_details'!$I$8:$I$10000,"="&amp;adj_date)+SUMIFS('[1]2_inventory_total_details'!$L$8:$L$10000,'[1]2_inventory_total_details'!$C$8:$C$10000,I15,'[1]2_inventory_total_details'!$F$8:$F$10000,MID(N15,1,3)*1,'[1]2_inventory_total_details'!$G$8:$G$10000,"="&amp;S15,'[1]2_inventory_total_details'!$H$8:$H$10000,"="&amp;T15,'[1]2_inventory_total_details'!$I$8:$I$10000,"="&amp;adj_date)))</f>
        <v/>
      </c>
      <c r="AC15" s="270" t="str">
        <f>IF(L15="","",IF(MID(N15,1,3)*1=1,SUMIFS('[1]1_inventory_total_details'!$J$8:$J$10000,'[1]1_inventory_total_details'!$C$8:$C$10000,I15,'[1]1_inventory_total_details'!$F$8:$F$10000,MID(N15,1,3)*1,'[1]1_inventory_total_details'!$G$8:$G$10000,"="&amp;S15,'[1]1_inventory_total_details'!$H$8:$H$10000,"="&amp;T15,'[1]1_inventory_total_details'!$I$8:$I$10000,"="&amp;adj_date)+SUMIFS('[1]1_inventory_total_details'!$M$8:$M$10000,'[1]1_inventory_total_details'!$C$8:$C$10000,I15,'[1]1_inventory_total_details'!$F$8:$F$10000,MID(N15,1,3)*1,'[1]1_inventory_total_details'!$G$8:$G$10000,"="&amp;S15,'[1]1_inventory_total_details'!$H$8:$H$10000,"="&amp;T15,'[1]1_inventory_total_details'!$I$8:$I$10000,"="&amp;adj_date)+SUMIFS('[1]1_inventory_total_details'!$K$8:$K$10000,'[1]1_inventory_total_details'!$C$8:$C$10000,I15,'[1]1_inventory_total_details'!$F$8:$F$10000,MID(N15,1,3)*1,'[1]1_inventory_total_details'!$G$8:$G$10000,"="&amp;S15,'[1]1_inventory_total_details'!$H$8:$H$10000,"="&amp;T15,'[1]1_inventory_total_details'!$I$8:$I$10000,"="&amp;adj_date)+SUMIFS('[1]1_inventory_total_details'!$L$8:$L$10000,'[1]1_inventory_total_details'!$C$8:$C$10000,I15,'[1]1_inventory_total_details'!$F$8:$F$10000,MID(N15,1,3)*1,'[1]1_inventory_total_details'!$G$8:$G$10000,"="&amp;S15,'[1]1_inventory_total_details'!$H$8:$H$10000,"="&amp;T15,'[1]1_inventory_total_details'!$I$8:$I$10000,"="&amp;adj_date),SUMIFS('[1]2_inventory_total_details'!$J$8:$J$10000,'[1]2_inventory_total_details'!$C$8:$C$10000,I15,'[1]2_inventory_total_details'!$F$8:$F$10000,MID(N15,1,3)*1,'[1]2_inventory_total_details'!$G$8:$G$10000,"="&amp;S15,'[1]2_inventory_total_details'!$H$8:$H$10000,"="&amp;T15,'[1]2_inventory_total_details'!$I$8:$I$10000,"="&amp;adj_date)+SUMIFS('[1]2_inventory_total_details'!$M$8:$M$10000,'[1]1_inventory_total_details'!$C$8:$C$10000,I15,'[1]2_inventory_total_details'!$F$8:$F$10000,MID(N15,1,3)*1,'[1]2_inventory_total_details'!$G$8:$G$10000,"="&amp;S15,'[1]2_inventory_total_details'!$H$8:$H$10000,"="&amp;T15,'[1]2_inventory_total_details'!$I$8:$I$10000,"="&amp;adj_date)+SUMIFS('[1]2_inventory_total_details'!$K$8:$K$10000,'[1]2_inventory_total_details'!$C$8:$C$10000,I15,'[1]2_inventory_total_details'!$F$8:$F$10000,MID(N15,1,3)*1,'[1]2_inventory_total_details'!$G$8:$G$10000,"="&amp;S15,'[1]2_inventory_total_details'!$H$8:$H$10000,"="&amp;T15,'[1]2_inventory_total_details'!$I$8:$I$10000,"="&amp;adj_date)+SUMIFS('[1]2_inventory_total_details'!$L$8:$L$10000,'[1]2_inventory_total_details'!$C$8:$C$10000,I15,'[1]2_inventory_total_details'!$F$8:$F$10000,MID(N15,1,3)*1,'[1]2_inventory_total_details'!$G$8:$G$10000,"="&amp;S15,'[1]2_inventory_total_details'!$H$8:$H$10000,"="&amp;T15,'[1]2_inventory_total_details'!$I$8:$I$10000,"="&amp;adj_date)))</f>
        <v/>
      </c>
      <c r="AD15" s="270" t="str">
        <f>IF(L15="","",SUMIFS('[1]1_group_totals'!$J$8:$J$10000,'[1]1_group_totals'!$C$8:$C$10000,I15,'[1]1_group_totals'!$F$8:$F$10000,adj_location_group_id,'[1]1_group_totals'!$G$8:$G$10000,MID(N15,1,3)*1,'[1]1_group_totals'!$H$8:$H$10000,"="&amp;S15,'[1]1_group_totals'!$I$8:$I$10000,"="&amp;T15))</f>
        <v/>
      </c>
      <c r="AE15" s="1796" t="str">
        <f t="shared" si="11"/>
        <v/>
      </c>
      <c r="AF15" s="1797" t="str">
        <f>IF(ISNA(MATCH(MID(AE15,1,3)*1,UomConversion!$D$8:$D$500,0)),"",IF(AJ15&lt;&gt;"",AJ15,""))</f>
        <v/>
      </c>
      <c r="AG15" s="1797" t="str">
        <f>IF(AND(AH15&gt;0,COUNTIFS(UomConversion!$D$8:$D$500,MID(AE15,1,3)*1,UomConversion!$J$8:$J$500,1)&gt;1),TEXT(AH15,"000")&amp;"."&amp;VLOOKUP(AH15,uom_list,5,FALSE),"")</f>
        <v/>
      </c>
      <c r="AH15" s="270" t="str">
        <f t="shared" si="12"/>
        <v/>
      </c>
      <c r="AI15" s="270" t="str">
        <f t="shared" si="13"/>
        <v/>
      </c>
      <c r="AJ15" s="270" t="str">
        <f t="shared" si="14"/>
        <v/>
      </c>
      <c r="AK15" s="270" t="str" cm="1">
        <f t="array" ref="AK15">IF(L15="","",Slookup(MID(AE15,1,3)*1,UomConversion!$D$8:$J$500,2,UomConversion!$I$8:$I$500,1,UomConversion!$J$8:$J$500,1))</f>
        <v/>
      </c>
      <c r="AL15" s="270" t="str">
        <f t="shared" si="15"/>
        <v/>
      </c>
      <c r="AM15" s="270" t="str">
        <f>IF(L15="","",(SUMIFS('[1]1_group_totals'!$K$8:$K$10000,'[1]1_group_totals'!$C$8:$C$10000,I15,'[1]1_group_totals'!$F$8:$F$10000,adj_location_group_id,'[1]1_group_totals'!$G$8:$G$10000,MID(N15,1,3)*1,'[1]1_group_totals'!$H$8:$H$10000,"="&amp;S15,'[1]1_group_totals'!$I$8:$I$10000,"="&amp;T15)+SUMIFS('[1]1_group_totals'!$N$8:$N$10000,'[1]1_group_totals'!$C$8:$C$10000,I15,'[1]1_group_totals'!$F$8:$F$10000,adj_location_group_id,'[1]1_group_totals'!$G$8:$G$10000,MID(N15,1,3)*1,'[1]1_group_totals'!$H$8:$H$10000,"="&amp;S15,'[1]1_group_totals'!$I$8:$I$10000,"="&amp;T15)+SUMIFS('[1]1_group_totals'!$P$8:$P$10000,'[1]1_group_totals'!$C$8:$C$10000,I15,'[1]1_group_totals'!$F$8:$F$10000,adj_location_group_id,'[1]1_group_totals'!$G$8:$G$10000,MID(N15,1,3)*1,'[1]1_group_totals'!$H$8:$H$10000,"="&amp;S15,'[1]1_group_totals'!$I$8:$I$10000,"="&amp;T15)+SUMIFS('[1]1_group_totals'!$Q$8:$Q$10000,'[1]1_group_totals'!$C$8:$C$10000,I15,'[1]1_group_totals'!$F$8:$F$10000,adj_location_group_id,'[1]1_group_totals'!$G$8:$G$10000,MID(N15,1,3)*1,'[1]1_group_totals'!$H$8:$H$10000,"="&amp;S15,'[1]1_group_totals'!$I$8:$I$10000,"="&amp;T15))+(SUMIFS('[1]1_group_totals'!$L$8:$L$10000,'[1]1_group_totals'!$C$8:$C$10000,I15,'[1]1_group_totals'!$F$8:$F$10000,adj_location_group_id,'[1]1_group_totals'!$G$8:$G$10000,MID(N15,1,3)*1,'[1]1_group_totals'!$H$8:$H$10000,"="&amp;S15,'[1]1_group_totals'!$I$8:$I$10000,"="&amp;T15)+SUMIFS('[1]1_group_totals'!$M$8:$M$10000,'[1]1_group_totals'!$C$8:$C$10000,I15,'[1]1_group_totals'!$F$8:$F$10000,adj_location_group_id,'[1]1_group_totals'!$G$8:$G$10000,MID(N15,1,3)*1,'[1]1_group_totals'!$H$8:$H$10000,"="&amp;S15,'[1]1_group_totals'!$I$8:$I$10000,"="&amp;T15)+SUMIFS('[1]1_group_totals'!$O$8:$O$10000,'[1]1_group_totals'!$C$8:$C$10000,I15,'[1]1_group_totals'!$F$8:$F$10000,adj_location_group_id,'[1]1_group_totals'!$G$8:$G$10000,MID(N15,1,3)*1,'[1]1_group_totals'!$H$8:$H$10000,"="&amp;S15,'[1]1_group_totals'!$I$8:$I$10000,"="&amp;T15)+SUMIFS('[1]1_group_totals'!$R$8:$R$10000,'[1]1_group_totals'!$C$8:$C$10000,I15,'[1]1_group_totals'!$F$8:$F$10000,adj_location_group_id,'[1]1_group_totals'!$G$8:$G$10000,MID(N15,1,3)*1,'[1]1_group_totals'!$H$8:$H$10000,"="&amp;S15,'[1]1_group_totals'!$I$8:$I$10000,"="&amp;T15)))</f>
        <v/>
      </c>
      <c r="AN15" s="270" t="str">
        <f>IF(L15="","",(SUMIFS('[1]1_inventory_totals'!$I$8:$I$10000,'[1]1_inventory_totals'!$C$8:$C$10000,I15,'[1]1_inventory_totals'!$F$8:$F$10000,"="&amp;S15,'[1]1_inventory_totals'!$G$8:$G$10000,"="&amp;T15)+SUMIFS('[1]1_inventory_totals'!$N$8:$N$10000,'[1]1_inventory_totals'!$C$8:$C$10000,I15,'[1]1_inventory_totals'!$F$8:$F$10000,"="&amp;S15,'[1]1_inventory_totals'!$G$8:$G$10000,"="&amp;T15)+SUMIFS('[1]1_inventory_totals'!$P$8:$P$10000,'[1]1_inventory_totals'!$C$8:$C$10000,I15,'[1]1_inventory_totals'!$F$8:$F$10000,"="&amp;S15,'[1]1_inventory_totals'!$G$8:$G$10000,"="&amp;T15)+SUMIFS('[1]1_inventory_totals'!$Q$8:$Q$10000,'[1]1_inventory_totals'!$C$8:$C$10000,I15,'[1]1_inventory_totals'!$F$8:$F$10000,"="&amp;S15,'[1]1_inventory_totals'!$G$8:$G$10000,"="&amp;T15)+SUMIFS('[1]1_inventory_totals'!$R$8:$R$10000,'[1]1_inventory_totals'!$C$8:$C$10000,I15,'[1]1_inventory_totals'!$F$8:$F$10000,"="&amp;S15,'[1]1_inventory_totals'!$G$8:$G$10000,"="&amp;T15))+(SUMIFS('[1]1_inventory_totals'!$J$8:$J$10000,'[1]1_inventory_totals'!$C$8:$C$10000,I15,'[1]1_inventory_totals'!$F$8:$F$10000,"="&amp;S15,'[1]1_inventory_totals'!$G$8:$G$10000,"="&amp;T15)+SUMIFS('[1]1_inventory_totals'!$K$8:$K$10000,'[1]1_inventory_totals'!$C$8:$C$10000,I15,'[1]1_inventory_totals'!$F$8:$F$10000,"="&amp;S15,'[1]1_inventory_totals'!$G$8:$G$10000,"="&amp;T15)+SUMIFS('[1]1_inventory_totals'!$L$8:$L$10000,'[1]1_inventory_totals'!$C$8:$C$10000,I15,'[1]1_inventory_totals'!$F$8:$F$10000,"="&amp;S15,'[1]1_inventory_totals'!$G$8:$G$10000,"="&amp;T15)+SUMIFS('[1]1_inventory_totals'!$M$8:$M$10000,'[1]1_inventory_totals'!$C$8:$C$10000,I15,'[1]1_inventory_totals'!$F$8:$F$10000,"="&amp;S15,'[1]1_inventory_totals'!$G$8:$G$10000,"="&amp;T15)+SUMIFS('[1]1_inventory_totals'!$O$8:$O$10000,'[1]1_inventory_totals'!$C$8:$C$10000,I15,'[1]1_inventory_totals'!$F$8:$F$10000,"="&amp;S15,'[1]1_inventory_totals'!$G$8:$G$10000,"="&amp;T15)+SUMIFS('[1]1_inventory_totals'!$S$8:$S$10000,'[1]1_inventory_totals'!$C$8:$C$10000,I15,'[1]1_inventory_totals'!$F$8:$F$10000,"="&amp;S15,'[1]1_inventory_totals'!$G$8:$G$10000,"="&amp;T15)))</f>
        <v/>
      </c>
      <c r="AO15" s="270" t="str">
        <f>IF(L15="","",(SUMIFS('[1]2_inventory_totals'!$I$8:$I$10000,'[1]2_inventory_totals'!$C$8:$C$10000,I15,'[1]2_inventory_totals'!$F$8:$F$10000,"="&amp;S15,'[1]2_inventory_totals'!$G$8:$G$10000,"="&amp;T15)+SUMIFS('[1]2_inventory_totals'!$N$8:$N$10000,'[1]2_inventory_totals'!$C$8:$C$10000,I15,'[1]2_inventory_totals'!$F$8:$F$10000,"="&amp;S15,'[1]2_inventory_totals'!$G$8:$G$10000,"="&amp;T15)+SUMIFS('[1]2_inventory_totals'!$P$8:$P$10000,'[1]2_inventory_totals'!$C$8:$C$10000,I15,'[1]2_inventory_totals'!$F$8:$F$10000,"="&amp;S15,'[1]2_inventory_totals'!$G$8:$G$10000,"="&amp;T15)+SUMIFS('[1]2_inventory_totals'!$Q$8:$Q$10000,'[1]2_inventory_totals'!$C$8:$C$10000,I15,'[1]2_inventory_totals'!$F$8:$F$10000,"="&amp;S15,'[1]2_inventory_totals'!$G$8:$G$10000,"="&amp;T15)+SUMIFS('[1]2_inventory_totals'!$R$8:$R$10000,'[1]2_inventory_totals'!$C$8:$C$10000,I15,'[1]2_inventory_totals'!$F$8:$F$10000,"="&amp;S15,'[1]2_inventory_totals'!$G$8:$G$10000,"="&amp;T15))+(SUMIFS('[1]2_inventory_totals'!$J$8:$J$10000,'[1]2_inventory_totals'!$C$8:$C$10000,I15,'[1]2_inventory_totals'!$F$8:$F$10000,"="&amp;S15,'[1]2_inventory_totals'!$G$8:$G$10000,"="&amp;T15)+SUMIFS('[1]2_inventory_totals'!$K$8:$K$10000,'[1]2_inventory_totals'!$C$8:$C$10000,I15,'[1]2_inventory_totals'!$F$8:$F$10000,"="&amp;S15,'[1]2_inventory_totals'!$G$8:$G$10000,"="&amp;T15)+SUMIFS('[1]2_inventory_totals'!$L$8:$L$10000,'[1]2_inventory_totals'!$C$8:$C$10000,I15,'[1]2_inventory_totals'!$F$8:$F$10000,"="&amp;S15,'[1]2_inventory_totals'!$G$8:$G$10000,"="&amp;T15)+SUMIFS('[1]2_inventory_totals'!$M$8:$M$10000,'[1]2_inventory_totals'!$C$8:$C$10000,I15,'[1]2_inventory_totals'!$F$8:$F$10000,"="&amp;S15,'[1]2_inventory_totals'!$G$8:$G$10000,"="&amp;T15)+SUMIFS('[1]2_inventory_totals'!$O$8:$O$10000,'[1]2_inventory_totals'!$C$8:$C$10000,I15,'[1]2_inventory_totals'!$F$8:$F$10000,"="&amp;S15,'[1]2_inventory_totals'!$G$8:$G$10000,"="&amp;T15)+SUMIFS('[1]2_inventory_totals'!$S$8:$S$10000,'[1]2_inventory_totals'!$C$8:$C$10000,I15,'[1]2_inventory_totals'!$F$8:$F$10000,"="&amp;S15,'[1]2_inventory_totals'!$G$8:$G$10000,"="&amp;T15)))</f>
        <v/>
      </c>
      <c r="AP15" s="954"/>
    </row>
    <row r="16" spans="1:74" ht="27" customHeight="1" thickBot="1">
      <c r="A16" s="923"/>
      <c r="B16" s="1172"/>
      <c r="C16" s="1188" t="s">
        <v>1990</v>
      </c>
      <c r="D16" s="1193"/>
      <c r="F16" s="1192"/>
      <c r="I16" s="1610" t="str">
        <f t="shared" si="5"/>
        <v/>
      </c>
      <c r="J16" s="270" t="str">
        <f t="shared" si="6"/>
        <v/>
      </c>
      <c r="K16" s="813" t="str">
        <f t="shared" si="0"/>
        <v/>
      </c>
      <c r="L16" s="1184"/>
      <c r="M16" s="1185"/>
      <c r="N16" s="1186"/>
      <c r="O16" s="1534"/>
      <c r="P16" s="336" t="str">
        <f t="shared" si="7"/>
        <v/>
      </c>
      <c r="Q16" s="336" t="str">
        <f>IF(L16="","",IF(AD16=0,0,(SUMIFS('[1]1_group_total_details'!$I$8:$I$10000,'[1]1_group_total_details'!$C$8:$C$10000,I16,'[1]1_group_total_details'!$F$8:$F$10000,adj_location_group_id,'[1]1_group_total_details'!$G$8:$G$10000,MID(N16,1,3)*1,'[1]1_group_total_details'!$H$8:$H$10000,"&lt;="&amp;adj_date)+SUMIFS('[1]1_group_total_details'!$L$8:$L$10000,'[1]1_group_total_details'!$C$8:$C$10000,I16,'[1]1_group_total_details'!$F$8:$F$10000,adj_location_group_id,'[1]1_group_total_details'!$G$8:$G$10000,MID(N16,1,3)*1,'[1]1_group_total_details'!$H$8:$H$10000,"&lt;="&amp;adj_date)+SUMIFS('[1]1_group_total_details'!$N$8:$N$10000,'[1]1_group_total_details'!$C$8:$C$10000,I16,'[1]1_group_total_details'!$F$8:$F$10000,adj_location_group_id,'[1]1_group_total_details'!$G$8:$G$10000,MID(N16,1,3)*1,'[1]1_group_total_details'!$H$8:$H$10000,"&lt;="&amp;adj_date)+SUMIFS('[1]1_group_total_details'!$O$8:$O$10000,'[1]1_group_total_details'!$C$8:$C$10000,I16,'[1]1_group_total_details'!$F$8:$F$10000,adj_location_group_id,'[1]1_group_total_details'!$G$8:$G$10000,MID(N16,1,3)*1,'[1]1_group_total_details'!$H$8:$H$10000,"&lt;="&amp;adj_date))-(SUMIFS('[1]1_group_total_details'!$J$8:$J$10000,'[1]1_group_total_details'!$C$8:$C$10000,I16,'[1]1_group_total_details'!$F$8:$F$10000,adj_location_group_id,'[1]1_group_total_details'!$G$8:$G$10000,MID(N16,1,3)*1,'[1]1_group_total_details'!$H$8:$H$10000,"&lt;="&amp;adj_date)+SUMIFS('[1]1_group_total_details'!$K$8:$K$10000,'[1]1_group_total_details'!$C$8:$C$10000,I16,'[1]1_group_total_details'!$F$8:$F$10000,adj_location_group_id,'[1]1_group_total_details'!$G$8:$G$10000,MID(N16,1,3)*1,'[1]1_group_total_details'!$H$8:$H$10000,"&lt;="&amp;adj_date)+SUMIFS('[1]1_group_total_details'!$M$8:$M$10000,'[1]1_group_total_details'!$C$8:$C$10000,I16,'[1]1_group_total_details'!$F$8:$F$10000,adj_location_group_id,'[1]1_group_total_details'!$G$8:$G$10000,MID(N16,1,3)*1,'[1]1_group_total_details'!$H$8:$H$10000,"&lt;="&amp;adj_date)+SUMIFS('[1]1_group_total_details'!$P$8:$P$10000,'[1]1_group_total_details'!$C$8:$C$10000,I16,'[1]1_group_total_details'!$F$8:$F$10000,adj_location_group_id,'[1]1_group_total_details'!$G$8:$G$10000,MID(N16,1,3)*1,'[1]1_group_total_details'!$H$8:$H$10000,"&lt;="&amp;adj_date))))</f>
        <v/>
      </c>
      <c r="R16" s="1187"/>
      <c r="S16" s="1186"/>
      <c r="T16" s="1186"/>
      <c r="U16" s="1184"/>
      <c r="V16" s="270" t="str" cm="1">
        <f t="array" ref="V16">IF(L16="","",IF(M16=AE16,1,Slookup(MID(AE16,1,3)*1,UomConversion!$D$8:$J$500,5,UomConversion!$E$8:$E$500,MID(M16,1,3)*1,UomConversion!$J$8:$J$500,1)))</f>
        <v/>
      </c>
      <c r="W16" s="270" t="str">
        <f t="shared" si="8"/>
        <v/>
      </c>
      <c r="X16" s="1795" t="str">
        <f t="shared" si="9"/>
        <v/>
      </c>
      <c r="Y16" s="1795" t="str">
        <f t="shared" si="10"/>
        <v/>
      </c>
      <c r="Z16" s="270" t="str">
        <f>IF(I16="","",IF(ISNA(MATCH(I16,IF(MID(N16,1,3)*1=1,'[1]1_inventory_totals'!$C$8:$C$10000,IF(MID(N16,1,3)*1=2,'[1]2_inventory_totals'!$C$8:$C$10000,"")),0)),0,IF(AL16&gt;0,1,0)))</f>
        <v/>
      </c>
      <c r="AA16" s="270" t="str">
        <f>IF(L16="","",IF(MID(N16,1,3)*1=1,SUMIFS('[1]1_inventory_total_details'!$J$8:$J$10000,'[1]1_inventory_total_details'!$C$8:$C$10000,I16,'[1]1_inventory_total_details'!$F$8:$F$10000,MID(N16,1,3)*1,'[1]1_inventory_total_details'!$G$8:$G$10000,"="&amp;S16,'[1]1_inventory_total_details'!$H$8:$H$10000,"="&amp;T16,'[1]1_inventory_total_details'!$I$8:$I$10000,"="&amp;adj_date)+SUMIFS('[1]1_inventory_total_details'!$M$8:$M$10000,'[1]1_inventory_total_details'!$C$8:$C$10000,I16,'[1]1_inventory_total_details'!$F$8:$F$10000,MID(N16,1,3)*1,'[1]1_inventory_total_details'!$G$8:$G$10000,"="&amp;S16,'[1]1_inventory_total_details'!$H$8:$H$10000,"="&amp;T16,'[1]1_inventory_total_details'!$I$8:$I$10000,"="&amp;adj_date)+SUMIFS('[1]1_inventory_total_details'!$K$8:$K$10000,'[1]1_inventory_total_details'!$C$8:$C$10000,I16,'[1]1_inventory_total_details'!$F$8:$F$10000,MID(N16,1,3)*1,'[1]1_inventory_total_details'!$G$8:$G$10000,"="&amp;S16,'[1]1_inventory_total_details'!$H$8:$H$10000,"="&amp;T16,'[1]1_inventory_total_details'!$I$8:$I$10000,"="&amp;adj_date)+SUMIFS('[1]1_inventory_total_details'!$L$8:$L$10000,'[1]1_inventory_total_details'!$C$8:$C$10000,I16,'[1]1_inventory_total_details'!$F$8:$F$10000,MID(N16,1,3)*1,'[1]1_inventory_total_details'!$G$8:$G$10000,"="&amp;S16,'[1]1_inventory_total_details'!$H$8:$H$10000,"="&amp;T16,'[1]1_inventory_total_details'!$I$8:$I$10000,"="&amp;adj_date),SUMIFS('[1]2_inventory_total_details'!$J$8:$J$10000,'[1]2_inventory_total_details'!$C$8:$C$10000,I16,'[1]2_inventory_total_details'!$F$8:$F$10000,MID(N16,1,3)*1,'[1]2_inventory_total_details'!$G$8:$G$10000,"="&amp;S16,'[1]2_inventory_total_details'!$H$8:$H$10000,"="&amp;T16,'[1]2_inventory_total_details'!$I$8:$I$10000,"="&amp;adj_date)+SUMIFS('[1]2_inventory_total_details'!$M$8:$M$10000,'[1]1_inventory_total_details'!$C$8:$C$10000,I16,'[1]2_inventory_total_details'!$F$8:$F$10000,MID(N16,1,3)*1,'[1]2_inventory_total_details'!$G$8:$G$10000,"="&amp;S16,'[1]2_inventory_total_details'!$H$8:$H$10000,"="&amp;T16,'[1]2_inventory_total_details'!$I$8:$I$10000,"="&amp;adj_date)+SUMIFS('[1]2_inventory_total_details'!$K$8:$K$10000,'[1]2_inventory_total_details'!$C$8:$C$10000,I16,'[1]2_inventory_total_details'!$F$8:$F$10000,MID(N16,1,3)*1,'[1]2_inventory_total_details'!$G$8:$G$10000,"="&amp;S16,'[1]2_inventory_total_details'!$H$8:$H$10000,"="&amp;T16,'[1]2_inventory_total_details'!$I$8:$I$10000,"="&amp;adj_date)+SUMIFS('[1]2_inventory_total_details'!$L$8:$L$10000,'[1]2_inventory_total_details'!$C$8:$C$10000,I16,'[1]2_inventory_total_details'!$F$8:$F$10000,MID(N16,1,3)*1,'[1]2_inventory_total_details'!$G$8:$G$10000,"="&amp;S16,'[1]2_inventory_total_details'!$H$8:$H$10000,"="&amp;T16,'[1]2_inventory_total_details'!$I$8:$I$10000,"="&amp;adj_date)))</f>
        <v/>
      </c>
      <c r="AB16" s="270" t="str">
        <f>IF(L16="","",IF(MID(N16,1,3)*1=1,SUMIFS('[1]1_inventory_total_details'!$J$8:$J$10000,'[1]1_inventory_total_details'!$C$8:$C$10000,I16,'[1]1_inventory_total_details'!$F$8:$F$10000,MID(N16,1,3)*1,'[1]1_inventory_total_details'!$G$8:$G$10000,"="&amp;S16,'[1]1_inventory_total_details'!$H$8:$H$10000,"="&amp;T16,'[1]1_inventory_total_details'!$I$8:$I$10000,"="&amp;adj_date)+SUMIFS('[1]1_inventory_total_details'!$M$8:$M$10000,'[1]1_inventory_total_details'!$C$8:$C$10000,I16,'[1]1_inventory_total_details'!$F$8:$F$10000,MID(N16,1,3)*1,'[1]1_inventory_total_details'!$G$8:$G$10000,"="&amp;S16,'[1]1_inventory_total_details'!$H$8:$H$10000,"="&amp;T16,'[1]1_inventory_total_details'!$I$8:$I$10000,"="&amp;adj_date)+SUMIFS('[1]1_inventory_total_details'!$K$8:$K$10000,'[1]1_inventory_total_details'!$C$8:$C$10000,I16,'[1]1_inventory_total_details'!$F$8:$F$10000,MID(N16,1,3)*1,'[1]1_inventory_total_details'!$G$8:$G$10000,"="&amp;S16,'[1]1_inventory_total_details'!$H$8:$H$10000,"="&amp;T16,'[1]1_inventory_total_details'!$I$8:$I$10000,"="&amp;adj_date)+SUMIFS('[1]1_inventory_total_details'!$L$8:$L$10000,'[1]1_inventory_total_details'!$C$8:$C$10000,I16,'[1]1_inventory_total_details'!$F$8:$F$10000,MID(N16,1,3)*1,'[1]1_inventory_total_details'!$G$8:$G$10000,"="&amp;S16,'[1]1_inventory_total_details'!$H$8:$H$10000,"="&amp;T16,'[1]1_inventory_total_details'!$I$8:$I$10000,"="&amp;adj_date),SUMIFS('[1]2_inventory_total_details'!$J$8:$J$10000,'[1]2_inventory_total_details'!$C$8:$C$10000,I16,'[1]2_inventory_total_details'!$F$8:$F$10000,MID(N16,1,3)*1,'[1]2_inventory_total_details'!$G$8:$G$10000,"="&amp;S16,'[1]2_inventory_total_details'!$H$8:$H$10000,"="&amp;T16,'[1]2_inventory_total_details'!$I$8:$I$10000,"="&amp;adj_date)+SUMIFS('[1]2_inventory_total_details'!$M$8:$M$10000,'[1]1_inventory_total_details'!$C$8:$C$10000,I16,'[1]2_inventory_total_details'!$F$8:$F$10000,MID(N16,1,3)*1,'[1]2_inventory_total_details'!$G$8:$G$10000,"="&amp;S16,'[1]2_inventory_total_details'!$H$8:$H$10000,"="&amp;T16,'[1]2_inventory_total_details'!$I$8:$I$10000,"="&amp;adj_date)+SUMIFS('[1]2_inventory_total_details'!$K$8:$K$10000,'[1]2_inventory_total_details'!$C$8:$C$10000,I16,'[1]2_inventory_total_details'!$F$8:$F$10000,MID(N16,1,3)*1,'[1]2_inventory_total_details'!$G$8:$G$10000,"="&amp;S16,'[1]2_inventory_total_details'!$H$8:$H$10000,"="&amp;T16,'[1]2_inventory_total_details'!$I$8:$I$10000,"="&amp;adj_date)+SUMIFS('[1]2_inventory_total_details'!$L$8:$L$10000,'[1]2_inventory_total_details'!$C$8:$C$10000,I16,'[1]2_inventory_total_details'!$F$8:$F$10000,MID(N16,1,3)*1,'[1]2_inventory_total_details'!$G$8:$G$10000,"="&amp;S16,'[1]2_inventory_total_details'!$H$8:$H$10000,"="&amp;T16,'[1]2_inventory_total_details'!$I$8:$I$10000,"="&amp;adj_date)))</f>
        <v/>
      </c>
      <c r="AC16" s="270" t="str">
        <f>IF(L16="","",IF(MID(N16,1,3)*1=1,SUMIFS('[1]1_inventory_total_details'!$J$8:$J$10000,'[1]1_inventory_total_details'!$C$8:$C$10000,I16,'[1]1_inventory_total_details'!$F$8:$F$10000,MID(N16,1,3)*1,'[1]1_inventory_total_details'!$G$8:$G$10000,"="&amp;S16,'[1]1_inventory_total_details'!$H$8:$H$10000,"="&amp;T16,'[1]1_inventory_total_details'!$I$8:$I$10000,"="&amp;adj_date)+SUMIFS('[1]1_inventory_total_details'!$M$8:$M$10000,'[1]1_inventory_total_details'!$C$8:$C$10000,I16,'[1]1_inventory_total_details'!$F$8:$F$10000,MID(N16,1,3)*1,'[1]1_inventory_total_details'!$G$8:$G$10000,"="&amp;S16,'[1]1_inventory_total_details'!$H$8:$H$10000,"="&amp;T16,'[1]1_inventory_total_details'!$I$8:$I$10000,"="&amp;adj_date)+SUMIFS('[1]1_inventory_total_details'!$K$8:$K$10000,'[1]1_inventory_total_details'!$C$8:$C$10000,I16,'[1]1_inventory_total_details'!$F$8:$F$10000,MID(N16,1,3)*1,'[1]1_inventory_total_details'!$G$8:$G$10000,"="&amp;S16,'[1]1_inventory_total_details'!$H$8:$H$10000,"="&amp;T16,'[1]1_inventory_total_details'!$I$8:$I$10000,"="&amp;adj_date)+SUMIFS('[1]1_inventory_total_details'!$L$8:$L$10000,'[1]1_inventory_total_details'!$C$8:$C$10000,I16,'[1]1_inventory_total_details'!$F$8:$F$10000,MID(N16,1,3)*1,'[1]1_inventory_total_details'!$G$8:$G$10000,"="&amp;S16,'[1]1_inventory_total_details'!$H$8:$H$10000,"="&amp;T16,'[1]1_inventory_total_details'!$I$8:$I$10000,"="&amp;adj_date),SUMIFS('[1]2_inventory_total_details'!$J$8:$J$10000,'[1]2_inventory_total_details'!$C$8:$C$10000,I16,'[1]2_inventory_total_details'!$F$8:$F$10000,MID(N16,1,3)*1,'[1]2_inventory_total_details'!$G$8:$G$10000,"="&amp;S16,'[1]2_inventory_total_details'!$H$8:$H$10000,"="&amp;T16,'[1]2_inventory_total_details'!$I$8:$I$10000,"="&amp;adj_date)+SUMIFS('[1]2_inventory_total_details'!$M$8:$M$10000,'[1]1_inventory_total_details'!$C$8:$C$10000,I16,'[1]2_inventory_total_details'!$F$8:$F$10000,MID(N16,1,3)*1,'[1]2_inventory_total_details'!$G$8:$G$10000,"="&amp;S16,'[1]2_inventory_total_details'!$H$8:$H$10000,"="&amp;T16,'[1]2_inventory_total_details'!$I$8:$I$10000,"="&amp;adj_date)+SUMIFS('[1]2_inventory_total_details'!$K$8:$K$10000,'[1]2_inventory_total_details'!$C$8:$C$10000,I16,'[1]2_inventory_total_details'!$F$8:$F$10000,MID(N16,1,3)*1,'[1]2_inventory_total_details'!$G$8:$G$10000,"="&amp;S16,'[1]2_inventory_total_details'!$H$8:$H$10000,"="&amp;T16,'[1]2_inventory_total_details'!$I$8:$I$10000,"="&amp;adj_date)+SUMIFS('[1]2_inventory_total_details'!$L$8:$L$10000,'[1]2_inventory_total_details'!$C$8:$C$10000,I16,'[1]2_inventory_total_details'!$F$8:$F$10000,MID(N16,1,3)*1,'[1]2_inventory_total_details'!$G$8:$G$10000,"="&amp;S16,'[1]2_inventory_total_details'!$H$8:$H$10000,"="&amp;T16,'[1]2_inventory_total_details'!$I$8:$I$10000,"="&amp;adj_date)))</f>
        <v/>
      </c>
      <c r="AD16" s="270" t="str">
        <f>IF(L16="","",SUMIFS('[1]1_group_totals'!$J$8:$J$10000,'[1]1_group_totals'!$C$8:$C$10000,I16,'[1]1_group_totals'!$F$8:$F$10000,adj_location_group_id,'[1]1_group_totals'!$G$8:$G$10000,MID(N16,1,3)*1,'[1]1_group_totals'!$H$8:$H$10000,"="&amp;S16,'[1]1_group_totals'!$I$8:$I$10000,"="&amp;T16))</f>
        <v/>
      </c>
      <c r="AE16" s="1796" t="str">
        <f t="shared" si="11"/>
        <v/>
      </c>
      <c r="AF16" s="1797" t="str">
        <f>IF(ISNA(MATCH(MID(AE16,1,3)*1,UomConversion!$D$8:$D$500,0)),"",IF(AJ16&lt;&gt;"",AJ16,""))</f>
        <v/>
      </c>
      <c r="AG16" s="1797" t="str">
        <f>IF(AND(AH16&gt;0,COUNTIFS(UomConversion!$D$8:$D$500,MID(AE16,1,3)*1,UomConversion!$J$8:$J$500,1)&gt;1),TEXT(AH16,"000")&amp;"."&amp;VLOOKUP(AH16,uom_list,5,FALSE),"")</f>
        <v/>
      </c>
      <c r="AH16" s="270" t="str">
        <f t="shared" si="12"/>
        <v/>
      </c>
      <c r="AI16" s="270" t="str">
        <f t="shared" si="13"/>
        <v/>
      </c>
      <c r="AJ16" s="270" t="str">
        <f t="shared" si="14"/>
        <v/>
      </c>
      <c r="AK16" s="270" t="str" cm="1">
        <f t="array" ref="AK16">IF(L16="","",Slookup(MID(AE16,1,3)*1,UomConversion!$D$8:$J$500,2,UomConversion!$I$8:$I$500,1,UomConversion!$J$8:$J$500,1))</f>
        <v/>
      </c>
      <c r="AL16" s="270" t="str">
        <f t="shared" si="15"/>
        <v/>
      </c>
      <c r="AM16" s="270" t="str">
        <f>IF(L16="","",(SUMIFS('[1]1_group_totals'!$K$8:$K$10000,'[1]1_group_totals'!$C$8:$C$10000,I16,'[1]1_group_totals'!$F$8:$F$10000,adj_location_group_id,'[1]1_group_totals'!$G$8:$G$10000,MID(N16,1,3)*1,'[1]1_group_totals'!$H$8:$H$10000,"="&amp;S16,'[1]1_group_totals'!$I$8:$I$10000,"="&amp;T16)+SUMIFS('[1]1_group_totals'!$N$8:$N$10000,'[1]1_group_totals'!$C$8:$C$10000,I16,'[1]1_group_totals'!$F$8:$F$10000,adj_location_group_id,'[1]1_group_totals'!$G$8:$G$10000,MID(N16,1,3)*1,'[1]1_group_totals'!$H$8:$H$10000,"="&amp;S16,'[1]1_group_totals'!$I$8:$I$10000,"="&amp;T16)+SUMIFS('[1]1_group_totals'!$P$8:$P$10000,'[1]1_group_totals'!$C$8:$C$10000,I16,'[1]1_group_totals'!$F$8:$F$10000,adj_location_group_id,'[1]1_group_totals'!$G$8:$G$10000,MID(N16,1,3)*1,'[1]1_group_totals'!$H$8:$H$10000,"="&amp;S16,'[1]1_group_totals'!$I$8:$I$10000,"="&amp;T16)+SUMIFS('[1]1_group_totals'!$Q$8:$Q$10000,'[1]1_group_totals'!$C$8:$C$10000,I16,'[1]1_group_totals'!$F$8:$F$10000,adj_location_group_id,'[1]1_group_totals'!$G$8:$G$10000,MID(N16,1,3)*1,'[1]1_group_totals'!$H$8:$H$10000,"="&amp;S16,'[1]1_group_totals'!$I$8:$I$10000,"="&amp;T16))+(SUMIFS('[1]1_group_totals'!$L$8:$L$10000,'[1]1_group_totals'!$C$8:$C$10000,I16,'[1]1_group_totals'!$F$8:$F$10000,adj_location_group_id,'[1]1_group_totals'!$G$8:$G$10000,MID(N16,1,3)*1,'[1]1_group_totals'!$H$8:$H$10000,"="&amp;S16,'[1]1_group_totals'!$I$8:$I$10000,"="&amp;T16)+SUMIFS('[1]1_group_totals'!$M$8:$M$10000,'[1]1_group_totals'!$C$8:$C$10000,I16,'[1]1_group_totals'!$F$8:$F$10000,adj_location_group_id,'[1]1_group_totals'!$G$8:$G$10000,MID(N16,1,3)*1,'[1]1_group_totals'!$H$8:$H$10000,"="&amp;S16,'[1]1_group_totals'!$I$8:$I$10000,"="&amp;T16)+SUMIFS('[1]1_group_totals'!$O$8:$O$10000,'[1]1_group_totals'!$C$8:$C$10000,I16,'[1]1_group_totals'!$F$8:$F$10000,adj_location_group_id,'[1]1_group_totals'!$G$8:$G$10000,MID(N16,1,3)*1,'[1]1_group_totals'!$H$8:$H$10000,"="&amp;S16,'[1]1_group_totals'!$I$8:$I$10000,"="&amp;T16)+SUMIFS('[1]1_group_totals'!$R$8:$R$10000,'[1]1_group_totals'!$C$8:$C$10000,I16,'[1]1_group_totals'!$F$8:$F$10000,adj_location_group_id,'[1]1_group_totals'!$G$8:$G$10000,MID(N16,1,3)*1,'[1]1_group_totals'!$H$8:$H$10000,"="&amp;S16,'[1]1_group_totals'!$I$8:$I$10000,"="&amp;T16)))</f>
        <v/>
      </c>
      <c r="AN16" s="270" t="str">
        <f>IF(L16="","",(SUMIFS('[1]1_inventory_totals'!$I$8:$I$10000,'[1]1_inventory_totals'!$C$8:$C$10000,I16,'[1]1_inventory_totals'!$F$8:$F$10000,"="&amp;S16,'[1]1_inventory_totals'!$G$8:$G$10000,"="&amp;T16)+SUMIFS('[1]1_inventory_totals'!$N$8:$N$10000,'[1]1_inventory_totals'!$C$8:$C$10000,I16,'[1]1_inventory_totals'!$F$8:$F$10000,"="&amp;S16,'[1]1_inventory_totals'!$G$8:$G$10000,"="&amp;T16)+SUMIFS('[1]1_inventory_totals'!$P$8:$P$10000,'[1]1_inventory_totals'!$C$8:$C$10000,I16,'[1]1_inventory_totals'!$F$8:$F$10000,"="&amp;S16,'[1]1_inventory_totals'!$G$8:$G$10000,"="&amp;T16)+SUMIFS('[1]1_inventory_totals'!$Q$8:$Q$10000,'[1]1_inventory_totals'!$C$8:$C$10000,I16,'[1]1_inventory_totals'!$F$8:$F$10000,"="&amp;S16,'[1]1_inventory_totals'!$G$8:$G$10000,"="&amp;T16)+SUMIFS('[1]1_inventory_totals'!$R$8:$R$10000,'[1]1_inventory_totals'!$C$8:$C$10000,I16,'[1]1_inventory_totals'!$F$8:$F$10000,"="&amp;S16,'[1]1_inventory_totals'!$G$8:$G$10000,"="&amp;T16))+(SUMIFS('[1]1_inventory_totals'!$J$8:$J$10000,'[1]1_inventory_totals'!$C$8:$C$10000,I16,'[1]1_inventory_totals'!$F$8:$F$10000,"="&amp;S16,'[1]1_inventory_totals'!$G$8:$G$10000,"="&amp;T16)+SUMIFS('[1]1_inventory_totals'!$K$8:$K$10000,'[1]1_inventory_totals'!$C$8:$C$10000,I16,'[1]1_inventory_totals'!$F$8:$F$10000,"="&amp;S16,'[1]1_inventory_totals'!$G$8:$G$10000,"="&amp;T16)+SUMIFS('[1]1_inventory_totals'!$L$8:$L$10000,'[1]1_inventory_totals'!$C$8:$C$10000,I16,'[1]1_inventory_totals'!$F$8:$F$10000,"="&amp;S16,'[1]1_inventory_totals'!$G$8:$G$10000,"="&amp;T16)+SUMIFS('[1]1_inventory_totals'!$M$8:$M$10000,'[1]1_inventory_totals'!$C$8:$C$10000,I16,'[1]1_inventory_totals'!$F$8:$F$10000,"="&amp;S16,'[1]1_inventory_totals'!$G$8:$G$10000,"="&amp;T16)+SUMIFS('[1]1_inventory_totals'!$O$8:$O$10000,'[1]1_inventory_totals'!$C$8:$C$10000,I16,'[1]1_inventory_totals'!$F$8:$F$10000,"="&amp;S16,'[1]1_inventory_totals'!$G$8:$G$10000,"="&amp;T16)+SUMIFS('[1]1_inventory_totals'!$S$8:$S$10000,'[1]1_inventory_totals'!$C$8:$C$10000,I16,'[1]1_inventory_totals'!$F$8:$F$10000,"="&amp;S16,'[1]1_inventory_totals'!$G$8:$G$10000,"="&amp;T16)))</f>
        <v/>
      </c>
      <c r="AO16" s="270" t="str">
        <f>IF(L16="","",(SUMIFS('[1]2_inventory_totals'!$I$8:$I$10000,'[1]2_inventory_totals'!$C$8:$C$10000,I16,'[1]2_inventory_totals'!$F$8:$F$10000,"="&amp;S16,'[1]2_inventory_totals'!$G$8:$G$10000,"="&amp;T16)+SUMIFS('[1]2_inventory_totals'!$N$8:$N$10000,'[1]2_inventory_totals'!$C$8:$C$10000,I16,'[1]2_inventory_totals'!$F$8:$F$10000,"="&amp;S16,'[1]2_inventory_totals'!$G$8:$G$10000,"="&amp;T16)+SUMIFS('[1]2_inventory_totals'!$P$8:$P$10000,'[1]2_inventory_totals'!$C$8:$C$10000,I16,'[1]2_inventory_totals'!$F$8:$F$10000,"="&amp;S16,'[1]2_inventory_totals'!$G$8:$G$10000,"="&amp;T16)+SUMIFS('[1]2_inventory_totals'!$Q$8:$Q$10000,'[1]2_inventory_totals'!$C$8:$C$10000,I16,'[1]2_inventory_totals'!$F$8:$F$10000,"="&amp;S16,'[1]2_inventory_totals'!$G$8:$G$10000,"="&amp;T16)+SUMIFS('[1]2_inventory_totals'!$R$8:$R$10000,'[1]2_inventory_totals'!$C$8:$C$10000,I16,'[1]2_inventory_totals'!$F$8:$F$10000,"="&amp;S16,'[1]2_inventory_totals'!$G$8:$G$10000,"="&amp;T16))+(SUMIFS('[1]2_inventory_totals'!$J$8:$J$10000,'[1]2_inventory_totals'!$C$8:$C$10000,I16,'[1]2_inventory_totals'!$F$8:$F$10000,"="&amp;S16,'[1]2_inventory_totals'!$G$8:$G$10000,"="&amp;T16)+SUMIFS('[1]2_inventory_totals'!$K$8:$K$10000,'[1]2_inventory_totals'!$C$8:$C$10000,I16,'[1]2_inventory_totals'!$F$8:$F$10000,"="&amp;S16,'[1]2_inventory_totals'!$G$8:$G$10000,"="&amp;T16)+SUMIFS('[1]2_inventory_totals'!$L$8:$L$10000,'[1]2_inventory_totals'!$C$8:$C$10000,I16,'[1]2_inventory_totals'!$F$8:$F$10000,"="&amp;S16,'[1]2_inventory_totals'!$G$8:$G$10000,"="&amp;T16)+SUMIFS('[1]2_inventory_totals'!$M$8:$M$10000,'[1]2_inventory_totals'!$C$8:$C$10000,I16,'[1]2_inventory_totals'!$F$8:$F$10000,"="&amp;S16,'[1]2_inventory_totals'!$G$8:$G$10000,"="&amp;T16)+SUMIFS('[1]2_inventory_totals'!$O$8:$O$10000,'[1]2_inventory_totals'!$C$8:$C$10000,I16,'[1]2_inventory_totals'!$F$8:$F$10000,"="&amp;S16,'[1]2_inventory_totals'!$G$8:$G$10000,"="&amp;T16)+SUMIFS('[1]2_inventory_totals'!$S$8:$S$10000,'[1]2_inventory_totals'!$C$8:$C$10000,I16,'[1]2_inventory_totals'!$F$8:$F$10000,"="&amp;S16,'[1]2_inventory_totals'!$G$8:$G$10000,"="&amp;T16)))</f>
        <v/>
      </c>
      <c r="AP16" s="954"/>
    </row>
    <row r="17" spans="1:42" ht="27" customHeight="1" thickBot="1">
      <c r="A17" s="923"/>
      <c r="B17" s="1178"/>
      <c r="C17" s="1896" t="s">
        <v>4600</v>
      </c>
      <c r="D17" s="1897"/>
      <c r="E17" s="1898"/>
      <c r="F17" s="1791">
        <f>MID(C17,1,1)*1</f>
        <v>1</v>
      </c>
      <c r="G17" s="941"/>
      <c r="I17" s="1610" t="str">
        <f t="shared" si="5"/>
        <v/>
      </c>
      <c r="J17" s="270" t="str">
        <f t="shared" si="6"/>
        <v/>
      </c>
      <c r="K17" s="813" t="str">
        <f t="shared" si="0"/>
        <v/>
      </c>
      <c r="L17" s="1278"/>
      <c r="M17" s="1185"/>
      <c r="N17" s="1186"/>
      <c r="O17" s="1534"/>
      <c r="P17" s="336" t="str">
        <f t="shared" si="7"/>
        <v/>
      </c>
      <c r="Q17" s="336" t="str">
        <f>IF(L17="","",IF(AD17=0,0,(SUMIFS('[1]1_group_total_details'!$I$8:$I$10000,'[1]1_group_total_details'!$C$8:$C$10000,I17,'[1]1_group_total_details'!$F$8:$F$10000,adj_location_group_id,'[1]1_group_total_details'!$G$8:$G$10000,MID(N17,1,3)*1,'[1]1_group_total_details'!$H$8:$H$10000,"&lt;="&amp;adj_date)+SUMIFS('[1]1_group_total_details'!$L$8:$L$10000,'[1]1_group_total_details'!$C$8:$C$10000,I17,'[1]1_group_total_details'!$F$8:$F$10000,adj_location_group_id,'[1]1_group_total_details'!$G$8:$G$10000,MID(N17,1,3)*1,'[1]1_group_total_details'!$H$8:$H$10000,"&lt;="&amp;adj_date)+SUMIFS('[1]1_group_total_details'!$N$8:$N$10000,'[1]1_group_total_details'!$C$8:$C$10000,I17,'[1]1_group_total_details'!$F$8:$F$10000,adj_location_group_id,'[1]1_group_total_details'!$G$8:$G$10000,MID(N17,1,3)*1,'[1]1_group_total_details'!$H$8:$H$10000,"&lt;="&amp;adj_date)+SUMIFS('[1]1_group_total_details'!$O$8:$O$10000,'[1]1_group_total_details'!$C$8:$C$10000,I17,'[1]1_group_total_details'!$F$8:$F$10000,adj_location_group_id,'[1]1_group_total_details'!$G$8:$G$10000,MID(N17,1,3)*1,'[1]1_group_total_details'!$H$8:$H$10000,"&lt;="&amp;adj_date))-(SUMIFS('[1]1_group_total_details'!$J$8:$J$10000,'[1]1_group_total_details'!$C$8:$C$10000,I17,'[1]1_group_total_details'!$F$8:$F$10000,adj_location_group_id,'[1]1_group_total_details'!$G$8:$G$10000,MID(N17,1,3)*1,'[1]1_group_total_details'!$H$8:$H$10000,"&lt;="&amp;adj_date)+SUMIFS('[1]1_group_total_details'!$K$8:$K$10000,'[1]1_group_total_details'!$C$8:$C$10000,I17,'[1]1_group_total_details'!$F$8:$F$10000,adj_location_group_id,'[1]1_group_total_details'!$G$8:$G$10000,MID(N17,1,3)*1,'[1]1_group_total_details'!$H$8:$H$10000,"&lt;="&amp;adj_date)+SUMIFS('[1]1_group_total_details'!$M$8:$M$10000,'[1]1_group_total_details'!$C$8:$C$10000,I17,'[1]1_group_total_details'!$F$8:$F$10000,adj_location_group_id,'[1]1_group_total_details'!$G$8:$G$10000,MID(N17,1,3)*1,'[1]1_group_total_details'!$H$8:$H$10000,"&lt;="&amp;adj_date)+SUMIFS('[1]1_group_total_details'!$P$8:$P$10000,'[1]1_group_total_details'!$C$8:$C$10000,I17,'[1]1_group_total_details'!$F$8:$F$10000,adj_location_group_id,'[1]1_group_total_details'!$G$8:$G$10000,MID(N17,1,3)*1,'[1]1_group_total_details'!$H$8:$H$10000,"&lt;="&amp;adj_date))))</f>
        <v/>
      </c>
      <c r="R17" s="1187"/>
      <c r="S17" s="1186"/>
      <c r="T17" s="1186"/>
      <c r="U17" s="1184"/>
      <c r="V17" s="270" t="str" cm="1">
        <f t="array" ref="V17">IF(L17="","",IF(M17=AE17,1,Slookup(MID(AE17,1,3)*1,UomConversion!$D$8:$J$500,5,UomConversion!$E$8:$E$500,MID(M17,1,3)*1,UomConversion!$J$8:$J$500,1)))</f>
        <v/>
      </c>
      <c r="W17" s="270" t="str">
        <f t="shared" si="8"/>
        <v/>
      </c>
      <c r="X17" s="1795" t="str">
        <f t="shared" si="9"/>
        <v/>
      </c>
      <c r="Y17" s="1795" t="str">
        <f t="shared" si="10"/>
        <v/>
      </c>
      <c r="Z17" s="270" t="str">
        <f>IF(I17="","",IF(ISNA(MATCH(I17,IF(MID(N17,1,3)*1=1,'[1]1_inventory_totals'!$C$8:$C$10000,IF(MID(N17,1,3)*1=2,'[1]2_inventory_totals'!$C$8:$C$10000,"")),0)),0,IF(AL17&gt;0,1,0)))</f>
        <v/>
      </c>
      <c r="AA17" s="270" t="str">
        <f>IF(L17="","",IF(MID(N17,1,3)*1=1,SUMIFS('[1]1_inventory_total_details'!$J$8:$J$10000,'[1]1_inventory_total_details'!$C$8:$C$10000,I17,'[1]1_inventory_total_details'!$F$8:$F$10000,MID(N17,1,3)*1,'[1]1_inventory_total_details'!$G$8:$G$10000,"="&amp;S17,'[1]1_inventory_total_details'!$H$8:$H$10000,"="&amp;T17,'[1]1_inventory_total_details'!$I$8:$I$10000,"="&amp;adj_date)+SUMIFS('[1]1_inventory_total_details'!$M$8:$M$10000,'[1]1_inventory_total_details'!$C$8:$C$10000,I17,'[1]1_inventory_total_details'!$F$8:$F$10000,MID(N17,1,3)*1,'[1]1_inventory_total_details'!$G$8:$G$10000,"="&amp;S17,'[1]1_inventory_total_details'!$H$8:$H$10000,"="&amp;T17,'[1]1_inventory_total_details'!$I$8:$I$10000,"="&amp;adj_date)+SUMIFS('[1]1_inventory_total_details'!$K$8:$K$10000,'[1]1_inventory_total_details'!$C$8:$C$10000,I17,'[1]1_inventory_total_details'!$F$8:$F$10000,MID(N17,1,3)*1,'[1]1_inventory_total_details'!$G$8:$G$10000,"="&amp;S17,'[1]1_inventory_total_details'!$H$8:$H$10000,"="&amp;T17,'[1]1_inventory_total_details'!$I$8:$I$10000,"="&amp;adj_date)+SUMIFS('[1]1_inventory_total_details'!$L$8:$L$10000,'[1]1_inventory_total_details'!$C$8:$C$10000,I17,'[1]1_inventory_total_details'!$F$8:$F$10000,MID(N17,1,3)*1,'[1]1_inventory_total_details'!$G$8:$G$10000,"="&amp;S17,'[1]1_inventory_total_details'!$H$8:$H$10000,"="&amp;T17,'[1]1_inventory_total_details'!$I$8:$I$10000,"="&amp;adj_date),SUMIFS('[1]2_inventory_total_details'!$J$8:$J$10000,'[1]2_inventory_total_details'!$C$8:$C$10000,I17,'[1]2_inventory_total_details'!$F$8:$F$10000,MID(N17,1,3)*1,'[1]2_inventory_total_details'!$G$8:$G$10000,"="&amp;S17,'[1]2_inventory_total_details'!$H$8:$H$10000,"="&amp;T17,'[1]2_inventory_total_details'!$I$8:$I$10000,"="&amp;adj_date)+SUMIFS('[1]2_inventory_total_details'!$M$8:$M$10000,'[1]1_inventory_total_details'!$C$8:$C$10000,I17,'[1]2_inventory_total_details'!$F$8:$F$10000,MID(N17,1,3)*1,'[1]2_inventory_total_details'!$G$8:$G$10000,"="&amp;S17,'[1]2_inventory_total_details'!$H$8:$H$10000,"="&amp;T17,'[1]2_inventory_total_details'!$I$8:$I$10000,"="&amp;adj_date)+SUMIFS('[1]2_inventory_total_details'!$K$8:$K$10000,'[1]2_inventory_total_details'!$C$8:$C$10000,I17,'[1]2_inventory_total_details'!$F$8:$F$10000,MID(N17,1,3)*1,'[1]2_inventory_total_details'!$G$8:$G$10000,"="&amp;S17,'[1]2_inventory_total_details'!$H$8:$H$10000,"="&amp;T17,'[1]2_inventory_total_details'!$I$8:$I$10000,"="&amp;adj_date)+SUMIFS('[1]2_inventory_total_details'!$L$8:$L$10000,'[1]2_inventory_total_details'!$C$8:$C$10000,I17,'[1]2_inventory_total_details'!$F$8:$F$10000,MID(N17,1,3)*1,'[1]2_inventory_total_details'!$G$8:$G$10000,"="&amp;S17,'[1]2_inventory_total_details'!$H$8:$H$10000,"="&amp;T17,'[1]2_inventory_total_details'!$I$8:$I$10000,"="&amp;adj_date)))</f>
        <v/>
      </c>
      <c r="AB17" s="270" t="str">
        <f>IF(L17="","",IF(MID(N17,1,3)*1=1,SUMIFS('[1]1_inventory_total_details'!$J$8:$J$10000,'[1]1_inventory_total_details'!$C$8:$C$10000,I17,'[1]1_inventory_total_details'!$F$8:$F$10000,MID(N17,1,3)*1,'[1]1_inventory_total_details'!$G$8:$G$10000,"="&amp;S17,'[1]1_inventory_total_details'!$H$8:$H$10000,"="&amp;T17,'[1]1_inventory_total_details'!$I$8:$I$10000,"="&amp;adj_date)+SUMIFS('[1]1_inventory_total_details'!$M$8:$M$10000,'[1]1_inventory_total_details'!$C$8:$C$10000,I17,'[1]1_inventory_total_details'!$F$8:$F$10000,MID(N17,1,3)*1,'[1]1_inventory_total_details'!$G$8:$G$10000,"="&amp;S17,'[1]1_inventory_total_details'!$H$8:$H$10000,"="&amp;T17,'[1]1_inventory_total_details'!$I$8:$I$10000,"="&amp;adj_date)+SUMIFS('[1]1_inventory_total_details'!$K$8:$K$10000,'[1]1_inventory_total_details'!$C$8:$C$10000,I17,'[1]1_inventory_total_details'!$F$8:$F$10000,MID(N17,1,3)*1,'[1]1_inventory_total_details'!$G$8:$G$10000,"="&amp;S17,'[1]1_inventory_total_details'!$H$8:$H$10000,"="&amp;T17,'[1]1_inventory_total_details'!$I$8:$I$10000,"="&amp;adj_date)+SUMIFS('[1]1_inventory_total_details'!$L$8:$L$10000,'[1]1_inventory_total_details'!$C$8:$C$10000,I17,'[1]1_inventory_total_details'!$F$8:$F$10000,MID(N17,1,3)*1,'[1]1_inventory_total_details'!$G$8:$G$10000,"="&amp;S17,'[1]1_inventory_total_details'!$H$8:$H$10000,"="&amp;T17,'[1]1_inventory_total_details'!$I$8:$I$10000,"="&amp;adj_date),SUMIFS('[1]2_inventory_total_details'!$J$8:$J$10000,'[1]2_inventory_total_details'!$C$8:$C$10000,I17,'[1]2_inventory_total_details'!$F$8:$F$10000,MID(N17,1,3)*1,'[1]2_inventory_total_details'!$G$8:$G$10000,"="&amp;S17,'[1]2_inventory_total_details'!$H$8:$H$10000,"="&amp;T17,'[1]2_inventory_total_details'!$I$8:$I$10000,"="&amp;adj_date)+SUMIFS('[1]2_inventory_total_details'!$M$8:$M$10000,'[1]1_inventory_total_details'!$C$8:$C$10000,I17,'[1]2_inventory_total_details'!$F$8:$F$10000,MID(N17,1,3)*1,'[1]2_inventory_total_details'!$G$8:$G$10000,"="&amp;S17,'[1]2_inventory_total_details'!$H$8:$H$10000,"="&amp;T17,'[1]2_inventory_total_details'!$I$8:$I$10000,"="&amp;adj_date)+SUMIFS('[1]2_inventory_total_details'!$K$8:$K$10000,'[1]2_inventory_total_details'!$C$8:$C$10000,I17,'[1]2_inventory_total_details'!$F$8:$F$10000,MID(N17,1,3)*1,'[1]2_inventory_total_details'!$G$8:$G$10000,"="&amp;S17,'[1]2_inventory_total_details'!$H$8:$H$10000,"="&amp;T17,'[1]2_inventory_total_details'!$I$8:$I$10000,"="&amp;adj_date)+SUMIFS('[1]2_inventory_total_details'!$L$8:$L$10000,'[1]2_inventory_total_details'!$C$8:$C$10000,I17,'[1]2_inventory_total_details'!$F$8:$F$10000,MID(N17,1,3)*1,'[1]2_inventory_total_details'!$G$8:$G$10000,"="&amp;S17,'[1]2_inventory_total_details'!$H$8:$H$10000,"="&amp;T17,'[1]2_inventory_total_details'!$I$8:$I$10000,"="&amp;adj_date)))</f>
        <v/>
      </c>
      <c r="AC17" s="270" t="str">
        <f>IF(L17="","",IF(MID(N17,1,3)*1=1,SUMIFS('[1]1_inventory_total_details'!$J$8:$J$10000,'[1]1_inventory_total_details'!$C$8:$C$10000,I17,'[1]1_inventory_total_details'!$F$8:$F$10000,MID(N17,1,3)*1,'[1]1_inventory_total_details'!$G$8:$G$10000,"="&amp;S17,'[1]1_inventory_total_details'!$H$8:$H$10000,"="&amp;T17,'[1]1_inventory_total_details'!$I$8:$I$10000,"="&amp;adj_date)+SUMIFS('[1]1_inventory_total_details'!$M$8:$M$10000,'[1]1_inventory_total_details'!$C$8:$C$10000,I17,'[1]1_inventory_total_details'!$F$8:$F$10000,MID(N17,1,3)*1,'[1]1_inventory_total_details'!$G$8:$G$10000,"="&amp;S17,'[1]1_inventory_total_details'!$H$8:$H$10000,"="&amp;T17,'[1]1_inventory_total_details'!$I$8:$I$10000,"="&amp;adj_date)+SUMIFS('[1]1_inventory_total_details'!$K$8:$K$10000,'[1]1_inventory_total_details'!$C$8:$C$10000,I17,'[1]1_inventory_total_details'!$F$8:$F$10000,MID(N17,1,3)*1,'[1]1_inventory_total_details'!$G$8:$G$10000,"="&amp;S17,'[1]1_inventory_total_details'!$H$8:$H$10000,"="&amp;T17,'[1]1_inventory_total_details'!$I$8:$I$10000,"="&amp;adj_date)+SUMIFS('[1]1_inventory_total_details'!$L$8:$L$10000,'[1]1_inventory_total_details'!$C$8:$C$10000,I17,'[1]1_inventory_total_details'!$F$8:$F$10000,MID(N17,1,3)*1,'[1]1_inventory_total_details'!$G$8:$G$10000,"="&amp;S17,'[1]1_inventory_total_details'!$H$8:$H$10000,"="&amp;T17,'[1]1_inventory_total_details'!$I$8:$I$10000,"="&amp;adj_date),SUMIFS('[1]2_inventory_total_details'!$J$8:$J$10000,'[1]2_inventory_total_details'!$C$8:$C$10000,I17,'[1]2_inventory_total_details'!$F$8:$F$10000,MID(N17,1,3)*1,'[1]2_inventory_total_details'!$G$8:$G$10000,"="&amp;S17,'[1]2_inventory_total_details'!$H$8:$H$10000,"="&amp;T17,'[1]2_inventory_total_details'!$I$8:$I$10000,"="&amp;adj_date)+SUMIFS('[1]2_inventory_total_details'!$M$8:$M$10000,'[1]1_inventory_total_details'!$C$8:$C$10000,I17,'[1]2_inventory_total_details'!$F$8:$F$10000,MID(N17,1,3)*1,'[1]2_inventory_total_details'!$G$8:$G$10000,"="&amp;S17,'[1]2_inventory_total_details'!$H$8:$H$10000,"="&amp;T17,'[1]2_inventory_total_details'!$I$8:$I$10000,"="&amp;adj_date)+SUMIFS('[1]2_inventory_total_details'!$K$8:$K$10000,'[1]2_inventory_total_details'!$C$8:$C$10000,I17,'[1]2_inventory_total_details'!$F$8:$F$10000,MID(N17,1,3)*1,'[1]2_inventory_total_details'!$G$8:$G$10000,"="&amp;S17,'[1]2_inventory_total_details'!$H$8:$H$10000,"="&amp;T17,'[1]2_inventory_total_details'!$I$8:$I$10000,"="&amp;adj_date)+SUMIFS('[1]2_inventory_total_details'!$L$8:$L$10000,'[1]2_inventory_total_details'!$C$8:$C$10000,I17,'[1]2_inventory_total_details'!$F$8:$F$10000,MID(N17,1,3)*1,'[1]2_inventory_total_details'!$G$8:$G$10000,"="&amp;S17,'[1]2_inventory_total_details'!$H$8:$H$10000,"="&amp;T17,'[1]2_inventory_total_details'!$I$8:$I$10000,"="&amp;adj_date)))</f>
        <v/>
      </c>
      <c r="AD17" s="270" t="str">
        <f>IF(L17="","",SUMIFS('[1]1_group_totals'!$J$8:$J$10000,'[1]1_group_totals'!$C$8:$C$10000,I17,'[1]1_group_totals'!$F$8:$F$10000,adj_location_group_id,'[1]1_group_totals'!$G$8:$G$10000,MID(N17,1,3)*1,'[1]1_group_totals'!$H$8:$H$10000,"="&amp;S17,'[1]1_group_totals'!$I$8:$I$10000,"="&amp;T17))</f>
        <v/>
      </c>
      <c r="AE17" s="1796" t="str">
        <f t="shared" si="11"/>
        <v/>
      </c>
      <c r="AF17" s="1797" t="str">
        <f>IF(ISNA(MATCH(MID(AE17,1,3)*1,UomConversion!$D$8:$D$500,0)),"",IF(AJ17&lt;&gt;"",AJ17,""))</f>
        <v/>
      </c>
      <c r="AG17" s="1797" t="str">
        <f>IF(AND(AH17&gt;0,COUNTIFS(UomConversion!$D$8:$D$500,MID(AE17,1,3)*1,UomConversion!$J$8:$J$500,1)&gt;1),TEXT(AH17,"000")&amp;"."&amp;VLOOKUP(AH17,uom_list,5,FALSE),"")</f>
        <v/>
      </c>
      <c r="AH17" s="270" t="str">
        <f t="shared" si="12"/>
        <v/>
      </c>
      <c r="AI17" s="270" t="str">
        <f t="shared" si="13"/>
        <v/>
      </c>
      <c r="AJ17" s="270" t="str">
        <f t="shared" si="14"/>
        <v/>
      </c>
      <c r="AK17" s="270" t="str" cm="1">
        <f t="array" ref="AK17">IF(L17="","",Slookup(MID(AE17,1,3)*1,UomConversion!$D$8:$J$500,2,UomConversion!$I$8:$I$500,1,UomConversion!$J$8:$J$500,1))</f>
        <v/>
      </c>
      <c r="AL17" s="270" t="str">
        <f t="shared" si="15"/>
        <v/>
      </c>
      <c r="AM17" s="270" t="str">
        <f>IF(L17="","",(SUMIFS('[1]1_group_totals'!$K$8:$K$10000,'[1]1_group_totals'!$C$8:$C$10000,I17,'[1]1_group_totals'!$F$8:$F$10000,adj_location_group_id,'[1]1_group_totals'!$G$8:$G$10000,MID(N17,1,3)*1,'[1]1_group_totals'!$H$8:$H$10000,"="&amp;S17,'[1]1_group_totals'!$I$8:$I$10000,"="&amp;T17)+SUMIFS('[1]1_group_totals'!$N$8:$N$10000,'[1]1_group_totals'!$C$8:$C$10000,I17,'[1]1_group_totals'!$F$8:$F$10000,adj_location_group_id,'[1]1_group_totals'!$G$8:$G$10000,MID(N17,1,3)*1,'[1]1_group_totals'!$H$8:$H$10000,"="&amp;S17,'[1]1_group_totals'!$I$8:$I$10000,"="&amp;T17)+SUMIFS('[1]1_group_totals'!$P$8:$P$10000,'[1]1_group_totals'!$C$8:$C$10000,I17,'[1]1_group_totals'!$F$8:$F$10000,adj_location_group_id,'[1]1_group_totals'!$G$8:$G$10000,MID(N17,1,3)*1,'[1]1_group_totals'!$H$8:$H$10000,"="&amp;S17,'[1]1_group_totals'!$I$8:$I$10000,"="&amp;T17)+SUMIFS('[1]1_group_totals'!$Q$8:$Q$10000,'[1]1_group_totals'!$C$8:$C$10000,I17,'[1]1_group_totals'!$F$8:$F$10000,adj_location_group_id,'[1]1_group_totals'!$G$8:$G$10000,MID(N17,1,3)*1,'[1]1_group_totals'!$H$8:$H$10000,"="&amp;S17,'[1]1_group_totals'!$I$8:$I$10000,"="&amp;T17))+(SUMIFS('[1]1_group_totals'!$L$8:$L$10000,'[1]1_group_totals'!$C$8:$C$10000,I17,'[1]1_group_totals'!$F$8:$F$10000,adj_location_group_id,'[1]1_group_totals'!$G$8:$G$10000,MID(N17,1,3)*1,'[1]1_group_totals'!$H$8:$H$10000,"="&amp;S17,'[1]1_group_totals'!$I$8:$I$10000,"="&amp;T17)+SUMIFS('[1]1_group_totals'!$M$8:$M$10000,'[1]1_group_totals'!$C$8:$C$10000,I17,'[1]1_group_totals'!$F$8:$F$10000,adj_location_group_id,'[1]1_group_totals'!$G$8:$G$10000,MID(N17,1,3)*1,'[1]1_group_totals'!$H$8:$H$10000,"="&amp;S17,'[1]1_group_totals'!$I$8:$I$10000,"="&amp;T17)+SUMIFS('[1]1_group_totals'!$O$8:$O$10000,'[1]1_group_totals'!$C$8:$C$10000,I17,'[1]1_group_totals'!$F$8:$F$10000,adj_location_group_id,'[1]1_group_totals'!$G$8:$G$10000,MID(N17,1,3)*1,'[1]1_group_totals'!$H$8:$H$10000,"="&amp;S17,'[1]1_group_totals'!$I$8:$I$10000,"="&amp;T17)+SUMIFS('[1]1_group_totals'!$R$8:$R$10000,'[1]1_group_totals'!$C$8:$C$10000,I17,'[1]1_group_totals'!$F$8:$F$10000,adj_location_group_id,'[1]1_group_totals'!$G$8:$G$10000,MID(N17,1,3)*1,'[1]1_group_totals'!$H$8:$H$10000,"="&amp;S17,'[1]1_group_totals'!$I$8:$I$10000,"="&amp;T17)))</f>
        <v/>
      </c>
      <c r="AN17" s="270" t="str">
        <f>IF(L17="","",(SUMIFS('[1]1_inventory_totals'!$I$8:$I$10000,'[1]1_inventory_totals'!$C$8:$C$10000,I17,'[1]1_inventory_totals'!$F$8:$F$10000,"="&amp;S17,'[1]1_inventory_totals'!$G$8:$G$10000,"="&amp;T17)+SUMIFS('[1]1_inventory_totals'!$N$8:$N$10000,'[1]1_inventory_totals'!$C$8:$C$10000,I17,'[1]1_inventory_totals'!$F$8:$F$10000,"="&amp;S17,'[1]1_inventory_totals'!$G$8:$G$10000,"="&amp;T17)+SUMIFS('[1]1_inventory_totals'!$P$8:$P$10000,'[1]1_inventory_totals'!$C$8:$C$10000,I17,'[1]1_inventory_totals'!$F$8:$F$10000,"="&amp;S17,'[1]1_inventory_totals'!$G$8:$G$10000,"="&amp;T17)+SUMIFS('[1]1_inventory_totals'!$Q$8:$Q$10000,'[1]1_inventory_totals'!$C$8:$C$10000,I17,'[1]1_inventory_totals'!$F$8:$F$10000,"="&amp;S17,'[1]1_inventory_totals'!$G$8:$G$10000,"="&amp;T17)+SUMIFS('[1]1_inventory_totals'!$R$8:$R$10000,'[1]1_inventory_totals'!$C$8:$C$10000,I17,'[1]1_inventory_totals'!$F$8:$F$10000,"="&amp;S17,'[1]1_inventory_totals'!$G$8:$G$10000,"="&amp;T17))+(SUMIFS('[1]1_inventory_totals'!$J$8:$J$10000,'[1]1_inventory_totals'!$C$8:$C$10000,I17,'[1]1_inventory_totals'!$F$8:$F$10000,"="&amp;S17,'[1]1_inventory_totals'!$G$8:$G$10000,"="&amp;T17)+SUMIFS('[1]1_inventory_totals'!$K$8:$K$10000,'[1]1_inventory_totals'!$C$8:$C$10000,I17,'[1]1_inventory_totals'!$F$8:$F$10000,"="&amp;S17,'[1]1_inventory_totals'!$G$8:$G$10000,"="&amp;T17)+SUMIFS('[1]1_inventory_totals'!$L$8:$L$10000,'[1]1_inventory_totals'!$C$8:$C$10000,I17,'[1]1_inventory_totals'!$F$8:$F$10000,"="&amp;S17,'[1]1_inventory_totals'!$G$8:$G$10000,"="&amp;T17)+SUMIFS('[1]1_inventory_totals'!$M$8:$M$10000,'[1]1_inventory_totals'!$C$8:$C$10000,I17,'[1]1_inventory_totals'!$F$8:$F$10000,"="&amp;S17,'[1]1_inventory_totals'!$G$8:$G$10000,"="&amp;T17)+SUMIFS('[1]1_inventory_totals'!$O$8:$O$10000,'[1]1_inventory_totals'!$C$8:$C$10000,I17,'[1]1_inventory_totals'!$F$8:$F$10000,"="&amp;S17,'[1]1_inventory_totals'!$G$8:$G$10000,"="&amp;T17)+SUMIFS('[1]1_inventory_totals'!$S$8:$S$10000,'[1]1_inventory_totals'!$C$8:$C$10000,I17,'[1]1_inventory_totals'!$F$8:$F$10000,"="&amp;S17,'[1]1_inventory_totals'!$G$8:$G$10000,"="&amp;T17)))</f>
        <v/>
      </c>
      <c r="AO17" s="270" t="str">
        <f>IF(L17="","",(SUMIFS('[1]2_inventory_totals'!$I$8:$I$10000,'[1]2_inventory_totals'!$C$8:$C$10000,I17,'[1]2_inventory_totals'!$F$8:$F$10000,"="&amp;S17,'[1]2_inventory_totals'!$G$8:$G$10000,"="&amp;T17)+SUMIFS('[1]2_inventory_totals'!$N$8:$N$10000,'[1]2_inventory_totals'!$C$8:$C$10000,I17,'[1]2_inventory_totals'!$F$8:$F$10000,"="&amp;S17,'[1]2_inventory_totals'!$G$8:$G$10000,"="&amp;T17)+SUMIFS('[1]2_inventory_totals'!$P$8:$P$10000,'[1]2_inventory_totals'!$C$8:$C$10000,I17,'[1]2_inventory_totals'!$F$8:$F$10000,"="&amp;S17,'[1]2_inventory_totals'!$G$8:$G$10000,"="&amp;T17)+SUMIFS('[1]2_inventory_totals'!$Q$8:$Q$10000,'[1]2_inventory_totals'!$C$8:$C$10000,I17,'[1]2_inventory_totals'!$F$8:$F$10000,"="&amp;S17,'[1]2_inventory_totals'!$G$8:$G$10000,"="&amp;T17)+SUMIFS('[1]2_inventory_totals'!$R$8:$R$10000,'[1]2_inventory_totals'!$C$8:$C$10000,I17,'[1]2_inventory_totals'!$F$8:$F$10000,"="&amp;S17,'[1]2_inventory_totals'!$G$8:$G$10000,"="&amp;T17))+(SUMIFS('[1]2_inventory_totals'!$J$8:$J$10000,'[1]2_inventory_totals'!$C$8:$C$10000,I17,'[1]2_inventory_totals'!$F$8:$F$10000,"="&amp;S17,'[1]2_inventory_totals'!$G$8:$G$10000,"="&amp;T17)+SUMIFS('[1]2_inventory_totals'!$K$8:$K$10000,'[1]2_inventory_totals'!$C$8:$C$10000,I17,'[1]2_inventory_totals'!$F$8:$F$10000,"="&amp;S17,'[1]2_inventory_totals'!$G$8:$G$10000,"="&amp;T17)+SUMIFS('[1]2_inventory_totals'!$L$8:$L$10000,'[1]2_inventory_totals'!$C$8:$C$10000,I17,'[1]2_inventory_totals'!$F$8:$F$10000,"="&amp;S17,'[1]2_inventory_totals'!$G$8:$G$10000,"="&amp;T17)+SUMIFS('[1]2_inventory_totals'!$M$8:$M$10000,'[1]2_inventory_totals'!$C$8:$C$10000,I17,'[1]2_inventory_totals'!$F$8:$F$10000,"="&amp;S17,'[1]2_inventory_totals'!$G$8:$G$10000,"="&amp;T17)+SUMIFS('[1]2_inventory_totals'!$O$8:$O$10000,'[1]2_inventory_totals'!$C$8:$C$10000,I17,'[1]2_inventory_totals'!$F$8:$F$10000,"="&amp;S17,'[1]2_inventory_totals'!$G$8:$G$10000,"="&amp;T17)+SUMIFS('[1]2_inventory_totals'!$S$8:$S$10000,'[1]2_inventory_totals'!$C$8:$C$10000,I17,'[1]2_inventory_totals'!$F$8:$F$10000,"="&amp;S17,'[1]2_inventory_totals'!$G$8:$G$10000,"="&amp;T17)))</f>
        <v/>
      </c>
      <c r="AP17" s="954"/>
    </row>
    <row r="18" spans="1:42" ht="27" customHeight="1" thickBot="1">
      <c r="A18" s="923"/>
      <c r="B18" s="1178"/>
      <c r="C18" s="1188" t="s">
        <v>1788</v>
      </c>
      <c r="D18" s="1194"/>
      <c r="E18" s="924"/>
      <c r="F18" s="1195"/>
      <c r="G18" s="941"/>
      <c r="I18" s="1610" t="str">
        <f t="shared" si="5"/>
        <v/>
      </c>
      <c r="J18" s="270" t="str">
        <f t="shared" si="6"/>
        <v/>
      </c>
      <c r="K18" s="813" t="str">
        <f t="shared" si="0"/>
        <v/>
      </c>
      <c r="L18" s="1184"/>
      <c r="M18" s="1185"/>
      <c r="N18" s="1186"/>
      <c r="O18" s="1534"/>
      <c r="P18" s="336" t="str">
        <f t="shared" si="7"/>
        <v/>
      </c>
      <c r="Q18" s="336" t="str">
        <f>IF(L18="","",IF(AD18=0,0,(SUMIFS('[1]1_group_total_details'!$I$8:$I$10000,'[1]1_group_total_details'!$C$8:$C$10000,I18,'[1]1_group_total_details'!$F$8:$F$10000,adj_location_group_id,'[1]1_group_total_details'!$G$8:$G$10000,MID(N18,1,3)*1,'[1]1_group_total_details'!$H$8:$H$10000,"&lt;="&amp;adj_date)+SUMIFS('[1]1_group_total_details'!$L$8:$L$10000,'[1]1_group_total_details'!$C$8:$C$10000,I18,'[1]1_group_total_details'!$F$8:$F$10000,adj_location_group_id,'[1]1_group_total_details'!$G$8:$G$10000,MID(N18,1,3)*1,'[1]1_group_total_details'!$H$8:$H$10000,"&lt;="&amp;adj_date)+SUMIFS('[1]1_group_total_details'!$N$8:$N$10000,'[1]1_group_total_details'!$C$8:$C$10000,I18,'[1]1_group_total_details'!$F$8:$F$10000,adj_location_group_id,'[1]1_group_total_details'!$G$8:$G$10000,MID(N18,1,3)*1,'[1]1_group_total_details'!$H$8:$H$10000,"&lt;="&amp;adj_date)+SUMIFS('[1]1_group_total_details'!$O$8:$O$10000,'[1]1_group_total_details'!$C$8:$C$10000,I18,'[1]1_group_total_details'!$F$8:$F$10000,adj_location_group_id,'[1]1_group_total_details'!$G$8:$G$10000,MID(N18,1,3)*1,'[1]1_group_total_details'!$H$8:$H$10000,"&lt;="&amp;adj_date))-(SUMIFS('[1]1_group_total_details'!$J$8:$J$10000,'[1]1_group_total_details'!$C$8:$C$10000,I18,'[1]1_group_total_details'!$F$8:$F$10000,adj_location_group_id,'[1]1_group_total_details'!$G$8:$G$10000,MID(N18,1,3)*1,'[1]1_group_total_details'!$H$8:$H$10000,"&lt;="&amp;adj_date)+SUMIFS('[1]1_group_total_details'!$K$8:$K$10000,'[1]1_group_total_details'!$C$8:$C$10000,I18,'[1]1_group_total_details'!$F$8:$F$10000,adj_location_group_id,'[1]1_group_total_details'!$G$8:$G$10000,MID(N18,1,3)*1,'[1]1_group_total_details'!$H$8:$H$10000,"&lt;="&amp;adj_date)+SUMIFS('[1]1_group_total_details'!$M$8:$M$10000,'[1]1_group_total_details'!$C$8:$C$10000,I18,'[1]1_group_total_details'!$F$8:$F$10000,adj_location_group_id,'[1]1_group_total_details'!$G$8:$G$10000,MID(N18,1,3)*1,'[1]1_group_total_details'!$H$8:$H$10000,"&lt;="&amp;adj_date)+SUMIFS('[1]1_group_total_details'!$P$8:$P$10000,'[1]1_group_total_details'!$C$8:$C$10000,I18,'[1]1_group_total_details'!$F$8:$F$10000,adj_location_group_id,'[1]1_group_total_details'!$G$8:$G$10000,MID(N18,1,3)*1,'[1]1_group_total_details'!$H$8:$H$10000,"&lt;="&amp;adj_date))))</f>
        <v/>
      </c>
      <c r="R18" s="1187"/>
      <c r="S18" s="1186"/>
      <c r="T18" s="1186"/>
      <c r="U18" s="1184"/>
      <c r="V18" s="270" t="str" cm="1">
        <f t="array" ref="V18">IF(L18="","",IF(M18=AE18,1,Slookup(MID(AE18,1,3)*1,UomConversion!$D$8:$J$500,5,UomConversion!$E$8:$E$500,MID(M18,1,3)*1,UomConversion!$J$8:$J$500,1)))</f>
        <v/>
      </c>
      <c r="W18" s="270" t="str">
        <f t="shared" si="8"/>
        <v/>
      </c>
      <c r="X18" s="1795" t="str">
        <f t="shared" si="9"/>
        <v/>
      </c>
      <c r="Y18" s="1795" t="str">
        <f t="shared" si="10"/>
        <v/>
      </c>
      <c r="Z18" s="270" t="str">
        <f>IF(I18="","",IF(ISNA(MATCH(I18,IF(MID(N18,1,3)*1=1,'[1]1_inventory_totals'!$C$8:$C$10000,IF(MID(N18,1,3)*1=2,'[1]2_inventory_totals'!$C$8:$C$10000,"")),0)),0,IF(AL18&gt;0,1,0)))</f>
        <v/>
      </c>
      <c r="AA18" s="270" t="str">
        <f>IF(L18="","",IF(MID(N18,1,3)*1=1,SUMIFS('[1]1_inventory_total_details'!$J$8:$J$10000,'[1]1_inventory_total_details'!$C$8:$C$10000,I18,'[1]1_inventory_total_details'!$F$8:$F$10000,MID(N18,1,3)*1,'[1]1_inventory_total_details'!$G$8:$G$10000,"="&amp;S18,'[1]1_inventory_total_details'!$H$8:$H$10000,"="&amp;T18,'[1]1_inventory_total_details'!$I$8:$I$10000,"="&amp;adj_date)+SUMIFS('[1]1_inventory_total_details'!$M$8:$M$10000,'[1]1_inventory_total_details'!$C$8:$C$10000,I18,'[1]1_inventory_total_details'!$F$8:$F$10000,MID(N18,1,3)*1,'[1]1_inventory_total_details'!$G$8:$G$10000,"="&amp;S18,'[1]1_inventory_total_details'!$H$8:$H$10000,"="&amp;T18,'[1]1_inventory_total_details'!$I$8:$I$10000,"="&amp;adj_date)+SUMIFS('[1]1_inventory_total_details'!$K$8:$K$10000,'[1]1_inventory_total_details'!$C$8:$C$10000,I18,'[1]1_inventory_total_details'!$F$8:$F$10000,MID(N18,1,3)*1,'[1]1_inventory_total_details'!$G$8:$G$10000,"="&amp;S18,'[1]1_inventory_total_details'!$H$8:$H$10000,"="&amp;T18,'[1]1_inventory_total_details'!$I$8:$I$10000,"="&amp;adj_date)+SUMIFS('[1]1_inventory_total_details'!$L$8:$L$10000,'[1]1_inventory_total_details'!$C$8:$C$10000,I18,'[1]1_inventory_total_details'!$F$8:$F$10000,MID(N18,1,3)*1,'[1]1_inventory_total_details'!$G$8:$G$10000,"="&amp;S18,'[1]1_inventory_total_details'!$H$8:$H$10000,"="&amp;T18,'[1]1_inventory_total_details'!$I$8:$I$10000,"="&amp;adj_date),SUMIFS('[1]2_inventory_total_details'!$J$8:$J$10000,'[1]2_inventory_total_details'!$C$8:$C$10000,I18,'[1]2_inventory_total_details'!$F$8:$F$10000,MID(N18,1,3)*1,'[1]2_inventory_total_details'!$G$8:$G$10000,"="&amp;S18,'[1]2_inventory_total_details'!$H$8:$H$10000,"="&amp;T18,'[1]2_inventory_total_details'!$I$8:$I$10000,"="&amp;adj_date)+SUMIFS('[1]2_inventory_total_details'!$M$8:$M$10000,'[1]1_inventory_total_details'!$C$8:$C$10000,I18,'[1]2_inventory_total_details'!$F$8:$F$10000,MID(N18,1,3)*1,'[1]2_inventory_total_details'!$G$8:$G$10000,"="&amp;S18,'[1]2_inventory_total_details'!$H$8:$H$10000,"="&amp;T18,'[1]2_inventory_total_details'!$I$8:$I$10000,"="&amp;adj_date)+SUMIFS('[1]2_inventory_total_details'!$K$8:$K$10000,'[1]2_inventory_total_details'!$C$8:$C$10000,I18,'[1]2_inventory_total_details'!$F$8:$F$10000,MID(N18,1,3)*1,'[1]2_inventory_total_details'!$G$8:$G$10000,"="&amp;S18,'[1]2_inventory_total_details'!$H$8:$H$10000,"="&amp;T18,'[1]2_inventory_total_details'!$I$8:$I$10000,"="&amp;adj_date)+SUMIFS('[1]2_inventory_total_details'!$L$8:$L$10000,'[1]2_inventory_total_details'!$C$8:$C$10000,I18,'[1]2_inventory_total_details'!$F$8:$F$10000,MID(N18,1,3)*1,'[1]2_inventory_total_details'!$G$8:$G$10000,"="&amp;S18,'[1]2_inventory_total_details'!$H$8:$H$10000,"="&amp;T18,'[1]2_inventory_total_details'!$I$8:$I$10000,"="&amp;adj_date)))</f>
        <v/>
      </c>
      <c r="AB18" s="270" t="str">
        <f>IF(L18="","",IF(MID(N18,1,3)*1=1,SUMIFS('[1]1_inventory_total_details'!$J$8:$J$10000,'[1]1_inventory_total_details'!$C$8:$C$10000,I18,'[1]1_inventory_total_details'!$F$8:$F$10000,MID(N18,1,3)*1,'[1]1_inventory_total_details'!$G$8:$G$10000,"="&amp;S18,'[1]1_inventory_total_details'!$H$8:$H$10000,"="&amp;T18,'[1]1_inventory_total_details'!$I$8:$I$10000,"="&amp;adj_date)+SUMIFS('[1]1_inventory_total_details'!$M$8:$M$10000,'[1]1_inventory_total_details'!$C$8:$C$10000,I18,'[1]1_inventory_total_details'!$F$8:$F$10000,MID(N18,1,3)*1,'[1]1_inventory_total_details'!$G$8:$G$10000,"="&amp;S18,'[1]1_inventory_total_details'!$H$8:$H$10000,"="&amp;T18,'[1]1_inventory_total_details'!$I$8:$I$10000,"="&amp;adj_date)+SUMIFS('[1]1_inventory_total_details'!$K$8:$K$10000,'[1]1_inventory_total_details'!$C$8:$C$10000,I18,'[1]1_inventory_total_details'!$F$8:$F$10000,MID(N18,1,3)*1,'[1]1_inventory_total_details'!$G$8:$G$10000,"="&amp;S18,'[1]1_inventory_total_details'!$H$8:$H$10000,"="&amp;T18,'[1]1_inventory_total_details'!$I$8:$I$10000,"="&amp;adj_date)+SUMIFS('[1]1_inventory_total_details'!$L$8:$L$10000,'[1]1_inventory_total_details'!$C$8:$C$10000,I18,'[1]1_inventory_total_details'!$F$8:$F$10000,MID(N18,1,3)*1,'[1]1_inventory_total_details'!$G$8:$G$10000,"="&amp;S18,'[1]1_inventory_total_details'!$H$8:$H$10000,"="&amp;T18,'[1]1_inventory_total_details'!$I$8:$I$10000,"="&amp;adj_date),SUMIFS('[1]2_inventory_total_details'!$J$8:$J$10000,'[1]2_inventory_total_details'!$C$8:$C$10000,I18,'[1]2_inventory_total_details'!$F$8:$F$10000,MID(N18,1,3)*1,'[1]2_inventory_total_details'!$G$8:$G$10000,"="&amp;S18,'[1]2_inventory_total_details'!$H$8:$H$10000,"="&amp;T18,'[1]2_inventory_total_details'!$I$8:$I$10000,"="&amp;adj_date)+SUMIFS('[1]2_inventory_total_details'!$M$8:$M$10000,'[1]1_inventory_total_details'!$C$8:$C$10000,I18,'[1]2_inventory_total_details'!$F$8:$F$10000,MID(N18,1,3)*1,'[1]2_inventory_total_details'!$G$8:$G$10000,"="&amp;S18,'[1]2_inventory_total_details'!$H$8:$H$10000,"="&amp;T18,'[1]2_inventory_total_details'!$I$8:$I$10000,"="&amp;adj_date)+SUMIFS('[1]2_inventory_total_details'!$K$8:$K$10000,'[1]2_inventory_total_details'!$C$8:$C$10000,I18,'[1]2_inventory_total_details'!$F$8:$F$10000,MID(N18,1,3)*1,'[1]2_inventory_total_details'!$G$8:$G$10000,"="&amp;S18,'[1]2_inventory_total_details'!$H$8:$H$10000,"="&amp;T18,'[1]2_inventory_total_details'!$I$8:$I$10000,"="&amp;adj_date)+SUMIFS('[1]2_inventory_total_details'!$L$8:$L$10000,'[1]2_inventory_total_details'!$C$8:$C$10000,I18,'[1]2_inventory_total_details'!$F$8:$F$10000,MID(N18,1,3)*1,'[1]2_inventory_total_details'!$G$8:$G$10000,"="&amp;S18,'[1]2_inventory_total_details'!$H$8:$H$10000,"="&amp;T18,'[1]2_inventory_total_details'!$I$8:$I$10000,"="&amp;adj_date)))</f>
        <v/>
      </c>
      <c r="AC18" s="270" t="str">
        <f>IF(L18="","",IF(MID(N18,1,3)*1=1,SUMIFS('[1]1_inventory_total_details'!$J$8:$J$10000,'[1]1_inventory_total_details'!$C$8:$C$10000,I18,'[1]1_inventory_total_details'!$F$8:$F$10000,MID(N18,1,3)*1,'[1]1_inventory_total_details'!$G$8:$G$10000,"="&amp;S18,'[1]1_inventory_total_details'!$H$8:$H$10000,"="&amp;T18,'[1]1_inventory_total_details'!$I$8:$I$10000,"="&amp;adj_date)+SUMIFS('[1]1_inventory_total_details'!$M$8:$M$10000,'[1]1_inventory_total_details'!$C$8:$C$10000,I18,'[1]1_inventory_total_details'!$F$8:$F$10000,MID(N18,1,3)*1,'[1]1_inventory_total_details'!$G$8:$G$10000,"="&amp;S18,'[1]1_inventory_total_details'!$H$8:$H$10000,"="&amp;T18,'[1]1_inventory_total_details'!$I$8:$I$10000,"="&amp;adj_date)+SUMIFS('[1]1_inventory_total_details'!$K$8:$K$10000,'[1]1_inventory_total_details'!$C$8:$C$10000,I18,'[1]1_inventory_total_details'!$F$8:$F$10000,MID(N18,1,3)*1,'[1]1_inventory_total_details'!$G$8:$G$10000,"="&amp;S18,'[1]1_inventory_total_details'!$H$8:$H$10000,"="&amp;T18,'[1]1_inventory_total_details'!$I$8:$I$10000,"="&amp;adj_date)+SUMIFS('[1]1_inventory_total_details'!$L$8:$L$10000,'[1]1_inventory_total_details'!$C$8:$C$10000,I18,'[1]1_inventory_total_details'!$F$8:$F$10000,MID(N18,1,3)*1,'[1]1_inventory_total_details'!$G$8:$G$10000,"="&amp;S18,'[1]1_inventory_total_details'!$H$8:$H$10000,"="&amp;T18,'[1]1_inventory_total_details'!$I$8:$I$10000,"="&amp;adj_date),SUMIFS('[1]2_inventory_total_details'!$J$8:$J$10000,'[1]2_inventory_total_details'!$C$8:$C$10000,I18,'[1]2_inventory_total_details'!$F$8:$F$10000,MID(N18,1,3)*1,'[1]2_inventory_total_details'!$G$8:$G$10000,"="&amp;S18,'[1]2_inventory_total_details'!$H$8:$H$10000,"="&amp;T18,'[1]2_inventory_total_details'!$I$8:$I$10000,"="&amp;adj_date)+SUMIFS('[1]2_inventory_total_details'!$M$8:$M$10000,'[1]1_inventory_total_details'!$C$8:$C$10000,I18,'[1]2_inventory_total_details'!$F$8:$F$10000,MID(N18,1,3)*1,'[1]2_inventory_total_details'!$G$8:$G$10000,"="&amp;S18,'[1]2_inventory_total_details'!$H$8:$H$10000,"="&amp;T18,'[1]2_inventory_total_details'!$I$8:$I$10000,"="&amp;adj_date)+SUMIFS('[1]2_inventory_total_details'!$K$8:$K$10000,'[1]2_inventory_total_details'!$C$8:$C$10000,I18,'[1]2_inventory_total_details'!$F$8:$F$10000,MID(N18,1,3)*1,'[1]2_inventory_total_details'!$G$8:$G$10000,"="&amp;S18,'[1]2_inventory_total_details'!$H$8:$H$10000,"="&amp;T18,'[1]2_inventory_total_details'!$I$8:$I$10000,"="&amp;adj_date)+SUMIFS('[1]2_inventory_total_details'!$L$8:$L$10000,'[1]2_inventory_total_details'!$C$8:$C$10000,I18,'[1]2_inventory_total_details'!$F$8:$F$10000,MID(N18,1,3)*1,'[1]2_inventory_total_details'!$G$8:$G$10000,"="&amp;S18,'[1]2_inventory_total_details'!$H$8:$H$10000,"="&amp;T18,'[1]2_inventory_total_details'!$I$8:$I$10000,"="&amp;adj_date)))</f>
        <v/>
      </c>
      <c r="AD18" s="270" t="str">
        <f>IF(L18="","",SUMIFS('[1]1_group_totals'!$J$8:$J$10000,'[1]1_group_totals'!$C$8:$C$10000,I18,'[1]1_group_totals'!$F$8:$F$10000,adj_location_group_id,'[1]1_group_totals'!$G$8:$G$10000,MID(N18,1,3)*1,'[1]1_group_totals'!$H$8:$H$10000,"="&amp;S18,'[1]1_group_totals'!$I$8:$I$10000,"="&amp;T18))</f>
        <v/>
      </c>
      <c r="AE18" s="1796" t="str">
        <f t="shared" si="11"/>
        <v/>
      </c>
      <c r="AF18" s="1797" t="str">
        <f>IF(ISNA(MATCH(MID(AE18,1,3)*1,UomConversion!$D$8:$D$500,0)),"",IF(AJ18&lt;&gt;"",AJ18,""))</f>
        <v/>
      </c>
      <c r="AG18" s="1797" t="str">
        <f>IF(AND(AH18&gt;0,COUNTIFS(UomConversion!$D$8:$D$500,MID(AE18,1,3)*1,UomConversion!$J$8:$J$500,1)&gt;1),TEXT(AH18,"000")&amp;"."&amp;VLOOKUP(AH18,uom_list,5,FALSE),"")</f>
        <v/>
      </c>
      <c r="AH18" s="270" t="str">
        <f t="shared" si="12"/>
        <v/>
      </c>
      <c r="AI18" s="270" t="str">
        <f t="shared" si="13"/>
        <v/>
      </c>
      <c r="AJ18" s="270" t="str">
        <f t="shared" si="14"/>
        <v/>
      </c>
      <c r="AK18" s="270" t="str" cm="1">
        <f t="array" ref="AK18">IF(L18="","",Slookup(MID(AE18,1,3)*1,UomConversion!$D$8:$J$500,2,UomConversion!$I$8:$I$500,1,UomConversion!$J$8:$J$500,1))</f>
        <v/>
      </c>
      <c r="AL18" s="270" t="str">
        <f t="shared" si="15"/>
        <v/>
      </c>
      <c r="AM18" s="270" t="str">
        <f>IF(L18="","",(SUMIFS('[1]1_group_totals'!$K$8:$K$10000,'[1]1_group_totals'!$C$8:$C$10000,I18,'[1]1_group_totals'!$F$8:$F$10000,adj_location_group_id,'[1]1_group_totals'!$G$8:$G$10000,MID(N18,1,3)*1,'[1]1_group_totals'!$H$8:$H$10000,"="&amp;S18,'[1]1_group_totals'!$I$8:$I$10000,"="&amp;T18)+SUMIFS('[1]1_group_totals'!$N$8:$N$10000,'[1]1_group_totals'!$C$8:$C$10000,I18,'[1]1_group_totals'!$F$8:$F$10000,adj_location_group_id,'[1]1_group_totals'!$G$8:$G$10000,MID(N18,1,3)*1,'[1]1_group_totals'!$H$8:$H$10000,"="&amp;S18,'[1]1_group_totals'!$I$8:$I$10000,"="&amp;T18)+SUMIFS('[1]1_group_totals'!$P$8:$P$10000,'[1]1_group_totals'!$C$8:$C$10000,I18,'[1]1_group_totals'!$F$8:$F$10000,adj_location_group_id,'[1]1_group_totals'!$G$8:$G$10000,MID(N18,1,3)*1,'[1]1_group_totals'!$H$8:$H$10000,"="&amp;S18,'[1]1_group_totals'!$I$8:$I$10000,"="&amp;T18)+SUMIFS('[1]1_group_totals'!$Q$8:$Q$10000,'[1]1_group_totals'!$C$8:$C$10000,I18,'[1]1_group_totals'!$F$8:$F$10000,adj_location_group_id,'[1]1_group_totals'!$G$8:$G$10000,MID(N18,1,3)*1,'[1]1_group_totals'!$H$8:$H$10000,"="&amp;S18,'[1]1_group_totals'!$I$8:$I$10000,"="&amp;T18))+(SUMIFS('[1]1_group_totals'!$L$8:$L$10000,'[1]1_group_totals'!$C$8:$C$10000,I18,'[1]1_group_totals'!$F$8:$F$10000,adj_location_group_id,'[1]1_group_totals'!$G$8:$G$10000,MID(N18,1,3)*1,'[1]1_group_totals'!$H$8:$H$10000,"="&amp;S18,'[1]1_group_totals'!$I$8:$I$10000,"="&amp;T18)+SUMIFS('[1]1_group_totals'!$M$8:$M$10000,'[1]1_group_totals'!$C$8:$C$10000,I18,'[1]1_group_totals'!$F$8:$F$10000,adj_location_group_id,'[1]1_group_totals'!$G$8:$G$10000,MID(N18,1,3)*1,'[1]1_group_totals'!$H$8:$H$10000,"="&amp;S18,'[1]1_group_totals'!$I$8:$I$10000,"="&amp;T18)+SUMIFS('[1]1_group_totals'!$O$8:$O$10000,'[1]1_group_totals'!$C$8:$C$10000,I18,'[1]1_group_totals'!$F$8:$F$10000,adj_location_group_id,'[1]1_group_totals'!$G$8:$G$10000,MID(N18,1,3)*1,'[1]1_group_totals'!$H$8:$H$10000,"="&amp;S18,'[1]1_group_totals'!$I$8:$I$10000,"="&amp;T18)+SUMIFS('[1]1_group_totals'!$R$8:$R$10000,'[1]1_group_totals'!$C$8:$C$10000,I18,'[1]1_group_totals'!$F$8:$F$10000,adj_location_group_id,'[1]1_group_totals'!$G$8:$G$10000,MID(N18,1,3)*1,'[1]1_group_totals'!$H$8:$H$10000,"="&amp;S18,'[1]1_group_totals'!$I$8:$I$10000,"="&amp;T18)))</f>
        <v/>
      </c>
      <c r="AN18" s="270" t="str">
        <f>IF(L18="","",(SUMIFS('[1]1_inventory_totals'!$I$8:$I$10000,'[1]1_inventory_totals'!$C$8:$C$10000,I18,'[1]1_inventory_totals'!$F$8:$F$10000,"="&amp;S18,'[1]1_inventory_totals'!$G$8:$G$10000,"="&amp;T18)+SUMIFS('[1]1_inventory_totals'!$N$8:$N$10000,'[1]1_inventory_totals'!$C$8:$C$10000,I18,'[1]1_inventory_totals'!$F$8:$F$10000,"="&amp;S18,'[1]1_inventory_totals'!$G$8:$G$10000,"="&amp;T18)+SUMIFS('[1]1_inventory_totals'!$P$8:$P$10000,'[1]1_inventory_totals'!$C$8:$C$10000,I18,'[1]1_inventory_totals'!$F$8:$F$10000,"="&amp;S18,'[1]1_inventory_totals'!$G$8:$G$10000,"="&amp;T18)+SUMIFS('[1]1_inventory_totals'!$Q$8:$Q$10000,'[1]1_inventory_totals'!$C$8:$C$10000,I18,'[1]1_inventory_totals'!$F$8:$F$10000,"="&amp;S18,'[1]1_inventory_totals'!$G$8:$G$10000,"="&amp;T18)+SUMIFS('[1]1_inventory_totals'!$R$8:$R$10000,'[1]1_inventory_totals'!$C$8:$C$10000,I18,'[1]1_inventory_totals'!$F$8:$F$10000,"="&amp;S18,'[1]1_inventory_totals'!$G$8:$G$10000,"="&amp;T18))+(SUMIFS('[1]1_inventory_totals'!$J$8:$J$10000,'[1]1_inventory_totals'!$C$8:$C$10000,I18,'[1]1_inventory_totals'!$F$8:$F$10000,"="&amp;S18,'[1]1_inventory_totals'!$G$8:$G$10000,"="&amp;T18)+SUMIFS('[1]1_inventory_totals'!$K$8:$K$10000,'[1]1_inventory_totals'!$C$8:$C$10000,I18,'[1]1_inventory_totals'!$F$8:$F$10000,"="&amp;S18,'[1]1_inventory_totals'!$G$8:$G$10000,"="&amp;T18)+SUMIFS('[1]1_inventory_totals'!$L$8:$L$10000,'[1]1_inventory_totals'!$C$8:$C$10000,I18,'[1]1_inventory_totals'!$F$8:$F$10000,"="&amp;S18,'[1]1_inventory_totals'!$G$8:$G$10000,"="&amp;T18)+SUMIFS('[1]1_inventory_totals'!$M$8:$M$10000,'[1]1_inventory_totals'!$C$8:$C$10000,I18,'[1]1_inventory_totals'!$F$8:$F$10000,"="&amp;S18,'[1]1_inventory_totals'!$G$8:$G$10000,"="&amp;T18)+SUMIFS('[1]1_inventory_totals'!$O$8:$O$10000,'[1]1_inventory_totals'!$C$8:$C$10000,I18,'[1]1_inventory_totals'!$F$8:$F$10000,"="&amp;S18,'[1]1_inventory_totals'!$G$8:$G$10000,"="&amp;T18)+SUMIFS('[1]1_inventory_totals'!$S$8:$S$10000,'[1]1_inventory_totals'!$C$8:$C$10000,I18,'[1]1_inventory_totals'!$F$8:$F$10000,"="&amp;S18,'[1]1_inventory_totals'!$G$8:$G$10000,"="&amp;T18)))</f>
        <v/>
      </c>
      <c r="AO18" s="270" t="str">
        <f>IF(L18="","",(SUMIFS('[1]2_inventory_totals'!$I$8:$I$10000,'[1]2_inventory_totals'!$C$8:$C$10000,I18,'[1]2_inventory_totals'!$F$8:$F$10000,"="&amp;S18,'[1]2_inventory_totals'!$G$8:$G$10000,"="&amp;T18)+SUMIFS('[1]2_inventory_totals'!$N$8:$N$10000,'[1]2_inventory_totals'!$C$8:$C$10000,I18,'[1]2_inventory_totals'!$F$8:$F$10000,"="&amp;S18,'[1]2_inventory_totals'!$G$8:$G$10000,"="&amp;T18)+SUMIFS('[1]2_inventory_totals'!$P$8:$P$10000,'[1]2_inventory_totals'!$C$8:$C$10000,I18,'[1]2_inventory_totals'!$F$8:$F$10000,"="&amp;S18,'[1]2_inventory_totals'!$G$8:$G$10000,"="&amp;T18)+SUMIFS('[1]2_inventory_totals'!$Q$8:$Q$10000,'[1]2_inventory_totals'!$C$8:$C$10000,I18,'[1]2_inventory_totals'!$F$8:$F$10000,"="&amp;S18,'[1]2_inventory_totals'!$G$8:$G$10000,"="&amp;T18)+SUMIFS('[1]2_inventory_totals'!$R$8:$R$10000,'[1]2_inventory_totals'!$C$8:$C$10000,I18,'[1]2_inventory_totals'!$F$8:$F$10000,"="&amp;S18,'[1]2_inventory_totals'!$G$8:$G$10000,"="&amp;T18))+(SUMIFS('[1]2_inventory_totals'!$J$8:$J$10000,'[1]2_inventory_totals'!$C$8:$C$10000,I18,'[1]2_inventory_totals'!$F$8:$F$10000,"="&amp;S18,'[1]2_inventory_totals'!$G$8:$G$10000,"="&amp;T18)+SUMIFS('[1]2_inventory_totals'!$K$8:$K$10000,'[1]2_inventory_totals'!$C$8:$C$10000,I18,'[1]2_inventory_totals'!$F$8:$F$10000,"="&amp;S18,'[1]2_inventory_totals'!$G$8:$G$10000,"="&amp;T18)+SUMIFS('[1]2_inventory_totals'!$L$8:$L$10000,'[1]2_inventory_totals'!$C$8:$C$10000,I18,'[1]2_inventory_totals'!$F$8:$F$10000,"="&amp;S18,'[1]2_inventory_totals'!$G$8:$G$10000,"="&amp;T18)+SUMIFS('[1]2_inventory_totals'!$M$8:$M$10000,'[1]2_inventory_totals'!$C$8:$C$10000,I18,'[1]2_inventory_totals'!$F$8:$F$10000,"="&amp;S18,'[1]2_inventory_totals'!$G$8:$G$10000,"="&amp;T18)+SUMIFS('[1]2_inventory_totals'!$O$8:$O$10000,'[1]2_inventory_totals'!$C$8:$C$10000,I18,'[1]2_inventory_totals'!$F$8:$F$10000,"="&amp;S18,'[1]2_inventory_totals'!$G$8:$G$10000,"="&amp;T18)+SUMIFS('[1]2_inventory_totals'!$S$8:$S$10000,'[1]2_inventory_totals'!$C$8:$C$10000,I18,'[1]2_inventory_totals'!$F$8:$F$10000,"="&amp;S18,'[1]2_inventory_totals'!$G$8:$G$10000,"="&amp;T18)))</f>
        <v/>
      </c>
      <c r="AP18" s="954"/>
    </row>
    <row r="19" spans="1:42" ht="27" customHeight="1" thickBot="1">
      <c r="A19" s="923"/>
      <c r="B19" s="1178"/>
      <c r="C19" s="1899" t="s">
        <v>1835</v>
      </c>
      <c r="D19" s="1900"/>
      <c r="E19" s="1239" t="str">
        <f>VLOOKUP(adj_chart_account_id,chart_account_list,6,FALSE)</f>
        <v>Equity</v>
      </c>
      <c r="F19" s="1792">
        <f>VLOOKUP(MID(C19,1,3)*1,chart_account_default_list,5,FALSE)</f>
        <v>9</v>
      </c>
      <c r="G19" s="941"/>
      <c r="I19" s="1610" t="str">
        <f t="shared" si="5"/>
        <v/>
      </c>
      <c r="J19" s="270" t="str">
        <f t="shared" si="6"/>
        <v/>
      </c>
      <c r="K19" s="813" t="str">
        <f t="shared" si="0"/>
        <v/>
      </c>
      <c r="L19" s="1184"/>
      <c r="M19" s="1185"/>
      <c r="N19" s="1186"/>
      <c r="O19" s="1534"/>
      <c r="P19" s="336" t="str">
        <f t="shared" si="7"/>
        <v/>
      </c>
      <c r="Q19" s="336" t="str">
        <f>IF(L19="","",IF(AD19=0,0,(SUMIFS('[1]1_group_total_details'!$I$8:$I$10000,'[1]1_group_total_details'!$C$8:$C$10000,I19,'[1]1_group_total_details'!$F$8:$F$10000,adj_location_group_id,'[1]1_group_total_details'!$G$8:$G$10000,MID(N19,1,3)*1,'[1]1_group_total_details'!$H$8:$H$10000,"&lt;="&amp;adj_date)+SUMIFS('[1]1_group_total_details'!$L$8:$L$10000,'[1]1_group_total_details'!$C$8:$C$10000,I19,'[1]1_group_total_details'!$F$8:$F$10000,adj_location_group_id,'[1]1_group_total_details'!$G$8:$G$10000,MID(N19,1,3)*1,'[1]1_group_total_details'!$H$8:$H$10000,"&lt;="&amp;adj_date)+SUMIFS('[1]1_group_total_details'!$N$8:$N$10000,'[1]1_group_total_details'!$C$8:$C$10000,I19,'[1]1_group_total_details'!$F$8:$F$10000,adj_location_group_id,'[1]1_group_total_details'!$G$8:$G$10000,MID(N19,1,3)*1,'[1]1_group_total_details'!$H$8:$H$10000,"&lt;="&amp;adj_date)+SUMIFS('[1]1_group_total_details'!$O$8:$O$10000,'[1]1_group_total_details'!$C$8:$C$10000,I19,'[1]1_group_total_details'!$F$8:$F$10000,adj_location_group_id,'[1]1_group_total_details'!$G$8:$G$10000,MID(N19,1,3)*1,'[1]1_group_total_details'!$H$8:$H$10000,"&lt;="&amp;adj_date))-(SUMIFS('[1]1_group_total_details'!$J$8:$J$10000,'[1]1_group_total_details'!$C$8:$C$10000,I19,'[1]1_group_total_details'!$F$8:$F$10000,adj_location_group_id,'[1]1_group_total_details'!$G$8:$G$10000,MID(N19,1,3)*1,'[1]1_group_total_details'!$H$8:$H$10000,"&lt;="&amp;adj_date)+SUMIFS('[1]1_group_total_details'!$K$8:$K$10000,'[1]1_group_total_details'!$C$8:$C$10000,I19,'[1]1_group_total_details'!$F$8:$F$10000,adj_location_group_id,'[1]1_group_total_details'!$G$8:$G$10000,MID(N19,1,3)*1,'[1]1_group_total_details'!$H$8:$H$10000,"&lt;="&amp;adj_date)+SUMIFS('[1]1_group_total_details'!$M$8:$M$10000,'[1]1_group_total_details'!$C$8:$C$10000,I19,'[1]1_group_total_details'!$F$8:$F$10000,adj_location_group_id,'[1]1_group_total_details'!$G$8:$G$10000,MID(N19,1,3)*1,'[1]1_group_total_details'!$H$8:$H$10000,"&lt;="&amp;adj_date)+SUMIFS('[1]1_group_total_details'!$P$8:$P$10000,'[1]1_group_total_details'!$C$8:$C$10000,I19,'[1]1_group_total_details'!$F$8:$F$10000,adj_location_group_id,'[1]1_group_total_details'!$G$8:$G$10000,MID(N19,1,3)*1,'[1]1_group_total_details'!$H$8:$H$10000,"&lt;="&amp;adj_date))))</f>
        <v/>
      </c>
      <c r="R19" s="1187"/>
      <c r="S19" s="1186"/>
      <c r="T19" s="1186"/>
      <c r="U19" s="1184"/>
      <c r="V19" s="270" t="str" cm="1">
        <f t="array" ref="V19">IF(L19="","",IF(M19=AE19,1,Slookup(MID(AE19,1,3)*1,UomConversion!$D$8:$J$500,5,UomConversion!$E$8:$E$500,MID(M19,1,3)*1,UomConversion!$J$8:$J$500,1)))</f>
        <v/>
      </c>
      <c r="W19" s="270" t="str">
        <f t="shared" si="8"/>
        <v/>
      </c>
      <c r="X19" s="1795" t="str">
        <f t="shared" si="9"/>
        <v/>
      </c>
      <c r="Y19" s="1795" t="str">
        <f t="shared" si="10"/>
        <v/>
      </c>
      <c r="Z19" s="270" t="str">
        <f>IF(I19="","",IF(ISNA(MATCH(I19,IF(MID(N19,1,3)*1=1,'[1]1_inventory_totals'!$C$8:$C$10000,IF(MID(N19,1,3)*1=2,'[1]2_inventory_totals'!$C$8:$C$10000,"")),0)),0,IF(AL19&gt;0,1,0)))</f>
        <v/>
      </c>
      <c r="AA19" s="270" t="str">
        <f>IF(L19="","",IF(MID(N19,1,3)*1=1,SUMIFS('[1]1_inventory_total_details'!$J$8:$J$10000,'[1]1_inventory_total_details'!$C$8:$C$10000,I19,'[1]1_inventory_total_details'!$F$8:$F$10000,MID(N19,1,3)*1,'[1]1_inventory_total_details'!$G$8:$G$10000,"="&amp;S19,'[1]1_inventory_total_details'!$H$8:$H$10000,"="&amp;T19,'[1]1_inventory_total_details'!$I$8:$I$10000,"="&amp;adj_date)+SUMIFS('[1]1_inventory_total_details'!$M$8:$M$10000,'[1]1_inventory_total_details'!$C$8:$C$10000,I19,'[1]1_inventory_total_details'!$F$8:$F$10000,MID(N19,1,3)*1,'[1]1_inventory_total_details'!$G$8:$G$10000,"="&amp;S19,'[1]1_inventory_total_details'!$H$8:$H$10000,"="&amp;T19,'[1]1_inventory_total_details'!$I$8:$I$10000,"="&amp;adj_date)+SUMIFS('[1]1_inventory_total_details'!$K$8:$K$10000,'[1]1_inventory_total_details'!$C$8:$C$10000,I19,'[1]1_inventory_total_details'!$F$8:$F$10000,MID(N19,1,3)*1,'[1]1_inventory_total_details'!$G$8:$G$10000,"="&amp;S19,'[1]1_inventory_total_details'!$H$8:$H$10000,"="&amp;T19,'[1]1_inventory_total_details'!$I$8:$I$10000,"="&amp;adj_date)+SUMIFS('[1]1_inventory_total_details'!$L$8:$L$10000,'[1]1_inventory_total_details'!$C$8:$C$10000,I19,'[1]1_inventory_total_details'!$F$8:$F$10000,MID(N19,1,3)*1,'[1]1_inventory_total_details'!$G$8:$G$10000,"="&amp;S19,'[1]1_inventory_total_details'!$H$8:$H$10000,"="&amp;T19,'[1]1_inventory_total_details'!$I$8:$I$10000,"="&amp;adj_date),SUMIFS('[1]2_inventory_total_details'!$J$8:$J$10000,'[1]2_inventory_total_details'!$C$8:$C$10000,I19,'[1]2_inventory_total_details'!$F$8:$F$10000,MID(N19,1,3)*1,'[1]2_inventory_total_details'!$G$8:$G$10000,"="&amp;S19,'[1]2_inventory_total_details'!$H$8:$H$10000,"="&amp;T19,'[1]2_inventory_total_details'!$I$8:$I$10000,"="&amp;adj_date)+SUMIFS('[1]2_inventory_total_details'!$M$8:$M$10000,'[1]1_inventory_total_details'!$C$8:$C$10000,I19,'[1]2_inventory_total_details'!$F$8:$F$10000,MID(N19,1,3)*1,'[1]2_inventory_total_details'!$G$8:$G$10000,"="&amp;S19,'[1]2_inventory_total_details'!$H$8:$H$10000,"="&amp;T19,'[1]2_inventory_total_details'!$I$8:$I$10000,"="&amp;adj_date)+SUMIFS('[1]2_inventory_total_details'!$K$8:$K$10000,'[1]2_inventory_total_details'!$C$8:$C$10000,I19,'[1]2_inventory_total_details'!$F$8:$F$10000,MID(N19,1,3)*1,'[1]2_inventory_total_details'!$G$8:$G$10000,"="&amp;S19,'[1]2_inventory_total_details'!$H$8:$H$10000,"="&amp;T19,'[1]2_inventory_total_details'!$I$8:$I$10000,"="&amp;adj_date)+SUMIFS('[1]2_inventory_total_details'!$L$8:$L$10000,'[1]2_inventory_total_details'!$C$8:$C$10000,I19,'[1]2_inventory_total_details'!$F$8:$F$10000,MID(N19,1,3)*1,'[1]2_inventory_total_details'!$G$8:$G$10000,"="&amp;S19,'[1]2_inventory_total_details'!$H$8:$H$10000,"="&amp;T19,'[1]2_inventory_total_details'!$I$8:$I$10000,"="&amp;adj_date)))</f>
        <v/>
      </c>
      <c r="AB19" s="270" t="str">
        <f>IF(L19="","",IF(MID(N19,1,3)*1=1,SUMIFS('[1]1_inventory_total_details'!$J$8:$J$10000,'[1]1_inventory_total_details'!$C$8:$C$10000,I19,'[1]1_inventory_total_details'!$F$8:$F$10000,MID(N19,1,3)*1,'[1]1_inventory_total_details'!$G$8:$G$10000,"="&amp;S19,'[1]1_inventory_total_details'!$H$8:$H$10000,"="&amp;T19,'[1]1_inventory_total_details'!$I$8:$I$10000,"="&amp;adj_date)+SUMIFS('[1]1_inventory_total_details'!$M$8:$M$10000,'[1]1_inventory_total_details'!$C$8:$C$10000,I19,'[1]1_inventory_total_details'!$F$8:$F$10000,MID(N19,1,3)*1,'[1]1_inventory_total_details'!$G$8:$G$10000,"="&amp;S19,'[1]1_inventory_total_details'!$H$8:$H$10000,"="&amp;T19,'[1]1_inventory_total_details'!$I$8:$I$10000,"="&amp;adj_date)+SUMIFS('[1]1_inventory_total_details'!$K$8:$K$10000,'[1]1_inventory_total_details'!$C$8:$C$10000,I19,'[1]1_inventory_total_details'!$F$8:$F$10000,MID(N19,1,3)*1,'[1]1_inventory_total_details'!$G$8:$G$10000,"="&amp;S19,'[1]1_inventory_total_details'!$H$8:$H$10000,"="&amp;T19,'[1]1_inventory_total_details'!$I$8:$I$10000,"="&amp;adj_date)+SUMIFS('[1]1_inventory_total_details'!$L$8:$L$10000,'[1]1_inventory_total_details'!$C$8:$C$10000,I19,'[1]1_inventory_total_details'!$F$8:$F$10000,MID(N19,1,3)*1,'[1]1_inventory_total_details'!$G$8:$G$10000,"="&amp;S19,'[1]1_inventory_total_details'!$H$8:$H$10000,"="&amp;T19,'[1]1_inventory_total_details'!$I$8:$I$10000,"="&amp;adj_date),SUMIFS('[1]2_inventory_total_details'!$J$8:$J$10000,'[1]2_inventory_total_details'!$C$8:$C$10000,I19,'[1]2_inventory_total_details'!$F$8:$F$10000,MID(N19,1,3)*1,'[1]2_inventory_total_details'!$G$8:$G$10000,"="&amp;S19,'[1]2_inventory_total_details'!$H$8:$H$10000,"="&amp;T19,'[1]2_inventory_total_details'!$I$8:$I$10000,"="&amp;adj_date)+SUMIFS('[1]2_inventory_total_details'!$M$8:$M$10000,'[1]1_inventory_total_details'!$C$8:$C$10000,I19,'[1]2_inventory_total_details'!$F$8:$F$10000,MID(N19,1,3)*1,'[1]2_inventory_total_details'!$G$8:$G$10000,"="&amp;S19,'[1]2_inventory_total_details'!$H$8:$H$10000,"="&amp;T19,'[1]2_inventory_total_details'!$I$8:$I$10000,"="&amp;adj_date)+SUMIFS('[1]2_inventory_total_details'!$K$8:$K$10000,'[1]2_inventory_total_details'!$C$8:$C$10000,I19,'[1]2_inventory_total_details'!$F$8:$F$10000,MID(N19,1,3)*1,'[1]2_inventory_total_details'!$G$8:$G$10000,"="&amp;S19,'[1]2_inventory_total_details'!$H$8:$H$10000,"="&amp;T19,'[1]2_inventory_total_details'!$I$8:$I$10000,"="&amp;adj_date)+SUMIFS('[1]2_inventory_total_details'!$L$8:$L$10000,'[1]2_inventory_total_details'!$C$8:$C$10000,I19,'[1]2_inventory_total_details'!$F$8:$F$10000,MID(N19,1,3)*1,'[1]2_inventory_total_details'!$G$8:$G$10000,"="&amp;S19,'[1]2_inventory_total_details'!$H$8:$H$10000,"="&amp;T19,'[1]2_inventory_total_details'!$I$8:$I$10000,"="&amp;adj_date)))</f>
        <v/>
      </c>
      <c r="AC19" s="270" t="str">
        <f>IF(L19="","",IF(MID(N19,1,3)*1=1,SUMIFS('[1]1_inventory_total_details'!$J$8:$J$10000,'[1]1_inventory_total_details'!$C$8:$C$10000,I19,'[1]1_inventory_total_details'!$F$8:$F$10000,MID(N19,1,3)*1,'[1]1_inventory_total_details'!$G$8:$G$10000,"="&amp;S19,'[1]1_inventory_total_details'!$H$8:$H$10000,"="&amp;T19,'[1]1_inventory_total_details'!$I$8:$I$10000,"="&amp;adj_date)+SUMIFS('[1]1_inventory_total_details'!$M$8:$M$10000,'[1]1_inventory_total_details'!$C$8:$C$10000,I19,'[1]1_inventory_total_details'!$F$8:$F$10000,MID(N19,1,3)*1,'[1]1_inventory_total_details'!$G$8:$G$10000,"="&amp;S19,'[1]1_inventory_total_details'!$H$8:$H$10000,"="&amp;T19,'[1]1_inventory_total_details'!$I$8:$I$10000,"="&amp;adj_date)+SUMIFS('[1]1_inventory_total_details'!$K$8:$K$10000,'[1]1_inventory_total_details'!$C$8:$C$10000,I19,'[1]1_inventory_total_details'!$F$8:$F$10000,MID(N19,1,3)*1,'[1]1_inventory_total_details'!$G$8:$G$10000,"="&amp;S19,'[1]1_inventory_total_details'!$H$8:$H$10000,"="&amp;T19,'[1]1_inventory_total_details'!$I$8:$I$10000,"="&amp;adj_date)+SUMIFS('[1]1_inventory_total_details'!$L$8:$L$10000,'[1]1_inventory_total_details'!$C$8:$C$10000,I19,'[1]1_inventory_total_details'!$F$8:$F$10000,MID(N19,1,3)*1,'[1]1_inventory_total_details'!$G$8:$G$10000,"="&amp;S19,'[1]1_inventory_total_details'!$H$8:$H$10000,"="&amp;T19,'[1]1_inventory_total_details'!$I$8:$I$10000,"="&amp;adj_date),SUMIFS('[1]2_inventory_total_details'!$J$8:$J$10000,'[1]2_inventory_total_details'!$C$8:$C$10000,I19,'[1]2_inventory_total_details'!$F$8:$F$10000,MID(N19,1,3)*1,'[1]2_inventory_total_details'!$G$8:$G$10000,"="&amp;S19,'[1]2_inventory_total_details'!$H$8:$H$10000,"="&amp;T19,'[1]2_inventory_total_details'!$I$8:$I$10000,"="&amp;adj_date)+SUMIFS('[1]2_inventory_total_details'!$M$8:$M$10000,'[1]1_inventory_total_details'!$C$8:$C$10000,I19,'[1]2_inventory_total_details'!$F$8:$F$10000,MID(N19,1,3)*1,'[1]2_inventory_total_details'!$G$8:$G$10000,"="&amp;S19,'[1]2_inventory_total_details'!$H$8:$H$10000,"="&amp;T19,'[1]2_inventory_total_details'!$I$8:$I$10000,"="&amp;adj_date)+SUMIFS('[1]2_inventory_total_details'!$K$8:$K$10000,'[1]2_inventory_total_details'!$C$8:$C$10000,I19,'[1]2_inventory_total_details'!$F$8:$F$10000,MID(N19,1,3)*1,'[1]2_inventory_total_details'!$G$8:$G$10000,"="&amp;S19,'[1]2_inventory_total_details'!$H$8:$H$10000,"="&amp;T19,'[1]2_inventory_total_details'!$I$8:$I$10000,"="&amp;adj_date)+SUMIFS('[1]2_inventory_total_details'!$L$8:$L$10000,'[1]2_inventory_total_details'!$C$8:$C$10000,I19,'[1]2_inventory_total_details'!$F$8:$F$10000,MID(N19,1,3)*1,'[1]2_inventory_total_details'!$G$8:$G$10000,"="&amp;S19,'[1]2_inventory_total_details'!$H$8:$H$10000,"="&amp;T19,'[1]2_inventory_total_details'!$I$8:$I$10000,"="&amp;adj_date)))</f>
        <v/>
      </c>
      <c r="AD19" s="270" t="str">
        <f>IF(L19="","",SUMIFS('[1]1_group_totals'!$J$8:$J$10000,'[1]1_group_totals'!$C$8:$C$10000,I19,'[1]1_group_totals'!$F$8:$F$10000,adj_location_group_id,'[1]1_group_totals'!$G$8:$G$10000,MID(N19,1,3)*1,'[1]1_group_totals'!$H$8:$H$10000,"="&amp;S19,'[1]1_group_totals'!$I$8:$I$10000,"="&amp;T19))</f>
        <v/>
      </c>
      <c r="AE19" s="1796" t="str">
        <f t="shared" si="11"/>
        <v/>
      </c>
      <c r="AF19" s="1797" t="str">
        <f>IF(ISNA(MATCH(MID(AE19,1,3)*1,UomConversion!$D$8:$D$500,0)),"",IF(AJ19&lt;&gt;"",AJ19,""))</f>
        <v/>
      </c>
      <c r="AG19" s="1797" t="str">
        <f>IF(AND(AH19&gt;0,COUNTIFS(UomConversion!$D$8:$D$500,MID(AE19,1,3)*1,UomConversion!$J$8:$J$500,1)&gt;1),TEXT(AH19,"000")&amp;"."&amp;VLOOKUP(AH19,uom_list,5,FALSE),"")</f>
        <v/>
      </c>
      <c r="AH19" s="270" t="str">
        <f t="shared" si="12"/>
        <v/>
      </c>
      <c r="AI19" s="270" t="str">
        <f t="shared" si="13"/>
        <v/>
      </c>
      <c r="AJ19" s="270" t="str">
        <f t="shared" si="14"/>
        <v/>
      </c>
      <c r="AK19" s="270" t="str" cm="1">
        <f t="array" ref="AK19">IF(L19="","",Slookup(MID(AE19,1,3)*1,UomConversion!$D$8:$J$500,2,UomConversion!$I$8:$I$500,1,UomConversion!$J$8:$J$500,1))</f>
        <v/>
      </c>
      <c r="AL19" s="270" t="str">
        <f t="shared" si="15"/>
        <v/>
      </c>
      <c r="AM19" s="270" t="str">
        <f>IF(L19="","",(SUMIFS('[1]1_group_totals'!$K$8:$K$10000,'[1]1_group_totals'!$C$8:$C$10000,I19,'[1]1_group_totals'!$F$8:$F$10000,adj_location_group_id,'[1]1_group_totals'!$G$8:$G$10000,MID(N19,1,3)*1,'[1]1_group_totals'!$H$8:$H$10000,"="&amp;S19,'[1]1_group_totals'!$I$8:$I$10000,"="&amp;T19)+SUMIFS('[1]1_group_totals'!$N$8:$N$10000,'[1]1_group_totals'!$C$8:$C$10000,I19,'[1]1_group_totals'!$F$8:$F$10000,adj_location_group_id,'[1]1_group_totals'!$G$8:$G$10000,MID(N19,1,3)*1,'[1]1_group_totals'!$H$8:$H$10000,"="&amp;S19,'[1]1_group_totals'!$I$8:$I$10000,"="&amp;T19)+SUMIFS('[1]1_group_totals'!$P$8:$P$10000,'[1]1_group_totals'!$C$8:$C$10000,I19,'[1]1_group_totals'!$F$8:$F$10000,adj_location_group_id,'[1]1_group_totals'!$G$8:$G$10000,MID(N19,1,3)*1,'[1]1_group_totals'!$H$8:$H$10000,"="&amp;S19,'[1]1_group_totals'!$I$8:$I$10000,"="&amp;T19)+SUMIFS('[1]1_group_totals'!$Q$8:$Q$10000,'[1]1_group_totals'!$C$8:$C$10000,I19,'[1]1_group_totals'!$F$8:$F$10000,adj_location_group_id,'[1]1_group_totals'!$G$8:$G$10000,MID(N19,1,3)*1,'[1]1_group_totals'!$H$8:$H$10000,"="&amp;S19,'[1]1_group_totals'!$I$8:$I$10000,"="&amp;T19))+(SUMIFS('[1]1_group_totals'!$L$8:$L$10000,'[1]1_group_totals'!$C$8:$C$10000,I19,'[1]1_group_totals'!$F$8:$F$10000,adj_location_group_id,'[1]1_group_totals'!$G$8:$G$10000,MID(N19,1,3)*1,'[1]1_group_totals'!$H$8:$H$10000,"="&amp;S19,'[1]1_group_totals'!$I$8:$I$10000,"="&amp;T19)+SUMIFS('[1]1_group_totals'!$M$8:$M$10000,'[1]1_group_totals'!$C$8:$C$10000,I19,'[1]1_group_totals'!$F$8:$F$10000,adj_location_group_id,'[1]1_group_totals'!$G$8:$G$10000,MID(N19,1,3)*1,'[1]1_group_totals'!$H$8:$H$10000,"="&amp;S19,'[1]1_group_totals'!$I$8:$I$10000,"="&amp;T19)+SUMIFS('[1]1_group_totals'!$O$8:$O$10000,'[1]1_group_totals'!$C$8:$C$10000,I19,'[1]1_group_totals'!$F$8:$F$10000,adj_location_group_id,'[1]1_group_totals'!$G$8:$G$10000,MID(N19,1,3)*1,'[1]1_group_totals'!$H$8:$H$10000,"="&amp;S19,'[1]1_group_totals'!$I$8:$I$10000,"="&amp;T19)+SUMIFS('[1]1_group_totals'!$R$8:$R$10000,'[1]1_group_totals'!$C$8:$C$10000,I19,'[1]1_group_totals'!$F$8:$F$10000,adj_location_group_id,'[1]1_group_totals'!$G$8:$G$10000,MID(N19,1,3)*1,'[1]1_group_totals'!$H$8:$H$10000,"="&amp;S19,'[1]1_group_totals'!$I$8:$I$10000,"="&amp;T19)))</f>
        <v/>
      </c>
      <c r="AN19" s="270" t="str">
        <f>IF(L19="","",(SUMIFS('[1]1_inventory_totals'!$I$8:$I$10000,'[1]1_inventory_totals'!$C$8:$C$10000,I19,'[1]1_inventory_totals'!$F$8:$F$10000,"="&amp;S19,'[1]1_inventory_totals'!$G$8:$G$10000,"="&amp;T19)+SUMIFS('[1]1_inventory_totals'!$N$8:$N$10000,'[1]1_inventory_totals'!$C$8:$C$10000,I19,'[1]1_inventory_totals'!$F$8:$F$10000,"="&amp;S19,'[1]1_inventory_totals'!$G$8:$G$10000,"="&amp;T19)+SUMIFS('[1]1_inventory_totals'!$P$8:$P$10000,'[1]1_inventory_totals'!$C$8:$C$10000,I19,'[1]1_inventory_totals'!$F$8:$F$10000,"="&amp;S19,'[1]1_inventory_totals'!$G$8:$G$10000,"="&amp;T19)+SUMIFS('[1]1_inventory_totals'!$Q$8:$Q$10000,'[1]1_inventory_totals'!$C$8:$C$10000,I19,'[1]1_inventory_totals'!$F$8:$F$10000,"="&amp;S19,'[1]1_inventory_totals'!$G$8:$G$10000,"="&amp;T19)+SUMIFS('[1]1_inventory_totals'!$R$8:$R$10000,'[1]1_inventory_totals'!$C$8:$C$10000,I19,'[1]1_inventory_totals'!$F$8:$F$10000,"="&amp;S19,'[1]1_inventory_totals'!$G$8:$G$10000,"="&amp;T19))+(SUMIFS('[1]1_inventory_totals'!$J$8:$J$10000,'[1]1_inventory_totals'!$C$8:$C$10000,I19,'[1]1_inventory_totals'!$F$8:$F$10000,"="&amp;S19,'[1]1_inventory_totals'!$G$8:$G$10000,"="&amp;T19)+SUMIFS('[1]1_inventory_totals'!$K$8:$K$10000,'[1]1_inventory_totals'!$C$8:$C$10000,I19,'[1]1_inventory_totals'!$F$8:$F$10000,"="&amp;S19,'[1]1_inventory_totals'!$G$8:$G$10000,"="&amp;T19)+SUMIFS('[1]1_inventory_totals'!$L$8:$L$10000,'[1]1_inventory_totals'!$C$8:$C$10000,I19,'[1]1_inventory_totals'!$F$8:$F$10000,"="&amp;S19,'[1]1_inventory_totals'!$G$8:$G$10000,"="&amp;T19)+SUMIFS('[1]1_inventory_totals'!$M$8:$M$10000,'[1]1_inventory_totals'!$C$8:$C$10000,I19,'[1]1_inventory_totals'!$F$8:$F$10000,"="&amp;S19,'[1]1_inventory_totals'!$G$8:$G$10000,"="&amp;T19)+SUMIFS('[1]1_inventory_totals'!$O$8:$O$10000,'[1]1_inventory_totals'!$C$8:$C$10000,I19,'[1]1_inventory_totals'!$F$8:$F$10000,"="&amp;S19,'[1]1_inventory_totals'!$G$8:$G$10000,"="&amp;T19)+SUMIFS('[1]1_inventory_totals'!$S$8:$S$10000,'[1]1_inventory_totals'!$C$8:$C$10000,I19,'[1]1_inventory_totals'!$F$8:$F$10000,"="&amp;S19,'[1]1_inventory_totals'!$G$8:$G$10000,"="&amp;T19)))</f>
        <v/>
      </c>
      <c r="AO19" s="270" t="str">
        <f>IF(L19="","",(SUMIFS('[1]2_inventory_totals'!$I$8:$I$10000,'[1]2_inventory_totals'!$C$8:$C$10000,I19,'[1]2_inventory_totals'!$F$8:$F$10000,"="&amp;S19,'[1]2_inventory_totals'!$G$8:$G$10000,"="&amp;T19)+SUMIFS('[1]2_inventory_totals'!$N$8:$N$10000,'[1]2_inventory_totals'!$C$8:$C$10000,I19,'[1]2_inventory_totals'!$F$8:$F$10000,"="&amp;S19,'[1]2_inventory_totals'!$G$8:$G$10000,"="&amp;T19)+SUMIFS('[1]2_inventory_totals'!$P$8:$P$10000,'[1]2_inventory_totals'!$C$8:$C$10000,I19,'[1]2_inventory_totals'!$F$8:$F$10000,"="&amp;S19,'[1]2_inventory_totals'!$G$8:$G$10000,"="&amp;T19)+SUMIFS('[1]2_inventory_totals'!$Q$8:$Q$10000,'[1]2_inventory_totals'!$C$8:$C$10000,I19,'[1]2_inventory_totals'!$F$8:$F$10000,"="&amp;S19,'[1]2_inventory_totals'!$G$8:$G$10000,"="&amp;T19)+SUMIFS('[1]2_inventory_totals'!$R$8:$R$10000,'[1]2_inventory_totals'!$C$8:$C$10000,I19,'[1]2_inventory_totals'!$F$8:$F$10000,"="&amp;S19,'[1]2_inventory_totals'!$G$8:$G$10000,"="&amp;T19))+(SUMIFS('[1]2_inventory_totals'!$J$8:$J$10000,'[1]2_inventory_totals'!$C$8:$C$10000,I19,'[1]2_inventory_totals'!$F$8:$F$10000,"="&amp;S19,'[1]2_inventory_totals'!$G$8:$G$10000,"="&amp;T19)+SUMIFS('[1]2_inventory_totals'!$K$8:$K$10000,'[1]2_inventory_totals'!$C$8:$C$10000,I19,'[1]2_inventory_totals'!$F$8:$F$10000,"="&amp;S19,'[1]2_inventory_totals'!$G$8:$G$10000,"="&amp;T19)+SUMIFS('[1]2_inventory_totals'!$L$8:$L$10000,'[1]2_inventory_totals'!$C$8:$C$10000,I19,'[1]2_inventory_totals'!$F$8:$F$10000,"="&amp;S19,'[1]2_inventory_totals'!$G$8:$G$10000,"="&amp;T19)+SUMIFS('[1]2_inventory_totals'!$M$8:$M$10000,'[1]2_inventory_totals'!$C$8:$C$10000,I19,'[1]2_inventory_totals'!$F$8:$F$10000,"="&amp;S19,'[1]2_inventory_totals'!$G$8:$G$10000,"="&amp;T19)+SUMIFS('[1]2_inventory_totals'!$O$8:$O$10000,'[1]2_inventory_totals'!$C$8:$C$10000,I19,'[1]2_inventory_totals'!$F$8:$F$10000,"="&amp;S19,'[1]2_inventory_totals'!$G$8:$G$10000,"="&amp;T19)+SUMIFS('[1]2_inventory_totals'!$S$8:$S$10000,'[1]2_inventory_totals'!$C$8:$C$10000,I19,'[1]2_inventory_totals'!$F$8:$F$10000,"="&amp;S19,'[1]2_inventory_totals'!$G$8:$G$10000,"="&amp;T19)))</f>
        <v/>
      </c>
      <c r="AP19" s="954"/>
    </row>
    <row r="20" spans="1:42" ht="27" customHeight="1">
      <c r="A20" s="923"/>
      <c r="B20" s="1172"/>
      <c r="E20" s="1196"/>
      <c r="F20" s="1197"/>
      <c r="I20" s="1610" t="str">
        <f t="shared" si="5"/>
        <v/>
      </c>
      <c r="J20" s="270" t="str">
        <f t="shared" si="6"/>
        <v/>
      </c>
      <c r="K20" s="813" t="str">
        <f t="shared" si="0"/>
        <v/>
      </c>
      <c r="L20" s="1184"/>
      <c r="M20" s="1185"/>
      <c r="N20" s="1186"/>
      <c r="O20" s="1534"/>
      <c r="P20" s="336" t="str">
        <f t="shared" si="7"/>
        <v/>
      </c>
      <c r="Q20" s="336" t="str">
        <f>IF(L20="","",IF(AD20=0,0,(SUMIFS('[1]1_group_total_details'!$I$8:$I$10000,'[1]1_group_total_details'!$C$8:$C$10000,I20,'[1]1_group_total_details'!$F$8:$F$10000,adj_location_group_id,'[1]1_group_total_details'!$G$8:$G$10000,MID(N20,1,3)*1,'[1]1_group_total_details'!$H$8:$H$10000,"&lt;="&amp;adj_date)+SUMIFS('[1]1_group_total_details'!$L$8:$L$10000,'[1]1_group_total_details'!$C$8:$C$10000,I20,'[1]1_group_total_details'!$F$8:$F$10000,adj_location_group_id,'[1]1_group_total_details'!$G$8:$G$10000,MID(N20,1,3)*1,'[1]1_group_total_details'!$H$8:$H$10000,"&lt;="&amp;adj_date)+SUMIFS('[1]1_group_total_details'!$N$8:$N$10000,'[1]1_group_total_details'!$C$8:$C$10000,I20,'[1]1_group_total_details'!$F$8:$F$10000,adj_location_group_id,'[1]1_group_total_details'!$G$8:$G$10000,MID(N20,1,3)*1,'[1]1_group_total_details'!$H$8:$H$10000,"&lt;="&amp;adj_date)+SUMIFS('[1]1_group_total_details'!$O$8:$O$10000,'[1]1_group_total_details'!$C$8:$C$10000,I20,'[1]1_group_total_details'!$F$8:$F$10000,adj_location_group_id,'[1]1_group_total_details'!$G$8:$G$10000,MID(N20,1,3)*1,'[1]1_group_total_details'!$H$8:$H$10000,"&lt;="&amp;adj_date))-(SUMIFS('[1]1_group_total_details'!$J$8:$J$10000,'[1]1_group_total_details'!$C$8:$C$10000,I20,'[1]1_group_total_details'!$F$8:$F$10000,adj_location_group_id,'[1]1_group_total_details'!$G$8:$G$10000,MID(N20,1,3)*1,'[1]1_group_total_details'!$H$8:$H$10000,"&lt;="&amp;adj_date)+SUMIFS('[1]1_group_total_details'!$K$8:$K$10000,'[1]1_group_total_details'!$C$8:$C$10000,I20,'[1]1_group_total_details'!$F$8:$F$10000,adj_location_group_id,'[1]1_group_total_details'!$G$8:$G$10000,MID(N20,1,3)*1,'[1]1_group_total_details'!$H$8:$H$10000,"&lt;="&amp;adj_date)+SUMIFS('[1]1_group_total_details'!$M$8:$M$10000,'[1]1_group_total_details'!$C$8:$C$10000,I20,'[1]1_group_total_details'!$F$8:$F$10000,adj_location_group_id,'[1]1_group_total_details'!$G$8:$G$10000,MID(N20,1,3)*1,'[1]1_group_total_details'!$H$8:$H$10000,"&lt;="&amp;adj_date)+SUMIFS('[1]1_group_total_details'!$P$8:$P$10000,'[1]1_group_total_details'!$C$8:$C$10000,I20,'[1]1_group_total_details'!$F$8:$F$10000,adj_location_group_id,'[1]1_group_total_details'!$G$8:$G$10000,MID(N20,1,3)*1,'[1]1_group_total_details'!$H$8:$H$10000,"&lt;="&amp;adj_date))))</f>
        <v/>
      </c>
      <c r="R20" s="1187"/>
      <c r="S20" s="1186"/>
      <c r="T20" s="1186"/>
      <c r="U20" s="1184"/>
      <c r="V20" s="270" t="str" cm="1">
        <f t="array" ref="V20">IF(L20="","",IF(M20=AE20,1,Slookup(MID(AE20,1,3)*1,UomConversion!$D$8:$J$500,5,UomConversion!$E$8:$E$500,MID(M20,1,3)*1,UomConversion!$J$8:$J$500,1)))</f>
        <v/>
      </c>
      <c r="W20" s="270" t="str">
        <f t="shared" si="8"/>
        <v/>
      </c>
      <c r="X20" s="1795" t="str">
        <f t="shared" si="9"/>
        <v/>
      </c>
      <c r="Y20" s="1795" t="str">
        <f t="shared" si="10"/>
        <v/>
      </c>
      <c r="Z20" s="270" t="str">
        <f>IF(I20="","",IF(ISNA(MATCH(I20,IF(MID(N20,1,3)*1=1,'[1]1_inventory_totals'!$C$8:$C$10000,IF(MID(N20,1,3)*1=2,'[1]2_inventory_totals'!$C$8:$C$10000,"")),0)),0,IF(AL20&gt;0,1,0)))</f>
        <v/>
      </c>
      <c r="AA20" s="270" t="str">
        <f>IF(L20="","",IF(MID(N20,1,3)*1=1,SUMIFS('[1]1_inventory_total_details'!$J$8:$J$10000,'[1]1_inventory_total_details'!$C$8:$C$10000,I20,'[1]1_inventory_total_details'!$F$8:$F$10000,MID(N20,1,3)*1,'[1]1_inventory_total_details'!$G$8:$G$10000,"="&amp;S20,'[1]1_inventory_total_details'!$H$8:$H$10000,"="&amp;T20,'[1]1_inventory_total_details'!$I$8:$I$10000,"="&amp;adj_date)+SUMIFS('[1]1_inventory_total_details'!$M$8:$M$10000,'[1]1_inventory_total_details'!$C$8:$C$10000,I20,'[1]1_inventory_total_details'!$F$8:$F$10000,MID(N20,1,3)*1,'[1]1_inventory_total_details'!$G$8:$G$10000,"="&amp;S20,'[1]1_inventory_total_details'!$H$8:$H$10000,"="&amp;T20,'[1]1_inventory_total_details'!$I$8:$I$10000,"="&amp;adj_date)+SUMIFS('[1]1_inventory_total_details'!$K$8:$K$10000,'[1]1_inventory_total_details'!$C$8:$C$10000,I20,'[1]1_inventory_total_details'!$F$8:$F$10000,MID(N20,1,3)*1,'[1]1_inventory_total_details'!$G$8:$G$10000,"="&amp;S20,'[1]1_inventory_total_details'!$H$8:$H$10000,"="&amp;T20,'[1]1_inventory_total_details'!$I$8:$I$10000,"="&amp;adj_date)+SUMIFS('[1]1_inventory_total_details'!$L$8:$L$10000,'[1]1_inventory_total_details'!$C$8:$C$10000,I20,'[1]1_inventory_total_details'!$F$8:$F$10000,MID(N20,1,3)*1,'[1]1_inventory_total_details'!$G$8:$G$10000,"="&amp;S20,'[1]1_inventory_total_details'!$H$8:$H$10000,"="&amp;T20,'[1]1_inventory_total_details'!$I$8:$I$10000,"="&amp;adj_date),SUMIFS('[1]2_inventory_total_details'!$J$8:$J$10000,'[1]2_inventory_total_details'!$C$8:$C$10000,I20,'[1]2_inventory_total_details'!$F$8:$F$10000,MID(N20,1,3)*1,'[1]2_inventory_total_details'!$G$8:$G$10000,"="&amp;S20,'[1]2_inventory_total_details'!$H$8:$H$10000,"="&amp;T20,'[1]2_inventory_total_details'!$I$8:$I$10000,"="&amp;adj_date)+SUMIFS('[1]2_inventory_total_details'!$M$8:$M$10000,'[1]1_inventory_total_details'!$C$8:$C$10000,I20,'[1]2_inventory_total_details'!$F$8:$F$10000,MID(N20,1,3)*1,'[1]2_inventory_total_details'!$G$8:$G$10000,"="&amp;S20,'[1]2_inventory_total_details'!$H$8:$H$10000,"="&amp;T20,'[1]2_inventory_total_details'!$I$8:$I$10000,"="&amp;adj_date)+SUMIFS('[1]2_inventory_total_details'!$K$8:$K$10000,'[1]2_inventory_total_details'!$C$8:$C$10000,I20,'[1]2_inventory_total_details'!$F$8:$F$10000,MID(N20,1,3)*1,'[1]2_inventory_total_details'!$G$8:$G$10000,"="&amp;S20,'[1]2_inventory_total_details'!$H$8:$H$10000,"="&amp;T20,'[1]2_inventory_total_details'!$I$8:$I$10000,"="&amp;adj_date)+SUMIFS('[1]2_inventory_total_details'!$L$8:$L$10000,'[1]2_inventory_total_details'!$C$8:$C$10000,I20,'[1]2_inventory_total_details'!$F$8:$F$10000,MID(N20,1,3)*1,'[1]2_inventory_total_details'!$G$8:$G$10000,"="&amp;S20,'[1]2_inventory_total_details'!$H$8:$H$10000,"="&amp;T20,'[1]2_inventory_total_details'!$I$8:$I$10000,"="&amp;adj_date)))</f>
        <v/>
      </c>
      <c r="AB20" s="270" t="str">
        <f>IF(L20="","",IF(MID(N20,1,3)*1=1,SUMIFS('[1]1_inventory_total_details'!$J$8:$J$10000,'[1]1_inventory_total_details'!$C$8:$C$10000,I20,'[1]1_inventory_total_details'!$F$8:$F$10000,MID(N20,1,3)*1,'[1]1_inventory_total_details'!$G$8:$G$10000,"="&amp;S20,'[1]1_inventory_total_details'!$H$8:$H$10000,"="&amp;T20,'[1]1_inventory_total_details'!$I$8:$I$10000,"="&amp;adj_date)+SUMIFS('[1]1_inventory_total_details'!$M$8:$M$10000,'[1]1_inventory_total_details'!$C$8:$C$10000,I20,'[1]1_inventory_total_details'!$F$8:$F$10000,MID(N20,1,3)*1,'[1]1_inventory_total_details'!$G$8:$G$10000,"="&amp;S20,'[1]1_inventory_total_details'!$H$8:$H$10000,"="&amp;T20,'[1]1_inventory_total_details'!$I$8:$I$10000,"="&amp;adj_date)+SUMIFS('[1]1_inventory_total_details'!$K$8:$K$10000,'[1]1_inventory_total_details'!$C$8:$C$10000,I20,'[1]1_inventory_total_details'!$F$8:$F$10000,MID(N20,1,3)*1,'[1]1_inventory_total_details'!$G$8:$G$10000,"="&amp;S20,'[1]1_inventory_total_details'!$H$8:$H$10000,"="&amp;T20,'[1]1_inventory_total_details'!$I$8:$I$10000,"="&amp;adj_date)+SUMIFS('[1]1_inventory_total_details'!$L$8:$L$10000,'[1]1_inventory_total_details'!$C$8:$C$10000,I20,'[1]1_inventory_total_details'!$F$8:$F$10000,MID(N20,1,3)*1,'[1]1_inventory_total_details'!$G$8:$G$10000,"="&amp;S20,'[1]1_inventory_total_details'!$H$8:$H$10000,"="&amp;T20,'[1]1_inventory_total_details'!$I$8:$I$10000,"="&amp;adj_date),SUMIFS('[1]2_inventory_total_details'!$J$8:$J$10000,'[1]2_inventory_total_details'!$C$8:$C$10000,I20,'[1]2_inventory_total_details'!$F$8:$F$10000,MID(N20,1,3)*1,'[1]2_inventory_total_details'!$G$8:$G$10000,"="&amp;S20,'[1]2_inventory_total_details'!$H$8:$H$10000,"="&amp;T20,'[1]2_inventory_total_details'!$I$8:$I$10000,"="&amp;adj_date)+SUMIFS('[1]2_inventory_total_details'!$M$8:$M$10000,'[1]1_inventory_total_details'!$C$8:$C$10000,I20,'[1]2_inventory_total_details'!$F$8:$F$10000,MID(N20,1,3)*1,'[1]2_inventory_total_details'!$G$8:$G$10000,"="&amp;S20,'[1]2_inventory_total_details'!$H$8:$H$10000,"="&amp;T20,'[1]2_inventory_total_details'!$I$8:$I$10000,"="&amp;adj_date)+SUMIFS('[1]2_inventory_total_details'!$K$8:$K$10000,'[1]2_inventory_total_details'!$C$8:$C$10000,I20,'[1]2_inventory_total_details'!$F$8:$F$10000,MID(N20,1,3)*1,'[1]2_inventory_total_details'!$G$8:$G$10000,"="&amp;S20,'[1]2_inventory_total_details'!$H$8:$H$10000,"="&amp;T20,'[1]2_inventory_total_details'!$I$8:$I$10000,"="&amp;adj_date)+SUMIFS('[1]2_inventory_total_details'!$L$8:$L$10000,'[1]2_inventory_total_details'!$C$8:$C$10000,I20,'[1]2_inventory_total_details'!$F$8:$F$10000,MID(N20,1,3)*1,'[1]2_inventory_total_details'!$G$8:$G$10000,"="&amp;S20,'[1]2_inventory_total_details'!$H$8:$H$10000,"="&amp;T20,'[1]2_inventory_total_details'!$I$8:$I$10000,"="&amp;adj_date)))</f>
        <v/>
      </c>
      <c r="AC20" s="270" t="str">
        <f>IF(L20="","",IF(MID(N20,1,3)*1=1,SUMIFS('[1]1_inventory_total_details'!$J$8:$J$10000,'[1]1_inventory_total_details'!$C$8:$C$10000,I20,'[1]1_inventory_total_details'!$F$8:$F$10000,MID(N20,1,3)*1,'[1]1_inventory_total_details'!$G$8:$G$10000,"="&amp;S20,'[1]1_inventory_total_details'!$H$8:$H$10000,"="&amp;T20,'[1]1_inventory_total_details'!$I$8:$I$10000,"="&amp;adj_date)+SUMIFS('[1]1_inventory_total_details'!$M$8:$M$10000,'[1]1_inventory_total_details'!$C$8:$C$10000,I20,'[1]1_inventory_total_details'!$F$8:$F$10000,MID(N20,1,3)*1,'[1]1_inventory_total_details'!$G$8:$G$10000,"="&amp;S20,'[1]1_inventory_total_details'!$H$8:$H$10000,"="&amp;T20,'[1]1_inventory_total_details'!$I$8:$I$10000,"="&amp;adj_date)+SUMIFS('[1]1_inventory_total_details'!$K$8:$K$10000,'[1]1_inventory_total_details'!$C$8:$C$10000,I20,'[1]1_inventory_total_details'!$F$8:$F$10000,MID(N20,1,3)*1,'[1]1_inventory_total_details'!$G$8:$G$10000,"="&amp;S20,'[1]1_inventory_total_details'!$H$8:$H$10000,"="&amp;T20,'[1]1_inventory_total_details'!$I$8:$I$10000,"="&amp;adj_date)+SUMIFS('[1]1_inventory_total_details'!$L$8:$L$10000,'[1]1_inventory_total_details'!$C$8:$C$10000,I20,'[1]1_inventory_total_details'!$F$8:$F$10000,MID(N20,1,3)*1,'[1]1_inventory_total_details'!$G$8:$G$10000,"="&amp;S20,'[1]1_inventory_total_details'!$H$8:$H$10000,"="&amp;T20,'[1]1_inventory_total_details'!$I$8:$I$10000,"="&amp;adj_date),SUMIFS('[1]2_inventory_total_details'!$J$8:$J$10000,'[1]2_inventory_total_details'!$C$8:$C$10000,I20,'[1]2_inventory_total_details'!$F$8:$F$10000,MID(N20,1,3)*1,'[1]2_inventory_total_details'!$G$8:$G$10000,"="&amp;S20,'[1]2_inventory_total_details'!$H$8:$H$10000,"="&amp;T20,'[1]2_inventory_total_details'!$I$8:$I$10000,"="&amp;adj_date)+SUMIFS('[1]2_inventory_total_details'!$M$8:$M$10000,'[1]1_inventory_total_details'!$C$8:$C$10000,I20,'[1]2_inventory_total_details'!$F$8:$F$10000,MID(N20,1,3)*1,'[1]2_inventory_total_details'!$G$8:$G$10000,"="&amp;S20,'[1]2_inventory_total_details'!$H$8:$H$10000,"="&amp;T20,'[1]2_inventory_total_details'!$I$8:$I$10000,"="&amp;adj_date)+SUMIFS('[1]2_inventory_total_details'!$K$8:$K$10000,'[1]2_inventory_total_details'!$C$8:$C$10000,I20,'[1]2_inventory_total_details'!$F$8:$F$10000,MID(N20,1,3)*1,'[1]2_inventory_total_details'!$G$8:$G$10000,"="&amp;S20,'[1]2_inventory_total_details'!$H$8:$H$10000,"="&amp;T20,'[1]2_inventory_total_details'!$I$8:$I$10000,"="&amp;adj_date)+SUMIFS('[1]2_inventory_total_details'!$L$8:$L$10000,'[1]2_inventory_total_details'!$C$8:$C$10000,I20,'[1]2_inventory_total_details'!$F$8:$F$10000,MID(N20,1,3)*1,'[1]2_inventory_total_details'!$G$8:$G$10000,"="&amp;S20,'[1]2_inventory_total_details'!$H$8:$H$10000,"="&amp;T20,'[1]2_inventory_total_details'!$I$8:$I$10000,"="&amp;adj_date)))</f>
        <v/>
      </c>
      <c r="AD20" s="270" t="str">
        <f>IF(L20="","",SUMIFS('[1]1_group_totals'!$J$8:$J$10000,'[1]1_group_totals'!$C$8:$C$10000,I20,'[1]1_group_totals'!$F$8:$F$10000,adj_location_group_id,'[1]1_group_totals'!$G$8:$G$10000,MID(N20,1,3)*1,'[1]1_group_totals'!$H$8:$H$10000,"="&amp;S20,'[1]1_group_totals'!$I$8:$I$10000,"="&amp;T20))</f>
        <v/>
      </c>
      <c r="AE20" s="1796" t="str">
        <f t="shared" si="11"/>
        <v/>
      </c>
      <c r="AF20" s="1797" t="str">
        <f>IF(ISNA(MATCH(MID(AE20,1,3)*1,UomConversion!$D$8:$D$500,0)),"",IF(AJ20&lt;&gt;"",AJ20,""))</f>
        <v/>
      </c>
      <c r="AG20" s="1797" t="str">
        <f>IF(AND(AH20&gt;0,COUNTIFS(UomConversion!$D$8:$D$500,MID(AE20,1,3)*1,UomConversion!$J$8:$J$500,1)&gt;1),TEXT(AH20,"000")&amp;"."&amp;VLOOKUP(AH20,uom_list,5,FALSE),"")</f>
        <v/>
      </c>
      <c r="AH20" s="270" t="str">
        <f t="shared" si="12"/>
        <v/>
      </c>
      <c r="AI20" s="270" t="str">
        <f t="shared" si="13"/>
        <v/>
      </c>
      <c r="AJ20" s="270" t="str">
        <f t="shared" si="14"/>
        <v/>
      </c>
      <c r="AK20" s="270" t="str" cm="1">
        <f t="array" ref="AK20">IF(L20="","",Slookup(MID(AE20,1,3)*1,UomConversion!$D$8:$J$500,2,UomConversion!$I$8:$I$500,1,UomConversion!$J$8:$J$500,1))</f>
        <v/>
      </c>
      <c r="AL20" s="270" t="str">
        <f t="shared" si="15"/>
        <v/>
      </c>
      <c r="AM20" s="270" t="str">
        <f>IF(L20="","",(SUMIFS('[1]1_group_totals'!$K$8:$K$10000,'[1]1_group_totals'!$C$8:$C$10000,I20,'[1]1_group_totals'!$F$8:$F$10000,adj_location_group_id,'[1]1_group_totals'!$G$8:$G$10000,MID(N20,1,3)*1,'[1]1_group_totals'!$H$8:$H$10000,"="&amp;S20,'[1]1_group_totals'!$I$8:$I$10000,"="&amp;T20)+SUMIFS('[1]1_group_totals'!$N$8:$N$10000,'[1]1_group_totals'!$C$8:$C$10000,I20,'[1]1_group_totals'!$F$8:$F$10000,adj_location_group_id,'[1]1_group_totals'!$G$8:$G$10000,MID(N20,1,3)*1,'[1]1_group_totals'!$H$8:$H$10000,"="&amp;S20,'[1]1_group_totals'!$I$8:$I$10000,"="&amp;T20)+SUMIFS('[1]1_group_totals'!$P$8:$P$10000,'[1]1_group_totals'!$C$8:$C$10000,I20,'[1]1_group_totals'!$F$8:$F$10000,adj_location_group_id,'[1]1_group_totals'!$G$8:$G$10000,MID(N20,1,3)*1,'[1]1_group_totals'!$H$8:$H$10000,"="&amp;S20,'[1]1_group_totals'!$I$8:$I$10000,"="&amp;T20)+SUMIFS('[1]1_group_totals'!$Q$8:$Q$10000,'[1]1_group_totals'!$C$8:$C$10000,I20,'[1]1_group_totals'!$F$8:$F$10000,adj_location_group_id,'[1]1_group_totals'!$G$8:$G$10000,MID(N20,1,3)*1,'[1]1_group_totals'!$H$8:$H$10000,"="&amp;S20,'[1]1_group_totals'!$I$8:$I$10000,"="&amp;T20))+(SUMIFS('[1]1_group_totals'!$L$8:$L$10000,'[1]1_group_totals'!$C$8:$C$10000,I20,'[1]1_group_totals'!$F$8:$F$10000,adj_location_group_id,'[1]1_group_totals'!$G$8:$G$10000,MID(N20,1,3)*1,'[1]1_group_totals'!$H$8:$H$10000,"="&amp;S20,'[1]1_group_totals'!$I$8:$I$10000,"="&amp;T20)+SUMIFS('[1]1_group_totals'!$M$8:$M$10000,'[1]1_group_totals'!$C$8:$C$10000,I20,'[1]1_group_totals'!$F$8:$F$10000,adj_location_group_id,'[1]1_group_totals'!$G$8:$G$10000,MID(N20,1,3)*1,'[1]1_group_totals'!$H$8:$H$10000,"="&amp;S20,'[1]1_group_totals'!$I$8:$I$10000,"="&amp;T20)+SUMIFS('[1]1_group_totals'!$O$8:$O$10000,'[1]1_group_totals'!$C$8:$C$10000,I20,'[1]1_group_totals'!$F$8:$F$10000,adj_location_group_id,'[1]1_group_totals'!$G$8:$G$10000,MID(N20,1,3)*1,'[1]1_group_totals'!$H$8:$H$10000,"="&amp;S20,'[1]1_group_totals'!$I$8:$I$10000,"="&amp;T20)+SUMIFS('[1]1_group_totals'!$R$8:$R$10000,'[1]1_group_totals'!$C$8:$C$10000,I20,'[1]1_group_totals'!$F$8:$F$10000,adj_location_group_id,'[1]1_group_totals'!$G$8:$G$10000,MID(N20,1,3)*1,'[1]1_group_totals'!$H$8:$H$10000,"="&amp;S20,'[1]1_group_totals'!$I$8:$I$10000,"="&amp;T20)))</f>
        <v/>
      </c>
      <c r="AN20" s="270" t="str">
        <f>IF(L20="","",(SUMIFS('[1]1_inventory_totals'!$I$8:$I$10000,'[1]1_inventory_totals'!$C$8:$C$10000,I20,'[1]1_inventory_totals'!$F$8:$F$10000,"="&amp;S20,'[1]1_inventory_totals'!$G$8:$G$10000,"="&amp;T20)+SUMIFS('[1]1_inventory_totals'!$N$8:$N$10000,'[1]1_inventory_totals'!$C$8:$C$10000,I20,'[1]1_inventory_totals'!$F$8:$F$10000,"="&amp;S20,'[1]1_inventory_totals'!$G$8:$G$10000,"="&amp;T20)+SUMIFS('[1]1_inventory_totals'!$P$8:$P$10000,'[1]1_inventory_totals'!$C$8:$C$10000,I20,'[1]1_inventory_totals'!$F$8:$F$10000,"="&amp;S20,'[1]1_inventory_totals'!$G$8:$G$10000,"="&amp;T20)+SUMIFS('[1]1_inventory_totals'!$Q$8:$Q$10000,'[1]1_inventory_totals'!$C$8:$C$10000,I20,'[1]1_inventory_totals'!$F$8:$F$10000,"="&amp;S20,'[1]1_inventory_totals'!$G$8:$G$10000,"="&amp;T20)+SUMIFS('[1]1_inventory_totals'!$R$8:$R$10000,'[1]1_inventory_totals'!$C$8:$C$10000,I20,'[1]1_inventory_totals'!$F$8:$F$10000,"="&amp;S20,'[1]1_inventory_totals'!$G$8:$G$10000,"="&amp;T20))+(SUMIFS('[1]1_inventory_totals'!$J$8:$J$10000,'[1]1_inventory_totals'!$C$8:$C$10000,I20,'[1]1_inventory_totals'!$F$8:$F$10000,"="&amp;S20,'[1]1_inventory_totals'!$G$8:$G$10000,"="&amp;T20)+SUMIFS('[1]1_inventory_totals'!$K$8:$K$10000,'[1]1_inventory_totals'!$C$8:$C$10000,I20,'[1]1_inventory_totals'!$F$8:$F$10000,"="&amp;S20,'[1]1_inventory_totals'!$G$8:$G$10000,"="&amp;T20)+SUMIFS('[1]1_inventory_totals'!$L$8:$L$10000,'[1]1_inventory_totals'!$C$8:$C$10000,I20,'[1]1_inventory_totals'!$F$8:$F$10000,"="&amp;S20,'[1]1_inventory_totals'!$G$8:$G$10000,"="&amp;T20)+SUMIFS('[1]1_inventory_totals'!$M$8:$M$10000,'[1]1_inventory_totals'!$C$8:$C$10000,I20,'[1]1_inventory_totals'!$F$8:$F$10000,"="&amp;S20,'[1]1_inventory_totals'!$G$8:$G$10000,"="&amp;T20)+SUMIFS('[1]1_inventory_totals'!$O$8:$O$10000,'[1]1_inventory_totals'!$C$8:$C$10000,I20,'[1]1_inventory_totals'!$F$8:$F$10000,"="&amp;S20,'[1]1_inventory_totals'!$G$8:$G$10000,"="&amp;T20)+SUMIFS('[1]1_inventory_totals'!$S$8:$S$10000,'[1]1_inventory_totals'!$C$8:$C$10000,I20,'[1]1_inventory_totals'!$F$8:$F$10000,"="&amp;S20,'[1]1_inventory_totals'!$G$8:$G$10000,"="&amp;T20)))</f>
        <v/>
      </c>
      <c r="AO20" s="270" t="str">
        <f>IF(L20="","",(SUMIFS('[1]2_inventory_totals'!$I$8:$I$10000,'[1]2_inventory_totals'!$C$8:$C$10000,I20,'[1]2_inventory_totals'!$F$8:$F$10000,"="&amp;S20,'[1]2_inventory_totals'!$G$8:$G$10000,"="&amp;T20)+SUMIFS('[1]2_inventory_totals'!$N$8:$N$10000,'[1]2_inventory_totals'!$C$8:$C$10000,I20,'[1]2_inventory_totals'!$F$8:$F$10000,"="&amp;S20,'[1]2_inventory_totals'!$G$8:$G$10000,"="&amp;T20)+SUMIFS('[1]2_inventory_totals'!$P$8:$P$10000,'[1]2_inventory_totals'!$C$8:$C$10000,I20,'[1]2_inventory_totals'!$F$8:$F$10000,"="&amp;S20,'[1]2_inventory_totals'!$G$8:$G$10000,"="&amp;T20)+SUMIFS('[1]2_inventory_totals'!$Q$8:$Q$10000,'[1]2_inventory_totals'!$C$8:$C$10000,I20,'[1]2_inventory_totals'!$F$8:$F$10000,"="&amp;S20,'[1]2_inventory_totals'!$G$8:$G$10000,"="&amp;T20)+SUMIFS('[1]2_inventory_totals'!$R$8:$R$10000,'[1]2_inventory_totals'!$C$8:$C$10000,I20,'[1]2_inventory_totals'!$F$8:$F$10000,"="&amp;S20,'[1]2_inventory_totals'!$G$8:$G$10000,"="&amp;T20))+(SUMIFS('[1]2_inventory_totals'!$J$8:$J$10000,'[1]2_inventory_totals'!$C$8:$C$10000,I20,'[1]2_inventory_totals'!$F$8:$F$10000,"="&amp;S20,'[1]2_inventory_totals'!$G$8:$G$10000,"="&amp;T20)+SUMIFS('[1]2_inventory_totals'!$K$8:$K$10000,'[1]2_inventory_totals'!$C$8:$C$10000,I20,'[1]2_inventory_totals'!$F$8:$F$10000,"="&amp;S20,'[1]2_inventory_totals'!$G$8:$G$10000,"="&amp;T20)+SUMIFS('[1]2_inventory_totals'!$L$8:$L$10000,'[1]2_inventory_totals'!$C$8:$C$10000,I20,'[1]2_inventory_totals'!$F$8:$F$10000,"="&amp;S20,'[1]2_inventory_totals'!$G$8:$G$10000,"="&amp;T20)+SUMIFS('[1]2_inventory_totals'!$M$8:$M$10000,'[1]2_inventory_totals'!$C$8:$C$10000,I20,'[1]2_inventory_totals'!$F$8:$F$10000,"="&amp;S20,'[1]2_inventory_totals'!$G$8:$G$10000,"="&amp;T20)+SUMIFS('[1]2_inventory_totals'!$O$8:$O$10000,'[1]2_inventory_totals'!$C$8:$C$10000,I20,'[1]2_inventory_totals'!$F$8:$F$10000,"="&amp;S20,'[1]2_inventory_totals'!$G$8:$G$10000,"="&amp;T20)+SUMIFS('[1]2_inventory_totals'!$S$8:$S$10000,'[1]2_inventory_totals'!$C$8:$C$10000,I20,'[1]2_inventory_totals'!$F$8:$F$10000,"="&amp;S20,'[1]2_inventory_totals'!$G$8:$G$10000,"="&amp;T20)))</f>
        <v/>
      </c>
      <c r="AP20" s="954"/>
    </row>
    <row r="21" spans="1:42" ht="27" customHeight="1" thickBot="1">
      <c r="A21" s="923"/>
      <c r="B21" s="1172"/>
      <c r="C21" s="1188" t="s">
        <v>233</v>
      </c>
      <c r="D21" s="950"/>
      <c r="E21" s="950"/>
      <c r="F21" s="1198"/>
      <c r="I21" s="1610" t="str">
        <f t="shared" si="5"/>
        <v/>
      </c>
      <c r="J21" s="270" t="str">
        <f t="shared" si="6"/>
        <v/>
      </c>
      <c r="K21" s="813" t="str">
        <f t="shared" si="0"/>
        <v/>
      </c>
      <c r="L21" s="1184"/>
      <c r="M21" s="1185"/>
      <c r="N21" s="1186"/>
      <c r="O21" s="1534"/>
      <c r="P21" s="336" t="str">
        <f t="shared" si="7"/>
        <v/>
      </c>
      <c r="Q21" s="336" t="str">
        <f>IF(L21="","",IF(AD21=0,0,(SUMIFS('[1]1_group_total_details'!$I$8:$I$10000,'[1]1_group_total_details'!$C$8:$C$10000,I21,'[1]1_group_total_details'!$F$8:$F$10000,adj_location_group_id,'[1]1_group_total_details'!$G$8:$G$10000,MID(N21,1,3)*1,'[1]1_group_total_details'!$H$8:$H$10000,"&lt;="&amp;adj_date)+SUMIFS('[1]1_group_total_details'!$L$8:$L$10000,'[1]1_group_total_details'!$C$8:$C$10000,I21,'[1]1_group_total_details'!$F$8:$F$10000,adj_location_group_id,'[1]1_group_total_details'!$G$8:$G$10000,MID(N21,1,3)*1,'[1]1_group_total_details'!$H$8:$H$10000,"&lt;="&amp;adj_date)+SUMIFS('[1]1_group_total_details'!$N$8:$N$10000,'[1]1_group_total_details'!$C$8:$C$10000,I21,'[1]1_group_total_details'!$F$8:$F$10000,adj_location_group_id,'[1]1_group_total_details'!$G$8:$G$10000,MID(N21,1,3)*1,'[1]1_group_total_details'!$H$8:$H$10000,"&lt;="&amp;adj_date)+SUMIFS('[1]1_group_total_details'!$O$8:$O$10000,'[1]1_group_total_details'!$C$8:$C$10000,I21,'[1]1_group_total_details'!$F$8:$F$10000,adj_location_group_id,'[1]1_group_total_details'!$G$8:$G$10000,MID(N21,1,3)*1,'[1]1_group_total_details'!$H$8:$H$10000,"&lt;="&amp;adj_date))-(SUMIFS('[1]1_group_total_details'!$J$8:$J$10000,'[1]1_group_total_details'!$C$8:$C$10000,I21,'[1]1_group_total_details'!$F$8:$F$10000,adj_location_group_id,'[1]1_group_total_details'!$G$8:$G$10000,MID(N21,1,3)*1,'[1]1_group_total_details'!$H$8:$H$10000,"&lt;="&amp;adj_date)+SUMIFS('[1]1_group_total_details'!$K$8:$K$10000,'[1]1_group_total_details'!$C$8:$C$10000,I21,'[1]1_group_total_details'!$F$8:$F$10000,adj_location_group_id,'[1]1_group_total_details'!$G$8:$G$10000,MID(N21,1,3)*1,'[1]1_group_total_details'!$H$8:$H$10000,"&lt;="&amp;adj_date)+SUMIFS('[1]1_group_total_details'!$M$8:$M$10000,'[1]1_group_total_details'!$C$8:$C$10000,I21,'[1]1_group_total_details'!$F$8:$F$10000,adj_location_group_id,'[1]1_group_total_details'!$G$8:$G$10000,MID(N21,1,3)*1,'[1]1_group_total_details'!$H$8:$H$10000,"&lt;="&amp;adj_date)+SUMIFS('[1]1_group_total_details'!$P$8:$P$10000,'[1]1_group_total_details'!$C$8:$C$10000,I21,'[1]1_group_total_details'!$F$8:$F$10000,adj_location_group_id,'[1]1_group_total_details'!$G$8:$G$10000,MID(N21,1,3)*1,'[1]1_group_total_details'!$H$8:$H$10000,"&lt;="&amp;adj_date))))</f>
        <v/>
      </c>
      <c r="R21" s="1187"/>
      <c r="S21" s="1186"/>
      <c r="T21" s="1186"/>
      <c r="U21" s="1184"/>
      <c r="V21" s="270" t="str" cm="1">
        <f t="array" ref="V21">IF(L21="","",IF(M21=AE21,1,Slookup(MID(AE21,1,3)*1,UomConversion!$D$8:$J$500,5,UomConversion!$E$8:$E$500,MID(M21,1,3)*1,UomConversion!$J$8:$J$500,1)))</f>
        <v/>
      </c>
      <c r="W21" s="270" t="str">
        <f t="shared" si="8"/>
        <v/>
      </c>
      <c r="X21" s="1795" t="str">
        <f t="shared" si="9"/>
        <v/>
      </c>
      <c r="Y21" s="1795" t="str">
        <f t="shared" si="10"/>
        <v/>
      </c>
      <c r="Z21" s="270" t="str">
        <f>IF(I21="","",IF(ISNA(MATCH(I21,IF(MID(N21,1,3)*1=1,'[1]1_inventory_totals'!$C$8:$C$10000,IF(MID(N21,1,3)*1=2,'[1]2_inventory_totals'!$C$8:$C$10000,"")),0)),0,IF(AL21&gt;0,1,0)))</f>
        <v/>
      </c>
      <c r="AA21" s="270" t="str">
        <f>IF(L21="","",IF(MID(N21,1,3)*1=1,SUMIFS('[1]1_inventory_total_details'!$J$8:$J$10000,'[1]1_inventory_total_details'!$C$8:$C$10000,I21,'[1]1_inventory_total_details'!$F$8:$F$10000,MID(N21,1,3)*1,'[1]1_inventory_total_details'!$G$8:$G$10000,"="&amp;S21,'[1]1_inventory_total_details'!$H$8:$H$10000,"="&amp;T21,'[1]1_inventory_total_details'!$I$8:$I$10000,"="&amp;adj_date)+SUMIFS('[1]1_inventory_total_details'!$M$8:$M$10000,'[1]1_inventory_total_details'!$C$8:$C$10000,I21,'[1]1_inventory_total_details'!$F$8:$F$10000,MID(N21,1,3)*1,'[1]1_inventory_total_details'!$G$8:$G$10000,"="&amp;S21,'[1]1_inventory_total_details'!$H$8:$H$10000,"="&amp;T21,'[1]1_inventory_total_details'!$I$8:$I$10000,"="&amp;adj_date)+SUMIFS('[1]1_inventory_total_details'!$K$8:$K$10000,'[1]1_inventory_total_details'!$C$8:$C$10000,I21,'[1]1_inventory_total_details'!$F$8:$F$10000,MID(N21,1,3)*1,'[1]1_inventory_total_details'!$G$8:$G$10000,"="&amp;S21,'[1]1_inventory_total_details'!$H$8:$H$10000,"="&amp;T21,'[1]1_inventory_total_details'!$I$8:$I$10000,"="&amp;adj_date)+SUMIFS('[1]1_inventory_total_details'!$L$8:$L$10000,'[1]1_inventory_total_details'!$C$8:$C$10000,I21,'[1]1_inventory_total_details'!$F$8:$F$10000,MID(N21,1,3)*1,'[1]1_inventory_total_details'!$G$8:$G$10000,"="&amp;S21,'[1]1_inventory_total_details'!$H$8:$H$10000,"="&amp;T21,'[1]1_inventory_total_details'!$I$8:$I$10000,"="&amp;adj_date),SUMIFS('[1]2_inventory_total_details'!$J$8:$J$10000,'[1]2_inventory_total_details'!$C$8:$C$10000,I21,'[1]2_inventory_total_details'!$F$8:$F$10000,MID(N21,1,3)*1,'[1]2_inventory_total_details'!$G$8:$G$10000,"="&amp;S21,'[1]2_inventory_total_details'!$H$8:$H$10000,"="&amp;T21,'[1]2_inventory_total_details'!$I$8:$I$10000,"="&amp;adj_date)+SUMIFS('[1]2_inventory_total_details'!$M$8:$M$10000,'[1]1_inventory_total_details'!$C$8:$C$10000,I21,'[1]2_inventory_total_details'!$F$8:$F$10000,MID(N21,1,3)*1,'[1]2_inventory_total_details'!$G$8:$G$10000,"="&amp;S21,'[1]2_inventory_total_details'!$H$8:$H$10000,"="&amp;T21,'[1]2_inventory_total_details'!$I$8:$I$10000,"="&amp;adj_date)+SUMIFS('[1]2_inventory_total_details'!$K$8:$K$10000,'[1]2_inventory_total_details'!$C$8:$C$10000,I21,'[1]2_inventory_total_details'!$F$8:$F$10000,MID(N21,1,3)*1,'[1]2_inventory_total_details'!$G$8:$G$10000,"="&amp;S21,'[1]2_inventory_total_details'!$H$8:$H$10000,"="&amp;T21,'[1]2_inventory_total_details'!$I$8:$I$10000,"="&amp;adj_date)+SUMIFS('[1]2_inventory_total_details'!$L$8:$L$10000,'[1]2_inventory_total_details'!$C$8:$C$10000,I21,'[1]2_inventory_total_details'!$F$8:$F$10000,MID(N21,1,3)*1,'[1]2_inventory_total_details'!$G$8:$G$10000,"="&amp;S21,'[1]2_inventory_total_details'!$H$8:$H$10000,"="&amp;T21,'[1]2_inventory_total_details'!$I$8:$I$10000,"="&amp;adj_date)))</f>
        <v/>
      </c>
      <c r="AB21" s="270" t="str">
        <f>IF(L21="","",IF(MID(N21,1,3)*1=1,SUMIFS('[1]1_inventory_total_details'!$J$8:$J$10000,'[1]1_inventory_total_details'!$C$8:$C$10000,I21,'[1]1_inventory_total_details'!$F$8:$F$10000,MID(N21,1,3)*1,'[1]1_inventory_total_details'!$G$8:$G$10000,"="&amp;S21,'[1]1_inventory_total_details'!$H$8:$H$10000,"="&amp;T21,'[1]1_inventory_total_details'!$I$8:$I$10000,"="&amp;adj_date)+SUMIFS('[1]1_inventory_total_details'!$M$8:$M$10000,'[1]1_inventory_total_details'!$C$8:$C$10000,I21,'[1]1_inventory_total_details'!$F$8:$F$10000,MID(N21,1,3)*1,'[1]1_inventory_total_details'!$G$8:$G$10000,"="&amp;S21,'[1]1_inventory_total_details'!$H$8:$H$10000,"="&amp;T21,'[1]1_inventory_total_details'!$I$8:$I$10000,"="&amp;adj_date)+SUMIFS('[1]1_inventory_total_details'!$K$8:$K$10000,'[1]1_inventory_total_details'!$C$8:$C$10000,I21,'[1]1_inventory_total_details'!$F$8:$F$10000,MID(N21,1,3)*1,'[1]1_inventory_total_details'!$G$8:$G$10000,"="&amp;S21,'[1]1_inventory_total_details'!$H$8:$H$10000,"="&amp;T21,'[1]1_inventory_total_details'!$I$8:$I$10000,"="&amp;adj_date)+SUMIFS('[1]1_inventory_total_details'!$L$8:$L$10000,'[1]1_inventory_total_details'!$C$8:$C$10000,I21,'[1]1_inventory_total_details'!$F$8:$F$10000,MID(N21,1,3)*1,'[1]1_inventory_total_details'!$G$8:$G$10000,"="&amp;S21,'[1]1_inventory_total_details'!$H$8:$H$10000,"="&amp;T21,'[1]1_inventory_total_details'!$I$8:$I$10000,"="&amp;adj_date),SUMIFS('[1]2_inventory_total_details'!$J$8:$J$10000,'[1]2_inventory_total_details'!$C$8:$C$10000,I21,'[1]2_inventory_total_details'!$F$8:$F$10000,MID(N21,1,3)*1,'[1]2_inventory_total_details'!$G$8:$G$10000,"="&amp;S21,'[1]2_inventory_total_details'!$H$8:$H$10000,"="&amp;T21,'[1]2_inventory_total_details'!$I$8:$I$10000,"="&amp;adj_date)+SUMIFS('[1]2_inventory_total_details'!$M$8:$M$10000,'[1]1_inventory_total_details'!$C$8:$C$10000,I21,'[1]2_inventory_total_details'!$F$8:$F$10000,MID(N21,1,3)*1,'[1]2_inventory_total_details'!$G$8:$G$10000,"="&amp;S21,'[1]2_inventory_total_details'!$H$8:$H$10000,"="&amp;T21,'[1]2_inventory_total_details'!$I$8:$I$10000,"="&amp;adj_date)+SUMIFS('[1]2_inventory_total_details'!$K$8:$K$10000,'[1]2_inventory_total_details'!$C$8:$C$10000,I21,'[1]2_inventory_total_details'!$F$8:$F$10000,MID(N21,1,3)*1,'[1]2_inventory_total_details'!$G$8:$G$10000,"="&amp;S21,'[1]2_inventory_total_details'!$H$8:$H$10000,"="&amp;T21,'[1]2_inventory_total_details'!$I$8:$I$10000,"="&amp;adj_date)+SUMIFS('[1]2_inventory_total_details'!$L$8:$L$10000,'[1]2_inventory_total_details'!$C$8:$C$10000,I21,'[1]2_inventory_total_details'!$F$8:$F$10000,MID(N21,1,3)*1,'[1]2_inventory_total_details'!$G$8:$G$10000,"="&amp;S21,'[1]2_inventory_total_details'!$H$8:$H$10000,"="&amp;T21,'[1]2_inventory_total_details'!$I$8:$I$10000,"="&amp;adj_date)))</f>
        <v/>
      </c>
      <c r="AC21" s="270" t="str">
        <f>IF(L21="","",IF(MID(N21,1,3)*1=1,SUMIFS('[1]1_inventory_total_details'!$J$8:$J$10000,'[1]1_inventory_total_details'!$C$8:$C$10000,I21,'[1]1_inventory_total_details'!$F$8:$F$10000,MID(N21,1,3)*1,'[1]1_inventory_total_details'!$G$8:$G$10000,"="&amp;S21,'[1]1_inventory_total_details'!$H$8:$H$10000,"="&amp;T21,'[1]1_inventory_total_details'!$I$8:$I$10000,"="&amp;adj_date)+SUMIFS('[1]1_inventory_total_details'!$M$8:$M$10000,'[1]1_inventory_total_details'!$C$8:$C$10000,I21,'[1]1_inventory_total_details'!$F$8:$F$10000,MID(N21,1,3)*1,'[1]1_inventory_total_details'!$G$8:$G$10000,"="&amp;S21,'[1]1_inventory_total_details'!$H$8:$H$10000,"="&amp;T21,'[1]1_inventory_total_details'!$I$8:$I$10000,"="&amp;adj_date)+SUMIFS('[1]1_inventory_total_details'!$K$8:$K$10000,'[1]1_inventory_total_details'!$C$8:$C$10000,I21,'[1]1_inventory_total_details'!$F$8:$F$10000,MID(N21,1,3)*1,'[1]1_inventory_total_details'!$G$8:$G$10000,"="&amp;S21,'[1]1_inventory_total_details'!$H$8:$H$10000,"="&amp;T21,'[1]1_inventory_total_details'!$I$8:$I$10000,"="&amp;adj_date)+SUMIFS('[1]1_inventory_total_details'!$L$8:$L$10000,'[1]1_inventory_total_details'!$C$8:$C$10000,I21,'[1]1_inventory_total_details'!$F$8:$F$10000,MID(N21,1,3)*1,'[1]1_inventory_total_details'!$G$8:$G$10000,"="&amp;S21,'[1]1_inventory_total_details'!$H$8:$H$10000,"="&amp;T21,'[1]1_inventory_total_details'!$I$8:$I$10000,"="&amp;adj_date),SUMIFS('[1]2_inventory_total_details'!$J$8:$J$10000,'[1]2_inventory_total_details'!$C$8:$C$10000,I21,'[1]2_inventory_total_details'!$F$8:$F$10000,MID(N21,1,3)*1,'[1]2_inventory_total_details'!$G$8:$G$10000,"="&amp;S21,'[1]2_inventory_total_details'!$H$8:$H$10000,"="&amp;T21,'[1]2_inventory_total_details'!$I$8:$I$10000,"="&amp;adj_date)+SUMIFS('[1]2_inventory_total_details'!$M$8:$M$10000,'[1]1_inventory_total_details'!$C$8:$C$10000,I21,'[1]2_inventory_total_details'!$F$8:$F$10000,MID(N21,1,3)*1,'[1]2_inventory_total_details'!$G$8:$G$10000,"="&amp;S21,'[1]2_inventory_total_details'!$H$8:$H$10000,"="&amp;T21,'[1]2_inventory_total_details'!$I$8:$I$10000,"="&amp;adj_date)+SUMIFS('[1]2_inventory_total_details'!$K$8:$K$10000,'[1]2_inventory_total_details'!$C$8:$C$10000,I21,'[1]2_inventory_total_details'!$F$8:$F$10000,MID(N21,1,3)*1,'[1]2_inventory_total_details'!$G$8:$G$10000,"="&amp;S21,'[1]2_inventory_total_details'!$H$8:$H$10000,"="&amp;T21,'[1]2_inventory_total_details'!$I$8:$I$10000,"="&amp;adj_date)+SUMIFS('[1]2_inventory_total_details'!$L$8:$L$10000,'[1]2_inventory_total_details'!$C$8:$C$10000,I21,'[1]2_inventory_total_details'!$F$8:$F$10000,MID(N21,1,3)*1,'[1]2_inventory_total_details'!$G$8:$G$10000,"="&amp;S21,'[1]2_inventory_total_details'!$H$8:$H$10000,"="&amp;T21,'[1]2_inventory_total_details'!$I$8:$I$10000,"="&amp;adj_date)))</f>
        <v/>
      </c>
      <c r="AD21" s="270" t="str">
        <f>IF(L21="","",SUMIFS('[1]1_group_totals'!$J$8:$J$10000,'[1]1_group_totals'!$C$8:$C$10000,I21,'[1]1_group_totals'!$F$8:$F$10000,adj_location_group_id,'[1]1_group_totals'!$G$8:$G$10000,MID(N21,1,3)*1,'[1]1_group_totals'!$H$8:$H$10000,"="&amp;S21,'[1]1_group_totals'!$I$8:$I$10000,"="&amp;T21))</f>
        <v/>
      </c>
      <c r="AE21" s="1796" t="str">
        <f t="shared" si="11"/>
        <v/>
      </c>
      <c r="AF21" s="1797" t="str">
        <f>IF(ISNA(MATCH(MID(AE21,1,3)*1,UomConversion!$D$8:$D$500,0)),"",IF(AJ21&lt;&gt;"",AJ21,""))</f>
        <v/>
      </c>
      <c r="AG21" s="1797" t="str">
        <f>IF(AND(AH21&gt;0,COUNTIFS(UomConversion!$D$8:$D$500,MID(AE21,1,3)*1,UomConversion!$J$8:$J$500,1)&gt;1),TEXT(AH21,"000")&amp;"."&amp;VLOOKUP(AH21,uom_list,5,FALSE),"")</f>
        <v/>
      </c>
      <c r="AH21" s="270" t="str">
        <f t="shared" si="12"/>
        <v/>
      </c>
      <c r="AI21" s="270" t="str">
        <f t="shared" si="13"/>
        <v/>
      </c>
      <c r="AJ21" s="270" t="str">
        <f t="shared" si="14"/>
        <v/>
      </c>
      <c r="AK21" s="270" t="str" cm="1">
        <f t="array" ref="AK21">IF(L21="","",Slookup(MID(AE21,1,3)*1,UomConversion!$D$8:$J$500,2,UomConversion!$I$8:$I$500,1,UomConversion!$J$8:$J$500,1))</f>
        <v/>
      </c>
      <c r="AL21" s="270" t="str">
        <f t="shared" si="15"/>
        <v/>
      </c>
      <c r="AM21" s="270" t="str">
        <f>IF(L21="","",(SUMIFS('[1]1_group_totals'!$K$8:$K$10000,'[1]1_group_totals'!$C$8:$C$10000,I21,'[1]1_group_totals'!$F$8:$F$10000,adj_location_group_id,'[1]1_group_totals'!$G$8:$G$10000,MID(N21,1,3)*1,'[1]1_group_totals'!$H$8:$H$10000,"="&amp;S21,'[1]1_group_totals'!$I$8:$I$10000,"="&amp;T21)+SUMIFS('[1]1_group_totals'!$N$8:$N$10000,'[1]1_group_totals'!$C$8:$C$10000,I21,'[1]1_group_totals'!$F$8:$F$10000,adj_location_group_id,'[1]1_group_totals'!$G$8:$G$10000,MID(N21,1,3)*1,'[1]1_group_totals'!$H$8:$H$10000,"="&amp;S21,'[1]1_group_totals'!$I$8:$I$10000,"="&amp;T21)+SUMIFS('[1]1_group_totals'!$P$8:$P$10000,'[1]1_group_totals'!$C$8:$C$10000,I21,'[1]1_group_totals'!$F$8:$F$10000,adj_location_group_id,'[1]1_group_totals'!$G$8:$G$10000,MID(N21,1,3)*1,'[1]1_group_totals'!$H$8:$H$10000,"="&amp;S21,'[1]1_group_totals'!$I$8:$I$10000,"="&amp;T21)+SUMIFS('[1]1_group_totals'!$Q$8:$Q$10000,'[1]1_group_totals'!$C$8:$C$10000,I21,'[1]1_group_totals'!$F$8:$F$10000,adj_location_group_id,'[1]1_group_totals'!$G$8:$G$10000,MID(N21,1,3)*1,'[1]1_group_totals'!$H$8:$H$10000,"="&amp;S21,'[1]1_group_totals'!$I$8:$I$10000,"="&amp;T21))+(SUMIFS('[1]1_group_totals'!$L$8:$L$10000,'[1]1_group_totals'!$C$8:$C$10000,I21,'[1]1_group_totals'!$F$8:$F$10000,adj_location_group_id,'[1]1_group_totals'!$G$8:$G$10000,MID(N21,1,3)*1,'[1]1_group_totals'!$H$8:$H$10000,"="&amp;S21,'[1]1_group_totals'!$I$8:$I$10000,"="&amp;T21)+SUMIFS('[1]1_group_totals'!$M$8:$M$10000,'[1]1_group_totals'!$C$8:$C$10000,I21,'[1]1_group_totals'!$F$8:$F$10000,adj_location_group_id,'[1]1_group_totals'!$G$8:$G$10000,MID(N21,1,3)*1,'[1]1_group_totals'!$H$8:$H$10000,"="&amp;S21,'[1]1_group_totals'!$I$8:$I$10000,"="&amp;T21)+SUMIFS('[1]1_group_totals'!$O$8:$O$10000,'[1]1_group_totals'!$C$8:$C$10000,I21,'[1]1_group_totals'!$F$8:$F$10000,adj_location_group_id,'[1]1_group_totals'!$G$8:$G$10000,MID(N21,1,3)*1,'[1]1_group_totals'!$H$8:$H$10000,"="&amp;S21,'[1]1_group_totals'!$I$8:$I$10000,"="&amp;T21)+SUMIFS('[1]1_group_totals'!$R$8:$R$10000,'[1]1_group_totals'!$C$8:$C$10000,I21,'[1]1_group_totals'!$F$8:$F$10000,adj_location_group_id,'[1]1_group_totals'!$G$8:$G$10000,MID(N21,1,3)*1,'[1]1_group_totals'!$H$8:$H$10000,"="&amp;S21,'[1]1_group_totals'!$I$8:$I$10000,"="&amp;T21)))</f>
        <v/>
      </c>
      <c r="AN21" s="270" t="str">
        <f>IF(L21="","",(SUMIFS('[1]1_inventory_totals'!$I$8:$I$10000,'[1]1_inventory_totals'!$C$8:$C$10000,I21,'[1]1_inventory_totals'!$F$8:$F$10000,"="&amp;S21,'[1]1_inventory_totals'!$G$8:$G$10000,"="&amp;T21)+SUMIFS('[1]1_inventory_totals'!$N$8:$N$10000,'[1]1_inventory_totals'!$C$8:$C$10000,I21,'[1]1_inventory_totals'!$F$8:$F$10000,"="&amp;S21,'[1]1_inventory_totals'!$G$8:$G$10000,"="&amp;T21)+SUMIFS('[1]1_inventory_totals'!$P$8:$P$10000,'[1]1_inventory_totals'!$C$8:$C$10000,I21,'[1]1_inventory_totals'!$F$8:$F$10000,"="&amp;S21,'[1]1_inventory_totals'!$G$8:$G$10000,"="&amp;T21)+SUMIFS('[1]1_inventory_totals'!$Q$8:$Q$10000,'[1]1_inventory_totals'!$C$8:$C$10000,I21,'[1]1_inventory_totals'!$F$8:$F$10000,"="&amp;S21,'[1]1_inventory_totals'!$G$8:$G$10000,"="&amp;T21)+SUMIFS('[1]1_inventory_totals'!$R$8:$R$10000,'[1]1_inventory_totals'!$C$8:$C$10000,I21,'[1]1_inventory_totals'!$F$8:$F$10000,"="&amp;S21,'[1]1_inventory_totals'!$G$8:$G$10000,"="&amp;T21))+(SUMIFS('[1]1_inventory_totals'!$J$8:$J$10000,'[1]1_inventory_totals'!$C$8:$C$10000,I21,'[1]1_inventory_totals'!$F$8:$F$10000,"="&amp;S21,'[1]1_inventory_totals'!$G$8:$G$10000,"="&amp;T21)+SUMIFS('[1]1_inventory_totals'!$K$8:$K$10000,'[1]1_inventory_totals'!$C$8:$C$10000,I21,'[1]1_inventory_totals'!$F$8:$F$10000,"="&amp;S21,'[1]1_inventory_totals'!$G$8:$G$10000,"="&amp;T21)+SUMIFS('[1]1_inventory_totals'!$L$8:$L$10000,'[1]1_inventory_totals'!$C$8:$C$10000,I21,'[1]1_inventory_totals'!$F$8:$F$10000,"="&amp;S21,'[1]1_inventory_totals'!$G$8:$G$10000,"="&amp;T21)+SUMIFS('[1]1_inventory_totals'!$M$8:$M$10000,'[1]1_inventory_totals'!$C$8:$C$10000,I21,'[1]1_inventory_totals'!$F$8:$F$10000,"="&amp;S21,'[1]1_inventory_totals'!$G$8:$G$10000,"="&amp;T21)+SUMIFS('[1]1_inventory_totals'!$O$8:$O$10000,'[1]1_inventory_totals'!$C$8:$C$10000,I21,'[1]1_inventory_totals'!$F$8:$F$10000,"="&amp;S21,'[1]1_inventory_totals'!$G$8:$G$10000,"="&amp;T21)+SUMIFS('[1]1_inventory_totals'!$S$8:$S$10000,'[1]1_inventory_totals'!$C$8:$C$10000,I21,'[1]1_inventory_totals'!$F$8:$F$10000,"="&amp;S21,'[1]1_inventory_totals'!$G$8:$G$10000,"="&amp;T21)))</f>
        <v/>
      </c>
      <c r="AO21" s="270" t="str">
        <f>IF(L21="","",(SUMIFS('[1]2_inventory_totals'!$I$8:$I$10000,'[1]2_inventory_totals'!$C$8:$C$10000,I21,'[1]2_inventory_totals'!$F$8:$F$10000,"="&amp;S21,'[1]2_inventory_totals'!$G$8:$G$10000,"="&amp;T21)+SUMIFS('[1]2_inventory_totals'!$N$8:$N$10000,'[1]2_inventory_totals'!$C$8:$C$10000,I21,'[1]2_inventory_totals'!$F$8:$F$10000,"="&amp;S21,'[1]2_inventory_totals'!$G$8:$G$10000,"="&amp;T21)+SUMIFS('[1]2_inventory_totals'!$P$8:$P$10000,'[1]2_inventory_totals'!$C$8:$C$10000,I21,'[1]2_inventory_totals'!$F$8:$F$10000,"="&amp;S21,'[1]2_inventory_totals'!$G$8:$G$10000,"="&amp;T21)+SUMIFS('[1]2_inventory_totals'!$Q$8:$Q$10000,'[1]2_inventory_totals'!$C$8:$C$10000,I21,'[1]2_inventory_totals'!$F$8:$F$10000,"="&amp;S21,'[1]2_inventory_totals'!$G$8:$G$10000,"="&amp;T21)+SUMIFS('[1]2_inventory_totals'!$R$8:$R$10000,'[1]2_inventory_totals'!$C$8:$C$10000,I21,'[1]2_inventory_totals'!$F$8:$F$10000,"="&amp;S21,'[1]2_inventory_totals'!$G$8:$G$10000,"="&amp;T21))+(SUMIFS('[1]2_inventory_totals'!$J$8:$J$10000,'[1]2_inventory_totals'!$C$8:$C$10000,I21,'[1]2_inventory_totals'!$F$8:$F$10000,"="&amp;S21,'[1]2_inventory_totals'!$G$8:$G$10000,"="&amp;T21)+SUMIFS('[1]2_inventory_totals'!$K$8:$K$10000,'[1]2_inventory_totals'!$C$8:$C$10000,I21,'[1]2_inventory_totals'!$F$8:$F$10000,"="&amp;S21,'[1]2_inventory_totals'!$G$8:$G$10000,"="&amp;T21)+SUMIFS('[1]2_inventory_totals'!$L$8:$L$10000,'[1]2_inventory_totals'!$C$8:$C$10000,I21,'[1]2_inventory_totals'!$F$8:$F$10000,"="&amp;S21,'[1]2_inventory_totals'!$G$8:$G$10000,"="&amp;T21)+SUMIFS('[1]2_inventory_totals'!$M$8:$M$10000,'[1]2_inventory_totals'!$C$8:$C$10000,I21,'[1]2_inventory_totals'!$F$8:$F$10000,"="&amp;S21,'[1]2_inventory_totals'!$G$8:$G$10000,"="&amp;T21)+SUMIFS('[1]2_inventory_totals'!$O$8:$O$10000,'[1]2_inventory_totals'!$C$8:$C$10000,I21,'[1]2_inventory_totals'!$F$8:$F$10000,"="&amp;S21,'[1]2_inventory_totals'!$G$8:$G$10000,"="&amp;T21)+SUMIFS('[1]2_inventory_totals'!$S$8:$S$10000,'[1]2_inventory_totals'!$C$8:$C$10000,I21,'[1]2_inventory_totals'!$F$8:$F$10000,"="&amp;S21,'[1]2_inventory_totals'!$G$8:$G$10000,"="&amp;T21)))</f>
        <v/>
      </c>
      <c r="AP21" s="954"/>
    </row>
    <row r="22" spans="1:42" ht="27" customHeight="1">
      <c r="A22" s="923"/>
      <c r="B22" s="1172"/>
      <c r="C22" s="1882" t="s">
        <v>180</v>
      </c>
      <c r="D22" s="1883"/>
      <c r="E22" s="1884"/>
      <c r="F22" s="1198"/>
      <c r="I22" s="1610" t="str">
        <f t="shared" si="5"/>
        <v/>
      </c>
      <c r="J22" s="270" t="str">
        <f t="shared" si="6"/>
        <v/>
      </c>
      <c r="K22" s="813" t="str">
        <f t="shared" si="0"/>
        <v/>
      </c>
      <c r="L22" s="1184"/>
      <c r="M22" s="1185"/>
      <c r="N22" s="1186"/>
      <c r="O22" s="1534"/>
      <c r="P22" s="336" t="str">
        <f t="shared" si="7"/>
        <v/>
      </c>
      <c r="Q22" s="336" t="str">
        <f>IF(L22="","",IF(AD22=0,0,(SUMIFS('[1]1_group_total_details'!$I$8:$I$10000,'[1]1_group_total_details'!$C$8:$C$10000,I22,'[1]1_group_total_details'!$F$8:$F$10000,adj_location_group_id,'[1]1_group_total_details'!$G$8:$G$10000,MID(N22,1,3)*1,'[1]1_group_total_details'!$H$8:$H$10000,"&lt;="&amp;adj_date)+SUMIFS('[1]1_group_total_details'!$L$8:$L$10000,'[1]1_group_total_details'!$C$8:$C$10000,I22,'[1]1_group_total_details'!$F$8:$F$10000,adj_location_group_id,'[1]1_group_total_details'!$G$8:$G$10000,MID(N22,1,3)*1,'[1]1_group_total_details'!$H$8:$H$10000,"&lt;="&amp;adj_date)+SUMIFS('[1]1_group_total_details'!$N$8:$N$10000,'[1]1_group_total_details'!$C$8:$C$10000,I22,'[1]1_group_total_details'!$F$8:$F$10000,adj_location_group_id,'[1]1_group_total_details'!$G$8:$G$10000,MID(N22,1,3)*1,'[1]1_group_total_details'!$H$8:$H$10000,"&lt;="&amp;adj_date)+SUMIFS('[1]1_group_total_details'!$O$8:$O$10000,'[1]1_group_total_details'!$C$8:$C$10000,I22,'[1]1_group_total_details'!$F$8:$F$10000,adj_location_group_id,'[1]1_group_total_details'!$G$8:$G$10000,MID(N22,1,3)*1,'[1]1_group_total_details'!$H$8:$H$10000,"&lt;="&amp;adj_date))-(SUMIFS('[1]1_group_total_details'!$J$8:$J$10000,'[1]1_group_total_details'!$C$8:$C$10000,I22,'[1]1_group_total_details'!$F$8:$F$10000,adj_location_group_id,'[1]1_group_total_details'!$G$8:$G$10000,MID(N22,1,3)*1,'[1]1_group_total_details'!$H$8:$H$10000,"&lt;="&amp;adj_date)+SUMIFS('[1]1_group_total_details'!$K$8:$K$10000,'[1]1_group_total_details'!$C$8:$C$10000,I22,'[1]1_group_total_details'!$F$8:$F$10000,adj_location_group_id,'[1]1_group_total_details'!$G$8:$G$10000,MID(N22,1,3)*1,'[1]1_group_total_details'!$H$8:$H$10000,"&lt;="&amp;adj_date)+SUMIFS('[1]1_group_total_details'!$M$8:$M$10000,'[1]1_group_total_details'!$C$8:$C$10000,I22,'[1]1_group_total_details'!$F$8:$F$10000,adj_location_group_id,'[1]1_group_total_details'!$G$8:$G$10000,MID(N22,1,3)*1,'[1]1_group_total_details'!$H$8:$H$10000,"&lt;="&amp;adj_date)+SUMIFS('[1]1_group_total_details'!$P$8:$P$10000,'[1]1_group_total_details'!$C$8:$C$10000,I22,'[1]1_group_total_details'!$F$8:$F$10000,adj_location_group_id,'[1]1_group_total_details'!$G$8:$G$10000,MID(N22,1,3)*1,'[1]1_group_total_details'!$H$8:$H$10000,"&lt;="&amp;adj_date))))</f>
        <v/>
      </c>
      <c r="R22" s="1187"/>
      <c r="S22" s="1186"/>
      <c r="T22" s="1186"/>
      <c r="U22" s="1184"/>
      <c r="V22" s="270" t="str" cm="1">
        <f t="array" ref="V22">IF(L22="","",IF(M22=AE22,1,Slookup(MID(AE22,1,3)*1,UomConversion!$D$8:$J$500,5,UomConversion!$E$8:$E$500,MID(M22,1,3)*1,UomConversion!$J$8:$J$500,1)))</f>
        <v/>
      </c>
      <c r="W22" s="270" t="str">
        <f t="shared" si="8"/>
        <v/>
      </c>
      <c r="X22" s="1795" t="str">
        <f t="shared" si="9"/>
        <v/>
      </c>
      <c r="Y22" s="1795" t="str">
        <f t="shared" si="10"/>
        <v/>
      </c>
      <c r="Z22" s="270" t="str">
        <f>IF(I22="","",IF(ISNA(MATCH(I22,IF(MID(N22,1,3)*1=1,'[1]1_inventory_totals'!$C$8:$C$10000,IF(MID(N22,1,3)*1=2,'[1]2_inventory_totals'!$C$8:$C$10000,"")),0)),0,IF(AL22&gt;0,1,0)))</f>
        <v/>
      </c>
      <c r="AA22" s="270" t="str">
        <f>IF(L22="","",IF(MID(N22,1,3)*1=1,SUMIFS('[1]1_inventory_total_details'!$J$8:$J$10000,'[1]1_inventory_total_details'!$C$8:$C$10000,I22,'[1]1_inventory_total_details'!$F$8:$F$10000,MID(N22,1,3)*1,'[1]1_inventory_total_details'!$G$8:$G$10000,"="&amp;S22,'[1]1_inventory_total_details'!$H$8:$H$10000,"="&amp;T22,'[1]1_inventory_total_details'!$I$8:$I$10000,"="&amp;adj_date)+SUMIFS('[1]1_inventory_total_details'!$M$8:$M$10000,'[1]1_inventory_total_details'!$C$8:$C$10000,I22,'[1]1_inventory_total_details'!$F$8:$F$10000,MID(N22,1,3)*1,'[1]1_inventory_total_details'!$G$8:$G$10000,"="&amp;S22,'[1]1_inventory_total_details'!$H$8:$H$10000,"="&amp;T22,'[1]1_inventory_total_details'!$I$8:$I$10000,"="&amp;adj_date)+SUMIFS('[1]1_inventory_total_details'!$K$8:$K$10000,'[1]1_inventory_total_details'!$C$8:$C$10000,I22,'[1]1_inventory_total_details'!$F$8:$F$10000,MID(N22,1,3)*1,'[1]1_inventory_total_details'!$G$8:$G$10000,"="&amp;S22,'[1]1_inventory_total_details'!$H$8:$H$10000,"="&amp;T22,'[1]1_inventory_total_details'!$I$8:$I$10000,"="&amp;adj_date)+SUMIFS('[1]1_inventory_total_details'!$L$8:$L$10000,'[1]1_inventory_total_details'!$C$8:$C$10000,I22,'[1]1_inventory_total_details'!$F$8:$F$10000,MID(N22,1,3)*1,'[1]1_inventory_total_details'!$G$8:$G$10000,"="&amp;S22,'[1]1_inventory_total_details'!$H$8:$H$10000,"="&amp;T22,'[1]1_inventory_total_details'!$I$8:$I$10000,"="&amp;adj_date),SUMIFS('[1]2_inventory_total_details'!$J$8:$J$10000,'[1]2_inventory_total_details'!$C$8:$C$10000,I22,'[1]2_inventory_total_details'!$F$8:$F$10000,MID(N22,1,3)*1,'[1]2_inventory_total_details'!$G$8:$G$10000,"="&amp;S22,'[1]2_inventory_total_details'!$H$8:$H$10000,"="&amp;T22,'[1]2_inventory_total_details'!$I$8:$I$10000,"="&amp;adj_date)+SUMIFS('[1]2_inventory_total_details'!$M$8:$M$10000,'[1]1_inventory_total_details'!$C$8:$C$10000,I22,'[1]2_inventory_total_details'!$F$8:$F$10000,MID(N22,1,3)*1,'[1]2_inventory_total_details'!$G$8:$G$10000,"="&amp;S22,'[1]2_inventory_total_details'!$H$8:$H$10000,"="&amp;T22,'[1]2_inventory_total_details'!$I$8:$I$10000,"="&amp;adj_date)+SUMIFS('[1]2_inventory_total_details'!$K$8:$K$10000,'[1]2_inventory_total_details'!$C$8:$C$10000,I22,'[1]2_inventory_total_details'!$F$8:$F$10000,MID(N22,1,3)*1,'[1]2_inventory_total_details'!$G$8:$G$10000,"="&amp;S22,'[1]2_inventory_total_details'!$H$8:$H$10000,"="&amp;T22,'[1]2_inventory_total_details'!$I$8:$I$10000,"="&amp;adj_date)+SUMIFS('[1]2_inventory_total_details'!$L$8:$L$10000,'[1]2_inventory_total_details'!$C$8:$C$10000,I22,'[1]2_inventory_total_details'!$F$8:$F$10000,MID(N22,1,3)*1,'[1]2_inventory_total_details'!$G$8:$G$10000,"="&amp;S22,'[1]2_inventory_total_details'!$H$8:$H$10000,"="&amp;T22,'[1]2_inventory_total_details'!$I$8:$I$10000,"="&amp;adj_date)))</f>
        <v/>
      </c>
      <c r="AB22" s="270" t="str">
        <f>IF(L22="","",IF(MID(N22,1,3)*1=1,SUMIFS('[1]1_inventory_total_details'!$J$8:$J$10000,'[1]1_inventory_total_details'!$C$8:$C$10000,I22,'[1]1_inventory_total_details'!$F$8:$F$10000,MID(N22,1,3)*1,'[1]1_inventory_total_details'!$G$8:$G$10000,"="&amp;S22,'[1]1_inventory_total_details'!$H$8:$H$10000,"="&amp;T22,'[1]1_inventory_total_details'!$I$8:$I$10000,"="&amp;adj_date)+SUMIFS('[1]1_inventory_total_details'!$M$8:$M$10000,'[1]1_inventory_total_details'!$C$8:$C$10000,I22,'[1]1_inventory_total_details'!$F$8:$F$10000,MID(N22,1,3)*1,'[1]1_inventory_total_details'!$G$8:$G$10000,"="&amp;S22,'[1]1_inventory_total_details'!$H$8:$H$10000,"="&amp;T22,'[1]1_inventory_total_details'!$I$8:$I$10000,"="&amp;adj_date)+SUMIFS('[1]1_inventory_total_details'!$K$8:$K$10000,'[1]1_inventory_total_details'!$C$8:$C$10000,I22,'[1]1_inventory_total_details'!$F$8:$F$10000,MID(N22,1,3)*1,'[1]1_inventory_total_details'!$G$8:$G$10000,"="&amp;S22,'[1]1_inventory_total_details'!$H$8:$H$10000,"="&amp;T22,'[1]1_inventory_total_details'!$I$8:$I$10000,"="&amp;adj_date)+SUMIFS('[1]1_inventory_total_details'!$L$8:$L$10000,'[1]1_inventory_total_details'!$C$8:$C$10000,I22,'[1]1_inventory_total_details'!$F$8:$F$10000,MID(N22,1,3)*1,'[1]1_inventory_total_details'!$G$8:$G$10000,"="&amp;S22,'[1]1_inventory_total_details'!$H$8:$H$10000,"="&amp;T22,'[1]1_inventory_total_details'!$I$8:$I$10000,"="&amp;adj_date),SUMIFS('[1]2_inventory_total_details'!$J$8:$J$10000,'[1]2_inventory_total_details'!$C$8:$C$10000,I22,'[1]2_inventory_total_details'!$F$8:$F$10000,MID(N22,1,3)*1,'[1]2_inventory_total_details'!$G$8:$G$10000,"="&amp;S22,'[1]2_inventory_total_details'!$H$8:$H$10000,"="&amp;T22,'[1]2_inventory_total_details'!$I$8:$I$10000,"="&amp;adj_date)+SUMIFS('[1]2_inventory_total_details'!$M$8:$M$10000,'[1]1_inventory_total_details'!$C$8:$C$10000,I22,'[1]2_inventory_total_details'!$F$8:$F$10000,MID(N22,1,3)*1,'[1]2_inventory_total_details'!$G$8:$G$10000,"="&amp;S22,'[1]2_inventory_total_details'!$H$8:$H$10000,"="&amp;T22,'[1]2_inventory_total_details'!$I$8:$I$10000,"="&amp;adj_date)+SUMIFS('[1]2_inventory_total_details'!$K$8:$K$10000,'[1]2_inventory_total_details'!$C$8:$C$10000,I22,'[1]2_inventory_total_details'!$F$8:$F$10000,MID(N22,1,3)*1,'[1]2_inventory_total_details'!$G$8:$G$10000,"="&amp;S22,'[1]2_inventory_total_details'!$H$8:$H$10000,"="&amp;T22,'[1]2_inventory_total_details'!$I$8:$I$10000,"="&amp;adj_date)+SUMIFS('[1]2_inventory_total_details'!$L$8:$L$10000,'[1]2_inventory_total_details'!$C$8:$C$10000,I22,'[1]2_inventory_total_details'!$F$8:$F$10000,MID(N22,1,3)*1,'[1]2_inventory_total_details'!$G$8:$G$10000,"="&amp;S22,'[1]2_inventory_total_details'!$H$8:$H$10000,"="&amp;T22,'[1]2_inventory_total_details'!$I$8:$I$10000,"="&amp;adj_date)))</f>
        <v/>
      </c>
      <c r="AC22" s="270" t="str">
        <f>IF(L22="","",IF(MID(N22,1,3)*1=1,SUMIFS('[1]1_inventory_total_details'!$J$8:$J$10000,'[1]1_inventory_total_details'!$C$8:$C$10000,I22,'[1]1_inventory_total_details'!$F$8:$F$10000,MID(N22,1,3)*1,'[1]1_inventory_total_details'!$G$8:$G$10000,"="&amp;S22,'[1]1_inventory_total_details'!$H$8:$H$10000,"="&amp;T22,'[1]1_inventory_total_details'!$I$8:$I$10000,"="&amp;adj_date)+SUMIFS('[1]1_inventory_total_details'!$M$8:$M$10000,'[1]1_inventory_total_details'!$C$8:$C$10000,I22,'[1]1_inventory_total_details'!$F$8:$F$10000,MID(N22,1,3)*1,'[1]1_inventory_total_details'!$G$8:$G$10000,"="&amp;S22,'[1]1_inventory_total_details'!$H$8:$H$10000,"="&amp;T22,'[1]1_inventory_total_details'!$I$8:$I$10000,"="&amp;adj_date)+SUMIFS('[1]1_inventory_total_details'!$K$8:$K$10000,'[1]1_inventory_total_details'!$C$8:$C$10000,I22,'[1]1_inventory_total_details'!$F$8:$F$10000,MID(N22,1,3)*1,'[1]1_inventory_total_details'!$G$8:$G$10000,"="&amp;S22,'[1]1_inventory_total_details'!$H$8:$H$10000,"="&amp;T22,'[1]1_inventory_total_details'!$I$8:$I$10000,"="&amp;adj_date)+SUMIFS('[1]1_inventory_total_details'!$L$8:$L$10000,'[1]1_inventory_total_details'!$C$8:$C$10000,I22,'[1]1_inventory_total_details'!$F$8:$F$10000,MID(N22,1,3)*1,'[1]1_inventory_total_details'!$G$8:$G$10000,"="&amp;S22,'[1]1_inventory_total_details'!$H$8:$H$10000,"="&amp;T22,'[1]1_inventory_total_details'!$I$8:$I$10000,"="&amp;adj_date),SUMIFS('[1]2_inventory_total_details'!$J$8:$J$10000,'[1]2_inventory_total_details'!$C$8:$C$10000,I22,'[1]2_inventory_total_details'!$F$8:$F$10000,MID(N22,1,3)*1,'[1]2_inventory_total_details'!$G$8:$G$10000,"="&amp;S22,'[1]2_inventory_total_details'!$H$8:$H$10000,"="&amp;T22,'[1]2_inventory_total_details'!$I$8:$I$10000,"="&amp;adj_date)+SUMIFS('[1]2_inventory_total_details'!$M$8:$M$10000,'[1]1_inventory_total_details'!$C$8:$C$10000,I22,'[1]2_inventory_total_details'!$F$8:$F$10000,MID(N22,1,3)*1,'[1]2_inventory_total_details'!$G$8:$G$10000,"="&amp;S22,'[1]2_inventory_total_details'!$H$8:$H$10000,"="&amp;T22,'[1]2_inventory_total_details'!$I$8:$I$10000,"="&amp;adj_date)+SUMIFS('[1]2_inventory_total_details'!$K$8:$K$10000,'[1]2_inventory_total_details'!$C$8:$C$10000,I22,'[1]2_inventory_total_details'!$F$8:$F$10000,MID(N22,1,3)*1,'[1]2_inventory_total_details'!$G$8:$G$10000,"="&amp;S22,'[1]2_inventory_total_details'!$H$8:$H$10000,"="&amp;T22,'[1]2_inventory_total_details'!$I$8:$I$10000,"="&amp;adj_date)+SUMIFS('[1]2_inventory_total_details'!$L$8:$L$10000,'[1]2_inventory_total_details'!$C$8:$C$10000,I22,'[1]2_inventory_total_details'!$F$8:$F$10000,MID(N22,1,3)*1,'[1]2_inventory_total_details'!$G$8:$G$10000,"="&amp;S22,'[1]2_inventory_total_details'!$H$8:$H$10000,"="&amp;T22,'[1]2_inventory_total_details'!$I$8:$I$10000,"="&amp;adj_date)))</f>
        <v/>
      </c>
      <c r="AD22" s="270" t="str">
        <f>IF(L22="","",SUMIFS('[1]1_group_totals'!$J$8:$J$10000,'[1]1_group_totals'!$C$8:$C$10000,I22,'[1]1_group_totals'!$F$8:$F$10000,adj_location_group_id,'[1]1_group_totals'!$G$8:$G$10000,MID(N22,1,3)*1,'[1]1_group_totals'!$H$8:$H$10000,"="&amp;S22,'[1]1_group_totals'!$I$8:$I$10000,"="&amp;T22))</f>
        <v/>
      </c>
      <c r="AE22" s="1796" t="str">
        <f t="shared" si="11"/>
        <v/>
      </c>
      <c r="AF22" s="1797" t="str">
        <f>IF(ISNA(MATCH(MID(AE22,1,3)*1,UomConversion!$D$8:$D$500,0)),"",IF(AJ22&lt;&gt;"",AJ22,""))</f>
        <v/>
      </c>
      <c r="AG22" s="1797" t="str">
        <f>IF(AND(AH22&gt;0,COUNTIFS(UomConversion!$D$8:$D$500,MID(AE22,1,3)*1,UomConversion!$J$8:$J$500,1)&gt;1),TEXT(AH22,"000")&amp;"."&amp;VLOOKUP(AH22,uom_list,5,FALSE),"")</f>
        <v/>
      </c>
      <c r="AH22" s="270" t="str">
        <f t="shared" si="12"/>
        <v/>
      </c>
      <c r="AI22" s="270" t="str">
        <f t="shared" si="13"/>
        <v/>
      </c>
      <c r="AJ22" s="270" t="str">
        <f t="shared" si="14"/>
        <v/>
      </c>
      <c r="AK22" s="270" t="str" cm="1">
        <f t="array" ref="AK22">IF(L22="","",Slookup(MID(AE22,1,3)*1,UomConversion!$D$8:$J$500,2,UomConversion!$I$8:$I$500,1,UomConversion!$J$8:$J$500,1))</f>
        <v/>
      </c>
      <c r="AL22" s="270" t="str">
        <f t="shared" si="15"/>
        <v/>
      </c>
      <c r="AM22" s="270" t="str">
        <f>IF(L22="","",(SUMIFS('[1]1_group_totals'!$K$8:$K$10000,'[1]1_group_totals'!$C$8:$C$10000,I22,'[1]1_group_totals'!$F$8:$F$10000,adj_location_group_id,'[1]1_group_totals'!$G$8:$G$10000,MID(N22,1,3)*1,'[1]1_group_totals'!$H$8:$H$10000,"="&amp;S22,'[1]1_group_totals'!$I$8:$I$10000,"="&amp;T22)+SUMIFS('[1]1_group_totals'!$N$8:$N$10000,'[1]1_group_totals'!$C$8:$C$10000,I22,'[1]1_group_totals'!$F$8:$F$10000,adj_location_group_id,'[1]1_group_totals'!$G$8:$G$10000,MID(N22,1,3)*1,'[1]1_group_totals'!$H$8:$H$10000,"="&amp;S22,'[1]1_group_totals'!$I$8:$I$10000,"="&amp;T22)+SUMIFS('[1]1_group_totals'!$P$8:$P$10000,'[1]1_group_totals'!$C$8:$C$10000,I22,'[1]1_group_totals'!$F$8:$F$10000,adj_location_group_id,'[1]1_group_totals'!$G$8:$G$10000,MID(N22,1,3)*1,'[1]1_group_totals'!$H$8:$H$10000,"="&amp;S22,'[1]1_group_totals'!$I$8:$I$10000,"="&amp;T22)+SUMIFS('[1]1_group_totals'!$Q$8:$Q$10000,'[1]1_group_totals'!$C$8:$C$10000,I22,'[1]1_group_totals'!$F$8:$F$10000,adj_location_group_id,'[1]1_group_totals'!$G$8:$G$10000,MID(N22,1,3)*1,'[1]1_group_totals'!$H$8:$H$10000,"="&amp;S22,'[1]1_group_totals'!$I$8:$I$10000,"="&amp;T22))+(SUMIFS('[1]1_group_totals'!$L$8:$L$10000,'[1]1_group_totals'!$C$8:$C$10000,I22,'[1]1_group_totals'!$F$8:$F$10000,adj_location_group_id,'[1]1_group_totals'!$G$8:$G$10000,MID(N22,1,3)*1,'[1]1_group_totals'!$H$8:$H$10000,"="&amp;S22,'[1]1_group_totals'!$I$8:$I$10000,"="&amp;T22)+SUMIFS('[1]1_group_totals'!$M$8:$M$10000,'[1]1_group_totals'!$C$8:$C$10000,I22,'[1]1_group_totals'!$F$8:$F$10000,adj_location_group_id,'[1]1_group_totals'!$G$8:$G$10000,MID(N22,1,3)*1,'[1]1_group_totals'!$H$8:$H$10000,"="&amp;S22,'[1]1_group_totals'!$I$8:$I$10000,"="&amp;T22)+SUMIFS('[1]1_group_totals'!$O$8:$O$10000,'[1]1_group_totals'!$C$8:$C$10000,I22,'[1]1_group_totals'!$F$8:$F$10000,adj_location_group_id,'[1]1_group_totals'!$G$8:$G$10000,MID(N22,1,3)*1,'[1]1_group_totals'!$H$8:$H$10000,"="&amp;S22,'[1]1_group_totals'!$I$8:$I$10000,"="&amp;T22)+SUMIFS('[1]1_group_totals'!$R$8:$R$10000,'[1]1_group_totals'!$C$8:$C$10000,I22,'[1]1_group_totals'!$F$8:$F$10000,adj_location_group_id,'[1]1_group_totals'!$G$8:$G$10000,MID(N22,1,3)*1,'[1]1_group_totals'!$H$8:$H$10000,"="&amp;S22,'[1]1_group_totals'!$I$8:$I$10000,"="&amp;T22)))</f>
        <v/>
      </c>
      <c r="AN22" s="270" t="str">
        <f>IF(L22="","",(SUMIFS('[1]1_inventory_totals'!$I$8:$I$10000,'[1]1_inventory_totals'!$C$8:$C$10000,I22,'[1]1_inventory_totals'!$F$8:$F$10000,"="&amp;S22,'[1]1_inventory_totals'!$G$8:$G$10000,"="&amp;T22)+SUMIFS('[1]1_inventory_totals'!$N$8:$N$10000,'[1]1_inventory_totals'!$C$8:$C$10000,I22,'[1]1_inventory_totals'!$F$8:$F$10000,"="&amp;S22,'[1]1_inventory_totals'!$G$8:$G$10000,"="&amp;T22)+SUMIFS('[1]1_inventory_totals'!$P$8:$P$10000,'[1]1_inventory_totals'!$C$8:$C$10000,I22,'[1]1_inventory_totals'!$F$8:$F$10000,"="&amp;S22,'[1]1_inventory_totals'!$G$8:$G$10000,"="&amp;T22)+SUMIFS('[1]1_inventory_totals'!$Q$8:$Q$10000,'[1]1_inventory_totals'!$C$8:$C$10000,I22,'[1]1_inventory_totals'!$F$8:$F$10000,"="&amp;S22,'[1]1_inventory_totals'!$G$8:$G$10000,"="&amp;T22)+SUMIFS('[1]1_inventory_totals'!$R$8:$R$10000,'[1]1_inventory_totals'!$C$8:$C$10000,I22,'[1]1_inventory_totals'!$F$8:$F$10000,"="&amp;S22,'[1]1_inventory_totals'!$G$8:$G$10000,"="&amp;T22))+(SUMIFS('[1]1_inventory_totals'!$J$8:$J$10000,'[1]1_inventory_totals'!$C$8:$C$10000,I22,'[1]1_inventory_totals'!$F$8:$F$10000,"="&amp;S22,'[1]1_inventory_totals'!$G$8:$G$10000,"="&amp;T22)+SUMIFS('[1]1_inventory_totals'!$K$8:$K$10000,'[1]1_inventory_totals'!$C$8:$C$10000,I22,'[1]1_inventory_totals'!$F$8:$F$10000,"="&amp;S22,'[1]1_inventory_totals'!$G$8:$G$10000,"="&amp;T22)+SUMIFS('[1]1_inventory_totals'!$L$8:$L$10000,'[1]1_inventory_totals'!$C$8:$C$10000,I22,'[1]1_inventory_totals'!$F$8:$F$10000,"="&amp;S22,'[1]1_inventory_totals'!$G$8:$G$10000,"="&amp;T22)+SUMIFS('[1]1_inventory_totals'!$M$8:$M$10000,'[1]1_inventory_totals'!$C$8:$C$10000,I22,'[1]1_inventory_totals'!$F$8:$F$10000,"="&amp;S22,'[1]1_inventory_totals'!$G$8:$G$10000,"="&amp;T22)+SUMIFS('[1]1_inventory_totals'!$O$8:$O$10000,'[1]1_inventory_totals'!$C$8:$C$10000,I22,'[1]1_inventory_totals'!$F$8:$F$10000,"="&amp;S22,'[1]1_inventory_totals'!$G$8:$G$10000,"="&amp;T22)+SUMIFS('[1]1_inventory_totals'!$S$8:$S$10000,'[1]1_inventory_totals'!$C$8:$C$10000,I22,'[1]1_inventory_totals'!$F$8:$F$10000,"="&amp;S22,'[1]1_inventory_totals'!$G$8:$G$10000,"="&amp;T22)))</f>
        <v/>
      </c>
      <c r="AO22" s="270" t="str">
        <f>IF(L22="","",(SUMIFS('[1]2_inventory_totals'!$I$8:$I$10000,'[1]2_inventory_totals'!$C$8:$C$10000,I22,'[1]2_inventory_totals'!$F$8:$F$10000,"="&amp;S22,'[1]2_inventory_totals'!$G$8:$G$10000,"="&amp;T22)+SUMIFS('[1]2_inventory_totals'!$N$8:$N$10000,'[1]2_inventory_totals'!$C$8:$C$10000,I22,'[1]2_inventory_totals'!$F$8:$F$10000,"="&amp;S22,'[1]2_inventory_totals'!$G$8:$G$10000,"="&amp;T22)+SUMIFS('[1]2_inventory_totals'!$P$8:$P$10000,'[1]2_inventory_totals'!$C$8:$C$10000,I22,'[1]2_inventory_totals'!$F$8:$F$10000,"="&amp;S22,'[1]2_inventory_totals'!$G$8:$G$10000,"="&amp;T22)+SUMIFS('[1]2_inventory_totals'!$Q$8:$Q$10000,'[1]2_inventory_totals'!$C$8:$C$10000,I22,'[1]2_inventory_totals'!$F$8:$F$10000,"="&amp;S22,'[1]2_inventory_totals'!$G$8:$G$10000,"="&amp;T22)+SUMIFS('[1]2_inventory_totals'!$R$8:$R$10000,'[1]2_inventory_totals'!$C$8:$C$10000,I22,'[1]2_inventory_totals'!$F$8:$F$10000,"="&amp;S22,'[1]2_inventory_totals'!$G$8:$G$10000,"="&amp;T22))+(SUMIFS('[1]2_inventory_totals'!$J$8:$J$10000,'[1]2_inventory_totals'!$C$8:$C$10000,I22,'[1]2_inventory_totals'!$F$8:$F$10000,"="&amp;S22,'[1]2_inventory_totals'!$G$8:$G$10000,"="&amp;T22)+SUMIFS('[1]2_inventory_totals'!$K$8:$K$10000,'[1]2_inventory_totals'!$C$8:$C$10000,I22,'[1]2_inventory_totals'!$F$8:$F$10000,"="&amp;S22,'[1]2_inventory_totals'!$G$8:$G$10000,"="&amp;T22)+SUMIFS('[1]2_inventory_totals'!$L$8:$L$10000,'[1]2_inventory_totals'!$C$8:$C$10000,I22,'[1]2_inventory_totals'!$F$8:$F$10000,"="&amp;S22,'[1]2_inventory_totals'!$G$8:$G$10000,"="&amp;T22)+SUMIFS('[1]2_inventory_totals'!$M$8:$M$10000,'[1]2_inventory_totals'!$C$8:$C$10000,I22,'[1]2_inventory_totals'!$F$8:$F$10000,"="&amp;S22,'[1]2_inventory_totals'!$G$8:$G$10000,"="&amp;T22)+SUMIFS('[1]2_inventory_totals'!$O$8:$O$10000,'[1]2_inventory_totals'!$C$8:$C$10000,I22,'[1]2_inventory_totals'!$F$8:$F$10000,"="&amp;S22,'[1]2_inventory_totals'!$G$8:$G$10000,"="&amp;T22)+SUMIFS('[1]2_inventory_totals'!$S$8:$S$10000,'[1]2_inventory_totals'!$C$8:$C$10000,I22,'[1]2_inventory_totals'!$F$8:$F$10000,"="&amp;S22,'[1]2_inventory_totals'!$G$8:$G$10000,"="&amp;T22)))</f>
        <v/>
      </c>
      <c r="AP22" s="954"/>
    </row>
    <row r="23" spans="1:42" ht="27" customHeight="1">
      <c r="A23" s="923"/>
      <c r="B23" s="1172"/>
      <c r="C23" s="1885"/>
      <c r="D23" s="1886"/>
      <c r="E23" s="1887"/>
      <c r="F23" s="1198"/>
      <c r="I23" s="1610" t="str">
        <f t="shared" si="5"/>
        <v/>
      </c>
      <c r="J23" s="270" t="str">
        <f t="shared" si="6"/>
        <v/>
      </c>
      <c r="K23" s="813" t="str">
        <f t="shared" si="0"/>
        <v/>
      </c>
      <c r="L23" s="1184"/>
      <c r="M23" s="1185"/>
      <c r="N23" s="1186"/>
      <c r="O23" s="1534"/>
      <c r="P23" s="336" t="str">
        <f t="shared" si="7"/>
        <v/>
      </c>
      <c r="Q23" s="336" t="str">
        <f>IF(L23="","",IF(AD23=0,0,(SUMIFS('[1]1_group_total_details'!$I$8:$I$10000,'[1]1_group_total_details'!$C$8:$C$10000,I23,'[1]1_group_total_details'!$F$8:$F$10000,adj_location_group_id,'[1]1_group_total_details'!$G$8:$G$10000,MID(N23,1,3)*1,'[1]1_group_total_details'!$H$8:$H$10000,"&lt;="&amp;adj_date)+SUMIFS('[1]1_group_total_details'!$L$8:$L$10000,'[1]1_group_total_details'!$C$8:$C$10000,I23,'[1]1_group_total_details'!$F$8:$F$10000,adj_location_group_id,'[1]1_group_total_details'!$G$8:$G$10000,MID(N23,1,3)*1,'[1]1_group_total_details'!$H$8:$H$10000,"&lt;="&amp;adj_date)+SUMIFS('[1]1_group_total_details'!$N$8:$N$10000,'[1]1_group_total_details'!$C$8:$C$10000,I23,'[1]1_group_total_details'!$F$8:$F$10000,adj_location_group_id,'[1]1_group_total_details'!$G$8:$G$10000,MID(N23,1,3)*1,'[1]1_group_total_details'!$H$8:$H$10000,"&lt;="&amp;adj_date)+SUMIFS('[1]1_group_total_details'!$O$8:$O$10000,'[1]1_group_total_details'!$C$8:$C$10000,I23,'[1]1_group_total_details'!$F$8:$F$10000,adj_location_group_id,'[1]1_group_total_details'!$G$8:$G$10000,MID(N23,1,3)*1,'[1]1_group_total_details'!$H$8:$H$10000,"&lt;="&amp;adj_date))-(SUMIFS('[1]1_group_total_details'!$J$8:$J$10000,'[1]1_group_total_details'!$C$8:$C$10000,I23,'[1]1_group_total_details'!$F$8:$F$10000,adj_location_group_id,'[1]1_group_total_details'!$G$8:$G$10000,MID(N23,1,3)*1,'[1]1_group_total_details'!$H$8:$H$10000,"&lt;="&amp;adj_date)+SUMIFS('[1]1_group_total_details'!$K$8:$K$10000,'[1]1_group_total_details'!$C$8:$C$10000,I23,'[1]1_group_total_details'!$F$8:$F$10000,adj_location_group_id,'[1]1_group_total_details'!$G$8:$G$10000,MID(N23,1,3)*1,'[1]1_group_total_details'!$H$8:$H$10000,"&lt;="&amp;adj_date)+SUMIFS('[1]1_group_total_details'!$M$8:$M$10000,'[1]1_group_total_details'!$C$8:$C$10000,I23,'[1]1_group_total_details'!$F$8:$F$10000,adj_location_group_id,'[1]1_group_total_details'!$G$8:$G$10000,MID(N23,1,3)*1,'[1]1_group_total_details'!$H$8:$H$10000,"&lt;="&amp;adj_date)+SUMIFS('[1]1_group_total_details'!$P$8:$P$10000,'[1]1_group_total_details'!$C$8:$C$10000,I23,'[1]1_group_total_details'!$F$8:$F$10000,adj_location_group_id,'[1]1_group_total_details'!$G$8:$G$10000,MID(N23,1,3)*1,'[1]1_group_total_details'!$H$8:$H$10000,"&lt;="&amp;adj_date))))</f>
        <v/>
      </c>
      <c r="R23" s="1187"/>
      <c r="S23" s="1186"/>
      <c r="T23" s="1186"/>
      <c r="U23" s="1184"/>
      <c r="V23" s="270" t="str" cm="1">
        <f t="array" ref="V23">IF(L23="","",IF(M23=AE23,1,Slookup(MID(AE23,1,3)*1,UomConversion!$D$8:$J$500,5,UomConversion!$E$8:$E$500,MID(M23,1,3)*1,UomConversion!$J$8:$J$500,1)))</f>
        <v/>
      </c>
      <c r="W23" s="270" t="str">
        <f t="shared" si="8"/>
        <v/>
      </c>
      <c r="X23" s="1795" t="str">
        <f t="shared" si="9"/>
        <v/>
      </c>
      <c r="Y23" s="1795" t="str">
        <f t="shared" si="10"/>
        <v/>
      </c>
      <c r="Z23" s="270" t="str">
        <f>IF(I23="","",IF(ISNA(MATCH(I23,IF(MID(N23,1,3)*1=1,'[1]1_inventory_totals'!$C$8:$C$10000,IF(MID(N23,1,3)*1=2,'[1]2_inventory_totals'!$C$8:$C$10000,"")),0)),0,IF(AL23&gt;0,1,0)))</f>
        <v/>
      </c>
      <c r="AA23" s="270" t="str">
        <f>IF(L23="","",IF(MID(N23,1,3)*1=1,SUMIFS('[1]1_inventory_total_details'!$J$8:$J$10000,'[1]1_inventory_total_details'!$C$8:$C$10000,I23,'[1]1_inventory_total_details'!$F$8:$F$10000,MID(N23,1,3)*1,'[1]1_inventory_total_details'!$G$8:$G$10000,"="&amp;S23,'[1]1_inventory_total_details'!$H$8:$H$10000,"="&amp;T23,'[1]1_inventory_total_details'!$I$8:$I$10000,"="&amp;adj_date)+SUMIFS('[1]1_inventory_total_details'!$M$8:$M$10000,'[1]1_inventory_total_details'!$C$8:$C$10000,I23,'[1]1_inventory_total_details'!$F$8:$F$10000,MID(N23,1,3)*1,'[1]1_inventory_total_details'!$G$8:$G$10000,"="&amp;S23,'[1]1_inventory_total_details'!$H$8:$H$10000,"="&amp;T23,'[1]1_inventory_total_details'!$I$8:$I$10000,"="&amp;adj_date)+SUMIFS('[1]1_inventory_total_details'!$K$8:$K$10000,'[1]1_inventory_total_details'!$C$8:$C$10000,I23,'[1]1_inventory_total_details'!$F$8:$F$10000,MID(N23,1,3)*1,'[1]1_inventory_total_details'!$G$8:$G$10000,"="&amp;S23,'[1]1_inventory_total_details'!$H$8:$H$10000,"="&amp;T23,'[1]1_inventory_total_details'!$I$8:$I$10000,"="&amp;adj_date)+SUMIFS('[1]1_inventory_total_details'!$L$8:$L$10000,'[1]1_inventory_total_details'!$C$8:$C$10000,I23,'[1]1_inventory_total_details'!$F$8:$F$10000,MID(N23,1,3)*1,'[1]1_inventory_total_details'!$G$8:$G$10000,"="&amp;S23,'[1]1_inventory_total_details'!$H$8:$H$10000,"="&amp;T23,'[1]1_inventory_total_details'!$I$8:$I$10000,"="&amp;adj_date),SUMIFS('[1]2_inventory_total_details'!$J$8:$J$10000,'[1]2_inventory_total_details'!$C$8:$C$10000,I23,'[1]2_inventory_total_details'!$F$8:$F$10000,MID(N23,1,3)*1,'[1]2_inventory_total_details'!$G$8:$G$10000,"="&amp;S23,'[1]2_inventory_total_details'!$H$8:$H$10000,"="&amp;T23,'[1]2_inventory_total_details'!$I$8:$I$10000,"="&amp;adj_date)+SUMIFS('[1]2_inventory_total_details'!$M$8:$M$10000,'[1]1_inventory_total_details'!$C$8:$C$10000,I23,'[1]2_inventory_total_details'!$F$8:$F$10000,MID(N23,1,3)*1,'[1]2_inventory_total_details'!$G$8:$G$10000,"="&amp;S23,'[1]2_inventory_total_details'!$H$8:$H$10000,"="&amp;T23,'[1]2_inventory_total_details'!$I$8:$I$10000,"="&amp;adj_date)+SUMIFS('[1]2_inventory_total_details'!$K$8:$K$10000,'[1]2_inventory_total_details'!$C$8:$C$10000,I23,'[1]2_inventory_total_details'!$F$8:$F$10000,MID(N23,1,3)*1,'[1]2_inventory_total_details'!$G$8:$G$10000,"="&amp;S23,'[1]2_inventory_total_details'!$H$8:$H$10000,"="&amp;T23,'[1]2_inventory_total_details'!$I$8:$I$10000,"="&amp;adj_date)+SUMIFS('[1]2_inventory_total_details'!$L$8:$L$10000,'[1]2_inventory_total_details'!$C$8:$C$10000,I23,'[1]2_inventory_total_details'!$F$8:$F$10000,MID(N23,1,3)*1,'[1]2_inventory_total_details'!$G$8:$G$10000,"="&amp;S23,'[1]2_inventory_total_details'!$H$8:$H$10000,"="&amp;T23,'[1]2_inventory_total_details'!$I$8:$I$10000,"="&amp;adj_date)))</f>
        <v/>
      </c>
      <c r="AB23" s="270" t="str">
        <f>IF(L23="","",IF(MID(N23,1,3)*1=1,SUMIFS('[1]1_inventory_total_details'!$J$8:$J$10000,'[1]1_inventory_total_details'!$C$8:$C$10000,I23,'[1]1_inventory_total_details'!$F$8:$F$10000,MID(N23,1,3)*1,'[1]1_inventory_total_details'!$G$8:$G$10000,"="&amp;S23,'[1]1_inventory_total_details'!$H$8:$H$10000,"="&amp;T23,'[1]1_inventory_total_details'!$I$8:$I$10000,"="&amp;adj_date)+SUMIFS('[1]1_inventory_total_details'!$M$8:$M$10000,'[1]1_inventory_total_details'!$C$8:$C$10000,I23,'[1]1_inventory_total_details'!$F$8:$F$10000,MID(N23,1,3)*1,'[1]1_inventory_total_details'!$G$8:$G$10000,"="&amp;S23,'[1]1_inventory_total_details'!$H$8:$H$10000,"="&amp;T23,'[1]1_inventory_total_details'!$I$8:$I$10000,"="&amp;adj_date)+SUMIFS('[1]1_inventory_total_details'!$K$8:$K$10000,'[1]1_inventory_total_details'!$C$8:$C$10000,I23,'[1]1_inventory_total_details'!$F$8:$F$10000,MID(N23,1,3)*1,'[1]1_inventory_total_details'!$G$8:$G$10000,"="&amp;S23,'[1]1_inventory_total_details'!$H$8:$H$10000,"="&amp;T23,'[1]1_inventory_total_details'!$I$8:$I$10000,"="&amp;adj_date)+SUMIFS('[1]1_inventory_total_details'!$L$8:$L$10000,'[1]1_inventory_total_details'!$C$8:$C$10000,I23,'[1]1_inventory_total_details'!$F$8:$F$10000,MID(N23,1,3)*1,'[1]1_inventory_total_details'!$G$8:$G$10000,"="&amp;S23,'[1]1_inventory_total_details'!$H$8:$H$10000,"="&amp;T23,'[1]1_inventory_total_details'!$I$8:$I$10000,"="&amp;adj_date),SUMIFS('[1]2_inventory_total_details'!$J$8:$J$10000,'[1]2_inventory_total_details'!$C$8:$C$10000,I23,'[1]2_inventory_total_details'!$F$8:$F$10000,MID(N23,1,3)*1,'[1]2_inventory_total_details'!$G$8:$G$10000,"="&amp;S23,'[1]2_inventory_total_details'!$H$8:$H$10000,"="&amp;T23,'[1]2_inventory_total_details'!$I$8:$I$10000,"="&amp;adj_date)+SUMIFS('[1]2_inventory_total_details'!$M$8:$M$10000,'[1]1_inventory_total_details'!$C$8:$C$10000,I23,'[1]2_inventory_total_details'!$F$8:$F$10000,MID(N23,1,3)*1,'[1]2_inventory_total_details'!$G$8:$G$10000,"="&amp;S23,'[1]2_inventory_total_details'!$H$8:$H$10000,"="&amp;T23,'[1]2_inventory_total_details'!$I$8:$I$10000,"="&amp;adj_date)+SUMIFS('[1]2_inventory_total_details'!$K$8:$K$10000,'[1]2_inventory_total_details'!$C$8:$C$10000,I23,'[1]2_inventory_total_details'!$F$8:$F$10000,MID(N23,1,3)*1,'[1]2_inventory_total_details'!$G$8:$G$10000,"="&amp;S23,'[1]2_inventory_total_details'!$H$8:$H$10000,"="&amp;T23,'[1]2_inventory_total_details'!$I$8:$I$10000,"="&amp;adj_date)+SUMIFS('[1]2_inventory_total_details'!$L$8:$L$10000,'[1]2_inventory_total_details'!$C$8:$C$10000,I23,'[1]2_inventory_total_details'!$F$8:$F$10000,MID(N23,1,3)*1,'[1]2_inventory_total_details'!$G$8:$G$10000,"="&amp;S23,'[1]2_inventory_total_details'!$H$8:$H$10000,"="&amp;T23,'[1]2_inventory_total_details'!$I$8:$I$10000,"="&amp;adj_date)))</f>
        <v/>
      </c>
      <c r="AC23" s="270" t="str">
        <f>IF(L23="","",IF(MID(N23,1,3)*1=1,SUMIFS('[1]1_inventory_total_details'!$J$8:$J$10000,'[1]1_inventory_total_details'!$C$8:$C$10000,I23,'[1]1_inventory_total_details'!$F$8:$F$10000,MID(N23,1,3)*1,'[1]1_inventory_total_details'!$G$8:$G$10000,"="&amp;S23,'[1]1_inventory_total_details'!$H$8:$H$10000,"="&amp;T23,'[1]1_inventory_total_details'!$I$8:$I$10000,"="&amp;adj_date)+SUMIFS('[1]1_inventory_total_details'!$M$8:$M$10000,'[1]1_inventory_total_details'!$C$8:$C$10000,I23,'[1]1_inventory_total_details'!$F$8:$F$10000,MID(N23,1,3)*1,'[1]1_inventory_total_details'!$G$8:$G$10000,"="&amp;S23,'[1]1_inventory_total_details'!$H$8:$H$10000,"="&amp;T23,'[1]1_inventory_total_details'!$I$8:$I$10000,"="&amp;adj_date)+SUMIFS('[1]1_inventory_total_details'!$K$8:$K$10000,'[1]1_inventory_total_details'!$C$8:$C$10000,I23,'[1]1_inventory_total_details'!$F$8:$F$10000,MID(N23,1,3)*1,'[1]1_inventory_total_details'!$G$8:$G$10000,"="&amp;S23,'[1]1_inventory_total_details'!$H$8:$H$10000,"="&amp;T23,'[1]1_inventory_total_details'!$I$8:$I$10000,"="&amp;adj_date)+SUMIFS('[1]1_inventory_total_details'!$L$8:$L$10000,'[1]1_inventory_total_details'!$C$8:$C$10000,I23,'[1]1_inventory_total_details'!$F$8:$F$10000,MID(N23,1,3)*1,'[1]1_inventory_total_details'!$G$8:$G$10000,"="&amp;S23,'[1]1_inventory_total_details'!$H$8:$H$10000,"="&amp;T23,'[1]1_inventory_total_details'!$I$8:$I$10000,"="&amp;adj_date),SUMIFS('[1]2_inventory_total_details'!$J$8:$J$10000,'[1]2_inventory_total_details'!$C$8:$C$10000,I23,'[1]2_inventory_total_details'!$F$8:$F$10000,MID(N23,1,3)*1,'[1]2_inventory_total_details'!$G$8:$G$10000,"="&amp;S23,'[1]2_inventory_total_details'!$H$8:$H$10000,"="&amp;T23,'[1]2_inventory_total_details'!$I$8:$I$10000,"="&amp;adj_date)+SUMIFS('[1]2_inventory_total_details'!$M$8:$M$10000,'[1]1_inventory_total_details'!$C$8:$C$10000,I23,'[1]2_inventory_total_details'!$F$8:$F$10000,MID(N23,1,3)*1,'[1]2_inventory_total_details'!$G$8:$G$10000,"="&amp;S23,'[1]2_inventory_total_details'!$H$8:$H$10000,"="&amp;T23,'[1]2_inventory_total_details'!$I$8:$I$10000,"="&amp;adj_date)+SUMIFS('[1]2_inventory_total_details'!$K$8:$K$10000,'[1]2_inventory_total_details'!$C$8:$C$10000,I23,'[1]2_inventory_total_details'!$F$8:$F$10000,MID(N23,1,3)*1,'[1]2_inventory_total_details'!$G$8:$G$10000,"="&amp;S23,'[1]2_inventory_total_details'!$H$8:$H$10000,"="&amp;T23,'[1]2_inventory_total_details'!$I$8:$I$10000,"="&amp;adj_date)+SUMIFS('[1]2_inventory_total_details'!$L$8:$L$10000,'[1]2_inventory_total_details'!$C$8:$C$10000,I23,'[1]2_inventory_total_details'!$F$8:$F$10000,MID(N23,1,3)*1,'[1]2_inventory_total_details'!$G$8:$G$10000,"="&amp;S23,'[1]2_inventory_total_details'!$H$8:$H$10000,"="&amp;T23,'[1]2_inventory_total_details'!$I$8:$I$10000,"="&amp;adj_date)))</f>
        <v/>
      </c>
      <c r="AD23" s="270" t="str">
        <f>IF(L23="","",SUMIFS('[1]1_group_totals'!$J$8:$J$10000,'[1]1_group_totals'!$C$8:$C$10000,I23,'[1]1_group_totals'!$F$8:$F$10000,adj_location_group_id,'[1]1_group_totals'!$G$8:$G$10000,MID(N23,1,3)*1,'[1]1_group_totals'!$H$8:$H$10000,"="&amp;S23,'[1]1_group_totals'!$I$8:$I$10000,"="&amp;T23))</f>
        <v/>
      </c>
      <c r="AE23" s="1796" t="str">
        <f t="shared" si="11"/>
        <v/>
      </c>
      <c r="AF23" s="1797" t="str">
        <f>IF(ISNA(MATCH(MID(AE23,1,3)*1,UomConversion!$D$8:$D$500,0)),"",IF(AJ23&lt;&gt;"",AJ23,""))</f>
        <v/>
      </c>
      <c r="AG23" s="1797" t="str">
        <f>IF(AND(AH23&gt;0,COUNTIFS(UomConversion!$D$8:$D$500,MID(AE23,1,3)*1,UomConversion!$J$8:$J$500,1)&gt;1),TEXT(AH23,"000")&amp;"."&amp;VLOOKUP(AH23,uom_list,5,FALSE),"")</f>
        <v/>
      </c>
      <c r="AH23" s="270" t="str">
        <f t="shared" si="12"/>
        <v/>
      </c>
      <c r="AI23" s="270" t="str">
        <f t="shared" si="13"/>
        <v/>
      </c>
      <c r="AJ23" s="270" t="str">
        <f t="shared" si="14"/>
        <v/>
      </c>
      <c r="AK23" s="270" t="str" cm="1">
        <f t="array" ref="AK23">IF(L23="","",Slookup(MID(AE23,1,3)*1,UomConversion!$D$8:$J$500,2,UomConversion!$I$8:$I$500,1,UomConversion!$J$8:$J$500,1))</f>
        <v/>
      </c>
      <c r="AL23" s="270" t="str">
        <f t="shared" si="15"/>
        <v/>
      </c>
      <c r="AM23" s="270" t="str">
        <f>IF(L23="","",(SUMIFS('[1]1_group_totals'!$K$8:$K$10000,'[1]1_group_totals'!$C$8:$C$10000,I23,'[1]1_group_totals'!$F$8:$F$10000,adj_location_group_id,'[1]1_group_totals'!$G$8:$G$10000,MID(N23,1,3)*1,'[1]1_group_totals'!$H$8:$H$10000,"="&amp;S23,'[1]1_group_totals'!$I$8:$I$10000,"="&amp;T23)+SUMIFS('[1]1_group_totals'!$N$8:$N$10000,'[1]1_group_totals'!$C$8:$C$10000,I23,'[1]1_group_totals'!$F$8:$F$10000,adj_location_group_id,'[1]1_group_totals'!$G$8:$G$10000,MID(N23,1,3)*1,'[1]1_group_totals'!$H$8:$H$10000,"="&amp;S23,'[1]1_group_totals'!$I$8:$I$10000,"="&amp;T23)+SUMIFS('[1]1_group_totals'!$P$8:$P$10000,'[1]1_group_totals'!$C$8:$C$10000,I23,'[1]1_group_totals'!$F$8:$F$10000,adj_location_group_id,'[1]1_group_totals'!$G$8:$G$10000,MID(N23,1,3)*1,'[1]1_group_totals'!$H$8:$H$10000,"="&amp;S23,'[1]1_group_totals'!$I$8:$I$10000,"="&amp;T23)+SUMIFS('[1]1_group_totals'!$Q$8:$Q$10000,'[1]1_group_totals'!$C$8:$C$10000,I23,'[1]1_group_totals'!$F$8:$F$10000,adj_location_group_id,'[1]1_group_totals'!$G$8:$G$10000,MID(N23,1,3)*1,'[1]1_group_totals'!$H$8:$H$10000,"="&amp;S23,'[1]1_group_totals'!$I$8:$I$10000,"="&amp;T23))+(SUMIFS('[1]1_group_totals'!$L$8:$L$10000,'[1]1_group_totals'!$C$8:$C$10000,I23,'[1]1_group_totals'!$F$8:$F$10000,adj_location_group_id,'[1]1_group_totals'!$G$8:$G$10000,MID(N23,1,3)*1,'[1]1_group_totals'!$H$8:$H$10000,"="&amp;S23,'[1]1_group_totals'!$I$8:$I$10000,"="&amp;T23)+SUMIFS('[1]1_group_totals'!$M$8:$M$10000,'[1]1_group_totals'!$C$8:$C$10000,I23,'[1]1_group_totals'!$F$8:$F$10000,adj_location_group_id,'[1]1_group_totals'!$G$8:$G$10000,MID(N23,1,3)*1,'[1]1_group_totals'!$H$8:$H$10000,"="&amp;S23,'[1]1_group_totals'!$I$8:$I$10000,"="&amp;T23)+SUMIFS('[1]1_group_totals'!$O$8:$O$10000,'[1]1_group_totals'!$C$8:$C$10000,I23,'[1]1_group_totals'!$F$8:$F$10000,adj_location_group_id,'[1]1_group_totals'!$G$8:$G$10000,MID(N23,1,3)*1,'[1]1_group_totals'!$H$8:$H$10000,"="&amp;S23,'[1]1_group_totals'!$I$8:$I$10000,"="&amp;T23)+SUMIFS('[1]1_group_totals'!$R$8:$R$10000,'[1]1_group_totals'!$C$8:$C$10000,I23,'[1]1_group_totals'!$F$8:$F$10000,adj_location_group_id,'[1]1_group_totals'!$G$8:$G$10000,MID(N23,1,3)*1,'[1]1_group_totals'!$H$8:$H$10000,"="&amp;S23,'[1]1_group_totals'!$I$8:$I$10000,"="&amp;T23)))</f>
        <v/>
      </c>
      <c r="AN23" s="270" t="str">
        <f>IF(L23="","",(SUMIFS('[1]1_inventory_totals'!$I$8:$I$10000,'[1]1_inventory_totals'!$C$8:$C$10000,I23,'[1]1_inventory_totals'!$F$8:$F$10000,"="&amp;S23,'[1]1_inventory_totals'!$G$8:$G$10000,"="&amp;T23)+SUMIFS('[1]1_inventory_totals'!$N$8:$N$10000,'[1]1_inventory_totals'!$C$8:$C$10000,I23,'[1]1_inventory_totals'!$F$8:$F$10000,"="&amp;S23,'[1]1_inventory_totals'!$G$8:$G$10000,"="&amp;T23)+SUMIFS('[1]1_inventory_totals'!$P$8:$P$10000,'[1]1_inventory_totals'!$C$8:$C$10000,I23,'[1]1_inventory_totals'!$F$8:$F$10000,"="&amp;S23,'[1]1_inventory_totals'!$G$8:$G$10000,"="&amp;T23)+SUMIFS('[1]1_inventory_totals'!$Q$8:$Q$10000,'[1]1_inventory_totals'!$C$8:$C$10000,I23,'[1]1_inventory_totals'!$F$8:$F$10000,"="&amp;S23,'[1]1_inventory_totals'!$G$8:$G$10000,"="&amp;T23)+SUMIFS('[1]1_inventory_totals'!$R$8:$R$10000,'[1]1_inventory_totals'!$C$8:$C$10000,I23,'[1]1_inventory_totals'!$F$8:$F$10000,"="&amp;S23,'[1]1_inventory_totals'!$G$8:$G$10000,"="&amp;T23))+(SUMIFS('[1]1_inventory_totals'!$J$8:$J$10000,'[1]1_inventory_totals'!$C$8:$C$10000,I23,'[1]1_inventory_totals'!$F$8:$F$10000,"="&amp;S23,'[1]1_inventory_totals'!$G$8:$G$10000,"="&amp;T23)+SUMIFS('[1]1_inventory_totals'!$K$8:$K$10000,'[1]1_inventory_totals'!$C$8:$C$10000,I23,'[1]1_inventory_totals'!$F$8:$F$10000,"="&amp;S23,'[1]1_inventory_totals'!$G$8:$G$10000,"="&amp;T23)+SUMIFS('[1]1_inventory_totals'!$L$8:$L$10000,'[1]1_inventory_totals'!$C$8:$C$10000,I23,'[1]1_inventory_totals'!$F$8:$F$10000,"="&amp;S23,'[1]1_inventory_totals'!$G$8:$G$10000,"="&amp;T23)+SUMIFS('[1]1_inventory_totals'!$M$8:$M$10000,'[1]1_inventory_totals'!$C$8:$C$10000,I23,'[1]1_inventory_totals'!$F$8:$F$10000,"="&amp;S23,'[1]1_inventory_totals'!$G$8:$G$10000,"="&amp;T23)+SUMIFS('[1]1_inventory_totals'!$O$8:$O$10000,'[1]1_inventory_totals'!$C$8:$C$10000,I23,'[1]1_inventory_totals'!$F$8:$F$10000,"="&amp;S23,'[1]1_inventory_totals'!$G$8:$G$10000,"="&amp;T23)+SUMIFS('[1]1_inventory_totals'!$S$8:$S$10000,'[1]1_inventory_totals'!$C$8:$C$10000,I23,'[1]1_inventory_totals'!$F$8:$F$10000,"="&amp;S23,'[1]1_inventory_totals'!$G$8:$G$10000,"="&amp;T23)))</f>
        <v/>
      </c>
      <c r="AO23" s="270" t="str">
        <f>IF(L23="","",(SUMIFS('[1]2_inventory_totals'!$I$8:$I$10000,'[1]2_inventory_totals'!$C$8:$C$10000,I23,'[1]2_inventory_totals'!$F$8:$F$10000,"="&amp;S23,'[1]2_inventory_totals'!$G$8:$G$10000,"="&amp;T23)+SUMIFS('[1]2_inventory_totals'!$N$8:$N$10000,'[1]2_inventory_totals'!$C$8:$C$10000,I23,'[1]2_inventory_totals'!$F$8:$F$10000,"="&amp;S23,'[1]2_inventory_totals'!$G$8:$G$10000,"="&amp;T23)+SUMIFS('[1]2_inventory_totals'!$P$8:$P$10000,'[1]2_inventory_totals'!$C$8:$C$10000,I23,'[1]2_inventory_totals'!$F$8:$F$10000,"="&amp;S23,'[1]2_inventory_totals'!$G$8:$G$10000,"="&amp;T23)+SUMIFS('[1]2_inventory_totals'!$Q$8:$Q$10000,'[1]2_inventory_totals'!$C$8:$C$10000,I23,'[1]2_inventory_totals'!$F$8:$F$10000,"="&amp;S23,'[1]2_inventory_totals'!$G$8:$G$10000,"="&amp;T23)+SUMIFS('[1]2_inventory_totals'!$R$8:$R$10000,'[1]2_inventory_totals'!$C$8:$C$10000,I23,'[1]2_inventory_totals'!$F$8:$F$10000,"="&amp;S23,'[1]2_inventory_totals'!$G$8:$G$10000,"="&amp;T23))+(SUMIFS('[1]2_inventory_totals'!$J$8:$J$10000,'[1]2_inventory_totals'!$C$8:$C$10000,I23,'[1]2_inventory_totals'!$F$8:$F$10000,"="&amp;S23,'[1]2_inventory_totals'!$G$8:$G$10000,"="&amp;T23)+SUMIFS('[1]2_inventory_totals'!$K$8:$K$10000,'[1]2_inventory_totals'!$C$8:$C$10000,I23,'[1]2_inventory_totals'!$F$8:$F$10000,"="&amp;S23,'[1]2_inventory_totals'!$G$8:$G$10000,"="&amp;T23)+SUMIFS('[1]2_inventory_totals'!$L$8:$L$10000,'[1]2_inventory_totals'!$C$8:$C$10000,I23,'[1]2_inventory_totals'!$F$8:$F$10000,"="&amp;S23,'[1]2_inventory_totals'!$G$8:$G$10000,"="&amp;T23)+SUMIFS('[1]2_inventory_totals'!$M$8:$M$10000,'[1]2_inventory_totals'!$C$8:$C$10000,I23,'[1]2_inventory_totals'!$F$8:$F$10000,"="&amp;S23,'[1]2_inventory_totals'!$G$8:$G$10000,"="&amp;T23)+SUMIFS('[1]2_inventory_totals'!$O$8:$O$10000,'[1]2_inventory_totals'!$C$8:$C$10000,I23,'[1]2_inventory_totals'!$F$8:$F$10000,"="&amp;S23,'[1]2_inventory_totals'!$G$8:$G$10000,"="&amp;T23)+SUMIFS('[1]2_inventory_totals'!$S$8:$S$10000,'[1]2_inventory_totals'!$C$8:$C$10000,I23,'[1]2_inventory_totals'!$F$8:$F$10000,"="&amp;S23,'[1]2_inventory_totals'!$G$8:$G$10000,"="&amp;T23)))</f>
        <v/>
      </c>
      <c r="AP23" s="954"/>
    </row>
    <row r="24" spans="1:42" ht="27" customHeight="1" thickBot="1">
      <c r="A24" s="923"/>
      <c r="B24" s="1172"/>
      <c r="C24" s="1888"/>
      <c r="D24" s="1889"/>
      <c r="E24" s="1890"/>
      <c r="F24" s="1197"/>
      <c r="I24" s="1610" t="str">
        <f t="shared" si="5"/>
        <v/>
      </c>
      <c r="J24" s="270" t="str">
        <f t="shared" si="6"/>
        <v/>
      </c>
      <c r="K24" s="813" t="str">
        <f t="shared" si="0"/>
        <v/>
      </c>
      <c r="L24" s="1184"/>
      <c r="M24" s="1185"/>
      <c r="N24" s="1186"/>
      <c r="O24" s="1534"/>
      <c r="P24" s="336" t="str">
        <f t="shared" si="7"/>
        <v/>
      </c>
      <c r="Q24" s="336" t="str">
        <f>IF(L24="","",IF(AD24=0,0,(SUMIFS('[1]1_group_total_details'!$I$8:$I$10000,'[1]1_group_total_details'!$C$8:$C$10000,I24,'[1]1_group_total_details'!$F$8:$F$10000,adj_location_group_id,'[1]1_group_total_details'!$G$8:$G$10000,MID(N24,1,3)*1,'[1]1_group_total_details'!$H$8:$H$10000,"&lt;="&amp;adj_date)+SUMIFS('[1]1_group_total_details'!$L$8:$L$10000,'[1]1_group_total_details'!$C$8:$C$10000,I24,'[1]1_group_total_details'!$F$8:$F$10000,adj_location_group_id,'[1]1_group_total_details'!$G$8:$G$10000,MID(N24,1,3)*1,'[1]1_group_total_details'!$H$8:$H$10000,"&lt;="&amp;adj_date)+SUMIFS('[1]1_group_total_details'!$N$8:$N$10000,'[1]1_group_total_details'!$C$8:$C$10000,I24,'[1]1_group_total_details'!$F$8:$F$10000,adj_location_group_id,'[1]1_group_total_details'!$G$8:$G$10000,MID(N24,1,3)*1,'[1]1_group_total_details'!$H$8:$H$10000,"&lt;="&amp;adj_date)+SUMIFS('[1]1_group_total_details'!$O$8:$O$10000,'[1]1_group_total_details'!$C$8:$C$10000,I24,'[1]1_group_total_details'!$F$8:$F$10000,adj_location_group_id,'[1]1_group_total_details'!$G$8:$G$10000,MID(N24,1,3)*1,'[1]1_group_total_details'!$H$8:$H$10000,"&lt;="&amp;adj_date))-(SUMIFS('[1]1_group_total_details'!$J$8:$J$10000,'[1]1_group_total_details'!$C$8:$C$10000,I24,'[1]1_group_total_details'!$F$8:$F$10000,adj_location_group_id,'[1]1_group_total_details'!$G$8:$G$10000,MID(N24,1,3)*1,'[1]1_group_total_details'!$H$8:$H$10000,"&lt;="&amp;adj_date)+SUMIFS('[1]1_group_total_details'!$K$8:$K$10000,'[1]1_group_total_details'!$C$8:$C$10000,I24,'[1]1_group_total_details'!$F$8:$F$10000,adj_location_group_id,'[1]1_group_total_details'!$G$8:$G$10000,MID(N24,1,3)*1,'[1]1_group_total_details'!$H$8:$H$10000,"&lt;="&amp;adj_date)+SUMIFS('[1]1_group_total_details'!$M$8:$M$10000,'[1]1_group_total_details'!$C$8:$C$10000,I24,'[1]1_group_total_details'!$F$8:$F$10000,adj_location_group_id,'[1]1_group_total_details'!$G$8:$G$10000,MID(N24,1,3)*1,'[1]1_group_total_details'!$H$8:$H$10000,"&lt;="&amp;adj_date)+SUMIFS('[1]1_group_total_details'!$P$8:$P$10000,'[1]1_group_total_details'!$C$8:$C$10000,I24,'[1]1_group_total_details'!$F$8:$F$10000,adj_location_group_id,'[1]1_group_total_details'!$G$8:$G$10000,MID(N24,1,3)*1,'[1]1_group_total_details'!$H$8:$H$10000,"&lt;="&amp;adj_date))))</f>
        <v/>
      </c>
      <c r="R24" s="1187"/>
      <c r="S24" s="1186"/>
      <c r="T24" s="1186"/>
      <c r="U24" s="1184"/>
      <c r="V24" s="270" t="str" cm="1">
        <f t="array" ref="V24">IF(L24="","",IF(M24=AE24,1,Slookup(MID(AE24,1,3)*1,UomConversion!$D$8:$J$500,5,UomConversion!$E$8:$E$500,MID(M24,1,3)*1,UomConversion!$J$8:$J$500,1)))</f>
        <v/>
      </c>
      <c r="W24" s="270" t="str">
        <f t="shared" si="8"/>
        <v/>
      </c>
      <c r="X24" s="1795" t="str">
        <f t="shared" si="9"/>
        <v/>
      </c>
      <c r="Y24" s="1795" t="str">
        <f t="shared" si="10"/>
        <v/>
      </c>
      <c r="Z24" s="270" t="str">
        <f>IF(I24="","",IF(ISNA(MATCH(I24,IF(MID(N24,1,3)*1=1,'[1]1_inventory_totals'!$C$8:$C$10000,IF(MID(N24,1,3)*1=2,'[1]2_inventory_totals'!$C$8:$C$10000,"")),0)),0,IF(AL24&gt;0,1,0)))</f>
        <v/>
      </c>
      <c r="AA24" s="270" t="str">
        <f>IF(L24="","",IF(MID(N24,1,3)*1=1,SUMIFS('[1]1_inventory_total_details'!$J$8:$J$10000,'[1]1_inventory_total_details'!$C$8:$C$10000,I24,'[1]1_inventory_total_details'!$F$8:$F$10000,MID(N24,1,3)*1,'[1]1_inventory_total_details'!$G$8:$G$10000,"="&amp;S24,'[1]1_inventory_total_details'!$H$8:$H$10000,"="&amp;T24,'[1]1_inventory_total_details'!$I$8:$I$10000,"="&amp;adj_date)+SUMIFS('[1]1_inventory_total_details'!$M$8:$M$10000,'[1]1_inventory_total_details'!$C$8:$C$10000,I24,'[1]1_inventory_total_details'!$F$8:$F$10000,MID(N24,1,3)*1,'[1]1_inventory_total_details'!$G$8:$G$10000,"="&amp;S24,'[1]1_inventory_total_details'!$H$8:$H$10000,"="&amp;T24,'[1]1_inventory_total_details'!$I$8:$I$10000,"="&amp;adj_date)+SUMIFS('[1]1_inventory_total_details'!$K$8:$K$10000,'[1]1_inventory_total_details'!$C$8:$C$10000,I24,'[1]1_inventory_total_details'!$F$8:$F$10000,MID(N24,1,3)*1,'[1]1_inventory_total_details'!$G$8:$G$10000,"="&amp;S24,'[1]1_inventory_total_details'!$H$8:$H$10000,"="&amp;T24,'[1]1_inventory_total_details'!$I$8:$I$10000,"="&amp;adj_date)+SUMIFS('[1]1_inventory_total_details'!$L$8:$L$10000,'[1]1_inventory_total_details'!$C$8:$C$10000,I24,'[1]1_inventory_total_details'!$F$8:$F$10000,MID(N24,1,3)*1,'[1]1_inventory_total_details'!$G$8:$G$10000,"="&amp;S24,'[1]1_inventory_total_details'!$H$8:$H$10000,"="&amp;T24,'[1]1_inventory_total_details'!$I$8:$I$10000,"="&amp;adj_date),SUMIFS('[1]2_inventory_total_details'!$J$8:$J$10000,'[1]2_inventory_total_details'!$C$8:$C$10000,I24,'[1]2_inventory_total_details'!$F$8:$F$10000,MID(N24,1,3)*1,'[1]2_inventory_total_details'!$G$8:$G$10000,"="&amp;S24,'[1]2_inventory_total_details'!$H$8:$H$10000,"="&amp;T24,'[1]2_inventory_total_details'!$I$8:$I$10000,"="&amp;adj_date)+SUMIFS('[1]2_inventory_total_details'!$M$8:$M$10000,'[1]1_inventory_total_details'!$C$8:$C$10000,I24,'[1]2_inventory_total_details'!$F$8:$F$10000,MID(N24,1,3)*1,'[1]2_inventory_total_details'!$G$8:$G$10000,"="&amp;S24,'[1]2_inventory_total_details'!$H$8:$H$10000,"="&amp;T24,'[1]2_inventory_total_details'!$I$8:$I$10000,"="&amp;adj_date)+SUMIFS('[1]2_inventory_total_details'!$K$8:$K$10000,'[1]2_inventory_total_details'!$C$8:$C$10000,I24,'[1]2_inventory_total_details'!$F$8:$F$10000,MID(N24,1,3)*1,'[1]2_inventory_total_details'!$G$8:$G$10000,"="&amp;S24,'[1]2_inventory_total_details'!$H$8:$H$10000,"="&amp;T24,'[1]2_inventory_total_details'!$I$8:$I$10000,"="&amp;adj_date)+SUMIFS('[1]2_inventory_total_details'!$L$8:$L$10000,'[1]2_inventory_total_details'!$C$8:$C$10000,I24,'[1]2_inventory_total_details'!$F$8:$F$10000,MID(N24,1,3)*1,'[1]2_inventory_total_details'!$G$8:$G$10000,"="&amp;S24,'[1]2_inventory_total_details'!$H$8:$H$10000,"="&amp;T24,'[1]2_inventory_total_details'!$I$8:$I$10000,"="&amp;adj_date)))</f>
        <v/>
      </c>
      <c r="AB24" s="270" t="str">
        <f>IF(L24="","",IF(MID(N24,1,3)*1=1,SUMIFS('[1]1_inventory_total_details'!$J$8:$J$10000,'[1]1_inventory_total_details'!$C$8:$C$10000,I24,'[1]1_inventory_total_details'!$F$8:$F$10000,MID(N24,1,3)*1,'[1]1_inventory_total_details'!$G$8:$G$10000,"="&amp;S24,'[1]1_inventory_total_details'!$H$8:$H$10000,"="&amp;T24,'[1]1_inventory_total_details'!$I$8:$I$10000,"="&amp;adj_date)+SUMIFS('[1]1_inventory_total_details'!$M$8:$M$10000,'[1]1_inventory_total_details'!$C$8:$C$10000,I24,'[1]1_inventory_total_details'!$F$8:$F$10000,MID(N24,1,3)*1,'[1]1_inventory_total_details'!$G$8:$G$10000,"="&amp;S24,'[1]1_inventory_total_details'!$H$8:$H$10000,"="&amp;T24,'[1]1_inventory_total_details'!$I$8:$I$10000,"="&amp;adj_date)+SUMIFS('[1]1_inventory_total_details'!$K$8:$K$10000,'[1]1_inventory_total_details'!$C$8:$C$10000,I24,'[1]1_inventory_total_details'!$F$8:$F$10000,MID(N24,1,3)*1,'[1]1_inventory_total_details'!$G$8:$G$10000,"="&amp;S24,'[1]1_inventory_total_details'!$H$8:$H$10000,"="&amp;T24,'[1]1_inventory_total_details'!$I$8:$I$10000,"="&amp;adj_date)+SUMIFS('[1]1_inventory_total_details'!$L$8:$L$10000,'[1]1_inventory_total_details'!$C$8:$C$10000,I24,'[1]1_inventory_total_details'!$F$8:$F$10000,MID(N24,1,3)*1,'[1]1_inventory_total_details'!$G$8:$G$10000,"="&amp;S24,'[1]1_inventory_total_details'!$H$8:$H$10000,"="&amp;T24,'[1]1_inventory_total_details'!$I$8:$I$10000,"="&amp;adj_date),SUMIFS('[1]2_inventory_total_details'!$J$8:$J$10000,'[1]2_inventory_total_details'!$C$8:$C$10000,I24,'[1]2_inventory_total_details'!$F$8:$F$10000,MID(N24,1,3)*1,'[1]2_inventory_total_details'!$G$8:$G$10000,"="&amp;S24,'[1]2_inventory_total_details'!$H$8:$H$10000,"="&amp;T24,'[1]2_inventory_total_details'!$I$8:$I$10000,"="&amp;adj_date)+SUMIFS('[1]2_inventory_total_details'!$M$8:$M$10000,'[1]1_inventory_total_details'!$C$8:$C$10000,I24,'[1]2_inventory_total_details'!$F$8:$F$10000,MID(N24,1,3)*1,'[1]2_inventory_total_details'!$G$8:$G$10000,"="&amp;S24,'[1]2_inventory_total_details'!$H$8:$H$10000,"="&amp;T24,'[1]2_inventory_total_details'!$I$8:$I$10000,"="&amp;adj_date)+SUMIFS('[1]2_inventory_total_details'!$K$8:$K$10000,'[1]2_inventory_total_details'!$C$8:$C$10000,I24,'[1]2_inventory_total_details'!$F$8:$F$10000,MID(N24,1,3)*1,'[1]2_inventory_total_details'!$G$8:$G$10000,"="&amp;S24,'[1]2_inventory_total_details'!$H$8:$H$10000,"="&amp;T24,'[1]2_inventory_total_details'!$I$8:$I$10000,"="&amp;adj_date)+SUMIFS('[1]2_inventory_total_details'!$L$8:$L$10000,'[1]2_inventory_total_details'!$C$8:$C$10000,I24,'[1]2_inventory_total_details'!$F$8:$F$10000,MID(N24,1,3)*1,'[1]2_inventory_total_details'!$G$8:$G$10000,"="&amp;S24,'[1]2_inventory_total_details'!$H$8:$H$10000,"="&amp;T24,'[1]2_inventory_total_details'!$I$8:$I$10000,"="&amp;adj_date)))</f>
        <v/>
      </c>
      <c r="AC24" s="270" t="str">
        <f>IF(L24="","",IF(MID(N24,1,3)*1=1,SUMIFS('[1]1_inventory_total_details'!$J$8:$J$10000,'[1]1_inventory_total_details'!$C$8:$C$10000,I24,'[1]1_inventory_total_details'!$F$8:$F$10000,MID(N24,1,3)*1,'[1]1_inventory_total_details'!$G$8:$G$10000,"="&amp;S24,'[1]1_inventory_total_details'!$H$8:$H$10000,"="&amp;T24,'[1]1_inventory_total_details'!$I$8:$I$10000,"="&amp;adj_date)+SUMIFS('[1]1_inventory_total_details'!$M$8:$M$10000,'[1]1_inventory_total_details'!$C$8:$C$10000,I24,'[1]1_inventory_total_details'!$F$8:$F$10000,MID(N24,1,3)*1,'[1]1_inventory_total_details'!$G$8:$G$10000,"="&amp;S24,'[1]1_inventory_total_details'!$H$8:$H$10000,"="&amp;T24,'[1]1_inventory_total_details'!$I$8:$I$10000,"="&amp;adj_date)+SUMIFS('[1]1_inventory_total_details'!$K$8:$K$10000,'[1]1_inventory_total_details'!$C$8:$C$10000,I24,'[1]1_inventory_total_details'!$F$8:$F$10000,MID(N24,1,3)*1,'[1]1_inventory_total_details'!$G$8:$G$10000,"="&amp;S24,'[1]1_inventory_total_details'!$H$8:$H$10000,"="&amp;T24,'[1]1_inventory_total_details'!$I$8:$I$10000,"="&amp;adj_date)+SUMIFS('[1]1_inventory_total_details'!$L$8:$L$10000,'[1]1_inventory_total_details'!$C$8:$C$10000,I24,'[1]1_inventory_total_details'!$F$8:$F$10000,MID(N24,1,3)*1,'[1]1_inventory_total_details'!$G$8:$G$10000,"="&amp;S24,'[1]1_inventory_total_details'!$H$8:$H$10000,"="&amp;T24,'[1]1_inventory_total_details'!$I$8:$I$10000,"="&amp;adj_date),SUMIFS('[1]2_inventory_total_details'!$J$8:$J$10000,'[1]2_inventory_total_details'!$C$8:$C$10000,I24,'[1]2_inventory_total_details'!$F$8:$F$10000,MID(N24,1,3)*1,'[1]2_inventory_total_details'!$G$8:$G$10000,"="&amp;S24,'[1]2_inventory_total_details'!$H$8:$H$10000,"="&amp;T24,'[1]2_inventory_total_details'!$I$8:$I$10000,"="&amp;adj_date)+SUMIFS('[1]2_inventory_total_details'!$M$8:$M$10000,'[1]1_inventory_total_details'!$C$8:$C$10000,I24,'[1]2_inventory_total_details'!$F$8:$F$10000,MID(N24,1,3)*1,'[1]2_inventory_total_details'!$G$8:$G$10000,"="&amp;S24,'[1]2_inventory_total_details'!$H$8:$H$10000,"="&amp;T24,'[1]2_inventory_total_details'!$I$8:$I$10000,"="&amp;adj_date)+SUMIFS('[1]2_inventory_total_details'!$K$8:$K$10000,'[1]2_inventory_total_details'!$C$8:$C$10000,I24,'[1]2_inventory_total_details'!$F$8:$F$10000,MID(N24,1,3)*1,'[1]2_inventory_total_details'!$G$8:$G$10000,"="&amp;S24,'[1]2_inventory_total_details'!$H$8:$H$10000,"="&amp;T24,'[1]2_inventory_total_details'!$I$8:$I$10000,"="&amp;adj_date)+SUMIFS('[1]2_inventory_total_details'!$L$8:$L$10000,'[1]2_inventory_total_details'!$C$8:$C$10000,I24,'[1]2_inventory_total_details'!$F$8:$F$10000,MID(N24,1,3)*1,'[1]2_inventory_total_details'!$G$8:$G$10000,"="&amp;S24,'[1]2_inventory_total_details'!$H$8:$H$10000,"="&amp;T24,'[1]2_inventory_total_details'!$I$8:$I$10000,"="&amp;adj_date)))</f>
        <v/>
      </c>
      <c r="AD24" s="270" t="str">
        <f>IF(L24="","",SUMIFS('[1]1_group_totals'!$J$8:$J$10000,'[1]1_group_totals'!$C$8:$C$10000,I24,'[1]1_group_totals'!$F$8:$F$10000,adj_location_group_id,'[1]1_group_totals'!$G$8:$G$10000,MID(N24,1,3)*1,'[1]1_group_totals'!$H$8:$H$10000,"="&amp;S24,'[1]1_group_totals'!$I$8:$I$10000,"="&amp;T24))</f>
        <v/>
      </c>
      <c r="AE24" s="1796" t="str">
        <f t="shared" si="11"/>
        <v/>
      </c>
      <c r="AF24" s="1797" t="str">
        <f>IF(ISNA(MATCH(MID(AE24,1,3)*1,UomConversion!$D$8:$D$500,0)),"",IF(AJ24&lt;&gt;"",AJ24,""))</f>
        <v/>
      </c>
      <c r="AG24" s="1797" t="str">
        <f>IF(AND(AH24&gt;0,COUNTIFS(UomConversion!$D$8:$D$500,MID(AE24,1,3)*1,UomConversion!$J$8:$J$500,1)&gt;1),TEXT(AH24,"000")&amp;"."&amp;VLOOKUP(AH24,uom_list,5,FALSE),"")</f>
        <v/>
      </c>
      <c r="AH24" s="270" t="str">
        <f t="shared" si="12"/>
        <v/>
      </c>
      <c r="AI24" s="270" t="str">
        <f t="shared" si="13"/>
        <v/>
      </c>
      <c r="AJ24" s="270" t="str">
        <f t="shared" si="14"/>
        <v/>
      </c>
      <c r="AK24" s="270" t="str" cm="1">
        <f t="array" ref="AK24">IF(L24="","",Slookup(MID(AE24,1,3)*1,UomConversion!$D$8:$J$500,2,UomConversion!$I$8:$I$500,1,UomConversion!$J$8:$J$500,1))</f>
        <v/>
      </c>
      <c r="AL24" s="270" t="str">
        <f t="shared" si="15"/>
        <v/>
      </c>
      <c r="AM24" s="270" t="str">
        <f>IF(L24="","",(SUMIFS('[1]1_group_totals'!$K$8:$K$10000,'[1]1_group_totals'!$C$8:$C$10000,I24,'[1]1_group_totals'!$F$8:$F$10000,adj_location_group_id,'[1]1_group_totals'!$G$8:$G$10000,MID(N24,1,3)*1,'[1]1_group_totals'!$H$8:$H$10000,"="&amp;S24,'[1]1_group_totals'!$I$8:$I$10000,"="&amp;T24)+SUMIFS('[1]1_group_totals'!$N$8:$N$10000,'[1]1_group_totals'!$C$8:$C$10000,I24,'[1]1_group_totals'!$F$8:$F$10000,adj_location_group_id,'[1]1_group_totals'!$G$8:$G$10000,MID(N24,1,3)*1,'[1]1_group_totals'!$H$8:$H$10000,"="&amp;S24,'[1]1_group_totals'!$I$8:$I$10000,"="&amp;T24)+SUMIFS('[1]1_group_totals'!$P$8:$P$10000,'[1]1_group_totals'!$C$8:$C$10000,I24,'[1]1_group_totals'!$F$8:$F$10000,adj_location_group_id,'[1]1_group_totals'!$G$8:$G$10000,MID(N24,1,3)*1,'[1]1_group_totals'!$H$8:$H$10000,"="&amp;S24,'[1]1_group_totals'!$I$8:$I$10000,"="&amp;T24)+SUMIFS('[1]1_group_totals'!$Q$8:$Q$10000,'[1]1_group_totals'!$C$8:$C$10000,I24,'[1]1_group_totals'!$F$8:$F$10000,adj_location_group_id,'[1]1_group_totals'!$G$8:$G$10000,MID(N24,1,3)*1,'[1]1_group_totals'!$H$8:$H$10000,"="&amp;S24,'[1]1_group_totals'!$I$8:$I$10000,"="&amp;T24))+(SUMIFS('[1]1_group_totals'!$L$8:$L$10000,'[1]1_group_totals'!$C$8:$C$10000,I24,'[1]1_group_totals'!$F$8:$F$10000,adj_location_group_id,'[1]1_group_totals'!$G$8:$G$10000,MID(N24,1,3)*1,'[1]1_group_totals'!$H$8:$H$10000,"="&amp;S24,'[1]1_group_totals'!$I$8:$I$10000,"="&amp;T24)+SUMIFS('[1]1_group_totals'!$M$8:$M$10000,'[1]1_group_totals'!$C$8:$C$10000,I24,'[1]1_group_totals'!$F$8:$F$10000,adj_location_group_id,'[1]1_group_totals'!$G$8:$G$10000,MID(N24,1,3)*1,'[1]1_group_totals'!$H$8:$H$10000,"="&amp;S24,'[1]1_group_totals'!$I$8:$I$10000,"="&amp;T24)+SUMIFS('[1]1_group_totals'!$O$8:$O$10000,'[1]1_group_totals'!$C$8:$C$10000,I24,'[1]1_group_totals'!$F$8:$F$10000,adj_location_group_id,'[1]1_group_totals'!$G$8:$G$10000,MID(N24,1,3)*1,'[1]1_group_totals'!$H$8:$H$10000,"="&amp;S24,'[1]1_group_totals'!$I$8:$I$10000,"="&amp;T24)+SUMIFS('[1]1_group_totals'!$R$8:$R$10000,'[1]1_group_totals'!$C$8:$C$10000,I24,'[1]1_group_totals'!$F$8:$F$10000,adj_location_group_id,'[1]1_group_totals'!$G$8:$G$10000,MID(N24,1,3)*1,'[1]1_group_totals'!$H$8:$H$10000,"="&amp;S24,'[1]1_group_totals'!$I$8:$I$10000,"="&amp;T24)))</f>
        <v/>
      </c>
      <c r="AN24" s="270" t="str">
        <f>IF(L24="","",(SUMIFS('[1]1_inventory_totals'!$I$8:$I$10000,'[1]1_inventory_totals'!$C$8:$C$10000,I24,'[1]1_inventory_totals'!$F$8:$F$10000,"="&amp;S24,'[1]1_inventory_totals'!$G$8:$G$10000,"="&amp;T24)+SUMIFS('[1]1_inventory_totals'!$N$8:$N$10000,'[1]1_inventory_totals'!$C$8:$C$10000,I24,'[1]1_inventory_totals'!$F$8:$F$10000,"="&amp;S24,'[1]1_inventory_totals'!$G$8:$G$10000,"="&amp;T24)+SUMIFS('[1]1_inventory_totals'!$P$8:$P$10000,'[1]1_inventory_totals'!$C$8:$C$10000,I24,'[1]1_inventory_totals'!$F$8:$F$10000,"="&amp;S24,'[1]1_inventory_totals'!$G$8:$G$10000,"="&amp;T24)+SUMIFS('[1]1_inventory_totals'!$Q$8:$Q$10000,'[1]1_inventory_totals'!$C$8:$C$10000,I24,'[1]1_inventory_totals'!$F$8:$F$10000,"="&amp;S24,'[1]1_inventory_totals'!$G$8:$G$10000,"="&amp;T24)+SUMIFS('[1]1_inventory_totals'!$R$8:$R$10000,'[1]1_inventory_totals'!$C$8:$C$10000,I24,'[1]1_inventory_totals'!$F$8:$F$10000,"="&amp;S24,'[1]1_inventory_totals'!$G$8:$G$10000,"="&amp;T24))+(SUMIFS('[1]1_inventory_totals'!$J$8:$J$10000,'[1]1_inventory_totals'!$C$8:$C$10000,I24,'[1]1_inventory_totals'!$F$8:$F$10000,"="&amp;S24,'[1]1_inventory_totals'!$G$8:$G$10000,"="&amp;T24)+SUMIFS('[1]1_inventory_totals'!$K$8:$K$10000,'[1]1_inventory_totals'!$C$8:$C$10000,I24,'[1]1_inventory_totals'!$F$8:$F$10000,"="&amp;S24,'[1]1_inventory_totals'!$G$8:$G$10000,"="&amp;T24)+SUMIFS('[1]1_inventory_totals'!$L$8:$L$10000,'[1]1_inventory_totals'!$C$8:$C$10000,I24,'[1]1_inventory_totals'!$F$8:$F$10000,"="&amp;S24,'[1]1_inventory_totals'!$G$8:$G$10000,"="&amp;T24)+SUMIFS('[1]1_inventory_totals'!$M$8:$M$10000,'[1]1_inventory_totals'!$C$8:$C$10000,I24,'[1]1_inventory_totals'!$F$8:$F$10000,"="&amp;S24,'[1]1_inventory_totals'!$G$8:$G$10000,"="&amp;T24)+SUMIFS('[1]1_inventory_totals'!$O$8:$O$10000,'[1]1_inventory_totals'!$C$8:$C$10000,I24,'[1]1_inventory_totals'!$F$8:$F$10000,"="&amp;S24,'[1]1_inventory_totals'!$G$8:$G$10000,"="&amp;T24)+SUMIFS('[1]1_inventory_totals'!$S$8:$S$10000,'[1]1_inventory_totals'!$C$8:$C$10000,I24,'[1]1_inventory_totals'!$F$8:$F$10000,"="&amp;S24,'[1]1_inventory_totals'!$G$8:$G$10000,"="&amp;T24)))</f>
        <v/>
      </c>
      <c r="AO24" s="270" t="str">
        <f>IF(L24="","",(SUMIFS('[1]2_inventory_totals'!$I$8:$I$10000,'[1]2_inventory_totals'!$C$8:$C$10000,I24,'[1]2_inventory_totals'!$F$8:$F$10000,"="&amp;S24,'[1]2_inventory_totals'!$G$8:$G$10000,"="&amp;T24)+SUMIFS('[1]2_inventory_totals'!$N$8:$N$10000,'[1]2_inventory_totals'!$C$8:$C$10000,I24,'[1]2_inventory_totals'!$F$8:$F$10000,"="&amp;S24,'[1]2_inventory_totals'!$G$8:$G$10000,"="&amp;T24)+SUMIFS('[1]2_inventory_totals'!$P$8:$P$10000,'[1]2_inventory_totals'!$C$8:$C$10000,I24,'[1]2_inventory_totals'!$F$8:$F$10000,"="&amp;S24,'[1]2_inventory_totals'!$G$8:$G$10000,"="&amp;T24)+SUMIFS('[1]2_inventory_totals'!$Q$8:$Q$10000,'[1]2_inventory_totals'!$C$8:$C$10000,I24,'[1]2_inventory_totals'!$F$8:$F$10000,"="&amp;S24,'[1]2_inventory_totals'!$G$8:$G$10000,"="&amp;T24)+SUMIFS('[1]2_inventory_totals'!$R$8:$R$10000,'[1]2_inventory_totals'!$C$8:$C$10000,I24,'[1]2_inventory_totals'!$F$8:$F$10000,"="&amp;S24,'[1]2_inventory_totals'!$G$8:$G$10000,"="&amp;T24))+(SUMIFS('[1]2_inventory_totals'!$J$8:$J$10000,'[1]2_inventory_totals'!$C$8:$C$10000,I24,'[1]2_inventory_totals'!$F$8:$F$10000,"="&amp;S24,'[1]2_inventory_totals'!$G$8:$G$10000,"="&amp;T24)+SUMIFS('[1]2_inventory_totals'!$K$8:$K$10000,'[1]2_inventory_totals'!$C$8:$C$10000,I24,'[1]2_inventory_totals'!$F$8:$F$10000,"="&amp;S24,'[1]2_inventory_totals'!$G$8:$G$10000,"="&amp;T24)+SUMIFS('[1]2_inventory_totals'!$L$8:$L$10000,'[1]2_inventory_totals'!$C$8:$C$10000,I24,'[1]2_inventory_totals'!$F$8:$F$10000,"="&amp;S24,'[1]2_inventory_totals'!$G$8:$G$10000,"="&amp;T24)+SUMIFS('[1]2_inventory_totals'!$M$8:$M$10000,'[1]2_inventory_totals'!$C$8:$C$10000,I24,'[1]2_inventory_totals'!$F$8:$F$10000,"="&amp;S24,'[1]2_inventory_totals'!$G$8:$G$10000,"="&amp;T24)+SUMIFS('[1]2_inventory_totals'!$O$8:$O$10000,'[1]2_inventory_totals'!$C$8:$C$10000,I24,'[1]2_inventory_totals'!$F$8:$F$10000,"="&amp;S24,'[1]2_inventory_totals'!$G$8:$G$10000,"="&amp;T24)+SUMIFS('[1]2_inventory_totals'!$S$8:$S$10000,'[1]2_inventory_totals'!$C$8:$C$10000,I24,'[1]2_inventory_totals'!$F$8:$F$10000,"="&amp;S24,'[1]2_inventory_totals'!$G$8:$G$10000,"="&amp;T24)))</f>
        <v/>
      </c>
      <c r="AP24" s="954"/>
    </row>
    <row r="25" spans="1:42" ht="27" customHeight="1">
      <c r="A25" s="923"/>
      <c r="B25" s="1172"/>
      <c r="C25" s="950"/>
      <c r="D25" s="950"/>
      <c r="E25" s="950"/>
      <c r="F25" s="1198"/>
      <c r="I25" s="1610" t="str">
        <f t="shared" si="5"/>
        <v/>
      </c>
      <c r="J25" s="270" t="str">
        <f t="shared" si="6"/>
        <v/>
      </c>
      <c r="K25" s="813" t="str">
        <f t="shared" si="0"/>
        <v/>
      </c>
      <c r="L25" s="1184"/>
      <c r="M25" s="1185"/>
      <c r="N25" s="1186"/>
      <c r="O25" s="1534"/>
      <c r="P25" s="336" t="str">
        <f t="shared" si="7"/>
        <v/>
      </c>
      <c r="Q25" s="336" t="str">
        <f>IF(L25="","",IF(AD25=0,0,(SUMIFS('[1]1_group_total_details'!$I$8:$I$10000,'[1]1_group_total_details'!$C$8:$C$10000,I25,'[1]1_group_total_details'!$F$8:$F$10000,adj_location_group_id,'[1]1_group_total_details'!$G$8:$G$10000,MID(N25,1,3)*1,'[1]1_group_total_details'!$H$8:$H$10000,"&lt;="&amp;adj_date)+SUMIFS('[1]1_group_total_details'!$L$8:$L$10000,'[1]1_group_total_details'!$C$8:$C$10000,I25,'[1]1_group_total_details'!$F$8:$F$10000,adj_location_group_id,'[1]1_group_total_details'!$G$8:$G$10000,MID(N25,1,3)*1,'[1]1_group_total_details'!$H$8:$H$10000,"&lt;="&amp;adj_date)+SUMIFS('[1]1_group_total_details'!$N$8:$N$10000,'[1]1_group_total_details'!$C$8:$C$10000,I25,'[1]1_group_total_details'!$F$8:$F$10000,adj_location_group_id,'[1]1_group_total_details'!$G$8:$G$10000,MID(N25,1,3)*1,'[1]1_group_total_details'!$H$8:$H$10000,"&lt;="&amp;adj_date)+SUMIFS('[1]1_group_total_details'!$O$8:$O$10000,'[1]1_group_total_details'!$C$8:$C$10000,I25,'[1]1_group_total_details'!$F$8:$F$10000,adj_location_group_id,'[1]1_group_total_details'!$G$8:$G$10000,MID(N25,1,3)*1,'[1]1_group_total_details'!$H$8:$H$10000,"&lt;="&amp;adj_date))-(SUMIFS('[1]1_group_total_details'!$J$8:$J$10000,'[1]1_group_total_details'!$C$8:$C$10000,I25,'[1]1_group_total_details'!$F$8:$F$10000,adj_location_group_id,'[1]1_group_total_details'!$G$8:$G$10000,MID(N25,1,3)*1,'[1]1_group_total_details'!$H$8:$H$10000,"&lt;="&amp;adj_date)+SUMIFS('[1]1_group_total_details'!$K$8:$K$10000,'[1]1_group_total_details'!$C$8:$C$10000,I25,'[1]1_group_total_details'!$F$8:$F$10000,adj_location_group_id,'[1]1_group_total_details'!$G$8:$G$10000,MID(N25,1,3)*1,'[1]1_group_total_details'!$H$8:$H$10000,"&lt;="&amp;adj_date)+SUMIFS('[1]1_group_total_details'!$M$8:$M$10000,'[1]1_group_total_details'!$C$8:$C$10000,I25,'[1]1_group_total_details'!$F$8:$F$10000,adj_location_group_id,'[1]1_group_total_details'!$G$8:$G$10000,MID(N25,1,3)*1,'[1]1_group_total_details'!$H$8:$H$10000,"&lt;="&amp;adj_date)+SUMIFS('[1]1_group_total_details'!$P$8:$P$10000,'[1]1_group_total_details'!$C$8:$C$10000,I25,'[1]1_group_total_details'!$F$8:$F$10000,adj_location_group_id,'[1]1_group_total_details'!$G$8:$G$10000,MID(N25,1,3)*1,'[1]1_group_total_details'!$H$8:$H$10000,"&lt;="&amp;adj_date))))</f>
        <v/>
      </c>
      <c r="R25" s="1187"/>
      <c r="S25" s="1186"/>
      <c r="T25" s="1186"/>
      <c r="U25" s="1184"/>
      <c r="V25" s="270" t="str" cm="1">
        <f t="array" ref="V25">IF(L25="","",IF(M25=AE25,1,Slookup(MID(AE25,1,3)*1,UomConversion!$D$8:$J$500,5,UomConversion!$E$8:$E$500,MID(M25,1,3)*1,UomConversion!$J$8:$J$500,1)))</f>
        <v/>
      </c>
      <c r="W25" s="270" t="str">
        <f t="shared" si="8"/>
        <v/>
      </c>
      <c r="X25" s="1795" t="str">
        <f t="shared" si="9"/>
        <v/>
      </c>
      <c r="Y25" s="1795" t="str">
        <f t="shared" si="10"/>
        <v/>
      </c>
      <c r="Z25" s="270" t="str">
        <f>IF(I25="","",IF(ISNA(MATCH(I25,IF(MID(N25,1,3)*1=1,'[1]1_inventory_totals'!$C$8:$C$10000,IF(MID(N25,1,3)*1=2,'[1]2_inventory_totals'!$C$8:$C$10000,"")),0)),0,IF(AL25&gt;0,1,0)))</f>
        <v/>
      </c>
      <c r="AA25" s="270" t="str">
        <f>IF(L25="","",IF(MID(N25,1,3)*1=1,SUMIFS('[1]1_inventory_total_details'!$J$8:$J$10000,'[1]1_inventory_total_details'!$C$8:$C$10000,I25,'[1]1_inventory_total_details'!$F$8:$F$10000,MID(N25,1,3)*1,'[1]1_inventory_total_details'!$G$8:$G$10000,"="&amp;S25,'[1]1_inventory_total_details'!$H$8:$H$10000,"="&amp;T25,'[1]1_inventory_total_details'!$I$8:$I$10000,"="&amp;adj_date)+SUMIFS('[1]1_inventory_total_details'!$M$8:$M$10000,'[1]1_inventory_total_details'!$C$8:$C$10000,I25,'[1]1_inventory_total_details'!$F$8:$F$10000,MID(N25,1,3)*1,'[1]1_inventory_total_details'!$G$8:$G$10000,"="&amp;S25,'[1]1_inventory_total_details'!$H$8:$H$10000,"="&amp;T25,'[1]1_inventory_total_details'!$I$8:$I$10000,"="&amp;adj_date)+SUMIFS('[1]1_inventory_total_details'!$K$8:$K$10000,'[1]1_inventory_total_details'!$C$8:$C$10000,I25,'[1]1_inventory_total_details'!$F$8:$F$10000,MID(N25,1,3)*1,'[1]1_inventory_total_details'!$G$8:$G$10000,"="&amp;S25,'[1]1_inventory_total_details'!$H$8:$H$10000,"="&amp;T25,'[1]1_inventory_total_details'!$I$8:$I$10000,"="&amp;adj_date)+SUMIFS('[1]1_inventory_total_details'!$L$8:$L$10000,'[1]1_inventory_total_details'!$C$8:$C$10000,I25,'[1]1_inventory_total_details'!$F$8:$F$10000,MID(N25,1,3)*1,'[1]1_inventory_total_details'!$G$8:$G$10000,"="&amp;S25,'[1]1_inventory_total_details'!$H$8:$H$10000,"="&amp;T25,'[1]1_inventory_total_details'!$I$8:$I$10000,"="&amp;adj_date),SUMIFS('[1]2_inventory_total_details'!$J$8:$J$10000,'[1]2_inventory_total_details'!$C$8:$C$10000,I25,'[1]2_inventory_total_details'!$F$8:$F$10000,MID(N25,1,3)*1,'[1]2_inventory_total_details'!$G$8:$G$10000,"="&amp;S25,'[1]2_inventory_total_details'!$H$8:$H$10000,"="&amp;T25,'[1]2_inventory_total_details'!$I$8:$I$10000,"="&amp;adj_date)+SUMIFS('[1]2_inventory_total_details'!$M$8:$M$10000,'[1]1_inventory_total_details'!$C$8:$C$10000,I25,'[1]2_inventory_total_details'!$F$8:$F$10000,MID(N25,1,3)*1,'[1]2_inventory_total_details'!$G$8:$G$10000,"="&amp;S25,'[1]2_inventory_total_details'!$H$8:$H$10000,"="&amp;T25,'[1]2_inventory_total_details'!$I$8:$I$10000,"="&amp;adj_date)+SUMIFS('[1]2_inventory_total_details'!$K$8:$K$10000,'[1]2_inventory_total_details'!$C$8:$C$10000,I25,'[1]2_inventory_total_details'!$F$8:$F$10000,MID(N25,1,3)*1,'[1]2_inventory_total_details'!$G$8:$G$10000,"="&amp;S25,'[1]2_inventory_total_details'!$H$8:$H$10000,"="&amp;T25,'[1]2_inventory_total_details'!$I$8:$I$10000,"="&amp;adj_date)+SUMIFS('[1]2_inventory_total_details'!$L$8:$L$10000,'[1]2_inventory_total_details'!$C$8:$C$10000,I25,'[1]2_inventory_total_details'!$F$8:$F$10000,MID(N25,1,3)*1,'[1]2_inventory_total_details'!$G$8:$G$10000,"="&amp;S25,'[1]2_inventory_total_details'!$H$8:$H$10000,"="&amp;T25,'[1]2_inventory_total_details'!$I$8:$I$10000,"="&amp;adj_date)))</f>
        <v/>
      </c>
      <c r="AB25" s="270" t="str">
        <f>IF(L25="","",IF(MID(N25,1,3)*1=1,SUMIFS('[1]1_inventory_total_details'!$J$8:$J$10000,'[1]1_inventory_total_details'!$C$8:$C$10000,I25,'[1]1_inventory_total_details'!$F$8:$F$10000,MID(N25,1,3)*1,'[1]1_inventory_total_details'!$G$8:$G$10000,"="&amp;S25,'[1]1_inventory_total_details'!$H$8:$H$10000,"="&amp;T25,'[1]1_inventory_total_details'!$I$8:$I$10000,"="&amp;adj_date)+SUMIFS('[1]1_inventory_total_details'!$M$8:$M$10000,'[1]1_inventory_total_details'!$C$8:$C$10000,I25,'[1]1_inventory_total_details'!$F$8:$F$10000,MID(N25,1,3)*1,'[1]1_inventory_total_details'!$G$8:$G$10000,"="&amp;S25,'[1]1_inventory_total_details'!$H$8:$H$10000,"="&amp;T25,'[1]1_inventory_total_details'!$I$8:$I$10000,"="&amp;adj_date)+SUMIFS('[1]1_inventory_total_details'!$K$8:$K$10000,'[1]1_inventory_total_details'!$C$8:$C$10000,I25,'[1]1_inventory_total_details'!$F$8:$F$10000,MID(N25,1,3)*1,'[1]1_inventory_total_details'!$G$8:$G$10000,"="&amp;S25,'[1]1_inventory_total_details'!$H$8:$H$10000,"="&amp;T25,'[1]1_inventory_total_details'!$I$8:$I$10000,"="&amp;adj_date)+SUMIFS('[1]1_inventory_total_details'!$L$8:$L$10000,'[1]1_inventory_total_details'!$C$8:$C$10000,I25,'[1]1_inventory_total_details'!$F$8:$F$10000,MID(N25,1,3)*1,'[1]1_inventory_total_details'!$G$8:$G$10000,"="&amp;S25,'[1]1_inventory_total_details'!$H$8:$H$10000,"="&amp;T25,'[1]1_inventory_total_details'!$I$8:$I$10000,"="&amp;adj_date),SUMIFS('[1]2_inventory_total_details'!$J$8:$J$10000,'[1]2_inventory_total_details'!$C$8:$C$10000,I25,'[1]2_inventory_total_details'!$F$8:$F$10000,MID(N25,1,3)*1,'[1]2_inventory_total_details'!$G$8:$G$10000,"="&amp;S25,'[1]2_inventory_total_details'!$H$8:$H$10000,"="&amp;T25,'[1]2_inventory_total_details'!$I$8:$I$10000,"="&amp;adj_date)+SUMIFS('[1]2_inventory_total_details'!$M$8:$M$10000,'[1]1_inventory_total_details'!$C$8:$C$10000,I25,'[1]2_inventory_total_details'!$F$8:$F$10000,MID(N25,1,3)*1,'[1]2_inventory_total_details'!$G$8:$G$10000,"="&amp;S25,'[1]2_inventory_total_details'!$H$8:$H$10000,"="&amp;T25,'[1]2_inventory_total_details'!$I$8:$I$10000,"="&amp;adj_date)+SUMIFS('[1]2_inventory_total_details'!$K$8:$K$10000,'[1]2_inventory_total_details'!$C$8:$C$10000,I25,'[1]2_inventory_total_details'!$F$8:$F$10000,MID(N25,1,3)*1,'[1]2_inventory_total_details'!$G$8:$G$10000,"="&amp;S25,'[1]2_inventory_total_details'!$H$8:$H$10000,"="&amp;T25,'[1]2_inventory_total_details'!$I$8:$I$10000,"="&amp;adj_date)+SUMIFS('[1]2_inventory_total_details'!$L$8:$L$10000,'[1]2_inventory_total_details'!$C$8:$C$10000,I25,'[1]2_inventory_total_details'!$F$8:$F$10000,MID(N25,1,3)*1,'[1]2_inventory_total_details'!$G$8:$G$10000,"="&amp;S25,'[1]2_inventory_total_details'!$H$8:$H$10000,"="&amp;T25,'[1]2_inventory_total_details'!$I$8:$I$10000,"="&amp;adj_date)))</f>
        <v/>
      </c>
      <c r="AC25" s="270" t="str">
        <f>IF(L25="","",IF(MID(N25,1,3)*1=1,SUMIFS('[1]1_inventory_total_details'!$J$8:$J$10000,'[1]1_inventory_total_details'!$C$8:$C$10000,I25,'[1]1_inventory_total_details'!$F$8:$F$10000,MID(N25,1,3)*1,'[1]1_inventory_total_details'!$G$8:$G$10000,"="&amp;S25,'[1]1_inventory_total_details'!$H$8:$H$10000,"="&amp;T25,'[1]1_inventory_total_details'!$I$8:$I$10000,"="&amp;adj_date)+SUMIFS('[1]1_inventory_total_details'!$M$8:$M$10000,'[1]1_inventory_total_details'!$C$8:$C$10000,I25,'[1]1_inventory_total_details'!$F$8:$F$10000,MID(N25,1,3)*1,'[1]1_inventory_total_details'!$G$8:$G$10000,"="&amp;S25,'[1]1_inventory_total_details'!$H$8:$H$10000,"="&amp;T25,'[1]1_inventory_total_details'!$I$8:$I$10000,"="&amp;adj_date)+SUMIFS('[1]1_inventory_total_details'!$K$8:$K$10000,'[1]1_inventory_total_details'!$C$8:$C$10000,I25,'[1]1_inventory_total_details'!$F$8:$F$10000,MID(N25,1,3)*1,'[1]1_inventory_total_details'!$G$8:$G$10000,"="&amp;S25,'[1]1_inventory_total_details'!$H$8:$H$10000,"="&amp;T25,'[1]1_inventory_total_details'!$I$8:$I$10000,"="&amp;adj_date)+SUMIFS('[1]1_inventory_total_details'!$L$8:$L$10000,'[1]1_inventory_total_details'!$C$8:$C$10000,I25,'[1]1_inventory_total_details'!$F$8:$F$10000,MID(N25,1,3)*1,'[1]1_inventory_total_details'!$G$8:$G$10000,"="&amp;S25,'[1]1_inventory_total_details'!$H$8:$H$10000,"="&amp;T25,'[1]1_inventory_total_details'!$I$8:$I$10000,"="&amp;adj_date),SUMIFS('[1]2_inventory_total_details'!$J$8:$J$10000,'[1]2_inventory_total_details'!$C$8:$C$10000,I25,'[1]2_inventory_total_details'!$F$8:$F$10000,MID(N25,1,3)*1,'[1]2_inventory_total_details'!$G$8:$G$10000,"="&amp;S25,'[1]2_inventory_total_details'!$H$8:$H$10000,"="&amp;T25,'[1]2_inventory_total_details'!$I$8:$I$10000,"="&amp;adj_date)+SUMIFS('[1]2_inventory_total_details'!$M$8:$M$10000,'[1]1_inventory_total_details'!$C$8:$C$10000,I25,'[1]2_inventory_total_details'!$F$8:$F$10000,MID(N25,1,3)*1,'[1]2_inventory_total_details'!$G$8:$G$10000,"="&amp;S25,'[1]2_inventory_total_details'!$H$8:$H$10000,"="&amp;T25,'[1]2_inventory_total_details'!$I$8:$I$10000,"="&amp;adj_date)+SUMIFS('[1]2_inventory_total_details'!$K$8:$K$10000,'[1]2_inventory_total_details'!$C$8:$C$10000,I25,'[1]2_inventory_total_details'!$F$8:$F$10000,MID(N25,1,3)*1,'[1]2_inventory_total_details'!$G$8:$G$10000,"="&amp;S25,'[1]2_inventory_total_details'!$H$8:$H$10000,"="&amp;T25,'[1]2_inventory_total_details'!$I$8:$I$10000,"="&amp;adj_date)+SUMIFS('[1]2_inventory_total_details'!$L$8:$L$10000,'[1]2_inventory_total_details'!$C$8:$C$10000,I25,'[1]2_inventory_total_details'!$F$8:$F$10000,MID(N25,1,3)*1,'[1]2_inventory_total_details'!$G$8:$G$10000,"="&amp;S25,'[1]2_inventory_total_details'!$H$8:$H$10000,"="&amp;T25,'[1]2_inventory_total_details'!$I$8:$I$10000,"="&amp;adj_date)))</f>
        <v/>
      </c>
      <c r="AD25" s="270" t="str">
        <f>IF(L25="","",SUMIFS('[1]1_group_totals'!$J$8:$J$10000,'[1]1_group_totals'!$C$8:$C$10000,I25,'[1]1_group_totals'!$F$8:$F$10000,adj_location_group_id,'[1]1_group_totals'!$G$8:$G$10000,MID(N25,1,3)*1,'[1]1_group_totals'!$H$8:$H$10000,"="&amp;S25,'[1]1_group_totals'!$I$8:$I$10000,"="&amp;T25))</f>
        <v/>
      </c>
      <c r="AE25" s="1796" t="str">
        <f t="shared" si="11"/>
        <v/>
      </c>
      <c r="AF25" s="1797" t="str">
        <f>IF(ISNA(MATCH(MID(AE25,1,3)*1,UomConversion!$D$8:$D$500,0)),"",IF(AJ25&lt;&gt;"",AJ25,""))</f>
        <v/>
      </c>
      <c r="AG25" s="1797" t="str">
        <f>IF(AND(AH25&gt;0,COUNTIFS(UomConversion!$D$8:$D$500,MID(AE25,1,3)*1,UomConversion!$J$8:$J$500,1)&gt;1),TEXT(AH25,"000")&amp;"."&amp;VLOOKUP(AH25,uom_list,5,FALSE),"")</f>
        <v/>
      </c>
      <c r="AH25" s="270" t="str">
        <f t="shared" si="12"/>
        <v/>
      </c>
      <c r="AI25" s="270" t="str">
        <f t="shared" si="13"/>
        <v/>
      </c>
      <c r="AJ25" s="270" t="str">
        <f t="shared" si="14"/>
        <v/>
      </c>
      <c r="AK25" s="270" t="str" cm="1">
        <f t="array" ref="AK25">IF(L25="","",Slookup(MID(AE25,1,3)*1,UomConversion!$D$8:$J$500,2,UomConversion!$I$8:$I$500,1,UomConversion!$J$8:$J$500,1))</f>
        <v/>
      </c>
      <c r="AL25" s="270" t="str">
        <f t="shared" si="15"/>
        <v/>
      </c>
      <c r="AM25" s="270" t="str">
        <f>IF(L25="","",(SUMIFS('[1]1_group_totals'!$K$8:$K$10000,'[1]1_group_totals'!$C$8:$C$10000,I25,'[1]1_group_totals'!$F$8:$F$10000,adj_location_group_id,'[1]1_group_totals'!$G$8:$G$10000,MID(N25,1,3)*1,'[1]1_group_totals'!$H$8:$H$10000,"="&amp;S25,'[1]1_group_totals'!$I$8:$I$10000,"="&amp;T25)+SUMIFS('[1]1_group_totals'!$N$8:$N$10000,'[1]1_group_totals'!$C$8:$C$10000,I25,'[1]1_group_totals'!$F$8:$F$10000,adj_location_group_id,'[1]1_group_totals'!$G$8:$G$10000,MID(N25,1,3)*1,'[1]1_group_totals'!$H$8:$H$10000,"="&amp;S25,'[1]1_group_totals'!$I$8:$I$10000,"="&amp;T25)+SUMIFS('[1]1_group_totals'!$P$8:$P$10000,'[1]1_group_totals'!$C$8:$C$10000,I25,'[1]1_group_totals'!$F$8:$F$10000,adj_location_group_id,'[1]1_group_totals'!$G$8:$G$10000,MID(N25,1,3)*1,'[1]1_group_totals'!$H$8:$H$10000,"="&amp;S25,'[1]1_group_totals'!$I$8:$I$10000,"="&amp;T25)+SUMIFS('[1]1_group_totals'!$Q$8:$Q$10000,'[1]1_group_totals'!$C$8:$C$10000,I25,'[1]1_group_totals'!$F$8:$F$10000,adj_location_group_id,'[1]1_group_totals'!$G$8:$G$10000,MID(N25,1,3)*1,'[1]1_group_totals'!$H$8:$H$10000,"="&amp;S25,'[1]1_group_totals'!$I$8:$I$10000,"="&amp;T25))+(SUMIFS('[1]1_group_totals'!$L$8:$L$10000,'[1]1_group_totals'!$C$8:$C$10000,I25,'[1]1_group_totals'!$F$8:$F$10000,adj_location_group_id,'[1]1_group_totals'!$G$8:$G$10000,MID(N25,1,3)*1,'[1]1_group_totals'!$H$8:$H$10000,"="&amp;S25,'[1]1_group_totals'!$I$8:$I$10000,"="&amp;T25)+SUMIFS('[1]1_group_totals'!$M$8:$M$10000,'[1]1_group_totals'!$C$8:$C$10000,I25,'[1]1_group_totals'!$F$8:$F$10000,adj_location_group_id,'[1]1_group_totals'!$G$8:$G$10000,MID(N25,1,3)*1,'[1]1_group_totals'!$H$8:$H$10000,"="&amp;S25,'[1]1_group_totals'!$I$8:$I$10000,"="&amp;T25)+SUMIFS('[1]1_group_totals'!$O$8:$O$10000,'[1]1_group_totals'!$C$8:$C$10000,I25,'[1]1_group_totals'!$F$8:$F$10000,adj_location_group_id,'[1]1_group_totals'!$G$8:$G$10000,MID(N25,1,3)*1,'[1]1_group_totals'!$H$8:$H$10000,"="&amp;S25,'[1]1_group_totals'!$I$8:$I$10000,"="&amp;T25)+SUMIFS('[1]1_group_totals'!$R$8:$R$10000,'[1]1_group_totals'!$C$8:$C$10000,I25,'[1]1_group_totals'!$F$8:$F$10000,adj_location_group_id,'[1]1_group_totals'!$G$8:$G$10000,MID(N25,1,3)*1,'[1]1_group_totals'!$H$8:$H$10000,"="&amp;S25,'[1]1_group_totals'!$I$8:$I$10000,"="&amp;T25)))</f>
        <v/>
      </c>
      <c r="AN25" s="270" t="str">
        <f>IF(L25="","",(SUMIFS('[1]1_inventory_totals'!$I$8:$I$10000,'[1]1_inventory_totals'!$C$8:$C$10000,I25,'[1]1_inventory_totals'!$F$8:$F$10000,"="&amp;S25,'[1]1_inventory_totals'!$G$8:$G$10000,"="&amp;T25)+SUMIFS('[1]1_inventory_totals'!$N$8:$N$10000,'[1]1_inventory_totals'!$C$8:$C$10000,I25,'[1]1_inventory_totals'!$F$8:$F$10000,"="&amp;S25,'[1]1_inventory_totals'!$G$8:$G$10000,"="&amp;T25)+SUMIFS('[1]1_inventory_totals'!$P$8:$P$10000,'[1]1_inventory_totals'!$C$8:$C$10000,I25,'[1]1_inventory_totals'!$F$8:$F$10000,"="&amp;S25,'[1]1_inventory_totals'!$G$8:$G$10000,"="&amp;T25)+SUMIFS('[1]1_inventory_totals'!$Q$8:$Q$10000,'[1]1_inventory_totals'!$C$8:$C$10000,I25,'[1]1_inventory_totals'!$F$8:$F$10000,"="&amp;S25,'[1]1_inventory_totals'!$G$8:$G$10000,"="&amp;T25)+SUMIFS('[1]1_inventory_totals'!$R$8:$R$10000,'[1]1_inventory_totals'!$C$8:$C$10000,I25,'[1]1_inventory_totals'!$F$8:$F$10000,"="&amp;S25,'[1]1_inventory_totals'!$G$8:$G$10000,"="&amp;T25))+(SUMIFS('[1]1_inventory_totals'!$J$8:$J$10000,'[1]1_inventory_totals'!$C$8:$C$10000,I25,'[1]1_inventory_totals'!$F$8:$F$10000,"="&amp;S25,'[1]1_inventory_totals'!$G$8:$G$10000,"="&amp;T25)+SUMIFS('[1]1_inventory_totals'!$K$8:$K$10000,'[1]1_inventory_totals'!$C$8:$C$10000,I25,'[1]1_inventory_totals'!$F$8:$F$10000,"="&amp;S25,'[1]1_inventory_totals'!$G$8:$G$10000,"="&amp;T25)+SUMIFS('[1]1_inventory_totals'!$L$8:$L$10000,'[1]1_inventory_totals'!$C$8:$C$10000,I25,'[1]1_inventory_totals'!$F$8:$F$10000,"="&amp;S25,'[1]1_inventory_totals'!$G$8:$G$10000,"="&amp;T25)+SUMIFS('[1]1_inventory_totals'!$M$8:$M$10000,'[1]1_inventory_totals'!$C$8:$C$10000,I25,'[1]1_inventory_totals'!$F$8:$F$10000,"="&amp;S25,'[1]1_inventory_totals'!$G$8:$G$10000,"="&amp;T25)+SUMIFS('[1]1_inventory_totals'!$O$8:$O$10000,'[1]1_inventory_totals'!$C$8:$C$10000,I25,'[1]1_inventory_totals'!$F$8:$F$10000,"="&amp;S25,'[1]1_inventory_totals'!$G$8:$G$10000,"="&amp;T25)+SUMIFS('[1]1_inventory_totals'!$S$8:$S$10000,'[1]1_inventory_totals'!$C$8:$C$10000,I25,'[1]1_inventory_totals'!$F$8:$F$10000,"="&amp;S25,'[1]1_inventory_totals'!$G$8:$G$10000,"="&amp;T25)))</f>
        <v/>
      </c>
      <c r="AO25" s="270" t="str">
        <f>IF(L25="","",(SUMIFS('[1]2_inventory_totals'!$I$8:$I$10000,'[1]2_inventory_totals'!$C$8:$C$10000,I25,'[1]2_inventory_totals'!$F$8:$F$10000,"="&amp;S25,'[1]2_inventory_totals'!$G$8:$G$10000,"="&amp;T25)+SUMIFS('[1]2_inventory_totals'!$N$8:$N$10000,'[1]2_inventory_totals'!$C$8:$C$10000,I25,'[1]2_inventory_totals'!$F$8:$F$10000,"="&amp;S25,'[1]2_inventory_totals'!$G$8:$G$10000,"="&amp;T25)+SUMIFS('[1]2_inventory_totals'!$P$8:$P$10000,'[1]2_inventory_totals'!$C$8:$C$10000,I25,'[1]2_inventory_totals'!$F$8:$F$10000,"="&amp;S25,'[1]2_inventory_totals'!$G$8:$G$10000,"="&amp;T25)+SUMIFS('[1]2_inventory_totals'!$Q$8:$Q$10000,'[1]2_inventory_totals'!$C$8:$C$10000,I25,'[1]2_inventory_totals'!$F$8:$F$10000,"="&amp;S25,'[1]2_inventory_totals'!$G$8:$G$10000,"="&amp;T25)+SUMIFS('[1]2_inventory_totals'!$R$8:$R$10000,'[1]2_inventory_totals'!$C$8:$C$10000,I25,'[1]2_inventory_totals'!$F$8:$F$10000,"="&amp;S25,'[1]2_inventory_totals'!$G$8:$G$10000,"="&amp;T25))+(SUMIFS('[1]2_inventory_totals'!$J$8:$J$10000,'[1]2_inventory_totals'!$C$8:$C$10000,I25,'[1]2_inventory_totals'!$F$8:$F$10000,"="&amp;S25,'[1]2_inventory_totals'!$G$8:$G$10000,"="&amp;T25)+SUMIFS('[1]2_inventory_totals'!$K$8:$K$10000,'[1]2_inventory_totals'!$C$8:$C$10000,I25,'[1]2_inventory_totals'!$F$8:$F$10000,"="&amp;S25,'[1]2_inventory_totals'!$G$8:$G$10000,"="&amp;T25)+SUMIFS('[1]2_inventory_totals'!$L$8:$L$10000,'[1]2_inventory_totals'!$C$8:$C$10000,I25,'[1]2_inventory_totals'!$F$8:$F$10000,"="&amp;S25,'[1]2_inventory_totals'!$G$8:$G$10000,"="&amp;T25)+SUMIFS('[1]2_inventory_totals'!$M$8:$M$10000,'[1]2_inventory_totals'!$C$8:$C$10000,I25,'[1]2_inventory_totals'!$F$8:$F$10000,"="&amp;S25,'[1]2_inventory_totals'!$G$8:$G$10000,"="&amp;T25)+SUMIFS('[1]2_inventory_totals'!$O$8:$O$10000,'[1]2_inventory_totals'!$C$8:$C$10000,I25,'[1]2_inventory_totals'!$F$8:$F$10000,"="&amp;S25,'[1]2_inventory_totals'!$G$8:$G$10000,"="&amp;T25)+SUMIFS('[1]2_inventory_totals'!$S$8:$S$10000,'[1]2_inventory_totals'!$C$8:$C$10000,I25,'[1]2_inventory_totals'!$F$8:$F$10000,"="&amp;S25,'[1]2_inventory_totals'!$G$8:$G$10000,"="&amp;T25)))</f>
        <v/>
      </c>
      <c r="AP25" s="954"/>
    </row>
    <row r="26" spans="1:42" ht="27" customHeight="1">
      <c r="A26" s="923"/>
      <c r="B26" s="1172"/>
      <c r="C26" s="950"/>
      <c r="D26" s="950"/>
      <c r="E26" s="950"/>
      <c r="F26" s="1198"/>
      <c r="I26" s="1610" t="str">
        <f t="shared" si="5"/>
        <v/>
      </c>
      <c r="J26" s="270" t="str">
        <f t="shared" si="6"/>
        <v/>
      </c>
      <c r="K26" s="813" t="str">
        <f t="shared" si="0"/>
        <v/>
      </c>
      <c r="L26" s="1184"/>
      <c r="M26" s="1185"/>
      <c r="N26" s="1186"/>
      <c r="O26" s="1534"/>
      <c r="P26" s="336" t="str">
        <f t="shared" si="7"/>
        <v/>
      </c>
      <c r="Q26" s="336" t="str">
        <f>IF(L26="","",IF(AD26=0,0,(SUMIFS('[1]1_group_total_details'!$I$8:$I$10000,'[1]1_group_total_details'!$C$8:$C$10000,I26,'[1]1_group_total_details'!$F$8:$F$10000,adj_location_group_id,'[1]1_group_total_details'!$G$8:$G$10000,MID(N26,1,3)*1,'[1]1_group_total_details'!$H$8:$H$10000,"&lt;="&amp;adj_date)+SUMIFS('[1]1_group_total_details'!$L$8:$L$10000,'[1]1_group_total_details'!$C$8:$C$10000,I26,'[1]1_group_total_details'!$F$8:$F$10000,adj_location_group_id,'[1]1_group_total_details'!$G$8:$G$10000,MID(N26,1,3)*1,'[1]1_group_total_details'!$H$8:$H$10000,"&lt;="&amp;adj_date)+SUMIFS('[1]1_group_total_details'!$N$8:$N$10000,'[1]1_group_total_details'!$C$8:$C$10000,I26,'[1]1_group_total_details'!$F$8:$F$10000,adj_location_group_id,'[1]1_group_total_details'!$G$8:$G$10000,MID(N26,1,3)*1,'[1]1_group_total_details'!$H$8:$H$10000,"&lt;="&amp;adj_date)+SUMIFS('[1]1_group_total_details'!$O$8:$O$10000,'[1]1_group_total_details'!$C$8:$C$10000,I26,'[1]1_group_total_details'!$F$8:$F$10000,adj_location_group_id,'[1]1_group_total_details'!$G$8:$G$10000,MID(N26,1,3)*1,'[1]1_group_total_details'!$H$8:$H$10000,"&lt;="&amp;adj_date))-(SUMIFS('[1]1_group_total_details'!$J$8:$J$10000,'[1]1_group_total_details'!$C$8:$C$10000,I26,'[1]1_group_total_details'!$F$8:$F$10000,adj_location_group_id,'[1]1_group_total_details'!$G$8:$G$10000,MID(N26,1,3)*1,'[1]1_group_total_details'!$H$8:$H$10000,"&lt;="&amp;adj_date)+SUMIFS('[1]1_group_total_details'!$K$8:$K$10000,'[1]1_group_total_details'!$C$8:$C$10000,I26,'[1]1_group_total_details'!$F$8:$F$10000,adj_location_group_id,'[1]1_group_total_details'!$G$8:$G$10000,MID(N26,1,3)*1,'[1]1_group_total_details'!$H$8:$H$10000,"&lt;="&amp;adj_date)+SUMIFS('[1]1_group_total_details'!$M$8:$M$10000,'[1]1_group_total_details'!$C$8:$C$10000,I26,'[1]1_group_total_details'!$F$8:$F$10000,adj_location_group_id,'[1]1_group_total_details'!$G$8:$G$10000,MID(N26,1,3)*1,'[1]1_group_total_details'!$H$8:$H$10000,"&lt;="&amp;adj_date)+SUMIFS('[1]1_group_total_details'!$P$8:$P$10000,'[1]1_group_total_details'!$C$8:$C$10000,I26,'[1]1_group_total_details'!$F$8:$F$10000,adj_location_group_id,'[1]1_group_total_details'!$G$8:$G$10000,MID(N26,1,3)*1,'[1]1_group_total_details'!$H$8:$H$10000,"&lt;="&amp;adj_date))))</f>
        <v/>
      </c>
      <c r="R26" s="1187"/>
      <c r="S26" s="1186"/>
      <c r="T26" s="1186"/>
      <c r="U26" s="1184"/>
      <c r="V26" s="270" t="str" cm="1">
        <f t="array" ref="V26">IF(L26="","",IF(M26=AE26,1,Slookup(MID(AE26,1,3)*1,UomConversion!$D$8:$J$500,5,UomConversion!$E$8:$E$500,MID(M26,1,3)*1,UomConversion!$J$8:$J$500,1)))</f>
        <v/>
      </c>
      <c r="W26" s="270" t="str">
        <f t="shared" si="8"/>
        <v/>
      </c>
      <c r="X26" s="1795" t="str">
        <f t="shared" si="9"/>
        <v/>
      </c>
      <c r="Y26" s="1795" t="str">
        <f t="shared" si="10"/>
        <v/>
      </c>
      <c r="Z26" s="270" t="str">
        <f>IF(I26="","",IF(ISNA(MATCH(I26,IF(MID(N26,1,3)*1=1,'[1]1_inventory_totals'!$C$8:$C$10000,IF(MID(N26,1,3)*1=2,'[1]2_inventory_totals'!$C$8:$C$10000,"")),0)),0,IF(AL26&gt;0,1,0)))</f>
        <v/>
      </c>
      <c r="AA26" s="270" t="str">
        <f>IF(L26="","",IF(MID(N26,1,3)*1=1,SUMIFS('[1]1_inventory_total_details'!$J$8:$J$10000,'[1]1_inventory_total_details'!$C$8:$C$10000,I26,'[1]1_inventory_total_details'!$F$8:$F$10000,MID(N26,1,3)*1,'[1]1_inventory_total_details'!$G$8:$G$10000,"="&amp;S26,'[1]1_inventory_total_details'!$H$8:$H$10000,"="&amp;T26,'[1]1_inventory_total_details'!$I$8:$I$10000,"="&amp;adj_date)+SUMIFS('[1]1_inventory_total_details'!$M$8:$M$10000,'[1]1_inventory_total_details'!$C$8:$C$10000,I26,'[1]1_inventory_total_details'!$F$8:$F$10000,MID(N26,1,3)*1,'[1]1_inventory_total_details'!$G$8:$G$10000,"="&amp;S26,'[1]1_inventory_total_details'!$H$8:$H$10000,"="&amp;T26,'[1]1_inventory_total_details'!$I$8:$I$10000,"="&amp;adj_date)+SUMIFS('[1]1_inventory_total_details'!$K$8:$K$10000,'[1]1_inventory_total_details'!$C$8:$C$10000,I26,'[1]1_inventory_total_details'!$F$8:$F$10000,MID(N26,1,3)*1,'[1]1_inventory_total_details'!$G$8:$G$10000,"="&amp;S26,'[1]1_inventory_total_details'!$H$8:$H$10000,"="&amp;T26,'[1]1_inventory_total_details'!$I$8:$I$10000,"="&amp;adj_date)+SUMIFS('[1]1_inventory_total_details'!$L$8:$L$10000,'[1]1_inventory_total_details'!$C$8:$C$10000,I26,'[1]1_inventory_total_details'!$F$8:$F$10000,MID(N26,1,3)*1,'[1]1_inventory_total_details'!$G$8:$G$10000,"="&amp;S26,'[1]1_inventory_total_details'!$H$8:$H$10000,"="&amp;T26,'[1]1_inventory_total_details'!$I$8:$I$10000,"="&amp;adj_date),SUMIFS('[1]2_inventory_total_details'!$J$8:$J$10000,'[1]2_inventory_total_details'!$C$8:$C$10000,I26,'[1]2_inventory_total_details'!$F$8:$F$10000,MID(N26,1,3)*1,'[1]2_inventory_total_details'!$G$8:$G$10000,"="&amp;S26,'[1]2_inventory_total_details'!$H$8:$H$10000,"="&amp;T26,'[1]2_inventory_total_details'!$I$8:$I$10000,"="&amp;adj_date)+SUMIFS('[1]2_inventory_total_details'!$M$8:$M$10000,'[1]1_inventory_total_details'!$C$8:$C$10000,I26,'[1]2_inventory_total_details'!$F$8:$F$10000,MID(N26,1,3)*1,'[1]2_inventory_total_details'!$G$8:$G$10000,"="&amp;S26,'[1]2_inventory_total_details'!$H$8:$H$10000,"="&amp;T26,'[1]2_inventory_total_details'!$I$8:$I$10000,"="&amp;adj_date)+SUMIFS('[1]2_inventory_total_details'!$K$8:$K$10000,'[1]2_inventory_total_details'!$C$8:$C$10000,I26,'[1]2_inventory_total_details'!$F$8:$F$10000,MID(N26,1,3)*1,'[1]2_inventory_total_details'!$G$8:$G$10000,"="&amp;S26,'[1]2_inventory_total_details'!$H$8:$H$10000,"="&amp;T26,'[1]2_inventory_total_details'!$I$8:$I$10000,"="&amp;adj_date)+SUMIFS('[1]2_inventory_total_details'!$L$8:$L$10000,'[1]2_inventory_total_details'!$C$8:$C$10000,I26,'[1]2_inventory_total_details'!$F$8:$F$10000,MID(N26,1,3)*1,'[1]2_inventory_total_details'!$G$8:$G$10000,"="&amp;S26,'[1]2_inventory_total_details'!$H$8:$H$10000,"="&amp;T26,'[1]2_inventory_total_details'!$I$8:$I$10000,"="&amp;adj_date)))</f>
        <v/>
      </c>
      <c r="AB26" s="270" t="str">
        <f>IF(L26="","",IF(MID(N26,1,3)*1=1,SUMIFS('[1]1_inventory_total_details'!$J$8:$J$10000,'[1]1_inventory_total_details'!$C$8:$C$10000,I26,'[1]1_inventory_total_details'!$F$8:$F$10000,MID(N26,1,3)*1,'[1]1_inventory_total_details'!$G$8:$G$10000,"="&amp;S26,'[1]1_inventory_total_details'!$H$8:$H$10000,"="&amp;T26,'[1]1_inventory_total_details'!$I$8:$I$10000,"="&amp;adj_date)+SUMIFS('[1]1_inventory_total_details'!$M$8:$M$10000,'[1]1_inventory_total_details'!$C$8:$C$10000,I26,'[1]1_inventory_total_details'!$F$8:$F$10000,MID(N26,1,3)*1,'[1]1_inventory_total_details'!$G$8:$G$10000,"="&amp;S26,'[1]1_inventory_total_details'!$H$8:$H$10000,"="&amp;T26,'[1]1_inventory_total_details'!$I$8:$I$10000,"="&amp;adj_date)+SUMIFS('[1]1_inventory_total_details'!$K$8:$K$10000,'[1]1_inventory_total_details'!$C$8:$C$10000,I26,'[1]1_inventory_total_details'!$F$8:$F$10000,MID(N26,1,3)*1,'[1]1_inventory_total_details'!$G$8:$G$10000,"="&amp;S26,'[1]1_inventory_total_details'!$H$8:$H$10000,"="&amp;T26,'[1]1_inventory_total_details'!$I$8:$I$10000,"="&amp;adj_date)+SUMIFS('[1]1_inventory_total_details'!$L$8:$L$10000,'[1]1_inventory_total_details'!$C$8:$C$10000,I26,'[1]1_inventory_total_details'!$F$8:$F$10000,MID(N26,1,3)*1,'[1]1_inventory_total_details'!$G$8:$G$10000,"="&amp;S26,'[1]1_inventory_total_details'!$H$8:$H$10000,"="&amp;T26,'[1]1_inventory_total_details'!$I$8:$I$10000,"="&amp;adj_date),SUMIFS('[1]2_inventory_total_details'!$J$8:$J$10000,'[1]2_inventory_total_details'!$C$8:$C$10000,I26,'[1]2_inventory_total_details'!$F$8:$F$10000,MID(N26,1,3)*1,'[1]2_inventory_total_details'!$G$8:$G$10000,"="&amp;S26,'[1]2_inventory_total_details'!$H$8:$H$10000,"="&amp;T26,'[1]2_inventory_total_details'!$I$8:$I$10000,"="&amp;adj_date)+SUMIFS('[1]2_inventory_total_details'!$M$8:$M$10000,'[1]1_inventory_total_details'!$C$8:$C$10000,I26,'[1]2_inventory_total_details'!$F$8:$F$10000,MID(N26,1,3)*1,'[1]2_inventory_total_details'!$G$8:$G$10000,"="&amp;S26,'[1]2_inventory_total_details'!$H$8:$H$10000,"="&amp;T26,'[1]2_inventory_total_details'!$I$8:$I$10000,"="&amp;adj_date)+SUMIFS('[1]2_inventory_total_details'!$K$8:$K$10000,'[1]2_inventory_total_details'!$C$8:$C$10000,I26,'[1]2_inventory_total_details'!$F$8:$F$10000,MID(N26,1,3)*1,'[1]2_inventory_total_details'!$G$8:$G$10000,"="&amp;S26,'[1]2_inventory_total_details'!$H$8:$H$10000,"="&amp;T26,'[1]2_inventory_total_details'!$I$8:$I$10000,"="&amp;adj_date)+SUMIFS('[1]2_inventory_total_details'!$L$8:$L$10000,'[1]2_inventory_total_details'!$C$8:$C$10000,I26,'[1]2_inventory_total_details'!$F$8:$F$10000,MID(N26,1,3)*1,'[1]2_inventory_total_details'!$G$8:$G$10000,"="&amp;S26,'[1]2_inventory_total_details'!$H$8:$H$10000,"="&amp;T26,'[1]2_inventory_total_details'!$I$8:$I$10000,"="&amp;adj_date)))</f>
        <v/>
      </c>
      <c r="AC26" s="270" t="str">
        <f>IF(L26="","",IF(MID(N26,1,3)*1=1,SUMIFS('[1]1_inventory_total_details'!$J$8:$J$10000,'[1]1_inventory_total_details'!$C$8:$C$10000,I26,'[1]1_inventory_total_details'!$F$8:$F$10000,MID(N26,1,3)*1,'[1]1_inventory_total_details'!$G$8:$G$10000,"="&amp;S26,'[1]1_inventory_total_details'!$H$8:$H$10000,"="&amp;T26,'[1]1_inventory_total_details'!$I$8:$I$10000,"="&amp;adj_date)+SUMIFS('[1]1_inventory_total_details'!$M$8:$M$10000,'[1]1_inventory_total_details'!$C$8:$C$10000,I26,'[1]1_inventory_total_details'!$F$8:$F$10000,MID(N26,1,3)*1,'[1]1_inventory_total_details'!$G$8:$G$10000,"="&amp;S26,'[1]1_inventory_total_details'!$H$8:$H$10000,"="&amp;T26,'[1]1_inventory_total_details'!$I$8:$I$10000,"="&amp;adj_date)+SUMIFS('[1]1_inventory_total_details'!$K$8:$K$10000,'[1]1_inventory_total_details'!$C$8:$C$10000,I26,'[1]1_inventory_total_details'!$F$8:$F$10000,MID(N26,1,3)*1,'[1]1_inventory_total_details'!$G$8:$G$10000,"="&amp;S26,'[1]1_inventory_total_details'!$H$8:$H$10000,"="&amp;T26,'[1]1_inventory_total_details'!$I$8:$I$10000,"="&amp;adj_date)+SUMIFS('[1]1_inventory_total_details'!$L$8:$L$10000,'[1]1_inventory_total_details'!$C$8:$C$10000,I26,'[1]1_inventory_total_details'!$F$8:$F$10000,MID(N26,1,3)*1,'[1]1_inventory_total_details'!$G$8:$G$10000,"="&amp;S26,'[1]1_inventory_total_details'!$H$8:$H$10000,"="&amp;T26,'[1]1_inventory_total_details'!$I$8:$I$10000,"="&amp;adj_date),SUMIFS('[1]2_inventory_total_details'!$J$8:$J$10000,'[1]2_inventory_total_details'!$C$8:$C$10000,I26,'[1]2_inventory_total_details'!$F$8:$F$10000,MID(N26,1,3)*1,'[1]2_inventory_total_details'!$G$8:$G$10000,"="&amp;S26,'[1]2_inventory_total_details'!$H$8:$H$10000,"="&amp;T26,'[1]2_inventory_total_details'!$I$8:$I$10000,"="&amp;adj_date)+SUMIFS('[1]2_inventory_total_details'!$M$8:$M$10000,'[1]1_inventory_total_details'!$C$8:$C$10000,I26,'[1]2_inventory_total_details'!$F$8:$F$10000,MID(N26,1,3)*1,'[1]2_inventory_total_details'!$G$8:$G$10000,"="&amp;S26,'[1]2_inventory_total_details'!$H$8:$H$10000,"="&amp;T26,'[1]2_inventory_total_details'!$I$8:$I$10000,"="&amp;adj_date)+SUMIFS('[1]2_inventory_total_details'!$K$8:$K$10000,'[1]2_inventory_total_details'!$C$8:$C$10000,I26,'[1]2_inventory_total_details'!$F$8:$F$10000,MID(N26,1,3)*1,'[1]2_inventory_total_details'!$G$8:$G$10000,"="&amp;S26,'[1]2_inventory_total_details'!$H$8:$H$10000,"="&amp;T26,'[1]2_inventory_total_details'!$I$8:$I$10000,"="&amp;adj_date)+SUMIFS('[1]2_inventory_total_details'!$L$8:$L$10000,'[1]2_inventory_total_details'!$C$8:$C$10000,I26,'[1]2_inventory_total_details'!$F$8:$F$10000,MID(N26,1,3)*1,'[1]2_inventory_total_details'!$G$8:$G$10000,"="&amp;S26,'[1]2_inventory_total_details'!$H$8:$H$10000,"="&amp;T26,'[1]2_inventory_total_details'!$I$8:$I$10000,"="&amp;adj_date)))</f>
        <v/>
      </c>
      <c r="AD26" s="270" t="str">
        <f>IF(L26="","",SUMIFS('[1]1_group_totals'!$J$8:$J$10000,'[1]1_group_totals'!$C$8:$C$10000,I26,'[1]1_group_totals'!$F$8:$F$10000,adj_location_group_id,'[1]1_group_totals'!$G$8:$G$10000,MID(N26,1,3)*1,'[1]1_group_totals'!$H$8:$H$10000,"="&amp;S26,'[1]1_group_totals'!$I$8:$I$10000,"="&amp;T26))</f>
        <v/>
      </c>
      <c r="AE26" s="1796" t="str">
        <f t="shared" si="11"/>
        <v/>
      </c>
      <c r="AF26" s="1797" t="str">
        <f>IF(ISNA(MATCH(MID(AE26,1,3)*1,UomConversion!$D$8:$D$500,0)),"",IF(AJ26&lt;&gt;"",AJ26,""))</f>
        <v/>
      </c>
      <c r="AG26" s="1797" t="str">
        <f>IF(AND(AH26&gt;0,COUNTIFS(UomConversion!$D$8:$D$500,MID(AE26,1,3)*1,UomConversion!$J$8:$J$500,1)&gt;1),TEXT(AH26,"000")&amp;"."&amp;VLOOKUP(AH26,uom_list,5,FALSE),"")</f>
        <v/>
      </c>
      <c r="AH26" s="270" t="str">
        <f t="shared" si="12"/>
        <v/>
      </c>
      <c r="AI26" s="270" t="str">
        <f t="shared" si="13"/>
        <v/>
      </c>
      <c r="AJ26" s="270" t="str">
        <f t="shared" si="14"/>
        <v/>
      </c>
      <c r="AK26" s="270" t="str" cm="1">
        <f t="array" ref="AK26">IF(L26="","",Slookup(MID(AE26,1,3)*1,UomConversion!$D$8:$J$500,2,UomConversion!$I$8:$I$500,1,UomConversion!$J$8:$J$500,1))</f>
        <v/>
      </c>
      <c r="AL26" s="270" t="str">
        <f t="shared" si="15"/>
        <v/>
      </c>
      <c r="AM26" s="270" t="str">
        <f>IF(L26="","",(SUMIFS('[1]1_group_totals'!$K$8:$K$10000,'[1]1_group_totals'!$C$8:$C$10000,I26,'[1]1_group_totals'!$F$8:$F$10000,adj_location_group_id,'[1]1_group_totals'!$G$8:$G$10000,MID(N26,1,3)*1,'[1]1_group_totals'!$H$8:$H$10000,"="&amp;S26,'[1]1_group_totals'!$I$8:$I$10000,"="&amp;T26)+SUMIFS('[1]1_group_totals'!$N$8:$N$10000,'[1]1_group_totals'!$C$8:$C$10000,I26,'[1]1_group_totals'!$F$8:$F$10000,adj_location_group_id,'[1]1_group_totals'!$G$8:$G$10000,MID(N26,1,3)*1,'[1]1_group_totals'!$H$8:$H$10000,"="&amp;S26,'[1]1_group_totals'!$I$8:$I$10000,"="&amp;T26)+SUMIFS('[1]1_group_totals'!$P$8:$P$10000,'[1]1_group_totals'!$C$8:$C$10000,I26,'[1]1_group_totals'!$F$8:$F$10000,adj_location_group_id,'[1]1_group_totals'!$G$8:$G$10000,MID(N26,1,3)*1,'[1]1_group_totals'!$H$8:$H$10000,"="&amp;S26,'[1]1_group_totals'!$I$8:$I$10000,"="&amp;T26)+SUMIFS('[1]1_group_totals'!$Q$8:$Q$10000,'[1]1_group_totals'!$C$8:$C$10000,I26,'[1]1_group_totals'!$F$8:$F$10000,adj_location_group_id,'[1]1_group_totals'!$G$8:$G$10000,MID(N26,1,3)*1,'[1]1_group_totals'!$H$8:$H$10000,"="&amp;S26,'[1]1_group_totals'!$I$8:$I$10000,"="&amp;T26))+(SUMIFS('[1]1_group_totals'!$L$8:$L$10000,'[1]1_group_totals'!$C$8:$C$10000,I26,'[1]1_group_totals'!$F$8:$F$10000,adj_location_group_id,'[1]1_group_totals'!$G$8:$G$10000,MID(N26,1,3)*1,'[1]1_group_totals'!$H$8:$H$10000,"="&amp;S26,'[1]1_group_totals'!$I$8:$I$10000,"="&amp;T26)+SUMIFS('[1]1_group_totals'!$M$8:$M$10000,'[1]1_group_totals'!$C$8:$C$10000,I26,'[1]1_group_totals'!$F$8:$F$10000,adj_location_group_id,'[1]1_group_totals'!$G$8:$G$10000,MID(N26,1,3)*1,'[1]1_group_totals'!$H$8:$H$10000,"="&amp;S26,'[1]1_group_totals'!$I$8:$I$10000,"="&amp;T26)+SUMIFS('[1]1_group_totals'!$O$8:$O$10000,'[1]1_group_totals'!$C$8:$C$10000,I26,'[1]1_group_totals'!$F$8:$F$10000,adj_location_group_id,'[1]1_group_totals'!$G$8:$G$10000,MID(N26,1,3)*1,'[1]1_group_totals'!$H$8:$H$10000,"="&amp;S26,'[1]1_group_totals'!$I$8:$I$10000,"="&amp;T26)+SUMIFS('[1]1_group_totals'!$R$8:$R$10000,'[1]1_group_totals'!$C$8:$C$10000,I26,'[1]1_group_totals'!$F$8:$F$10000,adj_location_group_id,'[1]1_group_totals'!$G$8:$G$10000,MID(N26,1,3)*1,'[1]1_group_totals'!$H$8:$H$10000,"="&amp;S26,'[1]1_group_totals'!$I$8:$I$10000,"="&amp;T26)))</f>
        <v/>
      </c>
      <c r="AN26" s="270" t="str">
        <f>IF(L26="","",(SUMIFS('[1]1_inventory_totals'!$I$8:$I$10000,'[1]1_inventory_totals'!$C$8:$C$10000,I26,'[1]1_inventory_totals'!$F$8:$F$10000,"="&amp;S26,'[1]1_inventory_totals'!$G$8:$G$10000,"="&amp;T26)+SUMIFS('[1]1_inventory_totals'!$N$8:$N$10000,'[1]1_inventory_totals'!$C$8:$C$10000,I26,'[1]1_inventory_totals'!$F$8:$F$10000,"="&amp;S26,'[1]1_inventory_totals'!$G$8:$G$10000,"="&amp;T26)+SUMIFS('[1]1_inventory_totals'!$P$8:$P$10000,'[1]1_inventory_totals'!$C$8:$C$10000,I26,'[1]1_inventory_totals'!$F$8:$F$10000,"="&amp;S26,'[1]1_inventory_totals'!$G$8:$G$10000,"="&amp;T26)+SUMIFS('[1]1_inventory_totals'!$Q$8:$Q$10000,'[1]1_inventory_totals'!$C$8:$C$10000,I26,'[1]1_inventory_totals'!$F$8:$F$10000,"="&amp;S26,'[1]1_inventory_totals'!$G$8:$G$10000,"="&amp;T26)+SUMIFS('[1]1_inventory_totals'!$R$8:$R$10000,'[1]1_inventory_totals'!$C$8:$C$10000,I26,'[1]1_inventory_totals'!$F$8:$F$10000,"="&amp;S26,'[1]1_inventory_totals'!$G$8:$G$10000,"="&amp;T26))+(SUMIFS('[1]1_inventory_totals'!$J$8:$J$10000,'[1]1_inventory_totals'!$C$8:$C$10000,I26,'[1]1_inventory_totals'!$F$8:$F$10000,"="&amp;S26,'[1]1_inventory_totals'!$G$8:$G$10000,"="&amp;T26)+SUMIFS('[1]1_inventory_totals'!$K$8:$K$10000,'[1]1_inventory_totals'!$C$8:$C$10000,I26,'[1]1_inventory_totals'!$F$8:$F$10000,"="&amp;S26,'[1]1_inventory_totals'!$G$8:$G$10000,"="&amp;T26)+SUMIFS('[1]1_inventory_totals'!$L$8:$L$10000,'[1]1_inventory_totals'!$C$8:$C$10000,I26,'[1]1_inventory_totals'!$F$8:$F$10000,"="&amp;S26,'[1]1_inventory_totals'!$G$8:$G$10000,"="&amp;T26)+SUMIFS('[1]1_inventory_totals'!$M$8:$M$10000,'[1]1_inventory_totals'!$C$8:$C$10000,I26,'[1]1_inventory_totals'!$F$8:$F$10000,"="&amp;S26,'[1]1_inventory_totals'!$G$8:$G$10000,"="&amp;T26)+SUMIFS('[1]1_inventory_totals'!$O$8:$O$10000,'[1]1_inventory_totals'!$C$8:$C$10000,I26,'[1]1_inventory_totals'!$F$8:$F$10000,"="&amp;S26,'[1]1_inventory_totals'!$G$8:$G$10000,"="&amp;T26)+SUMIFS('[1]1_inventory_totals'!$S$8:$S$10000,'[1]1_inventory_totals'!$C$8:$C$10000,I26,'[1]1_inventory_totals'!$F$8:$F$10000,"="&amp;S26,'[1]1_inventory_totals'!$G$8:$G$10000,"="&amp;T26)))</f>
        <v/>
      </c>
      <c r="AO26" s="270" t="str">
        <f>IF(L26="","",(SUMIFS('[1]2_inventory_totals'!$I$8:$I$10000,'[1]2_inventory_totals'!$C$8:$C$10000,I26,'[1]2_inventory_totals'!$F$8:$F$10000,"="&amp;S26,'[1]2_inventory_totals'!$G$8:$G$10000,"="&amp;T26)+SUMIFS('[1]2_inventory_totals'!$N$8:$N$10000,'[1]2_inventory_totals'!$C$8:$C$10000,I26,'[1]2_inventory_totals'!$F$8:$F$10000,"="&amp;S26,'[1]2_inventory_totals'!$G$8:$G$10000,"="&amp;T26)+SUMIFS('[1]2_inventory_totals'!$P$8:$P$10000,'[1]2_inventory_totals'!$C$8:$C$10000,I26,'[1]2_inventory_totals'!$F$8:$F$10000,"="&amp;S26,'[1]2_inventory_totals'!$G$8:$G$10000,"="&amp;T26)+SUMIFS('[1]2_inventory_totals'!$Q$8:$Q$10000,'[1]2_inventory_totals'!$C$8:$C$10000,I26,'[1]2_inventory_totals'!$F$8:$F$10000,"="&amp;S26,'[1]2_inventory_totals'!$G$8:$G$10000,"="&amp;T26)+SUMIFS('[1]2_inventory_totals'!$R$8:$R$10000,'[1]2_inventory_totals'!$C$8:$C$10000,I26,'[1]2_inventory_totals'!$F$8:$F$10000,"="&amp;S26,'[1]2_inventory_totals'!$G$8:$G$10000,"="&amp;T26))+(SUMIFS('[1]2_inventory_totals'!$J$8:$J$10000,'[1]2_inventory_totals'!$C$8:$C$10000,I26,'[1]2_inventory_totals'!$F$8:$F$10000,"="&amp;S26,'[1]2_inventory_totals'!$G$8:$G$10000,"="&amp;T26)+SUMIFS('[1]2_inventory_totals'!$K$8:$K$10000,'[1]2_inventory_totals'!$C$8:$C$10000,I26,'[1]2_inventory_totals'!$F$8:$F$10000,"="&amp;S26,'[1]2_inventory_totals'!$G$8:$G$10000,"="&amp;T26)+SUMIFS('[1]2_inventory_totals'!$L$8:$L$10000,'[1]2_inventory_totals'!$C$8:$C$10000,I26,'[1]2_inventory_totals'!$F$8:$F$10000,"="&amp;S26,'[1]2_inventory_totals'!$G$8:$G$10000,"="&amp;T26)+SUMIFS('[1]2_inventory_totals'!$M$8:$M$10000,'[1]2_inventory_totals'!$C$8:$C$10000,I26,'[1]2_inventory_totals'!$F$8:$F$10000,"="&amp;S26,'[1]2_inventory_totals'!$G$8:$G$10000,"="&amp;T26)+SUMIFS('[1]2_inventory_totals'!$O$8:$O$10000,'[1]2_inventory_totals'!$C$8:$C$10000,I26,'[1]2_inventory_totals'!$F$8:$F$10000,"="&amp;S26,'[1]2_inventory_totals'!$G$8:$G$10000,"="&amp;T26)+SUMIFS('[1]2_inventory_totals'!$S$8:$S$10000,'[1]2_inventory_totals'!$C$8:$C$10000,I26,'[1]2_inventory_totals'!$F$8:$F$10000,"="&amp;S26,'[1]2_inventory_totals'!$G$8:$G$10000,"="&amp;T26)))</f>
        <v/>
      </c>
      <c r="AP26" s="954"/>
    </row>
    <row r="27" spans="1:42" ht="27" customHeight="1">
      <c r="A27" s="923"/>
      <c r="B27" s="1172"/>
      <c r="C27" s="950"/>
      <c r="D27" s="950"/>
      <c r="E27" s="950"/>
      <c r="F27" s="1198"/>
      <c r="I27" s="1610" t="str">
        <f t="shared" si="5"/>
        <v/>
      </c>
      <c r="J27" s="270" t="str">
        <f t="shared" si="6"/>
        <v/>
      </c>
      <c r="K27" s="813" t="str">
        <f t="shared" si="0"/>
        <v/>
      </c>
      <c r="L27" s="1184"/>
      <c r="M27" s="1185"/>
      <c r="N27" s="1186"/>
      <c r="O27" s="1534"/>
      <c r="P27" s="336" t="str">
        <f t="shared" si="7"/>
        <v/>
      </c>
      <c r="Q27" s="336" t="str">
        <f>IF(L27="","",IF(AD27=0,0,(SUMIFS('[1]1_group_total_details'!$I$8:$I$10000,'[1]1_group_total_details'!$C$8:$C$10000,I27,'[1]1_group_total_details'!$F$8:$F$10000,adj_location_group_id,'[1]1_group_total_details'!$G$8:$G$10000,MID(N27,1,3)*1,'[1]1_group_total_details'!$H$8:$H$10000,"&lt;="&amp;adj_date)+SUMIFS('[1]1_group_total_details'!$L$8:$L$10000,'[1]1_group_total_details'!$C$8:$C$10000,I27,'[1]1_group_total_details'!$F$8:$F$10000,adj_location_group_id,'[1]1_group_total_details'!$G$8:$G$10000,MID(N27,1,3)*1,'[1]1_group_total_details'!$H$8:$H$10000,"&lt;="&amp;adj_date)+SUMIFS('[1]1_group_total_details'!$N$8:$N$10000,'[1]1_group_total_details'!$C$8:$C$10000,I27,'[1]1_group_total_details'!$F$8:$F$10000,adj_location_group_id,'[1]1_group_total_details'!$G$8:$G$10000,MID(N27,1,3)*1,'[1]1_group_total_details'!$H$8:$H$10000,"&lt;="&amp;adj_date)+SUMIFS('[1]1_group_total_details'!$O$8:$O$10000,'[1]1_group_total_details'!$C$8:$C$10000,I27,'[1]1_group_total_details'!$F$8:$F$10000,adj_location_group_id,'[1]1_group_total_details'!$G$8:$G$10000,MID(N27,1,3)*1,'[1]1_group_total_details'!$H$8:$H$10000,"&lt;="&amp;adj_date))-(SUMIFS('[1]1_group_total_details'!$J$8:$J$10000,'[1]1_group_total_details'!$C$8:$C$10000,I27,'[1]1_group_total_details'!$F$8:$F$10000,adj_location_group_id,'[1]1_group_total_details'!$G$8:$G$10000,MID(N27,1,3)*1,'[1]1_group_total_details'!$H$8:$H$10000,"&lt;="&amp;adj_date)+SUMIFS('[1]1_group_total_details'!$K$8:$K$10000,'[1]1_group_total_details'!$C$8:$C$10000,I27,'[1]1_group_total_details'!$F$8:$F$10000,adj_location_group_id,'[1]1_group_total_details'!$G$8:$G$10000,MID(N27,1,3)*1,'[1]1_group_total_details'!$H$8:$H$10000,"&lt;="&amp;adj_date)+SUMIFS('[1]1_group_total_details'!$M$8:$M$10000,'[1]1_group_total_details'!$C$8:$C$10000,I27,'[1]1_group_total_details'!$F$8:$F$10000,adj_location_group_id,'[1]1_group_total_details'!$G$8:$G$10000,MID(N27,1,3)*1,'[1]1_group_total_details'!$H$8:$H$10000,"&lt;="&amp;adj_date)+SUMIFS('[1]1_group_total_details'!$P$8:$P$10000,'[1]1_group_total_details'!$C$8:$C$10000,I27,'[1]1_group_total_details'!$F$8:$F$10000,adj_location_group_id,'[1]1_group_total_details'!$G$8:$G$10000,MID(N27,1,3)*1,'[1]1_group_total_details'!$H$8:$H$10000,"&lt;="&amp;adj_date))))</f>
        <v/>
      </c>
      <c r="R27" s="1187"/>
      <c r="S27" s="1186"/>
      <c r="T27" s="1186"/>
      <c r="U27" s="1184"/>
      <c r="V27" s="270" t="str" cm="1">
        <f t="array" ref="V27">IF(L27="","",IF(M27=AE27,1,Slookup(MID(AE27,1,3)*1,UomConversion!$D$8:$J$500,5,UomConversion!$E$8:$E$500,MID(M27,1,3)*1,UomConversion!$J$8:$J$500,1)))</f>
        <v/>
      </c>
      <c r="W27" s="270" t="str">
        <f t="shared" si="8"/>
        <v/>
      </c>
      <c r="X27" s="1795" t="str">
        <f t="shared" si="9"/>
        <v/>
      </c>
      <c r="Y27" s="1795" t="str">
        <f t="shared" si="10"/>
        <v/>
      </c>
      <c r="Z27" s="270" t="str">
        <f>IF(I27="","",IF(ISNA(MATCH(I27,IF(MID(N27,1,3)*1=1,'[1]1_inventory_totals'!$C$8:$C$10000,IF(MID(N27,1,3)*1=2,'[1]2_inventory_totals'!$C$8:$C$10000,"")),0)),0,IF(AL27&gt;0,1,0)))</f>
        <v/>
      </c>
      <c r="AA27" s="270" t="str">
        <f>IF(L27="","",IF(MID(N27,1,3)*1=1,SUMIFS('[1]1_inventory_total_details'!$J$8:$J$10000,'[1]1_inventory_total_details'!$C$8:$C$10000,I27,'[1]1_inventory_total_details'!$F$8:$F$10000,MID(N27,1,3)*1,'[1]1_inventory_total_details'!$G$8:$G$10000,"="&amp;S27,'[1]1_inventory_total_details'!$H$8:$H$10000,"="&amp;T27,'[1]1_inventory_total_details'!$I$8:$I$10000,"="&amp;adj_date)+SUMIFS('[1]1_inventory_total_details'!$M$8:$M$10000,'[1]1_inventory_total_details'!$C$8:$C$10000,I27,'[1]1_inventory_total_details'!$F$8:$F$10000,MID(N27,1,3)*1,'[1]1_inventory_total_details'!$G$8:$G$10000,"="&amp;S27,'[1]1_inventory_total_details'!$H$8:$H$10000,"="&amp;T27,'[1]1_inventory_total_details'!$I$8:$I$10000,"="&amp;adj_date)+SUMIFS('[1]1_inventory_total_details'!$K$8:$K$10000,'[1]1_inventory_total_details'!$C$8:$C$10000,I27,'[1]1_inventory_total_details'!$F$8:$F$10000,MID(N27,1,3)*1,'[1]1_inventory_total_details'!$G$8:$G$10000,"="&amp;S27,'[1]1_inventory_total_details'!$H$8:$H$10000,"="&amp;T27,'[1]1_inventory_total_details'!$I$8:$I$10000,"="&amp;adj_date)+SUMIFS('[1]1_inventory_total_details'!$L$8:$L$10000,'[1]1_inventory_total_details'!$C$8:$C$10000,I27,'[1]1_inventory_total_details'!$F$8:$F$10000,MID(N27,1,3)*1,'[1]1_inventory_total_details'!$G$8:$G$10000,"="&amp;S27,'[1]1_inventory_total_details'!$H$8:$H$10000,"="&amp;T27,'[1]1_inventory_total_details'!$I$8:$I$10000,"="&amp;adj_date),SUMIFS('[1]2_inventory_total_details'!$J$8:$J$10000,'[1]2_inventory_total_details'!$C$8:$C$10000,I27,'[1]2_inventory_total_details'!$F$8:$F$10000,MID(N27,1,3)*1,'[1]2_inventory_total_details'!$G$8:$G$10000,"="&amp;S27,'[1]2_inventory_total_details'!$H$8:$H$10000,"="&amp;T27,'[1]2_inventory_total_details'!$I$8:$I$10000,"="&amp;adj_date)+SUMIFS('[1]2_inventory_total_details'!$M$8:$M$10000,'[1]1_inventory_total_details'!$C$8:$C$10000,I27,'[1]2_inventory_total_details'!$F$8:$F$10000,MID(N27,1,3)*1,'[1]2_inventory_total_details'!$G$8:$G$10000,"="&amp;S27,'[1]2_inventory_total_details'!$H$8:$H$10000,"="&amp;T27,'[1]2_inventory_total_details'!$I$8:$I$10000,"="&amp;adj_date)+SUMIFS('[1]2_inventory_total_details'!$K$8:$K$10000,'[1]2_inventory_total_details'!$C$8:$C$10000,I27,'[1]2_inventory_total_details'!$F$8:$F$10000,MID(N27,1,3)*1,'[1]2_inventory_total_details'!$G$8:$G$10000,"="&amp;S27,'[1]2_inventory_total_details'!$H$8:$H$10000,"="&amp;T27,'[1]2_inventory_total_details'!$I$8:$I$10000,"="&amp;adj_date)+SUMIFS('[1]2_inventory_total_details'!$L$8:$L$10000,'[1]2_inventory_total_details'!$C$8:$C$10000,I27,'[1]2_inventory_total_details'!$F$8:$F$10000,MID(N27,1,3)*1,'[1]2_inventory_total_details'!$G$8:$G$10000,"="&amp;S27,'[1]2_inventory_total_details'!$H$8:$H$10000,"="&amp;T27,'[1]2_inventory_total_details'!$I$8:$I$10000,"="&amp;adj_date)))</f>
        <v/>
      </c>
      <c r="AB27" s="270" t="str">
        <f>IF(L27="","",IF(MID(N27,1,3)*1=1,SUMIFS('[1]1_inventory_total_details'!$J$8:$J$10000,'[1]1_inventory_total_details'!$C$8:$C$10000,I27,'[1]1_inventory_total_details'!$F$8:$F$10000,MID(N27,1,3)*1,'[1]1_inventory_total_details'!$G$8:$G$10000,"="&amp;S27,'[1]1_inventory_total_details'!$H$8:$H$10000,"="&amp;T27,'[1]1_inventory_total_details'!$I$8:$I$10000,"="&amp;adj_date)+SUMIFS('[1]1_inventory_total_details'!$M$8:$M$10000,'[1]1_inventory_total_details'!$C$8:$C$10000,I27,'[1]1_inventory_total_details'!$F$8:$F$10000,MID(N27,1,3)*1,'[1]1_inventory_total_details'!$G$8:$G$10000,"="&amp;S27,'[1]1_inventory_total_details'!$H$8:$H$10000,"="&amp;T27,'[1]1_inventory_total_details'!$I$8:$I$10000,"="&amp;adj_date)+SUMIFS('[1]1_inventory_total_details'!$K$8:$K$10000,'[1]1_inventory_total_details'!$C$8:$C$10000,I27,'[1]1_inventory_total_details'!$F$8:$F$10000,MID(N27,1,3)*1,'[1]1_inventory_total_details'!$G$8:$G$10000,"="&amp;S27,'[1]1_inventory_total_details'!$H$8:$H$10000,"="&amp;T27,'[1]1_inventory_total_details'!$I$8:$I$10000,"="&amp;adj_date)+SUMIFS('[1]1_inventory_total_details'!$L$8:$L$10000,'[1]1_inventory_total_details'!$C$8:$C$10000,I27,'[1]1_inventory_total_details'!$F$8:$F$10000,MID(N27,1,3)*1,'[1]1_inventory_total_details'!$G$8:$G$10000,"="&amp;S27,'[1]1_inventory_total_details'!$H$8:$H$10000,"="&amp;T27,'[1]1_inventory_total_details'!$I$8:$I$10000,"="&amp;adj_date),SUMIFS('[1]2_inventory_total_details'!$J$8:$J$10000,'[1]2_inventory_total_details'!$C$8:$C$10000,I27,'[1]2_inventory_total_details'!$F$8:$F$10000,MID(N27,1,3)*1,'[1]2_inventory_total_details'!$G$8:$G$10000,"="&amp;S27,'[1]2_inventory_total_details'!$H$8:$H$10000,"="&amp;T27,'[1]2_inventory_total_details'!$I$8:$I$10000,"="&amp;adj_date)+SUMIFS('[1]2_inventory_total_details'!$M$8:$M$10000,'[1]1_inventory_total_details'!$C$8:$C$10000,I27,'[1]2_inventory_total_details'!$F$8:$F$10000,MID(N27,1,3)*1,'[1]2_inventory_total_details'!$G$8:$G$10000,"="&amp;S27,'[1]2_inventory_total_details'!$H$8:$H$10000,"="&amp;T27,'[1]2_inventory_total_details'!$I$8:$I$10000,"="&amp;adj_date)+SUMIFS('[1]2_inventory_total_details'!$K$8:$K$10000,'[1]2_inventory_total_details'!$C$8:$C$10000,I27,'[1]2_inventory_total_details'!$F$8:$F$10000,MID(N27,1,3)*1,'[1]2_inventory_total_details'!$G$8:$G$10000,"="&amp;S27,'[1]2_inventory_total_details'!$H$8:$H$10000,"="&amp;T27,'[1]2_inventory_total_details'!$I$8:$I$10000,"="&amp;adj_date)+SUMIFS('[1]2_inventory_total_details'!$L$8:$L$10000,'[1]2_inventory_total_details'!$C$8:$C$10000,I27,'[1]2_inventory_total_details'!$F$8:$F$10000,MID(N27,1,3)*1,'[1]2_inventory_total_details'!$G$8:$G$10000,"="&amp;S27,'[1]2_inventory_total_details'!$H$8:$H$10000,"="&amp;T27,'[1]2_inventory_total_details'!$I$8:$I$10000,"="&amp;adj_date)))</f>
        <v/>
      </c>
      <c r="AC27" s="270" t="str">
        <f>IF(L27="","",IF(MID(N27,1,3)*1=1,SUMIFS('[1]1_inventory_total_details'!$J$8:$J$10000,'[1]1_inventory_total_details'!$C$8:$C$10000,I27,'[1]1_inventory_total_details'!$F$8:$F$10000,MID(N27,1,3)*1,'[1]1_inventory_total_details'!$G$8:$G$10000,"="&amp;S27,'[1]1_inventory_total_details'!$H$8:$H$10000,"="&amp;T27,'[1]1_inventory_total_details'!$I$8:$I$10000,"="&amp;adj_date)+SUMIFS('[1]1_inventory_total_details'!$M$8:$M$10000,'[1]1_inventory_total_details'!$C$8:$C$10000,I27,'[1]1_inventory_total_details'!$F$8:$F$10000,MID(N27,1,3)*1,'[1]1_inventory_total_details'!$G$8:$G$10000,"="&amp;S27,'[1]1_inventory_total_details'!$H$8:$H$10000,"="&amp;T27,'[1]1_inventory_total_details'!$I$8:$I$10000,"="&amp;adj_date)+SUMIFS('[1]1_inventory_total_details'!$K$8:$K$10000,'[1]1_inventory_total_details'!$C$8:$C$10000,I27,'[1]1_inventory_total_details'!$F$8:$F$10000,MID(N27,1,3)*1,'[1]1_inventory_total_details'!$G$8:$G$10000,"="&amp;S27,'[1]1_inventory_total_details'!$H$8:$H$10000,"="&amp;T27,'[1]1_inventory_total_details'!$I$8:$I$10000,"="&amp;adj_date)+SUMIFS('[1]1_inventory_total_details'!$L$8:$L$10000,'[1]1_inventory_total_details'!$C$8:$C$10000,I27,'[1]1_inventory_total_details'!$F$8:$F$10000,MID(N27,1,3)*1,'[1]1_inventory_total_details'!$G$8:$G$10000,"="&amp;S27,'[1]1_inventory_total_details'!$H$8:$H$10000,"="&amp;T27,'[1]1_inventory_total_details'!$I$8:$I$10000,"="&amp;adj_date),SUMIFS('[1]2_inventory_total_details'!$J$8:$J$10000,'[1]2_inventory_total_details'!$C$8:$C$10000,I27,'[1]2_inventory_total_details'!$F$8:$F$10000,MID(N27,1,3)*1,'[1]2_inventory_total_details'!$G$8:$G$10000,"="&amp;S27,'[1]2_inventory_total_details'!$H$8:$H$10000,"="&amp;T27,'[1]2_inventory_total_details'!$I$8:$I$10000,"="&amp;adj_date)+SUMIFS('[1]2_inventory_total_details'!$M$8:$M$10000,'[1]1_inventory_total_details'!$C$8:$C$10000,I27,'[1]2_inventory_total_details'!$F$8:$F$10000,MID(N27,1,3)*1,'[1]2_inventory_total_details'!$G$8:$G$10000,"="&amp;S27,'[1]2_inventory_total_details'!$H$8:$H$10000,"="&amp;T27,'[1]2_inventory_total_details'!$I$8:$I$10000,"="&amp;adj_date)+SUMIFS('[1]2_inventory_total_details'!$K$8:$K$10000,'[1]2_inventory_total_details'!$C$8:$C$10000,I27,'[1]2_inventory_total_details'!$F$8:$F$10000,MID(N27,1,3)*1,'[1]2_inventory_total_details'!$G$8:$G$10000,"="&amp;S27,'[1]2_inventory_total_details'!$H$8:$H$10000,"="&amp;T27,'[1]2_inventory_total_details'!$I$8:$I$10000,"="&amp;adj_date)+SUMIFS('[1]2_inventory_total_details'!$L$8:$L$10000,'[1]2_inventory_total_details'!$C$8:$C$10000,I27,'[1]2_inventory_total_details'!$F$8:$F$10000,MID(N27,1,3)*1,'[1]2_inventory_total_details'!$G$8:$G$10000,"="&amp;S27,'[1]2_inventory_total_details'!$H$8:$H$10000,"="&amp;T27,'[1]2_inventory_total_details'!$I$8:$I$10000,"="&amp;adj_date)))</f>
        <v/>
      </c>
      <c r="AD27" s="270" t="str">
        <f>IF(L27="","",SUMIFS('[1]1_group_totals'!$J$8:$J$10000,'[1]1_group_totals'!$C$8:$C$10000,I27,'[1]1_group_totals'!$F$8:$F$10000,adj_location_group_id,'[1]1_group_totals'!$G$8:$G$10000,MID(N27,1,3)*1,'[1]1_group_totals'!$H$8:$H$10000,"="&amp;S27,'[1]1_group_totals'!$I$8:$I$10000,"="&amp;T27))</f>
        <v/>
      </c>
      <c r="AE27" s="1796" t="str">
        <f t="shared" si="11"/>
        <v/>
      </c>
      <c r="AF27" s="1797" t="str">
        <f>IF(ISNA(MATCH(MID(AE27,1,3)*1,UomConversion!$D$8:$D$500,0)),"",IF(AJ27&lt;&gt;"",AJ27,""))</f>
        <v/>
      </c>
      <c r="AG27" s="1797" t="str">
        <f>IF(AND(AH27&gt;0,COUNTIFS(UomConversion!$D$8:$D$500,MID(AE27,1,3)*1,UomConversion!$J$8:$J$500,1)&gt;1),TEXT(AH27,"000")&amp;"."&amp;VLOOKUP(AH27,uom_list,5,FALSE),"")</f>
        <v/>
      </c>
      <c r="AH27" s="270" t="str">
        <f t="shared" si="12"/>
        <v/>
      </c>
      <c r="AI27" s="270" t="str">
        <f t="shared" si="13"/>
        <v/>
      </c>
      <c r="AJ27" s="270" t="str">
        <f t="shared" si="14"/>
        <v/>
      </c>
      <c r="AK27" s="270" t="str" cm="1">
        <f t="array" ref="AK27">IF(L27="","",Slookup(MID(AE27,1,3)*1,UomConversion!$D$8:$J$500,2,UomConversion!$I$8:$I$500,1,UomConversion!$J$8:$J$500,1))</f>
        <v/>
      </c>
      <c r="AL27" s="270" t="str">
        <f t="shared" si="15"/>
        <v/>
      </c>
      <c r="AM27" s="270" t="str">
        <f>IF(L27="","",(SUMIFS('[1]1_group_totals'!$K$8:$K$10000,'[1]1_group_totals'!$C$8:$C$10000,I27,'[1]1_group_totals'!$F$8:$F$10000,adj_location_group_id,'[1]1_group_totals'!$G$8:$G$10000,MID(N27,1,3)*1,'[1]1_group_totals'!$H$8:$H$10000,"="&amp;S27,'[1]1_group_totals'!$I$8:$I$10000,"="&amp;T27)+SUMIFS('[1]1_group_totals'!$N$8:$N$10000,'[1]1_group_totals'!$C$8:$C$10000,I27,'[1]1_group_totals'!$F$8:$F$10000,adj_location_group_id,'[1]1_group_totals'!$G$8:$G$10000,MID(N27,1,3)*1,'[1]1_group_totals'!$H$8:$H$10000,"="&amp;S27,'[1]1_group_totals'!$I$8:$I$10000,"="&amp;T27)+SUMIFS('[1]1_group_totals'!$P$8:$P$10000,'[1]1_group_totals'!$C$8:$C$10000,I27,'[1]1_group_totals'!$F$8:$F$10000,adj_location_group_id,'[1]1_group_totals'!$G$8:$G$10000,MID(N27,1,3)*1,'[1]1_group_totals'!$H$8:$H$10000,"="&amp;S27,'[1]1_group_totals'!$I$8:$I$10000,"="&amp;T27)+SUMIFS('[1]1_group_totals'!$Q$8:$Q$10000,'[1]1_group_totals'!$C$8:$C$10000,I27,'[1]1_group_totals'!$F$8:$F$10000,adj_location_group_id,'[1]1_group_totals'!$G$8:$G$10000,MID(N27,1,3)*1,'[1]1_group_totals'!$H$8:$H$10000,"="&amp;S27,'[1]1_group_totals'!$I$8:$I$10000,"="&amp;T27))+(SUMIFS('[1]1_group_totals'!$L$8:$L$10000,'[1]1_group_totals'!$C$8:$C$10000,I27,'[1]1_group_totals'!$F$8:$F$10000,adj_location_group_id,'[1]1_group_totals'!$G$8:$G$10000,MID(N27,1,3)*1,'[1]1_group_totals'!$H$8:$H$10000,"="&amp;S27,'[1]1_group_totals'!$I$8:$I$10000,"="&amp;T27)+SUMIFS('[1]1_group_totals'!$M$8:$M$10000,'[1]1_group_totals'!$C$8:$C$10000,I27,'[1]1_group_totals'!$F$8:$F$10000,adj_location_group_id,'[1]1_group_totals'!$G$8:$G$10000,MID(N27,1,3)*1,'[1]1_group_totals'!$H$8:$H$10000,"="&amp;S27,'[1]1_group_totals'!$I$8:$I$10000,"="&amp;T27)+SUMIFS('[1]1_group_totals'!$O$8:$O$10000,'[1]1_group_totals'!$C$8:$C$10000,I27,'[1]1_group_totals'!$F$8:$F$10000,adj_location_group_id,'[1]1_group_totals'!$G$8:$G$10000,MID(N27,1,3)*1,'[1]1_group_totals'!$H$8:$H$10000,"="&amp;S27,'[1]1_group_totals'!$I$8:$I$10000,"="&amp;T27)+SUMIFS('[1]1_group_totals'!$R$8:$R$10000,'[1]1_group_totals'!$C$8:$C$10000,I27,'[1]1_group_totals'!$F$8:$F$10000,adj_location_group_id,'[1]1_group_totals'!$G$8:$G$10000,MID(N27,1,3)*1,'[1]1_group_totals'!$H$8:$H$10000,"="&amp;S27,'[1]1_group_totals'!$I$8:$I$10000,"="&amp;T27)))</f>
        <v/>
      </c>
      <c r="AN27" s="270" t="str">
        <f>IF(L27="","",(SUMIFS('[1]1_inventory_totals'!$I$8:$I$10000,'[1]1_inventory_totals'!$C$8:$C$10000,I27,'[1]1_inventory_totals'!$F$8:$F$10000,"="&amp;S27,'[1]1_inventory_totals'!$G$8:$G$10000,"="&amp;T27)+SUMIFS('[1]1_inventory_totals'!$N$8:$N$10000,'[1]1_inventory_totals'!$C$8:$C$10000,I27,'[1]1_inventory_totals'!$F$8:$F$10000,"="&amp;S27,'[1]1_inventory_totals'!$G$8:$G$10000,"="&amp;T27)+SUMIFS('[1]1_inventory_totals'!$P$8:$P$10000,'[1]1_inventory_totals'!$C$8:$C$10000,I27,'[1]1_inventory_totals'!$F$8:$F$10000,"="&amp;S27,'[1]1_inventory_totals'!$G$8:$G$10000,"="&amp;T27)+SUMIFS('[1]1_inventory_totals'!$Q$8:$Q$10000,'[1]1_inventory_totals'!$C$8:$C$10000,I27,'[1]1_inventory_totals'!$F$8:$F$10000,"="&amp;S27,'[1]1_inventory_totals'!$G$8:$G$10000,"="&amp;T27)+SUMIFS('[1]1_inventory_totals'!$R$8:$R$10000,'[1]1_inventory_totals'!$C$8:$C$10000,I27,'[1]1_inventory_totals'!$F$8:$F$10000,"="&amp;S27,'[1]1_inventory_totals'!$G$8:$G$10000,"="&amp;T27))+(SUMIFS('[1]1_inventory_totals'!$J$8:$J$10000,'[1]1_inventory_totals'!$C$8:$C$10000,I27,'[1]1_inventory_totals'!$F$8:$F$10000,"="&amp;S27,'[1]1_inventory_totals'!$G$8:$G$10000,"="&amp;T27)+SUMIFS('[1]1_inventory_totals'!$K$8:$K$10000,'[1]1_inventory_totals'!$C$8:$C$10000,I27,'[1]1_inventory_totals'!$F$8:$F$10000,"="&amp;S27,'[1]1_inventory_totals'!$G$8:$G$10000,"="&amp;T27)+SUMIFS('[1]1_inventory_totals'!$L$8:$L$10000,'[1]1_inventory_totals'!$C$8:$C$10000,I27,'[1]1_inventory_totals'!$F$8:$F$10000,"="&amp;S27,'[1]1_inventory_totals'!$G$8:$G$10000,"="&amp;T27)+SUMIFS('[1]1_inventory_totals'!$M$8:$M$10000,'[1]1_inventory_totals'!$C$8:$C$10000,I27,'[1]1_inventory_totals'!$F$8:$F$10000,"="&amp;S27,'[1]1_inventory_totals'!$G$8:$G$10000,"="&amp;T27)+SUMIFS('[1]1_inventory_totals'!$O$8:$O$10000,'[1]1_inventory_totals'!$C$8:$C$10000,I27,'[1]1_inventory_totals'!$F$8:$F$10000,"="&amp;S27,'[1]1_inventory_totals'!$G$8:$G$10000,"="&amp;T27)+SUMIFS('[1]1_inventory_totals'!$S$8:$S$10000,'[1]1_inventory_totals'!$C$8:$C$10000,I27,'[1]1_inventory_totals'!$F$8:$F$10000,"="&amp;S27,'[1]1_inventory_totals'!$G$8:$G$10000,"="&amp;T27)))</f>
        <v/>
      </c>
      <c r="AO27" s="270" t="str">
        <f>IF(L27="","",(SUMIFS('[1]2_inventory_totals'!$I$8:$I$10000,'[1]2_inventory_totals'!$C$8:$C$10000,I27,'[1]2_inventory_totals'!$F$8:$F$10000,"="&amp;S27,'[1]2_inventory_totals'!$G$8:$G$10000,"="&amp;T27)+SUMIFS('[1]2_inventory_totals'!$N$8:$N$10000,'[1]2_inventory_totals'!$C$8:$C$10000,I27,'[1]2_inventory_totals'!$F$8:$F$10000,"="&amp;S27,'[1]2_inventory_totals'!$G$8:$G$10000,"="&amp;T27)+SUMIFS('[1]2_inventory_totals'!$P$8:$P$10000,'[1]2_inventory_totals'!$C$8:$C$10000,I27,'[1]2_inventory_totals'!$F$8:$F$10000,"="&amp;S27,'[1]2_inventory_totals'!$G$8:$G$10000,"="&amp;T27)+SUMIFS('[1]2_inventory_totals'!$Q$8:$Q$10000,'[1]2_inventory_totals'!$C$8:$C$10000,I27,'[1]2_inventory_totals'!$F$8:$F$10000,"="&amp;S27,'[1]2_inventory_totals'!$G$8:$G$10000,"="&amp;T27)+SUMIFS('[1]2_inventory_totals'!$R$8:$R$10000,'[1]2_inventory_totals'!$C$8:$C$10000,I27,'[1]2_inventory_totals'!$F$8:$F$10000,"="&amp;S27,'[1]2_inventory_totals'!$G$8:$G$10000,"="&amp;T27))+(SUMIFS('[1]2_inventory_totals'!$J$8:$J$10000,'[1]2_inventory_totals'!$C$8:$C$10000,I27,'[1]2_inventory_totals'!$F$8:$F$10000,"="&amp;S27,'[1]2_inventory_totals'!$G$8:$G$10000,"="&amp;T27)+SUMIFS('[1]2_inventory_totals'!$K$8:$K$10000,'[1]2_inventory_totals'!$C$8:$C$10000,I27,'[1]2_inventory_totals'!$F$8:$F$10000,"="&amp;S27,'[1]2_inventory_totals'!$G$8:$G$10000,"="&amp;T27)+SUMIFS('[1]2_inventory_totals'!$L$8:$L$10000,'[1]2_inventory_totals'!$C$8:$C$10000,I27,'[1]2_inventory_totals'!$F$8:$F$10000,"="&amp;S27,'[1]2_inventory_totals'!$G$8:$G$10000,"="&amp;T27)+SUMIFS('[1]2_inventory_totals'!$M$8:$M$10000,'[1]2_inventory_totals'!$C$8:$C$10000,I27,'[1]2_inventory_totals'!$F$8:$F$10000,"="&amp;S27,'[1]2_inventory_totals'!$G$8:$G$10000,"="&amp;T27)+SUMIFS('[1]2_inventory_totals'!$O$8:$O$10000,'[1]2_inventory_totals'!$C$8:$C$10000,I27,'[1]2_inventory_totals'!$F$8:$F$10000,"="&amp;S27,'[1]2_inventory_totals'!$G$8:$G$10000,"="&amp;T27)+SUMIFS('[1]2_inventory_totals'!$S$8:$S$10000,'[1]2_inventory_totals'!$C$8:$C$10000,I27,'[1]2_inventory_totals'!$F$8:$F$10000,"="&amp;S27,'[1]2_inventory_totals'!$G$8:$G$10000,"="&amp;T27)))</f>
        <v/>
      </c>
      <c r="AP27" s="954"/>
    </row>
    <row r="28" spans="1:42" ht="27" customHeight="1">
      <c r="A28" s="923"/>
      <c r="B28" s="1172"/>
      <c r="C28" s="950"/>
      <c r="D28" s="950"/>
      <c r="E28" s="950"/>
      <c r="F28" s="1198"/>
      <c r="I28" s="1610" t="str">
        <f t="shared" si="5"/>
        <v/>
      </c>
      <c r="J28" s="270" t="str">
        <f t="shared" si="6"/>
        <v/>
      </c>
      <c r="K28" s="813" t="str">
        <f t="shared" si="0"/>
        <v/>
      </c>
      <c r="L28" s="1184"/>
      <c r="M28" s="1185"/>
      <c r="N28" s="1186"/>
      <c r="O28" s="1534"/>
      <c r="P28" s="336" t="str">
        <f t="shared" si="7"/>
        <v/>
      </c>
      <c r="Q28" s="336" t="str">
        <f>IF(L28="","",IF(AD28=0,0,(SUMIFS('[1]1_group_total_details'!$I$8:$I$10000,'[1]1_group_total_details'!$C$8:$C$10000,I28,'[1]1_group_total_details'!$F$8:$F$10000,adj_location_group_id,'[1]1_group_total_details'!$G$8:$G$10000,MID(N28,1,3)*1,'[1]1_group_total_details'!$H$8:$H$10000,"&lt;="&amp;adj_date)+SUMIFS('[1]1_group_total_details'!$L$8:$L$10000,'[1]1_group_total_details'!$C$8:$C$10000,I28,'[1]1_group_total_details'!$F$8:$F$10000,adj_location_group_id,'[1]1_group_total_details'!$G$8:$G$10000,MID(N28,1,3)*1,'[1]1_group_total_details'!$H$8:$H$10000,"&lt;="&amp;adj_date)+SUMIFS('[1]1_group_total_details'!$N$8:$N$10000,'[1]1_group_total_details'!$C$8:$C$10000,I28,'[1]1_group_total_details'!$F$8:$F$10000,adj_location_group_id,'[1]1_group_total_details'!$G$8:$G$10000,MID(N28,1,3)*1,'[1]1_group_total_details'!$H$8:$H$10000,"&lt;="&amp;adj_date)+SUMIFS('[1]1_group_total_details'!$O$8:$O$10000,'[1]1_group_total_details'!$C$8:$C$10000,I28,'[1]1_group_total_details'!$F$8:$F$10000,adj_location_group_id,'[1]1_group_total_details'!$G$8:$G$10000,MID(N28,1,3)*1,'[1]1_group_total_details'!$H$8:$H$10000,"&lt;="&amp;adj_date))-(SUMIFS('[1]1_group_total_details'!$J$8:$J$10000,'[1]1_group_total_details'!$C$8:$C$10000,I28,'[1]1_group_total_details'!$F$8:$F$10000,adj_location_group_id,'[1]1_group_total_details'!$G$8:$G$10000,MID(N28,1,3)*1,'[1]1_group_total_details'!$H$8:$H$10000,"&lt;="&amp;adj_date)+SUMIFS('[1]1_group_total_details'!$K$8:$K$10000,'[1]1_group_total_details'!$C$8:$C$10000,I28,'[1]1_group_total_details'!$F$8:$F$10000,adj_location_group_id,'[1]1_group_total_details'!$G$8:$G$10000,MID(N28,1,3)*1,'[1]1_group_total_details'!$H$8:$H$10000,"&lt;="&amp;adj_date)+SUMIFS('[1]1_group_total_details'!$M$8:$M$10000,'[1]1_group_total_details'!$C$8:$C$10000,I28,'[1]1_group_total_details'!$F$8:$F$10000,adj_location_group_id,'[1]1_group_total_details'!$G$8:$G$10000,MID(N28,1,3)*1,'[1]1_group_total_details'!$H$8:$H$10000,"&lt;="&amp;adj_date)+SUMIFS('[1]1_group_total_details'!$P$8:$P$10000,'[1]1_group_total_details'!$C$8:$C$10000,I28,'[1]1_group_total_details'!$F$8:$F$10000,adj_location_group_id,'[1]1_group_total_details'!$G$8:$G$10000,MID(N28,1,3)*1,'[1]1_group_total_details'!$H$8:$H$10000,"&lt;="&amp;adj_date))))</f>
        <v/>
      </c>
      <c r="R28" s="1187"/>
      <c r="S28" s="1186"/>
      <c r="T28" s="1186"/>
      <c r="U28" s="1184"/>
      <c r="V28" s="270" t="str" cm="1">
        <f t="array" ref="V28">IF(L28="","",IF(M28=AE28,1,Slookup(MID(AE28,1,3)*1,UomConversion!$D$8:$J$500,5,UomConversion!$E$8:$E$500,MID(M28,1,3)*1,UomConversion!$J$8:$J$500,1)))</f>
        <v/>
      </c>
      <c r="W28" s="270" t="str">
        <f t="shared" si="8"/>
        <v/>
      </c>
      <c r="X28" s="1795" t="str">
        <f t="shared" si="9"/>
        <v/>
      </c>
      <c r="Y28" s="1795" t="str">
        <f t="shared" si="10"/>
        <v/>
      </c>
      <c r="Z28" s="270" t="str">
        <f>IF(I28="","",IF(ISNA(MATCH(I28,IF(MID(N28,1,3)*1=1,'[1]1_inventory_totals'!$C$8:$C$10000,IF(MID(N28,1,3)*1=2,'[1]2_inventory_totals'!$C$8:$C$10000,"")),0)),0,IF(AL28&gt;0,1,0)))</f>
        <v/>
      </c>
      <c r="AA28" s="270" t="str">
        <f>IF(L28="","",IF(MID(N28,1,3)*1=1,SUMIFS('[1]1_inventory_total_details'!$J$8:$J$10000,'[1]1_inventory_total_details'!$C$8:$C$10000,I28,'[1]1_inventory_total_details'!$F$8:$F$10000,MID(N28,1,3)*1,'[1]1_inventory_total_details'!$G$8:$G$10000,"="&amp;S28,'[1]1_inventory_total_details'!$H$8:$H$10000,"="&amp;T28,'[1]1_inventory_total_details'!$I$8:$I$10000,"="&amp;adj_date)+SUMIFS('[1]1_inventory_total_details'!$M$8:$M$10000,'[1]1_inventory_total_details'!$C$8:$C$10000,I28,'[1]1_inventory_total_details'!$F$8:$F$10000,MID(N28,1,3)*1,'[1]1_inventory_total_details'!$G$8:$G$10000,"="&amp;S28,'[1]1_inventory_total_details'!$H$8:$H$10000,"="&amp;T28,'[1]1_inventory_total_details'!$I$8:$I$10000,"="&amp;adj_date)+SUMIFS('[1]1_inventory_total_details'!$K$8:$K$10000,'[1]1_inventory_total_details'!$C$8:$C$10000,I28,'[1]1_inventory_total_details'!$F$8:$F$10000,MID(N28,1,3)*1,'[1]1_inventory_total_details'!$G$8:$G$10000,"="&amp;S28,'[1]1_inventory_total_details'!$H$8:$H$10000,"="&amp;T28,'[1]1_inventory_total_details'!$I$8:$I$10000,"="&amp;adj_date)+SUMIFS('[1]1_inventory_total_details'!$L$8:$L$10000,'[1]1_inventory_total_details'!$C$8:$C$10000,I28,'[1]1_inventory_total_details'!$F$8:$F$10000,MID(N28,1,3)*1,'[1]1_inventory_total_details'!$G$8:$G$10000,"="&amp;S28,'[1]1_inventory_total_details'!$H$8:$H$10000,"="&amp;T28,'[1]1_inventory_total_details'!$I$8:$I$10000,"="&amp;adj_date),SUMIFS('[1]2_inventory_total_details'!$J$8:$J$10000,'[1]2_inventory_total_details'!$C$8:$C$10000,I28,'[1]2_inventory_total_details'!$F$8:$F$10000,MID(N28,1,3)*1,'[1]2_inventory_total_details'!$G$8:$G$10000,"="&amp;S28,'[1]2_inventory_total_details'!$H$8:$H$10000,"="&amp;T28,'[1]2_inventory_total_details'!$I$8:$I$10000,"="&amp;adj_date)+SUMIFS('[1]2_inventory_total_details'!$M$8:$M$10000,'[1]1_inventory_total_details'!$C$8:$C$10000,I28,'[1]2_inventory_total_details'!$F$8:$F$10000,MID(N28,1,3)*1,'[1]2_inventory_total_details'!$G$8:$G$10000,"="&amp;S28,'[1]2_inventory_total_details'!$H$8:$H$10000,"="&amp;T28,'[1]2_inventory_total_details'!$I$8:$I$10000,"="&amp;adj_date)+SUMIFS('[1]2_inventory_total_details'!$K$8:$K$10000,'[1]2_inventory_total_details'!$C$8:$C$10000,I28,'[1]2_inventory_total_details'!$F$8:$F$10000,MID(N28,1,3)*1,'[1]2_inventory_total_details'!$G$8:$G$10000,"="&amp;S28,'[1]2_inventory_total_details'!$H$8:$H$10000,"="&amp;T28,'[1]2_inventory_total_details'!$I$8:$I$10000,"="&amp;adj_date)+SUMIFS('[1]2_inventory_total_details'!$L$8:$L$10000,'[1]2_inventory_total_details'!$C$8:$C$10000,I28,'[1]2_inventory_total_details'!$F$8:$F$10000,MID(N28,1,3)*1,'[1]2_inventory_total_details'!$G$8:$G$10000,"="&amp;S28,'[1]2_inventory_total_details'!$H$8:$H$10000,"="&amp;T28,'[1]2_inventory_total_details'!$I$8:$I$10000,"="&amp;adj_date)))</f>
        <v/>
      </c>
      <c r="AB28" s="270" t="str">
        <f>IF(L28="","",IF(MID(N28,1,3)*1=1,SUMIFS('[1]1_inventory_total_details'!$J$8:$J$10000,'[1]1_inventory_total_details'!$C$8:$C$10000,I28,'[1]1_inventory_total_details'!$F$8:$F$10000,MID(N28,1,3)*1,'[1]1_inventory_total_details'!$G$8:$G$10000,"="&amp;S28,'[1]1_inventory_total_details'!$H$8:$H$10000,"="&amp;T28,'[1]1_inventory_total_details'!$I$8:$I$10000,"="&amp;adj_date)+SUMIFS('[1]1_inventory_total_details'!$M$8:$M$10000,'[1]1_inventory_total_details'!$C$8:$C$10000,I28,'[1]1_inventory_total_details'!$F$8:$F$10000,MID(N28,1,3)*1,'[1]1_inventory_total_details'!$G$8:$G$10000,"="&amp;S28,'[1]1_inventory_total_details'!$H$8:$H$10000,"="&amp;T28,'[1]1_inventory_total_details'!$I$8:$I$10000,"="&amp;adj_date)+SUMIFS('[1]1_inventory_total_details'!$K$8:$K$10000,'[1]1_inventory_total_details'!$C$8:$C$10000,I28,'[1]1_inventory_total_details'!$F$8:$F$10000,MID(N28,1,3)*1,'[1]1_inventory_total_details'!$G$8:$G$10000,"="&amp;S28,'[1]1_inventory_total_details'!$H$8:$H$10000,"="&amp;T28,'[1]1_inventory_total_details'!$I$8:$I$10000,"="&amp;adj_date)+SUMIFS('[1]1_inventory_total_details'!$L$8:$L$10000,'[1]1_inventory_total_details'!$C$8:$C$10000,I28,'[1]1_inventory_total_details'!$F$8:$F$10000,MID(N28,1,3)*1,'[1]1_inventory_total_details'!$G$8:$G$10000,"="&amp;S28,'[1]1_inventory_total_details'!$H$8:$H$10000,"="&amp;T28,'[1]1_inventory_total_details'!$I$8:$I$10000,"="&amp;adj_date),SUMIFS('[1]2_inventory_total_details'!$J$8:$J$10000,'[1]2_inventory_total_details'!$C$8:$C$10000,I28,'[1]2_inventory_total_details'!$F$8:$F$10000,MID(N28,1,3)*1,'[1]2_inventory_total_details'!$G$8:$G$10000,"="&amp;S28,'[1]2_inventory_total_details'!$H$8:$H$10000,"="&amp;T28,'[1]2_inventory_total_details'!$I$8:$I$10000,"="&amp;adj_date)+SUMIFS('[1]2_inventory_total_details'!$M$8:$M$10000,'[1]1_inventory_total_details'!$C$8:$C$10000,I28,'[1]2_inventory_total_details'!$F$8:$F$10000,MID(N28,1,3)*1,'[1]2_inventory_total_details'!$G$8:$G$10000,"="&amp;S28,'[1]2_inventory_total_details'!$H$8:$H$10000,"="&amp;T28,'[1]2_inventory_total_details'!$I$8:$I$10000,"="&amp;adj_date)+SUMIFS('[1]2_inventory_total_details'!$K$8:$K$10000,'[1]2_inventory_total_details'!$C$8:$C$10000,I28,'[1]2_inventory_total_details'!$F$8:$F$10000,MID(N28,1,3)*1,'[1]2_inventory_total_details'!$G$8:$G$10000,"="&amp;S28,'[1]2_inventory_total_details'!$H$8:$H$10000,"="&amp;T28,'[1]2_inventory_total_details'!$I$8:$I$10000,"="&amp;adj_date)+SUMIFS('[1]2_inventory_total_details'!$L$8:$L$10000,'[1]2_inventory_total_details'!$C$8:$C$10000,I28,'[1]2_inventory_total_details'!$F$8:$F$10000,MID(N28,1,3)*1,'[1]2_inventory_total_details'!$G$8:$G$10000,"="&amp;S28,'[1]2_inventory_total_details'!$H$8:$H$10000,"="&amp;T28,'[1]2_inventory_total_details'!$I$8:$I$10000,"="&amp;adj_date)))</f>
        <v/>
      </c>
      <c r="AC28" s="270" t="str">
        <f>IF(L28="","",IF(MID(N28,1,3)*1=1,SUMIFS('[1]1_inventory_total_details'!$J$8:$J$10000,'[1]1_inventory_total_details'!$C$8:$C$10000,I28,'[1]1_inventory_total_details'!$F$8:$F$10000,MID(N28,1,3)*1,'[1]1_inventory_total_details'!$G$8:$G$10000,"="&amp;S28,'[1]1_inventory_total_details'!$H$8:$H$10000,"="&amp;T28,'[1]1_inventory_total_details'!$I$8:$I$10000,"="&amp;adj_date)+SUMIFS('[1]1_inventory_total_details'!$M$8:$M$10000,'[1]1_inventory_total_details'!$C$8:$C$10000,I28,'[1]1_inventory_total_details'!$F$8:$F$10000,MID(N28,1,3)*1,'[1]1_inventory_total_details'!$G$8:$G$10000,"="&amp;S28,'[1]1_inventory_total_details'!$H$8:$H$10000,"="&amp;T28,'[1]1_inventory_total_details'!$I$8:$I$10000,"="&amp;adj_date)+SUMIFS('[1]1_inventory_total_details'!$K$8:$K$10000,'[1]1_inventory_total_details'!$C$8:$C$10000,I28,'[1]1_inventory_total_details'!$F$8:$F$10000,MID(N28,1,3)*1,'[1]1_inventory_total_details'!$G$8:$G$10000,"="&amp;S28,'[1]1_inventory_total_details'!$H$8:$H$10000,"="&amp;T28,'[1]1_inventory_total_details'!$I$8:$I$10000,"="&amp;adj_date)+SUMIFS('[1]1_inventory_total_details'!$L$8:$L$10000,'[1]1_inventory_total_details'!$C$8:$C$10000,I28,'[1]1_inventory_total_details'!$F$8:$F$10000,MID(N28,1,3)*1,'[1]1_inventory_total_details'!$G$8:$G$10000,"="&amp;S28,'[1]1_inventory_total_details'!$H$8:$H$10000,"="&amp;T28,'[1]1_inventory_total_details'!$I$8:$I$10000,"="&amp;adj_date),SUMIFS('[1]2_inventory_total_details'!$J$8:$J$10000,'[1]2_inventory_total_details'!$C$8:$C$10000,I28,'[1]2_inventory_total_details'!$F$8:$F$10000,MID(N28,1,3)*1,'[1]2_inventory_total_details'!$G$8:$G$10000,"="&amp;S28,'[1]2_inventory_total_details'!$H$8:$H$10000,"="&amp;T28,'[1]2_inventory_total_details'!$I$8:$I$10000,"="&amp;adj_date)+SUMIFS('[1]2_inventory_total_details'!$M$8:$M$10000,'[1]1_inventory_total_details'!$C$8:$C$10000,I28,'[1]2_inventory_total_details'!$F$8:$F$10000,MID(N28,1,3)*1,'[1]2_inventory_total_details'!$G$8:$G$10000,"="&amp;S28,'[1]2_inventory_total_details'!$H$8:$H$10000,"="&amp;T28,'[1]2_inventory_total_details'!$I$8:$I$10000,"="&amp;adj_date)+SUMIFS('[1]2_inventory_total_details'!$K$8:$K$10000,'[1]2_inventory_total_details'!$C$8:$C$10000,I28,'[1]2_inventory_total_details'!$F$8:$F$10000,MID(N28,1,3)*1,'[1]2_inventory_total_details'!$G$8:$G$10000,"="&amp;S28,'[1]2_inventory_total_details'!$H$8:$H$10000,"="&amp;T28,'[1]2_inventory_total_details'!$I$8:$I$10000,"="&amp;adj_date)+SUMIFS('[1]2_inventory_total_details'!$L$8:$L$10000,'[1]2_inventory_total_details'!$C$8:$C$10000,I28,'[1]2_inventory_total_details'!$F$8:$F$10000,MID(N28,1,3)*1,'[1]2_inventory_total_details'!$G$8:$G$10000,"="&amp;S28,'[1]2_inventory_total_details'!$H$8:$H$10000,"="&amp;T28,'[1]2_inventory_total_details'!$I$8:$I$10000,"="&amp;adj_date)))</f>
        <v/>
      </c>
      <c r="AD28" s="270" t="str">
        <f>IF(L28="","",SUMIFS('[1]1_group_totals'!$J$8:$J$10000,'[1]1_group_totals'!$C$8:$C$10000,I28,'[1]1_group_totals'!$F$8:$F$10000,adj_location_group_id,'[1]1_group_totals'!$G$8:$G$10000,MID(N28,1,3)*1,'[1]1_group_totals'!$H$8:$H$10000,"="&amp;S28,'[1]1_group_totals'!$I$8:$I$10000,"="&amp;T28))</f>
        <v/>
      </c>
      <c r="AE28" s="1796" t="str">
        <f t="shared" si="11"/>
        <v/>
      </c>
      <c r="AF28" s="1797" t="str">
        <f>IF(ISNA(MATCH(MID(AE28,1,3)*1,UomConversion!$D$8:$D$500,0)),"",IF(AJ28&lt;&gt;"",AJ28,""))</f>
        <v/>
      </c>
      <c r="AG28" s="1797" t="str">
        <f>IF(AND(AH28&gt;0,COUNTIFS(UomConversion!$D$8:$D$500,MID(AE28,1,3)*1,UomConversion!$J$8:$J$500,1)&gt;1),TEXT(AH28,"000")&amp;"."&amp;VLOOKUP(AH28,uom_list,5,FALSE),"")</f>
        <v/>
      </c>
      <c r="AH28" s="270" t="str">
        <f t="shared" si="12"/>
        <v/>
      </c>
      <c r="AI28" s="270" t="str">
        <f t="shared" si="13"/>
        <v/>
      </c>
      <c r="AJ28" s="270" t="str">
        <f t="shared" si="14"/>
        <v/>
      </c>
      <c r="AK28" s="270" t="str" cm="1">
        <f t="array" ref="AK28">IF(L28="","",Slookup(MID(AE28,1,3)*1,UomConversion!$D$8:$J$500,2,UomConversion!$I$8:$I$500,1,UomConversion!$J$8:$J$500,1))</f>
        <v/>
      </c>
      <c r="AL28" s="270" t="str">
        <f t="shared" si="15"/>
        <v/>
      </c>
      <c r="AM28" s="270" t="str">
        <f>IF(L28="","",(SUMIFS('[1]1_group_totals'!$K$8:$K$10000,'[1]1_group_totals'!$C$8:$C$10000,I28,'[1]1_group_totals'!$F$8:$F$10000,adj_location_group_id,'[1]1_group_totals'!$G$8:$G$10000,MID(N28,1,3)*1,'[1]1_group_totals'!$H$8:$H$10000,"="&amp;S28,'[1]1_group_totals'!$I$8:$I$10000,"="&amp;T28)+SUMIFS('[1]1_group_totals'!$N$8:$N$10000,'[1]1_group_totals'!$C$8:$C$10000,I28,'[1]1_group_totals'!$F$8:$F$10000,adj_location_group_id,'[1]1_group_totals'!$G$8:$G$10000,MID(N28,1,3)*1,'[1]1_group_totals'!$H$8:$H$10000,"="&amp;S28,'[1]1_group_totals'!$I$8:$I$10000,"="&amp;T28)+SUMIFS('[1]1_group_totals'!$P$8:$P$10000,'[1]1_group_totals'!$C$8:$C$10000,I28,'[1]1_group_totals'!$F$8:$F$10000,adj_location_group_id,'[1]1_group_totals'!$G$8:$G$10000,MID(N28,1,3)*1,'[1]1_group_totals'!$H$8:$H$10000,"="&amp;S28,'[1]1_group_totals'!$I$8:$I$10000,"="&amp;T28)+SUMIFS('[1]1_group_totals'!$Q$8:$Q$10000,'[1]1_group_totals'!$C$8:$C$10000,I28,'[1]1_group_totals'!$F$8:$F$10000,adj_location_group_id,'[1]1_group_totals'!$G$8:$G$10000,MID(N28,1,3)*1,'[1]1_group_totals'!$H$8:$H$10000,"="&amp;S28,'[1]1_group_totals'!$I$8:$I$10000,"="&amp;T28))+(SUMIFS('[1]1_group_totals'!$L$8:$L$10000,'[1]1_group_totals'!$C$8:$C$10000,I28,'[1]1_group_totals'!$F$8:$F$10000,adj_location_group_id,'[1]1_group_totals'!$G$8:$G$10000,MID(N28,1,3)*1,'[1]1_group_totals'!$H$8:$H$10000,"="&amp;S28,'[1]1_group_totals'!$I$8:$I$10000,"="&amp;T28)+SUMIFS('[1]1_group_totals'!$M$8:$M$10000,'[1]1_group_totals'!$C$8:$C$10000,I28,'[1]1_group_totals'!$F$8:$F$10000,adj_location_group_id,'[1]1_group_totals'!$G$8:$G$10000,MID(N28,1,3)*1,'[1]1_group_totals'!$H$8:$H$10000,"="&amp;S28,'[1]1_group_totals'!$I$8:$I$10000,"="&amp;T28)+SUMIFS('[1]1_group_totals'!$O$8:$O$10000,'[1]1_group_totals'!$C$8:$C$10000,I28,'[1]1_group_totals'!$F$8:$F$10000,adj_location_group_id,'[1]1_group_totals'!$G$8:$G$10000,MID(N28,1,3)*1,'[1]1_group_totals'!$H$8:$H$10000,"="&amp;S28,'[1]1_group_totals'!$I$8:$I$10000,"="&amp;T28)+SUMIFS('[1]1_group_totals'!$R$8:$R$10000,'[1]1_group_totals'!$C$8:$C$10000,I28,'[1]1_group_totals'!$F$8:$F$10000,adj_location_group_id,'[1]1_group_totals'!$G$8:$G$10000,MID(N28,1,3)*1,'[1]1_group_totals'!$H$8:$H$10000,"="&amp;S28,'[1]1_group_totals'!$I$8:$I$10000,"="&amp;T28)))</f>
        <v/>
      </c>
      <c r="AN28" s="270" t="str">
        <f>IF(L28="","",(SUMIFS('[1]1_inventory_totals'!$I$8:$I$10000,'[1]1_inventory_totals'!$C$8:$C$10000,I28,'[1]1_inventory_totals'!$F$8:$F$10000,"="&amp;S28,'[1]1_inventory_totals'!$G$8:$G$10000,"="&amp;T28)+SUMIFS('[1]1_inventory_totals'!$N$8:$N$10000,'[1]1_inventory_totals'!$C$8:$C$10000,I28,'[1]1_inventory_totals'!$F$8:$F$10000,"="&amp;S28,'[1]1_inventory_totals'!$G$8:$G$10000,"="&amp;T28)+SUMIFS('[1]1_inventory_totals'!$P$8:$P$10000,'[1]1_inventory_totals'!$C$8:$C$10000,I28,'[1]1_inventory_totals'!$F$8:$F$10000,"="&amp;S28,'[1]1_inventory_totals'!$G$8:$G$10000,"="&amp;T28)+SUMIFS('[1]1_inventory_totals'!$Q$8:$Q$10000,'[1]1_inventory_totals'!$C$8:$C$10000,I28,'[1]1_inventory_totals'!$F$8:$F$10000,"="&amp;S28,'[1]1_inventory_totals'!$G$8:$G$10000,"="&amp;T28)+SUMIFS('[1]1_inventory_totals'!$R$8:$R$10000,'[1]1_inventory_totals'!$C$8:$C$10000,I28,'[1]1_inventory_totals'!$F$8:$F$10000,"="&amp;S28,'[1]1_inventory_totals'!$G$8:$G$10000,"="&amp;T28))+(SUMIFS('[1]1_inventory_totals'!$J$8:$J$10000,'[1]1_inventory_totals'!$C$8:$C$10000,I28,'[1]1_inventory_totals'!$F$8:$F$10000,"="&amp;S28,'[1]1_inventory_totals'!$G$8:$G$10000,"="&amp;T28)+SUMIFS('[1]1_inventory_totals'!$K$8:$K$10000,'[1]1_inventory_totals'!$C$8:$C$10000,I28,'[1]1_inventory_totals'!$F$8:$F$10000,"="&amp;S28,'[1]1_inventory_totals'!$G$8:$G$10000,"="&amp;T28)+SUMIFS('[1]1_inventory_totals'!$L$8:$L$10000,'[1]1_inventory_totals'!$C$8:$C$10000,I28,'[1]1_inventory_totals'!$F$8:$F$10000,"="&amp;S28,'[1]1_inventory_totals'!$G$8:$G$10000,"="&amp;T28)+SUMIFS('[1]1_inventory_totals'!$M$8:$M$10000,'[1]1_inventory_totals'!$C$8:$C$10000,I28,'[1]1_inventory_totals'!$F$8:$F$10000,"="&amp;S28,'[1]1_inventory_totals'!$G$8:$G$10000,"="&amp;T28)+SUMIFS('[1]1_inventory_totals'!$O$8:$O$10000,'[1]1_inventory_totals'!$C$8:$C$10000,I28,'[1]1_inventory_totals'!$F$8:$F$10000,"="&amp;S28,'[1]1_inventory_totals'!$G$8:$G$10000,"="&amp;T28)+SUMIFS('[1]1_inventory_totals'!$S$8:$S$10000,'[1]1_inventory_totals'!$C$8:$C$10000,I28,'[1]1_inventory_totals'!$F$8:$F$10000,"="&amp;S28,'[1]1_inventory_totals'!$G$8:$G$10000,"="&amp;T28)))</f>
        <v/>
      </c>
      <c r="AO28" s="270" t="str">
        <f>IF(L28="","",(SUMIFS('[1]2_inventory_totals'!$I$8:$I$10000,'[1]2_inventory_totals'!$C$8:$C$10000,I28,'[1]2_inventory_totals'!$F$8:$F$10000,"="&amp;S28,'[1]2_inventory_totals'!$G$8:$G$10000,"="&amp;T28)+SUMIFS('[1]2_inventory_totals'!$N$8:$N$10000,'[1]2_inventory_totals'!$C$8:$C$10000,I28,'[1]2_inventory_totals'!$F$8:$F$10000,"="&amp;S28,'[1]2_inventory_totals'!$G$8:$G$10000,"="&amp;T28)+SUMIFS('[1]2_inventory_totals'!$P$8:$P$10000,'[1]2_inventory_totals'!$C$8:$C$10000,I28,'[1]2_inventory_totals'!$F$8:$F$10000,"="&amp;S28,'[1]2_inventory_totals'!$G$8:$G$10000,"="&amp;T28)+SUMIFS('[1]2_inventory_totals'!$Q$8:$Q$10000,'[1]2_inventory_totals'!$C$8:$C$10000,I28,'[1]2_inventory_totals'!$F$8:$F$10000,"="&amp;S28,'[1]2_inventory_totals'!$G$8:$G$10000,"="&amp;T28)+SUMIFS('[1]2_inventory_totals'!$R$8:$R$10000,'[1]2_inventory_totals'!$C$8:$C$10000,I28,'[1]2_inventory_totals'!$F$8:$F$10000,"="&amp;S28,'[1]2_inventory_totals'!$G$8:$G$10000,"="&amp;T28))+(SUMIFS('[1]2_inventory_totals'!$J$8:$J$10000,'[1]2_inventory_totals'!$C$8:$C$10000,I28,'[1]2_inventory_totals'!$F$8:$F$10000,"="&amp;S28,'[1]2_inventory_totals'!$G$8:$G$10000,"="&amp;T28)+SUMIFS('[1]2_inventory_totals'!$K$8:$K$10000,'[1]2_inventory_totals'!$C$8:$C$10000,I28,'[1]2_inventory_totals'!$F$8:$F$10000,"="&amp;S28,'[1]2_inventory_totals'!$G$8:$G$10000,"="&amp;T28)+SUMIFS('[1]2_inventory_totals'!$L$8:$L$10000,'[1]2_inventory_totals'!$C$8:$C$10000,I28,'[1]2_inventory_totals'!$F$8:$F$10000,"="&amp;S28,'[1]2_inventory_totals'!$G$8:$G$10000,"="&amp;T28)+SUMIFS('[1]2_inventory_totals'!$M$8:$M$10000,'[1]2_inventory_totals'!$C$8:$C$10000,I28,'[1]2_inventory_totals'!$F$8:$F$10000,"="&amp;S28,'[1]2_inventory_totals'!$G$8:$G$10000,"="&amp;T28)+SUMIFS('[1]2_inventory_totals'!$O$8:$O$10000,'[1]2_inventory_totals'!$C$8:$C$10000,I28,'[1]2_inventory_totals'!$F$8:$F$10000,"="&amp;S28,'[1]2_inventory_totals'!$G$8:$G$10000,"="&amp;T28)+SUMIFS('[1]2_inventory_totals'!$S$8:$S$10000,'[1]2_inventory_totals'!$C$8:$C$10000,I28,'[1]2_inventory_totals'!$F$8:$F$10000,"="&amp;S28,'[1]2_inventory_totals'!$G$8:$G$10000,"="&amp;T28)))</f>
        <v/>
      </c>
      <c r="AP28" s="954"/>
    </row>
    <row r="29" spans="1:42" ht="27" customHeight="1">
      <c r="A29" s="923"/>
      <c r="B29" s="1172"/>
      <c r="C29" s="950"/>
      <c r="D29" s="950"/>
      <c r="E29" s="950"/>
      <c r="F29" s="1198"/>
      <c r="I29" s="1610" t="str">
        <f t="shared" si="5"/>
        <v/>
      </c>
      <c r="J29" s="270" t="str">
        <f t="shared" si="6"/>
        <v/>
      </c>
      <c r="K29" s="813" t="str">
        <f t="shared" si="0"/>
        <v/>
      </c>
      <c r="L29" s="1184"/>
      <c r="M29" s="1185"/>
      <c r="N29" s="1186"/>
      <c r="O29" s="1534"/>
      <c r="P29" s="336" t="str">
        <f t="shared" si="7"/>
        <v/>
      </c>
      <c r="Q29" s="336" t="str">
        <f>IF(L29="","",IF(AD29=0,0,(SUMIFS('[1]1_group_total_details'!$I$8:$I$10000,'[1]1_group_total_details'!$C$8:$C$10000,I29,'[1]1_group_total_details'!$F$8:$F$10000,adj_location_group_id,'[1]1_group_total_details'!$G$8:$G$10000,MID(N29,1,3)*1,'[1]1_group_total_details'!$H$8:$H$10000,"&lt;="&amp;adj_date)+SUMIFS('[1]1_group_total_details'!$L$8:$L$10000,'[1]1_group_total_details'!$C$8:$C$10000,I29,'[1]1_group_total_details'!$F$8:$F$10000,adj_location_group_id,'[1]1_group_total_details'!$G$8:$G$10000,MID(N29,1,3)*1,'[1]1_group_total_details'!$H$8:$H$10000,"&lt;="&amp;adj_date)+SUMIFS('[1]1_group_total_details'!$N$8:$N$10000,'[1]1_group_total_details'!$C$8:$C$10000,I29,'[1]1_group_total_details'!$F$8:$F$10000,adj_location_group_id,'[1]1_group_total_details'!$G$8:$G$10000,MID(N29,1,3)*1,'[1]1_group_total_details'!$H$8:$H$10000,"&lt;="&amp;adj_date)+SUMIFS('[1]1_group_total_details'!$O$8:$O$10000,'[1]1_group_total_details'!$C$8:$C$10000,I29,'[1]1_group_total_details'!$F$8:$F$10000,adj_location_group_id,'[1]1_group_total_details'!$G$8:$G$10000,MID(N29,1,3)*1,'[1]1_group_total_details'!$H$8:$H$10000,"&lt;="&amp;adj_date))-(SUMIFS('[1]1_group_total_details'!$J$8:$J$10000,'[1]1_group_total_details'!$C$8:$C$10000,I29,'[1]1_group_total_details'!$F$8:$F$10000,adj_location_group_id,'[1]1_group_total_details'!$G$8:$G$10000,MID(N29,1,3)*1,'[1]1_group_total_details'!$H$8:$H$10000,"&lt;="&amp;adj_date)+SUMIFS('[1]1_group_total_details'!$K$8:$K$10000,'[1]1_group_total_details'!$C$8:$C$10000,I29,'[1]1_group_total_details'!$F$8:$F$10000,adj_location_group_id,'[1]1_group_total_details'!$G$8:$G$10000,MID(N29,1,3)*1,'[1]1_group_total_details'!$H$8:$H$10000,"&lt;="&amp;adj_date)+SUMIFS('[1]1_group_total_details'!$M$8:$M$10000,'[1]1_group_total_details'!$C$8:$C$10000,I29,'[1]1_group_total_details'!$F$8:$F$10000,adj_location_group_id,'[1]1_group_total_details'!$G$8:$G$10000,MID(N29,1,3)*1,'[1]1_group_total_details'!$H$8:$H$10000,"&lt;="&amp;adj_date)+SUMIFS('[1]1_group_total_details'!$P$8:$P$10000,'[1]1_group_total_details'!$C$8:$C$10000,I29,'[1]1_group_total_details'!$F$8:$F$10000,adj_location_group_id,'[1]1_group_total_details'!$G$8:$G$10000,MID(N29,1,3)*1,'[1]1_group_total_details'!$H$8:$H$10000,"&lt;="&amp;adj_date))))</f>
        <v/>
      </c>
      <c r="R29" s="1187"/>
      <c r="S29" s="1186"/>
      <c r="T29" s="1186"/>
      <c r="U29" s="1184"/>
      <c r="V29" s="270" t="str" cm="1">
        <f t="array" ref="V29">IF(L29="","",IF(M29=AE29,1,Slookup(MID(AE29,1,3)*1,UomConversion!$D$8:$J$500,5,UomConversion!$E$8:$E$500,MID(M29,1,3)*1,UomConversion!$J$8:$J$500,1)))</f>
        <v/>
      </c>
      <c r="W29" s="270" t="str">
        <f t="shared" si="8"/>
        <v/>
      </c>
      <c r="X29" s="1795" t="str">
        <f t="shared" si="9"/>
        <v/>
      </c>
      <c r="Y29" s="1795" t="str">
        <f t="shared" si="10"/>
        <v/>
      </c>
      <c r="Z29" s="270" t="str">
        <f>IF(I29="","",IF(ISNA(MATCH(I29,IF(MID(N29,1,3)*1=1,'[1]1_inventory_totals'!$C$8:$C$10000,IF(MID(N29,1,3)*1=2,'[1]2_inventory_totals'!$C$8:$C$10000,"")),0)),0,IF(AL29&gt;0,1,0)))</f>
        <v/>
      </c>
      <c r="AA29" s="270" t="str">
        <f>IF(L29="","",IF(MID(N29,1,3)*1=1,SUMIFS('[1]1_inventory_total_details'!$J$8:$J$10000,'[1]1_inventory_total_details'!$C$8:$C$10000,I29,'[1]1_inventory_total_details'!$F$8:$F$10000,MID(N29,1,3)*1,'[1]1_inventory_total_details'!$G$8:$G$10000,"="&amp;S29,'[1]1_inventory_total_details'!$H$8:$H$10000,"="&amp;T29,'[1]1_inventory_total_details'!$I$8:$I$10000,"="&amp;adj_date)+SUMIFS('[1]1_inventory_total_details'!$M$8:$M$10000,'[1]1_inventory_total_details'!$C$8:$C$10000,I29,'[1]1_inventory_total_details'!$F$8:$F$10000,MID(N29,1,3)*1,'[1]1_inventory_total_details'!$G$8:$G$10000,"="&amp;S29,'[1]1_inventory_total_details'!$H$8:$H$10000,"="&amp;T29,'[1]1_inventory_total_details'!$I$8:$I$10000,"="&amp;adj_date)+SUMIFS('[1]1_inventory_total_details'!$K$8:$K$10000,'[1]1_inventory_total_details'!$C$8:$C$10000,I29,'[1]1_inventory_total_details'!$F$8:$F$10000,MID(N29,1,3)*1,'[1]1_inventory_total_details'!$G$8:$G$10000,"="&amp;S29,'[1]1_inventory_total_details'!$H$8:$H$10000,"="&amp;T29,'[1]1_inventory_total_details'!$I$8:$I$10000,"="&amp;adj_date)+SUMIFS('[1]1_inventory_total_details'!$L$8:$L$10000,'[1]1_inventory_total_details'!$C$8:$C$10000,I29,'[1]1_inventory_total_details'!$F$8:$F$10000,MID(N29,1,3)*1,'[1]1_inventory_total_details'!$G$8:$G$10000,"="&amp;S29,'[1]1_inventory_total_details'!$H$8:$H$10000,"="&amp;T29,'[1]1_inventory_total_details'!$I$8:$I$10000,"="&amp;adj_date),SUMIFS('[1]2_inventory_total_details'!$J$8:$J$10000,'[1]2_inventory_total_details'!$C$8:$C$10000,I29,'[1]2_inventory_total_details'!$F$8:$F$10000,MID(N29,1,3)*1,'[1]2_inventory_total_details'!$G$8:$G$10000,"="&amp;S29,'[1]2_inventory_total_details'!$H$8:$H$10000,"="&amp;T29,'[1]2_inventory_total_details'!$I$8:$I$10000,"="&amp;adj_date)+SUMIFS('[1]2_inventory_total_details'!$M$8:$M$10000,'[1]1_inventory_total_details'!$C$8:$C$10000,I29,'[1]2_inventory_total_details'!$F$8:$F$10000,MID(N29,1,3)*1,'[1]2_inventory_total_details'!$G$8:$G$10000,"="&amp;S29,'[1]2_inventory_total_details'!$H$8:$H$10000,"="&amp;T29,'[1]2_inventory_total_details'!$I$8:$I$10000,"="&amp;adj_date)+SUMIFS('[1]2_inventory_total_details'!$K$8:$K$10000,'[1]2_inventory_total_details'!$C$8:$C$10000,I29,'[1]2_inventory_total_details'!$F$8:$F$10000,MID(N29,1,3)*1,'[1]2_inventory_total_details'!$G$8:$G$10000,"="&amp;S29,'[1]2_inventory_total_details'!$H$8:$H$10000,"="&amp;T29,'[1]2_inventory_total_details'!$I$8:$I$10000,"="&amp;adj_date)+SUMIFS('[1]2_inventory_total_details'!$L$8:$L$10000,'[1]2_inventory_total_details'!$C$8:$C$10000,I29,'[1]2_inventory_total_details'!$F$8:$F$10000,MID(N29,1,3)*1,'[1]2_inventory_total_details'!$G$8:$G$10000,"="&amp;S29,'[1]2_inventory_total_details'!$H$8:$H$10000,"="&amp;T29,'[1]2_inventory_total_details'!$I$8:$I$10000,"="&amp;adj_date)))</f>
        <v/>
      </c>
      <c r="AB29" s="270" t="str">
        <f>IF(L29="","",IF(MID(N29,1,3)*1=1,SUMIFS('[1]1_inventory_total_details'!$J$8:$J$10000,'[1]1_inventory_total_details'!$C$8:$C$10000,I29,'[1]1_inventory_total_details'!$F$8:$F$10000,MID(N29,1,3)*1,'[1]1_inventory_total_details'!$G$8:$G$10000,"="&amp;S29,'[1]1_inventory_total_details'!$H$8:$H$10000,"="&amp;T29,'[1]1_inventory_total_details'!$I$8:$I$10000,"="&amp;adj_date)+SUMIFS('[1]1_inventory_total_details'!$M$8:$M$10000,'[1]1_inventory_total_details'!$C$8:$C$10000,I29,'[1]1_inventory_total_details'!$F$8:$F$10000,MID(N29,1,3)*1,'[1]1_inventory_total_details'!$G$8:$G$10000,"="&amp;S29,'[1]1_inventory_total_details'!$H$8:$H$10000,"="&amp;T29,'[1]1_inventory_total_details'!$I$8:$I$10000,"="&amp;adj_date)+SUMIFS('[1]1_inventory_total_details'!$K$8:$K$10000,'[1]1_inventory_total_details'!$C$8:$C$10000,I29,'[1]1_inventory_total_details'!$F$8:$F$10000,MID(N29,1,3)*1,'[1]1_inventory_total_details'!$G$8:$G$10000,"="&amp;S29,'[1]1_inventory_total_details'!$H$8:$H$10000,"="&amp;T29,'[1]1_inventory_total_details'!$I$8:$I$10000,"="&amp;adj_date)+SUMIFS('[1]1_inventory_total_details'!$L$8:$L$10000,'[1]1_inventory_total_details'!$C$8:$C$10000,I29,'[1]1_inventory_total_details'!$F$8:$F$10000,MID(N29,1,3)*1,'[1]1_inventory_total_details'!$G$8:$G$10000,"="&amp;S29,'[1]1_inventory_total_details'!$H$8:$H$10000,"="&amp;T29,'[1]1_inventory_total_details'!$I$8:$I$10000,"="&amp;adj_date),SUMIFS('[1]2_inventory_total_details'!$J$8:$J$10000,'[1]2_inventory_total_details'!$C$8:$C$10000,I29,'[1]2_inventory_total_details'!$F$8:$F$10000,MID(N29,1,3)*1,'[1]2_inventory_total_details'!$G$8:$G$10000,"="&amp;S29,'[1]2_inventory_total_details'!$H$8:$H$10000,"="&amp;T29,'[1]2_inventory_total_details'!$I$8:$I$10000,"="&amp;adj_date)+SUMIFS('[1]2_inventory_total_details'!$M$8:$M$10000,'[1]1_inventory_total_details'!$C$8:$C$10000,I29,'[1]2_inventory_total_details'!$F$8:$F$10000,MID(N29,1,3)*1,'[1]2_inventory_total_details'!$G$8:$G$10000,"="&amp;S29,'[1]2_inventory_total_details'!$H$8:$H$10000,"="&amp;T29,'[1]2_inventory_total_details'!$I$8:$I$10000,"="&amp;adj_date)+SUMIFS('[1]2_inventory_total_details'!$K$8:$K$10000,'[1]2_inventory_total_details'!$C$8:$C$10000,I29,'[1]2_inventory_total_details'!$F$8:$F$10000,MID(N29,1,3)*1,'[1]2_inventory_total_details'!$G$8:$G$10000,"="&amp;S29,'[1]2_inventory_total_details'!$H$8:$H$10000,"="&amp;T29,'[1]2_inventory_total_details'!$I$8:$I$10000,"="&amp;adj_date)+SUMIFS('[1]2_inventory_total_details'!$L$8:$L$10000,'[1]2_inventory_total_details'!$C$8:$C$10000,I29,'[1]2_inventory_total_details'!$F$8:$F$10000,MID(N29,1,3)*1,'[1]2_inventory_total_details'!$G$8:$G$10000,"="&amp;S29,'[1]2_inventory_total_details'!$H$8:$H$10000,"="&amp;T29,'[1]2_inventory_total_details'!$I$8:$I$10000,"="&amp;adj_date)))</f>
        <v/>
      </c>
      <c r="AC29" s="270" t="str">
        <f>IF(L29="","",IF(MID(N29,1,3)*1=1,SUMIFS('[1]1_inventory_total_details'!$J$8:$J$10000,'[1]1_inventory_total_details'!$C$8:$C$10000,I29,'[1]1_inventory_total_details'!$F$8:$F$10000,MID(N29,1,3)*1,'[1]1_inventory_total_details'!$G$8:$G$10000,"="&amp;S29,'[1]1_inventory_total_details'!$H$8:$H$10000,"="&amp;T29,'[1]1_inventory_total_details'!$I$8:$I$10000,"="&amp;adj_date)+SUMIFS('[1]1_inventory_total_details'!$M$8:$M$10000,'[1]1_inventory_total_details'!$C$8:$C$10000,I29,'[1]1_inventory_total_details'!$F$8:$F$10000,MID(N29,1,3)*1,'[1]1_inventory_total_details'!$G$8:$G$10000,"="&amp;S29,'[1]1_inventory_total_details'!$H$8:$H$10000,"="&amp;T29,'[1]1_inventory_total_details'!$I$8:$I$10000,"="&amp;adj_date)+SUMIFS('[1]1_inventory_total_details'!$K$8:$K$10000,'[1]1_inventory_total_details'!$C$8:$C$10000,I29,'[1]1_inventory_total_details'!$F$8:$F$10000,MID(N29,1,3)*1,'[1]1_inventory_total_details'!$G$8:$G$10000,"="&amp;S29,'[1]1_inventory_total_details'!$H$8:$H$10000,"="&amp;T29,'[1]1_inventory_total_details'!$I$8:$I$10000,"="&amp;adj_date)+SUMIFS('[1]1_inventory_total_details'!$L$8:$L$10000,'[1]1_inventory_total_details'!$C$8:$C$10000,I29,'[1]1_inventory_total_details'!$F$8:$F$10000,MID(N29,1,3)*1,'[1]1_inventory_total_details'!$G$8:$G$10000,"="&amp;S29,'[1]1_inventory_total_details'!$H$8:$H$10000,"="&amp;T29,'[1]1_inventory_total_details'!$I$8:$I$10000,"="&amp;adj_date),SUMIFS('[1]2_inventory_total_details'!$J$8:$J$10000,'[1]2_inventory_total_details'!$C$8:$C$10000,I29,'[1]2_inventory_total_details'!$F$8:$F$10000,MID(N29,1,3)*1,'[1]2_inventory_total_details'!$G$8:$G$10000,"="&amp;S29,'[1]2_inventory_total_details'!$H$8:$H$10000,"="&amp;T29,'[1]2_inventory_total_details'!$I$8:$I$10000,"="&amp;adj_date)+SUMIFS('[1]2_inventory_total_details'!$M$8:$M$10000,'[1]1_inventory_total_details'!$C$8:$C$10000,I29,'[1]2_inventory_total_details'!$F$8:$F$10000,MID(N29,1,3)*1,'[1]2_inventory_total_details'!$G$8:$G$10000,"="&amp;S29,'[1]2_inventory_total_details'!$H$8:$H$10000,"="&amp;T29,'[1]2_inventory_total_details'!$I$8:$I$10000,"="&amp;adj_date)+SUMIFS('[1]2_inventory_total_details'!$K$8:$K$10000,'[1]2_inventory_total_details'!$C$8:$C$10000,I29,'[1]2_inventory_total_details'!$F$8:$F$10000,MID(N29,1,3)*1,'[1]2_inventory_total_details'!$G$8:$G$10000,"="&amp;S29,'[1]2_inventory_total_details'!$H$8:$H$10000,"="&amp;T29,'[1]2_inventory_total_details'!$I$8:$I$10000,"="&amp;adj_date)+SUMIFS('[1]2_inventory_total_details'!$L$8:$L$10000,'[1]2_inventory_total_details'!$C$8:$C$10000,I29,'[1]2_inventory_total_details'!$F$8:$F$10000,MID(N29,1,3)*1,'[1]2_inventory_total_details'!$G$8:$G$10000,"="&amp;S29,'[1]2_inventory_total_details'!$H$8:$H$10000,"="&amp;T29,'[1]2_inventory_total_details'!$I$8:$I$10000,"="&amp;adj_date)))</f>
        <v/>
      </c>
      <c r="AD29" s="270" t="str">
        <f>IF(L29="","",SUMIFS('[1]1_group_totals'!$J$8:$J$10000,'[1]1_group_totals'!$C$8:$C$10000,I29,'[1]1_group_totals'!$F$8:$F$10000,adj_location_group_id,'[1]1_group_totals'!$G$8:$G$10000,MID(N29,1,3)*1,'[1]1_group_totals'!$H$8:$H$10000,"="&amp;S29,'[1]1_group_totals'!$I$8:$I$10000,"="&amp;T29))</f>
        <v/>
      </c>
      <c r="AE29" s="1796" t="str">
        <f t="shared" si="11"/>
        <v/>
      </c>
      <c r="AF29" s="1797" t="str">
        <f>IF(ISNA(MATCH(MID(AE29,1,3)*1,UomConversion!$D$8:$D$500,0)),"",IF(AJ29&lt;&gt;"",AJ29,""))</f>
        <v/>
      </c>
      <c r="AG29" s="1797" t="str">
        <f>IF(AND(AH29&gt;0,COUNTIFS(UomConversion!$D$8:$D$500,MID(AE29,1,3)*1,UomConversion!$J$8:$J$500,1)&gt;1),TEXT(AH29,"000")&amp;"."&amp;VLOOKUP(AH29,uom_list,5,FALSE),"")</f>
        <v/>
      </c>
      <c r="AH29" s="270" t="str">
        <f t="shared" si="12"/>
        <v/>
      </c>
      <c r="AI29" s="270" t="str">
        <f t="shared" si="13"/>
        <v/>
      </c>
      <c r="AJ29" s="270" t="str">
        <f t="shared" si="14"/>
        <v/>
      </c>
      <c r="AK29" s="270" t="str" cm="1">
        <f t="array" ref="AK29">IF(L29="","",Slookup(MID(AE29,1,3)*1,UomConversion!$D$8:$J$500,2,UomConversion!$I$8:$I$500,1,UomConversion!$J$8:$J$500,1))</f>
        <v/>
      </c>
      <c r="AL29" s="270" t="str">
        <f t="shared" si="15"/>
        <v/>
      </c>
      <c r="AM29" s="270" t="str">
        <f>IF(L29="","",(SUMIFS('[1]1_group_totals'!$K$8:$K$10000,'[1]1_group_totals'!$C$8:$C$10000,I29,'[1]1_group_totals'!$F$8:$F$10000,adj_location_group_id,'[1]1_group_totals'!$G$8:$G$10000,MID(N29,1,3)*1,'[1]1_group_totals'!$H$8:$H$10000,"="&amp;S29,'[1]1_group_totals'!$I$8:$I$10000,"="&amp;T29)+SUMIFS('[1]1_group_totals'!$N$8:$N$10000,'[1]1_group_totals'!$C$8:$C$10000,I29,'[1]1_group_totals'!$F$8:$F$10000,adj_location_group_id,'[1]1_group_totals'!$G$8:$G$10000,MID(N29,1,3)*1,'[1]1_group_totals'!$H$8:$H$10000,"="&amp;S29,'[1]1_group_totals'!$I$8:$I$10000,"="&amp;T29)+SUMIFS('[1]1_group_totals'!$P$8:$P$10000,'[1]1_group_totals'!$C$8:$C$10000,I29,'[1]1_group_totals'!$F$8:$F$10000,adj_location_group_id,'[1]1_group_totals'!$G$8:$G$10000,MID(N29,1,3)*1,'[1]1_group_totals'!$H$8:$H$10000,"="&amp;S29,'[1]1_group_totals'!$I$8:$I$10000,"="&amp;T29)+SUMIFS('[1]1_group_totals'!$Q$8:$Q$10000,'[1]1_group_totals'!$C$8:$C$10000,I29,'[1]1_group_totals'!$F$8:$F$10000,adj_location_group_id,'[1]1_group_totals'!$G$8:$G$10000,MID(N29,1,3)*1,'[1]1_group_totals'!$H$8:$H$10000,"="&amp;S29,'[1]1_group_totals'!$I$8:$I$10000,"="&amp;T29))+(SUMIFS('[1]1_group_totals'!$L$8:$L$10000,'[1]1_group_totals'!$C$8:$C$10000,I29,'[1]1_group_totals'!$F$8:$F$10000,adj_location_group_id,'[1]1_group_totals'!$G$8:$G$10000,MID(N29,1,3)*1,'[1]1_group_totals'!$H$8:$H$10000,"="&amp;S29,'[1]1_group_totals'!$I$8:$I$10000,"="&amp;T29)+SUMIFS('[1]1_group_totals'!$M$8:$M$10000,'[1]1_group_totals'!$C$8:$C$10000,I29,'[1]1_group_totals'!$F$8:$F$10000,adj_location_group_id,'[1]1_group_totals'!$G$8:$G$10000,MID(N29,1,3)*1,'[1]1_group_totals'!$H$8:$H$10000,"="&amp;S29,'[1]1_group_totals'!$I$8:$I$10000,"="&amp;T29)+SUMIFS('[1]1_group_totals'!$O$8:$O$10000,'[1]1_group_totals'!$C$8:$C$10000,I29,'[1]1_group_totals'!$F$8:$F$10000,adj_location_group_id,'[1]1_group_totals'!$G$8:$G$10000,MID(N29,1,3)*1,'[1]1_group_totals'!$H$8:$H$10000,"="&amp;S29,'[1]1_group_totals'!$I$8:$I$10000,"="&amp;T29)+SUMIFS('[1]1_group_totals'!$R$8:$R$10000,'[1]1_group_totals'!$C$8:$C$10000,I29,'[1]1_group_totals'!$F$8:$F$10000,adj_location_group_id,'[1]1_group_totals'!$G$8:$G$10000,MID(N29,1,3)*1,'[1]1_group_totals'!$H$8:$H$10000,"="&amp;S29,'[1]1_group_totals'!$I$8:$I$10000,"="&amp;T29)))</f>
        <v/>
      </c>
      <c r="AN29" s="270" t="str">
        <f>IF(L29="","",(SUMIFS('[1]1_inventory_totals'!$I$8:$I$10000,'[1]1_inventory_totals'!$C$8:$C$10000,I29,'[1]1_inventory_totals'!$F$8:$F$10000,"="&amp;S29,'[1]1_inventory_totals'!$G$8:$G$10000,"="&amp;T29)+SUMIFS('[1]1_inventory_totals'!$N$8:$N$10000,'[1]1_inventory_totals'!$C$8:$C$10000,I29,'[1]1_inventory_totals'!$F$8:$F$10000,"="&amp;S29,'[1]1_inventory_totals'!$G$8:$G$10000,"="&amp;T29)+SUMIFS('[1]1_inventory_totals'!$P$8:$P$10000,'[1]1_inventory_totals'!$C$8:$C$10000,I29,'[1]1_inventory_totals'!$F$8:$F$10000,"="&amp;S29,'[1]1_inventory_totals'!$G$8:$G$10000,"="&amp;T29)+SUMIFS('[1]1_inventory_totals'!$Q$8:$Q$10000,'[1]1_inventory_totals'!$C$8:$C$10000,I29,'[1]1_inventory_totals'!$F$8:$F$10000,"="&amp;S29,'[1]1_inventory_totals'!$G$8:$G$10000,"="&amp;T29)+SUMIFS('[1]1_inventory_totals'!$R$8:$R$10000,'[1]1_inventory_totals'!$C$8:$C$10000,I29,'[1]1_inventory_totals'!$F$8:$F$10000,"="&amp;S29,'[1]1_inventory_totals'!$G$8:$G$10000,"="&amp;T29))+(SUMIFS('[1]1_inventory_totals'!$J$8:$J$10000,'[1]1_inventory_totals'!$C$8:$C$10000,I29,'[1]1_inventory_totals'!$F$8:$F$10000,"="&amp;S29,'[1]1_inventory_totals'!$G$8:$G$10000,"="&amp;T29)+SUMIFS('[1]1_inventory_totals'!$K$8:$K$10000,'[1]1_inventory_totals'!$C$8:$C$10000,I29,'[1]1_inventory_totals'!$F$8:$F$10000,"="&amp;S29,'[1]1_inventory_totals'!$G$8:$G$10000,"="&amp;T29)+SUMIFS('[1]1_inventory_totals'!$L$8:$L$10000,'[1]1_inventory_totals'!$C$8:$C$10000,I29,'[1]1_inventory_totals'!$F$8:$F$10000,"="&amp;S29,'[1]1_inventory_totals'!$G$8:$G$10000,"="&amp;T29)+SUMIFS('[1]1_inventory_totals'!$M$8:$M$10000,'[1]1_inventory_totals'!$C$8:$C$10000,I29,'[1]1_inventory_totals'!$F$8:$F$10000,"="&amp;S29,'[1]1_inventory_totals'!$G$8:$G$10000,"="&amp;T29)+SUMIFS('[1]1_inventory_totals'!$O$8:$O$10000,'[1]1_inventory_totals'!$C$8:$C$10000,I29,'[1]1_inventory_totals'!$F$8:$F$10000,"="&amp;S29,'[1]1_inventory_totals'!$G$8:$G$10000,"="&amp;T29)+SUMIFS('[1]1_inventory_totals'!$S$8:$S$10000,'[1]1_inventory_totals'!$C$8:$C$10000,I29,'[1]1_inventory_totals'!$F$8:$F$10000,"="&amp;S29,'[1]1_inventory_totals'!$G$8:$G$10000,"="&amp;T29)))</f>
        <v/>
      </c>
      <c r="AO29" s="270" t="str">
        <f>IF(L29="","",(SUMIFS('[1]2_inventory_totals'!$I$8:$I$10000,'[1]2_inventory_totals'!$C$8:$C$10000,I29,'[1]2_inventory_totals'!$F$8:$F$10000,"="&amp;S29,'[1]2_inventory_totals'!$G$8:$G$10000,"="&amp;T29)+SUMIFS('[1]2_inventory_totals'!$N$8:$N$10000,'[1]2_inventory_totals'!$C$8:$C$10000,I29,'[1]2_inventory_totals'!$F$8:$F$10000,"="&amp;S29,'[1]2_inventory_totals'!$G$8:$G$10000,"="&amp;T29)+SUMIFS('[1]2_inventory_totals'!$P$8:$P$10000,'[1]2_inventory_totals'!$C$8:$C$10000,I29,'[1]2_inventory_totals'!$F$8:$F$10000,"="&amp;S29,'[1]2_inventory_totals'!$G$8:$G$10000,"="&amp;T29)+SUMIFS('[1]2_inventory_totals'!$Q$8:$Q$10000,'[1]2_inventory_totals'!$C$8:$C$10000,I29,'[1]2_inventory_totals'!$F$8:$F$10000,"="&amp;S29,'[1]2_inventory_totals'!$G$8:$G$10000,"="&amp;T29)+SUMIFS('[1]2_inventory_totals'!$R$8:$R$10000,'[1]2_inventory_totals'!$C$8:$C$10000,I29,'[1]2_inventory_totals'!$F$8:$F$10000,"="&amp;S29,'[1]2_inventory_totals'!$G$8:$G$10000,"="&amp;T29))+(SUMIFS('[1]2_inventory_totals'!$J$8:$J$10000,'[1]2_inventory_totals'!$C$8:$C$10000,I29,'[1]2_inventory_totals'!$F$8:$F$10000,"="&amp;S29,'[1]2_inventory_totals'!$G$8:$G$10000,"="&amp;T29)+SUMIFS('[1]2_inventory_totals'!$K$8:$K$10000,'[1]2_inventory_totals'!$C$8:$C$10000,I29,'[1]2_inventory_totals'!$F$8:$F$10000,"="&amp;S29,'[1]2_inventory_totals'!$G$8:$G$10000,"="&amp;T29)+SUMIFS('[1]2_inventory_totals'!$L$8:$L$10000,'[1]2_inventory_totals'!$C$8:$C$10000,I29,'[1]2_inventory_totals'!$F$8:$F$10000,"="&amp;S29,'[1]2_inventory_totals'!$G$8:$G$10000,"="&amp;T29)+SUMIFS('[1]2_inventory_totals'!$M$8:$M$10000,'[1]2_inventory_totals'!$C$8:$C$10000,I29,'[1]2_inventory_totals'!$F$8:$F$10000,"="&amp;S29,'[1]2_inventory_totals'!$G$8:$G$10000,"="&amp;T29)+SUMIFS('[1]2_inventory_totals'!$O$8:$O$10000,'[1]2_inventory_totals'!$C$8:$C$10000,I29,'[1]2_inventory_totals'!$F$8:$F$10000,"="&amp;S29,'[1]2_inventory_totals'!$G$8:$G$10000,"="&amp;T29)+SUMIFS('[1]2_inventory_totals'!$S$8:$S$10000,'[1]2_inventory_totals'!$C$8:$C$10000,I29,'[1]2_inventory_totals'!$F$8:$F$10000,"="&amp;S29,'[1]2_inventory_totals'!$G$8:$G$10000,"="&amp;T29)))</f>
        <v/>
      </c>
      <c r="AP29" s="954"/>
    </row>
    <row r="30" spans="1:42" ht="27" customHeight="1">
      <c r="A30" s="923"/>
      <c r="B30" s="1172"/>
      <c r="C30" s="950"/>
      <c r="D30" s="950"/>
      <c r="E30" s="950"/>
      <c r="F30" s="1198"/>
      <c r="I30" s="1610" t="str">
        <f t="shared" si="5"/>
        <v/>
      </c>
      <c r="J30" s="270" t="str">
        <f t="shared" si="6"/>
        <v/>
      </c>
      <c r="K30" s="813" t="str">
        <f t="shared" si="0"/>
        <v/>
      </c>
      <c r="L30" s="1184"/>
      <c r="M30" s="1185"/>
      <c r="N30" s="1186"/>
      <c r="O30" s="1534"/>
      <c r="P30" s="336" t="str">
        <f t="shared" si="7"/>
        <v/>
      </c>
      <c r="Q30" s="336" t="str">
        <f>IF(L30="","",IF(AD30=0,0,(SUMIFS('[1]1_group_total_details'!$I$8:$I$10000,'[1]1_group_total_details'!$C$8:$C$10000,I30,'[1]1_group_total_details'!$F$8:$F$10000,adj_location_group_id,'[1]1_group_total_details'!$G$8:$G$10000,MID(N30,1,3)*1,'[1]1_group_total_details'!$H$8:$H$10000,"&lt;="&amp;adj_date)+SUMIFS('[1]1_group_total_details'!$L$8:$L$10000,'[1]1_group_total_details'!$C$8:$C$10000,I30,'[1]1_group_total_details'!$F$8:$F$10000,adj_location_group_id,'[1]1_group_total_details'!$G$8:$G$10000,MID(N30,1,3)*1,'[1]1_group_total_details'!$H$8:$H$10000,"&lt;="&amp;adj_date)+SUMIFS('[1]1_group_total_details'!$N$8:$N$10000,'[1]1_group_total_details'!$C$8:$C$10000,I30,'[1]1_group_total_details'!$F$8:$F$10000,adj_location_group_id,'[1]1_group_total_details'!$G$8:$G$10000,MID(N30,1,3)*1,'[1]1_group_total_details'!$H$8:$H$10000,"&lt;="&amp;adj_date)+SUMIFS('[1]1_group_total_details'!$O$8:$O$10000,'[1]1_group_total_details'!$C$8:$C$10000,I30,'[1]1_group_total_details'!$F$8:$F$10000,adj_location_group_id,'[1]1_group_total_details'!$G$8:$G$10000,MID(N30,1,3)*1,'[1]1_group_total_details'!$H$8:$H$10000,"&lt;="&amp;adj_date))-(SUMIFS('[1]1_group_total_details'!$J$8:$J$10000,'[1]1_group_total_details'!$C$8:$C$10000,I30,'[1]1_group_total_details'!$F$8:$F$10000,adj_location_group_id,'[1]1_group_total_details'!$G$8:$G$10000,MID(N30,1,3)*1,'[1]1_group_total_details'!$H$8:$H$10000,"&lt;="&amp;adj_date)+SUMIFS('[1]1_group_total_details'!$K$8:$K$10000,'[1]1_group_total_details'!$C$8:$C$10000,I30,'[1]1_group_total_details'!$F$8:$F$10000,adj_location_group_id,'[1]1_group_total_details'!$G$8:$G$10000,MID(N30,1,3)*1,'[1]1_group_total_details'!$H$8:$H$10000,"&lt;="&amp;adj_date)+SUMIFS('[1]1_group_total_details'!$M$8:$M$10000,'[1]1_group_total_details'!$C$8:$C$10000,I30,'[1]1_group_total_details'!$F$8:$F$10000,adj_location_group_id,'[1]1_group_total_details'!$G$8:$G$10000,MID(N30,1,3)*1,'[1]1_group_total_details'!$H$8:$H$10000,"&lt;="&amp;adj_date)+SUMIFS('[1]1_group_total_details'!$P$8:$P$10000,'[1]1_group_total_details'!$C$8:$C$10000,I30,'[1]1_group_total_details'!$F$8:$F$10000,adj_location_group_id,'[1]1_group_total_details'!$G$8:$G$10000,MID(N30,1,3)*1,'[1]1_group_total_details'!$H$8:$H$10000,"&lt;="&amp;adj_date))))</f>
        <v/>
      </c>
      <c r="R30" s="1187"/>
      <c r="S30" s="1186"/>
      <c r="T30" s="1186"/>
      <c r="U30" s="1184"/>
      <c r="V30" s="270" t="str" cm="1">
        <f t="array" ref="V30">IF(L30="","",IF(M30=AE30,1,Slookup(MID(AE30,1,3)*1,UomConversion!$D$8:$J$500,5,UomConversion!$E$8:$E$500,MID(M30,1,3)*1,UomConversion!$J$8:$J$500,1)))</f>
        <v/>
      </c>
      <c r="W30" s="270" t="str">
        <f t="shared" si="8"/>
        <v/>
      </c>
      <c r="X30" s="1795" t="str">
        <f t="shared" si="9"/>
        <v/>
      </c>
      <c r="Y30" s="1795" t="str">
        <f t="shared" si="10"/>
        <v/>
      </c>
      <c r="Z30" s="270" t="str">
        <f>IF(I30="","",IF(ISNA(MATCH(I30,IF(MID(N30,1,3)*1=1,'[1]1_inventory_totals'!$C$8:$C$10000,IF(MID(N30,1,3)*1=2,'[1]2_inventory_totals'!$C$8:$C$10000,"")),0)),0,IF(AL30&gt;0,1,0)))</f>
        <v/>
      </c>
      <c r="AA30" s="270" t="str">
        <f>IF(L30="","",IF(MID(N30,1,3)*1=1,SUMIFS('[1]1_inventory_total_details'!$J$8:$J$10000,'[1]1_inventory_total_details'!$C$8:$C$10000,I30,'[1]1_inventory_total_details'!$F$8:$F$10000,MID(N30,1,3)*1,'[1]1_inventory_total_details'!$G$8:$G$10000,"="&amp;S30,'[1]1_inventory_total_details'!$H$8:$H$10000,"="&amp;T30,'[1]1_inventory_total_details'!$I$8:$I$10000,"="&amp;adj_date)+SUMIFS('[1]1_inventory_total_details'!$M$8:$M$10000,'[1]1_inventory_total_details'!$C$8:$C$10000,I30,'[1]1_inventory_total_details'!$F$8:$F$10000,MID(N30,1,3)*1,'[1]1_inventory_total_details'!$G$8:$G$10000,"="&amp;S30,'[1]1_inventory_total_details'!$H$8:$H$10000,"="&amp;T30,'[1]1_inventory_total_details'!$I$8:$I$10000,"="&amp;adj_date)+SUMIFS('[1]1_inventory_total_details'!$K$8:$K$10000,'[1]1_inventory_total_details'!$C$8:$C$10000,I30,'[1]1_inventory_total_details'!$F$8:$F$10000,MID(N30,1,3)*1,'[1]1_inventory_total_details'!$G$8:$G$10000,"="&amp;S30,'[1]1_inventory_total_details'!$H$8:$H$10000,"="&amp;T30,'[1]1_inventory_total_details'!$I$8:$I$10000,"="&amp;adj_date)+SUMIFS('[1]1_inventory_total_details'!$L$8:$L$10000,'[1]1_inventory_total_details'!$C$8:$C$10000,I30,'[1]1_inventory_total_details'!$F$8:$F$10000,MID(N30,1,3)*1,'[1]1_inventory_total_details'!$G$8:$G$10000,"="&amp;S30,'[1]1_inventory_total_details'!$H$8:$H$10000,"="&amp;T30,'[1]1_inventory_total_details'!$I$8:$I$10000,"="&amp;adj_date),SUMIFS('[1]2_inventory_total_details'!$J$8:$J$10000,'[1]2_inventory_total_details'!$C$8:$C$10000,I30,'[1]2_inventory_total_details'!$F$8:$F$10000,MID(N30,1,3)*1,'[1]2_inventory_total_details'!$G$8:$G$10000,"="&amp;S30,'[1]2_inventory_total_details'!$H$8:$H$10000,"="&amp;T30,'[1]2_inventory_total_details'!$I$8:$I$10000,"="&amp;adj_date)+SUMIFS('[1]2_inventory_total_details'!$M$8:$M$10000,'[1]1_inventory_total_details'!$C$8:$C$10000,I30,'[1]2_inventory_total_details'!$F$8:$F$10000,MID(N30,1,3)*1,'[1]2_inventory_total_details'!$G$8:$G$10000,"="&amp;S30,'[1]2_inventory_total_details'!$H$8:$H$10000,"="&amp;T30,'[1]2_inventory_total_details'!$I$8:$I$10000,"="&amp;adj_date)+SUMIFS('[1]2_inventory_total_details'!$K$8:$K$10000,'[1]2_inventory_total_details'!$C$8:$C$10000,I30,'[1]2_inventory_total_details'!$F$8:$F$10000,MID(N30,1,3)*1,'[1]2_inventory_total_details'!$G$8:$G$10000,"="&amp;S30,'[1]2_inventory_total_details'!$H$8:$H$10000,"="&amp;T30,'[1]2_inventory_total_details'!$I$8:$I$10000,"="&amp;adj_date)+SUMIFS('[1]2_inventory_total_details'!$L$8:$L$10000,'[1]2_inventory_total_details'!$C$8:$C$10000,I30,'[1]2_inventory_total_details'!$F$8:$F$10000,MID(N30,1,3)*1,'[1]2_inventory_total_details'!$G$8:$G$10000,"="&amp;S30,'[1]2_inventory_total_details'!$H$8:$H$10000,"="&amp;T30,'[1]2_inventory_total_details'!$I$8:$I$10000,"="&amp;adj_date)))</f>
        <v/>
      </c>
      <c r="AB30" s="270" t="str">
        <f>IF(L30="","",IF(MID(N30,1,3)*1=1,SUMIFS('[1]1_inventory_total_details'!$J$8:$J$10000,'[1]1_inventory_total_details'!$C$8:$C$10000,I30,'[1]1_inventory_total_details'!$F$8:$F$10000,MID(N30,1,3)*1,'[1]1_inventory_total_details'!$G$8:$G$10000,"="&amp;S30,'[1]1_inventory_total_details'!$H$8:$H$10000,"="&amp;T30,'[1]1_inventory_total_details'!$I$8:$I$10000,"="&amp;adj_date)+SUMIFS('[1]1_inventory_total_details'!$M$8:$M$10000,'[1]1_inventory_total_details'!$C$8:$C$10000,I30,'[1]1_inventory_total_details'!$F$8:$F$10000,MID(N30,1,3)*1,'[1]1_inventory_total_details'!$G$8:$G$10000,"="&amp;S30,'[1]1_inventory_total_details'!$H$8:$H$10000,"="&amp;T30,'[1]1_inventory_total_details'!$I$8:$I$10000,"="&amp;adj_date)+SUMIFS('[1]1_inventory_total_details'!$K$8:$K$10000,'[1]1_inventory_total_details'!$C$8:$C$10000,I30,'[1]1_inventory_total_details'!$F$8:$F$10000,MID(N30,1,3)*1,'[1]1_inventory_total_details'!$G$8:$G$10000,"="&amp;S30,'[1]1_inventory_total_details'!$H$8:$H$10000,"="&amp;T30,'[1]1_inventory_total_details'!$I$8:$I$10000,"="&amp;adj_date)+SUMIFS('[1]1_inventory_total_details'!$L$8:$L$10000,'[1]1_inventory_total_details'!$C$8:$C$10000,I30,'[1]1_inventory_total_details'!$F$8:$F$10000,MID(N30,1,3)*1,'[1]1_inventory_total_details'!$G$8:$G$10000,"="&amp;S30,'[1]1_inventory_total_details'!$H$8:$H$10000,"="&amp;T30,'[1]1_inventory_total_details'!$I$8:$I$10000,"="&amp;adj_date),SUMIFS('[1]2_inventory_total_details'!$J$8:$J$10000,'[1]2_inventory_total_details'!$C$8:$C$10000,I30,'[1]2_inventory_total_details'!$F$8:$F$10000,MID(N30,1,3)*1,'[1]2_inventory_total_details'!$G$8:$G$10000,"="&amp;S30,'[1]2_inventory_total_details'!$H$8:$H$10000,"="&amp;T30,'[1]2_inventory_total_details'!$I$8:$I$10000,"="&amp;adj_date)+SUMIFS('[1]2_inventory_total_details'!$M$8:$M$10000,'[1]1_inventory_total_details'!$C$8:$C$10000,I30,'[1]2_inventory_total_details'!$F$8:$F$10000,MID(N30,1,3)*1,'[1]2_inventory_total_details'!$G$8:$G$10000,"="&amp;S30,'[1]2_inventory_total_details'!$H$8:$H$10000,"="&amp;T30,'[1]2_inventory_total_details'!$I$8:$I$10000,"="&amp;adj_date)+SUMIFS('[1]2_inventory_total_details'!$K$8:$K$10000,'[1]2_inventory_total_details'!$C$8:$C$10000,I30,'[1]2_inventory_total_details'!$F$8:$F$10000,MID(N30,1,3)*1,'[1]2_inventory_total_details'!$G$8:$G$10000,"="&amp;S30,'[1]2_inventory_total_details'!$H$8:$H$10000,"="&amp;T30,'[1]2_inventory_total_details'!$I$8:$I$10000,"="&amp;adj_date)+SUMIFS('[1]2_inventory_total_details'!$L$8:$L$10000,'[1]2_inventory_total_details'!$C$8:$C$10000,I30,'[1]2_inventory_total_details'!$F$8:$F$10000,MID(N30,1,3)*1,'[1]2_inventory_total_details'!$G$8:$G$10000,"="&amp;S30,'[1]2_inventory_total_details'!$H$8:$H$10000,"="&amp;T30,'[1]2_inventory_total_details'!$I$8:$I$10000,"="&amp;adj_date)))</f>
        <v/>
      </c>
      <c r="AC30" s="270" t="str">
        <f>IF(L30="","",IF(MID(N30,1,3)*1=1,SUMIFS('[1]1_inventory_total_details'!$J$8:$J$10000,'[1]1_inventory_total_details'!$C$8:$C$10000,I30,'[1]1_inventory_total_details'!$F$8:$F$10000,MID(N30,1,3)*1,'[1]1_inventory_total_details'!$G$8:$G$10000,"="&amp;S30,'[1]1_inventory_total_details'!$H$8:$H$10000,"="&amp;T30,'[1]1_inventory_total_details'!$I$8:$I$10000,"="&amp;adj_date)+SUMIFS('[1]1_inventory_total_details'!$M$8:$M$10000,'[1]1_inventory_total_details'!$C$8:$C$10000,I30,'[1]1_inventory_total_details'!$F$8:$F$10000,MID(N30,1,3)*1,'[1]1_inventory_total_details'!$G$8:$G$10000,"="&amp;S30,'[1]1_inventory_total_details'!$H$8:$H$10000,"="&amp;T30,'[1]1_inventory_total_details'!$I$8:$I$10000,"="&amp;adj_date)+SUMIFS('[1]1_inventory_total_details'!$K$8:$K$10000,'[1]1_inventory_total_details'!$C$8:$C$10000,I30,'[1]1_inventory_total_details'!$F$8:$F$10000,MID(N30,1,3)*1,'[1]1_inventory_total_details'!$G$8:$G$10000,"="&amp;S30,'[1]1_inventory_total_details'!$H$8:$H$10000,"="&amp;T30,'[1]1_inventory_total_details'!$I$8:$I$10000,"="&amp;adj_date)+SUMIFS('[1]1_inventory_total_details'!$L$8:$L$10000,'[1]1_inventory_total_details'!$C$8:$C$10000,I30,'[1]1_inventory_total_details'!$F$8:$F$10000,MID(N30,1,3)*1,'[1]1_inventory_total_details'!$G$8:$G$10000,"="&amp;S30,'[1]1_inventory_total_details'!$H$8:$H$10000,"="&amp;T30,'[1]1_inventory_total_details'!$I$8:$I$10000,"="&amp;adj_date),SUMIFS('[1]2_inventory_total_details'!$J$8:$J$10000,'[1]2_inventory_total_details'!$C$8:$C$10000,I30,'[1]2_inventory_total_details'!$F$8:$F$10000,MID(N30,1,3)*1,'[1]2_inventory_total_details'!$G$8:$G$10000,"="&amp;S30,'[1]2_inventory_total_details'!$H$8:$H$10000,"="&amp;T30,'[1]2_inventory_total_details'!$I$8:$I$10000,"="&amp;adj_date)+SUMIFS('[1]2_inventory_total_details'!$M$8:$M$10000,'[1]1_inventory_total_details'!$C$8:$C$10000,I30,'[1]2_inventory_total_details'!$F$8:$F$10000,MID(N30,1,3)*1,'[1]2_inventory_total_details'!$G$8:$G$10000,"="&amp;S30,'[1]2_inventory_total_details'!$H$8:$H$10000,"="&amp;T30,'[1]2_inventory_total_details'!$I$8:$I$10000,"="&amp;adj_date)+SUMIFS('[1]2_inventory_total_details'!$K$8:$K$10000,'[1]2_inventory_total_details'!$C$8:$C$10000,I30,'[1]2_inventory_total_details'!$F$8:$F$10000,MID(N30,1,3)*1,'[1]2_inventory_total_details'!$G$8:$G$10000,"="&amp;S30,'[1]2_inventory_total_details'!$H$8:$H$10000,"="&amp;T30,'[1]2_inventory_total_details'!$I$8:$I$10000,"="&amp;adj_date)+SUMIFS('[1]2_inventory_total_details'!$L$8:$L$10000,'[1]2_inventory_total_details'!$C$8:$C$10000,I30,'[1]2_inventory_total_details'!$F$8:$F$10000,MID(N30,1,3)*1,'[1]2_inventory_total_details'!$G$8:$G$10000,"="&amp;S30,'[1]2_inventory_total_details'!$H$8:$H$10000,"="&amp;T30,'[1]2_inventory_total_details'!$I$8:$I$10000,"="&amp;adj_date)))</f>
        <v/>
      </c>
      <c r="AD30" s="270" t="str">
        <f>IF(L30="","",SUMIFS('[1]1_group_totals'!$J$8:$J$10000,'[1]1_group_totals'!$C$8:$C$10000,I30,'[1]1_group_totals'!$F$8:$F$10000,adj_location_group_id,'[1]1_group_totals'!$G$8:$G$10000,MID(N30,1,3)*1,'[1]1_group_totals'!$H$8:$H$10000,"="&amp;S30,'[1]1_group_totals'!$I$8:$I$10000,"="&amp;T30))</f>
        <v/>
      </c>
      <c r="AE30" s="1796" t="str">
        <f t="shared" si="11"/>
        <v/>
      </c>
      <c r="AF30" s="1797" t="str">
        <f>IF(ISNA(MATCH(MID(AE30,1,3)*1,UomConversion!$D$8:$D$500,0)),"",IF(AJ30&lt;&gt;"",AJ30,""))</f>
        <v/>
      </c>
      <c r="AG30" s="1797" t="str">
        <f>IF(AND(AH30&gt;0,COUNTIFS(UomConversion!$D$8:$D$500,MID(AE30,1,3)*1,UomConversion!$J$8:$J$500,1)&gt;1),TEXT(AH30,"000")&amp;"."&amp;VLOOKUP(AH30,uom_list,5,FALSE),"")</f>
        <v/>
      </c>
      <c r="AH30" s="270" t="str">
        <f t="shared" si="12"/>
        <v/>
      </c>
      <c r="AI30" s="270" t="str">
        <f t="shared" si="13"/>
        <v/>
      </c>
      <c r="AJ30" s="270" t="str">
        <f t="shared" si="14"/>
        <v/>
      </c>
      <c r="AK30" s="270" t="str" cm="1">
        <f t="array" ref="AK30">IF(L30="","",Slookup(MID(AE30,1,3)*1,UomConversion!$D$8:$J$500,2,UomConversion!$I$8:$I$500,1,UomConversion!$J$8:$J$500,1))</f>
        <v/>
      </c>
      <c r="AL30" s="270" t="str">
        <f t="shared" si="15"/>
        <v/>
      </c>
      <c r="AM30" s="270" t="str">
        <f>IF(L30="","",(SUMIFS('[1]1_group_totals'!$K$8:$K$10000,'[1]1_group_totals'!$C$8:$C$10000,I30,'[1]1_group_totals'!$F$8:$F$10000,adj_location_group_id,'[1]1_group_totals'!$G$8:$G$10000,MID(N30,1,3)*1,'[1]1_group_totals'!$H$8:$H$10000,"="&amp;S30,'[1]1_group_totals'!$I$8:$I$10000,"="&amp;T30)+SUMIFS('[1]1_group_totals'!$N$8:$N$10000,'[1]1_group_totals'!$C$8:$C$10000,I30,'[1]1_group_totals'!$F$8:$F$10000,adj_location_group_id,'[1]1_group_totals'!$G$8:$G$10000,MID(N30,1,3)*1,'[1]1_group_totals'!$H$8:$H$10000,"="&amp;S30,'[1]1_group_totals'!$I$8:$I$10000,"="&amp;T30)+SUMIFS('[1]1_group_totals'!$P$8:$P$10000,'[1]1_group_totals'!$C$8:$C$10000,I30,'[1]1_group_totals'!$F$8:$F$10000,adj_location_group_id,'[1]1_group_totals'!$G$8:$G$10000,MID(N30,1,3)*1,'[1]1_group_totals'!$H$8:$H$10000,"="&amp;S30,'[1]1_group_totals'!$I$8:$I$10000,"="&amp;T30)+SUMIFS('[1]1_group_totals'!$Q$8:$Q$10000,'[1]1_group_totals'!$C$8:$C$10000,I30,'[1]1_group_totals'!$F$8:$F$10000,adj_location_group_id,'[1]1_group_totals'!$G$8:$G$10000,MID(N30,1,3)*1,'[1]1_group_totals'!$H$8:$H$10000,"="&amp;S30,'[1]1_group_totals'!$I$8:$I$10000,"="&amp;T30))+(SUMIFS('[1]1_group_totals'!$L$8:$L$10000,'[1]1_group_totals'!$C$8:$C$10000,I30,'[1]1_group_totals'!$F$8:$F$10000,adj_location_group_id,'[1]1_group_totals'!$G$8:$G$10000,MID(N30,1,3)*1,'[1]1_group_totals'!$H$8:$H$10000,"="&amp;S30,'[1]1_group_totals'!$I$8:$I$10000,"="&amp;T30)+SUMIFS('[1]1_group_totals'!$M$8:$M$10000,'[1]1_group_totals'!$C$8:$C$10000,I30,'[1]1_group_totals'!$F$8:$F$10000,adj_location_group_id,'[1]1_group_totals'!$G$8:$G$10000,MID(N30,1,3)*1,'[1]1_group_totals'!$H$8:$H$10000,"="&amp;S30,'[1]1_group_totals'!$I$8:$I$10000,"="&amp;T30)+SUMIFS('[1]1_group_totals'!$O$8:$O$10000,'[1]1_group_totals'!$C$8:$C$10000,I30,'[1]1_group_totals'!$F$8:$F$10000,adj_location_group_id,'[1]1_group_totals'!$G$8:$G$10000,MID(N30,1,3)*1,'[1]1_group_totals'!$H$8:$H$10000,"="&amp;S30,'[1]1_group_totals'!$I$8:$I$10000,"="&amp;T30)+SUMIFS('[1]1_group_totals'!$R$8:$R$10000,'[1]1_group_totals'!$C$8:$C$10000,I30,'[1]1_group_totals'!$F$8:$F$10000,adj_location_group_id,'[1]1_group_totals'!$G$8:$G$10000,MID(N30,1,3)*1,'[1]1_group_totals'!$H$8:$H$10000,"="&amp;S30,'[1]1_group_totals'!$I$8:$I$10000,"="&amp;T30)))</f>
        <v/>
      </c>
      <c r="AN30" s="270" t="str">
        <f>IF(L30="","",(SUMIFS('[1]1_inventory_totals'!$I$8:$I$10000,'[1]1_inventory_totals'!$C$8:$C$10000,I30,'[1]1_inventory_totals'!$F$8:$F$10000,"="&amp;S30,'[1]1_inventory_totals'!$G$8:$G$10000,"="&amp;T30)+SUMIFS('[1]1_inventory_totals'!$N$8:$N$10000,'[1]1_inventory_totals'!$C$8:$C$10000,I30,'[1]1_inventory_totals'!$F$8:$F$10000,"="&amp;S30,'[1]1_inventory_totals'!$G$8:$G$10000,"="&amp;T30)+SUMIFS('[1]1_inventory_totals'!$P$8:$P$10000,'[1]1_inventory_totals'!$C$8:$C$10000,I30,'[1]1_inventory_totals'!$F$8:$F$10000,"="&amp;S30,'[1]1_inventory_totals'!$G$8:$G$10000,"="&amp;T30)+SUMIFS('[1]1_inventory_totals'!$Q$8:$Q$10000,'[1]1_inventory_totals'!$C$8:$C$10000,I30,'[1]1_inventory_totals'!$F$8:$F$10000,"="&amp;S30,'[1]1_inventory_totals'!$G$8:$G$10000,"="&amp;T30)+SUMIFS('[1]1_inventory_totals'!$R$8:$R$10000,'[1]1_inventory_totals'!$C$8:$C$10000,I30,'[1]1_inventory_totals'!$F$8:$F$10000,"="&amp;S30,'[1]1_inventory_totals'!$G$8:$G$10000,"="&amp;T30))+(SUMIFS('[1]1_inventory_totals'!$J$8:$J$10000,'[1]1_inventory_totals'!$C$8:$C$10000,I30,'[1]1_inventory_totals'!$F$8:$F$10000,"="&amp;S30,'[1]1_inventory_totals'!$G$8:$G$10000,"="&amp;T30)+SUMIFS('[1]1_inventory_totals'!$K$8:$K$10000,'[1]1_inventory_totals'!$C$8:$C$10000,I30,'[1]1_inventory_totals'!$F$8:$F$10000,"="&amp;S30,'[1]1_inventory_totals'!$G$8:$G$10000,"="&amp;T30)+SUMIFS('[1]1_inventory_totals'!$L$8:$L$10000,'[1]1_inventory_totals'!$C$8:$C$10000,I30,'[1]1_inventory_totals'!$F$8:$F$10000,"="&amp;S30,'[1]1_inventory_totals'!$G$8:$G$10000,"="&amp;T30)+SUMIFS('[1]1_inventory_totals'!$M$8:$M$10000,'[1]1_inventory_totals'!$C$8:$C$10000,I30,'[1]1_inventory_totals'!$F$8:$F$10000,"="&amp;S30,'[1]1_inventory_totals'!$G$8:$G$10000,"="&amp;T30)+SUMIFS('[1]1_inventory_totals'!$O$8:$O$10000,'[1]1_inventory_totals'!$C$8:$C$10000,I30,'[1]1_inventory_totals'!$F$8:$F$10000,"="&amp;S30,'[1]1_inventory_totals'!$G$8:$G$10000,"="&amp;T30)+SUMIFS('[1]1_inventory_totals'!$S$8:$S$10000,'[1]1_inventory_totals'!$C$8:$C$10000,I30,'[1]1_inventory_totals'!$F$8:$F$10000,"="&amp;S30,'[1]1_inventory_totals'!$G$8:$G$10000,"="&amp;T30)))</f>
        <v/>
      </c>
      <c r="AO30" s="270" t="str">
        <f>IF(L30="","",(SUMIFS('[1]2_inventory_totals'!$I$8:$I$10000,'[1]2_inventory_totals'!$C$8:$C$10000,I30,'[1]2_inventory_totals'!$F$8:$F$10000,"="&amp;S30,'[1]2_inventory_totals'!$G$8:$G$10000,"="&amp;T30)+SUMIFS('[1]2_inventory_totals'!$N$8:$N$10000,'[1]2_inventory_totals'!$C$8:$C$10000,I30,'[1]2_inventory_totals'!$F$8:$F$10000,"="&amp;S30,'[1]2_inventory_totals'!$G$8:$G$10000,"="&amp;T30)+SUMIFS('[1]2_inventory_totals'!$P$8:$P$10000,'[1]2_inventory_totals'!$C$8:$C$10000,I30,'[1]2_inventory_totals'!$F$8:$F$10000,"="&amp;S30,'[1]2_inventory_totals'!$G$8:$G$10000,"="&amp;T30)+SUMIFS('[1]2_inventory_totals'!$Q$8:$Q$10000,'[1]2_inventory_totals'!$C$8:$C$10000,I30,'[1]2_inventory_totals'!$F$8:$F$10000,"="&amp;S30,'[1]2_inventory_totals'!$G$8:$G$10000,"="&amp;T30)+SUMIFS('[1]2_inventory_totals'!$R$8:$R$10000,'[1]2_inventory_totals'!$C$8:$C$10000,I30,'[1]2_inventory_totals'!$F$8:$F$10000,"="&amp;S30,'[1]2_inventory_totals'!$G$8:$G$10000,"="&amp;T30))+(SUMIFS('[1]2_inventory_totals'!$J$8:$J$10000,'[1]2_inventory_totals'!$C$8:$C$10000,I30,'[1]2_inventory_totals'!$F$8:$F$10000,"="&amp;S30,'[1]2_inventory_totals'!$G$8:$G$10000,"="&amp;T30)+SUMIFS('[1]2_inventory_totals'!$K$8:$K$10000,'[1]2_inventory_totals'!$C$8:$C$10000,I30,'[1]2_inventory_totals'!$F$8:$F$10000,"="&amp;S30,'[1]2_inventory_totals'!$G$8:$G$10000,"="&amp;T30)+SUMIFS('[1]2_inventory_totals'!$L$8:$L$10000,'[1]2_inventory_totals'!$C$8:$C$10000,I30,'[1]2_inventory_totals'!$F$8:$F$10000,"="&amp;S30,'[1]2_inventory_totals'!$G$8:$G$10000,"="&amp;T30)+SUMIFS('[1]2_inventory_totals'!$M$8:$M$10000,'[1]2_inventory_totals'!$C$8:$C$10000,I30,'[1]2_inventory_totals'!$F$8:$F$10000,"="&amp;S30,'[1]2_inventory_totals'!$G$8:$G$10000,"="&amp;T30)+SUMIFS('[1]2_inventory_totals'!$O$8:$O$10000,'[1]2_inventory_totals'!$C$8:$C$10000,I30,'[1]2_inventory_totals'!$F$8:$F$10000,"="&amp;S30,'[1]2_inventory_totals'!$G$8:$G$10000,"="&amp;T30)+SUMIFS('[1]2_inventory_totals'!$S$8:$S$10000,'[1]2_inventory_totals'!$C$8:$C$10000,I30,'[1]2_inventory_totals'!$F$8:$F$10000,"="&amp;S30,'[1]2_inventory_totals'!$G$8:$G$10000,"="&amp;T30)))</f>
        <v/>
      </c>
      <c r="AP30" s="954"/>
    </row>
    <row r="31" spans="1:42" ht="27" customHeight="1">
      <c r="A31" s="923"/>
      <c r="B31" s="1172"/>
      <c r="C31" s="950"/>
      <c r="D31" s="950"/>
      <c r="E31" s="950"/>
      <c r="F31" s="1198"/>
      <c r="I31" s="1610" t="str">
        <f t="shared" si="5"/>
        <v/>
      </c>
      <c r="J31" s="270" t="str">
        <f t="shared" si="6"/>
        <v/>
      </c>
      <c r="K31" s="813" t="str">
        <f t="shared" si="0"/>
        <v/>
      </c>
      <c r="L31" s="1184"/>
      <c r="M31" s="1185"/>
      <c r="N31" s="1186"/>
      <c r="O31" s="1534"/>
      <c r="P31" s="336" t="str">
        <f t="shared" si="7"/>
        <v/>
      </c>
      <c r="Q31" s="336" t="str">
        <f>IF(L31="","",IF(AD31=0,0,(SUMIFS('[1]1_group_total_details'!$I$8:$I$10000,'[1]1_group_total_details'!$C$8:$C$10000,I31,'[1]1_group_total_details'!$F$8:$F$10000,adj_location_group_id,'[1]1_group_total_details'!$G$8:$G$10000,MID(N31,1,3)*1,'[1]1_group_total_details'!$H$8:$H$10000,"&lt;="&amp;adj_date)+SUMIFS('[1]1_group_total_details'!$L$8:$L$10000,'[1]1_group_total_details'!$C$8:$C$10000,I31,'[1]1_group_total_details'!$F$8:$F$10000,adj_location_group_id,'[1]1_group_total_details'!$G$8:$G$10000,MID(N31,1,3)*1,'[1]1_group_total_details'!$H$8:$H$10000,"&lt;="&amp;adj_date)+SUMIFS('[1]1_group_total_details'!$N$8:$N$10000,'[1]1_group_total_details'!$C$8:$C$10000,I31,'[1]1_group_total_details'!$F$8:$F$10000,adj_location_group_id,'[1]1_group_total_details'!$G$8:$G$10000,MID(N31,1,3)*1,'[1]1_group_total_details'!$H$8:$H$10000,"&lt;="&amp;adj_date)+SUMIFS('[1]1_group_total_details'!$O$8:$O$10000,'[1]1_group_total_details'!$C$8:$C$10000,I31,'[1]1_group_total_details'!$F$8:$F$10000,adj_location_group_id,'[1]1_group_total_details'!$G$8:$G$10000,MID(N31,1,3)*1,'[1]1_group_total_details'!$H$8:$H$10000,"&lt;="&amp;adj_date))-(SUMIFS('[1]1_group_total_details'!$J$8:$J$10000,'[1]1_group_total_details'!$C$8:$C$10000,I31,'[1]1_group_total_details'!$F$8:$F$10000,adj_location_group_id,'[1]1_group_total_details'!$G$8:$G$10000,MID(N31,1,3)*1,'[1]1_group_total_details'!$H$8:$H$10000,"&lt;="&amp;adj_date)+SUMIFS('[1]1_group_total_details'!$K$8:$K$10000,'[1]1_group_total_details'!$C$8:$C$10000,I31,'[1]1_group_total_details'!$F$8:$F$10000,adj_location_group_id,'[1]1_group_total_details'!$G$8:$G$10000,MID(N31,1,3)*1,'[1]1_group_total_details'!$H$8:$H$10000,"&lt;="&amp;adj_date)+SUMIFS('[1]1_group_total_details'!$M$8:$M$10000,'[1]1_group_total_details'!$C$8:$C$10000,I31,'[1]1_group_total_details'!$F$8:$F$10000,adj_location_group_id,'[1]1_group_total_details'!$G$8:$G$10000,MID(N31,1,3)*1,'[1]1_group_total_details'!$H$8:$H$10000,"&lt;="&amp;adj_date)+SUMIFS('[1]1_group_total_details'!$P$8:$P$10000,'[1]1_group_total_details'!$C$8:$C$10000,I31,'[1]1_group_total_details'!$F$8:$F$10000,adj_location_group_id,'[1]1_group_total_details'!$G$8:$G$10000,MID(N31,1,3)*1,'[1]1_group_total_details'!$H$8:$H$10000,"&lt;="&amp;adj_date))))</f>
        <v/>
      </c>
      <c r="R31" s="1187"/>
      <c r="S31" s="1186"/>
      <c r="T31" s="1186"/>
      <c r="U31" s="1184"/>
      <c r="V31" s="270" t="str" cm="1">
        <f t="array" ref="V31">IF(L31="","",IF(M31=AE31,1,Slookup(MID(AE31,1,3)*1,UomConversion!$D$8:$J$500,5,UomConversion!$E$8:$E$500,MID(M31,1,3)*1,UomConversion!$J$8:$J$500,1)))</f>
        <v/>
      </c>
      <c r="W31" s="270" t="str">
        <f t="shared" si="8"/>
        <v/>
      </c>
      <c r="X31" s="1795" t="str">
        <f t="shared" si="9"/>
        <v/>
      </c>
      <c r="Y31" s="1795" t="str">
        <f t="shared" si="10"/>
        <v/>
      </c>
      <c r="Z31" s="270" t="str">
        <f>IF(I31="","",IF(ISNA(MATCH(I31,IF(MID(N31,1,3)*1=1,'[1]1_inventory_totals'!$C$8:$C$10000,IF(MID(N31,1,3)*1=2,'[1]2_inventory_totals'!$C$8:$C$10000,"")),0)),0,IF(AL31&gt;0,1,0)))</f>
        <v/>
      </c>
      <c r="AA31" s="270" t="str">
        <f>IF(L31="","",IF(MID(N31,1,3)*1=1,SUMIFS('[1]1_inventory_total_details'!$J$8:$J$10000,'[1]1_inventory_total_details'!$C$8:$C$10000,I31,'[1]1_inventory_total_details'!$F$8:$F$10000,MID(N31,1,3)*1,'[1]1_inventory_total_details'!$G$8:$G$10000,"="&amp;S31,'[1]1_inventory_total_details'!$H$8:$H$10000,"="&amp;T31,'[1]1_inventory_total_details'!$I$8:$I$10000,"="&amp;adj_date)+SUMIFS('[1]1_inventory_total_details'!$M$8:$M$10000,'[1]1_inventory_total_details'!$C$8:$C$10000,I31,'[1]1_inventory_total_details'!$F$8:$F$10000,MID(N31,1,3)*1,'[1]1_inventory_total_details'!$G$8:$G$10000,"="&amp;S31,'[1]1_inventory_total_details'!$H$8:$H$10000,"="&amp;T31,'[1]1_inventory_total_details'!$I$8:$I$10000,"="&amp;adj_date)+SUMIFS('[1]1_inventory_total_details'!$K$8:$K$10000,'[1]1_inventory_total_details'!$C$8:$C$10000,I31,'[1]1_inventory_total_details'!$F$8:$F$10000,MID(N31,1,3)*1,'[1]1_inventory_total_details'!$G$8:$G$10000,"="&amp;S31,'[1]1_inventory_total_details'!$H$8:$H$10000,"="&amp;T31,'[1]1_inventory_total_details'!$I$8:$I$10000,"="&amp;adj_date)+SUMIFS('[1]1_inventory_total_details'!$L$8:$L$10000,'[1]1_inventory_total_details'!$C$8:$C$10000,I31,'[1]1_inventory_total_details'!$F$8:$F$10000,MID(N31,1,3)*1,'[1]1_inventory_total_details'!$G$8:$G$10000,"="&amp;S31,'[1]1_inventory_total_details'!$H$8:$H$10000,"="&amp;T31,'[1]1_inventory_total_details'!$I$8:$I$10000,"="&amp;adj_date),SUMIFS('[1]2_inventory_total_details'!$J$8:$J$10000,'[1]2_inventory_total_details'!$C$8:$C$10000,I31,'[1]2_inventory_total_details'!$F$8:$F$10000,MID(N31,1,3)*1,'[1]2_inventory_total_details'!$G$8:$G$10000,"="&amp;S31,'[1]2_inventory_total_details'!$H$8:$H$10000,"="&amp;T31,'[1]2_inventory_total_details'!$I$8:$I$10000,"="&amp;adj_date)+SUMIFS('[1]2_inventory_total_details'!$M$8:$M$10000,'[1]1_inventory_total_details'!$C$8:$C$10000,I31,'[1]2_inventory_total_details'!$F$8:$F$10000,MID(N31,1,3)*1,'[1]2_inventory_total_details'!$G$8:$G$10000,"="&amp;S31,'[1]2_inventory_total_details'!$H$8:$H$10000,"="&amp;T31,'[1]2_inventory_total_details'!$I$8:$I$10000,"="&amp;adj_date)+SUMIFS('[1]2_inventory_total_details'!$K$8:$K$10000,'[1]2_inventory_total_details'!$C$8:$C$10000,I31,'[1]2_inventory_total_details'!$F$8:$F$10000,MID(N31,1,3)*1,'[1]2_inventory_total_details'!$G$8:$G$10000,"="&amp;S31,'[1]2_inventory_total_details'!$H$8:$H$10000,"="&amp;T31,'[1]2_inventory_total_details'!$I$8:$I$10000,"="&amp;adj_date)+SUMIFS('[1]2_inventory_total_details'!$L$8:$L$10000,'[1]2_inventory_total_details'!$C$8:$C$10000,I31,'[1]2_inventory_total_details'!$F$8:$F$10000,MID(N31,1,3)*1,'[1]2_inventory_total_details'!$G$8:$G$10000,"="&amp;S31,'[1]2_inventory_total_details'!$H$8:$H$10000,"="&amp;T31,'[1]2_inventory_total_details'!$I$8:$I$10000,"="&amp;adj_date)))</f>
        <v/>
      </c>
      <c r="AB31" s="270" t="str">
        <f>IF(L31="","",IF(MID(N31,1,3)*1=1,SUMIFS('[1]1_inventory_total_details'!$J$8:$J$10000,'[1]1_inventory_total_details'!$C$8:$C$10000,I31,'[1]1_inventory_total_details'!$F$8:$F$10000,MID(N31,1,3)*1,'[1]1_inventory_total_details'!$G$8:$G$10000,"="&amp;S31,'[1]1_inventory_total_details'!$H$8:$H$10000,"="&amp;T31,'[1]1_inventory_total_details'!$I$8:$I$10000,"="&amp;adj_date)+SUMIFS('[1]1_inventory_total_details'!$M$8:$M$10000,'[1]1_inventory_total_details'!$C$8:$C$10000,I31,'[1]1_inventory_total_details'!$F$8:$F$10000,MID(N31,1,3)*1,'[1]1_inventory_total_details'!$G$8:$G$10000,"="&amp;S31,'[1]1_inventory_total_details'!$H$8:$H$10000,"="&amp;T31,'[1]1_inventory_total_details'!$I$8:$I$10000,"="&amp;adj_date)+SUMIFS('[1]1_inventory_total_details'!$K$8:$K$10000,'[1]1_inventory_total_details'!$C$8:$C$10000,I31,'[1]1_inventory_total_details'!$F$8:$F$10000,MID(N31,1,3)*1,'[1]1_inventory_total_details'!$G$8:$G$10000,"="&amp;S31,'[1]1_inventory_total_details'!$H$8:$H$10000,"="&amp;T31,'[1]1_inventory_total_details'!$I$8:$I$10000,"="&amp;adj_date)+SUMIFS('[1]1_inventory_total_details'!$L$8:$L$10000,'[1]1_inventory_total_details'!$C$8:$C$10000,I31,'[1]1_inventory_total_details'!$F$8:$F$10000,MID(N31,1,3)*1,'[1]1_inventory_total_details'!$G$8:$G$10000,"="&amp;S31,'[1]1_inventory_total_details'!$H$8:$H$10000,"="&amp;T31,'[1]1_inventory_total_details'!$I$8:$I$10000,"="&amp;adj_date),SUMIFS('[1]2_inventory_total_details'!$J$8:$J$10000,'[1]2_inventory_total_details'!$C$8:$C$10000,I31,'[1]2_inventory_total_details'!$F$8:$F$10000,MID(N31,1,3)*1,'[1]2_inventory_total_details'!$G$8:$G$10000,"="&amp;S31,'[1]2_inventory_total_details'!$H$8:$H$10000,"="&amp;T31,'[1]2_inventory_total_details'!$I$8:$I$10000,"="&amp;adj_date)+SUMIFS('[1]2_inventory_total_details'!$M$8:$M$10000,'[1]1_inventory_total_details'!$C$8:$C$10000,I31,'[1]2_inventory_total_details'!$F$8:$F$10000,MID(N31,1,3)*1,'[1]2_inventory_total_details'!$G$8:$G$10000,"="&amp;S31,'[1]2_inventory_total_details'!$H$8:$H$10000,"="&amp;T31,'[1]2_inventory_total_details'!$I$8:$I$10000,"="&amp;adj_date)+SUMIFS('[1]2_inventory_total_details'!$K$8:$K$10000,'[1]2_inventory_total_details'!$C$8:$C$10000,I31,'[1]2_inventory_total_details'!$F$8:$F$10000,MID(N31,1,3)*1,'[1]2_inventory_total_details'!$G$8:$G$10000,"="&amp;S31,'[1]2_inventory_total_details'!$H$8:$H$10000,"="&amp;T31,'[1]2_inventory_total_details'!$I$8:$I$10000,"="&amp;adj_date)+SUMIFS('[1]2_inventory_total_details'!$L$8:$L$10000,'[1]2_inventory_total_details'!$C$8:$C$10000,I31,'[1]2_inventory_total_details'!$F$8:$F$10000,MID(N31,1,3)*1,'[1]2_inventory_total_details'!$G$8:$G$10000,"="&amp;S31,'[1]2_inventory_total_details'!$H$8:$H$10000,"="&amp;T31,'[1]2_inventory_total_details'!$I$8:$I$10000,"="&amp;adj_date)))</f>
        <v/>
      </c>
      <c r="AC31" s="270" t="str">
        <f>IF(L31="","",IF(MID(N31,1,3)*1=1,SUMIFS('[1]1_inventory_total_details'!$J$8:$J$10000,'[1]1_inventory_total_details'!$C$8:$C$10000,I31,'[1]1_inventory_total_details'!$F$8:$F$10000,MID(N31,1,3)*1,'[1]1_inventory_total_details'!$G$8:$G$10000,"="&amp;S31,'[1]1_inventory_total_details'!$H$8:$H$10000,"="&amp;T31,'[1]1_inventory_total_details'!$I$8:$I$10000,"="&amp;adj_date)+SUMIFS('[1]1_inventory_total_details'!$M$8:$M$10000,'[1]1_inventory_total_details'!$C$8:$C$10000,I31,'[1]1_inventory_total_details'!$F$8:$F$10000,MID(N31,1,3)*1,'[1]1_inventory_total_details'!$G$8:$G$10000,"="&amp;S31,'[1]1_inventory_total_details'!$H$8:$H$10000,"="&amp;T31,'[1]1_inventory_total_details'!$I$8:$I$10000,"="&amp;adj_date)+SUMIFS('[1]1_inventory_total_details'!$K$8:$K$10000,'[1]1_inventory_total_details'!$C$8:$C$10000,I31,'[1]1_inventory_total_details'!$F$8:$F$10000,MID(N31,1,3)*1,'[1]1_inventory_total_details'!$G$8:$G$10000,"="&amp;S31,'[1]1_inventory_total_details'!$H$8:$H$10000,"="&amp;T31,'[1]1_inventory_total_details'!$I$8:$I$10000,"="&amp;adj_date)+SUMIFS('[1]1_inventory_total_details'!$L$8:$L$10000,'[1]1_inventory_total_details'!$C$8:$C$10000,I31,'[1]1_inventory_total_details'!$F$8:$F$10000,MID(N31,1,3)*1,'[1]1_inventory_total_details'!$G$8:$G$10000,"="&amp;S31,'[1]1_inventory_total_details'!$H$8:$H$10000,"="&amp;T31,'[1]1_inventory_total_details'!$I$8:$I$10000,"="&amp;adj_date),SUMIFS('[1]2_inventory_total_details'!$J$8:$J$10000,'[1]2_inventory_total_details'!$C$8:$C$10000,I31,'[1]2_inventory_total_details'!$F$8:$F$10000,MID(N31,1,3)*1,'[1]2_inventory_total_details'!$G$8:$G$10000,"="&amp;S31,'[1]2_inventory_total_details'!$H$8:$H$10000,"="&amp;T31,'[1]2_inventory_total_details'!$I$8:$I$10000,"="&amp;adj_date)+SUMIFS('[1]2_inventory_total_details'!$M$8:$M$10000,'[1]1_inventory_total_details'!$C$8:$C$10000,I31,'[1]2_inventory_total_details'!$F$8:$F$10000,MID(N31,1,3)*1,'[1]2_inventory_total_details'!$G$8:$G$10000,"="&amp;S31,'[1]2_inventory_total_details'!$H$8:$H$10000,"="&amp;T31,'[1]2_inventory_total_details'!$I$8:$I$10000,"="&amp;adj_date)+SUMIFS('[1]2_inventory_total_details'!$K$8:$K$10000,'[1]2_inventory_total_details'!$C$8:$C$10000,I31,'[1]2_inventory_total_details'!$F$8:$F$10000,MID(N31,1,3)*1,'[1]2_inventory_total_details'!$G$8:$G$10000,"="&amp;S31,'[1]2_inventory_total_details'!$H$8:$H$10000,"="&amp;T31,'[1]2_inventory_total_details'!$I$8:$I$10000,"="&amp;adj_date)+SUMIFS('[1]2_inventory_total_details'!$L$8:$L$10000,'[1]2_inventory_total_details'!$C$8:$C$10000,I31,'[1]2_inventory_total_details'!$F$8:$F$10000,MID(N31,1,3)*1,'[1]2_inventory_total_details'!$G$8:$G$10000,"="&amp;S31,'[1]2_inventory_total_details'!$H$8:$H$10000,"="&amp;T31,'[1]2_inventory_total_details'!$I$8:$I$10000,"="&amp;adj_date)))</f>
        <v/>
      </c>
      <c r="AD31" s="270" t="str">
        <f>IF(L31="","",SUMIFS('[1]1_group_totals'!$J$8:$J$10000,'[1]1_group_totals'!$C$8:$C$10000,I31,'[1]1_group_totals'!$F$8:$F$10000,adj_location_group_id,'[1]1_group_totals'!$G$8:$G$10000,MID(N31,1,3)*1,'[1]1_group_totals'!$H$8:$H$10000,"="&amp;S31,'[1]1_group_totals'!$I$8:$I$10000,"="&amp;T31))</f>
        <v/>
      </c>
      <c r="AE31" s="1796" t="str">
        <f t="shared" si="11"/>
        <v/>
      </c>
      <c r="AF31" s="1797" t="str">
        <f>IF(ISNA(MATCH(MID(AE31,1,3)*1,UomConversion!$D$8:$D$500,0)),"",IF(AJ31&lt;&gt;"",AJ31,""))</f>
        <v/>
      </c>
      <c r="AG31" s="1797" t="str">
        <f>IF(AND(AH31&gt;0,COUNTIFS(UomConversion!$D$8:$D$500,MID(AE31,1,3)*1,UomConversion!$J$8:$J$500,1)&gt;1),TEXT(AH31,"000")&amp;"."&amp;VLOOKUP(AH31,uom_list,5,FALSE),"")</f>
        <v/>
      </c>
      <c r="AH31" s="270" t="str">
        <f t="shared" si="12"/>
        <v/>
      </c>
      <c r="AI31" s="270" t="str">
        <f t="shared" si="13"/>
        <v/>
      </c>
      <c r="AJ31" s="270" t="str">
        <f t="shared" si="14"/>
        <v/>
      </c>
      <c r="AK31" s="270" t="str" cm="1">
        <f t="array" ref="AK31">IF(L31="","",Slookup(MID(AE31,1,3)*1,UomConversion!$D$8:$J$500,2,UomConversion!$I$8:$I$500,1,UomConversion!$J$8:$J$500,1))</f>
        <v/>
      </c>
      <c r="AL31" s="270" t="str">
        <f t="shared" si="15"/>
        <v/>
      </c>
      <c r="AM31" s="270" t="str">
        <f>IF(L31="","",(SUMIFS('[1]1_group_totals'!$K$8:$K$10000,'[1]1_group_totals'!$C$8:$C$10000,I31,'[1]1_group_totals'!$F$8:$F$10000,adj_location_group_id,'[1]1_group_totals'!$G$8:$G$10000,MID(N31,1,3)*1,'[1]1_group_totals'!$H$8:$H$10000,"="&amp;S31,'[1]1_group_totals'!$I$8:$I$10000,"="&amp;T31)+SUMIFS('[1]1_group_totals'!$N$8:$N$10000,'[1]1_group_totals'!$C$8:$C$10000,I31,'[1]1_group_totals'!$F$8:$F$10000,adj_location_group_id,'[1]1_group_totals'!$G$8:$G$10000,MID(N31,1,3)*1,'[1]1_group_totals'!$H$8:$H$10000,"="&amp;S31,'[1]1_group_totals'!$I$8:$I$10000,"="&amp;T31)+SUMIFS('[1]1_group_totals'!$P$8:$P$10000,'[1]1_group_totals'!$C$8:$C$10000,I31,'[1]1_group_totals'!$F$8:$F$10000,adj_location_group_id,'[1]1_group_totals'!$G$8:$G$10000,MID(N31,1,3)*1,'[1]1_group_totals'!$H$8:$H$10000,"="&amp;S31,'[1]1_group_totals'!$I$8:$I$10000,"="&amp;T31)+SUMIFS('[1]1_group_totals'!$Q$8:$Q$10000,'[1]1_group_totals'!$C$8:$C$10000,I31,'[1]1_group_totals'!$F$8:$F$10000,adj_location_group_id,'[1]1_group_totals'!$G$8:$G$10000,MID(N31,1,3)*1,'[1]1_group_totals'!$H$8:$H$10000,"="&amp;S31,'[1]1_group_totals'!$I$8:$I$10000,"="&amp;T31))+(SUMIFS('[1]1_group_totals'!$L$8:$L$10000,'[1]1_group_totals'!$C$8:$C$10000,I31,'[1]1_group_totals'!$F$8:$F$10000,adj_location_group_id,'[1]1_group_totals'!$G$8:$G$10000,MID(N31,1,3)*1,'[1]1_group_totals'!$H$8:$H$10000,"="&amp;S31,'[1]1_group_totals'!$I$8:$I$10000,"="&amp;T31)+SUMIFS('[1]1_group_totals'!$M$8:$M$10000,'[1]1_group_totals'!$C$8:$C$10000,I31,'[1]1_group_totals'!$F$8:$F$10000,adj_location_group_id,'[1]1_group_totals'!$G$8:$G$10000,MID(N31,1,3)*1,'[1]1_group_totals'!$H$8:$H$10000,"="&amp;S31,'[1]1_group_totals'!$I$8:$I$10000,"="&amp;T31)+SUMIFS('[1]1_group_totals'!$O$8:$O$10000,'[1]1_group_totals'!$C$8:$C$10000,I31,'[1]1_group_totals'!$F$8:$F$10000,adj_location_group_id,'[1]1_group_totals'!$G$8:$G$10000,MID(N31,1,3)*1,'[1]1_group_totals'!$H$8:$H$10000,"="&amp;S31,'[1]1_group_totals'!$I$8:$I$10000,"="&amp;T31)+SUMIFS('[1]1_group_totals'!$R$8:$R$10000,'[1]1_group_totals'!$C$8:$C$10000,I31,'[1]1_group_totals'!$F$8:$F$10000,adj_location_group_id,'[1]1_group_totals'!$G$8:$G$10000,MID(N31,1,3)*1,'[1]1_group_totals'!$H$8:$H$10000,"="&amp;S31,'[1]1_group_totals'!$I$8:$I$10000,"="&amp;T31)))</f>
        <v/>
      </c>
      <c r="AN31" s="270" t="str">
        <f>IF(L31="","",(SUMIFS('[1]1_inventory_totals'!$I$8:$I$10000,'[1]1_inventory_totals'!$C$8:$C$10000,I31,'[1]1_inventory_totals'!$F$8:$F$10000,"="&amp;S31,'[1]1_inventory_totals'!$G$8:$G$10000,"="&amp;T31)+SUMIFS('[1]1_inventory_totals'!$N$8:$N$10000,'[1]1_inventory_totals'!$C$8:$C$10000,I31,'[1]1_inventory_totals'!$F$8:$F$10000,"="&amp;S31,'[1]1_inventory_totals'!$G$8:$G$10000,"="&amp;T31)+SUMIFS('[1]1_inventory_totals'!$P$8:$P$10000,'[1]1_inventory_totals'!$C$8:$C$10000,I31,'[1]1_inventory_totals'!$F$8:$F$10000,"="&amp;S31,'[1]1_inventory_totals'!$G$8:$G$10000,"="&amp;T31)+SUMIFS('[1]1_inventory_totals'!$Q$8:$Q$10000,'[1]1_inventory_totals'!$C$8:$C$10000,I31,'[1]1_inventory_totals'!$F$8:$F$10000,"="&amp;S31,'[1]1_inventory_totals'!$G$8:$G$10000,"="&amp;T31)+SUMIFS('[1]1_inventory_totals'!$R$8:$R$10000,'[1]1_inventory_totals'!$C$8:$C$10000,I31,'[1]1_inventory_totals'!$F$8:$F$10000,"="&amp;S31,'[1]1_inventory_totals'!$G$8:$G$10000,"="&amp;T31))+(SUMIFS('[1]1_inventory_totals'!$J$8:$J$10000,'[1]1_inventory_totals'!$C$8:$C$10000,I31,'[1]1_inventory_totals'!$F$8:$F$10000,"="&amp;S31,'[1]1_inventory_totals'!$G$8:$G$10000,"="&amp;T31)+SUMIFS('[1]1_inventory_totals'!$K$8:$K$10000,'[1]1_inventory_totals'!$C$8:$C$10000,I31,'[1]1_inventory_totals'!$F$8:$F$10000,"="&amp;S31,'[1]1_inventory_totals'!$G$8:$G$10000,"="&amp;T31)+SUMIFS('[1]1_inventory_totals'!$L$8:$L$10000,'[1]1_inventory_totals'!$C$8:$C$10000,I31,'[1]1_inventory_totals'!$F$8:$F$10000,"="&amp;S31,'[1]1_inventory_totals'!$G$8:$G$10000,"="&amp;T31)+SUMIFS('[1]1_inventory_totals'!$M$8:$M$10000,'[1]1_inventory_totals'!$C$8:$C$10000,I31,'[1]1_inventory_totals'!$F$8:$F$10000,"="&amp;S31,'[1]1_inventory_totals'!$G$8:$G$10000,"="&amp;T31)+SUMIFS('[1]1_inventory_totals'!$O$8:$O$10000,'[1]1_inventory_totals'!$C$8:$C$10000,I31,'[1]1_inventory_totals'!$F$8:$F$10000,"="&amp;S31,'[1]1_inventory_totals'!$G$8:$G$10000,"="&amp;T31)+SUMIFS('[1]1_inventory_totals'!$S$8:$S$10000,'[1]1_inventory_totals'!$C$8:$C$10000,I31,'[1]1_inventory_totals'!$F$8:$F$10000,"="&amp;S31,'[1]1_inventory_totals'!$G$8:$G$10000,"="&amp;T31)))</f>
        <v/>
      </c>
      <c r="AO31" s="270" t="str">
        <f>IF(L31="","",(SUMIFS('[1]2_inventory_totals'!$I$8:$I$10000,'[1]2_inventory_totals'!$C$8:$C$10000,I31,'[1]2_inventory_totals'!$F$8:$F$10000,"="&amp;S31,'[1]2_inventory_totals'!$G$8:$G$10000,"="&amp;T31)+SUMIFS('[1]2_inventory_totals'!$N$8:$N$10000,'[1]2_inventory_totals'!$C$8:$C$10000,I31,'[1]2_inventory_totals'!$F$8:$F$10000,"="&amp;S31,'[1]2_inventory_totals'!$G$8:$G$10000,"="&amp;T31)+SUMIFS('[1]2_inventory_totals'!$P$8:$P$10000,'[1]2_inventory_totals'!$C$8:$C$10000,I31,'[1]2_inventory_totals'!$F$8:$F$10000,"="&amp;S31,'[1]2_inventory_totals'!$G$8:$G$10000,"="&amp;T31)+SUMIFS('[1]2_inventory_totals'!$Q$8:$Q$10000,'[1]2_inventory_totals'!$C$8:$C$10000,I31,'[1]2_inventory_totals'!$F$8:$F$10000,"="&amp;S31,'[1]2_inventory_totals'!$G$8:$G$10000,"="&amp;T31)+SUMIFS('[1]2_inventory_totals'!$R$8:$R$10000,'[1]2_inventory_totals'!$C$8:$C$10000,I31,'[1]2_inventory_totals'!$F$8:$F$10000,"="&amp;S31,'[1]2_inventory_totals'!$G$8:$G$10000,"="&amp;T31))+(SUMIFS('[1]2_inventory_totals'!$J$8:$J$10000,'[1]2_inventory_totals'!$C$8:$C$10000,I31,'[1]2_inventory_totals'!$F$8:$F$10000,"="&amp;S31,'[1]2_inventory_totals'!$G$8:$G$10000,"="&amp;T31)+SUMIFS('[1]2_inventory_totals'!$K$8:$K$10000,'[1]2_inventory_totals'!$C$8:$C$10000,I31,'[1]2_inventory_totals'!$F$8:$F$10000,"="&amp;S31,'[1]2_inventory_totals'!$G$8:$G$10000,"="&amp;T31)+SUMIFS('[1]2_inventory_totals'!$L$8:$L$10000,'[1]2_inventory_totals'!$C$8:$C$10000,I31,'[1]2_inventory_totals'!$F$8:$F$10000,"="&amp;S31,'[1]2_inventory_totals'!$G$8:$G$10000,"="&amp;T31)+SUMIFS('[1]2_inventory_totals'!$M$8:$M$10000,'[1]2_inventory_totals'!$C$8:$C$10000,I31,'[1]2_inventory_totals'!$F$8:$F$10000,"="&amp;S31,'[1]2_inventory_totals'!$G$8:$G$10000,"="&amp;T31)+SUMIFS('[1]2_inventory_totals'!$O$8:$O$10000,'[1]2_inventory_totals'!$C$8:$C$10000,I31,'[1]2_inventory_totals'!$F$8:$F$10000,"="&amp;S31,'[1]2_inventory_totals'!$G$8:$G$10000,"="&amp;T31)+SUMIFS('[1]2_inventory_totals'!$S$8:$S$10000,'[1]2_inventory_totals'!$C$8:$C$10000,I31,'[1]2_inventory_totals'!$F$8:$F$10000,"="&amp;S31,'[1]2_inventory_totals'!$G$8:$G$10000,"="&amp;T31)))</f>
        <v/>
      </c>
      <c r="AP31" s="954"/>
    </row>
    <row r="32" spans="1:42" ht="27" customHeight="1">
      <c r="A32" s="923"/>
      <c r="B32" s="1172"/>
      <c r="C32" s="950"/>
      <c r="D32" s="950"/>
      <c r="E32" s="950"/>
      <c r="F32" s="1198"/>
      <c r="I32" s="1610" t="str">
        <f t="shared" si="5"/>
        <v/>
      </c>
      <c r="J32" s="270" t="str">
        <f t="shared" si="6"/>
        <v/>
      </c>
      <c r="K32" s="813" t="str">
        <f t="shared" si="0"/>
        <v/>
      </c>
      <c r="L32" s="1184"/>
      <c r="M32" s="1185"/>
      <c r="N32" s="1186"/>
      <c r="O32" s="1534"/>
      <c r="P32" s="336" t="str">
        <f t="shared" si="7"/>
        <v/>
      </c>
      <c r="Q32" s="336" t="str">
        <f>IF(L32="","",IF(AD32=0,0,(SUMIFS('[1]1_group_total_details'!$I$8:$I$10000,'[1]1_group_total_details'!$C$8:$C$10000,I32,'[1]1_group_total_details'!$F$8:$F$10000,adj_location_group_id,'[1]1_group_total_details'!$G$8:$G$10000,MID(N32,1,3)*1,'[1]1_group_total_details'!$H$8:$H$10000,"&lt;="&amp;adj_date)+SUMIFS('[1]1_group_total_details'!$L$8:$L$10000,'[1]1_group_total_details'!$C$8:$C$10000,I32,'[1]1_group_total_details'!$F$8:$F$10000,adj_location_group_id,'[1]1_group_total_details'!$G$8:$G$10000,MID(N32,1,3)*1,'[1]1_group_total_details'!$H$8:$H$10000,"&lt;="&amp;adj_date)+SUMIFS('[1]1_group_total_details'!$N$8:$N$10000,'[1]1_group_total_details'!$C$8:$C$10000,I32,'[1]1_group_total_details'!$F$8:$F$10000,adj_location_group_id,'[1]1_group_total_details'!$G$8:$G$10000,MID(N32,1,3)*1,'[1]1_group_total_details'!$H$8:$H$10000,"&lt;="&amp;adj_date)+SUMIFS('[1]1_group_total_details'!$O$8:$O$10000,'[1]1_group_total_details'!$C$8:$C$10000,I32,'[1]1_group_total_details'!$F$8:$F$10000,adj_location_group_id,'[1]1_group_total_details'!$G$8:$G$10000,MID(N32,1,3)*1,'[1]1_group_total_details'!$H$8:$H$10000,"&lt;="&amp;adj_date))-(SUMIFS('[1]1_group_total_details'!$J$8:$J$10000,'[1]1_group_total_details'!$C$8:$C$10000,I32,'[1]1_group_total_details'!$F$8:$F$10000,adj_location_group_id,'[1]1_group_total_details'!$G$8:$G$10000,MID(N32,1,3)*1,'[1]1_group_total_details'!$H$8:$H$10000,"&lt;="&amp;adj_date)+SUMIFS('[1]1_group_total_details'!$K$8:$K$10000,'[1]1_group_total_details'!$C$8:$C$10000,I32,'[1]1_group_total_details'!$F$8:$F$10000,adj_location_group_id,'[1]1_group_total_details'!$G$8:$G$10000,MID(N32,1,3)*1,'[1]1_group_total_details'!$H$8:$H$10000,"&lt;="&amp;adj_date)+SUMIFS('[1]1_group_total_details'!$M$8:$M$10000,'[1]1_group_total_details'!$C$8:$C$10000,I32,'[1]1_group_total_details'!$F$8:$F$10000,adj_location_group_id,'[1]1_group_total_details'!$G$8:$G$10000,MID(N32,1,3)*1,'[1]1_group_total_details'!$H$8:$H$10000,"&lt;="&amp;adj_date)+SUMIFS('[1]1_group_total_details'!$P$8:$P$10000,'[1]1_group_total_details'!$C$8:$C$10000,I32,'[1]1_group_total_details'!$F$8:$F$10000,adj_location_group_id,'[1]1_group_total_details'!$G$8:$G$10000,MID(N32,1,3)*1,'[1]1_group_total_details'!$H$8:$H$10000,"&lt;="&amp;adj_date))))</f>
        <v/>
      </c>
      <c r="R32" s="1187"/>
      <c r="S32" s="1186"/>
      <c r="T32" s="1186"/>
      <c r="U32" s="1184"/>
      <c r="V32" s="270" t="str" cm="1">
        <f t="array" ref="V32">IF(L32="","",IF(M32=AE32,1,Slookup(MID(AE32,1,3)*1,UomConversion!$D$8:$J$500,5,UomConversion!$E$8:$E$500,MID(M32,1,3)*1,UomConversion!$J$8:$J$500,1)))</f>
        <v/>
      </c>
      <c r="W32" s="270" t="str">
        <f t="shared" si="8"/>
        <v/>
      </c>
      <c r="X32" s="1795" t="str">
        <f t="shared" si="9"/>
        <v/>
      </c>
      <c r="Y32" s="1795" t="str">
        <f t="shared" si="10"/>
        <v/>
      </c>
      <c r="Z32" s="270" t="str">
        <f>IF(I32="","",IF(ISNA(MATCH(I32,IF(MID(N32,1,3)*1=1,'[1]1_inventory_totals'!$C$8:$C$10000,IF(MID(N32,1,3)*1=2,'[1]2_inventory_totals'!$C$8:$C$10000,"")),0)),0,IF(AL32&gt;0,1,0)))</f>
        <v/>
      </c>
      <c r="AA32" s="270" t="str">
        <f>IF(L32="","",IF(MID(N32,1,3)*1=1,SUMIFS('[1]1_inventory_total_details'!$J$8:$J$10000,'[1]1_inventory_total_details'!$C$8:$C$10000,I32,'[1]1_inventory_total_details'!$F$8:$F$10000,MID(N32,1,3)*1,'[1]1_inventory_total_details'!$G$8:$G$10000,"="&amp;S32,'[1]1_inventory_total_details'!$H$8:$H$10000,"="&amp;T32,'[1]1_inventory_total_details'!$I$8:$I$10000,"="&amp;adj_date)+SUMIFS('[1]1_inventory_total_details'!$M$8:$M$10000,'[1]1_inventory_total_details'!$C$8:$C$10000,I32,'[1]1_inventory_total_details'!$F$8:$F$10000,MID(N32,1,3)*1,'[1]1_inventory_total_details'!$G$8:$G$10000,"="&amp;S32,'[1]1_inventory_total_details'!$H$8:$H$10000,"="&amp;T32,'[1]1_inventory_total_details'!$I$8:$I$10000,"="&amp;adj_date)+SUMIFS('[1]1_inventory_total_details'!$K$8:$K$10000,'[1]1_inventory_total_details'!$C$8:$C$10000,I32,'[1]1_inventory_total_details'!$F$8:$F$10000,MID(N32,1,3)*1,'[1]1_inventory_total_details'!$G$8:$G$10000,"="&amp;S32,'[1]1_inventory_total_details'!$H$8:$H$10000,"="&amp;T32,'[1]1_inventory_total_details'!$I$8:$I$10000,"="&amp;adj_date)+SUMIFS('[1]1_inventory_total_details'!$L$8:$L$10000,'[1]1_inventory_total_details'!$C$8:$C$10000,I32,'[1]1_inventory_total_details'!$F$8:$F$10000,MID(N32,1,3)*1,'[1]1_inventory_total_details'!$G$8:$G$10000,"="&amp;S32,'[1]1_inventory_total_details'!$H$8:$H$10000,"="&amp;T32,'[1]1_inventory_total_details'!$I$8:$I$10000,"="&amp;adj_date),SUMIFS('[1]2_inventory_total_details'!$J$8:$J$10000,'[1]2_inventory_total_details'!$C$8:$C$10000,I32,'[1]2_inventory_total_details'!$F$8:$F$10000,MID(N32,1,3)*1,'[1]2_inventory_total_details'!$G$8:$G$10000,"="&amp;S32,'[1]2_inventory_total_details'!$H$8:$H$10000,"="&amp;T32,'[1]2_inventory_total_details'!$I$8:$I$10000,"="&amp;adj_date)+SUMIFS('[1]2_inventory_total_details'!$M$8:$M$10000,'[1]1_inventory_total_details'!$C$8:$C$10000,I32,'[1]2_inventory_total_details'!$F$8:$F$10000,MID(N32,1,3)*1,'[1]2_inventory_total_details'!$G$8:$G$10000,"="&amp;S32,'[1]2_inventory_total_details'!$H$8:$H$10000,"="&amp;T32,'[1]2_inventory_total_details'!$I$8:$I$10000,"="&amp;adj_date)+SUMIFS('[1]2_inventory_total_details'!$K$8:$K$10000,'[1]2_inventory_total_details'!$C$8:$C$10000,I32,'[1]2_inventory_total_details'!$F$8:$F$10000,MID(N32,1,3)*1,'[1]2_inventory_total_details'!$G$8:$G$10000,"="&amp;S32,'[1]2_inventory_total_details'!$H$8:$H$10000,"="&amp;T32,'[1]2_inventory_total_details'!$I$8:$I$10000,"="&amp;adj_date)+SUMIFS('[1]2_inventory_total_details'!$L$8:$L$10000,'[1]2_inventory_total_details'!$C$8:$C$10000,I32,'[1]2_inventory_total_details'!$F$8:$F$10000,MID(N32,1,3)*1,'[1]2_inventory_total_details'!$G$8:$G$10000,"="&amp;S32,'[1]2_inventory_total_details'!$H$8:$H$10000,"="&amp;T32,'[1]2_inventory_total_details'!$I$8:$I$10000,"="&amp;adj_date)))</f>
        <v/>
      </c>
      <c r="AB32" s="270" t="str">
        <f>IF(L32="","",IF(MID(N32,1,3)*1=1,SUMIFS('[1]1_inventory_total_details'!$J$8:$J$10000,'[1]1_inventory_total_details'!$C$8:$C$10000,I32,'[1]1_inventory_total_details'!$F$8:$F$10000,MID(N32,1,3)*1,'[1]1_inventory_total_details'!$G$8:$G$10000,"="&amp;S32,'[1]1_inventory_total_details'!$H$8:$H$10000,"="&amp;T32,'[1]1_inventory_total_details'!$I$8:$I$10000,"="&amp;adj_date)+SUMIFS('[1]1_inventory_total_details'!$M$8:$M$10000,'[1]1_inventory_total_details'!$C$8:$C$10000,I32,'[1]1_inventory_total_details'!$F$8:$F$10000,MID(N32,1,3)*1,'[1]1_inventory_total_details'!$G$8:$G$10000,"="&amp;S32,'[1]1_inventory_total_details'!$H$8:$H$10000,"="&amp;T32,'[1]1_inventory_total_details'!$I$8:$I$10000,"="&amp;adj_date)+SUMIFS('[1]1_inventory_total_details'!$K$8:$K$10000,'[1]1_inventory_total_details'!$C$8:$C$10000,I32,'[1]1_inventory_total_details'!$F$8:$F$10000,MID(N32,1,3)*1,'[1]1_inventory_total_details'!$G$8:$G$10000,"="&amp;S32,'[1]1_inventory_total_details'!$H$8:$H$10000,"="&amp;T32,'[1]1_inventory_total_details'!$I$8:$I$10000,"="&amp;adj_date)+SUMIFS('[1]1_inventory_total_details'!$L$8:$L$10000,'[1]1_inventory_total_details'!$C$8:$C$10000,I32,'[1]1_inventory_total_details'!$F$8:$F$10000,MID(N32,1,3)*1,'[1]1_inventory_total_details'!$G$8:$G$10000,"="&amp;S32,'[1]1_inventory_total_details'!$H$8:$H$10000,"="&amp;T32,'[1]1_inventory_total_details'!$I$8:$I$10000,"="&amp;adj_date),SUMIFS('[1]2_inventory_total_details'!$J$8:$J$10000,'[1]2_inventory_total_details'!$C$8:$C$10000,I32,'[1]2_inventory_total_details'!$F$8:$F$10000,MID(N32,1,3)*1,'[1]2_inventory_total_details'!$G$8:$G$10000,"="&amp;S32,'[1]2_inventory_total_details'!$H$8:$H$10000,"="&amp;T32,'[1]2_inventory_total_details'!$I$8:$I$10000,"="&amp;adj_date)+SUMIFS('[1]2_inventory_total_details'!$M$8:$M$10000,'[1]1_inventory_total_details'!$C$8:$C$10000,I32,'[1]2_inventory_total_details'!$F$8:$F$10000,MID(N32,1,3)*1,'[1]2_inventory_total_details'!$G$8:$G$10000,"="&amp;S32,'[1]2_inventory_total_details'!$H$8:$H$10000,"="&amp;T32,'[1]2_inventory_total_details'!$I$8:$I$10000,"="&amp;adj_date)+SUMIFS('[1]2_inventory_total_details'!$K$8:$K$10000,'[1]2_inventory_total_details'!$C$8:$C$10000,I32,'[1]2_inventory_total_details'!$F$8:$F$10000,MID(N32,1,3)*1,'[1]2_inventory_total_details'!$G$8:$G$10000,"="&amp;S32,'[1]2_inventory_total_details'!$H$8:$H$10000,"="&amp;T32,'[1]2_inventory_total_details'!$I$8:$I$10000,"="&amp;adj_date)+SUMIFS('[1]2_inventory_total_details'!$L$8:$L$10000,'[1]2_inventory_total_details'!$C$8:$C$10000,I32,'[1]2_inventory_total_details'!$F$8:$F$10000,MID(N32,1,3)*1,'[1]2_inventory_total_details'!$G$8:$G$10000,"="&amp;S32,'[1]2_inventory_total_details'!$H$8:$H$10000,"="&amp;T32,'[1]2_inventory_total_details'!$I$8:$I$10000,"="&amp;adj_date)))</f>
        <v/>
      </c>
      <c r="AC32" s="270" t="str">
        <f>IF(L32="","",IF(MID(N32,1,3)*1=1,SUMIFS('[1]1_inventory_total_details'!$J$8:$J$10000,'[1]1_inventory_total_details'!$C$8:$C$10000,I32,'[1]1_inventory_total_details'!$F$8:$F$10000,MID(N32,1,3)*1,'[1]1_inventory_total_details'!$G$8:$G$10000,"="&amp;S32,'[1]1_inventory_total_details'!$H$8:$H$10000,"="&amp;T32,'[1]1_inventory_total_details'!$I$8:$I$10000,"="&amp;adj_date)+SUMIFS('[1]1_inventory_total_details'!$M$8:$M$10000,'[1]1_inventory_total_details'!$C$8:$C$10000,I32,'[1]1_inventory_total_details'!$F$8:$F$10000,MID(N32,1,3)*1,'[1]1_inventory_total_details'!$G$8:$G$10000,"="&amp;S32,'[1]1_inventory_total_details'!$H$8:$H$10000,"="&amp;T32,'[1]1_inventory_total_details'!$I$8:$I$10000,"="&amp;adj_date)+SUMIFS('[1]1_inventory_total_details'!$K$8:$K$10000,'[1]1_inventory_total_details'!$C$8:$C$10000,I32,'[1]1_inventory_total_details'!$F$8:$F$10000,MID(N32,1,3)*1,'[1]1_inventory_total_details'!$G$8:$G$10000,"="&amp;S32,'[1]1_inventory_total_details'!$H$8:$H$10000,"="&amp;T32,'[1]1_inventory_total_details'!$I$8:$I$10000,"="&amp;adj_date)+SUMIFS('[1]1_inventory_total_details'!$L$8:$L$10000,'[1]1_inventory_total_details'!$C$8:$C$10000,I32,'[1]1_inventory_total_details'!$F$8:$F$10000,MID(N32,1,3)*1,'[1]1_inventory_total_details'!$G$8:$G$10000,"="&amp;S32,'[1]1_inventory_total_details'!$H$8:$H$10000,"="&amp;T32,'[1]1_inventory_total_details'!$I$8:$I$10000,"="&amp;adj_date),SUMIFS('[1]2_inventory_total_details'!$J$8:$J$10000,'[1]2_inventory_total_details'!$C$8:$C$10000,I32,'[1]2_inventory_total_details'!$F$8:$F$10000,MID(N32,1,3)*1,'[1]2_inventory_total_details'!$G$8:$G$10000,"="&amp;S32,'[1]2_inventory_total_details'!$H$8:$H$10000,"="&amp;T32,'[1]2_inventory_total_details'!$I$8:$I$10000,"="&amp;adj_date)+SUMIFS('[1]2_inventory_total_details'!$M$8:$M$10000,'[1]1_inventory_total_details'!$C$8:$C$10000,I32,'[1]2_inventory_total_details'!$F$8:$F$10000,MID(N32,1,3)*1,'[1]2_inventory_total_details'!$G$8:$G$10000,"="&amp;S32,'[1]2_inventory_total_details'!$H$8:$H$10000,"="&amp;T32,'[1]2_inventory_total_details'!$I$8:$I$10000,"="&amp;adj_date)+SUMIFS('[1]2_inventory_total_details'!$K$8:$K$10000,'[1]2_inventory_total_details'!$C$8:$C$10000,I32,'[1]2_inventory_total_details'!$F$8:$F$10000,MID(N32,1,3)*1,'[1]2_inventory_total_details'!$G$8:$G$10000,"="&amp;S32,'[1]2_inventory_total_details'!$H$8:$H$10000,"="&amp;T32,'[1]2_inventory_total_details'!$I$8:$I$10000,"="&amp;adj_date)+SUMIFS('[1]2_inventory_total_details'!$L$8:$L$10000,'[1]2_inventory_total_details'!$C$8:$C$10000,I32,'[1]2_inventory_total_details'!$F$8:$F$10000,MID(N32,1,3)*1,'[1]2_inventory_total_details'!$G$8:$G$10000,"="&amp;S32,'[1]2_inventory_total_details'!$H$8:$H$10000,"="&amp;T32,'[1]2_inventory_total_details'!$I$8:$I$10000,"="&amp;adj_date)))</f>
        <v/>
      </c>
      <c r="AD32" s="270" t="str">
        <f>IF(L32="","",SUMIFS('[1]1_group_totals'!$J$8:$J$10000,'[1]1_group_totals'!$C$8:$C$10000,I32,'[1]1_group_totals'!$F$8:$F$10000,adj_location_group_id,'[1]1_group_totals'!$G$8:$G$10000,MID(N32,1,3)*1,'[1]1_group_totals'!$H$8:$H$10000,"="&amp;S32,'[1]1_group_totals'!$I$8:$I$10000,"="&amp;T32))</f>
        <v/>
      </c>
      <c r="AE32" s="1796" t="str">
        <f t="shared" si="11"/>
        <v/>
      </c>
      <c r="AF32" s="1797" t="str">
        <f>IF(ISNA(MATCH(MID(AE32,1,3)*1,UomConversion!$D$8:$D$500,0)),"",IF(AJ32&lt;&gt;"",AJ32,""))</f>
        <v/>
      </c>
      <c r="AG32" s="1797" t="str">
        <f>IF(AND(AH32&gt;0,COUNTIFS(UomConversion!$D$8:$D$500,MID(AE32,1,3)*1,UomConversion!$J$8:$J$500,1)&gt;1),TEXT(AH32,"000")&amp;"."&amp;VLOOKUP(AH32,uom_list,5,FALSE),"")</f>
        <v/>
      </c>
      <c r="AH32" s="270" t="str">
        <f t="shared" si="12"/>
        <v/>
      </c>
      <c r="AI32" s="270" t="str">
        <f t="shared" si="13"/>
        <v/>
      </c>
      <c r="AJ32" s="270" t="str">
        <f t="shared" si="14"/>
        <v/>
      </c>
      <c r="AK32" s="270" t="str" cm="1">
        <f t="array" ref="AK32">IF(L32="","",Slookup(MID(AE32,1,3)*1,UomConversion!$D$8:$J$500,2,UomConversion!$I$8:$I$500,1,UomConversion!$J$8:$J$500,1))</f>
        <v/>
      </c>
      <c r="AL32" s="270" t="str">
        <f t="shared" si="15"/>
        <v/>
      </c>
      <c r="AM32" s="270" t="str">
        <f>IF(L32="","",(SUMIFS('[1]1_group_totals'!$K$8:$K$10000,'[1]1_group_totals'!$C$8:$C$10000,I32,'[1]1_group_totals'!$F$8:$F$10000,adj_location_group_id,'[1]1_group_totals'!$G$8:$G$10000,MID(N32,1,3)*1,'[1]1_group_totals'!$H$8:$H$10000,"="&amp;S32,'[1]1_group_totals'!$I$8:$I$10000,"="&amp;T32)+SUMIFS('[1]1_group_totals'!$N$8:$N$10000,'[1]1_group_totals'!$C$8:$C$10000,I32,'[1]1_group_totals'!$F$8:$F$10000,adj_location_group_id,'[1]1_group_totals'!$G$8:$G$10000,MID(N32,1,3)*1,'[1]1_group_totals'!$H$8:$H$10000,"="&amp;S32,'[1]1_group_totals'!$I$8:$I$10000,"="&amp;T32)+SUMIFS('[1]1_group_totals'!$P$8:$P$10000,'[1]1_group_totals'!$C$8:$C$10000,I32,'[1]1_group_totals'!$F$8:$F$10000,adj_location_group_id,'[1]1_group_totals'!$G$8:$G$10000,MID(N32,1,3)*1,'[1]1_group_totals'!$H$8:$H$10000,"="&amp;S32,'[1]1_group_totals'!$I$8:$I$10000,"="&amp;T32)+SUMIFS('[1]1_group_totals'!$Q$8:$Q$10000,'[1]1_group_totals'!$C$8:$C$10000,I32,'[1]1_group_totals'!$F$8:$F$10000,adj_location_group_id,'[1]1_group_totals'!$G$8:$G$10000,MID(N32,1,3)*1,'[1]1_group_totals'!$H$8:$H$10000,"="&amp;S32,'[1]1_group_totals'!$I$8:$I$10000,"="&amp;T32))+(SUMIFS('[1]1_group_totals'!$L$8:$L$10000,'[1]1_group_totals'!$C$8:$C$10000,I32,'[1]1_group_totals'!$F$8:$F$10000,adj_location_group_id,'[1]1_group_totals'!$G$8:$G$10000,MID(N32,1,3)*1,'[1]1_group_totals'!$H$8:$H$10000,"="&amp;S32,'[1]1_group_totals'!$I$8:$I$10000,"="&amp;T32)+SUMIFS('[1]1_group_totals'!$M$8:$M$10000,'[1]1_group_totals'!$C$8:$C$10000,I32,'[1]1_group_totals'!$F$8:$F$10000,adj_location_group_id,'[1]1_group_totals'!$G$8:$G$10000,MID(N32,1,3)*1,'[1]1_group_totals'!$H$8:$H$10000,"="&amp;S32,'[1]1_group_totals'!$I$8:$I$10000,"="&amp;T32)+SUMIFS('[1]1_group_totals'!$O$8:$O$10000,'[1]1_group_totals'!$C$8:$C$10000,I32,'[1]1_group_totals'!$F$8:$F$10000,adj_location_group_id,'[1]1_group_totals'!$G$8:$G$10000,MID(N32,1,3)*1,'[1]1_group_totals'!$H$8:$H$10000,"="&amp;S32,'[1]1_group_totals'!$I$8:$I$10000,"="&amp;T32)+SUMIFS('[1]1_group_totals'!$R$8:$R$10000,'[1]1_group_totals'!$C$8:$C$10000,I32,'[1]1_group_totals'!$F$8:$F$10000,adj_location_group_id,'[1]1_group_totals'!$G$8:$G$10000,MID(N32,1,3)*1,'[1]1_group_totals'!$H$8:$H$10000,"="&amp;S32,'[1]1_group_totals'!$I$8:$I$10000,"="&amp;T32)))</f>
        <v/>
      </c>
      <c r="AN32" s="270" t="str">
        <f>IF(L32="","",(SUMIFS('[1]1_inventory_totals'!$I$8:$I$10000,'[1]1_inventory_totals'!$C$8:$C$10000,I32,'[1]1_inventory_totals'!$F$8:$F$10000,"="&amp;S32,'[1]1_inventory_totals'!$G$8:$G$10000,"="&amp;T32)+SUMIFS('[1]1_inventory_totals'!$N$8:$N$10000,'[1]1_inventory_totals'!$C$8:$C$10000,I32,'[1]1_inventory_totals'!$F$8:$F$10000,"="&amp;S32,'[1]1_inventory_totals'!$G$8:$G$10000,"="&amp;T32)+SUMIFS('[1]1_inventory_totals'!$P$8:$P$10000,'[1]1_inventory_totals'!$C$8:$C$10000,I32,'[1]1_inventory_totals'!$F$8:$F$10000,"="&amp;S32,'[1]1_inventory_totals'!$G$8:$G$10000,"="&amp;T32)+SUMIFS('[1]1_inventory_totals'!$Q$8:$Q$10000,'[1]1_inventory_totals'!$C$8:$C$10000,I32,'[1]1_inventory_totals'!$F$8:$F$10000,"="&amp;S32,'[1]1_inventory_totals'!$G$8:$G$10000,"="&amp;T32)+SUMIFS('[1]1_inventory_totals'!$R$8:$R$10000,'[1]1_inventory_totals'!$C$8:$C$10000,I32,'[1]1_inventory_totals'!$F$8:$F$10000,"="&amp;S32,'[1]1_inventory_totals'!$G$8:$G$10000,"="&amp;T32))+(SUMIFS('[1]1_inventory_totals'!$J$8:$J$10000,'[1]1_inventory_totals'!$C$8:$C$10000,I32,'[1]1_inventory_totals'!$F$8:$F$10000,"="&amp;S32,'[1]1_inventory_totals'!$G$8:$G$10000,"="&amp;T32)+SUMIFS('[1]1_inventory_totals'!$K$8:$K$10000,'[1]1_inventory_totals'!$C$8:$C$10000,I32,'[1]1_inventory_totals'!$F$8:$F$10000,"="&amp;S32,'[1]1_inventory_totals'!$G$8:$G$10000,"="&amp;T32)+SUMIFS('[1]1_inventory_totals'!$L$8:$L$10000,'[1]1_inventory_totals'!$C$8:$C$10000,I32,'[1]1_inventory_totals'!$F$8:$F$10000,"="&amp;S32,'[1]1_inventory_totals'!$G$8:$G$10000,"="&amp;T32)+SUMIFS('[1]1_inventory_totals'!$M$8:$M$10000,'[1]1_inventory_totals'!$C$8:$C$10000,I32,'[1]1_inventory_totals'!$F$8:$F$10000,"="&amp;S32,'[1]1_inventory_totals'!$G$8:$G$10000,"="&amp;T32)+SUMIFS('[1]1_inventory_totals'!$O$8:$O$10000,'[1]1_inventory_totals'!$C$8:$C$10000,I32,'[1]1_inventory_totals'!$F$8:$F$10000,"="&amp;S32,'[1]1_inventory_totals'!$G$8:$G$10000,"="&amp;T32)+SUMIFS('[1]1_inventory_totals'!$S$8:$S$10000,'[1]1_inventory_totals'!$C$8:$C$10000,I32,'[1]1_inventory_totals'!$F$8:$F$10000,"="&amp;S32,'[1]1_inventory_totals'!$G$8:$G$10000,"="&amp;T32)))</f>
        <v/>
      </c>
      <c r="AO32" s="270" t="str">
        <f>IF(L32="","",(SUMIFS('[1]2_inventory_totals'!$I$8:$I$10000,'[1]2_inventory_totals'!$C$8:$C$10000,I32,'[1]2_inventory_totals'!$F$8:$F$10000,"="&amp;S32,'[1]2_inventory_totals'!$G$8:$G$10000,"="&amp;T32)+SUMIFS('[1]2_inventory_totals'!$N$8:$N$10000,'[1]2_inventory_totals'!$C$8:$C$10000,I32,'[1]2_inventory_totals'!$F$8:$F$10000,"="&amp;S32,'[1]2_inventory_totals'!$G$8:$G$10000,"="&amp;T32)+SUMIFS('[1]2_inventory_totals'!$P$8:$P$10000,'[1]2_inventory_totals'!$C$8:$C$10000,I32,'[1]2_inventory_totals'!$F$8:$F$10000,"="&amp;S32,'[1]2_inventory_totals'!$G$8:$G$10000,"="&amp;T32)+SUMIFS('[1]2_inventory_totals'!$Q$8:$Q$10000,'[1]2_inventory_totals'!$C$8:$C$10000,I32,'[1]2_inventory_totals'!$F$8:$F$10000,"="&amp;S32,'[1]2_inventory_totals'!$G$8:$G$10000,"="&amp;T32)+SUMIFS('[1]2_inventory_totals'!$R$8:$R$10000,'[1]2_inventory_totals'!$C$8:$C$10000,I32,'[1]2_inventory_totals'!$F$8:$F$10000,"="&amp;S32,'[1]2_inventory_totals'!$G$8:$G$10000,"="&amp;T32))+(SUMIFS('[1]2_inventory_totals'!$J$8:$J$10000,'[1]2_inventory_totals'!$C$8:$C$10000,I32,'[1]2_inventory_totals'!$F$8:$F$10000,"="&amp;S32,'[1]2_inventory_totals'!$G$8:$G$10000,"="&amp;T32)+SUMIFS('[1]2_inventory_totals'!$K$8:$K$10000,'[1]2_inventory_totals'!$C$8:$C$10000,I32,'[1]2_inventory_totals'!$F$8:$F$10000,"="&amp;S32,'[1]2_inventory_totals'!$G$8:$G$10000,"="&amp;T32)+SUMIFS('[1]2_inventory_totals'!$L$8:$L$10000,'[1]2_inventory_totals'!$C$8:$C$10000,I32,'[1]2_inventory_totals'!$F$8:$F$10000,"="&amp;S32,'[1]2_inventory_totals'!$G$8:$G$10000,"="&amp;T32)+SUMIFS('[1]2_inventory_totals'!$M$8:$M$10000,'[1]2_inventory_totals'!$C$8:$C$10000,I32,'[1]2_inventory_totals'!$F$8:$F$10000,"="&amp;S32,'[1]2_inventory_totals'!$G$8:$G$10000,"="&amp;T32)+SUMIFS('[1]2_inventory_totals'!$O$8:$O$10000,'[1]2_inventory_totals'!$C$8:$C$10000,I32,'[1]2_inventory_totals'!$F$8:$F$10000,"="&amp;S32,'[1]2_inventory_totals'!$G$8:$G$10000,"="&amp;T32)+SUMIFS('[1]2_inventory_totals'!$S$8:$S$10000,'[1]2_inventory_totals'!$C$8:$C$10000,I32,'[1]2_inventory_totals'!$F$8:$F$10000,"="&amp;S32,'[1]2_inventory_totals'!$G$8:$G$10000,"="&amp;T32)))</f>
        <v/>
      </c>
      <c r="AP32" s="954"/>
    </row>
    <row r="33" spans="1:42" ht="27" customHeight="1">
      <c r="A33" s="923"/>
      <c r="B33" s="1172"/>
      <c r="C33" s="950"/>
      <c r="D33" s="950"/>
      <c r="E33" s="950"/>
      <c r="F33" s="1198"/>
      <c r="I33" s="1610" t="str">
        <f t="shared" si="5"/>
        <v/>
      </c>
      <c r="J33" s="270" t="str">
        <f t="shared" si="6"/>
        <v/>
      </c>
      <c r="K33" s="813" t="str">
        <f t="shared" si="0"/>
        <v/>
      </c>
      <c r="L33" s="1184"/>
      <c r="M33" s="1185"/>
      <c r="N33" s="1186"/>
      <c r="O33" s="1534"/>
      <c r="P33" s="336" t="str">
        <f t="shared" si="7"/>
        <v/>
      </c>
      <c r="Q33" s="336" t="str">
        <f>IF(L33="","",IF(AD33=0,0,(SUMIFS('[1]1_group_total_details'!$I$8:$I$10000,'[1]1_group_total_details'!$C$8:$C$10000,I33,'[1]1_group_total_details'!$F$8:$F$10000,adj_location_group_id,'[1]1_group_total_details'!$G$8:$G$10000,MID(N33,1,3)*1,'[1]1_group_total_details'!$H$8:$H$10000,"&lt;="&amp;adj_date)+SUMIFS('[1]1_group_total_details'!$L$8:$L$10000,'[1]1_group_total_details'!$C$8:$C$10000,I33,'[1]1_group_total_details'!$F$8:$F$10000,adj_location_group_id,'[1]1_group_total_details'!$G$8:$G$10000,MID(N33,1,3)*1,'[1]1_group_total_details'!$H$8:$H$10000,"&lt;="&amp;adj_date)+SUMIFS('[1]1_group_total_details'!$N$8:$N$10000,'[1]1_group_total_details'!$C$8:$C$10000,I33,'[1]1_group_total_details'!$F$8:$F$10000,adj_location_group_id,'[1]1_group_total_details'!$G$8:$G$10000,MID(N33,1,3)*1,'[1]1_group_total_details'!$H$8:$H$10000,"&lt;="&amp;adj_date)+SUMIFS('[1]1_group_total_details'!$O$8:$O$10000,'[1]1_group_total_details'!$C$8:$C$10000,I33,'[1]1_group_total_details'!$F$8:$F$10000,adj_location_group_id,'[1]1_group_total_details'!$G$8:$G$10000,MID(N33,1,3)*1,'[1]1_group_total_details'!$H$8:$H$10000,"&lt;="&amp;adj_date))-(SUMIFS('[1]1_group_total_details'!$J$8:$J$10000,'[1]1_group_total_details'!$C$8:$C$10000,I33,'[1]1_group_total_details'!$F$8:$F$10000,adj_location_group_id,'[1]1_group_total_details'!$G$8:$G$10000,MID(N33,1,3)*1,'[1]1_group_total_details'!$H$8:$H$10000,"&lt;="&amp;adj_date)+SUMIFS('[1]1_group_total_details'!$K$8:$K$10000,'[1]1_group_total_details'!$C$8:$C$10000,I33,'[1]1_group_total_details'!$F$8:$F$10000,adj_location_group_id,'[1]1_group_total_details'!$G$8:$G$10000,MID(N33,1,3)*1,'[1]1_group_total_details'!$H$8:$H$10000,"&lt;="&amp;adj_date)+SUMIFS('[1]1_group_total_details'!$M$8:$M$10000,'[1]1_group_total_details'!$C$8:$C$10000,I33,'[1]1_group_total_details'!$F$8:$F$10000,adj_location_group_id,'[1]1_group_total_details'!$G$8:$G$10000,MID(N33,1,3)*1,'[1]1_group_total_details'!$H$8:$H$10000,"&lt;="&amp;adj_date)+SUMIFS('[1]1_group_total_details'!$P$8:$P$10000,'[1]1_group_total_details'!$C$8:$C$10000,I33,'[1]1_group_total_details'!$F$8:$F$10000,adj_location_group_id,'[1]1_group_total_details'!$G$8:$G$10000,MID(N33,1,3)*1,'[1]1_group_total_details'!$H$8:$H$10000,"&lt;="&amp;adj_date))))</f>
        <v/>
      </c>
      <c r="R33" s="1187"/>
      <c r="S33" s="1186"/>
      <c r="T33" s="1186"/>
      <c r="U33" s="1184"/>
      <c r="V33" s="270" t="str" cm="1">
        <f t="array" ref="V33">IF(L33="","",IF(M33=AE33,1,Slookup(MID(AE33,1,3)*1,UomConversion!$D$8:$J$500,5,UomConversion!$E$8:$E$500,MID(M33,1,3)*1,UomConversion!$J$8:$J$500,1)))</f>
        <v/>
      </c>
      <c r="W33" s="270" t="str">
        <f t="shared" si="8"/>
        <v/>
      </c>
      <c r="X33" s="1795" t="str">
        <f t="shared" si="9"/>
        <v/>
      </c>
      <c r="Y33" s="1795" t="str">
        <f t="shared" si="10"/>
        <v/>
      </c>
      <c r="Z33" s="270" t="str">
        <f>IF(I33="","",IF(ISNA(MATCH(I33,IF(MID(N33,1,3)*1=1,'[1]1_inventory_totals'!$C$8:$C$10000,IF(MID(N33,1,3)*1=2,'[1]2_inventory_totals'!$C$8:$C$10000,"")),0)),0,IF(AL33&gt;0,1,0)))</f>
        <v/>
      </c>
      <c r="AA33" s="270" t="str">
        <f>IF(L33="","",IF(MID(N33,1,3)*1=1,SUMIFS('[1]1_inventory_total_details'!$J$8:$J$10000,'[1]1_inventory_total_details'!$C$8:$C$10000,I33,'[1]1_inventory_total_details'!$F$8:$F$10000,MID(N33,1,3)*1,'[1]1_inventory_total_details'!$G$8:$G$10000,"="&amp;S33,'[1]1_inventory_total_details'!$H$8:$H$10000,"="&amp;T33,'[1]1_inventory_total_details'!$I$8:$I$10000,"="&amp;adj_date)+SUMIFS('[1]1_inventory_total_details'!$M$8:$M$10000,'[1]1_inventory_total_details'!$C$8:$C$10000,I33,'[1]1_inventory_total_details'!$F$8:$F$10000,MID(N33,1,3)*1,'[1]1_inventory_total_details'!$G$8:$G$10000,"="&amp;S33,'[1]1_inventory_total_details'!$H$8:$H$10000,"="&amp;T33,'[1]1_inventory_total_details'!$I$8:$I$10000,"="&amp;adj_date)+SUMIFS('[1]1_inventory_total_details'!$K$8:$K$10000,'[1]1_inventory_total_details'!$C$8:$C$10000,I33,'[1]1_inventory_total_details'!$F$8:$F$10000,MID(N33,1,3)*1,'[1]1_inventory_total_details'!$G$8:$G$10000,"="&amp;S33,'[1]1_inventory_total_details'!$H$8:$H$10000,"="&amp;T33,'[1]1_inventory_total_details'!$I$8:$I$10000,"="&amp;adj_date)+SUMIFS('[1]1_inventory_total_details'!$L$8:$L$10000,'[1]1_inventory_total_details'!$C$8:$C$10000,I33,'[1]1_inventory_total_details'!$F$8:$F$10000,MID(N33,1,3)*1,'[1]1_inventory_total_details'!$G$8:$G$10000,"="&amp;S33,'[1]1_inventory_total_details'!$H$8:$H$10000,"="&amp;T33,'[1]1_inventory_total_details'!$I$8:$I$10000,"="&amp;adj_date),SUMIFS('[1]2_inventory_total_details'!$J$8:$J$10000,'[1]2_inventory_total_details'!$C$8:$C$10000,I33,'[1]2_inventory_total_details'!$F$8:$F$10000,MID(N33,1,3)*1,'[1]2_inventory_total_details'!$G$8:$G$10000,"="&amp;S33,'[1]2_inventory_total_details'!$H$8:$H$10000,"="&amp;T33,'[1]2_inventory_total_details'!$I$8:$I$10000,"="&amp;adj_date)+SUMIFS('[1]2_inventory_total_details'!$M$8:$M$10000,'[1]1_inventory_total_details'!$C$8:$C$10000,I33,'[1]2_inventory_total_details'!$F$8:$F$10000,MID(N33,1,3)*1,'[1]2_inventory_total_details'!$G$8:$G$10000,"="&amp;S33,'[1]2_inventory_total_details'!$H$8:$H$10000,"="&amp;T33,'[1]2_inventory_total_details'!$I$8:$I$10000,"="&amp;adj_date)+SUMIFS('[1]2_inventory_total_details'!$K$8:$K$10000,'[1]2_inventory_total_details'!$C$8:$C$10000,I33,'[1]2_inventory_total_details'!$F$8:$F$10000,MID(N33,1,3)*1,'[1]2_inventory_total_details'!$G$8:$G$10000,"="&amp;S33,'[1]2_inventory_total_details'!$H$8:$H$10000,"="&amp;T33,'[1]2_inventory_total_details'!$I$8:$I$10000,"="&amp;adj_date)+SUMIFS('[1]2_inventory_total_details'!$L$8:$L$10000,'[1]2_inventory_total_details'!$C$8:$C$10000,I33,'[1]2_inventory_total_details'!$F$8:$F$10000,MID(N33,1,3)*1,'[1]2_inventory_total_details'!$G$8:$G$10000,"="&amp;S33,'[1]2_inventory_total_details'!$H$8:$H$10000,"="&amp;T33,'[1]2_inventory_total_details'!$I$8:$I$10000,"="&amp;adj_date)))</f>
        <v/>
      </c>
      <c r="AB33" s="270" t="str">
        <f>IF(L33="","",IF(MID(N33,1,3)*1=1,SUMIFS('[1]1_inventory_total_details'!$J$8:$J$10000,'[1]1_inventory_total_details'!$C$8:$C$10000,I33,'[1]1_inventory_total_details'!$F$8:$F$10000,MID(N33,1,3)*1,'[1]1_inventory_total_details'!$G$8:$G$10000,"="&amp;S33,'[1]1_inventory_total_details'!$H$8:$H$10000,"="&amp;T33,'[1]1_inventory_total_details'!$I$8:$I$10000,"="&amp;adj_date)+SUMIFS('[1]1_inventory_total_details'!$M$8:$M$10000,'[1]1_inventory_total_details'!$C$8:$C$10000,I33,'[1]1_inventory_total_details'!$F$8:$F$10000,MID(N33,1,3)*1,'[1]1_inventory_total_details'!$G$8:$G$10000,"="&amp;S33,'[1]1_inventory_total_details'!$H$8:$H$10000,"="&amp;T33,'[1]1_inventory_total_details'!$I$8:$I$10000,"="&amp;adj_date)+SUMIFS('[1]1_inventory_total_details'!$K$8:$K$10000,'[1]1_inventory_total_details'!$C$8:$C$10000,I33,'[1]1_inventory_total_details'!$F$8:$F$10000,MID(N33,1,3)*1,'[1]1_inventory_total_details'!$G$8:$G$10000,"="&amp;S33,'[1]1_inventory_total_details'!$H$8:$H$10000,"="&amp;T33,'[1]1_inventory_total_details'!$I$8:$I$10000,"="&amp;adj_date)+SUMIFS('[1]1_inventory_total_details'!$L$8:$L$10000,'[1]1_inventory_total_details'!$C$8:$C$10000,I33,'[1]1_inventory_total_details'!$F$8:$F$10000,MID(N33,1,3)*1,'[1]1_inventory_total_details'!$G$8:$G$10000,"="&amp;S33,'[1]1_inventory_total_details'!$H$8:$H$10000,"="&amp;T33,'[1]1_inventory_total_details'!$I$8:$I$10000,"="&amp;adj_date),SUMIFS('[1]2_inventory_total_details'!$J$8:$J$10000,'[1]2_inventory_total_details'!$C$8:$C$10000,I33,'[1]2_inventory_total_details'!$F$8:$F$10000,MID(N33,1,3)*1,'[1]2_inventory_total_details'!$G$8:$G$10000,"="&amp;S33,'[1]2_inventory_total_details'!$H$8:$H$10000,"="&amp;T33,'[1]2_inventory_total_details'!$I$8:$I$10000,"="&amp;adj_date)+SUMIFS('[1]2_inventory_total_details'!$M$8:$M$10000,'[1]1_inventory_total_details'!$C$8:$C$10000,I33,'[1]2_inventory_total_details'!$F$8:$F$10000,MID(N33,1,3)*1,'[1]2_inventory_total_details'!$G$8:$G$10000,"="&amp;S33,'[1]2_inventory_total_details'!$H$8:$H$10000,"="&amp;T33,'[1]2_inventory_total_details'!$I$8:$I$10000,"="&amp;adj_date)+SUMIFS('[1]2_inventory_total_details'!$K$8:$K$10000,'[1]2_inventory_total_details'!$C$8:$C$10000,I33,'[1]2_inventory_total_details'!$F$8:$F$10000,MID(N33,1,3)*1,'[1]2_inventory_total_details'!$G$8:$G$10000,"="&amp;S33,'[1]2_inventory_total_details'!$H$8:$H$10000,"="&amp;T33,'[1]2_inventory_total_details'!$I$8:$I$10000,"="&amp;adj_date)+SUMIFS('[1]2_inventory_total_details'!$L$8:$L$10000,'[1]2_inventory_total_details'!$C$8:$C$10000,I33,'[1]2_inventory_total_details'!$F$8:$F$10000,MID(N33,1,3)*1,'[1]2_inventory_total_details'!$G$8:$G$10000,"="&amp;S33,'[1]2_inventory_total_details'!$H$8:$H$10000,"="&amp;T33,'[1]2_inventory_total_details'!$I$8:$I$10000,"="&amp;adj_date)))</f>
        <v/>
      </c>
      <c r="AC33" s="270" t="str">
        <f>IF(L33="","",IF(MID(N33,1,3)*1=1,SUMIFS('[1]1_inventory_total_details'!$J$8:$J$10000,'[1]1_inventory_total_details'!$C$8:$C$10000,I33,'[1]1_inventory_total_details'!$F$8:$F$10000,MID(N33,1,3)*1,'[1]1_inventory_total_details'!$G$8:$G$10000,"="&amp;S33,'[1]1_inventory_total_details'!$H$8:$H$10000,"="&amp;T33,'[1]1_inventory_total_details'!$I$8:$I$10000,"="&amp;adj_date)+SUMIFS('[1]1_inventory_total_details'!$M$8:$M$10000,'[1]1_inventory_total_details'!$C$8:$C$10000,I33,'[1]1_inventory_total_details'!$F$8:$F$10000,MID(N33,1,3)*1,'[1]1_inventory_total_details'!$G$8:$G$10000,"="&amp;S33,'[1]1_inventory_total_details'!$H$8:$H$10000,"="&amp;T33,'[1]1_inventory_total_details'!$I$8:$I$10000,"="&amp;adj_date)+SUMIFS('[1]1_inventory_total_details'!$K$8:$K$10000,'[1]1_inventory_total_details'!$C$8:$C$10000,I33,'[1]1_inventory_total_details'!$F$8:$F$10000,MID(N33,1,3)*1,'[1]1_inventory_total_details'!$G$8:$G$10000,"="&amp;S33,'[1]1_inventory_total_details'!$H$8:$H$10000,"="&amp;T33,'[1]1_inventory_total_details'!$I$8:$I$10000,"="&amp;adj_date)+SUMIFS('[1]1_inventory_total_details'!$L$8:$L$10000,'[1]1_inventory_total_details'!$C$8:$C$10000,I33,'[1]1_inventory_total_details'!$F$8:$F$10000,MID(N33,1,3)*1,'[1]1_inventory_total_details'!$G$8:$G$10000,"="&amp;S33,'[1]1_inventory_total_details'!$H$8:$H$10000,"="&amp;T33,'[1]1_inventory_total_details'!$I$8:$I$10000,"="&amp;adj_date),SUMIFS('[1]2_inventory_total_details'!$J$8:$J$10000,'[1]2_inventory_total_details'!$C$8:$C$10000,I33,'[1]2_inventory_total_details'!$F$8:$F$10000,MID(N33,1,3)*1,'[1]2_inventory_total_details'!$G$8:$G$10000,"="&amp;S33,'[1]2_inventory_total_details'!$H$8:$H$10000,"="&amp;T33,'[1]2_inventory_total_details'!$I$8:$I$10000,"="&amp;adj_date)+SUMIFS('[1]2_inventory_total_details'!$M$8:$M$10000,'[1]1_inventory_total_details'!$C$8:$C$10000,I33,'[1]2_inventory_total_details'!$F$8:$F$10000,MID(N33,1,3)*1,'[1]2_inventory_total_details'!$G$8:$G$10000,"="&amp;S33,'[1]2_inventory_total_details'!$H$8:$H$10000,"="&amp;T33,'[1]2_inventory_total_details'!$I$8:$I$10000,"="&amp;adj_date)+SUMIFS('[1]2_inventory_total_details'!$K$8:$K$10000,'[1]2_inventory_total_details'!$C$8:$C$10000,I33,'[1]2_inventory_total_details'!$F$8:$F$10000,MID(N33,1,3)*1,'[1]2_inventory_total_details'!$G$8:$G$10000,"="&amp;S33,'[1]2_inventory_total_details'!$H$8:$H$10000,"="&amp;T33,'[1]2_inventory_total_details'!$I$8:$I$10000,"="&amp;adj_date)+SUMIFS('[1]2_inventory_total_details'!$L$8:$L$10000,'[1]2_inventory_total_details'!$C$8:$C$10000,I33,'[1]2_inventory_total_details'!$F$8:$F$10000,MID(N33,1,3)*1,'[1]2_inventory_total_details'!$G$8:$G$10000,"="&amp;S33,'[1]2_inventory_total_details'!$H$8:$H$10000,"="&amp;T33,'[1]2_inventory_total_details'!$I$8:$I$10000,"="&amp;adj_date)))</f>
        <v/>
      </c>
      <c r="AD33" s="270" t="str">
        <f>IF(L33="","",SUMIFS('[1]1_group_totals'!$J$8:$J$10000,'[1]1_group_totals'!$C$8:$C$10000,I33,'[1]1_group_totals'!$F$8:$F$10000,adj_location_group_id,'[1]1_group_totals'!$G$8:$G$10000,MID(N33,1,3)*1,'[1]1_group_totals'!$H$8:$H$10000,"="&amp;S33,'[1]1_group_totals'!$I$8:$I$10000,"="&amp;T33))</f>
        <v/>
      </c>
      <c r="AE33" s="1796" t="str">
        <f t="shared" si="11"/>
        <v/>
      </c>
      <c r="AF33" s="1797" t="str">
        <f>IF(ISNA(MATCH(MID(AE33,1,3)*1,UomConversion!$D$8:$D$500,0)),"",IF(AJ33&lt;&gt;"",AJ33,""))</f>
        <v/>
      </c>
      <c r="AG33" s="1797" t="str">
        <f>IF(AND(AH33&gt;0,COUNTIFS(UomConversion!$D$8:$D$500,MID(AE33,1,3)*1,UomConversion!$J$8:$J$500,1)&gt;1),TEXT(AH33,"000")&amp;"."&amp;VLOOKUP(AH33,uom_list,5,FALSE),"")</f>
        <v/>
      </c>
      <c r="AH33" s="270" t="str">
        <f t="shared" si="12"/>
        <v/>
      </c>
      <c r="AI33" s="270" t="str">
        <f t="shared" si="13"/>
        <v/>
      </c>
      <c r="AJ33" s="270" t="str">
        <f t="shared" si="14"/>
        <v/>
      </c>
      <c r="AK33" s="270" t="str" cm="1">
        <f t="array" ref="AK33">IF(L33="","",Slookup(MID(AE33,1,3)*1,UomConversion!$D$8:$J$500,2,UomConversion!$I$8:$I$500,1,UomConversion!$J$8:$J$500,1))</f>
        <v/>
      </c>
      <c r="AL33" s="270" t="str">
        <f t="shared" si="15"/>
        <v/>
      </c>
      <c r="AM33" s="270" t="str">
        <f>IF(L33="","",(SUMIFS('[1]1_group_totals'!$K$8:$K$10000,'[1]1_group_totals'!$C$8:$C$10000,I33,'[1]1_group_totals'!$F$8:$F$10000,adj_location_group_id,'[1]1_group_totals'!$G$8:$G$10000,MID(N33,1,3)*1,'[1]1_group_totals'!$H$8:$H$10000,"="&amp;S33,'[1]1_group_totals'!$I$8:$I$10000,"="&amp;T33)+SUMIFS('[1]1_group_totals'!$N$8:$N$10000,'[1]1_group_totals'!$C$8:$C$10000,I33,'[1]1_group_totals'!$F$8:$F$10000,adj_location_group_id,'[1]1_group_totals'!$G$8:$G$10000,MID(N33,1,3)*1,'[1]1_group_totals'!$H$8:$H$10000,"="&amp;S33,'[1]1_group_totals'!$I$8:$I$10000,"="&amp;T33)+SUMIFS('[1]1_group_totals'!$P$8:$P$10000,'[1]1_group_totals'!$C$8:$C$10000,I33,'[1]1_group_totals'!$F$8:$F$10000,adj_location_group_id,'[1]1_group_totals'!$G$8:$G$10000,MID(N33,1,3)*1,'[1]1_group_totals'!$H$8:$H$10000,"="&amp;S33,'[1]1_group_totals'!$I$8:$I$10000,"="&amp;T33)+SUMIFS('[1]1_group_totals'!$Q$8:$Q$10000,'[1]1_group_totals'!$C$8:$C$10000,I33,'[1]1_group_totals'!$F$8:$F$10000,adj_location_group_id,'[1]1_group_totals'!$G$8:$G$10000,MID(N33,1,3)*1,'[1]1_group_totals'!$H$8:$H$10000,"="&amp;S33,'[1]1_group_totals'!$I$8:$I$10000,"="&amp;T33))+(SUMIFS('[1]1_group_totals'!$L$8:$L$10000,'[1]1_group_totals'!$C$8:$C$10000,I33,'[1]1_group_totals'!$F$8:$F$10000,adj_location_group_id,'[1]1_group_totals'!$G$8:$G$10000,MID(N33,1,3)*1,'[1]1_group_totals'!$H$8:$H$10000,"="&amp;S33,'[1]1_group_totals'!$I$8:$I$10000,"="&amp;T33)+SUMIFS('[1]1_group_totals'!$M$8:$M$10000,'[1]1_group_totals'!$C$8:$C$10000,I33,'[1]1_group_totals'!$F$8:$F$10000,adj_location_group_id,'[1]1_group_totals'!$G$8:$G$10000,MID(N33,1,3)*1,'[1]1_group_totals'!$H$8:$H$10000,"="&amp;S33,'[1]1_group_totals'!$I$8:$I$10000,"="&amp;T33)+SUMIFS('[1]1_group_totals'!$O$8:$O$10000,'[1]1_group_totals'!$C$8:$C$10000,I33,'[1]1_group_totals'!$F$8:$F$10000,adj_location_group_id,'[1]1_group_totals'!$G$8:$G$10000,MID(N33,1,3)*1,'[1]1_group_totals'!$H$8:$H$10000,"="&amp;S33,'[1]1_group_totals'!$I$8:$I$10000,"="&amp;T33)+SUMIFS('[1]1_group_totals'!$R$8:$R$10000,'[1]1_group_totals'!$C$8:$C$10000,I33,'[1]1_group_totals'!$F$8:$F$10000,adj_location_group_id,'[1]1_group_totals'!$G$8:$G$10000,MID(N33,1,3)*1,'[1]1_group_totals'!$H$8:$H$10000,"="&amp;S33,'[1]1_group_totals'!$I$8:$I$10000,"="&amp;T33)))</f>
        <v/>
      </c>
      <c r="AN33" s="270" t="str">
        <f>IF(L33="","",(SUMIFS('[1]1_inventory_totals'!$I$8:$I$10000,'[1]1_inventory_totals'!$C$8:$C$10000,I33,'[1]1_inventory_totals'!$F$8:$F$10000,"="&amp;S33,'[1]1_inventory_totals'!$G$8:$G$10000,"="&amp;T33)+SUMIFS('[1]1_inventory_totals'!$N$8:$N$10000,'[1]1_inventory_totals'!$C$8:$C$10000,I33,'[1]1_inventory_totals'!$F$8:$F$10000,"="&amp;S33,'[1]1_inventory_totals'!$G$8:$G$10000,"="&amp;T33)+SUMIFS('[1]1_inventory_totals'!$P$8:$P$10000,'[1]1_inventory_totals'!$C$8:$C$10000,I33,'[1]1_inventory_totals'!$F$8:$F$10000,"="&amp;S33,'[1]1_inventory_totals'!$G$8:$G$10000,"="&amp;T33)+SUMIFS('[1]1_inventory_totals'!$Q$8:$Q$10000,'[1]1_inventory_totals'!$C$8:$C$10000,I33,'[1]1_inventory_totals'!$F$8:$F$10000,"="&amp;S33,'[1]1_inventory_totals'!$G$8:$G$10000,"="&amp;T33)+SUMIFS('[1]1_inventory_totals'!$R$8:$R$10000,'[1]1_inventory_totals'!$C$8:$C$10000,I33,'[1]1_inventory_totals'!$F$8:$F$10000,"="&amp;S33,'[1]1_inventory_totals'!$G$8:$G$10000,"="&amp;T33))+(SUMIFS('[1]1_inventory_totals'!$J$8:$J$10000,'[1]1_inventory_totals'!$C$8:$C$10000,I33,'[1]1_inventory_totals'!$F$8:$F$10000,"="&amp;S33,'[1]1_inventory_totals'!$G$8:$G$10000,"="&amp;T33)+SUMIFS('[1]1_inventory_totals'!$K$8:$K$10000,'[1]1_inventory_totals'!$C$8:$C$10000,I33,'[1]1_inventory_totals'!$F$8:$F$10000,"="&amp;S33,'[1]1_inventory_totals'!$G$8:$G$10000,"="&amp;T33)+SUMIFS('[1]1_inventory_totals'!$L$8:$L$10000,'[1]1_inventory_totals'!$C$8:$C$10000,I33,'[1]1_inventory_totals'!$F$8:$F$10000,"="&amp;S33,'[1]1_inventory_totals'!$G$8:$G$10000,"="&amp;T33)+SUMIFS('[1]1_inventory_totals'!$M$8:$M$10000,'[1]1_inventory_totals'!$C$8:$C$10000,I33,'[1]1_inventory_totals'!$F$8:$F$10000,"="&amp;S33,'[1]1_inventory_totals'!$G$8:$G$10000,"="&amp;T33)+SUMIFS('[1]1_inventory_totals'!$O$8:$O$10000,'[1]1_inventory_totals'!$C$8:$C$10000,I33,'[1]1_inventory_totals'!$F$8:$F$10000,"="&amp;S33,'[1]1_inventory_totals'!$G$8:$G$10000,"="&amp;T33)+SUMIFS('[1]1_inventory_totals'!$S$8:$S$10000,'[1]1_inventory_totals'!$C$8:$C$10000,I33,'[1]1_inventory_totals'!$F$8:$F$10000,"="&amp;S33,'[1]1_inventory_totals'!$G$8:$G$10000,"="&amp;T33)))</f>
        <v/>
      </c>
      <c r="AO33" s="270" t="str">
        <f>IF(L33="","",(SUMIFS('[1]2_inventory_totals'!$I$8:$I$10000,'[1]2_inventory_totals'!$C$8:$C$10000,I33,'[1]2_inventory_totals'!$F$8:$F$10000,"="&amp;S33,'[1]2_inventory_totals'!$G$8:$G$10000,"="&amp;T33)+SUMIFS('[1]2_inventory_totals'!$N$8:$N$10000,'[1]2_inventory_totals'!$C$8:$C$10000,I33,'[1]2_inventory_totals'!$F$8:$F$10000,"="&amp;S33,'[1]2_inventory_totals'!$G$8:$G$10000,"="&amp;T33)+SUMIFS('[1]2_inventory_totals'!$P$8:$P$10000,'[1]2_inventory_totals'!$C$8:$C$10000,I33,'[1]2_inventory_totals'!$F$8:$F$10000,"="&amp;S33,'[1]2_inventory_totals'!$G$8:$G$10000,"="&amp;T33)+SUMIFS('[1]2_inventory_totals'!$Q$8:$Q$10000,'[1]2_inventory_totals'!$C$8:$C$10000,I33,'[1]2_inventory_totals'!$F$8:$F$10000,"="&amp;S33,'[1]2_inventory_totals'!$G$8:$G$10000,"="&amp;T33)+SUMIFS('[1]2_inventory_totals'!$R$8:$R$10000,'[1]2_inventory_totals'!$C$8:$C$10000,I33,'[1]2_inventory_totals'!$F$8:$F$10000,"="&amp;S33,'[1]2_inventory_totals'!$G$8:$G$10000,"="&amp;T33))+(SUMIFS('[1]2_inventory_totals'!$J$8:$J$10000,'[1]2_inventory_totals'!$C$8:$C$10000,I33,'[1]2_inventory_totals'!$F$8:$F$10000,"="&amp;S33,'[1]2_inventory_totals'!$G$8:$G$10000,"="&amp;T33)+SUMIFS('[1]2_inventory_totals'!$K$8:$K$10000,'[1]2_inventory_totals'!$C$8:$C$10000,I33,'[1]2_inventory_totals'!$F$8:$F$10000,"="&amp;S33,'[1]2_inventory_totals'!$G$8:$G$10000,"="&amp;T33)+SUMIFS('[1]2_inventory_totals'!$L$8:$L$10000,'[1]2_inventory_totals'!$C$8:$C$10000,I33,'[1]2_inventory_totals'!$F$8:$F$10000,"="&amp;S33,'[1]2_inventory_totals'!$G$8:$G$10000,"="&amp;T33)+SUMIFS('[1]2_inventory_totals'!$M$8:$M$10000,'[1]2_inventory_totals'!$C$8:$C$10000,I33,'[1]2_inventory_totals'!$F$8:$F$10000,"="&amp;S33,'[1]2_inventory_totals'!$G$8:$G$10000,"="&amp;T33)+SUMIFS('[1]2_inventory_totals'!$O$8:$O$10000,'[1]2_inventory_totals'!$C$8:$C$10000,I33,'[1]2_inventory_totals'!$F$8:$F$10000,"="&amp;S33,'[1]2_inventory_totals'!$G$8:$G$10000,"="&amp;T33)+SUMIFS('[1]2_inventory_totals'!$S$8:$S$10000,'[1]2_inventory_totals'!$C$8:$C$10000,I33,'[1]2_inventory_totals'!$F$8:$F$10000,"="&amp;S33,'[1]2_inventory_totals'!$G$8:$G$10000,"="&amp;T33)))</f>
        <v/>
      </c>
      <c r="AP33" s="954"/>
    </row>
    <row r="34" spans="1:42" ht="27" customHeight="1">
      <c r="A34" s="923"/>
      <c r="B34" s="1172"/>
      <c r="C34" s="950"/>
      <c r="D34" s="950"/>
      <c r="E34" s="950"/>
      <c r="F34" s="1198"/>
      <c r="I34" s="1610" t="str">
        <f t="shared" si="5"/>
        <v/>
      </c>
      <c r="J34" s="270" t="str">
        <f t="shared" si="6"/>
        <v/>
      </c>
      <c r="K34" s="813" t="str">
        <f t="shared" si="0"/>
        <v/>
      </c>
      <c r="L34" s="1184"/>
      <c r="M34" s="1185"/>
      <c r="N34" s="1186"/>
      <c r="O34" s="1534"/>
      <c r="P34" s="336" t="str">
        <f t="shared" si="7"/>
        <v/>
      </c>
      <c r="Q34" s="336" t="str">
        <f>IF(L34="","",IF(AD34=0,0,(SUMIFS('[1]1_group_total_details'!$I$8:$I$10000,'[1]1_group_total_details'!$C$8:$C$10000,I34,'[1]1_group_total_details'!$F$8:$F$10000,adj_location_group_id,'[1]1_group_total_details'!$G$8:$G$10000,MID(N34,1,3)*1,'[1]1_group_total_details'!$H$8:$H$10000,"&lt;="&amp;adj_date)+SUMIFS('[1]1_group_total_details'!$L$8:$L$10000,'[1]1_group_total_details'!$C$8:$C$10000,I34,'[1]1_group_total_details'!$F$8:$F$10000,adj_location_group_id,'[1]1_group_total_details'!$G$8:$G$10000,MID(N34,1,3)*1,'[1]1_group_total_details'!$H$8:$H$10000,"&lt;="&amp;adj_date)+SUMIFS('[1]1_group_total_details'!$N$8:$N$10000,'[1]1_group_total_details'!$C$8:$C$10000,I34,'[1]1_group_total_details'!$F$8:$F$10000,adj_location_group_id,'[1]1_group_total_details'!$G$8:$G$10000,MID(N34,1,3)*1,'[1]1_group_total_details'!$H$8:$H$10000,"&lt;="&amp;adj_date)+SUMIFS('[1]1_group_total_details'!$O$8:$O$10000,'[1]1_group_total_details'!$C$8:$C$10000,I34,'[1]1_group_total_details'!$F$8:$F$10000,adj_location_group_id,'[1]1_group_total_details'!$G$8:$G$10000,MID(N34,1,3)*1,'[1]1_group_total_details'!$H$8:$H$10000,"&lt;="&amp;adj_date))-(SUMIFS('[1]1_group_total_details'!$J$8:$J$10000,'[1]1_group_total_details'!$C$8:$C$10000,I34,'[1]1_group_total_details'!$F$8:$F$10000,adj_location_group_id,'[1]1_group_total_details'!$G$8:$G$10000,MID(N34,1,3)*1,'[1]1_group_total_details'!$H$8:$H$10000,"&lt;="&amp;adj_date)+SUMIFS('[1]1_group_total_details'!$K$8:$K$10000,'[1]1_group_total_details'!$C$8:$C$10000,I34,'[1]1_group_total_details'!$F$8:$F$10000,adj_location_group_id,'[1]1_group_total_details'!$G$8:$G$10000,MID(N34,1,3)*1,'[1]1_group_total_details'!$H$8:$H$10000,"&lt;="&amp;adj_date)+SUMIFS('[1]1_group_total_details'!$M$8:$M$10000,'[1]1_group_total_details'!$C$8:$C$10000,I34,'[1]1_group_total_details'!$F$8:$F$10000,adj_location_group_id,'[1]1_group_total_details'!$G$8:$G$10000,MID(N34,1,3)*1,'[1]1_group_total_details'!$H$8:$H$10000,"&lt;="&amp;adj_date)+SUMIFS('[1]1_group_total_details'!$P$8:$P$10000,'[1]1_group_total_details'!$C$8:$C$10000,I34,'[1]1_group_total_details'!$F$8:$F$10000,adj_location_group_id,'[1]1_group_total_details'!$G$8:$G$10000,MID(N34,1,3)*1,'[1]1_group_total_details'!$H$8:$H$10000,"&lt;="&amp;adj_date))))</f>
        <v/>
      </c>
      <c r="R34" s="1187"/>
      <c r="S34" s="1186"/>
      <c r="T34" s="1186"/>
      <c r="U34" s="1184"/>
      <c r="V34" s="270" t="str" cm="1">
        <f t="array" ref="V34">IF(L34="","",IF(M34=AE34,1,Slookup(MID(AE34,1,3)*1,UomConversion!$D$8:$J$500,5,UomConversion!$E$8:$E$500,MID(M34,1,3)*1,UomConversion!$J$8:$J$500,1)))</f>
        <v/>
      </c>
      <c r="W34" s="270" t="str">
        <f t="shared" si="8"/>
        <v/>
      </c>
      <c r="X34" s="1795" t="str">
        <f t="shared" si="9"/>
        <v/>
      </c>
      <c r="Y34" s="1795" t="str">
        <f t="shared" si="10"/>
        <v/>
      </c>
      <c r="Z34" s="270" t="str">
        <f>IF(I34="","",IF(ISNA(MATCH(I34,IF(MID(N34,1,3)*1=1,'[1]1_inventory_totals'!$C$8:$C$10000,IF(MID(N34,1,3)*1=2,'[1]2_inventory_totals'!$C$8:$C$10000,"")),0)),0,IF(AL34&gt;0,1,0)))</f>
        <v/>
      </c>
      <c r="AA34" s="270" t="str">
        <f>IF(L34="","",IF(MID(N34,1,3)*1=1,SUMIFS('[1]1_inventory_total_details'!$J$8:$J$10000,'[1]1_inventory_total_details'!$C$8:$C$10000,I34,'[1]1_inventory_total_details'!$F$8:$F$10000,MID(N34,1,3)*1,'[1]1_inventory_total_details'!$G$8:$G$10000,"="&amp;S34,'[1]1_inventory_total_details'!$H$8:$H$10000,"="&amp;T34,'[1]1_inventory_total_details'!$I$8:$I$10000,"="&amp;adj_date)+SUMIFS('[1]1_inventory_total_details'!$M$8:$M$10000,'[1]1_inventory_total_details'!$C$8:$C$10000,I34,'[1]1_inventory_total_details'!$F$8:$F$10000,MID(N34,1,3)*1,'[1]1_inventory_total_details'!$G$8:$G$10000,"="&amp;S34,'[1]1_inventory_total_details'!$H$8:$H$10000,"="&amp;T34,'[1]1_inventory_total_details'!$I$8:$I$10000,"="&amp;adj_date)+SUMIFS('[1]1_inventory_total_details'!$K$8:$K$10000,'[1]1_inventory_total_details'!$C$8:$C$10000,I34,'[1]1_inventory_total_details'!$F$8:$F$10000,MID(N34,1,3)*1,'[1]1_inventory_total_details'!$G$8:$G$10000,"="&amp;S34,'[1]1_inventory_total_details'!$H$8:$H$10000,"="&amp;T34,'[1]1_inventory_total_details'!$I$8:$I$10000,"="&amp;adj_date)+SUMIFS('[1]1_inventory_total_details'!$L$8:$L$10000,'[1]1_inventory_total_details'!$C$8:$C$10000,I34,'[1]1_inventory_total_details'!$F$8:$F$10000,MID(N34,1,3)*1,'[1]1_inventory_total_details'!$G$8:$G$10000,"="&amp;S34,'[1]1_inventory_total_details'!$H$8:$H$10000,"="&amp;T34,'[1]1_inventory_total_details'!$I$8:$I$10000,"="&amp;adj_date),SUMIFS('[1]2_inventory_total_details'!$J$8:$J$10000,'[1]2_inventory_total_details'!$C$8:$C$10000,I34,'[1]2_inventory_total_details'!$F$8:$F$10000,MID(N34,1,3)*1,'[1]2_inventory_total_details'!$G$8:$G$10000,"="&amp;S34,'[1]2_inventory_total_details'!$H$8:$H$10000,"="&amp;T34,'[1]2_inventory_total_details'!$I$8:$I$10000,"="&amp;adj_date)+SUMIFS('[1]2_inventory_total_details'!$M$8:$M$10000,'[1]1_inventory_total_details'!$C$8:$C$10000,I34,'[1]2_inventory_total_details'!$F$8:$F$10000,MID(N34,1,3)*1,'[1]2_inventory_total_details'!$G$8:$G$10000,"="&amp;S34,'[1]2_inventory_total_details'!$H$8:$H$10000,"="&amp;T34,'[1]2_inventory_total_details'!$I$8:$I$10000,"="&amp;adj_date)+SUMIFS('[1]2_inventory_total_details'!$K$8:$K$10000,'[1]2_inventory_total_details'!$C$8:$C$10000,I34,'[1]2_inventory_total_details'!$F$8:$F$10000,MID(N34,1,3)*1,'[1]2_inventory_total_details'!$G$8:$G$10000,"="&amp;S34,'[1]2_inventory_total_details'!$H$8:$H$10000,"="&amp;T34,'[1]2_inventory_total_details'!$I$8:$I$10000,"="&amp;adj_date)+SUMIFS('[1]2_inventory_total_details'!$L$8:$L$10000,'[1]2_inventory_total_details'!$C$8:$C$10000,I34,'[1]2_inventory_total_details'!$F$8:$F$10000,MID(N34,1,3)*1,'[1]2_inventory_total_details'!$G$8:$G$10000,"="&amp;S34,'[1]2_inventory_total_details'!$H$8:$H$10000,"="&amp;T34,'[1]2_inventory_total_details'!$I$8:$I$10000,"="&amp;adj_date)))</f>
        <v/>
      </c>
      <c r="AB34" s="270" t="str">
        <f>IF(L34="","",IF(MID(N34,1,3)*1=1,SUMIFS('[1]1_inventory_total_details'!$J$8:$J$10000,'[1]1_inventory_total_details'!$C$8:$C$10000,I34,'[1]1_inventory_total_details'!$F$8:$F$10000,MID(N34,1,3)*1,'[1]1_inventory_total_details'!$G$8:$G$10000,"="&amp;S34,'[1]1_inventory_total_details'!$H$8:$H$10000,"="&amp;T34,'[1]1_inventory_total_details'!$I$8:$I$10000,"="&amp;adj_date)+SUMIFS('[1]1_inventory_total_details'!$M$8:$M$10000,'[1]1_inventory_total_details'!$C$8:$C$10000,I34,'[1]1_inventory_total_details'!$F$8:$F$10000,MID(N34,1,3)*1,'[1]1_inventory_total_details'!$G$8:$G$10000,"="&amp;S34,'[1]1_inventory_total_details'!$H$8:$H$10000,"="&amp;T34,'[1]1_inventory_total_details'!$I$8:$I$10000,"="&amp;adj_date)+SUMIFS('[1]1_inventory_total_details'!$K$8:$K$10000,'[1]1_inventory_total_details'!$C$8:$C$10000,I34,'[1]1_inventory_total_details'!$F$8:$F$10000,MID(N34,1,3)*1,'[1]1_inventory_total_details'!$G$8:$G$10000,"="&amp;S34,'[1]1_inventory_total_details'!$H$8:$H$10000,"="&amp;T34,'[1]1_inventory_total_details'!$I$8:$I$10000,"="&amp;adj_date)+SUMIFS('[1]1_inventory_total_details'!$L$8:$L$10000,'[1]1_inventory_total_details'!$C$8:$C$10000,I34,'[1]1_inventory_total_details'!$F$8:$F$10000,MID(N34,1,3)*1,'[1]1_inventory_total_details'!$G$8:$G$10000,"="&amp;S34,'[1]1_inventory_total_details'!$H$8:$H$10000,"="&amp;T34,'[1]1_inventory_total_details'!$I$8:$I$10000,"="&amp;adj_date),SUMIFS('[1]2_inventory_total_details'!$J$8:$J$10000,'[1]2_inventory_total_details'!$C$8:$C$10000,I34,'[1]2_inventory_total_details'!$F$8:$F$10000,MID(N34,1,3)*1,'[1]2_inventory_total_details'!$G$8:$G$10000,"="&amp;S34,'[1]2_inventory_total_details'!$H$8:$H$10000,"="&amp;T34,'[1]2_inventory_total_details'!$I$8:$I$10000,"="&amp;adj_date)+SUMIFS('[1]2_inventory_total_details'!$M$8:$M$10000,'[1]1_inventory_total_details'!$C$8:$C$10000,I34,'[1]2_inventory_total_details'!$F$8:$F$10000,MID(N34,1,3)*1,'[1]2_inventory_total_details'!$G$8:$G$10000,"="&amp;S34,'[1]2_inventory_total_details'!$H$8:$H$10000,"="&amp;T34,'[1]2_inventory_total_details'!$I$8:$I$10000,"="&amp;adj_date)+SUMIFS('[1]2_inventory_total_details'!$K$8:$K$10000,'[1]2_inventory_total_details'!$C$8:$C$10000,I34,'[1]2_inventory_total_details'!$F$8:$F$10000,MID(N34,1,3)*1,'[1]2_inventory_total_details'!$G$8:$G$10000,"="&amp;S34,'[1]2_inventory_total_details'!$H$8:$H$10000,"="&amp;T34,'[1]2_inventory_total_details'!$I$8:$I$10000,"="&amp;adj_date)+SUMIFS('[1]2_inventory_total_details'!$L$8:$L$10000,'[1]2_inventory_total_details'!$C$8:$C$10000,I34,'[1]2_inventory_total_details'!$F$8:$F$10000,MID(N34,1,3)*1,'[1]2_inventory_total_details'!$G$8:$G$10000,"="&amp;S34,'[1]2_inventory_total_details'!$H$8:$H$10000,"="&amp;T34,'[1]2_inventory_total_details'!$I$8:$I$10000,"="&amp;adj_date)))</f>
        <v/>
      </c>
      <c r="AC34" s="270" t="str">
        <f>IF(L34="","",IF(MID(N34,1,3)*1=1,SUMIFS('[1]1_inventory_total_details'!$J$8:$J$10000,'[1]1_inventory_total_details'!$C$8:$C$10000,I34,'[1]1_inventory_total_details'!$F$8:$F$10000,MID(N34,1,3)*1,'[1]1_inventory_total_details'!$G$8:$G$10000,"="&amp;S34,'[1]1_inventory_total_details'!$H$8:$H$10000,"="&amp;T34,'[1]1_inventory_total_details'!$I$8:$I$10000,"="&amp;adj_date)+SUMIFS('[1]1_inventory_total_details'!$M$8:$M$10000,'[1]1_inventory_total_details'!$C$8:$C$10000,I34,'[1]1_inventory_total_details'!$F$8:$F$10000,MID(N34,1,3)*1,'[1]1_inventory_total_details'!$G$8:$G$10000,"="&amp;S34,'[1]1_inventory_total_details'!$H$8:$H$10000,"="&amp;T34,'[1]1_inventory_total_details'!$I$8:$I$10000,"="&amp;adj_date)+SUMIFS('[1]1_inventory_total_details'!$K$8:$K$10000,'[1]1_inventory_total_details'!$C$8:$C$10000,I34,'[1]1_inventory_total_details'!$F$8:$F$10000,MID(N34,1,3)*1,'[1]1_inventory_total_details'!$G$8:$G$10000,"="&amp;S34,'[1]1_inventory_total_details'!$H$8:$H$10000,"="&amp;T34,'[1]1_inventory_total_details'!$I$8:$I$10000,"="&amp;adj_date)+SUMIFS('[1]1_inventory_total_details'!$L$8:$L$10000,'[1]1_inventory_total_details'!$C$8:$C$10000,I34,'[1]1_inventory_total_details'!$F$8:$F$10000,MID(N34,1,3)*1,'[1]1_inventory_total_details'!$G$8:$G$10000,"="&amp;S34,'[1]1_inventory_total_details'!$H$8:$H$10000,"="&amp;T34,'[1]1_inventory_total_details'!$I$8:$I$10000,"="&amp;adj_date),SUMIFS('[1]2_inventory_total_details'!$J$8:$J$10000,'[1]2_inventory_total_details'!$C$8:$C$10000,I34,'[1]2_inventory_total_details'!$F$8:$F$10000,MID(N34,1,3)*1,'[1]2_inventory_total_details'!$G$8:$G$10000,"="&amp;S34,'[1]2_inventory_total_details'!$H$8:$H$10000,"="&amp;T34,'[1]2_inventory_total_details'!$I$8:$I$10000,"="&amp;adj_date)+SUMIFS('[1]2_inventory_total_details'!$M$8:$M$10000,'[1]1_inventory_total_details'!$C$8:$C$10000,I34,'[1]2_inventory_total_details'!$F$8:$F$10000,MID(N34,1,3)*1,'[1]2_inventory_total_details'!$G$8:$G$10000,"="&amp;S34,'[1]2_inventory_total_details'!$H$8:$H$10000,"="&amp;T34,'[1]2_inventory_total_details'!$I$8:$I$10000,"="&amp;adj_date)+SUMIFS('[1]2_inventory_total_details'!$K$8:$K$10000,'[1]2_inventory_total_details'!$C$8:$C$10000,I34,'[1]2_inventory_total_details'!$F$8:$F$10000,MID(N34,1,3)*1,'[1]2_inventory_total_details'!$G$8:$G$10000,"="&amp;S34,'[1]2_inventory_total_details'!$H$8:$H$10000,"="&amp;T34,'[1]2_inventory_total_details'!$I$8:$I$10000,"="&amp;adj_date)+SUMIFS('[1]2_inventory_total_details'!$L$8:$L$10000,'[1]2_inventory_total_details'!$C$8:$C$10000,I34,'[1]2_inventory_total_details'!$F$8:$F$10000,MID(N34,1,3)*1,'[1]2_inventory_total_details'!$G$8:$G$10000,"="&amp;S34,'[1]2_inventory_total_details'!$H$8:$H$10000,"="&amp;T34,'[1]2_inventory_total_details'!$I$8:$I$10000,"="&amp;adj_date)))</f>
        <v/>
      </c>
      <c r="AD34" s="270" t="str">
        <f>IF(L34="","",SUMIFS('[1]1_group_totals'!$J$8:$J$10000,'[1]1_group_totals'!$C$8:$C$10000,I34,'[1]1_group_totals'!$F$8:$F$10000,adj_location_group_id,'[1]1_group_totals'!$G$8:$G$10000,MID(N34,1,3)*1,'[1]1_group_totals'!$H$8:$H$10000,"="&amp;S34,'[1]1_group_totals'!$I$8:$I$10000,"="&amp;T34))</f>
        <v/>
      </c>
      <c r="AE34" s="1796" t="str">
        <f t="shared" si="11"/>
        <v/>
      </c>
      <c r="AF34" s="1797" t="str">
        <f>IF(ISNA(MATCH(MID(AE34,1,3)*1,UomConversion!$D$8:$D$500,0)),"",IF(AJ34&lt;&gt;"",AJ34,""))</f>
        <v/>
      </c>
      <c r="AG34" s="1797" t="str">
        <f>IF(AND(AH34&gt;0,COUNTIFS(UomConversion!$D$8:$D$500,MID(AE34,1,3)*1,UomConversion!$J$8:$J$500,1)&gt;1),TEXT(AH34,"000")&amp;"."&amp;VLOOKUP(AH34,uom_list,5,FALSE),"")</f>
        <v/>
      </c>
      <c r="AH34" s="270" t="str">
        <f t="shared" si="12"/>
        <v/>
      </c>
      <c r="AI34" s="270" t="str">
        <f t="shared" si="13"/>
        <v/>
      </c>
      <c r="AJ34" s="270" t="str">
        <f t="shared" si="14"/>
        <v/>
      </c>
      <c r="AK34" s="270" t="str" cm="1">
        <f t="array" ref="AK34">IF(L34="","",Slookup(MID(AE34,1,3)*1,UomConversion!$D$8:$J$500,2,UomConversion!$I$8:$I$500,1,UomConversion!$J$8:$J$500,1))</f>
        <v/>
      </c>
      <c r="AL34" s="270" t="str">
        <f t="shared" si="15"/>
        <v/>
      </c>
      <c r="AM34" s="270" t="str">
        <f>IF(L34="","",(SUMIFS('[1]1_group_totals'!$K$8:$K$10000,'[1]1_group_totals'!$C$8:$C$10000,I34,'[1]1_group_totals'!$F$8:$F$10000,adj_location_group_id,'[1]1_group_totals'!$G$8:$G$10000,MID(N34,1,3)*1,'[1]1_group_totals'!$H$8:$H$10000,"="&amp;S34,'[1]1_group_totals'!$I$8:$I$10000,"="&amp;T34)+SUMIFS('[1]1_group_totals'!$N$8:$N$10000,'[1]1_group_totals'!$C$8:$C$10000,I34,'[1]1_group_totals'!$F$8:$F$10000,adj_location_group_id,'[1]1_group_totals'!$G$8:$G$10000,MID(N34,1,3)*1,'[1]1_group_totals'!$H$8:$H$10000,"="&amp;S34,'[1]1_group_totals'!$I$8:$I$10000,"="&amp;T34)+SUMIFS('[1]1_group_totals'!$P$8:$P$10000,'[1]1_group_totals'!$C$8:$C$10000,I34,'[1]1_group_totals'!$F$8:$F$10000,adj_location_group_id,'[1]1_group_totals'!$G$8:$G$10000,MID(N34,1,3)*1,'[1]1_group_totals'!$H$8:$H$10000,"="&amp;S34,'[1]1_group_totals'!$I$8:$I$10000,"="&amp;T34)+SUMIFS('[1]1_group_totals'!$Q$8:$Q$10000,'[1]1_group_totals'!$C$8:$C$10000,I34,'[1]1_group_totals'!$F$8:$F$10000,adj_location_group_id,'[1]1_group_totals'!$G$8:$G$10000,MID(N34,1,3)*1,'[1]1_group_totals'!$H$8:$H$10000,"="&amp;S34,'[1]1_group_totals'!$I$8:$I$10000,"="&amp;T34))+(SUMIFS('[1]1_group_totals'!$L$8:$L$10000,'[1]1_group_totals'!$C$8:$C$10000,I34,'[1]1_group_totals'!$F$8:$F$10000,adj_location_group_id,'[1]1_group_totals'!$G$8:$G$10000,MID(N34,1,3)*1,'[1]1_group_totals'!$H$8:$H$10000,"="&amp;S34,'[1]1_group_totals'!$I$8:$I$10000,"="&amp;T34)+SUMIFS('[1]1_group_totals'!$M$8:$M$10000,'[1]1_group_totals'!$C$8:$C$10000,I34,'[1]1_group_totals'!$F$8:$F$10000,adj_location_group_id,'[1]1_group_totals'!$G$8:$G$10000,MID(N34,1,3)*1,'[1]1_group_totals'!$H$8:$H$10000,"="&amp;S34,'[1]1_group_totals'!$I$8:$I$10000,"="&amp;T34)+SUMIFS('[1]1_group_totals'!$O$8:$O$10000,'[1]1_group_totals'!$C$8:$C$10000,I34,'[1]1_group_totals'!$F$8:$F$10000,adj_location_group_id,'[1]1_group_totals'!$G$8:$G$10000,MID(N34,1,3)*1,'[1]1_group_totals'!$H$8:$H$10000,"="&amp;S34,'[1]1_group_totals'!$I$8:$I$10000,"="&amp;T34)+SUMIFS('[1]1_group_totals'!$R$8:$R$10000,'[1]1_group_totals'!$C$8:$C$10000,I34,'[1]1_group_totals'!$F$8:$F$10000,adj_location_group_id,'[1]1_group_totals'!$G$8:$G$10000,MID(N34,1,3)*1,'[1]1_group_totals'!$H$8:$H$10000,"="&amp;S34,'[1]1_group_totals'!$I$8:$I$10000,"="&amp;T34)))</f>
        <v/>
      </c>
      <c r="AN34" s="270" t="str">
        <f>IF(L34="","",(SUMIFS('[1]1_inventory_totals'!$I$8:$I$10000,'[1]1_inventory_totals'!$C$8:$C$10000,I34,'[1]1_inventory_totals'!$F$8:$F$10000,"="&amp;S34,'[1]1_inventory_totals'!$G$8:$G$10000,"="&amp;T34)+SUMIFS('[1]1_inventory_totals'!$N$8:$N$10000,'[1]1_inventory_totals'!$C$8:$C$10000,I34,'[1]1_inventory_totals'!$F$8:$F$10000,"="&amp;S34,'[1]1_inventory_totals'!$G$8:$G$10000,"="&amp;T34)+SUMIFS('[1]1_inventory_totals'!$P$8:$P$10000,'[1]1_inventory_totals'!$C$8:$C$10000,I34,'[1]1_inventory_totals'!$F$8:$F$10000,"="&amp;S34,'[1]1_inventory_totals'!$G$8:$G$10000,"="&amp;T34)+SUMIFS('[1]1_inventory_totals'!$Q$8:$Q$10000,'[1]1_inventory_totals'!$C$8:$C$10000,I34,'[1]1_inventory_totals'!$F$8:$F$10000,"="&amp;S34,'[1]1_inventory_totals'!$G$8:$G$10000,"="&amp;T34)+SUMIFS('[1]1_inventory_totals'!$R$8:$R$10000,'[1]1_inventory_totals'!$C$8:$C$10000,I34,'[1]1_inventory_totals'!$F$8:$F$10000,"="&amp;S34,'[1]1_inventory_totals'!$G$8:$G$10000,"="&amp;T34))+(SUMIFS('[1]1_inventory_totals'!$J$8:$J$10000,'[1]1_inventory_totals'!$C$8:$C$10000,I34,'[1]1_inventory_totals'!$F$8:$F$10000,"="&amp;S34,'[1]1_inventory_totals'!$G$8:$G$10000,"="&amp;T34)+SUMIFS('[1]1_inventory_totals'!$K$8:$K$10000,'[1]1_inventory_totals'!$C$8:$C$10000,I34,'[1]1_inventory_totals'!$F$8:$F$10000,"="&amp;S34,'[1]1_inventory_totals'!$G$8:$G$10000,"="&amp;T34)+SUMIFS('[1]1_inventory_totals'!$L$8:$L$10000,'[1]1_inventory_totals'!$C$8:$C$10000,I34,'[1]1_inventory_totals'!$F$8:$F$10000,"="&amp;S34,'[1]1_inventory_totals'!$G$8:$G$10000,"="&amp;T34)+SUMIFS('[1]1_inventory_totals'!$M$8:$M$10000,'[1]1_inventory_totals'!$C$8:$C$10000,I34,'[1]1_inventory_totals'!$F$8:$F$10000,"="&amp;S34,'[1]1_inventory_totals'!$G$8:$G$10000,"="&amp;T34)+SUMIFS('[1]1_inventory_totals'!$O$8:$O$10000,'[1]1_inventory_totals'!$C$8:$C$10000,I34,'[1]1_inventory_totals'!$F$8:$F$10000,"="&amp;S34,'[1]1_inventory_totals'!$G$8:$G$10000,"="&amp;T34)+SUMIFS('[1]1_inventory_totals'!$S$8:$S$10000,'[1]1_inventory_totals'!$C$8:$C$10000,I34,'[1]1_inventory_totals'!$F$8:$F$10000,"="&amp;S34,'[1]1_inventory_totals'!$G$8:$G$10000,"="&amp;T34)))</f>
        <v/>
      </c>
      <c r="AO34" s="270" t="str">
        <f>IF(L34="","",(SUMIFS('[1]2_inventory_totals'!$I$8:$I$10000,'[1]2_inventory_totals'!$C$8:$C$10000,I34,'[1]2_inventory_totals'!$F$8:$F$10000,"="&amp;S34,'[1]2_inventory_totals'!$G$8:$G$10000,"="&amp;T34)+SUMIFS('[1]2_inventory_totals'!$N$8:$N$10000,'[1]2_inventory_totals'!$C$8:$C$10000,I34,'[1]2_inventory_totals'!$F$8:$F$10000,"="&amp;S34,'[1]2_inventory_totals'!$G$8:$G$10000,"="&amp;T34)+SUMIFS('[1]2_inventory_totals'!$P$8:$P$10000,'[1]2_inventory_totals'!$C$8:$C$10000,I34,'[1]2_inventory_totals'!$F$8:$F$10000,"="&amp;S34,'[1]2_inventory_totals'!$G$8:$G$10000,"="&amp;T34)+SUMIFS('[1]2_inventory_totals'!$Q$8:$Q$10000,'[1]2_inventory_totals'!$C$8:$C$10000,I34,'[1]2_inventory_totals'!$F$8:$F$10000,"="&amp;S34,'[1]2_inventory_totals'!$G$8:$G$10000,"="&amp;T34)+SUMIFS('[1]2_inventory_totals'!$R$8:$R$10000,'[1]2_inventory_totals'!$C$8:$C$10000,I34,'[1]2_inventory_totals'!$F$8:$F$10000,"="&amp;S34,'[1]2_inventory_totals'!$G$8:$G$10000,"="&amp;T34))+(SUMIFS('[1]2_inventory_totals'!$J$8:$J$10000,'[1]2_inventory_totals'!$C$8:$C$10000,I34,'[1]2_inventory_totals'!$F$8:$F$10000,"="&amp;S34,'[1]2_inventory_totals'!$G$8:$G$10000,"="&amp;T34)+SUMIFS('[1]2_inventory_totals'!$K$8:$K$10000,'[1]2_inventory_totals'!$C$8:$C$10000,I34,'[1]2_inventory_totals'!$F$8:$F$10000,"="&amp;S34,'[1]2_inventory_totals'!$G$8:$G$10000,"="&amp;T34)+SUMIFS('[1]2_inventory_totals'!$L$8:$L$10000,'[1]2_inventory_totals'!$C$8:$C$10000,I34,'[1]2_inventory_totals'!$F$8:$F$10000,"="&amp;S34,'[1]2_inventory_totals'!$G$8:$G$10000,"="&amp;T34)+SUMIFS('[1]2_inventory_totals'!$M$8:$M$10000,'[1]2_inventory_totals'!$C$8:$C$10000,I34,'[1]2_inventory_totals'!$F$8:$F$10000,"="&amp;S34,'[1]2_inventory_totals'!$G$8:$G$10000,"="&amp;T34)+SUMIFS('[1]2_inventory_totals'!$O$8:$O$10000,'[1]2_inventory_totals'!$C$8:$C$10000,I34,'[1]2_inventory_totals'!$F$8:$F$10000,"="&amp;S34,'[1]2_inventory_totals'!$G$8:$G$10000,"="&amp;T34)+SUMIFS('[1]2_inventory_totals'!$S$8:$S$10000,'[1]2_inventory_totals'!$C$8:$C$10000,I34,'[1]2_inventory_totals'!$F$8:$F$10000,"="&amp;S34,'[1]2_inventory_totals'!$G$8:$G$10000,"="&amp;T34)))</f>
        <v/>
      </c>
      <c r="AP34" s="954"/>
    </row>
    <row r="35" spans="1:42" ht="27" customHeight="1">
      <c r="A35" s="923"/>
      <c r="B35" s="1172"/>
      <c r="C35" s="950"/>
      <c r="D35" s="950"/>
      <c r="E35" s="950"/>
      <c r="F35" s="1198"/>
      <c r="I35" s="1610" t="str">
        <f t="shared" si="5"/>
        <v/>
      </c>
      <c r="J35" s="270" t="str">
        <f t="shared" si="6"/>
        <v/>
      </c>
      <c r="K35" s="813" t="str">
        <f t="shared" si="0"/>
        <v/>
      </c>
      <c r="L35" s="1184"/>
      <c r="M35" s="1185"/>
      <c r="N35" s="1186"/>
      <c r="O35" s="1534"/>
      <c r="P35" s="336" t="str">
        <f t="shared" si="7"/>
        <v/>
      </c>
      <c r="Q35" s="336" t="str">
        <f>IF(L35="","",IF(AD35=0,0,(SUMIFS('[1]1_group_total_details'!$I$8:$I$10000,'[1]1_group_total_details'!$C$8:$C$10000,I35,'[1]1_group_total_details'!$F$8:$F$10000,adj_location_group_id,'[1]1_group_total_details'!$G$8:$G$10000,MID(N35,1,3)*1,'[1]1_group_total_details'!$H$8:$H$10000,"&lt;="&amp;adj_date)+SUMIFS('[1]1_group_total_details'!$L$8:$L$10000,'[1]1_group_total_details'!$C$8:$C$10000,I35,'[1]1_group_total_details'!$F$8:$F$10000,adj_location_group_id,'[1]1_group_total_details'!$G$8:$G$10000,MID(N35,1,3)*1,'[1]1_group_total_details'!$H$8:$H$10000,"&lt;="&amp;adj_date)+SUMIFS('[1]1_group_total_details'!$N$8:$N$10000,'[1]1_group_total_details'!$C$8:$C$10000,I35,'[1]1_group_total_details'!$F$8:$F$10000,adj_location_group_id,'[1]1_group_total_details'!$G$8:$G$10000,MID(N35,1,3)*1,'[1]1_group_total_details'!$H$8:$H$10000,"&lt;="&amp;adj_date)+SUMIFS('[1]1_group_total_details'!$O$8:$O$10000,'[1]1_group_total_details'!$C$8:$C$10000,I35,'[1]1_group_total_details'!$F$8:$F$10000,adj_location_group_id,'[1]1_group_total_details'!$G$8:$G$10000,MID(N35,1,3)*1,'[1]1_group_total_details'!$H$8:$H$10000,"&lt;="&amp;adj_date))-(SUMIFS('[1]1_group_total_details'!$J$8:$J$10000,'[1]1_group_total_details'!$C$8:$C$10000,I35,'[1]1_group_total_details'!$F$8:$F$10000,adj_location_group_id,'[1]1_group_total_details'!$G$8:$G$10000,MID(N35,1,3)*1,'[1]1_group_total_details'!$H$8:$H$10000,"&lt;="&amp;adj_date)+SUMIFS('[1]1_group_total_details'!$K$8:$K$10000,'[1]1_group_total_details'!$C$8:$C$10000,I35,'[1]1_group_total_details'!$F$8:$F$10000,adj_location_group_id,'[1]1_group_total_details'!$G$8:$G$10000,MID(N35,1,3)*1,'[1]1_group_total_details'!$H$8:$H$10000,"&lt;="&amp;adj_date)+SUMIFS('[1]1_group_total_details'!$M$8:$M$10000,'[1]1_group_total_details'!$C$8:$C$10000,I35,'[1]1_group_total_details'!$F$8:$F$10000,adj_location_group_id,'[1]1_group_total_details'!$G$8:$G$10000,MID(N35,1,3)*1,'[1]1_group_total_details'!$H$8:$H$10000,"&lt;="&amp;adj_date)+SUMIFS('[1]1_group_total_details'!$P$8:$P$10000,'[1]1_group_total_details'!$C$8:$C$10000,I35,'[1]1_group_total_details'!$F$8:$F$10000,adj_location_group_id,'[1]1_group_total_details'!$G$8:$G$10000,MID(N35,1,3)*1,'[1]1_group_total_details'!$H$8:$H$10000,"&lt;="&amp;adj_date))))</f>
        <v/>
      </c>
      <c r="R35" s="1187"/>
      <c r="S35" s="1186"/>
      <c r="T35" s="1186"/>
      <c r="U35" s="1184"/>
      <c r="V35" s="270" t="str" cm="1">
        <f t="array" ref="V35">IF(L35="","",IF(M35=AE35,1,Slookup(MID(AE35,1,3)*1,UomConversion!$D$8:$J$500,5,UomConversion!$E$8:$E$500,MID(M35,1,3)*1,UomConversion!$J$8:$J$500,1)))</f>
        <v/>
      </c>
      <c r="W35" s="270" t="str">
        <f t="shared" si="8"/>
        <v/>
      </c>
      <c r="X35" s="1795" t="str">
        <f t="shared" si="9"/>
        <v/>
      </c>
      <c r="Y35" s="1795" t="str">
        <f t="shared" si="10"/>
        <v/>
      </c>
      <c r="Z35" s="270" t="str">
        <f>IF(I35="","",IF(ISNA(MATCH(I35,IF(MID(N35,1,3)*1=1,'[1]1_inventory_totals'!$C$8:$C$10000,IF(MID(N35,1,3)*1=2,'[1]2_inventory_totals'!$C$8:$C$10000,"")),0)),0,IF(AL35&gt;0,1,0)))</f>
        <v/>
      </c>
      <c r="AA35" s="270" t="str">
        <f>IF(L35="","",IF(MID(N35,1,3)*1=1,SUMIFS('[1]1_inventory_total_details'!$J$8:$J$10000,'[1]1_inventory_total_details'!$C$8:$C$10000,I35,'[1]1_inventory_total_details'!$F$8:$F$10000,MID(N35,1,3)*1,'[1]1_inventory_total_details'!$G$8:$G$10000,"="&amp;S35,'[1]1_inventory_total_details'!$H$8:$H$10000,"="&amp;T35,'[1]1_inventory_total_details'!$I$8:$I$10000,"="&amp;adj_date)+SUMIFS('[1]1_inventory_total_details'!$M$8:$M$10000,'[1]1_inventory_total_details'!$C$8:$C$10000,I35,'[1]1_inventory_total_details'!$F$8:$F$10000,MID(N35,1,3)*1,'[1]1_inventory_total_details'!$G$8:$G$10000,"="&amp;S35,'[1]1_inventory_total_details'!$H$8:$H$10000,"="&amp;T35,'[1]1_inventory_total_details'!$I$8:$I$10000,"="&amp;adj_date)+SUMIFS('[1]1_inventory_total_details'!$K$8:$K$10000,'[1]1_inventory_total_details'!$C$8:$C$10000,I35,'[1]1_inventory_total_details'!$F$8:$F$10000,MID(N35,1,3)*1,'[1]1_inventory_total_details'!$G$8:$G$10000,"="&amp;S35,'[1]1_inventory_total_details'!$H$8:$H$10000,"="&amp;T35,'[1]1_inventory_total_details'!$I$8:$I$10000,"="&amp;adj_date)+SUMIFS('[1]1_inventory_total_details'!$L$8:$L$10000,'[1]1_inventory_total_details'!$C$8:$C$10000,I35,'[1]1_inventory_total_details'!$F$8:$F$10000,MID(N35,1,3)*1,'[1]1_inventory_total_details'!$G$8:$G$10000,"="&amp;S35,'[1]1_inventory_total_details'!$H$8:$H$10000,"="&amp;T35,'[1]1_inventory_total_details'!$I$8:$I$10000,"="&amp;adj_date),SUMIFS('[1]2_inventory_total_details'!$J$8:$J$10000,'[1]2_inventory_total_details'!$C$8:$C$10000,I35,'[1]2_inventory_total_details'!$F$8:$F$10000,MID(N35,1,3)*1,'[1]2_inventory_total_details'!$G$8:$G$10000,"="&amp;S35,'[1]2_inventory_total_details'!$H$8:$H$10000,"="&amp;T35,'[1]2_inventory_total_details'!$I$8:$I$10000,"="&amp;adj_date)+SUMIFS('[1]2_inventory_total_details'!$M$8:$M$10000,'[1]1_inventory_total_details'!$C$8:$C$10000,I35,'[1]2_inventory_total_details'!$F$8:$F$10000,MID(N35,1,3)*1,'[1]2_inventory_total_details'!$G$8:$G$10000,"="&amp;S35,'[1]2_inventory_total_details'!$H$8:$H$10000,"="&amp;T35,'[1]2_inventory_total_details'!$I$8:$I$10000,"="&amp;adj_date)+SUMIFS('[1]2_inventory_total_details'!$K$8:$K$10000,'[1]2_inventory_total_details'!$C$8:$C$10000,I35,'[1]2_inventory_total_details'!$F$8:$F$10000,MID(N35,1,3)*1,'[1]2_inventory_total_details'!$G$8:$G$10000,"="&amp;S35,'[1]2_inventory_total_details'!$H$8:$H$10000,"="&amp;T35,'[1]2_inventory_total_details'!$I$8:$I$10000,"="&amp;adj_date)+SUMIFS('[1]2_inventory_total_details'!$L$8:$L$10000,'[1]2_inventory_total_details'!$C$8:$C$10000,I35,'[1]2_inventory_total_details'!$F$8:$F$10000,MID(N35,1,3)*1,'[1]2_inventory_total_details'!$G$8:$G$10000,"="&amp;S35,'[1]2_inventory_total_details'!$H$8:$H$10000,"="&amp;T35,'[1]2_inventory_total_details'!$I$8:$I$10000,"="&amp;adj_date)))</f>
        <v/>
      </c>
      <c r="AB35" s="270" t="str">
        <f>IF(L35="","",IF(MID(N35,1,3)*1=1,SUMIFS('[1]1_inventory_total_details'!$J$8:$J$10000,'[1]1_inventory_total_details'!$C$8:$C$10000,I35,'[1]1_inventory_total_details'!$F$8:$F$10000,MID(N35,1,3)*1,'[1]1_inventory_total_details'!$G$8:$G$10000,"="&amp;S35,'[1]1_inventory_total_details'!$H$8:$H$10000,"="&amp;T35,'[1]1_inventory_total_details'!$I$8:$I$10000,"="&amp;adj_date)+SUMIFS('[1]1_inventory_total_details'!$M$8:$M$10000,'[1]1_inventory_total_details'!$C$8:$C$10000,I35,'[1]1_inventory_total_details'!$F$8:$F$10000,MID(N35,1,3)*1,'[1]1_inventory_total_details'!$G$8:$G$10000,"="&amp;S35,'[1]1_inventory_total_details'!$H$8:$H$10000,"="&amp;T35,'[1]1_inventory_total_details'!$I$8:$I$10000,"="&amp;adj_date)+SUMIFS('[1]1_inventory_total_details'!$K$8:$K$10000,'[1]1_inventory_total_details'!$C$8:$C$10000,I35,'[1]1_inventory_total_details'!$F$8:$F$10000,MID(N35,1,3)*1,'[1]1_inventory_total_details'!$G$8:$G$10000,"="&amp;S35,'[1]1_inventory_total_details'!$H$8:$H$10000,"="&amp;T35,'[1]1_inventory_total_details'!$I$8:$I$10000,"="&amp;adj_date)+SUMIFS('[1]1_inventory_total_details'!$L$8:$L$10000,'[1]1_inventory_total_details'!$C$8:$C$10000,I35,'[1]1_inventory_total_details'!$F$8:$F$10000,MID(N35,1,3)*1,'[1]1_inventory_total_details'!$G$8:$G$10000,"="&amp;S35,'[1]1_inventory_total_details'!$H$8:$H$10000,"="&amp;T35,'[1]1_inventory_total_details'!$I$8:$I$10000,"="&amp;adj_date),SUMIFS('[1]2_inventory_total_details'!$J$8:$J$10000,'[1]2_inventory_total_details'!$C$8:$C$10000,I35,'[1]2_inventory_total_details'!$F$8:$F$10000,MID(N35,1,3)*1,'[1]2_inventory_total_details'!$G$8:$G$10000,"="&amp;S35,'[1]2_inventory_total_details'!$H$8:$H$10000,"="&amp;T35,'[1]2_inventory_total_details'!$I$8:$I$10000,"="&amp;adj_date)+SUMIFS('[1]2_inventory_total_details'!$M$8:$M$10000,'[1]1_inventory_total_details'!$C$8:$C$10000,I35,'[1]2_inventory_total_details'!$F$8:$F$10000,MID(N35,1,3)*1,'[1]2_inventory_total_details'!$G$8:$G$10000,"="&amp;S35,'[1]2_inventory_total_details'!$H$8:$H$10000,"="&amp;T35,'[1]2_inventory_total_details'!$I$8:$I$10000,"="&amp;adj_date)+SUMIFS('[1]2_inventory_total_details'!$K$8:$K$10000,'[1]2_inventory_total_details'!$C$8:$C$10000,I35,'[1]2_inventory_total_details'!$F$8:$F$10000,MID(N35,1,3)*1,'[1]2_inventory_total_details'!$G$8:$G$10000,"="&amp;S35,'[1]2_inventory_total_details'!$H$8:$H$10000,"="&amp;T35,'[1]2_inventory_total_details'!$I$8:$I$10000,"="&amp;adj_date)+SUMIFS('[1]2_inventory_total_details'!$L$8:$L$10000,'[1]2_inventory_total_details'!$C$8:$C$10000,I35,'[1]2_inventory_total_details'!$F$8:$F$10000,MID(N35,1,3)*1,'[1]2_inventory_total_details'!$G$8:$G$10000,"="&amp;S35,'[1]2_inventory_total_details'!$H$8:$H$10000,"="&amp;T35,'[1]2_inventory_total_details'!$I$8:$I$10000,"="&amp;adj_date)))</f>
        <v/>
      </c>
      <c r="AC35" s="270" t="str">
        <f>IF(L35="","",IF(MID(N35,1,3)*1=1,SUMIFS('[1]1_inventory_total_details'!$J$8:$J$10000,'[1]1_inventory_total_details'!$C$8:$C$10000,I35,'[1]1_inventory_total_details'!$F$8:$F$10000,MID(N35,1,3)*1,'[1]1_inventory_total_details'!$G$8:$G$10000,"="&amp;S35,'[1]1_inventory_total_details'!$H$8:$H$10000,"="&amp;T35,'[1]1_inventory_total_details'!$I$8:$I$10000,"="&amp;adj_date)+SUMIFS('[1]1_inventory_total_details'!$M$8:$M$10000,'[1]1_inventory_total_details'!$C$8:$C$10000,I35,'[1]1_inventory_total_details'!$F$8:$F$10000,MID(N35,1,3)*1,'[1]1_inventory_total_details'!$G$8:$G$10000,"="&amp;S35,'[1]1_inventory_total_details'!$H$8:$H$10000,"="&amp;T35,'[1]1_inventory_total_details'!$I$8:$I$10000,"="&amp;adj_date)+SUMIFS('[1]1_inventory_total_details'!$K$8:$K$10000,'[1]1_inventory_total_details'!$C$8:$C$10000,I35,'[1]1_inventory_total_details'!$F$8:$F$10000,MID(N35,1,3)*1,'[1]1_inventory_total_details'!$G$8:$G$10000,"="&amp;S35,'[1]1_inventory_total_details'!$H$8:$H$10000,"="&amp;T35,'[1]1_inventory_total_details'!$I$8:$I$10000,"="&amp;adj_date)+SUMIFS('[1]1_inventory_total_details'!$L$8:$L$10000,'[1]1_inventory_total_details'!$C$8:$C$10000,I35,'[1]1_inventory_total_details'!$F$8:$F$10000,MID(N35,1,3)*1,'[1]1_inventory_total_details'!$G$8:$G$10000,"="&amp;S35,'[1]1_inventory_total_details'!$H$8:$H$10000,"="&amp;T35,'[1]1_inventory_total_details'!$I$8:$I$10000,"="&amp;adj_date),SUMIFS('[1]2_inventory_total_details'!$J$8:$J$10000,'[1]2_inventory_total_details'!$C$8:$C$10000,I35,'[1]2_inventory_total_details'!$F$8:$F$10000,MID(N35,1,3)*1,'[1]2_inventory_total_details'!$G$8:$G$10000,"="&amp;S35,'[1]2_inventory_total_details'!$H$8:$H$10000,"="&amp;T35,'[1]2_inventory_total_details'!$I$8:$I$10000,"="&amp;adj_date)+SUMIFS('[1]2_inventory_total_details'!$M$8:$M$10000,'[1]1_inventory_total_details'!$C$8:$C$10000,I35,'[1]2_inventory_total_details'!$F$8:$F$10000,MID(N35,1,3)*1,'[1]2_inventory_total_details'!$G$8:$G$10000,"="&amp;S35,'[1]2_inventory_total_details'!$H$8:$H$10000,"="&amp;T35,'[1]2_inventory_total_details'!$I$8:$I$10000,"="&amp;adj_date)+SUMIFS('[1]2_inventory_total_details'!$K$8:$K$10000,'[1]2_inventory_total_details'!$C$8:$C$10000,I35,'[1]2_inventory_total_details'!$F$8:$F$10000,MID(N35,1,3)*1,'[1]2_inventory_total_details'!$G$8:$G$10000,"="&amp;S35,'[1]2_inventory_total_details'!$H$8:$H$10000,"="&amp;T35,'[1]2_inventory_total_details'!$I$8:$I$10000,"="&amp;adj_date)+SUMIFS('[1]2_inventory_total_details'!$L$8:$L$10000,'[1]2_inventory_total_details'!$C$8:$C$10000,I35,'[1]2_inventory_total_details'!$F$8:$F$10000,MID(N35,1,3)*1,'[1]2_inventory_total_details'!$G$8:$G$10000,"="&amp;S35,'[1]2_inventory_total_details'!$H$8:$H$10000,"="&amp;T35,'[1]2_inventory_total_details'!$I$8:$I$10000,"="&amp;adj_date)))</f>
        <v/>
      </c>
      <c r="AD35" s="270" t="str">
        <f>IF(L35="","",SUMIFS('[1]1_group_totals'!$J$8:$J$10000,'[1]1_group_totals'!$C$8:$C$10000,I35,'[1]1_group_totals'!$F$8:$F$10000,adj_location_group_id,'[1]1_group_totals'!$G$8:$G$10000,MID(N35,1,3)*1,'[1]1_group_totals'!$H$8:$H$10000,"="&amp;S35,'[1]1_group_totals'!$I$8:$I$10000,"="&amp;T35))</f>
        <v/>
      </c>
      <c r="AE35" s="1796" t="str">
        <f t="shared" si="11"/>
        <v/>
      </c>
      <c r="AF35" s="1797" t="str">
        <f>IF(ISNA(MATCH(MID(AE35,1,3)*1,UomConversion!$D$8:$D$500,0)),"",IF(AJ35&lt;&gt;"",AJ35,""))</f>
        <v/>
      </c>
      <c r="AG35" s="1797" t="str">
        <f>IF(AND(AH35&gt;0,COUNTIFS(UomConversion!$D$8:$D$500,MID(AE35,1,3)*1,UomConversion!$J$8:$J$500,1)&gt;1),TEXT(AH35,"000")&amp;"."&amp;VLOOKUP(AH35,uom_list,5,FALSE),"")</f>
        <v/>
      </c>
      <c r="AH35" s="270" t="str">
        <f t="shared" si="12"/>
        <v/>
      </c>
      <c r="AI35" s="270" t="str">
        <f t="shared" si="13"/>
        <v/>
      </c>
      <c r="AJ35" s="270" t="str">
        <f t="shared" si="14"/>
        <v/>
      </c>
      <c r="AK35" s="270" t="str" cm="1">
        <f t="array" ref="AK35">IF(L35="","",Slookup(MID(AE35,1,3)*1,UomConversion!$D$8:$J$500,2,UomConversion!$I$8:$I$500,1,UomConversion!$J$8:$J$500,1))</f>
        <v/>
      </c>
      <c r="AL35" s="270" t="str">
        <f t="shared" si="15"/>
        <v/>
      </c>
      <c r="AM35" s="270" t="str">
        <f>IF(L35="","",(SUMIFS('[1]1_group_totals'!$K$8:$K$10000,'[1]1_group_totals'!$C$8:$C$10000,I35,'[1]1_group_totals'!$F$8:$F$10000,adj_location_group_id,'[1]1_group_totals'!$G$8:$G$10000,MID(N35,1,3)*1,'[1]1_group_totals'!$H$8:$H$10000,"="&amp;S35,'[1]1_group_totals'!$I$8:$I$10000,"="&amp;T35)+SUMIFS('[1]1_group_totals'!$N$8:$N$10000,'[1]1_group_totals'!$C$8:$C$10000,I35,'[1]1_group_totals'!$F$8:$F$10000,adj_location_group_id,'[1]1_group_totals'!$G$8:$G$10000,MID(N35,1,3)*1,'[1]1_group_totals'!$H$8:$H$10000,"="&amp;S35,'[1]1_group_totals'!$I$8:$I$10000,"="&amp;T35)+SUMIFS('[1]1_group_totals'!$P$8:$P$10000,'[1]1_group_totals'!$C$8:$C$10000,I35,'[1]1_group_totals'!$F$8:$F$10000,adj_location_group_id,'[1]1_group_totals'!$G$8:$G$10000,MID(N35,1,3)*1,'[1]1_group_totals'!$H$8:$H$10000,"="&amp;S35,'[1]1_group_totals'!$I$8:$I$10000,"="&amp;T35)+SUMIFS('[1]1_group_totals'!$Q$8:$Q$10000,'[1]1_group_totals'!$C$8:$C$10000,I35,'[1]1_group_totals'!$F$8:$F$10000,adj_location_group_id,'[1]1_group_totals'!$G$8:$G$10000,MID(N35,1,3)*1,'[1]1_group_totals'!$H$8:$H$10000,"="&amp;S35,'[1]1_group_totals'!$I$8:$I$10000,"="&amp;T35))+(SUMIFS('[1]1_group_totals'!$L$8:$L$10000,'[1]1_group_totals'!$C$8:$C$10000,I35,'[1]1_group_totals'!$F$8:$F$10000,adj_location_group_id,'[1]1_group_totals'!$G$8:$G$10000,MID(N35,1,3)*1,'[1]1_group_totals'!$H$8:$H$10000,"="&amp;S35,'[1]1_group_totals'!$I$8:$I$10000,"="&amp;T35)+SUMIFS('[1]1_group_totals'!$M$8:$M$10000,'[1]1_group_totals'!$C$8:$C$10000,I35,'[1]1_group_totals'!$F$8:$F$10000,adj_location_group_id,'[1]1_group_totals'!$G$8:$G$10000,MID(N35,1,3)*1,'[1]1_group_totals'!$H$8:$H$10000,"="&amp;S35,'[1]1_group_totals'!$I$8:$I$10000,"="&amp;T35)+SUMIFS('[1]1_group_totals'!$O$8:$O$10000,'[1]1_group_totals'!$C$8:$C$10000,I35,'[1]1_group_totals'!$F$8:$F$10000,adj_location_group_id,'[1]1_group_totals'!$G$8:$G$10000,MID(N35,1,3)*1,'[1]1_group_totals'!$H$8:$H$10000,"="&amp;S35,'[1]1_group_totals'!$I$8:$I$10000,"="&amp;T35)+SUMIFS('[1]1_group_totals'!$R$8:$R$10000,'[1]1_group_totals'!$C$8:$C$10000,I35,'[1]1_group_totals'!$F$8:$F$10000,adj_location_group_id,'[1]1_group_totals'!$G$8:$G$10000,MID(N35,1,3)*1,'[1]1_group_totals'!$H$8:$H$10000,"="&amp;S35,'[1]1_group_totals'!$I$8:$I$10000,"="&amp;T35)))</f>
        <v/>
      </c>
      <c r="AN35" s="270" t="str">
        <f>IF(L35="","",(SUMIFS('[1]1_inventory_totals'!$I$8:$I$10000,'[1]1_inventory_totals'!$C$8:$C$10000,I35,'[1]1_inventory_totals'!$F$8:$F$10000,"="&amp;S35,'[1]1_inventory_totals'!$G$8:$G$10000,"="&amp;T35)+SUMIFS('[1]1_inventory_totals'!$N$8:$N$10000,'[1]1_inventory_totals'!$C$8:$C$10000,I35,'[1]1_inventory_totals'!$F$8:$F$10000,"="&amp;S35,'[1]1_inventory_totals'!$G$8:$G$10000,"="&amp;T35)+SUMIFS('[1]1_inventory_totals'!$P$8:$P$10000,'[1]1_inventory_totals'!$C$8:$C$10000,I35,'[1]1_inventory_totals'!$F$8:$F$10000,"="&amp;S35,'[1]1_inventory_totals'!$G$8:$G$10000,"="&amp;T35)+SUMIFS('[1]1_inventory_totals'!$Q$8:$Q$10000,'[1]1_inventory_totals'!$C$8:$C$10000,I35,'[1]1_inventory_totals'!$F$8:$F$10000,"="&amp;S35,'[1]1_inventory_totals'!$G$8:$G$10000,"="&amp;T35)+SUMIFS('[1]1_inventory_totals'!$R$8:$R$10000,'[1]1_inventory_totals'!$C$8:$C$10000,I35,'[1]1_inventory_totals'!$F$8:$F$10000,"="&amp;S35,'[1]1_inventory_totals'!$G$8:$G$10000,"="&amp;T35))+(SUMIFS('[1]1_inventory_totals'!$J$8:$J$10000,'[1]1_inventory_totals'!$C$8:$C$10000,I35,'[1]1_inventory_totals'!$F$8:$F$10000,"="&amp;S35,'[1]1_inventory_totals'!$G$8:$G$10000,"="&amp;T35)+SUMIFS('[1]1_inventory_totals'!$K$8:$K$10000,'[1]1_inventory_totals'!$C$8:$C$10000,I35,'[1]1_inventory_totals'!$F$8:$F$10000,"="&amp;S35,'[1]1_inventory_totals'!$G$8:$G$10000,"="&amp;T35)+SUMIFS('[1]1_inventory_totals'!$L$8:$L$10000,'[1]1_inventory_totals'!$C$8:$C$10000,I35,'[1]1_inventory_totals'!$F$8:$F$10000,"="&amp;S35,'[1]1_inventory_totals'!$G$8:$G$10000,"="&amp;T35)+SUMIFS('[1]1_inventory_totals'!$M$8:$M$10000,'[1]1_inventory_totals'!$C$8:$C$10000,I35,'[1]1_inventory_totals'!$F$8:$F$10000,"="&amp;S35,'[1]1_inventory_totals'!$G$8:$G$10000,"="&amp;T35)+SUMIFS('[1]1_inventory_totals'!$O$8:$O$10000,'[1]1_inventory_totals'!$C$8:$C$10000,I35,'[1]1_inventory_totals'!$F$8:$F$10000,"="&amp;S35,'[1]1_inventory_totals'!$G$8:$G$10000,"="&amp;T35)+SUMIFS('[1]1_inventory_totals'!$S$8:$S$10000,'[1]1_inventory_totals'!$C$8:$C$10000,I35,'[1]1_inventory_totals'!$F$8:$F$10000,"="&amp;S35,'[1]1_inventory_totals'!$G$8:$G$10000,"="&amp;T35)))</f>
        <v/>
      </c>
      <c r="AO35" s="270" t="str">
        <f>IF(L35="","",(SUMIFS('[1]2_inventory_totals'!$I$8:$I$10000,'[1]2_inventory_totals'!$C$8:$C$10000,I35,'[1]2_inventory_totals'!$F$8:$F$10000,"="&amp;S35,'[1]2_inventory_totals'!$G$8:$G$10000,"="&amp;T35)+SUMIFS('[1]2_inventory_totals'!$N$8:$N$10000,'[1]2_inventory_totals'!$C$8:$C$10000,I35,'[1]2_inventory_totals'!$F$8:$F$10000,"="&amp;S35,'[1]2_inventory_totals'!$G$8:$G$10000,"="&amp;T35)+SUMIFS('[1]2_inventory_totals'!$P$8:$P$10000,'[1]2_inventory_totals'!$C$8:$C$10000,I35,'[1]2_inventory_totals'!$F$8:$F$10000,"="&amp;S35,'[1]2_inventory_totals'!$G$8:$G$10000,"="&amp;T35)+SUMIFS('[1]2_inventory_totals'!$Q$8:$Q$10000,'[1]2_inventory_totals'!$C$8:$C$10000,I35,'[1]2_inventory_totals'!$F$8:$F$10000,"="&amp;S35,'[1]2_inventory_totals'!$G$8:$G$10000,"="&amp;T35)+SUMIFS('[1]2_inventory_totals'!$R$8:$R$10000,'[1]2_inventory_totals'!$C$8:$C$10000,I35,'[1]2_inventory_totals'!$F$8:$F$10000,"="&amp;S35,'[1]2_inventory_totals'!$G$8:$G$10000,"="&amp;T35))+(SUMIFS('[1]2_inventory_totals'!$J$8:$J$10000,'[1]2_inventory_totals'!$C$8:$C$10000,I35,'[1]2_inventory_totals'!$F$8:$F$10000,"="&amp;S35,'[1]2_inventory_totals'!$G$8:$G$10000,"="&amp;T35)+SUMIFS('[1]2_inventory_totals'!$K$8:$K$10000,'[1]2_inventory_totals'!$C$8:$C$10000,I35,'[1]2_inventory_totals'!$F$8:$F$10000,"="&amp;S35,'[1]2_inventory_totals'!$G$8:$G$10000,"="&amp;T35)+SUMIFS('[1]2_inventory_totals'!$L$8:$L$10000,'[1]2_inventory_totals'!$C$8:$C$10000,I35,'[1]2_inventory_totals'!$F$8:$F$10000,"="&amp;S35,'[1]2_inventory_totals'!$G$8:$G$10000,"="&amp;T35)+SUMIFS('[1]2_inventory_totals'!$M$8:$M$10000,'[1]2_inventory_totals'!$C$8:$C$10000,I35,'[1]2_inventory_totals'!$F$8:$F$10000,"="&amp;S35,'[1]2_inventory_totals'!$G$8:$G$10000,"="&amp;T35)+SUMIFS('[1]2_inventory_totals'!$O$8:$O$10000,'[1]2_inventory_totals'!$C$8:$C$10000,I35,'[1]2_inventory_totals'!$F$8:$F$10000,"="&amp;S35,'[1]2_inventory_totals'!$G$8:$G$10000,"="&amp;T35)+SUMIFS('[1]2_inventory_totals'!$S$8:$S$10000,'[1]2_inventory_totals'!$C$8:$C$10000,I35,'[1]2_inventory_totals'!$F$8:$F$10000,"="&amp;S35,'[1]2_inventory_totals'!$G$8:$G$10000,"="&amp;T35)))</f>
        <v/>
      </c>
      <c r="AP35" s="954"/>
    </row>
    <row r="36" spans="1:42" ht="27" customHeight="1">
      <c r="A36" s="923"/>
      <c r="B36" s="1172"/>
      <c r="C36" s="950"/>
      <c r="D36" s="950"/>
      <c r="E36" s="950"/>
      <c r="F36" s="1198"/>
      <c r="I36" s="1610" t="str">
        <f t="shared" si="5"/>
        <v/>
      </c>
      <c r="J36" s="270" t="str">
        <f t="shared" si="6"/>
        <v/>
      </c>
      <c r="K36" s="813" t="str">
        <f t="shared" si="0"/>
        <v/>
      </c>
      <c r="L36" s="1184"/>
      <c r="M36" s="1185"/>
      <c r="N36" s="1186"/>
      <c r="O36" s="1534"/>
      <c r="P36" s="336" t="str">
        <f t="shared" si="7"/>
        <v/>
      </c>
      <c r="Q36" s="336" t="str">
        <f>IF(L36="","",IF(AD36=0,0,(SUMIFS('[1]1_group_total_details'!$I$8:$I$10000,'[1]1_group_total_details'!$C$8:$C$10000,I36,'[1]1_group_total_details'!$F$8:$F$10000,adj_location_group_id,'[1]1_group_total_details'!$G$8:$G$10000,MID(N36,1,3)*1,'[1]1_group_total_details'!$H$8:$H$10000,"&lt;="&amp;adj_date)+SUMIFS('[1]1_group_total_details'!$L$8:$L$10000,'[1]1_group_total_details'!$C$8:$C$10000,I36,'[1]1_group_total_details'!$F$8:$F$10000,adj_location_group_id,'[1]1_group_total_details'!$G$8:$G$10000,MID(N36,1,3)*1,'[1]1_group_total_details'!$H$8:$H$10000,"&lt;="&amp;adj_date)+SUMIFS('[1]1_group_total_details'!$N$8:$N$10000,'[1]1_group_total_details'!$C$8:$C$10000,I36,'[1]1_group_total_details'!$F$8:$F$10000,adj_location_group_id,'[1]1_group_total_details'!$G$8:$G$10000,MID(N36,1,3)*1,'[1]1_group_total_details'!$H$8:$H$10000,"&lt;="&amp;adj_date)+SUMIFS('[1]1_group_total_details'!$O$8:$O$10000,'[1]1_group_total_details'!$C$8:$C$10000,I36,'[1]1_group_total_details'!$F$8:$F$10000,adj_location_group_id,'[1]1_group_total_details'!$G$8:$G$10000,MID(N36,1,3)*1,'[1]1_group_total_details'!$H$8:$H$10000,"&lt;="&amp;adj_date))-(SUMIFS('[1]1_group_total_details'!$J$8:$J$10000,'[1]1_group_total_details'!$C$8:$C$10000,I36,'[1]1_group_total_details'!$F$8:$F$10000,adj_location_group_id,'[1]1_group_total_details'!$G$8:$G$10000,MID(N36,1,3)*1,'[1]1_group_total_details'!$H$8:$H$10000,"&lt;="&amp;adj_date)+SUMIFS('[1]1_group_total_details'!$K$8:$K$10000,'[1]1_group_total_details'!$C$8:$C$10000,I36,'[1]1_group_total_details'!$F$8:$F$10000,adj_location_group_id,'[1]1_group_total_details'!$G$8:$G$10000,MID(N36,1,3)*1,'[1]1_group_total_details'!$H$8:$H$10000,"&lt;="&amp;adj_date)+SUMIFS('[1]1_group_total_details'!$M$8:$M$10000,'[1]1_group_total_details'!$C$8:$C$10000,I36,'[1]1_group_total_details'!$F$8:$F$10000,adj_location_group_id,'[1]1_group_total_details'!$G$8:$G$10000,MID(N36,1,3)*1,'[1]1_group_total_details'!$H$8:$H$10000,"&lt;="&amp;adj_date)+SUMIFS('[1]1_group_total_details'!$P$8:$P$10000,'[1]1_group_total_details'!$C$8:$C$10000,I36,'[1]1_group_total_details'!$F$8:$F$10000,adj_location_group_id,'[1]1_group_total_details'!$G$8:$G$10000,MID(N36,1,3)*1,'[1]1_group_total_details'!$H$8:$H$10000,"&lt;="&amp;adj_date))))</f>
        <v/>
      </c>
      <c r="R36" s="1187"/>
      <c r="S36" s="1186"/>
      <c r="T36" s="1186"/>
      <c r="U36" s="1184"/>
      <c r="V36" s="270" t="str" cm="1">
        <f t="array" ref="V36">IF(L36="","",IF(M36=AE36,1,Slookup(MID(AE36,1,3)*1,UomConversion!$D$8:$J$500,5,UomConversion!$E$8:$E$500,MID(M36,1,3)*1,UomConversion!$J$8:$J$500,1)))</f>
        <v/>
      </c>
      <c r="W36" s="270" t="str">
        <f t="shared" si="8"/>
        <v/>
      </c>
      <c r="X36" s="1795" t="str">
        <f t="shared" si="9"/>
        <v/>
      </c>
      <c r="Y36" s="1795" t="str">
        <f t="shared" si="10"/>
        <v/>
      </c>
      <c r="Z36" s="270" t="str">
        <f>IF(I36="","",IF(ISNA(MATCH(I36,IF(MID(N36,1,3)*1=1,'[1]1_inventory_totals'!$C$8:$C$10000,IF(MID(N36,1,3)*1=2,'[1]2_inventory_totals'!$C$8:$C$10000,"")),0)),0,IF(AL36&gt;0,1,0)))</f>
        <v/>
      </c>
      <c r="AA36" s="270" t="str">
        <f>IF(L36="","",IF(MID(N36,1,3)*1=1,SUMIFS('[1]1_inventory_total_details'!$J$8:$J$10000,'[1]1_inventory_total_details'!$C$8:$C$10000,I36,'[1]1_inventory_total_details'!$F$8:$F$10000,MID(N36,1,3)*1,'[1]1_inventory_total_details'!$G$8:$G$10000,"="&amp;S36,'[1]1_inventory_total_details'!$H$8:$H$10000,"="&amp;T36,'[1]1_inventory_total_details'!$I$8:$I$10000,"="&amp;adj_date)+SUMIFS('[1]1_inventory_total_details'!$M$8:$M$10000,'[1]1_inventory_total_details'!$C$8:$C$10000,I36,'[1]1_inventory_total_details'!$F$8:$F$10000,MID(N36,1,3)*1,'[1]1_inventory_total_details'!$G$8:$G$10000,"="&amp;S36,'[1]1_inventory_total_details'!$H$8:$H$10000,"="&amp;T36,'[1]1_inventory_total_details'!$I$8:$I$10000,"="&amp;adj_date)+SUMIFS('[1]1_inventory_total_details'!$K$8:$K$10000,'[1]1_inventory_total_details'!$C$8:$C$10000,I36,'[1]1_inventory_total_details'!$F$8:$F$10000,MID(N36,1,3)*1,'[1]1_inventory_total_details'!$G$8:$G$10000,"="&amp;S36,'[1]1_inventory_total_details'!$H$8:$H$10000,"="&amp;T36,'[1]1_inventory_total_details'!$I$8:$I$10000,"="&amp;adj_date)+SUMIFS('[1]1_inventory_total_details'!$L$8:$L$10000,'[1]1_inventory_total_details'!$C$8:$C$10000,I36,'[1]1_inventory_total_details'!$F$8:$F$10000,MID(N36,1,3)*1,'[1]1_inventory_total_details'!$G$8:$G$10000,"="&amp;S36,'[1]1_inventory_total_details'!$H$8:$H$10000,"="&amp;T36,'[1]1_inventory_total_details'!$I$8:$I$10000,"="&amp;adj_date),SUMIFS('[1]2_inventory_total_details'!$J$8:$J$10000,'[1]2_inventory_total_details'!$C$8:$C$10000,I36,'[1]2_inventory_total_details'!$F$8:$F$10000,MID(N36,1,3)*1,'[1]2_inventory_total_details'!$G$8:$G$10000,"="&amp;S36,'[1]2_inventory_total_details'!$H$8:$H$10000,"="&amp;T36,'[1]2_inventory_total_details'!$I$8:$I$10000,"="&amp;adj_date)+SUMIFS('[1]2_inventory_total_details'!$M$8:$M$10000,'[1]1_inventory_total_details'!$C$8:$C$10000,I36,'[1]2_inventory_total_details'!$F$8:$F$10000,MID(N36,1,3)*1,'[1]2_inventory_total_details'!$G$8:$G$10000,"="&amp;S36,'[1]2_inventory_total_details'!$H$8:$H$10000,"="&amp;T36,'[1]2_inventory_total_details'!$I$8:$I$10000,"="&amp;adj_date)+SUMIFS('[1]2_inventory_total_details'!$K$8:$K$10000,'[1]2_inventory_total_details'!$C$8:$C$10000,I36,'[1]2_inventory_total_details'!$F$8:$F$10000,MID(N36,1,3)*1,'[1]2_inventory_total_details'!$G$8:$G$10000,"="&amp;S36,'[1]2_inventory_total_details'!$H$8:$H$10000,"="&amp;T36,'[1]2_inventory_total_details'!$I$8:$I$10000,"="&amp;adj_date)+SUMIFS('[1]2_inventory_total_details'!$L$8:$L$10000,'[1]2_inventory_total_details'!$C$8:$C$10000,I36,'[1]2_inventory_total_details'!$F$8:$F$10000,MID(N36,1,3)*1,'[1]2_inventory_total_details'!$G$8:$G$10000,"="&amp;S36,'[1]2_inventory_total_details'!$H$8:$H$10000,"="&amp;T36,'[1]2_inventory_total_details'!$I$8:$I$10000,"="&amp;adj_date)))</f>
        <v/>
      </c>
      <c r="AB36" s="270" t="str">
        <f>IF(L36="","",IF(MID(N36,1,3)*1=1,SUMIFS('[1]1_inventory_total_details'!$J$8:$J$10000,'[1]1_inventory_total_details'!$C$8:$C$10000,I36,'[1]1_inventory_total_details'!$F$8:$F$10000,MID(N36,1,3)*1,'[1]1_inventory_total_details'!$G$8:$G$10000,"="&amp;S36,'[1]1_inventory_total_details'!$H$8:$H$10000,"="&amp;T36,'[1]1_inventory_total_details'!$I$8:$I$10000,"="&amp;adj_date)+SUMIFS('[1]1_inventory_total_details'!$M$8:$M$10000,'[1]1_inventory_total_details'!$C$8:$C$10000,I36,'[1]1_inventory_total_details'!$F$8:$F$10000,MID(N36,1,3)*1,'[1]1_inventory_total_details'!$G$8:$G$10000,"="&amp;S36,'[1]1_inventory_total_details'!$H$8:$H$10000,"="&amp;T36,'[1]1_inventory_total_details'!$I$8:$I$10000,"="&amp;adj_date)+SUMIFS('[1]1_inventory_total_details'!$K$8:$K$10000,'[1]1_inventory_total_details'!$C$8:$C$10000,I36,'[1]1_inventory_total_details'!$F$8:$F$10000,MID(N36,1,3)*1,'[1]1_inventory_total_details'!$G$8:$G$10000,"="&amp;S36,'[1]1_inventory_total_details'!$H$8:$H$10000,"="&amp;T36,'[1]1_inventory_total_details'!$I$8:$I$10000,"="&amp;adj_date)+SUMIFS('[1]1_inventory_total_details'!$L$8:$L$10000,'[1]1_inventory_total_details'!$C$8:$C$10000,I36,'[1]1_inventory_total_details'!$F$8:$F$10000,MID(N36,1,3)*1,'[1]1_inventory_total_details'!$G$8:$G$10000,"="&amp;S36,'[1]1_inventory_total_details'!$H$8:$H$10000,"="&amp;T36,'[1]1_inventory_total_details'!$I$8:$I$10000,"="&amp;adj_date),SUMIFS('[1]2_inventory_total_details'!$J$8:$J$10000,'[1]2_inventory_total_details'!$C$8:$C$10000,I36,'[1]2_inventory_total_details'!$F$8:$F$10000,MID(N36,1,3)*1,'[1]2_inventory_total_details'!$G$8:$G$10000,"="&amp;S36,'[1]2_inventory_total_details'!$H$8:$H$10000,"="&amp;T36,'[1]2_inventory_total_details'!$I$8:$I$10000,"="&amp;adj_date)+SUMIFS('[1]2_inventory_total_details'!$M$8:$M$10000,'[1]1_inventory_total_details'!$C$8:$C$10000,I36,'[1]2_inventory_total_details'!$F$8:$F$10000,MID(N36,1,3)*1,'[1]2_inventory_total_details'!$G$8:$G$10000,"="&amp;S36,'[1]2_inventory_total_details'!$H$8:$H$10000,"="&amp;T36,'[1]2_inventory_total_details'!$I$8:$I$10000,"="&amp;adj_date)+SUMIFS('[1]2_inventory_total_details'!$K$8:$K$10000,'[1]2_inventory_total_details'!$C$8:$C$10000,I36,'[1]2_inventory_total_details'!$F$8:$F$10000,MID(N36,1,3)*1,'[1]2_inventory_total_details'!$G$8:$G$10000,"="&amp;S36,'[1]2_inventory_total_details'!$H$8:$H$10000,"="&amp;T36,'[1]2_inventory_total_details'!$I$8:$I$10000,"="&amp;adj_date)+SUMIFS('[1]2_inventory_total_details'!$L$8:$L$10000,'[1]2_inventory_total_details'!$C$8:$C$10000,I36,'[1]2_inventory_total_details'!$F$8:$F$10000,MID(N36,1,3)*1,'[1]2_inventory_total_details'!$G$8:$G$10000,"="&amp;S36,'[1]2_inventory_total_details'!$H$8:$H$10000,"="&amp;T36,'[1]2_inventory_total_details'!$I$8:$I$10000,"="&amp;adj_date)))</f>
        <v/>
      </c>
      <c r="AC36" s="270" t="str">
        <f>IF(L36="","",IF(MID(N36,1,3)*1=1,SUMIFS('[1]1_inventory_total_details'!$J$8:$J$10000,'[1]1_inventory_total_details'!$C$8:$C$10000,I36,'[1]1_inventory_total_details'!$F$8:$F$10000,MID(N36,1,3)*1,'[1]1_inventory_total_details'!$G$8:$G$10000,"="&amp;S36,'[1]1_inventory_total_details'!$H$8:$H$10000,"="&amp;T36,'[1]1_inventory_total_details'!$I$8:$I$10000,"="&amp;adj_date)+SUMIFS('[1]1_inventory_total_details'!$M$8:$M$10000,'[1]1_inventory_total_details'!$C$8:$C$10000,I36,'[1]1_inventory_total_details'!$F$8:$F$10000,MID(N36,1,3)*1,'[1]1_inventory_total_details'!$G$8:$G$10000,"="&amp;S36,'[1]1_inventory_total_details'!$H$8:$H$10000,"="&amp;T36,'[1]1_inventory_total_details'!$I$8:$I$10000,"="&amp;adj_date)+SUMIFS('[1]1_inventory_total_details'!$K$8:$K$10000,'[1]1_inventory_total_details'!$C$8:$C$10000,I36,'[1]1_inventory_total_details'!$F$8:$F$10000,MID(N36,1,3)*1,'[1]1_inventory_total_details'!$G$8:$G$10000,"="&amp;S36,'[1]1_inventory_total_details'!$H$8:$H$10000,"="&amp;T36,'[1]1_inventory_total_details'!$I$8:$I$10000,"="&amp;adj_date)+SUMIFS('[1]1_inventory_total_details'!$L$8:$L$10000,'[1]1_inventory_total_details'!$C$8:$C$10000,I36,'[1]1_inventory_total_details'!$F$8:$F$10000,MID(N36,1,3)*1,'[1]1_inventory_total_details'!$G$8:$G$10000,"="&amp;S36,'[1]1_inventory_total_details'!$H$8:$H$10000,"="&amp;T36,'[1]1_inventory_total_details'!$I$8:$I$10000,"="&amp;adj_date),SUMIFS('[1]2_inventory_total_details'!$J$8:$J$10000,'[1]2_inventory_total_details'!$C$8:$C$10000,I36,'[1]2_inventory_total_details'!$F$8:$F$10000,MID(N36,1,3)*1,'[1]2_inventory_total_details'!$G$8:$G$10000,"="&amp;S36,'[1]2_inventory_total_details'!$H$8:$H$10000,"="&amp;T36,'[1]2_inventory_total_details'!$I$8:$I$10000,"="&amp;adj_date)+SUMIFS('[1]2_inventory_total_details'!$M$8:$M$10000,'[1]1_inventory_total_details'!$C$8:$C$10000,I36,'[1]2_inventory_total_details'!$F$8:$F$10000,MID(N36,1,3)*1,'[1]2_inventory_total_details'!$G$8:$G$10000,"="&amp;S36,'[1]2_inventory_total_details'!$H$8:$H$10000,"="&amp;T36,'[1]2_inventory_total_details'!$I$8:$I$10000,"="&amp;adj_date)+SUMIFS('[1]2_inventory_total_details'!$K$8:$K$10000,'[1]2_inventory_total_details'!$C$8:$C$10000,I36,'[1]2_inventory_total_details'!$F$8:$F$10000,MID(N36,1,3)*1,'[1]2_inventory_total_details'!$G$8:$G$10000,"="&amp;S36,'[1]2_inventory_total_details'!$H$8:$H$10000,"="&amp;T36,'[1]2_inventory_total_details'!$I$8:$I$10000,"="&amp;adj_date)+SUMIFS('[1]2_inventory_total_details'!$L$8:$L$10000,'[1]2_inventory_total_details'!$C$8:$C$10000,I36,'[1]2_inventory_total_details'!$F$8:$F$10000,MID(N36,1,3)*1,'[1]2_inventory_total_details'!$G$8:$G$10000,"="&amp;S36,'[1]2_inventory_total_details'!$H$8:$H$10000,"="&amp;T36,'[1]2_inventory_total_details'!$I$8:$I$10000,"="&amp;adj_date)))</f>
        <v/>
      </c>
      <c r="AD36" s="270" t="str">
        <f>IF(L36="","",SUMIFS('[1]1_group_totals'!$J$8:$J$10000,'[1]1_group_totals'!$C$8:$C$10000,I36,'[1]1_group_totals'!$F$8:$F$10000,adj_location_group_id,'[1]1_group_totals'!$G$8:$G$10000,MID(N36,1,3)*1,'[1]1_group_totals'!$H$8:$H$10000,"="&amp;S36,'[1]1_group_totals'!$I$8:$I$10000,"="&amp;T36))</f>
        <v/>
      </c>
      <c r="AE36" s="1796" t="str">
        <f t="shared" si="11"/>
        <v/>
      </c>
      <c r="AF36" s="1797" t="str">
        <f>IF(ISNA(MATCH(MID(AE36,1,3)*1,UomConversion!$D$8:$D$500,0)),"",IF(AJ36&lt;&gt;"",AJ36,""))</f>
        <v/>
      </c>
      <c r="AG36" s="1797" t="str">
        <f>IF(AND(AH36&gt;0,COUNTIFS(UomConversion!$D$8:$D$500,MID(AE36,1,3)*1,UomConversion!$J$8:$J$500,1)&gt;1),TEXT(AH36,"000")&amp;"."&amp;VLOOKUP(AH36,uom_list,5,FALSE),"")</f>
        <v/>
      </c>
      <c r="AH36" s="270" t="str">
        <f t="shared" si="12"/>
        <v/>
      </c>
      <c r="AI36" s="270" t="str">
        <f t="shared" si="13"/>
        <v/>
      </c>
      <c r="AJ36" s="270" t="str">
        <f t="shared" si="14"/>
        <v/>
      </c>
      <c r="AK36" s="270" t="str" cm="1">
        <f t="array" ref="AK36">IF(L36="","",Slookup(MID(AE36,1,3)*1,UomConversion!$D$8:$J$500,2,UomConversion!$I$8:$I$500,1,UomConversion!$J$8:$J$500,1))</f>
        <v/>
      </c>
      <c r="AL36" s="270" t="str">
        <f t="shared" si="15"/>
        <v/>
      </c>
      <c r="AM36" s="270" t="str">
        <f>IF(L36="","",(SUMIFS('[1]1_group_totals'!$K$8:$K$10000,'[1]1_group_totals'!$C$8:$C$10000,I36,'[1]1_group_totals'!$F$8:$F$10000,adj_location_group_id,'[1]1_group_totals'!$G$8:$G$10000,MID(N36,1,3)*1,'[1]1_group_totals'!$H$8:$H$10000,"="&amp;S36,'[1]1_group_totals'!$I$8:$I$10000,"="&amp;T36)+SUMIFS('[1]1_group_totals'!$N$8:$N$10000,'[1]1_group_totals'!$C$8:$C$10000,I36,'[1]1_group_totals'!$F$8:$F$10000,adj_location_group_id,'[1]1_group_totals'!$G$8:$G$10000,MID(N36,1,3)*1,'[1]1_group_totals'!$H$8:$H$10000,"="&amp;S36,'[1]1_group_totals'!$I$8:$I$10000,"="&amp;T36)+SUMIFS('[1]1_group_totals'!$P$8:$P$10000,'[1]1_group_totals'!$C$8:$C$10000,I36,'[1]1_group_totals'!$F$8:$F$10000,adj_location_group_id,'[1]1_group_totals'!$G$8:$G$10000,MID(N36,1,3)*1,'[1]1_group_totals'!$H$8:$H$10000,"="&amp;S36,'[1]1_group_totals'!$I$8:$I$10000,"="&amp;T36)+SUMIFS('[1]1_group_totals'!$Q$8:$Q$10000,'[1]1_group_totals'!$C$8:$C$10000,I36,'[1]1_group_totals'!$F$8:$F$10000,adj_location_group_id,'[1]1_group_totals'!$G$8:$G$10000,MID(N36,1,3)*1,'[1]1_group_totals'!$H$8:$H$10000,"="&amp;S36,'[1]1_group_totals'!$I$8:$I$10000,"="&amp;T36))+(SUMIFS('[1]1_group_totals'!$L$8:$L$10000,'[1]1_group_totals'!$C$8:$C$10000,I36,'[1]1_group_totals'!$F$8:$F$10000,adj_location_group_id,'[1]1_group_totals'!$G$8:$G$10000,MID(N36,1,3)*1,'[1]1_group_totals'!$H$8:$H$10000,"="&amp;S36,'[1]1_group_totals'!$I$8:$I$10000,"="&amp;T36)+SUMIFS('[1]1_group_totals'!$M$8:$M$10000,'[1]1_group_totals'!$C$8:$C$10000,I36,'[1]1_group_totals'!$F$8:$F$10000,adj_location_group_id,'[1]1_group_totals'!$G$8:$G$10000,MID(N36,1,3)*1,'[1]1_group_totals'!$H$8:$H$10000,"="&amp;S36,'[1]1_group_totals'!$I$8:$I$10000,"="&amp;T36)+SUMIFS('[1]1_group_totals'!$O$8:$O$10000,'[1]1_group_totals'!$C$8:$C$10000,I36,'[1]1_group_totals'!$F$8:$F$10000,adj_location_group_id,'[1]1_group_totals'!$G$8:$G$10000,MID(N36,1,3)*1,'[1]1_group_totals'!$H$8:$H$10000,"="&amp;S36,'[1]1_group_totals'!$I$8:$I$10000,"="&amp;T36)+SUMIFS('[1]1_group_totals'!$R$8:$R$10000,'[1]1_group_totals'!$C$8:$C$10000,I36,'[1]1_group_totals'!$F$8:$F$10000,adj_location_group_id,'[1]1_group_totals'!$G$8:$G$10000,MID(N36,1,3)*1,'[1]1_group_totals'!$H$8:$H$10000,"="&amp;S36,'[1]1_group_totals'!$I$8:$I$10000,"="&amp;T36)))</f>
        <v/>
      </c>
      <c r="AN36" s="270" t="str">
        <f>IF(L36="","",(SUMIFS('[1]1_inventory_totals'!$I$8:$I$10000,'[1]1_inventory_totals'!$C$8:$C$10000,I36,'[1]1_inventory_totals'!$F$8:$F$10000,"="&amp;S36,'[1]1_inventory_totals'!$G$8:$G$10000,"="&amp;T36)+SUMIFS('[1]1_inventory_totals'!$N$8:$N$10000,'[1]1_inventory_totals'!$C$8:$C$10000,I36,'[1]1_inventory_totals'!$F$8:$F$10000,"="&amp;S36,'[1]1_inventory_totals'!$G$8:$G$10000,"="&amp;T36)+SUMIFS('[1]1_inventory_totals'!$P$8:$P$10000,'[1]1_inventory_totals'!$C$8:$C$10000,I36,'[1]1_inventory_totals'!$F$8:$F$10000,"="&amp;S36,'[1]1_inventory_totals'!$G$8:$G$10000,"="&amp;T36)+SUMIFS('[1]1_inventory_totals'!$Q$8:$Q$10000,'[1]1_inventory_totals'!$C$8:$C$10000,I36,'[1]1_inventory_totals'!$F$8:$F$10000,"="&amp;S36,'[1]1_inventory_totals'!$G$8:$G$10000,"="&amp;T36)+SUMIFS('[1]1_inventory_totals'!$R$8:$R$10000,'[1]1_inventory_totals'!$C$8:$C$10000,I36,'[1]1_inventory_totals'!$F$8:$F$10000,"="&amp;S36,'[1]1_inventory_totals'!$G$8:$G$10000,"="&amp;T36))+(SUMIFS('[1]1_inventory_totals'!$J$8:$J$10000,'[1]1_inventory_totals'!$C$8:$C$10000,I36,'[1]1_inventory_totals'!$F$8:$F$10000,"="&amp;S36,'[1]1_inventory_totals'!$G$8:$G$10000,"="&amp;T36)+SUMIFS('[1]1_inventory_totals'!$K$8:$K$10000,'[1]1_inventory_totals'!$C$8:$C$10000,I36,'[1]1_inventory_totals'!$F$8:$F$10000,"="&amp;S36,'[1]1_inventory_totals'!$G$8:$G$10000,"="&amp;T36)+SUMIFS('[1]1_inventory_totals'!$L$8:$L$10000,'[1]1_inventory_totals'!$C$8:$C$10000,I36,'[1]1_inventory_totals'!$F$8:$F$10000,"="&amp;S36,'[1]1_inventory_totals'!$G$8:$G$10000,"="&amp;T36)+SUMIFS('[1]1_inventory_totals'!$M$8:$M$10000,'[1]1_inventory_totals'!$C$8:$C$10000,I36,'[1]1_inventory_totals'!$F$8:$F$10000,"="&amp;S36,'[1]1_inventory_totals'!$G$8:$G$10000,"="&amp;T36)+SUMIFS('[1]1_inventory_totals'!$O$8:$O$10000,'[1]1_inventory_totals'!$C$8:$C$10000,I36,'[1]1_inventory_totals'!$F$8:$F$10000,"="&amp;S36,'[1]1_inventory_totals'!$G$8:$G$10000,"="&amp;T36)+SUMIFS('[1]1_inventory_totals'!$S$8:$S$10000,'[1]1_inventory_totals'!$C$8:$C$10000,I36,'[1]1_inventory_totals'!$F$8:$F$10000,"="&amp;S36,'[1]1_inventory_totals'!$G$8:$G$10000,"="&amp;T36)))</f>
        <v/>
      </c>
      <c r="AO36" s="270" t="str">
        <f>IF(L36="","",(SUMIFS('[1]2_inventory_totals'!$I$8:$I$10000,'[1]2_inventory_totals'!$C$8:$C$10000,I36,'[1]2_inventory_totals'!$F$8:$F$10000,"="&amp;S36,'[1]2_inventory_totals'!$G$8:$G$10000,"="&amp;T36)+SUMIFS('[1]2_inventory_totals'!$N$8:$N$10000,'[1]2_inventory_totals'!$C$8:$C$10000,I36,'[1]2_inventory_totals'!$F$8:$F$10000,"="&amp;S36,'[1]2_inventory_totals'!$G$8:$G$10000,"="&amp;T36)+SUMIFS('[1]2_inventory_totals'!$P$8:$P$10000,'[1]2_inventory_totals'!$C$8:$C$10000,I36,'[1]2_inventory_totals'!$F$8:$F$10000,"="&amp;S36,'[1]2_inventory_totals'!$G$8:$G$10000,"="&amp;T36)+SUMIFS('[1]2_inventory_totals'!$Q$8:$Q$10000,'[1]2_inventory_totals'!$C$8:$C$10000,I36,'[1]2_inventory_totals'!$F$8:$F$10000,"="&amp;S36,'[1]2_inventory_totals'!$G$8:$G$10000,"="&amp;T36)+SUMIFS('[1]2_inventory_totals'!$R$8:$R$10000,'[1]2_inventory_totals'!$C$8:$C$10000,I36,'[1]2_inventory_totals'!$F$8:$F$10000,"="&amp;S36,'[1]2_inventory_totals'!$G$8:$G$10000,"="&amp;T36))+(SUMIFS('[1]2_inventory_totals'!$J$8:$J$10000,'[1]2_inventory_totals'!$C$8:$C$10000,I36,'[1]2_inventory_totals'!$F$8:$F$10000,"="&amp;S36,'[1]2_inventory_totals'!$G$8:$G$10000,"="&amp;T36)+SUMIFS('[1]2_inventory_totals'!$K$8:$K$10000,'[1]2_inventory_totals'!$C$8:$C$10000,I36,'[1]2_inventory_totals'!$F$8:$F$10000,"="&amp;S36,'[1]2_inventory_totals'!$G$8:$G$10000,"="&amp;T36)+SUMIFS('[1]2_inventory_totals'!$L$8:$L$10000,'[1]2_inventory_totals'!$C$8:$C$10000,I36,'[1]2_inventory_totals'!$F$8:$F$10000,"="&amp;S36,'[1]2_inventory_totals'!$G$8:$G$10000,"="&amp;T36)+SUMIFS('[1]2_inventory_totals'!$M$8:$M$10000,'[1]2_inventory_totals'!$C$8:$C$10000,I36,'[1]2_inventory_totals'!$F$8:$F$10000,"="&amp;S36,'[1]2_inventory_totals'!$G$8:$G$10000,"="&amp;T36)+SUMIFS('[1]2_inventory_totals'!$O$8:$O$10000,'[1]2_inventory_totals'!$C$8:$C$10000,I36,'[1]2_inventory_totals'!$F$8:$F$10000,"="&amp;S36,'[1]2_inventory_totals'!$G$8:$G$10000,"="&amp;T36)+SUMIFS('[1]2_inventory_totals'!$S$8:$S$10000,'[1]2_inventory_totals'!$C$8:$C$10000,I36,'[1]2_inventory_totals'!$F$8:$F$10000,"="&amp;S36,'[1]2_inventory_totals'!$G$8:$G$10000,"="&amp;T36)))</f>
        <v/>
      </c>
      <c r="AP36" s="954"/>
    </row>
    <row r="37" spans="1:42" ht="27" customHeight="1">
      <c r="A37" s="923"/>
      <c r="B37" s="1172"/>
      <c r="C37" s="950"/>
      <c r="D37" s="950"/>
      <c r="E37" s="950"/>
      <c r="F37" s="1198"/>
      <c r="I37" s="1610" t="str">
        <f t="shared" si="5"/>
        <v/>
      </c>
      <c r="J37" s="270" t="str">
        <f t="shared" si="6"/>
        <v/>
      </c>
      <c r="K37" s="813" t="str">
        <f t="shared" si="0"/>
        <v/>
      </c>
      <c r="L37" s="1184"/>
      <c r="M37" s="1185"/>
      <c r="N37" s="1186"/>
      <c r="O37" s="1534"/>
      <c r="P37" s="336" t="str">
        <f t="shared" si="7"/>
        <v/>
      </c>
      <c r="Q37" s="336" t="str">
        <f>IF(L37="","",IF(AD37=0,0,(SUMIFS('[1]1_group_total_details'!$I$8:$I$10000,'[1]1_group_total_details'!$C$8:$C$10000,I37,'[1]1_group_total_details'!$F$8:$F$10000,adj_location_group_id,'[1]1_group_total_details'!$G$8:$G$10000,MID(N37,1,3)*1,'[1]1_group_total_details'!$H$8:$H$10000,"&lt;="&amp;adj_date)+SUMIFS('[1]1_group_total_details'!$L$8:$L$10000,'[1]1_group_total_details'!$C$8:$C$10000,I37,'[1]1_group_total_details'!$F$8:$F$10000,adj_location_group_id,'[1]1_group_total_details'!$G$8:$G$10000,MID(N37,1,3)*1,'[1]1_group_total_details'!$H$8:$H$10000,"&lt;="&amp;adj_date)+SUMIFS('[1]1_group_total_details'!$N$8:$N$10000,'[1]1_group_total_details'!$C$8:$C$10000,I37,'[1]1_group_total_details'!$F$8:$F$10000,adj_location_group_id,'[1]1_group_total_details'!$G$8:$G$10000,MID(N37,1,3)*1,'[1]1_group_total_details'!$H$8:$H$10000,"&lt;="&amp;adj_date)+SUMIFS('[1]1_group_total_details'!$O$8:$O$10000,'[1]1_group_total_details'!$C$8:$C$10000,I37,'[1]1_group_total_details'!$F$8:$F$10000,adj_location_group_id,'[1]1_group_total_details'!$G$8:$G$10000,MID(N37,1,3)*1,'[1]1_group_total_details'!$H$8:$H$10000,"&lt;="&amp;adj_date))-(SUMIFS('[1]1_group_total_details'!$J$8:$J$10000,'[1]1_group_total_details'!$C$8:$C$10000,I37,'[1]1_group_total_details'!$F$8:$F$10000,adj_location_group_id,'[1]1_group_total_details'!$G$8:$G$10000,MID(N37,1,3)*1,'[1]1_group_total_details'!$H$8:$H$10000,"&lt;="&amp;adj_date)+SUMIFS('[1]1_group_total_details'!$K$8:$K$10000,'[1]1_group_total_details'!$C$8:$C$10000,I37,'[1]1_group_total_details'!$F$8:$F$10000,adj_location_group_id,'[1]1_group_total_details'!$G$8:$G$10000,MID(N37,1,3)*1,'[1]1_group_total_details'!$H$8:$H$10000,"&lt;="&amp;adj_date)+SUMIFS('[1]1_group_total_details'!$M$8:$M$10000,'[1]1_group_total_details'!$C$8:$C$10000,I37,'[1]1_group_total_details'!$F$8:$F$10000,adj_location_group_id,'[1]1_group_total_details'!$G$8:$G$10000,MID(N37,1,3)*1,'[1]1_group_total_details'!$H$8:$H$10000,"&lt;="&amp;adj_date)+SUMIFS('[1]1_group_total_details'!$P$8:$P$10000,'[1]1_group_total_details'!$C$8:$C$10000,I37,'[1]1_group_total_details'!$F$8:$F$10000,adj_location_group_id,'[1]1_group_total_details'!$G$8:$G$10000,MID(N37,1,3)*1,'[1]1_group_total_details'!$H$8:$H$10000,"&lt;="&amp;adj_date))))</f>
        <v/>
      </c>
      <c r="R37" s="1187"/>
      <c r="S37" s="1186"/>
      <c r="T37" s="1186"/>
      <c r="U37" s="1184"/>
      <c r="V37" s="270" t="str" cm="1">
        <f t="array" ref="V37">IF(L37="","",IF(M37=AE37,1,Slookup(MID(AE37,1,3)*1,UomConversion!$D$8:$J$500,5,UomConversion!$E$8:$E$500,MID(M37,1,3)*1,UomConversion!$J$8:$J$500,1)))</f>
        <v/>
      </c>
      <c r="W37" s="270" t="str">
        <f t="shared" si="8"/>
        <v/>
      </c>
      <c r="X37" s="1795" t="str">
        <f t="shared" si="9"/>
        <v/>
      </c>
      <c r="Y37" s="1795" t="str">
        <f t="shared" si="10"/>
        <v/>
      </c>
      <c r="Z37" s="270" t="str">
        <f>IF(I37="","",IF(ISNA(MATCH(I37,IF(MID(N37,1,3)*1=1,'[1]1_inventory_totals'!$C$8:$C$10000,IF(MID(N37,1,3)*1=2,'[1]2_inventory_totals'!$C$8:$C$10000,"")),0)),0,IF(AL37&gt;0,1,0)))</f>
        <v/>
      </c>
      <c r="AA37" s="270" t="str">
        <f>IF(L37="","",IF(MID(N37,1,3)*1=1,SUMIFS('[1]1_inventory_total_details'!$J$8:$J$10000,'[1]1_inventory_total_details'!$C$8:$C$10000,I37,'[1]1_inventory_total_details'!$F$8:$F$10000,MID(N37,1,3)*1,'[1]1_inventory_total_details'!$G$8:$G$10000,"="&amp;S37,'[1]1_inventory_total_details'!$H$8:$H$10000,"="&amp;T37,'[1]1_inventory_total_details'!$I$8:$I$10000,"="&amp;adj_date)+SUMIFS('[1]1_inventory_total_details'!$M$8:$M$10000,'[1]1_inventory_total_details'!$C$8:$C$10000,I37,'[1]1_inventory_total_details'!$F$8:$F$10000,MID(N37,1,3)*1,'[1]1_inventory_total_details'!$G$8:$G$10000,"="&amp;S37,'[1]1_inventory_total_details'!$H$8:$H$10000,"="&amp;T37,'[1]1_inventory_total_details'!$I$8:$I$10000,"="&amp;adj_date)+SUMIFS('[1]1_inventory_total_details'!$K$8:$K$10000,'[1]1_inventory_total_details'!$C$8:$C$10000,I37,'[1]1_inventory_total_details'!$F$8:$F$10000,MID(N37,1,3)*1,'[1]1_inventory_total_details'!$G$8:$G$10000,"="&amp;S37,'[1]1_inventory_total_details'!$H$8:$H$10000,"="&amp;T37,'[1]1_inventory_total_details'!$I$8:$I$10000,"="&amp;adj_date)+SUMIFS('[1]1_inventory_total_details'!$L$8:$L$10000,'[1]1_inventory_total_details'!$C$8:$C$10000,I37,'[1]1_inventory_total_details'!$F$8:$F$10000,MID(N37,1,3)*1,'[1]1_inventory_total_details'!$G$8:$G$10000,"="&amp;S37,'[1]1_inventory_total_details'!$H$8:$H$10000,"="&amp;T37,'[1]1_inventory_total_details'!$I$8:$I$10000,"="&amp;adj_date),SUMIFS('[1]2_inventory_total_details'!$J$8:$J$10000,'[1]2_inventory_total_details'!$C$8:$C$10000,I37,'[1]2_inventory_total_details'!$F$8:$F$10000,MID(N37,1,3)*1,'[1]2_inventory_total_details'!$G$8:$G$10000,"="&amp;S37,'[1]2_inventory_total_details'!$H$8:$H$10000,"="&amp;T37,'[1]2_inventory_total_details'!$I$8:$I$10000,"="&amp;adj_date)+SUMIFS('[1]2_inventory_total_details'!$M$8:$M$10000,'[1]1_inventory_total_details'!$C$8:$C$10000,I37,'[1]2_inventory_total_details'!$F$8:$F$10000,MID(N37,1,3)*1,'[1]2_inventory_total_details'!$G$8:$G$10000,"="&amp;S37,'[1]2_inventory_total_details'!$H$8:$H$10000,"="&amp;T37,'[1]2_inventory_total_details'!$I$8:$I$10000,"="&amp;adj_date)+SUMIFS('[1]2_inventory_total_details'!$K$8:$K$10000,'[1]2_inventory_total_details'!$C$8:$C$10000,I37,'[1]2_inventory_total_details'!$F$8:$F$10000,MID(N37,1,3)*1,'[1]2_inventory_total_details'!$G$8:$G$10000,"="&amp;S37,'[1]2_inventory_total_details'!$H$8:$H$10000,"="&amp;T37,'[1]2_inventory_total_details'!$I$8:$I$10000,"="&amp;adj_date)+SUMIFS('[1]2_inventory_total_details'!$L$8:$L$10000,'[1]2_inventory_total_details'!$C$8:$C$10000,I37,'[1]2_inventory_total_details'!$F$8:$F$10000,MID(N37,1,3)*1,'[1]2_inventory_total_details'!$G$8:$G$10000,"="&amp;S37,'[1]2_inventory_total_details'!$H$8:$H$10000,"="&amp;T37,'[1]2_inventory_total_details'!$I$8:$I$10000,"="&amp;adj_date)))</f>
        <v/>
      </c>
      <c r="AB37" s="270" t="str">
        <f>IF(L37="","",IF(MID(N37,1,3)*1=1,SUMIFS('[1]1_inventory_total_details'!$J$8:$J$10000,'[1]1_inventory_total_details'!$C$8:$C$10000,I37,'[1]1_inventory_total_details'!$F$8:$F$10000,MID(N37,1,3)*1,'[1]1_inventory_total_details'!$G$8:$G$10000,"="&amp;S37,'[1]1_inventory_total_details'!$H$8:$H$10000,"="&amp;T37,'[1]1_inventory_total_details'!$I$8:$I$10000,"="&amp;adj_date)+SUMIFS('[1]1_inventory_total_details'!$M$8:$M$10000,'[1]1_inventory_total_details'!$C$8:$C$10000,I37,'[1]1_inventory_total_details'!$F$8:$F$10000,MID(N37,1,3)*1,'[1]1_inventory_total_details'!$G$8:$G$10000,"="&amp;S37,'[1]1_inventory_total_details'!$H$8:$H$10000,"="&amp;T37,'[1]1_inventory_total_details'!$I$8:$I$10000,"="&amp;adj_date)+SUMIFS('[1]1_inventory_total_details'!$K$8:$K$10000,'[1]1_inventory_total_details'!$C$8:$C$10000,I37,'[1]1_inventory_total_details'!$F$8:$F$10000,MID(N37,1,3)*1,'[1]1_inventory_total_details'!$G$8:$G$10000,"="&amp;S37,'[1]1_inventory_total_details'!$H$8:$H$10000,"="&amp;T37,'[1]1_inventory_total_details'!$I$8:$I$10000,"="&amp;adj_date)+SUMIFS('[1]1_inventory_total_details'!$L$8:$L$10000,'[1]1_inventory_total_details'!$C$8:$C$10000,I37,'[1]1_inventory_total_details'!$F$8:$F$10000,MID(N37,1,3)*1,'[1]1_inventory_total_details'!$G$8:$G$10000,"="&amp;S37,'[1]1_inventory_total_details'!$H$8:$H$10000,"="&amp;T37,'[1]1_inventory_total_details'!$I$8:$I$10000,"="&amp;adj_date),SUMIFS('[1]2_inventory_total_details'!$J$8:$J$10000,'[1]2_inventory_total_details'!$C$8:$C$10000,I37,'[1]2_inventory_total_details'!$F$8:$F$10000,MID(N37,1,3)*1,'[1]2_inventory_total_details'!$G$8:$G$10000,"="&amp;S37,'[1]2_inventory_total_details'!$H$8:$H$10000,"="&amp;T37,'[1]2_inventory_total_details'!$I$8:$I$10000,"="&amp;adj_date)+SUMIFS('[1]2_inventory_total_details'!$M$8:$M$10000,'[1]1_inventory_total_details'!$C$8:$C$10000,I37,'[1]2_inventory_total_details'!$F$8:$F$10000,MID(N37,1,3)*1,'[1]2_inventory_total_details'!$G$8:$G$10000,"="&amp;S37,'[1]2_inventory_total_details'!$H$8:$H$10000,"="&amp;T37,'[1]2_inventory_total_details'!$I$8:$I$10000,"="&amp;adj_date)+SUMIFS('[1]2_inventory_total_details'!$K$8:$K$10000,'[1]2_inventory_total_details'!$C$8:$C$10000,I37,'[1]2_inventory_total_details'!$F$8:$F$10000,MID(N37,1,3)*1,'[1]2_inventory_total_details'!$G$8:$G$10000,"="&amp;S37,'[1]2_inventory_total_details'!$H$8:$H$10000,"="&amp;T37,'[1]2_inventory_total_details'!$I$8:$I$10000,"="&amp;adj_date)+SUMIFS('[1]2_inventory_total_details'!$L$8:$L$10000,'[1]2_inventory_total_details'!$C$8:$C$10000,I37,'[1]2_inventory_total_details'!$F$8:$F$10000,MID(N37,1,3)*1,'[1]2_inventory_total_details'!$G$8:$G$10000,"="&amp;S37,'[1]2_inventory_total_details'!$H$8:$H$10000,"="&amp;T37,'[1]2_inventory_total_details'!$I$8:$I$10000,"="&amp;adj_date)))</f>
        <v/>
      </c>
      <c r="AC37" s="270" t="str">
        <f>IF(L37="","",IF(MID(N37,1,3)*1=1,SUMIFS('[1]1_inventory_total_details'!$J$8:$J$10000,'[1]1_inventory_total_details'!$C$8:$C$10000,I37,'[1]1_inventory_total_details'!$F$8:$F$10000,MID(N37,1,3)*1,'[1]1_inventory_total_details'!$G$8:$G$10000,"="&amp;S37,'[1]1_inventory_total_details'!$H$8:$H$10000,"="&amp;T37,'[1]1_inventory_total_details'!$I$8:$I$10000,"="&amp;adj_date)+SUMIFS('[1]1_inventory_total_details'!$M$8:$M$10000,'[1]1_inventory_total_details'!$C$8:$C$10000,I37,'[1]1_inventory_total_details'!$F$8:$F$10000,MID(N37,1,3)*1,'[1]1_inventory_total_details'!$G$8:$G$10000,"="&amp;S37,'[1]1_inventory_total_details'!$H$8:$H$10000,"="&amp;T37,'[1]1_inventory_total_details'!$I$8:$I$10000,"="&amp;adj_date)+SUMIFS('[1]1_inventory_total_details'!$K$8:$K$10000,'[1]1_inventory_total_details'!$C$8:$C$10000,I37,'[1]1_inventory_total_details'!$F$8:$F$10000,MID(N37,1,3)*1,'[1]1_inventory_total_details'!$G$8:$G$10000,"="&amp;S37,'[1]1_inventory_total_details'!$H$8:$H$10000,"="&amp;T37,'[1]1_inventory_total_details'!$I$8:$I$10000,"="&amp;adj_date)+SUMIFS('[1]1_inventory_total_details'!$L$8:$L$10000,'[1]1_inventory_total_details'!$C$8:$C$10000,I37,'[1]1_inventory_total_details'!$F$8:$F$10000,MID(N37,1,3)*1,'[1]1_inventory_total_details'!$G$8:$G$10000,"="&amp;S37,'[1]1_inventory_total_details'!$H$8:$H$10000,"="&amp;T37,'[1]1_inventory_total_details'!$I$8:$I$10000,"="&amp;adj_date),SUMIFS('[1]2_inventory_total_details'!$J$8:$J$10000,'[1]2_inventory_total_details'!$C$8:$C$10000,I37,'[1]2_inventory_total_details'!$F$8:$F$10000,MID(N37,1,3)*1,'[1]2_inventory_total_details'!$G$8:$G$10000,"="&amp;S37,'[1]2_inventory_total_details'!$H$8:$H$10000,"="&amp;T37,'[1]2_inventory_total_details'!$I$8:$I$10000,"="&amp;adj_date)+SUMIFS('[1]2_inventory_total_details'!$M$8:$M$10000,'[1]1_inventory_total_details'!$C$8:$C$10000,I37,'[1]2_inventory_total_details'!$F$8:$F$10000,MID(N37,1,3)*1,'[1]2_inventory_total_details'!$G$8:$G$10000,"="&amp;S37,'[1]2_inventory_total_details'!$H$8:$H$10000,"="&amp;T37,'[1]2_inventory_total_details'!$I$8:$I$10000,"="&amp;adj_date)+SUMIFS('[1]2_inventory_total_details'!$K$8:$K$10000,'[1]2_inventory_total_details'!$C$8:$C$10000,I37,'[1]2_inventory_total_details'!$F$8:$F$10000,MID(N37,1,3)*1,'[1]2_inventory_total_details'!$G$8:$G$10000,"="&amp;S37,'[1]2_inventory_total_details'!$H$8:$H$10000,"="&amp;T37,'[1]2_inventory_total_details'!$I$8:$I$10000,"="&amp;adj_date)+SUMIFS('[1]2_inventory_total_details'!$L$8:$L$10000,'[1]2_inventory_total_details'!$C$8:$C$10000,I37,'[1]2_inventory_total_details'!$F$8:$F$10000,MID(N37,1,3)*1,'[1]2_inventory_total_details'!$G$8:$G$10000,"="&amp;S37,'[1]2_inventory_total_details'!$H$8:$H$10000,"="&amp;T37,'[1]2_inventory_total_details'!$I$8:$I$10000,"="&amp;adj_date)))</f>
        <v/>
      </c>
      <c r="AD37" s="270" t="str">
        <f>IF(L37="","",SUMIFS('[1]1_group_totals'!$J$8:$J$10000,'[1]1_group_totals'!$C$8:$C$10000,I37,'[1]1_group_totals'!$F$8:$F$10000,adj_location_group_id,'[1]1_group_totals'!$G$8:$G$10000,MID(N37,1,3)*1,'[1]1_group_totals'!$H$8:$H$10000,"="&amp;S37,'[1]1_group_totals'!$I$8:$I$10000,"="&amp;T37))</f>
        <v/>
      </c>
      <c r="AE37" s="1796" t="str">
        <f t="shared" si="11"/>
        <v/>
      </c>
      <c r="AF37" s="1797" t="str">
        <f>IF(ISNA(MATCH(MID(AE37,1,3)*1,UomConversion!$D$8:$D$500,0)),"",IF(AJ37&lt;&gt;"",AJ37,""))</f>
        <v/>
      </c>
      <c r="AG37" s="1797" t="str">
        <f>IF(AND(AH37&gt;0,COUNTIFS(UomConversion!$D$8:$D$500,MID(AE37,1,3)*1,UomConversion!$J$8:$J$500,1)&gt;1),TEXT(AH37,"000")&amp;"."&amp;VLOOKUP(AH37,uom_list,5,FALSE),"")</f>
        <v/>
      </c>
      <c r="AH37" s="270" t="str">
        <f t="shared" si="12"/>
        <v/>
      </c>
      <c r="AI37" s="270" t="str">
        <f t="shared" si="13"/>
        <v/>
      </c>
      <c r="AJ37" s="270" t="str">
        <f t="shared" si="14"/>
        <v/>
      </c>
      <c r="AK37" s="270" t="str" cm="1">
        <f t="array" ref="AK37">IF(L37="","",Slookup(MID(AE37,1,3)*1,UomConversion!$D$8:$J$500,2,UomConversion!$I$8:$I$500,1,UomConversion!$J$8:$J$500,1))</f>
        <v/>
      </c>
      <c r="AL37" s="270" t="str">
        <f t="shared" si="15"/>
        <v/>
      </c>
      <c r="AM37" s="270" t="str">
        <f>IF(L37="","",(SUMIFS('[1]1_group_totals'!$K$8:$K$10000,'[1]1_group_totals'!$C$8:$C$10000,I37,'[1]1_group_totals'!$F$8:$F$10000,adj_location_group_id,'[1]1_group_totals'!$G$8:$G$10000,MID(N37,1,3)*1,'[1]1_group_totals'!$H$8:$H$10000,"="&amp;S37,'[1]1_group_totals'!$I$8:$I$10000,"="&amp;T37)+SUMIFS('[1]1_group_totals'!$N$8:$N$10000,'[1]1_group_totals'!$C$8:$C$10000,I37,'[1]1_group_totals'!$F$8:$F$10000,adj_location_group_id,'[1]1_group_totals'!$G$8:$G$10000,MID(N37,1,3)*1,'[1]1_group_totals'!$H$8:$H$10000,"="&amp;S37,'[1]1_group_totals'!$I$8:$I$10000,"="&amp;T37)+SUMIFS('[1]1_group_totals'!$P$8:$P$10000,'[1]1_group_totals'!$C$8:$C$10000,I37,'[1]1_group_totals'!$F$8:$F$10000,adj_location_group_id,'[1]1_group_totals'!$G$8:$G$10000,MID(N37,1,3)*1,'[1]1_group_totals'!$H$8:$H$10000,"="&amp;S37,'[1]1_group_totals'!$I$8:$I$10000,"="&amp;T37)+SUMIFS('[1]1_group_totals'!$Q$8:$Q$10000,'[1]1_group_totals'!$C$8:$C$10000,I37,'[1]1_group_totals'!$F$8:$F$10000,adj_location_group_id,'[1]1_group_totals'!$G$8:$G$10000,MID(N37,1,3)*1,'[1]1_group_totals'!$H$8:$H$10000,"="&amp;S37,'[1]1_group_totals'!$I$8:$I$10000,"="&amp;T37))+(SUMIFS('[1]1_group_totals'!$L$8:$L$10000,'[1]1_group_totals'!$C$8:$C$10000,I37,'[1]1_group_totals'!$F$8:$F$10000,adj_location_group_id,'[1]1_group_totals'!$G$8:$G$10000,MID(N37,1,3)*1,'[1]1_group_totals'!$H$8:$H$10000,"="&amp;S37,'[1]1_group_totals'!$I$8:$I$10000,"="&amp;T37)+SUMIFS('[1]1_group_totals'!$M$8:$M$10000,'[1]1_group_totals'!$C$8:$C$10000,I37,'[1]1_group_totals'!$F$8:$F$10000,adj_location_group_id,'[1]1_group_totals'!$G$8:$G$10000,MID(N37,1,3)*1,'[1]1_group_totals'!$H$8:$H$10000,"="&amp;S37,'[1]1_group_totals'!$I$8:$I$10000,"="&amp;T37)+SUMIFS('[1]1_group_totals'!$O$8:$O$10000,'[1]1_group_totals'!$C$8:$C$10000,I37,'[1]1_group_totals'!$F$8:$F$10000,adj_location_group_id,'[1]1_group_totals'!$G$8:$G$10000,MID(N37,1,3)*1,'[1]1_group_totals'!$H$8:$H$10000,"="&amp;S37,'[1]1_group_totals'!$I$8:$I$10000,"="&amp;T37)+SUMIFS('[1]1_group_totals'!$R$8:$R$10000,'[1]1_group_totals'!$C$8:$C$10000,I37,'[1]1_group_totals'!$F$8:$F$10000,adj_location_group_id,'[1]1_group_totals'!$G$8:$G$10000,MID(N37,1,3)*1,'[1]1_group_totals'!$H$8:$H$10000,"="&amp;S37,'[1]1_group_totals'!$I$8:$I$10000,"="&amp;T37)))</f>
        <v/>
      </c>
      <c r="AN37" s="270" t="str">
        <f>IF(L37="","",(SUMIFS('[1]1_inventory_totals'!$I$8:$I$10000,'[1]1_inventory_totals'!$C$8:$C$10000,I37,'[1]1_inventory_totals'!$F$8:$F$10000,"="&amp;S37,'[1]1_inventory_totals'!$G$8:$G$10000,"="&amp;T37)+SUMIFS('[1]1_inventory_totals'!$N$8:$N$10000,'[1]1_inventory_totals'!$C$8:$C$10000,I37,'[1]1_inventory_totals'!$F$8:$F$10000,"="&amp;S37,'[1]1_inventory_totals'!$G$8:$G$10000,"="&amp;T37)+SUMIFS('[1]1_inventory_totals'!$P$8:$P$10000,'[1]1_inventory_totals'!$C$8:$C$10000,I37,'[1]1_inventory_totals'!$F$8:$F$10000,"="&amp;S37,'[1]1_inventory_totals'!$G$8:$G$10000,"="&amp;T37)+SUMIFS('[1]1_inventory_totals'!$Q$8:$Q$10000,'[1]1_inventory_totals'!$C$8:$C$10000,I37,'[1]1_inventory_totals'!$F$8:$F$10000,"="&amp;S37,'[1]1_inventory_totals'!$G$8:$G$10000,"="&amp;T37)+SUMIFS('[1]1_inventory_totals'!$R$8:$R$10000,'[1]1_inventory_totals'!$C$8:$C$10000,I37,'[1]1_inventory_totals'!$F$8:$F$10000,"="&amp;S37,'[1]1_inventory_totals'!$G$8:$G$10000,"="&amp;T37))+(SUMIFS('[1]1_inventory_totals'!$J$8:$J$10000,'[1]1_inventory_totals'!$C$8:$C$10000,I37,'[1]1_inventory_totals'!$F$8:$F$10000,"="&amp;S37,'[1]1_inventory_totals'!$G$8:$G$10000,"="&amp;T37)+SUMIFS('[1]1_inventory_totals'!$K$8:$K$10000,'[1]1_inventory_totals'!$C$8:$C$10000,I37,'[1]1_inventory_totals'!$F$8:$F$10000,"="&amp;S37,'[1]1_inventory_totals'!$G$8:$G$10000,"="&amp;T37)+SUMIFS('[1]1_inventory_totals'!$L$8:$L$10000,'[1]1_inventory_totals'!$C$8:$C$10000,I37,'[1]1_inventory_totals'!$F$8:$F$10000,"="&amp;S37,'[1]1_inventory_totals'!$G$8:$G$10000,"="&amp;T37)+SUMIFS('[1]1_inventory_totals'!$M$8:$M$10000,'[1]1_inventory_totals'!$C$8:$C$10000,I37,'[1]1_inventory_totals'!$F$8:$F$10000,"="&amp;S37,'[1]1_inventory_totals'!$G$8:$G$10000,"="&amp;T37)+SUMIFS('[1]1_inventory_totals'!$O$8:$O$10000,'[1]1_inventory_totals'!$C$8:$C$10000,I37,'[1]1_inventory_totals'!$F$8:$F$10000,"="&amp;S37,'[1]1_inventory_totals'!$G$8:$G$10000,"="&amp;T37)+SUMIFS('[1]1_inventory_totals'!$S$8:$S$10000,'[1]1_inventory_totals'!$C$8:$C$10000,I37,'[1]1_inventory_totals'!$F$8:$F$10000,"="&amp;S37,'[1]1_inventory_totals'!$G$8:$G$10000,"="&amp;T37)))</f>
        <v/>
      </c>
      <c r="AO37" s="270" t="str">
        <f>IF(L37="","",(SUMIFS('[1]2_inventory_totals'!$I$8:$I$10000,'[1]2_inventory_totals'!$C$8:$C$10000,I37,'[1]2_inventory_totals'!$F$8:$F$10000,"="&amp;S37,'[1]2_inventory_totals'!$G$8:$G$10000,"="&amp;T37)+SUMIFS('[1]2_inventory_totals'!$N$8:$N$10000,'[1]2_inventory_totals'!$C$8:$C$10000,I37,'[1]2_inventory_totals'!$F$8:$F$10000,"="&amp;S37,'[1]2_inventory_totals'!$G$8:$G$10000,"="&amp;T37)+SUMIFS('[1]2_inventory_totals'!$P$8:$P$10000,'[1]2_inventory_totals'!$C$8:$C$10000,I37,'[1]2_inventory_totals'!$F$8:$F$10000,"="&amp;S37,'[1]2_inventory_totals'!$G$8:$G$10000,"="&amp;T37)+SUMIFS('[1]2_inventory_totals'!$Q$8:$Q$10000,'[1]2_inventory_totals'!$C$8:$C$10000,I37,'[1]2_inventory_totals'!$F$8:$F$10000,"="&amp;S37,'[1]2_inventory_totals'!$G$8:$G$10000,"="&amp;T37)+SUMIFS('[1]2_inventory_totals'!$R$8:$R$10000,'[1]2_inventory_totals'!$C$8:$C$10000,I37,'[1]2_inventory_totals'!$F$8:$F$10000,"="&amp;S37,'[1]2_inventory_totals'!$G$8:$G$10000,"="&amp;T37))+(SUMIFS('[1]2_inventory_totals'!$J$8:$J$10000,'[1]2_inventory_totals'!$C$8:$C$10000,I37,'[1]2_inventory_totals'!$F$8:$F$10000,"="&amp;S37,'[1]2_inventory_totals'!$G$8:$G$10000,"="&amp;T37)+SUMIFS('[1]2_inventory_totals'!$K$8:$K$10000,'[1]2_inventory_totals'!$C$8:$C$10000,I37,'[1]2_inventory_totals'!$F$8:$F$10000,"="&amp;S37,'[1]2_inventory_totals'!$G$8:$G$10000,"="&amp;T37)+SUMIFS('[1]2_inventory_totals'!$L$8:$L$10000,'[1]2_inventory_totals'!$C$8:$C$10000,I37,'[1]2_inventory_totals'!$F$8:$F$10000,"="&amp;S37,'[1]2_inventory_totals'!$G$8:$G$10000,"="&amp;T37)+SUMIFS('[1]2_inventory_totals'!$M$8:$M$10000,'[1]2_inventory_totals'!$C$8:$C$10000,I37,'[1]2_inventory_totals'!$F$8:$F$10000,"="&amp;S37,'[1]2_inventory_totals'!$G$8:$G$10000,"="&amp;T37)+SUMIFS('[1]2_inventory_totals'!$O$8:$O$10000,'[1]2_inventory_totals'!$C$8:$C$10000,I37,'[1]2_inventory_totals'!$F$8:$F$10000,"="&amp;S37,'[1]2_inventory_totals'!$G$8:$G$10000,"="&amp;T37)+SUMIFS('[1]2_inventory_totals'!$S$8:$S$10000,'[1]2_inventory_totals'!$C$8:$C$10000,I37,'[1]2_inventory_totals'!$F$8:$F$10000,"="&amp;S37,'[1]2_inventory_totals'!$G$8:$G$10000,"="&amp;T37)))</f>
        <v/>
      </c>
      <c r="AP37" s="954"/>
    </row>
    <row r="38" spans="1:42" ht="27" customHeight="1">
      <c r="A38" s="923"/>
      <c r="B38" s="1172"/>
      <c r="C38" s="950"/>
      <c r="D38" s="950"/>
      <c r="E38" s="950"/>
      <c r="F38" s="1198"/>
      <c r="I38" s="1610" t="str">
        <f t="shared" si="5"/>
        <v/>
      </c>
      <c r="J38" s="270" t="str">
        <f t="shared" si="6"/>
        <v/>
      </c>
      <c r="K38" s="813" t="str">
        <f t="shared" si="0"/>
        <v/>
      </c>
      <c r="L38" s="1184"/>
      <c r="M38" s="1185"/>
      <c r="N38" s="1186"/>
      <c r="O38" s="1534"/>
      <c r="P38" s="336" t="str">
        <f t="shared" si="7"/>
        <v/>
      </c>
      <c r="Q38" s="336" t="str">
        <f>IF(L38="","",IF(AD38=0,0,(SUMIFS('[1]1_group_total_details'!$I$8:$I$10000,'[1]1_group_total_details'!$C$8:$C$10000,I38,'[1]1_group_total_details'!$F$8:$F$10000,adj_location_group_id,'[1]1_group_total_details'!$G$8:$G$10000,MID(N38,1,3)*1,'[1]1_group_total_details'!$H$8:$H$10000,"&lt;="&amp;adj_date)+SUMIFS('[1]1_group_total_details'!$L$8:$L$10000,'[1]1_group_total_details'!$C$8:$C$10000,I38,'[1]1_group_total_details'!$F$8:$F$10000,adj_location_group_id,'[1]1_group_total_details'!$G$8:$G$10000,MID(N38,1,3)*1,'[1]1_group_total_details'!$H$8:$H$10000,"&lt;="&amp;adj_date)+SUMIFS('[1]1_group_total_details'!$N$8:$N$10000,'[1]1_group_total_details'!$C$8:$C$10000,I38,'[1]1_group_total_details'!$F$8:$F$10000,adj_location_group_id,'[1]1_group_total_details'!$G$8:$G$10000,MID(N38,1,3)*1,'[1]1_group_total_details'!$H$8:$H$10000,"&lt;="&amp;adj_date)+SUMIFS('[1]1_group_total_details'!$O$8:$O$10000,'[1]1_group_total_details'!$C$8:$C$10000,I38,'[1]1_group_total_details'!$F$8:$F$10000,adj_location_group_id,'[1]1_group_total_details'!$G$8:$G$10000,MID(N38,1,3)*1,'[1]1_group_total_details'!$H$8:$H$10000,"&lt;="&amp;adj_date))-(SUMIFS('[1]1_group_total_details'!$J$8:$J$10000,'[1]1_group_total_details'!$C$8:$C$10000,I38,'[1]1_group_total_details'!$F$8:$F$10000,adj_location_group_id,'[1]1_group_total_details'!$G$8:$G$10000,MID(N38,1,3)*1,'[1]1_group_total_details'!$H$8:$H$10000,"&lt;="&amp;adj_date)+SUMIFS('[1]1_group_total_details'!$K$8:$K$10000,'[1]1_group_total_details'!$C$8:$C$10000,I38,'[1]1_group_total_details'!$F$8:$F$10000,adj_location_group_id,'[1]1_group_total_details'!$G$8:$G$10000,MID(N38,1,3)*1,'[1]1_group_total_details'!$H$8:$H$10000,"&lt;="&amp;adj_date)+SUMIFS('[1]1_group_total_details'!$M$8:$M$10000,'[1]1_group_total_details'!$C$8:$C$10000,I38,'[1]1_group_total_details'!$F$8:$F$10000,adj_location_group_id,'[1]1_group_total_details'!$G$8:$G$10000,MID(N38,1,3)*1,'[1]1_group_total_details'!$H$8:$H$10000,"&lt;="&amp;adj_date)+SUMIFS('[1]1_group_total_details'!$P$8:$P$10000,'[1]1_group_total_details'!$C$8:$C$10000,I38,'[1]1_group_total_details'!$F$8:$F$10000,adj_location_group_id,'[1]1_group_total_details'!$G$8:$G$10000,MID(N38,1,3)*1,'[1]1_group_total_details'!$H$8:$H$10000,"&lt;="&amp;adj_date))))</f>
        <v/>
      </c>
      <c r="R38" s="1187"/>
      <c r="S38" s="1186"/>
      <c r="T38" s="1186"/>
      <c r="U38" s="1184"/>
      <c r="V38" s="270" t="str" cm="1">
        <f t="array" ref="V38">IF(L38="","",IF(M38=AE38,1,Slookup(MID(AE38,1,3)*1,UomConversion!$D$8:$J$500,5,UomConversion!$E$8:$E$500,MID(M38,1,3)*1,UomConversion!$J$8:$J$500,1)))</f>
        <v/>
      </c>
      <c r="W38" s="270" t="str">
        <f t="shared" si="8"/>
        <v/>
      </c>
      <c r="X38" s="1795" t="str">
        <f t="shared" si="9"/>
        <v/>
      </c>
      <c r="Y38" s="1795" t="str">
        <f t="shared" si="10"/>
        <v/>
      </c>
      <c r="Z38" s="270" t="str">
        <f>IF(I38="","",IF(ISNA(MATCH(I38,IF(MID(N38,1,3)*1=1,'[1]1_inventory_totals'!$C$8:$C$10000,IF(MID(N38,1,3)*1=2,'[1]2_inventory_totals'!$C$8:$C$10000,"")),0)),0,IF(AL38&gt;0,1,0)))</f>
        <v/>
      </c>
      <c r="AA38" s="270" t="str">
        <f>IF(L38="","",IF(MID(N38,1,3)*1=1,SUMIFS('[1]1_inventory_total_details'!$J$8:$J$10000,'[1]1_inventory_total_details'!$C$8:$C$10000,I38,'[1]1_inventory_total_details'!$F$8:$F$10000,MID(N38,1,3)*1,'[1]1_inventory_total_details'!$G$8:$G$10000,"="&amp;S38,'[1]1_inventory_total_details'!$H$8:$H$10000,"="&amp;T38,'[1]1_inventory_total_details'!$I$8:$I$10000,"="&amp;adj_date)+SUMIFS('[1]1_inventory_total_details'!$M$8:$M$10000,'[1]1_inventory_total_details'!$C$8:$C$10000,I38,'[1]1_inventory_total_details'!$F$8:$F$10000,MID(N38,1,3)*1,'[1]1_inventory_total_details'!$G$8:$G$10000,"="&amp;S38,'[1]1_inventory_total_details'!$H$8:$H$10000,"="&amp;T38,'[1]1_inventory_total_details'!$I$8:$I$10000,"="&amp;adj_date)+SUMIFS('[1]1_inventory_total_details'!$K$8:$K$10000,'[1]1_inventory_total_details'!$C$8:$C$10000,I38,'[1]1_inventory_total_details'!$F$8:$F$10000,MID(N38,1,3)*1,'[1]1_inventory_total_details'!$G$8:$G$10000,"="&amp;S38,'[1]1_inventory_total_details'!$H$8:$H$10000,"="&amp;T38,'[1]1_inventory_total_details'!$I$8:$I$10000,"="&amp;adj_date)+SUMIFS('[1]1_inventory_total_details'!$L$8:$L$10000,'[1]1_inventory_total_details'!$C$8:$C$10000,I38,'[1]1_inventory_total_details'!$F$8:$F$10000,MID(N38,1,3)*1,'[1]1_inventory_total_details'!$G$8:$G$10000,"="&amp;S38,'[1]1_inventory_total_details'!$H$8:$H$10000,"="&amp;T38,'[1]1_inventory_total_details'!$I$8:$I$10000,"="&amp;adj_date),SUMIFS('[1]2_inventory_total_details'!$J$8:$J$10000,'[1]2_inventory_total_details'!$C$8:$C$10000,I38,'[1]2_inventory_total_details'!$F$8:$F$10000,MID(N38,1,3)*1,'[1]2_inventory_total_details'!$G$8:$G$10000,"="&amp;S38,'[1]2_inventory_total_details'!$H$8:$H$10000,"="&amp;T38,'[1]2_inventory_total_details'!$I$8:$I$10000,"="&amp;adj_date)+SUMIFS('[1]2_inventory_total_details'!$M$8:$M$10000,'[1]1_inventory_total_details'!$C$8:$C$10000,I38,'[1]2_inventory_total_details'!$F$8:$F$10000,MID(N38,1,3)*1,'[1]2_inventory_total_details'!$G$8:$G$10000,"="&amp;S38,'[1]2_inventory_total_details'!$H$8:$H$10000,"="&amp;T38,'[1]2_inventory_total_details'!$I$8:$I$10000,"="&amp;adj_date)+SUMIFS('[1]2_inventory_total_details'!$K$8:$K$10000,'[1]2_inventory_total_details'!$C$8:$C$10000,I38,'[1]2_inventory_total_details'!$F$8:$F$10000,MID(N38,1,3)*1,'[1]2_inventory_total_details'!$G$8:$G$10000,"="&amp;S38,'[1]2_inventory_total_details'!$H$8:$H$10000,"="&amp;T38,'[1]2_inventory_total_details'!$I$8:$I$10000,"="&amp;adj_date)+SUMIFS('[1]2_inventory_total_details'!$L$8:$L$10000,'[1]2_inventory_total_details'!$C$8:$C$10000,I38,'[1]2_inventory_total_details'!$F$8:$F$10000,MID(N38,1,3)*1,'[1]2_inventory_total_details'!$G$8:$G$10000,"="&amp;S38,'[1]2_inventory_total_details'!$H$8:$H$10000,"="&amp;T38,'[1]2_inventory_total_details'!$I$8:$I$10000,"="&amp;adj_date)))</f>
        <v/>
      </c>
      <c r="AB38" s="270" t="str">
        <f>IF(L38="","",IF(MID(N38,1,3)*1=1,SUMIFS('[1]1_inventory_total_details'!$J$8:$J$10000,'[1]1_inventory_total_details'!$C$8:$C$10000,I38,'[1]1_inventory_total_details'!$F$8:$F$10000,MID(N38,1,3)*1,'[1]1_inventory_total_details'!$G$8:$G$10000,"="&amp;S38,'[1]1_inventory_total_details'!$H$8:$H$10000,"="&amp;T38,'[1]1_inventory_total_details'!$I$8:$I$10000,"="&amp;adj_date)+SUMIFS('[1]1_inventory_total_details'!$M$8:$M$10000,'[1]1_inventory_total_details'!$C$8:$C$10000,I38,'[1]1_inventory_total_details'!$F$8:$F$10000,MID(N38,1,3)*1,'[1]1_inventory_total_details'!$G$8:$G$10000,"="&amp;S38,'[1]1_inventory_total_details'!$H$8:$H$10000,"="&amp;T38,'[1]1_inventory_total_details'!$I$8:$I$10000,"="&amp;adj_date)+SUMIFS('[1]1_inventory_total_details'!$K$8:$K$10000,'[1]1_inventory_total_details'!$C$8:$C$10000,I38,'[1]1_inventory_total_details'!$F$8:$F$10000,MID(N38,1,3)*1,'[1]1_inventory_total_details'!$G$8:$G$10000,"="&amp;S38,'[1]1_inventory_total_details'!$H$8:$H$10000,"="&amp;T38,'[1]1_inventory_total_details'!$I$8:$I$10000,"="&amp;adj_date)+SUMIFS('[1]1_inventory_total_details'!$L$8:$L$10000,'[1]1_inventory_total_details'!$C$8:$C$10000,I38,'[1]1_inventory_total_details'!$F$8:$F$10000,MID(N38,1,3)*1,'[1]1_inventory_total_details'!$G$8:$G$10000,"="&amp;S38,'[1]1_inventory_total_details'!$H$8:$H$10000,"="&amp;T38,'[1]1_inventory_total_details'!$I$8:$I$10000,"="&amp;adj_date),SUMIFS('[1]2_inventory_total_details'!$J$8:$J$10000,'[1]2_inventory_total_details'!$C$8:$C$10000,I38,'[1]2_inventory_total_details'!$F$8:$F$10000,MID(N38,1,3)*1,'[1]2_inventory_total_details'!$G$8:$G$10000,"="&amp;S38,'[1]2_inventory_total_details'!$H$8:$H$10000,"="&amp;T38,'[1]2_inventory_total_details'!$I$8:$I$10000,"="&amp;adj_date)+SUMIFS('[1]2_inventory_total_details'!$M$8:$M$10000,'[1]1_inventory_total_details'!$C$8:$C$10000,I38,'[1]2_inventory_total_details'!$F$8:$F$10000,MID(N38,1,3)*1,'[1]2_inventory_total_details'!$G$8:$G$10000,"="&amp;S38,'[1]2_inventory_total_details'!$H$8:$H$10000,"="&amp;T38,'[1]2_inventory_total_details'!$I$8:$I$10000,"="&amp;adj_date)+SUMIFS('[1]2_inventory_total_details'!$K$8:$K$10000,'[1]2_inventory_total_details'!$C$8:$C$10000,I38,'[1]2_inventory_total_details'!$F$8:$F$10000,MID(N38,1,3)*1,'[1]2_inventory_total_details'!$G$8:$G$10000,"="&amp;S38,'[1]2_inventory_total_details'!$H$8:$H$10000,"="&amp;T38,'[1]2_inventory_total_details'!$I$8:$I$10000,"="&amp;adj_date)+SUMIFS('[1]2_inventory_total_details'!$L$8:$L$10000,'[1]2_inventory_total_details'!$C$8:$C$10000,I38,'[1]2_inventory_total_details'!$F$8:$F$10000,MID(N38,1,3)*1,'[1]2_inventory_total_details'!$G$8:$G$10000,"="&amp;S38,'[1]2_inventory_total_details'!$H$8:$H$10000,"="&amp;T38,'[1]2_inventory_total_details'!$I$8:$I$10000,"="&amp;adj_date)))</f>
        <v/>
      </c>
      <c r="AC38" s="270" t="str">
        <f>IF(L38="","",IF(MID(N38,1,3)*1=1,SUMIFS('[1]1_inventory_total_details'!$J$8:$J$10000,'[1]1_inventory_total_details'!$C$8:$C$10000,I38,'[1]1_inventory_total_details'!$F$8:$F$10000,MID(N38,1,3)*1,'[1]1_inventory_total_details'!$G$8:$G$10000,"="&amp;S38,'[1]1_inventory_total_details'!$H$8:$H$10000,"="&amp;T38,'[1]1_inventory_total_details'!$I$8:$I$10000,"="&amp;adj_date)+SUMIFS('[1]1_inventory_total_details'!$M$8:$M$10000,'[1]1_inventory_total_details'!$C$8:$C$10000,I38,'[1]1_inventory_total_details'!$F$8:$F$10000,MID(N38,1,3)*1,'[1]1_inventory_total_details'!$G$8:$G$10000,"="&amp;S38,'[1]1_inventory_total_details'!$H$8:$H$10000,"="&amp;T38,'[1]1_inventory_total_details'!$I$8:$I$10000,"="&amp;adj_date)+SUMIFS('[1]1_inventory_total_details'!$K$8:$K$10000,'[1]1_inventory_total_details'!$C$8:$C$10000,I38,'[1]1_inventory_total_details'!$F$8:$F$10000,MID(N38,1,3)*1,'[1]1_inventory_total_details'!$G$8:$G$10000,"="&amp;S38,'[1]1_inventory_total_details'!$H$8:$H$10000,"="&amp;T38,'[1]1_inventory_total_details'!$I$8:$I$10000,"="&amp;adj_date)+SUMIFS('[1]1_inventory_total_details'!$L$8:$L$10000,'[1]1_inventory_total_details'!$C$8:$C$10000,I38,'[1]1_inventory_total_details'!$F$8:$F$10000,MID(N38,1,3)*1,'[1]1_inventory_total_details'!$G$8:$G$10000,"="&amp;S38,'[1]1_inventory_total_details'!$H$8:$H$10000,"="&amp;T38,'[1]1_inventory_total_details'!$I$8:$I$10000,"="&amp;adj_date),SUMIFS('[1]2_inventory_total_details'!$J$8:$J$10000,'[1]2_inventory_total_details'!$C$8:$C$10000,I38,'[1]2_inventory_total_details'!$F$8:$F$10000,MID(N38,1,3)*1,'[1]2_inventory_total_details'!$G$8:$G$10000,"="&amp;S38,'[1]2_inventory_total_details'!$H$8:$H$10000,"="&amp;T38,'[1]2_inventory_total_details'!$I$8:$I$10000,"="&amp;adj_date)+SUMIFS('[1]2_inventory_total_details'!$M$8:$M$10000,'[1]1_inventory_total_details'!$C$8:$C$10000,I38,'[1]2_inventory_total_details'!$F$8:$F$10000,MID(N38,1,3)*1,'[1]2_inventory_total_details'!$G$8:$G$10000,"="&amp;S38,'[1]2_inventory_total_details'!$H$8:$H$10000,"="&amp;T38,'[1]2_inventory_total_details'!$I$8:$I$10000,"="&amp;adj_date)+SUMIFS('[1]2_inventory_total_details'!$K$8:$K$10000,'[1]2_inventory_total_details'!$C$8:$C$10000,I38,'[1]2_inventory_total_details'!$F$8:$F$10000,MID(N38,1,3)*1,'[1]2_inventory_total_details'!$G$8:$G$10000,"="&amp;S38,'[1]2_inventory_total_details'!$H$8:$H$10000,"="&amp;T38,'[1]2_inventory_total_details'!$I$8:$I$10000,"="&amp;adj_date)+SUMIFS('[1]2_inventory_total_details'!$L$8:$L$10000,'[1]2_inventory_total_details'!$C$8:$C$10000,I38,'[1]2_inventory_total_details'!$F$8:$F$10000,MID(N38,1,3)*1,'[1]2_inventory_total_details'!$G$8:$G$10000,"="&amp;S38,'[1]2_inventory_total_details'!$H$8:$H$10000,"="&amp;T38,'[1]2_inventory_total_details'!$I$8:$I$10000,"="&amp;adj_date)))</f>
        <v/>
      </c>
      <c r="AD38" s="270" t="str">
        <f>IF(L38="","",SUMIFS('[1]1_group_totals'!$J$8:$J$10000,'[1]1_group_totals'!$C$8:$C$10000,I38,'[1]1_group_totals'!$F$8:$F$10000,adj_location_group_id,'[1]1_group_totals'!$G$8:$G$10000,MID(N38,1,3)*1,'[1]1_group_totals'!$H$8:$H$10000,"="&amp;S38,'[1]1_group_totals'!$I$8:$I$10000,"="&amp;T38))</f>
        <v/>
      </c>
      <c r="AE38" s="1796" t="str">
        <f t="shared" si="11"/>
        <v/>
      </c>
      <c r="AF38" s="1797" t="str">
        <f>IF(ISNA(MATCH(MID(AE38,1,3)*1,UomConversion!$D$8:$D$500,0)),"",IF(AJ38&lt;&gt;"",AJ38,""))</f>
        <v/>
      </c>
      <c r="AG38" s="1797" t="str">
        <f>IF(AND(AH38&gt;0,COUNTIFS(UomConversion!$D$8:$D$500,MID(AE38,1,3)*1,UomConversion!$J$8:$J$500,1)&gt;1),TEXT(AH38,"000")&amp;"."&amp;VLOOKUP(AH38,uom_list,5,FALSE),"")</f>
        <v/>
      </c>
      <c r="AH38" s="270" t="str">
        <f t="shared" si="12"/>
        <v/>
      </c>
      <c r="AI38" s="270" t="str">
        <f t="shared" si="13"/>
        <v/>
      </c>
      <c r="AJ38" s="270" t="str">
        <f t="shared" si="14"/>
        <v/>
      </c>
      <c r="AK38" s="270" t="str" cm="1">
        <f t="array" ref="AK38">IF(L38="","",Slookup(MID(AE38,1,3)*1,UomConversion!$D$8:$J$500,2,UomConversion!$I$8:$I$500,1,UomConversion!$J$8:$J$500,1))</f>
        <v/>
      </c>
      <c r="AL38" s="270" t="str">
        <f t="shared" si="15"/>
        <v/>
      </c>
      <c r="AM38" s="270" t="str">
        <f>IF(L38="","",(SUMIFS('[1]1_group_totals'!$K$8:$K$10000,'[1]1_group_totals'!$C$8:$C$10000,I38,'[1]1_group_totals'!$F$8:$F$10000,adj_location_group_id,'[1]1_group_totals'!$G$8:$G$10000,MID(N38,1,3)*1,'[1]1_group_totals'!$H$8:$H$10000,"="&amp;S38,'[1]1_group_totals'!$I$8:$I$10000,"="&amp;T38)+SUMIFS('[1]1_group_totals'!$N$8:$N$10000,'[1]1_group_totals'!$C$8:$C$10000,I38,'[1]1_group_totals'!$F$8:$F$10000,adj_location_group_id,'[1]1_group_totals'!$G$8:$G$10000,MID(N38,1,3)*1,'[1]1_group_totals'!$H$8:$H$10000,"="&amp;S38,'[1]1_group_totals'!$I$8:$I$10000,"="&amp;T38)+SUMIFS('[1]1_group_totals'!$P$8:$P$10000,'[1]1_group_totals'!$C$8:$C$10000,I38,'[1]1_group_totals'!$F$8:$F$10000,adj_location_group_id,'[1]1_group_totals'!$G$8:$G$10000,MID(N38,1,3)*1,'[1]1_group_totals'!$H$8:$H$10000,"="&amp;S38,'[1]1_group_totals'!$I$8:$I$10000,"="&amp;T38)+SUMIFS('[1]1_group_totals'!$Q$8:$Q$10000,'[1]1_group_totals'!$C$8:$C$10000,I38,'[1]1_group_totals'!$F$8:$F$10000,adj_location_group_id,'[1]1_group_totals'!$G$8:$G$10000,MID(N38,1,3)*1,'[1]1_group_totals'!$H$8:$H$10000,"="&amp;S38,'[1]1_group_totals'!$I$8:$I$10000,"="&amp;T38))+(SUMIFS('[1]1_group_totals'!$L$8:$L$10000,'[1]1_group_totals'!$C$8:$C$10000,I38,'[1]1_group_totals'!$F$8:$F$10000,adj_location_group_id,'[1]1_group_totals'!$G$8:$G$10000,MID(N38,1,3)*1,'[1]1_group_totals'!$H$8:$H$10000,"="&amp;S38,'[1]1_group_totals'!$I$8:$I$10000,"="&amp;T38)+SUMIFS('[1]1_group_totals'!$M$8:$M$10000,'[1]1_group_totals'!$C$8:$C$10000,I38,'[1]1_group_totals'!$F$8:$F$10000,adj_location_group_id,'[1]1_group_totals'!$G$8:$G$10000,MID(N38,1,3)*1,'[1]1_group_totals'!$H$8:$H$10000,"="&amp;S38,'[1]1_group_totals'!$I$8:$I$10000,"="&amp;T38)+SUMIFS('[1]1_group_totals'!$O$8:$O$10000,'[1]1_group_totals'!$C$8:$C$10000,I38,'[1]1_group_totals'!$F$8:$F$10000,adj_location_group_id,'[1]1_group_totals'!$G$8:$G$10000,MID(N38,1,3)*1,'[1]1_group_totals'!$H$8:$H$10000,"="&amp;S38,'[1]1_group_totals'!$I$8:$I$10000,"="&amp;T38)+SUMIFS('[1]1_group_totals'!$R$8:$R$10000,'[1]1_group_totals'!$C$8:$C$10000,I38,'[1]1_group_totals'!$F$8:$F$10000,adj_location_group_id,'[1]1_group_totals'!$G$8:$G$10000,MID(N38,1,3)*1,'[1]1_group_totals'!$H$8:$H$10000,"="&amp;S38,'[1]1_group_totals'!$I$8:$I$10000,"="&amp;T38)))</f>
        <v/>
      </c>
      <c r="AN38" s="270" t="str">
        <f>IF(L38="","",(SUMIFS('[1]1_inventory_totals'!$I$8:$I$10000,'[1]1_inventory_totals'!$C$8:$C$10000,I38,'[1]1_inventory_totals'!$F$8:$F$10000,"="&amp;S38,'[1]1_inventory_totals'!$G$8:$G$10000,"="&amp;T38)+SUMIFS('[1]1_inventory_totals'!$N$8:$N$10000,'[1]1_inventory_totals'!$C$8:$C$10000,I38,'[1]1_inventory_totals'!$F$8:$F$10000,"="&amp;S38,'[1]1_inventory_totals'!$G$8:$G$10000,"="&amp;T38)+SUMIFS('[1]1_inventory_totals'!$P$8:$P$10000,'[1]1_inventory_totals'!$C$8:$C$10000,I38,'[1]1_inventory_totals'!$F$8:$F$10000,"="&amp;S38,'[1]1_inventory_totals'!$G$8:$G$10000,"="&amp;T38)+SUMIFS('[1]1_inventory_totals'!$Q$8:$Q$10000,'[1]1_inventory_totals'!$C$8:$C$10000,I38,'[1]1_inventory_totals'!$F$8:$F$10000,"="&amp;S38,'[1]1_inventory_totals'!$G$8:$G$10000,"="&amp;T38)+SUMIFS('[1]1_inventory_totals'!$R$8:$R$10000,'[1]1_inventory_totals'!$C$8:$C$10000,I38,'[1]1_inventory_totals'!$F$8:$F$10000,"="&amp;S38,'[1]1_inventory_totals'!$G$8:$G$10000,"="&amp;T38))+(SUMIFS('[1]1_inventory_totals'!$J$8:$J$10000,'[1]1_inventory_totals'!$C$8:$C$10000,I38,'[1]1_inventory_totals'!$F$8:$F$10000,"="&amp;S38,'[1]1_inventory_totals'!$G$8:$G$10000,"="&amp;T38)+SUMIFS('[1]1_inventory_totals'!$K$8:$K$10000,'[1]1_inventory_totals'!$C$8:$C$10000,I38,'[1]1_inventory_totals'!$F$8:$F$10000,"="&amp;S38,'[1]1_inventory_totals'!$G$8:$G$10000,"="&amp;T38)+SUMIFS('[1]1_inventory_totals'!$L$8:$L$10000,'[1]1_inventory_totals'!$C$8:$C$10000,I38,'[1]1_inventory_totals'!$F$8:$F$10000,"="&amp;S38,'[1]1_inventory_totals'!$G$8:$G$10000,"="&amp;T38)+SUMIFS('[1]1_inventory_totals'!$M$8:$M$10000,'[1]1_inventory_totals'!$C$8:$C$10000,I38,'[1]1_inventory_totals'!$F$8:$F$10000,"="&amp;S38,'[1]1_inventory_totals'!$G$8:$G$10000,"="&amp;T38)+SUMIFS('[1]1_inventory_totals'!$O$8:$O$10000,'[1]1_inventory_totals'!$C$8:$C$10000,I38,'[1]1_inventory_totals'!$F$8:$F$10000,"="&amp;S38,'[1]1_inventory_totals'!$G$8:$G$10000,"="&amp;T38)+SUMIFS('[1]1_inventory_totals'!$S$8:$S$10000,'[1]1_inventory_totals'!$C$8:$C$10000,I38,'[1]1_inventory_totals'!$F$8:$F$10000,"="&amp;S38,'[1]1_inventory_totals'!$G$8:$G$10000,"="&amp;T38)))</f>
        <v/>
      </c>
      <c r="AO38" s="270" t="str">
        <f>IF(L38="","",(SUMIFS('[1]2_inventory_totals'!$I$8:$I$10000,'[1]2_inventory_totals'!$C$8:$C$10000,I38,'[1]2_inventory_totals'!$F$8:$F$10000,"="&amp;S38,'[1]2_inventory_totals'!$G$8:$G$10000,"="&amp;T38)+SUMIFS('[1]2_inventory_totals'!$N$8:$N$10000,'[1]2_inventory_totals'!$C$8:$C$10000,I38,'[1]2_inventory_totals'!$F$8:$F$10000,"="&amp;S38,'[1]2_inventory_totals'!$G$8:$G$10000,"="&amp;T38)+SUMIFS('[1]2_inventory_totals'!$P$8:$P$10000,'[1]2_inventory_totals'!$C$8:$C$10000,I38,'[1]2_inventory_totals'!$F$8:$F$10000,"="&amp;S38,'[1]2_inventory_totals'!$G$8:$G$10000,"="&amp;T38)+SUMIFS('[1]2_inventory_totals'!$Q$8:$Q$10000,'[1]2_inventory_totals'!$C$8:$C$10000,I38,'[1]2_inventory_totals'!$F$8:$F$10000,"="&amp;S38,'[1]2_inventory_totals'!$G$8:$G$10000,"="&amp;T38)+SUMIFS('[1]2_inventory_totals'!$R$8:$R$10000,'[1]2_inventory_totals'!$C$8:$C$10000,I38,'[1]2_inventory_totals'!$F$8:$F$10000,"="&amp;S38,'[1]2_inventory_totals'!$G$8:$G$10000,"="&amp;T38))+(SUMIFS('[1]2_inventory_totals'!$J$8:$J$10000,'[1]2_inventory_totals'!$C$8:$C$10000,I38,'[1]2_inventory_totals'!$F$8:$F$10000,"="&amp;S38,'[1]2_inventory_totals'!$G$8:$G$10000,"="&amp;T38)+SUMIFS('[1]2_inventory_totals'!$K$8:$K$10000,'[1]2_inventory_totals'!$C$8:$C$10000,I38,'[1]2_inventory_totals'!$F$8:$F$10000,"="&amp;S38,'[1]2_inventory_totals'!$G$8:$G$10000,"="&amp;T38)+SUMIFS('[1]2_inventory_totals'!$L$8:$L$10000,'[1]2_inventory_totals'!$C$8:$C$10000,I38,'[1]2_inventory_totals'!$F$8:$F$10000,"="&amp;S38,'[1]2_inventory_totals'!$G$8:$G$10000,"="&amp;T38)+SUMIFS('[1]2_inventory_totals'!$M$8:$M$10000,'[1]2_inventory_totals'!$C$8:$C$10000,I38,'[1]2_inventory_totals'!$F$8:$F$10000,"="&amp;S38,'[1]2_inventory_totals'!$G$8:$G$10000,"="&amp;T38)+SUMIFS('[1]2_inventory_totals'!$O$8:$O$10000,'[1]2_inventory_totals'!$C$8:$C$10000,I38,'[1]2_inventory_totals'!$F$8:$F$10000,"="&amp;S38,'[1]2_inventory_totals'!$G$8:$G$10000,"="&amp;T38)+SUMIFS('[1]2_inventory_totals'!$S$8:$S$10000,'[1]2_inventory_totals'!$C$8:$C$10000,I38,'[1]2_inventory_totals'!$F$8:$F$10000,"="&amp;S38,'[1]2_inventory_totals'!$G$8:$G$10000,"="&amp;T38)))</f>
        <v/>
      </c>
      <c r="AP38" s="954"/>
    </row>
    <row r="39" spans="1:42" ht="27" customHeight="1">
      <c r="A39" s="923"/>
      <c r="B39" s="1172"/>
      <c r="C39" s="950"/>
      <c r="D39" s="950"/>
      <c r="E39" s="950"/>
      <c r="F39" s="1198"/>
      <c r="I39" s="1610" t="str">
        <f t="shared" si="5"/>
        <v/>
      </c>
      <c r="J39" s="270" t="str">
        <f t="shared" si="6"/>
        <v/>
      </c>
      <c r="K39" s="813" t="str">
        <f t="shared" si="0"/>
        <v/>
      </c>
      <c r="L39" s="1184"/>
      <c r="M39" s="1185"/>
      <c r="N39" s="1186"/>
      <c r="O39" s="1534"/>
      <c r="P39" s="336" t="str">
        <f t="shared" si="7"/>
        <v/>
      </c>
      <c r="Q39" s="336" t="str">
        <f>IF(L39="","",IF(AD39=0,0,(SUMIFS('[1]1_group_total_details'!$I$8:$I$10000,'[1]1_group_total_details'!$C$8:$C$10000,I39,'[1]1_group_total_details'!$F$8:$F$10000,adj_location_group_id,'[1]1_group_total_details'!$G$8:$G$10000,MID(N39,1,3)*1,'[1]1_group_total_details'!$H$8:$H$10000,"&lt;="&amp;adj_date)+SUMIFS('[1]1_group_total_details'!$L$8:$L$10000,'[1]1_group_total_details'!$C$8:$C$10000,I39,'[1]1_group_total_details'!$F$8:$F$10000,adj_location_group_id,'[1]1_group_total_details'!$G$8:$G$10000,MID(N39,1,3)*1,'[1]1_group_total_details'!$H$8:$H$10000,"&lt;="&amp;adj_date)+SUMIFS('[1]1_group_total_details'!$N$8:$N$10000,'[1]1_group_total_details'!$C$8:$C$10000,I39,'[1]1_group_total_details'!$F$8:$F$10000,adj_location_group_id,'[1]1_group_total_details'!$G$8:$G$10000,MID(N39,1,3)*1,'[1]1_group_total_details'!$H$8:$H$10000,"&lt;="&amp;adj_date)+SUMIFS('[1]1_group_total_details'!$O$8:$O$10000,'[1]1_group_total_details'!$C$8:$C$10000,I39,'[1]1_group_total_details'!$F$8:$F$10000,adj_location_group_id,'[1]1_group_total_details'!$G$8:$G$10000,MID(N39,1,3)*1,'[1]1_group_total_details'!$H$8:$H$10000,"&lt;="&amp;adj_date))-(SUMIFS('[1]1_group_total_details'!$J$8:$J$10000,'[1]1_group_total_details'!$C$8:$C$10000,I39,'[1]1_group_total_details'!$F$8:$F$10000,adj_location_group_id,'[1]1_group_total_details'!$G$8:$G$10000,MID(N39,1,3)*1,'[1]1_group_total_details'!$H$8:$H$10000,"&lt;="&amp;adj_date)+SUMIFS('[1]1_group_total_details'!$K$8:$K$10000,'[1]1_group_total_details'!$C$8:$C$10000,I39,'[1]1_group_total_details'!$F$8:$F$10000,adj_location_group_id,'[1]1_group_total_details'!$G$8:$G$10000,MID(N39,1,3)*1,'[1]1_group_total_details'!$H$8:$H$10000,"&lt;="&amp;adj_date)+SUMIFS('[1]1_group_total_details'!$M$8:$M$10000,'[1]1_group_total_details'!$C$8:$C$10000,I39,'[1]1_group_total_details'!$F$8:$F$10000,adj_location_group_id,'[1]1_group_total_details'!$G$8:$G$10000,MID(N39,1,3)*1,'[1]1_group_total_details'!$H$8:$H$10000,"&lt;="&amp;adj_date)+SUMIFS('[1]1_group_total_details'!$P$8:$P$10000,'[1]1_group_total_details'!$C$8:$C$10000,I39,'[1]1_group_total_details'!$F$8:$F$10000,adj_location_group_id,'[1]1_group_total_details'!$G$8:$G$10000,MID(N39,1,3)*1,'[1]1_group_total_details'!$H$8:$H$10000,"&lt;="&amp;adj_date))))</f>
        <v/>
      </c>
      <c r="R39" s="1187"/>
      <c r="S39" s="1186"/>
      <c r="T39" s="1186"/>
      <c r="U39" s="1184"/>
      <c r="V39" s="270" t="str" cm="1">
        <f t="array" ref="V39">IF(L39="","",IF(M39=AE39,1,Slookup(MID(AE39,1,3)*1,UomConversion!$D$8:$J$500,5,UomConversion!$E$8:$E$500,MID(M39,1,3)*1,UomConversion!$J$8:$J$500,1)))</f>
        <v/>
      </c>
      <c r="W39" s="270" t="str">
        <f t="shared" si="8"/>
        <v/>
      </c>
      <c r="X39" s="1795" t="str">
        <f t="shared" si="9"/>
        <v/>
      </c>
      <c r="Y39" s="1795" t="str">
        <f t="shared" si="10"/>
        <v/>
      </c>
      <c r="Z39" s="270" t="str">
        <f>IF(I39="","",IF(ISNA(MATCH(I39,IF(MID(N39,1,3)*1=1,'[1]1_inventory_totals'!$C$8:$C$10000,IF(MID(N39,1,3)*1=2,'[1]2_inventory_totals'!$C$8:$C$10000,"")),0)),0,IF(AL39&gt;0,1,0)))</f>
        <v/>
      </c>
      <c r="AA39" s="270" t="str">
        <f>IF(L39="","",IF(MID(N39,1,3)*1=1,SUMIFS('[1]1_inventory_total_details'!$J$8:$J$10000,'[1]1_inventory_total_details'!$C$8:$C$10000,I39,'[1]1_inventory_total_details'!$F$8:$F$10000,MID(N39,1,3)*1,'[1]1_inventory_total_details'!$G$8:$G$10000,"="&amp;S39,'[1]1_inventory_total_details'!$H$8:$H$10000,"="&amp;T39,'[1]1_inventory_total_details'!$I$8:$I$10000,"="&amp;adj_date)+SUMIFS('[1]1_inventory_total_details'!$M$8:$M$10000,'[1]1_inventory_total_details'!$C$8:$C$10000,I39,'[1]1_inventory_total_details'!$F$8:$F$10000,MID(N39,1,3)*1,'[1]1_inventory_total_details'!$G$8:$G$10000,"="&amp;S39,'[1]1_inventory_total_details'!$H$8:$H$10000,"="&amp;T39,'[1]1_inventory_total_details'!$I$8:$I$10000,"="&amp;adj_date)+SUMIFS('[1]1_inventory_total_details'!$K$8:$K$10000,'[1]1_inventory_total_details'!$C$8:$C$10000,I39,'[1]1_inventory_total_details'!$F$8:$F$10000,MID(N39,1,3)*1,'[1]1_inventory_total_details'!$G$8:$G$10000,"="&amp;S39,'[1]1_inventory_total_details'!$H$8:$H$10000,"="&amp;T39,'[1]1_inventory_total_details'!$I$8:$I$10000,"="&amp;adj_date)+SUMIFS('[1]1_inventory_total_details'!$L$8:$L$10000,'[1]1_inventory_total_details'!$C$8:$C$10000,I39,'[1]1_inventory_total_details'!$F$8:$F$10000,MID(N39,1,3)*1,'[1]1_inventory_total_details'!$G$8:$G$10000,"="&amp;S39,'[1]1_inventory_total_details'!$H$8:$H$10000,"="&amp;T39,'[1]1_inventory_total_details'!$I$8:$I$10000,"="&amp;adj_date),SUMIFS('[1]2_inventory_total_details'!$J$8:$J$10000,'[1]2_inventory_total_details'!$C$8:$C$10000,I39,'[1]2_inventory_total_details'!$F$8:$F$10000,MID(N39,1,3)*1,'[1]2_inventory_total_details'!$G$8:$G$10000,"="&amp;S39,'[1]2_inventory_total_details'!$H$8:$H$10000,"="&amp;T39,'[1]2_inventory_total_details'!$I$8:$I$10000,"="&amp;adj_date)+SUMIFS('[1]2_inventory_total_details'!$M$8:$M$10000,'[1]1_inventory_total_details'!$C$8:$C$10000,I39,'[1]2_inventory_total_details'!$F$8:$F$10000,MID(N39,1,3)*1,'[1]2_inventory_total_details'!$G$8:$G$10000,"="&amp;S39,'[1]2_inventory_total_details'!$H$8:$H$10000,"="&amp;T39,'[1]2_inventory_total_details'!$I$8:$I$10000,"="&amp;adj_date)+SUMIFS('[1]2_inventory_total_details'!$K$8:$K$10000,'[1]2_inventory_total_details'!$C$8:$C$10000,I39,'[1]2_inventory_total_details'!$F$8:$F$10000,MID(N39,1,3)*1,'[1]2_inventory_total_details'!$G$8:$G$10000,"="&amp;S39,'[1]2_inventory_total_details'!$H$8:$H$10000,"="&amp;T39,'[1]2_inventory_total_details'!$I$8:$I$10000,"="&amp;adj_date)+SUMIFS('[1]2_inventory_total_details'!$L$8:$L$10000,'[1]2_inventory_total_details'!$C$8:$C$10000,I39,'[1]2_inventory_total_details'!$F$8:$F$10000,MID(N39,1,3)*1,'[1]2_inventory_total_details'!$G$8:$G$10000,"="&amp;S39,'[1]2_inventory_total_details'!$H$8:$H$10000,"="&amp;T39,'[1]2_inventory_total_details'!$I$8:$I$10000,"="&amp;adj_date)))</f>
        <v/>
      </c>
      <c r="AB39" s="270" t="str">
        <f>IF(L39="","",IF(MID(N39,1,3)*1=1,SUMIFS('[1]1_inventory_total_details'!$J$8:$J$10000,'[1]1_inventory_total_details'!$C$8:$C$10000,I39,'[1]1_inventory_total_details'!$F$8:$F$10000,MID(N39,1,3)*1,'[1]1_inventory_total_details'!$G$8:$G$10000,"="&amp;S39,'[1]1_inventory_total_details'!$H$8:$H$10000,"="&amp;T39,'[1]1_inventory_total_details'!$I$8:$I$10000,"="&amp;adj_date)+SUMIFS('[1]1_inventory_total_details'!$M$8:$M$10000,'[1]1_inventory_total_details'!$C$8:$C$10000,I39,'[1]1_inventory_total_details'!$F$8:$F$10000,MID(N39,1,3)*1,'[1]1_inventory_total_details'!$G$8:$G$10000,"="&amp;S39,'[1]1_inventory_total_details'!$H$8:$H$10000,"="&amp;T39,'[1]1_inventory_total_details'!$I$8:$I$10000,"="&amp;adj_date)+SUMIFS('[1]1_inventory_total_details'!$K$8:$K$10000,'[1]1_inventory_total_details'!$C$8:$C$10000,I39,'[1]1_inventory_total_details'!$F$8:$F$10000,MID(N39,1,3)*1,'[1]1_inventory_total_details'!$G$8:$G$10000,"="&amp;S39,'[1]1_inventory_total_details'!$H$8:$H$10000,"="&amp;T39,'[1]1_inventory_total_details'!$I$8:$I$10000,"="&amp;adj_date)+SUMIFS('[1]1_inventory_total_details'!$L$8:$L$10000,'[1]1_inventory_total_details'!$C$8:$C$10000,I39,'[1]1_inventory_total_details'!$F$8:$F$10000,MID(N39,1,3)*1,'[1]1_inventory_total_details'!$G$8:$G$10000,"="&amp;S39,'[1]1_inventory_total_details'!$H$8:$H$10000,"="&amp;T39,'[1]1_inventory_total_details'!$I$8:$I$10000,"="&amp;adj_date),SUMIFS('[1]2_inventory_total_details'!$J$8:$J$10000,'[1]2_inventory_total_details'!$C$8:$C$10000,I39,'[1]2_inventory_total_details'!$F$8:$F$10000,MID(N39,1,3)*1,'[1]2_inventory_total_details'!$G$8:$G$10000,"="&amp;S39,'[1]2_inventory_total_details'!$H$8:$H$10000,"="&amp;T39,'[1]2_inventory_total_details'!$I$8:$I$10000,"="&amp;adj_date)+SUMIFS('[1]2_inventory_total_details'!$M$8:$M$10000,'[1]1_inventory_total_details'!$C$8:$C$10000,I39,'[1]2_inventory_total_details'!$F$8:$F$10000,MID(N39,1,3)*1,'[1]2_inventory_total_details'!$G$8:$G$10000,"="&amp;S39,'[1]2_inventory_total_details'!$H$8:$H$10000,"="&amp;T39,'[1]2_inventory_total_details'!$I$8:$I$10000,"="&amp;adj_date)+SUMIFS('[1]2_inventory_total_details'!$K$8:$K$10000,'[1]2_inventory_total_details'!$C$8:$C$10000,I39,'[1]2_inventory_total_details'!$F$8:$F$10000,MID(N39,1,3)*1,'[1]2_inventory_total_details'!$G$8:$G$10000,"="&amp;S39,'[1]2_inventory_total_details'!$H$8:$H$10000,"="&amp;T39,'[1]2_inventory_total_details'!$I$8:$I$10000,"="&amp;adj_date)+SUMIFS('[1]2_inventory_total_details'!$L$8:$L$10000,'[1]2_inventory_total_details'!$C$8:$C$10000,I39,'[1]2_inventory_total_details'!$F$8:$F$10000,MID(N39,1,3)*1,'[1]2_inventory_total_details'!$G$8:$G$10000,"="&amp;S39,'[1]2_inventory_total_details'!$H$8:$H$10000,"="&amp;T39,'[1]2_inventory_total_details'!$I$8:$I$10000,"="&amp;adj_date)))</f>
        <v/>
      </c>
      <c r="AC39" s="270" t="str">
        <f>IF(L39="","",IF(MID(N39,1,3)*1=1,SUMIFS('[1]1_inventory_total_details'!$J$8:$J$10000,'[1]1_inventory_total_details'!$C$8:$C$10000,I39,'[1]1_inventory_total_details'!$F$8:$F$10000,MID(N39,1,3)*1,'[1]1_inventory_total_details'!$G$8:$G$10000,"="&amp;S39,'[1]1_inventory_total_details'!$H$8:$H$10000,"="&amp;T39,'[1]1_inventory_total_details'!$I$8:$I$10000,"="&amp;adj_date)+SUMIFS('[1]1_inventory_total_details'!$M$8:$M$10000,'[1]1_inventory_total_details'!$C$8:$C$10000,I39,'[1]1_inventory_total_details'!$F$8:$F$10000,MID(N39,1,3)*1,'[1]1_inventory_total_details'!$G$8:$G$10000,"="&amp;S39,'[1]1_inventory_total_details'!$H$8:$H$10000,"="&amp;T39,'[1]1_inventory_total_details'!$I$8:$I$10000,"="&amp;adj_date)+SUMIFS('[1]1_inventory_total_details'!$K$8:$K$10000,'[1]1_inventory_total_details'!$C$8:$C$10000,I39,'[1]1_inventory_total_details'!$F$8:$F$10000,MID(N39,1,3)*1,'[1]1_inventory_total_details'!$G$8:$G$10000,"="&amp;S39,'[1]1_inventory_total_details'!$H$8:$H$10000,"="&amp;T39,'[1]1_inventory_total_details'!$I$8:$I$10000,"="&amp;adj_date)+SUMIFS('[1]1_inventory_total_details'!$L$8:$L$10000,'[1]1_inventory_total_details'!$C$8:$C$10000,I39,'[1]1_inventory_total_details'!$F$8:$F$10000,MID(N39,1,3)*1,'[1]1_inventory_total_details'!$G$8:$G$10000,"="&amp;S39,'[1]1_inventory_total_details'!$H$8:$H$10000,"="&amp;T39,'[1]1_inventory_total_details'!$I$8:$I$10000,"="&amp;adj_date),SUMIFS('[1]2_inventory_total_details'!$J$8:$J$10000,'[1]2_inventory_total_details'!$C$8:$C$10000,I39,'[1]2_inventory_total_details'!$F$8:$F$10000,MID(N39,1,3)*1,'[1]2_inventory_total_details'!$G$8:$G$10000,"="&amp;S39,'[1]2_inventory_total_details'!$H$8:$H$10000,"="&amp;T39,'[1]2_inventory_total_details'!$I$8:$I$10000,"="&amp;adj_date)+SUMIFS('[1]2_inventory_total_details'!$M$8:$M$10000,'[1]1_inventory_total_details'!$C$8:$C$10000,I39,'[1]2_inventory_total_details'!$F$8:$F$10000,MID(N39,1,3)*1,'[1]2_inventory_total_details'!$G$8:$G$10000,"="&amp;S39,'[1]2_inventory_total_details'!$H$8:$H$10000,"="&amp;T39,'[1]2_inventory_total_details'!$I$8:$I$10000,"="&amp;adj_date)+SUMIFS('[1]2_inventory_total_details'!$K$8:$K$10000,'[1]2_inventory_total_details'!$C$8:$C$10000,I39,'[1]2_inventory_total_details'!$F$8:$F$10000,MID(N39,1,3)*1,'[1]2_inventory_total_details'!$G$8:$G$10000,"="&amp;S39,'[1]2_inventory_total_details'!$H$8:$H$10000,"="&amp;T39,'[1]2_inventory_total_details'!$I$8:$I$10000,"="&amp;adj_date)+SUMIFS('[1]2_inventory_total_details'!$L$8:$L$10000,'[1]2_inventory_total_details'!$C$8:$C$10000,I39,'[1]2_inventory_total_details'!$F$8:$F$10000,MID(N39,1,3)*1,'[1]2_inventory_total_details'!$G$8:$G$10000,"="&amp;S39,'[1]2_inventory_total_details'!$H$8:$H$10000,"="&amp;T39,'[1]2_inventory_total_details'!$I$8:$I$10000,"="&amp;adj_date)))</f>
        <v/>
      </c>
      <c r="AD39" s="270" t="str">
        <f>IF(L39="","",SUMIFS('[1]1_group_totals'!$J$8:$J$10000,'[1]1_group_totals'!$C$8:$C$10000,I39,'[1]1_group_totals'!$F$8:$F$10000,adj_location_group_id,'[1]1_group_totals'!$G$8:$G$10000,MID(N39,1,3)*1,'[1]1_group_totals'!$H$8:$H$10000,"="&amp;S39,'[1]1_group_totals'!$I$8:$I$10000,"="&amp;T39))</f>
        <v/>
      </c>
      <c r="AE39" s="1796" t="str">
        <f t="shared" si="11"/>
        <v/>
      </c>
      <c r="AF39" s="1797" t="str">
        <f>IF(ISNA(MATCH(MID(AE39,1,3)*1,UomConversion!$D$8:$D$500,0)),"",IF(AJ39&lt;&gt;"",AJ39,""))</f>
        <v/>
      </c>
      <c r="AG39" s="1797" t="str">
        <f>IF(AND(AH39&gt;0,COUNTIFS(UomConversion!$D$8:$D$500,MID(AE39,1,3)*1,UomConversion!$J$8:$J$500,1)&gt;1),TEXT(AH39,"000")&amp;"."&amp;VLOOKUP(AH39,uom_list,5,FALSE),"")</f>
        <v/>
      </c>
      <c r="AH39" s="270" t="str">
        <f t="shared" si="12"/>
        <v/>
      </c>
      <c r="AI39" s="270" t="str">
        <f t="shared" si="13"/>
        <v/>
      </c>
      <c r="AJ39" s="270" t="str">
        <f t="shared" si="14"/>
        <v/>
      </c>
      <c r="AK39" s="270" t="str" cm="1">
        <f t="array" ref="AK39">IF(L39="","",Slookup(MID(AE39,1,3)*1,UomConversion!$D$8:$J$500,2,UomConversion!$I$8:$I$500,1,UomConversion!$J$8:$J$500,1))</f>
        <v/>
      </c>
      <c r="AL39" s="270" t="str">
        <f t="shared" si="15"/>
        <v/>
      </c>
      <c r="AM39" s="270" t="str">
        <f>IF(L39="","",(SUMIFS('[1]1_group_totals'!$K$8:$K$10000,'[1]1_group_totals'!$C$8:$C$10000,I39,'[1]1_group_totals'!$F$8:$F$10000,adj_location_group_id,'[1]1_group_totals'!$G$8:$G$10000,MID(N39,1,3)*1,'[1]1_group_totals'!$H$8:$H$10000,"="&amp;S39,'[1]1_group_totals'!$I$8:$I$10000,"="&amp;T39)+SUMIFS('[1]1_group_totals'!$N$8:$N$10000,'[1]1_group_totals'!$C$8:$C$10000,I39,'[1]1_group_totals'!$F$8:$F$10000,adj_location_group_id,'[1]1_group_totals'!$G$8:$G$10000,MID(N39,1,3)*1,'[1]1_group_totals'!$H$8:$H$10000,"="&amp;S39,'[1]1_group_totals'!$I$8:$I$10000,"="&amp;T39)+SUMIFS('[1]1_group_totals'!$P$8:$P$10000,'[1]1_group_totals'!$C$8:$C$10000,I39,'[1]1_group_totals'!$F$8:$F$10000,adj_location_group_id,'[1]1_group_totals'!$G$8:$G$10000,MID(N39,1,3)*1,'[1]1_group_totals'!$H$8:$H$10000,"="&amp;S39,'[1]1_group_totals'!$I$8:$I$10000,"="&amp;T39)+SUMIFS('[1]1_group_totals'!$Q$8:$Q$10000,'[1]1_group_totals'!$C$8:$C$10000,I39,'[1]1_group_totals'!$F$8:$F$10000,adj_location_group_id,'[1]1_group_totals'!$G$8:$G$10000,MID(N39,1,3)*1,'[1]1_group_totals'!$H$8:$H$10000,"="&amp;S39,'[1]1_group_totals'!$I$8:$I$10000,"="&amp;T39))+(SUMIFS('[1]1_group_totals'!$L$8:$L$10000,'[1]1_group_totals'!$C$8:$C$10000,I39,'[1]1_group_totals'!$F$8:$F$10000,adj_location_group_id,'[1]1_group_totals'!$G$8:$G$10000,MID(N39,1,3)*1,'[1]1_group_totals'!$H$8:$H$10000,"="&amp;S39,'[1]1_group_totals'!$I$8:$I$10000,"="&amp;T39)+SUMIFS('[1]1_group_totals'!$M$8:$M$10000,'[1]1_group_totals'!$C$8:$C$10000,I39,'[1]1_group_totals'!$F$8:$F$10000,adj_location_group_id,'[1]1_group_totals'!$G$8:$G$10000,MID(N39,1,3)*1,'[1]1_group_totals'!$H$8:$H$10000,"="&amp;S39,'[1]1_group_totals'!$I$8:$I$10000,"="&amp;T39)+SUMIFS('[1]1_group_totals'!$O$8:$O$10000,'[1]1_group_totals'!$C$8:$C$10000,I39,'[1]1_group_totals'!$F$8:$F$10000,adj_location_group_id,'[1]1_group_totals'!$G$8:$G$10000,MID(N39,1,3)*1,'[1]1_group_totals'!$H$8:$H$10000,"="&amp;S39,'[1]1_group_totals'!$I$8:$I$10000,"="&amp;T39)+SUMIFS('[1]1_group_totals'!$R$8:$R$10000,'[1]1_group_totals'!$C$8:$C$10000,I39,'[1]1_group_totals'!$F$8:$F$10000,adj_location_group_id,'[1]1_group_totals'!$G$8:$G$10000,MID(N39,1,3)*1,'[1]1_group_totals'!$H$8:$H$10000,"="&amp;S39,'[1]1_group_totals'!$I$8:$I$10000,"="&amp;T39)))</f>
        <v/>
      </c>
      <c r="AN39" s="270" t="str">
        <f>IF(L39="","",(SUMIFS('[1]1_inventory_totals'!$I$8:$I$10000,'[1]1_inventory_totals'!$C$8:$C$10000,I39,'[1]1_inventory_totals'!$F$8:$F$10000,"="&amp;S39,'[1]1_inventory_totals'!$G$8:$G$10000,"="&amp;T39)+SUMIFS('[1]1_inventory_totals'!$N$8:$N$10000,'[1]1_inventory_totals'!$C$8:$C$10000,I39,'[1]1_inventory_totals'!$F$8:$F$10000,"="&amp;S39,'[1]1_inventory_totals'!$G$8:$G$10000,"="&amp;T39)+SUMIFS('[1]1_inventory_totals'!$P$8:$P$10000,'[1]1_inventory_totals'!$C$8:$C$10000,I39,'[1]1_inventory_totals'!$F$8:$F$10000,"="&amp;S39,'[1]1_inventory_totals'!$G$8:$G$10000,"="&amp;T39)+SUMIFS('[1]1_inventory_totals'!$Q$8:$Q$10000,'[1]1_inventory_totals'!$C$8:$C$10000,I39,'[1]1_inventory_totals'!$F$8:$F$10000,"="&amp;S39,'[1]1_inventory_totals'!$G$8:$G$10000,"="&amp;T39)+SUMIFS('[1]1_inventory_totals'!$R$8:$R$10000,'[1]1_inventory_totals'!$C$8:$C$10000,I39,'[1]1_inventory_totals'!$F$8:$F$10000,"="&amp;S39,'[1]1_inventory_totals'!$G$8:$G$10000,"="&amp;T39))+(SUMIFS('[1]1_inventory_totals'!$J$8:$J$10000,'[1]1_inventory_totals'!$C$8:$C$10000,I39,'[1]1_inventory_totals'!$F$8:$F$10000,"="&amp;S39,'[1]1_inventory_totals'!$G$8:$G$10000,"="&amp;T39)+SUMIFS('[1]1_inventory_totals'!$K$8:$K$10000,'[1]1_inventory_totals'!$C$8:$C$10000,I39,'[1]1_inventory_totals'!$F$8:$F$10000,"="&amp;S39,'[1]1_inventory_totals'!$G$8:$G$10000,"="&amp;T39)+SUMIFS('[1]1_inventory_totals'!$L$8:$L$10000,'[1]1_inventory_totals'!$C$8:$C$10000,I39,'[1]1_inventory_totals'!$F$8:$F$10000,"="&amp;S39,'[1]1_inventory_totals'!$G$8:$G$10000,"="&amp;T39)+SUMIFS('[1]1_inventory_totals'!$M$8:$M$10000,'[1]1_inventory_totals'!$C$8:$C$10000,I39,'[1]1_inventory_totals'!$F$8:$F$10000,"="&amp;S39,'[1]1_inventory_totals'!$G$8:$G$10000,"="&amp;T39)+SUMIFS('[1]1_inventory_totals'!$O$8:$O$10000,'[1]1_inventory_totals'!$C$8:$C$10000,I39,'[1]1_inventory_totals'!$F$8:$F$10000,"="&amp;S39,'[1]1_inventory_totals'!$G$8:$G$10000,"="&amp;T39)+SUMIFS('[1]1_inventory_totals'!$S$8:$S$10000,'[1]1_inventory_totals'!$C$8:$C$10000,I39,'[1]1_inventory_totals'!$F$8:$F$10000,"="&amp;S39,'[1]1_inventory_totals'!$G$8:$G$10000,"="&amp;T39)))</f>
        <v/>
      </c>
      <c r="AO39" s="270" t="str">
        <f>IF(L39="","",(SUMIFS('[1]2_inventory_totals'!$I$8:$I$10000,'[1]2_inventory_totals'!$C$8:$C$10000,I39,'[1]2_inventory_totals'!$F$8:$F$10000,"="&amp;S39,'[1]2_inventory_totals'!$G$8:$G$10000,"="&amp;T39)+SUMIFS('[1]2_inventory_totals'!$N$8:$N$10000,'[1]2_inventory_totals'!$C$8:$C$10000,I39,'[1]2_inventory_totals'!$F$8:$F$10000,"="&amp;S39,'[1]2_inventory_totals'!$G$8:$G$10000,"="&amp;T39)+SUMIFS('[1]2_inventory_totals'!$P$8:$P$10000,'[1]2_inventory_totals'!$C$8:$C$10000,I39,'[1]2_inventory_totals'!$F$8:$F$10000,"="&amp;S39,'[1]2_inventory_totals'!$G$8:$G$10000,"="&amp;T39)+SUMIFS('[1]2_inventory_totals'!$Q$8:$Q$10000,'[1]2_inventory_totals'!$C$8:$C$10000,I39,'[1]2_inventory_totals'!$F$8:$F$10000,"="&amp;S39,'[1]2_inventory_totals'!$G$8:$G$10000,"="&amp;T39)+SUMIFS('[1]2_inventory_totals'!$R$8:$R$10000,'[1]2_inventory_totals'!$C$8:$C$10000,I39,'[1]2_inventory_totals'!$F$8:$F$10000,"="&amp;S39,'[1]2_inventory_totals'!$G$8:$G$10000,"="&amp;T39))+(SUMIFS('[1]2_inventory_totals'!$J$8:$J$10000,'[1]2_inventory_totals'!$C$8:$C$10000,I39,'[1]2_inventory_totals'!$F$8:$F$10000,"="&amp;S39,'[1]2_inventory_totals'!$G$8:$G$10000,"="&amp;T39)+SUMIFS('[1]2_inventory_totals'!$K$8:$K$10000,'[1]2_inventory_totals'!$C$8:$C$10000,I39,'[1]2_inventory_totals'!$F$8:$F$10000,"="&amp;S39,'[1]2_inventory_totals'!$G$8:$G$10000,"="&amp;T39)+SUMIFS('[1]2_inventory_totals'!$L$8:$L$10000,'[1]2_inventory_totals'!$C$8:$C$10000,I39,'[1]2_inventory_totals'!$F$8:$F$10000,"="&amp;S39,'[1]2_inventory_totals'!$G$8:$G$10000,"="&amp;T39)+SUMIFS('[1]2_inventory_totals'!$M$8:$M$10000,'[1]2_inventory_totals'!$C$8:$C$10000,I39,'[1]2_inventory_totals'!$F$8:$F$10000,"="&amp;S39,'[1]2_inventory_totals'!$G$8:$G$10000,"="&amp;T39)+SUMIFS('[1]2_inventory_totals'!$O$8:$O$10000,'[1]2_inventory_totals'!$C$8:$C$10000,I39,'[1]2_inventory_totals'!$F$8:$F$10000,"="&amp;S39,'[1]2_inventory_totals'!$G$8:$G$10000,"="&amp;T39)+SUMIFS('[1]2_inventory_totals'!$S$8:$S$10000,'[1]2_inventory_totals'!$C$8:$C$10000,I39,'[1]2_inventory_totals'!$F$8:$F$10000,"="&amp;S39,'[1]2_inventory_totals'!$G$8:$G$10000,"="&amp;T39)))</f>
        <v/>
      </c>
      <c r="AP39" s="954"/>
    </row>
    <row r="40" spans="1:42" ht="27" customHeight="1">
      <c r="A40" s="923"/>
      <c r="B40" s="1172"/>
      <c r="C40" s="950"/>
      <c r="D40" s="950"/>
      <c r="E40" s="950"/>
      <c r="F40" s="1198"/>
      <c r="I40" s="1610" t="str">
        <f t="shared" si="5"/>
        <v/>
      </c>
      <c r="J40" s="270" t="str">
        <f t="shared" si="6"/>
        <v/>
      </c>
      <c r="K40" s="813" t="str">
        <f t="shared" ref="K40:K71" si="16">IF(L40="","",VLOOKUP(I40,product_list,4,FALSE))</f>
        <v/>
      </c>
      <c r="L40" s="1184"/>
      <c r="M40" s="1185"/>
      <c r="N40" s="1186"/>
      <c r="O40" s="1534"/>
      <c r="P40" s="336" t="str">
        <f t="shared" ref="P40:P71" si="17">IF(AND(adj_type&lt;&gt;"",L40&lt;&gt;"",M40&lt;&gt;""),IF(adj_type=1,O40*W40/V40,O40*W40/V40-Q40),"")</f>
        <v/>
      </c>
      <c r="Q40" s="336" t="str">
        <f>IF(L40="","",IF(AD40=0,0,(SUMIFS('[1]1_group_total_details'!$I$8:$I$10000,'[1]1_group_total_details'!$C$8:$C$10000,I40,'[1]1_group_total_details'!$F$8:$F$10000,adj_location_group_id,'[1]1_group_total_details'!$G$8:$G$10000,MID(N40,1,3)*1,'[1]1_group_total_details'!$H$8:$H$10000,"&lt;="&amp;adj_date)+SUMIFS('[1]1_group_total_details'!$L$8:$L$10000,'[1]1_group_total_details'!$C$8:$C$10000,I40,'[1]1_group_total_details'!$F$8:$F$10000,adj_location_group_id,'[1]1_group_total_details'!$G$8:$G$10000,MID(N40,1,3)*1,'[1]1_group_total_details'!$H$8:$H$10000,"&lt;="&amp;adj_date)+SUMIFS('[1]1_group_total_details'!$N$8:$N$10000,'[1]1_group_total_details'!$C$8:$C$10000,I40,'[1]1_group_total_details'!$F$8:$F$10000,adj_location_group_id,'[1]1_group_total_details'!$G$8:$G$10000,MID(N40,1,3)*1,'[1]1_group_total_details'!$H$8:$H$10000,"&lt;="&amp;adj_date)+SUMIFS('[1]1_group_total_details'!$O$8:$O$10000,'[1]1_group_total_details'!$C$8:$C$10000,I40,'[1]1_group_total_details'!$F$8:$F$10000,adj_location_group_id,'[1]1_group_total_details'!$G$8:$G$10000,MID(N40,1,3)*1,'[1]1_group_total_details'!$H$8:$H$10000,"&lt;="&amp;adj_date))-(SUMIFS('[1]1_group_total_details'!$J$8:$J$10000,'[1]1_group_total_details'!$C$8:$C$10000,I40,'[1]1_group_total_details'!$F$8:$F$10000,adj_location_group_id,'[1]1_group_total_details'!$G$8:$G$10000,MID(N40,1,3)*1,'[1]1_group_total_details'!$H$8:$H$10000,"&lt;="&amp;adj_date)+SUMIFS('[1]1_group_total_details'!$K$8:$K$10000,'[1]1_group_total_details'!$C$8:$C$10000,I40,'[1]1_group_total_details'!$F$8:$F$10000,adj_location_group_id,'[1]1_group_total_details'!$G$8:$G$10000,MID(N40,1,3)*1,'[1]1_group_total_details'!$H$8:$H$10000,"&lt;="&amp;adj_date)+SUMIFS('[1]1_group_total_details'!$M$8:$M$10000,'[1]1_group_total_details'!$C$8:$C$10000,I40,'[1]1_group_total_details'!$F$8:$F$10000,adj_location_group_id,'[1]1_group_total_details'!$G$8:$G$10000,MID(N40,1,3)*1,'[1]1_group_total_details'!$H$8:$H$10000,"&lt;="&amp;adj_date)+SUMIFS('[1]1_group_total_details'!$P$8:$P$10000,'[1]1_group_total_details'!$C$8:$C$10000,I40,'[1]1_group_total_details'!$F$8:$F$10000,adj_location_group_id,'[1]1_group_total_details'!$G$8:$G$10000,MID(N40,1,3)*1,'[1]1_group_total_details'!$H$8:$H$10000,"&lt;="&amp;adj_date))))</f>
        <v/>
      </c>
      <c r="R40" s="1187"/>
      <c r="S40" s="1186"/>
      <c r="T40" s="1186"/>
      <c r="U40" s="1184"/>
      <c r="V40" s="270" t="str" cm="1">
        <f t="array" ref="V40">IF(L40="","",IF(M40=AE40,1,Slookup(MID(AE40,1,3)*1,UomConversion!$D$8:$J$500,5,UomConversion!$E$8:$E$500,MID(M40,1,3)*1,UomConversion!$J$8:$J$500,1)))</f>
        <v/>
      </c>
      <c r="W40" s="270" t="str">
        <f t="shared" si="8"/>
        <v/>
      </c>
      <c r="X40" s="1795" t="str">
        <f t="shared" si="9"/>
        <v/>
      </c>
      <c r="Y40" s="1795" t="str">
        <f t="shared" si="10"/>
        <v/>
      </c>
      <c r="Z40" s="270" t="str">
        <f>IF(I40="","",IF(ISNA(MATCH(I40,IF(MID(N40,1,3)*1=1,'[1]1_inventory_totals'!$C$8:$C$10000,IF(MID(N40,1,3)*1=2,'[1]2_inventory_totals'!$C$8:$C$10000,"")),0)),0,IF(AL40&gt;0,1,0)))</f>
        <v/>
      </c>
      <c r="AA40" s="270" t="str">
        <f>IF(L40="","",IF(MID(N40,1,3)*1=1,SUMIFS('[1]1_inventory_total_details'!$J$8:$J$10000,'[1]1_inventory_total_details'!$C$8:$C$10000,I40,'[1]1_inventory_total_details'!$F$8:$F$10000,MID(N40,1,3)*1,'[1]1_inventory_total_details'!$G$8:$G$10000,"="&amp;S40,'[1]1_inventory_total_details'!$H$8:$H$10000,"="&amp;T40,'[1]1_inventory_total_details'!$I$8:$I$10000,"="&amp;adj_date)+SUMIFS('[1]1_inventory_total_details'!$M$8:$M$10000,'[1]1_inventory_total_details'!$C$8:$C$10000,I40,'[1]1_inventory_total_details'!$F$8:$F$10000,MID(N40,1,3)*1,'[1]1_inventory_total_details'!$G$8:$G$10000,"="&amp;S40,'[1]1_inventory_total_details'!$H$8:$H$10000,"="&amp;T40,'[1]1_inventory_total_details'!$I$8:$I$10000,"="&amp;adj_date)+SUMIFS('[1]1_inventory_total_details'!$K$8:$K$10000,'[1]1_inventory_total_details'!$C$8:$C$10000,I40,'[1]1_inventory_total_details'!$F$8:$F$10000,MID(N40,1,3)*1,'[1]1_inventory_total_details'!$G$8:$G$10000,"="&amp;S40,'[1]1_inventory_total_details'!$H$8:$H$10000,"="&amp;T40,'[1]1_inventory_total_details'!$I$8:$I$10000,"="&amp;adj_date)+SUMIFS('[1]1_inventory_total_details'!$L$8:$L$10000,'[1]1_inventory_total_details'!$C$8:$C$10000,I40,'[1]1_inventory_total_details'!$F$8:$F$10000,MID(N40,1,3)*1,'[1]1_inventory_total_details'!$G$8:$G$10000,"="&amp;S40,'[1]1_inventory_total_details'!$H$8:$H$10000,"="&amp;T40,'[1]1_inventory_total_details'!$I$8:$I$10000,"="&amp;adj_date),SUMIFS('[1]2_inventory_total_details'!$J$8:$J$10000,'[1]2_inventory_total_details'!$C$8:$C$10000,I40,'[1]2_inventory_total_details'!$F$8:$F$10000,MID(N40,1,3)*1,'[1]2_inventory_total_details'!$G$8:$G$10000,"="&amp;S40,'[1]2_inventory_total_details'!$H$8:$H$10000,"="&amp;T40,'[1]2_inventory_total_details'!$I$8:$I$10000,"="&amp;adj_date)+SUMIFS('[1]2_inventory_total_details'!$M$8:$M$10000,'[1]1_inventory_total_details'!$C$8:$C$10000,I40,'[1]2_inventory_total_details'!$F$8:$F$10000,MID(N40,1,3)*1,'[1]2_inventory_total_details'!$G$8:$G$10000,"="&amp;S40,'[1]2_inventory_total_details'!$H$8:$H$10000,"="&amp;T40,'[1]2_inventory_total_details'!$I$8:$I$10000,"="&amp;adj_date)+SUMIFS('[1]2_inventory_total_details'!$K$8:$K$10000,'[1]2_inventory_total_details'!$C$8:$C$10000,I40,'[1]2_inventory_total_details'!$F$8:$F$10000,MID(N40,1,3)*1,'[1]2_inventory_total_details'!$G$8:$G$10000,"="&amp;S40,'[1]2_inventory_total_details'!$H$8:$H$10000,"="&amp;T40,'[1]2_inventory_total_details'!$I$8:$I$10000,"="&amp;adj_date)+SUMIFS('[1]2_inventory_total_details'!$L$8:$L$10000,'[1]2_inventory_total_details'!$C$8:$C$10000,I40,'[1]2_inventory_total_details'!$F$8:$F$10000,MID(N40,1,3)*1,'[1]2_inventory_total_details'!$G$8:$G$10000,"="&amp;S40,'[1]2_inventory_total_details'!$H$8:$H$10000,"="&amp;T40,'[1]2_inventory_total_details'!$I$8:$I$10000,"="&amp;adj_date)))</f>
        <v/>
      </c>
      <c r="AB40" s="270" t="str">
        <f>IF(L40="","",IF(MID(N40,1,3)*1=1,SUMIFS('[1]1_inventory_total_details'!$J$8:$J$10000,'[1]1_inventory_total_details'!$C$8:$C$10000,I40,'[1]1_inventory_total_details'!$F$8:$F$10000,MID(N40,1,3)*1,'[1]1_inventory_total_details'!$G$8:$G$10000,"="&amp;S40,'[1]1_inventory_total_details'!$H$8:$H$10000,"="&amp;T40,'[1]1_inventory_total_details'!$I$8:$I$10000,"="&amp;adj_date)+SUMIFS('[1]1_inventory_total_details'!$M$8:$M$10000,'[1]1_inventory_total_details'!$C$8:$C$10000,I40,'[1]1_inventory_total_details'!$F$8:$F$10000,MID(N40,1,3)*1,'[1]1_inventory_total_details'!$G$8:$G$10000,"="&amp;S40,'[1]1_inventory_total_details'!$H$8:$H$10000,"="&amp;T40,'[1]1_inventory_total_details'!$I$8:$I$10000,"="&amp;adj_date)+SUMIFS('[1]1_inventory_total_details'!$K$8:$K$10000,'[1]1_inventory_total_details'!$C$8:$C$10000,I40,'[1]1_inventory_total_details'!$F$8:$F$10000,MID(N40,1,3)*1,'[1]1_inventory_total_details'!$G$8:$G$10000,"="&amp;S40,'[1]1_inventory_total_details'!$H$8:$H$10000,"="&amp;T40,'[1]1_inventory_total_details'!$I$8:$I$10000,"="&amp;adj_date)+SUMIFS('[1]1_inventory_total_details'!$L$8:$L$10000,'[1]1_inventory_total_details'!$C$8:$C$10000,I40,'[1]1_inventory_total_details'!$F$8:$F$10000,MID(N40,1,3)*1,'[1]1_inventory_total_details'!$G$8:$G$10000,"="&amp;S40,'[1]1_inventory_total_details'!$H$8:$H$10000,"="&amp;T40,'[1]1_inventory_total_details'!$I$8:$I$10000,"="&amp;adj_date),SUMIFS('[1]2_inventory_total_details'!$J$8:$J$10000,'[1]2_inventory_total_details'!$C$8:$C$10000,I40,'[1]2_inventory_total_details'!$F$8:$F$10000,MID(N40,1,3)*1,'[1]2_inventory_total_details'!$G$8:$G$10000,"="&amp;S40,'[1]2_inventory_total_details'!$H$8:$H$10000,"="&amp;T40,'[1]2_inventory_total_details'!$I$8:$I$10000,"="&amp;adj_date)+SUMIFS('[1]2_inventory_total_details'!$M$8:$M$10000,'[1]1_inventory_total_details'!$C$8:$C$10000,I40,'[1]2_inventory_total_details'!$F$8:$F$10000,MID(N40,1,3)*1,'[1]2_inventory_total_details'!$G$8:$G$10000,"="&amp;S40,'[1]2_inventory_total_details'!$H$8:$H$10000,"="&amp;T40,'[1]2_inventory_total_details'!$I$8:$I$10000,"="&amp;adj_date)+SUMIFS('[1]2_inventory_total_details'!$K$8:$K$10000,'[1]2_inventory_total_details'!$C$8:$C$10000,I40,'[1]2_inventory_total_details'!$F$8:$F$10000,MID(N40,1,3)*1,'[1]2_inventory_total_details'!$G$8:$G$10000,"="&amp;S40,'[1]2_inventory_total_details'!$H$8:$H$10000,"="&amp;T40,'[1]2_inventory_total_details'!$I$8:$I$10000,"="&amp;adj_date)+SUMIFS('[1]2_inventory_total_details'!$L$8:$L$10000,'[1]2_inventory_total_details'!$C$8:$C$10000,I40,'[1]2_inventory_total_details'!$F$8:$F$10000,MID(N40,1,3)*1,'[1]2_inventory_total_details'!$G$8:$G$10000,"="&amp;S40,'[1]2_inventory_total_details'!$H$8:$H$10000,"="&amp;T40,'[1]2_inventory_total_details'!$I$8:$I$10000,"="&amp;adj_date)))</f>
        <v/>
      </c>
      <c r="AC40" s="270" t="str">
        <f>IF(L40="","",IF(MID(N40,1,3)*1=1,SUMIFS('[1]1_inventory_total_details'!$J$8:$J$10000,'[1]1_inventory_total_details'!$C$8:$C$10000,I40,'[1]1_inventory_total_details'!$F$8:$F$10000,MID(N40,1,3)*1,'[1]1_inventory_total_details'!$G$8:$G$10000,"="&amp;S40,'[1]1_inventory_total_details'!$H$8:$H$10000,"="&amp;T40,'[1]1_inventory_total_details'!$I$8:$I$10000,"="&amp;adj_date)+SUMIFS('[1]1_inventory_total_details'!$M$8:$M$10000,'[1]1_inventory_total_details'!$C$8:$C$10000,I40,'[1]1_inventory_total_details'!$F$8:$F$10000,MID(N40,1,3)*1,'[1]1_inventory_total_details'!$G$8:$G$10000,"="&amp;S40,'[1]1_inventory_total_details'!$H$8:$H$10000,"="&amp;T40,'[1]1_inventory_total_details'!$I$8:$I$10000,"="&amp;adj_date)+SUMIFS('[1]1_inventory_total_details'!$K$8:$K$10000,'[1]1_inventory_total_details'!$C$8:$C$10000,I40,'[1]1_inventory_total_details'!$F$8:$F$10000,MID(N40,1,3)*1,'[1]1_inventory_total_details'!$G$8:$G$10000,"="&amp;S40,'[1]1_inventory_total_details'!$H$8:$H$10000,"="&amp;T40,'[1]1_inventory_total_details'!$I$8:$I$10000,"="&amp;adj_date)+SUMIFS('[1]1_inventory_total_details'!$L$8:$L$10000,'[1]1_inventory_total_details'!$C$8:$C$10000,I40,'[1]1_inventory_total_details'!$F$8:$F$10000,MID(N40,1,3)*1,'[1]1_inventory_total_details'!$G$8:$G$10000,"="&amp;S40,'[1]1_inventory_total_details'!$H$8:$H$10000,"="&amp;T40,'[1]1_inventory_total_details'!$I$8:$I$10000,"="&amp;adj_date),SUMIFS('[1]2_inventory_total_details'!$J$8:$J$10000,'[1]2_inventory_total_details'!$C$8:$C$10000,I40,'[1]2_inventory_total_details'!$F$8:$F$10000,MID(N40,1,3)*1,'[1]2_inventory_total_details'!$G$8:$G$10000,"="&amp;S40,'[1]2_inventory_total_details'!$H$8:$H$10000,"="&amp;T40,'[1]2_inventory_total_details'!$I$8:$I$10000,"="&amp;adj_date)+SUMIFS('[1]2_inventory_total_details'!$M$8:$M$10000,'[1]1_inventory_total_details'!$C$8:$C$10000,I40,'[1]2_inventory_total_details'!$F$8:$F$10000,MID(N40,1,3)*1,'[1]2_inventory_total_details'!$G$8:$G$10000,"="&amp;S40,'[1]2_inventory_total_details'!$H$8:$H$10000,"="&amp;T40,'[1]2_inventory_total_details'!$I$8:$I$10000,"="&amp;adj_date)+SUMIFS('[1]2_inventory_total_details'!$K$8:$K$10000,'[1]2_inventory_total_details'!$C$8:$C$10000,I40,'[1]2_inventory_total_details'!$F$8:$F$10000,MID(N40,1,3)*1,'[1]2_inventory_total_details'!$G$8:$G$10000,"="&amp;S40,'[1]2_inventory_total_details'!$H$8:$H$10000,"="&amp;T40,'[1]2_inventory_total_details'!$I$8:$I$10000,"="&amp;adj_date)+SUMIFS('[1]2_inventory_total_details'!$L$8:$L$10000,'[1]2_inventory_total_details'!$C$8:$C$10000,I40,'[1]2_inventory_total_details'!$F$8:$F$10000,MID(N40,1,3)*1,'[1]2_inventory_total_details'!$G$8:$G$10000,"="&amp;S40,'[1]2_inventory_total_details'!$H$8:$H$10000,"="&amp;T40,'[1]2_inventory_total_details'!$I$8:$I$10000,"="&amp;adj_date)))</f>
        <v/>
      </c>
      <c r="AD40" s="270" t="str">
        <f>IF(L40="","",SUMIFS('[1]1_group_totals'!$J$8:$J$10000,'[1]1_group_totals'!$C$8:$C$10000,I40,'[1]1_group_totals'!$F$8:$F$10000,adj_location_group_id,'[1]1_group_totals'!$G$8:$G$10000,MID(N40,1,3)*1,'[1]1_group_totals'!$H$8:$H$10000,"="&amp;S40,'[1]1_group_totals'!$I$8:$I$10000,"="&amp;T40))</f>
        <v/>
      </c>
      <c r="AE40" s="1796" t="str">
        <f t="shared" si="11"/>
        <v/>
      </c>
      <c r="AF40" s="1797" t="str">
        <f>IF(ISNA(MATCH(MID(AE40,1,3)*1,UomConversion!$D$8:$D$500,0)),"",IF(AJ40&lt;&gt;"",AJ40,""))</f>
        <v/>
      </c>
      <c r="AG40" s="1797" t="str">
        <f>IF(AND(AH40&gt;0,COUNTIFS(UomConversion!$D$8:$D$500,MID(AE40,1,3)*1,UomConversion!$J$8:$J$500,1)&gt;1),TEXT(AH40,"000")&amp;"."&amp;VLOOKUP(AH40,uom_list,5,FALSE),"")</f>
        <v/>
      </c>
      <c r="AH40" s="270" t="str">
        <f t="shared" si="12"/>
        <v/>
      </c>
      <c r="AI40" s="270" t="str">
        <f t="shared" si="13"/>
        <v/>
      </c>
      <c r="AJ40" s="270" t="str">
        <f t="shared" si="14"/>
        <v/>
      </c>
      <c r="AK40" s="270" t="str" cm="1">
        <f t="array" ref="AK40">IF(L40="","",Slookup(MID(AE40,1,3)*1,UomConversion!$D$8:$J$500,2,UomConversion!$I$8:$I$500,1,UomConversion!$J$8:$J$500,1))</f>
        <v/>
      </c>
      <c r="AL40" s="270" t="str">
        <f t="shared" si="15"/>
        <v/>
      </c>
      <c r="AM40" s="270" t="str">
        <f>IF(L40="","",(SUMIFS('[1]1_group_totals'!$K$8:$K$10000,'[1]1_group_totals'!$C$8:$C$10000,I40,'[1]1_group_totals'!$F$8:$F$10000,adj_location_group_id,'[1]1_group_totals'!$G$8:$G$10000,MID(N40,1,3)*1,'[1]1_group_totals'!$H$8:$H$10000,"="&amp;S40,'[1]1_group_totals'!$I$8:$I$10000,"="&amp;T40)+SUMIFS('[1]1_group_totals'!$N$8:$N$10000,'[1]1_group_totals'!$C$8:$C$10000,I40,'[1]1_group_totals'!$F$8:$F$10000,adj_location_group_id,'[1]1_group_totals'!$G$8:$G$10000,MID(N40,1,3)*1,'[1]1_group_totals'!$H$8:$H$10000,"="&amp;S40,'[1]1_group_totals'!$I$8:$I$10000,"="&amp;T40)+SUMIFS('[1]1_group_totals'!$P$8:$P$10000,'[1]1_group_totals'!$C$8:$C$10000,I40,'[1]1_group_totals'!$F$8:$F$10000,adj_location_group_id,'[1]1_group_totals'!$G$8:$G$10000,MID(N40,1,3)*1,'[1]1_group_totals'!$H$8:$H$10000,"="&amp;S40,'[1]1_group_totals'!$I$8:$I$10000,"="&amp;T40)+SUMIFS('[1]1_group_totals'!$Q$8:$Q$10000,'[1]1_group_totals'!$C$8:$C$10000,I40,'[1]1_group_totals'!$F$8:$F$10000,adj_location_group_id,'[1]1_group_totals'!$G$8:$G$10000,MID(N40,1,3)*1,'[1]1_group_totals'!$H$8:$H$10000,"="&amp;S40,'[1]1_group_totals'!$I$8:$I$10000,"="&amp;T40))+(SUMIFS('[1]1_group_totals'!$L$8:$L$10000,'[1]1_group_totals'!$C$8:$C$10000,I40,'[1]1_group_totals'!$F$8:$F$10000,adj_location_group_id,'[1]1_group_totals'!$G$8:$G$10000,MID(N40,1,3)*1,'[1]1_group_totals'!$H$8:$H$10000,"="&amp;S40,'[1]1_group_totals'!$I$8:$I$10000,"="&amp;T40)+SUMIFS('[1]1_group_totals'!$M$8:$M$10000,'[1]1_group_totals'!$C$8:$C$10000,I40,'[1]1_group_totals'!$F$8:$F$10000,adj_location_group_id,'[1]1_group_totals'!$G$8:$G$10000,MID(N40,1,3)*1,'[1]1_group_totals'!$H$8:$H$10000,"="&amp;S40,'[1]1_group_totals'!$I$8:$I$10000,"="&amp;T40)+SUMIFS('[1]1_group_totals'!$O$8:$O$10000,'[1]1_group_totals'!$C$8:$C$10000,I40,'[1]1_group_totals'!$F$8:$F$10000,adj_location_group_id,'[1]1_group_totals'!$G$8:$G$10000,MID(N40,1,3)*1,'[1]1_group_totals'!$H$8:$H$10000,"="&amp;S40,'[1]1_group_totals'!$I$8:$I$10000,"="&amp;T40)+SUMIFS('[1]1_group_totals'!$R$8:$R$10000,'[1]1_group_totals'!$C$8:$C$10000,I40,'[1]1_group_totals'!$F$8:$F$10000,adj_location_group_id,'[1]1_group_totals'!$G$8:$G$10000,MID(N40,1,3)*1,'[1]1_group_totals'!$H$8:$H$10000,"="&amp;S40,'[1]1_group_totals'!$I$8:$I$10000,"="&amp;T40)))</f>
        <v/>
      </c>
      <c r="AN40" s="270" t="str">
        <f>IF(L40="","",(SUMIFS('[1]1_inventory_totals'!$I$8:$I$10000,'[1]1_inventory_totals'!$C$8:$C$10000,I40,'[1]1_inventory_totals'!$F$8:$F$10000,"="&amp;S40,'[1]1_inventory_totals'!$G$8:$G$10000,"="&amp;T40)+SUMIFS('[1]1_inventory_totals'!$N$8:$N$10000,'[1]1_inventory_totals'!$C$8:$C$10000,I40,'[1]1_inventory_totals'!$F$8:$F$10000,"="&amp;S40,'[1]1_inventory_totals'!$G$8:$G$10000,"="&amp;T40)+SUMIFS('[1]1_inventory_totals'!$P$8:$P$10000,'[1]1_inventory_totals'!$C$8:$C$10000,I40,'[1]1_inventory_totals'!$F$8:$F$10000,"="&amp;S40,'[1]1_inventory_totals'!$G$8:$G$10000,"="&amp;T40)+SUMIFS('[1]1_inventory_totals'!$Q$8:$Q$10000,'[1]1_inventory_totals'!$C$8:$C$10000,I40,'[1]1_inventory_totals'!$F$8:$F$10000,"="&amp;S40,'[1]1_inventory_totals'!$G$8:$G$10000,"="&amp;T40)+SUMIFS('[1]1_inventory_totals'!$R$8:$R$10000,'[1]1_inventory_totals'!$C$8:$C$10000,I40,'[1]1_inventory_totals'!$F$8:$F$10000,"="&amp;S40,'[1]1_inventory_totals'!$G$8:$G$10000,"="&amp;T40))+(SUMIFS('[1]1_inventory_totals'!$J$8:$J$10000,'[1]1_inventory_totals'!$C$8:$C$10000,I40,'[1]1_inventory_totals'!$F$8:$F$10000,"="&amp;S40,'[1]1_inventory_totals'!$G$8:$G$10000,"="&amp;T40)+SUMIFS('[1]1_inventory_totals'!$K$8:$K$10000,'[1]1_inventory_totals'!$C$8:$C$10000,I40,'[1]1_inventory_totals'!$F$8:$F$10000,"="&amp;S40,'[1]1_inventory_totals'!$G$8:$G$10000,"="&amp;T40)+SUMIFS('[1]1_inventory_totals'!$L$8:$L$10000,'[1]1_inventory_totals'!$C$8:$C$10000,I40,'[1]1_inventory_totals'!$F$8:$F$10000,"="&amp;S40,'[1]1_inventory_totals'!$G$8:$G$10000,"="&amp;T40)+SUMIFS('[1]1_inventory_totals'!$M$8:$M$10000,'[1]1_inventory_totals'!$C$8:$C$10000,I40,'[1]1_inventory_totals'!$F$8:$F$10000,"="&amp;S40,'[1]1_inventory_totals'!$G$8:$G$10000,"="&amp;T40)+SUMIFS('[1]1_inventory_totals'!$O$8:$O$10000,'[1]1_inventory_totals'!$C$8:$C$10000,I40,'[1]1_inventory_totals'!$F$8:$F$10000,"="&amp;S40,'[1]1_inventory_totals'!$G$8:$G$10000,"="&amp;T40)+SUMIFS('[1]1_inventory_totals'!$S$8:$S$10000,'[1]1_inventory_totals'!$C$8:$C$10000,I40,'[1]1_inventory_totals'!$F$8:$F$10000,"="&amp;S40,'[1]1_inventory_totals'!$G$8:$G$10000,"="&amp;T40)))</f>
        <v/>
      </c>
      <c r="AO40" s="270" t="str">
        <f>IF(L40="","",(SUMIFS('[1]2_inventory_totals'!$I$8:$I$10000,'[1]2_inventory_totals'!$C$8:$C$10000,I40,'[1]2_inventory_totals'!$F$8:$F$10000,"="&amp;S40,'[1]2_inventory_totals'!$G$8:$G$10000,"="&amp;T40)+SUMIFS('[1]2_inventory_totals'!$N$8:$N$10000,'[1]2_inventory_totals'!$C$8:$C$10000,I40,'[1]2_inventory_totals'!$F$8:$F$10000,"="&amp;S40,'[1]2_inventory_totals'!$G$8:$G$10000,"="&amp;T40)+SUMIFS('[1]2_inventory_totals'!$P$8:$P$10000,'[1]2_inventory_totals'!$C$8:$C$10000,I40,'[1]2_inventory_totals'!$F$8:$F$10000,"="&amp;S40,'[1]2_inventory_totals'!$G$8:$G$10000,"="&amp;T40)+SUMIFS('[1]2_inventory_totals'!$Q$8:$Q$10000,'[1]2_inventory_totals'!$C$8:$C$10000,I40,'[1]2_inventory_totals'!$F$8:$F$10000,"="&amp;S40,'[1]2_inventory_totals'!$G$8:$G$10000,"="&amp;T40)+SUMIFS('[1]2_inventory_totals'!$R$8:$R$10000,'[1]2_inventory_totals'!$C$8:$C$10000,I40,'[1]2_inventory_totals'!$F$8:$F$10000,"="&amp;S40,'[1]2_inventory_totals'!$G$8:$G$10000,"="&amp;T40))+(SUMIFS('[1]2_inventory_totals'!$J$8:$J$10000,'[1]2_inventory_totals'!$C$8:$C$10000,I40,'[1]2_inventory_totals'!$F$8:$F$10000,"="&amp;S40,'[1]2_inventory_totals'!$G$8:$G$10000,"="&amp;T40)+SUMIFS('[1]2_inventory_totals'!$K$8:$K$10000,'[1]2_inventory_totals'!$C$8:$C$10000,I40,'[1]2_inventory_totals'!$F$8:$F$10000,"="&amp;S40,'[1]2_inventory_totals'!$G$8:$G$10000,"="&amp;T40)+SUMIFS('[1]2_inventory_totals'!$L$8:$L$10000,'[1]2_inventory_totals'!$C$8:$C$10000,I40,'[1]2_inventory_totals'!$F$8:$F$10000,"="&amp;S40,'[1]2_inventory_totals'!$G$8:$G$10000,"="&amp;T40)+SUMIFS('[1]2_inventory_totals'!$M$8:$M$10000,'[1]2_inventory_totals'!$C$8:$C$10000,I40,'[1]2_inventory_totals'!$F$8:$F$10000,"="&amp;S40,'[1]2_inventory_totals'!$G$8:$G$10000,"="&amp;T40)+SUMIFS('[1]2_inventory_totals'!$O$8:$O$10000,'[1]2_inventory_totals'!$C$8:$C$10000,I40,'[1]2_inventory_totals'!$F$8:$F$10000,"="&amp;S40,'[1]2_inventory_totals'!$G$8:$G$10000,"="&amp;T40)+SUMIFS('[1]2_inventory_totals'!$S$8:$S$10000,'[1]2_inventory_totals'!$C$8:$C$10000,I40,'[1]2_inventory_totals'!$F$8:$F$10000,"="&amp;S40,'[1]2_inventory_totals'!$G$8:$G$10000,"="&amp;T40)))</f>
        <v/>
      </c>
      <c r="AP40" s="954"/>
    </row>
    <row r="41" spans="1:42" ht="27" customHeight="1">
      <c r="A41" s="923"/>
      <c r="B41" s="1172"/>
      <c r="C41" s="950"/>
      <c r="D41" s="950"/>
      <c r="E41" s="950"/>
      <c r="F41" s="1198"/>
      <c r="I41" s="1610" t="str">
        <f t="shared" si="5"/>
        <v/>
      </c>
      <c r="J41" s="270" t="str">
        <f t="shared" si="6"/>
        <v/>
      </c>
      <c r="K41" s="813" t="str">
        <f t="shared" si="16"/>
        <v/>
      </c>
      <c r="L41" s="1184"/>
      <c r="M41" s="1185"/>
      <c r="N41" s="1186"/>
      <c r="O41" s="1534"/>
      <c r="P41" s="336" t="str">
        <f t="shared" si="17"/>
        <v/>
      </c>
      <c r="Q41" s="336" t="str">
        <f>IF(L41="","",IF(AD41=0,0,(SUMIFS('[1]1_group_total_details'!$I$8:$I$10000,'[1]1_group_total_details'!$C$8:$C$10000,I41,'[1]1_group_total_details'!$F$8:$F$10000,adj_location_group_id,'[1]1_group_total_details'!$G$8:$G$10000,MID(N41,1,3)*1,'[1]1_group_total_details'!$H$8:$H$10000,"&lt;="&amp;adj_date)+SUMIFS('[1]1_group_total_details'!$L$8:$L$10000,'[1]1_group_total_details'!$C$8:$C$10000,I41,'[1]1_group_total_details'!$F$8:$F$10000,adj_location_group_id,'[1]1_group_total_details'!$G$8:$G$10000,MID(N41,1,3)*1,'[1]1_group_total_details'!$H$8:$H$10000,"&lt;="&amp;adj_date)+SUMIFS('[1]1_group_total_details'!$N$8:$N$10000,'[1]1_group_total_details'!$C$8:$C$10000,I41,'[1]1_group_total_details'!$F$8:$F$10000,adj_location_group_id,'[1]1_group_total_details'!$G$8:$G$10000,MID(N41,1,3)*1,'[1]1_group_total_details'!$H$8:$H$10000,"&lt;="&amp;adj_date)+SUMIFS('[1]1_group_total_details'!$O$8:$O$10000,'[1]1_group_total_details'!$C$8:$C$10000,I41,'[1]1_group_total_details'!$F$8:$F$10000,adj_location_group_id,'[1]1_group_total_details'!$G$8:$G$10000,MID(N41,1,3)*1,'[1]1_group_total_details'!$H$8:$H$10000,"&lt;="&amp;adj_date))-(SUMIFS('[1]1_group_total_details'!$J$8:$J$10000,'[1]1_group_total_details'!$C$8:$C$10000,I41,'[1]1_group_total_details'!$F$8:$F$10000,adj_location_group_id,'[1]1_group_total_details'!$G$8:$G$10000,MID(N41,1,3)*1,'[1]1_group_total_details'!$H$8:$H$10000,"&lt;="&amp;adj_date)+SUMIFS('[1]1_group_total_details'!$K$8:$K$10000,'[1]1_group_total_details'!$C$8:$C$10000,I41,'[1]1_group_total_details'!$F$8:$F$10000,adj_location_group_id,'[1]1_group_total_details'!$G$8:$G$10000,MID(N41,1,3)*1,'[1]1_group_total_details'!$H$8:$H$10000,"&lt;="&amp;adj_date)+SUMIFS('[1]1_group_total_details'!$M$8:$M$10000,'[1]1_group_total_details'!$C$8:$C$10000,I41,'[1]1_group_total_details'!$F$8:$F$10000,adj_location_group_id,'[1]1_group_total_details'!$G$8:$G$10000,MID(N41,1,3)*1,'[1]1_group_total_details'!$H$8:$H$10000,"&lt;="&amp;adj_date)+SUMIFS('[1]1_group_total_details'!$P$8:$P$10000,'[1]1_group_total_details'!$C$8:$C$10000,I41,'[1]1_group_total_details'!$F$8:$F$10000,adj_location_group_id,'[1]1_group_total_details'!$G$8:$G$10000,MID(N41,1,3)*1,'[1]1_group_total_details'!$H$8:$H$10000,"&lt;="&amp;adj_date))))</f>
        <v/>
      </c>
      <c r="R41" s="1187"/>
      <c r="S41" s="1186"/>
      <c r="T41" s="1186"/>
      <c r="U41" s="1184"/>
      <c r="V41" s="270" t="str" cm="1">
        <f t="array" ref="V41">IF(L41="","",IF(M41=AE41,1,Slookup(MID(AE41,1,3)*1,UomConversion!$D$8:$J$500,5,UomConversion!$E$8:$E$500,MID(M41,1,3)*1,UomConversion!$J$8:$J$500,1)))</f>
        <v/>
      </c>
      <c r="W41" s="270" t="str">
        <f t="shared" si="8"/>
        <v/>
      </c>
      <c r="X41" s="1795" t="str">
        <f t="shared" si="9"/>
        <v/>
      </c>
      <c r="Y41" s="1795" t="str">
        <f t="shared" si="10"/>
        <v/>
      </c>
      <c r="Z41" s="270" t="str">
        <f>IF(I41="","",IF(ISNA(MATCH(I41,IF(MID(N41,1,3)*1=1,'[1]1_inventory_totals'!$C$8:$C$10000,IF(MID(N41,1,3)*1=2,'[1]2_inventory_totals'!$C$8:$C$10000,"")),0)),0,IF(AL41&gt;0,1,0)))</f>
        <v/>
      </c>
      <c r="AA41" s="270" t="str">
        <f>IF(L41="","",IF(MID(N41,1,3)*1=1,SUMIFS('[1]1_inventory_total_details'!$J$8:$J$10000,'[1]1_inventory_total_details'!$C$8:$C$10000,I41,'[1]1_inventory_total_details'!$F$8:$F$10000,MID(N41,1,3)*1,'[1]1_inventory_total_details'!$G$8:$G$10000,"="&amp;S41,'[1]1_inventory_total_details'!$H$8:$H$10000,"="&amp;T41,'[1]1_inventory_total_details'!$I$8:$I$10000,"="&amp;adj_date)+SUMIFS('[1]1_inventory_total_details'!$M$8:$M$10000,'[1]1_inventory_total_details'!$C$8:$C$10000,I41,'[1]1_inventory_total_details'!$F$8:$F$10000,MID(N41,1,3)*1,'[1]1_inventory_total_details'!$G$8:$G$10000,"="&amp;S41,'[1]1_inventory_total_details'!$H$8:$H$10000,"="&amp;T41,'[1]1_inventory_total_details'!$I$8:$I$10000,"="&amp;adj_date)+SUMIFS('[1]1_inventory_total_details'!$K$8:$K$10000,'[1]1_inventory_total_details'!$C$8:$C$10000,I41,'[1]1_inventory_total_details'!$F$8:$F$10000,MID(N41,1,3)*1,'[1]1_inventory_total_details'!$G$8:$G$10000,"="&amp;S41,'[1]1_inventory_total_details'!$H$8:$H$10000,"="&amp;T41,'[1]1_inventory_total_details'!$I$8:$I$10000,"="&amp;adj_date)+SUMIFS('[1]1_inventory_total_details'!$L$8:$L$10000,'[1]1_inventory_total_details'!$C$8:$C$10000,I41,'[1]1_inventory_total_details'!$F$8:$F$10000,MID(N41,1,3)*1,'[1]1_inventory_total_details'!$G$8:$G$10000,"="&amp;S41,'[1]1_inventory_total_details'!$H$8:$H$10000,"="&amp;T41,'[1]1_inventory_total_details'!$I$8:$I$10000,"="&amp;adj_date),SUMIFS('[1]2_inventory_total_details'!$J$8:$J$10000,'[1]2_inventory_total_details'!$C$8:$C$10000,I41,'[1]2_inventory_total_details'!$F$8:$F$10000,MID(N41,1,3)*1,'[1]2_inventory_total_details'!$G$8:$G$10000,"="&amp;S41,'[1]2_inventory_total_details'!$H$8:$H$10000,"="&amp;T41,'[1]2_inventory_total_details'!$I$8:$I$10000,"="&amp;adj_date)+SUMIFS('[1]2_inventory_total_details'!$M$8:$M$10000,'[1]1_inventory_total_details'!$C$8:$C$10000,I41,'[1]2_inventory_total_details'!$F$8:$F$10000,MID(N41,1,3)*1,'[1]2_inventory_total_details'!$G$8:$G$10000,"="&amp;S41,'[1]2_inventory_total_details'!$H$8:$H$10000,"="&amp;T41,'[1]2_inventory_total_details'!$I$8:$I$10000,"="&amp;adj_date)+SUMIFS('[1]2_inventory_total_details'!$K$8:$K$10000,'[1]2_inventory_total_details'!$C$8:$C$10000,I41,'[1]2_inventory_total_details'!$F$8:$F$10000,MID(N41,1,3)*1,'[1]2_inventory_total_details'!$G$8:$G$10000,"="&amp;S41,'[1]2_inventory_total_details'!$H$8:$H$10000,"="&amp;T41,'[1]2_inventory_total_details'!$I$8:$I$10000,"="&amp;adj_date)+SUMIFS('[1]2_inventory_total_details'!$L$8:$L$10000,'[1]2_inventory_total_details'!$C$8:$C$10000,I41,'[1]2_inventory_total_details'!$F$8:$F$10000,MID(N41,1,3)*1,'[1]2_inventory_total_details'!$G$8:$G$10000,"="&amp;S41,'[1]2_inventory_total_details'!$H$8:$H$10000,"="&amp;T41,'[1]2_inventory_total_details'!$I$8:$I$10000,"="&amp;adj_date)))</f>
        <v/>
      </c>
      <c r="AB41" s="270" t="str">
        <f>IF(L41="","",IF(MID(N41,1,3)*1=1,SUMIFS('[1]1_inventory_total_details'!$J$8:$J$10000,'[1]1_inventory_total_details'!$C$8:$C$10000,I41,'[1]1_inventory_total_details'!$F$8:$F$10000,MID(N41,1,3)*1,'[1]1_inventory_total_details'!$G$8:$G$10000,"="&amp;S41,'[1]1_inventory_total_details'!$H$8:$H$10000,"="&amp;T41,'[1]1_inventory_total_details'!$I$8:$I$10000,"="&amp;adj_date)+SUMIFS('[1]1_inventory_total_details'!$M$8:$M$10000,'[1]1_inventory_total_details'!$C$8:$C$10000,I41,'[1]1_inventory_total_details'!$F$8:$F$10000,MID(N41,1,3)*1,'[1]1_inventory_total_details'!$G$8:$G$10000,"="&amp;S41,'[1]1_inventory_total_details'!$H$8:$H$10000,"="&amp;T41,'[1]1_inventory_total_details'!$I$8:$I$10000,"="&amp;adj_date)+SUMIFS('[1]1_inventory_total_details'!$K$8:$K$10000,'[1]1_inventory_total_details'!$C$8:$C$10000,I41,'[1]1_inventory_total_details'!$F$8:$F$10000,MID(N41,1,3)*1,'[1]1_inventory_total_details'!$G$8:$G$10000,"="&amp;S41,'[1]1_inventory_total_details'!$H$8:$H$10000,"="&amp;T41,'[1]1_inventory_total_details'!$I$8:$I$10000,"="&amp;adj_date)+SUMIFS('[1]1_inventory_total_details'!$L$8:$L$10000,'[1]1_inventory_total_details'!$C$8:$C$10000,I41,'[1]1_inventory_total_details'!$F$8:$F$10000,MID(N41,1,3)*1,'[1]1_inventory_total_details'!$G$8:$G$10000,"="&amp;S41,'[1]1_inventory_total_details'!$H$8:$H$10000,"="&amp;T41,'[1]1_inventory_total_details'!$I$8:$I$10000,"="&amp;adj_date),SUMIFS('[1]2_inventory_total_details'!$J$8:$J$10000,'[1]2_inventory_total_details'!$C$8:$C$10000,I41,'[1]2_inventory_total_details'!$F$8:$F$10000,MID(N41,1,3)*1,'[1]2_inventory_total_details'!$G$8:$G$10000,"="&amp;S41,'[1]2_inventory_total_details'!$H$8:$H$10000,"="&amp;T41,'[1]2_inventory_total_details'!$I$8:$I$10000,"="&amp;adj_date)+SUMIFS('[1]2_inventory_total_details'!$M$8:$M$10000,'[1]1_inventory_total_details'!$C$8:$C$10000,I41,'[1]2_inventory_total_details'!$F$8:$F$10000,MID(N41,1,3)*1,'[1]2_inventory_total_details'!$G$8:$G$10000,"="&amp;S41,'[1]2_inventory_total_details'!$H$8:$H$10000,"="&amp;T41,'[1]2_inventory_total_details'!$I$8:$I$10000,"="&amp;adj_date)+SUMIFS('[1]2_inventory_total_details'!$K$8:$K$10000,'[1]2_inventory_total_details'!$C$8:$C$10000,I41,'[1]2_inventory_total_details'!$F$8:$F$10000,MID(N41,1,3)*1,'[1]2_inventory_total_details'!$G$8:$G$10000,"="&amp;S41,'[1]2_inventory_total_details'!$H$8:$H$10000,"="&amp;T41,'[1]2_inventory_total_details'!$I$8:$I$10000,"="&amp;adj_date)+SUMIFS('[1]2_inventory_total_details'!$L$8:$L$10000,'[1]2_inventory_total_details'!$C$8:$C$10000,I41,'[1]2_inventory_total_details'!$F$8:$F$10000,MID(N41,1,3)*1,'[1]2_inventory_total_details'!$G$8:$G$10000,"="&amp;S41,'[1]2_inventory_total_details'!$H$8:$H$10000,"="&amp;T41,'[1]2_inventory_total_details'!$I$8:$I$10000,"="&amp;adj_date)))</f>
        <v/>
      </c>
      <c r="AC41" s="270" t="str">
        <f>IF(L41="","",IF(MID(N41,1,3)*1=1,SUMIFS('[1]1_inventory_total_details'!$J$8:$J$10000,'[1]1_inventory_total_details'!$C$8:$C$10000,I41,'[1]1_inventory_total_details'!$F$8:$F$10000,MID(N41,1,3)*1,'[1]1_inventory_total_details'!$G$8:$G$10000,"="&amp;S41,'[1]1_inventory_total_details'!$H$8:$H$10000,"="&amp;T41,'[1]1_inventory_total_details'!$I$8:$I$10000,"="&amp;adj_date)+SUMIFS('[1]1_inventory_total_details'!$M$8:$M$10000,'[1]1_inventory_total_details'!$C$8:$C$10000,I41,'[1]1_inventory_total_details'!$F$8:$F$10000,MID(N41,1,3)*1,'[1]1_inventory_total_details'!$G$8:$G$10000,"="&amp;S41,'[1]1_inventory_total_details'!$H$8:$H$10000,"="&amp;T41,'[1]1_inventory_total_details'!$I$8:$I$10000,"="&amp;adj_date)+SUMIFS('[1]1_inventory_total_details'!$K$8:$K$10000,'[1]1_inventory_total_details'!$C$8:$C$10000,I41,'[1]1_inventory_total_details'!$F$8:$F$10000,MID(N41,1,3)*1,'[1]1_inventory_total_details'!$G$8:$G$10000,"="&amp;S41,'[1]1_inventory_total_details'!$H$8:$H$10000,"="&amp;T41,'[1]1_inventory_total_details'!$I$8:$I$10000,"="&amp;adj_date)+SUMIFS('[1]1_inventory_total_details'!$L$8:$L$10000,'[1]1_inventory_total_details'!$C$8:$C$10000,I41,'[1]1_inventory_total_details'!$F$8:$F$10000,MID(N41,1,3)*1,'[1]1_inventory_total_details'!$G$8:$G$10000,"="&amp;S41,'[1]1_inventory_total_details'!$H$8:$H$10000,"="&amp;T41,'[1]1_inventory_total_details'!$I$8:$I$10000,"="&amp;adj_date),SUMIFS('[1]2_inventory_total_details'!$J$8:$J$10000,'[1]2_inventory_total_details'!$C$8:$C$10000,I41,'[1]2_inventory_total_details'!$F$8:$F$10000,MID(N41,1,3)*1,'[1]2_inventory_total_details'!$G$8:$G$10000,"="&amp;S41,'[1]2_inventory_total_details'!$H$8:$H$10000,"="&amp;T41,'[1]2_inventory_total_details'!$I$8:$I$10000,"="&amp;adj_date)+SUMIFS('[1]2_inventory_total_details'!$M$8:$M$10000,'[1]1_inventory_total_details'!$C$8:$C$10000,I41,'[1]2_inventory_total_details'!$F$8:$F$10000,MID(N41,1,3)*1,'[1]2_inventory_total_details'!$G$8:$G$10000,"="&amp;S41,'[1]2_inventory_total_details'!$H$8:$H$10000,"="&amp;T41,'[1]2_inventory_total_details'!$I$8:$I$10000,"="&amp;adj_date)+SUMIFS('[1]2_inventory_total_details'!$K$8:$K$10000,'[1]2_inventory_total_details'!$C$8:$C$10000,I41,'[1]2_inventory_total_details'!$F$8:$F$10000,MID(N41,1,3)*1,'[1]2_inventory_total_details'!$G$8:$G$10000,"="&amp;S41,'[1]2_inventory_total_details'!$H$8:$H$10000,"="&amp;T41,'[1]2_inventory_total_details'!$I$8:$I$10000,"="&amp;adj_date)+SUMIFS('[1]2_inventory_total_details'!$L$8:$L$10000,'[1]2_inventory_total_details'!$C$8:$C$10000,I41,'[1]2_inventory_total_details'!$F$8:$F$10000,MID(N41,1,3)*1,'[1]2_inventory_total_details'!$G$8:$G$10000,"="&amp;S41,'[1]2_inventory_total_details'!$H$8:$H$10000,"="&amp;T41,'[1]2_inventory_total_details'!$I$8:$I$10000,"="&amp;adj_date)))</f>
        <v/>
      </c>
      <c r="AD41" s="270" t="str">
        <f>IF(L41="","",SUMIFS('[1]1_group_totals'!$J$8:$J$10000,'[1]1_group_totals'!$C$8:$C$10000,I41,'[1]1_group_totals'!$F$8:$F$10000,adj_location_group_id,'[1]1_group_totals'!$G$8:$G$10000,MID(N41,1,3)*1,'[1]1_group_totals'!$H$8:$H$10000,"="&amp;S41,'[1]1_group_totals'!$I$8:$I$10000,"="&amp;T41))</f>
        <v/>
      </c>
      <c r="AE41" s="1796" t="str">
        <f t="shared" si="11"/>
        <v/>
      </c>
      <c r="AF41" s="1797" t="str">
        <f>IF(ISNA(MATCH(MID(AE41,1,3)*1,UomConversion!$D$8:$D$500,0)),"",IF(AJ41&lt;&gt;"",AJ41,""))</f>
        <v/>
      </c>
      <c r="AG41" s="1797" t="str">
        <f>IF(AND(AH41&gt;0,COUNTIFS(UomConversion!$D$8:$D$500,MID(AE41,1,3)*1,UomConversion!$J$8:$J$500,1)&gt;1),TEXT(AH41,"000")&amp;"."&amp;VLOOKUP(AH41,uom_list,5,FALSE),"")</f>
        <v/>
      </c>
      <c r="AH41" s="270" t="str">
        <f t="shared" si="12"/>
        <v/>
      </c>
      <c r="AI41" s="270" t="str">
        <f t="shared" si="13"/>
        <v/>
      </c>
      <c r="AJ41" s="270" t="str">
        <f t="shared" si="14"/>
        <v/>
      </c>
      <c r="AK41" s="270" t="str" cm="1">
        <f t="array" ref="AK41">IF(L41="","",Slookup(MID(AE41,1,3)*1,UomConversion!$D$8:$J$500,2,UomConversion!$I$8:$I$500,1,UomConversion!$J$8:$J$500,1))</f>
        <v/>
      </c>
      <c r="AL41" s="270" t="str">
        <f t="shared" si="15"/>
        <v/>
      </c>
      <c r="AM41" s="270" t="str">
        <f>IF(L41="","",(SUMIFS('[1]1_group_totals'!$K$8:$K$10000,'[1]1_group_totals'!$C$8:$C$10000,I41,'[1]1_group_totals'!$F$8:$F$10000,adj_location_group_id,'[1]1_group_totals'!$G$8:$G$10000,MID(N41,1,3)*1,'[1]1_group_totals'!$H$8:$H$10000,"="&amp;S41,'[1]1_group_totals'!$I$8:$I$10000,"="&amp;T41)+SUMIFS('[1]1_group_totals'!$N$8:$N$10000,'[1]1_group_totals'!$C$8:$C$10000,I41,'[1]1_group_totals'!$F$8:$F$10000,adj_location_group_id,'[1]1_group_totals'!$G$8:$G$10000,MID(N41,1,3)*1,'[1]1_group_totals'!$H$8:$H$10000,"="&amp;S41,'[1]1_group_totals'!$I$8:$I$10000,"="&amp;T41)+SUMIFS('[1]1_group_totals'!$P$8:$P$10000,'[1]1_group_totals'!$C$8:$C$10000,I41,'[1]1_group_totals'!$F$8:$F$10000,adj_location_group_id,'[1]1_group_totals'!$G$8:$G$10000,MID(N41,1,3)*1,'[1]1_group_totals'!$H$8:$H$10000,"="&amp;S41,'[1]1_group_totals'!$I$8:$I$10000,"="&amp;T41)+SUMIFS('[1]1_group_totals'!$Q$8:$Q$10000,'[1]1_group_totals'!$C$8:$C$10000,I41,'[1]1_group_totals'!$F$8:$F$10000,adj_location_group_id,'[1]1_group_totals'!$G$8:$G$10000,MID(N41,1,3)*1,'[1]1_group_totals'!$H$8:$H$10000,"="&amp;S41,'[1]1_group_totals'!$I$8:$I$10000,"="&amp;T41))+(SUMIFS('[1]1_group_totals'!$L$8:$L$10000,'[1]1_group_totals'!$C$8:$C$10000,I41,'[1]1_group_totals'!$F$8:$F$10000,adj_location_group_id,'[1]1_group_totals'!$G$8:$G$10000,MID(N41,1,3)*1,'[1]1_group_totals'!$H$8:$H$10000,"="&amp;S41,'[1]1_group_totals'!$I$8:$I$10000,"="&amp;T41)+SUMIFS('[1]1_group_totals'!$M$8:$M$10000,'[1]1_group_totals'!$C$8:$C$10000,I41,'[1]1_group_totals'!$F$8:$F$10000,adj_location_group_id,'[1]1_group_totals'!$G$8:$G$10000,MID(N41,1,3)*1,'[1]1_group_totals'!$H$8:$H$10000,"="&amp;S41,'[1]1_group_totals'!$I$8:$I$10000,"="&amp;T41)+SUMIFS('[1]1_group_totals'!$O$8:$O$10000,'[1]1_group_totals'!$C$8:$C$10000,I41,'[1]1_group_totals'!$F$8:$F$10000,adj_location_group_id,'[1]1_group_totals'!$G$8:$G$10000,MID(N41,1,3)*1,'[1]1_group_totals'!$H$8:$H$10000,"="&amp;S41,'[1]1_group_totals'!$I$8:$I$10000,"="&amp;T41)+SUMIFS('[1]1_group_totals'!$R$8:$R$10000,'[1]1_group_totals'!$C$8:$C$10000,I41,'[1]1_group_totals'!$F$8:$F$10000,adj_location_group_id,'[1]1_group_totals'!$G$8:$G$10000,MID(N41,1,3)*1,'[1]1_group_totals'!$H$8:$H$10000,"="&amp;S41,'[1]1_group_totals'!$I$8:$I$10000,"="&amp;T41)))</f>
        <v/>
      </c>
      <c r="AN41" s="270" t="str">
        <f>IF(L41="","",(SUMIFS('[1]1_inventory_totals'!$I$8:$I$10000,'[1]1_inventory_totals'!$C$8:$C$10000,I41,'[1]1_inventory_totals'!$F$8:$F$10000,"="&amp;S41,'[1]1_inventory_totals'!$G$8:$G$10000,"="&amp;T41)+SUMIFS('[1]1_inventory_totals'!$N$8:$N$10000,'[1]1_inventory_totals'!$C$8:$C$10000,I41,'[1]1_inventory_totals'!$F$8:$F$10000,"="&amp;S41,'[1]1_inventory_totals'!$G$8:$G$10000,"="&amp;T41)+SUMIFS('[1]1_inventory_totals'!$P$8:$P$10000,'[1]1_inventory_totals'!$C$8:$C$10000,I41,'[1]1_inventory_totals'!$F$8:$F$10000,"="&amp;S41,'[1]1_inventory_totals'!$G$8:$G$10000,"="&amp;T41)+SUMIFS('[1]1_inventory_totals'!$Q$8:$Q$10000,'[1]1_inventory_totals'!$C$8:$C$10000,I41,'[1]1_inventory_totals'!$F$8:$F$10000,"="&amp;S41,'[1]1_inventory_totals'!$G$8:$G$10000,"="&amp;T41)+SUMIFS('[1]1_inventory_totals'!$R$8:$R$10000,'[1]1_inventory_totals'!$C$8:$C$10000,I41,'[1]1_inventory_totals'!$F$8:$F$10000,"="&amp;S41,'[1]1_inventory_totals'!$G$8:$G$10000,"="&amp;T41))+(SUMIFS('[1]1_inventory_totals'!$J$8:$J$10000,'[1]1_inventory_totals'!$C$8:$C$10000,I41,'[1]1_inventory_totals'!$F$8:$F$10000,"="&amp;S41,'[1]1_inventory_totals'!$G$8:$G$10000,"="&amp;T41)+SUMIFS('[1]1_inventory_totals'!$K$8:$K$10000,'[1]1_inventory_totals'!$C$8:$C$10000,I41,'[1]1_inventory_totals'!$F$8:$F$10000,"="&amp;S41,'[1]1_inventory_totals'!$G$8:$G$10000,"="&amp;T41)+SUMIFS('[1]1_inventory_totals'!$L$8:$L$10000,'[1]1_inventory_totals'!$C$8:$C$10000,I41,'[1]1_inventory_totals'!$F$8:$F$10000,"="&amp;S41,'[1]1_inventory_totals'!$G$8:$G$10000,"="&amp;T41)+SUMIFS('[1]1_inventory_totals'!$M$8:$M$10000,'[1]1_inventory_totals'!$C$8:$C$10000,I41,'[1]1_inventory_totals'!$F$8:$F$10000,"="&amp;S41,'[1]1_inventory_totals'!$G$8:$G$10000,"="&amp;T41)+SUMIFS('[1]1_inventory_totals'!$O$8:$O$10000,'[1]1_inventory_totals'!$C$8:$C$10000,I41,'[1]1_inventory_totals'!$F$8:$F$10000,"="&amp;S41,'[1]1_inventory_totals'!$G$8:$G$10000,"="&amp;T41)+SUMIFS('[1]1_inventory_totals'!$S$8:$S$10000,'[1]1_inventory_totals'!$C$8:$C$10000,I41,'[1]1_inventory_totals'!$F$8:$F$10000,"="&amp;S41,'[1]1_inventory_totals'!$G$8:$G$10000,"="&amp;T41)))</f>
        <v/>
      </c>
      <c r="AO41" s="270" t="str">
        <f>IF(L41="","",(SUMIFS('[1]2_inventory_totals'!$I$8:$I$10000,'[1]2_inventory_totals'!$C$8:$C$10000,I41,'[1]2_inventory_totals'!$F$8:$F$10000,"="&amp;S41,'[1]2_inventory_totals'!$G$8:$G$10000,"="&amp;T41)+SUMIFS('[1]2_inventory_totals'!$N$8:$N$10000,'[1]2_inventory_totals'!$C$8:$C$10000,I41,'[1]2_inventory_totals'!$F$8:$F$10000,"="&amp;S41,'[1]2_inventory_totals'!$G$8:$G$10000,"="&amp;T41)+SUMIFS('[1]2_inventory_totals'!$P$8:$P$10000,'[1]2_inventory_totals'!$C$8:$C$10000,I41,'[1]2_inventory_totals'!$F$8:$F$10000,"="&amp;S41,'[1]2_inventory_totals'!$G$8:$G$10000,"="&amp;T41)+SUMIFS('[1]2_inventory_totals'!$Q$8:$Q$10000,'[1]2_inventory_totals'!$C$8:$C$10000,I41,'[1]2_inventory_totals'!$F$8:$F$10000,"="&amp;S41,'[1]2_inventory_totals'!$G$8:$G$10000,"="&amp;T41)+SUMIFS('[1]2_inventory_totals'!$R$8:$R$10000,'[1]2_inventory_totals'!$C$8:$C$10000,I41,'[1]2_inventory_totals'!$F$8:$F$10000,"="&amp;S41,'[1]2_inventory_totals'!$G$8:$G$10000,"="&amp;T41))+(SUMIFS('[1]2_inventory_totals'!$J$8:$J$10000,'[1]2_inventory_totals'!$C$8:$C$10000,I41,'[1]2_inventory_totals'!$F$8:$F$10000,"="&amp;S41,'[1]2_inventory_totals'!$G$8:$G$10000,"="&amp;T41)+SUMIFS('[1]2_inventory_totals'!$K$8:$K$10000,'[1]2_inventory_totals'!$C$8:$C$10000,I41,'[1]2_inventory_totals'!$F$8:$F$10000,"="&amp;S41,'[1]2_inventory_totals'!$G$8:$G$10000,"="&amp;T41)+SUMIFS('[1]2_inventory_totals'!$L$8:$L$10000,'[1]2_inventory_totals'!$C$8:$C$10000,I41,'[1]2_inventory_totals'!$F$8:$F$10000,"="&amp;S41,'[1]2_inventory_totals'!$G$8:$G$10000,"="&amp;T41)+SUMIFS('[1]2_inventory_totals'!$M$8:$M$10000,'[1]2_inventory_totals'!$C$8:$C$10000,I41,'[1]2_inventory_totals'!$F$8:$F$10000,"="&amp;S41,'[1]2_inventory_totals'!$G$8:$G$10000,"="&amp;T41)+SUMIFS('[1]2_inventory_totals'!$O$8:$O$10000,'[1]2_inventory_totals'!$C$8:$C$10000,I41,'[1]2_inventory_totals'!$F$8:$F$10000,"="&amp;S41,'[1]2_inventory_totals'!$G$8:$G$10000,"="&amp;T41)+SUMIFS('[1]2_inventory_totals'!$S$8:$S$10000,'[1]2_inventory_totals'!$C$8:$C$10000,I41,'[1]2_inventory_totals'!$F$8:$F$10000,"="&amp;S41,'[1]2_inventory_totals'!$G$8:$G$10000,"="&amp;T41)))</f>
        <v/>
      </c>
      <c r="AP41" s="954"/>
    </row>
    <row r="42" spans="1:42" ht="27" customHeight="1">
      <c r="A42" s="923"/>
      <c r="B42" s="1172"/>
      <c r="C42" s="950"/>
      <c r="D42" s="950"/>
      <c r="E42" s="950"/>
      <c r="F42" s="1198"/>
      <c r="I42" s="1610" t="str">
        <f t="shared" si="5"/>
        <v/>
      </c>
      <c r="J42" s="270" t="str">
        <f t="shared" si="6"/>
        <v/>
      </c>
      <c r="K42" s="813" t="str">
        <f t="shared" si="16"/>
        <v/>
      </c>
      <c r="L42" s="1184"/>
      <c r="M42" s="1185"/>
      <c r="N42" s="1186"/>
      <c r="O42" s="1534"/>
      <c r="P42" s="336" t="str">
        <f t="shared" si="17"/>
        <v/>
      </c>
      <c r="Q42" s="336" t="str">
        <f>IF(L42="","",IF(AD42=0,0,(SUMIFS('[1]1_group_total_details'!$I$8:$I$10000,'[1]1_group_total_details'!$C$8:$C$10000,I42,'[1]1_group_total_details'!$F$8:$F$10000,adj_location_group_id,'[1]1_group_total_details'!$G$8:$G$10000,MID(N42,1,3)*1,'[1]1_group_total_details'!$H$8:$H$10000,"&lt;="&amp;adj_date)+SUMIFS('[1]1_group_total_details'!$L$8:$L$10000,'[1]1_group_total_details'!$C$8:$C$10000,I42,'[1]1_group_total_details'!$F$8:$F$10000,adj_location_group_id,'[1]1_group_total_details'!$G$8:$G$10000,MID(N42,1,3)*1,'[1]1_group_total_details'!$H$8:$H$10000,"&lt;="&amp;adj_date)+SUMIFS('[1]1_group_total_details'!$N$8:$N$10000,'[1]1_group_total_details'!$C$8:$C$10000,I42,'[1]1_group_total_details'!$F$8:$F$10000,adj_location_group_id,'[1]1_group_total_details'!$G$8:$G$10000,MID(N42,1,3)*1,'[1]1_group_total_details'!$H$8:$H$10000,"&lt;="&amp;adj_date)+SUMIFS('[1]1_group_total_details'!$O$8:$O$10000,'[1]1_group_total_details'!$C$8:$C$10000,I42,'[1]1_group_total_details'!$F$8:$F$10000,adj_location_group_id,'[1]1_group_total_details'!$G$8:$G$10000,MID(N42,1,3)*1,'[1]1_group_total_details'!$H$8:$H$10000,"&lt;="&amp;adj_date))-(SUMIFS('[1]1_group_total_details'!$J$8:$J$10000,'[1]1_group_total_details'!$C$8:$C$10000,I42,'[1]1_group_total_details'!$F$8:$F$10000,adj_location_group_id,'[1]1_group_total_details'!$G$8:$G$10000,MID(N42,1,3)*1,'[1]1_group_total_details'!$H$8:$H$10000,"&lt;="&amp;adj_date)+SUMIFS('[1]1_group_total_details'!$K$8:$K$10000,'[1]1_group_total_details'!$C$8:$C$10000,I42,'[1]1_group_total_details'!$F$8:$F$10000,adj_location_group_id,'[1]1_group_total_details'!$G$8:$G$10000,MID(N42,1,3)*1,'[1]1_group_total_details'!$H$8:$H$10000,"&lt;="&amp;adj_date)+SUMIFS('[1]1_group_total_details'!$M$8:$M$10000,'[1]1_group_total_details'!$C$8:$C$10000,I42,'[1]1_group_total_details'!$F$8:$F$10000,adj_location_group_id,'[1]1_group_total_details'!$G$8:$G$10000,MID(N42,1,3)*1,'[1]1_group_total_details'!$H$8:$H$10000,"&lt;="&amp;adj_date)+SUMIFS('[1]1_group_total_details'!$P$8:$P$10000,'[1]1_group_total_details'!$C$8:$C$10000,I42,'[1]1_group_total_details'!$F$8:$F$10000,adj_location_group_id,'[1]1_group_total_details'!$G$8:$G$10000,MID(N42,1,3)*1,'[1]1_group_total_details'!$H$8:$H$10000,"&lt;="&amp;adj_date))))</f>
        <v/>
      </c>
      <c r="R42" s="1187"/>
      <c r="S42" s="1186"/>
      <c r="T42" s="1186"/>
      <c r="U42" s="1184"/>
      <c r="V42" s="270" t="str" cm="1">
        <f t="array" ref="V42">IF(L42="","",IF(M42=AE42,1,Slookup(MID(AE42,1,3)*1,UomConversion!$D$8:$J$500,5,UomConversion!$E$8:$E$500,MID(M42,1,3)*1,UomConversion!$J$8:$J$500,1)))</f>
        <v/>
      </c>
      <c r="W42" s="270" t="str">
        <f t="shared" si="8"/>
        <v/>
      </c>
      <c r="X42" s="1795" t="str">
        <f t="shared" si="9"/>
        <v/>
      </c>
      <c r="Y42" s="1795" t="str">
        <f t="shared" si="10"/>
        <v/>
      </c>
      <c r="Z42" s="270" t="str">
        <f>IF(I42="","",IF(ISNA(MATCH(I42,IF(MID(N42,1,3)*1=1,'[1]1_inventory_totals'!$C$8:$C$10000,IF(MID(N42,1,3)*1=2,'[1]2_inventory_totals'!$C$8:$C$10000,"")),0)),0,IF(AL42&gt;0,1,0)))</f>
        <v/>
      </c>
      <c r="AA42" s="270" t="str">
        <f>IF(L42="","",IF(MID(N42,1,3)*1=1,SUMIFS('[1]1_inventory_total_details'!$J$8:$J$10000,'[1]1_inventory_total_details'!$C$8:$C$10000,I42,'[1]1_inventory_total_details'!$F$8:$F$10000,MID(N42,1,3)*1,'[1]1_inventory_total_details'!$G$8:$G$10000,"="&amp;S42,'[1]1_inventory_total_details'!$H$8:$H$10000,"="&amp;T42,'[1]1_inventory_total_details'!$I$8:$I$10000,"="&amp;adj_date)+SUMIFS('[1]1_inventory_total_details'!$M$8:$M$10000,'[1]1_inventory_total_details'!$C$8:$C$10000,I42,'[1]1_inventory_total_details'!$F$8:$F$10000,MID(N42,1,3)*1,'[1]1_inventory_total_details'!$G$8:$G$10000,"="&amp;S42,'[1]1_inventory_total_details'!$H$8:$H$10000,"="&amp;T42,'[1]1_inventory_total_details'!$I$8:$I$10000,"="&amp;adj_date)+SUMIFS('[1]1_inventory_total_details'!$K$8:$K$10000,'[1]1_inventory_total_details'!$C$8:$C$10000,I42,'[1]1_inventory_total_details'!$F$8:$F$10000,MID(N42,1,3)*1,'[1]1_inventory_total_details'!$G$8:$G$10000,"="&amp;S42,'[1]1_inventory_total_details'!$H$8:$H$10000,"="&amp;T42,'[1]1_inventory_total_details'!$I$8:$I$10000,"="&amp;adj_date)+SUMIFS('[1]1_inventory_total_details'!$L$8:$L$10000,'[1]1_inventory_total_details'!$C$8:$C$10000,I42,'[1]1_inventory_total_details'!$F$8:$F$10000,MID(N42,1,3)*1,'[1]1_inventory_total_details'!$G$8:$G$10000,"="&amp;S42,'[1]1_inventory_total_details'!$H$8:$H$10000,"="&amp;T42,'[1]1_inventory_total_details'!$I$8:$I$10000,"="&amp;adj_date),SUMIFS('[1]2_inventory_total_details'!$J$8:$J$10000,'[1]2_inventory_total_details'!$C$8:$C$10000,I42,'[1]2_inventory_total_details'!$F$8:$F$10000,MID(N42,1,3)*1,'[1]2_inventory_total_details'!$G$8:$G$10000,"="&amp;S42,'[1]2_inventory_total_details'!$H$8:$H$10000,"="&amp;T42,'[1]2_inventory_total_details'!$I$8:$I$10000,"="&amp;adj_date)+SUMIFS('[1]2_inventory_total_details'!$M$8:$M$10000,'[1]1_inventory_total_details'!$C$8:$C$10000,I42,'[1]2_inventory_total_details'!$F$8:$F$10000,MID(N42,1,3)*1,'[1]2_inventory_total_details'!$G$8:$G$10000,"="&amp;S42,'[1]2_inventory_total_details'!$H$8:$H$10000,"="&amp;T42,'[1]2_inventory_total_details'!$I$8:$I$10000,"="&amp;adj_date)+SUMIFS('[1]2_inventory_total_details'!$K$8:$K$10000,'[1]2_inventory_total_details'!$C$8:$C$10000,I42,'[1]2_inventory_total_details'!$F$8:$F$10000,MID(N42,1,3)*1,'[1]2_inventory_total_details'!$G$8:$G$10000,"="&amp;S42,'[1]2_inventory_total_details'!$H$8:$H$10000,"="&amp;T42,'[1]2_inventory_total_details'!$I$8:$I$10000,"="&amp;adj_date)+SUMIFS('[1]2_inventory_total_details'!$L$8:$L$10000,'[1]2_inventory_total_details'!$C$8:$C$10000,I42,'[1]2_inventory_total_details'!$F$8:$F$10000,MID(N42,1,3)*1,'[1]2_inventory_total_details'!$G$8:$G$10000,"="&amp;S42,'[1]2_inventory_total_details'!$H$8:$H$10000,"="&amp;T42,'[1]2_inventory_total_details'!$I$8:$I$10000,"="&amp;adj_date)))</f>
        <v/>
      </c>
      <c r="AB42" s="270" t="str">
        <f>IF(L42="","",IF(MID(N42,1,3)*1=1,SUMIFS('[1]1_inventory_total_details'!$J$8:$J$10000,'[1]1_inventory_total_details'!$C$8:$C$10000,I42,'[1]1_inventory_total_details'!$F$8:$F$10000,MID(N42,1,3)*1,'[1]1_inventory_total_details'!$G$8:$G$10000,"="&amp;S42,'[1]1_inventory_total_details'!$H$8:$H$10000,"="&amp;T42,'[1]1_inventory_total_details'!$I$8:$I$10000,"="&amp;adj_date)+SUMIFS('[1]1_inventory_total_details'!$M$8:$M$10000,'[1]1_inventory_total_details'!$C$8:$C$10000,I42,'[1]1_inventory_total_details'!$F$8:$F$10000,MID(N42,1,3)*1,'[1]1_inventory_total_details'!$G$8:$G$10000,"="&amp;S42,'[1]1_inventory_total_details'!$H$8:$H$10000,"="&amp;T42,'[1]1_inventory_total_details'!$I$8:$I$10000,"="&amp;adj_date)+SUMIFS('[1]1_inventory_total_details'!$K$8:$K$10000,'[1]1_inventory_total_details'!$C$8:$C$10000,I42,'[1]1_inventory_total_details'!$F$8:$F$10000,MID(N42,1,3)*1,'[1]1_inventory_total_details'!$G$8:$G$10000,"="&amp;S42,'[1]1_inventory_total_details'!$H$8:$H$10000,"="&amp;T42,'[1]1_inventory_total_details'!$I$8:$I$10000,"="&amp;adj_date)+SUMIFS('[1]1_inventory_total_details'!$L$8:$L$10000,'[1]1_inventory_total_details'!$C$8:$C$10000,I42,'[1]1_inventory_total_details'!$F$8:$F$10000,MID(N42,1,3)*1,'[1]1_inventory_total_details'!$G$8:$G$10000,"="&amp;S42,'[1]1_inventory_total_details'!$H$8:$H$10000,"="&amp;T42,'[1]1_inventory_total_details'!$I$8:$I$10000,"="&amp;adj_date),SUMIFS('[1]2_inventory_total_details'!$J$8:$J$10000,'[1]2_inventory_total_details'!$C$8:$C$10000,I42,'[1]2_inventory_total_details'!$F$8:$F$10000,MID(N42,1,3)*1,'[1]2_inventory_total_details'!$G$8:$G$10000,"="&amp;S42,'[1]2_inventory_total_details'!$H$8:$H$10000,"="&amp;T42,'[1]2_inventory_total_details'!$I$8:$I$10000,"="&amp;adj_date)+SUMIFS('[1]2_inventory_total_details'!$M$8:$M$10000,'[1]1_inventory_total_details'!$C$8:$C$10000,I42,'[1]2_inventory_total_details'!$F$8:$F$10000,MID(N42,1,3)*1,'[1]2_inventory_total_details'!$G$8:$G$10000,"="&amp;S42,'[1]2_inventory_total_details'!$H$8:$H$10000,"="&amp;T42,'[1]2_inventory_total_details'!$I$8:$I$10000,"="&amp;adj_date)+SUMIFS('[1]2_inventory_total_details'!$K$8:$K$10000,'[1]2_inventory_total_details'!$C$8:$C$10000,I42,'[1]2_inventory_total_details'!$F$8:$F$10000,MID(N42,1,3)*1,'[1]2_inventory_total_details'!$G$8:$G$10000,"="&amp;S42,'[1]2_inventory_total_details'!$H$8:$H$10000,"="&amp;T42,'[1]2_inventory_total_details'!$I$8:$I$10000,"="&amp;adj_date)+SUMIFS('[1]2_inventory_total_details'!$L$8:$L$10000,'[1]2_inventory_total_details'!$C$8:$C$10000,I42,'[1]2_inventory_total_details'!$F$8:$F$10000,MID(N42,1,3)*1,'[1]2_inventory_total_details'!$G$8:$G$10000,"="&amp;S42,'[1]2_inventory_total_details'!$H$8:$H$10000,"="&amp;T42,'[1]2_inventory_total_details'!$I$8:$I$10000,"="&amp;adj_date)))</f>
        <v/>
      </c>
      <c r="AC42" s="270" t="str">
        <f>IF(L42="","",IF(MID(N42,1,3)*1=1,SUMIFS('[1]1_inventory_total_details'!$J$8:$J$10000,'[1]1_inventory_total_details'!$C$8:$C$10000,I42,'[1]1_inventory_total_details'!$F$8:$F$10000,MID(N42,1,3)*1,'[1]1_inventory_total_details'!$G$8:$G$10000,"="&amp;S42,'[1]1_inventory_total_details'!$H$8:$H$10000,"="&amp;T42,'[1]1_inventory_total_details'!$I$8:$I$10000,"="&amp;adj_date)+SUMIFS('[1]1_inventory_total_details'!$M$8:$M$10000,'[1]1_inventory_total_details'!$C$8:$C$10000,I42,'[1]1_inventory_total_details'!$F$8:$F$10000,MID(N42,1,3)*1,'[1]1_inventory_total_details'!$G$8:$G$10000,"="&amp;S42,'[1]1_inventory_total_details'!$H$8:$H$10000,"="&amp;T42,'[1]1_inventory_total_details'!$I$8:$I$10000,"="&amp;adj_date)+SUMIFS('[1]1_inventory_total_details'!$K$8:$K$10000,'[1]1_inventory_total_details'!$C$8:$C$10000,I42,'[1]1_inventory_total_details'!$F$8:$F$10000,MID(N42,1,3)*1,'[1]1_inventory_total_details'!$G$8:$G$10000,"="&amp;S42,'[1]1_inventory_total_details'!$H$8:$H$10000,"="&amp;T42,'[1]1_inventory_total_details'!$I$8:$I$10000,"="&amp;adj_date)+SUMIFS('[1]1_inventory_total_details'!$L$8:$L$10000,'[1]1_inventory_total_details'!$C$8:$C$10000,I42,'[1]1_inventory_total_details'!$F$8:$F$10000,MID(N42,1,3)*1,'[1]1_inventory_total_details'!$G$8:$G$10000,"="&amp;S42,'[1]1_inventory_total_details'!$H$8:$H$10000,"="&amp;T42,'[1]1_inventory_total_details'!$I$8:$I$10000,"="&amp;adj_date),SUMIFS('[1]2_inventory_total_details'!$J$8:$J$10000,'[1]2_inventory_total_details'!$C$8:$C$10000,I42,'[1]2_inventory_total_details'!$F$8:$F$10000,MID(N42,1,3)*1,'[1]2_inventory_total_details'!$G$8:$G$10000,"="&amp;S42,'[1]2_inventory_total_details'!$H$8:$H$10000,"="&amp;T42,'[1]2_inventory_total_details'!$I$8:$I$10000,"="&amp;adj_date)+SUMIFS('[1]2_inventory_total_details'!$M$8:$M$10000,'[1]1_inventory_total_details'!$C$8:$C$10000,I42,'[1]2_inventory_total_details'!$F$8:$F$10000,MID(N42,1,3)*1,'[1]2_inventory_total_details'!$G$8:$G$10000,"="&amp;S42,'[1]2_inventory_total_details'!$H$8:$H$10000,"="&amp;T42,'[1]2_inventory_total_details'!$I$8:$I$10000,"="&amp;adj_date)+SUMIFS('[1]2_inventory_total_details'!$K$8:$K$10000,'[1]2_inventory_total_details'!$C$8:$C$10000,I42,'[1]2_inventory_total_details'!$F$8:$F$10000,MID(N42,1,3)*1,'[1]2_inventory_total_details'!$G$8:$G$10000,"="&amp;S42,'[1]2_inventory_total_details'!$H$8:$H$10000,"="&amp;T42,'[1]2_inventory_total_details'!$I$8:$I$10000,"="&amp;adj_date)+SUMIFS('[1]2_inventory_total_details'!$L$8:$L$10000,'[1]2_inventory_total_details'!$C$8:$C$10000,I42,'[1]2_inventory_total_details'!$F$8:$F$10000,MID(N42,1,3)*1,'[1]2_inventory_total_details'!$G$8:$G$10000,"="&amp;S42,'[1]2_inventory_total_details'!$H$8:$H$10000,"="&amp;T42,'[1]2_inventory_total_details'!$I$8:$I$10000,"="&amp;adj_date)))</f>
        <v/>
      </c>
      <c r="AD42" s="270" t="str">
        <f>IF(L42="","",SUMIFS('[1]1_group_totals'!$J$8:$J$10000,'[1]1_group_totals'!$C$8:$C$10000,I42,'[1]1_group_totals'!$F$8:$F$10000,adj_location_group_id,'[1]1_group_totals'!$G$8:$G$10000,MID(N42,1,3)*1,'[1]1_group_totals'!$H$8:$H$10000,"="&amp;S42,'[1]1_group_totals'!$I$8:$I$10000,"="&amp;T42))</f>
        <v/>
      </c>
      <c r="AE42" s="1796" t="str">
        <f t="shared" si="11"/>
        <v/>
      </c>
      <c r="AF42" s="1797" t="str">
        <f>IF(ISNA(MATCH(MID(AE42,1,3)*1,UomConversion!$D$8:$D$500,0)),"",IF(AJ42&lt;&gt;"",AJ42,""))</f>
        <v/>
      </c>
      <c r="AG42" s="1797" t="str">
        <f>IF(AND(AH42&gt;0,COUNTIFS(UomConversion!$D$8:$D$500,MID(AE42,1,3)*1,UomConversion!$J$8:$J$500,1)&gt;1),TEXT(AH42,"000")&amp;"."&amp;VLOOKUP(AH42,uom_list,5,FALSE),"")</f>
        <v/>
      </c>
      <c r="AH42" s="270" t="str">
        <f t="shared" si="12"/>
        <v/>
      </c>
      <c r="AI42" s="270" t="str">
        <f t="shared" si="13"/>
        <v/>
      </c>
      <c r="AJ42" s="270" t="str">
        <f t="shared" si="14"/>
        <v/>
      </c>
      <c r="AK42" s="270" t="str" cm="1">
        <f t="array" ref="AK42">IF(L42="","",Slookup(MID(AE42,1,3)*1,UomConversion!$D$8:$J$500,2,UomConversion!$I$8:$I$500,1,UomConversion!$J$8:$J$500,1))</f>
        <v/>
      </c>
      <c r="AL42" s="270" t="str">
        <f t="shared" si="15"/>
        <v/>
      </c>
      <c r="AM42" s="270" t="str">
        <f>IF(L42="","",(SUMIFS('[1]1_group_totals'!$K$8:$K$10000,'[1]1_group_totals'!$C$8:$C$10000,I42,'[1]1_group_totals'!$F$8:$F$10000,adj_location_group_id,'[1]1_group_totals'!$G$8:$G$10000,MID(N42,1,3)*1,'[1]1_group_totals'!$H$8:$H$10000,"="&amp;S42,'[1]1_group_totals'!$I$8:$I$10000,"="&amp;T42)+SUMIFS('[1]1_group_totals'!$N$8:$N$10000,'[1]1_group_totals'!$C$8:$C$10000,I42,'[1]1_group_totals'!$F$8:$F$10000,adj_location_group_id,'[1]1_group_totals'!$G$8:$G$10000,MID(N42,1,3)*1,'[1]1_group_totals'!$H$8:$H$10000,"="&amp;S42,'[1]1_group_totals'!$I$8:$I$10000,"="&amp;T42)+SUMIFS('[1]1_group_totals'!$P$8:$P$10000,'[1]1_group_totals'!$C$8:$C$10000,I42,'[1]1_group_totals'!$F$8:$F$10000,adj_location_group_id,'[1]1_group_totals'!$G$8:$G$10000,MID(N42,1,3)*1,'[1]1_group_totals'!$H$8:$H$10000,"="&amp;S42,'[1]1_group_totals'!$I$8:$I$10000,"="&amp;T42)+SUMIFS('[1]1_group_totals'!$Q$8:$Q$10000,'[1]1_group_totals'!$C$8:$C$10000,I42,'[1]1_group_totals'!$F$8:$F$10000,adj_location_group_id,'[1]1_group_totals'!$G$8:$G$10000,MID(N42,1,3)*1,'[1]1_group_totals'!$H$8:$H$10000,"="&amp;S42,'[1]1_group_totals'!$I$8:$I$10000,"="&amp;T42))+(SUMIFS('[1]1_group_totals'!$L$8:$L$10000,'[1]1_group_totals'!$C$8:$C$10000,I42,'[1]1_group_totals'!$F$8:$F$10000,adj_location_group_id,'[1]1_group_totals'!$G$8:$G$10000,MID(N42,1,3)*1,'[1]1_group_totals'!$H$8:$H$10000,"="&amp;S42,'[1]1_group_totals'!$I$8:$I$10000,"="&amp;T42)+SUMIFS('[1]1_group_totals'!$M$8:$M$10000,'[1]1_group_totals'!$C$8:$C$10000,I42,'[1]1_group_totals'!$F$8:$F$10000,adj_location_group_id,'[1]1_group_totals'!$G$8:$G$10000,MID(N42,1,3)*1,'[1]1_group_totals'!$H$8:$H$10000,"="&amp;S42,'[1]1_group_totals'!$I$8:$I$10000,"="&amp;T42)+SUMIFS('[1]1_group_totals'!$O$8:$O$10000,'[1]1_group_totals'!$C$8:$C$10000,I42,'[1]1_group_totals'!$F$8:$F$10000,adj_location_group_id,'[1]1_group_totals'!$G$8:$G$10000,MID(N42,1,3)*1,'[1]1_group_totals'!$H$8:$H$10000,"="&amp;S42,'[1]1_group_totals'!$I$8:$I$10000,"="&amp;T42)+SUMIFS('[1]1_group_totals'!$R$8:$R$10000,'[1]1_group_totals'!$C$8:$C$10000,I42,'[1]1_group_totals'!$F$8:$F$10000,adj_location_group_id,'[1]1_group_totals'!$G$8:$G$10000,MID(N42,1,3)*1,'[1]1_group_totals'!$H$8:$H$10000,"="&amp;S42,'[1]1_group_totals'!$I$8:$I$10000,"="&amp;T42)))</f>
        <v/>
      </c>
      <c r="AN42" s="270" t="str">
        <f>IF(L42="","",(SUMIFS('[1]1_inventory_totals'!$I$8:$I$10000,'[1]1_inventory_totals'!$C$8:$C$10000,I42,'[1]1_inventory_totals'!$F$8:$F$10000,"="&amp;S42,'[1]1_inventory_totals'!$G$8:$G$10000,"="&amp;T42)+SUMIFS('[1]1_inventory_totals'!$N$8:$N$10000,'[1]1_inventory_totals'!$C$8:$C$10000,I42,'[1]1_inventory_totals'!$F$8:$F$10000,"="&amp;S42,'[1]1_inventory_totals'!$G$8:$G$10000,"="&amp;T42)+SUMIFS('[1]1_inventory_totals'!$P$8:$P$10000,'[1]1_inventory_totals'!$C$8:$C$10000,I42,'[1]1_inventory_totals'!$F$8:$F$10000,"="&amp;S42,'[1]1_inventory_totals'!$G$8:$G$10000,"="&amp;T42)+SUMIFS('[1]1_inventory_totals'!$Q$8:$Q$10000,'[1]1_inventory_totals'!$C$8:$C$10000,I42,'[1]1_inventory_totals'!$F$8:$F$10000,"="&amp;S42,'[1]1_inventory_totals'!$G$8:$G$10000,"="&amp;T42)+SUMIFS('[1]1_inventory_totals'!$R$8:$R$10000,'[1]1_inventory_totals'!$C$8:$C$10000,I42,'[1]1_inventory_totals'!$F$8:$F$10000,"="&amp;S42,'[1]1_inventory_totals'!$G$8:$G$10000,"="&amp;T42))+(SUMIFS('[1]1_inventory_totals'!$J$8:$J$10000,'[1]1_inventory_totals'!$C$8:$C$10000,I42,'[1]1_inventory_totals'!$F$8:$F$10000,"="&amp;S42,'[1]1_inventory_totals'!$G$8:$G$10000,"="&amp;T42)+SUMIFS('[1]1_inventory_totals'!$K$8:$K$10000,'[1]1_inventory_totals'!$C$8:$C$10000,I42,'[1]1_inventory_totals'!$F$8:$F$10000,"="&amp;S42,'[1]1_inventory_totals'!$G$8:$G$10000,"="&amp;T42)+SUMIFS('[1]1_inventory_totals'!$L$8:$L$10000,'[1]1_inventory_totals'!$C$8:$C$10000,I42,'[1]1_inventory_totals'!$F$8:$F$10000,"="&amp;S42,'[1]1_inventory_totals'!$G$8:$G$10000,"="&amp;T42)+SUMIFS('[1]1_inventory_totals'!$M$8:$M$10000,'[1]1_inventory_totals'!$C$8:$C$10000,I42,'[1]1_inventory_totals'!$F$8:$F$10000,"="&amp;S42,'[1]1_inventory_totals'!$G$8:$G$10000,"="&amp;T42)+SUMIFS('[1]1_inventory_totals'!$O$8:$O$10000,'[1]1_inventory_totals'!$C$8:$C$10000,I42,'[1]1_inventory_totals'!$F$8:$F$10000,"="&amp;S42,'[1]1_inventory_totals'!$G$8:$G$10000,"="&amp;T42)+SUMIFS('[1]1_inventory_totals'!$S$8:$S$10000,'[1]1_inventory_totals'!$C$8:$C$10000,I42,'[1]1_inventory_totals'!$F$8:$F$10000,"="&amp;S42,'[1]1_inventory_totals'!$G$8:$G$10000,"="&amp;T42)))</f>
        <v/>
      </c>
      <c r="AO42" s="270" t="str">
        <f>IF(L42="","",(SUMIFS('[1]2_inventory_totals'!$I$8:$I$10000,'[1]2_inventory_totals'!$C$8:$C$10000,I42,'[1]2_inventory_totals'!$F$8:$F$10000,"="&amp;S42,'[1]2_inventory_totals'!$G$8:$G$10000,"="&amp;T42)+SUMIFS('[1]2_inventory_totals'!$N$8:$N$10000,'[1]2_inventory_totals'!$C$8:$C$10000,I42,'[1]2_inventory_totals'!$F$8:$F$10000,"="&amp;S42,'[1]2_inventory_totals'!$G$8:$G$10000,"="&amp;T42)+SUMIFS('[1]2_inventory_totals'!$P$8:$P$10000,'[1]2_inventory_totals'!$C$8:$C$10000,I42,'[1]2_inventory_totals'!$F$8:$F$10000,"="&amp;S42,'[1]2_inventory_totals'!$G$8:$G$10000,"="&amp;T42)+SUMIFS('[1]2_inventory_totals'!$Q$8:$Q$10000,'[1]2_inventory_totals'!$C$8:$C$10000,I42,'[1]2_inventory_totals'!$F$8:$F$10000,"="&amp;S42,'[1]2_inventory_totals'!$G$8:$G$10000,"="&amp;T42)+SUMIFS('[1]2_inventory_totals'!$R$8:$R$10000,'[1]2_inventory_totals'!$C$8:$C$10000,I42,'[1]2_inventory_totals'!$F$8:$F$10000,"="&amp;S42,'[1]2_inventory_totals'!$G$8:$G$10000,"="&amp;T42))+(SUMIFS('[1]2_inventory_totals'!$J$8:$J$10000,'[1]2_inventory_totals'!$C$8:$C$10000,I42,'[1]2_inventory_totals'!$F$8:$F$10000,"="&amp;S42,'[1]2_inventory_totals'!$G$8:$G$10000,"="&amp;T42)+SUMIFS('[1]2_inventory_totals'!$K$8:$K$10000,'[1]2_inventory_totals'!$C$8:$C$10000,I42,'[1]2_inventory_totals'!$F$8:$F$10000,"="&amp;S42,'[1]2_inventory_totals'!$G$8:$G$10000,"="&amp;T42)+SUMIFS('[1]2_inventory_totals'!$L$8:$L$10000,'[1]2_inventory_totals'!$C$8:$C$10000,I42,'[1]2_inventory_totals'!$F$8:$F$10000,"="&amp;S42,'[1]2_inventory_totals'!$G$8:$G$10000,"="&amp;T42)+SUMIFS('[1]2_inventory_totals'!$M$8:$M$10000,'[1]2_inventory_totals'!$C$8:$C$10000,I42,'[1]2_inventory_totals'!$F$8:$F$10000,"="&amp;S42,'[1]2_inventory_totals'!$G$8:$G$10000,"="&amp;T42)+SUMIFS('[1]2_inventory_totals'!$O$8:$O$10000,'[1]2_inventory_totals'!$C$8:$C$10000,I42,'[1]2_inventory_totals'!$F$8:$F$10000,"="&amp;S42,'[1]2_inventory_totals'!$G$8:$G$10000,"="&amp;T42)+SUMIFS('[1]2_inventory_totals'!$S$8:$S$10000,'[1]2_inventory_totals'!$C$8:$C$10000,I42,'[1]2_inventory_totals'!$F$8:$F$10000,"="&amp;S42,'[1]2_inventory_totals'!$G$8:$G$10000,"="&amp;T42)))</f>
        <v/>
      </c>
      <c r="AP42" s="954"/>
    </row>
    <row r="43" spans="1:42" ht="27" customHeight="1">
      <c r="A43" s="923"/>
      <c r="B43" s="1172"/>
      <c r="C43" s="950"/>
      <c r="D43" s="950"/>
      <c r="E43" s="950"/>
      <c r="F43" s="1198"/>
      <c r="I43" s="1610" t="str">
        <f t="shared" si="5"/>
        <v/>
      </c>
      <c r="J43" s="270" t="str">
        <f t="shared" si="6"/>
        <v/>
      </c>
      <c r="K43" s="813" t="str">
        <f t="shared" si="16"/>
        <v/>
      </c>
      <c r="L43" s="1184"/>
      <c r="M43" s="1185"/>
      <c r="N43" s="1186"/>
      <c r="O43" s="1534"/>
      <c r="P43" s="336" t="str">
        <f t="shared" si="17"/>
        <v/>
      </c>
      <c r="Q43" s="336" t="str">
        <f>IF(L43="","",IF(AD43=0,0,(SUMIFS('[1]1_group_total_details'!$I$8:$I$10000,'[1]1_group_total_details'!$C$8:$C$10000,I43,'[1]1_group_total_details'!$F$8:$F$10000,adj_location_group_id,'[1]1_group_total_details'!$G$8:$G$10000,MID(N43,1,3)*1,'[1]1_group_total_details'!$H$8:$H$10000,"&lt;="&amp;adj_date)+SUMIFS('[1]1_group_total_details'!$L$8:$L$10000,'[1]1_group_total_details'!$C$8:$C$10000,I43,'[1]1_group_total_details'!$F$8:$F$10000,adj_location_group_id,'[1]1_group_total_details'!$G$8:$G$10000,MID(N43,1,3)*1,'[1]1_group_total_details'!$H$8:$H$10000,"&lt;="&amp;adj_date)+SUMIFS('[1]1_group_total_details'!$N$8:$N$10000,'[1]1_group_total_details'!$C$8:$C$10000,I43,'[1]1_group_total_details'!$F$8:$F$10000,adj_location_group_id,'[1]1_group_total_details'!$G$8:$G$10000,MID(N43,1,3)*1,'[1]1_group_total_details'!$H$8:$H$10000,"&lt;="&amp;adj_date)+SUMIFS('[1]1_group_total_details'!$O$8:$O$10000,'[1]1_group_total_details'!$C$8:$C$10000,I43,'[1]1_group_total_details'!$F$8:$F$10000,adj_location_group_id,'[1]1_group_total_details'!$G$8:$G$10000,MID(N43,1,3)*1,'[1]1_group_total_details'!$H$8:$H$10000,"&lt;="&amp;adj_date))-(SUMIFS('[1]1_group_total_details'!$J$8:$J$10000,'[1]1_group_total_details'!$C$8:$C$10000,I43,'[1]1_group_total_details'!$F$8:$F$10000,adj_location_group_id,'[1]1_group_total_details'!$G$8:$G$10000,MID(N43,1,3)*1,'[1]1_group_total_details'!$H$8:$H$10000,"&lt;="&amp;adj_date)+SUMIFS('[1]1_group_total_details'!$K$8:$K$10000,'[1]1_group_total_details'!$C$8:$C$10000,I43,'[1]1_group_total_details'!$F$8:$F$10000,adj_location_group_id,'[1]1_group_total_details'!$G$8:$G$10000,MID(N43,1,3)*1,'[1]1_group_total_details'!$H$8:$H$10000,"&lt;="&amp;adj_date)+SUMIFS('[1]1_group_total_details'!$M$8:$M$10000,'[1]1_group_total_details'!$C$8:$C$10000,I43,'[1]1_group_total_details'!$F$8:$F$10000,adj_location_group_id,'[1]1_group_total_details'!$G$8:$G$10000,MID(N43,1,3)*1,'[1]1_group_total_details'!$H$8:$H$10000,"&lt;="&amp;adj_date)+SUMIFS('[1]1_group_total_details'!$P$8:$P$10000,'[1]1_group_total_details'!$C$8:$C$10000,I43,'[1]1_group_total_details'!$F$8:$F$10000,adj_location_group_id,'[1]1_group_total_details'!$G$8:$G$10000,MID(N43,1,3)*1,'[1]1_group_total_details'!$H$8:$H$10000,"&lt;="&amp;adj_date))))</f>
        <v/>
      </c>
      <c r="R43" s="1187"/>
      <c r="S43" s="1186"/>
      <c r="T43" s="1186"/>
      <c r="U43" s="1184"/>
      <c r="V43" s="270" t="str" cm="1">
        <f t="array" ref="V43">IF(L43="","",IF(M43=AE43,1,Slookup(MID(AE43,1,3)*1,UomConversion!$D$8:$J$500,5,UomConversion!$E$8:$E$500,MID(M43,1,3)*1,UomConversion!$J$8:$J$500,1)))</f>
        <v/>
      </c>
      <c r="W43" s="270" t="str">
        <f t="shared" si="8"/>
        <v/>
      </c>
      <c r="X43" s="1795" t="str">
        <f t="shared" si="9"/>
        <v/>
      </c>
      <c r="Y43" s="1795" t="str">
        <f t="shared" si="10"/>
        <v/>
      </c>
      <c r="Z43" s="270" t="str">
        <f>IF(I43="","",IF(ISNA(MATCH(I43,IF(MID(N43,1,3)*1=1,'[1]1_inventory_totals'!$C$8:$C$10000,IF(MID(N43,1,3)*1=2,'[1]2_inventory_totals'!$C$8:$C$10000,"")),0)),0,IF(AL43&gt;0,1,0)))</f>
        <v/>
      </c>
      <c r="AA43" s="270" t="str">
        <f>IF(L43="","",IF(MID(N43,1,3)*1=1,SUMIFS('[1]1_inventory_total_details'!$J$8:$J$10000,'[1]1_inventory_total_details'!$C$8:$C$10000,I43,'[1]1_inventory_total_details'!$F$8:$F$10000,MID(N43,1,3)*1,'[1]1_inventory_total_details'!$G$8:$G$10000,"="&amp;S43,'[1]1_inventory_total_details'!$H$8:$H$10000,"="&amp;T43,'[1]1_inventory_total_details'!$I$8:$I$10000,"="&amp;adj_date)+SUMIFS('[1]1_inventory_total_details'!$M$8:$M$10000,'[1]1_inventory_total_details'!$C$8:$C$10000,I43,'[1]1_inventory_total_details'!$F$8:$F$10000,MID(N43,1,3)*1,'[1]1_inventory_total_details'!$G$8:$G$10000,"="&amp;S43,'[1]1_inventory_total_details'!$H$8:$H$10000,"="&amp;T43,'[1]1_inventory_total_details'!$I$8:$I$10000,"="&amp;adj_date)+SUMIFS('[1]1_inventory_total_details'!$K$8:$K$10000,'[1]1_inventory_total_details'!$C$8:$C$10000,I43,'[1]1_inventory_total_details'!$F$8:$F$10000,MID(N43,1,3)*1,'[1]1_inventory_total_details'!$G$8:$G$10000,"="&amp;S43,'[1]1_inventory_total_details'!$H$8:$H$10000,"="&amp;T43,'[1]1_inventory_total_details'!$I$8:$I$10000,"="&amp;adj_date)+SUMIFS('[1]1_inventory_total_details'!$L$8:$L$10000,'[1]1_inventory_total_details'!$C$8:$C$10000,I43,'[1]1_inventory_total_details'!$F$8:$F$10000,MID(N43,1,3)*1,'[1]1_inventory_total_details'!$G$8:$G$10000,"="&amp;S43,'[1]1_inventory_total_details'!$H$8:$H$10000,"="&amp;T43,'[1]1_inventory_total_details'!$I$8:$I$10000,"="&amp;adj_date),SUMIFS('[1]2_inventory_total_details'!$J$8:$J$10000,'[1]2_inventory_total_details'!$C$8:$C$10000,I43,'[1]2_inventory_total_details'!$F$8:$F$10000,MID(N43,1,3)*1,'[1]2_inventory_total_details'!$G$8:$G$10000,"="&amp;S43,'[1]2_inventory_total_details'!$H$8:$H$10000,"="&amp;T43,'[1]2_inventory_total_details'!$I$8:$I$10000,"="&amp;adj_date)+SUMIFS('[1]2_inventory_total_details'!$M$8:$M$10000,'[1]1_inventory_total_details'!$C$8:$C$10000,I43,'[1]2_inventory_total_details'!$F$8:$F$10000,MID(N43,1,3)*1,'[1]2_inventory_total_details'!$G$8:$G$10000,"="&amp;S43,'[1]2_inventory_total_details'!$H$8:$H$10000,"="&amp;T43,'[1]2_inventory_total_details'!$I$8:$I$10000,"="&amp;adj_date)+SUMIFS('[1]2_inventory_total_details'!$K$8:$K$10000,'[1]2_inventory_total_details'!$C$8:$C$10000,I43,'[1]2_inventory_total_details'!$F$8:$F$10000,MID(N43,1,3)*1,'[1]2_inventory_total_details'!$G$8:$G$10000,"="&amp;S43,'[1]2_inventory_total_details'!$H$8:$H$10000,"="&amp;T43,'[1]2_inventory_total_details'!$I$8:$I$10000,"="&amp;adj_date)+SUMIFS('[1]2_inventory_total_details'!$L$8:$L$10000,'[1]2_inventory_total_details'!$C$8:$C$10000,I43,'[1]2_inventory_total_details'!$F$8:$F$10000,MID(N43,1,3)*1,'[1]2_inventory_total_details'!$G$8:$G$10000,"="&amp;S43,'[1]2_inventory_total_details'!$H$8:$H$10000,"="&amp;T43,'[1]2_inventory_total_details'!$I$8:$I$10000,"="&amp;adj_date)))</f>
        <v/>
      </c>
      <c r="AB43" s="270" t="str">
        <f>IF(L43="","",IF(MID(N43,1,3)*1=1,SUMIFS('[1]1_inventory_total_details'!$J$8:$J$10000,'[1]1_inventory_total_details'!$C$8:$C$10000,I43,'[1]1_inventory_total_details'!$F$8:$F$10000,MID(N43,1,3)*1,'[1]1_inventory_total_details'!$G$8:$G$10000,"="&amp;S43,'[1]1_inventory_total_details'!$H$8:$H$10000,"="&amp;T43,'[1]1_inventory_total_details'!$I$8:$I$10000,"="&amp;adj_date)+SUMIFS('[1]1_inventory_total_details'!$M$8:$M$10000,'[1]1_inventory_total_details'!$C$8:$C$10000,I43,'[1]1_inventory_total_details'!$F$8:$F$10000,MID(N43,1,3)*1,'[1]1_inventory_total_details'!$G$8:$G$10000,"="&amp;S43,'[1]1_inventory_total_details'!$H$8:$H$10000,"="&amp;T43,'[1]1_inventory_total_details'!$I$8:$I$10000,"="&amp;adj_date)+SUMIFS('[1]1_inventory_total_details'!$K$8:$K$10000,'[1]1_inventory_total_details'!$C$8:$C$10000,I43,'[1]1_inventory_total_details'!$F$8:$F$10000,MID(N43,1,3)*1,'[1]1_inventory_total_details'!$G$8:$G$10000,"="&amp;S43,'[1]1_inventory_total_details'!$H$8:$H$10000,"="&amp;T43,'[1]1_inventory_total_details'!$I$8:$I$10000,"="&amp;adj_date)+SUMIFS('[1]1_inventory_total_details'!$L$8:$L$10000,'[1]1_inventory_total_details'!$C$8:$C$10000,I43,'[1]1_inventory_total_details'!$F$8:$F$10000,MID(N43,1,3)*1,'[1]1_inventory_total_details'!$G$8:$G$10000,"="&amp;S43,'[1]1_inventory_total_details'!$H$8:$H$10000,"="&amp;T43,'[1]1_inventory_total_details'!$I$8:$I$10000,"="&amp;adj_date),SUMIFS('[1]2_inventory_total_details'!$J$8:$J$10000,'[1]2_inventory_total_details'!$C$8:$C$10000,I43,'[1]2_inventory_total_details'!$F$8:$F$10000,MID(N43,1,3)*1,'[1]2_inventory_total_details'!$G$8:$G$10000,"="&amp;S43,'[1]2_inventory_total_details'!$H$8:$H$10000,"="&amp;T43,'[1]2_inventory_total_details'!$I$8:$I$10000,"="&amp;adj_date)+SUMIFS('[1]2_inventory_total_details'!$M$8:$M$10000,'[1]1_inventory_total_details'!$C$8:$C$10000,I43,'[1]2_inventory_total_details'!$F$8:$F$10000,MID(N43,1,3)*1,'[1]2_inventory_total_details'!$G$8:$G$10000,"="&amp;S43,'[1]2_inventory_total_details'!$H$8:$H$10000,"="&amp;T43,'[1]2_inventory_total_details'!$I$8:$I$10000,"="&amp;adj_date)+SUMIFS('[1]2_inventory_total_details'!$K$8:$K$10000,'[1]2_inventory_total_details'!$C$8:$C$10000,I43,'[1]2_inventory_total_details'!$F$8:$F$10000,MID(N43,1,3)*1,'[1]2_inventory_total_details'!$G$8:$G$10000,"="&amp;S43,'[1]2_inventory_total_details'!$H$8:$H$10000,"="&amp;T43,'[1]2_inventory_total_details'!$I$8:$I$10000,"="&amp;adj_date)+SUMIFS('[1]2_inventory_total_details'!$L$8:$L$10000,'[1]2_inventory_total_details'!$C$8:$C$10000,I43,'[1]2_inventory_total_details'!$F$8:$F$10000,MID(N43,1,3)*1,'[1]2_inventory_total_details'!$G$8:$G$10000,"="&amp;S43,'[1]2_inventory_total_details'!$H$8:$H$10000,"="&amp;T43,'[1]2_inventory_total_details'!$I$8:$I$10000,"="&amp;adj_date)))</f>
        <v/>
      </c>
      <c r="AC43" s="270" t="str">
        <f>IF(L43="","",IF(MID(N43,1,3)*1=1,SUMIFS('[1]1_inventory_total_details'!$J$8:$J$10000,'[1]1_inventory_total_details'!$C$8:$C$10000,I43,'[1]1_inventory_total_details'!$F$8:$F$10000,MID(N43,1,3)*1,'[1]1_inventory_total_details'!$G$8:$G$10000,"="&amp;S43,'[1]1_inventory_total_details'!$H$8:$H$10000,"="&amp;T43,'[1]1_inventory_total_details'!$I$8:$I$10000,"="&amp;adj_date)+SUMIFS('[1]1_inventory_total_details'!$M$8:$M$10000,'[1]1_inventory_total_details'!$C$8:$C$10000,I43,'[1]1_inventory_total_details'!$F$8:$F$10000,MID(N43,1,3)*1,'[1]1_inventory_total_details'!$G$8:$G$10000,"="&amp;S43,'[1]1_inventory_total_details'!$H$8:$H$10000,"="&amp;T43,'[1]1_inventory_total_details'!$I$8:$I$10000,"="&amp;adj_date)+SUMIFS('[1]1_inventory_total_details'!$K$8:$K$10000,'[1]1_inventory_total_details'!$C$8:$C$10000,I43,'[1]1_inventory_total_details'!$F$8:$F$10000,MID(N43,1,3)*1,'[1]1_inventory_total_details'!$G$8:$G$10000,"="&amp;S43,'[1]1_inventory_total_details'!$H$8:$H$10000,"="&amp;T43,'[1]1_inventory_total_details'!$I$8:$I$10000,"="&amp;adj_date)+SUMIFS('[1]1_inventory_total_details'!$L$8:$L$10000,'[1]1_inventory_total_details'!$C$8:$C$10000,I43,'[1]1_inventory_total_details'!$F$8:$F$10000,MID(N43,1,3)*1,'[1]1_inventory_total_details'!$G$8:$G$10000,"="&amp;S43,'[1]1_inventory_total_details'!$H$8:$H$10000,"="&amp;T43,'[1]1_inventory_total_details'!$I$8:$I$10000,"="&amp;adj_date),SUMIFS('[1]2_inventory_total_details'!$J$8:$J$10000,'[1]2_inventory_total_details'!$C$8:$C$10000,I43,'[1]2_inventory_total_details'!$F$8:$F$10000,MID(N43,1,3)*1,'[1]2_inventory_total_details'!$G$8:$G$10000,"="&amp;S43,'[1]2_inventory_total_details'!$H$8:$H$10000,"="&amp;T43,'[1]2_inventory_total_details'!$I$8:$I$10000,"="&amp;adj_date)+SUMIFS('[1]2_inventory_total_details'!$M$8:$M$10000,'[1]1_inventory_total_details'!$C$8:$C$10000,I43,'[1]2_inventory_total_details'!$F$8:$F$10000,MID(N43,1,3)*1,'[1]2_inventory_total_details'!$G$8:$G$10000,"="&amp;S43,'[1]2_inventory_total_details'!$H$8:$H$10000,"="&amp;T43,'[1]2_inventory_total_details'!$I$8:$I$10000,"="&amp;adj_date)+SUMIFS('[1]2_inventory_total_details'!$K$8:$K$10000,'[1]2_inventory_total_details'!$C$8:$C$10000,I43,'[1]2_inventory_total_details'!$F$8:$F$10000,MID(N43,1,3)*1,'[1]2_inventory_total_details'!$G$8:$G$10000,"="&amp;S43,'[1]2_inventory_total_details'!$H$8:$H$10000,"="&amp;T43,'[1]2_inventory_total_details'!$I$8:$I$10000,"="&amp;adj_date)+SUMIFS('[1]2_inventory_total_details'!$L$8:$L$10000,'[1]2_inventory_total_details'!$C$8:$C$10000,I43,'[1]2_inventory_total_details'!$F$8:$F$10000,MID(N43,1,3)*1,'[1]2_inventory_total_details'!$G$8:$G$10000,"="&amp;S43,'[1]2_inventory_total_details'!$H$8:$H$10000,"="&amp;T43,'[1]2_inventory_total_details'!$I$8:$I$10000,"="&amp;adj_date)))</f>
        <v/>
      </c>
      <c r="AD43" s="270" t="str">
        <f>IF(L43="","",SUMIFS('[1]1_group_totals'!$J$8:$J$10000,'[1]1_group_totals'!$C$8:$C$10000,I43,'[1]1_group_totals'!$F$8:$F$10000,adj_location_group_id,'[1]1_group_totals'!$G$8:$G$10000,MID(N43,1,3)*1,'[1]1_group_totals'!$H$8:$H$10000,"="&amp;S43,'[1]1_group_totals'!$I$8:$I$10000,"="&amp;T43))</f>
        <v/>
      </c>
      <c r="AE43" s="1796" t="str">
        <f t="shared" si="11"/>
        <v/>
      </c>
      <c r="AF43" s="1797" t="str">
        <f>IF(ISNA(MATCH(MID(AE43,1,3)*1,UomConversion!$D$8:$D$500,0)),"",IF(AJ43&lt;&gt;"",AJ43,""))</f>
        <v/>
      </c>
      <c r="AG43" s="1797" t="str">
        <f>IF(AND(AH43&gt;0,COUNTIFS(UomConversion!$D$8:$D$500,MID(AE43,1,3)*1,UomConversion!$J$8:$J$500,1)&gt;1),TEXT(AH43,"000")&amp;"."&amp;VLOOKUP(AH43,uom_list,5,FALSE),"")</f>
        <v/>
      </c>
      <c r="AH43" s="270" t="str">
        <f t="shared" si="12"/>
        <v/>
      </c>
      <c r="AI43" s="270" t="str">
        <f t="shared" si="13"/>
        <v/>
      </c>
      <c r="AJ43" s="270" t="str">
        <f t="shared" si="14"/>
        <v/>
      </c>
      <c r="AK43" s="270" t="str" cm="1">
        <f t="array" ref="AK43">IF(L43="","",Slookup(MID(AE43,1,3)*1,UomConversion!$D$8:$J$500,2,UomConversion!$I$8:$I$500,1,UomConversion!$J$8:$J$500,1))</f>
        <v/>
      </c>
      <c r="AL43" s="270" t="str">
        <f t="shared" si="15"/>
        <v/>
      </c>
      <c r="AM43" s="270" t="str">
        <f>IF(L43="","",(SUMIFS('[1]1_group_totals'!$K$8:$K$10000,'[1]1_group_totals'!$C$8:$C$10000,I43,'[1]1_group_totals'!$F$8:$F$10000,adj_location_group_id,'[1]1_group_totals'!$G$8:$G$10000,MID(N43,1,3)*1,'[1]1_group_totals'!$H$8:$H$10000,"="&amp;S43,'[1]1_group_totals'!$I$8:$I$10000,"="&amp;T43)+SUMIFS('[1]1_group_totals'!$N$8:$N$10000,'[1]1_group_totals'!$C$8:$C$10000,I43,'[1]1_group_totals'!$F$8:$F$10000,adj_location_group_id,'[1]1_group_totals'!$G$8:$G$10000,MID(N43,1,3)*1,'[1]1_group_totals'!$H$8:$H$10000,"="&amp;S43,'[1]1_group_totals'!$I$8:$I$10000,"="&amp;T43)+SUMIFS('[1]1_group_totals'!$P$8:$P$10000,'[1]1_group_totals'!$C$8:$C$10000,I43,'[1]1_group_totals'!$F$8:$F$10000,adj_location_group_id,'[1]1_group_totals'!$G$8:$G$10000,MID(N43,1,3)*1,'[1]1_group_totals'!$H$8:$H$10000,"="&amp;S43,'[1]1_group_totals'!$I$8:$I$10000,"="&amp;T43)+SUMIFS('[1]1_group_totals'!$Q$8:$Q$10000,'[1]1_group_totals'!$C$8:$C$10000,I43,'[1]1_group_totals'!$F$8:$F$10000,adj_location_group_id,'[1]1_group_totals'!$G$8:$G$10000,MID(N43,1,3)*1,'[1]1_group_totals'!$H$8:$H$10000,"="&amp;S43,'[1]1_group_totals'!$I$8:$I$10000,"="&amp;T43))+(SUMIFS('[1]1_group_totals'!$L$8:$L$10000,'[1]1_group_totals'!$C$8:$C$10000,I43,'[1]1_group_totals'!$F$8:$F$10000,adj_location_group_id,'[1]1_group_totals'!$G$8:$G$10000,MID(N43,1,3)*1,'[1]1_group_totals'!$H$8:$H$10000,"="&amp;S43,'[1]1_group_totals'!$I$8:$I$10000,"="&amp;T43)+SUMIFS('[1]1_group_totals'!$M$8:$M$10000,'[1]1_group_totals'!$C$8:$C$10000,I43,'[1]1_group_totals'!$F$8:$F$10000,adj_location_group_id,'[1]1_group_totals'!$G$8:$G$10000,MID(N43,1,3)*1,'[1]1_group_totals'!$H$8:$H$10000,"="&amp;S43,'[1]1_group_totals'!$I$8:$I$10000,"="&amp;T43)+SUMIFS('[1]1_group_totals'!$O$8:$O$10000,'[1]1_group_totals'!$C$8:$C$10000,I43,'[1]1_group_totals'!$F$8:$F$10000,adj_location_group_id,'[1]1_group_totals'!$G$8:$G$10000,MID(N43,1,3)*1,'[1]1_group_totals'!$H$8:$H$10000,"="&amp;S43,'[1]1_group_totals'!$I$8:$I$10000,"="&amp;T43)+SUMIFS('[1]1_group_totals'!$R$8:$R$10000,'[1]1_group_totals'!$C$8:$C$10000,I43,'[1]1_group_totals'!$F$8:$F$10000,adj_location_group_id,'[1]1_group_totals'!$G$8:$G$10000,MID(N43,1,3)*1,'[1]1_group_totals'!$H$8:$H$10000,"="&amp;S43,'[1]1_group_totals'!$I$8:$I$10000,"="&amp;T43)))</f>
        <v/>
      </c>
      <c r="AN43" s="270" t="str">
        <f>IF(L43="","",(SUMIFS('[1]1_inventory_totals'!$I$8:$I$10000,'[1]1_inventory_totals'!$C$8:$C$10000,I43,'[1]1_inventory_totals'!$F$8:$F$10000,"="&amp;S43,'[1]1_inventory_totals'!$G$8:$G$10000,"="&amp;T43)+SUMIFS('[1]1_inventory_totals'!$N$8:$N$10000,'[1]1_inventory_totals'!$C$8:$C$10000,I43,'[1]1_inventory_totals'!$F$8:$F$10000,"="&amp;S43,'[1]1_inventory_totals'!$G$8:$G$10000,"="&amp;T43)+SUMIFS('[1]1_inventory_totals'!$P$8:$P$10000,'[1]1_inventory_totals'!$C$8:$C$10000,I43,'[1]1_inventory_totals'!$F$8:$F$10000,"="&amp;S43,'[1]1_inventory_totals'!$G$8:$G$10000,"="&amp;T43)+SUMIFS('[1]1_inventory_totals'!$Q$8:$Q$10000,'[1]1_inventory_totals'!$C$8:$C$10000,I43,'[1]1_inventory_totals'!$F$8:$F$10000,"="&amp;S43,'[1]1_inventory_totals'!$G$8:$G$10000,"="&amp;T43)+SUMIFS('[1]1_inventory_totals'!$R$8:$R$10000,'[1]1_inventory_totals'!$C$8:$C$10000,I43,'[1]1_inventory_totals'!$F$8:$F$10000,"="&amp;S43,'[1]1_inventory_totals'!$G$8:$G$10000,"="&amp;T43))+(SUMIFS('[1]1_inventory_totals'!$J$8:$J$10000,'[1]1_inventory_totals'!$C$8:$C$10000,I43,'[1]1_inventory_totals'!$F$8:$F$10000,"="&amp;S43,'[1]1_inventory_totals'!$G$8:$G$10000,"="&amp;T43)+SUMIFS('[1]1_inventory_totals'!$K$8:$K$10000,'[1]1_inventory_totals'!$C$8:$C$10000,I43,'[1]1_inventory_totals'!$F$8:$F$10000,"="&amp;S43,'[1]1_inventory_totals'!$G$8:$G$10000,"="&amp;T43)+SUMIFS('[1]1_inventory_totals'!$L$8:$L$10000,'[1]1_inventory_totals'!$C$8:$C$10000,I43,'[1]1_inventory_totals'!$F$8:$F$10000,"="&amp;S43,'[1]1_inventory_totals'!$G$8:$G$10000,"="&amp;T43)+SUMIFS('[1]1_inventory_totals'!$M$8:$M$10000,'[1]1_inventory_totals'!$C$8:$C$10000,I43,'[1]1_inventory_totals'!$F$8:$F$10000,"="&amp;S43,'[1]1_inventory_totals'!$G$8:$G$10000,"="&amp;T43)+SUMIFS('[1]1_inventory_totals'!$O$8:$O$10000,'[1]1_inventory_totals'!$C$8:$C$10000,I43,'[1]1_inventory_totals'!$F$8:$F$10000,"="&amp;S43,'[1]1_inventory_totals'!$G$8:$G$10000,"="&amp;T43)+SUMIFS('[1]1_inventory_totals'!$S$8:$S$10000,'[1]1_inventory_totals'!$C$8:$C$10000,I43,'[1]1_inventory_totals'!$F$8:$F$10000,"="&amp;S43,'[1]1_inventory_totals'!$G$8:$G$10000,"="&amp;T43)))</f>
        <v/>
      </c>
      <c r="AO43" s="270" t="str">
        <f>IF(L43="","",(SUMIFS('[1]2_inventory_totals'!$I$8:$I$10000,'[1]2_inventory_totals'!$C$8:$C$10000,I43,'[1]2_inventory_totals'!$F$8:$F$10000,"="&amp;S43,'[1]2_inventory_totals'!$G$8:$G$10000,"="&amp;T43)+SUMIFS('[1]2_inventory_totals'!$N$8:$N$10000,'[1]2_inventory_totals'!$C$8:$C$10000,I43,'[1]2_inventory_totals'!$F$8:$F$10000,"="&amp;S43,'[1]2_inventory_totals'!$G$8:$G$10000,"="&amp;T43)+SUMIFS('[1]2_inventory_totals'!$P$8:$P$10000,'[1]2_inventory_totals'!$C$8:$C$10000,I43,'[1]2_inventory_totals'!$F$8:$F$10000,"="&amp;S43,'[1]2_inventory_totals'!$G$8:$G$10000,"="&amp;T43)+SUMIFS('[1]2_inventory_totals'!$Q$8:$Q$10000,'[1]2_inventory_totals'!$C$8:$C$10000,I43,'[1]2_inventory_totals'!$F$8:$F$10000,"="&amp;S43,'[1]2_inventory_totals'!$G$8:$G$10000,"="&amp;T43)+SUMIFS('[1]2_inventory_totals'!$R$8:$R$10000,'[1]2_inventory_totals'!$C$8:$C$10000,I43,'[1]2_inventory_totals'!$F$8:$F$10000,"="&amp;S43,'[1]2_inventory_totals'!$G$8:$G$10000,"="&amp;T43))+(SUMIFS('[1]2_inventory_totals'!$J$8:$J$10000,'[1]2_inventory_totals'!$C$8:$C$10000,I43,'[1]2_inventory_totals'!$F$8:$F$10000,"="&amp;S43,'[1]2_inventory_totals'!$G$8:$G$10000,"="&amp;T43)+SUMIFS('[1]2_inventory_totals'!$K$8:$K$10000,'[1]2_inventory_totals'!$C$8:$C$10000,I43,'[1]2_inventory_totals'!$F$8:$F$10000,"="&amp;S43,'[1]2_inventory_totals'!$G$8:$G$10000,"="&amp;T43)+SUMIFS('[1]2_inventory_totals'!$L$8:$L$10000,'[1]2_inventory_totals'!$C$8:$C$10000,I43,'[1]2_inventory_totals'!$F$8:$F$10000,"="&amp;S43,'[1]2_inventory_totals'!$G$8:$G$10000,"="&amp;T43)+SUMIFS('[1]2_inventory_totals'!$M$8:$M$10000,'[1]2_inventory_totals'!$C$8:$C$10000,I43,'[1]2_inventory_totals'!$F$8:$F$10000,"="&amp;S43,'[1]2_inventory_totals'!$G$8:$G$10000,"="&amp;T43)+SUMIFS('[1]2_inventory_totals'!$O$8:$O$10000,'[1]2_inventory_totals'!$C$8:$C$10000,I43,'[1]2_inventory_totals'!$F$8:$F$10000,"="&amp;S43,'[1]2_inventory_totals'!$G$8:$G$10000,"="&amp;T43)+SUMIFS('[1]2_inventory_totals'!$S$8:$S$10000,'[1]2_inventory_totals'!$C$8:$C$10000,I43,'[1]2_inventory_totals'!$F$8:$F$10000,"="&amp;S43,'[1]2_inventory_totals'!$G$8:$G$10000,"="&amp;T43)))</f>
        <v/>
      </c>
      <c r="AP43" s="954"/>
    </row>
    <row r="44" spans="1:42" ht="27" customHeight="1">
      <c r="A44" s="923"/>
      <c r="B44" s="1172"/>
      <c r="C44" s="950"/>
      <c r="D44" s="950"/>
      <c r="E44" s="950"/>
      <c r="F44" s="1198"/>
      <c r="I44" s="1610" t="str">
        <f t="shared" si="5"/>
        <v/>
      </c>
      <c r="J44" s="270" t="str">
        <f t="shared" si="6"/>
        <v/>
      </c>
      <c r="K44" s="813" t="str">
        <f t="shared" si="16"/>
        <v/>
      </c>
      <c r="L44" s="1184"/>
      <c r="M44" s="1185"/>
      <c r="N44" s="1186"/>
      <c r="O44" s="1534"/>
      <c r="P44" s="336" t="str">
        <f t="shared" si="17"/>
        <v/>
      </c>
      <c r="Q44" s="336" t="str">
        <f>IF(L44="","",IF(AD44=0,0,(SUMIFS('[1]1_group_total_details'!$I$8:$I$10000,'[1]1_group_total_details'!$C$8:$C$10000,I44,'[1]1_group_total_details'!$F$8:$F$10000,adj_location_group_id,'[1]1_group_total_details'!$G$8:$G$10000,MID(N44,1,3)*1,'[1]1_group_total_details'!$H$8:$H$10000,"&lt;="&amp;adj_date)+SUMIFS('[1]1_group_total_details'!$L$8:$L$10000,'[1]1_group_total_details'!$C$8:$C$10000,I44,'[1]1_group_total_details'!$F$8:$F$10000,adj_location_group_id,'[1]1_group_total_details'!$G$8:$G$10000,MID(N44,1,3)*1,'[1]1_group_total_details'!$H$8:$H$10000,"&lt;="&amp;adj_date)+SUMIFS('[1]1_group_total_details'!$N$8:$N$10000,'[1]1_group_total_details'!$C$8:$C$10000,I44,'[1]1_group_total_details'!$F$8:$F$10000,adj_location_group_id,'[1]1_group_total_details'!$G$8:$G$10000,MID(N44,1,3)*1,'[1]1_group_total_details'!$H$8:$H$10000,"&lt;="&amp;adj_date)+SUMIFS('[1]1_group_total_details'!$O$8:$O$10000,'[1]1_group_total_details'!$C$8:$C$10000,I44,'[1]1_group_total_details'!$F$8:$F$10000,adj_location_group_id,'[1]1_group_total_details'!$G$8:$G$10000,MID(N44,1,3)*1,'[1]1_group_total_details'!$H$8:$H$10000,"&lt;="&amp;adj_date))-(SUMIFS('[1]1_group_total_details'!$J$8:$J$10000,'[1]1_group_total_details'!$C$8:$C$10000,I44,'[1]1_group_total_details'!$F$8:$F$10000,adj_location_group_id,'[1]1_group_total_details'!$G$8:$G$10000,MID(N44,1,3)*1,'[1]1_group_total_details'!$H$8:$H$10000,"&lt;="&amp;adj_date)+SUMIFS('[1]1_group_total_details'!$K$8:$K$10000,'[1]1_group_total_details'!$C$8:$C$10000,I44,'[1]1_group_total_details'!$F$8:$F$10000,adj_location_group_id,'[1]1_group_total_details'!$G$8:$G$10000,MID(N44,1,3)*1,'[1]1_group_total_details'!$H$8:$H$10000,"&lt;="&amp;adj_date)+SUMIFS('[1]1_group_total_details'!$M$8:$M$10000,'[1]1_group_total_details'!$C$8:$C$10000,I44,'[1]1_group_total_details'!$F$8:$F$10000,adj_location_group_id,'[1]1_group_total_details'!$G$8:$G$10000,MID(N44,1,3)*1,'[1]1_group_total_details'!$H$8:$H$10000,"&lt;="&amp;adj_date)+SUMIFS('[1]1_group_total_details'!$P$8:$P$10000,'[1]1_group_total_details'!$C$8:$C$10000,I44,'[1]1_group_total_details'!$F$8:$F$10000,adj_location_group_id,'[1]1_group_total_details'!$G$8:$G$10000,MID(N44,1,3)*1,'[1]1_group_total_details'!$H$8:$H$10000,"&lt;="&amp;adj_date))))</f>
        <v/>
      </c>
      <c r="R44" s="1187"/>
      <c r="S44" s="1186"/>
      <c r="T44" s="1186"/>
      <c r="U44" s="1184"/>
      <c r="V44" s="270" t="str" cm="1">
        <f t="array" ref="V44">IF(L44="","",IF(M44=AE44,1,Slookup(MID(AE44,1,3)*1,UomConversion!$D$8:$J$500,5,UomConversion!$E$8:$E$500,MID(M44,1,3)*1,UomConversion!$J$8:$J$500,1)))</f>
        <v/>
      </c>
      <c r="W44" s="270" t="str">
        <f t="shared" si="8"/>
        <v/>
      </c>
      <c r="X44" s="1795" t="str">
        <f t="shared" si="9"/>
        <v/>
      </c>
      <c r="Y44" s="1795" t="str">
        <f t="shared" si="10"/>
        <v/>
      </c>
      <c r="Z44" s="270" t="str">
        <f>IF(I44="","",IF(ISNA(MATCH(I44,IF(MID(N44,1,3)*1=1,'[1]1_inventory_totals'!$C$8:$C$10000,IF(MID(N44,1,3)*1=2,'[1]2_inventory_totals'!$C$8:$C$10000,"")),0)),0,IF(AL44&gt;0,1,0)))</f>
        <v/>
      </c>
      <c r="AA44" s="270" t="str">
        <f>IF(L44="","",IF(MID(N44,1,3)*1=1,SUMIFS('[1]1_inventory_total_details'!$J$8:$J$10000,'[1]1_inventory_total_details'!$C$8:$C$10000,I44,'[1]1_inventory_total_details'!$F$8:$F$10000,MID(N44,1,3)*1,'[1]1_inventory_total_details'!$G$8:$G$10000,"="&amp;S44,'[1]1_inventory_total_details'!$H$8:$H$10000,"="&amp;T44,'[1]1_inventory_total_details'!$I$8:$I$10000,"="&amp;adj_date)+SUMIFS('[1]1_inventory_total_details'!$M$8:$M$10000,'[1]1_inventory_total_details'!$C$8:$C$10000,I44,'[1]1_inventory_total_details'!$F$8:$F$10000,MID(N44,1,3)*1,'[1]1_inventory_total_details'!$G$8:$G$10000,"="&amp;S44,'[1]1_inventory_total_details'!$H$8:$H$10000,"="&amp;T44,'[1]1_inventory_total_details'!$I$8:$I$10000,"="&amp;adj_date)+SUMIFS('[1]1_inventory_total_details'!$K$8:$K$10000,'[1]1_inventory_total_details'!$C$8:$C$10000,I44,'[1]1_inventory_total_details'!$F$8:$F$10000,MID(N44,1,3)*1,'[1]1_inventory_total_details'!$G$8:$G$10000,"="&amp;S44,'[1]1_inventory_total_details'!$H$8:$H$10000,"="&amp;T44,'[1]1_inventory_total_details'!$I$8:$I$10000,"="&amp;adj_date)+SUMIFS('[1]1_inventory_total_details'!$L$8:$L$10000,'[1]1_inventory_total_details'!$C$8:$C$10000,I44,'[1]1_inventory_total_details'!$F$8:$F$10000,MID(N44,1,3)*1,'[1]1_inventory_total_details'!$G$8:$G$10000,"="&amp;S44,'[1]1_inventory_total_details'!$H$8:$H$10000,"="&amp;T44,'[1]1_inventory_total_details'!$I$8:$I$10000,"="&amp;adj_date),SUMIFS('[1]2_inventory_total_details'!$J$8:$J$10000,'[1]2_inventory_total_details'!$C$8:$C$10000,I44,'[1]2_inventory_total_details'!$F$8:$F$10000,MID(N44,1,3)*1,'[1]2_inventory_total_details'!$G$8:$G$10000,"="&amp;S44,'[1]2_inventory_total_details'!$H$8:$H$10000,"="&amp;T44,'[1]2_inventory_total_details'!$I$8:$I$10000,"="&amp;adj_date)+SUMIFS('[1]2_inventory_total_details'!$M$8:$M$10000,'[1]1_inventory_total_details'!$C$8:$C$10000,I44,'[1]2_inventory_total_details'!$F$8:$F$10000,MID(N44,1,3)*1,'[1]2_inventory_total_details'!$G$8:$G$10000,"="&amp;S44,'[1]2_inventory_total_details'!$H$8:$H$10000,"="&amp;T44,'[1]2_inventory_total_details'!$I$8:$I$10000,"="&amp;adj_date)+SUMIFS('[1]2_inventory_total_details'!$K$8:$K$10000,'[1]2_inventory_total_details'!$C$8:$C$10000,I44,'[1]2_inventory_total_details'!$F$8:$F$10000,MID(N44,1,3)*1,'[1]2_inventory_total_details'!$G$8:$G$10000,"="&amp;S44,'[1]2_inventory_total_details'!$H$8:$H$10000,"="&amp;T44,'[1]2_inventory_total_details'!$I$8:$I$10000,"="&amp;adj_date)+SUMIFS('[1]2_inventory_total_details'!$L$8:$L$10000,'[1]2_inventory_total_details'!$C$8:$C$10000,I44,'[1]2_inventory_total_details'!$F$8:$F$10000,MID(N44,1,3)*1,'[1]2_inventory_total_details'!$G$8:$G$10000,"="&amp;S44,'[1]2_inventory_total_details'!$H$8:$H$10000,"="&amp;T44,'[1]2_inventory_total_details'!$I$8:$I$10000,"="&amp;adj_date)))</f>
        <v/>
      </c>
      <c r="AB44" s="270" t="str">
        <f>IF(L44="","",IF(MID(N44,1,3)*1=1,SUMIFS('[1]1_inventory_total_details'!$J$8:$J$10000,'[1]1_inventory_total_details'!$C$8:$C$10000,I44,'[1]1_inventory_total_details'!$F$8:$F$10000,MID(N44,1,3)*1,'[1]1_inventory_total_details'!$G$8:$G$10000,"="&amp;S44,'[1]1_inventory_total_details'!$H$8:$H$10000,"="&amp;T44,'[1]1_inventory_total_details'!$I$8:$I$10000,"="&amp;adj_date)+SUMIFS('[1]1_inventory_total_details'!$M$8:$M$10000,'[1]1_inventory_total_details'!$C$8:$C$10000,I44,'[1]1_inventory_total_details'!$F$8:$F$10000,MID(N44,1,3)*1,'[1]1_inventory_total_details'!$G$8:$G$10000,"="&amp;S44,'[1]1_inventory_total_details'!$H$8:$H$10000,"="&amp;T44,'[1]1_inventory_total_details'!$I$8:$I$10000,"="&amp;adj_date)+SUMIFS('[1]1_inventory_total_details'!$K$8:$K$10000,'[1]1_inventory_total_details'!$C$8:$C$10000,I44,'[1]1_inventory_total_details'!$F$8:$F$10000,MID(N44,1,3)*1,'[1]1_inventory_total_details'!$G$8:$G$10000,"="&amp;S44,'[1]1_inventory_total_details'!$H$8:$H$10000,"="&amp;T44,'[1]1_inventory_total_details'!$I$8:$I$10000,"="&amp;adj_date)+SUMIFS('[1]1_inventory_total_details'!$L$8:$L$10000,'[1]1_inventory_total_details'!$C$8:$C$10000,I44,'[1]1_inventory_total_details'!$F$8:$F$10000,MID(N44,1,3)*1,'[1]1_inventory_total_details'!$G$8:$G$10000,"="&amp;S44,'[1]1_inventory_total_details'!$H$8:$H$10000,"="&amp;T44,'[1]1_inventory_total_details'!$I$8:$I$10000,"="&amp;adj_date),SUMIFS('[1]2_inventory_total_details'!$J$8:$J$10000,'[1]2_inventory_total_details'!$C$8:$C$10000,I44,'[1]2_inventory_total_details'!$F$8:$F$10000,MID(N44,1,3)*1,'[1]2_inventory_total_details'!$G$8:$G$10000,"="&amp;S44,'[1]2_inventory_total_details'!$H$8:$H$10000,"="&amp;T44,'[1]2_inventory_total_details'!$I$8:$I$10000,"="&amp;adj_date)+SUMIFS('[1]2_inventory_total_details'!$M$8:$M$10000,'[1]1_inventory_total_details'!$C$8:$C$10000,I44,'[1]2_inventory_total_details'!$F$8:$F$10000,MID(N44,1,3)*1,'[1]2_inventory_total_details'!$G$8:$G$10000,"="&amp;S44,'[1]2_inventory_total_details'!$H$8:$H$10000,"="&amp;T44,'[1]2_inventory_total_details'!$I$8:$I$10000,"="&amp;adj_date)+SUMIFS('[1]2_inventory_total_details'!$K$8:$K$10000,'[1]2_inventory_total_details'!$C$8:$C$10000,I44,'[1]2_inventory_total_details'!$F$8:$F$10000,MID(N44,1,3)*1,'[1]2_inventory_total_details'!$G$8:$G$10000,"="&amp;S44,'[1]2_inventory_total_details'!$H$8:$H$10000,"="&amp;T44,'[1]2_inventory_total_details'!$I$8:$I$10000,"="&amp;adj_date)+SUMIFS('[1]2_inventory_total_details'!$L$8:$L$10000,'[1]2_inventory_total_details'!$C$8:$C$10000,I44,'[1]2_inventory_total_details'!$F$8:$F$10000,MID(N44,1,3)*1,'[1]2_inventory_total_details'!$G$8:$G$10000,"="&amp;S44,'[1]2_inventory_total_details'!$H$8:$H$10000,"="&amp;T44,'[1]2_inventory_total_details'!$I$8:$I$10000,"="&amp;adj_date)))</f>
        <v/>
      </c>
      <c r="AC44" s="270" t="str">
        <f>IF(L44="","",IF(MID(N44,1,3)*1=1,SUMIFS('[1]1_inventory_total_details'!$J$8:$J$10000,'[1]1_inventory_total_details'!$C$8:$C$10000,I44,'[1]1_inventory_total_details'!$F$8:$F$10000,MID(N44,1,3)*1,'[1]1_inventory_total_details'!$G$8:$G$10000,"="&amp;S44,'[1]1_inventory_total_details'!$H$8:$H$10000,"="&amp;T44,'[1]1_inventory_total_details'!$I$8:$I$10000,"="&amp;adj_date)+SUMIFS('[1]1_inventory_total_details'!$M$8:$M$10000,'[1]1_inventory_total_details'!$C$8:$C$10000,I44,'[1]1_inventory_total_details'!$F$8:$F$10000,MID(N44,1,3)*1,'[1]1_inventory_total_details'!$G$8:$G$10000,"="&amp;S44,'[1]1_inventory_total_details'!$H$8:$H$10000,"="&amp;T44,'[1]1_inventory_total_details'!$I$8:$I$10000,"="&amp;adj_date)+SUMIFS('[1]1_inventory_total_details'!$K$8:$K$10000,'[1]1_inventory_total_details'!$C$8:$C$10000,I44,'[1]1_inventory_total_details'!$F$8:$F$10000,MID(N44,1,3)*1,'[1]1_inventory_total_details'!$G$8:$G$10000,"="&amp;S44,'[1]1_inventory_total_details'!$H$8:$H$10000,"="&amp;T44,'[1]1_inventory_total_details'!$I$8:$I$10000,"="&amp;adj_date)+SUMIFS('[1]1_inventory_total_details'!$L$8:$L$10000,'[1]1_inventory_total_details'!$C$8:$C$10000,I44,'[1]1_inventory_total_details'!$F$8:$F$10000,MID(N44,1,3)*1,'[1]1_inventory_total_details'!$G$8:$G$10000,"="&amp;S44,'[1]1_inventory_total_details'!$H$8:$H$10000,"="&amp;T44,'[1]1_inventory_total_details'!$I$8:$I$10000,"="&amp;adj_date),SUMIFS('[1]2_inventory_total_details'!$J$8:$J$10000,'[1]2_inventory_total_details'!$C$8:$C$10000,I44,'[1]2_inventory_total_details'!$F$8:$F$10000,MID(N44,1,3)*1,'[1]2_inventory_total_details'!$G$8:$G$10000,"="&amp;S44,'[1]2_inventory_total_details'!$H$8:$H$10000,"="&amp;T44,'[1]2_inventory_total_details'!$I$8:$I$10000,"="&amp;adj_date)+SUMIFS('[1]2_inventory_total_details'!$M$8:$M$10000,'[1]1_inventory_total_details'!$C$8:$C$10000,I44,'[1]2_inventory_total_details'!$F$8:$F$10000,MID(N44,1,3)*1,'[1]2_inventory_total_details'!$G$8:$G$10000,"="&amp;S44,'[1]2_inventory_total_details'!$H$8:$H$10000,"="&amp;T44,'[1]2_inventory_total_details'!$I$8:$I$10000,"="&amp;adj_date)+SUMIFS('[1]2_inventory_total_details'!$K$8:$K$10000,'[1]2_inventory_total_details'!$C$8:$C$10000,I44,'[1]2_inventory_total_details'!$F$8:$F$10000,MID(N44,1,3)*1,'[1]2_inventory_total_details'!$G$8:$G$10000,"="&amp;S44,'[1]2_inventory_total_details'!$H$8:$H$10000,"="&amp;T44,'[1]2_inventory_total_details'!$I$8:$I$10000,"="&amp;adj_date)+SUMIFS('[1]2_inventory_total_details'!$L$8:$L$10000,'[1]2_inventory_total_details'!$C$8:$C$10000,I44,'[1]2_inventory_total_details'!$F$8:$F$10000,MID(N44,1,3)*1,'[1]2_inventory_total_details'!$G$8:$G$10000,"="&amp;S44,'[1]2_inventory_total_details'!$H$8:$H$10000,"="&amp;T44,'[1]2_inventory_total_details'!$I$8:$I$10000,"="&amp;adj_date)))</f>
        <v/>
      </c>
      <c r="AD44" s="270" t="str">
        <f>IF(L44="","",SUMIFS('[1]1_group_totals'!$J$8:$J$10000,'[1]1_group_totals'!$C$8:$C$10000,I44,'[1]1_group_totals'!$F$8:$F$10000,adj_location_group_id,'[1]1_group_totals'!$G$8:$G$10000,MID(N44,1,3)*1,'[1]1_group_totals'!$H$8:$H$10000,"="&amp;S44,'[1]1_group_totals'!$I$8:$I$10000,"="&amp;T44))</f>
        <v/>
      </c>
      <c r="AE44" s="1796" t="str">
        <f t="shared" si="11"/>
        <v/>
      </c>
      <c r="AF44" s="1797" t="str">
        <f>IF(ISNA(MATCH(MID(AE44,1,3)*1,UomConversion!$D$8:$D$500,0)),"",IF(AJ44&lt;&gt;"",AJ44,""))</f>
        <v/>
      </c>
      <c r="AG44" s="1797" t="str">
        <f>IF(AND(AH44&gt;0,COUNTIFS(UomConversion!$D$8:$D$500,MID(AE44,1,3)*1,UomConversion!$J$8:$J$500,1)&gt;1),TEXT(AH44,"000")&amp;"."&amp;VLOOKUP(AH44,uom_list,5,FALSE),"")</f>
        <v/>
      </c>
      <c r="AH44" s="270" t="str">
        <f t="shared" si="12"/>
        <v/>
      </c>
      <c r="AI44" s="270" t="str">
        <f t="shared" si="13"/>
        <v/>
      </c>
      <c r="AJ44" s="270" t="str">
        <f t="shared" si="14"/>
        <v/>
      </c>
      <c r="AK44" s="270" t="str" cm="1">
        <f t="array" ref="AK44">IF(L44="","",Slookup(MID(AE44,1,3)*1,UomConversion!$D$8:$J$500,2,UomConversion!$I$8:$I$500,1,UomConversion!$J$8:$J$500,1))</f>
        <v/>
      </c>
      <c r="AL44" s="270" t="str">
        <f t="shared" si="15"/>
        <v/>
      </c>
      <c r="AM44" s="270" t="str">
        <f>IF(L44="","",(SUMIFS('[1]1_group_totals'!$K$8:$K$10000,'[1]1_group_totals'!$C$8:$C$10000,I44,'[1]1_group_totals'!$F$8:$F$10000,adj_location_group_id,'[1]1_group_totals'!$G$8:$G$10000,MID(N44,1,3)*1,'[1]1_group_totals'!$H$8:$H$10000,"="&amp;S44,'[1]1_group_totals'!$I$8:$I$10000,"="&amp;T44)+SUMIFS('[1]1_group_totals'!$N$8:$N$10000,'[1]1_group_totals'!$C$8:$C$10000,I44,'[1]1_group_totals'!$F$8:$F$10000,adj_location_group_id,'[1]1_group_totals'!$G$8:$G$10000,MID(N44,1,3)*1,'[1]1_group_totals'!$H$8:$H$10000,"="&amp;S44,'[1]1_group_totals'!$I$8:$I$10000,"="&amp;T44)+SUMIFS('[1]1_group_totals'!$P$8:$P$10000,'[1]1_group_totals'!$C$8:$C$10000,I44,'[1]1_group_totals'!$F$8:$F$10000,adj_location_group_id,'[1]1_group_totals'!$G$8:$G$10000,MID(N44,1,3)*1,'[1]1_group_totals'!$H$8:$H$10000,"="&amp;S44,'[1]1_group_totals'!$I$8:$I$10000,"="&amp;T44)+SUMIFS('[1]1_group_totals'!$Q$8:$Q$10000,'[1]1_group_totals'!$C$8:$C$10000,I44,'[1]1_group_totals'!$F$8:$F$10000,adj_location_group_id,'[1]1_group_totals'!$G$8:$G$10000,MID(N44,1,3)*1,'[1]1_group_totals'!$H$8:$H$10000,"="&amp;S44,'[1]1_group_totals'!$I$8:$I$10000,"="&amp;T44))+(SUMIFS('[1]1_group_totals'!$L$8:$L$10000,'[1]1_group_totals'!$C$8:$C$10000,I44,'[1]1_group_totals'!$F$8:$F$10000,adj_location_group_id,'[1]1_group_totals'!$G$8:$G$10000,MID(N44,1,3)*1,'[1]1_group_totals'!$H$8:$H$10000,"="&amp;S44,'[1]1_group_totals'!$I$8:$I$10000,"="&amp;T44)+SUMIFS('[1]1_group_totals'!$M$8:$M$10000,'[1]1_group_totals'!$C$8:$C$10000,I44,'[1]1_group_totals'!$F$8:$F$10000,adj_location_group_id,'[1]1_group_totals'!$G$8:$G$10000,MID(N44,1,3)*1,'[1]1_group_totals'!$H$8:$H$10000,"="&amp;S44,'[1]1_group_totals'!$I$8:$I$10000,"="&amp;T44)+SUMIFS('[1]1_group_totals'!$O$8:$O$10000,'[1]1_group_totals'!$C$8:$C$10000,I44,'[1]1_group_totals'!$F$8:$F$10000,adj_location_group_id,'[1]1_group_totals'!$G$8:$G$10000,MID(N44,1,3)*1,'[1]1_group_totals'!$H$8:$H$10000,"="&amp;S44,'[1]1_group_totals'!$I$8:$I$10000,"="&amp;T44)+SUMIFS('[1]1_group_totals'!$R$8:$R$10000,'[1]1_group_totals'!$C$8:$C$10000,I44,'[1]1_group_totals'!$F$8:$F$10000,adj_location_group_id,'[1]1_group_totals'!$G$8:$G$10000,MID(N44,1,3)*1,'[1]1_group_totals'!$H$8:$H$10000,"="&amp;S44,'[1]1_group_totals'!$I$8:$I$10000,"="&amp;T44)))</f>
        <v/>
      </c>
      <c r="AN44" s="270" t="str">
        <f>IF(L44="","",(SUMIFS('[1]1_inventory_totals'!$I$8:$I$10000,'[1]1_inventory_totals'!$C$8:$C$10000,I44,'[1]1_inventory_totals'!$F$8:$F$10000,"="&amp;S44,'[1]1_inventory_totals'!$G$8:$G$10000,"="&amp;T44)+SUMIFS('[1]1_inventory_totals'!$N$8:$N$10000,'[1]1_inventory_totals'!$C$8:$C$10000,I44,'[1]1_inventory_totals'!$F$8:$F$10000,"="&amp;S44,'[1]1_inventory_totals'!$G$8:$G$10000,"="&amp;T44)+SUMIFS('[1]1_inventory_totals'!$P$8:$P$10000,'[1]1_inventory_totals'!$C$8:$C$10000,I44,'[1]1_inventory_totals'!$F$8:$F$10000,"="&amp;S44,'[1]1_inventory_totals'!$G$8:$G$10000,"="&amp;T44)+SUMIFS('[1]1_inventory_totals'!$Q$8:$Q$10000,'[1]1_inventory_totals'!$C$8:$C$10000,I44,'[1]1_inventory_totals'!$F$8:$F$10000,"="&amp;S44,'[1]1_inventory_totals'!$G$8:$G$10000,"="&amp;T44)+SUMIFS('[1]1_inventory_totals'!$R$8:$R$10000,'[1]1_inventory_totals'!$C$8:$C$10000,I44,'[1]1_inventory_totals'!$F$8:$F$10000,"="&amp;S44,'[1]1_inventory_totals'!$G$8:$G$10000,"="&amp;T44))+(SUMIFS('[1]1_inventory_totals'!$J$8:$J$10000,'[1]1_inventory_totals'!$C$8:$C$10000,I44,'[1]1_inventory_totals'!$F$8:$F$10000,"="&amp;S44,'[1]1_inventory_totals'!$G$8:$G$10000,"="&amp;T44)+SUMIFS('[1]1_inventory_totals'!$K$8:$K$10000,'[1]1_inventory_totals'!$C$8:$C$10000,I44,'[1]1_inventory_totals'!$F$8:$F$10000,"="&amp;S44,'[1]1_inventory_totals'!$G$8:$G$10000,"="&amp;T44)+SUMIFS('[1]1_inventory_totals'!$L$8:$L$10000,'[1]1_inventory_totals'!$C$8:$C$10000,I44,'[1]1_inventory_totals'!$F$8:$F$10000,"="&amp;S44,'[1]1_inventory_totals'!$G$8:$G$10000,"="&amp;T44)+SUMIFS('[1]1_inventory_totals'!$M$8:$M$10000,'[1]1_inventory_totals'!$C$8:$C$10000,I44,'[1]1_inventory_totals'!$F$8:$F$10000,"="&amp;S44,'[1]1_inventory_totals'!$G$8:$G$10000,"="&amp;T44)+SUMIFS('[1]1_inventory_totals'!$O$8:$O$10000,'[1]1_inventory_totals'!$C$8:$C$10000,I44,'[1]1_inventory_totals'!$F$8:$F$10000,"="&amp;S44,'[1]1_inventory_totals'!$G$8:$G$10000,"="&amp;T44)+SUMIFS('[1]1_inventory_totals'!$S$8:$S$10000,'[1]1_inventory_totals'!$C$8:$C$10000,I44,'[1]1_inventory_totals'!$F$8:$F$10000,"="&amp;S44,'[1]1_inventory_totals'!$G$8:$G$10000,"="&amp;T44)))</f>
        <v/>
      </c>
      <c r="AO44" s="270" t="str">
        <f>IF(L44="","",(SUMIFS('[1]2_inventory_totals'!$I$8:$I$10000,'[1]2_inventory_totals'!$C$8:$C$10000,I44,'[1]2_inventory_totals'!$F$8:$F$10000,"="&amp;S44,'[1]2_inventory_totals'!$G$8:$G$10000,"="&amp;T44)+SUMIFS('[1]2_inventory_totals'!$N$8:$N$10000,'[1]2_inventory_totals'!$C$8:$C$10000,I44,'[1]2_inventory_totals'!$F$8:$F$10000,"="&amp;S44,'[1]2_inventory_totals'!$G$8:$G$10000,"="&amp;T44)+SUMIFS('[1]2_inventory_totals'!$P$8:$P$10000,'[1]2_inventory_totals'!$C$8:$C$10000,I44,'[1]2_inventory_totals'!$F$8:$F$10000,"="&amp;S44,'[1]2_inventory_totals'!$G$8:$G$10000,"="&amp;T44)+SUMIFS('[1]2_inventory_totals'!$Q$8:$Q$10000,'[1]2_inventory_totals'!$C$8:$C$10000,I44,'[1]2_inventory_totals'!$F$8:$F$10000,"="&amp;S44,'[1]2_inventory_totals'!$G$8:$G$10000,"="&amp;T44)+SUMIFS('[1]2_inventory_totals'!$R$8:$R$10000,'[1]2_inventory_totals'!$C$8:$C$10000,I44,'[1]2_inventory_totals'!$F$8:$F$10000,"="&amp;S44,'[1]2_inventory_totals'!$G$8:$G$10000,"="&amp;T44))+(SUMIFS('[1]2_inventory_totals'!$J$8:$J$10000,'[1]2_inventory_totals'!$C$8:$C$10000,I44,'[1]2_inventory_totals'!$F$8:$F$10000,"="&amp;S44,'[1]2_inventory_totals'!$G$8:$G$10000,"="&amp;T44)+SUMIFS('[1]2_inventory_totals'!$K$8:$K$10000,'[1]2_inventory_totals'!$C$8:$C$10000,I44,'[1]2_inventory_totals'!$F$8:$F$10000,"="&amp;S44,'[1]2_inventory_totals'!$G$8:$G$10000,"="&amp;T44)+SUMIFS('[1]2_inventory_totals'!$L$8:$L$10000,'[1]2_inventory_totals'!$C$8:$C$10000,I44,'[1]2_inventory_totals'!$F$8:$F$10000,"="&amp;S44,'[1]2_inventory_totals'!$G$8:$G$10000,"="&amp;T44)+SUMIFS('[1]2_inventory_totals'!$M$8:$M$10000,'[1]2_inventory_totals'!$C$8:$C$10000,I44,'[1]2_inventory_totals'!$F$8:$F$10000,"="&amp;S44,'[1]2_inventory_totals'!$G$8:$G$10000,"="&amp;T44)+SUMIFS('[1]2_inventory_totals'!$O$8:$O$10000,'[1]2_inventory_totals'!$C$8:$C$10000,I44,'[1]2_inventory_totals'!$F$8:$F$10000,"="&amp;S44,'[1]2_inventory_totals'!$G$8:$G$10000,"="&amp;T44)+SUMIFS('[1]2_inventory_totals'!$S$8:$S$10000,'[1]2_inventory_totals'!$C$8:$C$10000,I44,'[1]2_inventory_totals'!$F$8:$F$10000,"="&amp;S44,'[1]2_inventory_totals'!$G$8:$G$10000,"="&amp;T44)))</f>
        <v/>
      </c>
      <c r="AP44" s="954"/>
    </row>
    <row r="45" spans="1:42" ht="27" customHeight="1">
      <c r="A45" s="923"/>
      <c r="B45" s="1172"/>
      <c r="C45" s="950"/>
      <c r="D45" s="950"/>
      <c r="E45" s="950"/>
      <c r="F45" s="1198"/>
      <c r="I45" s="1610" t="str">
        <f t="shared" si="5"/>
        <v/>
      </c>
      <c r="J45" s="270" t="str">
        <f t="shared" si="6"/>
        <v/>
      </c>
      <c r="K45" s="813" t="str">
        <f t="shared" si="16"/>
        <v/>
      </c>
      <c r="L45" s="1184"/>
      <c r="M45" s="1185"/>
      <c r="N45" s="1186"/>
      <c r="O45" s="1534"/>
      <c r="P45" s="336" t="str">
        <f t="shared" si="17"/>
        <v/>
      </c>
      <c r="Q45" s="336" t="str">
        <f>IF(L45="","",IF(AD45=0,0,(SUMIFS('[1]1_group_total_details'!$I$8:$I$10000,'[1]1_group_total_details'!$C$8:$C$10000,I45,'[1]1_group_total_details'!$F$8:$F$10000,adj_location_group_id,'[1]1_group_total_details'!$G$8:$G$10000,MID(N45,1,3)*1,'[1]1_group_total_details'!$H$8:$H$10000,"&lt;="&amp;adj_date)+SUMIFS('[1]1_group_total_details'!$L$8:$L$10000,'[1]1_group_total_details'!$C$8:$C$10000,I45,'[1]1_group_total_details'!$F$8:$F$10000,adj_location_group_id,'[1]1_group_total_details'!$G$8:$G$10000,MID(N45,1,3)*1,'[1]1_group_total_details'!$H$8:$H$10000,"&lt;="&amp;adj_date)+SUMIFS('[1]1_group_total_details'!$N$8:$N$10000,'[1]1_group_total_details'!$C$8:$C$10000,I45,'[1]1_group_total_details'!$F$8:$F$10000,adj_location_group_id,'[1]1_group_total_details'!$G$8:$G$10000,MID(N45,1,3)*1,'[1]1_group_total_details'!$H$8:$H$10000,"&lt;="&amp;adj_date)+SUMIFS('[1]1_group_total_details'!$O$8:$O$10000,'[1]1_group_total_details'!$C$8:$C$10000,I45,'[1]1_group_total_details'!$F$8:$F$10000,adj_location_group_id,'[1]1_group_total_details'!$G$8:$G$10000,MID(N45,1,3)*1,'[1]1_group_total_details'!$H$8:$H$10000,"&lt;="&amp;adj_date))-(SUMIFS('[1]1_group_total_details'!$J$8:$J$10000,'[1]1_group_total_details'!$C$8:$C$10000,I45,'[1]1_group_total_details'!$F$8:$F$10000,adj_location_group_id,'[1]1_group_total_details'!$G$8:$G$10000,MID(N45,1,3)*1,'[1]1_group_total_details'!$H$8:$H$10000,"&lt;="&amp;adj_date)+SUMIFS('[1]1_group_total_details'!$K$8:$K$10000,'[1]1_group_total_details'!$C$8:$C$10000,I45,'[1]1_group_total_details'!$F$8:$F$10000,adj_location_group_id,'[1]1_group_total_details'!$G$8:$G$10000,MID(N45,1,3)*1,'[1]1_group_total_details'!$H$8:$H$10000,"&lt;="&amp;adj_date)+SUMIFS('[1]1_group_total_details'!$M$8:$M$10000,'[1]1_group_total_details'!$C$8:$C$10000,I45,'[1]1_group_total_details'!$F$8:$F$10000,adj_location_group_id,'[1]1_group_total_details'!$G$8:$G$10000,MID(N45,1,3)*1,'[1]1_group_total_details'!$H$8:$H$10000,"&lt;="&amp;adj_date)+SUMIFS('[1]1_group_total_details'!$P$8:$P$10000,'[1]1_group_total_details'!$C$8:$C$10000,I45,'[1]1_group_total_details'!$F$8:$F$10000,adj_location_group_id,'[1]1_group_total_details'!$G$8:$G$10000,MID(N45,1,3)*1,'[1]1_group_total_details'!$H$8:$H$10000,"&lt;="&amp;adj_date))))</f>
        <v/>
      </c>
      <c r="R45" s="1187"/>
      <c r="S45" s="1186"/>
      <c r="T45" s="1186"/>
      <c r="U45" s="1184"/>
      <c r="V45" s="270" t="str" cm="1">
        <f t="array" ref="V45">IF(L45="","",IF(M45=AE45,1,Slookup(MID(AE45,1,3)*1,UomConversion!$D$8:$J$500,5,UomConversion!$E$8:$E$500,MID(M45,1,3)*1,UomConversion!$J$8:$J$500,1)))</f>
        <v/>
      </c>
      <c r="W45" s="270" t="str">
        <f t="shared" si="8"/>
        <v/>
      </c>
      <c r="X45" s="1795" t="str">
        <f t="shared" si="9"/>
        <v/>
      </c>
      <c r="Y45" s="1795" t="str">
        <f t="shared" si="10"/>
        <v/>
      </c>
      <c r="Z45" s="270" t="str">
        <f>IF(I45="","",IF(ISNA(MATCH(I45,IF(MID(N45,1,3)*1=1,'[1]1_inventory_totals'!$C$8:$C$10000,IF(MID(N45,1,3)*1=2,'[1]2_inventory_totals'!$C$8:$C$10000,"")),0)),0,IF(AL45&gt;0,1,0)))</f>
        <v/>
      </c>
      <c r="AA45" s="270" t="str">
        <f>IF(L45="","",IF(MID(N45,1,3)*1=1,SUMIFS('[1]1_inventory_total_details'!$J$8:$J$10000,'[1]1_inventory_total_details'!$C$8:$C$10000,I45,'[1]1_inventory_total_details'!$F$8:$F$10000,MID(N45,1,3)*1,'[1]1_inventory_total_details'!$G$8:$G$10000,"="&amp;S45,'[1]1_inventory_total_details'!$H$8:$H$10000,"="&amp;T45,'[1]1_inventory_total_details'!$I$8:$I$10000,"="&amp;adj_date)+SUMIFS('[1]1_inventory_total_details'!$M$8:$M$10000,'[1]1_inventory_total_details'!$C$8:$C$10000,I45,'[1]1_inventory_total_details'!$F$8:$F$10000,MID(N45,1,3)*1,'[1]1_inventory_total_details'!$G$8:$G$10000,"="&amp;S45,'[1]1_inventory_total_details'!$H$8:$H$10000,"="&amp;T45,'[1]1_inventory_total_details'!$I$8:$I$10000,"="&amp;adj_date)+SUMIFS('[1]1_inventory_total_details'!$K$8:$K$10000,'[1]1_inventory_total_details'!$C$8:$C$10000,I45,'[1]1_inventory_total_details'!$F$8:$F$10000,MID(N45,1,3)*1,'[1]1_inventory_total_details'!$G$8:$G$10000,"="&amp;S45,'[1]1_inventory_total_details'!$H$8:$H$10000,"="&amp;T45,'[1]1_inventory_total_details'!$I$8:$I$10000,"="&amp;adj_date)+SUMIFS('[1]1_inventory_total_details'!$L$8:$L$10000,'[1]1_inventory_total_details'!$C$8:$C$10000,I45,'[1]1_inventory_total_details'!$F$8:$F$10000,MID(N45,1,3)*1,'[1]1_inventory_total_details'!$G$8:$G$10000,"="&amp;S45,'[1]1_inventory_total_details'!$H$8:$H$10000,"="&amp;T45,'[1]1_inventory_total_details'!$I$8:$I$10000,"="&amp;adj_date),SUMIFS('[1]2_inventory_total_details'!$J$8:$J$10000,'[1]2_inventory_total_details'!$C$8:$C$10000,I45,'[1]2_inventory_total_details'!$F$8:$F$10000,MID(N45,1,3)*1,'[1]2_inventory_total_details'!$G$8:$G$10000,"="&amp;S45,'[1]2_inventory_total_details'!$H$8:$H$10000,"="&amp;T45,'[1]2_inventory_total_details'!$I$8:$I$10000,"="&amp;adj_date)+SUMIFS('[1]2_inventory_total_details'!$M$8:$M$10000,'[1]1_inventory_total_details'!$C$8:$C$10000,I45,'[1]2_inventory_total_details'!$F$8:$F$10000,MID(N45,1,3)*1,'[1]2_inventory_total_details'!$G$8:$G$10000,"="&amp;S45,'[1]2_inventory_total_details'!$H$8:$H$10000,"="&amp;T45,'[1]2_inventory_total_details'!$I$8:$I$10000,"="&amp;adj_date)+SUMIFS('[1]2_inventory_total_details'!$K$8:$K$10000,'[1]2_inventory_total_details'!$C$8:$C$10000,I45,'[1]2_inventory_total_details'!$F$8:$F$10000,MID(N45,1,3)*1,'[1]2_inventory_total_details'!$G$8:$G$10000,"="&amp;S45,'[1]2_inventory_total_details'!$H$8:$H$10000,"="&amp;T45,'[1]2_inventory_total_details'!$I$8:$I$10000,"="&amp;adj_date)+SUMIFS('[1]2_inventory_total_details'!$L$8:$L$10000,'[1]2_inventory_total_details'!$C$8:$C$10000,I45,'[1]2_inventory_total_details'!$F$8:$F$10000,MID(N45,1,3)*1,'[1]2_inventory_total_details'!$G$8:$G$10000,"="&amp;S45,'[1]2_inventory_total_details'!$H$8:$H$10000,"="&amp;T45,'[1]2_inventory_total_details'!$I$8:$I$10000,"="&amp;adj_date)))</f>
        <v/>
      </c>
      <c r="AB45" s="270" t="str">
        <f>IF(L45="","",IF(MID(N45,1,3)*1=1,SUMIFS('[1]1_inventory_total_details'!$J$8:$J$10000,'[1]1_inventory_total_details'!$C$8:$C$10000,I45,'[1]1_inventory_total_details'!$F$8:$F$10000,MID(N45,1,3)*1,'[1]1_inventory_total_details'!$G$8:$G$10000,"="&amp;S45,'[1]1_inventory_total_details'!$H$8:$H$10000,"="&amp;T45,'[1]1_inventory_total_details'!$I$8:$I$10000,"="&amp;adj_date)+SUMIFS('[1]1_inventory_total_details'!$M$8:$M$10000,'[1]1_inventory_total_details'!$C$8:$C$10000,I45,'[1]1_inventory_total_details'!$F$8:$F$10000,MID(N45,1,3)*1,'[1]1_inventory_total_details'!$G$8:$G$10000,"="&amp;S45,'[1]1_inventory_total_details'!$H$8:$H$10000,"="&amp;T45,'[1]1_inventory_total_details'!$I$8:$I$10000,"="&amp;adj_date)+SUMIFS('[1]1_inventory_total_details'!$K$8:$K$10000,'[1]1_inventory_total_details'!$C$8:$C$10000,I45,'[1]1_inventory_total_details'!$F$8:$F$10000,MID(N45,1,3)*1,'[1]1_inventory_total_details'!$G$8:$G$10000,"="&amp;S45,'[1]1_inventory_total_details'!$H$8:$H$10000,"="&amp;T45,'[1]1_inventory_total_details'!$I$8:$I$10000,"="&amp;adj_date)+SUMIFS('[1]1_inventory_total_details'!$L$8:$L$10000,'[1]1_inventory_total_details'!$C$8:$C$10000,I45,'[1]1_inventory_total_details'!$F$8:$F$10000,MID(N45,1,3)*1,'[1]1_inventory_total_details'!$G$8:$G$10000,"="&amp;S45,'[1]1_inventory_total_details'!$H$8:$H$10000,"="&amp;T45,'[1]1_inventory_total_details'!$I$8:$I$10000,"="&amp;adj_date),SUMIFS('[1]2_inventory_total_details'!$J$8:$J$10000,'[1]2_inventory_total_details'!$C$8:$C$10000,I45,'[1]2_inventory_total_details'!$F$8:$F$10000,MID(N45,1,3)*1,'[1]2_inventory_total_details'!$G$8:$G$10000,"="&amp;S45,'[1]2_inventory_total_details'!$H$8:$H$10000,"="&amp;T45,'[1]2_inventory_total_details'!$I$8:$I$10000,"="&amp;adj_date)+SUMIFS('[1]2_inventory_total_details'!$M$8:$M$10000,'[1]1_inventory_total_details'!$C$8:$C$10000,I45,'[1]2_inventory_total_details'!$F$8:$F$10000,MID(N45,1,3)*1,'[1]2_inventory_total_details'!$G$8:$G$10000,"="&amp;S45,'[1]2_inventory_total_details'!$H$8:$H$10000,"="&amp;T45,'[1]2_inventory_total_details'!$I$8:$I$10000,"="&amp;adj_date)+SUMIFS('[1]2_inventory_total_details'!$K$8:$K$10000,'[1]2_inventory_total_details'!$C$8:$C$10000,I45,'[1]2_inventory_total_details'!$F$8:$F$10000,MID(N45,1,3)*1,'[1]2_inventory_total_details'!$G$8:$G$10000,"="&amp;S45,'[1]2_inventory_total_details'!$H$8:$H$10000,"="&amp;T45,'[1]2_inventory_total_details'!$I$8:$I$10000,"="&amp;adj_date)+SUMIFS('[1]2_inventory_total_details'!$L$8:$L$10000,'[1]2_inventory_total_details'!$C$8:$C$10000,I45,'[1]2_inventory_total_details'!$F$8:$F$10000,MID(N45,1,3)*1,'[1]2_inventory_total_details'!$G$8:$G$10000,"="&amp;S45,'[1]2_inventory_total_details'!$H$8:$H$10000,"="&amp;T45,'[1]2_inventory_total_details'!$I$8:$I$10000,"="&amp;adj_date)))</f>
        <v/>
      </c>
      <c r="AC45" s="270" t="str">
        <f>IF(L45="","",IF(MID(N45,1,3)*1=1,SUMIFS('[1]1_inventory_total_details'!$J$8:$J$10000,'[1]1_inventory_total_details'!$C$8:$C$10000,I45,'[1]1_inventory_total_details'!$F$8:$F$10000,MID(N45,1,3)*1,'[1]1_inventory_total_details'!$G$8:$G$10000,"="&amp;S45,'[1]1_inventory_total_details'!$H$8:$H$10000,"="&amp;T45,'[1]1_inventory_total_details'!$I$8:$I$10000,"="&amp;adj_date)+SUMIFS('[1]1_inventory_total_details'!$M$8:$M$10000,'[1]1_inventory_total_details'!$C$8:$C$10000,I45,'[1]1_inventory_total_details'!$F$8:$F$10000,MID(N45,1,3)*1,'[1]1_inventory_total_details'!$G$8:$G$10000,"="&amp;S45,'[1]1_inventory_total_details'!$H$8:$H$10000,"="&amp;T45,'[1]1_inventory_total_details'!$I$8:$I$10000,"="&amp;adj_date)+SUMIFS('[1]1_inventory_total_details'!$K$8:$K$10000,'[1]1_inventory_total_details'!$C$8:$C$10000,I45,'[1]1_inventory_total_details'!$F$8:$F$10000,MID(N45,1,3)*1,'[1]1_inventory_total_details'!$G$8:$G$10000,"="&amp;S45,'[1]1_inventory_total_details'!$H$8:$H$10000,"="&amp;T45,'[1]1_inventory_total_details'!$I$8:$I$10000,"="&amp;adj_date)+SUMIFS('[1]1_inventory_total_details'!$L$8:$L$10000,'[1]1_inventory_total_details'!$C$8:$C$10000,I45,'[1]1_inventory_total_details'!$F$8:$F$10000,MID(N45,1,3)*1,'[1]1_inventory_total_details'!$G$8:$G$10000,"="&amp;S45,'[1]1_inventory_total_details'!$H$8:$H$10000,"="&amp;T45,'[1]1_inventory_total_details'!$I$8:$I$10000,"="&amp;adj_date),SUMIFS('[1]2_inventory_total_details'!$J$8:$J$10000,'[1]2_inventory_total_details'!$C$8:$C$10000,I45,'[1]2_inventory_total_details'!$F$8:$F$10000,MID(N45,1,3)*1,'[1]2_inventory_total_details'!$G$8:$G$10000,"="&amp;S45,'[1]2_inventory_total_details'!$H$8:$H$10000,"="&amp;T45,'[1]2_inventory_total_details'!$I$8:$I$10000,"="&amp;adj_date)+SUMIFS('[1]2_inventory_total_details'!$M$8:$M$10000,'[1]1_inventory_total_details'!$C$8:$C$10000,I45,'[1]2_inventory_total_details'!$F$8:$F$10000,MID(N45,1,3)*1,'[1]2_inventory_total_details'!$G$8:$G$10000,"="&amp;S45,'[1]2_inventory_total_details'!$H$8:$H$10000,"="&amp;T45,'[1]2_inventory_total_details'!$I$8:$I$10000,"="&amp;adj_date)+SUMIFS('[1]2_inventory_total_details'!$K$8:$K$10000,'[1]2_inventory_total_details'!$C$8:$C$10000,I45,'[1]2_inventory_total_details'!$F$8:$F$10000,MID(N45,1,3)*1,'[1]2_inventory_total_details'!$G$8:$G$10000,"="&amp;S45,'[1]2_inventory_total_details'!$H$8:$H$10000,"="&amp;T45,'[1]2_inventory_total_details'!$I$8:$I$10000,"="&amp;adj_date)+SUMIFS('[1]2_inventory_total_details'!$L$8:$L$10000,'[1]2_inventory_total_details'!$C$8:$C$10000,I45,'[1]2_inventory_total_details'!$F$8:$F$10000,MID(N45,1,3)*1,'[1]2_inventory_total_details'!$G$8:$G$10000,"="&amp;S45,'[1]2_inventory_total_details'!$H$8:$H$10000,"="&amp;T45,'[1]2_inventory_total_details'!$I$8:$I$10000,"="&amp;adj_date)))</f>
        <v/>
      </c>
      <c r="AD45" s="270" t="str">
        <f>IF(L45="","",SUMIFS('[1]1_group_totals'!$J$8:$J$10000,'[1]1_group_totals'!$C$8:$C$10000,I45,'[1]1_group_totals'!$F$8:$F$10000,adj_location_group_id,'[1]1_group_totals'!$G$8:$G$10000,MID(N45,1,3)*1,'[1]1_group_totals'!$H$8:$H$10000,"="&amp;S45,'[1]1_group_totals'!$I$8:$I$10000,"="&amp;T45))</f>
        <v/>
      </c>
      <c r="AE45" s="1796" t="str">
        <f t="shared" si="11"/>
        <v/>
      </c>
      <c r="AF45" s="1797" t="str">
        <f>IF(ISNA(MATCH(MID(AE45,1,3)*1,UomConversion!$D$8:$D$500,0)),"",IF(AJ45&lt;&gt;"",AJ45,""))</f>
        <v/>
      </c>
      <c r="AG45" s="1797" t="str">
        <f>IF(AND(AH45&gt;0,COUNTIFS(UomConversion!$D$8:$D$500,MID(AE45,1,3)*1,UomConversion!$J$8:$J$500,1)&gt;1),TEXT(AH45,"000")&amp;"."&amp;VLOOKUP(AH45,uom_list,5,FALSE),"")</f>
        <v/>
      </c>
      <c r="AH45" s="270" t="str">
        <f t="shared" si="12"/>
        <v/>
      </c>
      <c r="AI45" s="270" t="str">
        <f t="shared" si="13"/>
        <v/>
      </c>
      <c r="AJ45" s="270" t="str">
        <f t="shared" si="14"/>
        <v/>
      </c>
      <c r="AK45" s="270" t="str" cm="1">
        <f t="array" ref="AK45">IF(L45="","",Slookup(MID(AE45,1,3)*1,UomConversion!$D$8:$J$500,2,UomConversion!$I$8:$I$500,1,UomConversion!$J$8:$J$500,1))</f>
        <v/>
      </c>
      <c r="AL45" s="270" t="str">
        <f t="shared" si="15"/>
        <v/>
      </c>
      <c r="AM45" s="270" t="str">
        <f>IF(L45="","",(SUMIFS('[1]1_group_totals'!$K$8:$K$10000,'[1]1_group_totals'!$C$8:$C$10000,I45,'[1]1_group_totals'!$F$8:$F$10000,adj_location_group_id,'[1]1_group_totals'!$G$8:$G$10000,MID(N45,1,3)*1,'[1]1_group_totals'!$H$8:$H$10000,"="&amp;S45,'[1]1_group_totals'!$I$8:$I$10000,"="&amp;T45)+SUMIFS('[1]1_group_totals'!$N$8:$N$10000,'[1]1_group_totals'!$C$8:$C$10000,I45,'[1]1_group_totals'!$F$8:$F$10000,adj_location_group_id,'[1]1_group_totals'!$G$8:$G$10000,MID(N45,1,3)*1,'[1]1_group_totals'!$H$8:$H$10000,"="&amp;S45,'[1]1_group_totals'!$I$8:$I$10000,"="&amp;T45)+SUMIFS('[1]1_group_totals'!$P$8:$P$10000,'[1]1_group_totals'!$C$8:$C$10000,I45,'[1]1_group_totals'!$F$8:$F$10000,adj_location_group_id,'[1]1_group_totals'!$G$8:$G$10000,MID(N45,1,3)*1,'[1]1_group_totals'!$H$8:$H$10000,"="&amp;S45,'[1]1_group_totals'!$I$8:$I$10000,"="&amp;T45)+SUMIFS('[1]1_group_totals'!$Q$8:$Q$10000,'[1]1_group_totals'!$C$8:$C$10000,I45,'[1]1_group_totals'!$F$8:$F$10000,adj_location_group_id,'[1]1_group_totals'!$G$8:$G$10000,MID(N45,1,3)*1,'[1]1_group_totals'!$H$8:$H$10000,"="&amp;S45,'[1]1_group_totals'!$I$8:$I$10000,"="&amp;T45))+(SUMIFS('[1]1_group_totals'!$L$8:$L$10000,'[1]1_group_totals'!$C$8:$C$10000,I45,'[1]1_group_totals'!$F$8:$F$10000,adj_location_group_id,'[1]1_group_totals'!$G$8:$G$10000,MID(N45,1,3)*1,'[1]1_group_totals'!$H$8:$H$10000,"="&amp;S45,'[1]1_group_totals'!$I$8:$I$10000,"="&amp;T45)+SUMIFS('[1]1_group_totals'!$M$8:$M$10000,'[1]1_group_totals'!$C$8:$C$10000,I45,'[1]1_group_totals'!$F$8:$F$10000,adj_location_group_id,'[1]1_group_totals'!$G$8:$G$10000,MID(N45,1,3)*1,'[1]1_group_totals'!$H$8:$H$10000,"="&amp;S45,'[1]1_group_totals'!$I$8:$I$10000,"="&amp;T45)+SUMIFS('[1]1_group_totals'!$O$8:$O$10000,'[1]1_group_totals'!$C$8:$C$10000,I45,'[1]1_group_totals'!$F$8:$F$10000,adj_location_group_id,'[1]1_group_totals'!$G$8:$G$10000,MID(N45,1,3)*1,'[1]1_group_totals'!$H$8:$H$10000,"="&amp;S45,'[1]1_group_totals'!$I$8:$I$10000,"="&amp;T45)+SUMIFS('[1]1_group_totals'!$R$8:$R$10000,'[1]1_group_totals'!$C$8:$C$10000,I45,'[1]1_group_totals'!$F$8:$F$10000,adj_location_group_id,'[1]1_group_totals'!$G$8:$G$10000,MID(N45,1,3)*1,'[1]1_group_totals'!$H$8:$H$10000,"="&amp;S45,'[1]1_group_totals'!$I$8:$I$10000,"="&amp;T45)))</f>
        <v/>
      </c>
      <c r="AN45" s="270" t="str">
        <f>IF(L45="","",(SUMIFS('[1]1_inventory_totals'!$I$8:$I$10000,'[1]1_inventory_totals'!$C$8:$C$10000,I45,'[1]1_inventory_totals'!$F$8:$F$10000,"="&amp;S45,'[1]1_inventory_totals'!$G$8:$G$10000,"="&amp;T45)+SUMIFS('[1]1_inventory_totals'!$N$8:$N$10000,'[1]1_inventory_totals'!$C$8:$C$10000,I45,'[1]1_inventory_totals'!$F$8:$F$10000,"="&amp;S45,'[1]1_inventory_totals'!$G$8:$G$10000,"="&amp;T45)+SUMIFS('[1]1_inventory_totals'!$P$8:$P$10000,'[1]1_inventory_totals'!$C$8:$C$10000,I45,'[1]1_inventory_totals'!$F$8:$F$10000,"="&amp;S45,'[1]1_inventory_totals'!$G$8:$G$10000,"="&amp;T45)+SUMIFS('[1]1_inventory_totals'!$Q$8:$Q$10000,'[1]1_inventory_totals'!$C$8:$C$10000,I45,'[1]1_inventory_totals'!$F$8:$F$10000,"="&amp;S45,'[1]1_inventory_totals'!$G$8:$G$10000,"="&amp;T45)+SUMIFS('[1]1_inventory_totals'!$R$8:$R$10000,'[1]1_inventory_totals'!$C$8:$C$10000,I45,'[1]1_inventory_totals'!$F$8:$F$10000,"="&amp;S45,'[1]1_inventory_totals'!$G$8:$G$10000,"="&amp;T45))+(SUMIFS('[1]1_inventory_totals'!$J$8:$J$10000,'[1]1_inventory_totals'!$C$8:$C$10000,I45,'[1]1_inventory_totals'!$F$8:$F$10000,"="&amp;S45,'[1]1_inventory_totals'!$G$8:$G$10000,"="&amp;T45)+SUMIFS('[1]1_inventory_totals'!$K$8:$K$10000,'[1]1_inventory_totals'!$C$8:$C$10000,I45,'[1]1_inventory_totals'!$F$8:$F$10000,"="&amp;S45,'[1]1_inventory_totals'!$G$8:$G$10000,"="&amp;T45)+SUMIFS('[1]1_inventory_totals'!$L$8:$L$10000,'[1]1_inventory_totals'!$C$8:$C$10000,I45,'[1]1_inventory_totals'!$F$8:$F$10000,"="&amp;S45,'[1]1_inventory_totals'!$G$8:$G$10000,"="&amp;T45)+SUMIFS('[1]1_inventory_totals'!$M$8:$M$10000,'[1]1_inventory_totals'!$C$8:$C$10000,I45,'[1]1_inventory_totals'!$F$8:$F$10000,"="&amp;S45,'[1]1_inventory_totals'!$G$8:$G$10000,"="&amp;T45)+SUMIFS('[1]1_inventory_totals'!$O$8:$O$10000,'[1]1_inventory_totals'!$C$8:$C$10000,I45,'[1]1_inventory_totals'!$F$8:$F$10000,"="&amp;S45,'[1]1_inventory_totals'!$G$8:$G$10000,"="&amp;T45)+SUMIFS('[1]1_inventory_totals'!$S$8:$S$10000,'[1]1_inventory_totals'!$C$8:$C$10000,I45,'[1]1_inventory_totals'!$F$8:$F$10000,"="&amp;S45,'[1]1_inventory_totals'!$G$8:$G$10000,"="&amp;T45)))</f>
        <v/>
      </c>
      <c r="AO45" s="270" t="str">
        <f>IF(L45="","",(SUMIFS('[1]2_inventory_totals'!$I$8:$I$10000,'[1]2_inventory_totals'!$C$8:$C$10000,I45,'[1]2_inventory_totals'!$F$8:$F$10000,"="&amp;S45,'[1]2_inventory_totals'!$G$8:$G$10000,"="&amp;T45)+SUMIFS('[1]2_inventory_totals'!$N$8:$N$10000,'[1]2_inventory_totals'!$C$8:$C$10000,I45,'[1]2_inventory_totals'!$F$8:$F$10000,"="&amp;S45,'[1]2_inventory_totals'!$G$8:$G$10000,"="&amp;T45)+SUMIFS('[1]2_inventory_totals'!$P$8:$P$10000,'[1]2_inventory_totals'!$C$8:$C$10000,I45,'[1]2_inventory_totals'!$F$8:$F$10000,"="&amp;S45,'[1]2_inventory_totals'!$G$8:$G$10000,"="&amp;T45)+SUMIFS('[1]2_inventory_totals'!$Q$8:$Q$10000,'[1]2_inventory_totals'!$C$8:$C$10000,I45,'[1]2_inventory_totals'!$F$8:$F$10000,"="&amp;S45,'[1]2_inventory_totals'!$G$8:$G$10000,"="&amp;T45)+SUMIFS('[1]2_inventory_totals'!$R$8:$R$10000,'[1]2_inventory_totals'!$C$8:$C$10000,I45,'[1]2_inventory_totals'!$F$8:$F$10000,"="&amp;S45,'[1]2_inventory_totals'!$G$8:$G$10000,"="&amp;T45))+(SUMIFS('[1]2_inventory_totals'!$J$8:$J$10000,'[1]2_inventory_totals'!$C$8:$C$10000,I45,'[1]2_inventory_totals'!$F$8:$F$10000,"="&amp;S45,'[1]2_inventory_totals'!$G$8:$G$10000,"="&amp;T45)+SUMIFS('[1]2_inventory_totals'!$K$8:$K$10000,'[1]2_inventory_totals'!$C$8:$C$10000,I45,'[1]2_inventory_totals'!$F$8:$F$10000,"="&amp;S45,'[1]2_inventory_totals'!$G$8:$G$10000,"="&amp;T45)+SUMIFS('[1]2_inventory_totals'!$L$8:$L$10000,'[1]2_inventory_totals'!$C$8:$C$10000,I45,'[1]2_inventory_totals'!$F$8:$F$10000,"="&amp;S45,'[1]2_inventory_totals'!$G$8:$G$10000,"="&amp;T45)+SUMIFS('[1]2_inventory_totals'!$M$8:$M$10000,'[1]2_inventory_totals'!$C$8:$C$10000,I45,'[1]2_inventory_totals'!$F$8:$F$10000,"="&amp;S45,'[1]2_inventory_totals'!$G$8:$G$10000,"="&amp;T45)+SUMIFS('[1]2_inventory_totals'!$O$8:$O$10000,'[1]2_inventory_totals'!$C$8:$C$10000,I45,'[1]2_inventory_totals'!$F$8:$F$10000,"="&amp;S45,'[1]2_inventory_totals'!$G$8:$G$10000,"="&amp;T45)+SUMIFS('[1]2_inventory_totals'!$S$8:$S$10000,'[1]2_inventory_totals'!$C$8:$C$10000,I45,'[1]2_inventory_totals'!$F$8:$F$10000,"="&amp;S45,'[1]2_inventory_totals'!$G$8:$G$10000,"="&amp;T45)))</f>
        <v/>
      </c>
      <c r="AP45" s="954"/>
    </row>
    <row r="46" spans="1:42" ht="27" customHeight="1">
      <c r="A46" s="923"/>
      <c r="B46" s="1172"/>
      <c r="C46" s="950"/>
      <c r="D46" s="950"/>
      <c r="E46" s="950"/>
      <c r="F46" s="1198"/>
      <c r="I46" s="1610" t="str">
        <f t="shared" si="5"/>
        <v/>
      </c>
      <c r="J46" s="270" t="str">
        <f t="shared" si="6"/>
        <v/>
      </c>
      <c r="K46" s="813" t="str">
        <f t="shared" si="16"/>
        <v/>
      </c>
      <c r="L46" s="1184"/>
      <c r="M46" s="1185"/>
      <c r="N46" s="1186"/>
      <c r="O46" s="1534"/>
      <c r="P46" s="336" t="str">
        <f t="shared" si="17"/>
        <v/>
      </c>
      <c r="Q46" s="336" t="str">
        <f>IF(L46="","",IF(AD46=0,0,(SUMIFS('[1]1_group_total_details'!$I$8:$I$10000,'[1]1_group_total_details'!$C$8:$C$10000,I46,'[1]1_group_total_details'!$F$8:$F$10000,adj_location_group_id,'[1]1_group_total_details'!$G$8:$G$10000,MID(N46,1,3)*1,'[1]1_group_total_details'!$H$8:$H$10000,"&lt;="&amp;adj_date)+SUMIFS('[1]1_group_total_details'!$L$8:$L$10000,'[1]1_group_total_details'!$C$8:$C$10000,I46,'[1]1_group_total_details'!$F$8:$F$10000,adj_location_group_id,'[1]1_group_total_details'!$G$8:$G$10000,MID(N46,1,3)*1,'[1]1_group_total_details'!$H$8:$H$10000,"&lt;="&amp;adj_date)+SUMIFS('[1]1_group_total_details'!$N$8:$N$10000,'[1]1_group_total_details'!$C$8:$C$10000,I46,'[1]1_group_total_details'!$F$8:$F$10000,adj_location_group_id,'[1]1_group_total_details'!$G$8:$G$10000,MID(N46,1,3)*1,'[1]1_group_total_details'!$H$8:$H$10000,"&lt;="&amp;adj_date)+SUMIFS('[1]1_group_total_details'!$O$8:$O$10000,'[1]1_group_total_details'!$C$8:$C$10000,I46,'[1]1_group_total_details'!$F$8:$F$10000,adj_location_group_id,'[1]1_group_total_details'!$G$8:$G$10000,MID(N46,1,3)*1,'[1]1_group_total_details'!$H$8:$H$10000,"&lt;="&amp;adj_date))-(SUMIFS('[1]1_group_total_details'!$J$8:$J$10000,'[1]1_group_total_details'!$C$8:$C$10000,I46,'[1]1_group_total_details'!$F$8:$F$10000,adj_location_group_id,'[1]1_group_total_details'!$G$8:$G$10000,MID(N46,1,3)*1,'[1]1_group_total_details'!$H$8:$H$10000,"&lt;="&amp;adj_date)+SUMIFS('[1]1_group_total_details'!$K$8:$K$10000,'[1]1_group_total_details'!$C$8:$C$10000,I46,'[1]1_group_total_details'!$F$8:$F$10000,adj_location_group_id,'[1]1_group_total_details'!$G$8:$G$10000,MID(N46,1,3)*1,'[1]1_group_total_details'!$H$8:$H$10000,"&lt;="&amp;adj_date)+SUMIFS('[1]1_group_total_details'!$M$8:$M$10000,'[1]1_group_total_details'!$C$8:$C$10000,I46,'[1]1_group_total_details'!$F$8:$F$10000,adj_location_group_id,'[1]1_group_total_details'!$G$8:$G$10000,MID(N46,1,3)*1,'[1]1_group_total_details'!$H$8:$H$10000,"&lt;="&amp;adj_date)+SUMIFS('[1]1_group_total_details'!$P$8:$P$10000,'[1]1_group_total_details'!$C$8:$C$10000,I46,'[1]1_group_total_details'!$F$8:$F$10000,adj_location_group_id,'[1]1_group_total_details'!$G$8:$G$10000,MID(N46,1,3)*1,'[1]1_group_total_details'!$H$8:$H$10000,"&lt;="&amp;adj_date))))</f>
        <v/>
      </c>
      <c r="R46" s="1187"/>
      <c r="S46" s="1186"/>
      <c r="T46" s="1186"/>
      <c r="U46" s="1184"/>
      <c r="V46" s="270" t="str" cm="1">
        <f t="array" ref="V46">IF(L46="","",IF(M46=AE46,1,Slookup(MID(AE46,1,3)*1,UomConversion!$D$8:$J$500,5,UomConversion!$E$8:$E$500,MID(M46,1,3)*1,UomConversion!$J$8:$J$500,1)))</f>
        <v/>
      </c>
      <c r="W46" s="270" t="str">
        <f t="shared" si="8"/>
        <v/>
      </c>
      <c r="X46" s="1795" t="str">
        <f t="shared" si="9"/>
        <v/>
      </c>
      <c r="Y46" s="1795" t="str">
        <f t="shared" si="10"/>
        <v/>
      </c>
      <c r="Z46" s="270" t="str">
        <f>IF(I46="","",IF(ISNA(MATCH(I46,IF(MID(N46,1,3)*1=1,'[1]1_inventory_totals'!$C$8:$C$10000,IF(MID(N46,1,3)*1=2,'[1]2_inventory_totals'!$C$8:$C$10000,"")),0)),0,IF(AL46&gt;0,1,0)))</f>
        <v/>
      </c>
      <c r="AA46" s="270" t="str">
        <f>IF(L46="","",IF(MID(N46,1,3)*1=1,SUMIFS('[1]1_inventory_total_details'!$J$8:$J$10000,'[1]1_inventory_total_details'!$C$8:$C$10000,I46,'[1]1_inventory_total_details'!$F$8:$F$10000,MID(N46,1,3)*1,'[1]1_inventory_total_details'!$G$8:$G$10000,"="&amp;S46,'[1]1_inventory_total_details'!$H$8:$H$10000,"="&amp;T46,'[1]1_inventory_total_details'!$I$8:$I$10000,"="&amp;adj_date)+SUMIFS('[1]1_inventory_total_details'!$M$8:$M$10000,'[1]1_inventory_total_details'!$C$8:$C$10000,I46,'[1]1_inventory_total_details'!$F$8:$F$10000,MID(N46,1,3)*1,'[1]1_inventory_total_details'!$G$8:$G$10000,"="&amp;S46,'[1]1_inventory_total_details'!$H$8:$H$10000,"="&amp;T46,'[1]1_inventory_total_details'!$I$8:$I$10000,"="&amp;adj_date)+SUMIFS('[1]1_inventory_total_details'!$K$8:$K$10000,'[1]1_inventory_total_details'!$C$8:$C$10000,I46,'[1]1_inventory_total_details'!$F$8:$F$10000,MID(N46,1,3)*1,'[1]1_inventory_total_details'!$G$8:$G$10000,"="&amp;S46,'[1]1_inventory_total_details'!$H$8:$H$10000,"="&amp;T46,'[1]1_inventory_total_details'!$I$8:$I$10000,"="&amp;adj_date)+SUMIFS('[1]1_inventory_total_details'!$L$8:$L$10000,'[1]1_inventory_total_details'!$C$8:$C$10000,I46,'[1]1_inventory_total_details'!$F$8:$F$10000,MID(N46,1,3)*1,'[1]1_inventory_total_details'!$G$8:$G$10000,"="&amp;S46,'[1]1_inventory_total_details'!$H$8:$H$10000,"="&amp;T46,'[1]1_inventory_total_details'!$I$8:$I$10000,"="&amp;adj_date),SUMIFS('[1]2_inventory_total_details'!$J$8:$J$10000,'[1]2_inventory_total_details'!$C$8:$C$10000,I46,'[1]2_inventory_total_details'!$F$8:$F$10000,MID(N46,1,3)*1,'[1]2_inventory_total_details'!$G$8:$G$10000,"="&amp;S46,'[1]2_inventory_total_details'!$H$8:$H$10000,"="&amp;T46,'[1]2_inventory_total_details'!$I$8:$I$10000,"="&amp;adj_date)+SUMIFS('[1]2_inventory_total_details'!$M$8:$M$10000,'[1]1_inventory_total_details'!$C$8:$C$10000,I46,'[1]2_inventory_total_details'!$F$8:$F$10000,MID(N46,1,3)*1,'[1]2_inventory_total_details'!$G$8:$G$10000,"="&amp;S46,'[1]2_inventory_total_details'!$H$8:$H$10000,"="&amp;T46,'[1]2_inventory_total_details'!$I$8:$I$10000,"="&amp;adj_date)+SUMIFS('[1]2_inventory_total_details'!$K$8:$K$10000,'[1]2_inventory_total_details'!$C$8:$C$10000,I46,'[1]2_inventory_total_details'!$F$8:$F$10000,MID(N46,1,3)*1,'[1]2_inventory_total_details'!$G$8:$G$10000,"="&amp;S46,'[1]2_inventory_total_details'!$H$8:$H$10000,"="&amp;T46,'[1]2_inventory_total_details'!$I$8:$I$10000,"="&amp;adj_date)+SUMIFS('[1]2_inventory_total_details'!$L$8:$L$10000,'[1]2_inventory_total_details'!$C$8:$C$10000,I46,'[1]2_inventory_total_details'!$F$8:$F$10000,MID(N46,1,3)*1,'[1]2_inventory_total_details'!$G$8:$G$10000,"="&amp;S46,'[1]2_inventory_total_details'!$H$8:$H$10000,"="&amp;T46,'[1]2_inventory_total_details'!$I$8:$I$10000,"="&amp;adj_date)))</f>
        <v/>
      </c>
      <c r="AB46" s="270" t="str">
        <f>IF(L46="","",IF(MID(N46,1,3)*1=1,SUMIFS('[1]1_inventory_total_details'!$J$8:$J$10000,'[1]1_inventory_total_details'!$C$8:$C$10000,I46,'[1]1_inventory_total_details'!$F$8:$F$10000,MID(N46,1,3)*1,'[1]1_inventory_total_details'!$G$8:$G$10000,"="&amp;S46,'[1]1_inventory_total_details'!$H$8:$H$10000,"="&amp;T46,'[1]1_inventory_total_details'!$I$8:$I$10000,"="&amp;adj_date)+SUMIFS('[1]1_inventory_total_details'!$M$8:$M$10000,'[1]1_inventory_total_details'!$C$8:$C$10000,I46,'[1]1_inventory_total_details'!$F$8:$F$10000,MID(N46,1,3)*1,'[1]1_inventory_total_details'!$G$8:$G$10000,"="&amp;S46,'[1]1_inventory_total_details'!$H$8:$H$10000,"="&amp;T46,'[1]1_inventory_total_details'!$I$8:$I$10000,"="&amp;adj_date)+SUMIFS('[1]1_inventory_total_details'!$K$8:$K$10000,'[1]1_inventory_total_details'!$C$8:$C$10000,I46,'[1]1_inventory_total_details'!$F$8:$F$10000,MID(N46,1,3)*1,'[1]1_inventory_total_details'!$G$8:$G$10000,"="&amp;S46,'[1]1_inventory_total_details'!$H$8:$H$10000,"="&amp;T46,'[1]1_inventory_total_details'!$I$8:$I$10000,"="&amp;adj_date)+SUMIFS('[1]1_inventory_total_details'!$L$8:$L$10000,'[1]1_inventory_total_details'!$C$8:$C$10000,I46,'[1]1_inventory_total_details'!$F$8:$F$10000,MID(N46,1,3)*1,'[1]1_inventory_total_details'!$G$8:$G$10000,"="&amp;S46,'[1]1_inventory_total_details'!$H$8:$H$10000,"="&amp;T46,'[1]1_inventory_total_details'!$I$8:$I$10000,"="&amp;adj_date),SUMIFS('[1]2_inventory_total_details'!$J$8:$J$10000,'[1]2_inventory_total_details'!$C$8:$C$10000,I46,'[1]2_inventory_total_details'!$F$8:$F$10000,MID(N46,1,3)*1,'[1]2_inventory_total_details'!$G$8:$G$10000,"="&amp;S46,'[1]2_inventory_total_details'!$H$8:$H$10000,"="&amp;T46,'[1]2_inventory_total_details'!$I$8:$I$10000,"="&amp;adj_date)+SUMIFS('[1]2_inventory_total_details'!$M$8:$M$10000,'[1]1_inventory_total_details'!$C$8:$C$10000,I46,'[1]2_inventory_total_details'!$F$8:$F$10000,MID(N46,1,3)*1,'[1]2_inventory_total_details'!$G$8:$G$10000,"="&amp;S46,'[1]2_inventory_total_details'!$H$8:$H$10000,"="&amp;T46,'[1]2_inventory_total_details'!$I$8:$I$10000,"="&amp;adj_date)+SUMIFS('[1]2_inventory_total_details'!$K$8:$K$10000,'[1]2_inventory_total_details'!$C$8:$C$10000,I46,'[1]2_inventory_total_details'!$F$8:$F$10000,MID(N46,1,3)*1,'[1]2_inventory_total_details'!$G$8:$G$10000,"="&amp;S46,'[1]2_inventory_total_details'!$H$8:$H$10000,"="&amp;T46,'[1]2_inventory_total_details'!$I$8:$I$10000,"="&amp;adj_date)+SUMIFS('[1]2_inventory_total_details'!$L$8:$L$10000,'[1]2_inventory_total_details'!$C$8:$C$10000,I46,'[1]2_inventory_total_details'!$F$8:$F$10000,MID(N46,1,3)*1,'[1]2_inventory_total_details'!$G$8:$G$10000,"="&amp;S46,'[1]2_inventory_total_details'!$H$8:$H$10000,"="&amp;T46,'[1]2_inventory_total_details'!$I$8:$I$10000,"="&amp;adj_date)))</f>
        <v/>
      </c>
      <c r="AC46" s="270" t="str">
        <f>IF(L46="","",IF(MID(N46,1,3)*1=1,SUMIFS('[1]1_inventory_total_details'!$J$8:$J$10000,'[1]1_inventory_total_details'!$C$8:$C$10000,I46,'[1]1_inventory_total_details'!$F$8:$F$10000,MID(N46,1,3)*1,'[1]1_inventory_total_details'!$G$8:$G$10000,"="&amp;S46,'[1]1_inventory_total_details'!$H$8:$H$10000,"="&amp;T46,'[1]1_inventory_total_details'!$I$8:$I$10000,"="&amp;adj_date)+SUMIFS('[1]1_inventory_total_details'!$M$8:$M$10000,'[1]1_inventory_total_details'!$C$8:$C$10000,I46,'[1]1_inventory_total_details'!$F$8:$F$10000,MID(N46,1,3)*1,'[1]1_inventory_total_details'!$G$8:$G$10000,"="&amp;S46,'[1]1_inventory_total_details'!$H$8:$H$10000,"="&amp;T46,'[1]1_inventory_total_details'!$I$8:$I$10000,"="&amp;adj_date)+SUMIFS('[1]1_inventory_total_details'!$K$8:$K$10000,'[1]1_inventory_total_details'!$C$8:$C$10000,I46,'[1]1_inventory_total_details'!$F$8:$F$10000,MID(N46,1,3)*1,'[1]1_inventory_total_details'!$G$8:$G$10000,"="&amp;S46,'[1]1_inventory_total_details'!$H$8:$H$10000,"="&amp;T46,'[1]1_inventory_total_details'!$I$8:$I$10000,"="&amp;adj_date)+SUMIFS('[1]1_inventory_total_details'!$L$8:$L$10000,'[1]1_inventory_total_details'!$C$8:$C$10000,I46,'[1]1_inventory_total_details'!$F$8:$F$10000,MID(N46,1,3)*1,'[1]1_inventory_total_details'!$G$8:$G$10000,"="&amp;S46,'[1]1_inventory_total_details'!$H$8:$H$10000,"="&amp;T46,'[1]1_inventory_total_details'!$I$8:$I$10000,"="&amp;adj_date),SUMIFS('[1]2_inventory_total_details'!$J$8:$J$10000,'[1]2_inventory_total_details'!$C$8:$C$10000,I46,'[1]2_inventory_total_details'!$F$8:$F$10000,MID(N46,1,3)*1,'[1]2_inventory_total_details'!$G$8:$G$10000,"="&amp;S46,'[1]2_inventory_total_details'!$H$8:$H$10000,"="&amp;T46,'[1]2_inventory_total_details'!$I$8:$I$10000,"="&amp;adj_date)+SUMIFS('[1]2_inventory_total_details'!$M$8:$M$10000,'[1]1_inventory_total_details'!$C$8:$C$10000,I46,'[1]2_inventory_total_details'!$F$8:$F$10000,MID(N46,1,3)*1,'[1]2_inventory_total_details'!$G$8:$G$10000,"="&amp;S46,'[1]2_inventory_total_details'!$H$8:$H$10000,"="&amp;T46,'[1]2_inventory_total_details'!$I$8:$I$10000,"="&amp;adj_date)+SUMIFS('[1]2_inventory_total_details'!$K$8:$K$10000,'[1]2_inventory_total_details'!$C$8:$C$10000,I46,'[1]2_inventory_total_details'!$F$8:$F$10000,MID(N46,1,3)*1,'[1]2_inventory_total_details'!$G$8:$G$10000,"="&amp;S46,'[1]2_inventory_total_details'!$H$8:$H$10000,"="&amp;T46,'[1]2_inventory_total_details'!$I$8:$I$10000,"="&amp;adj_date)+SUMIFS('[1]2_inventory_total_details'!$L$8:$L$10000,'[1]2_inventory_total_details'!$C$8:$C$10000,I46,'[1]2_inventory_total_details'!$F$8:$F$10000,MID(N46,1,3)*1,'[1]2_inventory_total_details'!$G$8:$G$10000,"="&amp;S46,'[1]2_inventory_total_details'!$H$8:$H$10000,"="&amp;T46,'[1]2_inventory_total_details'!$I$8:$I$10000,"="&amp;adj_date)))</f>
        <v/>
      </c>
      <c r="AD46" s="270" t="str">
        <f>IF(L46="","",SUMIFS('[1]1_group_totals'!$J$8:$J$10000,'[1]1_group_totals'!$C$8:$C$10000,I46,'[1]1_group_totals'!$F$8:$F$10000,adj_location_group_id,'[1]1_group_totals'!$G$8:$G$10000,MID(N46,1,3)*1,'[1]1_group_totals'!$H$8:$H$10000,"="&amp;S46,'[1]1_group_totals'!$I$8:$I$10000,"="&amp;T46))</f>
        <v/>
      </c>
      <c r="AE46" s="1796" t="str">
        <f t="shared" si="11"/>
        <v/>
      </c>
      <c r="AF46" s="1797" t="str">
        <f>IF(ISNA(MATCH(MID(AE46,1,3)*1,UomConversion!$D$8:$D$500,0)),"",IF(AJ46&lt;&gt;"",AJ46,""))</f>
        <v/>
      </c>
      <c r="AG46" s="1797" t="str">
        <f>IF(AND(AH46&gt;0,COUNTIFS(UomConversion!$D$8:$D$500,MID(AE46,1,3)*1,UomConversion!$J$8:$J$500,1)&gt;1),TEXT(AH46,"000")&amp;"."&amp;VLOOKUP(AH46,uom_list,5,FALSE),"")</f>
        <v/>
      </c>
      <c r="AH46" s="270" t="str">
        <f t="shared" si="12"/>
        <v/>
      </c>
      <c r="AI46" s="270" t="str">
        <f t="shared" si="13"/>
        <v/>
      </c>
      <c r="AJ46" s="270" t="str">
        <f t="shared" si="14"/>
        <v/>
      </c>
      <c r="AK46" s="270" t="str" cm="1">
        <f t="array" ref="AK46">IF(L46="","",Slookup(MID(AE46,1,3)*1,UomConversion!$D$8:$J$500,2,UomConversion!$I$8:$I$500,1,UomConversion!$J$8:$J$500,1))</f>
        <v/>
      </c>
      <c r="AL46" s="270" t="str">
        <f t="shared" si="15"/>
        <v/>
      </c>
      <c r="AM46" s="270" t="str">
        <f>IF(L46="","",(SUMIFS('[1]1_group_totals'!$K$8:$K$10000,'[1]1_group_totals'!$C$8:$C$10000,I46,'[1]1_group_totals'!$F$8:$F$10000,adj_location_group_id,'[1]1_group_totals'!$G$8:$G$10000,MID(N46,1,3)*1,'[1]1_group_totals'!$H$8:$H$10000,"="&amp;S46,'[1]1_group_totals'!$I$8:$I$10000,"="&amp;T46)+SUMIFS('[1]1_group_totals'!$N$8:$N$10000,'[1]1_group_totals'!$C$8:$C$10000,I46,'[1]1_group_totals'!$F$8:$F$10000,adj_location_group_id,'[1]1_group_totals'!$G$8:$G$10000,MID(N46,1,3)*1,'[1]1_group_totals'!$H$8:$H$10000,"="&amp;S46,'[1]1_group_totals'!$I$8:$I$10000,"="&amp;T46)+SUMIFS('[1]1_group_totals'!$P$8:$P$10000,'[1]1_group_totals'!$C$8:$C$10000,I46,'[1]1_group_totals'!$F$8:$F$10000,adj_location_group_id,'[1]1_group_totals'!$G$8:$G$10000,MID(N46,1,3)*1,'[1]1_group_totals'!$H$8:$H$10000,"="&amp;S46,'[1]1_group_totals'!$I$8:$I$10000,"="&amp;T46)+SUMIFS('[1]1_group_totals'!$Q$8:$Q$10000,'[1]1_group_totals'!$C$8:$C$10000,I46,'[1]1_group_totals'!$F$8:$F$10000,adj_location_group_id,'[1]1_group_totals'!$G$8:$G$10000,MID(N46,1,3)*1,'[1]1_group_totals'!$H$8:$H$10000,"="&amp;S46,'[1]1_group_totals'!$I$8:$I$10000,"="&amp;T46))+(SUMIFS('[1]1_group_totals'!$L$8:$L$10000,'[1]1_group_totals'!$C$8:$C$10000,I46,'[1]1_group_totals'!$F$8:$F$10000,adj_location_group_id,'[1]1_group_totals'!$G$8:$G$10000,MID(N46,1,3)*1,'[1]1_group_totals'!$H$8:$H$10000,"="&amp;S46,'[1]1_group_totals'!$I$8:$I$10000,"="&amp;T46)+SUMIFS('[1]1_group_totals'!$M$8:$M$10000,'[1]1_group_totals'!$C$8:$C$10000,I46,'[1]1_group_totals'!$F$8:$F$10000,adj_location_group_id,'[1]1_group_totals'!$G$8:$G$10000,MID(N46,1,3)*1,'[1]1_group_totals'!$H$8:$H$10000,"="&amp;S46,'[1]1_group_totals'!$I$8:$I$10000,"="&amp;T46)+SUMIFS('[1]1_group_totals'!$O$8:$O$10000,'[1]1_group_totals'!$C$8:$C$10000,I46,'[1]1_group_totals'!$F$8:$F$10000,adj_location_group_id,'[1]1_group_totals'!$G$8:$G$10000,MID(N46,1,3)*1,'[1]1_group_totals'!$H$8:$H$10000,"="&amp;S46,'[1]1_group_totals'!$I$8:$I$10000,"="&amp;T46)+SUMIFS('[1]1_group_totals'!$R$8:$R$10000,'[1]1_group_totals'!$C$8:$C$10000,I46,'[1]1_group_totals'!$F$8:$F$10000,adj_location_group_id,'[1]1_group_totals'!$G$8:$G$10000,MID(N46,1,3)*1,'[1]1_group_totals'!$H$8:$H$10000,"="&amp;S46,'[1]1_group_totals'!$I$8:$I$10000,"="&amp;T46)))</f>
        <v/>
      </c>
      <c r="AN46" s="270" t="str">
        <f>IF(L46="","",(SUMIFS('[1]1_inventory_totals'!$I$8:$I$10000,'[1]1_inventory_totals'!$C$8:$C$10000,I46,'[1]1_inventory_totals'!$F$8:$F$10000,"="&amp;S46,'[1]1_inventory_totals'!$G$8:$G$10000,"="&amp;T46)+SUMIFS('[1]1_inventory_totals'!$N$8:$N$10000,'[1]1_inventory_totals'!$C$8:$C$10000,I46,'[1]1_inventory_totals'!$F$8:$F$10000,"="&amp;S46,'[1]1_inventory_totals'!$G$8:$G$10000,"="&amp;T46)+SUMIFS('[1]1_inventory_totals'!$P$8:$P$10000,'[1]1_inventory_totals'!$C$8:$C$10000,I46,'[1]1_inventory_totals'!$F$8:$F$10000,"="&amp;S46,'[1]1_inventory_totals'!$G$8:$G$10000,"="&amp;T46)+SUMIFS('[1]1_inventory_totals'!$Q$8:$Q$10000,'[1]1_inventory_totals'!$C$8:$C$10000,I46,'[1]1_inventory_totals'!$F$8:$F$10000,"="&amp;S46,'[1]1_inventory_totals'!$G$8:$G$10000,"="&amp;T46)+SUMIFS('[1]1_inventory_totals'!$R$8:$R$10000,'[1]1_inventory_totals'!$C$8:$C$10000,I46,'[1]1_inventory_totals'!$F$8:$F$10000,"="&amp;S46,'[1]1_inventory_totals'!$G$8:$G$10000,"="&amp;T46))+(SUMIFS('[1]1_inventory_totals'!$J$8:$J$10000,'[1]1_inventory_totals'!$C$8:$C$10000,I46,'[1]1_inventory_totals'!$F$8:$F$10000,"="&amp;S46,'[1]1_inventory_totals'!$G$8:$G$10000,"="&amp;T46)+SUMIFS('[1]1_inventory_totals'!$K$8:$K$10000,'[1]1_inventory_totals'!$C$8:$C$10000,I46,'[1]1_inventory_totals'!$F$8:$F$10000,"="&amp;S46,'[1]1_inventory_totals'!$G$8:$G$10000,"="&amp;T46)+SUMIFS('[1]1_inventory_totals'!$L$8:$L$10000,'[1]1_inventory_totals'!$C$8:$C$10000,I46,'[1]1_inventory_totals'!$F$8:$F$10000,"="&amp;S46,'[1]1_inventory_totals'!$G$8:$G$10000,"="&amp;T46)+SUMIFS('[1]1_inventory_totals'!$M$8:$M$10000,'[1]1_inventory_totals'!$C$8:$C$10000,I46,'[1]1_inventory_totals'!$F$8:$F$10000,"="&amp;S46,'[1]1_inventory_totals'!$G$8:$G$10000,"="&amp;T46)+SUMIFS('[1]1_inventory_totals'!$O$8:$O$10000,'[1]1_inventory_totals'!$C$8:$C$10000,I46,'[1]1_inventory_totals'!$F$8:$F$10000,"="&amp;S46,'[1]1_inventory_totals'!$G$8:$G$10000,"="&amp;T46)+SUMIFS('[1]1_inventory_totals'!$S$8:$S$10000,'[1]1_inventory_totals'!$C$8:$C$10000,I46,'[1]1_inventory_totals'!$F$8:$F$10000,"="&amp;S46,'[1]1_inventory_totals'!$G$8:$G$10000,"="&amp;T46)))</f>
        <v/>
      </c>
      <c r="AO46" s="270" t="str">
        <f>IF(L46="","",(SUMIFS('[1]2_inventory_totals'!$I$8:$I$10000,'[1]2_inventory_totals'!$C$8:$C$10000,I46,'[1]2_inventory_totals'!$F$8:$F$10000,"="&amp;S46,'[1]2_inventory_totals'!$G$8:$G$10000,"="&amp;T46)+SUMIFS('[1]2_inventory_totals'!$N$8:$N$10000,'[1]2_inventory_totals'!$C$8:$C$10000,I46,'[1]2_inventory_totals'!$F$8:$F$10000,"="&amp;S46,'[1]2_inventory_totals'!$G$8:$G$10000,"="&amp;T46)+SUMIFS('[1]2_inventory_totals'!$P$8:$P$10000,'[1]2_inventory_totals'!$C$8:$C$10000,I46,'[1]2_inventory_totals'!$F$8:$F$10000,"="&amp;S46,'[1]2_inventory_totals'!$G$8:$G$10000,"="&amp;T46)+SUMIFS('[1]2_inventory_totals'!$Q$8:$Q$10000,'[1]2_inventory_totals'!$C$8:$C$10000,I46,'[1]2_inventory_totals'!$F$8:$F$10000,"="&amp;S46,'[1]2_inventory_totals'!$G$8:$G$10000,"="&amp;T46)+SUMIFS('[1]2_inventory_totals'!$R$8:$R$10000,'[1]2_inventory_totals'!$C$8:$C$10000,I46,'[1]2_inventory_totals'!$F$8:$F$10000,"="&amp;S46,'[1]2_inventory_totals'!$G$8:$G$10000,"="&amp;T46))+(SUMIFS('[1]2_inventory_totals'!$J$8:$J$10000,'[1]2_inventory_totals'!$C$8:$C$10000,I46,'[1]2_inventory_totals'!$F$8:$F$10000,"="&amp;S46,'[1]2_inventory_totals'!$G$8:$G$10000,"="&amp;T46)+SUMIFS('[1]2_inventory_totals'!$K$8:$K$10000,'[1]2_inventory_totals'!$C$8:$C$10000,I46,'[1]2_inventory_totals'!$F$8:$F$10000,"="&amp;S46,'[1]2_inventory_totals'!$G$8:$G$10000,"="&amp;T46)+SUMIFS('[1]2_inventory_totals'!$L$8:$L$10000,'[1]2_inventory_totals'!$C$8:$C$10000,I46,'[1]2_inventory_totals'!$F$8:$F$10000,"="&amp;S46,'[1]2_inventory_totals'!$G$8:$G$10000,"="&amp;T46)+SUMIFS('[1]2_inventory_totals'!$M$8:$M$10000,'[1]2_inventory_totals'!$C$8:$C$10000,I46,'[1]2_inventory_totals'!$F$8:$F$10000,"="&amp;S46,'[1]2_inventory_totals'!$G$8:$G$10000,"="&amp;T46)+SUMIFS('[1]2_inventory_totals'!$O$8:$O$10000,'[1]2_inventory_totals'!$C$8:$C$10000,I46,'[1]2_inventory_totals'!$F$8:$F$10000,"="&amp;S46,'[1]2_inventory_totals'!$G$8:$G$10000,"="&amp;T46)+SUMIFS('[1]2_inventory_totals'!$S$8:$S$10000,'[1]2_inventory_totals'!$C$8:$C$10000,I46,'[1]2_inventory_totals'!$F$8:$F$10000,"="&amp;S46,'[1]2_inventory_totals'!$G$8:$G$10000,"="&amp;T46)))</f>
        <v/>
      </c>
      <c r="AP46" s="954"/>
    </row>
    <row r="47" spans="1:42" ht="27" customHeight="1">
      <c r="A47" s="923"/>
      <c r="B47" s="1172"/>
      <c r="C47" s="950"/>
      <c r="D47" s="950"/>
      <c r="E47" s="950"/>
      <c r="F47" s="1198"/>
      <c r="I47" s="1610" t="str">
        <f t="shared" si="5"/>
        <v/>
      </c>
      <c r="J47" s="270" t="str">
        <f t="shared" si="6"/>
        <v/>
      </c>
      <c r="K47" s="813" t="str">
        <f t="shared" si="16"/>
        <v/>
      </c>
      <c r="L47" s="1184"/>
      <c r="M47" s="1185"/>
      <c r="N47" s="1186"/>
      <c r="O47" s="1534"/>
      <c r="P47" s="336" t="str">
        <f t="shared" si="17"/>
        <v/>
      </c>
      <c r="Q47" s="336" t="str">
        <f>IF(L47="","",IF(AD47=0,0,(SUMIFS('[1]1_group_total_details'!$I$8:$I$10000,'[1]1_group_total_details'!$C$8:$C$10000,I47,'[1]1_group_total_details'!$F$8:$F$10000,adj_location_group_id,'[1]1_group_total_details'!$G$8:$G$10000,MID(N47,1,3)*1,'[1]1_group_total_details'!$H$8:$H$10000,"&lt;="&amp;adj_date)+SUMIFS('[1]1_group_total_details'!$L$8:$L$10000,'[1]1_group_total_details'!$C$8:$C$10000,I47,'[1]1_group_total_details'!$F$8:$F$10000,adj_location_group_id,'[1]1_group_total_details'!$G$8:$G$10000,MID(N47,1,3)*1,'[1]1_group_total_details'!$H$8:$H$10000,"&lt;="&amp;adj_date)+SUMIFS('[1]1_group_total_details'!$N$8:$N$10000,'[1]1_group_total_details'!$C$8:$C$10000,I47,'[1]1_group_total_details'!$F$8:$F$10000,adj_location_group_id,'[1]1_group_total_details'!$G$8:$G$10000,MID(N47,1,3)*1,'[1]1_group_total_details'!$H$8:$H$10000,"&lt;="&amp;adj_date)+SUMIFS('[1]1_group_total_details'!$O$8:$O$10000,'[1]1_group_total_details'!$C$8:$C$10000,I47,'[1]1_group_total_details'!$F$8:$F$10000,adj_location_group_id,'[1]1_group_total_details'!$G$8:$G$10000,MID(N47,1,3)*1,'[1]1_group_total_details'!$H$8:$H$10000,"&lt;="&amp;adj_date))-(SUMIFS('[1]1_group_total_details'!$J$8:$J$10000,'[1]1_group_total_details'!$C$8:$C$10000,I47,'[1]1_group_total_details'!$F$8:$F$10000,adj_location_group_id,'[1]1_group_total_details'!$G$8:$G$10000,MID(N47,1,3)*1,'[1]1_group_total_details'!$H$8:$H$10000,"&lt;="&amp;adj_date)+SUMIFS('[1]1_group_total_details'!$K$8:$K$10000,'[1]1_group_total_details'!$C$8:$C$10000,I47,'[1]1_group_total_details'!$F$8:$F$10000,adj_location_group_id,'[1]1_group_total_details'!$G$8:$G$10000,MID(N47,1,3)*1,'[1]1_group_total_details'!$H$8:$H$10000,"&lt;="&amp;adj_date)+SUMIFS('[1]1_group_total_details'!$M$8:$M$10000,'[1]1_group_total_details'!$C$8:$C$10000,I47,'[1]1_group_total_details'!$F$8:$F$10000,adj_location_group_id,'[1]1_group_total_details'!$G$8:$G$10000,MID(N47,1,3)*1,'[1]1_group_total_details'!$H$8:$H$10000,"&lt;="&amp;adj_date)+SUMIFS('[1]1_group_total_details'!$P$8:$P$10000,'[1]1_group_total_details'!$C$8:$C$10000,I47,'[1]1_group_total_details'!$F$8:$F$10000,adj_location_group_id,'[1]1_group_total_details'!$G$8:$G$10000,MID(N47,1,3)*1,'[1]1_group_total_details'!$H$8:$H$10000,"&lt;="&amp;adj_date))))</f>
        <v/>
      </c>
      <c r="R47" s="1187"/>
      <c r="S47" s="1186"/>
      <c r="T47" s="1186"/>
      <c r="U47" s="1184"/>
      <c r="V47" s="270" t="str" cm="1">
        <f t="array" ref="V47">IF(L47="","",IF(M47=AE47,1,Slookup(MID(AE47,1,3)*1,UomConversion!$D$8:$J$500,5,UomConversion!$E$8:$E$500,MID(M47,1,3)*1,UomConversion!$J$8:$J$500,1)))</f>
        <v/>
      </c>
      <c r="W47" s="270" t="str">
        <f t="shared" si="8"/>
        <v/>
      </c>
      <c r="X47" s="1795" t="str">
        <f t="shared" si="9"/>
        <v/>
      </c>
      <c r="Y47" s="1795" t="str">
        <f t="shared" si="10"/>
        <v/>
      </c>
      <c r="Z47" s="270" t="str">
        <f>IF(I47="","",IF(ISNA(MATCH(I47,IF(MID(N47,1,3)*1=1,'[1]1_inventory_totals'!$C$8:$C$10000,IF(MID(N47,1,3)*1=2,'[1]2_inventory_totals'!$C$8:$C$10000,"")),0)),0,IF(AL47&gt;0,1,0)))</f>
        <v/>
      </c>
      <c r="AA47" s="270" t="str">
        <f>IF(L47="","",IF(MID(N47,1,3)*1=1,SUMIFS('[1]1_inventory_total_details'!$J$8:$J$10000,'[1]1_inventory_total_details'!$C$8:$C$10000,I47,'[1]1_inventory_total_details'!$F$8:$F$10000,MID(N47,1,3)*1,'[1]1_inventory_total_details'!$G$8:$G$10000,"="&amp;S47,'[1]1_inventory_total_details'!$H$8:$H$10000,"="&amp;T47,'[1]1_inventory_total_details'!$I$8:$I$10000,"="&amp;adj_date)+SUMIFS('[1]1_inventory_total_details'!$M$8:$M$10000,'[1]1_inventory_total_details'!$C$8:$C$10000,I47,'[1]1_inventory_total_details'!$F$8:$F$10000,MID(N47,1,3)*1,'[1]1_inventory_total_details'!$G$8:$G$10000,"="&amp;S47,'[1]1_inventory_total_details'!$H$8:$H$10000,"="&amp;T47,'[1]1_inventory_total_details'!$I$8:$I$10000,"="&amp;adj_date)+SUMIFS('[1]1_inventory_total_details'!$K$8:$K$10000,'[1]1_inventory_total_details'!$C$8:$C$10000,I47,'[1]1_inventory_total_details'!$F$8:$F$10000,MID(N47,1,3)*1,'[1]1_inventory_total_details'!$G$8:$G$10000,"="&amp;S47,'[1]1_inventory_total_details'!$H$8:$H$10000,"="&amp;T47,'[1]1_inventory_total_details'!$I$8:$I$10000,"="&amp;adj_date)+SUMIFS('[1]1_inventory_total_details'!$L$8:$L$10000,'[1]1_inventory_total_details'!$C$8:$C$10000,I47,'[1]1_inventory_total_details'!$F$8:$F$10000,MID(N47,1,3)*1,'[1]1_inventory_total_details'!$G$8:$G$10000,"="&amp;S47,'[1]1_inventory_total_details'!$H$8:$H$10000,"="&amp;T47,'[1]1_inventory_total_details'!$I$8:$I$10000,"="&amp;adj_date),SUMIFS('[1]2_inventory_total_details'!$J$8:$J$10000,'[1]2_inventory_total_details'!$C$8:$C$10000,I47,'[1]2_inventory_total_details'!$F$8:$F$10000,MID(N47,1,3)*1,'[1]2_inventory_total_details'!$G$8:$G$10000,"="&amp;S47,'[1]2_inventory_total_details'!$H$8:$H$10000,"="&amp;T47,'[1]2_inventory_total_details'!$I$8:$I$10000,"="&amp;adj_date)+SUMIFS('[1]2_inventory_total_details'!$M$8:$M$10000,'[1]1_inventory_total_details'!$C$8:$C$10000,I47,'[1]2_inventory_total_details'!$F$8:$F$10000,MID(N47,1,3)*1,'[1]2_inventory_total_details'!$G$8:$G$10000,"="&amp;S47,'[1]2_inventory_total_details'!$H$8:$H$10000,"="&amp;T47,'[1]2_inventory_total_details'!$I$8:$I$10000,"="&amp;adj_date)+SUMIFS('[1]2_inventory_total_details'!$K$8:$K$10000,'[1]2_inventory_total_details'!$C$8:$C$10000,I47,'[1]2_inventory_total_details'!$F$8:$F$10000,MID(N47,1,3)*1,'[1]2_inventory_total_details'!$G$8:$G$10000,"="&amp;S47,'[1]2_inventory_total_details'!$H$8:$H$10000,"="&amp;T47,'[1]2_inventory_total_details'!$I$8:$I$10000,"="&amp;adj_date)+SUMIFS('[1]2_inventory_total_details'!$L$8:$L$10000,'[1]2_inventory_total_details'!$C$8:$C$10000,I47,'[1]2_inventory_total_details'!$F$8:$F$10000,MID(N47,1,3)*1,'[1]2_inventory_total_details'!$G$8:$G$10000,"="&amp;S47,'[1]2_inventory_total_details'!$H$8:$H$10000,"="&amp;T47,'[1]2_inventory_total_details'!$I$8:$I$10000,"="&amp;adj_date)))</f>
        <v/>
      </c>
      <c r="AB47" s="270" t="str">
        <f>IF(L47="","",IF(MID(N47,1,3)*1=1,SUMIFS('[1]1_inventory_total_details'!$J$8:$J$10000,'[1]1_inventory_total_details'!$C$8:$C$10000,I47,'[1]1_inventory_total_details'!$F$8:$F$10000,MID(N47,1,3)*1,'[1]1_inventory_total_details'!$G$8:$G$10000,"="&amp;S47,'[1]1_inventory_total_details'!$H$8:$H$10000,"="&amp;T47,'[1]1_inventory_total_details'!$I$8:$I$10000,"="&amp;adj_date)+SUMIFS('[1]1_inventory_total_details'!$M$8:$M$10000,'[1]1_inventory_total_details'!$C$8:$C$10000,I47,'[1]1_inventory_total_details'!$F$8:$F$10000,MID(N47,1,3)*1,'[1]1_inventory_total_details'!$G$8:$G$10000,"="&amp;S47,'[1]1_inventory_total_details'!$H$8:$H$10000,"="&amp;T47,'[1]1_inventory_total_details'!$I$8:$I$10000,"="&amp;adj_date)+SUMIFS('[1]1_inventory_total_details'!$K$8:$K$10000,'[1]1_inventory_total_details'!$C$8:$C$10000,I47,'[1]1_inventory_total_details'!$F$8:$F$10000,MID(N47,1,3)*1,'[1]1_inventory_total_details'!$G$8:$G$10000,"="&amp;S47,'[1]1_inventory_total_details'!$H$8:$H$10000,"="&amp;T47,'[1]1_inventory_total_details'!$I$8:$I$10000,"="&amp;adj_date)+SUMIFS('[1]1_inventory_total_details'!$L$8:$L$10000,'[1]1_inventory_total_details'!$C$8:$C$10000,I47,'[1]1_inventory_total_details'!$F$8:$F$10000,MID(N47,1,3)*1,'[1]1_inventory_total_details'!$G$8:$G$10000,"="&amp;S47,'[1]1_inventory_total_details'!$H$8:$H$10000,"="&amp;T47,'[1]1_inventory_total_details'!$I$8:$I$10000,"="&amp;adj_date),SUMIFS('[1]2_inventory_total_details'!$J$8:$J$10000,'[1]2_inventory_total_details'!$C$8:$C$10000,I47,'[1]2_inventory_total_details'!$F$8:$F$10000,MID(N47,1,3)*1,'[1]2_inventory_total_details'!$G$8:$G$10000,"="&amp;S47,'[1]2_inventory_total_details'!$H$8:$H$10000,"="&amp;T47,'[1]2_inventory_total_details'!$I$8:$I$10000,"="&amp;adj_date)+SUMIFS('[1]2_inventory_total_details'!$M$8:$M$10000,'[1]1_inventory_total_details'!$C$8:$C$10000,I47,'[1]2_inventory_total_details'!$F$8:$F$10000,MID(N47,1,3)*1,'[1]2_inventory_total_details'!$G$8:$G$10000,"="&amp;S47,'[1]2_inventory_total_details'!$H$8:$H$10000,"="&amp;T47,'[1]2_inventory_total_details'!$I$8:$I$10000,"="&amp;adj_date)+SUMIFS('[1]2_inventory_total_details'!$K$8:$K$10000,'[1]2_inventory_total_details'!$C$8:$C$10000,I47,'[1]2_inventory_total_details'!$F$8:$F$10000,MID(N47,1,3)*1,'[1]2_inventory_total_details'!$G$8:$G$10000,"="&amp;S47,'[1]2_inventory_total_details'!$H$8:$H$10000,"="&amp;T47,'[1]2_inventory_total_details'!$I$8:$I$10000,"="&amp;adj_date)+SUMIFS('[1]2_inventory_total_details'!$L$8:$L$10000,'[1]2_inventory_total_details'!$C$8:$C$10000,I47,'[1]2_inventory_total_details'!$F$8:$F$10000,MID(N47,1,3)*1,'[1]2_inventory_total_details'!$G$8:$G$10000,"="&amp;S47,'[1]2_inventory_total_details'!$H$8:$H$10000,"="&amp;T47,'[1]2_inventory_total_details'!$I$8:$I$10000,"="&amp;adj_date)))</f>
        <v/>
      </c>
      <c r="AC47" s="270" t="str">
        <f>IF(L47="","",IF(MID(N47,1,3)*1=1,SUMIFS('[1]1_inventory_total_details'!$J$8:$J$10000,'[1]1_inventory_total_details'!$C$8:$C$10000,I47,'[1]1_inventory_total_details'!$F$8:$F$10000,MID(N47,1,3)*1,'[1]1_inventory_total_details'!$G$8:$G$10000,"="&amp;S47,'[1]1_inventory_total_details'!$H$8:$H$10000,"="&amp;T47,'[1]1_inventory_total_details'!$I$8:$I$10000,"="&amp;adj_date)+SUMIFS('[1]1_inventory_total_details'!$M$8:$M$10000,'[1]1_inventory_total_details'!$C$8:$C$10000,I47,'[1]1_inventory_total_details'!$F$8:$F$10000,MID(N47,1,3)*1,'[1]1_inventory_total_details'!$G$8:$G$10000,"="&amp;S47,'[1]1_inventory_total_details'!$H$8:$H$10000,"="&amp;T47,'[1]1_inventory_total_details'!$I$8:$I$10000,"="&amp;adj_date)+SUMIFS('[1]1_inventory_total_details'!$K$8:$K$10000,'[1]1_inventory_total_details'!$C$8:$C$10000,I47,'[1]1_inventory_total_details'!$F$8:$F$10000,MID(N47,1,3)*1,'[1]1_inventory_total_details'!$G$8:$G$10000,"="&amp;S47,'[1]1_inventory_total_details'!$H$8:$H$10000,"="&amp;T47,'[1]1_inventory_total_details'!$I$8:$I$10000,"="&amp;adj_date)+SUMIFS('[1]1_inventory_total_details'!$L$8:$L$10000,'[1]1_inventory_total_details'!$C$8:$C$10000,I47,'[1]1_inventory_total_details'!$F$8:$F$10000,MID(N47,1,3)*1,'[1]1_inventory_total_details'!$G$8:$G$10000,"="&amp;S47,'[1]1_inventory_total_details'!$H$8:$H$10000,"="&amp;T47,'[1]1_inventory_total_details'!$I$8:$I$10000,"="&amp;adj_date),SUMIFS('[1]2_inventory_total_details'!$J$8:$J$10000,'[1]2_inventory_total_details'!$C$8:$C$10000,I47,'[1]2_inventory_total_details'!$F$8:$F$10000,MID(N47,1,3)*1,'[1]2_inventory_total_details'!$G$8:$G$10000,"="&amp;S47,'[1]2_inventory_total_details'!$H$8:$H$10000,"="&amp;T47,'[1]2_inventory_total_details'!$I$8:$I$10000,"="&amp;adj_date)+SUMIFS('[1]2_inventory_total_details'!$M$8:$M$10000,'[1]1_inventory_total_details'!$C$8:$C$10000,I47,'[1]2_inventory_total_details'!$F$8:$F$10000,MID(N47,1,3)*1,'[1]2_inventory_total_details'!$G$8:$G$10000,"="&amp;S47,'[1]2_inventory_total_details'!$H$8:$H$10000,"="&amp;T47,'[1]2_inventory_total_details'!$I$8:$I$10000,"="&amp;adj_date)+SUMIFS('[1]2_inventory_total_details'!$K$8:$K$10000,'[1]2_inventory_total_details'!$C$8:$C$10000,I47,'[1]2_inventory_total_details'!$F$8:$F$10000,MID(N47,1,3)*1,'[1]2_inventory_total_details'!$G$8:$G$10000,"="&amp;S47,'[1]2_inventory_total_details'!$H$8:$H$10000,"="&amp;T47,'[1]2_inventory_total_details'!$I$8:$I$10000,"="&amp;adj_date)+SUMIFS('[1]2_inventory_total_details'!$L$8:$L$10000,'[1]2_inventory_total_details'!$C$8:$C$10000,I47,'[1]2_inventory_total_details'!$F$8:$F$10000,MID(N47,1,3)*1,'[1]2_inventory_total_details'!$G$8:$G$10000,"="&amp;S47,'[1]2_inventory_total_details'!$H$8:$H$10000,"="&amp;T47,'[1]2_inventory_total_details'!$I$8:$I$10000,"="&amp;adj_date)))</f>
        <v/>
      </c>
      <c r="AD47" s="270" t="str">
        <f>IF(L47="","",SUMIFS('[1]1_group_totals'!$J$8:$J$10000,'[1]1_group_totals'!$C$8:$C$10000,I47,'[1]1_group_totals'!$F$8:$F$10000,adj_location_group_id,'[1]1_group_totals'!$G$8:$G$10000,MID(N47,1,3)*1,'[1]1_group_totals'!$H$8:$H$10000,"="&amp;S47,'[1]1_group_totals'!$I$8:$I$10000,"="&amp;T47))</f>
        <v/>
      </c>
      <c r="AE47" s="1796" t="str">
        <f t="shared" si="11"/>
        <v/>
      </c>
      <c r="AF47" s="1797" t="str">
        <f>IF(ISNA(MATCH(MID(AE47,1,3)*1,UomConversion!$D$8:$D$500,0)),"",IF(AJ47&lt;&gt;"",AJ47,""))</f>
        <v/>
      </c>
      <c r="AG47" s="1797" t="str">
        <f>IF(AND(AH47&gt;0,COUNTIFS(UomConversion!$D$8:$D$500,MID(AE47,1,3)*1,UomConversion!$J$8:$J$500,1)&gt;1),TEXT(AH47,"000")&amp;"."&amp;VLOOKUP(AH47,uom_list,5,FALSE),"")</f>
        <v/>
      </c>
      <c r="AH47" s="270" t="str">
        <f t="shared" si="12"/>
        <v/>
      </c>
      <c r="AI47" s="270" t="str">
        <f t="shared" si="13"/>
        <v/>
      </c>
      <c r="AJ47" s="270" t="str">
        <f t="shared" si="14"/>
        <v/>
      </c>
      <c r="AK47" s="270" t="str" cm="1">
        <f t="array" ref="AK47">IF(L47="","",Slookup(MID(AE47,1,3)*1,UomConversion!$D$8:$J$500,2,UomConversion!$I$8:$I$500,1,UomConversion!$J$8:$J$500,1))</f>
        <v/>
      </c>
      <c r="AL47" s="270" t="str">
        <f t="shared" si="15"/>
        <v/>
      </c>
      <c r="AM47" s="270" t="str">
        <f>IF(L47="","",(SUMIFS('[1]1_group_totals'!$K$8:$K$10000,'[1]1_group_totals'!$C$8:$C$10000,I47,'[1]1_group_totals'!$F$8:$F$10000,adj_location_group_id,'[1]1_group_totals'!$G$8:$G$10000,MID(N47,1,3)*1,'[1]1_group_totals'!$H$8:$H$10000,"="&amp;S47,'[1]1_group_totals'!$I$8:$I$10000,"="&amp;T47)+SUMIFS('[1]1_group_totals'!$N$8:$N$10000,'[1]1_group_totals'!$C$8:$C$10000,I47,'[1]1_group_totals'!$F$8:$F$10000,adj_location_group_id,'[1]1_group_totals'!$G$8:$G$10000,MID(N47,1,3)*1,'[1]1_group_totals'!$H$8:$H$10000,"="&amp;S47,'[1]1_group_totals'!$I$8:$I$10000,"="&amp;T47)+SUMIFS('[1]1_group_totals'!$P$8:$P$10000,'[1]1_group_totals'!$C$8:$C$10000,I47,'[1]1_group_totals'!$F$8:$F$10000,adj_location_group_id,'[1]1_group_totals'!$G$8:$G$10000,MID(N47,1,3)*1,'[1]1_group_totals'!$H$8:$H$10000,"="&amp;S47,'[1]1_group_totals'!$I$8:$I$10000,"="&amp;T47)+SUMIFS('[1]1_group_totals'!$Q$8:$Q$10000,'[1]1_group_totals'!$C$8:$C$10000,I47,'[1]1_group_totals'!$F$8:$F$10000,adj_location_group_id,'[1]1_group_totals'!$G$8:$G$10000,MID(N47,1,3)*1,'[1]1_group_totals'!$H$8:$H$10000,"="&amp;S47,'[1]1_group_totals'!$I$8:$I$10000,"="&amp;T47))+(SUMIFS('[1]1_group_totals'!$L$8:$L$10000,'[1]1_group_totals'!$C$8:$C$10000,I47,'[1]1_group_totals'!$F$8:$F$10000,adj_location_group_id,'[1]1_group_totals'!$G$8:$G$10000,MID(N47,1,3)*1,'[1]1_group_totals'!$H$8:$H$10000,"="&amp;S47,'[1]1_group_totals'!$I$8:$I$10000,"="&amp;T47)+SUMIFS('[1]1_group_totals'!$M$8:$M$10000,'[1]1_group_totals'!$C$8:$C$10000,I47,'[1]1_group_totals'!$F$8:$F$10000,adj_location_group_id,'[1]1_group_totals'!$G$8:$G$10000,MID(N47,1,3)*1,'[1]1_group_totals'!$H$8:$H$10000,"="&amp;S47,'[1]1_group_totals'!$I$8:$I$10000,"="&amp;T47)+SUMIFS('[1]1_group_totals'!$O$8:$O$10000,'[1]1_group_totals'!$C$8:$C$10000,I47,'[1]1_group_totals'!$F$8:$F$10000,adj_location_group_id,'[1]1_group_totals'!$G$8:$G$10000,MID(N47,1,3)*1,'[1]1_group_totals'!$H$8:$H$10000,"="&amp;S47,'[1]1_group_totals'!$I$8:$I$10000,"="&amp;T47)+SUMIFS('[1]1_group_totals'!$R$8:$R$10000,'[1]1_group_totals'!$C$8:$C$10000,I47,'[1]1_group_totals'!$F$8:$F$10000,adj_location_group_id,'[1]1_group_totals'!$G$8:$G$10000,MID(N47,1,3)*1,'[1]1_group_totals'!$H$8:$H$10000,"="&amp;S47,'[1]1_group_totals'!$I$8:$I$10000,"="&amp;T47)))</f>
        <v/>
      </c>
      <c r="AN47" s="270" t="str">
        <f>IF(L47="","",(SUMIFS('[1]1_inventory_totals'!$I$8:$I$10000,'[1]1_inventory_totals'!$C$8:$C$10000,I47,'[1]1_inventory_totals'!$F$8:$F$10000,"="&amp;S47,'[1]1_inventory_totals'!$G$8:$G$10000,"="&amp;T47)+SUMIFS('[1]1_inventory_totals'!$N$8:$N$10000,'[1]1_inventory_totals'!$C$8:$C$10000,I47,'[1]1_inventory_totals'!$F$8:$F$10000,"="&amp;S47,'[1]1_inventory_totals'!$G$8:$G$10000,"="&amp;T47)+SUMIFS('[1]1_inventory_totals'!$P$8:$P$10000,'[1]1_inventory_totals'!$C$8:$C$10000,I47,'[1]1_inventory_totals'!$F$8:$F$10000,"="&amp;S47,'[1]1_inventory_totals'!$G$8:$G$10000,"="&amp;T47)+SUMIFS('[1]1_inventory_totals'!$Q$8:$Q$10000,'[1]1_inventory_totals'!$C$8:$C$10000,I47,'[1]1_inventory_totals'!$F$8:$F$10000,"="&amp;S47,'[1]1_inventory_totals'!$G$8:$G$10000,"="&amp;T47)+SUMIFS('[1]1_inventory_totals'!$R$8:$R$10000,'[1]1_inventory_totals'!$C$8:$C$10000,I47,'[1]1_inventory_totals'!$F$8:$F$10000,"="&amp;S47,'[1]1_inventory_totals'!$G$8:$G$10000,"="&amp;T47))+(SUMIFS('[1]1_inventory_totals'!$J$8:$J$10000,'[1]1_inventory_totals'!$C$8:$C$10000,I47,'[1]1_inventory_totals'!$F$8:$F$10000,"="&amp;S47,'[1]1_inventory_totals'!$G$8:$G$10000,"="&amp;T47)+SUMIFS('[1]1_inventory_totals'!$K$8:$K$10000,'[1]1_inventory_totals'!$C$8:$C$10000,I47,'[1]1_inventory_totals'!$F$8:$F$10000,"="&amp;S47,'[1]1_inventory_totals'!$G$8:$G$10000,"="&amp;T47)+SUMIFS('[1]1_inventory_totals'!$L$8:$L$10000,'[1]1_inventory_totals'!$C$8:$C$10000,I47,'[1]1_inventory_totals'!$F$8:$F$10000,"="&amp;S47,'[1]1_inventory_totals'!$G$8:$G$10000,"="&amp;T47)+SUMIFS('[1]1_inventory_totals'!$M$8:$M$10000,'[1]1_inventory_totals'!$C$8:$C$10000,I47,'[1]1_inventory_totals'!$F$8:$F$10000,"="&amp;S47,'[1]1_inventory_totals'!$G$8:$G$10000,"="&amp;T47)+SUMIFS('[1]1_inventory_totals'!$O$8:$O$10000,'[1]1_inventory_totals'!$C$8:$C$10000,I47,'[1]1_inventory_totals'!$F$8:$F$10000,"="&amp;S47,'[1]1_inventory_totals'!$G$8:$G$10000,"="&amp;T47)+SUMIFS('[1]1_inventory_totals'!$S$8:$S$10000,'[1]1_inventory_totals'!$C$8:$C$10000,I47,'[1]1_inventory_totals'!$F$8:$F$10000,"="&amp;S47,'[1]1_inventory_totals'!$G$8:$G$10000,"="&amp;T47)))</f>
        <v/>
      </c>
      <c r="AO47" s="270" t="str">
        <f>IF(L47="","",(SUMIFS('[1]2_inventory_totals'!$I$8:$I$10000,'[1]2_inventory_totals'!$C$8:$C$10000,I47,'[1]2_inventory_totals'!$F$8:$F$10000,"="&amp;S47,'[1]2_inventory_totals'!$G$8:$G$10000,"="&amp;T47)+SUMIFS('[1]2_inventory_totals'!$N$8:$N$10000,'[1]2_inventory_totals'!$C$8:$C$10000,I47,'[1]2_inventory_totals'!$F$8:$F$10000,"="&amp;S47,'[1]2_inventory_totals'!$G$8:$G$10000,"="&amp;T47)+SUMIFS('[1]2_inventory_totals'!$P$8:$P$10000,'[1]2_inventory_totals'!$C$8:$C$10000,I47,'[1]2_inventory_totals'!$F$8:$F$10000,"="&amp;S47,'[1]2_inventory_totals'!$G$8:$G$10000,"="&amp;T47)+SUMIFS('[1]2_inventory_totals'!$Q$8:$Q$10000,'[1]2_inventory_totals'!$C$8:$C$10000,I47,'[1]2_inventory_totals'!$F$8:$F$10000,"="&amp;S47,'[1]2_inventory_totals'!$G$8:$G$10000,"="&amp;T47)+SUMIFS('[1]2_inventory_totals'!$R$8:$R$10000,'[1]2_inventory_totals'!$C$8:$C$10000,I47,'[1]2_inventory_totals'!$F$8:$F$10000,"="&amp;S47,'[1]2_inventory_totals'!$G$8:$G$10000,"="&amp;T47))+(SUMIFS('[1]2_inventory_totals'!$J$8:$J$10000,'[1]2_inventory_totals'!$C$8:$C$10000,I47,'[1]2_inventory_totals'!$F$8:$F$10000,"="&amp;S47,'[1]2_inventory_totals'!$G$8:$G$10000,"="&amp;T47)+SUMIFS('[1]2_inventory_totals'!$K$8:$K$10000,'[1]2_inventory_totals'!$C$8:$C$10000,I47,'[1]2_inventory_totals'!$F$8:$F$10000,"="&amp;S47,'[1]2_inventory_totals'!$G$8:$G$10000,"="&amp;T47)+SUMIFS('[1]2_inventory_totals'!$L$8:$L$10000,'[1]2_inventory_totals'!$C$8:$C$10000,I47,'[1]2_inventory_totals'!$F$8:$F$10000,"="&amp;S47,'[1]2_inventory_totals'!$G$8:$G$10000,"="&amp;T47)+SUMIFS('[1]2_inventory_totals'!$M$8:$M$10000,'[1]2_inventory_totals'!$C$8:$C$10000,I47,'[1]2_inventory_totals'!$F$8:$F$10000,"="&amp;S47,'[1]2_inventory_totals'!$G$8:$G$10000,"="&amp;T47)+SUMIFS('[1]2_inventory_totals'!$O$8:$O$10000,'[1]2_inventory_totals'!$C$8:$C$10000,I47,'[1]2_inventory_totals'!$F$8:$F$10000,"="&amp;S47,'[1]2_inventory_totals'!$G$8:$G$10000,"="&amp;T47)+SUMIFS('[1]2_inventory_totals'!$S$8:$S$10000,'[1]2_inventory_totals'!$C$8:$C$10000,I47,'[1]2_inventory_totals'!$F$8:$F$10000,"="&amp;S47,'[1]2_inventory_totals'!$G$8:$G$10000,"="&amp;T47)))</f>
        <v/>
      </c>
      <c r="AP47" s="954"/>
    </row>
    <row r="48" spans="1:42" ht="27" customHeight="1">
      <c r="A48" s="923"/>
      <c r="B48" s="1172"/>
      <c r="C48" s="950"/>
      <c r="D48" s="950"/>
      <c r="E48" s="950"/>
      <c r="F48" s="1198"/>
      <c r="I48" s="1610" t="str">
        <f t="shared" si="5"/>
        <v/>
      </c>
      <c r="J48" s="270" t="str">
        <f t="shared" si="6"/>
        <v/>
      </c>
      <c r="K48" s="813" t="str">
        <f t="shared" si="16"/>
        <v/>
      </c>
      <c r="L48" s="1184"/>
      <c r="M48" s="1185"/>
      <c r="N48" s="1186"/>
      <c r="O48" s="1534"/>
      <c r="P48" s="336" t="str">
        <f t="shared" si="17"/>
        <v/>
      </c>
      <c r="Q48" s="336" t="str">
        <f>IF(L48="","",IF(AD48=0,0,(SUMIFS('[1]1_group_total_details'!$I$8:$I$10000,'[1]1_group_total_details'!$C$8:$C$10000,I48,'[1]1_group_total_details'!$F$8:$F$10000,adj_location_group_id,'[1]1_group_total_details'!$G$8:$G$10000,MID(N48,1,3)*1,'[1]1_group_total_details'!$H$8:$H$10000,"&lt;="&amp;adj_date)+SUMIFS('[1]1_group_total_details'!$L$8:$L$10000,'[1]1_group_total_details'!$C$8:$C$10000,I48,'[1]1_group_total_details'!$F$8:$F$10000,adj_location_group_id,'[1]1_group_total_details'!$G$8:$G$10000,MID(N48,1,3)*1,'[1]1_group_total_details'!$H$8:$H$10000,"&lt;="&amp;adj_date)+SUMIFS('[1]1_group_total_details'!$N$8:$N$10000,'[1]1_group_total_details'!$C$8:$C$10000,I48,'[1]1_group_total_details'!$F$8:$F$10000,adj_location_group_id,'[1]1_group_total_details'!$G$8:$G$10000,MID(N48,1,3)*1,'[1]1_group_total_details'!$H$8:$H$10000,"&lt;="&amp;adj_date)+SUMIFS('[1]1_group_total_details'!$O$8:$O$10000,'[1]1_group_total_details'!$C$8:$C$10000,I48,'[1]1_group_total_details'!$F$8:$F$10000,adj_location_group_id,'[1]1_group_total_details'!$G$8:$G$10000,MID(N48,1,3)*1,'[1]1_group_total_details'!$H$8:$H$10000,"&lt;="&amp;adj_date))-(SUMIFS('[1]1_group_total_details'!$J$8:$J$10000,'[1]1_group_total_details'!$C$8:$C$10000,I48,'[1]1_group_total_details'!$F$8:$F$10000,adj_location_group_id,'[1]1_group_total_details'!$G$8:$G$10000,MID(N48,1,3)*1,'[1]1_group_total_details'!$H$8:$H$10000,"&lt;="&amp;adj_date)+SUMIFS('[1]1_group_total_details'!$K$8:$K$10000,'[1]1_group_total_details'!$C$8:$C$10000,I48,'[1]1_group_total_details'!$F$8:$F$10000,adj_location_group_id,'[1]1_group_total_details'!$G$8:$G$10000,MID(N48,1,3)*1,'[1]1_group_total_details'!$H$8:$H$10000,"&lt;="&amp;adj_date)+SUMIFS('[1]1_group_total_details'!$M$8:$M$10000,'[1]1_group_total_details'!$C$8:$C$10000,I48,'[1]1_group_total_details'!$F$8:$F$10000,adj_location_group_id,'[1]1_group_total_details'!$G$8:$G$10000,MID(N48,1,3)*1,'[1]1_group_total_details'!$H$8:$H$10000,"&lt;="&amp;adj_date)+SUMIFS('[1]1_group_total_details'!$P$8:$P$10000,'[1]1_group_total_details'!$C$8:$C$10000,I48,'[1]1_group_total_details'!$F$8:$F$10000,adj_location_group_id,'[1]1_group_total_details'!$G$8:$G$10000,MID(N48,1,3)*1,'[1]1_group_total_details'!$H$8:$H$10000,"&lt;="&amp;adj_date))))</f>
        <v/>
      </c>
      <c r="R48" s="1187"/>
      <c r="S48" s="1186"/>
      <c r="T48" s="1186"/>
      <c r="U48" s="1184"/>
      <c r="V48" s="270" t="str" cm="1">
        <f t="array" ref="V48">IF(L48="","",IF(M48=AE48,1,Slookup(MID(AE48,1,3)*1,UomConversion!$D$8:$J$500,5,UomConversion!$E$8:$E$500,MID(M48,1,3)*1,UomConversion!$J$8:$J$500,1)))</f>
        <v/>
      </c>
      <c r="W48" s="270" t="str">
        <f t="shared" si="8"/>
        <v/>
      </c>
      <c r="X48" s="1795" t="str">
        <f t="shared" si="9"/>
        <v/>
      </c>
      <c r="Y48" s="1795" t="str">
        <f t="shared" si="10"/>
        <v/>
      </c>
      <c r="Z48" s="270" t="str">
        <f>IF(I48="","",IF(ISNA(MATCH(I48,IF(MID(N48,1,3)*1=1,'[1]1_inventory_totals'!$C$8:$C$10000,IF(MID(N48,1,3)*1=2,'[1]2_inventory_totals'!$C$8:$C$10000,"")),0)),0,IF(AL48&gt;0,1,0)))</f>
        <v/>
      </c>
      <c r="AA48" s="270" t="str">
        <f>IF(L48="","",IF(MID(N48,1,3)*1=1,SUMIFS('[1]1_inventory_total_details'!$J$8:$J$10000,'[1]1_inventory_total_details'!$C$8:$C$10000,I48,'[1]1_inventory_total_details'!$F$8:$F$10000,MID(N48,1,3)*1,'[1]1_inventory_total_details'!$G$8:$G$10000,"="&amp;S48,'[1]1_inventory_total_details'!$H$8:$H$10000,"="&amp;T48,'[1]1_inventory_total_details'!$I$8:$I$10000,"="&amp;adj_date)+SUMIFS('[1]1_inventory_total_details'!$M$8:$M$10000,'[1]1_inventory_total_details'!$C$8:$C$10000,I48,'[1]1_inventory_total_details'!$F$8:$F$10000,MID(N48,1,3)*1,'[1]1_inventory_total_details'!$G$8:$G$10000,"="&amp;S48,'[1]1_inventory_total_details'!$H$8:$H$10000,"="&amp;T48,'[1]1_inventory_total_details'!$I$8:$I$10000,"="&amp;adj_date)+SUMIFS('[1]1_inventory_total_details'!$K$8:$K$10000,'[1]1_inventory_total_details'!$C$8:$C$10000,I48,'[1]1_inventory_total_details'!$F$8:$F$10000,MID(N48,1,3)*1,'[1]1_inventory_total_details'!$G$8:$G$10000,"="&amp;S48,'[1]1_inventory_total_details'!$H$8:$H$10000,"="&amp;T48,'[1]1_inventory_total_details'!$I$8:$I$10000,"="&amp;adj_date)+SUMIFS('[1]1_inventory_total_details'!$L$8:$L$10000,'[1]1_inventory_total_details'!$C$8:$C$10000,I48,'[1]1_inventory_total_details'!$F$8:$F$10000,MID(N48,1,3)*1,'[1]1_inventory_total_details'!$G$8:$G$10000,"="&amp;S48,'[1]1_inventory_total_details'!$H$8:$H$10000,"="&amp;T48,'[1]1_inventory_total_details'!$I$8:$I$10000,"="&amp;adj_date),SUMIFS('[1]2_inventory_total_details'!$J$8:$J$10000,'[1]2_inventory_total_details'!$C$8:$C$10000,I48,'[1]2_inventory_total_details'!$F$8:$F$10000,MID(N48,1,3)*1,'[1]2_inventory_total_details'!$G$8:$G$10000,"="&amp;S48,'[1]2_inventory_total_details'!$H$8:$H$10000,"="&amp;T48,'[1]2_inventory_total_details'!$I$8:$I$10000,"="&amp;adj_date)+SUMIFS('[1]2_inventory_total_details'!$M$8:$M$10000,'[1]1_inventory_total_details'!$C$8:$C$10000,I48,'[1]2_inventory_total_details'!$F$8:$F$10000,MID(N48,1,3)*1,'[1]2_inventory_total_details'!$G$8:$G$10000,"="&amp;S48,'[1]2_inventory_total_details'!$H$8:$H$10000,"="&amp;T48,'[1]2_inventory_total_details'!$I$8:$I$10000,"="&amp;adj_date)+SUMIFS('[1]2_inventory_total_details'!$K$8:$K$10000,'[1]2_inventory_total_details'!$C$8:$C$10000,I48,'[1]2_inventory_total_details'!$F$8:$F$10000,MID(N48,1,3)*1,'[1]2_inventory_total_details'!$G$8:$G$10000,"="&amp;S48,'[1]2_inventory_total_details'!$H$8:$H$10000,"="&amp;T48,'[1]2_inventory_total_details'!$I$8:$I$10000,"="&amp;adj_date)+SUMIFS('[1]2_inventory_total_details'!$L$8:$L$10000,'[1]2_inventory_total_details'!$C$8:$C$10000,I48,'[1]2_inventory_total_details'!$F$8:$F$10000,MID(N48,1,3)*1,'[1]2_inventory_total_details'!$G$8:$G$10000,"="&amp;S48,'[1]2_inventory_total_details'!$H$8:$H$10000,"="&amp;T48,'[1]2_inventory_total_details'!$I$8:$I$10000,"="&amp;adj_date)))</f>
        <v/>
      </c>
      <c r="AB48" s="270" t="str">
        <f>IF(L48="","",IF(MID(N48,1,3)*1=1,SUMIFS('[1]1_inventory_total_details'!$J$8:$J$10000,'[1]1_inventory_total_details'!$C$8:$C$10000,I48,'[1]1_inventory_total_details'!$F$8:$F$10000,MID(N48,1,3)*1,'[1]1_inventory_total_details'!$G$8:$G$10000,"="&amp;S48,'[1]1_inventory_total_details'!$H$8:$H$10000,"="&amp;T48,'[1]1_inventory_total_details'!$I$8:$I$10000,"="&amp;adj_date)+SUMIFS('[1]1_inventory_total_details'!$M$8:$M$10000,'[1]1_inventory_total_details'!$C$8:$C$10000,I48,'[1]1_inventory_total_details'!$F$8:$F$10000,MID(N48,1,3)*1,'[1]1_inventory_total_details'!$G$8:$G$10000,"="&amp;S48,'[1]1_inventory_total_details'!$H$8:$H$10000,"="&amp;T48,'[1]1_inventory_total_details'!$I$8:$I$10000,"="&amp;adj_date)+SUMIFS('[1]1_inventory_total_details'!$K$8:$K$10000,'[1]1_inventory_total_details'!$C$8:$C$10000,I48,'[1]1_inventory_total_details'!$F$8:$F$10000,MID(N48,1,3)*1,'[1]1_inventory_total_details'!$G$8:$G$10000,"="&amp;S48,'[1]1_inventory_total_details'!$H$8:$H$10000,"="&amp;T48,'[1]1_inventory_total_details'!$I$8:$I$10000,"="&amp;adj_date)+SUMIFS('[1]1_inventory_total_details'!$L$8:$L$10000,'[1]1_inventory_total_details'!$C$8:$C$10000,I48,'[1]1_inventory_total_details'!$F$8:$F$10000,MID(N48,1,3)*1,'[1]1_inventory_total_details'!$G$8:$G$10000,"="&amp;S48,'[1]1_inventory_total_details'!$H$8:$H$10000,"="&amp;T48,'[1]1_inventory_total_details'!$I$8:$I$10000,"="&amp;adj_date),SUMIFS('[1]2_inventory_total_details'!$J$8:$J$10000,'[1]2_inventory_total_details'!$C$8:$C$10000,I48,'[1]2_inventory_total_details'!$F$8:$F$10000,MID(N48,1,3)*1,'[1]2_inventory_total_details'!$G$8:$G$10000,"="&amp;S48,'[1]2_inventory_total_details'!$H$8:$H$10000,"="&amp;T48,'[1]2_inventory_total_details'!$I$8:$I$10000,"="&amp;adj_date)+SUMIFS('[1]2_inventory_total_details'!$M$8:$M$10000,'[1]1_inventory_total_details'!$C$8:$C$10000,I48,'[1]2_inventory_total_details'!$F$8:$F$10000,MID(N48,1,3)*1,'[1]2_inventory_total_details'!$G$8:$G$10000,"="&amp;S48,'[1]2_inventory_total_details'!$H$8:$H$10000,"="&amp;T48,'[1]2_inventory_total_details'!$I$8:$I$10000,"="&amp;adj_date)+SUMIFS('[1]2_inventory_total_details'!$K$8:$K$10000,'[1]2_inventory_total_details'!$C$8:$C$10000,I48,'[1]2_inventory_total_details'!$F$8:$F$10000,MID(N48,1,3)*1,'[1]2_inventory_total_details'!$G$8:$G$10000,"="&amp;S48,'[1]2_inventory_total_details'!$H$8:$H$10000,"="&amp;T48,'[1]2_inventory_total_details'!$I$8:$I$10000,"="&amp;adj_date)+SUMIFS('[1]2_inventory_total_details'!$L$8:$L$10000,'[1]2_inventory_total_details'!$C$8:$C$10000,I48,'[1]2_inventory_total_details'!$F$8:$F$10000,MID(N48,1,3)*1,'[1]2_inventory_total_details'!$G$8:$G$10000,"="&amp;S48,'[1]2_inventory_total_details'!$H$8:$H$10000,"="&amp;T48,'[1]2_inventory_total_details'!$I$8:$I$10000,"="&amp;adj_date)))</f>
        <v/>
      </c>
      <c r="AC48" s="270" t="str">
        <f>IF(L48="","",IF(MID(N48,1,3)*1=1,SUMIFS('[1]1_inventory_total_details'!$J$8:$J$10000,'[1]1_inventory_total_details'!$C$8:$C$10000,I48,'[1]1_inventory_total_details'!$F$8:$F$10000,MID(N48,1,3)*1,'[1]1_inventory_total_details'!$G$8:$G$10000,"="&amp;S48,'[1]1_inventory_total_details'!$H$8:$H$10000,"="&amp;T48,'[1]1_inventory_total_details'!$I$8:$I$10000,"="&amp;adj_date)+SUMIFS('[1]1_inventory_total_details'!$M$8:$M$10000,'[1]1_inventory_total_details'!$C$8:$C$10000,I48,'[1]1_inventory_total_details'!$F$8:$F$10000,MID(N48,1,3)*1,'[1]1_inventory_total_details'!$G$8:$G$10000,"="&amp;S48,'[1]1_inventory_total_details'!$H$8:$H$10000,"="&amp;T48,'[1]1_inventory_total_details'!$I$8:$I$10000,"="&amp;adj_date)+SUMIFS('[1]1_inventory_total_details'!$K$8:$K$10000,'[1]1_inventory_total_details'!$C$8:$C$10000,I48,'[1]1_inventory_total_details'!$F$8:$F$10000,MID(N48,1,3)*1,'[1]1_inventory_total_details'!$G$8:$G$10000,"="&amp;S48,'[1]1_inventory_total_details'!$H$8:$H$10000,"="&amp;T48,'[1]1_inventory_total_details'!$I$8:$I$10000,"="&amp;adj_date)+SUMIFS('[1]1_inventory_total_details'!$L$8:$L$10000,'[1]1_inventory_total_details'!$C$8:$C$10000,I48,'[1]1_inventory_total_details'!$F$8:$F$10000,MID(N48,1,3)*1,'[1]1_inventory_total_details'!$G$8:$G$10000,"="&amp;S48,'[1]1_inventory_total_details'!$H$8:$H$10000,"="&amp;T48,'[1]1_inventory_total_details'!$I$8:$I$10000,"="&amp;adj_date),SUMIFS('[1]2_inventory_total_details'!$J$8:$J$10000,'[1]2_inventory_total_details'!$C$8:$C$10000,I48,'[1]2_inventory_total_details'!$F$8:$F$10000,MID(N48,1,3)*1,'[1]2_inventory_total_details'!$G$8:$G$10000,"="&amp;S48,'[1]2_inventory_total_details'!$H$8:$H$10000,"="&amp;T48,'[1]2_inventory_total_details'!$I$8:$I$10000,"="&amp;adj_date)+SUMIFS('[1]2_inventory_total_details'!$M$8:$M$10000,'[1]1_inventory_total_details'!$C$8:$C$10000,I48,'[1]2_inventory_total_details'!$F$8:$F$10000,MID(N48,1,3)*1,'[1]2_inventory_total_details'!$G$8:$G$10000,"="&amp;S48,'[1]2_inventory_total_details'!$H$8:$H$10000,"="&amp;T48,'[1]2_inventory_total_details'!$I$8:$I$10000,"="&amp;adj_date)+SUMIFS('[1]2_inventory_total_details'!$K$8:$K$10000,'[1]2_inventory_total_details'!$C$8:$C$10000,I48,'[1]2_inventory_total_details'!$F$8:$F$10000,MID(N48,1,3)*1,'[1]2_inventory_total_details'!$G$8:$G$10000,"="&amp;S48,'[1]2_inventory_total_details'!$H$8:$H$10000,"="&amp;T48,'[1]2_inventory_total_details'!$I$8:$I$10000,"="&amp;adj_date)+SUMIFS('[1]2_inventory_total_details'!$L$8:$L$10000,'[1]2_inventory_total_details'!$C$8:$C$10000,I48,'[1]2_inventory_total_details'!$F$8:$F$10000,MID(N48,1,3)*1,'[1]2_inventory_total_details'!$G$8:$G$10000,"="&amp;S48,'[1]2_inventory_total_details'!$H$8:$H$10000,"="&amp;T48,'[1]2_inventory_total_details'!$I$8:$I$10000,"="&amp;adj_date)))</f>
        <v/>
      </c>
      <c r="AD48" s="270" t="str">
        <f>IF(L48="","",SUMIFS('[1]1_group_totals'!$J$8:$J$10000,'[1]1_group_totals'!$C$8:$C$10000,I48,'[1]1_group_totals'!$F$8:$F$10000,adj_location_group_id,'[1]1_group_totals'!$G$8:$G$10000,MID(N48,1,3)*1,'[1]1_group_totals'!$H$8:$H$10000,"="&amp;S48,'[1]1_group_totals'!$I$8:$I$10000,"="&amp;T48))</f>
        <v/>
      </c>
      <c r="AE48" s="1796" t="str">
        <f t="shared" si="11"/>
        <v/>
      </c>
      <c r="AF48" s="1797" t="str">
        <f>IF(ISNA(MATCH(MID(AE48,1,3)*1,UomConversion!$D$8:$D$500,0)),"",IF(AJ48&lt;&gt;"",AJ48,""))</f>
        <v/>
      </c>
      <c r="AG48" s="1797" t="str">
        <f>IF(AND(AH48&gt;0,COUNTIFS(UomConversion!$D$8:$D$500,MID(AE48,1,3)*1,UomConversion!$J$8:$J$500,1)&gt;1),TEXT(AH48,"000")&amp;"."&amp;VLOOKUP(AH48,uom_list,5,FALSE),"")</f>
        <v/>
      </c>
      <c r="AH48" s="270" t="str">
        <f t="shared" si="12"/>
        <v/>
      </c>
      <c r="AI48" s="270" t="str">
        <f t="shared" si="13"/>
        <v/>
      </c>
      <c r="AJ48" s="270" t="str">
        <f t="shared" si="14"/>
        <v/>
      </c>
      <c r="AK48" s="270" t="str" cm="1">
        <f t="array" ref="AK48">IF(L48="","",Slookup(MID(AE48,1,3)*1,UomConversion!$D$8:$J$500,2,UomConversion!$I$8:$I$500,1,UomConversion!$J$8:$J$500,1))</f>
        <v/>
      </c>
      <c r="AL48" s="270" t="str">
        <f t="shared" si="15"/>
        <v/>
      </c>
      <c r="AM48" s="270" t="str">
        <f>IF(L48="","",(SUMIFS('[1]1_group_totals'!$K$8:$K$10000,'[1]1_group_totals'!$C$8:$C$10000,I48,'[1]1_group_totals'!$F$8:$F$10000,adj_location_group_id,'[1]1_group_totals'!$G$8:$G$10000,MID(N48,1,3)*1,'[1]1_group_totals'!$H$8:$H$10000,"="&amp;S48,'[1]1_group_totals'!$I$8:$I$10000,"="&amp;T48)+SUMIFS('[1]1_group_totals'!$N$8:$N$10000,'[1]1_group_totals'!$C$8:$C$10000,I48,'[1]1_group_totals'!$F$8:$F$10000,adj_location_group_id,'[1]1_group_totals'!$G$8:$G$10000,MID(N48,1,3)*1,'[1]1_group_totals'!$H$8:$H$10000,"="&amp;S48,'[1]1_group_totals'!$I$8:$I$10000,"="&amp;T48)+SUMIFS('[1]1_group_totals'!$P$8:$P$10000,'[1]1_group_totals'!$C$8:$C$10000,I48,'[1]1_group_totals'!$F$8:$F$10000,adj_location_group_id,'[1]1_group_totals'!$G$8:$G$10000,MID(N48,1,3)*1,'[1]1_group_totals'!$H$8:$H$10000,"="&amp;S48,'[1]1_group_totals'!$I$8:$I$10000,"="&amp;T48)+SUMIFS('[1]1_group_totals'!$Q$8:$Q$10000,'[1]1_group_totals'!$C$8:$C$10000,I48,'[1]1_group_totals'!$F$8:$F$10000,adj_location_group_id,'[1]1_group_totals'!$G$8:$G$10000,MID(N48,1,3)*1,'[1]1_group_totals'!$H$8:$H$10000,"="&amp;S48,'[1]1_group_totals'!$I$8:$I$10000,"="&amp;T48))+(SUMIFS('[1]1_group_totals'!$L$8:$L$10000,'[1]1_group_totals'!$C$8:$C$10000,I48,'[1]1_group_totals'!$F$8:$F$10000,adj_location_group_id,'[1]1_group_totals'!$G$8:$G$10000,MID(N48,1,3)*1,'[1]1_group_totals'!$H$8:$H$10000,"="&amp;S48,'[1]1_group_totals'!$I$8:$I$10000,"="&amp;T48)+SUMIFS('[1]1_group_totals'!$M$8:$M$10000,'[1]1_group_totals'!$C$8:$C$10000,I48,'[1]1_group_totals'!$F$8:$F$10000,adj_location_group_id,'[1]1_group_totals'!$G$8:$G$10000,MID(N48,1,3)*1,'[1]1_group_totals'!$H$8:$H$10000,"="&amp;S48,'[1]1_group_totals'!$I$8:$I$10000,"="&amp;T48)+SUMIFS('[1]1_group_totals'!$O$8:$O$10000,'[1]1_group_totals'!$C$8:$C$10000,I48,'[1]1_group_totals'!$F$8:$F$10000,adj_location_group_id,'[1]1_group_totals'!$G$8:$G$10000,MID(N48,1,3)*1,'[1]1_group_totals'!$H$8:$H$10000,"="&amp;S48,'[1]1_group_totals'!$I$8:$I$10000,"="&amp;T48)+SUMIFS('[1]1_group_totals'!$R$8:$R$10000,'[1]1_group_totals'!$C$8:$C$10000,I48,'[1]1_group_totals'!$F$8:$F$10000,adj_location_group_id,'[1]1_group_totals'!$G$8:$G$10000,MID(N48,1,3)*1,'[1]1_group_totals'!$H$8:$H$10000,"="&amp;S48,'[1]1_group_totals'!$I$8:$I$10000,"="&amp;T48)))</f>
        <v/>
      </c>
      <c r="AN48" s="270" t="str">
        <f>IF(L48="","",(SUMIFS('[1]1_inventory_totals'!$I$8:$I$10000,'[1]1_inventory_totals'!$C$8:$C$10000,I48,'[1]1_inventory_totals'!$F$8:$F$10000,"="&amp;S48,'[1]1_inventory_totals'!$G$8:$G$10000,"="&amp;T48)+SUMIFS('[1]1_inventory_totals'!$N$8:$N$10000,'[1]1_inventory_totals'!$C$8:$C$10000,I48,'[1]1_inventory_totals'!$F$8:$F$10000,"="&amp;S48,'[1]1_inventory_totals'!$G$8:$G$10000,"="&amp;T48)+SUMIFS('[1]1_inventory_totals'!$P$8:$P$10000,'[1]1_inventory_totals'!$C$8:$C$10000,I48,'[1]1_inventory_totals'!$F$8:$F$10000,"="&amp;S48,'[1]1_inventory_totals'!$G$8:$G$10000,"="&amp;T48)+SUMIFS('[1]1_inventory_totals'!$Q$8:$Q$10000,'[1]1_inventory_totals'!$C$8:$C$10000,I48,'[1]1_inventory_totals'!$F$8:$F$10000,"="&amp;S48,'[1]1_inventory_totals'!$G$8:$G$10000,"="&amp;T48)+SUMIFS('[1]1_inventory_totals'!$R$8:$R$10000,'[1]1_inventory_totals'!$C$8:$C$10000,I48,'[1]1_inventory_totals'!$F$8:$F$10000,"="&amp;S48,'[1]1_inventory_totals'!$G$8:$G$10000,"="&amp;T48))+(SUMIFS('[1]1_inventory_totals'!$J$8:$J$10000,'[1]1_inventory_totals'!$C$8:$C$10000,I48,'[1]1_inventory_totals'!$F$8:$F$10000,"="&amp;S48,'[1]1_inventory_totals'!$G$8:$G$10000,"="&amp;T48)+SUMIFS('[1]1_inventory_totals'!$K$8:$K$10000,'[1]1_inventory_totals'!$C$8:$C$10000,I48,'[1]1_inventory_totals'!$F$8:$F$10000,"="&amp;S48,'[1]1_inventory_totals'!$G$8:$G$10000,"="&amp;T48)+SUMIFS('[1]1_inventory_totals'!$L$8:$L$10000,'[1]1_inventory_totals'!$C$8:$C$10000,I48,'[1]1_inventory_totals'!$F$8:$F$10000,"="&amp;S48,'[1]1_inventory_totals'!$G$8:$G$10000,"="&amp;T48)+SUMIFS('[1]1_inventory_totals'!$M$8:$M$10000,'[1]1_inventory_totals'!$C$8:$C$10000,I48,'[1]1_inventory_totals'!$F$8:$F$10000,"="&amp;S48,'[1]1_inventory_totals'!$G$8:$G$10000,"="&amp;T48)+SUMIFS('[1]1_inventory_totals'!$O$8:$O$10000,'[1]1_inventory_totals'!$C$8:$C$10000,I48,'[1]1_inventory_totals'!$F$8:$F$10000,"="&amp;S48,'[1]1_inventory_totals'!$G$8:$G$10000,"="&amp;T48)+SUMIFS('[1]1_inventory_totals'!$S$8:$S$10000,'[1]1_inventory_totals'!$C$8:$C$10000,I48,'[1]1_inventory_totals'!$F$8:$F$10000,"="&amp;S48,'[1]1_inventory_totals'!$G$8:$G$10000,"="&amp;T48)))</f>
        <v/>
      </c>
      <c r="AO48" s="270" t="str">
        <f>IF(L48="","",(SUMIFS('[1]2_inventory_totals'!$I$8:$I$10000,'[1]2_inventory_totals'!$C$8:$C$10000,I48,'[1]2_inventory_totals'!$F$8:$F$10000,"="&amp;S48,'[1]2_inventory_totals'!$G$8:$G$10000,"="&amp;T48)+SUMIFS('[1]2_inventory_totals'!$N$8:$N$10000,'[1]2_inventory_totals'!$C$8:$C$10000,I48,'[1]2_inventory_totals'!$F$8:$F$10000,"="&amp;S48,'[1]2_inventory_totals'!$G$8:$G$10000,"="&amp;T48)+SUMIFS('[1]2_inventory_totals'!$P$8:$P$10000,'[1]2_inventory_totals'!$C$8:$C$10000,I48,'[1]2_inventory_totals'!$F$8:$F$10000,"="&amp;S48,'[1]2_inventory_totals'!$G$8:$G$10000,"="&amp;T48)+SUMIFS('[1]2_inventory_totals'!$Q$8:$Q$10000,'[1]2_inventory_totals'!$C$8:$C$10000,I48,'[1]2_inventory_totals'!$F$8:$F$10000,"="&amp;S48,'[1]2_inventory_totals'!$G$8:$G$10000,"="&amp;T48)+SUMIFS('[1]2_inventory_totals'!$R$8:$R$10000,'[1]2_inventory_totals'!$C$8:$C$10000,I48,'[1]2_inventory_totals'!$F$8:$F$10000,"="&amp;S48,'[1]2_inventory_totals'!$G$8:$G$10000,"="&amp;T48))+(SUMIFS('[1]2_inventory_totals'!$J$8:$J$10000,'[1]2_inventory_totals'!$C$8:$C$10000,I48,'[1]2_inventory_totals'!$F$8:$F$10000,"="&amp;S48,'[1]2_inventory_totals'!$G$8:$G$10000,"="&amp;T48)+SUMIFS('[1]2_inventory_totals'!$K$8:$K$10000,'[1]2_inventory_totals'!$C$8:$C$10000,I48,'[1]2_inventory_totals'!$F$8:$F$10000,"="&amp;S48,'[1]2_inventory_totals'!$G$8:$G$10000,"="&amp;T48)+SUMIFS('[1]2_inventory_totals'!$L$8:$L$10000,'[1]2_inventory_totals'!$C$8:$C$10000,I48,'[1]2_inventory_totals'!$F$8:$F$10000,"="&amp;S48,'[1]2_inventory_totals'!$G$8:$G$10000,"="&amp;T48)+SUMIFS('[1]2_inventory_totals'!$M$8:$M$10000,'[1]2_inventory_totals'!$C$8:$C$10000,I48,'[1]2_inventory_totals'!$F$8:$F$10000,"="&amp;S48,'[1]2_inventory_totals'!$G$8:$G$10000,"="&amp;T48)+SUMIFS('[1]2_inventory_totals'!$O$8:$O$10000,'[1]2_inventory_totals'!$C$8:$C$10000,I48,'[1]2_inventory_totals'!$F$8:$F$10000,"="&amp;S48,'[1]2_inventory_totals'!$G$8:$G$10000,"="&amp;T48)+SUMIFS('[1]2_inventory_totals'!$S$8:$S$10000,'[1]2_inventory_totals'!$C$8:$C$10000,I48,'[1]2_inventory_totals'!$F$8:$F$10000,"="&amp;S48,'[1]2_inventory_totals'!$G$8:$G$10000,"="&amp;T48)))</f>
        <v/>
      </c>
      <c r="AP48" s="954"/>
    </row>
    <row r="49" spans="1:42" ht="27" customHeight="1">
      <c r="A49" s="923"/>
      <c r="B49" s="1172"/>
      <c r="C49" s="950"/>
      <c r="D49" s="950"/>
      <c r="E49" s="950"/>
      <c r="F49" s="1198"/>
      <c r="I49" s="1610" t="str">
        <f t="shared" si="5"/>
        <v/>
      </c>
      <c r="J49" s="270" t="str">
        <f t="shared" si="6"/>
        <v/>
      </c>
      <c r="K49" s="813" t="str">
        <f t="shared" si="16"/>
        <v/>
      </c>
      <c r="L49" s="1184"/>
      <c r="M49" s="1185"/>
      <c r="N49" s="1186"/>
      <c r="O49" s="1534"/>
      <c r="P49" s="336" t="str">
        <f t="shared" si="17"/>
        <v/>
      </c>
      <c r="Q49" s="336" t="str">
        <f>IF(L49="","",IF(AD49=0,0,(SUMIFS('[1]1_group_total_details'!$I$8:$I$10000,'[1]1_group_total_details'!$C$8:$C$10000,I49,'[1]1_group_total_details'!$F$8:$F$10000,adj_location_group_id,'[1]1_group_total_details'!$G$8:$G$10000,MID(N49,1,3)*1,'[1]1_group_total_details'!$H$8:$H$10000,"&lt;="&amp;adj_date)+SUMIFS('[1]1_group_total_details'!$L$8:$L$10000,'[1]1_group_total_details'!$C$8:$C$10000,I49,'[1]1_group_total_details'!$F$8:$F$10000,adj_location_group_id,'[1]1_group_total_details'!$G$8:$G$10000,MID(N49,1,3)*1,'[1]1_group_total_details'!$H$8:$H$10000,"&lt;="&amp;adj_date)+SUMIFS('[1]1_group_total_details'!$N$8:$N$10000,'[1]1_group_total_details'!$C$8:$C$10000,I49,'[1]1_group_total_details'!$F$8:$F$10000,adj_location_group_id,'[1]1_group_total_details'!$G$8:$G$10000,MID(N49,1,3)*1,'[1]1_group_total_details'!$H$8:$H$10000,"&lt;="&amp;adj_date)+SUMIFS('[1]1_group_total_details'!$O$8:$O$10000,'[1]1_group_total_details'!$C$8:$C$10000,I49,'[1]1_group_total_details'!$F$8:$F$10000,adj_location_group_id,'[1]1_group_total_details'!$G$8:$G$10000,MID(N49,1,3)*1,'[1]1_group_total_details'!$H$8:$H$10000,"&lt;="&amp;adj_date))-(SUMIFS('[1]1_group_total_details'!$J$8:$J$10000,'[1]1_group_total_details'!$C$8:$C$10000,I49,'[1]1_group_total_details'!$F$8:$F$10000,adj_location_group_id,'[1]1_group_total_details'!$G$8:$G$10000,MID(N49,1,3)*1,'[1]1_group_total_details'!$H$8:$H$10000,"&lt;="&amp;adj_date)+SUMIFS('[1]1_group_total_details'!$K$8:$K$10000,'[1]1_group_total_details'!$C$8:$C$10000,I49,'[1]1_group_total_details'!$F$8:$F$10000,adj_location_group_id,'[1]1_group_total_details'!$G$8:$G$10000,MID(N49,1,3)*1,'[1]1_group_total_details'!$H$8:$H$10000,"&lt;="&amp;adj_date)+SUMIFS('[1]1_group_total_details'!$M$8:$M$10000,'[1]1_group_total_details'!$C$8:$C$10000,I49,'[1]1_group_total_details'!$F$8:$F$10000,adj_location_group_id,'[1]1_group_total_details'!$G$8:$G$10000,MID(N49,1,3)*1,'[1]1_group_total_details'!$H$8:$H$10000,"&lt;="&amp;adj_date)+SUMIFS('[1]1_group_total_details'!$P$8:$P$10000,'[1]1_group_total_details'!$C$8:$C$10000,I49,'[1]1_group_total_details'!$F$8:$F$10000,adj_location_group_id,'[1]1_group_total_details'!$G$8:$G$10000,MID(N49,1,3)*1,'[1]1_group_total_details'!$H$8:$H$10000,"&lt;="&amp;adj_date))))</f>
        <v/>
      </c>
      <c r="R49" s="1187"/>
      <c r="S49" s="1186"/>
      <c r="T49" s="1186"/>
      <c r="U49" s="1184"/>
      <c r="V49" s="270" t="str" cm="1">
        <f t="array" ref="V49">IF(L49="","",IF(M49=AE49,1,Slookup(MID(AE49,1,3)*1,UomConversion!$D$8:$J$500,5,UomConversion!$E$8:$E$500,MID(M49,1,3)*1,UomConversion!$J$8:$J$500,1)))</f>
        <v/>
      </c>
      <c r="W49" s="270" t="str">
        <f t="shared" si="8"/>
        <v/>
      </c>
      <c r="X49" s="1795" t="str">
        <f t="shared" si="9"/>
        <v/>
      </c>
      <c r="Y49" s="1795" t="str">
        <f t="shared" si="10"/>
        <v/>
      </c>
      <c r="Z49" s="270" t="str">
        <f>IF(I49="","",IF(ISNA(MATCH(I49,IF(MID(N49,1,3)*1=1,'[1]1_inventory_totals'!$C$8:$C$10000,IF(MID(N49,1,3)*1=2,'[1]2_inventory_totals'!$C$8:$C$10000,"")),0)),0,IF(AL49&gt;0,1,0)))</f>
        <v/>
      </c>
      <c r="AA49" s="270" t="str">
        <f>IF(L49="","",IF(MID(N49,1,3)*1=1,SUMIFS('[1]1_inventory_total_details'!$J$8:$J$10000,'[1]1_inventory_total_details'!$C$8:$C$10000,I49,'[1]1_inventory_total_details'!$F$8:$F$10000,MID(N49,1,3)*1,'[1]1_inventory_total_details'!$G$8:$G$10000,"="&amp;S49,'[1]1_inventory_total_details'!$H$8:$H$10000,"="&amp;T49,'[1]1_inventory_total_details'!$I$8:$I$10000,"="&amp;adj_date)+SUMIFS('[1]1_inventory_total_details'!$M$8:$M$10000,'[1]1_inventory_total_details'!$C$8:$C$10000,I49,'[1]1_inventory_total_details'!$F$8:$F$10000,MID(N49,1,3)*1,'[1]1_inventory_total_details'!$G$8:$G$10000,"="&amp;S49,'[1]1_inventory_total_details'!$H$8:$H$10000,"="&amp;T49,'[1]1_inventory_total_details'!$I$8:$I$10000,"="&amp;adj_date)+SUMIFS('[1]1_inventory_total_details'!$K$8:$K$10000,'[1]1_inventory_total_details'!$C$8:$C$10000,I49,'[1]1_inventory_total_details'!$F$8:$F$10000,MID(N49,1,3)*1,'[1]1_inventory_total_details'!$G$8:$G$10000,"="&amp;S49,'[1]1_inventory_total_details'!$H$8:$H$10000,"="&amp;T49,'[1]1_inventory_total_details'!$I$8:$I$10000,"="&amp;adj_date)+SUMIFS('[1]1_inventory_total_details'!$L$8:$L$10000,'[1]1_inventory_total_details'!$C$8:$C$10000,I49,'[1]1_inventory_total_details'!$F$8:$F$10000,MID(N49,1,3)*1,'[1]1_inventory_total_details'!$G$8:$G$10000,"="&amp;S49,'[1]1_inventory_total_details'!$H$8:$H$10000,"="&amp;T49,'[1]1_inventory_total_details'!$I$8:$I$10000,"="&amp;adj_date),SUMIFS('[1]2_inventory_total_details'!$J$8:$J$10000,'[1]2_inventory_total_details'!$C$8:$C$10000,I49,'[1]2_inventory_total_details'!$F$8:$F$10000,MID(N49,1,3)*1,'[1]2_inventory_total_details'!$G$8:$G$10000,"="&amp;S49,'[1]2_inventory_total_details'!$H$8:$H$10000,"="&amp;T49,'[1]2_inventory_total_details'!$I$8:$I$10000,"="&amp;adj_date)+SUMIFS('[1]2_inventory_total_details'!$M$8:$M$10000,'[1]1_inventory_total_details'!$C$8:$C$10000,I49,'[1]2_inventory_total_details'!$F$8:$F$10000,MID(N49,1,3)*1,'[1]2_inventory_total_details'!$G$8:$G$10000,"="&amp;S49,'[1]2_inventory_total_details'!$H$8:$H$10000,"="&amp;T49,'[1]2_inventory_total_details'!$I$8:$I$10000,"="&amp;adj_date)+SUMIFS('[1]2_inventory_total_details'!$K$8:$K$10000,'[1]2_inventory_total_details'!$C$8:$C$10000,I49,'[1]2_inventory_total_details'!$F$8:$F$10000,MID(N49,1,3)*1,'[1]2_inventory_total_details'!$G$8:$G$10000,"="&amp;S49,'[1]2_inventory_total_details'!$H$8:$H$10000,"="&amp;T49,'[1]2_inventory_total_details'!$I$8:$I$10000,"="&amp;adj_date)+SUMIFS('[1]2_inventory_total_details'!$L$8:$L$10000,'[1]2_inventory_total_details'!$C$8:$C$10000,I49,'[1]2_inventory_total_details'!$F$8:$F$10000,MID(N49,1,3)*1,'[1]2_inventory_total_details'!$G$8:$G$10000,"="&amp;S49,'[1]2_inventory_total_details'!$H$8:$H$10000,"="&amp;T49,'[1]2_inventory_total_details'!$I$8:$I$10000,"="&amp;adj_date)))</f>
        <v/>
      </c>
      <c r="AB49" s="270" t="str">
        <f>IF(L49="","",IF(MID(N49,1,3)*1=1,SUMIFS('[1]1_inventory_total_details'!$J$8:$J$10000,'[1]1_inventory_total_details'!$C$8:$C$10000,I49,'[1]1_inventory_total_details'!$F$8:$F$10000,MID(N49,1,3)*1,'[1]1_inventory_total_details'!$G$8:$G$10000,"="&amp;S49,'[1]1_inventory_total_details'!$H$8:$H$10000,"="&amp;T49,'[1]1_inventory_total_details'!$I$8:$I$10000,"="&amp;adj_date)+SUMIFS('[1]1_inventory_total_details'!$M$8:$M$10000,'[1]1_inventory_total_details'!$C$8:$C$10000,I49,'[1]1_inventory_total_details'!$F$8:$F$10000,MID(N49,1,3)*1,'[1]1_inventory_total_details'!$G$8:$G$10000,"="&amp;S49,'[1]1_inventory_total_details'!$H$8:$H$10000,"="&amp;T49,'[1]1_inventory_total_details'!$I$8:$I$10000,"="&amp;adj_date)+SUMIFS('[1]1_inventory_total_details'!$K$8:$K$10000,'[1]1_inventory_total_details'!$C$8:$C$10000,I49,'[1]1_inventory_total_details'!$F$8:$F$10000,MID(N49,1,3)*1,'[1]1_inventory_total_details'!$G$8:$G$10000,"="&amp;S49,'[1]1_inventory_total_details'!$H$8:$H$10000,"="&amp;T49,'[1]1_inventory_total_details'!$I$8:$I$10000,"="&amp;adj_date)+SUMIFS('[1]1_inventory_total_details'!$L$8:$L$10000,'[1]1_inventory_total_details'!$C$8:$C$10000,I49,'[1]1_inventory_total_details'!$F$8:$F$10000,MID(N49,1,3)*1,'[1]1_inventory_total_details'!$G$8:$G$10000,"="&amp;S49,'[1]1_inventory_total_details'!$H$8:$H$10000,"="&amp;T49,'[1]1_inventory_total_details'!$I$8:$I$10000,"="&amp;adj_date),SUMIFS('[1]2_inventory_total_details'!$J$8:$J$10000,'[1]2_inventory_total_details'!$C$8:$C$10000,I49,'[1]2_inventory_total_details'!$F$8:$F$10000,MID(N49,1,3)*1,'[1]2_inventory_total_details'!$G$8:$G$10000,"="&amp;S49,'[1]2_inventory_total_details'!$H$8:$H$10000,"="&amp;T49,'[1]2_inventory_total_details'!$I$8:$I$10000,"="&amp;adj_date)+SUMIFS('[1]2_inventory_total_details'!$M$8:$M$10000,'[1]1_inventory_total_details'!$C$8:$C$10000,I49,'[1]2_inventory_total_details'!$F$8:$F$10000,MID(N49,1,3)*1,'[1]2_inventory_total_details'!$G$8:$G$10000,"="&amp;S49,'[1]2_inventory_total_details'!$H$8:$H$10000,"="&amp;T49,'[1]2_inventory_total_details'!$I$8:$I$10000,"="&amp;adj_date)+SUMIFS('[1]2_inventory_total_details'!$K$8:$K$10000,'[1]2_inventory_total_details'!$C$8:$C$10000,I49,'[1]2_inventory_total_details'!$F$8:$F$10000,MID(N49,1,3)*1,'[1]2_inventory_total_details'!$G$8:$G$10000,"="&amp;S49,'[1]2_inventory_total_details'!$H$8:$H$10000,"="&amp;T49,'[1]2_inventory_total_details'!$I$8:$I$10000,"="&amp;adj_date)+SUMIFS('[1]2_inventory_total_details'!$L$8:$L$10000,'[1]2_inventory_total_details'!$C$8:$C$10000,I49,'[1]2_inventory_total_details'!$F$8:$F$10000,MID(N49,1,3)*1,'[1]2_inventory_total_details'!$G$8:$G$10000,"="&amp;S49,'[1]2_inventory_total_details'!$H$8:$H$10000,"="&amp;T49,'[1]2_inventory_total_details'!$I$8:$I$10000,"="&amp;adj_date)))</f>
        <v/>
      </c>
      <c r="AC49" s="270" t="str">
        <f>IF(L49="","",IF(MID(N49,1,3)*1=1,SUMIFS('[1]1_inventory_total_details'!$J$8:$J$10000,'[1]1_inventory_total_details'!$C$8:$C$10000,I49,'[1]1_inventory_total_details'!$F$8:$F$10000,MID(N49,1,3)*1,'[1]1_inventory_total_details'!$G$8:$G$10000,"="&amp;S49,'[1]1_inventory_total_details'!$H$8:$H$10000,"="&amp;T49,'[1]1_inventory_total_details'!$I$8:$I$10000,"="&amp;adj_date)+SUMIFS('[1]1_inventory_total_details'!$M$8:$M$10000,'[1]1_inventory_total_details'!$C$8:$C$10000,I49,'[1]1_inventory_total_details'!$F$8:$F$10000,MID(N49,1,3)*1,'[1]1_inventory_total_details'!$G$8:$G$10000,"="&amp;S49,'[1]1_inventory_total_details'!$H$8:$H$10000,"="&amp;T49,'[1]1_inventory_total_details'!$I$8:$I$10000,"="&amp;adj_date)+SUMIFS('[1]1_inventory_total_details'!$K$8:$K$10000,'[1]1_inventory_total_details'!$C$8:$C$10000,I49,'[1]1_inventory_total_details'!$F$8:$F$10000,MID(N49,1,3)*1,'[1]1_inventory_total_details'!$G$8:$G$10000,"="&amp;S49,'[1]1_inventory_total_details'!$H$8:$H$10000,"="&amp;T49,'[1]1_inventory_total_details'!$I$8:$I$10000,"="&amp;adj_date)+SUMIFS('[1]1_inventory_total_details'!$L$8:$L$10000,'[1]1_inventory_total_details'!$C$8:$C$10000,I49,'[1]1_inventory_total_details'!$F$8:$F$10000,MID(N49,1,3)*1,'[1]1_inventory_total_details'!$G$8:$G$10000,"="&amp;S49,'[1]1_inventory_total_details'!$H$8:$H$10000,"="&amp;T49,'[1]1_inventory_total_details'!$I$8:$I$10000,"="&amp;adj_date),SUMIFS('[1]2_inventory_total_details'!$J$8:$J$10000,'[1]2_inventory_total_details'!$C$8:$C$10000,I49,'[1]2_inventory_total_details'!$F$8:$F$10000,MID(N49,1,3)*1,'[1]2_inventory_total_details'!$G$8:$G$10000,"="&amp;S49,'[1]2_inventory_total_details'!$H$8:$H$10000,"="&amp;T49,'[1]2_inventory_total_details'!$I$8:$I$10000,"="&amp;adj_date)+SUMIFS('[1]2_inventory_total_details'!$M$8:$M$10000,'[1]1_inventory_total_details'!$C$8:$C$10000,I49,'[1]2_inventory_total_details'!$F$8:$F$10000,MID(N49,1,3)*1,'[1]2_inventory_total_details'!$G$8:$G$10000,"="&amp;S49,'[1]2_inventory_total_details'!$H$8:$H$10000,"="&amp;T49,'[1]2_inventory_total_details'!$I$8:$I$10000,"="&amp;adj_date)+SUMIFS('[1]2_inventory_total_details'!$K$8:$K$10000,'[1]2_inventory_total_details'!$C$8:$C$10000,I49,'[1]2_inventory_total_details'!$F$8:$F$10000,MID(N49,1,3)*1,'[1]2_inventory_total_details'!$G$8:$G$10000,"="&amp;S49,'[1]2_inventory_total_details'!$H$8:$H$10000,"="&amp;T49,'[1]2_inventory_total_details'!$I$8:$I$10000,"="&amp;adj_date)+SUMIFS('[1]2_inventory_total_details'!$L$8:$L$10000,'[1]2_inventory_total_details'!$C$8:$C$10000,I49,'[1]2_inventory_total_details'!$F$8:$F$10000,MID(N49,1,3)*1,'[1]2_inventory_total_details'!$G$8:$G$10000,"="&amp;S49,'[1]2_inventory_total_details'!$H$8:$H$10000,"="&amp;T49,'[1]2_inventory_total_details'!$I$8:$I$10000,"="&amp;adj_date)))</f>
        <v/>
      </c>
      <c r="AD49" s="270" t="str">
        <f>IF(L49="","",SUMIFS('[1]1_group_totals'!$J$8:$J$10000,'[1]1_group_totals'!$C$8:$C$10000,I49,'[1]1_group_totals'!$F$8:$F$10000,adj_location_group_id,'[1]1_group_totals'!$G$8:$G$10000,MID(N49,1,3)*1,'[1]1_group_totals'!$H$8:$H$10000,"="&amp;S49,'[1]1_group_totals'!$I$8:$I$10000,"="&amp;T49))</f>
        <v/>
      </c>
      <c r="AE49" s="1796" t="str">
        <f t="shared" si="11"/>
        <v/>
      </c>
      <c r="AF49" s="1797" t="str">
        <f>IF(ISNA(MATCH(MID(AE49,1,3)*1,UomConversion!$D$8:$D$500,0)),"",IF(AJ49&lt;&gt;"",AJ49,""))</f>
        <v/>
      </c>
      <c r="AG49" s="1797" t="str">
        <f>IF(AND(AH49&gt;0,COUNTIFS(UomConversion!$D$8:$D$500,MID(AE49,1,3)*1,UomConversion!$J$8:$J$500,1)&gt;1),TEXT(AH49,"000")&amp;"."&amp;VLOOKUP(AH49,uom_list,5,FALSE),"")</f>
        <v/>
      </c>
      <c r="AH49" s="270" t="str">
        <f t="shared" si="12"/>
        <v/>
      </c>
      <c r="AI49" s="270" t="str">
        <f t="shared" si="13"/>
        <v/>
      </c>
      <c r="AJ49" s="270" t="str">
        <f t="shared" si="14"/>
        <v/>
      </c>
      <c r="AK49" s="270" t="str" cm="1">
        <f t="array" ref="AK49">IF(L49="","",Slookup(MID(AE49,1,3)*1,UomConversion!$D$8:$J$500,2,UomConversion!$I$8:$I$500,1,UomConversion!$J$8:$J$500,1))</f>
        <v/>
      </c>
      <c r="AL49" s="270" t="str">
        <f t="shared" si="15"/>
        <v/>
      </c>
      <c r="AM49" s="270" t="str">
        <f>IF(L49="","",(SUMIFS('[1]1_group_totals'!$K$8:$K$10000,'[1]1_group_totals'!$C$8:$C$10000,I49,'[1]1_group_totals'!$F$8:$F$10000,adj_location_group_id,'[1]1_group_totals'!$G$8:$G$10000,MID(N49,1,3)*1,'[1]1_group_totals'!$H$8:$H$10000,"="&amp;S49,'[1]1_group_totals'!$I$8:$I$10000,"="&amp;T49)+SUMIFS('[1]1_group_totals'!$N$8:$N$10000,'[1]1_group_totals'!$C$8:$C$10000,I49,'[1]1_group_totals'!$F$8:$F$10000,adj_location_group_id,'[1]1_group_totals'!$G$8:$G$10000,MID(N49,1,3)*1,'[1]1_group_totals'!$H$8:$H$10000,"="&amp;S49,'[1]1_group_totals'!$I$8:$I$10000,"="&amp;T49)+SUMIFS('[1]1_group_totals'!$P$8:$P$10000,'[1]1_group_totals'!$C$8:$C$10000,I49,'[1]1_group_totals'!$F$8:$F$10000,adj_location_group_id,'[1]1_group_totals'!$G$8:$G$10000,MID(N49,1,3)*1,'[1]1_group_totals'!$H$8:$H$10000,"="&amp;S49,'[1]1_group_totals'!$I$8:$I$10000,"="&amp;T49)+SUMIFS('[1]1_group_totals'!$Q$8:$Q$10000,'[1]1_group_totals'!$C$8:$C$10000,I49,'[1]1_group_totals'!$F$8:$F$10000,adj_location_group_id,'[1]1_group_totals'!$G$8:$G$10000,MID(N49,1,3)*1,'[1]1_group_totals'!$H$8:$H$10000,"="&amp;S49,'[1]1_group_totals'!$I$8:$I$10000,"="&amp;T49))+(SUMIFS('[1]1_group_totals'!$L$8:$L$10000,'[1]1_group_totals'!$C$8:$C$10000,I49,'[1]1_group_totals'!$F$8:$F$10000,adj_location_group_id,'[1]1_group_totals'!$G$8:$G$10000,MID(N49,1,3)*1,'[1]1_group_totals'!$H$8:$H$10000,"="&amp;S49,'[1]1_group_totals'!$I$8:$I$10000,"="&amp;T49)+SUMIFS('[1]1_group_totals'!$M$8:$M$10000,'[1]1_group_totals'!$C$8:$C$10000,I49,'[1]1_group_totals'!$F$8:$F$10000,adj_location_group_id,'[1]1_group_totals'!$G$8:$G$10000,MID(N49,1,3)*1,'[1]1_group_totals'!$H$8:$H$10000,"="&amp;S49,'[1]1_group_totals'!$I$8:$I$10000,"="&amp;T49)+SUMIFS('[1]1_group_totals'!$O$8:$O$10000,'[1]1_group_totals'!$C$8:$C$10000,I49,'[1]1_group_totals'!$F$8:$F$10000,adj_location_group_id,'[1]1_group_totals'!$G$8:$G$10000,MID(N49,1,3)*1,'[1]1_group_totals'!$H$8:$H$10000,"="&amp;S49,'[1]1_group_totals'!$I$8:$I$10000,"="&amp;T49)+SUMIFS('[1]1_group_totals'!$R$8:$R$10000,'[1]1_group_totals'!$C$8:$C$10000,I49,'[1]1_group_totals'!$F$8:$F$10000,adj_location_group_id,'[1]1_group_totals'!$G$8:$G$10000,MID(N49,1,3)*1,'[1]1_group_totals'!$H$8:$H$10000,"="&amp;S49,'[1]1_group_totals'!$I$8:$I$10000,"="&amp;T49)))</f>
        <v/>
      </c>
      <c r="AN49" s="270" t="str">
        <f>IF(L49="","",(SUMIFS('[1]1_inventory_totals'!$I$8:$I$10000,'[1]1_inventory_totals'!$C$8:$C$10000,I49,'[1]1_inventory_totals'!$F$8:$F$10000,"="&amp;S49,'[1]1_inventory_totals'!$G$8:$G$10000,"="&amp;T49)+SUMIFS('[1]1_inventory_totals'!$N$8:$N$10000,'[1]1_inventory_totals'!$C$8:$C$10000,I49,'[1]1_inventory_totals'!$F$8:$F$10000,"="&amp;S49,'[1]1_inventory_totals'!$G$8:$G$10000,"="&amp;T49)+SUMIFS('[1]1_inventory_totals'!$P$8:$P$10000,'[1]1_inventory_totals'!$C$8:$C$10000,I49,'[1]1_inventory_totals'!$F$8:$F$10000,"="&amp;S49,'[1]1_inventory_totals'!$G$8:$G$10000,"="&amp;T49)+SUMIFS('[1]1_inventory_totals'!$Q$8:$Q$10000,'[1]1_inventory_totals'!$C$8:$C$10000,I49,'[1]1_inventory_totals'!$F$8:$F$10000,"="&amp;S49,'[1]1_inventory_totals'!$G$8:$G$10000,"="&amp;T49)+SUMIFS('[1]1_inventory_totals'!$R$8:$R$10000,'[1]1_inventory_totals'!$C$8:$C$10000,I49,'[1]1_inventory_totals'!$F$8:$F$10000,"="&amp;S49,'[1]1_inventory_totals'!$G$8:$G$10000,"="&amp;T49))+(SUMIFS('[1]1_inventory_totals'!$J$8:$J$10000,'[1]1_inventory_totals'!$C$8:$C$10000,I49,'[1]1_inventory_totals'!$F$8:$F$10000,"="&amp;S49,'[1]1_inventory_totals'!$G$8:$G$10000,"="&amp;T49)+SUMIFS('[1]1_inventory_totals'!$K$8:$K$10000,'[1]1_inventory_totals'!$C$8:$C$10000,I49,'[1]1_inventory_totals'!$F$8:$F$10000,"="&amp;S49,'[1]1_inventory_totals'!$G$8:$G$10000,"="&amp;T49)+SUMIFS('[1]1_inventory_totals'!$L$8:$L$10000,'[1]1_inventory_totals'!$C$8:$C$10000,I49,'[1]1_inventory_totals'!$F$8:$F$10000,"="&amp;S49,'[1]1_inventory_totals'!$G$8:$G$10000,"="&amp;T49)+SUMIFS('[1]1_inventory_totals'!$M$8:$M$10000,'[1]1_inventory_totals'!$C$8:$C$10000,I49,'[1]1_inventory_totals'!$F$8:$F$10000,"="&amp;S49,'[1]1_inventory_totals'!$G$8:$G$10000,"="&amp;T49)+SUMIFS('[1]1_inventory_totals'!$O$8:$O$10000,'[1]1_inventory_totals'!$C$8:$C$10000,I49,'[1]1_inventory_totals'!$F$8:$F$10000,"="&amp;S49,'[1]1_inventory_totals'!$G$8:$G$10000,"="&amp;T49)+SUMIFS('[1]1_inventory_totals'!$S$8:$S$10000,'[1]1_inventory_totals'!$C$8:$C$10000,I49,'[1]1_inventory_totals'!$F$8:$F$10000,"="&amp;S49,'[1]1_inventory_totals'!$G$8:$G$10000,"="&amp;T49)))</f>
        <v/>
      </c>
      <c r="AO49" s="270" t="str">
        <f>IF(L49="","",(SUMIFS('[1]2_inventory_totals'!$I$8:$I$10000,'[1]2_inventory_totals'!$C$8:$C$10000,I49,'[1]2_inventory_totals'!$F$8:$F$10000,"="&amp;S49,'[1]2_inventory_totals'!$G$8:$G$10000,"="&amp;T49)+SUMIFS('[1]2_inventory_totals'!$N$8:$N$10000,'[1]2_inventory_totals'!$C$8:$C$10000,I49,'[1]2_inventory_totals'!$F$8:$F$10000,"="&amp;S49,'[1]2_inventory_totals'!$G$8:$G$10000,"="&amp;T49)+SUMIFS('[1]2_inventory_totals'!$P$8:$P$10000,'[1]2_inventory_totals'!$C$8:$C$10000,I49,'[1]2_inventory_totals'!$F$8:$F$10000,"="&amp;S49,'[1]2_inventory_totals'!$G$8:$G$10000,"="&amp;T49)+SUMIFS('[1]2_inventory_totals'!$Q$8:$Q$10000,'[1]2_inventory_totals'!$C$8:$C$10000,I49,'[1]2_inventory_totals'!$F$8:$F$10000,"="&amp;S49,'[1]2_inventory_totals'!$G$8:$G$10000,"="&amp;T49)+SUMIFS('[1]2_inventory_totals'!$R$8:$R$10000,'[1]2_inventory_totals'!$C$8:$C$10000,I49,'[1]2_inventory_totals'!$F$8:$F$10000,"="&amp;S49,'[1]2_inventory_totals'!$G$8:$G$10000,"="&amp;T49))+(SUMIFS('[1]2_inventory_totals'!$J$8:$J$10000,'[1]2_inventory_totals'!$C$8:$C$10000,I49,'[1]2_inventory_totals'!$F$8:$F$10000,"="&amp;S49,'[1]2_inventory_totals'!$G$8:$G$10000,"="&amp;T49)+SUMIFS('[1]2_inventory_totals'!$K$8:$K$10000,'[1]2_inventory_totals'!$C$8:$C$10000,I49,'[1]2_inventory_totals'!$F$8:$F$10000,"="&amp;S49,'[1]2_inventory_totals'!$G$8:$G$10000,"="&amp;T49)+SUMIFS('[1]2_inventory_totals'!$L$8:$L$10000,'[1]2_inventory_totals'!$C$8:$C$10000,I49,'[1]2_inventory_totals'!$F$8:$F$10000,"="&amp;S49,'[1]2_inventory_totals'!$G$8:$G$10000,"="&amp;T49)+SUMIFS('[1]2_inventory_totals'!$M$8:$M$10000,'[1]2_inventory_totals'!$C$8:$C$10000,I49,'[1]2_inventory_totals'!$F$8:$F$10000,"="&amp;S49,'[1]2_inventory_totals'!$G$8:$G$10000,"="&amp;T49)+SUMIFS('[1]2_inventory_totals'!$O$8:$O$10000,'[1]2_inventory_totals'!$C$8:$C$10000,I49,'[1]2_inventory_totals'!$F$8:$F$10000,"="&amp;S49,'[1]2_inventory_totals'!$G$8:$G$10000,"="&amp;T49)+SUMIFS('[1]2_inventory_totals'!$S$8:$S$10000,'[1]2_inventory_totals'!$C$8:$C$10000,I49,'[1]2_inventory_totals'!$F$8:$F$10000,"="&amp;S49,'[1]2_inventory_totals'!$G$8:$G$10000,"="&amp;T49)))</f>
        <v/>
      </c>
      <c r="AP49" s="954"/>
    </row>
    <row r="50" spans="1:42" ht="27" customHeight="1">
      <c r="A50" s="923"/>
      <c r="B50" s="1172"/>
      <c r="C50" s="950"/>
      <c r="D50" s="950"/>
      <c r="E50" s="950"/>
      <c r="F50" s="1198"/>
      <c r="I50" s="1610" t="str">
        <f t="shared" si="5"/>
        <v/>
      </c>
      <c r="J50" s="270" t="str">
        <f t="shared" si="6"/>
        <v/>
      </c>
      <c r="K50" s="813" t="str">
        <f t="shared" si="16"/>
        <v/>
      </c>
      <c r="L50" s="1184"/>
      <c r="M50" s="1185"/>
      <c r="N50" s="1186"/>
      <c r="O50" s="1534"/>
      <c r="P50" s="336" t="str">
        <f t="shared" si="17"/>
        <v/>
      </c>
      <c r="Q50" s="336" t="str">
        <f>IF(L50="","",IF(AD50=0,0,(SUMIFS('[1]1_group_total_details'!$I$8:$I$10000,'[1]1_group_total_details'!$C$8:$C$10000,I50,'[1]1_group_total_details'!$F$8:$F$10000,adj_location_group_id,'[1]1_group_total_details'!$G$8:$G$10000,MID(N50,1,3)*1,'[1]1_group_total_details'!$H$8:$H$10000,"&lt;="&amp;adj_date)+SUMIFS('[1]1_group_total_details'!$L$8:$L$10000,'[1]1_group_total_details'!$C$8:$C$10000,I50,'[1]1_group_total_details'!$F$8:$F$10000,adj_location_group_id,'[1]1_group_total_details'!$G$8:$G$10000,MID(N50,1,3)*1,'[1]1_group_total_details'!$H$8:$H$10000,"&lt;="&amp;adj_date)+SUMIFS('[1]1_group_total_details'!$N$8:$N$10000,'[1]1_group_total_details'!$C$8:$C$10000,I50,'[1]1_group_total_details'!$F$8:$F$10000,adj_location_group_id,'[1]1_group_total_details'!$G$8:$G$10000,MID(N50,1,3)*1,'[1]1_group_total_details'!$H$8:$H$10000,"&lt;="&amp;adj_date)+SUMIFS('[1]1_group_total_details'!$O$8:$O$10000,'[1]1_group_total_details'!$C$8:$C$10000,I50,'[1]1_group_total_details'!$F$8:$F$10000,adj_location_group_id,'[1]1_group_total_details'!$G$8:$G$10000,MID(N50,1,3)*1,'[1]1_group_total_details'!$H$8:$H$10000,"&lt;="&amp;adj_date))-(SUMIFS('[1]1_group_total_details'!$J$8:$J$10000,'[1]1_group_total_details'!$C$8:$C$10000,I50,'[1]1_group_total_details'!$F$8:$F$10000,adj_location_group_id,'[1]1_group_total_details'!$G$8:$G$10000,MID(N50,1,3)*1,'[1]1_group_total_details'!$H$8:$H$10000,"&lt;="&amp;adj_date)+SUMIFS('[1]1_group_total_details'!$K$8:$K$10000,'[1]1_group_total_details'!$C$8:$C$10000,I50,'[1]1_group_total_details'!$F$8:$F$10000,adj_location_group_id,'[1]1_group_total_details'!$G$8:$G$10000,MID(N50,1,3)*1,'[1]1_group_total_details'!$H$8:$H$10000,"&lt;="&amp;adj_date)+SUMIFS('[1]1_group_total_details'!$M$8:$M$10000,'[1]1_group_total_details'!$C$8:$C$10000,I50,'[1]1_group_total_details'!$F$8:$F$10000,adj_location_group_id,'[1]1_group_total_details'!$G$8:$G$10000,MID(N50,1,3)*1,'[1]1_group_total_details'!$H$8:$H$10000,"&lt;="&amp;adj_date)+SUMIFS('[1]1_group_total_details'!$P$8:$P$10000,'[1]1_group_total_details'!$C$8:$C$10000,I50,'[1]1_group_total_details'!$F$8:$F$10000,adj_location_group_id,'[1]1_group_total_details'!$G$8:$G$10000,MID(N50,1,3)*1,'[1]1_group_total_details'!$H$8:$H$10000,"&lt;="&amp;adj_date))))</f>
        <v/>
      </c>
      <c r="R50" s="1187"/>
      <c r="S50" s="1186"/>
      <c r="T50" s="1186"/>
      <c r="U50" s="1184"/>
      <c r="V50" s="270" t="str" cm="1">
        <f t="array" ref="V50">IF(L50="","",IF(M50=AE50,1,Slookup(MID(AE50,1,3)*1,UomConversion!$D$8:$J$500,5,UomConversion!$E$8:$E$500,MID(M50,1,3)*1,UomConversion!$J$8:$J$500,1)))</f>
        <v/>
      </c>
      <c r="W50" s="270" t="str">
        <f t="shared" si="8"/>
        <v/>
      </c>
      <c r="X50" s="1795" t="str">
        <f t="shared" si="9"/>
        <v/>
      </c>
      <c r="Y50" s="1795" t="str">
        <f t="shared" si="10"/>
        <v/>
      </c>
      <c r="Z50" s="270" t="str">
        <f>IF(I50="","",IF(ISNA(MATCH(I50,IF(MID(N50,1,3)*1=1,'[1]1_inventory_totals'!$C$8:$C$10000,IF(MID(N50,1,3)*1=2,'[1]2_inventory_totals'!$C$8:$C$10000,"")),0)),0,IF(AL50&gt;0,1,0)))</f>
        <v/>
      </c>
      <c r="AA50" s="270" t="str">
        <f>IF(L50="","",IF(MID(N50,1,3)*1=1,SUMIFS('[1]1_inventory_total_details'!$J$8:$J$10000,'[1]1_inventory_total_details'!$C$8:$C$10000,I50,'[1]1_inventory_total_details'!$F$8:$F$10000,MID(N50,1,3)*1,'[1]1_inventory_total_details'!$G$8:$G$10000,"="&amp;S50,'[1]1_inventory_total_details'!$H$8:$H$10000,"="&amp;T50,'[1]1_inventory_total_details'!$I$8:$I$10000,"="&amp;adj_date)+SUMIFS('[1]1_inventory_total_details'!$M$8:$M$10000,'[1]1_inventory_total_details'!$C$8:$C$10000,I50,'[1]1_inventory_total_details'!$F$8:$F$10000,MID(N50,1,3)*1,'[1]1_inventory_total_details'!$G$8:$G$10000,"="&amp;S50,'[1]1_inventory_total_details'!$H$8:$H$10000,"="&amp;T50,'[1]1_inventory_total_details'!$I$8:$I$10000,"="&amp;adj_date)+SUMIFS('[1]1_inventory_total_details'!$K$8:$K$10000,'[1]1_inventory_total_details'!$C$8:$C$10000,I50,'[1]1_inventory_total_details'!$F$8:$F$10000,MID(N50,1,3)*1,'[1]1_inventory_total_details'!$G$8:$G$10000,"="&amp;S50,'[1]1_inventory_total_details'!$H$8:$H$10000,"="&amp;T50,'[1]1_inventory_total_details'!$I$8:$I$10000,"="&amp;adj_date)+SUMIFS('[1]1_inventory_total_details'!$L$8:$L$10000,'[1]1_inventory_total_details'!$C$8:$C$10000,I50,'[1]1_inventory_total_details'!$F$8:$F$10000,MID(N50,1,3)*1,'[1]1_inventory_total_details'!$G$8:$G$10000,"="&amp;S50,'[1]1_inventory_total_details'!$H$8:$H$10000,"="&amp;T50,'[1]1_inventory_total_details'!$I$8:$I$10000,"="&amp;adj_date),SUMIFS('[1]2_inventory_total_details'!$J$8:$J$10000,'[1]2_inventory_total_details'!$C$8:$C$10000,I50,'[1]2_inventory_total_details'!$F$8:$F$10000,MID(N50,1,3)*1,'[1]2_inventory_total_details'!$G$8:$G$10000,"="&amp;S50,'[1]2_inventory_total_details'!$H$8:$H$10000,"="&amp;T50,'[1]2_inventory_total_details'!$I$8:$I$10000,"="&amp;adj_date)+SUMIFS('[1]2_inventory_total_details'!$M$8:$M$10000,'[1]1_inventory_total_details'!$C$8:$C$10000,I50,'[1]2_inventory_total_details'!$F$8:$F$10000,MID(N50,1,3)*1,'[1]2_inventory_total_details'!$G$8:$G$10000,"="&amp;S50,'[1]2_inventory_total_details'!$H$8:$H$10000,"="&amp;T50,'[1]2_inventory_total_details'!$I$8:$I$10000,"="&amp;adj_date)+SUMIFS('[1]2_inventory_total_details'!$K$8:$K$10000,'[1]2_inventory_total_details'!$C$8:$C$10000,I50,'[1]2_inventory_total_details'!$F$8:$F$10000,MID(N50,1,3)*1,'[1]2_inventory_total_details'!$G$8:$G$10000,"="&amp;S50,'[1]2_inventory_total_details'!$H$8:$H$10000,"="&amp;T50,'[1]2_inventory_total_details'!$I$8:$I$10000,"="&amp;adj_date)+SUMIFS('[1]2_inventory_total_details'!$L$8:$L$10000,'[1]2_inventory_total_details'!$C$8:$C$10000,I50,'[1]2_inventory_total_details'!$F$8:$F$10000,MID(N50,1,3)*1,'[1]2_inventory_total_details'!$G$8:$G$10000,"="&amp;S50,'[1]2_inventory_total_details'!$H$8:$H$10000,"="&amp;T50,'[1]2_inventory_total_details'!$I$8:$I$10000,"="&amp;adj_date)))</f>
        <v/>
      </c>
      <c r="AB50" s="270" t="str">
        <f>IF(L50="","",IF(MID(N50,1,3)*1=1,SUMIFS('[1]1_inventory_total_details'!$J$8:$J$10000,'[1]1_inventory_total_details'!$C$8:$C$10000,I50,'[1]1_inventory_total_details'!$F$8:$F$10000,MID(N50,1,3)*1,'[1]1_inventory_total_details'!$G$8:$G$10000,"="&amp;S50,'[1]1_inventory_total_details'!$H$8:$H$10000,"="&amp;T50,'[1]1_inventory_total_details'!$I$8:$I$10000,"="&amp;adj_date)+SUMIFS('[1]1_inventory_total_details'!$M$8:$M$10000,'[1]1_inventory_total_details'!$C$8:$C$10000,I50,'[1]1_inventory_total_details'!$F$8:$F$10000,MID(N50,1,3)*1,'[1]1_inventory_total_details'!$G$8:$G$10000,"="&amp;S50,'[1]1_inventory_total_details'!$H$8:$H$10000,"="&amp;T50,'[1]1_inventory_total_details'!$I$8:$I$10000,"="&amp;adj_date)+SUMIFS('[1]1_inventory_total_details'!$K$8:$K$10000,'[1]1_inventory_total_details'!$C$8:$C$10000,I50,'[1]1_inventory_total_details'!$F$8:$F$10000,MID(N50,1,3)*1,'[1]1_inventory_total_details'!$G$8:$G$10000,"="&amp;S50,'[1]1_inventory_total_details'!$H$8:$H$10000,"="&amp;T50,'[1]1_inventory_total_details'!$I$8:$I$10000,"="&amp;adj_date)+SUMIFS('[1]1_inventory_total_details'!$L$8:$L$10000,'[1]1_inventory_total_details'!$C$8:$C$10000,I50,'[1]1_inventory_total_details'!$F$8:$F$10000,MID(N50,1,3)*1,'[1]1_inventory_total_details'!$G$8:$G$10000,"="&amp;S50,'[1]1_inventory_total_details'!$H$8:$H$10000,"="&amp;T50,'[1]1_inventory_total_details'!$I$8:$I$10000,"="&amp;adj_date),SUMIFS('[1]2_inventory_total_details'!$J$8:$J$10000,'[1]2_inventory_total_details'!$C$8:$C$10000,I50,'[1]2_inventory_total_details'!$F$8:$F$10000,MID(N50,1,3)*1,'[1]2_inventory_total_details'!$G$8:$G$10000,"="&amp;S50,'[1]2_inventory_total_details'!$H$8:$H$10000,"="&amp;T50,'[1]2_inventory_total_details'!$I$8:$I$10000,"="&amp;adj_date)+SUMIFS('[1]2_inventory_total_details'!$M$8:$M$10000,'[1]1_inventory_total_details'!$C$8:$C$10000,I50,'[1]2_inventory_total_details'!$F$8:$F$10000,MID(N50,1,3)*1,'[1]2_inventory_total_details'!$G$8:$G$10000,"="&amp;S50,'[1]2_inventory_total_details'!$H$8:$H$10000,"="&amp;T50,'[1]2_inventory_total_details'!$I$8:$I$10000,"="&amp;adj_date)+SUMIFS('[1]2_inventory_total_details'!$K$8:$K$10000,'[1]2_inventory_total_details'!$C$8:$C$10000,I50,'[1]2_inventory_total_details'!$F$8:$F$10000,MID(N50,1,3)*1,'[1]2_inventory_total_details'!$G$8:$G$10000,"="&amp;S50,'[1]2_inventory_total_details'!$H$8:$H$10000,"="&amp;T50,'[1]2_inventory_total_details'!$I$8:$I$10000,"="&amp;adj_date)+SUMIFS('[1]2_inventory_total_details'!$L$8:$L$10000,'[1]2_inventory_total_details'!$C$8:$C$10000,I50,'[1]2_inventory_total_details'!$F$8:$F$10000,MID(N50,1,3)*1,'[1]2_inventory_total_details'!$G$8:$G$10000,"="&amp;S50,'[1]2_inventory_total_details'!$H$8:$H$10000,"="&amp;T50,'[1]2_inventory_total_details'!$I$8:$I$10000,"="&amp;adj_date)))</f>
        <v/>
      </c>
      <c r="AC50" s="270" t="str">
        <f>IF(L50="","",IF(MID(N50,1,3)*1=1,SUMIFS('[1]1_inventory_total_details'!$J$8:$J$10000,'[1]1_inventory_total_details'!$C$8:$C$10000,I50,'[1]1_inventory_total_details'!$F$8:$F$10000,MID(N50,1,3)*1,'[1]1_inventory_total_details'!$G$8:$G$10000,"="&amp;S50,'[1]1_inventory_total_details'!$H$8:$H$10000,"="&amp;T50,'[1]1_inventory_total_details'!$I$8:$I$10000,"="&amp;adj_date)+SUMIFS('[1]1_inventory_total_details'!$M$8:$M$10000,'[1]1_inventory_total_details'!$C$8:$C$10000,I50,'[1]1_inventory_total_details'!$F$8:$F$10000,MID(N50,1,3)*1,'[1]1_inventory_total_details'!$G$8:$G$10000,"="&amp;S50,'[1]1_inventory_total_details'!$H$8:$H$10000,"="&amp;T50,'[1]1_inventory_total_details'!$I$8:$I$10000,"="&amp;adj_date)+SUMIFS('[1]1_inventory_total_details'!$K$8:$K$10000,'[1]1_inventory_total_details'!$C$8:$C$10000,I50,'[1]1_inventory_total_details'!$F$8:$F$10000,MID(N50,1,3)*1,'[1]1_inventory_total_details'!$G$8:$G$10000,"="&amp;S50,'[1]1_inventory_total_details'!$H$8:$H$10000,"="&amp;T50,'[1]1_inventory_total_details'!$I$8:$I$10000,"="&amp;adj_date)+SUMIFS('[1]1_inventory_total_details'!$L$8:$L$10000,'[1]1_inventory_total_details'!$C$8:$C$10000,I50,'[1]1_inventory_total_details'!$F$8:$F$10000,MID(N50,1,3)*1,'[1]1_inventory_total_details'!$G$8:$G$10000,"="&amp;S50,'[1]1_inventory_total_details'!$H$8:$H$10000,"="&amp;T50,'[1]1_inventory_total_details'!$I$8:$I$10000,"="&amp;adj_date),SUMIFS('[1]2_inventory_total_details'!$J$8:$J$10000,'[1]2_inventory_total_details'!$C$8:$C$10000,I50,'[1]2_inventory_total_details'!$F$8:$F$10000,MID(N50,1,3)*1,'[1]2_inventory_total_details'!$G$8:$G$10000,"="&amp;S50,'[1]2_inventory_total_details'!$H$8:$H$10000,"="&amp;T50,'[1]2_inventory_total_details'!$I$8:$I$10000,"="&amp;adj_date)+SUMIFS('[1]2_inventory_total_details'!$M$8:$M$10000,'[1]1_inventory_total_details'!$C$8:$C$10000,I50,'[1]2_inventory_total_details'!$F$8:$F$10000,MID(N50,1,3)*1,'[1]2_inventory_total_details'!$G$8:$G$10000,"="&amp;S50,'[1]2_inventory_total_details'!$H$8:$H$10000,"="&amp;T50,'[1]2_inventory_total_details'!$I$8:$I$10000,"="&amp;adj_date)+SUMIFS('[1]2_inventory_total_details'!$K$8:$K$10000,'[1]2_inventory_total_details'!$C$8:$C$10000,I50,'[1]2_inventory_total_details'!$F$8:$F$10000,MID(N50,1,3)*1,'[1]2_inventory_total_details'!$G$8:$G$10000,"="&amp;S50,'[1]2_inventory_total_details'!$H$8:$H$10000,"="&amp;T50,'[1]2_inventory_total_details'!$I$8:$I$10000,"="&amp;adj_date)+SUMIFS('[1]2_inventory_total_details'!$L$8:$L$10000,'[1]2_inventory_total_details'!$C$8:$C$10000,I50,'[1]2_inventory_total_details'!$F$8:$F$10000,MID(N50,1,3)*1,'[1]2_inventory_total_details'!$G$8:$G$10000,"="&amp;S50,'[1]2_inventory_total_details'!$H$8:$H$10000,"="&amp;T50,'[1]2_inventory_total_details'!$I$8:$I$10000,"="&amp;adj_date)))</f>
        <v/>
      </c>
      <c r="AD50" s="270" t="str">
        <f>IF(L50="","",SUMIFS('[1]1_group_totals'!$J$8:$J$10000,'[1]1_group_totals'!$C$8:$C$10000,I50,'[1]1_group_totals'!$F$8:$F$10000,adj_location_group_id,'[1]1_group_totals'!$G$8:$G$10000,MID(N50,1,3)*1,'[1]1_group_totals'!$H$8:$H$10000,"="&amp;S50,'[1]1_group_totals'!$I$8:$I$10000,"="&amp;T50))</f>
        <v/>
      </c>
      <c r="AE50" s="1796" t="str">
        <f t="shared" si="11"/>
        <v/>
      </c>
      <c r="AF50" s="1797" t="str">
        <f>IF(ISNA(MATCH(MID(AE50,1,3)*1,UomConversion!$D$8:$D$500,0)),"",IF(AJ50&lt;&gt;"",AJ50,""))</f>
        <v/>
      </c>
      <c r="AG50" s="1797" t="str">
        <f>IF(AND(AH50&gt;0,COUNTIFS(UomConversion!$D$8:$D$500,MID(AE50,1,3)*1,UomConversion!$J$8:$J$500,1)&gt;1),TEXT(AH50,"000")&amp;"."&amp;VLOOKUP(AH50,uom_list,5,FALSE),"")</f>
        <v/>
      </c>
      <c r="AH50" s="270" t="str">
        <f t="shared" si="12"/>
        <v/>
      </c>
      <c r="AI50" s="270" t="str">
        <f t="shared" si="13"/>
        <v/>
      </c>
      <c r="AJ50" s="270" t="str">
        <f t="shared" si="14"/>
        <v/>
      </c>
      <c r="AK50" s="270" t="str" cm="1">
        <f t="array" ref="AK50">IF(L50="","",Slookup(MID(AE50,1,3)*1,UomConversion!$D$8:$J$500,2,UomConversion!$I$8:$I$500,1,UomConversion!$J$8:$J$500,1))</f>
        <v/>
      </c>
      <c r="AL50" s="270" t="str">
        <f t="shared" si="15"/>
        <v/>
      </c>
      <c r="AM50" s="270" t="str">
        <f>IF(L50="","",(SUMIFS('[1]1_group_totals'!$K$8:$K$10000,'[1]1_group_totals'!$C$8:$C$10000,I50,'[1]1_group_totals'!$F$8:$F$10000,adj_location_group_id,'[1]1_group_totals'!$G$8:$G$10000,MID(N50,1,3)*1,'[1]1_group_totals'!$H$8:$H$10000,"="&amp;S50,'[1]1_group_totals'!$I$8:$I$10000,"="&amp;T50)+SUMIFS('[1]1_group_totals'!$N$8:$N$10000,'[1]1_group_totals'!$C$8:$C$10000,I50,'[1]1_group_totals'!$F$8:$F$10000,adj_location_group_id,'[1]1_group_totals'!$G$8:$G$10000,MID(N50,1,3)*1,'[1]1_group_totals'!$H$8:$H$10000,"="&amp;S50,'[1]1_group_totals'!$I$8:$I$10000,"="&amp;T50)+SUMIFS('[1]1_group_totals'!$P$8:$P$10000,'[1]1_group_totals'!$C$8:$C$10000,I50,'[1]1_group_totals'!$F$8:$F$10000,adj_location_group_id,'[1]1_group_totals'!$G$8:$G$10000,MID(N50,1,3)*1,'[1]1_group_totals'!$H$8:$H$10000,"="&amp;S50,'[1]1_group_totals'!$I$8:$I$10000,"="&amp;T50)+SUMIFS('[1]1_group_totals'!$Q$8:$Q$10000,'[1]1_group_totals'!$C$8:$C$10000,I50,'[1]1_group_totals'!$F$8:$F$10000,adj_location_group_id,'[1]1_group_totals'!$G$8:$G$10000,MID(N50,1,3)*1,'[1]1_group_totals'!$H$8:$H$10000,"="&amp;S50,'[1]1_group_totals'!$I$8:$I$10000,"="&amp;T50))+(SUMIFS('[1]1_group_totals'!$L$8:$L$10000,'[1]1_group_totals'!$C$8:$C$10000,I50,'[1]1_group_totals'!$F$8:$F$10000,adj_location_group_id,'[1]1_group_totals'!$G$8:$G$10000,MID(N50,1,3)*1,'[1]1_group_totals'!$H$8:$H$10000,"="&amp;S50,'[1]1_group_totals'!$I$8:$I$10000,"="&amp;T50)+SUMIFS('[1]1_group_totals'!$M$8:$M$10000,'[1]1_group_totals'!$C$8:$C$10000,I50,'[1]1_group_totals'!$F$8:$F$10000,adj_location_group_id,'[1]1_group_totals'!$G$8:$G$10000,MID(N50,1,3)*1,'[1]1_group_totals'!$H$8:$H$10000,"="&amp;S50,'[1]1_group_totals'!$I$8:$I$10000,"="&amp;T50)+SUMIFS('[1]1_group_totals'!$O$8:$O$10000,'[1]1_group_totals'!$C$8:$C$10000,I50,'[1]1_group_totals'!$F$8:$F$10000,adj_location_group_id,'[1]1_group_totals'!$G$8:$G$10000,MID(N50,1,3)*1,'[1]1_group_totals'!$H$8:$H$10000,"="&amp;S50,'[1]1_group_totals'!$I$8:$I$10000,"="&amp;T50)+SUMIFS('[1]1_group_totals'!$R$8:$R$10000,'[1]1_group_totals'!$C$8:$C$10000,I50,'[1]1_group_totals'!$F$8:$F$10000,adj_location_group_id,'[1]1_group_totals'!$G$8:$G$10000,MID(N50,1,3)*1,'[1]1_group_totals'!$H$8:$H$10000,"="&amp;S50,'[1]1_group_totals'!$I$8:$I$10000,"="&amp;T50)))</f>
        <v/>
      </c>
      <c r="AN50" s="270" t="str">
        <f>IF(L50="","",(SUMIFS('[1]1_inventory_totals'!$I$8:$I$10000,'[1]1_inventory_totals'!$C$8:$C$10000,I50,'[1]1_inventory_totals'!$F$8:$F$10000,"="&amp;S50,'[1]1_inventory_totals'!$G$8:$G$10000,"="&amp;T50)+SUMIFS('[1]1_inventory_totals'!$N$8:$N$10000,'[1]1_inventory_totals'!$C$8:$C$10000,I50,'[1]1_inventory_totals'!$F$8:$F$10000,"="&amp;S50,'[1]1_inventory_totals'!$G$8:$G$10000,"="&amp;T50)+SUMIFS('[1]1_inventory_totals'!$P$8:$P$10000,'[1]1_inventory_totals'!$C$8:$C$10000,I50,'[1]1_inventory_totals'!$F$8:$F$10000,"="&amp;S50,'[1]1_inventory_totals'!$G$8:$G$10000,"="&amp;T50)+SUMIFS('[1]1_inventory_totals'!$Q$8:$Q$10000,'[1]1_inventory_totals'!$C$8:$C$10000,I50,'[1]1_inventory_totals'!$F$8:$F$10000,"="&amp;S50,'[1]1_inventory_totals'!$G$8:$G$10000,"="&amp;T50)+SUMIFS('[1]1_inventory_totals'!$R$8:$R$10000,'[1]1_inventory_totals'!$C$8:$C$10000,I50,'[1]1_inventory_totals'!$F$8:$F$10000,"="&amp;S50,'[1]1_inventory_totals'!$G$8:$G$10000,"="&amp;T50))+(SUMIFS('[1]1_inventory_totals'!$J$8:$J$10000,'[1]1_inventory_totals'!$C$8:$C$10000,I50,'[1]1_inventory_totals'!$F$8:$F$10000,"="&amp;S50,'[1]1_inventory_totals'!$G$8:$G$10000,"="&amp;T50)+SUMIFS('[1]1_inventory_totals'!$K$8:$K$10000,'[1]1_inventory_totals'!$C$8:$C$10000,I50,'[1]1_inventory_totals'!$F$8:$F$10000,"="&amp;S50,'[1]1_inventory_totals'!$G$8:$G$10000,"="&amp;T50)+SUMIFS('[1]1_inventory_totals'!$L$8:$L$10000,'[1]1_inventory_totals'!$C$8:$C$10000,I50,'[1]1_inventory_totals'!$F$8:$F$10000,"="&amp;S50,'[1]1_inventory_totals'!$G$8:$G$10000,"="&amp;T50)+SUMIFS('[1]1_inventory_totals'!$M$8:$M$10000,'[1]1_inventory_totals'!$C$8:$C$10000,I50,'[1]1_inventory_totals'!$F$8:$F$10000,"="&amp;S50,'[1]1_inventory_totals'!$G$8:$G$10000,"="&amp;T50)+SUMIFS('[1]1_inventory_totals'!$O$8:$O$10000,'[1]1_inventory_totals'!$C$8:$C$10000,I50,'[1]1_inventory_totals'!$F$8:$F$10000,"="&amp;S50,'[1]1_inventory_totals'!$G$8:$G$10000,"="&amp;T50)+SUMIFS('[1]1_inventory_totals'!$S$8:$S$10000,'[1]1_inventory_totals'!$C$8:$C$10000,I50,'[1]1_inventory_totals'!$F$8:$F$10000,"="&amp;S50,'[1]1_inventory_totals'!$G$8:$G$10000,"="&amp;T50)))</f>
        <v/>
      </c>
      <c r="AO50" s="270" t="str">
        <f>IF(L50="","",(SUMIFS('[1]2_inventory_totals'!$I$8:$I$10000,'[1]2_inventory_totals'!$C$8:$C$10000,I50,'[1]2_inventory_totals'!$F$8:$F$10000,"="&amp;S50,'[1]2_inventory_totals'!$G$8:$G$10000,"="&amp;T50)+SUMIFS('[1]2_inventory_totals'!$N$8:$N$10000,'[1]2_inventory_totals'!$C$8:$C$10000,I50,'[1]2_inventory_totals'!$F$8:$F$10000,"="&amp;S50,'[1]2_inventory_totals'!$G$8:$G$10000,"="&amp;T50)+SUMIFS('[1]2_inventory_totals'!$P$8:$P$10000,'[1]2_inventory_totals'!$C$8:$C$10000,I50,'[1]2_inventory_totals'!$F$8:$F$10000,"="&amp;S50,'[1]2_inventory_totals'!$G$8:$G$10000,"="&amp;T50)+SUMIFS('[1]2_inventory_totals'!$Q$8:$Q$10000,'[1]2_inventory_totals'!$C$8:$C$10000,I50,'[1]2_inventory_totals'!$F$8:$F$10000,"="&amp;S50,'[1]2_inventory_totals'!$G$8:$G$10000,"="&amp;T50)+SUMIFS('[1]2_inventory_totals'!$R$8:$R$10000,'[1]2_inventory_totals'!$C$8:$C$10000,I50,'[1]2_inventory_totals'!$F$8:$F$10000,"="&amp;S50,'[1]2_inventory_totals'!$G$8:$G$10000,"="&amp;T50))+(SUMIFS('[1]2_inventory_totals'!$J$8:$J$10000,'[1]2_inventory_totals'!$C$8:$C$10000,I50,'[1]2_inventory_totals'!$F$8:$F$10000,"="&amp;S50,'[1]2_inventory_totals'!$G$8:$G$10000,"="&amp;T50)+SUMIFS('[1]2_inventory_totals'!$K$8:$K$10000,'[1]2_inventory_totals'!$C$8:$C$10000,I50,'[1]2_inventory_totals'!$F$8:$F$10000,"="&amp;S50,'[1]2_inventory_totals'!$G$8:$G$10000,"="&amp;T50)+SUMIFS('[1]2_inventory_totals'!$L$8:$L$10000,'[1]2_inventory_totals'!$C$8:$C$10000,I50,'[1]2_inventory_totals'!$F$8:$F$10000,"="&amp;S50,'[1]2_inventory_totals'!$G$8:$G$10000,"="&amp;T50)+SUMIFS('[1]2_inventory_totals'!$M$8:$M$10000,'[1]2_inventory_totals'!$C$8:$C$10000,I50,'[1]2_inventory_totals'!$F$8:$F$10000,"="&amp;S50,'[1]2_inventory_totals'!$G$8:$G$10000,"="&amp;T50)+SUMIFS('[1]2_inventory_totals'!$O$8:$O$10000,'[1]2_inventory_totals'!$C$8:$C$10000,I50,'[1]2_inventory_totals'!$F$8:$F$10000,"="&amp;S50,'[1]2_inventory_totals'!$G$8:$G$10000,"="&amp;T50)+SUMIFS('[1]2_inventory_totals'!$S$8:$S$10000,'[1]2_inventory_totals'!$C$8:$C$10000,I50,'[1]2_inventory_totals'!$F$8:$F$10000,"="&amp;S50,'[1]2_inventory_totals'!$G$8:$G$10000,"="&amp;T50)))</f>
        <v/>
      </c>
      <c r="AP50" s="954"/>
    </row>
    <row r="51" spans="1:42" ht="27" customHeight="1">
      <c r="A51" s="923"/>
      <c r="B51" s="1172"/>
      <c r="C51" s="950"/>
      <c r="D51" s="950"/>
      <c r="E51" s="950"/>
      <c r="F51" s="1198"/>
      <c r="I51" s="1610" t="str">
        <f t="shared" si="5"/>
        <v/>
      </c>
      <c r="J51" s="270" t="str">
        <f t="shared" si="6"/>
        <v/>
      </c>
      <c r="K51" s="813" t="str">
        <f t="shared" si="16"/>
        <v/>
      </c>
      <c r="L51" s="1184"/>
      <c r="M51" s="1185"/>
      <c r="N51" s="1186"/>
      <c r="O51" s="1534"/>
      <c r="P51" s="336" t="str">
        <f t="shared" si="17"/>
        <v/>
      </c>
      <c r="Q51" s="336" t="str">
        <f>IF(L51="","",IF(AD51=0,0,(SUMIFS('[1]1_group_total_details'!$I$8:$I$10000,'[1]1_group_total_details'!$C$8:$C$10000,I51,'[1]1_group_total_details'!$F$8:$F$10000,adj_location_group_id,'[1]1_group_total_details'!$G$8:$G$10000,MID(N51,1,3)*1,'[1]1_group_total_details'!$H$8:$H$10000,"&lt;="&amp;adj_date)+SUMIFS('[1]1_group_total_details'!$L$8:$L$10000,'[1]1_group_total_details'!$C$8:$C$10000,I51,'[1]1_group_total_details'!$F$8:$F$10000,adj_location_group_id,'[1]1_group_total_details'!$G$8:$G$10000,MID(N51,1,3)*1,'[1]1_group_total_details'!$H$8:$H$10000,"&lt;="&amp;adj_date)+SUMIFS('[1]1_group_total_details'!$N$8:$N$10000,'[1]1_group_total_details'!$C$8:$C$10000,I51,'[1]1_group_total_details'!$F$8:$F$10000,adj_location_group_id,'[1]1_group_total_details'!$G$8:$G$10000,MID(N51,1,3)*1,'[1]1_group_total_details'!$H$8:$H$10000,"&lt;="&amp;adj_date)+SUMIFS('[1]1_group_total_details'!$O$8:$O$10000,'[1]1_group_total_details'!$C$8:$C$10000,I51,'[1]1_group_total_details'!$F$8:$F$10000,adj_location_group_id,'[1]1_group_total_details'!$G$8:$G$10000,MID(N51,1,3)*1,'[1]1_group_total_details'!$H$8:$H$10000,"&lt;="&amp;adj_date))-(SUMIFS('[1]1_group_total_details'!$J$8:$J$10000,'[1]1_group_total_details'!$C$8:$C$10000,I51,'[1]1_group_total_details'!$F$8:$F$10000,adj_location_group_id,'[1]1_group_total_details'!$G$8:$G$10000,MID(N51,1,3)*1,'[1]1_group_total_details'!$H$8:$H$10000,"&lt;="&amp;adj_date)+SUMIFS('[1]1_group_total_details'!$K$8:$K$10000,'[1]1_group_total_details'!$C$8:$C$10000,I51,'[1]1_group_total_details'!$F$8:$F$10000,adj_location_group_id,'[1]1_group_total_details'!$G$8:$G$10000,MID(N51,1,3)*1,'[1]1_group_total_details'!$H$8:$H$10000,"&lt;="&amp;adj_date)+SUMIFS('[1]1_group_total_details'!$M$8:$M$10000,'[1]1_group_total_details'!$C$8:$C$10000,I51,'[1]1_group_total_details'!$F$8:$F$10000,adj_location_group_id,'[1]1_group_total_details'!$G$8:$G$10000,MID(N51,1,3)*1,'[1]1_group_total_details'!$H$8:$H$10000,"&lt;="&amp;adj_date)+SUMIFS('[1]1_group_total_details'!$P$8:$P$10000,'[1]1_group_total_details'!$C$8:$C$10000,I51,'[1]1_group_total_details'!$F$8:$F$10000,adj_location_group_id,'[1]1_group_total_details'!$G$8:$G$10000,MID(N51,1,3)*1,'[1]1_group_total_details'!$H$8:$H$10000,"&lt;="&amp;adj_date))))</f>
        <v/>
      </c>
      <c r="R51" s="1187"/>
      <c r="S51" s="1186"/>
      <c r="T51" s="1186"/>
      <c r="U51" s="1184"/>
      <c r="V51" s="270" t="str" cm="1">
        <f t="array" ref="V51">IF(L51="","",IF(M51=AE51,1,Slookup(MID(AE51,1,3)*1,UomConversion!$D$8:$J$500,5,UomConversion!$E$8:$E$500,MID(M51,1,3)*1,UomConversion!$J$8:$J$500,1)))</f>
        <v/>
      </c>
      <c r="W51" s="270" t="str">
        <f t="shared" si="8"/>
        <v/>
      </c>
      <c r="X51" s="1795" t="str">
        <f t="shared" si="9"/>
        <v/>
      </c>
      <c r="Y51" s="1795" t="str">
        <f t="shared" si="10"/>
        <v/>
      </c>
      <c r="Z51" s="270" t="str">
        <f>IF(I51="","",IF(ISNA(MATCH(I51,IF(MID(N51,1,3)*1=1,'[1]1_inventory_totals'!$C$8:$C$10000,IF(MID(N51,1,3)*1=2,'[1]2_inventory_totals'!$C$8:$C$10000,"")),0)),0,IF(AL51&gt;0,1,0)))</f>
        <v/>
      </c>
      <c r="AA51" s="270" t="str">
        <f>IF(L51="","",IF(MID(N51,1,3)*1=1,SUMIFS('[1]1_inventory_total_details'!$J$8:$J$10000,'[1]1_inventory_total_details'!$C$8:$C$10000,I51,'[1]1_inventory_total_details'!$F$8:$F$10000,MID(N51,1,3)*1,'[1]1_inventory_total_details'!$G$8:$G$10000,"="&amp;S51,'[1]1_inventory_total_details'!$H$8:$H$10000,"="&amp;T51,'[1]1_inventory_total_details'!$I$8:$I$10000,"="&amp;adj_date)+SUMIFS('[1]1_inventory_total_details'!$M$8:$M$10000,'[1]1_inventory_total_details'!$C$8:$C$10000,I51,'[1]1_inventory_total_details'!$F$8:$F$10000,MID(N51,1,3)*1,'[1]1_inventory_total_details'!$G$8:$G$10000,"="&amp;S51,'[1]1_inventory_total_details'!$H$8:$H$10000,"="&amp;T51,'[1]1_inventory_total_details'!$I$8:$I$10000,"="&amp;adj_date)+SUMIFS('[1]1_inventory_total_details'!$K$8:$K$10000,'[1]1_inventory_total_details'!$C$8:$C$10000,I51,'[1]1_inventory_total_details'!$F$8:$F$10000,MID(N51,1,3)*1,'[1]1_inventory_total_details'!$G$8:$G$10000,"="&amp;S51,'[1]1_inventory_total_details'!$H$8:$H$10000,"="&amp;T51,'[1]1_inventory_total_details'!$I$8:$I$10000,"="&amp;adj_date)+SUMIFS('[1]1_inventory_total_details'!$L$8:$L$10000,'[1]1_inventory_total_details'!$C$8:$C$10000,I51,'[1]1_inventory_total_details'!$F$8:$F$10000,MID(N51,1,3)*1,'[1]1_inventory_total_details'!$G$8:$G$10000,"="&amp;S51,'[1]1_inventory_total_details'!$H$8:$H$10000,"="&amp;T51,'[1]1_inventory_total_details'!$I$8:$I$10000,"="&amp;adj_date),SUMIFS('[1]2_inventory_total_details'!$J$8:$J$10000,'[1]2_inventory_total_details'!$C$8:$C$10000,I51,'[1]2_inventory_total_details'!$F$8:$F$10000,MID(N51,1,3)*1,'[1]2_inventory_total_details'!$G$8:$G$10000,"="&amp;S51,'[1]2_inventory_total_details'!$H$8:$H$10000,"="&amp;T51,'[1]2_inventory_total_details'!$I$8:$I$10000,"="&amp;adj_date)+SUMIFS('[1]2_inventory_total_details'!$M$8:$M$10000,'[1]1_inventory_total_details'!$C$8:$C$10000,I51,'[1]2_inventory_total_details'!$F$8:$F$10000,MID(N51,1,3)*1,'[1]2_inventory_total_details'!$G$8:$G$10000,"="&amp;S51,'[1]2_inventory_total_details'!$H$8:$H$10000,"="&amp;T51,'[1]2_inventory_total_details'!$I$8:$I$10000,"="&amp;adj_date)+SUMIFS('[1]2_inventory_total_details'!$K$8:$K$10000,'[1]2_inventory_total_details'!$C$8:$C$10000,I51,'[1]2_inventory_total_details'!$F$8:$F$10000,MID(N51,1,3)*1,'[1]2_inventory_total_details'!$G$8:$G$10000,"="&amp;S51,'[1]2_inventory_total_details'!$H$8:$H$10000,"="&amp;T51,'[1]2_inventory_total_details'!$I$8:$I$10000,"="&amp;adj_date)+SUMIFS('[1]2_inventory_total_details'!$L$8:$L$10000,'[1]2_inventory_total_details'!$C$8:$C$10000,I51,'[1]2_inventory_total_details'!$F$8:$F$10000,MID(N51,1,3)*1,'[1]2_inventory_total_details'!$G$8:$G$10000,"="&amp;S51,'[1]2_inventory_total_details'!$H$8:$H$10000,"="&amp;T51,'[1]2_inventory_total_details'!$I$8:$I$10000,"="&amp;adj_date)))</f>
        <v/>
      </c>
      <c r="AB51" s="270" t="str">
        <f>IF(L51="","",IF(MID(N51,1,3)*1=1,SUMIFS('[1]1_inventory_total_details'!$J$8:$J$10000,'[1]1_inventory_total_details'!$C$8:$C$10000,I51,'[1]1_inventory_total_details'!$F$8:$F$10000,MID(N51,1,3)*1,'[1]1_inventory_total_details'!$G$8:$G$10000,"="&amp;S51,'[1]1_inventory_total_details'!$H$8:$H$10000,"="&amp;T51,'[1]1_inventory_total_details'!$I$8:$I$10000,"="&amp;adj_date)+SUMIFS('[1]1_inventory_total_details'!$M$8:$M$10000,'[1]1_inventory_total_details'!$C$8:$C$10000,I51,'[1]1_inventory_total_details'!$F$8:$F$10000,MID(N51,1,3)*1,'[1]1_inventory_total_details'!$G$8:$G$10000,"="&amp;S51,'[1]1_inventory_total_details'!$H$8:$H$10000,"="&amp;T51,'[1]1_inventory_total_details'!$I$8:$I$10000,"="&amp;adj_date)+SUMIFS('[1]1_inventory_total_details'!$K$8:$K$10000,'[1]1_inventory_total_details'!$C$8:$C$10000,I51,'[1]1_inventory_total_details'!$F$8:$F$10000,MID(N51,1,3)*1,'[1]1_inventory_total_details'!$G$8:$G$10000,"="&amp;S51,'[1]1_inventory_total_details'!$H$8:$H$10000,"="&amp;T51,'[1]1_inventory_total_details'!$I$8:$I$10000,"="&amp;adj_date)+SUMIFS('[1]1_inventory_total_details'!$L$8:$L$10000,'[1]1_inventory_total_details'!$C$8:$C$10000,I51,'[1]1_inventory_total_details'!$F$8:$F$10000,MID(N51,1,3)*1,'[1]1_inventory_total_details'!$G$8:$G$10000,"="&amp;S51,'[1]1_inventory_total_details'!$H$8:$H$10000,"="&amp;T51,'[1]1_inventory_total_details'!$I$8:$I$10000,"="&amp;adj_date),SUMIFS('[1]2_inventory_total_details'!$J$8:$J$10000,'[1]2_inventory_total_details'!$C$8:$C$10000,I51,'[1]2_inventory_total_details'!$F$8:$F$10000,MID(N51,1,3)*1,'[1]2_inventory_total_details'!$G$8:$G$10000,"="&amp;S51,'[1]2_inventory_total_details'!$H$8:$H$10000,"="&amp;T51,'[1]2_inventory_total_details'!$I$8:$I$10000,"="&amp;adj_date)+SUMIFS('[1]2_inventory_total_details'!$M$8:$M$10000,'[1]1_inventory_total_details'!$C$8:$C$10000,I51,'[1]2_inventory_total_details'!$F$8:$F$10000,MID(N51,1,3)*1,'[1]2_inventory_total_details'!$G$8:$G$10000,"="&amp;S51,'[1]2_inventory_total_details'!$H$8:$H$10000,"="&amp;T51,'[1]2_inventory_total_details'!$I$8:$I$10000,"="&amp;adj_date)+SUMIFS('[1]2_inventory_total_details'!$K$8:$K$10000,'[1]2_inventory_total_details'!$C$8:$C$10000,I51,'[1]2_inventory_total_details'!$F$8:$F$10000,MID(N51,1,3)*1,'[1]2_inventory_total_details'!$G$8:$G$10000,"="&amp;S51,'[1]2_inventory_total_details'!$H$8:$H$10000,"="&amp;T51,'[1]2_inventory_total_details'!$I$8:$I$10000,"="&amp;adj_date)+SUMIFS('[1]2_inventory_total_details'!$L$8:$L$10000,'[1]2_inventory_total_details'!$C$8:$C$10000,I51,'[1]2_inventory_total_details'!$F$8:$F$10000,MID(N51,1,3)*1,'[1]2_inventory_total_details'!$G$8:$G$10000,"="&amp;S51,'[1]2_inventory_total_details'!$H$8:$H$10000,"="&amp;T51,'[1]2_inventory_total_details'!$I$8:$I$10000,"="&amp;adj_date)))</f>
        <v/>
      </c>
      <c r="AC51" s="270" t="str">
        <f>IF(L51="","",IF(MID(N51,1,3)*1=1,SUMIFS('[1]1_inventory_total_details'!$J$8:$J$10000,'[1]1_inventory_total_details'!$C$8:$C$10000,I51,'[1]1_inventory_total_details'!$F$8:$F$10000,MID(N51,1,3)*1,'[1]1_inventory_total_details'!$G$8:$G$10000,"="&amp;S51,'[1]1_inventory_total_details'!$H$8:$H$10000,"="&amp;T51,'[1]1_inventory_total_details'!$I$8:$I$10000,"="&amp;adj_date)+SUMIFS('[1]1_inventory_total_details'!$M$8:$M$10000,'[1]1_inventory_total_details'!$C$8:$C$10000,I51,'[1]1_inventory_total_details'!$F$8:$F$10000,MID(N51,1,3)*1,'[1]1_inventory_total_details'!$G$8:$G$10000,"="&amp;S51,'[1]1_inventory_total_details'!$H$8:$H$10000,"="&amp;T51,'[1]1_inventory_total_details'!$I$8:$I$10000,"="&amp;adj_date)+SUMIFS('[1]1_inventory_total_details'!$K$8:$K$10000,'[1]1_inventory_total_details'!$C$8:$C$10000,I51,'[1]1_inventory_total_details'!$F$8:$F$10000,MID(N51,1,3)*1,'[1]1_inventory_total_details'!$G$8:$G$10000,"="&amp;S51,'[1]1_inventory_total_details'!$H$8:$H$10000,"="&amp;T51,'[1]1_inventory_total_details'!$I$8:$I$10000,"="&amp;adj_date)+SUMIFS('[1]1_inventory_total_details'!$L$8:$L$10000,'[1]1_inventory_total_details'!$C$8:$C$10000,I51,'[1]1_inventory_total_details'!$F$8:$F$10000,MID(N51,1,3)*1,'[1]1_inventory_total_details'!$G$8:$G$10000,"="&amp;S51,'[1]1_inventory_total_details'!$H$8:$H$10000,"="&amp;T51,'[1]1_inventory_total_details'!$I$8:$I$10000,"="&amp;adj_date),SUMIFS('[1]2_inventory_total_details'!$J$8:$J$10000,'[1]2_inventory_total_details'!$C$8:$C$10000,I51,'[1]2_inventory_total_details'!$F$8:$F$10000,MID(N51,1,3)*1,'[1]2_inventory_total_details'!$G$8:$G$10000,"="&amp;S51,'[1]2_inventory_total_details'!$H$8:$H$10000,"="&amp;T51,'[1]2_inventory_total_details'!$I$8:$I$10000,"="&amp;adj_date)+SUMIFS('[1]2_inventory_total_details'!$M$8:$M$10000,'[1]1_inventory_total_details'!$C$8:$C$10000,I51,'[1]2_inventory_total_details'!$F$8:$F$10000,MID(N51,1,3)*1,'[1]2_inventory_total_details'!$G$8:$G$10000,"="&amp;S51,'[1]2_inventory_total_details'!$H$8:$H$10000,"="&amp;T51,'[1]2_inventory_total_details'!$I$8:$I$10000,"="&amp;adj_date)+SUMIFS('[1]2_inventory_total_details'!$K$8:$K$10000,'[1]2_inventory_total_details'!$C$8:$C$10000,I51,'[1]2_inventory_total_details'!$F$8:$F$10000,MID(N51,1,3)*1,'[1]2_inventory_total_details'!$G$8:$G$10000,"="&amp;S51,'[1]2_inventory_total_details'!$H$8:$H$10000,"="&amp;T51,'[1]2_inventory_total_details'!$I$8:$I$10000,"="&amp;adj_date)+SUMIFS('[1]2_inventory_total_details'!$L$8:$L$10000,'[1]2_inventory_total_details'!$C$8:$C$10000,I51,'[1]2_inventory_total_details'!$F$8:$F$10000,MID(N51,1,3)*1,'[1]2_inventory_total_details'!$G$8:$G$10000,"="&amp;S51,'[1]2_inventory_total_details'!$H$8:$H$10000,"="&amp;T51,'[1]2_inventory_total_details'!$I$8:$I$10000,"="&amp;adj_date)))</f>
        <v/>
      </c>
      <c r="AD51" s="270" t="str">
        <f>IF(L51="","",SUMIFS('[1]1_group_totals'!$J$8:$J$10000,'[1]1_group_totals'!$C$8:$C$10000,I51,'[1]1_group_totals'!$F$8:$F$10000,adj_location_group_id,'[1]1_group_totals'!$G$8:$G$10000,MID(N51,1,3)*1,'[1]1_group_totals'!$H$8:$H$10000,"="&amp;S51,'[1]1_group_totals'!$I$8:$I$10000,"="&amp;T51))</f>
        <v/>
      </c>
      <c r="AE51" s="1796" t="str">
        <f t="shared" si="11"/>
        <v/>
      </c>
      <c r="AF51" s="1797" t="str">
        <f>IF(ISNA(MATCH(MID(AE51,1,3)*1,UomConversion!$D$8:$D$500,0)),"",IF(AJ51&lt;&gt;"",AJ51,""))</f>
        <v/>
      </c>
      <c r="AG51" s="1797" t="str">
        <f>IF(AND(AH51&gt;0,COUNTIFS(UomConversion!$D$8:$D$500,MID(AE51,1,3)*1,UomConversion!$J$8:$J$500,1)&gt;1),TEXT(AH51,"000")&amp;"."&amp;VLOOKUP(AH51,uom_list,5,FALSE),"")</f>
        <v/>
      </c>
      <c r="AH51" s="270" t="str">
        <f t="shared" si="12"/>
        <v/>
      </c>
      <c r="AI51" s="270" t="str">
        <f t="shared" si="13"/>
        <v/>
      </c>
      <c r="AJ51" s="270" t="str">
        <f t="shared" si="14"/>
        <v/>
      </c>
      <c r="AK51" s="270" t="str" cm="1">
        <f t="array" ref="AK51">IF(L51="","",Slookup(MID(AE51,1,3)*1,UomConversion!$D$8:$J$500,2,UomConversion!$I$8:$I$500,1,UomConversion!$J$8:$J$500,1))</f>
        <v/>
      </c>
      <c r="AL51" s="270" t="str">
        <f t="shared" si="15"/>
        <v/>
      </c>
      <c r="AM51" s="270" t="str">
        <f>IF(L51="","",(SUMIFS('[1]1_group_totals'!$K$8:$K$10000,'[1]1_group_totals'!$C$8:$C$10000,I51,'[1]1_group_totals'!$F$8:$F$10000,adj_location_group_id,'[1]1_group_totals'!$G$8:$G$10000,MID(N51,1,3)*1,'[1]1_group_totals'!$H$8:$H$10000,"="&amp;S51,'[1]1_group_totals'!$I$8:$I$10000,"="&amp;T51)+SUMIFS('[1]1_group_totals'!$N$8:$N$10000,'[1]1_group_totals'!$C$8:$C$10000,I51,'[1]1_group_totals'!$F$8:$F$10000,adj_location_group_id,'[1]1_group_totals'!$G$8:$G$10000,MID(N51,1,3)*1,'[1]1_group_totals'!$H$8:$H$10000,"="&amp;S51,'[1]1_group_totals'!$I$8:$I$10000,"="&amp;T51)+SUMIFS('[1]1_group_totals'!$P$8:$P$10000,'[1]1_group_totals'!$C$8:$C$10000,I51,'[1]1_group_totals'!$F$8:$F$10000,adj_location_group_id,'[1]1_group_totals'!$G$8:$G$10000,MID(N51,1,3)*1,'[1]1_group_totals'!$H$8:$H$10000,"="&amp;S51,'[1]1_group_totals'!$I$8:$I$10000,"="&amp;T51)+SUMIFS('[1]1_group_totals'!$Q$8:$Q$10000,'[1]1_group_totals'!$C$8:$C$10000,I51,'[1]1_group_totals'!$F$8:$F$10000,adj_location_group_id,'[1]1_group_totals'!$G$8:$G$10000,MID(N51,1,3)*1,'[1]1_group_totals'!$H$8:$H$10000,"="&amp;S51,'[1]1_group_totals'!$I$8:$I$10000,"="&amp;T51))+(SUMIFS('[1]1_group_totals'!$L$8:$L$10000,'[1]1_group_totals'!$C$8:$C$10000,I51,'[1]1_group_totals'!$F$8:$F$10000,adj_location_group_id,'[1]1_group_totals'!$G$8:$G$10000,MID(N51,1,3)*1,'[1]1_group_totals'!$H$8:$H$10000,"="&amp;S51,'[1]1_group_totals'!$I$8:$I$10000,"="&amp;T51)+SUMIFS('[1]1_group_totals'!$M$8:$M$10000,'[1]1_group_totals'!$C$8:$C$10000,I51,'[1]1_group_totals'!$F$8:$F$10000,adj_location_group_id,'[1]1_group_totals'!$G$8:$G$10000,MID(N51,1,3)*1,'[1]1_group_totals'!$H$8:$H$10000,"="&amp;S51,'[1]1_group_totals'!$I$8:$I$10000,"="&amp;T51)+SUMIFS('[1]1_group_totals'!$O$8:$O$10000,'[1]1_group_totals'!$C$8:$C$10000,I51,'[1]1_group_totals'!$F$8:$F$10000,adj_location_group_id,'[1]1_group_totals'!$G$8:$G$10000,MID(N51,1,3)*1,'[1]1_group_totals'!$H$8:$H$10000,"="&amp;S51,'[1]1_group_totals'!$I$8:$I$10000,"="&amp;T51)+SUMIFS('[1]1_group_totals'!$R$8:$R$10000,'[1]1_group_totals'!$C$8:$C$10000,I51,'[1]1_group_totals'!$F$8:$F$10000,adj_location_group_id,'[1]1_group_totals'!$G$8:$G$10000,MID(N51,1,3)*1,'[1]1_group_totals'!$H$8:$H$10000,"="&amp;S51,'[1]1_group_totals'!$I$8:$I$10000,"="&amp;T51)))</f>
        <v/>
      </c>
      <c r="AN51" s="270" t="str">
        <f>IF(L51="","",(SUMIFS('[1]1_inventory_totals'!$I$8:$I$10000,'[1]1_inventory_totals'!$C$8:$C$10000,I51,'[1]1_inventory_totals'!$F$8:$F$10000,"="&amp;S51,'[1]1_inventory_totals'!$G$8:$G$10000,"="&amp;T51)+SUMIFS('[1]1_inventory_totals'!$N$8:$N$10000,'[1]1_inventory_totals'!$C$8:$C$10000,I51,'[1]1_inventory_totals'!$F$8:$F$10000,"="&amp;S51,'[1]1_inventory_totals'!$G$8:$G$10000,"="&amp;T51)+SUMIFS('[1]1_inventory_totals'!$P$8:$P$10000,'[1]1_inventory_totals'!$C$8:$C$10000,I51,'[1]1_inventory_totals'!$F$8:$F$10000,"="&amp;S51,'[1]1_inventory_totals'!$G$8:$G$10000,"="&amp;T51)+SUMIFS('[1]1_inventory_totals'!$Q$8:$Q$10000,'[1]1_inventory_totals'!$C$8:$C$10000,I51,'[1]1_inventory_totals'!$F$8:$F$10000,"="&amp;S51,'[1]1_inventory_totals'!$G$8:$G$10000,"="&amp;T51)+SUMIFS('[1]1_inventory_totals'!$R$8:$R$10000,'[1]1_inventory_totals'!$C$8:$C$10000,I51,'[1]1_inventory_totals'!$F$8:$F$10000,"="&amp;S51,'[1]1_inventory_totals'!$G$8:$G$10000,"="&amp;T51))+(SUMIFS('[1]1_inventory_totals'!$J$8:$J$10000,'[1]1_inventory_totals'!$C$8:$C$10000,I51,'[1]1_inventory_totals'!$F$8:$F$10000,"="&amp;S51,'[1]1_inventory_totals'!$G$8:$G$10000,"="&amp;T51)+SUMIFS('[1]1_inventory_totals'!$K$8:$K$10000,'[1]1_inventory_totals'!$C$8:$C$10000,I51,'[1]1_inventory_totals'!$F$8:$F$10000,"="&amp;S51,'[1]1_inventory_totals'!$G$8:$G$10000,"="&amp;T51)+SUMIFS('[1]1_inventory_totals'!$L$8:$L$10000,'[1]1_inventory_totals'!$C$8:$C$10000,I51,'[1]1_inventory_totals'!$F$8:$F$10000,"="&amp;S51,'[1]1_inventory_totals'!$G$8:$G$10000,"="&amp;T51)+SUMIFS('[1]1_inventory_totals'!$M$8:$M$10000,'[1]1_inventory_totals'!$C$8:$C$10000,I51,'[1]1_inventory_totals'!$F$8:$F$10000,"="&amp;S51,'[1]1_inventory_totals'!$G$8:$G$10000,"="&amp;T51)+SUMIFS('[1]1_inventory_totals'!$O$8:$O$10000,'[1]1_inventory_totals'!$C$8:$C$10000,I51,'[1]1_inventory_totals'!$F$8:$F$10000,"="&amp;S51,'[1]1_inventory_totals'!$G$8:$G$10000,"="&amp;T51)+SUMIFS('[1]1_inventory_totals'!$S$8:$S$10000,'[1]1_inventory_totals'!$C$8:$C$10000,I51,'[1]1_inventory_totals'!$F$8:$F$10000,"="&amp;S51,'[1]1_inventory_totals'!$G$8:$G$10000,"="&amp;T51)))</f>
        <v/>
      </c>
      <c r="AO51" s="270" t="str">
        <f>IF(L51="","",(SUMIFS('[1]2_inventory_totals'!$I$8:$I$10000,'[1]2_inventory_totals'!$C$8:$C$10000,I51,'[1]2_inventory_totals'!$F$8:$F$10000,"="&amp;S51,'[1]2_inventory_totals'!$G$8:$G$10000,"="&amp;T51)+SUMIFS('[1]2_inventory_totals'!$N$8:$N$10000,'[1]2_inventory_totals'!$C$8:$C$10000,I51,'[1]2_inventory_totals'!$F$8:$F$10000,"="&amp;S51,'[1]2_inventory_totals'!$G$8:$G$10000,"="&amp;T51)+SUMIFS('[1]2_inventory_totals'!$P$8:$P$10000,'[1]2_inventory_totals'!$C$8:$C$10000,I51,'[1]2_inventory_totals'!$F$8:$F$10000,"="&amp;S51,'[1]2_inventory_totals'!$G$8:$G$10000,"="&amp;T51)+SUMIFS('[1]2_inventory_totals'!$Q$8:$Q$10000,'[1]2_inventory_totals'!$C$8:$C$10000,I51,'[1]2_inventory_totals'!$F$8:$F$10000,"="&amp;S51,'[1]2_inventory_totals'!$G$8:$G$10000,"="&amp;T51)+SUMIFS('[1]2_inventory_totals'!$R$8:$R$10000,'[1]2_inventory_totals'!$C$8:$C$10000,I51,'[1]2_inventory_totals'!$F$8:$F$10000,"="&amp;S51,'[1]2_inventory_totals'!$G$8:$G$10000,"="&amp;T51))+(SUMIFS('[1]2_inventory_totals'!$J$8:$J$10000,'[1]2_inventory_totals'!$C$8:$C$10000,I51,'[1]2_inventory_totals'!$F$8:$F$10000,"="&amp;S51,'[1]2_inventory_totals'!$G$8:$G$10000,"="&amp;T51)+SUMIFS('[1]2_inventory_totals'!$K$8:$K$10000,'[1]2_inventory_totals'!$C$8:$C$10000,I51,'[1]2_inventory_totals'!$F$8:$F$10000,"="&amp;S51,'[1]2_inventory_totals'!$G$8:$G$10000,"="&amp;T51)+SUMIFS('[1]2_inventory_totals'!$L$8:$L$10000,'[1]2_inventory_totals'!$C$8:$C$10000,I51,'[1]2_inventory_totals'!$F$8:$F$10000,"="&amp;S51,'[1]2_inventory_totals'!$G$8:$G$10000,"="&amp;T51)+SUMIFS('[1]2_inventory_totals'!$M$8:$M$10000,'[1]2_inventory_totals'!$C$8:$C$10000,I51,'[1]2_inventory_totals'!$F$8:$F$10000,"="&amp;S51,'[1]2_inventory_totals'!$G$8:$G$10000,"="&amp;T51)+SUMIFS('[1]2_inventory_totals'!$O$8:$O$10000,'[1]2_inventory_totals'!$C$8:$C$10000,I51,'[1]2_inventory_totals'!$F$8:$F$10000,"="&amp;S51,'[1]2_inventory_totals'!$G$8:$G$10000,"="&amp;T51)+SUMIFS('[1]2_inventory_totals'!$S$8:$S$10000,'[1]2_inventory_totals'!$C$8:$C$10000,I51,'[1]2_inventory_totals'!$F$8:$F$10000,"="&amp;S51,'[1]2_inventory_totals'!$G$8:$G$10000,"="&amp;T51)))</f>
        <v/>
      </c>
      <c r="AP51" s="954"/>
    </row>
    <row r="52" spans="1:42" ht="27" customHeight="1">
      <c r="A52" s="923"/>
      <c r="B52" s="1172"/>
      <c r="C52" s="950"/>
      <c r="D52" s="950"/>
      <c r="E52" s="950"/>
      <c r="F52" s="1198"/>
      <c r="I52" s="1610" t="str">
        <f t="shared" si="5"/>
        <v/>
      </c>
      <c r="J52" s="270" t="str">
        <f t="shared" si="6"/>
        <v/>
      </c>
      <c r="K52" s="813" t="str">
        <f t="shared" si="16"/>
        <v/>
      </c>
      <c r="L52" s="1184"/>
      <c r="M52" s="1185"/>
      <c r="N52" s="1186"/>
      <c r="O52" s="1534"/>
      <c r="P52" s="336" t="str">
        <f t="shared" si="17"/>
        <v/>
      </c>
      <c r="Q52" s="336" t="str">
        <f>IF(L52="","",IF(AD52=0,0,(SUMIFS('[1]1_group_total_details'!$I$8:$I$10000,'[1]1_group_total_details'!$C$8:$C$10000,I52,'[1]1_group_total_details'!$F$8:$F$10000,adj_location_group_id,'[1]1_group_total_details'!$G$8:$G$10000,MID(N52,1,3)*1,'[1]1_group_total_details'!$H$8:$H$10000,"&lt;="&amp;adj_date)+SUMIFS('[1]1_group_total_details'!$L$8:$L$10000,'[1]1_group_total_details'!$C$8:$C$10000,I52,'[1]1_group_total_details'!$F$8:$F$10000,adj_location_group_id,'[1]1_group_total_details'!$G$8:$G$10000,MID(N52,1,3)*1,'[1]1_group_total_details'!$H$8:$H$10000,"&lt;="&amp;adj_date)+SUMIFS('[1]1_group_total_details'!$N$8:$N$10000,'[1]1_group_total_details'!$C$8:$C$10000,I52,'[1]1_group_total_details'!$F$8:$F$10000,adj_location_group_id,'[1]1_group_total_details'!$G$8:$G$10000,MID(N52,1,3)*1,'[1]1_group_total_details'!$H$8:$H$10000,"&lt;="&amp;adj_date)+SUMIFS('[1]1_group_total_details'!$O$8:$O$10000,'[1]1_group_total_details'!$C$8:$C$10000,I52,'[1]1_group_total_details'!$F$8:$F$10000,adj_location_group_id,'[1]1_group_total_details'!$G$8:$G$10000,MID(N52,1,3)*1,'[1]1_group_total_details'!$H$8:$H$10000,"&lt;="&amp;adj_date))-(SUMIFS('[1]1_group_total_details'!$J$8:$J$10000,'[1]1_group_total_details'!$C$8:$C$10000,I52,'[1]1_group_total_details'!$F$8:$F$10000,adj_location_group_id,'[1]1_group_total_details'!$G$8:$G$10000,MID(N52,1,3)*1,'[1]1_group_total_details'!$H$8:$H$10000,"&lt;="&amp;adj_date)+SUMIFS('[1]1_group_total_details'!$K$8:$K$10000,'[1]1_group_total_details'!$C$8:$C$10000,I52,'[1]1_group_total_details'!$F$8:$F$10000,adj_location_group_id,'[1]1_group_total_details'!$G$8:$G$10000,MID(N52,1,3)*1,'[1]1_group_total_details'!$H$8:$H$10000,"&lt;="&amp;adj_date)+SUMIFS('[1]1_group_total_details'!$M$8:$M$10000,'[1]1_group_total_details'!$C$8:$C$10000,I52,'[1]1_group_total_details'!$F$8:$F$10000,adj_location_group_id,'[1]1_group_total_details'!$G$8:$G$10000,MID(N52,1,3)*1,'[1]1_group_total_details'!$H$8:$H$10000,"&lt;="&amp;adj_date)+SUMIFS('[1]1_group_total_details'!$P$8:$P$10000,'[1]1_group_total_details'!$C$8:$C$10000,I52,'[1]1_group_total_details'!$F$8:$F$10000,adj_location_group_id,'[1]1_group_total_details'!$G$8:$G$10000,MID(N52,1,3)*1,'[1]1_group_total_details'!$H$8:$H$10000,"&lt;="&amp;adj_date))))</f>
        <v/>
      </c>
      <c r="R52" s="1187"/>
      <c r="S52" s="1186"/>
      <c r="T52" s="1186"/>
      <c r="U52" s="1184"/>
      <c r="V52" s="270" t="str" cm="1">
        <f t="array" ref="V52">IF(L52="","",IF(M52=AE52,1,Slookup(MID(AE52,1,3)*1,UomConversion!$D$8:$J$500,5,UomConversion!$E$8:$E$500,MID(M52,1,3)*1,UomConversion!$J$8:$J$500,1)))</f>
        <v/>
      </c>
      <c r="W52" s="270" t="str">
        <f t="shared" si="8"/>
        <v/>
      </c>
      <c r="X52" s="1795" t="str">
        <f t="shared" si="9"/>
        <v/>
      </c>
      <c r="Y52" s="1795" t="str">
        <f t="shared" si="10"/>
        <v/>
      </c>
      <c r="Z52" s="270" t="str">
        <f>IF(I52="","",IF(ISNA(MATCH(I52,IF(MID(N52,1,3)*1=1,'[1]1_inventory_totals'!$C$8:$C$10000,IF(MID(N52,1,3)*1=2,'[1]2_inventory_totals'!$C$8:$C$10000,"")),0)),0,IF(AL52&gt;0,1,0)))</f>
        <v/>
      </c>
      <c r="AA52" s="270" t="str">
        <f>IF(L52="","",IF(MID(N52,1,3)*1=1,SUMIFS('[1]1_inventory_total_details'!$J$8:$J$10000,'[1]1_inventory_total_details'!$C$8:$C$10000,I52,'[1]1_inventory_total_details'!$F$8:$F$10000,MID(N52,1,3)*1,'[1]1_inventory_total_details'!$G$8:$G$10000,"="&amp;S52,'[1]1_inventory_total_details'!$H$8:$H$10000,"="&amp;T52,'[1]1_inventory_total_details'!$I$8:$I$10000,"="&amp;adj_date)+SUMIFS('[1]1_inventory_total_details'!$M$8:$M$10000,'[1]1_inventory_total_details'!$C$8:$C$10000,I52,'[1]1_inventory_total_details'!$F$8:$F$10000,MID(N52,1,3)*1,'[1]1_inventory_total_details'!$G$8:$G$10000,"="&amp;S52,'[1]1_inventory_total_details'!$H$8:$H$10000,"="&amp;T52,'[1]1_inventory_total_details'!$I$8:$I$10000,"="&amp;adj_date)+SUMIFS('[1]1_inventory_total_details'!$K$8:$K$10000,'[1]1_inventory_total_details'!$C$8:$C$10000,I52,'[1]1_inventory_total_details'!$F$8:$F$10000,MID(N52,1,3)*1,'[1]1_inventory_total_details'!$G$8:$G$10000,"="&amp;S52,'[1]1_inventory_total_details'!$H$8:$H$10000,"="&amp;T52,'[1]1_inventory_total_details'!$I$8:$I$10000,"="&amp;adj_date)+SUMIFS('[1]1_inventory_total_details'!$L$8:$L$10000,'[1]1_inventory_total_details'!$C$8:$C$10000,I52,'[1]1_inventory_total_details'!$F$8:$F$10000,MID(N52,1,3)*1,'[1]1_inventory_total_details'!$G$8:$G$10000,"="&amp;S52,'[1]1_inventory_total_details'!$H$8:$H$10000,"="&amp;T52,'[1]1_inventory_total_details'!$I$8:$I$10000,"="&amp;adj_date),SUMIFS('[1]2_inventory_total_details'!$J$8:$J$10000,'[1]2_inventory_total_details'!$C$8:$C$10000,I52,'[1]2_inventory_total_details'!$F$8:$F$10000,MID(N52,1,3)*1,'[1]2_inventory_total_details'!$G$8:$G$10000,"="&amp;S52,'[1]2_inventory_total_details'!$H$8:$H$10000,"="&amp;T52,'[1]2_inventory_total_details'!$I$8:$I$10000,"="&amp;adj_date)+SUMIFS('[1]2_inventory_total_details'!$M$8:$M$10000,'[1]1_inventory_total_details'!$C$8:$C$10000,I52,'[1]2_inventory_total_details'!$F$8:$F$10000,MID(N52,1,3)*1,'[1]2_inventory_total_details'!$G$8:$G$10000,"="&amp;S52,'[1]2_inventory_total_details'!$H$8:$H$10000,"="&amp;T52,'[1]2_inventory_total_details'!$I$8:$I$10000,"="&amp;adj_date)+SUMIFS('[1]2_inventory_total_details'!$K$8:$K$10000,'[1]2_inventory_total_details'!$C$8:$C$10000,I52,'[1]2_inventory_total_details'!$F$8:$F$10000,MID(N52,1,3)*1,'[1]2_inventory_total_details'!$G$8:$G$10000,"="&amp;S52,'[1]2_inventory_total_details'!$H$8:$H$10000,"="&amp;T52,'[1]2_inventory_total_details'!$I$8:$I$10000,"="&amp;adj_date)+SUMIFS('[1]2_inventory_total_details'!$L$8:$L$10000,'[1]2_inventory_total_details'!$C$8:$C$10000,I52,'[1]2_inventory_total_details'!$F$8:$F$10000,MID(N52,1,3)*1,'[1]2_inventory_total_details'!$G$8:$G$10000,"="&amp;S52,'[1]2_inventory_total_details'!$H$8:$H$10000,"="&amp;T52,'[1]2_inventory_total_details'!$I$8:$I$10000,"="&amp;adj_date)))</f>
        <v/>
      </c>
      <c r="AB52" s="270" t="str">
        <f>IF(L52="","",IF(MID(N52,1,3)*1=1,SUMIFS('[1]1_inventory_total_details'!$J$8:$J$10000,'[1]1_inventory_total_details'!$C$8:$C$10000,I52,'[1]1_inventory_total_details'!$F$8:$F$10000,MID(N52,1,3)*1,'[1]1_inventory_total_details'!$G$8:$G$10000,"="&amp;S52,'[1]1_inventory_total_details'!$H$8:$H$10000,"="&amp;T52,'[1]1_inventory_total_details'!$I$8:$I$10000,"="&amp;adj_date)+SUMIFS('[1]1_inventory_total_details'!$M$8:$M$10000,'[1]1_inventory_total_details'!$C$8:$C$10000,I52,'[1]1_inventory_total_details'!$F$8:$F$10000,MID(N52,1,3)*1,'[1]1_inventory_total_details'!$G$8:$G$10000,"="&amp;S52,'[1]1_inventory_total_details'!$H$8:$H$10000,"="&amp;T52,'[1]1_inventory_total_details'!$I$8:$I$10000,"="&amp;adj_date)+SUMIFS('[1]1_inventory_total_details'!$K$8:$K$10000,'[1]1_inventory_total_details'!$C$8:$C$10000,I52,'[1]1_inventory_total_details'!$F$8:$F$10000,MID(N52,1,3)*1,'[1]1_inventory_total_details'!$G$8:$G$10000,"="&amp;S52,'[1]1_inventory_total_details'!$H$8:$H$10000,"="&amp;T52,'[1]1_inventory_total_details'!$I$8:$I$10000,"="&amp;adj_date)+SUMIFS('[1]1_inventory_total_details'!$L$8:$L$10000,'[1]1_inventory_total_details'!$C$8:$C$10000,I52,'[1]1_inventory_total_details'!$F$8:$F$10000,MID(N52,1,3)*1,'[1]1_inventory_total_details'!$G$8:$G$10000,"="&amp;S52,'[1]1_inventory_total_details'!$H$8:$H$10000,"="&amp;T52,'[1]1_inventory_total_details'!$I$8:$I$10000,"="&amp;adj_date),SUMIFS('[1]2_inventory_total_details'!$J$8:$J$10000,'[1]2_inventory_total_details'!$C$8:$C$10000,I52,'[1]2_inventory_total_details'!$F$8:$F$10000,MID(N52,1,3)*1,'[1]2_inventory_total_details'!$G$8:$G$10000,"="&amp;S52,'[1]2_inventory_total_details'!$H$8:$H$10000,"="&amp;T52,'[1]2_inventory_total_details'!$I$8:$I$10000,"="&amp;adj_date)+SUMIFS('[1]2_inventory_total_details'!$M$8:$M$10000,'[1]1_inventory_total_details'!$C$8:$C$10000,I52,'[1]2_inventory_total_details'!$F$8:$F$10000,MID(N52,1,3)*1,'[1]2_inventory_total_details'!$G$8:$G$10000,"="&amp;S52,'[1]2_inventory_total_details'!$H$8:$H$10000,"="&amp;T52,'[1]2_inventory_total_details'!$I$8:$I$10000,"="&amp;adj_date)+SUMIFS('[1]2_inventory_total_details'!$K$8:$K$10000,'[1]2_inventory_total_details'!$C$8:$C$10000,I52,'[1]2_inventory_total_details'!$F$8:$F$10000,MID(N52,1,3)*1,'[1]2_inventory_total_details'!$G$8:$G$10000,"="&amp;S52,'[1]2_inventory_total_details'!$H$8:$H$10000,"="&amp;T52,'[1]2_inventory_total_details'!$I$8:$I$10000,"="&amp;adj_date)+SUMIFS('[1]2_inventory_total_details'!$L$8:$L$10000,'[1]2_inventory_total_details'!$C$8:$C$10000,I52,'[1]2_inventory_total_details'!$F$8:$F$10000,MID(N52,1,3)*1,'[1]2_inventory_total_details'!$G$8:$G$10000,"="&amp;S52,'[1]2_inventory_total_details'!$H$8:$H$10000,"="&amp;T52,'[1]2_inventory_total_details'!$I$8:$I$10000,"="&amp;adj_date)))</f>
        <v/>
      </c>
      <c r="AC52" s="270" t="str">
        <f>IF(L52="","",IF(MID(N52,1,3)*1=1,SUMIFS('[1]1_inventory_total_details'!$J$8:$J$10000,'[1]1_inventory_total_details'!$C$8:$C$10000,I52,'[1]1_inventory_total_details'!$F$8:$F$10000,MID(N52,1,3)*1,'[1]1_inventory_total_details'!$G$8:$G$10000,"="&amp;S52,'[1]1_inventory_total_details'!$H$8:$H$10000,"="&amp;T52,'[1]1_inventory_total_details'!$I$8:$I$10000,"="&amp;adj_date)+SUMIFS('[1]1_inventory_total_details'!$M$8:$M$10000,'[1]1_inventory_total_details'!$C$8:$C$10000,I52,'[1]1_inventory_total_details'!$F$8:$F$10000,MID(N52,1,3)*1,'[1]1_inventory_total_details'!$G$8:$G$10000,"="&amp;S52,'[1]1_inventory_total_details'!$H$8:$H$10000,"="&amp;T52,'[1]1_inventory_total_details'!$I$8:$I$10000,"="&amp;adj_date)+SUMIFS('[1]1_inventory_total_details'!$K$8:$K$10000,'[1]1_inventory_total_details'!$C$8:$C$10000,I52,'[1]1_inventory_total_details'!$F$8:$F$10000,MID(N52,1,3)*1,'[1]1_inventory_total_details'!$G$8:$G$10000,"="&amp;S52,'[1]1_inventory_total_details'!$H$8:$H$10000,"="&amp;T52,'[1]1_inventory_total_details'!$I$8:$I$10000,"="&amp;adj_date)+SUMIFS('[1]1_inventory_total_details'!$L$8:$L$10000,'[1]1_inventory_total_details'!$C$8:$C$10000,I52,'[1]1_inventory_total_details'!$F$8:$F$10000,MID(N52,1,3)*1,'[1]1_inventory_total_details'!$G$8:$G$10000,"="&amp;S52,'[1]1_inventory_total_details'!$H$8:$H$10000,"="&amp;T52,'[1]1_inventory_total_details'!$I$8:$I$10000,"="&amp;adj_date),SUMIFS('[1]2_inventory_total_details'!$J$8:$J$10000,'[1]2_inventory_total_details'!$C$8:$C$10000,I52,'[1]2_inventory_total_details'!$F$8:$F$10000,MID(N52,1,3)*1,'[1]2_inventory_total_details'!$G$8:$G$10000,"="&amp;S52,'[1]2_inventory_total_details'!$H$8:$H$10000,"="&amp;T52,'[1]2_inventory_total_details'!$I$8:$I$10000,"="&amp;adj_date)+SUMIFS('[1]2_inventory_total_details'!$M$8:$M$10000,'[1]1_inventory_total_details'!$C$8:$C$10000,I52,'[1]2_inventory_total_details'!$F$8:$F$10000,MID(N52,1,3)*1,'[1]2_inventory_total_details'!$G$8:$G$10000,"="&amp;S52,'[1]2_inventory_total_details'!$H$8:$H$10000,"="&amp;T52,'[1]2_inventory_total_details'!$I$8:$I$10000,"="&amp;adj_date)+SUMIFS('[1]2_inventory_total_details'!$K$8:$K$10000,'[1]2_inventory_total_details'!$C$8:$C$10000,I52,'[1]2_inventory_total_details'!$F$8:$F$10000,MID(N52,1,3)*1,'[1]2_inventory_total_details'!$G$8:$G$10000,"="&amp;S52,'[1]2_inventory_total_details'!$H$8:$H$10000,"="&amp;T52,'[1]2_inventory_total_details'!$I$8:$I$10000,"="&amp;adj_date)+SUMIFS('[1]2_inventory_total_details'!$L$8:$L$10000,'[1]2_inventory_total_details'!$C$8:$C$10000,I52,'[1]2_inventory_total_details'!$F$8:$F$10000,MID(N52,1,3)*1,'[1]2_inventory_total_details'!$G$8:$G$10000,"="&amp;S52,'[1]2_inventory_total_details'!$H$8:$H$10000,"="&amp;T52,'[1]2_inventory_total_details'!$I$8:$I$10000,"="&amp;adj_date)))</f>
        <v/>
      </c>
      <c r="AD52" s="270" t="str">
        <f>IF(L52="","",SUMIFS('[1]1_group_totals'!$J$8:$J$10000,'[1]1_group_totals'!$C$8:$C$10000,I52,'[1]1_group_totals'!$F$8:$F$10000,adj_location_group_id,'[1]1_group_totals'!$G$8:$G$10000,MID(N52,1,3)*1,'[1]1_group_totals'!$H$8:$H$10000,"="&amp;S52,'[1]1_group_totals'!$I$8:$I$10000,"="&amp;T52))</f>
        <v/>
      </c>
      <c r="AE52" s="1796" t="str">
        <f t="shared" si="11"/>
        <v/>
      </c>
      <c r="AF52" s="1797" t="str">
        <f>IF(ISNA(MATCH(MID(AE52,1,3)*1,UomConversion!$D$8:$D$500,0)),"",IF(AJ52&lt;&gt;"",AJ52,""))</f>
        <v/>
      </c>
      <c r="AG52" s="1797" t="str">
        <f>IF(AND(AH52&gt;0,COUNTIFS(UomConversion!$D$8:$D$500,MID(AE52,1,3)*1,UomConversion!$J$8:$J$500,1)&gt;1),TEXT(AH52,"000")&amp;"."&amp;VLOOKUP(AH52,uom_list,5,FALSE),"")</f>
        <v/>
      </c>
      <c r="AH52" s="270" t="str">
        <f t="shared" si="12"/>
        <v/>
      </c>
      <c r="AI52" s="270" t="str">
        <f t="shared" si="13"/>
        <v/>
      </c>
      <c r="AJ52" s="270" t="str">
        <f t="shared" si="14"/>
        <v/>
      </c>
      <c r="AK52" s="270" t="str" cm="1">
        <f t="array" ref="AK52">IF(L52="","",Slookup(MID(AE52,1,3)*1,UomConversion!$D$8:$J$500,2,UomConversion!$I$8:$I$500,1,UomConversion!$J$8:$J$500,1))</f>
        <v/>
      </c>
      <c r="AL52" s="270" t="str">
        <f t="shared" si="15"/>
        <v/>
      </c>
      <c r="AM52" s="270" t="str">
        <f>IF(L52="","",(SUMIFS('[1]1_group_totals'!$K$8:$K$10000,'[1]1_group_totals'!$C$8:$C$10000,I52,'[1]1_group_totals'!$F$8:$F$10000,adj_location_group_id,'[1]1_group_totals'!$G$8:$G$10000,MID(N52,1,3)*1,'[1]1_group_totals'!$H$8:$H$10000,"="&amp;S52,'[1]1_group_totals'!$I$8:$I$10000,"="&amp;T52)+SUMIFS('[1]1_group_totals'!$N$8:$N$10000,'[1]1_group_totals'!$C$8:$C$10000,I52,'[1]1_group_totals'!$F$8:$F$10000,adj_location_group_id,'[1]1_group_totals'!$G$8:$G$10000,MID(N52,1,3)*1,'[1]1_group_totals'!$H$8:$H$10000,"="&amp;S52,'[1]1_group_totals'!$I$8:$I$10000,"="&amp;T52)+SUMIFS('[1]1_group_totals'!$P$8:$P$10000,'[1]1_group_totals'!$C$8:$C$10000,I52,'[1]1_group_totals'!$F$8:$F$10000,adj_location_group_id,'[1]1_group_totals'!$G$8:$G$10000,MID(N52,1,3)*1,'[1]1_group_totals'!$H$8:$H$10000,"="&amp;S52,'[1]1_group_totals'!$I$8:$I$10000,"="&amp;T52)+SUMIFS('[1]1_group_totals'!$Q$8:$Q$10000,'[1]1_group_totals'!$C$8:$C$10000,I52,'[1]1_group_totals'!$F$8:$F$10000,adj_location_group_id,'[1]1_group_totals'!$G$8:$G$10000,MID(N52,1,3)*1,'[1]1_group_totals'!$H$8:$H$10000,"="&amp;S52,'[1]1_group_totals'!$I$8:$I$10000,"="&amp;T52))+(SUMIFS('[1]1_group_totals'!$L$8:$L$10000,'[1]1_group_totals'!$C$8:$C$10000,I52,'[1]1_group_totals'!$F$8:$F$10000,adj_location_group_id,'[1]1_group_totals'!$G$8:$G$10000,MID(N52,1,3)*1,'[1]1_group_totals'!$H$8:$H$10000,"="&amp;S52,'[1]1_group_totals'!$I$8:$I$10000,"="&amp;T52)+SUMIFS('[1]1_group_totals'!$M$8:$M$10000,'[1]1_group_totals'!$C$8:$C$10000,I52,'[1]1_group_totals'!$F$8:$F$10000,adj_location_group_id,'[1]1_group_totals'!$G$8:$G$10000,MID(N52,1,3)*1,'[1]1_group_totals'!$H$8:$H$10000,"="&amp;S52,'[1]1_group_totals'!$I$8:$I$10000,"="&amp;T52)+SUMIFS('[1]1_group_totals'!$O$8:$O$10000,'[1]1_group_totals'!$C$8:$C$10000,I52,'[1]1_group_totals'!$F$8:$F$10000,adj_location_group_id,'[1]1_group_totals'!$G$8:$G$10000,MID(N52,1,3)*1,'[1]1_group_totals'!$H$8:$H$10000,"="&amp;S52,'[1]1_group_totals'!$I$8:$I$10000,"="&amp;T52)+SUMIFS('[1]1_group_totals'!$R$8:$R$10000,'[1]1_group_totals'!$C$8:$C$10000,I52,'[1]1_group_totals'!$F$8:$F$10000,adj_location_group_id,'[1]1_group_totals'!$G$8:$G$10000,MID(N52,1,3)*1,'[1]1_group_totals'!$H$8:$H$10000,"="&amp;S52,'[1]1_group_totals'!$I$8:$I$10000,"="&amp;T52)))</f>
        <v/>
      </c>
      <c r="AN52" s="270" t="str">
        <f>IF(L52="","",(SUMIFS('[1]1_inventory_totals'!$I$8:$I$10000,'[1]1_inventory_totals'!$C$8:$C$10000,I52,'[1]1_inventory_totals'!$F$8:$F$10000,"="&amp;S52,'[1]1_inventory_totals'!$G$8:$G$10000,"="&amp;T52)+SUMIFS('[1]1_inventory_totals'!$N$8:$N$10000,'[1]1_inventory_totals'!$C$8:$C$10000,I52,'[1]1_inventory_totals'!$F$8:$F$10000,"="&amp;S52,'[1]1_inventory_totals'!$G$8:$G$10000,"="&amp;T52)+SUMIFS('[1]1_inventory_totals'!$P$8:$P$10000,'[1]1_inventory_totals'!$C$8:$C$10000,I52,'[1]1_inventory_totals'!$F$8:$F$10000,"="&amp;S52,'[1]1_inventory_totals'!$G$8:$G$10000,"="&amp;T52)+SUMIFS('[1]1_inventory_totals'!$Q$8:$Q$10000,'[1]1_inventory_totals'!$C$8:$C$10000,I52,'[1]1_inventory_totals'!$F$8:$F$10000,"="&amp;S52,'[1]1_inventory_totals'!$G$8:$G$10000,"="&amp;T52)+SUMIFS('[1]1_inventory_totals'!$R$8:$R$10000,'[1]1_inventory_totals'!$C$8:$C$10000,I52,'[1]1_inventory_totals'!$F$8:$F$10000,"="&amp;S52,'[1]1_inventory_totals'!$G$8:$G$10000,"="&amp;T52))+(SUMIFS('[1]1_inventory_totals'!$J$8:$J$10000,'[1]1_inventory_totals'!$C$8:$C$10000,I52,'[1]1_inventory_totals'!$F$8:$F$10000,"="&amp;S52,'[1]1_inventory_totals'!$G$8:$G$10000,"="&amp;T52)+SUMIFS('[1]1_inventory_totals'!$K$8:$K$10000,'[1]1_inventory_totals'!$C$8:$C$10000,I52,'[1]1_inventory_totals'!$F$8:$F$10000,"="&amp;S52,'[1]1_inventory_totals'!$G$8:$G$10000,"="&amp;T52)+SUMIFS('[1]1_inventory_totals'!$L$8:$L$10000,'[1]1_inventory_totals'!$C$8:$C$10000,I52,'[1]1_inventory_totals'!$F$8:$F$10000,"="&amp;S52,'[1]1_inventory_totals'!$G$8:$G$10000,"="&amp;T52)+SUMIFS('[1]1_inventory_totals'!$M$8:$M$10000,'[1]1_inventory_totals'!$C$8:$C$10000,I52,'[1]1_inventory_totals'!$F$8:$F$10000,"="&amp;S52,'[1]1_inventory_totals'!$G$8:$G$10000,"="&amp;T52)+SUMIFS('[1]1_inventory_totals'!$O$8:$O$10000,'[1]1_inventory_totals'!$C$8:$C$10000,I52,'[1]1_inventory_totals'!$F$8:$F$10000,"="&amp;S52,'[1]1_inventory_totals'!$G$8:$G$10000,"="&amp;T52)+SUMIFS('[1]1_inventory_totals'!$S$8:$S$10000,'[1]1_inventory_totals'!$C$8:$C$10000,I52,'[1]1_inventory_totals'!$F$8:$F$10000,"="&amp;S52,'[1]1_inventory_totals'!$G$8:$G$10000,"="&amp;T52)))</f>
        <v/>
      </c>
      <c r="AO52" s="270" t="str">
        <f>IF(L52="","",(SUMIFS('[1]2_inventory_totals'!$I$8:$I$10000,'[1]2_inventory_totals'!$C$8:$C$10000,I52,'[1]2_inventory_totals'!$F$8:$F$10000,"="&amp;S52,'[1]2_inventory_totals'!$G$8:$G$10000,"="&amp;T52)+SUMIFS('[1]2_inventory_totals'!$N$8:$N$10000,'[1]2_inventory_totals'!$C$8:$C$10000,I52,'[1]2_inventory_totals'!$F$8:$F$10000,"="&amp;S52,'[1]2_inventory_totals'!$G$8:$G$10000,"="&amp;T52)+SUMIFS('[1]2_inventory_totals'!$P$8:$P$10000,'[1]2_inventory_totals'!$C$8:$C$10000,I52,'[1]2_inventory_totals'!$F$8:$F$10000,"="&amp;S52,'[1]2_inventory_totals'!$G$8:$G$10000,"="&amp;T52)+SUMIFS('[1]2_inventory_totals'!$Q$8:$Q$10000,'[1]2_inventory_totals'!$C$8:$C$10000,I52,'[1]2_inventory_totals'!$F$8:$F$10000,"="&amp;S52,'[1]2_inventory_totals'!$G$8:$G$10000,"="&amp;T52)+SUMIFS('[1]2_inventory_totals'!$R$8:$R$10000,'[1]2_inventory_totals'!$C$8:$C$10000,I52,'[1]2_inventory_totals'!$F$8:$F$10000,"="&amp;S52,'[1]2_inventory_totals'!$G$8:$G$10000,"="&amp;T52))+(SUMIFS('[1]2_inventory_totals'!$J$8:$J$10000,'[1]2_inventory_totals'!$C$8:$C$10000,I52,'[1]2_inventory_totals'!$F$8:$F$10000,"="&amp;S52,'[1]2_inventory_totals'!$G$8:$G$10000,"="&amp;T52)+SUMIFS('[1]2_inventory_totals'!$K$8:$K$10000,'[1]2_inventory_totals'!$C$8:$C$10000,I52,'[1]2_inventory_totals'!$F$8:$F$10000,"="&amp;S52,'[1]2_inventory_totals'!$G$8:$G$10000,"="&amp;T52)+SUMIFS('[1]2_inventory_totals'!$L$8:$L$10000,'[1]2_inventory_totals'!$C$8:$C$10000,I52,'[1]2_inventory_totals'!$F$8:$F$10000,"="&amp;S52,'[1]2_inventory_totals'!$G$8:$G$10000,"="&amp;T52)+SUMIFS('[1]2_inventory_totals'!$M$8:$M$10000,'[1]2_inventory_totals'!$C$8:$C$10000,I52,'[1]2_inventory_totals'!$F$8:$F$10000,"="&amp;S52,'[1]2_inventory_totals'!$G$8:$G$10000,"="&amp;T52)+SUMIFS('[1]2_inventory_totals'!$O$8:$O$10000,'[1]2_inventory_totals'!$C$8:$C$10000,I52,'[1]2_inventory_totals'!$F$8:$F$10000,"="&amp;S52,'[1]2_inventory_totals'!$G$8:$G$10000,"="&amp;T52)+SUMIFS('[1]2_inventory_totals'!$S$8:$S$10000,'[1]2_inventory_totals'!$C$8:$C$10000,I52,'[1]2_inventory_totals'!$F$8:$F$10000,"="&amp;S52,'[1]2_inventory_totals'!$G$8:$G$10000,"="&amp;T52)))</f>
        <v/>
      </c>
      <c r="AP52" s="954"/>
    </row>
    <row r="53" spans="1:42" ht="27" customHeight="1">
      <c r="A53" s="923"/>
      <c r="B53" s="1178"/>
      <c r="C53" s="950"/>
      <c r="D53" s="950"/>
      <c r="E53" s="950"/>
      <c r="F53" s="1199"/>
      <c r="G53" s="941"/>
      <c r="H53" s="1070"/>
      <c r="I53" s="1610" t="str">
        <f t="shared" si="5"/>
        <v/>
      </c>
      <c r="J53" s="270" t="str">
        <f t="shared" si="6"/>
        <v/>
      </c>
      <c r="K53" s="813" t="str">
        <f t="shared" si="16"/>
        <v/>
      </c>
      <c r="L53" s="1184"/>
      <c r="M53" s="1185"/>
      <c r="N53" s="1186"/>
      <c r="O53" s="1534"/>
      <c r="P53" s="336" t="str">
        <f t="shared" si="17"/>
        <v/>
      </c>
      <c r="Q53" s="336" t="str">
        <f>IF(L53="","",IF(AD53=0,0,(SUMIFS('[1]1_group_total_details'!$I$8:$I$10000,'[1]1_group_total_details'!$C$8:$C$10000,I53,'[1]1_group_total_details'!$F$8:$F$10000,adj_location_group_id,'[1]1_group_total_details'!$G$8:$G$10000,MID(N53,1,3)*1,'[1]1_group_total_details'!$H$8:$H$10000,"&lt;="&amp;adj_date)+SUMIFS('[1]1_group_total_details'!$L$8:$L$10000,'[1]1_group_total_details'!$C$8:$C$10000,I53,'[1]1_group_total_details'!$F$8:$F$10000,adj_location_group_id,'[1]1_group_total_details'!$G$8:$G$10000,MID(N53,1,3)*1,'[1]1_group_total_details'!$H$8:$H$10000,"&lt;="&amp;adj_date)+SUMIFS('[1]1_group_total_details'!$N$8:$N$10000,'[1]1_group_total_details'!$C$8:$C$10000,I53,'[1]1_group_total_details'!$F$8:$F$10000,adj_location_group_id,'[1]1_group_total_details'!$G$8:$G$10000,MID(N53,1,3)*1,'[1]1_group_total_details'!$H$8:$H$10000,"&lt;="&amp;adj_date)+SUMIFS('[1]1_group_total_details'!$O$8:$O$10000,'[1]1_group_total_details'!$C$8:$C$10000,I53,'[1]1_group_total_details'!$F$8:$F$10000,adj_location_group_id,'[1]1_group_total_details'!$G$8:$G$10000,MID(N53,1,3)*1,'[1]1_group_total_details'!$H$8:$H$10000,"&lt;="&amp;adj_date))-(SUMIFS('[1]1_group_total_details'!$J$8:$J$10000,'[1]1_group_total_details'!$C$8:$C$10000,I53,'[1]1_group_total_details'!$F$8:$F$10000,adj_location_group_id,'[1]1_group_total_details'!$G$8:$G$10000,MID(N53,1,3)*1,'[1]1_group_total_details'!$H$8:$H$10000,"&lt;="&amp;adj_date)+SUMIFS('[1]1_group_total_details'!$K$8:$K$10000,'[1]1_group_total_details'!$C$8:$C$10000,I53,'[1]1_group_total_details'!$F$8:$F$10000,adj_location_group_id,'[1]1_group_total_details'!$G$8:$G$10000,MID(N53,1,3)*1,'[1]1_group_total_details'!$H$8:$H$10000,"&lt;="&amp;adj_date)+SUMIFS('[1]1_group_total_details'!$M$8:$M$10000,'[1]1_group_total_details'!$C$8:$C$10000,I53,'[1]1_group_total_details'!$F$8:$F$10000,adj_location_group_id,'[1]1_group_total_details'!$G$8:$G$10000,MID(N53,1,3)*1,'[1]1_group_total_details'!$H$8:$H$10000,"&lt;="&amp;adj_date)+SUMIFS('[1]1_group_total_details'!$P$8:$P$10000,'[1]1_group_total_details'!$C$8:$C$10000,I53,'[1]1_group_total_details'!$F$8:$F$10000,adj_location_group_id,'[1]1_group_total_details'!$G$8:$G$10000,MID(N53,1,3)*1,'[1]1_group_total_details'!$H$8:$H$10000,"&lt;="&amp;adj_date))))</f>
        <v/>
      </c>
      <c r="R53" s="1187"/>
      <c r="S53" s="1186"/>
      <c r="T53" s="1186"/>
      <c r="U53" s="1184"/>
      <c r="V53" s="270" t="str" cm="1">
        <f t="array" ref="V53">IF(L53="","",IF(M53=AE53,1,Slookup(MID(AE53,1,3)*1,UomConversion!$D$8:$J$500,5,UomConversion!$E$8:$E$500,MID(M53,1,3)*1,UomConversion!$J$8:$J$500,1)))</f>
        <v/>
      </c>
      <c r="W53" s="270" t="str">
        <f t="shared" si="8"/>
        <v/>
      </c>
      <c r="X53" s="1795" t="str">
        <f t="shared" si="9"/>
        <v/>
      </c>
      <c r="Y53" s="1795" t="str">
        <f t="shared" si="10"/>
        <v/>
      </c>
      <c r="Z53" s="270" t="str">
        <f>IF(I53="","",IF(ISNA(MATCH(I53,IF(MID(N53,1,3)*1=1,'[1]1_inventory_totals'!$C$8:$C$10000,IF(MID(N53,1,3)*1=2,'[1]2_inventory_totals'!$C$8:$C$10000,"")),0)),0,IF(AL53&gt;0,1,0)))</f>
        <v/>
      </c>
      <c r="AA53" s="270" t="str">
        <f>IF(L53="","",IF(MID(N53,1,3)*1=1,SUMIFS('[1]1_inventory_total_details'!$J$8:$J$10000,'[1]1_inventory_total_details'!$C$8:$C$10000,I53,'[1]1_inventory_total_details'!$F$8:$F$10000,MID(N53,1,3)*1,'[1]1_inventory_total_details'!$G$8:$G$10000,"="&amp;S53,'[1]1_inventory_total_details'!$H$8:$H$10000,"="&amp;T53,'[1]1_inventory_total_details'!$I$8:$I$10000,"="&amp;adj_date)+SUMIFS('[1]1_inventory_total_details'!$M$8:$M$10000,'[1]1_inventory_total_details'!$C$8:$C$10000,I53,'[1]1_inventory_total_details'!$F$8:$F$10000,MID(N53,1,3)*1,'[1]1_inventory_total_details'!$G$8:$G$10000,"="&amp;S53,'[1]1_inventory_total_details'!$H$8:$H$10000,"="&amp;T53,'[1]1_inventory_total_details'!$I$8:$I$10000,"="&amp;adj_date)+SUMIFS('[1]1_inventory_total_details'!$K$8:$K$10000,'[1]1_inventory_total_details'!$C$8:$C$10000,I53,'[1]1_inventory_total_details'!$F$8:$F$10000,MID(N53,1,3)*1,'[1]1_inventory_total_details'!$G$8:$G$10000,"="&amp;S53,'[1]1_inventory_total_details'!$H$8:$H$10000,"="&amp;T53,'[1]1_inventory_total_details'!$I$8:$I$10000,"="&amp;adj_date)+SUMIFS('[1]1_inventory_total_details'!$L$8:$L$10000,'[1]1_inventory_total_details'!$C$8:$C$10000,I53,'[1]1_inventory_total_details'!$F$8:$F$10000,MID(N53,1,3)*1,'[1]1_inventory_total_details'!$G$8:$G$10000,"="&amp;S53,'[1]1_inventory_total_details'!$H$8:$H$10000,"="&amp;T53,'[1]1_inventory_total_details'!$I$8:$I$10000,"="&amp;adj_date),SUMIFS('[1]2_inventory_total_details'!$J$8:$J$10000,'[1]2_inventory_total_details'!$C$8:$C$10000,I53,'[1]2_inventory_total_details'!$F$8:$F$10000,MID(N53,1,3)*1,'[1]2_inventory_total_details'!$G$8:$G$10000,"="&amp;S53,'[1]2_inventory_total_details'!$H$8:$H$10000,"="&amp;T53,'[1]2_inventory_total_details'!$I$8:$I$10000,"="&amp;adj_date)+SUMIFS('[1]2_inventory_total_details'!$M$8:$M$10000,'[1]1_inventory_total_details'!$C$8:$C$10000,I53,'[1]2_inventory_total_details'!$F$8:$F$10000,MID(N53,1,3)*1,'[1]2_inventory_total_details'!$G$8:$G$10000,"="&amp;S53,'[1]2_inventory_total_details'!$H$8:$H$10000,"="&amp;T53,'[1]2_inventory_total_details'!$I$8:$I$10000,"="&amp;adj_date)+SUMIFS('[1]2_inventory_total_details'!$K$8:$K$10000,'[1]2_inventory_total_details'!$C$8:$C$10000,I53,'[1]2_inventory_total_details'!$F$8:$F$10000,MID(N53,1,3)*1,'[1]2_inventory_total_details'!$G$8:$G$10000,"="&amp;S53,'[1]2_inventory_total_details'!$H$8:$H$10000,"="&amp;T53,'[1]2_inventory_total_details'!$I$8:$I$10000,"="&amp;adj_date)+SUMIFS('[1]2_inventory_total_details'!$L$8:$L$10000,'[1]2_inventory_total_details'!$C$8:$C$10000,I53,'[1]2_inventory_total_details'!$F$8:$F$10000,MID(N53,1,3)*1,'[1]2_inventory_total_details'!$G$8:$G$10000,"="&amp;S53,'[1]2_inventory_total_details'!$H$8:$H$10000,"="&amp;T53,'[1]2_inventory_total_details'!$I$8:$I$10000,"="&amp;adj_date)))</f>
        <v/>
      </c>
      <c r="AB53" s="270" t="str">
        <f>IF(L53="","",IF(MID(N53,1,3)*1=1,SUMIFS('[1]1_inventory_total_details'!$J$8:$J$10000,'[1]1_inventory_total_details'!$C$8:$C$10000,I53,'[1]1_inventory_total_details'!$F$8:$F$10000,MID(N53,1,3)*1,'[1]1_inventory_total_details'!$G$8:$G$10000,"="&amp;S53,'[1]1_inventory_total_details'!$H$8:$H$10000,"="&amp;T53,'[1]1_inventory_total_details'!$I$8:$I$10000,"="&amp;adj_date)+SUMIFS('[1]1_inventory_total_details'!$M$8:$M$10000,'[1]1_inventory_total_details'!$C$8:$C$10000,I53,'[1]1_inventory_total_details'!$F$8:$F$10000,MID(N53,1,3)*1,'[1]1_inventory_total_details'!$G$8:$G$10000,"="&amp;S53,'[1]1_inventory_total_details'!$H$8:$H$10000,"="&amp;T53,'[1]1_inventory_total_details'!$I$8:$I$10000,"="&amp;adj_date)+SUMIFS('[1]1_inventory_total_details'!$K$8:$K$10000,'[1]1_inventory_total_details'!$C$8:$C$10000,I53,'[1]1_inventory_total_details'!$F$8:$F$10000,MID(N53,1,3)*1,'[1]1_inventory_total_details'!$G$8:$G$10000,"="&amp;S53,'[1]1_inventory_total_details'!$H$8:$H$10000,"="&amp;T53,'[1]1_inventory_total_details'!$I$8:$I$10000,"="&amp;adj_date)+SUMIFS('[1]1_inventory_total_details'!$L$8:$L$10000,'[1]1_inventory_total_details'!$C$8:$C$10000,I53,'[1]1_inventory_total_details'!$F$8:$F$10000,MID(N53,1,3)*1,'[1]1_inventory_total_details'!$G$8:$G$10000,"="&amp;S53,'[1]1_inventory_total_details'!$H$8:$H$10000,"="&amp;T53,'[1]1_inventory_total_details'!$I$8:$I$10000,"="&amp;adj_date),SUMIFS('[1]2_inventory_total_details'!$J$8:$J$10000,'[1]2_inventory_total_details'!$C$8:$C$10000,I53,'[1]2_inventory_total_details'!$F$8:$F$10000,MID(N53,1,3)*1,'[1]2_inventory_total_details'!$G$8:$G$10000,"="&amp;S53,'[1]2_inventory_total_details'!$H$8:$H$10000,"="&amp;T53,'[1]2_inventory_total_details'!$I$8:$I$10000,"="&amp;adj_date)+SUMIFS('[1]2_inventory_total_details'!$M$8:$M$10000,'[1]1_inventory_total_details'!$C$8:$C$10000,I53,'[1]2_inventory_total_details'!$F$8:$F$10000,MID(N53,1,3)*1,'[1]2_inventory_total_details'!$G$8:$G$10000,"="&amp;S53,'[1]2_inventory_total_details'!$H$8:$H$10000,"="&amp;T53,'[1]2_inventory_total_details'!$I$8:$I$10000,"="&amp;adj_date)+SUMIFS('[1]2_inventory_total_details'!$K$8:$K$10000,'[1]2_inventory_total_details'!$C$8:$C$10000,I53,'[1]2_inventory_total_details'!$F$8:$F$10000,MID(N53,1,3)*1,'[1]2_inventory_total_details'!$G$8:$G$10000,"="&amp;S53,'[1]2_inventory_total_details'!$H$8:$H$10000,"="&amp;T53,'[1]2_inventory_total_details'!$I$8:$I$10000,"="&amp;adj_date)+SUMIFS('[1]2_inventory_total_details'!$L$8:$L$10000,'[1]2_inventory_total_details'!$C$8:$C$10000,I53,'[1]2_inventory_total_details'!$F$8:$F$10000,MID(N53,1,3)*1,'[1]2_inventory_total_details'!$G$8:$G$10000,"="&amp;S53,'[1]2_inventory_total_details'!$H$8:$H$10000,"="&amp;T53,'[1]2_inventory_total_details'!$I$8:$I$10000,"="&amp;adj_date)))</f>
        <v/>
      </c>
      <c r="AC53" s="270" t="str">
        <f>IF(L53="","",IF(MID(N53,1,3)*1=1,SUMIFS('[1]1_inventory_total_details'!$J$8:$J$10000,'[1]1_inventory_total_details'!$C$8:$C$10000,I53,'[1]1_inventory_total_details'!$F$8:$F$10000,MID(N53,1,3)*1,'[1]1_inventory_total_details'!$G$8:$G$10000,"="&amp;S53,'[1]1_inventory_total_details'!$H$8:$H$10000,"="&amp;T53,'[1]1_inventory_total_details'!$I$8:$I$10000,"="&amp;adj_date)+SUMIFS('[1]1_inventory_total_details'!$M$8:$M$10000,'[1]1_inventory_total_details'!$C$8:$C$10000,I53,'[1]1_inventory_total_details'!$F$8:$F$10000,MID(N53,1,3)*1,'[1]1_inventory_total_details'!$G$8:$G$10000,"="&amp;S53,'[1]1_inventory_total_details'!$H$8:$H$10000,"="&amp;T53,'[1]1_inventory_total_details'!$I$8:$I$10000,"="&amp;adj_date)+SUMIFS('[1]1_inventory_total_details'!$K$8:$K$10000,'[1]1_inventory_total_details'!$C$8:$C$10000,I53,'[1]1_inventory_total_details'!$F$8:$F$10000,MID(N53,1,3)*1,'[1]1_inventory_total_details'!$G$8:$G$10000,"="&amp;S53,'[1]1_inventory_total_details'!$H$8:$H$10000,"="&amp;T53,'[1]1_inventory_total_details'!$I$8:$I$10000,"="&amp;adj_date)+SUMIFS('[1]1_inventory_total_details'!$L$8:$L$10000,'[1]1_inventory_total_details'!$C$8:$C$10000,I53,'[1]1_inventory_total_details'!$F$8:$F$10000,MID(N53,1,3)*1,'[1]1_inventory_total_details'!$G$8:$G$10000,"="&amp;S53,'[1]1_inventory_total_details'!$H$8:$H$10000,"="&amp;T53,'[1]1_inventory_total_details'!$I$8:$I$10000,"="&amp;adj_date),SUMIFS('[1]2_inventory_total_details'!$J$8:$J$10000,'[1]2_inventory_total_details'!$C$8:$C$10000,I53,'[1]2_inventory_total_details'!$F$8:$F$10000,MID(N53,1,3)*1,'[1]2_inventory_total_details'!$G$8:$G$10000,"="&amp;S53,'[1]2_inventory_total_details'!$H$8:$H$10000,"="&amp;T53,'[1]2_inventory_total_details'!$I$8:$I$10000,"="&amp;adj_date)+SUMIFS('[1]2_inventory_total_details'!$M$8:$M$10000,'[1]1_inventory_total_details'!$C$8:$C$10000,I53,'[1]2_inventory_total_details'!$F$8:$F$10000,MID(N53,1,3)*1,'[1]2_inventory_total_details'!$G$8:$G$10000,"="&amp;S53,'[1]2_inventory_total_details'!$H$8:$H$10000,"="&amp;T53,'[1]2_inventory_total_details'!$I$8:$I$10000,"="&amp;adj_date)+SUMIFS('[1]2_inventory_total_details'!$K$8:$K$10000,'[1]2_inventory_total_details'!$C$8:$C$10000,I53,'[1]2_inventory_total_details'!$F$8:$F$10000,MID(N53,1,3)*1,'[1]2_inventory_total_details'!$G$8:$G$10000,"="&amp;S53,'[1]2_inventory_total_details'!$H$8:$H$10000,"="&amp;T53,'[1]2_inventory_total_details'!$I$8:$I$10000,"="&amp;adj_date)+SUMIFS('[1]2_inventory_total_details'!$L$8:$L$10000,'[1]2_inventory_total_details'!$C$8:$C$10000,I53,'[1]2_inventory_total_details'!$F$8:$F$10000,MID(N53,1,3)*1,'[1]2_inventory_total_details'!$G$8:$G$10000,"="&amp;S53,'[1]2_inventory_total_details'!$H$8:$H$10000,"="&amp;T53,'[1]2_inventory_total_details'!$I$8:$I$10000,"="&amp;adj_date)))</f>
        <v/>
      </c>
      <c r="AD53" s="270" t="str">
        <f>IF(L53="","",SUMIFS('[1]1_group_totals'!$J$8:$J$10000,'[1]1_group_totals'!$C$8:$C$10000,I53,'[1]1_group_totals'!$F$8:$F$10000,adj_location_group_id,'[1]1_group_totals'!$G$8:$G$10000,MID(N53,1,3)*1,'[1]1_group_totals'!$H$8:$H$10000,"="&amp;S53,'[1]1_group_totals'!$I$8:$I$10000,"="&amp;T53))</f>
        <v/>
      </c>
      <c r="AE53" s="1796" t="str">
        <f t="shared" si="11"/>
        <v/>
      </c>
      <c r="AF53" s="1797" t="str">
        <f>IF(ISNA(MATCH(MID(AE53,1,3)*1,UomConversion!$D$8:$D$500,0)),"",IF(AJ53&lt;&gt;"",AJ53,""))</f>
        <v/>
      </c>
      <c r="AG53" s="1797" t="str">
        <f>IF(AND(AH53&gt;0,COUNTIFS(UomConversion!$D$8:$D$500,MID(AE53,1,3)*1,UomConversion!$J$8:$J$500,1)&gt;1),TEXT(AH53,"000")&amp;"."&amp;VLOOKUP(AH53,uom_list,5,FALSE),"")</f>
        <v/>
      </c>
      <c r="AH53" s="270" t="str">
        <f t="shared" si="12"/>
        <v/>
      </c>
      <c r="AI53" s="270" t="str">
        <f t="shared" si="13"/>
        <v/>
      </c>
      <c r="AJ53" s="270" t="str">
        <f t="shared" si="14"/>
        <v/>
      </c>
      <c r="AK53" s="270" t="str" cm="1">
        <f t="array" ref="AK53">IF(L53="","",Slookup(MID(AE53,1,3)*1,UomConversion!$D$8:$J$500,2,UomConversion!$I$8:$I$500,1,UomConversion!$J$8:$J$500,1))</f>
        <v/>
      </c>
      <c r="AL53" s="270" t="str">
        <f t="shared" si="15"/>
        <v/>
      </c>
      <c r="AM53" s="270" t="str">
        <f>IF(L53="","",(SUMIFS('[1]1_group_totals'!$K$8:$K$10000,'[1]1_group_totals'!$C$8:$C$10000,I53,'[1]1_group_totals'!$F$8:$F$10000,adj_location_group_id,'[1]1_group_totals'!$G$8:$G$10000,MID(N53,1,3)*1,'[1]1_group_totals'!$H$8:$H$10000,"="&amp;S53,'[1]1_group_totals'!$I$8:$I$10000,"="&amp;T53)+SUMIFS('[1]1_group_totals'!$N$8:$N$10000,'[1]1_group_totals'!$C$8:$C$10000,I53,'[1]1_group_totals'!$F$8:$F$10000,adj_location_group_id,'[1]1_group_totals'!$G$8:$G$10000,MID(N53,1,3)*1,'[1]1_group_totals'!$H$8:$H$10000,"="&amp;S53,'[1]1_group_totals'!$I$8:$I$10000,"="&amp;T53)+SUMIFS('[1]1_group_totals'!$P$8:$P$10000,'[1]1_group_totals'!$C$8:$C$10000,I53,'[1]1_group_totals'!$F$8:$F$10000,adj_location_group_id,'[1]1_group_totals'!$G$8:$G$10000,MID(N53,1,3)*1,'[1]1_group_totals'!$H$8:$H$10000,"="&amp;S53,'[1]1_group_totals'!$I$8:$I$10000,"="&amp;T53)+SUMIFS('[1]1_group_totals'!$Q$8:$Q$10000,'[1]1_group_totals'!$C$8:$C$10000,I53,'[1]1_group_totals'!$F$8:$F$10000,adj_location_group_id,'[1]1_group_totals'!$G$8:$G$10000,MID(N53,1,3)*1,'[1]1_group_totals'!$H$8:$H$10000,"="&amp;S53,'[1]1_group_totals'!$I$8:$I$10000,"="&amp;T53))+(SUMIFS('[1]1_group_totals'!$L$8:$L$10000,'[1]1_group_totals'!$C$8:$C$10000,I53,'[1]1_group_totals'!$F$8:$F$10000,adj_location_group_id,'[1]1_group_totals'!$G$8:$G$10000,MID(N53,1,3)*1,'[1]1_group_totals'!$H$8:$H$10000,"="&amp;S53,'[1]1_group_totals'!$I$8:$I$10000,"="&amp;T53)+SUMIFS('[1]1_group_totals'!$M$8:$M$10000,'[1]1_group_totals'!$C$8:$C$10000,I53,'[1]1_group_totals'!$F$8:$F$10000,adj_location_group_id,'[1]1_group_totals'!$G$8:$G$10000,MID(N53,1,3)*1,'[1]1_group_totals'!$H$8:$H$10000,"="&amp;S53,'[1]1_group_totals'!$I$8:$I$10000,"="&amp;T53)+SUMIFS('[1]1_group_totals'!$O$8:$O$10000,'[1]1_group_totals'!$C$8:$C$10000,I53,'[1]1_group_totals'!$F$8:$F$10000,adj_location_group_id,'[1]1_group_totals'!$G$8:$G$10000,MID(N53,1,3)*1,'[1]1_group_totals'!$H$8:$H$10000,"="&amp;S53,'[1]1_group_totals'!$I$8:$I$10000,"="&amp;T53)+SUMIFS('[1]1_group_totals'!$R$8:$R$10000,'[1]1_group_totals'!$C$8:$C$10000,I53,'[1]1_group_totals'!$F$8:$F$10000,adj_location_group_id,'[1]1_group_totals'!$G$8:$G$10000,MID(N53,1,3)*1,'[1]1_group_totals'!$H$8:$H$10000,"="&amp;S53,'[1]1_group_totals'!$I$8:$I$10000,"="&amp;T53)))</f>
        <v/>
      </c>
      <c r="AN53" s="270" t="str">
        <f>IF(L53="","",(SUMIFS('[1]1_inventory_totals'!$I$8:$I$10000,'[1]1_inventory_totals'!$C$8:$C$10000,I53,'[1]1_inventory_totals'!$F$8:$F$10000,"="&amp;S53,'[1]1_inventory_totals'!$G$8:$G$10000,"="&amp;T53)+SUMIFS('[1]1_inventory_totals'!$N$8:$N$10000,'[1]1_inventory_totals'!$C$8:$C$10000,I53,'[1]1_inventory_totals'!$F$8:$F$10000,"="&amp;S53,'[1]1_inventory_totals'!$G$8:$G$10000,"="&amp;T53)+SUMIFS('[1]1_inventory_totals'!$P$8:$P$10000,'[1]1_inventory_totals'!$C$8:$C$10000,I53,'[1]1_inventory_totals'!$F$8:$F$10000,"="&amp;S53,'[1]1_inventory_totals'!$G$8:$G$10000,"="&amp;T53)+SUMIFS('[1]1_inventory_totals'!$Q$8:$Q$10000,'[1]1_inventory_totals'!$C$8:$C$10000,I53,'[1]1_inventory_totals'!$F$8:$F$10000,"="&amp;S53,'[1]1_inventory_totals'!$G$8:$G$10000,"="&amp;T53)+SUMIFS('[1]1_inventory_totals'!$R$8:$R$10000,'[1]1_inventory_totals'!$C$8:$C$10000,I53,'[1]1_inventory_totals'!$F$8:$F$10000,"="&amp;S53,'[1]1_inventory_totals'!$G$8:$G$10000,"="&amp;T53))+(SUMIFS('[1]1_inventory_totals'!$J$8:$J$10000,'[1]1_inventory_totals'!$C$8:$C$10000,I53,'[1]1_inventory_totals'!$F$8:$F$10000,"="&amp;S53,'[1]1_inventory_totals'!$G$8:$G$10000,"="&amp;T53)+SUMIFS('[1]1_inventory_totals'!$K$8:$K$10000,'[1]1_inventory_totals'!$C$8:$C$10000,I53,'[1]1_inventory_totals'!$F$8:$F$10000,"="&amp;S53,'[1]1_inventory_totals'!$G$8:$G$10000,"="&amp;T53)+SUMIFS('[1]1_inventory_totals'!$L$8:$L$10000,'[1]1_inventory_totals'!$C$8:$C$10000,I53,'[1]1_inventory_totals'!$F$8:$F$10000,"="&amp;S53,'[1]1_inventory_totals'!$G$8:$G$10000,"="&amp;T53)+SUMIFS('[1]1_inventory_totals'!$M$8:$M$10000,'[1]1_inventory_totals'!$C$8:$C$10000,I53,'[1]1_inventory_totals'!$F$8:$F$10000,"="&amp;S53,'[1]1_inventory_totals'!$G$8:$G$10000,"="&amp;T53)+SUMIFS('[1]1_inventory_totals'!$O$8:$O$10000,'[1]1_inventory_totals'!$C$8:$C$10000,I53,'[1]1_inventory_totals'!$F$8:$F$10000,"="&amp;S53,'[1]1_inventory_totals'!$G$8:$G$10000,"="&amp;T53)+SUMIFS('[1]1_inventory_totals'!$S$8:$S$10000,'[1]1_inventory_totals'!$C$8:$C$10000,I53,'[1]1_inventory_totals'!$F$8:$F$10000,"="&amp;S53,'[1]1_inventory_totals'!$G$8:$G$10000,"="&amp;T53)))</f>
        <v/>
      </c>
      <c r="AO53" s="270" t="str">
        <f>IF(L53="","",(SUMIFS('[1]2_inventory_totals'!$I$8:$I$10000,'[1]2_inventory_totals'!$C$8:$C$10000,I53,'[1]2_inventory_totals'!$F$8:$F$10000,"="&amp;S53,'[1]2_inventory_totals'!$G$8:$G$10000,"="&amp;T53)+SUMIFS('[1]2_inventory_totals'!$N$8:$N$10000,'[1]2_inventory_totals'!$C$8:$C$10000,I53,'[1]2_inventory_totals'!$F$8:$F$10000,"="&amp;S53,'[1]2_inventory_totals'!$G$8:$G$10000,"="&amp;T53)+SUMIFS('[1]2_inventory_totals'!$P$8:$P$10000,'[1]2_inventory_totals'!$C$8:$C$10000,I53,'[1]2_inventory_totals'!$F$8:$F$10000,"="&amp;S53,'[1]2_inventory_totals'!$G$8:$G$10000,"="&amp;T53)+SUMIFS('[1]2_inventory_totals'!$Q$8:$Q$10000,'[1]2_inventory_totals'!$C$8:$C$10000,I53,'[1]2_inventory_totals'!$F$8:$F$10000,"="&amp;S53,'[1]2_inventory_totals'!$G$8:$G$10000,"="&amp;T53)+SUMIFS('[1]2_inventory_totals'!$R$8:$R$10000,'[1]2_inventory_totals'!$C$8:$C$10000,I53,'[1]2_inventory_totals'!$F$8:$F$10000,"="&amp;S53,'[1]2_inventory_totals'!$G$8:$G$10000,"="&amp;T53))+(SUMIFS('[1]2_inventory_totals'!$J$8:$J$10000,'[1]2_inventory_totals'!$C$8:$C$10000,I53,'[1]2_inventory_totals'!$F$8:$F$10000,"="&amp;S53,'[1]2_inventory_totals'!$G$8:$G$10000,"="&amp;T53)+SUMIFS('[1]2_inventory_totals'!$K$8:$K$10000,'[1]2_inventory_totals'!$C$8:$C$10000,I53,'[1]2_inventory_totals'!$F$8:$F$10000,"="&amp;S53,'[1]2_inventory_totals'!$G$8:$G$10000,"="&amp;T53)+SUMIFS('[1]2_inventory_totals'!$L$8:$L$10000,'[1]2_inventory_totals'!$C$8:$C$10000,I53,'[1]2_inventory_totals'!$F$8:$F$10000,"="&amp;S53,'[1]2_inventory_totals'!$G$8:$G$10000,"="&amp;T53)+SUMIFS('[1]2_inventory_totals'!$M$8:$M$10000,'[1]2_inventory_totals'!$C$8:$C$10000,I53,'[1]2_inventory_totals'!$F$8:$F$10000,"="&amp;S53,'[1]2_inventory_totals'!$G$8:$G$10000,"="&amp;T53)+SUMIFS('[1]2_inventory_totals'!$O$8:$O$10000,'[1]2_inventory_totals'!$C$8:$C$10000,I53,'[1]2_inventory_totals'!$F$8:$F$10000,"="&amp;S53,'[1]2_inventory_totals'!$G$8:$G$10000,"="&amp;T53)+SUMIFS('[1]2_inventory_totals'!$S$8:$S$10000,'[1]2_inventory_totals'!$C$8:$C$10000,I53,'[1]2_inventory_totals'!$F$8:$F$10000,"="&amp;S53,'[1]2_inventory_totals'!$G$8:$G$10000,"="&amp;T53)))</f>
        <v/>
      </c>
      <c r="AP53" s="954"/>
    </row>
    <row r="54" spans="1:42" ht="27" customHeight="1">
      <c r="A54" s="923"/>
      <c r="B54" s="1178"/>
      <c r="C54" s="950"/>
      <c r="D54" s="950"/>
      <c r="E54" s="950"/>
      <c r="F54" s="1199"/>
      <c r="G54" s="941"/>
      <c r="H54" s="1070"/>
      <c r="I54" s="1610" t="str">
        <f t="shared" si="5"/>
        <v/>
      </c>
      <c r="J54" s="270" t="str">
        <f t="shared" si="6"/>
        <v/>
      </c>
      <c r="K54" s="813" t="str">
        <f t="shared" si="16"/>
        <v/>
      </c>
      <c r="L54" s="1184"/>
      <c r="M54" s="1185"/>
      <c r="N54" s="1186"/>
      <c r="O54" s="1534"/>
      <c r="P54" s="336" t="str">
        <f t="shared" si="17"/>
        <v/>
      </c>
      <c r="Q54" s="336" t="str">
        <f>IF(L54="","",IF(AD54=0,0,(SUMIFS('[1]1_group_total_details'!$I$8:$I$10000,'[1]1_group_total_details'!$C$8:$C$10000,I54,'[1]1_group_total_details'!$F$8:$F$10000,adj_location_group_id,'[1]1_group_total_details'!$G$8:$G$10000,MID(N54,1,3)*1,'[1]1_group_total_details'!$H$8:$H$10000,"&lt;="&amp;adj_date)+SUMIFS('[1]1_group_total_details'!$L$8:$L$10000,'[1]1_group_total_details'!$C$8:$C$10000,I54,'[1]1_group_total_details'!$F$8:$F$10000,adj_location_group_id,'[1]1_group_total_details'!$G$8:$G$10000,MID(N54,1,3)*1,'[1]1_group_total_details'!$H$8:$H$10000,"&lt;="&amp;adj_date)+SUMIFS('[1]1_group_total_details'!$N$8:$N$10000,'[1]1_group_total_details'!$C$8:$C$10000,I54,'[1]1_group_total_details'!$F$8:$F$10000,adj_location_group_id,'[1]1_group_total_details'!$G$8:$G$10000,MID(N54,1,3)*1,'[1]1_group_total_details'!$H$8:$H$10000,"&lt;="&amp;adj_date)+SUMIFS('[1]1_group_total_details'!$O$8:$O$10000,'[1]1_group_total_details'!$C$8:$C$10000,I54,'[1]1_group_total_details'!$F$8:$F$10000,adj_location_group_id,'[1]1_group_total_details'!$G$8:$G$10000,MID(N54,1,3)*1,'[1]1_group_total_details'!$H$8:$H$10000,"&lt;="&amp;adj_date))-(SUMIFS('[1]1_group_total_details'!$J$8:$J$10000,'[1]1_group_total_details'!$C$8:$C$10000,I54,'[1]1_group_total_details'!$F$8:$F$10000,adj_location_group_id,'[1]1_group_total_details'!$G$8:$G$10000,MID(N54,1,3)*1,'[1]1_group_total_details'!$H$8:$H$10000,"&lt;="&amp;adj_date)+SUMIFS('[1]1_group_total_details'!$K$8:$K$10000,'[1]1_group_total_details'!$C$8:$C$10000,I54,'[1]1_group_total_details'!$F$8:$F$10000,adj_location_group_id,'[1]1_group_total_details'!$G$8:$G$10000,MID(N54,1,3)*1,'[1]1_group_total_details'!$H$8:$H$10000,"&lt;="&amp;adj_date)+SUMIFS('[1]1_group_total_details'!$M$8:$M$10000,'[1]1_group_total_details'!$C$8:$C$10000,I54,'[1]1_group_total_details'!$F$8:$F$10000,adj_location_group_id,'[1]1_group_total_details'!$G$8:$G$10000,MID(N54,1,3)*1,'[1]1_group_total_details'!$H$8:$H$10000,"&lt;="&amp;adj_date)+SUMIFS('[1]1_group_total_details'!$P$8:$P$10000,'[1]1_group_total_details'!$C$8:$C$10000,I54,'[1]1_group_total_details'!$F$8:$F$10000,adj_location_group_id,'[1]1_group_total_details'!$G$8:$G$10000,MID(N54,1,3)*1,'[1]1_group_total_details'!$H$8:$H$10000,"&lt;="&amp;adj_date))))</f>
        <v/>
      </c>
      <c r="R54" s="1187"/>
      <c r="S54" s="1186"/>
      <c r="T54" s="1186"/>
      <c r="U54" s="1184"/>
      <c r="V54" s="270" t="str" cm="1">
        <f t="array" ref="V54">IF(L54="","",IF(M54=AE54,1,Slookup(MID(AE54,1,3)*1,UomConversion!$D$8:$J$500,5,UomConversion!$E$8:$E$500,MID(M54,1,3)*1,UomConversion!$J$8:$J$500,1)))</f>
        <v/>
      </c>
      <c r="W54" s="270" t="str">
        <f t="shared" si="8"/>
        <v/>
      </c>
      <c r="X54" s="1795" t="str">
        <f t="shared" si="9"/>
        <v/>
      </c>
      <c r="Y54" s="1795" t="str">
        <f t="shared" si="10"/>
        <v/>
      </c>
      <c r="Z54" s="270" t="str">
        <f>IF(I54="","",IF(ISNA(MATCH(I54,IF(MID(N54,1,3)*1=1,'[1]1_inventory_totals'!$C$8:$C$10000,IF(MID(N54,1,3)*1=2,'[1]2_inventory_totals'!$C$8:$C$10000,"")),0)),0,IF(AL54&gt;0,1,0)))</f>
        <v/>
      </c>
      <c r="AA54" s="270" t="str">
        <f>IF(L54="","",IF(MID(N54,1,3)*1=1,SUMIFS('[1]1_inventory_total_details'!$J$8:$J$10000,'[1]1_inventory_total_details'!$C$8:$C$10000,I54,'[1]1_inventory_total_details'!$F$8:$F$10000,MID(N54,1,3)*1,'[1]1_inventory_total_details'!$G$8:$G$10000,"="&amp;S54,'[1]1_inventory_total_details'!$H$8:$H$10000,"="&amp;T54,'[1]1_inventory_total_details'!$I$8:$I$10000,"="&amp;adj_date)+SUMIFS('[1]1_inventory_total_details'!$M$8:$M$10000,'[1]1_inventory_total_details'!$C$8:$C$10000,I54,'[1]1_inventory_total_details'!$F$8:$F$10000,MID(N54,1,3)*1,'[1]1_inventory_total_details'!$G$8:$G$10000,"="&amp;S54,'[1]1_inventory_total_details'!$H$8:$H$10000,"="&amp;T54,'[1]1_inventory_total_details'!$I$8:$I$10000,"="&amp;adj_date)+SUMIFS('[1]1_inventory_total_details'!$K$8:$K$10000,'[1]1_inventory_total_details'!$C$8:$C$10000,I54,'[1]1_inventory_total_details'!$F$8:$F$10000,MID(N54,1,3)*1,'[1]1_inventory_total_details'!$G$8:$G$10000,"="&amp;S54,'[1]1_inventory_total_details'!$H$8:$H$10000,"="&amp;T54,'[1]1_inventory_total_details'!$I$8:$I$10000,"="&amp;adj_date)+SUMIFS('[1]1_inventory_total_details'!$L$8:$L$10000,'[1]1_inventory_total_details'!$C$8:$C$10000,I54,'[1]1_inventory_total_details'!$F$8:$F$10000,MID(N54,1,3)*1,'[1]1_inventory_total_details'!$G$8:$G$10000,"="&amp;S54,'[1]1_inventory_total_details'!$H$8:$H$10000,"="&amp;T54,'[1]1_inventory_total_details'!$I$8:$I$10000,"="&amp;adj_date),SUMIFS('[1]2_inventory_total_details'!$J$8:$J$10000,'[1]2_inventory_total_details'!$C$8:$C$10000,I54,'[1]2_inventory_total_details'!$F$8:$F$10000,MID(N54,1,3)*1,'[1]2_inventory_total_details'!$G$8:$G$10000,"="&amp;S54,'[1]2_inventory_total_details'!$H$8:$H$10000,"="&amp;T54,'[1]2_inventory_total_details'!$I$8:$I$10000,"="&amp;adj_date)+SUMIFS('[1]2_inventory_total_details'!$M$8:$M$10000,'[1]1_inventory_total_details'!$C$8:$C$10000,I54,'[1]2_inventory_total_details'!$F$8:$F$10000,MID(N54,1,3)*1,'[1]2_inventory_total_details'!$G$8:$G$10000,"="&amp;S54,'[1]2_inventory_total_details'!$H$8:$H$10000,"="&amp;T54,'[1]2_inventory_total_details'!$I$8:$I$10000,"="&amp;adj_date)+SUMIFS('[1]2_inventory_total_details'!$K$8:$K$10000,'[1]2_inventory_total_details'!$C$8:$C$10000,I54,'[1]2_inventory_total_details'!$F$8:$F$10000,MID(N54,1,3)*1,'[1]2_inventory_total_details'!$G$8:$G$10000,"="&amp;S54,'[1]2_inventory_total_details'!$H$8:$H$10000,"="&amp;T54,'[1]2_inventory_total_details'!$I$8:$I$10000,"="&amp;adj_date)+SUMIFS('[1]2_inventory_total_details'!$L$8:$L$10000,'[1]2_inventory_total_details'!$C$8:$C$10000,I54,'[1]2_inventory_total_details'!$F$8:$F$10000,MID(N54,1,3)*1,'[1]2_inventory_total_details'!$G$8:$G$10000,"="&amp;S54,'[1]2_inventory_total_details'!$H$8:$H$10000,"="&amp;T54,'[1]2_inventory_total_details'!$I$8:$I$10000,"="&amp;adj_date)))</f>
        <v/>
      </c>
      <c r="AB54" s="270" t="str">
        <f>IF(L54="","",IF(MID(N54,1,3)*1=1,SUMIFS('[1]1_inventory_total_details'!$J$8:$J$10000,'[1]1_inventory_total_details'!$C$8:$C$10000,I54,'[1]1_inventory_total_details'!$F$8:$F$10000,MID(N54,1,3)*1,'[1]1_inventory_total_details'!$G$8:$G$10000,"="&amp;S54,'[1]1_inventory_total_details'!$H$8:$H$10000,"="&amp;T54,'[1]1_inventory_total_details'!$I$8:$I$10000,"="&amp;adj_date)+SUMIFS('[1]1_inventory_total_details'!$M$8:$M$10000,'[1]1_inventory_total_details'!$C$8:$C$10000,I54,'[1]1_inventory_total_details'!$F$8:$F$10000,MID(N54,1,3)*1,'[1]1_inventory_total_details'!$G$8:$G$10000,"="&amp;S54,'[1]1_inventory_total_details'!$H$8:$H$10000,"="&amp;T54,'[1]1_inventory_total_details'!$I$8:$I$10000,"="&amp;adj_date)+SUMIFS('[1]1_inventory_total_details'!$K$8:$K$10000,'[1]1_inventory_total_details'!$C$8:$C$10000,I54,'[1]1_inventory_total_details'!$F$8:$F$10000,MID(N54,1,3)*1,'[1]1_inventory_total_details'!$G$8:$G$10000,"="&amp;S54,'[1]1_inventory_total_details'!$H$8:$H$10000,"="&amp;T54,'[1]1_inventory_total_details'!$I$8:$I$10000,"="&amp;adj_date)+SUMIFS('[1]1_inventory_total_details'!$L$8:$L$10000,'[1]1_inventory_total_details'!$C$8:$C$10000,I54,'[1]1_inventory_total_details'!$F$8:$F$10000,MID(N54,1,3)*1,'[1]1_inventory_total_details'!$G$8:$G$10000,"="&amp;S54,'[1]1_inventory_total_details'!$H$8:$H$10000,"="&amp;T54,'[1]1_inventory_total_details'!$I$8:$I$10000,"="&amp;adj_date),SUMIFS('[1]2_inventory_total_details'!$J$8:$J$10000,'[1]2_inventory_total_details'!$C$8:$C$10000,I54,'[1]2_inventory_total_details'!$F$8:$F$10000,MID(N54,1,3)*1,'[1]2_inventory_total_details'!$G$8:$G$10000,"="&amp;S54,'[1]2_inventory_total_details'!$H$8:$H$10000,"="&amp;T54,'[1]2_inventory_total_details'!$I$8:$I$10000,"="&amp;adj_date)+SUMIFS('[1]2_inventory_total_details'!$M$8:$M$10000,'[1]1_inventory_total_details'!$C$8:$C$10000,I54,'[1]2_inventory_total_details'!$F$8:$F$10000,MID(N54,1,3)*1,'[1]2_inventory_total_details'!$G$8:$G$10000,"="&amp;S54,'[1]2_inventory_total_details'!$H$8:$H$10000,"="&amp;T54,'[1]2_inventory_total_details'!$I$8:$I$10000,"="&amp;adj_date)+SUMIFS('[1]2_inventory_total_details'!$K$8:$K$10000,'[1]2_inventory_total_details'!$C$8:$C$10000,I54,'[1]2_inventory_total_details'!$F$8:$F$10000,MID(N54,1,3)*1,'[1]2_inventory_total_details'!$G$8:$G$10000,"="&amp;S54,'[1]2_inventory_total_details'!$H$8:$H$10000,"="&amp;T54,'[1]2_inventory_total_details'!$I$8:$I$10000,"="&amp;adj_date)+SUMIFS('[1]2_inventory_total_details'!$L$8:$L$10000,'[1]2_inventory_total_details'!$C$8:$C$10000,I54,'[1]2_inventory_total_details'!$F$8:$F$10000,MID(N54,1,3)*1,'[1]2_inventory_total_details'!$G$8:$G$10000,"="&amp;S54,'[1]2_inventory_total_details'!$H$8:$H$10000,"="&amp;T54,'[1]2_inventory_total_details'!$I$8:$I$10000,"="&amp;adj_date)))</f>
        <v/>
      </c>
      <c r="AC54" s="270" t="str">
        <f>IF(L54="","",IF(MID(N54,1,3)*1=1,SUMIFS('[1]1_inventory_total_details'!$J$8:$J$10000,'[1]1_inventory_total_details'!$C$8:$C$10000,I54,'[1]1_inventory_total_details'!$F$8:$F$10000,MID(N54,1,3)*1,'[1]1_inventory_total_details'!$G$8:$G$10000,"="&amp;S54,'[1]1_inventory_total_details'!$H$8:$H$10000,"="&amp;T54,'[1]1_inventory_total_details'!$I$8:$I$10000,"="&amp;adj_date)+SUMIFS('[1]1_inventory_total_details'!$M$8:$M$10000,'[1]1_inventory_total_details'!$C$8:$C$10000,I54,'[1]1_inventory_total_details'!$F$8:$F$10000,MID(N54,1,3)*1,'[1]1_inventory_total_details'!$G$8:$G$10000,"="&amp;S54,'[1]1_inventory_total_details'!$H$8:$H$10000,"="&amp;T54,'[1]1_inventory_total_details'!$I$8:$I$10000,"="&amp;adj_date)+SUMIFS('[1]1_inventory_total_details'!$K$8:$K$10000,'[1]1_inventory_total_details'!$C$8:$C$10000,I54,'[1]1_inventory_total_details'!$F$8:$F$10000,MID(N54,1,3)*1,'[1]1_inventory_total_details'!$G$8:$G$10000,"="&amp;S54,'[1]1_inventory_total_details'!$H$8:$H$10000,"="&amp;T54,'[1]1_inventory_total_details'!$I$8:$I$10000,"="&amp;adj_date)+SUMIFS('[1]1_inventory_total_details'!$L$8:$L$10000,'[1]1_inventory_total_details'!$C$8:$C$10000,I54,'[1]1_inventory_total_details'!$F$8:$F$10000,MID(N54,1,3)*1,'[1]1_inventory_total_details'!$G$8:$G$10000,"="&amp;S54,'[1]1_inventory_total_details'!$H$8:$H$10000,"="&amp;T54,'[1]1_inventory_total_details'!$I$8:$I$10000,"="&amp;adj_date),SUMIFS('[1]2_inventory_total_details'!$J$8:$J$10000,'[1]2_inventory_total_details'!$C$8:$C$10000,I54,'[1]2_inventory_total_details'!$F$8:$F$10000,MID(N54,1,3)*1,'[1]2_inventory_total_details'!$G$8:$G$10000,"="&amp;S54,'[1]2_inventory_total_details'!$H$8:$H$10000,"="&amp;T54,'[1]2_inventory_total_details'!$I$8:$I$10000,"="&amp;adj_date)+SUMIFS('[1]2_inventory_total_details'!$M$8:$M$10000,'[1]1_inventory_total_details'!$C$8:$C$10000,I54,'[1]2_inventory_total_details'!$F$8:$F$10000,MID(N54,1,3)*1,'[1]2_inventory_total_details'!$G$8:$G$10000,"="&amp;S54,'[1]2_inventory_total_details'!$H$8:$H$10000,"="&amp;T54,'[1]2_inventory_total_details'!$I$8:$I$10000,"="&amp;adj_date)+SUMIFS('[1]2_inventory_total_details'!$K$8:$K$10000,'[1]2_inventory_total_details'!$C$8:$C$10000,I54,'[1]2_inventory_total_details'!$F$8:$F$10000,MID(N54,1,3)*1,'[1]2_inventory_total_details'!$G$8:$G$10000,"="&amp;S54,'[1]2_inventory_total_details'!$H$8:$H$10000,"="&amp;T54,'[1]2_inventory_total_details'!$I$8:$I$10000,"="&amp;adj_date)+SUMIFS('[1]2_inventory_total_details'!$L$8:$L$10000,'[1]2_inventory_total_details'!$C$8:$C$10000,I54,'[1]2_inventory_total_details'!$F$8:$F$10000,MID(N54,1,3)*1,'[1]2_inventory_total_details'!$G$8:$G$10000,"="&amp;S54,'[1]2_inventory_total_details'!$H$8:$H$10000,"="&amp;T54,'[1]2_inventory_total_details'!$I$8:$I$10000,"="&amp;adj_date)))</f>
        <v/>
      </c>
      <c r="AD54" s="270" t="str">
        <f>IF(L54="","",SUMIFS('[1]1_group_totals'!$J$8:$J$10000,'[1]1_group_totals'!$C$8:$C$10000,I54,'[1]1_group_totals'!$F$8:$F$10000,adj_location_group_id,'[1]1_group_totals'!$G$8:$G$10000,MID(N54,1,3)*1,'[1]1_group_totals'!$H$8:$H$10000,"="&amp;S54,'[1]1_group_totals'!$I$8:$I$10000,"="&amp;T54))</f>
        <v/>
      </c>
      <c r="AE54" s="1796" t="str">
        <f t="shared" si="11"/>
        <v/>
      </c>
      <c r="AF54" s="1797" t="str">
        <f>IF(ISNA(MATCH(MID(AE54,1,3)*1,UomConversion!$D$8:$D$500,0)),"",IF(AJ54&lt;&gt;"",AJ54,""))</f>
        <v/>
      </c>
      <c r="AG54" s="1797" t="str">
        <f>IF(AND(AH54&gt;0,COUNTIFS(UomConversion!$D$8:$D$500,MID(AE54,1,3)*1,UomConversion!$J$8:$J$500,1)&gt;1),TEXT(AH54,"000")&amp;"."&amp;VLOOKUP(AH54,uom_list,5,FALSE),"")</f>
        <v/>
      </c>
      <c r="AH54" s="270" t="str">
        <f t="shared" si="12"/>
        <v/>
      </c>
      <c r="AI54" s="270" t="str">
        <f t="shared" si="13"/>
        <v/>
      </c>
      <c r="AJ54" s="270" t="str">
        <f t="shared" si="14"/>
        <v/>
      </c>
      <c r="AK54" s="270" t="str" cm="1">
        <f t="array" ref="AK54">IF(L54="","",Slookup(MID(AE54,1,3)*1,UomConversion!$D$8:$J$500,2,UomConversion!$I$8:$I$500,1,UomConversion!$J$8:$J$500,1))</f>
        <v/>
      </c>
      <c r="AL54" s="270" t="str">
        <f t="shared" si="15"/>
        <v/>
      </c>
      <c r="AM54" s="270" t="str">
        <f>IF(L54="","",(SUMIFS('[1]1_group_totals'!$K$8:$K$10000,'[1]1_group_totals'!$C$8:$C$10000,I54,'[1]1_group_totals'!$F$8:$F$10000,adj_location_group_id,'[1]1_group_totals'!$G$8:$G$10000,MID(N54,1,3)*1,'[1]1_group_totals'!$H$8:$H$10000,"="&amp;S54,'[1]1_group_totals'!$I$8:$I$10000,"="&amp;T54)+SUMIFS('[1]1_group_totals'!$N$8:$N$10000,'[1]1_group_totals'!$C$8:$C$10000,I54,'[1]1_group_totals'!$F$8:$F$10000,adj_location_group_id,'[1]1_group_totals'!$G$8:$G$10000,MID(N54,1,3)*1,'[1]1_group_totals'!$H$8:$H$10000,"="&amp;S54,'[1]1_group_totals'!$I$8:$I$10000,"="&amp;T54)+SUMIFS('[1]1_group_totals'!$P$8:$P$10000,'[1]1_group_totals'!$C$8:$C$10000,I54,'[1]1_group_totals'!$F$8:$F$10000,adj_location_group_id,'[1]1_group_totals'!$G$8:$G$10000,MID(N54,1,3)*1,'[1]1_group_totals'!$H$8:$H$10000,"="&amp;S54,'[1]1_group_totals'!$I$8:$I$10000,"="&amp;T54)+SUMIFS('[1]1_group_totals'!$Q$8:$Q$10000,'[1]1_group_totals'!$C$8:$C$10000,I54,'[1]1_group_totals'!$F$8:$F$10000,adj_location_group_id,'[1]1_group_totals'!$G$8:$G$10000,MID(N54,1,3)*1,'[1]1_group_totals'!$H$8:$H$10000,"="&amp;S54,'[1]1_group_totals'!$I$8:$I$10000,"="&amp;T54))+(SUMIFS('[1]1_group_totals'!$L$8:$L$10000,'[1]1_group_totals'!$C$8:$C$10000,I54,'[1]1_group_totals'!$F$8:$F$10000,adj_location_group_id,'[1]1_group_totals'!$G$8:$G$10000,MID(N54,1,3)*1,'[1]1_group_totals'!$H$8:$H$10000,"="&amp;S54,'[1]1_group_totals'!$I$8:$I$10000,"="&amp;T54)+SUMIFS('[1]1_group_totals'!$M$8:$M$10000,'[1]1_group_totals'!$C$8:$C$10000,I54,'[1]1_group_totals'!$F$8:$F$10000,adj_location_group_id,'[1]1_group_totals'!$G$8:$G$10000,MID(N54,1,3)*1,'[1]1_group_totals'!$H$8:$H$10000,"="&amp;S54,'[1]1_group_totals'!$I$8:$I$10000,"="&amp;T54)+SUMIFS('[1]1_group_totals'!$O$8:$O$10000,'[1]1_group_totals'!$C$8:$C$10000,I54,'[1]1_group_totals'!$F$8:$F$10000,adj_location_group_id,'[1]1_group_totals'!$G$8:$G$10000,MID(N54,1,3)*1,'[1]1_group_totals'!$H$8:$H$10000,"="&amp;S54,'[1]1_group_totals'!$I$8:$I$10000,"="&amp;T54)+SUMIFS('[1]1_group_totals'!$R$8:$R$10000,'[1]1_group_totals'!$C$8:$C$10000,I54,'[1]1_group_totals'!$F$8:$F$10000,adj_location_group_id,'[1]1_group_totals'!$G$8:$G$10000,MID(N54,1,3)*1,'[1]1_group_totals'!$H$8:$H$10000,"="&amp;S54,'[1]1_group_totals'!$I$8:$I$10000,"="&amp;T54)))</f>
        <v/>
      </c>
      <c r="AN54" s="270" t="str">
        <f>IF(L54="","",(SUMIFS('[1]1_inventory_totals'!$I$8:$I$10000,'[1]1_inventory_totals'!$C$8:$C$10000,I54,'[1]1_inventory_totals'!$F$8:$F$10000,"="&amp;S54,'[1]1_inventory_totals'!$G$8:$G$10000,"="&amp;T54)+SUMIFS('[1]1_inventory_totals'!$N$8:$N$10000,'[1]1_inventory_totals'!$C$8:$C$10000,I54,'[1]1_inventory_totals'!$F$8:$F$10000,"="&amp;S54,'[1]1_inventory_totals'!$G$8:$G$10000,"="&amp;T54)+SUMIFS('[1]1_inventory_totals'!$P$8:$P$10000,'[1]1_inventory_totals'!$C$8:$C$10000,I54,'[1]1_inventory_totals'!$F$8:$F$10000,"="&amp;S54,'[1]1_inventory_totals'!$G$8:$G$10000,"="&amp;T54)+SUMIFS('[1]1_inventory_totals'!$Q$8:$Q$10000,'[1]1_inventory_totals'!$C$8:$C$10000,I54,'[1]1_inventory_totals'!$F$8:$F$10000,"="&amp;S54,'[1]1_inventory_totals'!$G$8:$G$10000,"="&amp;T54)+SUMIFS('[1]1_inventory_totals'!$R$8:$R$10000,'[1]1_inventory_totals'!$C$8:$C$10000,I54,'[1]1_inventory_totals'!$F$8:$F$10000,"="&amp;S54,'[1]1_inventory_totals'!$G$8:$G$10000,"="&amp;T54))+(SUMIFS('[1]1_inventory_totals'!$J$8:$J$10000,'[1]1_inventory_totals'!$C$8:$C$10000,I54,'[1]1_inventory_totals'!$F$8:$F$10000,"="&amp;S54,'[1]1_inventory_totals'!$G$8:$G$10000,"="&amp;T54)+SUMIFS('[1]1_inventory_totals'!$K$8:$K$10000,'[1]1_inventory_totals'!$C$8:$C$10000,I54,'[1]1_inventory_totals'!$F$8:$F$10000,"="&amp;S54,'[1]1_inventory_totals'!$G$8:$G$10000,"="&amp;T54)+SUMIFS('[1]1_inventory_totals'!$L$8:$L$10000,'[1]1_inventory_totals'!$C$8:$C$10000,I54,'[1]1_inventory_totals'!$F$8:$F$10000,"="&amp;S54,'[1]1_inventory_totals'!$G$8:$G$10000,"="&amp;T54)+SUMIFS('[1]1_inventory_totals'!$M$8:$M$10000,'[1]1_inventory_totals'!$C$8:$C$10000,I54,'[1]1_inventory_totals'!$F$8:$F$10000,"="&amp;S54,'[1]1_inventory_totals'!$G$8:$G$10000,"="&amp;T54)+SUMIFS('[1]1_inventory_totals'!$O$8:$O$10000,'[1]1_inventory_totals'!$C$8:$C$10000,I54,'[1]1_inventory_totals'!$F$8:$F$10000,"="&amp;S54,'[1]1_inventory_totals'!$G$8:$G$10000,"="&amp;T54)+SUMIFS('[1]1_inventory_totals'!$S$8:$S$10000,'[1]1_inventory_totals'!$C$8:$C$10000,I54,'[1]1_inventory_totals'!$F$8:$F$10000,"="&amp;S54,'[1]1_inventory_totals'!$G$8:$G$10000,"="&amp;T54)))</f>
        <v/>
      </c>
      <c r="AO54" s="270" t="str">
        <f>IF(L54="","",(SUMIFS('[1]2_inventory_totals'!$I$8:$I$10000,'[1]2_inventory_totals'!$C$8:$C$10000,I54,'[1]2_inventory_totals'!$F$8:$F$10000,"="&amp;S54,'[1]2_inventory_totals'!$G$8:$G$10000,"="&amp;T54)+SUMIFS('[1]2_inventory_totals'!$N$8:$N$10000,'[1]2_inventory_totals'!$C$8:$C$10000,I54,'[1]2_inventory_totals'!$F$8:$F$10000,"="&amp;S54,'[1]2_inventory_totals'!$G$8:$G$10000,"="&amp;T54)+SUMIFS('[1]2_inventory_totals'!$P$8:$P$10000,'[1]2_inventory_totals'!$C$8:$C$10000,I54,'[1]2_inventory_totals'!$F$8:$F$10000,"="&amp;S54,'[1]2_inventory_totals'!$G$8:$G$10000,"="&amp;T54)+SUMIFS('[1]2_inventory_totals'!$Q$8:$Q$10000,'[1]2_inventory_totals'!$C$8:$C$10000,I54,'[1]2_inventory_totals'!$F$8:$F$10000,"="&amp;S54,'[1]2_inventory_totals'!$G$8:$G$10000,"="&amp;T54)+SUMIFS('[1]2_inventory_totals'!$R$8:$R$10000,'[1]2_inventory_totals'!$C$8:$C$10000,I54,'[1]2_inventory_totals'!$F$8:$F$10000,"="&amp;S54,'[1]2_inventory_totals'!$G$8:$G$10000,"="&amp;T54))+(SUMIFS('[1]2_inventory_totals'!$J$8:$J$10000,'[1]2_inventory_totals'!$C$8:$C$10000,I54,'[1]2_inventory_totals'!$F$8:$F$10000,"="&amp;S54,'[1]2_inventory_totals'!$G$8:$G$10000,"="&amp;T54)+SUMIFS('[1]2_inventory_totals'!$K$8:$K$10000,'[1]2_inventory_totals'!$C$8:$C$10000,I54,'[1]2_inventory_totals'!$F$8:$F$10000,"="&amp;S54,'[1]2_inventory_totals'!$G$8:$G$10000,"="&amp;T54)+SUMIFS('[1]2_inventory_totals'!$L$8:$L$10000,'[1]2_inventory_totals'!$C$8:$C$10000,I54,'[1]2_inventory_totals'!$F$8:$F$10000,"="&amp;S54,'[1]2_inventory_totals'!$G$8:$G$10000,"="&amp;T54)+SUMIFS('[1]2_inventory_totals'!$M$8:$M$10000,'[1]2_inventory_totals'!$C$8:$C$10000,I54,'[1]2_inventory_totals'!$F$8:$F$10000,"="&amp;S54,'[1]2_inventory_totals'!$G$8:$G$10000,"="&amp;T54)+SUMIFS('[1]2_inventory_totals'!$O$8:$O$10000,'[1]2_inventory_totals'!$C$8:$C$10000,I54,'[1]2_inventory_totals'!$F$8:$F$10000,"="&amp;S54,'[1]2_inventory_totals'!$G$8:$G$10000,"="&amp;T54)+SUMIFS('[1]2_inventory_totals'!$S$8:$S$10000,'[1]2_inventory_totals'!$C$8:$C$10000,I54,'[1]2_inventory_totals'!$F$8:$F$10000,"="&amp;S54,'[1]2_inventory_totals'!$G$8:$G$10000,"="&amp;T54)))</f>
        <v/>
      </c>
      <c r="AP54" s="954"/>
    </row>
    <row r="55" spans="1:42" ht="27" customHeight="1">
      <c r="A55" s="923"/>
      <c r="B55" s="1178"/>
      <c r="C55" s="950"/>
      <c r="D55" s="950"/>
      <c r="E55" s="950"/>
      <c r="F55" s="1199"/>
      <c r="G55" s="941"/>
      <c r="H55" s="1070"/>
      <c r="I55" s="1610" t="str">
        <f t="shared" si="5"/>
        <v/>
      </c>
      <c r="J55" s="270" t="str">
        <f t="shared" si="6"/>
        <v/>
      </c>
      <c r="K55" s="813" t="str">
        <f t="shared" si="16"/>
        <v/>
      </c>
      <c r="L55" s="1184"/>
      <c r="M55" s="1185"/>
      <c r="N55" s="1186"/>
      <c r="O55" s="1534"/>
      <c r="P55" s="336" t="str">
        <f t="shared" si="17"/>
        <v/>
      </c>
      <c r="Q55" s="336" t="str">
        <f>IF(L55="","",IF(AD55=0,0,(SUMIFS('[1]1_group_total_details'!$I$8:$I$10000,'[1]1_group_total_details'!$C$8:$C$10000,I55,'[1]1_group_total_details'!$F$8:$F$10000,adj_location_group_id,'[1]1_group_total_details'!$G$8:$G$10000,MID(N55,1,3)*1,'[1]1_group_total_details'!$H$8:$H$10000,"&lt;="&amp;adj_date)+SUMIFS('[1]1_group_total_details'!$L$8:$L$10000,'[1]1_group_total_details'!$C$8:$C$10000,I55,'[1]1_group_total_details'!$F$8:$F$10000,adj_location_group_id,'[1]1_group_total_details'!$G$8:$G$10000,MID(N55,1,3)*1,'[1]1_group_total_details'!$H$8:$H$10000,"&lt;="&amp;adj_date)+SUMIFS('[1]1_group_total_details'!$N$8:$N$10000,'[1]1_group_total_details'!$C$8:$C$10000,I55,'[1]1_group_total_details'!$F$8:$F$10000,adj_location_group_id,'[1]1_group_total_details'!$G$8:$G$10000,MID(N55,1,3)*1,'[1]1_group_total_details'!$H$8:$H$10000,"&lt;="&amp;adj_date)+SUMIFS('[1]1_group_total_details'!$O$8:$O$10000,'[1]1_group_total_details'!$C$8:$C$10000,I55,'[1]1_group_total_details'!$F$8:$F$10000,adj_location_group_id,'[1]1_group_total_details'!$G$8:$G$10000,MID(N55,1,3)*1,'[1]1_group_total_details'!$H$8:$H$10000,"&lt;="&amp;adj_date))-(SUMIFS('[1]1_group_total_details'!$J$8:$J$10000,'[1]1_group_total_details'!$C$8:$C$10000,I55,'[1]1_group_total_details'!$F$8:$F$10000,adj_location_group_id,'[1]1_group_total_details'!$G$8:$G$10000,MID(N55,1,3)*1,'[1]1_group_total_details'!$H$8:$H$10000,"&lt;="&amp;adj_date)+SUMIFS('[1]1_group_total_details'!$K$8:$K$10000,'[1]1_group_total_details'!$C$8:$C$10000,I55,'[1]1_group_total_details'!$F$8:$F$10000,adj_location_group_id,'[1]1_group_total_details'!$G$8:$G$10000,MID(N55,1,3)*1,'[1]1_group_total_details'!$H$8:$H$10000,"&lt;="&amp;adj_date)+SUMIFS('[1]1_group_total_details'!$M$8:$M$10000,'[1]1_group_total_details'!$C$8:$C$10000,I55,'[1]1_group_total_details'!$F$8:$F$10000,adj_location_group_id,'[1]1_group_total_details'!$G$8:$G$10000,MID(N55,1,3)*1,'[1]1_group_total_details'!$H$8:$H$10000,"&lt;="&amp;adj_date)+SUMIFS('[1]1_group_total_details'!$P$8:$P$10000,'[1]1_group_total_details'!$C$8:$C$10000,I55,'[1]1_group_total_details'!$F$8:$F$10000,adj_location_group_id,'[1]1_group_total_details'!$G$8:$G$10000,MID(N55,1,3)*1,'[1]1_group_total_details'!$H$8:$H$10000,"&lt;="&amp;adj_date))))</f>
        <v/>
      </c>
      <c r="R55" s="1187"/>
      <c r="S55" s="1186"/>
      <c r="T55" s="1186"/>
      <c r="U55" s="1184"/>
      <c r="V55" s="270" t="str" cm="1">
        <f t="array" ref="V55">IF(L55="","",IF(M55=AE55,1,Slookup(MID(AE55,1,3)*1,UomConversion!$D$8:$J$500,5,UomConversion!$E$8:$E$500,MID(M55,1,3)*1,UomConversion!$J$8:$J$500,1)))</f>
        <v/>
      </c>
      <c r="W55" s="270" t="str">
        <f t="shared" si="8"/>
        <v/>
      </c>
      <c r="X55" s="1795" t="str">
        <f t="shared" si="9"/>
        <v/>
      </c>
      <c r="Y55" s="1795" t="str">
        <f t="shared" si="10"/>
        <v/>
      </c>
      <c r="Z55" s="270" t="str">
        <f>IF(I55="","",IF(ISNA(MATCH(I55,IF(MID(N55,1,3)*1=1,'[1]1_inventory_totals'!$C$8:$C$10000,IF(MID(N55,1,3)*1=2,'[1]2_inventory_totals'!$C$8:$C$10000,"")),0)),0,IF(AL55&gt;0,1,0)))</f>
        <v/>
      </c>
      <c r="AA55" s="270" t="str">
        <f>IF(L55="","",IF(MID(N55,1,3)*1=1,SUMIFS('[1]1_inventory_total_details'!$J$8:$J$10000,'[1]1_inventory_total_details'!$C$8:$C$10000,I55,'[1]1_inventory_total_details'!$F$8:$F$10000,MID(N55,1,3)*1,'[1]1_inventory_total_details'!$G$8:$G$10000,"="&amp;S55,'[1]1_inventory_total_details'!$H$8:$H$10000,"="&amp;T55,'[1]1_inventory_total_details'!$I$8:$I$10000,"="&amp;adj_date)+SUMIFS('[1]1_inventory_total_details'!$M$8:$M$10000,'[1]1_inventory_total_details'!$C$8:$C$10000,I55,'[1]1_inventory_total_details'!$F$8:$F$10000,MID(N55,1,3)*1,'[1]1_inventory_total_details'!$G$8:$G$10000,"="&amp;S55,'[1]1_inventory_total_details'!$H$8:$H$10000,"="&amp;T55,'[1]1_inventory_total_details'!$I$8:$I$10000,"="&amp;adj_date)+SUMIFS('[1]1_inventory_total_details'!$K$8:$K$10000,'[1]1_inventory_total_details'!$C$8:$C$10000,I55,'[1]1_inventory_total_details'!$F$8:$F$10000,MID(N55,1,3)*1,'[1]1_inventory_total_details'!$G$8:$G$10000,"="&amp;S55,'[1]1_inventory_total_details'!$H$8:$H$10000,"="&amp;T55,'[1]1_inventory_total_details'!$I$8:$I$10000,"="&amp;adj_date)+SUMIFS('[1]1_inventory_total_details'!$L$8:$L$10000,'[1]1_inventory_total_details'!$C$8:$C$10000,I55,'[1]1_inventory_total_details'!$F$8:$F$10000,MID(N55,1,3)*1,'[1]1_inventory_total_details'!$G$8:$G$10000,"="&amp;S55,'[1]1_inventory_total_details'!$H$8:$H$10000,"="&amp;T55,'[1]1_inventory_total_details'!$I$8:$I$10000,"="&amp;adj_date),SUMIFS('[1]2_inventory_total_details'!$J$8:$J$10000,'[1]2_inventory_total_details'!$C$8:$C$10000,I55,'[1]2_inventory_total_details'!$F$8:$F$10000,MID(N55,1,3)*1,'[1]2_inventory_total_details'!$G$8:$G$10000,"="&amp;S55,'[1]2_inventory_total_details'!$H$8:$H$10000,"="&amp;T55,'[1]2_inventory_total_details'!$I$8:$I$10000,"="&amp;adj_date)+SUMIFS('[1]2_inventory_total_details'!$M$8:$M$10000,'[1]1_inventory_total_details'!$C$8:$C$10000,I55,'[1]2_inventory_total_details'!$F$8:$F$10000,MID(N55,1,3)*1,'[1]2_inventory_total_details'!$G$8:$G$10000,"="&amp;S55,'[1]2_inventory_total_details'!$H$8:$H$10000,"="&amp;T55,'[1]2_inventory_total_details'!$I$8:$I$10000,"="&amp;adj_date)+SUMIFS('[1]2_inventory_total_details'!$K$8:$K$10000,'[1]2_inventory_total_details'!$C$8:$C$10000,I55,'[1]2_inventory_total_details'!$F$8:$F$10000,MID(N55,1,3)*1,'[1]2_inventory_total_details'!$G$8:$G$10000,"="&amp;S55,'[1]2_inventory_total_details'!$H$8:$H$10000,"="&amp;T55,'[1]2_inventory_total_details'!$I$8:$I$10000,"="&amp;adj_date)+SUMIFS('[1]2_inventory_total_details'!$L$8:$L$10000,'[1]2_inventory_total_details'!$C$8:$C$10000,I55,'[1]2_inventory_total_details'!$F$8:$F$10000,MID(N55,1,3)*1,'[1]2_inventory_total_details'!$G$8:$G$10000,"="&amp;S55,'[1]2_inventory_total_details'!$H$8:$H$10000,"="&amp;T55,'[1]2_inventory_total_details'!$I$8:$I$10000,"="&amp;adj_date)))</f>
        <v/>
      </c>
      <c r="AB55" s="270" t="str">
        <f>IF(L55="","",IF(MID(N55,1,3)*1=1,SUMIFS('[1]1_inventory_total_details'!$J$8:$J$10000,'[1]1_inventory_total_details'!$C$8:$C$10000,I55,'[1]1_inventory_total_details'!$F$8:$F$10000,MID(N55,1,3)*1,'[1]1_inventory_total_details'!$G$8:$G$10000,"="&amp;S55,'[1]1_inventory_total_details'!$H$8:$H$10000,"="&amp;T55,'[1]1_inventory_total_details'!$I$8:$I$10000,"="&amp;adj_date)+SUMIFS('[1]1_inventory_total_details'!$M$8:$M$10000,'[1]1_inventory_total_details'!$C$8:$C$10000,I55,'[1]1_inventory_total_details'!$F$8:$F$10000,MID(N55,1,3)*1,'[1]1_inventory_total_details'!$G$8:$G$10000,"="&amp;S55,'[1]1_inventory_total_details'!$H$8:$H$10000,"="&amp;T55,'[1]1_inventory_total_details'!$I$8:$I$10000,"="&amp;adj_date)+SUMIFS('[1]1_inventory_total_details'!$K$8:$K$10000,'[1]1_inventory_total_details'!$C$8:$C$10000,I55,'[1]1_inventory_total_details'!$F$8:$F$10000,MID(N55,1,3)*1,'[1]1_inventory_total_details'!$G$8:$G$10000,"="&amp;S55,'[1]1_inventory_total_details'!$H$8:$H$10000,"="&amp;T55,'[1]1_inventory_total_details'!$I$8:$I$10000,"="&amp;adj_date)+SUMIFS('[1]1_inventory_total_details'!$L$8:$L$10000,'[1]1_inventory_total_details'!$C$8:$C$10000,I55,'[1]1_inventory_total_details'!$F$8:$F$10000,MID(N55,1,3)*1,'[1]1_inventory_total_details'!$G$8:$G$10000,"="&amp;S55,'[1]1_inventory_total_details'!$H$8:$H$10000,"="&amp;T55,'[1]1_inventory_total_details'!$I$8:$I$10000,"="&amp;adj_date),SUMIFS('[1]2_inventory_total_details'!$J$8:$J$10000,'[1]2_inventory_total_details'!$C$8:$C$10000,I55,'[1]2_inventory_total_details'!$F$8:$F$10000,MID(N55,1,3)*1,'[1]2_inventory_total_details'!$G$8:$G$10000,"="&amp;S55,'[1]2_inventory_total_details'!$H$8:$H$10000,"="&amp;T55,'[1]2_inventory_total_details'!$I$8:$I$10000,"="&amp;adj_date)+SUMIFS('[1]2_inventory_total_details'!$M$8:$M$10000,'[1]1_inventory_total_details'!$C$8:$C$10000,I55,'[1]2_inventory_total_details'!$F$8:$F$10000,MID(N55,1,3)*1,'[1]2_inventory_total_details'!$G$8:$G$10000,"="&amp;S55,'[1]2_inventory_total_details'!$H$8:$H$10000,"="&amp;T55,'[1]2_inventory_total_details'!$I$8:$I$10000,"="&amp;adj_date)+SUMIFS('[1]2_inventory_total_details'!$K$8:$K$10000,'[1]2_inventory_total_details'!$C$8:$C$10000,I55,'[1]2_inventory_total_details'!$F$8:$F$10000,MID(N55,1,3)*1,'[1]2_inventory_total_details'!$G$8:$G$10000,"="&amp;S55,'[1]2_inventory_total_details'!$H$8:$H$10000,"="&amp;T55,'[1]2_inventory_total_details'!$I$8:$I$10000,"="&amp;adj_date)+SUMIFS('[1]2_inventory_total_details'!$L$8:$L$10000,'[1]2_inventory_total_details'!$C$8:$C$10000,I55,'[1]2_inventory_total_details'!$F$8:$F$10000,MID(N55,1,3)*1,'[1]2_inventory_total_details'!$G$8:$G$10000,"="&amp;S55,'[1]2_inventory_total_details'!$H$8:$H$10000,"="&amp;T55,'[1]2_inventory_total_details'!$I$8:$I$10000,"="&amp;adj_date)))</f>
        <v/>
      </c>
      <c r="AC55" s="270" t="str">
        <f>IF(L55="","",IF(MID(N55,1,3)*1=1,SUMIFS('[1]1_inventory_total_details'!$J$8:$J$10000,'[1]1_inventory_total_details'!$C$8:$C$10000,I55,'[1]1_inventory_total_details'!$F$8:$F$10000,MID(N55,1,3)*1,'[1]1_inventory_total_details'!$G$8:$G$10000,"="&amp;S55,'[1]1_inventory_total_details'!$H$8:$H$10000,"="&amp;T55,'[1]1_inventory_total_details'!$I$8:$I$10000,"="&amp;adj_date)+SUMIFS('[1]1_inventory_total_details'!$M$8:$M$10000,'[1]1_inventory_total_details'!$C$8:$C$10000,I55,'[1]1_inventory_total_details'!$F$8:$F$10000,MID(N55,1,3)*1,'[1]1_inventory_total_details'!$G$8:$G$10000,"="&amp;S55,'[1]1_inventory_total_details'!$H$8:$H$10000,"="&amp;T55,'[1]1_inventory_total_details'!$I$8:$I$10000,"="&amp;adj_date)+SUMIFS('[1]1_inventory_total_details'!$K$8:$K$10000,'[1]1_inventory_total_details'!$C$8:$C$10000,I55,'[1]1_inventory_total_details'!$F$8:$F$10000,MID(N55,1,3)*1,'[1]1_inventory_total_details'!$G$8:$G$10000,"="&amp;S55,'[1]1_inventory_total_details'!$H$8:$H$10000,"="&amp;T55,'[1]1_inventory_total_details'!$I$8:$I$10000,"="&amp;adj_date)+SUMIFS('[1]1_inventory_total_details'!$L$8:$L$10000,'[1]1_inventory_total_details'!$C$8:$C$10000,I55,'[1]1_inventory_total_details'!$F$8:$F$10000,MID(N55,1,3)*1,'[1]1_inventory_total_details'!$G$8:$G$10000,"="&amp;S55,'[1]1_inventory_total_details'!$H$8:$H$10000,"="&amp;T55,'[1]1_inventory_total_details'!$I$8:$I$10000,"="&amp;adj_date),SUMIFS('[1]2_inventory_total_details'!$J$8:$J$10000,'[1]2_inventory_total_details'!$C$8:$C$10000,I55,'[1]2_inventory_total_details'!$F$8:$F$10000,MID(N55,1,3)*1,'[1]2_inventory_total_details'!$G$8:$G$10000,"="&amp;S55,'[1]2_inventory_total_details'!$H$8:$H$10000,"="&amp;T55,'[1]2_inventory_total_details'!$I$8:$I$10000,"="&amp;adj_date)+SUMIFS('[1]2_inventory_total_details'!$M$8:$M$10000,'[1]1_inventory_total_details'!$C$8:$C$10000,I55,'[1]2_inventory_total_details'!$F$8:$F$10000,MID(N55,1,3)*1,'[1]2_inventory_total_details'!$G$8:$G$10000,"="&amp;S55,'[1]2_inventory_total_details'!$H$8:$H$10000,"="&amp;T55,'[1]2_inventory_total_details'!$I$8:$I$10000,"="&amp;adj_date)+SUMIFS('[1]2_inventory_total_details'!$K$8:$K$10000,'[1]2_inventory_total_details'!$C$8:$C$10000,I55,'[1]2_inventory_total_details'!$F$8:$F$10000,MID(N55,1,3)*1,'[1]2_inventory_total_details'!$G$8:$G$10000,"="&amp;S55,'[1]2_inventory_total_details'!$H$8:$H$10000,"="&amp;T55,'[1]2_inventory_total_details'!$I$8:$I$10000,"="&amp;adj_date)+SUMIFS('[1]2_inventory_total_details'!$L$8:$L$10000,'[1]2_inventory_total_details'!$C$8:$C$10000,I55,'[1]2_inventory_total_details'!$F$8:$F$10000,MID(N55,1,3)*1,'[1]2_inventory_total_details'!$G$8:$G$10000,"="&amp;S55,'[1]2_inventory_total_details'!$H$8:$H$10000,"="&amp;T55,'[1]2_inventory_total_details'!$I$8:$I$10000,"="&amp;adj_date)))</f>
        <v/>
      </c>
      <c r="AD55" s="270" t="str">
        <f>IF(L55="","",SUMIFS('[1]1_group_totals'!$J$8:$J$10000,'[1]1_group_totals'!$C$8:$C$10000,I55,'[1]1_group_totals'!$F$8:$F$10000,adj_location_group_id,'[1]1_group_totals'!$G$8:$G$10000,MID(N55,1,3)*1,'[1]1_group_totals'!$H$8:$H$10000,"="&amp;S55,'[1]1_group_totals'!$I$8:$I$10000,"="&amp;T55))</f>
        <v/>
      </c>
      <c r="AE55" s="1796" t="str">
        <f t="shared" si="11"/>
        <v/>
      </c>
      <c r="AF55" s="1797" t="str">
        <f>IF(ISNA(MATCH(MID(AE55,1,3)*1,UomConversion!$D$8:$D$500,0)),"",IF(AJ55&lt;&gt;"",AJ55,""))</f>
        <v/>
      </c>
      <c r="AG55" s="1797" t="str">
        <f>IF(AND(AH55&gt;0,COUNTIFS(UomConversion!$D$8:$D$500,MID(AE55,1,3)*1,UomConversion!$J$8:$J$500,1)&gt;1),TEXT(AH55,"000")&amp;"."&amp;VLOOKUP(AH55,uom_list,5,FALSE),"")</f>
        <v/>
      </c>
      <c r="AH55" s="270" t="str">
        <f t="shared" si="12"/>
        <v/>
      </c>
      <c r="AI55" s="270" t="str">
        <f t="shared" si="13"/>
        <v/>
      </c>
      <c r="AJ55" s="270" t="str">
        <f t="shared" si="14"/>
        <v/>
      </c>
      <c r="AK55" s="270" t="str" cm="1">
        <f t="array" ref="AK55">IF(L55="","",Slookup(MID(AE55,1,3)*1,UomConversion!$D$8:$J$500,2,UomConversion!$I$8:$I$500,1,UomConversion!$J$8:$J$500,1))</f>
        <v/>
      </c>
      <c r="AL55" s="270" t="str">
        <f t="shared" si="15"/>
        <v/>
      </c>
      <c r="AM55" s="270" t="str">
        <f>IF(L55="","",(SUMIFS('[1]1_group_totals'!$K$8:$K$10000,'[1]1_group_totals'!$C$8:$C$10000,I55,'[1]1_group_totals'!$F$8:$F$10000,adj_location_group_id,'[1]1_group_totals'!$G$8:$G$10000,MID(N55,1,3)*1,'[1]1_group_totals'!$H$8:$H$10000,"="&amp;S55,'[1]1_group_totals'!$I$8:$I$10000,"="&amp;T55)+SUMIFS('[1]1_group_totals'!$N$8:$N$10000,'[1]1_group_totals'!$C$8:$C$10000,I55,'[1]1_group_totals'!$F$8:$F$10000,adj_location_group_id,'[1]1_group_totals'!$G$8:$G$10000,MID(N55,1,3)*1,'[1]1_group_totals'!$H$8:$H$10000,"="&amp;S55,'[1]1_group_totals'!$I$8:$I$10000,"="&amp;T55)+SUMIFS('[1]1_group_totals'!$P$8:$P$10000,'[1]1_group_totals'!$C$8:$C$10000,I55,'[1]1_group_totals'!$F$8:$F$10000,adj_location_group_id,'[1]1_group_totals'!$G$8:$G$10000,MID(N55,1,3)*1,'[1]1_group_totals'!$H$8:$H$10000,"="&amp;S55,'[1]1_group_totals'!$I$8:$I$10000,"="&amp;T55)+SUMIFS('[1]1_group_totals'!$Q$8:$Q$10000,'[1]1_group_totals'!$C$8:$C$10000,I55,'[1]1_group_totals'!$F$8:$F$10000,adj_location_group_id,'[1]1_group_totals'!$G$8:$G$10000,MID(N55,1,3)*1,'[1]1_group_totals'!$H$8:$H$10000,"="&amp;S55,'[1]1_group_totals'!$I$8:$I$10000,"="&amp;T55))+(SUMIFS('[1]1_group_totals'!$L$8:$L$10000,'[1]1_group_totals'!$C$8:$C$10000,I55,'[1]1_group_totals'!$F$8:$F$10000,adj_location_group_id,'[1]1_group_totals'!$G$8:$G$10000,MID(N55,1,3)*1,'[1]1_group_totals'!$H$8:$H$10000,"="&amp;S55,'[1]1_group_totals'!$I$8:$I$10000,"="&amp;T55)+SUMIFS('[1]1_group_totals'!$M$8:$M$10000,'[1]1_group_totals'!$C$8:$C$10000,I55,'[1]1_group_totals'!$F$8:$F$10000,adj_location_group_id,'[1]1_group_totals'!$G$8:$G$10000,MID(N55,1,3)*1,'[1]1_group_totals'!$H$8:$H$10000,"="&amp;S55,'[1]1_group_totals'!$I$8:$I$10000,"="&amp;T55)+SUMIFS('[1]1_group_totals'!$O$8:$O$10000,'[1]1_group_totals'!$C$8:$C$10000,I55,'[1]1_group_totals'!$F$8:$F$10000,adj_location_group_id,'[1]1_group_totals'!$G$8:$G$10000,MID(N55,1,3)*1,'[1]1_group_totals'!$H$8:$H$10000,"="&amp;S55,'[1]1_group_totals'!$I$8:$I$10000,"="&amp;T55)+SUMIFS('[1]1_group_totals'!$R$8:$R$10000,'[1]1_group_totals'!$C$8:$C$10000,I55,'[1]1_group_totals'!$F$8:$F$10000,adj_location_group_id,'[1]1_group_totals'!$G$8:$G$10000,MID(N55,1,3)*1,'[1]1_group_totals'!$H$8:$H$10000,"="&amp;S55,'[1]1_group_totals'!$I$8:$I$10000,"="&amp;T55)))</f>
        <v/>
      </c>
      <c r="AN55" s="270" t="str">
        <f>IF(L55="","",(SUMIFS('[1]1_inventory_totals'!$I$8:$I$10000,'[1]1_inventory_totals'!$C$8:$C$10000,I55,'[1]1_inventory_totals'!$F$8:$F$10000,"="&amp;S55,'[1]1_inventory_totals'!$G$8:$G$10000,"="&amp;T55)+SUMIFS('[1]1_inventory_totals'!$N$8:$N$10000,'[1]1_inventory_totals'!$C$8:$C$10000,I55,'[1]1_inventory_totals'!$F$8:$F$10000,"="&amp;S55,'[1]1_inventory_totals'!$G$8:$G$10000,"="&amp;T55)+SUMIFS('[1]1_inventory_totals'!$P$8:$P$10000,'[1]1_inventory_totals'!$C$8:$C$10000,I55,'[1]1_inventory_totals'!$F$8:$F$10000,"="&amp;S55,'[1]1_inventory_totals'!$G$8:$G$10000,"="&amp;T55)+SUMIFS('[1]1_inventory_totals'!$Q$8:$Q$10000,'[1]1_inventory_totals'!$C$8:$C$10000,I55,'[1]1_inventory_totals'!$F$8:$F$10000,"="&amp;S55,'[1]1_inventory_totals'!$G$8:$G$10000,"="&amp;T55)+SUMIFS('[1]1_inventory_totals'!$R$8:$R$10000,'[1]1_inventory_totals'!$C$8:$C$10000,I55,'[1]1_inventory_totals'!$F$8:$F$10000,"="&amp;S55,'[1]1_inventory_totals'!$G$8:$G$10000,"="&amp;T55))+(SUMIFS('[1]1_inventory_totals'!$J$8:$J$10000,'[1]1_inventory_totals'!$C$8:$C$10000,I55,'[1]1_inventory_totals'!$F$8:$F$10000,"="&amp;S55,'[1]1_inventory_totals'!$G$8:$G$10000,"="&amp;T55)+SUMIFS('[1]1_inventory_totals'!$K$8:$K$10000,'[1]1_inventory_totals'!$C$8:$C$10000,I55,'[1]1_inventory_totals'!$F$8:$F$10000,"="&amp;S55,'[1]1_inventory_totals'!$G$8:$G$10000,"="&amp;T55)+SUMIFS('[1]1_inventory_totals'!$L$8:$L$10000,'[1]1_inventory_totals'!$C$8:$C$10000,I55,'[1]1_inventory_totals'!$F$8:$F$10000,"="&amp;S55,'[1]1_inventory_totals'!$G$8:$G$10000,"="&amp;T55)+SUMIFS('[1]1_inventory_totals'!$M$8:$M$10000,'[1]1_inventory_totals'!$C$8:$C$10000,I55,'[1]1_inventory_totals'!$F$8:$F$10000,"="&amp;S55,'[1]1_inventory_totals'!$G$8:$G$10000,"="&amp;T55)+SUMIFS('[1]1_inventory_totals'!$O$8:$O$10000,'[1]1_inventory_totals'!$C$8:$C$10000,I55,'[1]1_inventory_totals'!$F$8:$F$10000,"="&amp;S55,'[1]1_inventory_totals'!$G$8:$G$10000,"="&amp;T55)+SUMIFS('[1]1_inventory_totals'!$S$8:$S$10000,'[1]1_inventory_totals'!$C$8:$C$10000,I55,'[1]1_inventory_totals'!$F$8:$F$10000,"="&amp;S55,'[1]1_inventory_totals'!$G$8:$G$10000,"="&amp;T55)))</f>
        <v/>
      </c>
      <c r="AO55" s="270" t="str">
        <f>IF(L55="","",(SUMIFS('[1]2_inventory_totals'!$I$8:$I$10000,'[1]2_inventory_totals'!$C$8:$C$10000,I55,'[1]2_inventory_totals'!$F$8:$F$10000,"="&amp;S55,'[1]2_inventory_totals'!$G$8:$G$10000,"="&amp;T55)+SUMIFS('[1]2_inventory_totals'!$N$8:$N$10000,'[1]2_inventory_totals'!$C$8:$C$10000,I55,'[1]2_inventory_totals'!$F$8:$F$10000,"="&amp;S55,'[1]2_inventory_totals'!$G$8:$G$10000,"="&amp;T55)+SUMIFS('[1]2_inventory_totals'!$P$8:$P$10000,'[1]2_inventory_totals'!$C$8:$C$10000,I55,'[1]2_inventory_totals'!$F$8:$F$10000,"="&amp;S55,'[1]2_inventory_totals'!$G$8:$G$10000,"="&amp;T55)+SUMIFS('[1]2_inventory_totals'!$Q$8:$Q$10000,'[1]2_inventory_totals'!$C$8:$C$10000,I55,'[1]2_inventory_totals'!$F$8:$F$10000,"="&amp;S55,'[1]2_inventory_totals'!$G$8:$G$10000,"="&amp;T55)+SUMIFS('[1]2_inventory_totals'!$R$8:$R$10000,'[1]2_inventory_totals'!$C$8:$C$10000,I55,'[1]2_inventory_totals'!$F$8:$F$10000,"="&amp;S55,'[1]2_inventory_totals'!$G$8:$G$10000,"="&amp;T55))+(SUMIFS('[1]2_inventory_totals'!$J$8:$J$10000,'[1]2_inventory_totals'!$C$8:$C$10000,I55,'[1]2_inventory_totals'!$F$8:$F$10000,"="&amp;S55,'[1]2_inventory_totals'!$G$8:$G$10000,"="&amp;T55)+SUMIFS('[1]2_inventory_totals'!$K$8:$K$10000,'[1]2_inventory_totals'!$C$8:$C$10000,I55,'[1]2_inventory_totals'!$F$8:$F$10000,"="&amp;S55,'[1]2_inventory_totals'!$G$8:$G$10000,"="&amp;T55)+SUMIFS('[1]2_inventory_totals'!$L$8:$L$10000,'[1]2_inventory_totals'!$C$8:$C$10000,I55,'[1]2_inventory_totals'!$F$8:$F$10000,"="&amp;S55,'[1]2_inventory_totals'!$G$8:$G$10000,"="&amp;T55)+SUMIFS('[1]2_inventory_totals'!$M$8:$M$10000,'[1]2_inventory_totals'!$C$8:$C$10000,I55,'[1]2_inventory_totals'!$F$8:$F$10000,"="&amp;S55,'[1]2_inventory_totals'!$G$8:$G$10000,"="&amp;T55)+SUMIFS('[1]2_inventory_totals'!$O$8:$O$10000,'[1]2_inventory_totals'!$C$8:$C$10000,I55,'[1]2_inventory_totals'!$F$8:$F$10000,"="&amp;S55,'[1]2_inventory_totals'!$G$8:$G$10000,"="&amp;T55)+SUMIFS('[1]2_inventory_totals'!$S$8:$S$10000,'[1]2_inventory_totals'!$C$8:$C$10000,I55,'[1]2_inventory_totals'!$F$8:$F$10000,"="&amp;S55,'[1]2_inventory_totals'!$G$8:$G$10000,"="&amp;T55)))</f>
        <v/>
      </c>
      <c r="AP55" s="954"/>
    </row>
    <row r="56" spans="1:42" ht="27" customHeight="1">
      <c r="A56" s="923"/>
      <c r="B56" s="1178"/>
      <c r="C56" s="950"/>
      <c r="D56" s="950"/>
      <c r="E56" s="950"/>
      <c r="F56" s="1199"/>
      <c r="G56" s="941"/>
      <c r="H56" s="1070"/>
      <c r="I56" s="1610" t="str">
        <f t="shared" si="5"/>
        <v/>
      </c>
      <c r="J56" s="270" t="str">
        <f t="shared" si="6"/>
        <v/>
      </c>
      <c r="K56" s="813" t="str">
        <f t="shared" si="16"/>
        <v/>
      </c>
      <c r="L56" s="1184"/>
      <c r="M56" s="1185"/>
      <c r="N56" s="1186"/>
      <c r="O56" s="1534"/>
      <c r="P56" s="336" t="str">
        <f t="shared" si="17"/>
        <v/>
      </c>
      <c r="Q56" s="336" t="str">
        <f>IF(L56="","",IF(AD56=0,0,(SUMIFS('[1]1_group_total_details'!$I$8:$I$10000,'[1]1_group_total_details'!$C$8:$C$10000,I56,'[1]1_group_total_details'!$F$8:$F$10000,adj_location_group_id,'[1]1_group_total_details'!$G$8:$G$10000,MID(N56,1,3)*1,'[1]1_group_total_details'!$H$8:$H$10000,"&lt;="&amp;adj_date)+SUMIFS('[1]1_group_total_details'!$L$8:$L$10000,'[1]1_group_total_details'!$C$8:$C$10000,I56,'[1]1_group_total_details'!$F$8:$F$10000,adj_location_group_id,'[1]1_group_total_details'!$G$8:$G$10000,MID(N56,1,3)*1,'[1]1_group_total_details'!$H$8:$H$10000,"&lt;="&amp;adj_date)+SUMIFS('[1]1_group_total_details'!$N$8:$N$10000,'[1]1_group_total_details'!$C$8:$C$10000,I56,'[1]1_group_total_details'!$F$8:$F$10000,adj_location_group_id,'[1]1_group_total_details'!$G$8:$G$10000,MID(N56,1,3)*1,'[1]1_group_total_details'!$H$8:$H$10000,"&lt;="&amp;adj_date)+SUMIFS('[1]1_group_total_details'!$O$8:$O$10000,'[1]1_group_total_details'!$C$8:$C$10000,I56,'[1]1_group_total_details'!$F$8:$F$10000,adj_location_group_id,'[1]1_group_total_details'!$G$8:$G$10000,MID(N56,1,3)*1,'[1]1_group_total_details'!$H$8:$H$10000,"&lt;="&amp;adj_date))-(SUMIFS('[1]1_group_total_details'!$J$8:$J$10000,'[1]1_group_total_details'!$C$8:$C$10000,I56,'[1]1_group_total_details'!$F$8:$F$10000,adj_location_group_id,'[1]1_group_total_details'!$G$8:$G$10000,MID(N56,1,3)*1,'[1]1_group_total_details'!$H$8:$H$10000,"&lt;="&amp;adj_date)+SUMIFS('[1]1_group_total_details'!$K$8:$K$10000,'[1]1_group_total_details'!$C$8:$C$10000,I56,'[1]1_group_total_details'!$F$8:$F$10000,adj_location_group_id,'[1]1_group_total_details'!$G$8:$G$10000,MID(N56,1,3)*1,'[1]1_group_total_details'!$H$8:$H$10000,"&lt;="&amp;adj_date)+SUMIFS('[1]1_group_total_details'!$M$8:$M$10000,'[1]1_group_total_details'!$C$8:$C$10000,I56,'[1]1_group_total_details'!$F$8:$F$10000,adj_location_group_id,'[1]1_group_total_details'!$G$8:$G$10000,MID(N56,1,3)*1,'[1]1_group_total_details'!$H$8:$H$10000,"&lt;="&amp;adj_date)+SUMIFS('[1]1_group_total_details'!$P$8:$P$10000,'[1]1_group_total_details'!$C$8:$C$10000,I56,'[1]1_group_total_details'!$F$8:$F$10000,adj_location_group_id,'[1]1_group_total_details'!$G$8:$G$10000,MID(N56,1,3)*1,'[1]1_group_total_details'!$H$8:$H$10000,"&lt;="&amp;adj_date))))</f>
        <v/>
      </c>
      <c r="R56" s="1187"/>
      <c r="S56" s="1186"/>
      <c r="T56" s="1186"/>
      <c r="U56" s="1184"/>
      <c r="V56" s="270" t="str" cm="1">
        <f t="array" ref="V56">IF(L56="","",IF(M56=AE56,1,Slookup(MID(AE56,1,3)*1,UomConversion!$D$8:$J$500,5,UomConversion!$E$8:$E$500,MID(M56,1,3)*1,UomConversion!$J$8:$J$500,1)))</f>
        <v/>
      </c>
      <c r="W56" s="270" t="str">
        <f t="shared" si="8"/>
        <v/>
      </c>
      <c r="X56" s="1795" t="str">
        <f t="shared" si="9"/>
        <v/>
      </c>
      <c r="Y56" s="1795" t="str">
        <f t="shared" si="10"/>
        <v/>
      </c>
      <c r="Z56" s="270" t="str">
        <f>IF(I56="","",IF(ISNA(MATCH(I56,IF(MID(N56,1,3)*1=1,'[1]1_inventory_totals'!$C$8:$C$10000,IF(MID(N56,1,3)*1=2,'[1]2_inventory_totals'!$C$8:$C$10000,"")),0)),0,IF(AL56&gt;0,1,0)))</f>
        <v/>
      </c>
      <c r="AA56" s="270" t="str">
        <f>IF(L56="","",IF(MID(N56,1,3)*1=1,SUMIFS('[1]1_inventory_total_details'!$J$8:$J$10000,'[1]1_inventory_total_details'!$C$8:$C$10000,I56,'[1]1_inventory_total_details'!$F$8:$F$10000,MID(N56,1,3)*1,'[1]1_inventory_total_details'!$G$8:$G$10000,"="&amp;S56,'[1]1_inventory_total_details'!$H$8:$H$10000,"="&amp;T56,'[1]1_inventory_total_details'!$I$8:$I$10000,"="&amp;adj_date)+SUMIFS('[1]1_inventory_total_details'!$M$8:$M$10000,'[1]1_inventory_total_details'!$C$8:$C$10000,I56,'[1]1_inventory_total_details'!$F$8:$F$10000,MID(N56,1,3)*1,'[1]1_inventory_total_details'!$G$8:$G$10000,"="&amp;S56,'[1]1_inventory_total_details'!$H$8:$H$10000,"="&amp;T56,'[1]1_inventory_total_details'!$I$8:$I$10000,"="&amp;adj_date)+SUMIFS('[1]1_inventory_total_details'!$K$8:$K$10000,'[1]1_inventory_total_details'!$C$8:$C$10000,I56,'[1]1_inventory_total_details'!$F$8:$F$10000,MID(N56,1,3)*1,'[1]1_inventory_total_details'!$G$8:$G$10000,"="&amp;S56,'[1]1_inventory_total_details'!$H$8:$H$10000,"="&amp;T56,'[1]1_inventory_total_details'!$I$8:$I$10000,"="&amp;adj_date)+SUMIFS('[1]1_inventory_total_details'!$L$8:$L$10000,'[1]1_inventory_total_details'!$C$8:$C$10000,I56,'[1]1_inventory_total_details'!$F$8:$F$10000,MID(N56,1,3)*1,'[1]1_inventory_total_details'!$G$8:$G$10000,"="&amp;S56,'[1]1_inventory_total_details'!$H$8:$H$10000,"="&amp;T56,'[1]1_inventory_total_details'!$I$8:$I$10000,"="&amp;adj_date),SUMIFS('[1]2_inventory_total_details'!$J$8:$J$10000,'[1]2_inventory_total_details'!$C$8:$C$10000,I56,'[1]2_inventory_total_details'!$F$8:$F$10000,MID(N56,1,3)*1,'[1]2_inventory_total_details'!$G$8:$G$10000,"="&amp;S56,'[1]2_inventory_total_details'!$H$8:$H$10000,"="&amp;T56,'[1]2_inventory_total_details'!$I$8:$I$10000,"="&amp;adj_date)+SUMIFS('[1]2_inventory_total_details'!$M$8:$M$10000,'[1]1_inventory_total_details'!$C$8:$C$10000,I56,'[1]2_inventory_total_details'!$F$8:$F$10000,MID(N56,1,3)*1,'[1]2_inventory_total_details'!$G$8:$G$10000,"="&amp;S56,'[1]2_inventory_total_details'!$H$8:$H$10000,"="&amp;T56,'[1]2_inventory_total_details'!$I$8:$I$10000,"="&amp;adj_date)+SUMIFS('[1]2_inventory_total_details'!$K$8:$K$10000,'[1]2_inventory_total_details'!$C$8:$C$10000,I56,'[1]2_inventory_total_details'!$F$8:$F$10000,MID(N56,1,3)*1,'[1]2_inventory_total_details'!$G$8:$G$10000,"="&amp;S56,'[1]2_inventory_total_details'!$H$8:$H$10000,"="&amp;T56,'[1]2_inventory_total_details'!$I$8:$I$10000,"="&amp;adj_date)+SUMIFS('[1]2_inventory_total_details'!$L$8:$L$10000,'[1]2_inventory_total_details'!$C$8:$C$10000,I56,'[1]2_inventory_total_details'!$F$8:$F$10000,MID(N56,1,3)*1,'[1]2_inventory_total_details'!$G$8:$G$10000,"="&amp;S56,'[1]2_inventory_total_details'!$H$8:$H$10000,"="&amp;T56,'[1]2_inventory_total_details'!$I$8:$I$10000,"="&amp;adj_date)))</f>
        <v/>
      </c>
      <c r="AB56" s="270" t="str">
        <f>IF(L56="","",IF(MID(N56,1,3)*1=1,SUMIFS('[1]1_inventory_total_details'!$J$8:$J$10000,'[1]1_inventory_total_details'!$C$8:$C$10000,I56,'[1]1_inventory_total_details'!$F$8:$F$10000,MID(N56,1,3)*1,'[1]1_inventory_total_details'!$G$8:$G$10000,"="&amp;S56,'[1]1_inventory_total_details'!$H$8:$H$10000,"="&amp;T56,'[1]1_inventory_total_details'!$I$8:$I$10000,"="&amp;adj_date)+SUMIFS('[1]1_inventory_total_details'!$M$8:$M$10000,'[1]1_inventory_total_details'!$C$8:$C$10000,I56,'[1]1_inventory_total_details'!$F$8:$F$10000,MID(N56,1,3)*1,'[1]1_inventory_total_details'!$G$8:$G$10000,"="&amp;S56,'[1]1_inventory_total_details'!$H$8:$H$10000,"="&amp;T56,'[1]1_inventory_total_details'!$I$8:$I$10000,"="&amp;adj_date)+SUMIFS('[1]1_inventory_total_details'!$K$8:$K$10000,'[1]1_inventory_total_details'!$C$8:$C$10000,I56,'[1]1_inventory_total_details'!$F$8:$F$10000,MID(N56,1,3)*1,'[1]1_inventory_total_details'!$G$8:$G$10000,"="&amp;S56,'[1]1_inventory_total_details'!$H$8:$H$10000,"="&amp;T56,'[1]1_inventory_total_details'!$I$8:$I$10000,"="&amp;adj_date)+SUMIFS('[1]1_inventory_total_details'!$L$8:$L$10000,'[1]1_inventory_total_details'!$C$8:$C$10000,I56,'[1]1_inventory_total_details'!$F$8:$F$10000,MID(N56,1,3)*1,'[1]1_inventory_total_details'!$G$8:$G$10000,"="&amp;S56,'[1]1_inventory_total_details'!$H$8:$H$10000,"="&amp;T56,'[1]1_inventory_total_details'!$I$8:$I$10000,"="&amp;adj_date),SUMIFS('[1]2_inventory_total_details'!$J$8:$J$10000,'[1]2_inventory_total_details'!$C$8:$C$10000,I56,'[1]2_inventory_total_details'!$F$8:$F$10000,MID(N56,1,3)*1,'[1]2_inventory_total_details'!$G$8:$G$10000,"="&amp;S56,'[1]2_inventory_total_details'!$H$8:$H$10000,"="&amp;T56,'[1]2_inventory_total_details'!$I$8:$I$10000,"="&amp;adj_date)+SUMIFS('[1]2_inventory_total_details'!$M$8:$M$10000,'[1]1_inventory_total_details'!$C$8:$C$10000,I56,'[1]2_inventory_total_details'!$F$8:$F$10000,MID(N56,1,3)*1,'[1]2_inventory_total_details'!$G$8:$G$10000,"="&amp;S56,'[1]2_inventory_total_details'!$H$8:$H$10000,"="&amp;T56,'[1]2_inventory_total_details'!$I$8:$I$10000,"="&amp;adj_date)+SUMIFS('[1]2_inventory_total_details'!$K$8:$K$10000,'[1]2_inventory_total_details'!$C$8:$C$10000,I56,'[1]2_inventory_total_details'!$F$8:$F$10000,MID(N56,1,3)*1,'[1]2_inventory_total_details'!$G$8:$G$10000,"="&amp;S56,'[1]2_inventory_total_details'!$H$8:$H$10000,"="&amp;T56,'[1]2_inventory_total_details'!$I$8:$I$10000,"="&amp;adj_date)+SUMIFS('[1]2_inventory_total_details'!$L$8:$L$10000,'[1]2_inventory_total_details'!$C$8:$C$10000,I56,'[1]2_inventory_total_details'!$F$8:$F$10000,MID(N56,1,3)*1,'[1]2_inventory_total_details'!$G$8:$G$10000,"="&amp;S56,'[1]2_inventory_total_details'!$H$8:$H$10000,"="&amp;T56,'[1]2_inventory_total_details'!$I$8:$I$10000,"="&amp;adj_date)))</f>
        <v/>
      </c>
      <c r="AC56" s="270" t="str">
        <f>IF(L56="","",IF(MID(N56,1,3)*1=1,SUMIFS('[1]1_inventory_total_details'!$J$8:$J$10000,'[1]1_inventory_total_details'!$C$8:$C$10000,I56,'[1]1_inventory_total_details'!$F$8:$F$10000,MID(N56,1,3)*1,'[1]1_inventory_total_details'!$G$8:$G$10000,"="&amp;S56,'[1]1_inventory_total_details'!$H$8:$H$10000,"="&amp;T56,'[1]1_inventory_total_details'!$I$8:$I$10000,"="&amp;adj_date)+SUMIFS('[1]1_inventory_total_details'!$M$8:$M$10000,'[1]1_inventory_total_details'!$C$8:$C$10000,I56,'[1]1_inventory_total_details'!$F$8:$F$10000,MID(N56,1,3)*1,'[1]1_inventory_total_details'!$G$8:$G$10000,"="&amp;S56,'[1]1_inventory_total_details'!$H$8:$H$10000,"="&amp;T56,'[1]1_inventory_total_details'!$I$8:$I$10000,"="&amp;adj_date)+SUMIFS('[1]1_inventory_total_details'!$K$8:$K$10000,'[1]1_inventory_total_details'!$C$8:$C$10000,I56,'[1]1_inventory_total_details'!$F$8:$F$10000,MID(N56,1,3)*1,'[1]1_inventory_total_details'!$G$8:$G$10000,"="&amp;S56,'[1]1_inventory_total_details'!$H$8:$H$10000,"="&amp;T56,'[1]1_inventory_total_details'!$I$8:$I$10000,"="&amp;adj_date)+SUMIFS('[1]1_inventory_total_details'!$L$8:$L$10000,'[1]1_inventory_total_details'!$C$8:$C$10000,I56,'[1]1_inventory_total_details'!$F$8:$F$10000,MID(N56,1,3)*1,'[1]1_inventory_total_details'!$G$8:$G$10000,"="&amp;S56,'[1]1_inventory_total_details'!$H$8:$H$10000,"="&amp;T56,'[1]1_inventory_total_details'!$I$8:$I$10000,"="&amp;adj_date),SUMIFS('[1]2_inventory_total_details'!$J$8:$J$10000,'[1]2_inventory_total_details'!$C$8:$C$10000,I56,'[1]2_inventory_total_details'!$F$8:$F$10000,MID(N56,1,3)*1,'[1]2_inventory_total_details'!$G$8:$G$10000,"="&amp;S56,'[1]2_inventory_total_details'!$H$8:$H$10000,"="&amp;T56,'[1]2_inventory_total_details'!$I$8:$I$10000,"="&amp;adj_date)+SUMIFS('[1]2_inventory_total_details'!$M$8:$M$10000,'[1]1_inventory_total_details'!$C$8:$C$10000,I56,'[1]2_inventory_total_details'!$F$8:$F$10000,MID(N56,1,3)*1,'[1]2_inventory_total_details'!$G$8:$G$10000,"="&amp;S56,'[1]2_inventory_total_details'!$H$8:$H$10000,"="&amp;T56,'[1]2_inventory_total_details'!$I$8:$I$10000,"="&amp;adj_date)+SUMIFS('[1]2_inventory_total_details'!$K$8:$K$10000,'[1]2_inventory_total_details'!$C$8:$C$10000,I56,'[1]2_inventory_total_details'!$F$8:$F$10000,MID(N56,1,3)*1,'[1]2_inventory_total_details'!$G$8:$G$10000,"="&amp;S56,'[1]2_inventory_total_details'!$H$8:$H$10000,"="&amp;T56,'[1]2_inventory_total_details'!$I$8:$I$10000,"="&amp;adj_date)+SUMIFS('[1]2_inventory_total_details'!$L$8:$L$10000,'[1]2_inventory_total_details'!$C$8:$C$10000,I56,'[1]2_inventory_total_details'!$F$8:$F$10000,MID(N56,1,3)*1,'[1]2_inventory_total_details'!$G$8:$G$10000,"="&amp;S56,'[1]2_inventory_total_details'!$H$8:$H$10000,"="&amp;T56,'[1]2_inventory_total_details'!$I$8:$I$10000,"="&amp;adj_date)))</f>
        <v/>
      </c>
      <c r="AD56" s="270" t="str">
        <f>IF(L56="","",SUMIFS('[1]1_group_totals'!$J$8:$J$10000,'[1]1_group_totals'!$C$8:$C$10000,I56,'[1]1_group_totals'!$F$8:$F$10000,adj_location_group_id,'[1]1_group_totals'!$G$8:$G$10000,MID(N56,1,3)*1,'[1]1_group_totals'!$H$8:$H$10000,"="&amp;S56,'[1]1_group_totals'!$I$8:$I$10000,"="&amp;T56))</f>
        <v/>
      </c>
      <c r="AE56" s="1796" t="str">
        <f t="shared" si="11"/>
        <v/>
      </c>
      <c r="AF56" s="1797" t="str">
        <f>IF(ISNA(MATCH(MID(AE56,1,3)*1,UomConversion!$D$8:$D$500,0)),"",IF(AJ56&lt;&gt;"",AJ56,""))</f>
        <v/>
      </c>
      <c r="AG56" s="1797" t="str">
        <f>IF(AND(AH56&gt;0,COUNTIFS(UomConversion!$D$8:$D$500,MID(AE56,1,3)*1,UomConversion!$J$8:$J$500,1)&gt;1),TEXT(AH56,"000")&amp;"."&amp;VLOOKUP(AH56,uom_list,5,FALSE),"")</f>
        <v/>
      </c>
      <c r="AH56" s="270" t="str">
        <f t="shared" si="12"/>
        <v/>
      </c>
      <c r="AI56" s="270" t="str">
        <f t="shared" si="13"/>
        <v/>
      </c>
      <c r="AJ56" s="270" t="str">
        <f t="shared" si="14"/>
        <v/>
      </c>
      <c r="AK56" s="270" t="str" cm="1">
        <f t="array" ref="AK56">IF(L56="","",Slookup(MID(AE56,1,3)*1,UomConversion!$D$8:$J$500,2,UomConversion!$I$8:$I$500,1,UomConversion!$J$8:$J$500,1))</f>
        <v/>
      </c>
      <c r="AL56" s="270" t="str">
        <f t="shared" si="15"/>
        <v/>
      </c>
      <c r="AM56" s="270" t="str">
        <f>IF(L56="","",(SUMIFS('[1]1_group_totals'!$K$8:$K$10000,'[1]1_group_totals'!$C$8:$C$10000,I56,'[1]1_group_totals'!$F$8:$F$10000,adj_location_group_id,'[1]1_group_totals'!$G$8:$G$10000,MID(N56,1,3)*1,'[1]1_group_totals'!$H$8:$H$10000,"="&amp;S56,'[1]1_group_totals'!$I$8:$I$10000,"="&amp;T56)+SUMIFS('[1]1_group_totals'!$N$8:$N$10000,'[1]1_group_totals'!$C$8:$C$10000,I56,'[1]1_group_totals'!$F$8:$F$10000,adj_location_group_id,'[1]1_group_totals'!$G$8:$G$10000,MID(N56,1,3)*1,'[1]1_group_totals'!$H$8:$H$10000,"="&amp;S56,'[1]1_group_totals'!$I$8:$I$10000,"="&amp;T56)+SUMIFS('[1]1_group_totals'!$P$8:$P$10000,'[1]1_group_totals'!$C$8:$C$10000,I56,'[1]1_group_totals'!$F$8:$F$10000,adj_location_group_id,'[1]1_group_totals'!$G$8:$G$10000,MID(N56,1,3)*1,'[1]1_group_totals'!$H$8:$H$10000,"="&amp;S56,'[1]1_group_totals'!$I$8:$I$10000,"="&amp;T56)+SUMIFS('[1]1_group_totals'!$Q$8:$Q$10000,'[1]1_group_totals'!$C$8:$C$10000,I56,'[1]1_group_totals'!$F$8:$F$10000,adj_location_group_id,'[1]1_group_totals'!$G$8:$G$10000,MID(N56,1,3)*1,'[1]1_group_totals'!$H$8:$H$10000,"="&amp;S56,'[1]1_group_totals'!$I$8:$I$10000,"="&amp;T56))+(SUMIFS('[1]1_group_totals'!$L$8:$L$10000,'[1]1_group_totals'!$C$8:$C$10000,I56,'[1]1_group_totals'!$F$8:$F$10000,adj_location_group_id,'[1]1_group_totals'!$G$8:$G$10000,MID(N56,1,3)*1,'[1]1_group_totals'!$H$8:$H$10000,"="&amp;S56,'[1]1_group_totals'!$I$8:$I$10000,"="&amp;T56)+SUMIFS('[1]1_group_totals'!$M$8:$M$10000,'[1]1_group_totals'!$C$8:$C$10000,I56,'[1]1_group_totals'!$F$8:$F$10000,adj_location_group_id,'[1]1_group_totals'!$G$8:$G$10000,MID(N56,1,3)*1,'[1]1_group_totals'!$H$8:$H$10000,"="&amp;S56,'[1]1_group_totals'!$I$8:$I$10000,"="&amp;T56)+SUMIFS('[1]1_group_totals'!$O$8:$O$10000,'[1]1_group_totals'!$C$8:$C$10000,I56,'[1]1_group_totals'!$F$8:$F$10000,adj_location_group_id,'[1]1_group_totals'!$G$8:$G$10000,MID(N56,1,3)*1,'[1]1_group_totals'!$H$8:$H$10000,"="&amp;S56,'[1]1_group_totals'!$I$8:$I$10000,"="&amp;T56)+SUMIFS('[1]1_group_totals'!$R$8:$R$10000,'[1]1_group_totals'!$C$8:$C$10000,I56,'[1]1_group_totals'!$F$8:$F$10000,adj_location_group_id,'[1]1_group_totals'!$G$8:$G$10000,MID(N56,1,3)*1,'[1]1_group_totals'!$H$8:$H$10000,"="&amp;S56,'[1]1_group_totals'!$I$8:$I$10000,"="&amp;T56)))</f>
        <v/>
      </c>
      <c r="AN56" s="270" t="str">
        <f>IF(L56="","",(SUMIFS('[1]1_inventory_totals'!$I$8:$I$10000,'[1]1_inventory_totals'!$C$8:$C$10000,I56,'[1]1_inventory_totals'!$F$8:$F$10000,"="&amp;S56,'[1]1_inventory_totals'!$G$8:$G$10000,"="&amp;T56)+SUMIFS('[1]1_inventory_totals'!$N$8:$N$10000,'[1]1_inventory_totals'!$C$8:$C$10000,I56,'[1]1_inventory_totals'!$F$8:$F$10000,"="&amp;S56,'[1]1_inventory_totals'!$G$8:$G$10000,"="&amp;T56)+SUMIFS('[1]1_inventory_totals'!$P$8:$P$10000,'[1]1_inventory_totals'!$C$8:$C$10000,I56,'[1]1_inventory_totals'!$F$8:$F$10000,"="&amp;S56,'[1]1_inventory_totals'!$G$8:$G$10000,"="&amp;T56)+SUMIFS('[1]1_inventory_totals'!$Q$8:$Q$10000,'[1]1_inventory_totals'!$C$8:$C$10000,I56,'[1]1_inventory_totals'!$F$8:$F$10000,"="&amp;S56,'[1]1_inventory_totals'!$G$8:$G$10000,"="&amp;T56)+SUMIFS('[1]1_inventory_totals'!$R$8:$R$10000,'[1]1_inventory_totals'!$C$8:$C$10000,I56,'[1]1_inventory_totals'!$F$8:$F$10000,"="&amp;S56,'[1]1_inventory_totals'!$G$8:$G$10000,"="&amp;T56))+(SUMIFS('[1]1_inventory_totals'!$J$8:$J$10000,'[1]1_inventory_totals'!$C$8:$C$10000,I56,'[1]1_inventory_totals'!$F$8:$F$10000,"="&amp;S56,'[1]1_inventory_totals'!$G$8:$G$10000,"="&amp;T56)+SUMIFS('[1]1_inventory_totals'!$K$8:$K$10000,'[1]1_inventory_totals'!$C$8:$C$10000,I56,'[1]1_inventory_totals'!$F$8:$F$10000,"="&amp;S56,'[1]1_inventory_totals'!$G$8:$G$10000,"="&amp;T56)+SUMIFS('[1]1_inventory_totals'!$L$8:$L$10000,'[1]1_inventory_totals'!$C$8:$C$10000,I56,'[1]1_inventory_totals'!$F$8:$F$10000,"="&amp;S56,'[1]1_inventory_totals'!$G$8:$G$10000,"="&amp;T56)+SUMIFS('[1]1_inventory_totals'!$M$8:$M$10000,'[1]1_inventory_totals'!$C$8:$C$10000,I56,'[1]1_inventory_totals'!$F$8:$F$10000,"="&amp;S56,'[1]1_inventory_totals'!$G$8:$G$10000,"="&amp;T56)+SUMIFS('[1]1_inventory_totals'!$O$8:$O$10000,'[1]1_inventory_totals'!$C$8:$C$10000,I56,'[1]1_inventory_totals'!$F$8:$F$10000,"="&amp;S56,'[1]1_inventory_totals'!$G$8:$G$10000,"="&amp;T56)+SUMIFS('[1]1_inventory_totals'!$S$8:$S$10000,'[1]1_inventory_totals'!$C$8:$C$10000,I56,'[1]1_inventory_totals'!$F$8:$F$10000,"="&amp;S56,'[1]1_inventory_totals'!$G$8:$G$10000,"="&amp;T56)))</f>
        <v/>
      </c>
      <c r="AO56" s="270" t="str">
        <f>IF(L56="","",(SUMIFS('[1]2_inventory_totals'!$I$8:$I$10000,'[1]2_inventory_totals'!$C$8:$C$10000,I56,'[1]2_inventory_totals'!$F$8:$F$10000,"="&amp;S56,'[1]2_inventory_totals'!$G$8:$G$10000,"="&amp;T56)+SUMIFS('[1]2_inventory_totals'!$N$8:$N$10000,'[1]2_inventory_totals'!$C$8:$C$10000,I56,'[1]2_inventory_totals'!$F$8:$F$10000,"="&amp;S56,'[1]2_inventory_totals'!$G$8:$G$10000,"="&amp;T56)+SUMIFS('[1]2_inventory_totals'!$P$8:$P$10000,'[1]2_inventory_totals'!$C$8:$C$10000,I56,'[1]2_inventory_totals'!$F$8:$F$10000,"="&amp;S56,'[1]2_inventory_totals'!$G$8:$G$10000,"="&amp;T56)+SUMIFS('[1]2_inventory_totals'!$Q$8:$Q$10000,'[1]2_inventory_totals'!$C$8:$C$10000,I56,'[1]2_inventory_totals'!$F$8:$F$10000,"="&amp;S56,'[1]2_inventory_totals'!$G$8:$G$10000,"="&amp;T56)+SUMIFS('[1]2_inventory_totals'!$R$8:$R$10000,'[1]2_inventory_totals'!$C$8:$C$10000,I56,'[1]2_inventory_totals'!$F$8:$F$10000,"="&amp;S56,'[1]2_inventory_totals'!$G$8:$G$10000,"="&amp;T56))+(SUMIFS('[1]2_inventory_totals'!$J$8:$J$10000,'[1]2_inventory_totals'!$C$8:$C$10000,I56,'[1]2_inventory_totals'!$F$8:$F$10000,"="&amp;S56,'[1]2_inventory_totals'!$G$8:$G$10000,"="&amp;T56)+SUMIFS('[1]2_inventory_totals'!$K$8:$K$10000,'[1]2_inventory_totals'!$C$8:$C$10000,I56,'[1]2_inventory_totals'!$F$8:$F$10000,"="&amp;S56,'[1]2_inventory_totals'!$G$8:$G$10000,"="&amp;T56)+SUMIFS('[1]2_inventory_totals'!$L$8:$L$10000,'[1]2_inventory_totals'!$C$8:$C$10000,I56,'[1]2_inventory_totals'!$F$8:$F$10000,"="&amp;S56,'[1]2_inventory_totals'!$G$8:$G$10000,"="&amp;T56)+SUMIFS('[1]2_inventory_totals'!$M$8:$M$10000,'[1]2_inventory_totals'!$C$8:$C$10000,I56,'[1]2_inventory_totals'!$F$8:$F$10000,"="&amp;S56,'[1]2_inventory_totals'!$G$8:$G$10000,"="&amp;T56)+SUMIFS('[1]2_inventory_totals'!$O$8:$O$10000,'[1]2_inventory_totals'!$C$8:$C$10000,I56,'[1]2_inventory_totals'!$F$8:$F$10000,"="&amp;S56,'[1]2_inventory_totals'!$G$8:$G$10000,"="&amp;T56)+SUMIFS('[1]2_inventory_totals'!$S$8:$S$10000,'[1]2_inventory_totals'!$C$8:$C$10000,I56,'[1]2_inventory_totals'!$F$8:$F$10000,"="&amp;S56,'[1]2_inventory_totals'!$G$8:$G$10000,"="&amp;T56)))</f>
        <v/>
      </c>
      <c r="AP56" s="954"/>
    </row>
    <row r="57" spans="1:42" ht="27" customHeight="1">
      <c r="A57" s="923"/>
      <c r="B57" s="1178"/>
      <c r="C57" s="950"/>
      <c r="D57" s="950"/>
      <c r="E57" s="950"/>
      <c r="F57" s="1199"/>
      <c r="G57" s="941"/>
      <c r="H57" s="1070"/>
      <c r="I57" s="1610" t="str">
        <f t="shared" si="5"/>
        <v/>
      </c>
      <c r="J57" s="270" t="str">
        <f t="shared" si="6"/>
        <v/>
      </c>
      <c r="K57" s="813" t="str">
        <f t="shared" si="16"/>
        <v/>
      </c>
      <c r="L57" s="1184"/>
      <c r="M57" s="1185"/>
      <c r="N57" s="1186"/>
      <c r="O57" s="1534"/>
      <c r="P57" s="336" t="str">
        <f t="shared" si="17"/>
        <v/>
      </c>
      <c r="Q57" s="336" t="str">
        <f>IF(L57="","",IF(AD57=0,0,(SUMIFS('[1]1_group_total_details'!$I$8:$I$10000,'[1]1_group_total_details'!$C$8:$C$10000,I57,'[1]1_group_total_details'!$F$8:$F$10000,adj_location_group_id,'[1]1_group_total_details'!$G$8:$G$10000,MID(N57,1,3)*1,'[1]1_group_total_details'!$H$8:$H$10000,"&lt;="&amp;adj_date)+SUMIFS('[1]1_group_total_details'!$L$8:$L$10000,'[1]1_group_total_details'!$C$8:$C$10000,I57,'[1]1_group_total_details'!$F$8:$F$10000,adj_location_group_id,'[1]1_group_total_details'!$G$8:$G$10000,MID(N57,1,3)*1,'[1]1_group_total_details'!$H$8:$H$10000,"&lt;="&amp;adj_date)+SUMIFS('[1]1_group_total_details'!$N$8:$N$10000,'[1]1_group_total_details'!$C$8:$C$10000,I57,'[1]1_group_total_details'!$F$8:$F$10000,adj_location_group_id,'[1]1_group_total_details'!$G$8:$G$10000,MID(N57,1,3)*1,'[1]1_group_total_details'!$H$8:$H$10000,"&lt;="&amp;adj_date)+SUMIFS('[1]1_group_total_details'!$O$8:$O$10000,'[1]1_group_total_details'!$C$8:$C$10000,I57,'[1]1_group_total_details'!$F$8:$F$10000,adj_location_group_id,'[1]1_group_total_details'!$G$8:$G$10000,MID(N57,1,3)*1,'[1]1_group_total_details'!$H$8:$H$10000,"&lt;="&amp;adj_date))-(SUMIFS('[1]1_group_total_details'!$J$8:$J$10000,'[1]1_group_total_details'!$C$8:$C$10000,I57,'[1]1_group_total_details'!$F$8:$F$10000,adj_location_group_id,'[1]1_group_total_details'!$G$8:$G$10000,MID(N57,1,3)*1,'[1]1_group_total_details'!$H$8:$H$10000,"&lt;="&amp;adj_date)+SUMIFS('[1]1_group_total_details'!$K$8:$K$10000,'[1]1_group_total_details'!$C$8:$C$10000,I57,'[1]1_group_total_details'!$F$8:$F$10000,adj_location_group_id,'[1]1_group_total_details'!$G$8:$G$10000,MID(N57,1,3)*1,'[1]1_group_total_details'!$H$8:$H$10000,"&lt;="&amp;adj_date)+SUMIFS('[1]1_group_total_details'!$M$8:$M$10000,'[1]1_group_total_details'!$C$8:$C$10000,I57,'[1]1_group_total_details'!$F$8:$F$10000,adj_location_group_id,'[1]1_group_total_details'!$G$8:$G$10000,MID(N57,1,3)*1,'[1]1_group_total_details'!$H$8:$H$10000,"&lt;="&amp;adj_date)+SUMIFS('[1]1_group_total_details'!$P$8:$P$10000,'[1]1_group_total_details'!$C$8:$C$10000,I57,'[1]1_group_total_details'!$F$8:$F$10000,adj_location_group_id,'[1]1_group_total_details'!$G$8:$G$10000,MID(N57,1,3)*1,'[1]1_group_total_details'!$H$8:$H$10000,"&lt;="&amp;adj_date))))</f>
        <v/>
      </c>
      <c r="R57" s="1187"/>
      <c r="S57" s="1186"/>
      <c r="T57" s="1186"/>
      <c r="U57" s="1184"/>
      <c r="V57" s="270" t="str" cm="1">
        <f t="array" ref="V57">IF(L57="","",IF(M57=AE57,1,Slookup(MID(AE57,1,3)*1,UomConversion!$D$8:$J$500,5,UomConversion!$E$8:$E$500,MID(M57,1,3)*1,UomConversion!$J$8:$J$500,1)))</f>
        <v/>
      </c>
      <c r="W57" s="270" t="str">
        <f t="shared" si="8"/>
        <v/>
      </c>
      <c r="X57" s="1795" t="str">
        <f t="shared" si="9"/>
        <v/>
      </c>
      <c r="Y57" s="1795" t="str">
        <f t="shared" si="10"/>
        <v/>
      </c>
      <c r="Z57" s="270" t="str">
        <f>IF(I57="","",IF(ISNA(MATCH(I57,IF(MID(N57,1,3)*1=1,'[1]1_inventory_totals'!$C$8:$C$10000,IF(MID(N57,1,3)*1=2,'[1]2_inventory_totals'!$C$8:$C$10000,"")),0)),0,IF(AL57&gt;0,1,0)))</f>
        <v/>
      </c>
      <c r="AA57" s="270" t="str">
        <f>IF(L57="","",IF(MID(N57,1,3)*1=1,SUMIFS('[1]1_inventory_total_details'!$J$8:$J$10000,'[1]1_inventory_total_details'!$C$8:$C$10000,I57,'[1]1_inventory_total_details'!$F$8:$F$10000,MID(N57,1,3)*1,'[1]1_inventory_total_details'!$G$8:$G$10000,"="&amp;S57,'[1]1_inventory_total_details'!$H$8:$H$10000,"="&amp;T57,'[1]1_inventory_total_details'!$I$8:$I$10000,"="&amp;adj_date)+SUMIFS('[1]1_inventory_total_details'!$M$8:$M$10000,'[1]1_inventory_total_details'!$C$8:$C$10000,I57,'[1]1_inventory_total_details'!$F$8:$F$10000,MID(N57,1,3)*1,'[1]1_inventory_total_details'!$G$8:$G$10000,"="&amp;S57,'[1]1_inventory_total_details'!$H$8:$H$10000,"="&amp;T57,'[1]1_inventory_total_details'!$I$8:$I$10000,"="&amp;adj_date)+SUMIFS('[1]1_inventory_total_details'!$K$8:$K$10000,'[1]1_inventory_total_details'!$C$8:$C$10000,I57,'[1]1_inventory_total_details'!$F$8:$F$10000,MID(N57,1,3)*1,'[1]1_inventory_total_details'!$G$8:$G$10000,"="&amp;S57,'[1]1_inventory_total_details'!$H$8:$H$10000,"="&amp;T57,'[1]1_inventory_total_details'!$I$8:$I$10000,"="&amp;adj_date)+SUMIFS('[1]1_inventory_total_details'!$L$8:$L$10000,'[1]1_inventory_total_details'!$C$8:$C$10000,I57,'[1]1_inventory_total_details'!$F$8:$F$10000,MID(N57,1,3)*1,'[1]1_inventory_total_details'!$G$8:$G$10000,"="&amp;S57,'[1]1_inventory_total_details'!$H$8:$H$10000,"="&amp;T57,'[1]1_inventory_total_details'!$I$8:$I$10000,"="&amp;adj_date),SUMIFS('[1]2_inventory_total_details'!$J$8:$J$10000,'[1]2_inventory_total_details'!$C$8:$C$10000,I57,'[1]2_inventory_total_details'!$F$8:$F$10000,MID(N57,1,3)*1,'[1]2_inventory_total_details'!$G$8:$G$10000,"="&amp;S57,'[1]2_inventory_total_details'!$H$8:$H$10000,"="&amp;T57,'[1]2_inventory_total_details'!$I$8:$I$10000,"="&amp;adj_date)+SUMIFS('[1]2_inventory_total_details'!$M$8:$M$10000,'[1]1_inventory_total_details'!$C$8:$C$10000,I57,'[1]2_inventory_total_details'!$F$8:$F$10000,MID(N57,1,3)*1,'[1]2_inventory_total_details'!$G$8:$G$10000,"="&amp;S57,'[1]2_inventory_total_details'!$H$8:$H$10000,"="&amp;T57,'[1]2_inventory_total_details'!$I$8:$I$10000,"="&amp;adj_date)+SUMIFS('[1]2_inventory_total_details'!$K$8:$K$10000,'[1]2_inventory_total_details'!$C$8:$C$10000,I57,'[1]2_inventory_total_details'!$F$8:$F$10000,MID(N57,1,3)*1,'[1]2_inventory_total_details'!$G$8:$G$10000,"="&amp;S57,'[1]2_inventory_total_details'!$H$8:$H$10000,"="&amp;T57,'[1]2_inventory_total_details'!$I$8:$I$10000,"="&amp;adj_date)+SUMIFS('[1]2_inventory_total_details'!$L$8:$L$10000,'[1]2_inventory_total_details'!$C$8:$C$10000,I57,'[1]2_inventory_total_details'!$F$8:$F$10000,MID(N57,1,3)*1,'[1]2_inventory_total_details'!$G$8:$G$10000,"="&amp;S57,'[1]2_inventory_total_details'!$H$8:$H$10000,"="&amp;T57,'[1]2_inventory_total_details'!$I$8:$I$10000,"="&amp;adj_date)))</f>
        <v/>
      </c>
      <c r="AB57" s="270" t="str">
        <f>IF(L57="","",IF(MID(N57,1,3)*1=1,SUMIFS('[1]1_inventory_total_details'!$J$8:$J$10000,'[1]1_inventory_total_details'!$C$8:$C$10000,I57,'[1]1_inventory_total_details'!$F$8:$F$10000,MID(N57,1,3)*1,'[1]1_inventory_total_details'!$G$8:$G$10000,"="&amp;S57,'[1]1_inventory_total_details'!$H$8:$H$10000,"="&amp;T57,'[1]1_inventory_total_details'!$I$8:$I$10000,"="&amp;adj_date)+SUMIFS('[1]1_inventory_total_details'!$M$8:$M$10000,'[1]1_inventory_total_details'!$C$8:$C$10000,I57,'[1]1_inventory_total_details'!$F$8:$F$10000,MID(N57,1,3)*1,'[1]1_inventory_total_details'!$G$8:$G$10000,"="&amp;S57,'[1]1_inventory_total_details'!$H$8:$H$10000,"="&amp;T57,'[1]1_inventory_total_details'!$I$8:$I$10000,"="&amp;adj_date)+SUMIFS('[1]1_inventory_total_details'!$K$8:$K$10000,'[1]1_inventory_total_details'!$C$8:$C$10000,I57,'[1]1_inventory_total_details'!$F$8:$F$10000,MID(N57,1,3)*1,'[1]1_inventory_total_details'!$G$8:$G$10000,"="&amp;S57,'[1]1_inventory_total_details'!$H$8:$H$10000,"="&amp;T57,'[1]1_inventory_total_details'!$I$8:$I$10000,"="&amp;adj_date)+SUMIFS('[1]1_inventory_total_details'!$L$8:$L$10000,'[1]1_inventory_total_details'!$C$8:$C$10000,I57,'[1]1_inventory_total_details'!$F$8:$F$10000,MID(N57,1,3)*1,'[1]1_inventory_total_details'!$G$8:$G$10000,"="&amp;S57,'[1]1_inventory_total_details'!$H$8:$H$10000,"="&amp;T57,'[1]1_inventory_total_details'!$I$8:$I$10000,"="&amp;adj_date),SUMIFS('[1]2_inventory_total_details'!$J$8:$J$10000,'[1]2_inventory_total_details'!$C$8:$C$10000,I57,'[1]2_inventory_total_details'!$F$8:$F$10000,MID(N57,1,3)*1,'[1]2_inventory_total_details'!$G$8:$G$10000,"="&amp;S57,'[1]2_inventory_total_details'!$H$8:$H$10000,"="&amp;T57,'[1]2_inventory_total_details'!$I$8:$I$10000,"="&amp;adj_date)+SUMIFS('[1]2_inventory_total_details'!$M$8:$M$10000,'[1]1_inventory_total_details'!$C$8:$C$10000,I57,'[1]2_inventory_total_details'!$F$8:$F$10000,MID(N57,1,3)*1,'[1]2_inventory_total_details'!$G$8:$G$10000,"="&amp;S57,'[1]2_inventory_total_details'!$H$8:$H$10000,"="&amp;T57,'[1]2_inventory_total_details'!$I$8:$I$10000,"="&amp;adj_date)+SUMIFS('[1]2_inventory_total_details'!$K$8:$K$10000,'[1]2_inventory_total_details'!$C$8:$C$10000,I57,'[1]2_inventory_total_details'!$F$8:$F$10000,MID(N57,1,3)*1,'[1]2_inventory_total_details'!$G$8:$G$10000,"="&amp;S57,'[1]2_inventory_total_details'!$H$8:$H$10000,"="&amp;T57,'[1]2_inventory_total_details'!$I$8:$I$10000,"="&amp;adj_date)+SUMIFS('[1]2_inventory_total_details'!$L$8:$L$10000,'[1]2_inventory_total_details'!$C$8:$C$10000,I57,'[1]2_inventory_total_details'!$F$8:$F$10000,MID(N57,1,3)*1,'[1]2_inventory_total_details'!$G$8:$G$10000,"="&amp;S57,'[1]2_inventory_total_details'!$H$8:$H$10000,"="&amp;T57,'[1]2_inventory_total_details'!$I$8:$I$10000,"="&amp;adj_date)))</f>
        <v/>
      </c>
      <c r="AC57" s="270" t="str">
        <f>IF(L57="","",IF(MID(N57,1,3)*1=1,SUMIFS('[1]1_inventory_total_details'!$J$8:$J$10000,'[1]1_inventory_total_details'!$C$8:$C$10000,I57,'[1]1_inventory_total_details'!$F$8:$F$10000,MID(N57,1,3)*1,'[1]1_inventory_total_details'!$G$8:$G$10000,"="&amp;S57,'[1]1_inventory_total_details'!$H$8:$H$10000,"="&amp;T57,'[1]1_inventory_total_details'!$I$8:$I$10000,"="&amp;adj_date)+SUMIFS('[1]1_inventory_total_details'!$M$8:$M$10000,'[1]1_inventory_total_details'!$C$8:$C$10000,I57,'[1]1_inventory_total_details'!$F$8:$F$10000,MID(N57,1,3)*1,'[1]1_inventory_total_details'!$G$8:$G$10000,"="&amp;S57,'[1]1_inventory_total_details'!$H$8:$H$10000,"="&amp;T57,'[1]1_inventory_total_details'!$I$8:$I$10000,"="&amp;adj_date)+SUMIFS('[1]1_inventory_total_details'!$K$8:$K$10000,'[1]1_inventory_total_details'!$C$8:$C$10000,I57,'[1]1_inventory_total_details'!$F$8:$F$10000,MID(N57,1,3)*1,'[1]1_inventory_total_details'!$G$8:$G$10000,"="&amp;S57,'[1]1_inventory_total_details'!$H$8:$H$10000,"="&amp;T57,'[1]1_inventory_total_details'!$I$8:$I$10000,"="&amp;adj_date)+SUMIFS('[1]1_inventory_total_details'!$L$8:$L$10000,'[1]1_inventory_total_details'!$C$8:$C$10000,I57,'[1]1_inventory_total_details'!$F$8:$F$10000,MID(N57,1,3)*1,'[1]1_inventory_total_details'!$G$8:$G$10000,"="&amp;S57,'[1]1_inventory_total_details'!$H$8:$H$10000,"="&amp;T57,'[1]1_inventory_total_details'!$I$8:$I$10000,"="&amp;adj_date),SUMIFS('[1]2_inventory_total_details'!$J$8:$J$10000,'[1]2_inventory_total_details'!$C$8:$C$10000,I57,'[1]2_inventory_total_details'!$F$8:$F$10000,MID(N57,1,3)*1,'[1]2_inventory_total_details'!$G$8:$G$10000,"="&amp;S57,'[1]2_inventory_total_details'!$H$8:$H$10000,"="&amp;T57,'[1]2_inventory_total_details'!$I$8:$I$10000,"="&amp;adj_date)+SUMIFS('[1]2_inventory_total_details'!$M$8:$M$10000,'[1]1_inventory_total_details'!$C$8:$C$10000,I57,'[1]2_inventory_total_details'!$F$8:$F$10000,MID(N57,1,3)*1,'[1]2_inventory_total_details'!$G$8:$G$10000,"="&amp;S57,'[1]2_inventory_total_details'!$H$8:$H$10000,"="&amp;T57,'[1]2_inventory_total_details'!$I$8:$I$10000,"="&amp;adj_date)+SUMIFS('[1]2_inventory_total_details'!$K$8:$K$10000,'[1]2_inventory_total_details'!$C$8:$C$10000,I57,'[1]2_inventory_total_details'!$F$8:$F$10000,MID(N57,1,3)*1,'[1]2_inventory_total_details'!$G$8:$G$10000,"="&amp;S57,'[1]2_inventory_total_details'!$H$8:$H$10000,"="&amp;T57,'[1]2_inventory_total_details'!$I$8:$I$10000,"="&amp;adj_date)+SUMIFS('[1]2_inventory_total_details'!$L$8:$L$10000,'[1]2_inventory_total_details'!$C$8:$C$10000,I57,'[1]2_inventory_total_details'!$F$8:$F$10000,MID(N57,1,3)*1,'[1]2_inventory_total_details'!$G$8:$G$10000,"="&amp;S57,'[1]2_inventory_total_details'!$H$8:$H$10000,"="&amp;T57,'[1]2_inventory_total_details'!$I$8:$I$10000,"="&amp;adj_date)))</f>
        <v/>
      </c>
      <c r="AD57" s="270" t="str">
        <f>IF(L57="","",SUMIFS('[1]1_group_totals'!$J$8:$J$10000,'[1]1_group_totals'!$C$8:$C$10000,I57,'[1]1_group_totals'!$F$8:$F$10000,adj_location_group_id,'[1]1_group_totals'!$G$8:$G$10000,MID(N57,1,3)*1,'[1]1_group_totals'!$H$8:$H$10000,"="&amp;S57,'[1]1_group_totals'!$I$8:$I$10000,"="&amp;T57))</f>
        <v/>
      </c>
      <c r="AE57" s="1796" t="str">
        <f t="shared" si="11"/>
        <v/>
      </c>
      <c r="AF57" s="1797" t="str">
        <f>IF(ISNA(MATCH(MID(AE57,1,3)*1,UomConversion!$D$8:$D$500,0)),"",IF(AJ57&lt;&gt;"",AJ57,""))</f>
        <v/>
      </c>
      <c r="AG57" s="1797" t="str">
        <f>IF(AND(AH57&gt;0,COUNTIFS(UomConversion!$D$8:$D$500,MID(AE57,1,3)*1,UomConversion!$J$8:$J$500,1)&gt;1),TEXT(AH57,"000")&amp;"."&amp;VLOOKUP(AH57,uom_list,5,FALSE),"")</f>
        <v/>
      </c>
      <c r="AH57" s="270" t="str">
        <f t="shared" si="12"/>
        <v/>
      </c>
      <c r="AI57" s="270" t="str">
        <f t="shared" si="13"/>
        <v/>
      </c>
      <c r="AJ57" s="270" t="str">
        <f t="shared" si="14"/>
        <v/>
      </c>
      <c r="AK57" s="270" t="str" cm="1">
        <f t="array" ref="AK57">IF(L57="","",Slookup(MID(AE57,1,3)*1,UomConversion!$D$8:$J$500,2,UomConversion!$I$8:$I$500,1,UomConversion!$J$8:$J$500,1))</f>
        <v/>
      </c>
      <c r="AL57" s="270" t="str">
        <f t="shared" si="15"/>
        <v/>
      </c>
      <c r="AM57" s="270" t="str">
        <f>IF(L57="","",(SUMIFS('[1]1_group_totals'!$K$8:$K$10000,'[1]1_group_totals'!$C$8:$C$10000,I57,'[1]1_group_totals'!$F$8:$F$10000,adj_location_group_id,'[1]1_group_totals'!$G$8:$G$10000,MID(N57,1,3)*1,'[1]1_group_totals'!$H$8:$H$10000,"="&amp;S57,'[1]1_group_totals'!$I$8:$I$10000,"="&amp;T57)+SUMIFS('[1]1_group_totals'!$N$8:$N$10000,'[1]1_group_totals'!$C$8:$C$10000,I57,'[1]1_group_totals'!$F$8:$F$10000,adj_location_group_id,'[1]1_group_totals'!$G$8:$G$10000,MID(N57,1,3)*1,'[1]1_group_totals'!$H$8:$H$10000,"="&amp;S57,'[1]1_group_totals'!$I$8:$I$10000,"="&amp;T57)+SUMIFS('[1]1_group_totals'!$P$8:$P$10000,'[1]1_group_totals'!$C$8:$C$10000,I57,'[1]1_group_totals'!$F$8:$F$10000,adj_location_group_id,'[1]1_group_totals'!$G$8:$G$10000,MID(N57,1,3)*1,'[1]1_group_totals'!$H$8:$H$10000,"="&amp;S57,'[1]1_group_totals'!$I$8:$I$10000,"="&amp;T57)+SUMIFS('[1]1_group_totals'!$Q$8:$Q$10000,'[1]1_group_totals'!$C$8:$C$10000,I57,'[1]1_group_totals'!$F$8:$F$10000,adj_location_group_id,'[1]1_group_totals'!$G$8:$G$10000,MID(N57,1,3)*1,'[1]1_group_totals'!$H$8:$H$10000,"="&amp;S57,'[1]1_group_totals'!$I$8:$I$10000,"="&amp;T57))+(SUMIFS('[1]1_group_totals'!$L$8:$L$10000,'[1]1_group_totals'!$C$8:$C$10000,I57,'[1]1_group_totals'!$F$8:$F$10000,adj_location_group_id,'[1]1_group_totals'!$G$8:$G$10000,MID(N57,1,3)*1,'[1]1_group_totals'!$H$8:$H$10000,"="&amp;S57,'[1]1_group_totals'!$I$8:$I$10000,"="&amp;T57)+SUMIFS('[1]1_group_totals'!$M$8:$M$10000,'[1]1_group_totals'!$C$8:$C$10000,I57,'[1]1_group_totals'!$F$8:$F$10000,adj_location_group_id,'[1]1_group_totals'!$G$8:$G$10000,MID(N57,1,3)*1,'[1]1_group_totals'!$H$8:$H$10000,"="&amp;S57,'[1]1_group_totals'!$I$8:$I$10000,"="&amp;T57)+SUMIFS('[1]1_group_totals'!$O$8:$O$10000,'[1]1_group_totals'!$C$8:$C$10000,I57,'[1]1_group_totals'!$F$8:$F$10000,adj_location_group_id,'[1]1_group_totals'!$G$8:$G$10000,MID(N57,1,3)*1,'[1]1_group_totals'!$H$8:$H$10000,"="&amp;S57,'[1]1_group_totals'!$I$8:$I$10000,"="&amp;T57)+SUMIFS('[1]1_group_totals'!$R$8:$R$10000,'[1]1_group_totals'!$C$8:$C$10000,I57,'[1]1_group_totals'!$F$8:$F$10000,adj_location_group_id,'[1]1_group_totals'!$G$8:$G$10000,MID(N57,1,3)*1,'[1]1_group_totals'!$H$8:$H$10000,"="&amp;S57,'[1]1_group_totals'!$I$8:$I$10000,"="&amp;T57)))</f>
        <v/>
      </c>
      <c r="AN57" s="270" t="str">
        <f>IF(L57="","",(SUMIFS('[1]1_inventory_totals'!$I$8:$I$10000,'[1]1_inventory_totals'!$C$8:$C$10000,I57,'[1]1_inventory_totals'!$F$8:$F$10000,"="&amp;S57,'[1]1_inventory_totals'!$G$8:$G$10000,"="&amp;T57)+SUMIFS('[1]1_inventory_totals'!$N$8:$N$10000,'[1]1_inventory_totals'!$C$8:$C$10000,I57,'[1]1_inventory_totals'!$F$8:$F$10000,"="&amp;S57,'[1]1_inventory_totals'!$G$8:$G$10000,"="&amp;T57)+SUMIFS('[1]1_inventory_totals'!$P$8:$P$10000,'[1]1_inventory_totals'!$C$8:$C$10000,I57,'[1]1_inventory_totals'!$F$8:$F$10000,"="&amp;S57,'[1]1_inventory_totals'!$G$8:$G$10000,"="&amp;T57)+SUMIFS('[1]1_inventory_totals'!$Q$8:$Q$10000,'[1]1_inventory_totals'!$C$8:$C$10000,I57,'[1]1_inventory_totals'!$F$8:$F$10000,"="&amp;S57,'[1]1_inventory_totals'!$G$8:$G$10000,"="&amp;T57)+SUMIFS('[1]1_inventory_totals'!$R$8:$R$10000,'[1]1_inventory_totals'!$C$8:$C$10000,I57,'[1]1_inventory_totals'!$F$8:$F$10000,"="&amp;S57,'[1]1_inventory_totals'!$G$8:$G$10000,"="&amp;T57))+(SUMIFS('[1]1_inventory_totals'!$J$8:$J$10000,'[1]1_inventory_totals'!$C$8:$C$10000,I57,'[1]1_inventory_totals'!$F$8:$F$10000,"="&amp;S57,'[1]1_inventory_totals'!$G$8:$G$10000,"="&amp;T57)+SUMIFS('[1]1_inventory_totals'!$K$8:$K$10000,'[1]1_inventory_totals'!$C$8:$C$10000,I57,'[1]1_inventory_totals'!$F$8:$F$10000,"="&amp;S57,'[1]1_inventory_totals'!$G$8:$G$10000,"="&amp;T57)+SUMIFS('[1]1_inventory_totals'!$L$8:$L$10000,'[1]1_inventory_totals'!$C$8:$C$10000,I57,'[1]1_inventory_totals'!$F$8:$F$10000,"="&amp;S57,'[1]1_inventory_totals'!$G$8:$G$10000,"="&amp;T57)+SUMIFS('[1]1_inventory_totals'!$M$8:$M$10000,'[1]1_inventory_totals'!$C$8:$C$10000,I57,'[1]1_inventory_totals'!$F$8:$F$10000,"="&amp;S57,'[1]1_inventory_totals'!$G$8:$G$10000,"="&amp;T57)+SUMIFS('[1]1_inventory_totals'!$O$8:$O$10000,'[1]1_inventory_totals'!$C$8:$C$10000,I57,'[1]1_inventory_totals'!$F$8:$F$10000,"="&amp;S57,'[1]1_inventory_totals'!$G$8:$G$10000,"="&amp;T57)+SUMIFS('[1]1_inventory_totals'!$S$8:$S$10000,'[1]1_inventory_totals'!$C$8:$C$10000,I57,'[1]1_inventory_totals'!$F$8:$F$10000,"="&amp;S57,'[1]1_inventory_totals'!$G$8:$G$10000,"="&amp;T57)))</f>
        <v/>
      </c>
      <c r="AO57" s="270" t="str">
        <f>IF(L57="","",(SUMIFS('[1]2_inventory_totals'!$I$8:$I$10000,'[1]2_inventory_totals'!$C$8:$C$10000,I57,'[1]2_inventory_totals'!$F$8:$F$10000,"="&amp;S57,'[1]2_inventory_totals'!$G$8:$G$10000,"="&amp;T57)+SUMIFS('[1]2_inventory_totals'!$N$8:$N$10000,'[1]2_inventory_totals'!$C$8:$C$10000,I57,'[1]2_inventory_totals'!$F$8:$F$10000,"="&amp;S57,'[1]2_inventory_totals'!$G$8:$G$10000,"="&amp;T57)+SUMIFS('[1]2_inventory_totals'!$P$8:$P$10000,'[1]2_inventory_totals'!$C$8:$C$10000,I57,'[1]2_inventory_totals'!$F$8:$F$10000,"="&amp;S57,'[1]2_inventory_totals'!$G$8:$G$10000,"="&amp;T57)+SUMIFS('[1]2_inventory_totals'!$Q$8:$Q$10000,'[1]2_inventory_totals'!$C$8:$C$10000,I57,'[1]2_inventory_totals'!$F$8:$F$10000,"="&amp;S57,'[1]2_inventory_totals'!$G$8:$G$10000,"="&amp;T57)+SUMIFS('[1]2_inventory_totals'!$R$8:$R$10000,'[1]2_inventory_totals'!$C$8:$C$10000,I57,'[1]2_inventory_totals'!$F$8:$F$10000,"="&amp;S57,'[1]2_inventory_totals'!$G$8:$G$10000,"="&amp;T57))+(SUMIFS('[1]2_inventory_totals'!$J$8:$J$10000,'[1]2_inventory_totals'!$C$8:$C$10000,I57,'[1]2_inventory_totals'!$F$8:$F$10000,"="&amp;S57,'[1]2_inventory_totals'!$G$8:$G$10000,"="&amp;T57)+SUMIFS('[1]2_inventory_totals'!$K$8:$K$10000,'[1]2_inventory_totals'!$C$8:$C$10000,I57,'[1]2_inventory_totals'!$F$8:$F$10000,"="&amp;S57,'[1]2_inventory_totals'!$G$8:$G$10000,"="&amp;T57)+SUMIFS('[1]2_inventory_totals'!$L$8:$L$10000,'[1]2_inventory_totals'!$C$8:$C$10000,I57,'[1]2_inventory_totals'!$F$8:$F$10000,"="&amp;S57,'[1]2_inventory_totals'!$G$8:$G$10000,"="&amp;T57)+SUMIFS('[1]2_inventory_totals'!$M$8:$M$10000,'[1]2_inventory_totals'!$C$8:$C$10000,I57,'[1]2_inventory_totals'!$F$8:$F$10000,"="&amp;S57,'[1]2_inventory_totals'!$G$8:$G$10000,"="&amp;T57)+SUMIFS('[1]2_inventory_totals'!$O$8:$O$10000,'[1]2_inventory_totals'!$C$8:$C$10000,I57,'[1]2_inventory_totals'!$F$8:$F$10000,"="&amp;S57,'[1]2_inventory_totals'!$G$8:$G$10000,"="&amp;T57)+SUMIFS('[1]2_inventory_totals'!$S$8:$S$10000,'[1]2_inventory_totals'!$C$8:$C$10000,I57,'[1]2_inventory_totals'!$F$8:$F$10000,"="&amp;S57,'[1]2_inventory_totals'!$G$8:$G$10000,"="&amp;T57)))</f>
        <v/>
      </c>
      <c r="AP57" s="954"/>
    </row>
    <row r="58" spans="1:42" ht="27" customHeight="1">
      <c r="A58" s="923"/>
      <c r="B58" s="1178"/>
      <c r="C58" s="950"/>
      <c r="D58" s="950"/>
      <c r="E58" s="950"/>
      <c r="F58" s="1199"/>
      <c r="G58" s="941"/>
      <c r="H58" s="1070"/>
      <c r="I58" s="1610" t="str">
        <f t="shared" si="5"/>
        <v/>
      </c>
      <c r="J58" s="270" t="str">
        <f t="shared" si="6"/>
        <v/>
      </c>
      <c r="K58" s="813" t="str">
        <f t="shared" si="16"/>
        <v/>
      </c>
      <c r="L58" s="1184"/>
      <c r="M58" s="1185"/>
      <c r="N58" s="1186"/>
      <c r="O58" s="1534"/>
      <c r="P58" s="336" t="str">
        <f t="shared" si="17"/>
        <v/>
      </c>
      <c r="Q58" s="336" t="str">
        <f>IF(L58="","",IF(AD58=0,0,(SUMIFS('[1]1_group_total_details'!$I$8:$I$10000,'[1]1_group_total_details'!$C$8:$C$10000,I58,'[1]1_group_total_details'!$F$8:$F$10000,adj_location_group_id,'[1]1_group_total_details'!$G$8:$G$10000,MID(N58,1,3)*1,'[1]1_group_total_details'!$H$8:$H$10000,"&lt;="&amp;adj_date)+SUMIFS('[1]1_group_total_details'!$L$8:$L$10000,'[1]1_group_total_details'!$C$8:$C$10000,I58,'[1]1_group_total_details'!$F$8:$F$10000,adj_location_group_id,'[1]1_group_total_details'!$G$8:$G$10000,MID(N58,1,3)*1,'[1]1_group_total_details'!$H$8:$H$10000,"&lt;="&amp;adj_date)+SUMIFS('[1]1_group_total_details'!$N$8:$N$10000,'[1]1_group_total_details'!$C$8:$C$10000,I58,'[1]1_group_total_details'!$F$8:$F$10000,adj_location_group_id,'[1]1_group_total_details'!$G$8:$G$10000,MID(N58,1,3)*1,'[1]1_group_total_details'!$H$8:$H$10000,"&lt;="&amp;adj_date)+SUMIFS('[1]1_group_total_details'!$O$8:$O$10000,'[1]1_group_total_details'!$C$8:$C$10000,I58,'[1]1_group_total_details'!$F$8:$F$10000,adj_location_group_id,'[1]1_group_total_details'!$G$8:$G$10000,MID(N58,1,3)*1,'[1]1_group_total_details'!$H$8:$H$10000,"&lt;="&amp;adj_date))-(SUMIFS('[1]1_group_total_details'!$J$8:$J$10000,'[1]1_group_total_details'!$C$8:$C$10000,I58,'[1]1_group_total_details'!$F$8:$F$10000,adj_location_group_id,'[1]1_group_total_details'!$G$8:$G$10000,MID(N58,1,3)*1,'[1]1_group_total_details'!$H$8:$H$10000,"&lt;="&amp;adj_date)+SUMIFS('[1]1_group_total_details'!$K$8:$K$10000,'[1]1_group_total_details'!$C$8:$C$10000,I58,'[1]1_group_total_details'!$F$8:$F$10000,adj_location_group_id,'[1]1_group_total_details'!$G$8:$G$10000,MID(N58,1,3)*1,'[1]1_group_total_details'!$H$8:$H$10000,"&lt;="&amp;adj_date)+SUMIFS('[1]1_group_total_details'!$M$8:$M$10000,'[1]1_group_total_details'!$C$8:$C$10000,I58,'[1]1_group_total_details'!$F$8:$F$10000,adj_location_group_id,'[1]1_group_total_details'!$G$8:$G$10000,MID(N58,1,3)*1,'[1]1_group_total_details'!$H$8:$H$10000,"&lt;="&amp;adj_date)+SUMIFS('[1]1_group_total_details'!$P$8:$P$10000,'[1]1_group_total_details'!$C$8:$C$10000,I58,'[1]1_group_total_details'!$F$8:$F$10000,adj_location_group_id,'[1]1_group_total_details'!$G$8:$G$10000,MID(N58,1,3)*1,'[1]1_group_total_details'!$H$8:$H$10000,"&lt;="&amp;adj_date))))</f>
        <v/>
      </c>
      <c r="R58" s="1187"/>
      <c r="S58" s="1186"/>
      <c r="T58" s="1186"/>
      <c r="U58" s="1184"/>
      <c r="V58" s="270" t="str" cm="1">
        <f t="array" ref="V58">IF(L58="","",IF(M58=AE58,1,Slookup(MID(AE58,1,3)*1,UomConversion!$D$8:$J$500,5,UomConversion!$E$8:$E$500,MID(M58,1,3)*1,UomConversion!$J$8:$J$500,1)))</f>
        <v/>
      </c>
      <c r="W58" s="270" t="str">
        <f t="shared" si="8"/>
        <v/>
      </c>
      <c r="X58" s="1795" t="str">
        <f t="shared" si="9"/>
        <v/>
      </c>
      <c r="Y58" s="1795" t="str">
        <f t="shared" si="10"/>
        <v/>
      </c>
      <c r="Z58" s="270" t="str">
        <f>IF(I58="","",IF(ISNA(MATCH(I58,IF(MID(N58,1,3)*1=1,'[1]1_inventory_totals'!$C$8:$C$10000,IF(MID(N58,1,3)*1=2,'[1]2_inventory_totals'!$C$8:$C$10000,"")),0)),0,IF(AL58&gt;0,1,0)))</f>
        <v/>
      </c>
      <c r="AA58" s="270" t="str">
        <f>IF(L58="","",IF(MID(N58,1,3)*1=1,SUMIFS('[1]1_inventory_total_details'!$J$8:$J$10000,'[1]1_inventory_total_details'!$C$8:$C$10000,I58,'[1]1_inventory_total_details'!$F$8:$F$10000,MID(N58,1,3)*1,'[1]1_inventory_total_details'!$G$8:$G$10000,"="&amp;S58,'[1]1_inventory_total_details'!$H$8:$H$10000,"="&amp;T58,'[1]1_inventory_total_details'!$I$8:$I$10000,"="&amp;adj_date)+SUMIFS('[1]1_inventory_total_details'!$M$8:$M$10000,'[1]1_inventory_total_details'!$C$8:$C$10000,I58,'[1]1_inventory_total_details'!$F$8:$F$10000,MID(N58,1,3)*1,'[1]1_inventory_total_details'!$G$8:$G$10000,"="&amp;S58,'[1]1_inventory_total_details'!$H$8:$H$10000,"="&amp;T58,'[1]1_inventory_total_details'!$I$8:$I$10000,"="&amp;adj_date)+SUMIFS('[1]1_inventory_total_details'!$K$8:$K$10000,'[1]1_inventory_total_details'!$C$8:$C$10000,I58,'[1]1_inventory_total_details'!$F$8:$F$10000,MID(N58,1,3)*1,'[1]1_inventory_total_details'!$G$8:$G$10000,"="&amp;S58,'[1]1_inventory_total_details'!$H$8:$H$10000,"="&amp;T58,'[1]1_inventory_total_details'!$I$8:$I$10000,"="&amp;adj_date)+SUMIFS('[1]1_inventory_total_details'!$L$8:$L$10000,'[1]1_inventory_total_details'!$C$8:$C$10000,I58,'[1]1_inventory_total_details'!$F$8:$F$10000,MID(N58,1,3)*1,'[1]1_inventory_total_details'!$G$8:$G$10000,"="&amp;S58,'[1]1_inventory_total_details'!$H$8:$H$10000,"="&amp;T58,'[1]1_inventory_total_details'!$I$8:$I$10000,"="&amp;adj_date),SUMIFS('[1]2_inventory_total_details'!$J$8:$J$10000,'[1]2_inventory_total_details'!$C$8:$C$10000,I58,'[1]2_inventory_total_details'!$F$8:$F$10000,MID(N58,1,3)*1,'[1]2_inventory_total_details'!$G$8:$G$10000,"="&amp;S58,'[1]2_inventory_total_details'!$H$8:$H$10000,"="&amp;T58,'[1]2_inventory_total_details'!$I$8:$I$10000,"="&amp;adj_date)+SUMIFS('[1]2_inventory_total_details'!$M$8:$M$10000,'[1]1_inventory_total_details'!$C$8:$C$10000,I58,'[1]2_inventory_total_details'!$F$8:$F$10000,MID(N58,1,3)*1,'[1]2_inventory_total_details'!$G$8:$G$10000,"="&amp;S58,'[1]2_inventory_total_details'!$H$8:$H$10000,"="&amp;T58,'[1]2_inventory_total_details'!$I$8:$I$10000,"="&amp;adj_date)+SUMIFS('[1]2_inventory_total_details'!$K$8:$K$10000,'[1]2_inventory_total_details'!$C$8:$C$10000,I58,'[1]2_inventory_total_details'!$F$8:$F$10000,MID(N58,1,3)*1,'[1]2_inventory_total_details'!$G$8:$G$10000,"="&amp;S58,'[1]2_inventory_total_details'!$H$8:$H$10000,"="&amp;T58,'[1]2_inventory_total_details'!$I$8:$I$10000,"="&amp;adj_date)+SUMIFS('[1]2_inventory_total_details'!$L$8:$L$10000,'[1]2_inventory_total_details'!$C$8:$C$10000,I58,'[1]2_inventory_total_details'!$F$8:$F$10000,MID(N58,1,3)*1,'[1]2_inventory_total_details'!$G$8:$G$10000,"="&amp;S58,'[1]2_inventory_total_details'!$H$8:$H$10000,"="&amp;T58,'[1]2_inventory_total_details'!$I$8:$I$10000,"="&amp;adj_date)))</f>
        <v/>
      </c>
      <c r="AB58" s="270" t="str">
        <f>IF(L58="","",IF(MID(N58,1,3)*1=1,SUMIFS('[1]1_inventory_total_details'!$J$8:$J$10000,'[1]1_inventory_total_details'!$C$8:$C$10000,I58,'[1]1_inventory_total_details'!$F$8:$F$10000,MID(N58,1,3)*1,'[1]1_inventory_total_details'!$G$8:$G$10000,"="&amp;S58,'[1]1_inventory_total_details'!$H$8:$H$10000,"="&amp;T58,'[1]1_inventory_total_details'!$I$8:$I$10000,"="&amp;adj_date)+SUMIFS('[1]1_inventory_total_details'!$M$8:$M$10000,'[1]1_inventory_total_details'!$C$8:$C$10000,I58,'[1]1_inventory_total_details'!$F$8:$F$10000,MID(N58,1,3)*1,'[1]1_inventory_total_details'!$G$8:$G$10000,"="&amp;S58,'[1]1_inventory_total_details'!$H$8:$H$10000,"="&amp;T58,'[1]1_inventory_total_details'!$I$8:$I$10000,"="&amp;adj_date)+SUMIFS('[1]1_inventory_total_details'!$K$8:$K$10000,'[1]1_inventory_total_details'!$C$8:$C$10000,I58,'[1]1_inventory_total_details'!$F$8:$F$10000,MID(N58,1,3)*1,'[1]1_inventory_total_details'!$G$8:$G$10000,"="&amp;S58,'[1]1_inventory_total_details'!$H$8:$H$10000,"="&amp;T58,'[1]1_inventory_total_details'!$I$8:$I$10000,"="&amp;adj_date)+SUMIFS('[1]1_inventory_total_details'!$L$8:$L$10000,'[1]1_inventory_total_details'!$C$8:$C$10000,I58,'[1]1_inventory_total_details'!$F$8:$F$10000,MID(N58,1,3)*1,'[1]1_inventory_total_details'!$G$8:$G$10000,"="&amp;S58,'[1]1_inventory_total_details'!$H$8:$H$10000,"="&amp;T58,'[1]1_inventory_total_details'!$I$8:$I$10000,"="&amp;adj_date),SUMIFS('[1]2_inventory_total_details'!$J$8:$J$10000,'[1]2_inventory_total_details'!$C$8:$C$10000,I58,'[1]2_inventory_total_details'!$F$8:$F$10000,MID(N58,1,3)*1,'[1]2_inventory_total_details'!$G$8:$G$10000,"="&amp;S58,'[1]2_inventory_total_details'!$H$8:$H$10000,"="&amp;T58,'[1]2_inventory_total_details'!$I$8:$I$10000,"="&amp;adj_date)+SUMIFS('[1]2_inventory_total_details'!$M$8:$M$10000,'[1]1_inventory_total_details'!$C$8:$C$10000,I58,'[1]2_inventory_total_details'!$F$8:$F$10000,MID(N58,1,3)*1,'[1]2_inventory_total_details'!$G$8:$G$10000,"="&amp;S58,'[1]2_inventory_total_details'!$H$8:$H$10000,"="&amp;T58,'[1]2_inventory_total_details'!$I$8:$I$10000,"="&amp;adj_date)+SUMIFS('[1]2_inventory_total_details'!$K$8:$K$10000,'[1]2_inventory_total_details'!$C$8:$C$10000,I58,'[1]2_inventory_total_details'!$F$8:$F$10000,MID(N58,1,3)*1,'[1]2_inventory_total_details'!$G$8:$G$10000,"="&amp;S58,'[1]2_inventory_total_details'!$H$8:$H$10000,"="&amp;T58,'[1]2_inventory_total_details'!$I$8:$I$10000,"="&amp;adj_date)+SUMIFS('[1]2_inventory_total_details'!$L$8:$L$10000,'[1]2_inventory_total_details'!$C$8:$C$10000,I58,'[1]2_inventory_total_details'!$F$8:$F$10000,MID(N58,1,3)*1,'[1]2_inventory_total_details'!$G$8:$G$10000,"="&amp;S58,'[1]2_inventory_total_details'!$H$8:$H$10000,"="&amp;T58,'[1]2_inventory_total_details'!$I$8:$I$10000,"="&amp;adj_date)))</f>
        <v/>
      </c>
      <c r="AC58" s="270" t="str">
        <f>IF(L58="","",IF(MID(N58,1,3)*1=1,SUMIFS('[1]1_inventory_total_details'!$J$8:$J$10000,'[1]1_inventory_total_details'!$C$8:$C$10000,I58,'[1]1_inventory_total_details'!$F$8:$F$10000,MID(N58,1,3)*1,'[1]1_inventory_total_details'!$G$8:$G$10000,"="&amp;S58,'[1]1_inventory_total_details'!$H$8:$H$10000,"="&amp;T58,'[1]1_inventory_total_details'!$I$8:$I$10000,"="&amp;adj_date)+SUMIFS('[1]1_inventory_total_details'!$M$8:$M$10000,'[1]1_inventory_total_details'!$C$8:$C$10000,I58,'[1]1_inventory_total_details'!$F$8:$F$10000,MID(N58,1,3)*1,'[1]1_inventory_total_details'!$G$8:$G$10000,"="&amp;S58,'[1]1_inventory_total_details'!$H$8:$H$10000,"="&amp;T58,'[1]1_inventory_total_details'!$I$8:$I$10000,"="&amp;adj_date)+SUMIFS('[1]1_inventory_total_details'!$K$8:$K$10000,'[1]1_inventory_total_details'!$C$8:$C$10000,I58,'[1]1_inventory_total_details'!$F$8:$F$10000,MID(N58,1,3)*1,'[1]1_inventory_total_details'!$G$8:$G$10000,"="&amp;S58,'[1]1_inventory_total_details'!$H$8:$H$10000,"="&amp;T58,'[1]1_inventory_total_details'!$I$8:$I$10000,"="&amp;adj_date)+SUMIFS('[1]1_inventory_total_details'!$L$8:$L$10000,'[1]1_inventory_total_details'!$C$8:$C$10000,I58,'[1]1_inventory_total_details'!$F$8:$F$10000,MID(N58,1,3)*1,'[1]1_inventory_total_details'!$G$8:$G$10000,"="&amp;S58,'[1]1_inventory_total_details'!$H$8:$H$10000,"="&amp;T58,'[1]1_inventory_total_details'!$I$8:$I$10000,"="&amp;adj_date),SUMIFS('[1]2_inventory_total_details'!$J$8:$J$10000,'[1]2_inventory_total_details'!$C$8:$C$10000,I58,'[1]2_inventory_total_details'!$F$8:$F$10000,MID(N58,1,3)*1,'[1]2_inventory_total_details'!$G$8:$G$10000,"="&amp;S58,'[1]2_inventory_total_details'!$H$8:$H$10000,"="&amp;T58,'[1]2_inventory_total_details'!$I$8:$I$10000,"="&amp;adj_date)+SUMIFS('[1]2_inventory_total_details'!$M$8:$M$10000,'[1]1_inventory_total_details'!$C$8:$C$10000,I58,'[1]2_inventory_total_details'!$F$8:$F$10000,MID(N58,1,3)*1,'[1]2_inventory_total_details'!$G$8:$G$10000,"="&amp;S58,'[1]2_inventory_total_details'!$H$8:$H$10000,"="&amp;T58,'[1]2_inventory_total_details'!$I$8:$I$10000,"="&amp;adj_date)+SUMIFS('[1]2_inventory_total_details'!$K$8:$K$10000,'[1]2_inventory_total_details'!$C$8:$C$10000,I58,'[1]2_inventory_total_details'!$F$8:$F$10000,MID(N58,1,3)*1,'[1]2_inventory_total_details'!$G$8:$G$10000,"="&amp;S58,'[1]2_inventory_total_details'!$H$8:$H$10000,"="&amp;T58,'[1]2_inventory_total_details'!$I$8:$I$10000,"="&amp;adj_date)+SUMIFS('[1]2_inventory_total_details'!$L$8:$L$10000,'[1]2_inventory_total_details'!$C$8:$C$10000,I58,'[1]2_inventory_total_details'!$F$8:$F$10000,MID(N58,1,3)*1,'[1]2_inventory_total_details'!$G$8:$G$10000,"="&amp;S58,'[1]2_inventory_total_details'!$H$8:$H$10000,"="&amp;T58,'[1]2_inventory_total_details'!$I$8:$I$10000,"="&amp;adj_date)))</f>
        <v/>
      </c>
      <c r="AD58" s="270" t="str">
        <f>IF(L58="","",SUMIFS('[1]1_group_totals'!$J$8:$J$10000,'[1]1_group_totals'!$C$8:$C$10000,I58,'[1]1_group_totals'!$F$8:$F$10000,adj_location_group_id,'[1]1_group_totals'!$G$8:$G$10000,MID(N58,1,3)*1,'[1]1_group_totals'!$H$8:$H$10000,"="&amp;S58,'[1]1_group_totals'!$I$8:$I$10000,"="&amp;T58))</f>
        <v/>
      </c>
      <c r="AE58" s="1796" t="str">
        <f t="shared" si="11"/>
        <v/>
      </c>
      <c r="AF58" s="1797" t="str">
        <f>IF(ISNA(MATCH(MID(AE58,1,3)*1,UomConversion!$D$8:$D$500,0)),"",IF(AJ58&lt;&gt;"",AJ58,""))</f>
        <v/>
      </c>
      <c r="AG58" s="1797" t="str">
        <f>IF(AND(AH58&gt;0,COUNTIFS(UomConversion!$D$8:$D$500,MID(AE58,1,3)*1,UomConversion!$J$8:$J$500,1)&gt;1),TEXT(AH58,"000")&amp;"."&amp;VLOOKUP(AH58,uom_list,5,FALSE),"")</f>
        <v/>
      </c>
      <c r="AH58" s="270" t="str">
        <f t="shared" si="12"/>
        <v/>
      </c>
      <c r="AI58" s="270" t="str">
        <f t="shared" si="13"/>
        <v/>
      </c>
      <c r="AJ58" s="270" t="str">
        <f t="shared" si="14"/>
        <v/>
      </c>
      <c r="AK58" s="270" t="str" cm="1">
        <f t="array" ref="AK58">IF(L58="","",Slookup(MID(AE58,1,3)*1,UomConversion!$D$8:$J$500,2,UomConversion!$I$8:$I$500,1,UomConversion!$J$8:$J$500,1))</f>
        <v/>
      </c>
      <c r="AL58" s="270" t="str">
        <f t="shared" si="15"/>
        <v/>
      </c>
      <c r="AM58" s="270" t="str">
        <f>IF(L58="","",(SUMIFS('[1]1_group_totals'!$K$8:$K$10000,'[1]1_group_totals'!$C$8:$C$10000,I58,'[1]1_group_totals'!$F$8:$F$10000,adj_location_group_id,'[1]1_group_totals'!$G$8:$G$10000,MID(N58,1,3)*1,'[1]1_group_totals'!$H$8:$H$10000,"="&amp;S58,'[1]1_group_totals'!$I$8:$I$10000,"="&amp;T58)+SUMIFS('[1]1_group_totals'!$N$8:$N$10000,'[1]1_group_totals'!$C$8:$C$10000,I58,'[1]1_group_totals'!$F$8:$F$10000,adj_location_group_id,'[1]1_group_totals'!$G$8:$G$10000,MID(N58,1,3)*1,'[1]1_group_totals'!$H$8:$H$10000,"="&amp;S58,'[1]1_group_totals'!$I$8:$I$10000,"="&amp;T58)+SUMIFS('[1]1_group_totals'!$P$8:$P$10000,'[1]1_group_totals'!$C$8:$C$10000,I58,'[1]1_group_totals'!$F$8:$F$10000,adj_location_group_id,'[1]1_group_totals'!$G$8:$G$10000,MID(N58,1,3)*1,'[1]1_group_totals'!$H$8:$H$10000,"="&amp;S58,'[1]1_group_totals'!$I$8:$I$10000,"="&amp;T58)+SUMIFS('[1]1_group_totals'!$Q$8:$Q$10000,'[1]1_group_totals'!$C$8:$C$10000,I58,'[1]1_group_totals'!$F$8:$F$10000,adj_location_group_id,'[1]1_group_totals'!$G$8:$G$10000,MID(N58,1,3)*1,'[1]1_group_totals'!$H$8:$H$10000,"="&amp;S58,'[1]1_group_totals'!$I$8:$I$10000,"="&amp;T58))+(SUMIFS('[1]1_group_totals'!$L$8:$L$10000,'[1]1_group_totals'!$C$8:$C$10000,I58,'[1]1_group_totals'!$F$8:$F$10000,adj_location_group_id,'[1]1_group_totals'!$G$8:$G$10000,MID(N58,1,3)*1,'[1]1_group_totals'!$H$8:$H$10000,"="&amp;S58,'[1]1_group_totals'!$I$8:$I$10000,"="&amp;T58)+SUMIFS('[1]1_group_totals'!$M$8:$M$10000,'[1]1_group_totals'!$C$8:$C$10000,I58,'[1]1_group_totals'!$F$8:$F$10000,adj_location_group_id,'[1]1_group_totals'!$G$8:$G$10000,MID(N58,1,3)*1,'[1]1_group_totals'!$H$8:$H$10000,"="&amp;S58,'[1]1_group_totals'!$I$8:$I$10000,"="&amp;T58)+SUMIFS('[1]1_group_totals'!$O$8:$O$10000,'[1]1_group_totals'!$C$8:$C$10000,I58,'[1]1_group_totals'!$F$8:$F$10000,adj_location_group_id,'[1]1_group_totals'!$G$8:$G$10000,MID(N58,1,3)*1,'[1]1_group_totals'!$H$8:$H$10000,"="&amp;S58,'[1]1_group_totals'!$I$8:$I$10000,"="&amp;T58)+SUMIFS('[1]1_group_totals'!$R$8:$R$10000,'[1]1_group_totals'!$C$8:$C$10000,I58,'[1]1_group_totals'!$F$8:$F$10000,adj_location_group_id,'[1]1_group_totals'!$G$8:$G$10000,MID(N58,1,3)*1,'[1]1_group_totals'!$H$8:$H$10000,"="&amp;S58,'[1]1_group_totals'!$I$8:$I$10000,"="&amp;T58)))</f>
        <v/>
      </c>
      <c r="AN58" s="270" t="str">
        <f>IF(L58="","",(SUMIFS('[1]1_inventory_totals'!$I$8:$I$10000,'[1]1_inventory_totals'!$C$8:$C$10000,I58,'[1]1_inventory_totals'!$F$8:$F$10000,"="&amp;S58,'[1]1_inventory_totals'!$G$8:$G$10000,"="&amp;T58)+SUMIFS('[1]1_inventory_totals'!$N$8:$N$10000,'[1]1_inventory_totals'!$C$8:$C$10000,I58,'[1]1_inventory_totals'!$F$8:$F$10000,"="&amp;S58,'[1]1_inventory_totals'!$G$8:$G$10000,"="&amp;T58)+SUMIFS('[1]1_inventory_totals'!$P$8:$P$10000,'[1]1_inventory_totals'!$C$8:$C$10000,I58,'[1]1_inventory_totals'!$F$8:$F$10000,"="&amp;S58,'[1]1_inventory_totals'!$G$8:$G$10000,"="&amp;T58)+SUMIFS('[1]1_inventory_totals'!$Q$8:$Q$10000,'[1]1_inventory_totals'!$C$8:$C$10000,I58,'[1]1_inventory_totals'!$F$8:$F$10000,"="&amp;S58,'[1]1_inventory_totals'!$G$8:$G$10000,"="&amp;T58)+SUMIFS('[1]1_inventory_totals'!$R$8:$R$10000,'[1]1_inventory_totals'!$C$8:$C$10000,I58,'[1]1_inventory_totals'!$F$8:$F$10000,"="&amp;S58,'[1]1_inventory_totals'!$G$8:$G$10000,"="&amp;T58))+(SUMIFS('[1]1_inventory_totals'!$J$8:$J$10000,'[1]1_inventory_totals'!$C$8:$C$10000,I58,'[1]1_inventory_totals'!$F$8:$F$10000,"="&amp;S58,'[1]1_inventory_totals'!$G$8:$G$10000,"="&amp;T58)+SUMIFS('[1]1_inventory_totals'!$K$8:$K$10000,'[1]1_inventory_totals'!$C$8:$C$10000,I58,'[1]1_inventory_totals'!$F$8:$F$10000,"="&amp;S58,'[1]1_inventory_totals'!$G$8:$G$10000,"="&amp;T58)+SUMIFS('[1]1_inventory_totals'!$L$8:$L$10000,'[1]1_inventory_totals'!$C$8:$C$10000,I58,'[1]1_inventory_totals'!$F$8:$F$10000,"="&amp;S58,'[1]1_inventory_totals'!$G$8:$G$10000,"="&amp;T58)+SUMIFS('[1]1_inventory_totals'!$M$8:$M$10000,'[1]1_inventory_totals'!$C$8:$C$10000,I58,'[1]1_inventory_totals'!$F$8:$F$10000,"="&amp;S58,'[1]1_inventory_totals'!$G$8:$G$10000,"="&amp;T58)+SUMIFS('[1]1_inventory_totals'!$O$8:$O$10000,'[1]1_inventory_totals'!$C$8:$C$10000,I58,'[1]1_inventory_totals'!$F$8:$F$10000,"="&amp;S58,'[1]1_inventory_totals'!$G$8:$G$10000,"="&amp;T58)+SUMIFS('[1]1_inventory_totals'!$S$8:$S$10000,'[1]1_inventory_totals'!$C$8:$C$10000,I58,'[1]1_inventory_totals'!$F$8:$F$10000,"="&amp;S58,'[1]1_inventory_totals'!$G$8:$G$10000,"="&amp;T58)))</f>
        <v/>
      </c>
      <c r="AO58" s="270" t="str">
        <f>IF(L58="","",(SUMIFS('[1]2_inventory_totals'!$I$8:$I$10000,'[1]2_inventory_totals'!$C$8:$C$10000,I58,'[1]2_inventory_totals'!$F$8:$F$10000,"="&amp;S58,'[1]2_inventory_totals'!$G$8:$G$10000,"="&amp;T58)+SUMIFS('[1]2_inventory_totals'!$N$8:$N$10000,'[1]2_inventory_totals'!$C$8:$C$10000,I58,'[1]2_inventory_totals'!$F$8:$F$10000,"="&amp;S58,'[1]2_inventory_totals'!$G$8:$G$10000,"="&amp;T58)+SUMIFS('[1]2_inventory_totals'!$P$8:$P$10000,'[1]2_inventory_totals'!$C$8:$C$10000,I58,'[1]2_inventory_totals'!$F$8:$F$10000,"="&amp;S58,'[1]2_inventory_totals'!$G$8:$G$10000,"="&amp;T58)+SUMIFS('[1]2_inventory_totals'!$Q$8:$Q$10000,'[1]2_inventory_totals'!$C$8:$C$10000,I58,'[1]2_inventory_totals'!$F$8:$F$10000,"="&amp;S58,'[1]2_inventory_totals'!$G$8:$G$10000,"="&amp;T58)+SUMIFS('[1]2_inventory_totals'!$R$8:$R$10000,'[1]2_inventory_totals'!$C$8:$C$10000,I58,'[1]2_inventory_totals'!$F$8:$F$10000,"="&amp;S58,'[1]2_inventory_totals'!$G$8:$G$10000,"="&amp;T58))+(SUMIFS('[1]2_inventory_totals'!$J$8:$J$10000,'[1]2_inventory_totals'!$C$8:$C$10000,I58,'[1]2_inventory_totals'!$F$8:$F$10000,"="&amp;S58,'[1]2_inventory_totals'!$G$8:$G$10000,"="&amp;T58)+SUMIFS('[1]2_inventory_totals'!$K$8:$K$10000,'[1]2_inventory_totals'!$C$8:$C$10000,I58,'[1]2_inventory_totals'!$F$8:$F$10000,"="&amp;S58,'[1]2_inventory_totals'!$G$8:$G$10000,"="&amp;T58)+SUMIFS('[1]2_inventory_totals'!$L$8:$L$10000,'[1]2_inventory_totals'!$C$8:$C$10000,I58,'[1]2_inventory_totals'!$F$8:$F$10000,"="&amp;S58,'[1]2_inventory_totals'!$G$8:$G$10000,"="&amp;T58)+SUMIFS('[1]2_inventory_totals'!$M$8:$M$10000,'[1]2_inventory_totals'!$C$8:$C$10000,I58,'[1]2_inventory_totals'!$F$8:$F$10000,"="&amp;S58,'[1]2_inventory_totals'!$G$8:$G$10000,"="&amp;T58)+SUMIFS('[1]2_inventory_totals'!$O$8:$O$10000,'[1]2_inventory_totals'!$C$8:$C$10000,I58,'[1]2_inventory_totals'!$F$8:$F$10000,"="&amp;S58,'[1]2_inventory_totals'!$G$8:$G$10000,"="&amp;T58)+SUMIFS('[1]2_inventory_totals'!$S$8:$S$10000,'[1]2_inventory_totals'!$C$8:$C$10000,I58,'[1]2_inventory_totals'!$F$8:$F$10000,"="&amp;S58,'[1]2_inventory_totals'!$G$8:$G$10000,"="&amp;T58)))</f>
        <v/>
      </c>
      <c r="AP58" s="954"/>
    </row>
    <row r="59" spans="1:42" ht="27" customHeight="1">
      <c r="A59" s="923"/>
      <c r="B59" s="1178"/>
      <c r="C59" s="950"/>
      <c r="D59" s="950"/>
      <c r="E59" s="950"/>
      <c r="F59" s="1199"/>
      <c r="G59" s="941"/>
      <c r="H59" s="1070"/>
      <c r="I59" s="1610" t="str">
        <f t="shared" si="5"/>
        <v/>
      </c>
      <c r="J59" s="270" t="str">
        <f t="shared" si="6"/>
        <v/>
      </c>
      <c r="K59" s="813" t="str">
        <f t="shared" si="16"/>
        <v/>
      </c>
      <c r="L59" s="1184"/>
      <c r="M59" s="1185"/>
      <c r="N59" s="1186"/>
      <c r="O59" s="1534"/>
      <c r="P59" s="336" t="str">
        <f t="shared" si="17"/>
        <v/>
      </c>
      <c r="Q59" s="336" t="str">
        <f>IF(L59="","",IF(AD59=0,0,(SUMIFS('[1]1_group_total_details'!$I$8:$I$10000,'[1]1_group_total_details'!$C$8:$C$10000,I59,'[1]1_group_total_details'!$F$8:$F$10000,adj_location_group_id,'[1]1_group_total_details'!$G$8:$G$10000,MID(N59,1,3)*1,'[1]1_group_total_details'!$H$8:$H$10000,"&lt;="&amp;adj_date)+SUMIFS('[1]1_group_total_details'!$L$8:$L$10000,'[1]1_group_total_details'!$C$8:$C$10000,I59,'[1]1_group_total_details'!$F$8:$F$10000,adj_location_group_id,'[1]1_group_total_details'!$G$8:$G$10000,MID(N59,1,3)*1,'[1]1_group_total_details'!$H$8:$H$10000,"&lt;="&amp;adj_date)+SUMIFS('[1]1_group_total_details'!$N$8:$N$10000,'[1]1_group_total_details'!$C$8:$C$10000,I59,'[1]1_group_total_details'!$F$8:$F$10000,adj_location_group_id,'[1]1_group_total_details'!$G$8:$G$10000,MID(N59,1,3)*1,'[1]1_group_total_details'!$H$8:$H$10000,"&lt;="&amp;adj_date)+SUMIFS('[1]1_group_total_details'!$O$8:$O$10000,'[1]1_group_total_details'!$C$8:$C$10000,I59,'[1]1_group_total_details'!$F$8:$F$10000,adj_location_group_id,'[1]1_group_total_details'!$G$8:$G$10000,MID(N59,1,3)*1,'[1]1_group_total_details'!$H$8:$H$10000,"&lt;="&amp;adj_date))-(SUMIFS('[1]1_group_total_details'!$J$8:$J$10000,'[1]1_group_total_details'!$C$8:$C$10000,I59,'[1]1_group_total_details'!$F$8:$F$10000,adj_location_group_id,'[1]1_group_total_details'!$G$8:$G$10000,MID(N59,1,3)*1,'[1]1_group_total_details'!$H$8:$H$10000,"&lt;="&amp;adj_date)+SUMIFS('[1]1_group_total_details'!$K$8:$K$10000,'[1]1_group_total_details'!$C$8:$C$10000,I59,'[1]1_group_total_details'!$F$8:$F$10000,adj_location_group_id,'[1]1_group_total_details'!$G$8:$G$10000,MID(N59,1,3)*1,'[1]1_group_total_details'!$H$8:$H$10000,"&lt;="&amp;adj_date)+SUMIFS('[1]1_group_total_details'!$M$8:$M$10000,'[1]1_group_total_details'!$C$8:$C$10000,I59,'[1]1_group_total_details'!$F$8:$F$10000,adj_location_group_id,'[1]1_group_total_details'!$G$8:$G$10000,MID(N59,1,3)*1,'[1]1_group_total_details'!$H$8:$H$10000,"&lt;="&amp;adj_date)+SUMIFS('[1]1_group_total_details'!$P$8:$P$10000,'[1]1_group_total_details'!$C$8:$C$10000,I59,'[1]1_group_total_details'!$F$8:$F$10000,adj_location_group_id,'[1]1_group_total_details'!$G$8:$G$10000,MID(N59,1,3)*1,'[1]1_group_total_details'!$H$8:$H$10000,"&lt;="&amp;adj_date))))</f>
        <v/>
      </c>
      <c r="R59" s="1187"/>
      <c r="S59" s="1186"/>
      <c r="T59" s="1186"/>
      <c r="U59" s="1184"/>
      <c r="V59" s="270" t="str" cm="1">
        <f t="array" ref="V59">IF(L59="","",IF(M59=AE59,1,Slookup(MID(AE59,1,3)*1,UomConversion!$D$8:$J$500,5,UomConversion!$E$8:$E$500,MID(M59,1,3)*1,UomConversion!$J$8:$J$500,1)))</f>
        <v/>
      </c>
      <c r="W59" s="270" t="str">
        <f t="shared" si="8"/>
        <v/>
      </c>
      <c r="X59" s="1795" t="str">
        <f t="shared" si="9"/>
        <v/>
      </c>
      <c r="Y59" s="1795" t="str">
        <f t="shared" si="10"/>
        <v/>
      </c>
      <c r="Z59" s="270" t="str">
        <f>IF(I59="","",IF(ISNA(MATCH(I59,IF(MID(N59,1,3)*1=1,'[1]1_inventory_totals'!$C$8:$C$10000,IF(MID(N59,1,3)*1=2,'[1]2_inventory_totals'!$C$8:$C$10000,"")),0)),0,IF(AL59&gt;0,1,0)))</f>
        <v/>
      </c>
      <c r="AA59" s="270" t="str">
        <f>IF(L59="","",IF(MID(N59,1,3)*1=1,SUMIFS('[1]1_inventory_total_details'!$J$8:$J$10000,'[1]1_inventory_total_details'!$C$8:$C$10000,I59,'[1]1_inventory_total_details'!$F$8:$F$10000,MID(N59,1,3)*1,'[1]1_inventory_total_details'!$G$8:$G$10000,"="&amp;S59,'[1]1_inventory_total_details'!$H$8:$H$10000,"="&amp;T59,'[1]1_inventory_total_details'!$I$8:$I$10000,"="&amp;adj_date)+SUMIFS('[1]1_inventory_total_details'!$M$8:$M$10000,'[1]1_inventory_total_details'!$C$8:$C$10000,I59,'[1]1_inventory_total_details'!$F$8:$F$10000,MID(N59,1,3)*1,'[1]1_inventory_total_details'!$G$8:$G$10000,"="&amp;S59,'[1]1_inventory_total_details'!$H$8:$H$10000,"="&amp;T59,'[1]1_inventory_total_details'!$I$8:$I$10000,"="&amp;adj_date)+SUMIFS('[1]1_inventory_total_details'!$K$8:$K$10000,'[1]1_inventory_total_details'!$C$8:$C$10000,I59,'[1]1_inventory_total_details'!$F$8:$F$10000,MID(N59,1,3)*1,'[1]1_inventory_total_details'!$G$8:$G$10000,"="&amp;S59,'[1]1_inventory_total_details'!$H$8:$H$10000,"="&amp;T59,'[1]1_inventory_total_details'!$I$8:$I$10000,"="&amp;adj_date)+SUMIFS('[1]1_inventory_total_details'!$L$8:$L$10000,'[1]1_inventory_total_details'!$C$8:$C$10000,I59,'[1]1_inventory_total_details'!$F$8:$F$10000,MID(N59,1,3)*1,'[1]1_inventory_total_details'!$G$8:$G$10000,"="&amp;S59,'[1]1_inventory_total_details'!$H$8:$H$10000,"="&amp;T59,'[1]1_inventory_total_details'!$I$8:$I$10000,"="&amp;adj_date),SUMIFS('[1]2_inventory_total_details'!$J$8:$J$10000,'[1]2_inventory_total_details'!$C$8:$C$10000,I59,'[1]2_inventory_total_details'!$F$8:$F$10000,MID(N59,1,3)*1,'[1]2_inventory_total_details'!$G$8:$G$10000,"="&amp;S59,'[1]2_inventory_total_details'!$H$8:$H$10000,"="&amp;T59,'[1]2_inventory_total_details'!$I$8:$I$10000,"="&amp;adj_date)+SUMIFS('[1]2_inventory_total_details'!$M$8:$M$10000,'[1]1_inventory_total_details'!$C$8:$C$10000,I59,'[1]2_inventory_total_details'!$F$8:$F$10000,MID(N59,1,3)*1,'[1]2_inventory_total_details'!$G$8:$G$10000,"="&amp;S59,'[1]2_inventory_total_details'!$H$8:$H$10000,"="&amp;T59,'[1]2_inventory_total_details'!$I$8:$I$10000,"="&amp;adj_date)+SUMIFS('[1]2_inventory_total_details'!$K$8:$K$10000,'[1]2_inventory_total_details'!$C$8:$C$10000,I59,'[1]2_inventory_total_details'!$F$8:$F$10000,MID(N59,1,3)*1,'[1]2_inventory_total_details'!$G$8:$G$10000,"="&amp;S59,'[1]2_inventory_total_details'!$H$8:$H$10000,"="&amp;T59,'[1]2_inventory_total_details'!$I$8:$I$10000,"="&amp;adj_date)+SUMIFS('[1]2_inventory_total_details'!$L$8:$L$10000,'[1]2_inventory_total_details'!$C$8:$C$10000,I59,'[1]2_inventory_total_details'!$F$8:$F$10000,MID(N59,1,3)*1,'[1]2_inventory_total_details'!$G$8:$G$10000,"="&amp;S59,'[1]2_inventory_total_details'!$H$8:$H$10000,"="&amp;T59,'[1]2_inventory_total_details'!$I$8:$I$10000,"="&amp;adj_date)))</f>
        <v/>
      </c>
      <c r="AB59" s="270" t="str">
        <f>IF(L59="","",IF(MID(N59,1,3)*1=1,SUMIFS('[1]1_inventory_total_details'!$J$8:$J$10000,'[1]1_inventory_total_details'!$C$8:$C$10000,I59,'[1]1_inventory_total_details'!$F$8:$F$10000,MID(N59,1,3)*1,'[1]1_inventory_total_details'!$G$8:$G$10000,"="&amp;S59,'[1]1_inventory_total_details'!$H$8:$H$10000,"="&amp;T59,'[1]1_inventory_total_details'!$I$8:$I$10000,"="&amp;adj_date)+SUMIFS('[1]1_inventory_total_details'!$M$8:$M$10000,'[1]1_inventory_total_details'!$C$8:$C$10000,I59,'[1]1_inventory_total_details'!$F$8:$F$10000,MID(N59,1,3)*1,'[1]1_inventory_total_details'!$G$8:$G$10000,"="&amp;S59,'[1]1_inventory_total_details'!$H$8:$H$10000,"="&amp;T59,'[1]1_inventory_total_details'!$I$8:$I$10000,"="&amp;adj_date)+SUMIFS('[1]1_inventory_total_details'!$K$8:$K$10000,'[1]1_inventory_total_details'!$C$8:$C$10000,I59,'[1]1_inventory_total_details'!$F$8:$F$10000,MID(N59,1,3)*1,'[1]1_inventory_total_details'!$G$8:$G$10000,"="&amp;S59,'[1]1_inventory_total_details'!$H$8:$H$10000,"="&amp;T59,'[1]1_inventory_total_details'!$I$8:$I$10000,"="&amp;adj_date)+SUMIFS('[1]1_inventory_total_details'!$L$8:$L$10000,'[1]1_inventory_total_details'!$C$8:$C$10000,I59,'[1]1_inventory_total_details'!$F$8:$F$10000,MID(N59,1,3)*1,'[1]1_inventory_total_details'!$G$8:$G$10000,"="&amp;S59,'[1]1_inventory_total_details'!$H$8:$H$10000,"="&amp;T59,'[1]1_inventory_total_details'!$I$8:$I$10000,"="&amp;adj_date),SUMIFS('[1]2_inventory_total_details'!$J$8:$J$10000,'[1]2_inventory_total_details'!$C$8:$C$10000,I59,'[1]2_inventory_total_details'!$F$8:$F$10000,MID(N59,1,3)*1,'[1]2_inventory_total_details'!$G$8:$G$10000,"="&amp;S59,'[1]2_inventory_total_details'!$H$8:$H$10000,"="&amp;T59,'[1]2_inventory_total_details'!$I$8:$I$10000,"="&amp;adj_date)+SUMIFS('[1]2_inventory_total_details'!$M$8:$M$10000,'[1]1_inventory_total_details'!$C$8:$C$10000,I59,'[1]2_inventory_total_details'!$F$8:$F$10000,MID(N59,1,3)*1,'[1]2_inventory_total_details'!$G$8:$G$10000,"="&amp;S59,'[1]2_inventory_total_details'!$H$8:$H$10000,"="&amp;T59,'[1]2_inventory_total_details'!$I$8:$I$10000,"="&amp;adj_date)+SUMIFS('[1]2_inventory_total_details'!$K$8:$K$10000,'[1]2_inventory_total_details'!$C$8:$C$10000,I59,'[1]2_inventory_total_details'!$F$8:$F$10000,MID(N59,1,3)*1,'[1]2_inventory_total_details'!$G$8:$G$10000,"="&amp;S59,'[1]2_inventory_total_details'!$H$8:$H$10000,"="&amp;T59,'[1]2_inventory_total_details'!$I$8:$I$10000,"="&amp;adj_date)+SUMIFS('[1]2_inventory_total_details'!$L$8:$L$10000,'[1]2_inventory_total_details'!$C$8:$C$10000,I59,'[1]2_inventory_total_details'!$F$8:$F$10000,MID(N59,1,3)*1,'[1]2_inventory_total_details'!$G$8:$G$10000,"="&amp;S59,'[1]2_inventory_total_details'!$H$8:$H$10000,"="&amp;T59,'[1]2_inventory_total_details'!$I$8:$I$10000,"="&amp;adj_date)))</f>
        <v/>
      </c>
      <c r="AC59" s="270" t="str">
        <f>IF(L59="","",IF(MID(N59,1,3)*1=1,SUMIFS('[1]1_inventory_total_details'!$J$8:$J$10000,'[1]1_inventory_total_details'!$C$8:$C$10000,I59,'[1]1_inventory_total_details'!$F$8:$F$10000,MID(N59,1,3)*1,'[1]1_inventory_total_details'!$G$8:$G$10000,"="&amp;S59,'[1]1_inventory_total_details'!$H$8:$H$10000,"="&amp;T59,'[1]1_inventory_total_details'!$I$8:$I$10000,"="&amp;adj_date)+SUMIFS('[1]1_inventory_total_details'!$M$8:$M$10000,'[1]1_inventory_total_details'!$C$8:$C$10000,I59,'[1]1_inventory_total_details'!$F$8:$F$10000,MID(N59,1,3)*1,'[1]1_inventory_total_details'!$G$8:$G$10000,"="&amp;S59,'[1]1_inventory_total_details'!$H$8:$H$10000,"="&amp;T59,'[1]1_inventory_total_details'!$I$8:$I$10000,"="&amp;adj_date)+SUMIFS('[1]1_inventory_total_details'!$K$8:$K$10000,'[1]1_inventory_total_details'!$C$8:$C$10000,I59,'[1]1_inventory_total_details'!$F$8:$F$10000,MID(N59,1,3)*1,'[1]1_inventory_total_details'!$G$8:$G$10000,"="&amp;S59,'[1]1_inventory_total_details'!$H$8:$H$10000,"="&amp;T59,'[1]1_inventory_total_details'!$I$8:$I$10000,"="&amp;adj_date)+SUMIFS('[1]1_inventory_total_details'!$L$8:$L$10000,'[1]1_inventory_total_details'!$C$8:$C$10000,I59,'[1]1_inventory_total_details'!$F$8:$F$10000,MID(N59,1,3)*1,'[1]1_inventory_total_details'!$G$8:$G$10000,"="&amp;S59,'[1]1_inventory_total_details'!$H$8:$H$10000,"="&amp;T59,'[1]1_inventory_total_details'!$I$8:$I$10000,"="&amp;adj_date),SUMIFS('[1]2_inventory_total_details'!$J$8:$J$10000,'[1]2_inventory_total_details'!$C$8:$C$10000,I59,'[1]2_inventory_total_details'!$F$8:$F$10000,MID(N59,1,3)*1,'[1]2_inventory_total_details'!$G$8:$G$10000,"="&amp;S59,'[1]2_inventory_total_details'!$H$8:$H$10000,"="&amp;T59,'[1]2_inventory_total_details'!$I$8:$I$10000,"="&amp;adj_date)+SUMIFS('[1]2_inventory_total_details'!$M$8:$M$10000,'[1]1_inventory_total_details'!$C$8:$C$10000,I59,'[1]2_inventory_total_details'!$F$8:$F$10000,MID(N59,1,3)*1,'[1]2_inventory_total_details'!$G$8:$G$10000,"="&amp;S59,'[1]2_inventory_total_details'!$H$8:$H$10000,"="&amp;T59,'[1]2_inventory_total_details'!$I$8:$I$10000,"="&amp;adj_date)+SUMIFS('[1]2_inventory_total_details'!$K$8:$K$10000,'[1]2_inventory_total_details'!$C$8:$C$10000,I59,'[1]2_inventory_total_details'!$F$8:$F$10000,MID(N59,1,3)*1,'[1]2_inventory_total_details'!$G$8:$G$10000,"="&amp;S59,'[1]2_inventory_total_details'!$H$8:$H$10000,"="&amp;T59,'[1]2_inventory_total_details'!$I$8:$I$10000,"="&amp;adj_date)+SUMIFS('[1]2_inventory_total_details'!$L$8:$L$10000,'[1]2_inventory_total_details'!$C$8:$C$10000,I59,'[1]2_inventory_total_details'!$F$8:$F$10000,MID(N59,1,3)*1,'[1]2_inventory_total_details'!$G$8:$G$10000,"="&amp;S59,'[1]2_inventory_total_details'!$H$8:$H$10000,"="&amp;T59,'[1]2_inventory_total_details'!$I$8:$I$10000,"="&amp;adj_date)))</f>
        <v/>
      </c>
      <c r="AD59" s="270" t="str">
        <f>IF(L59="","",SUMIFS('[1]1_group_totals'!$J$8:$J$10000,'[1]1_group_totals'!$C$8:$C$10000,I59,'[1]1_group_totals'!$F$8:$F$10000,adj_location_group_id,'[1]1_group_totals'!$G$8:$G$10000,MID(N59,1,3)*1,'[1]1_group_totals'!$H$8:$H$10000,"="&amp;S59,'[1]1_group_totals'!$I$8:$I$10000,"="&amp;T59))</f>
        <v/>
      </c>
      <c r="AE59" s="1796" t="str">
        <f t="shared" si="11"/>
        <v/>
      </c>
      <c r="AF59" s="1797" t="str">
        <f>IF(ISNA(MATCH(MID(AE59,1,3)*1,UomConversion!$D$8:$D$500,0)),"",IF(AJ59&lt;&gt;"",AJ59,""))</f>
        <v/>
      </c>
      <c r="AG59" s="1797" t="str">
        <f>IF(AND(AH59&gt;0,COUNTIFS(UomConversion!$D$8:$D$500,MID(AE59,1,3)*1,UomConversion!$J$8:$J$500,1)&gt;1),TEXT(AH59,"000")&amp;"."&amp;VLOOKUP(AH59,uom_list,5,FALSE),"")</f>
        <v/>
      </c>
      <c r="AH59" s="270" t="str">
        <f t="shared" si="12"/>
        <v/>
      </c>
      <c r="AI59" s="270" t="str">
        <f t="shared" si="13"/>
        <v/>
      </c>
      <c r="AJ59" s="270" t="str">
        <f t="shared" si="14"/>
        <v/>
      </c>
      <c r="AK59" s="270" t="str" cm="1">
        <f t="array" ref="AK59">IF(L59="","",Slookup(MID(AE59,1,3)*1,UomConversion!$D$8:$J$500,2,UomConversion!$I$8:$I$500,1,UomConversion!$J$8:$J$500,1))</f>
        <v/>
      </c>
      <c r="AL59" s="270" t="str">
        <f t="shared" si="15"/>
        <v/>
      </c>
      <c r="AM59" s="270" t="str">
        <f>IF(L59="","",(SUMIFS('[1]1_group_totals'!$K$8:$K$10000,'[1]1_group_totals'!$C$8:$C$10000,I59,'[1]1_group_totals'!$F$8:$F$10000,adj_location_group_id,'[1]1_group_totals'!$G$8:$G$10000,MID(N59,1,3)*1,'[1]1_group_totals'!$H$8:$H$10000,"="&amp;S59,'[1]1_group_totals'!$I$8:$I$10000,"="&amp;T59)+SUMIFS('[1]1_group_totals'!$N$8:$N$10000,'[1]1_group_totals'!$C$8:$C$10000,I59,'[1]1_group_totals'!$F$8:$F$10000,adj_location_group_id,'[1]1_group_totals'!$G$8:$G$10000,MID(N59,1,3)*1,'[1]1_group_totals'!$H$8:$H$10000,"="&amp;S59,'[1]1_group_totals'!$I$8:$I$10000,"="&amp;T59)+SUMIFS('[1]1_group_totals'!$P$8:$P$10000,'[1]1_group_totals'!$C$8:$C$10000,I59,'[1]1_group_totals'!$F$8:$F$10000,adj_location_group_id,'[1]1_group_totals'!$G$8:$G$10000,MID(N59,1,3)*1,'[1]1_group_totals'!$H$8:$H$10000,"="&amp;S59,'[1]1_group_totals'!$I$8:$I$10000,"="&amp;T59)+SUMIFS('[1]1_group_totals'!$Q$8:$Q$10000,'[1]1_group_totals'!$C$8:$C$10000,I59,'[1]1_group_totals'!$F$8:$F$10000,adj_location_group_id,'[1]1_group_totals'!$G$8:$G$10000,MID(N59,1,3)*1,'[1]1_group_totals'!$H$8:$H$10000,"="&amp;S59,'[1]1_group_totals'!$I$8:$I$10000,"="&amp;T59))+(SUMIFS('[1]1_group_totals'!$L$8:$L$10000,'[1]1_group_totals'!$C$8:$C$10000,I59,'[1]1_group_totals'!$F$8:$F$10000,adj_location_group_id,'[1]1_group_totals'!$G$8:$G$10000,MID(N59,1,3)*1,'[1]1_group_totals'!$H$8:$H$10000,"="&amp;S59,'[1]1_group_totals'!$I$8:$I$10000,"="&amp;T59)+SUMIFS('[1]1_group_totals'!$M$8:$M$10000,'[1]1_group_totals'!$C$8:$C$10000,I59,'[1]1_group_totals'!$F$8:$F$10000,adj_location_group_id,'[1]1_group_totals'!$G$8:$G$10000,MID(N59,1,3)*1,'[1]1_group_totals'!$H$8:$H$10000,"="&amp;S59,'[1]1_group_totals'!$I$8:$I$10000,"="&amp;T59)+SUMIFS('[1]1_group_totals'!$O$8:$O$10000,'[1]1_group_totals'!$C$8:$C$10000,I59,'[1]1_group_totals'!$F$8:$F$10000,adj_location_group_id,'[1]1_group_totals'!$G$8:$G$10000,MID(N59,1,3)*1,'[1]1_group_totals'!$H$8:$H$10000,"="&amp;S59,'[1]1_group_totals'!$I$8:$I$10000,"="&amp;T59)+SUMIFS('[1]1_group_totals'!$R$8:$R$10000,'[1]1_group_totals'!$C$8:$C$10000,I59,'[1]1_group_totals'!$F$8:$F$10000,adj_location_group_id,'[1]1_group_totals'!$G$8:$G$10000,MID(N59,1,3)*1,'[1]1_group_totals'!$H$8:$H$10000,"="&amp;S59,'[1]1_group_totals'!$I$8:$I$10000,"="&amp;T59)))</f>
        <v/>
      </c>
      <c r="AN59" s="270" t="str">
        <f>IF(L59="","",(SUMIFS('[1]1_inventory_totals'!$I$8:$I$10000,'[1]1_inventory_totals'!$C$8:$C$10000,I59,'[1]1_inventory_totals'!$F$8:$F$10000,"="&amp;S59,'[1]1_inventory_totals'!$G$8:$G$10000,"="&amp;T59)+SUMIFS('[1]1_inventory_totals'!$N$8:$N$10000,'[1]1_inventory_totals'!$C$8:$C$10000,I59,'[1]1_inventory_totals'!$F$8:$F$10000,"="&amp;S59,'[1]1_inventory_totals'!$G$8:$G$10000,"="&amp;T59)+SUMIFS('[1]1_inventory_totals'!$P$8:$P$10000,'[1]1_inventory_totals'!$C$8:$C$10000,I59,'[1]1_inventory_totals'!$F$8:$F$10000,"="&amp;S59,'[1]1_inventory_totals'!$G$8:$G$10000,"="&amp;T59)+SUMIFS('[1]1_inventory_totals'!$Q$8:$Q$10000,'[1]1_inventory_totals'!$C$8:$C$10000,I59,'[1]1_inventory_totals'!$F$8:$F$10000,"="&amp;S59,'[1]1_inventory_totals'!$G$8:$G$10000,"="&amp;T59)+SUMIFS('[1]1_inventory_totals'!$R$8:$R$10000,'[1]1_inventory_totals'!$C$8:$C$10000,I59,'[1]1_inventory_totals'!$F$8:$F$10000,"="&amp;S59,'[1]1_inventory_totals'!$G$8:$G$10000,"="&amp;T59))+(SUMIFS('[1]1_inventory_totals'!$J$8:$J$10000,'[1]1_inventory_totals'!$C$8:$C$10000,I59,'[1]1_inventory_totals'!$F$8:$F$10000,"="&amp;S59,'[1]1_inventory_totals'!$G$8:$G$10000,"="&amp;T59)+SUMIFS('[1]1_inventory_totals'!$K$8:$K$10000,'[1]1_inventory_totals'!$C$8:$C$10000,I59,'[1]1_inventory_totals'!$F$8:$F$10000,"="&amp;S59,'[1]1_inventory_totals'!$G$8:$G$10000,"="&amp;T59)+SUMIFS('[1]1_inventory_totals'!$L$8:$L$10000,'[1]1_inventory_totals'!$C$8:$C$10000,I59,'[1]1_inventory_totals'!$F$8:$F$10000,"="&amp;S59,'[1]1_inventory_totals'!$G$8:$G$10000,"="&amp;T59)+SUMIFS('[1]1_inventory_totals'!$M$8:$M$10000,'[1]1_inventory_totals'!$C$8:$C$10000,I59,'[1]1_inventory_totals'!$F$8:$F$10000,"="&amp;S59,'[1]1_inventory_totals'!$G$8:$G$10000,"="&amp;T59)+SUMIFS('[1]1_inventory_totals'!$O$8:$O$10000,'[1]1_inventory_totals'!$C$8:$C$10000,I59,'[1]1_inventory_totals'!$F$8:$F$10000,"="&amp;S59,'[1]1_inventory_totals'!$G$8:$G$10000,"="&amp;T59)+SUMIFS('[1]1_inventory_totals'!$S$8:$S$10000,'[1]1_inventory_totals'!$C$8:$C$10000,I59,'[1]1_inventory_totals'!$F$8:$F$10000,"="&amp;S59,'[1]1_inventory_totals'!$G$8:$G$10000,"="&amp;T59)))</f>
        <v/>
      </c>
      <c r="AO59" s="270" t="str">
        <f>IF(L59="","",(SUMIFS('[1]2_inventory_totals'!$I$8:$I$10000,'[1]2_inventory_totals'!$C$8:$C$10000,I59,'[1]2_inventory_totals'!$F$8:$F$10000,"="&amp;S59,'[1]2_inventory_totals'!$G$8:$G$10000,"="&amp;T59)+SUMIFS('[1]2_inventory_totals'!$N$8:$N$10000,'[1]2_inventory_totals'!$C$8:$C$10000,I59,'[1]2_inventory_totals'!$F$8:$F$10000,"="&amp;S59,'[1]2_inventory_totals'!$G$8:$G$10000,"="&amp;T59)+SUMIFS('[1]2_inventory_totals'!$P$8:$P$10000,'[1]2_inventory_totals'!$C$8:$C$10000,I59,'[1]2_inventory_totals'!$F$8:$F$10000,"="&amp;S59,'[1]2_inventory_totals'!$G$8:$G$10000,"="&amp;T59)+SUMIFS('[1]2_inventory_totals'!$Q$8:$Q$10000,'[1]2_inventory_totals'!$C$8:$C$10000,I59,'[1]2_inventory_totals'!$F$8:$F$10000,"="&amp;S59,'[1]2_inventory_totals'!$G$8:$G$10000,"="&amp;T59)+SUMIFS('[1]2_inventory_totals'!$R$8:$R$10000,'[1]2_inventory_totals'!$C$8:$C$10000,I59,'[1]2_inventory_totals'!$F$8:$F$10000,"="&amp;S59,'[1]2_inventory_totals'!$G$8:$G$10000,"="&amp;T59))+(SUMIFS('[1]2_inventory_totals'!$J$8:$J$10000,'[1]2_inventory_totals'!$C$8:$C$10000,I59,'[1]2_inventory_totals'!$F$8:$F$10000,"="&amp;S59,'[1]2_inventory_totals'!$G$8:$G$10000,"="&amp;T59)+SUMIFS('[1]2_inventory_totals'!$K$8:$K$10000,'[1]2_inventory_totals'!$C$8:$C$10000,I59,'[1]2_inventory_totals'!$F$8:$F$10000,"="&amp;S59,'[1]2_inventory_totals'!$G$8:$G$10000,"="&amp;T59)+SUMIFS('[1]2_inventory_totals'!$L$8:$L$10000,'[1]2_inventory_totals'!$C$8:$C$10000,I59,'[1]2_inventory_totals'!$F$8:$F$10000,"="&amp;S59,'[1]2_inventory_totals'!$G$8:$G$10000,"="&amp;T59)+SUMIFS('[1]2_inventory_totals'!$M$8:$M$10000,'[1]2_inventory_totals'!$C$8:$C$10000,I59,'[1]2_inventory_totals'!$F$8:$F$10000,"="&amp;S59,'[1]2_inventory_totals'!$G$8:$G$10000,"="&amp;T59)+SUMIFS('[1]2_inventory_totals'!$O$8:$O$10000,'[1]2_inventory_totals'!$C$8:$C$10000,I59,'[1]2_inventory_totals'!$F$8:$F$10000,"="&amp;S59,'[1]2_inventory_totals'!$G$8:$G$10000,"="&amp;T59)+SUMIFS('[1]2_inventory_totals'!$S$8:$S$10000,'[1]2_inventory_totals'!$C$8:$C$10000,I59,'[1]2_inventory_totals'!$F$8:$F$10000,"="&amp;S59,'[1]2_inventory_totals'!$G$8:$G$10000,"="&amp;T59)))</f>
        <v/>
      </c>
      <c r="AP59" s="954"/>
    </row>
    <row r="60" spans="1:42" ht="27" customHeight="1">
      <c r="A60" s="923"/>
      <c r="B60" s="1178"/>
      <c r="C60" s="950"/>
      <c r="D60" s="950"/>
      <c r="E60" s="950"/>
      <c r="F60" s="1199"/>
      <c r="G60" s="941"/>
      <c r="H60" s="1070"/>
      <c r="I60" s="1610" t="str">
        <f t="shared" si="5"/>
        <v/>
      </c>
      <c r="J60" s="270" t="str">
        <f t="shared" si="6"/>
        <v/>
      </c>
      <c r="K60" s="813" t="str">
        <f t="shared" si="16"/>
        <v/>
      </c>
      <c r="L60" s="1184"/>
      <c r="M60" s="1185"/>
      <c r="N60" s="1186"/>
      <c r="O60" s="1534"/>
      <c r="P60" s="336" t="str">
        <f t="shared" si="17"/>
        <v/>
      </c>
      <c r="Q60" s="336" t="str">
        <f>IF(L60="","",IF(AD60=0,0,(SUMIFS('[1]1_group_total_details'!$I$8:$I$10000,'[1]1_group_total_details'!$C$8:$C$10000,I60,'[1]1_group_total_details'!$F$8:$F$10000,adj_location_group_id,'[1]1_group_total_details'!$G$8:$G$10000,MID(N60,1,3)*1,'[1]1_group_total_details'!$H$8:$H$10000,"&lt;="&amp;adj_date)+SUMIFS('[1]1_group_total_details'!$L$8:$L$10000,'[1]1_group_total_details'!$C$8:$C$10000,I60,'[1]1_group_total_details'!$F$8:$F$10000,adj_location_group_id,'[1]1_group_total_details'!$G$8:$G$10000,MID(N60,1,3)*1,'[1]1_group_total_details'!$H$8:$H$10000,"&lt;="&amp;adj_date)+SUMIFS('[1]1_group_total_details'!$N$8:$N$10000,'[1]1_group_total_details'!$C$8:$C$10000,I60,'[1]1_group_total_details'!$F$8:$F$10000,adj_location_group_id,'[1]1_group_total_details'!$G$8:$G$10000,MID(N60,1,3)*1,'[1]1_group_total_details'!$H$8:$H$10000,"&lt;="&amp;adj_date)+SUMIFS('[1]1_group_total_details'!$O$8:$O$10000,'[1]1_group_total_details'!$C$8:$C$10000,I60,'[1]1_group_total_details'!$F$8:$F$10000,adj_location_group_id,'[1]1_group_total_details'!$G$8:$G$10000,MID(N60,1,3)*1,'[1]1_group_total_details'!$H$8:$H$10000,"&lt;="&amp;adj_date))-(SUMIFS('[1]1_group_total_details'!$J$8:$J$10000,'[1]1_group_total_details'!$C$8:$C$10000,I60,'[1]1_group_total_details'!$F$8:$F$10000,adj_location_group_id,'[1]1_group_total_details'!$G$8:$G$10000,MID(N60,1,3)*1,'[1]1_group_total_details'!$H$8:$H$10000,"&lt;="&amp;adj_date)+SUMIFS('[1]1_group_total_details'!$K$8:$K$10000,'[1]1_group_total_details'!$C$8:$C$10000,I60,'[1]1_group_total_details'!$F$8:$F$10000,adj_location_group_id,'[1]1_group_total_details'!$G$8:$G$10000,MID(N60,1,3)*1,'[1]1_group_total_details'!$H$8:$H$10000,"&lt;="&amp;adj_date)+SUMIFS('[1]1_group_total_details'!$M$8:$M$10000,'[1]1_group_total_details'!$C$8:$C$10000,I60,'[1]1_group_total_details'!$F$8:$F$10000,adj_location_group_id,'[1]1_group_total_details'!$G$8:$G$10000,MID(N60,1,3)*1,'[1]1_group_total_details'!$H$8:$H$10000,"&lt;="&amp;adj_date)+SUMIFS('[1]1_group_total_details'!$P$8:$P$10000,'[1]1_group_total_details'!$C$8:$C$10000,I60,'[1]1_group_total_details'!$F$8:$F$10000,adj_location_group_id,'[1]1_group_total_details'!$G$8:$G$10000,MID(N60,1,3)*1,'[1]1_group_total_details'!$H$8:$H$10000,"&lt;="&amp;adj_date))))</f>
        <v/>
      </c>
      <c r="R60" s="1187"/>
      <c r="S60" s="1186"/>
      <c r="T60" s="1186"/>
      <c r="U60" s="1184"/>
      <c r="V60" s="270" t="str" cm="1">
        <f t="array" ref="V60">IF(L60="","",IF(M60=AE60,1,Slookup(MID(AE60,1,3)*1,UomConversion!$D$8:$J$500,5,UomConversion!$E$8:$E$500,MID(M60,1,3)*1,UomConversion!$J$8:$J$500,1)))</f>
        <v/>
      </c>
      <c r="W60" s="270" t="str">
        <f t="shared" si="8"/>
        <v/>
      </c>
      <c r="X60" s="1795" t="str">
        <f t="shared" si="9"/>
        <v/>
      </c>
      <c r="Y60" s="1795" t="str">
        <f t="shared" si="10"/>
        <v/>
      </c>
      <c r="Z60" s="270" t="str">
        <f>IF(I60="","",IF(ISNA(MATCH(I60,IF(MID(N60,1,3)*1=1,'[1]1_inventory_totals'!$C$8:$C$10000,IF(MID(N60,1,3)*1=2,'[1]2_inventory_totals'!$C$8:$C$10000,"")),0)),0,IF(AL60&gt;0,1,0)))</f>
        <v/>
      </c>
      <c r="AA60" s="270" t="str">
        <f>IF(L60="","",IF(MID(N60,1,3)*1=1,SUMIFS('[1]1_inventory_total_details'!$J$8:$J$10000,'[1]1_inventory_total_details'!$C$8:$C$10000,I60,'[1]1_inventory_total_details'!$F$8:$F$10000,MID(N60,1,3)*1,'[1]1_inventory_total_details'!$G$8:$G$10000,"="&amp;S60,'[1]1_inventory_total_details'!$H$8:$H$10000,"="&amp;T60,'[1]1_inventory_total_details'!$I$8:$I$10000,"="&amp;adj_date)+SUMIFS('[1]1_inventory_total_details'!$M$8:$M$10000,'[1]1_inventory_total_details'!$C$8:$C$10000,I60,'[1]1_inventory_total_details'!$F$8:$F$10000,MID(N60,1,3)*1,'[1]1_inventory_total_details'!$G$8:$G$10000,"="&amp;S60,'[1]1_inventory_total_details'!$H$8:$H$10000,"="&amp;T60,'[1]1_inventory_total_details'!$I$8:$I$10000,"="&amp;adj_date)+SUMIFS('[1]1_inventory_total_details'!$K$8:$K$10000,'[1]1_inventory_total_details'!$C$8:$C$10000,I60,'[1]1_inventory_total_details'!$F$8:$F$10000,MID(N60,1,3)*1,'[1]1_inventory_total_details'!$G$8:$G$10000,"="&amp;S60,'[1]1_inventory_total_details'!$H$8:$H$10000,"="&amp;T60,'[1]1_inventory_total_details'!$I$8:$I$10000,"="&amp;adj_date)+SUMIFS('[1]1_inventory_total_details'!$L$8:$L$10000,'[1]1_inventory_total_details'!$C$8:$C$10000,I60,'[1]1_inventory_total_details'!$F$8:$F$10000,MID(N60,1,3)*1,'[1]1_inventory_total_details'!$G$8:$G$10000,"="&amp;S60,'[1]1_inventory_total_details'!$H$8:$H$10000,"="&amp;T60,'[1]1_inventory_total_details'!$I$8:$I$10000,"="&amp;adj_date),SUMIFS('[1]2_inventory_total_details'!$J$8:$J$10000,'[1]2_inventory_total_details'!$C$8:$C$10000,I60,'[1]2_inventory_total_details'!$F$8:$F$10000,MID(N60,1,3)*1,'[1]2_inventory_total_details'!$G$8:$G$10000,"="&amp;S60,'[1]2_inventory_total_details'!$H$8:$H$10000,"="&amp;T60,'[1]2_inventory_total_details'!$I$8:$I$10000,"="&amp;adj_date)+SUMIFS('[1]2_inventory_total_details'!$M$8:$M$10000,'[1]1_inventory_total_details'!$C$8:$C$10000,I60,'[1]2_inventory_total_details'!$F$8:$F$10000,MID(N60,1,3)*1,'[1]2_inventory_total_details'!$G$8:$G$10000,"="&amp;S60,'[1]2_inventory_total_details'!$H$8:$H$10000,"="&amp;T60,'[1]2_inventory_total_details'!$I$8:$I$10000,"="&amp;adj_date)+SUMIFS('[1]2_inventory_total_details'!$K$8:$K$10000,'[1]2_inventory_total_details'!$C$8:$C$10000,I60,'[1]2_inventory_total_details'!$F$8:$F$10000,MID(N60,1,3)*1,'[1]2_inventory_total_details'!$G$8:$G$10000,"="&amp;S60,'[1]2_inventory_total_details'!$H$8:$H$10000,"="&amp;T60,'[1]2_inventory_total_details'!$I$8:$I$10000,"="&amp;adj_date)+SUMIFS('[1]2_inventory_total_details'!$L$8:$L$10000,'[1]2_inventory_total_details'!$C$8:$C$10000,I60,'[1]2_inventory_total_details'!$F$8:$F$10000,MID(N60,1,3)*1,'[1]2_inventory_total_details'!$G$8:$G$10000,"="&amp;S60,'[1]2_inventory_total_details'!$H$8:$H$10000,"="&amp;T60,'[1]2_inventory_total_details'!$I$8:$I$10000,"="&amp;adj_date)))</f>
        <v/>
      </c>
      <c r="AB60" s="270" t="str">
        <f>IF(L60="","",IF(MID(N60,1,3)*1=1,SUMIFS('[1]1_inventory_total_details'!$J$8:$J$10000,'[1]1_inventory_total_details'!$C$8:$C$10000,I60,'[1]1_inventory_total_details'!$F$8:$F$10000,MID(N60,1,3)*1,'[1]1_inventory_total_details'!$G$8:$G$10000,"="&amp;S60,'[1]1_inventory_total_details'!$H$8:$H$10000,"="&amp;T60,'[1]1_inventory_total_details'!$I$8:$I$10000,"="&amp;adj_date)+SUMIFS('[1]1_inventory_total_details'!$M$8:$M$10000,'[1]1_inventory_total_details'!$C$8:$C$10000,I60,'[1]1_inventory_total_details'!$F$8:$F$10000,MID(N60,1,3)*1,'[1]1_inventory_total_details'!$G$8:$G$10000,"="&amp;S60,'[1]1_inventory_total_details'!$H$8:$H$10000,"="&amp;T60,'[1]1_inventory_total_details'!$I$8:$I$10000,"="&amp;adj_date)+SUMIFS('[1]1_inventory_total_details'!$K$8:$K$10000,'[1]1_inventory_total_details'!$C$8:$C$10000,I60,'[1]1_inventory_total_details'!$F$8:$F$10000,MID(N60,1,3)*1,'[1]1_inventory_total_details'!$G$8:$G$10000,"="&amp;S60,'[1]1_inventory_total_details'!$H$8:$H$10000,"="&amp;T60,'[1]1_inventory_total_details'!$I$8:$I$10000,"="&amp;adj_date)+SUMIFS('[1]1_inventory_total_details'!$L$8:$L$10000,'[1]1_inventory_total_details'!$C$8:$C$10000,I60,'[1]1_inventory_total_details'!$F$8:$F$10000,MID(N60,1,3)*1,'[1]1_inventory_total_details'!$G$8:$G$10000,"="&amp;S60,'[1]1_inventory_total_details'!$H$8:$H$10000,"="&amp;T60,'[1]1_inventory_total_details'!$I$8:$I$10000,"="&amp;adj_date),SUMIFS('[1]2_inventory_total_details'!$J$8:$J$10000,'[1]2_inventory_total_details'!$C$8:$C$10000,I60,'[1]2_inventory_total_details'!$F$8:$F$10000,MID(N60,1,3)*1,'[1]2_inventory_total_details'!$G$8:$G$10000,"="&amp;S60,'[1]2_inventory_total_details'!$H$8:$H$10000,"="&amp;T60,'[1]2_inventory_total_details'!$I$8:$I$10000,"="&amp;adj_date)+SUMIFS('[1]2_inventory_total_details'!$M$8:$M$10000,'[1]1_inventory_total_details'!$C$8:$C$10000,I60,'[1]2_inventory_total_details'!$F$8:$F$10000,MID(N60,1,3)*1,'[1]2_inventory_total_details'!$G$8:$G$10000,"="&amp;S60,'[1]2_inventory_total_details'!$H$8:$H$10000,"="&amp;T60,'[1]2_inventory_total_details'!$I$8:$I$10000,"="&amp;adj_date)+SUMIFS('[1]2_inventory_total_details'!$K$8:$K$10000,'[1]2_inventory_total_details'!$C$8:$C$10000,I60,'[1]2_inventory_total_details'!$F$8:$F$10000,MID(N60,1,3)*1,'[1]2_inventory_total_details'!$G$8:$G$10000,"="&amp;S60,'[1]2_inventory_total_details'!$H$8:$H$10000,"="&amp;T60,'[1]2_inventory_total_details'!$I$8:$I$10000,"="&amp;adj_date)+SUMIFS('[1]2_inventory_total_details'!$L$8:$L$10000,'[1]2_inventory_total_details'!$C$8:$C$10000,I60,'[1]2_inventory_total_details'!$F$8:$F$10000,MID(N60,1,3)*1,'[1]2_inventory_total_details'!$G$8:$G$10000,"="&amp;S60,'[1]2_inventory_total_details'!$H$8:$H$10000,"="&amp;T60,'[1]2_inventory_total_details'!$I$8:$I$10000,"="&amp;adj_date)))</f>
        <v/>
      </c>
      <c r="AC60" s="270" t="str">
        <f>IF(L60="","",IF(MID(N60,1,3)*1=1,SUMIFS('[1]1_inventory_total_details'!$J$8:$J$10000,'[1]1_inventory_total_details'!$C$8:$C$10000,I60,'[1]1_inventory_total_details'!$F$8:$F$10000,MID(N60,1,3)*1,'[1]1_inventory_total_details'!$G$8:$G$10000,"="&amp;S60,'[1]1_inventory_total_details'!$H$8:$H$10000,"="&amp;T60,'[1]1_inventory_total_details'!$I$8:$I$10000,"="&amp;adj_date)+SUMIFS('[1]1_inventory_total_details'!$M$8:$M$10000,'[1]1_inventory_total_details'!$C$8:$C$10000,I60,'[1]1_inventory_total_details'!$F$8:$F$10000,MID(N60,1,3)*1,'[1]1_inventory_total_details'!$G$8:$G$10000,"="&amp;S60,'[1]1_inventory_total_details'!$H$8:$H$10000,"="&amp;T60,'[1]1_inventory_total_details'!$I$8:$I$10000,"="&amp;adj_date)+SUMIFS('[1]1_inventory_total_details'!$K$8:$K$10000,'[1]1_inventory_total_details'!$C$8:$C$10000,I60,'[1]1_inventory_total_details'!$F$8:$F$10000,MID(N60,1,3)*1,'[1]1_inventory_total_details'!$G$8:$G$10000,"="&amp;S60,'[1]1_inventory_total_details'!$H$8:$H$10000,"="&amp;T60,'[1]1_inventory_total_details'!$I$8:$I$10000,"="&amp;adj_date)+SUMIFS('[1]1_inventory_total_details'!$L$8:$L$10000,'[1]1_inventory_total_details'!$C$8:$C$10000,I60,'[1]1_inventory_total_details'!$F$8:$F$10000,MID(N60,1,3)*1,'[1]1_inventory_total_details'!$G$8:$G$10000,"="&amp;S60,'[1]1_inventory_total_details'!$H$8:$H$10000,"="&amp;T60,'[1]1_inventory_total_details'!$I$8:$I$10000,"="&amp;adj_date),SUMIFS('[1]2_inventory_total_details'!$J$8:$J$10000,'[1]2_inventory_total_details'!$C$8:$C$10000,I60,'[1]2_inventory_total_details'!$F$8:$F$10000,MID(N60,1,3)*1,'[1]2_inventory_total_details'!$G$8:$G$10000,"="&amp;S60,'[1]2_inventory_total_details'!$H$8:$H$10000,"="&amp;T60,'[1]2_inventory_total_details'!$I$8:$I$10000,"="&amp;adj_date)+SUMIFS('[1]2_inventory_total_details'!$M$8:$M$10000,'[1]1_inventory_total_details'!$C$8:$C$10000,I60,'[1]2_inventory_total_details'!$F$8:$F$10000,MID(N60,1,3)*1,'[1]2_inventory_total_details'!$G$8:$G$10000,"="&amp;S60,'[1]2_inventory_total_details'!$H$8:$H$10000,"="&amp;T60,'[1]2_inventory_total_details'!$I$8:$I$10000,"="&amp;adj_date)+SUMIFS('[1]2_inventory_total_details'!$K$8:$K$10000,'[1]2_inventory_total_details'!$C$8:$C$10000,I60,'[1]2_inventory_total_details'!$F$8:$F$10000,MID(N60,1,3)*1,'[1]2_inventory_total_details'!$G$8:$G$10000,"="&amp;S60,'[1]2_inventory_total_details'!$H$8:$H$10000,"="&amp;T60,'[1]2_inventory_total_details'!$I$8:$I$10000,"="&amp;adj_date)+SUMIFS('[1]2_inventory_total_details'!$L$8:$L$10000,'[1]2_inventory_total_details'!$C$8:$C$10000,I60,'[1]2_inventory_total_details'!$F$8:$F$10000,MID(N60,1,3)*1,'[1]2_inventory_total_details'!$G$8:$G$10000,"="&amp;S60,'[1]2_inventory_total_details'!$H$8:$H$10000,"="&amp;T60,'[1]2_inventory_total_details'!$I$8:$I$10000,"="&amp;adj_date)))</f>
        <v/>
      </c>
      <c r="AD60" s="270" t="str">
        <f>IF(L60="","",SUMIFS('[1]1_group_totals'!$J$8:$J$10000,'[1]1_group_totals'!$C$8:$C$10000,I60,'[1]1_group_totals'!$F$8:$F$10000,adj_location_group_id,'[1]1_group_totals'!$G$8:$G$10000,MID(N60,1,3)*1,'[1]1_group_totals'!$H$8:$H$10000,"="&amp;S60,'[1]1_group_totals'!$I$8:$I$10000,"="&amp;T60))</f>
        <v/>
      </c>
      <c r="AE60" s="1796" t="str">
        <f t="shared" si="11"/>
        <v/>
      </c>
      <c r="AF60" s="1797" t="str">
        <f>IF(ISNA(MATCH(MID(AE60,1,3)*1,UomConversion!$D$8:$D$500,0)),"",IF(AJ60&lt;&gt;"",AJ60,""))</f>
        <v/>
      </c>
      <c r="AG60" s="1797" t="str">
        <f>IF(AND(AH60&gt;0,COUNTIFS(UomConversion!$D$8:$D$500,MID(AE60,1,3)*1,UomConversion!$J$8:$J$500,1)&gt;1),TEXT(AH60,"000")&amp;"."&amp;VLOOKUP(AH60,uom_list,5,FALSE),"")</f>
        <v/>
      </c>
      <c r="AH60" s="270" t="str">
        <f t="shared" si="12"/>
        <v/>
      </c>
      <c r="AI60" s="270" t="str">
        <f t="shared" si="13"/>
        <v/>
      </c>
      <c r="AJ60" s="270" t="str">
        <f t="shared" si="14"/>
        <v/>
      </c>
      <c r="AK60" s="270" t="str" cm="1">
        <f t="array" ref="AK60">IF(L60="","",Slookup(MID(AE60,1,3)*1,UomConversion!$D$8:$J$500,2,UomConversion!$I$8:$I$500,1,UomConversion!$J$8:$J$500,1))</f>
        <v/>
      </c>
      <c r="AL60" s="270" t="str">
        <f t="shared" si="15"/>
        <v/>
      </c>
      <c r="AM60" s="270" t="str">
        <f>IF(L60="","",(SUMIFS('[1]1_group_totals'!$K$8:$K$10000,'[1]1_group_totals'!$C$8:$C$10000,I60,'[1]1_group_totals'!$F$8:$F$10000,adj_location_group_id,'[1]1_group_totals'!$G$8:$G$10000,MID(N60,1,3)*1,'[1]1_group_totals'!$H$8:$H$10000,"="&amp;S60,'[1]1_group_totals'!$I$8:$I$10000,"="&amp;T60)+SUMIFS('[1]1_group_totals'!$N$8:$N$10000,'[1]1_group_totals'!$C$8:$C$10000,I60,'[1]1_group_totals'!$F$8:$F$10000,adj_location_group_id,'[1]1_group_totals'!$G$8:$G$10000,MID(N60,1,3)*1,'[1]1_group_totals'!$H$8:$H$10000,"="&amp;S60,'[1]1_group_totals'!$I$8:$I$10000,"="&amp;T60)+SUMIFS('[1]1_group_totals'!$P$8:$P$10000,'[1]1_group_totals'!$C$8:$C$10000,I60,'[1]1_group_totals'!$F$8:$F$10000,adj_location_group_id,'[1]1_group_totals'!$G$8:$G$10000,MID(N60,1,3)*1,'[1]1_group_totals'!$H$8:$H$10000,"="&amp;S60,'[1]1_group_totals'!$I$8:$I$10000,"="&amp;T60)+SUMIFS('[1]1_group_totals'!$Q$8:$Q$10000,'[1]1_group_totals'!$C$8:$C$10000,I60,'[1]1_group_totals'!$F$8:$F$10000,adj_location_group_id,'[1]1_group_totals'!$G$8:$G$10000,MID(N60,1,3)*1,'[1]1_group_totals'!$H$8:$H$10000,"="&amp;S60,'[1]1_group_totals'!$I$8:$I$10000,"="&amp;T60))+(SUMIFS('[1]1_group_totals'!$L$8:$L$10000,'[1]1_group_totals'!$C$8:$C$10000,I60,'[1]1_group_totals'!$F$8:$F$10000,adj_location_group_id,'[1]1_group_totals'!$G$8:$G$10000,MID(N60,1,3)*1,'[1]1_group_totals'!$H$8:$H$10000,"="&amp;S60,'[1]1_group_totals'!$I$8:$I$10000,"="&amp;T60)+SUMIFS('[1]1_group_totals'!$M$8:$M$10000,'[1]1_group_totals'!$C$8:$C$10000,I60,'[1]1_group_totals'!$F$8:$F$10000,adj_location_group_id,'[1]1_group_totals'!$G$8:$G$10000,MID(N60,1,3)*1,'[1]1_group_totals'!$H$8:$H$10000,"="&amp;S60,'[1]1_group_totals'!$I$8:$I$10000,"="&amp;T60)+SUMIFS('[1]1_group_totals'!$O$8:$O$10000,'[1]1_group_totals'!$C$8:$C$10000,I60,'[1]1_group_totals'!$F$8:$F$10000,adj_location_group_id,'[1]1_group_totals'!$G$8:$G$10000,MID(N60,1,3)*1,'[1]1_group_totals'!$H$8:$H$10000,"="&amp;S60,'[1]1_group_totals'!$I$8:$I$10000,"="&amp;T60)+SUMIFS('[1]1_group_totals'!$R$8:$R$10000,'[1]1_group_totals'!$C$8:$C$10000,I60,'[1]1_group_totals'!$F$8:$F$10000,adj_location_group_id,'[1]1_group_totals'!$G$8:$G$10000,MID(N60,1,3)*1,'[1]1_group_totals'!$H$8:$H$10000,"="&amp;S60,'[1]1_group_totals'!$I$8:$I$10000,"="&amp;T60)))</f>
        <v/>
      </c>
      <c r="AN60" s="270" t="str">
        <f>IF(L60="","",(SUMIFS('[1]1_inventory_totals'!$I$8:$I$10000,'[1]1_inventory_totals'!$C$8:$C$10000,I60,'[1]1_inventory_totals'!$F$8:$F$10000,"="&amp;S60,'[1]1_inventory_totals'!$G$8:$G$10000,"="&amp;T60)+SUMIFS('[1]1_inventory_totals'!$N$8:$N$10000,'[1]1_inventory_totals'!$C$8:$C$10000,I60,'[1]1_inventory_totals'!$F$8:$F$10000,"="&amp;S60,'[1]1_inventory_totals'!$G$8:$G$10000,"="&amp;T60)+SUMIFS('[1]1_inventory_totals'!$P$8:$P$10000,'[1]1_inventory_totals'!$C$8:$C$10000,I60,'[1]1_inventory_totals'!$F$8:$F$10000,"="&amp;S60,'[1]1_inventory_totals'!$G$8:$G$10000,"="&amp;T60)+SUMIFS('[1]1_inventory_totals'!$Q$8:$Q$10000,'[1]1_inventory_totals'!$C$8:$C$10000,I60,'[1]1_inventory_totals'!$F$8:$F$10000,"="&amp;S60,'[1]1_inventory_totals'!$G$8:$G$10000,"="&amp;T60)+SUMIFS('[1]1_inventory_totals'!$R$8:$R$10000,'[1]1_inventory_totals'!$C$8:$C$10000,I60,'[1]1_inventory_totals'!$F$8:$F$10000,"="&amp;S60,'[1]1_inventory_totals'!$G$8:$G$10000,"="&amp;T60))+(SUMIFS('[1]1_inventory_totals'!$J$8:$J$10000,'[1]1_inventory_totals'!$C$8:$C$10000,I60,'[1]1_inventory_totals'!$F$8:$F$10000,"="&amp;S60,'[1]1_inventory_totals'!$G$8:$G$10000,"="&amp;T60)+SUMIFS('[1]1_inventory_totals'!$K$8:$K$10000,'[1]1_inventory_totals'!$C$8:$C$10000,I60,'[1]1_inventory_totals'!$F$8:$F$10000,"="&amp;S60,'[1]1_inventory_totals'!$G$8:$G$10000,"="&amp;T60)+SUMIFS('[1]1_inventory_totals'!$L$8:$L$10000,'[1]1_inventory_totals'!$C$8:$C$10000,I60,'[1]1_inventory_totals'!$F$8:$F$10000,"="&amp;S60,'[1]1_inventory_totals'!$G$8:$G$10000,"="&amp;T60)+SUMIFS('[1]1_inventory_totals'!$M$8:$M$10000,'[1]1_inventory_totals'!$C$8:$C$10000,I60,'[1]1_inventory_totals'!$F$8:$F$10000,"="&amp;S60,'[1]1_inventory_totals'!$G$8:$G$10000,"="&amp;T60)+SUMIFS('[1]1_inventory_totals'!$O$8:$O$10000,'[1]1_inventory_totals'!$C$8:$C$10000,I60,'[1]1_inventory_totals'!$F$8:$F$10000,"="&amp;S60,'[1]1_inventory_totals'!$G$8:$G$10000,"="&amp;T60)+SUMIFS('[1]1_inventory_totals'!$S$8:$S$10000,'[1]1_inventory_totals'!$C$8:$C$10000,I60,'[1]1_inventory_totals'!$F$8:$F$10000,"="&amp;S60,'[1]1_inventory_totals'!$G$8:$G$10000,"="&amp;T60)))</f>
        <v/>
      </c>
      <c r="AO60" s="270" t="str">
        <f>IF(L60="","",(SUMIFS('[1]2_inventory_totals'!$I$8:$I$10000,'[1]2_inventory_totals'!$C$8:$C$10000,I60,'[1]2_inventory_totals'!$F$8:$F$10000,"="&amp;S60,'[1]2_inventory_totals'!$G$8:$G$10000,"="&amp;T60)+SUMIFS('[1]2_inventory_totals'!$N$8:$N$10000,'[1]2_inventory_totals'!$C$8:$C$10000,I60,'[1]2_inventory_totals'!$F$8:$F$10000,"="&amp;S60,'[1]2_inventory_totals'!$G$8:$G$10000,"="&amp;T60)+SUMIFS('[1]2_inventory_totals'!$P$8:$P$10000,'[1]2_inventory_totals'!$C$8:$C$10000,I60,'[1]2_inventory_totals'!$F$8:$F$10000,"="&amp;S60,'[1]2_inventory_totals'!$G$8:$G$10000,"="&amp;T60)+SUMIFS('[1]2_inventory_totals'!$Q$8:$Q$10000,'[1]2_inventory_totals'!$C$8:$C$10000,I60,'[1]2_inventory_totals'!$F$8:$F$10000,"="&amp;S60,'[1]2_inventory_totals'!$G$8:$G$10000,"="&amp;T60)+SUMIFS('[1]2_inventory_totals'!$R$8:$R$10000,'[1]2_inventory_totals'!$C$8:$C$10000,I60,'[1]2_inventory_totals'!$F$8:$F$10000,"="&amp;S60,'[1]2_inventory_totals'!$G$8:$G$10000,"="&amp;T60))+(SUMIFS('[1]2_inventory_totals'!$J$8:$J$10000,'[1]2_inventory_totals'!$C$8:$C$10000,I60,'[1]2_inventory_totals'!$F$8:$F$10000,"="&amp;S60,'[1]2_inventory_totals'!$G$8:$G$10000,"="&amp;T60)+SUMIFS('[1]2_inventory_totals'!$K$8:$K$10000,'[1]2_inventory_totals'!$C$8:$C$10000,I60,'[1]2_inventory_totals'!$F$8:$F$10000,"="&amp;S60,'[1]2_inventory_totals'!$G$8:$G$10000,"="&amp;T60)+SUMIFS('[1]2_inventory_totals'!$L$8:$L$10000,'[1]2_inventory_totals'!$C$8:$C$10000,I60,'[1]2_inventory_totals'!$F$8:$F$10000,"="&amp;S60,'[1]2_inventory_totals'!$G$8:$G$10000,"="&amp;T60)+SUMIFS('[1]2_inventory_totals'!$M$8:$M$10000,'[1]2_inventory_totals'!$C$8:$C$10000,I60,'[1]2_inventory_totals'!$F$8:$F$10000,"="&amp;S60,'[1]2_inventory_totals'!$G$8:$G$10000,"="&amp;T60)+SUMIFS('[1]2_inventory_totals'!$O$8:$O$10000,'[1]2_inventory_totals'!$C$8:$C$10000,I60,'[1]2_inventory_totals'!$F$8:$F$10000,"="&amp;S60,'[1]2_inventory_totals'!$G$8:$G$10000,"="&amp;T60)+SUMIFS('[1]2_inventory_totals'!$S$8:$S$10000,'[1]2_inventory_totals'!$C$8:$C$10000,I60,'[1]2_inventory_totals'!$F$8:$F$10000,"="&amp;S60,'[1]2_inventory_totals'!$G$8:$G$10000,"="&amp;T60)))</f>
        <v/>
      </c>
      <c r="AP60" s="954"/>
    </row>
    <row r="61" spans="1:42" ht="27" customHeight="1">
      <c r="A61" s="923"/>
      <c r="B61" s="1178"/>
      <c r="C61" s="950"/>
      <c r="D61" s="950"/>
      <c r="E61" s="950"/>
      <c r="F61" s="1199"/>
      <c r="G61" s="941"/>
      <c r="H61" s="1070"/>
      <c r="I61" s="1610" t="str">
        <f t="shared" si="5"/>
        <v/>
      </c>
      <c r="J61" s="270" t="str">
        <f t="shared" si="6"/>
        <v/>
      </c>
      <c r="K61" s="813" t="str">
        <f t="shared" si="16"/>
        <v/>
      </c>
      <c r="L61" s="1184"/>
      <c r="M61" s="1185"/>
      <c r="N61" s="1186"/>
      <c r="O61" s="1534"/>
      <c r="P61" s="336" t="str">
        <f t="shared" si="17"/>
        <v/>
      </c>
      <c r="Q61" s="336" t="str">
        <f>IF(L61="","",IF(AD61=0,0,(SUMIFS('[1]1_group_total_details'!$I$8:$I$10000,'[1]1_group_total_details'!$C$8:$C$10000,I61,'[1]1_group_total_details'!$F$8:$F$10000,adj_location_group_id,'[1]1_group_total_details'!$G$8:$G$10000,MID(N61,1,3)*1,'[1]1_group_total_details'!$H$8:$H$10000,"&lt;="&amp;adj_date)+SUMIFS('[1]1_group_total_details'!$L$8:$L$10000,'[1]1_group_total_details'!$C$8:$C$10000,I61,'[1]1_group_total_details'!$F$8:$F$10000,adj_location_group_id,'[1]1_group_total_details'!$G$8:$G$10000,MID(N61,1,3)*1,'[1]1_group_total_details'!$H$8:$H$10000,"&lt;="&amp;adj_date)+SUMIFS('[1]1_group_total_details'!$N$8:$N$10000,'[1]1_group_total_details'!$C$8:$C$10000,I61,'[1]1_group_total_details'!$F$8:$F$10000,adj_location_group_id,'[1]1_group_total_details'!$G$8:$G$10000,MID(N61,1,3)*1,'[1]1_group_total_details'!$H$8:$H$10000,"&lt;="&amp;adj_date)+SUMIFS('[1]1_group_total_details'!$O$8:$O$10000,'[1]1_group_total_details'!$C$8:$C$10000,I61,'[1]1_group_total_details'!$F$8:$F$10000,adj_location_group_id,'[1]1_group_total_details'!$G$8:$G$10000,MID(N61,1,3)*1,'[1]1_group_total_details'!$H$8:$H$10000,"&lt;="&amp;adj_date))-(SUMIFS('[1]1_group_total_details'!$J$8:$J$10000,'[1]1_group_total_details'!$C$8:$C$10000,I61,'[1]1_group_total_details'!$F$8:$F$10000,adj_location_group_id,'[1]1_group_total_details'!$G$8:$G$10000,MID(N61,1,3)*1,'[1]1_group_total_details'!$H$8:$H$10000,"&lt;="&amp;adj_date)+SUMIFS('[1]1_group_total_details'!$K$8:$K$10000,'[1]1_group_total_details'!$C$8:$C$10000,I61,'[1]1_group_total_details'!$F$8:$F$10000,adj_location_group_id,'[1]1_group_total_details'!$G$8:$G$10000,MID(N61,1,3)*1,'[1]1_group_total_details'!$H$8:$H$10000,"&lt;="&amp;adj_date)+SUMIFS('[1]1_group_total_details'!$M$8:$M$10000,'[1]1_group_total_details'!$C$8:$C$10000,I61,'[1]1_group_total_details'!$F$8:$F$10000,adj_location_group_id,'[1]1_group_total_details'!$G$8:$G$10000,MID(N61,1,3)*1,'[1]1_group_total_details'!$H$8:$H$10000,"&lt;="&amp;adj_date)+SUMIFS('[1]1_group_total_details'!$P$8:$P$10000,'[1]1_group_total_details'!$C$8:$C$10000,I61,'[1]1_group_total_details'!$F$8:$F$10000,adj_location_group_id,'[1]1_group_total_details'!$G$8:$G$10000,MID(N61,1,3)*1,'[1]1_group_total_details'!$H$8:$H$10000,"&lt;="&amp;adj_date))))</f>
        <v/>
      </c>
      <c r="R61" s="1187"/>
      <c r="S61" s="1186"/>
      <c r="T61" s="1186"/>
      <c r="U61" s="1184"/>
      <c r="V61" s="270" t="str" cm="1">
        <f t="array" ref="V61">IF(L61="","",IF(M61=AE61,1,Slookup(MID(AE61,1,3)*1,UomConversion!$D$8:$J$500,5,UomConversion!$E$8:$E$500,MID(M61,1,3)*1,UomConversion!$J$8:$J$500,1)))</f>
        <v/>
      </c>
      <c r="W61" s="270" t="str">
        <f t="shared" si="8"/>
        <v/>
      </c>
      <c r="X61" s="1795" t="str">
        <f t="shared" si="9"/>
        <v/>
      </c>
      <c r="Y61" s="1795" t="str">
        <f t="shared" si="10"/>
        <v/>
      </c>
      <c r="Z61" s="270" t="str">
        <f>IF(I61="","",IF(ISNA(MATCH(I61,IF(MID(N61,1,3)*1=1,'[1]1_inventory_totals'!$C$8:$C$10000,IF(MID(N61,1,3)*1=2,'[1]2_inventory_totals'!$C$8:$C$10000,"")),0)),0,IF(AL61&gt;0,1,0)))</f>
        <v/>
      </c>
      <c r="AA61" s="270" t="str">
        <f>IF(L61="","",IF(MID(N61,1,3)*1=1,SUMIFS('[1]1_inventory_total_details'!$J$8:$J$10000,'[1]1_inventory_total_details'!$C$8:$C$10000,I61,'[1]1_inventory_total_details'!$F$8:$F$10000,MID(N61,1,3)*1,'[1]1_inventory_total_details'!$G$8:$G$10000,"="&amp;S61,'[1]1_inventory_total_details'!$H$8:$H$10000,"="&amp;T61,'[1]1_inventory_total_details'!$I$8:$I$10000,"="&amp;adj_date)+SUMIFS('[1]1_inventory_total_details'!$M$8:$M$10000,'[1]1_inventory_total_details'!$C$8:$C$10000,I61,'[1]1_inventory_total_details'!$F$8:$F$10000,MID(N61,1,3)*1,'[1]1_inventory_total_details'!$G$8:$G$10000,"="&amp;S61,'[1]1_inventory_total_details'!$H$8:$H$10000,"="&amp;T61,'[1]1_inventory_total_details'!$I$8:$I$10000,"="&amp;adj_date)+SUMIFS('[1]1_inventory_total_details'!$K$8:$K$10000,'[1]1_inventory_total_details'!$C$8:$C$10000,I61,'[1]1_inventory_total_details'!$F$8:$F$10000,MID(N61,1,3)*1,'[1]1_inventory_total_details'!$G$8:$G$10000,"="&amp;S61,'[1]1_inventory_total_details'!$H$8:$H$10000,"="&amp;T61,'[1]1_inventory_total_details'!$I$8:$I$10000,"="&amp;adj_date)+SUMIFS('[1]1_inventory_total_details'!$L$8:$L$10000,'[1]1_inventory_total_details'!$C$8:$C$10000,I61,'[1]1_inventory_total_details'!$F$8:$F$10000,MID(N61,1,3)*1,'[1]1_inventory_total_details'!$G$8:$G$10000,"="&amp;S61,'[1]1_inventory_total_details'!$H$8:$H$10000,"="&amp;T61,'[1]1_inventory_total_details'!$I$8:$I$10000,"="&amp;adj_date),SUMIFS('[1]2_inventory_total_details'!$J$8:$J$10000,'[1]2_inventory_total_details'!$C$8:$C$10000,I61,'[1]2_inventory_total_details'!$F$8:$F$10000,MID(N61,1,3)*1,'[1]2_inventory_total_details'!$G$8:$G$10000,"="&amp;S61,'[1]2_inventory_total_details'!$H$8:$H$10000,"="&amp;T61,'[1]2_inventory_total_details'!$I$8:$I$10000,"="&amp;adj_date)+SUMIFS('[1]2_inventory_total_details'!$M$8:$M$10000,'[1]1_inventory_total_details'!$C$8:$C$10000,I61,'[1]2_inventory_total_details'!$F$8:$F$10000,MID(N61,1,3)*1,'[1]2_inventory_total_details'!$G$8:$G$10000,"="&amp;S61,'[1]2_inventory_total_details'!$H$8:$H$10000,"="&amp;T61,'[1]2_inventory_total_details'!$I$8:$I$10000,"="&amp;adj_date)+SUMIFS('[1]2_inventory_total_details'!$K$8:$K$10000,'[1]2_inventory_total_details'!$C$8:$C$10000,I61,'[1]2_inventory_total_details'!$F$8:$F$10000,MID(N61,1,3)*1,'[1]2_inventory_total_details'!$G$8:$G$10000,"="&amp;S61,'[1]2_inventory_total_details'!$H$8:$H$10000,"="&amp;T61,'[1]2_inventory_total_details'!$I$8:$I$10000,"="&amp;adj_date)+SUMIFS('[1]2_inventory_total_details'!$L$8:$L$10000,'[1]2_inventory_total_details'!$C$8:$C$10000,I61,'[1]2_inventory_total_details'!$F$8:$F$10000,MID(N61,1,3)*1,'[1]2_inventory_total_details'!$G$8:$G$10000,"="&amp;S61,'[1]2_inventory_total_details'!$H$8:$H$10000,"="&amp;T61,'[1]2_inventory_total_details'!$I$8:$I$10000,"="&amp;adj_date)))</f>
        <v/>
      </c>
      <c r="AB61" s="270" t="str">
        <f>IF(L61="","",IF(MID(N61,1,3)*1=1,SUMIFS('[1]1_inventory_total_details'!$J$8:$J$10000,'[1]1_inventory_total_details'!$C$8:$C$10000,I61,'[1]1_inventory_total_details'!$F$8:$F$10000,MID(N61,1,3)*1,'[1]1_inventory_total_details'!$G$8:$G$10000,"="&amp;S61,'[1]1_inventory_total_details'!$H$8:$H$10000,"="&amp;T61,'[1]1_inventory_total_details'!$I$8:$I$10000,"="&amp;adj_date)+SUMIFS('[1]1_inventory_total_details'!$M$8:$M$10000,'[1]1_inventory_total_details'!$C$8:$C$10000,I61,'[1]1_inventory_total_details'!$F$8:$F$10000,MID(N61,1,3)*1,'[1]1_inventory_total_details'!$G$8:$G$10000,"="&amp;S61,'[1]1_inventory_total_details'!$H$8:$H$10000,"="&amp;T61,'[1]1_inventory_total_details'!$I$8:$I$10000,"="&amp;adj_date)+SUMIFS('[1]1_inventory_total_details'!$K$8:$K$10000,'[1]1_inventory_total_details'!$C$8:$C$10000,I61,'[1]1_inventory_total_details'!$F$8:$F$10000,MID(N61,1,3)*1,'[1]1_inventory_total_details'!$G$8:$G$10000,"="&amp;S61,'[1]1_inventory_total_details'!$H$8:$H$10000,"="&amp;T61,'[1]1_inventory_total_details'!$I$8:$I$10000,"="&amp;adj_date)+SUMIFS('[1]1_inventory_total_details'!$L$8:$L$10000,'[1]1_inventory_total_details'!$C$8:$C$10000,I61,'[1]1_inventory_total_details'!$F$8:$F$10000,MID(N61,1,3)*1,'[1]1_inventory_total_details'!$G$8:$G$10000,"="&amp;S61,'[1]1_inventory_total_details'!$H$8:$H$10000,"="&amp;T61,'[1]1_inventory_total_details'!$I$8:$I$10000,"="&amp;adj_date),SUMIFS('[1]2_inventory_total_details'!$J$8:$J$10000,'[1]2_inventory_total_details'!$C$8:$C$10000,I61,'[1]2_inventory_total_details'!$F$8:$F$10000,MID(N61,1,3)*1,'[1]2_inventory_total_details'!$G$8:$G$10000,"="&amp;S61,'[1]2_inventory_total_details'!$H$8:$H$10000,"="&amp;T61,'[1]2_inventory_total_details'!$I$8:$I$10000,"="&amp;adj_date)+SUMIFS('[1]2_inventory_total_details'!$M$8:$M$10000,'[1]1_inventory_total_details'!$C$8:$C$10000,I61,'[1]2_inventory_total_details'!$F$8:$F$10000,MID(N61,1,3)*1,'[1]2_inventory_total_details'!$G$8:$G$10000,"="&amp;S61,'[1]2_inventory_total_details'!$H$8:$H$10000,"="&amp;T61,'[1]2_inventory_total_details'!$I$8:$I$10000,"="&amp;adj_date)+SUMIFS('[1]2_inventory_total_details'!$K$8:$K$10000,'[1]2_inventory_total_details'!$C$8:$C$10000,I61,'[1]2_inventory_total_details'!$F$8:$F$10000,MID(N61,1,3)*1,'[1]2_inventory_total_details'!$G$8:$G$10000,"="&amp;S61,'[1]2_inventory_total_details'!$H$8:$H$10000,"="&amp;T61,'[1]2_inventory_total_details'!$I$8:$I$10000,"="&amp;adj_date)+SUMIFS('[1]2_inventory_total_details'!$L$8:$L$10000,'[1]2_inventory_total_details'!$C$8:$C$10000,I61,'[1]2_inventory_total_details'!$F$8:$F$10000,MID(N61,1,3)*1,'[1]2_inventory_total_details'!$G$8:$G$10000,"="&amp;S61,'[1]2_inventory_total_details'!$H$8:$H$10000,"="&amp;T61,'[1]2_inventory_total_details'!$I$8:$I$10000,"="&amp;adj_date)))</f>
        <v/>
      </c>
      <c r="AC61" s="270" t="str">
        <f>IF(L61="","",IF(MID(N61,1,3)*1=1,SUMIFS('[1]1_inventory_total_details'!$J$8:$J$10000,'[1]1_inventory_total_details'!$C$8:$C$10000,I61,'[1]1_inventory_total_details'!$F$8:$F$10000,MID(N61,1,3)*1,'[1]1_inventory_total_details'!$G$8:$G$10000,"="&amp;S61,'[1]1_inventory_total_details'!$H$8:$H$10000,"="&amp;T61,'[1]1_inventory_total_details'!$I$8:$I$10000,"="&amp;adj_date)+SUMIFS('[1]1_inventory_total_details'!$M$8:$M$10000,'[1]1_inventory_total_details'!$C$8:$C$10000,I61,'[1]1_inventory_total_details'!$F$8:$F$10000,MID(N61,1,3)*1,'[1]1_inventory_total_details'!$G$8:$G$10000,"="&amp;S61,'[1]1_inventory_total_details'!$H$8:$H$10000,"="&amp;T61,'[1]1_inventory_total_details'!$I$8:$I$10000,"="&amp;adj_date)+SUMIFS('[1]1_inventory_total_details'!$K$8:$K$10000,'[1]1_inventory_total_details'!$C$8:$C$10000,I61,'[1]1_inventory_total_details'!$F$8:$F$10000,MID(N61,1,3)*1,'[1]1_inventory_total_details'!$G$8:$G$10000,"="&amp;S61,'[1]1_inventory_total_details'!$H$8:$H$10000,"="&amp;T61,'[1]1_inventory_total_details'!$I$8:$I$10000,"="&amp;adj_date)+SUMIFS('[1]1_inventory_total_details'!$L$8:$L$10000,'[1]1_inventory_total_details'!$C$8:$C$10000,I61,'[1]1_inventory_total_details'!$F$8:$F$10000,MID(N61,1,3)*1,'[1]1_inventory_total_details'!$G$8:$G$10000,"="&amp;S61,'[1]1_inventory_total_details'!$H$8:$H$10000,"="&amp;T61,'[1]1_inventory_total_details'!$I$8:$I$10000,"="&amp;adj_date),SUMIFS('[1]2_inventory_total_details'!$J$8:$J$10000,'[1]2_inventory_total_details'!$C$8:$C$10000,I61,'[1]2_inventory_total_details'!$F$8:$F$10000,MID(N61,1,3)*1,'[1]2_inventory_total_details'!$G$8:$G$10000,"="&amp;S61,'[1]2_inventory_total_details'!$H$8:$H$10000,"="&amp;T61,'[1]2_inventory_total_details'!$I$8:$I$10000,"="&amp;adj_date)+SUMIFS('[1]2_inventory_total_details'!$M$8:$M$10000,'[1]1_inventory_total_details'!$C$8:$C$10000,I61,'[1]2_inventory_total_details'!$F$8:$F$10000,MID(N61,1,3)*1,'[1]2_inventory_total_details'!$G$8:$G$10000,"="&amp;S61,'[1]2_inventory_total_details'!$H$8:$H$10000,"="&amp;T61,'[1]2_inventory_total_details'!$I$8:$I$10000,"="&amp;adj_date)+SUMIFS('[1]2_inventory_total_details'!$K$8:$K$10000,'[1]2_inventory_total_details'!$C$8:$C$10000,I61,'[1]2_inventory_total_details'!$F$8:$F$10000,MID(N61,1,3)*1,'[1]2_inventory_total_details'!$G$8:$G$10000,"="&amp;S61,'[1]2_inventory_total_details'!$H$8:$H$10000,"="&amp;T61,'[1]2_inventory_total_details'!$I$8:$I$10000,"="&amp;adj_date)+SUMIFS('[1]2_inventory_total_details'!$L$8:$L$10000,'[1]2_inventory_total_details'!$C$8:$C$10000,I61,'[1]2_inventory_total_details'!$F$8:$F$10000,MID(N61,1,3)*1,'[1]2_inventory_total_details'!$G$8:$G$10000,"="&amp;S61,'[1]2_inventory_total_details'!$H$8:$H$10000,"="&amp;T61,'[1]2_inventory_total_details'!$I$8:$I$10000,"="&amp;adj_date)))</f>
        <v/>
      </c>
      <c r="AD61" s="270" t="str">
        <f>IF(L61="","",SUMIFS('[1]1_group_totals'!$J$8:$J$10000,'[1]1_group_totals'!$C$8:$C$10000,I61,'[1]1_group_totals'!$F$8:$F$10000,adj_location_group_id,'[1]1_group_totals'!$G$8:$G$10000,MID(N61,1,3)*1,'[1]1_group_totals'!$H$8:$H$10000,"="&amp;S61,'[1]1_group_totals'!$I$8:$I$10000,"="&amp;T61))</f>
        <v/>
      </c>
      <c r="AE61" s="1796" t="str">
        <f t="shared" si="11"/>
        <v/>
      </c>
      <c r="AF61" s="1797" t="str">
        <f>IF(ISNA(MATCH(MID(AE61,1,3)*1,UomConversion!$D$8:$D$500,0)),"",IF(AJ61&lt;&gt;"",AJ61,""))</f>
        <v/>
      </c>
      <c r="AG61" s="1797" t="str">
        <f>IF(AND(AH61&gt;0,COUNTIFS(UomConversion!$D$8:$D$500,MID(AE61,1,3)*1,UomConversion!$J$8:$J$500,1)&gt;1),TEXT(AH61,"000")&amp;"."&amp;VLOOKUP(AH61,uom_list,5,FALSE),"")</f>
        <v/>
      </c>
      <c r="AH61" s="270" t="str">
        <f t="shared" si="12"/>
        <v/>
      </c>
      <c r="AI61" s="270" t="str">
        <f t="shared" si="13"/>
        <v/>
      </c>
      <c r="AJ61" s="270" t="str">
        <f t="shared" si="14"/>
        <v/>
      </c>
      <c r="AK61" s="270" t="str" cm="1">
        <f t="array" ref="AK61">IF(L61="","",Slookup(MID(AE61,1,3)*1,UomConversion!$D$8:$J$500,2,UomConversion!$I$8:$I$500,1,UomConversion!$J$8:$J$500,1))</f>
        <v/>
      </c>
      <c r="AL61" s="270" t="str">
        <f t="shared" si="15"/>
        <v/>
      </c>
      <c r="AM61" s="270" t="str">
        <f>IF(L61="","",(SUMIFS('[1]1_group_totals'!$K$8:$K$10000,'[1]1_group_totals'!$C$8:$C$10000,I61,'[1]1_group_totals'!$F$8:$F$10000,adj_location_group_id,'[1]1_group_totals'!$G$8:$G$10000,MID(N61,1,3)*1,'[1]1_group_totals'!$H$8:$H$10000,"="&amp;S61,'[1]1_group_totals'!$I$8:$I$10000,"="&amp;T61)+SUMIFS('[1]1_group_totals'!$N$8:$N$10000,'[1]1_group_totals'!$C$8:$C$10000,I61,'[1]1_group_totals'!$F$8:$F$10000,adj_location_group_id,'[1]1_group_totals'!$G$8:$G$10000,MID(N61,1,3)*1,'[1]1_group_totals'!$H$8:$H$10000,"="&amp;S61,'[1]1_group_totals'!$I$8:$I$10000,"="&amp;T61)+SUMIFS('[1]1_group_totals'!$P$8:$P$10000,'[1]1_group_totals'!$C$8:$C$10000,I61,'[1]1_group_totals'!$F$8:$F$10000,adj_location_group_id,'[1]1_group_totals'!$G$8:$G$10000,MID(N61,1,3)*1,'[1]1_group_totals'!$H$8:$H$10000,"="&amp;S61,'[1]1_group_totals'!$I$8:$I$10000,"="&amp;T61)+SUMIFS('[1]1_group_totals'!$Q$8:$Q$10000,'[1]1_group_totals'!$C$8:$C$10000,I61,'[1]1_group_totals'!$F$8:$F$10000,adj_location_group_id,'[1]1_group_totals'!$G$8:$G$10000,MID(N61,1,3)*1,'[1]1_group_totals'!$H$8:$H$10000,"="&amp;S61,'[1]1_group_totals'!$I$8:$I$10000,"="&amp;T61))+(SUMIFS('[1]1_group_totals'!$L$8:$L$10000,'[1]1_group_totals'!$C$8:$C$10000,I61,'[1]1_group_totals'!$F$8:$F$10000,adj_location_group_id,'[1]1_group_totals'!$G$8:$G$10000,MID(N61,1,3)*1,'[1]1_group_totals'!$H$8:$H$10000,"="&amp;S61,'[1]1_group_totals'!$I$8:$I$10000,"="&amp;T61)+SUMIFS('[1]1_group_totals'!$M$8:$M$10000,'[1]1_group_totals'!$C$8:$C$10000,I61,'[1]1_group_totals'!$F$8:$F$10000,adj_location_group_id,'[1]1_group_totals'!$G$8:$G$10000,MID(N61,1,3)*1,'[1]1_group_totals'!$H$8:$H$10000,"="&amp;S61,'[1]1_group_totals'!$I$8:$I$10000,"="&amp;T61)+SUMIFS('[1]1_group_totals'!$O$8:$O$10000,'[1]1_group_totals'!$C$8:$C$10000,I61,'[1]1_group_totals'!$F$8:$F$10000,adj_location_group_id,'[1]1_group_totals'!$G$8:$G$10000,MID(N61,1,3)*1,'[1]1_group_totals'!$H$8:$H$10000,"="&amp;S61,'[1]1_group_totals'!$I$8:$I$10000,"="&amp;T61)+SUMIFS('[1]1_group_totals'!$R$8:$R$10000,'[1]1_group_totals'!$C$8:$C$10000,I61,'[1]1_group_totals'!$F$8:$F$10000,adj_location_group_id,'[1]1_group_totals'!$G$8:$G$10000,MID(N61,1,3)*1,'[1]1_group_totals'!$H$8:$H$10000,"="&amp;S61,'[1]1_group_totals'!$I$8:$I$10000,"="&amp;T61)))</f>
        <v/>
      </c>
      <c r="AN61" s="270" t="str">
        <f>IF(L61="","",(SUMIFS('[1]1_inventory_totals'!$I$8:$I$10000,'[1]1_inventory_totals'!$C$8:$C$10000,I61,'[1]1_inventory_totals'!$F$8:$F$10000,"="&amp;S61,'[1]1_inventory_totals'!$G$8:$G$10000,"="&amp;T61)+SUMIFS('[1]1_inventory_totals'!$N$8:$N$10000,'[1]1_inventory_totals'!$C$8:$C$10000,I61,'[1]1_inventory_totals'!$F$8:$F$10000,"="&amp;S61,'[1]1_inventory_totals'!$G$8:$G$10000,"="&amp;T61)+SUMIFS('[1]1_inventory_totals'!$P$8:$P$10000,'[1]1_inventory_totals'!$C$8:$C$10000,I61,'[1]1_inventory_totals'!$F$8:$F$10000,"="&amp;S61,'[1]1_inventory_totals'!$G$8:$G$10000,"="&amp;T61)+SUMIFS('[1]1_inventory_totals'!$Q$8:$Q$10000,'[1]1_inventory_totals'!$C$8:$C$10000,I61,'[1]1_inventory_totals'!$F$8:$F$10000,"="&amp;S61,'[1]1_inventory_totals'!$G$8:$G$10000,"="&amp;T61)+SUMIFS('[1]1_inventory_totals'!$R$8:$R$10000,'[1]1_inventory_totals'!$C$8:$C$10000,I61,'[1]1_inventory_totals'!$F$8:$F$10000,"="&amp;S61,'[1]1_inventory_totals'!$G$8:$G$10000,"="&amp;T61))+(SUMIFS('[1]1_inventory_totals'!$J$8:$J$10000,'[1]1_inventory_totals'!$C$8:$C$10000,I61,'[1]1_inventory_totals'!$F$8:$F$10000,"="&amp;S61,'[1]1_inventory_totals'!$G$8:$G$10000,"="&amp;T61)+SUMIFS('[1]1_inventory_totals'!$K$8:$K$10000,'[1]1_inventory_totals'!$C$8:$C$10000,I61,'[1]1_inventory_totals'!$F$8:$F$10000,"="&amp;S61,'[1]1_inventory_totals'!$G$8:$G$10000,"="&amp;T61)+SUMIFS('[1]1_inventory_totals'!$L$8:$L$10000,'[1]1_inventory_totals'!$C$8:$C$10000,I61,'[1]1_inventory_totals'!$F$8:$F$10000,"="&amp;S61,'[1]1_inventory_totals'!$G$8:$G$10000,"="&amp;T61)+SUMIFS('[1]1_inventory_totals'!$M$8:$M$10000,'[1]1_inventory_totals'!$C$8:$C$10000,I61,'[1]1_inventory_totals'!$F$8:$F$10000,"="&amp;S61,'[1]1_inventory_totals'!$G$8:$G$10000,"="&amp;T61)+SUMIFS('[1]1_inventory_totals'!$O$8:$O$10000,'[1]1_inventory_totals'!$C$8:$C$10000,I61,'[1]1_inventory_totals'!$F$8:$F$10000,"="&amp;S61,'[1]1_inventory_totals'!$G$8:$G$10000,"="&amp;T61)+SUMIFS('[1]1_inventory_totals'!$S$8:$S$10000,'[1]1_inventory_totals'!$C$8:$C$10000,I61,'[1]1_inventory_totals'!$F$8:$F$10000,"="&amp;S61,'[1]1_inventory_totals'!$G$8:$G$10000,"="&amp;T61)))</f>
        <v/>
      </c>
      <c r="AO61" s="270" t="str">
        <f>IF(L61="","",(SUMIFS('[1]2_inventory_totals'!$I$8:$I$10000,'[1]2_inventory_totals'!$C$8:$C$10000,I61,'[1]2_inventory_totals'!$F$8:$F$10000,"="&amp;S61,'[1]2_inventory_totals'!$G$8:$G$10000,"="&amp;T61)+SUMIFS('[1]2_inventory_totals'!$N$8:$N$10000,'[1]2_inventory_totals'!$C$8:$C$10000,I61,'[1]2_inventory_totals'!$F$8:$F$10000,"="&amp;S61,'[1]2_inventory_totals'!$G$8:$G$10000,"="&amp;T61)+SUMIFS('[1]2_inventory_totals'!$P$8:$P$10000,'[1]2_inventory_totals'!$C$8:$C$10000,I61,'[1]2_inventory_totals'!$F$8:$F$10000,"="&amp;S61,'[1]2_inventory_totals'!$G$8:$G$10000,"="&amp;T61)+SUMIFS('[1]2_inventory_totals'!$Q$8:$Q$10000,'[1]2_inventory_totals'!$C$8:$C$10000,I61,'[1]2_inventory_totals'!$F$8:$F$10000,"="&amp;S61,'[1]2_inventory_totals'!$G$8:$G$10000,"="&amp;T61)+SUMIFS('[1]2_inventory_totals'!$R$8:$R$10000,'[1]2_inventory_totals'!$C$8:$C$10000,I61,'[1]2_inventory_totals'!$F$8:$F$10000,"="&amp;S61,'[1]2_inventory_totals'!$G$8:$G$10000,"="&amp;T61))+(SUMIFS('[1]2_inventory_totals'!$J$8:$J$10000,'[1]2_inventory_totals'!$C$8:$C$10000,I61,'[1]2_inventory_totals'!$F$8:$F$10000,"="&amp;S61,'[1]2_inventory_totals'!$G$8:$G$10000,"="&amp;T61)+SUMIFS('[1]2_inventory_totals'!$K$8:$K$10000,'[1]2_inventory_totals'!$C$8:$C$10000,I61,'[1]2_inventory_totals'!$F$8:$F$10000,"="&amp;S61,'[1]2_inventory_totals'!$G$8:$G$10000,"="&amp;T61)+SUMIFS('[1]2_inventory_totals'!$L$8:$L$10000,'[1]2_inventory_totals'!$C$8:$C$10000,I61,'[1]2_inventory_totals'!$F$8:$F$10000,"="&amp;S61,'[1]2_inventory_totals'!$G$8:$G$10000,"="&amp;T61)+SUMIFS('[1]2_inventory_totals'!$M$8:$M$10000,'[1]2_inventory_totals'!$C$8:$C$10000,I61,'[1]2_inventory_totals'!$F$8:$F$10000,"="&amp;S61,'[1]2_inventory_totals'!$G$8:$G$10000,"="&amp;T61)+SUMIFS('[1]2_inventory_totals'!$O$8:$O$10000,'[1]2_inventory_totals'!$C$8:$C$10000,I61,'[1]2_inventory_totals'!$F$8:$F$10000,"="&amp;S61,'[1]2_inventory_totals'!$G$8:$G$10000,"="&amp;T61)+SUMIFS('[1]2_inventory_totals'!$S$8:$S$10000,'[1]2_inventory_totals'!$C$8:$C$10000,I61,'[1]2_inventory_totals'!$F$8:$F$10000,"="&amp;S61,'[1]2_inventory_totals'!$G$8:$G$10000,"="&amp;T61)))</f>
        <v/>
      </c>
      <c r="AP61" s="954"/>
    </row>
    <row r="62" spans="1:42" ht="27" customHeight="1">
      <c r="A62" s="923"/>
      <c r="B62" s="1178"/>
      <c r="C62" s="950"/>
      <c r="D62" s="950"/>
      <c r="E62" s="950"/>
      <c r="F62" s="1199"/>
      <c r="G62" s="941"/>
      <c r="H62" s="1070"/>
      <c r="I62" s="1610" t="str">
        <f t="shared" si="5"/>
        <v/>
      </c>
      <c r="J62" s="270" t="str">
        <f t="shared" si="6"/>
        <v/>
      </c>
      <c r="K62" s="813" t="str">
        <f t="shared" si="16"/>
        <v/>
      </c>
      <c r="L62" s="1184"/>
      <c r="M62" s="1185"/>
      <c r="N62" s="1186"/>
      <c r="O62" s="1534"/>
      <c r="P62" s="336" t="str">
        <f t="shared" si="17"/>
        <v/>
      </c>
      <c r="Q62" s="336" t="str">
        <f>IF(L62="","",IF(AD62=0,0,(SUMIFS('[1]1_group_total_details'!$I$8:$I$10000,'[1]1_group_total_details'!$C$8:$C$10000,I62,'[1]1_group_total_details'!$F$8:$F$10000,adj_location_group_id,'[1]1_group_total_details'!$G$8:$G$10000,MID(N62,1,3)*1,'[1]1_group_total_details'!$H$8:$H$10000,"&lt;="&amp;adj_date)+SUMIFS('[1]1_group_total_details'!$L$8:$L$10000,'[1]1_group_total_details'!$C$8:$C$10000,I62,'[1]1_group_total_details'!$F$8:$F$10000,adj_location_group_id,'[1]1_group_total_details'!$G$8:$G$10000,MID(N62,1,3)*1,'[1]1_group_total_details'!$H$8:$H$10000,"&lt;="&amp;adj_date)+SUMIFS('[1]1_group_total_details'!$N$8:$N$10000,'[1]1_group_total_details'!$C$8:$C$10000,I62,'[1]1_group_total_details'!$F$8:$F$10000,adj_location_group_id,'[1]1_group_total_details'!$G$8:$G$10000,MID(N62,1,3)*1,'[1]1_group_total_details'!$H$8:$H$10000,"&lt;="&amp;adj_date)+SUMIFS('[1]1_group_total_details'!$O$8:$O$10000,'[1]1_group_total_details'!$C$8:$C$10000,I62,'[1]1_group_total_details'!$F$8:$F$10000,adj_location_group_id,'[1]1_group_total_details'!$G$8:$G$10000,MID(N62,1,3)*1,'[1]1_group_total_details'!$H$8:$H$10000,"&lt;="&amp;adj_date))-(SUMIFS('[1]1_group_total_details'!$J$8:$J$10000,'[1]1_group_total_details'!$C$8:$C$10000,I62,'[1]1_group_total_details'!$F$8:$F$10000,adj_location_group_id,'[1]1_group_total_details'!$G$8:$G$10000,MID(N62,1,3)*1,'[1]1_group_total_details'!$H$8:$H$10000,"&lt;="&amp;adj_date)+SUMIFS('[1]1_group_total_details'!$K$8:$K$10000,'[1]1_group_total_details'!$C$8:$C$10000,I62,'[1]1_group_total_details'!$F$8:$F$10000,adj_location_group_id,'[1]1_group_total_details'!$G$8:$G$10000,MID(N62,1,3)*1,'[1]1_group_total_details'!$H$8:$H$10000,"&lt;="&amp;adj_date)+SUMIFS('[1]1_group_total_details'!$M$8:$M$10000,'[1]1_group_total_details'!$C$8:$C$10000,I62,'[1]1_group_total_details'!$F$8:$F$10000,adj_location_group_id,'[1]1_group_total_details'!$G$8:$G$10000,MID(N62,1,3)*1,'[1]1_group_total_details'!$H$8:$H$10000,"&lt;="&amp;adj_date)+SUMIFS('[1]1_group_total_details'!$P$8:$P$10000,'[1]1_group_total_details'!$C$8:$C$10000,I62,'[1]1_group_total_details'!$F$8:$F$10000,adj_location_group_id,'[1]1_group_total_details'!$G$8:$G$10000,MID(N62,1,3)*1,'[1]1_group_total_details'!$H$8:$H$10000,"&lt;="&amp;adj_date))))</f>
        <v/>
      </c>
      <c r="R62" s="1187"/>
      <c r="S62" s="1186"/>
      <c r="T62" s="1186"/>
      <c r="U62" s="1184"/>
      <c r="V62" s="270" t="str" cm="1">
        <f t="array" ref="V62">IF(L62="","",IF(M62=AE62,1,Slookup(MID(AE62,1,3)*1,UomConversion!$D$8:$J$500,5,UomConversion!$E$8:$E$500,MID(M62,1,3)*1,UomConversion!$J$8:$J$500,1)))</f>
        <v/>
      </c>
      <c r="W62" s="270" t="str">
        <f t="shared" si="8"/>
        <v/>
      </c>
      <c r="X62" s="1795" t="str">
        <f t="shared" si="9"/>
        <v/>
      </c>
      <c r="Y62" s="1795" t="str">
        <f t="shared" si="10"/>
        <v/>
      </c>
      <c r="Z62" s="270" t="str">
        <f>IF(I62="","",IF(ISNA(MATCH(I62,IF(MID(N62,1,3)*1=1,'[1]1_inventory_totals'!$C$8:$C$10000,IF(MID(N62,1,3)*1=2,'[1]2_inventory_totals'!$C$8:$C$10000,"")),0)),0,IF(AL62&gt;0,1,0)))</f>
        <v/>
      </c>
      <c r="AA62" s="270" t="str">
        <f>IF(L62="","",IF(MID(N62,1,3)*1=1,SUMIFS('[1]1_inventory_total_details'!$J$8:$J$10000,'[1]1_inventory_total_details'!$C$8:$C$10000,I62,'[1]1_inventory_total_details'!$F$8:$F$10000,MID(N62,1,3)*1,'[1]1_inventory_total_details'!$G$8:$G$10000,"="&amp;S62,'[1]1_inventory_total_details'!$H$8:$H$10000,"="&amp;T62,'[1]1_inventory_total_details'!$I$8:$I$10000,"="&amp;adj_date)+SUMIFS('[1]1_inventory_total_details'!$M$8:$M$10000,'[1]1_inventory_total_details'!$C$8:$C$10000,I62,'[1]1_inventory_total_details'!$F$8:$F$10000,MID(N62,1,3)*1,'[1]1_inventory_total_details'!$G$8:$G$10000,"="&amp;S62,'[1]1_inventory_total_details'!$H$8:$H$10000,"="&amp;T62,'[1]1_inventory_total_details'!$I$8:$I$10000,"="&amp;adj_date)+SUMIFS('[1]1_inventory_total_details'!$K$8:$K$10000,'[1]1_inventory_total_details'!$C$8:$C$10000,I62,'[1]1_inventory_total_details'!$F$8:$F$10000,MID(N62,1,3)*1,'[1]1_inventory_total_details'!$G$8:$G$10000,"="&amp;S62,'[1]1_inventory_total_details'!$H$8:$H$10000,"="&amp;T62,'[1]1_inventory_total_details'!$I$8:$I$10000,"="&amp;adj_date)+SUMIFS('[1]1_inventory_total_details'!$L$8:$L$10000,'[1]1_inventory_total_details'!$C$8:$C$10000,I62,'[1]1_inventory_total_details'!$F$8:$F$10000,MID(N62,1,3)*1,'[1]1_inventory_total_details'!$G$8:$G$10000,"="&amp;S62,'[1]1_inventory_total_details'!$H$8:$H$10000,"="&amp;T62,'[1]1_inventory_total_details'!$I$8:$I$10000,"="&amp;adj_date),SUMIFS('[1]2_inventory_total_details'!$J$8:$J$10000,'[1]2_inventory_total_details'!$C$8:$C$10000,I62,'[1]2_inventory_total_details'!$F$8:$F$10000,MID(N62,1,3)*1,'[1]2_inventory_total_details'!$G$8:$G$10000,"="&amp;S62,'[1]2_inventory_total_details'!$H$8:$H$10000,"="&amp;T62,'[1]2_inventory_total_details'!$I$8:$I$10000,"="&amp;adj_date)+SUMIFS('[1]2_inventory_total_details'!$M$8:$M$10000,'[1]1_inventory_total_details'!$C$8:$C$10000,I62,'[1]2_inventory_total_details'!$F$8:$F$10000,MID(N62,1,3)*1,'[1]2_inventory_total_details'!$G$8:$G$10000,"="&amp;S62,'[1]2_inventory_total_details'!$H$8:$H$10000,"="&amp;T62,'[1]2_inventory_total_details'!$I$8:$I$10000,"="&amp;adj_date)+SUMIFS('[1]2_inventory_total_details'!$K$8:$K$10000,'[1]2_inventory_total_details'!$C$8:$C$10000,I62,'[1]2_inventory_total_details'!$F$8:$F$10000,MID(N62,1,3)*1,'[1]2_inventory_total_details'!$G$8:$G$10000,"="&amp;S62,'[1]2_inventory_total_details'!$H$8:$H$10000,"="&amp;T62,'[1]2_inventory_total_details'!$I$8:$I$10000,"="&amp;adj_date)+SUMIFS('[1]2_inventory_total_details'!$L$8:$L$10000,'[1]2_inventory_total_details'!$C$8:$C$10000,I62,'[1]2_inventory_total_details'!$F$8:$F$10000,MID(N62,1,3)*1,'[1]2_inventory_total_details'!$G$8:$G$10000,"="&amp;S62,'[1]2_inventory_total_details'!$H$8:$H$10000,"="&amp;T62,'[1]2_inventory_total_details'!$I$8:$I$10000,"="&amp;adj_date)))</f>
        <v/>
      </c>
      <c r="AB62" s="270" t="str">
        <f>IF(L62="","",IF(MID(N62,1,3)*1=1,SUMIFS('[1]1_inventory_total_details'!$J$8:$J$10000,'[1]1_inventory_total_details'!$C$8:$C$10000,I62,'[1]1_inventory_total_details'!$F$8:$F$10000,MID(N62,1,3)*1,'[1]1_inventory_total_details'!$G$8:$G$10000,"="&amp;S62,'[1]1_inventory_total_details'!$H$8:$H$10000,"="&amp;T62,'[1]1_inventory_total_details'!$I$8:$I$10000,"="&amp;adj_date)+SUMIFS('[1]1_inventory_total_details'!$M$8:$M$10000,'[1]1_inventory_total_details'!$C$8:$C$10000,I62,'[1]1_inventory_total_details'!$F$8:$F$10000,MID(N62,1,3)*1,'[1]1_inventory_total_details'!$G$8:$G$10000,"="&amp;S62,'[1]1_inventory_total_details'!$H$8:$H$10000,"="&amp;T62,'[1]1_inventory_total_details'!$I$8:$I$10000,"="&amp;adj_date)+SUMIFS('[1]1_inventory_total_details'!$K$8:$K$10000,'[1]1_inventory_total_details'!$C$8:$C$10000,I62,'[1]1_inventory_total_details'!$F$8:$F$10000,MID(N62,1,3)*1,'[1]1_inventory_total_details'!$G$8:$G$10000,"="&amp;S62,'[1]1_inventory_total_details'!$H$8:$H$10000,"="&amp;T62,'[1]1_inventory_total_details'!$I$8:$I$10000,"="&amp;adj_date)+SUMIFS('[1]1_inventory_total_details'!$L$8:$L$10000,'[1]1_inventory_total_details'!$C$8:$C$10000,I62,'[1]1_inventory_total_details'!$F$8:$F$10000,MID(N62,1,3)*1,'[1]1_inventory_total_details'!$G$8:$G$10000,"="&amp;S62,'[1]1_inventory_total_details'!$H$8:$H$10000,"="&amp;T62,'[1]1_inventory_total_details'!$I$8:$I$10000,"="&amp;adj_date),SUMIFS('[1]2_inventory_total_details'!$J$8:$J$10000,'[1]2_inventory_total_details'!$C$8:$C$10000,I62,'[1]2_inventory_total_details'!$F$8:$F$10000,MID(N62,1,3)*1,'[1]2_inventory_total_details'!$G$8:$G$10000,"="&amp;S62,'[1]2_inventory_total_details'!$H$8:$H$10000,"="&amp;T62,'[1]2_inventory_total_details'!$I$8:$I$10000,"="&amp;adj_date)+SUMIFS('[1]2_inventory_total_details'!$M$8:$M$10000,'[1]1_inventory_total_details'!$C$8:$C$10000,I62,'[1]2_inventory_total_details'!$F$8:$F$10000,MID(N62,1,3)*1,'[1]2_inventory_total_details'!$G$8:$G$10000,"="&amp;S62,'[1]2_inventory_total_details'!$H$8:$H$10000,"="&amp;T62,'[1]2_inventory_total_details'!$I$8:$I$10000,"="&amp;adj_date)+SUMIFS('[1]2_inventory_total_details'!$K$8:$K$10000,'[1]2_inventory_total_details'!$C$8:$C$10000,I62,'[1]2_inventory_total_details'!$F$8:$F$10000,MID(N62,1,3)*1,'[1]2_inventory_total_details'!$G$8:$G$10000,"="&amp;S62,'[1]2_inventory_total_details'!$H$8:$H$10000,"="&amp;T62,'[1]2_inventory_total_details'!$I$8:$I$10000,"="&amp;adj_date)+SUMIFS('[1]2_inventory_total_details'!$L$8:$L$10000,'[1]2_inventory_total_details'!$C$8:$C$10000,I62,'[1]2_inventory_total_details'!$F$8:$F$10000,MID(N62,1,3)*1,'[1]2_inventory_total_details'!$G$8:$G$10000,"="&amp;S62,'[1]2_inventory_total_details'!$H$8:$H$10000,"="&amp;T62,'[1]2_inventory_total_details'!$I$8:$I$10000,"="&amp;adj_date)))</f>
        <v/>
      </c>
      <c r="AC62" s="270" t="str">
        <f>IF(L62="","",IF(MID(N62,1,3)*1=1,SUMIFS('[1]1_inventory_total_details'!$J$8:$J$10000,'[1]1_inventory_total_details'!$C$8:$C$10000,I62,'[1]1_inventory_total_details'!$F$8:$F$10000,MID(N62,1,3)*1,'[1]1_inventory_total_details'!$G$8:$G$10000,"="&amp;S62,'[1]1_inventory_total_details'!$H$8:$H$10000,"="&amp;T62,'[1]1_inventory_total_details'!$I$8:$I$10000,"="&amp;adj_date)+SUMIFS('[1]1_inventory_total_details'!$M$8:$M$10000,'[1]1_inventory_total_details'!$C$8:$C$10000,I62,'[1]1_inventory_total_details'!$F$8:$F$10000,MID(N62,1,3)*1,'[1]1_inventory_total_details'!$G$8:$G$10000,"="&amp;S62,'[1]1_inventory_total_details'!$H$8:$H$10000,"="&amp;T62,'[1]1_inventory_total_details'!$I$8:$I$10000,"="&amp;adj_date)+SUMIFS('[1]1_inventory_total_details'!$K$8:$K$10000,'[1]1_inventory_total_details'!$C$8:$C$10000,I62,'[1]1_inventory_total_details'!$F$8:$F$10000,MID(N62,1,3)*1,'[1]1_inventory_total_details'!$G$8:$G$10000,"="&amp;S62,'[1]1_inventory_total_details'!$H$8:$H$10000,"="&amp;T62,'[1]1_inventory_total_details'!$I$8:$I$10000,"="&amp;adj_date)+SUMIFS('[1]1_inventory_total_details'!$L$8:$L$10000,'[1]1_inventory_total_details'!$C$8:$C$10000,I62,'[1]1_inventory_total_details'!$F$8:$F$10000,MID(N62,1,3)*1,'[1]1_inventory_total_details'!$G$8:$G$10000,"="&amp;S62,'[1]1_inventory_total_details'!$H$8:$H$10000,"="&amp;T62,'[1]1_inventory_total_details'!$I$8:$I$10000,"="&amp;adj_date),SUMIFS('[1]2_inventory_total_details'!$J$8:$J$10000,'[1]2_inventory_total_details'!$C$8:$C$10000,I62,'[1]2_inventory_total_details'!$F$8:$F$10000,MID(N62,1,3)*1,'[1]2_inventory_total_details'!$G$8:$G$10000,"="&amp;S62,'[1]2_inventory_total_details'!$H$8:$H$10000,"="&amp;T62,'[1]2_inventory_total_details'!$I$8:$I$10000,"="&amp;adj_date)+SUMIFS('[1]2_inventory_total_details'!$M$8:$M$10000,'[1]1_inventory_total_details'!$C$8:$C$10000,I62,'[1]2_inventory_total_details'!$F$8:$F$10000,MID(N62,1,3)*1,'[1]2_inventory_total_details'!$G$8:$G$10000,"="&amp;S62,'[1]2_inventory_total_details'!$H$8:$H$10000,"="&amp;T62,'[1]2_inventory_total_details'!$I$8:$I$10000,"="&amp;adj_date)+SUMIFS('[1]2_inventory_total_details'!$K$8:$K$10000,'[1]2_inventory_total_details'!$C$8:$C$10000,I62,'[1]2_inventory_total_details'!$F$8:$F$10000,MID(N62,1,3)*1,'[1]2_inventory_total_details'!$G$8:$G$10000,"="&amp;S62,'[1]2_inventory_total_details'!$H$8:$H$10000,"="&amp;T62,'[1]2_inventory_total_details'!$I$8:$I$10000,"="&amp;adj_date)+SUMIFS('[1]2_inventory_total_details'!$L$8:$L$10000,'[1]2_inventory_total_details'!$C$8:$C$10000,I62,'[1]2_inventory_total_details'!$F$8:$F$10000,MID(N62,1,3)*1,'[1]2_inventory_total_details'!$G$8:$G$10000,"="&amp;S62,'[1]2_inventory_total_details'!$H$8:$H$10000,"="&amp;T62,'[1]2_inventory_total_details'!$I$8:$I$10000,"="&amp;adj_date)))</f>
        <v/>
      </c>
      <c r="AD62" s="270" t="str">
        <f>IF(L62="","",SUMIFS('[1]1_group_totals'!$J$8:$J$10000,'[1]1_group_totals'!$C$8:$C$10000,I62,'[1]1_group_totals'!$F$8:$F$10000,adj_location_group_id,'[1]1_group_totals'!$G$8:$G$10000,MID(N62,1,3)*1,'[1]1_group_totals'!$H$8:$H$10000,"="&amp;S62,'[1]1_group_totals'!$I$8:$I$10000,"="&amp;T62))</f>
        <v/>
      </c>
      <c r="AE62" s="1796" t="str">
        <f t="shared" si="11"/>
        <v/>
      </c>
      <c r="AF62" s="1797" t="str">
        <f>IF(ISNA(MATCH(MID(AE62,1,3)*1,UomConversion!$D$8:$D$500,0)),"",IF(AJ62&lt;&gt;"",AJ62,""))</f>
        <v/>
      </c>
      <c r="AG62" s="1797" t="str">
        <f>IF(AND(AH62&gt;0,COUNTIFS(UomConversion!$D$8:$D$500,MID(AE62,1,3)*1,UomConversion!$J$8:$J$500,1)&gt;1),TEXT(AH62,"000")&amp;"."&amp;VLOOKUP(AH62,uom_list,5,FALSE),"")</f>
        <v/>
      </c>
      <c r="AH62" s="270" t="str">
        <f t="shared" si="12"/>
        <v/>
      </c>
      <c r="AI62" s="270" t="str">
        <f t="shared" si="13"/>
        <v/>
      </c>
      <c r="AJ62" s="270" t="str">
        <f t="shared" si="14"/>
        <v/>
      </c>
      <c r="AK62" s="270" t="str" cm="1">
        <f t="array" ref="AK62">IF(L62="","",Slookup(MID(AE62,1,3)*1,UomConversion!$D$8:$J$500,2,UomConversion!$I$8:$I$500,1,UomConversion!$J$8:$J$500,1))</f>
        <v/>
      </c>
      <c r="AL62" s="270" t="str">
        <f t="shared" si="15"/>
        <v/>
      </c>
      <c r="AM62" s="270" t="str">
        <f>IF(L62="","",(SUMIFS('[1]1_group_totals'!$K$8:$K$10000,'[1]1_group_totals'!$C$8:$C$10000,I62,'[1]1_group_totals'!$F$8:$F$10000,adj_location_group_id,'[1]1_group_totals'!$G$8:$G$10000,MID(N62,1,3)*1,'[1]1_group_totals'!$H$8:$H$10000,"="&amp;S62,'[1]1_group_totals'!$I$8:$I$10000,"="&amp;T62)+SUMIFS('[1]1_group_totals'!$N$8:$N$10000,'[1]1_group_totals'!$C$8:$C$10000,I62,'[1]1_group_totals'!$F$8:$F$10000,adj_location_group_id,'[1]1_group_totals'!$G$8:$G$10000,MID(N62,1,3)*1,'[1]1_group_totals'!$H$8:$H$10000,"="&amp;S62,'[1]1_group_totals'!$I$8:$I$10000,"="&amp;T62)+SUMIFS('[1]1_group_totals'!$P$8:$P$10000,'[1]1_group_totals'!$C$8:$C$10000,I62,'[1]1_group_totals'!$F$8:$F$10000,adj_location_group_id,'[1]1_group_totals'!$G$8:$G$10000,MID(N62,1,3)*1,'[1]1_group_totals'!$H$8:$H$10000,"="&amp;S62,'[1]1_group_totals'!$I$8:$I$10000,"="&amp;T62)+SUMIFS('[1]1_group_totals'!$Q$8:$Q$10000,'[1]1_group_totals'!$C$8:$C$10000,I62,'[1]1_group_totals'!$F$8:$F$10000,adj_location_group_id,'[1]1_group_totals'!$G$8:$G$10000,MID(N62,1,3)*1,'[1]1_group_totals'!$H$8:$H$10000,"="&amp;S62,'[1]1_group_totals'!$I$8:$I$10000,"="&amp;T62))+(SUMIFS('[1]1_group_totals'!$L$8:$L$10000,'[1]1_group_totals'!$C$8:$C$10000,I62,'[1]1_group_totals'!$F$8:$F$10000,adj_location_group_id,'[1]1_group_totals'!$G$8:$G$10000,MID(N62,1,3)*1,'[1]1_group_totals'!$H$8:$H$10000,"="&amp;S62,'[1]1_group_totals'!$I$8:$I$10000,"="&amp;T62)+SUMIFS('[1]1_group_totals'!$M$8:$M$10000,'[1]1_group_totals'!$C$8:$C$10000,I62,'[1]1_group_totals'!$F$8:$F$10000,adj_location_group_id,'[1]1_group_totals'!$G$8:$G$10000,MID(N62,1,3)*1,'[1]1_group_totals'!$H$8:$H$10000,"="&amp;S62,'[1]1_group_totals'!$I$8:$I$10000,"="&amp;T62)+SUMIFS('[1]1_group_totals'!$O$8:$O$10000,'[1]1_group_totals'!$C$8:$C$10000,I62,'[1]1_group_totals'!$F$8:$F$10000,adj_location_group_id,'[1]1_group_totals'!$G$8:$G$10000,MID(N62,1,3)*1,'[1]1_group_totals'!$H$8:$H$10000,"="&amp;S62,'[1]1_group_totals'!$I$8:$I$10000,"="&amp;T62)+SUMIFS('[1]1_group_totals'!$R$8:$R$10000,'[1]1_group_totals'!$C$8:$C$10000,I62,'[1]1_group_totals'!$F$8:$F$10000,adj_location_group_id,'[1]1_group_totals'!$G$8:$G$10000,MID(N62,1,3)*1,'[1]1_group_totals'!$H$8:$H$10000,"="&amp;S62,'[1]1_group_totals'!$I$8:$I$10000,"="&amp;T62)))</f>
        <v/>
      </c>
      <c r="AN62" s="270" t="str">
        <f>IF(L62="","",(SUMIFS('[1]1_inventory_totals'!$I$8:$I$10000,'[1]1_inventory_totals'!$C$8:$C$10000,I62,'[1]1_inventory_totals'!$F$8:$F$10000,"="&amp;S62,'[1]1_inventory_totals'!$G$8:$G$10000,"="&amp;T62)+SUMIFS('[1]1_inventory_totals'!$N$8:$N$10000,'[1]1_inventory_totals'!$C$8:$C$10000,I62,'[1]1_inventory_totals'!$F$8:$F$10000,"="&amp;S62,'[1]1_inventory_totals'!$G$8:$G$10000,"="&amp;T62)+SUMIFS('[1]1_inventory_totals'!$P$8:$P$10000,'[1]1_inventory_totals'!$C$8:$C$10000,I62,'[1]1_inventory_totals'!$F$8:$F$10000,"="&amp;S62,'[1]1_inventory_totals'!$G$8:$G$10000,"="&amp;T62)+SUMIFS('[1]1_inventory_totals'!$Q$8:$Q$10000,'[1]1_inventory_totals'!$C$8:$C$10000,I62,'[1]1_inventory_totals'!$F$8:$F$10000,"="&amp;S62,'[1]1_inventory_totals'!$G$8:$G$10000,"="&amp;T62)+SUMIFS('[1]1_inventory_totals'!$R$8:$R$10000,'[1]1_inventory_totals'!$C$8:$C$10000,I62,'[1]1_inventory_totals'!$F$8:$F$10000,"="&amp;S62,'[1]1_inventory_totals'!$G$8:$G$10000,"="&amp;T62))+(SUMIFS('[1]1_inventory_totals'!$J$8:$J$10000,'[1]1_inventory_totals'!$C$8:$C$10000,I62,'[1]1_inventory_totals'!$F$8:$F$10000,"="&amp;S62,'[1]1_inventory_totals'!$G$8:$G$10000,"="&amp;T62)+SUMIFS('[1]1_inventory_totals'!$K$8:$K$10000,'[1]1_inventory_totals'!$C$8:$C$10000,I62,'[1]1_inventory_totals'!$F$8:$F$10000,"="&amp;S62,'[1]1_inventory_totals'!$G$8:$G$10000,"="&amp;T62)+SUMIFS('[1]1_inventory_totals'!$L$8:$L$10000,'[1]1_inventory_totals'!$C$8:$C$10000,I62,'[1]1_inventory_totals'!$F$8:$F$10000,"="&amp;S62,'[1]1_inventory_totals'!$G$8:$G$10000,"="&amp;T62)+SUMIFS('[1]1_inventory_totals'!$M$8:$M$10000,'[1]1_inventory_totals'!$C$8:$C$10000,I62,'[1]1_inventory_totals'!$F$8:$F$10000,"="&amp;S62,'[1]1_inventory_totals'!$G$8:$G$10000,"="&amp;T62)+SUMIFS('[1]1_inventory_totals'!$O$8:$O$10000,'[1]1_inventory_totals'!$C$8:$C$10000,I62,'[1]1_inventory_totals'!$F$8:$F$10000,"="&amp;S62,'[1]1_inventory_totals'!$G$8:$G$10000,"="&amp;T62)+SUMIFS('[1]1_inventory_totals'!$S$8:$S$10000,'[1]1_inventory_totals'!$C$8:$C$10000,I62,'[1]1_inventory_totals'!$F$8:$F$10000,"="&amp;S62,'[1]1_inventory_totals'!$G$8:$G$10000,"="&amp;T62)))</f>
        <v/>
      </c>
      <c r="AO62" s="270" t="str">
        <f>IF(L62="","",(SUMIFS('[1]2_inventory_totals'!$I$8:$I$10000,'[1]2_inventory_totals'!$C$8:$C$10000,I62,'[1]2_inventory_totals'!$F$8:$F$10000,"="&amp;S62,'[1]2_inventory_totals'!$G$8:$G$10000,"="&amp;T62)+SUMIFS('[1]2_inventory_totals'!$N$8:$N$10000,'[1]2_inventory_totals'!$C$8:$C$10000,I62,'[1]2_inventory_totals'!$F$8:$F$10000,"="&amp;S62,'[1]2_inventory_totals'!$G$8:$G$10000,"="&amp;T62)+SUMIFS('[1]2_inventory_totals'!$P$8:$P$10000,'[1]2_inventory_totals'!$C$8:$C$10000,I62,'[1]2_inventory_totals'!$F$8:$F$10000,"="&amp;S62,'[1]2_inventory_totals'!$G$8:$G$10000,"="&amp;T62)+SUMIFS('[1]2_inventory_totals'!$Q$8:$Q$10000,'[1]2_inventory_totals'!$C$8:$C$10000,I62,'[1]2_inventory_totals'!$F$8:$F$10000,"="&amp;S62,'[1]2_inventory_totals'!$G$8:$G$10000,"="&amp;T62)+SUMIFS('[1]2_inventory_totals'!$R$8:$R$10000,'[1]2_inventory_totals'!$C$8:$C$10000,I62,'[1]2_inventory_totals'!$F$8:$F$10000,"="&amp;S62,'[1]2_inventory_totals'!$G$8:$G$10000,"="&amp;T62))+(SUMIFS('[1]2_inventory_totals'!$J$8:$J$10000,'[1]2_inventory_totals'!$C$8:$C$10000,I62,'[1]2_inventory_totals'!$F$8:$F$10000,"="&amp;S62,'[1]2_inventory_totals'!$G$8:$G$10000,"="&amp;T62)+SUMIFS('[1]2_inventory_totals'!$K$8:$K$10000,'[1]2_inventory_totals'!$C$8:$C$10000,I62,'[1]2_inventory_totals'!$F$8:$F$10000,"="&amp;S62,'[1]2_inventory_totals'!$G$8:$G$10000,"="&amp;T62)+SUMIFS('[1]2_inventory_totals'!$L$8:$L$10000,'[1]2_inventory_totals'!$C$8:$C$10000,I62,'[1]2_inventory_totals'!$F$8:$F$10000,"="&amp;S62,'[1]2_inventory_totals'!$G$8:$G$10000,"="&amp;T62)+SUMIFS('[1]2_inventory_totals'!$M$8:$M$10000,'[1]2_inventory_totals'!$C$8:$C$10000,I62,'[1]2_inventory_totals'!$F$8:$F$10000,"="&amp;S62,'[1]2_inventory_totals'!$G$8:$G$10000,"="&amp;T62)+SUMIFS('[1]2_inventory_totals'!$O$8:$O$10000,'[1]2_inventory_totals'!$C$8:$C$10000,I62,'[1]2_inventory_totals'!$F$8:$F$10000,"="&amp;S62,'[1]2_inventory_totals'!$G$8:$G$10000,"="&amp;T62)+SUMIFS('[1]2_inventory_totals'!$S$8:$S$10000,'[1]2_inventory_totals'!$C$8:$C$10000,I62,'[1]2_inventory_totals'!$F$8:$F$10000,"="&amp;S62,'[1]2_inventory_totals'!$G$8:$G$10000,"="&amp;T62)))</f>
        <v/>
      </c>
      <c r="AP62" s="954"/>
    </row>
    <row r="63" spans="1:42" ht="27" customHeight="1">
      <c r="A63" s="923"/>
      <c r="B63" s="1178"/>
      <c r="C63" s="950"/>
      <c r="D63" s="950"/>
      <c r="E63" s="950"/>
      <c r="F63" s="1199"/>
      <c r="G63" s="941"/>
      <c r="H63" s="1070"/>
      <c r="I63" s="1610" t="str">
        <f t="shared" si="5"/>
        <v/>
      </c>
      <c r="J63" s="270" t="str">
        <f t="shared" si="6"/>
        <v/>
      </c>
      <c r="K63" s="813" t="str">
        <f t="shared" si="16"/>
        <v/>
      </c>
      <c r="L63" s="1184"/>
      <c r="M63" s="1185"/>
      <c r="N63" s="1186"/>
      <c r="O63" s="1534"/>
      <c r="P63" s="336" t="str">
        <f t="shared" si="17"/>
        <v/>
      </c>
      <c r="Q63" s="336" t="str">
        <f>IF(L63="","",IF(AD63=0,0,(SUMIFS('[1]1_group_total_details'!$I$8:$I$10000,'[1]1_group_total_details'!$C$8:$C$10000,I63,'[1]1_group_total_details'!$F$8:$F$10000,adj_location_group_id,'[1]1_group_total_details'!$G$8:$G$10000,MID(N63,1,3)*1,'[1]1_group_total_details'!$H$8:$H$10000,"&lt;="&amp;adj_date)+SUMIFS('[1]1_group_total_details'!$L$8:$L$10000,'[1]1_group_total_details'!$C$8:$C$10000,I63,'[1]1_group_total_details'!$F$8:$F$10000,adj_location_group_id,'[1]1_group_total_details'!$G$8:$G$10000,MID(N63,1,3)*1,'[1]1_group_total_details'!$H$8:$H$10000,"&lt;="&amp;adj_date)+SUMIFS('[1]1_group_total_details'!$N$8:$N$10000,'[1]1_group_total_details'!$C$8:$C$10000,I63,'[1]1_group_total_details'!$F$8:$F$10000,adj_location_group_id,'[1]1_group_total_details'!$G$8:$G$10000,MID(N63,1,3)*1,'[1]1_group_total_details'!$H$8:$H$10000,"&lt;="&amp;adj_date)+SUMIFS('[1]1_group_total_details'!$O$8:$O$10000,'[1]1_group_total_details'!$C$8:$C$10000,I63,'[1]1_group_total_details'!$F$8:$F$10000,adj_location_group_id,'[1]1_group_total_details'!$G$8:$G$10000,MID(N63,1,3)*1,'[1]1_group_total_details'!$H$8:$H$10000,"&lt;="&amp;adj_date))-(SUMIFS('[1]1_group_total_details'!$J$8:$J$10000,'[1]1_group_total_details'!$C$8:$C$10000,I63,'[1]1_group_total_details'!$F$8:$F$10000,adj_location_group_id,'[1]1_group_total_details'!$G$8:$G$10000,MID(N63,1,3)*1,'[1]1_group_total_details'!$H$8:$H$10000,"&lt;="&amp;adj_date)+SUMIFS('[1]1_group_total_details'!$K$8:$K$10000,'[1]1_group_total_details'!$C$8:$C$10000,I63,'[1]1_group_total_details'!$F$8:$F$10000,adj_location_group_id,'[1]1_group_total_details'!$G$8:$G$10000,MID(N63,1,3)*1,'[1]1_group_total_details'!$H$8:$H$10000,"&lt;="&amp;adj_date)+SUMIFS('[1]1_group_total_details'!$M$8:$M$10000,'[1]1_group_total_details'!$C$8:$C$10000,I63,'[1]1_group_total_details'!$F$8:$F$10000,adj_location_group_id,'[1]1_group_total_details'!$G$8:$G$10000,MID(N63,1,3)*1,'[1]1_group_total_details'!$H$8:$H$10000,"&lt;="&amp;adj_date)+SUMIFS('[1]1_group_total_details'!$P$8:$P$10000,'[1]1_group_total_details'!$C$8:$C$10000,I63,'[1]1_group_total_details'!$F$8:$F$10000,adj_location_group_id,'[1]1_group_total_details'!$G$8:$G$10000,MID(N63,1,3)*1,'[1]1_group_total_details'!$H$8:$H$10000,"&lt;="&amp;adj_date))))</f>
        <v/>
      </c>
      <c r="R63" s="1187"/>
      <c r="S63" s="1186"/>
      <c r="T63" s="1186"/>
      <c r="U63" s="1184"/>
      <c r="V63" s="270" t="str" cm="1">
        <f t="array" ref="V63">IF(L63="","",IF(M63=AE63,1,Slookup(MID(AE63,1,3)*1,UomConversion!$D$8:$J$500,5,UomConversion!$E$8:$E$500,MID(M63,1,3)*1,UomConversion!$J$8:$J$500,1)))</f>
        <v/>
      </c>
      <c r="W63" s="270" t="str">
        <f t="shared" si="8"/>
        <v/>
      </c>
      <c r="X63" s="1795" t="str">
        <f t="shared" si="9"/>
        <v/>
      </c>
      <c r="Y63" s="1795" t="str">
        <f t="shared" si="10"/>
        <v/>
      </c>
      <c r="Z63" s="270" t="str">
        <f>IF(I63="","",IF(ISNA(MATCH(I63,IF(MID(N63,1,3)*1=1,'[1]1_inventory_totals'!$C$8:$C$10000,IF(MID(N63,1,3)*1=2,'[1]2_inventory_totals'!$C$8:$C$10000,"")),0)),0,IF(AL63&gt;0,1,0)))</f>
        <v/>
      </c>
      <c r="AA63" s="270" t="str">
        <f>IF(L63="","",IF(MID(N63,1,3)*1=1,SUMIFS('[1]1_inventory_total_details'!$J$8:$J$10000,'[1]1_inventory_total_details'!$C$8:$C$10000,I63,'[1]1_inventory_total_details'!$F$8:$F$10000,MID(N63,1,3)*1,'[1]1_inventory_total_details'!$G$8:$G$10000,"="&amp;S63,'[1]1_inventory_total_details'!$H$8:$H$10000,"="&amp;T63,'[1]1_inventory_total_details'!$I$8:$I$10000,"="&amp;adj_date)+SUMIFS('[1]1_inventory_total_details'!$M$8:$M$10000,'[1]1_inventory_total_details'!$C$8:$C$10000,I63,'[1]1_inventory_total_details'!$F$8:$F$10000,MID(N63,1,3)*1,'[1]1_inventory_total_details'!$G$8:$G$10000,"="&amp;S63,'[1]1_inventory_total_details'!$H$8:$H$10000,"="&amp;T63,'[1]1_inventory_total_details'!$I$8:$I$10000,"="&amp;adj_date)+SUMIFS('[1]1_inventory_total_details'!$K$8:$K$10000,'[1]1_inventory_total_details'!$C$8:$C$10000,I63,'[1]1_inventory_total_details'!$F$8:$F$10000,MID(N63,1,3)*1,'[1]1_inventory_total_details'!$G$8:$G$10000,"="&amp;S63,'[1]1_inventory_total_details'!$H$8:$H$10000,"="&amp;T63,'[1]1_inventory_total_details'!$I$8:$I$10000,"="&amp;adj_date)+SUMIFS('[1]1_inventory_total_details'!$L$8:$L$10000,'[1]1_inventory_total_details'!$C$8:$C$10000,I63,'[1]1_inventory_total_details'!$F$8:$F$10000,MID(N63,1,3)*1,'[1]1_inventory_total_details'!$G$8:$G$10000,"="&amp;S63,'[1]1_inventory_total_details'!$H$8:$H$10000,"="&amp;T63,'[1]1_inventory_total_details'!$I$8:$I$10000,"="&amp;adj_date),SUMIFS('[1]2_inventory_total_details'!$J$8:$J$10000,'[1]2_inventory_total_details'!$C$8:$C$10000,I63,'[1]2_inventory_total_details'!$F$8:$F$10000,MID(N63,1,3)*1,'[1]2_inventory_total_details'!$G$8:$G$10000,"="&amp;S63,'[1]2_inventory_total_details'!$H$8:$H$10000,"="&amp;T63,'[1]2_inventory_total_details'!$I$8:$I$10000,"="&amp;adj_date)+SUMIFS('[1]2_inventory_total_details'!$M$8:$M$10000,'[1]1_inventory_total_details'!$C$8:$C$10000,I63,'[1]2_inventory_total_details'!$F$8:$F$10000,MID(N63,1,3)*1,'[1]2_inventory_total_details'!$G$8:$G$10000,"="&amp;S63,'[1]2_inventory_total_details'!$H$8:$H$10000,"="&amp;T63,'[1]2_inventory_total_details'!$I$8:$I$10000,"="&amp;adj_date)+SUMIFS('[1]2_inventory_total_details'!$K$8:$K$10000,'[1]2_inventory_total_details'!$C$8:$C$10000,I63,'[1]2_inventory_total_details'!$F$8:$F$10000,MID(N63,1,3)*1,'[1]2_inventory_total_details'!$G$8:$G$10000,"="&amp;S63,'[1]2_inventory_total_details'!$H$8:$H$10000,"="&amp;T63,'[1]2_inventory_total_details'!$I$8:$I$10000,"="&amp;adj_date)+SUMIFS('[1]2_inventory_total_details'!$L$8:$L$10000,'[1]2_inventory_total_details'!$C$8:$C$10000,I63,'[1]2_inventory_total_details'!$F$8:$F$10000,MID(N63,1,3)*1,'[1]2_inventory_total_details'!$G$8:$G$10000,"="&amp;S63,'[1]2_inventory_total_details'!$H$8:$H$10000,"="&amp;T63,'[1]2_inventory_total_details'!$I$8:$I$10000,"="&amp;adj_date)))</f>
        <v/>
      </c>
      <c r="AB63" s="270" t="str">
        <f>IF(L63="","",IF(MID(N63,1,3)*1=1,SUMIFS('[1]1_inventory_total_details'!$J$8:$J$10000,'[1]1_inventory_total_details'!$C$8:$C$10000,I63,'[1]1_inventory_total_details'!$F$8:$F$10000,MID(N63,1,3)*1,'[1]1_inventory_total_details'!$G$8:$G$10000,"="&amp;S63,'[1]1_inventory_total_details'!$H$8:$H$10000,"="&amp;T63,'[1]1_inventory_total_details'!$I$8:$I$10000,"="&amp;adj_date)+SUMIFS('[1]1_inventory_total_details'!$M$8:$M$10000,'[1]1_inventory_total_details'!$C$8:$C$10000,I63,'[1]1_inventory_total_details'!$F$8:$F$10000,MID(N63,1,3)*1,'[1]1_inventory_total_details'!$G$8:$G$10000,"="&amp;S63,'[1]1_inventory_total_details'!$H$8:$H$10000,"="&amp;T63,'[1]1_inventory_total_details'!$I$8:$I$10000,"="&amp;adj_date)+SUMIFS('[1]1_inventory_total_details'!$K$8:$K$10000,'[1]1_inventory_total_details'!$C$8:$C$10000,I63,'[1]1_inventory_total_details'!$F$8:$F$10000,MID(N63,1,3)*1,'[1]1_inventory_total_details'!$G$8:$G$10000,"="&amp;S63,'[1]1_inventory_total_details'!$H$8:$H$10000,"="&amp;T63,'[1]1_inventory_total_details'!$I$8:$I$10000,"="&amp;adj_date)+SUMIFS('[1]1_inventory_total_details'!$L$8:$L$10000,'[1]1_inventory_total_details'!$C$8:$C$10000,I63,'[1]1_inventory_total_details'!$F$8:$F$10000,MID(N63,1,3)*1,'[1]1_inventory_total_details'!$G$8:$G$10000,"="&amp;S63,'[1]1_inventory_total_details'!$H$8:$H$10000,"="&amp;T63,'[1]1_inventory_total_details'!$I$8:$I$10000,"="&amp;adj_date),SUMIFS('[1]2_inventory_total_details'!$J$8:$J$10000,'[1]2_inventory_total_details'!$C$8:$C$10000,I63,'[1]2_inventory_total_details'!$F$8:$F$10000,MID(N63,1,3)*1,'[1]2_inventory_total_details'!$G$8:$G$10000,"="&amp;S63,'[1]2_inventory_total_details'!$H$8:$H$10000,"="&amp;T63,'[1]2_inventory_total_details'!$I$8:$I$10000,"="&amp;adj_date)+SUMIFS('[1]2_inventory_total_details'!$M$8:$M$10000,'[1]1_inventory_total_details'!$C$8:$C$10000,I63,'[1]2_inventory_total_details'!$F$8:$F$10000,MID(N63,1,3)*1,'[1]2_inventory_total_details'!$G$8:$G$10000,"="&amp;S63,'[1]2_inventory_total_details'!$H$8:$H$10000,"="&amp;T63,'[1]2_inventory_total_details'!$I$8:$I$10000,"="&amp;adj_date)+SUMIFS('[1]2_inventory_total_details'!$K$8:$K$10000,'[1]2_inventory_total_details'!$C$8:$C$10000,I63,'[1]2_inventory_total_details'!$F$8:$F$10000,MID(N63,1,3)*1,'[1]2_inventory_total_details'!$G$8:$G$10000,"="&amp;S63,'[1]2_inventory_total_details'!$H$8:$H$10000,"="&amp;T63,'[1]2_inventory_total_details'!$I$8:$I$10000,"="&amp;adj_date)+SUMIFS('[1]2_inventory_total_details'!$L$8:$L$10000,'[1]2_inventory_total_details'!$C$8:$C$10000,I63,'[1]2_inventory_total_details'!$F$8:$F$10000,MID(N63,1,3)*1,'[1]2_inventory_total_details'!$G$8:$G$10000,"="&amp;S63,'[1]2_inventory_total_details'!$H$8:$H$10000,"="&amp;T63,'[1]2_inventory_total_details'!$I$8:$I$10000,"="&amp;adj_date)))</f>
        <v/>
      </c>
      <c r="AC63" s="270" t="str">
        <f>IF(L63="","",IF(MID(N63,1,3)*1=1,SUMIFS('[1]1_inventory_total_details'!$J$8:$J$10000,'[1]1_inventory_total_details'!$C$8:$C$10000,I63,'[1]1_inventory_total_details'!$F$8:$F$10000,MID(N63,1,3)*1,'[1]1_inventory_total_details'!$G$8:$G$10000,"="&amp;S63,'[1]1_inventory_total_details'!$H$8:$H$10000,"="&amp;T63,'[1]1_inventory_total_details'!$I$8:$I$10000,"="&amp;adj_date)+SUMIFS('[1]1_inventory_total_details'!$M$8:$M$10000,'[1]1_inventory_total_details'!$C$8:$C$10000,I63,'[1]1_inventory_total_details'!$F$8:$F$10000,MID(N63,1,3)*1,'[1]1_inventory_total_details'!$G$8:$G$10000,"="&amp;S63,'[1]1_inventory_total_details'!$H$8:$H$10000,"="&amp;T63,'[1]1_inventory_total_details'!$I$8:$I$10000,"="&amp;adj_date)+SUMIFS('[1]1_inventory_total_details'!$K$8:$K$10000,'[1]1_inventory_total_details'!$C$8:$C$10000,I63,'[1]1_inventory_total_details'!$F$8:$F$10000,MID(N63,1,3)*1,'[1]1_inventory_total_details'!$G$8:$G$10000,"="&amp;S63,'[1]1_inventory_total_details'!$H$8:$H$10000,"="&amp;T63,'[1]1_inventory_total_details'!$I$8:$I$10000,"="&amp;adj_date)+SUMIFS('[1]1_inventory_total_details'!$L$8:$L$10000,'[1]1_inventory_total_details'!$C$8:$C$10000,I63,'[1]1_inventory_total_details'!$F$8:$F$10000,MID(N63,1,3)*1,'[1]1_inventory_total_details'!$G$8:$G$10000,"="&amp;S63,'[1]1_inventory_total_details'!$H$8:$H$10000,"="&amp;T63,'[1]1_inventory_total_details'!$I$8:$I$10000,"="&amp;adj_date),SUMIFS('[1]2_inventory_total_details'!$J$8:$J$10000,'[1]2_inventory_total_details'!$C$8:$C$10000,I63,'[1]2_inventory_total_details'!$F$8:$F$10000,MID(N63,1,3)*1,'[1]2_inventory_total_details'!$G$8:$G$10000,"="&amp;S63,'[1]2_inventory_total_details'!$H$8:$H$10000,"="&amp;T63,'[1]2_inventory_total_details'!$I$8:$I$10000,"="&amp;adj_date)+SUMIFS('[1]2_inventory_total_details'!$M$8:$M$10000,'[1]1_inventory_total_details'!$C$8:$C$10000,I63,'[1]2_inventory_total_details'!$F$8:$F$10000,MID(N63,1,3)*1,'[1]2_inventory_total_details'!$G$8:$G$10000,"="&amp;S63,'[1]2_inventory_total_details'!$H$8:$H$10000,"="&amp;T63,'[1]2_inventory_total_details'!$I$8:$I$10000,"="&amp;adj_date)+SUMIFS('[1]2_inventory_total_details'!$K$8:$K$10000,'[1]2_inventory_total_details'!$C$8:$C$10000,I63,'[1]2_inventory_total_details'!$F$8:$F$10000,MID(N63,1,3)*1,'[1]2_inventory_total_details'!$G$8:$G$10000,"="&amp;S63,'[1]2_inventory_total_details'!$H$8:$H$10000,"="&amp;T63,'[1]2_inventory_total_details'!$I$8:$I$10000,"="&amp;adj_date)+SUMIFS('[1]2_inventory_total_details'!$L$8:$L$10000,'[1]2_inventory_total_details'!$C$8:$C$10000,I63,'[1]2_inventory_total_details'!$F$8:$F$10000,MID(N63,1,3)*1,'[1]2_inventory_total_details'!$G$8:$G$10000,"="&amp;S63,'[1]2_inventory_total_details'!$H$8:$H$10000,"="&amp;T63,'[1]2_inventory_total_details'!$I$8:$I$10000,"="&amp;adj_date)))</f>
        <v/>
      </c>
      <c r="AD63" s="270" t="str">
        <f>IF(L63="","",SUMIFS('[1]1_group_totals'!$J$8:$J$10000,'[1]1_group_totals'!$C$8:$C$10000,I63,'[1]1_group_totals'!$F$8:$F$10000,adj_location_group_id,'[1]1_group_totals'!$G$8:$G$10000,MID(N63,1,3)*1,'[1]1_group_totals'!$H$8:$H$10000,"="&amp;S63,'[1]1_group_totals'!$I$8:$I$10000,"="&amp;T63))</f>
        <v/>
      </c>
      <c r="AE63" s="1796" t="str">
        <f t="shared" si="11"/>
        <v/>
      </c>
      <c r="AF63" s="1797" t="str">
        <f>IF(ISNA(MATCH(MID(AE63,1,3)*1,UomConversion!$D$8:$D$500,0)),"",IF(AJ63&lt;&gt;"",AJ63,""))</f>
        <v/>
      </c>
      <c r="AG63" s="1797" t="str">
        <f>IF(AND(AH63&gt;0,COUNTIFS(UomConversion!$D$8:$D$500,MID(AE63,1,3)*1,UomConversion!$J$8:$J$500,1)&gt;1),TEXT(AH63,"000")&amp;"."&amp;VLOOKUP(AH63,uom_list,5,FALSE),"")</f>
        <v/>
      </c>
      <c r="AH63" s="270" t="str">
        <f t="shared" si="12"/>
        <v/>
      </c>
      <c r="AI63" s="270" t="str">
        <f t="shared" si="13"/>
        <v/>
      </c>
      <c r="AJ63" s="270" t="str">
        <f t="shared" si="14"/>
        <v/>
      </c>
      <c r="AK63" s="270" t="str" cm="1">
        <f t="array" ref="AK63">IF(L63="","",Slookup(MID(AE63,1,3)*1,UomConversion!$D$8:$J$500,2,UomConversion!$I$8:$I$500,1,UomConversion!$J$8:$J$500,1))</f>
        <v/>
      </c>
      <c r="AL63" s="270" t="str">
        <f t="shared" si="15"/>
        <v/>
      </c>
      <c r="AM63" s="270" t="str">
        <f>IF(L63="","",(SUMIFS('[1]1_group_totals'!$K$8:$K$10000,'[1]1_group_totals'!$C$8:$C$10000,I63,'[1]1_group_totals'!$F$8:$F$10000,adj_location_group_id,'[1]1_group_totals'!$G$8:$G$10000,MID(N63,1,3)*1,'[1]1_group_totals'!$H$8:$H$10000,"="&amp;S63,'[1]1_group_totals'!$I$8:$I$10000,"="&amp;T63)+SUMIFS('[1]1_group_totals'!$N$8:$N$10000,'[1]1_group_totals'!$C$8:$C$10000,I63,'[1]1_group_totals'!$F$8:$F$10000,adj_location_group_id,'[1]1_group_totals'!$G$8:$G$10000,MID(N63,1,3)*1,'[1]1_group_totals'!$H$8:$H$10000,"="&amp;S63,'[1]1_group_totals'!$I$8:$I$10000,"="&amp;T63)+SUMIFS('[1]1_group_totals'!$P$8:$P$10000,'[1]1_group_totals'!$C$8:$C$10000,I63,'[1]1_group_totals'!$F$8:$F$10000,adj_location_group_id,'[1]1_group_totals'!$G$8:$G$10000,MID(N63,1,3)*1,'[1]1_group_totals'!$H$8:$H$10000,"="&amp;S63,'[1]1_group_totals'!$I$8:$I$10000,"="&amp;T63)+SUMIFS('[1]1_group_totals'!$Q$8:$Q$10000,'[1]1_group_totals'!$C$8:$C$10000,I63,'[1]1_group_totals'!$F$8:$F$10000,adj_location_group_id,'[1]1_group_totals'!$G$8:$G$10000,MID(N63,1,3)*1,'[1]1_group_totals'!$H$8:$H$10000,"="&amp;S63,'[1]1_group_totals'!$I$8:$I$10000,"="&amp;T63))+(SUMIFS('[1]1_group_totals'!$L$8:$L$10000,'[1]1_group_totals'!$C$8:$C$10000,I63,'[1]1_group_totals'!$F$8:$F$10000,adj_location_group_id,'[1]1_group_totals'!$G$8:$G$10000,MID(N63,1,3)*1,'[1]1_group_totals'!$H$8:$H$10000,"="&amp;S63,'[1]1_group_totals'!$I$8:$I$10000,"="&amp;T63)+SUMIFS('[1]1_group_totals'!$M$8:$M$10000,'[1]1_group_totals'!$C$8:$C$10000,I63,'[1]1_group_totals'!$F$8:$F$10000,adj_location_group_id,'[1]1_group_totals'!$G$8:$G$10000,MID(N63,1,3)*1,'[1]1_group_totals'!$H$8:$H$10000,"="&amp;S63,'[1]1_group_totals'!$I$8:$I$10000,"="&amp;T63)+SUMIFS('[1]1_group_totals'!$O$8:$O$10000,'[1]1_group_totals'!$C$8:$C$10000,I63,'[1]1_group_totals'!$F$8:$F$10000,adj_location_group_id,'[1]1_group_totals'!$G$8:$G$10000,MID(N63,1,3)*1,'[1]1_group_totals'!$H$8:$H$10000,"="&amp;S63,'[1]1_group_totals'!$I$8:$I$10000,"="&amp;T63)+SUMIFS('[1]1_group_totals'!$R$8:$R$10000,'[1]1_group_totals'!$C$8:$C$10000,I63,'[1]1_group_totals'!$F$8:$F$10000,adj_location_group_id,'[1]1_group_totals'!$G$8:$G$10000,MID(N63,1,3)*1,'[1]1_group_totals'!$H$8:$H$10000,"="&amp;S63,'[1]1_group_totals'!$I$8:$I$10000,"="&amp;T63)))</f>
        <v/>
      </c>
      <c r="AN63" s="270" t="str">
        <f>IF(L63="","",(SUMIFS('[1]1_inventory_totals'!$I$8:$I$10000,'[1]1_inventory_totals'!$C$8:$C$10000,I63,'[1]1_inventory_totals'!$F$8:$F$10000,"="&amp;S63,'[1]1_inventory_totals'!$G$8:$G$10000,"="&amp;T63)+SUMIFS('[1]1_inventory_totals'!$N$8:$N$10000,'[1]1_inventory_totals'!$C$8:$C$10000,I63,'[1]1_inventory_totals'!$F$8:$F$10000,"="&amp;S63,'[1]1_inventory_totals'!$G$8:$G$10000,"="&amp;T63)+SUMIFS('[1]1_inventory_totals'!$P$8:$P$10000,'[1]1_inventory_totals'!$C$8:$C$10000,I63,'[1]1_inventory_totals'!$F$8:$F$10000,"="&amp;S63,'[1]1_inventory_totals'!$G$8:$G$10000,"="&amp;T63)+SUMIFS('[1]1_inventory_totals'!$Q$8:$Q$10000,'[1]1_inventory_totals'!$C$8:$C$10000,I63,'[1]1_inventory_totals'!$F$8:$F$10000,"="&amp;S63,'[1]1_inventory_totals'!$G$8:$G$10000,"="&amp;T63)+SUMIFS('[1]1_inventory_totals'!$R$8:$R$10000,'[1]1_inventory_totals'!$C$8:$C$10000,I63,'[1]1_inventory_totals'!$F$8:$F$10000,"="&amp;S63,'[1]1_inventory_totals'!$G$8:$G$10000,"="&amp;T63))+(SUMIFS('[1]1_inventory_totals'!$J$8:$J$10000,'[1]1_inventory_totals'!$C$8:$C$10000,I63,'[1]1_inventory_totals'!$F$8:$F$10000,"="&amp;S63,'[1]1_inventory_totals'!$G$8:$G$10000,"="&amp;T63)+SUMIFS('[1]1_inventory_totals'!$K$8:$K$10000,'[1]1_inventory_totals'!$C$8:$C$10000,I63,'[1]1_inventory_totals'!$F$8:$F$10000,"="&amp;S63,'[1]1_inventory_totals'!$G$8:$G$10000,"="&amp;T63)+SUMIFS('[1]1_inventory_totals'!$L$8:$L$10000,'[1]1_inventory_totals'!$C$8:$C$10000,I63,'[1]1_inventory_totals'!$F$8:$F$10000,"="&amp;S63,'[1]1_inventory_totals'!$G$8:$G$10000,"="&amp;T63)+SUMIFS('[1]1_inventory_totals'!$M$8:$M$10000,'[1]1_inventory_totals'!$C$8:$C$10000,I63,'[1]1_inventory_totals'!$F$8:$F$10000,"="&amp;S63,'[1]1_inventory_totals'!$G$8:$G$10000,"="&amp;T63)+SUMIFS('[1]1_inventory_totals'!$O$8:$O$10000,'[1]1_inventory_totals'!$C$8:$C$10000,I63,'[1]1_inventory_totals'!$F$8:$F$10000,"="&amp;S63,'[1]1_inventory_totals'!$G$8:$G$10000,"="&amp;T63)+SUMIFS('[1]1_inventory_totals'!$S$8:$S$10000,'[1]1_inventory_totals'!$C$8:$C$10000,I63,'[1]1_inventory_totals'!$F$8:$F$10000,"="&amp;S63,'[1]1_inventory_totals'!$G$8:$G$10000,"="&amp;T63)))</f>
        <v/>
      </c>
      <c r="AO63" s="270" t="str">
        <f>IF(L63="","",(SUMIFS('[1]2_inventory_totals'!$I$8:$I$10000,'[1]2_inventory_totals'!$C$8:$C$10000,I63,'[1]2_inventory_totals'!$F$8:$F$10000,"="&amp;S63,'[1]2_inventory_totals'!$G$8:$G$10000,"="&amp;T63)+SUMIFS('[1]2_inventory_totals'!$N$8:$N$10000,'[1]2_inventory_totals'!$C$8:$C$10000,I63,'[1]2_inventory_totals'!$F$8:$F$10000,"="&amp;S63,'[1]2_inventory_totals'!$G$8:$G$10000,"="&amp;T63)+SUMIFS('[1]2_inventory_totals'!$P$8:$P$10000,'[1]2_inventory_totals'!$C$8:$C$10000,I63,'[1]2_inventory_totals'!$F$8:$F$10000,"="&amp;S63,'[1]2_inventory_totals'!$G$8:$G$10000,"="&amp;T63)+SUMIFS('[1]2_inventory_totals'!$Q$8:$Q$10000,'[1]2_inventory_totals'!$C$8:$C$10000,I63,'[1]2_inventory_totals'!$F$8:$F$10000,"="&amp;S63,'[1]2_inventory_totals'!$G$8:$G$10000,"="&amp;T63)+SUMIFS('[1]2_inventory_totals'!$R$8:$R$10000,'[1]2_inventory_totals'!$C$8:$C$10000,I63,'[1]2_inventory_totals'!$F$8:$F$10000,"="&amp;S63,'[1]2_inventory_totals'!$G$8:$G$10000,"="&amp;T63))+(SUMIFS('[1]2_inventory_totals'!$J$8:$J$10000,'[1]2_inventory_totals'!$C$8:$C$10000,I63,'[1]2_inventory_totals'!$F$8:$F$10000,"="&amp;S63,'[1]2_inventory_totals'!$G$8:$G$10000,"="&amp;T63)+SUMIFS('[1]2_inventory_totals'!$K$8:$K$10000,'[1]2_inventory_totals'!$C$8:$C$10000,I63,'[1]2_inventory_totals'!$F$8:$F$10000,"="&amp;S63,'[1]2_inventory_totals'!$G$8:$G$10000,"="&amp;T63)+SUMIFS('[1]2_inventory_totals'!$L$8:$L$10000,'[1]2_inventory_totals'!$C$8:$C$10000,I63,'[1]2_inventory_totals'!$F$8:$F$10000,"="&amp;S63,'[1]2_inventory_totals'!$G$8:$G$10000,"="&amp;T63)+SUMIFS('[1]2_inventory_totals'!$M$8:$M$10000,'[1]2_inventory_totals'!$C$8:$C$10000,I63,'[1]2_inventory_totals'!$F$8:$F$10000,"="&amp;S63,'[1]2_inventory_totals'!$G$8:$G$10000,"="&amp;T63)+SUMIFS('[1]2_inventory_totals'!$O$8:$O$10000,'[1]2_inventory_totals'!$C$8:$C$10000,I63,'[1]2_inventory_totals'!$F$8:$F$10000,"="&amp;S63,'[1]2_inventory_totals'!$G$8:$G$10000,"="&amp;T63)+SUMIFS('[1]2_inventory_totals'!$S$8:$S$10000,'[1]2_inventory_totals'!$C$8:$C$10000,I63,'[1]2_inventory_totals'!$F$8:$F$10000,"="&amp;S63,'[1]2_inventory_totals'!$G$8:$G$10000,"="&amp;T63)))</f>
        <v/>
      </c>
      <c r="AP63" s="954"/>
    </row>
    <row r="64" spans="1:42" ht="27" customHeight="1">
      <c r="A64" s="923"/>
      <c r="B64" s="1178"/>
      <c r="C64" s="950"/>
      <c r="D64" s="950"/>
      <c r="E64" s="950"/>
      <c r="F64" s="1199"/>
      <c r="G64" s="941"/>
      <c r="H64" s="1070"/>
      <c r="I64" s="1610" t="str">
        <f t="shared" si="5"/>
        <v/>
      </c>
      <c r="J64" s="270" t="str">
        <f t="shared" si="6"/>
        <v/>
      </c>
      <c r="K64" s="813" t="str">
        <f t="shared" si="16"/>
        <v/>
      </c>
      <c r="L64" s="1184"/>
      <c r="M64" s="1185"/>
      <c r="N64" s="1186"/>
      <c r="O64" s="1534"/>
      <c r="P64" s="336" t="str">
        <f t="shared" si="17"/>
        <v/>
      </c>
      <c r="Q64" s="336" t="str">
        <f>IF(L64="","",IF(AD64=0,0,(SUMIFS('[1]1_group_total_details'!$I$8:$I$10000,'[1]1_group_total_details'!$C$8:$C$10000,I64,'[1]1_group_total_details'!$F$8:$F$10000,adj_location_group_id,'[1]1_group_total_details'!$G$8:$G$10000,MID(N64,1,3)*1,'[1]1_group_total_details'!$H$8:$H$10000,"&lt;="&amp;adj_date)+SUMIFS('[1]1_group_total_details'!$L$8:$L$10000,'[1]1_group_total_details'!$C$8:$C$10000,I64,'[1]1_group_total_details'!$F$8:$F$10000,adj_location_group_id,'[1]1_group_total_details'!$G$8:$G$10000,MID(N64,1,3)*1,'[1]1_group_total_details'!$H$8:$H$10000,"&lt;="&amp;adj_date)+SUMIFS('[1]1_group_total_details'!$N$8:$N$10000,'[1]1_group_total_details'!$C$8:$C$10000,I64,'[1]1_group_total_details'!$F$8:$F$10000,adj_location_group_id,'[1]1_group_total_details'!$G$8:$G$10000,MID(N64,1,3)*1,'[1]1_group_total_details'!$H$8:$H$10000,"&lt;="&amp;adj_date)+SUMIFS('[1]1_group_total_details'!$O$8:$O$10000,'[1]1_group_total_details'!$C$8:$C$10000,I64,'[1]1_group_total_details'!$F$8:$F$10000,adj_location_group_id,'[1]1_group_total_details'!$G$8:$G$10000,MID(N64,1,3)*1,'[1]1_group_total_details'!$H$8:$H$10000,"&lt;="&amp;adj_date))-(SUMIFS('[1]1_group_total_details'!$J$8:$J$10000,'[1]1_group_total_details'!$C$8:$C$10000,I64,'[1]1_group_total_details'!$F$8:$F$10000,adj_location_group_id,'[1]1_group_total_details'!$G$8:$G$10000,MID(N64,1,3)*1,'[1]1_group_total_details'!$H$8:$H$10000,"&lt;="&amp;adj_date)+SUMIFS('[1]1_group_total_details'!$K$8:$K$10000,'[1]1_group_total_details'!$C$8:$C$10000,I64,'[1]1_group_total_details'!$F$8:$F$10000,adj_location_group_id,'[1]1_group_total_details'!$G$8:$G$10000,MID(N64,1,3)*1,'[1]1_group_total_details'!$H$8:$H$10000,"&lt;="&amp;adj_date)+SUMIFS('[1]1_group_total_details'!$M$8:$M$10000,'[1]1_group_total_details'!$C$8:$C$10000,I64,'[1]1_group_total_details'!$F$8:$F$10000,adj_location_group_id,'[1]1_group_total_details'!$G$8:$G$10000,MID(N64,1,3)*1,'[1]1_group_total_details'!$H$8:$H$10000,"&lt;="&amp;adj_date)+SUMIFS('[1]1_group_total_details'!$P$8:$P$10000,'[1]1_group_total_details'!$C$8:$C$10000,I64,'[1]1_group_total_details'!$F$8:$F$10000,adj_location_group_id,'[1]1_group_total_details'!$G$8:$G$10000,MID(N64,1,3)*1,'[1]1_group_total_details'!$H$8:$H$10000,"&lt;="&amp;adj_date))))</f>
        <v/>
      </c>
      <c r="R64" s="1187"/>
      <c r="S64" s="1186"/>
      <c r="T64" s="1186"/>
      <c r="U64" s="1184"/>
      <c r="V64" s="270" t="str" cm="1">
        <f t="array" ref="V64">IF(L64="","",IF(M64=AE64,1,Slookup(MID(AE64,1,3)*1,UomConversion!$D$8:$J$500,5,UomConversion!$E$8:$E$500,MID(M64,1,3)*1,UomConversion!$J$8:$J$500,1)))</f>
        <v/>
      </c>
      <c r="W64" s="270" t="str">
        <f t="shared" si="8"/>
        <v/>
      </c>
      <c r="X64" s="1795" t="str">
        <f t="shared" si="9"/>
        <v/>
      </c>
      <c r="Y64" s="1795" t="str">
        <f t="shared" si="10"/>
        <v/>
      </c>
      <c r="Z64" s="270" t="str">
        <f>IF(I64="","",IF(ISNA(MATCH(I64,IF(MID(N64,1,3)*1=1,'[1]1_inventory_totals'!$C$8:$C$10000,IF(MID(N64,1,3)*1=2,'[1]2_inventory_totals'!$C$8:$C$10000,"")),0)),0,IF(AL64&gt;0,1,0)))</f>
        <v/>
      </c>
      <c r="AA64" s="270" t="str">
        <f>IF(L64="","",IF(MID(N64,1,3)*1=1,SUMIFS('[1]1_inventory_total_details'!$J$8:$J$10000,'[1]1_inventory_total_details'!$C$8:$C$10000,I64,'[1]1_inventory_total_details'!$F$8:$F$10000,MID(N64,1,3)*1,'[1]1_inventory_total_details'!$G$8:$G$10000,"="&amp;S64,'[1]1_inventory_total_details'!$H$8:$H$10000,"="&amp;T64,'[1]1_inventory_total_details'!$I$8:$I$10000,"="&amp;adj_date)+SUMIFS('[1]1_inventory_total_details'!$M$8:$M$10000,'[1]1_inventory_total_details'!$C$8:$C$10000,I64,'[1]1_inventory_total_details'!$F$8:$F$10000,MID(N64,1,3)*1,'[1]1_inventory_total_details'!$G$8:$G$10000,"="&amp;S64,'[1]1_inventory_total_details'!$H$8:$H$10000,"="&amp;T64,'[1]1_inventory_total_details'!$I$8:$I$10000,"="&amp;adj_date)+SUMIFS('[1]1_inventory_total_details'!$K$8:$K$10000,'[1]1_inventory_total_details'!$C$8:$C$10000,I64,'[1]1_inventory_total_details'!$F$8:$F$10000,MID(N64,1,3)*1,'[1]1_inventory_total_details'!$G$8:$G$10000,"="&amp;S64,'[1]1_inventory_total_details'!$H$8:$H$10000,"="&amp;T64,'[1]1_inventory_total_details'!$I$8:$I$10000,"="&amp;adj_date)+SUMIFS('[1]1_inventory_total_details'!$L$8:$L$10000,'[1]1_inventory_total_details'!$C$8:$C$10000,I64,'[1]1_inventory_total_details'!$F$8:$F$10000,MID(N64,1,3)*1,'[1]1_inventory_total_details'!$G$8:$G$10000,"="&amp;S64,'[1]1_inventory_total_details'!$H$8:$H$10000,"="&amp;T64,'[1]1_inventory_total_details'!$I$8:$I$10000,"="&amp;adj_date),SUMIFS('[1]2_inventory_total_details'!$J$8:$J$10000,'[1]2_inventory_total_details'!$C$8:$C$10000,I64,'[1]2_inventory_total_details'!$F$8:$F$10000,MID(N64,1,3)*1,'[1]2_inventory_total_details'!$G$8:$G$10000,"="&amp;S64,'[1]2_inventory_total_details'!$H$8:$H$10000,"="&amp;T64,'[1]2_inventory_total_details'!$I$8:$I$10000,"="&amp;adj_date)+SUMIFS('[1]2_inventory_total_details'!$M$8:$M$10000,'[1]1_inventory_total_details'!$C$8:$C$10000,I64,'[1]2_inventory_total_details'!$F$8:$F$10000,MID(N64,1,3)*1,'[1]2_inventory_total_details'!$G$8:$G$10000,"="&amp;S64,'[1]2_inventory_total_details'!$H$8:$H$10000,"="&amp;T64,'[1]2_inventory_total_details'!$I$8:$I$10000,"="&amp;adj_date)+SUMIFS('[1]2_inventory_total_details'!$K$8:$K$10000,'[1]2_inventory_total_details'!$C$8:$C$10000,I64,'[1]2_inventory_total_details'!$F$8:$F$10000,MID(N64,1,3)*1,'[1]2_inventory_total_details'!$G$8:$G$10000,"="&amp;S64,'[1]2_inventory_total_details'!$H$8:$H$10000,"="&amp;T64,'[1]2_inventory_total_details'!$I$8:$I$10000,"="&amp;adj_date)+SUMIFS('[1]2_inventory_total_details'!$L$8:$L$10000,'[1]2_inventory_total_details'!$C$8:$C$10000,I64,'[1]2_inventory_total_details'!$F$8:$F$10000,MID(N64,1,3)*1,'[1]2_inventory_total_details'!$G$8:$G$10000,"="&amp;S64,'[1]2_inventory_total_details'!$H$8:$H$10000,"="&amp;T64,'[1]2_inventory_total_details'!$I$8:$I$10000,"="&amp;adj_date)))</f>
        <v/>
      </c>
      <c r="AB64" s="270" t="str">
        <f>IF(L64="","",IF(MID(N64,1,3)*1=1,SUMIFS('[1]1_inventory_total_details'!$J$8:$J$10000,'[1]1_inventory_total_details'!$C$8:$C$10000,I64,'[1]1_inventory_total_details'!$F$8:$F$10000,MID(N64,1,3)*1,'[1]1_inventory_total_details'!$G$8:$G$10000,"="&amp;S64,'[1]1_inventory_total_details'!$H$8:$H$10000,"="&amp;T64,'[1]1_inventory_total_details'!$I$8:$I$10000,"="&amp;adj_date)+SUMIFS('[1]1_inventory_total_details'!$M$8:$M$10000,'[1]1_inventory_total_details'!$C$8:$C$10000,I64,'[1]1_inventory_total_details'!$F$8:$F$10000,MID(N64,1,3)*1,'[1]1_inventory_total_details'!$G$8:$G$10000,"="&amp;S64,'[1]1_inventory_total_details'!$H$8:$H$10000,"="&amp;T64,'[1]1_inventory_total_details'!$I$8:$I$10000,"="&amp;adj_date)+SUMIFS('[1]1_inventory_total_details'!$K$8:$K$10000,'[1]1_inventory_total_details'!$C$8:$C$10000,I64,'[1]1_inventory_total_details'!$F$8:$F$10000,MID(N64,1,3)*1,'[1]1_inventory_total_details'!$G$8:$G$10000,"="&amp;S64,'[1]1_inventory_total_details'!$H$8:$H$10000,"="&amp;T64,'[1]1_inventory_total_details'!$I$8:$I$10000,"="&amp;adj_date)+SUMIFS('[1]1_inventory_total_details'!$L$8:$L$10000,'[1]1_inventory_total_details'!$C$8:$C$10000,I64,'[1]1_inventory_total_details'!$F$8:$F$10000,MID(N64,1,3)*1,'[1]1_inventory_total_details'!$G$8:$G$10000,"="&amp;S64,'[1]1_inventory_total_details'!$H$8:$H$10000,"="&amp;T64,'[1]1_inventory_total_details'!$I$8:$I$10000,"="&amp;adj_date),SUMIFS('[1]2_inventory_total_details'!$J$8:$J$10000,'[1]2_inventory_total_details'!$C$8:$C$10000,I64,'[1]2_inventory_total_details'!$F$8:$F$10000,MID(N64,1,3)*1,'[1]2_inventory_total_details'!$G$8:$G$10000,"="&amp;S64,'[1]2_inventory_total_details'!$H$8:$H$10000,"="&amp;T64,'[1]2_inventory_total_details'!$I$8:$I$10000,"="&amp;adj_date)+SUMIFS('[1]2_inventory_total_details'!$M$8:$M$10000,'[1]1_inventory_total_details'!$C$8:$C$10000,I64,'[1]2_inventory_total_details'!$F$8:$F$10000,MID(N64,1,3)*1,'[1]2_inventory_total_details'!$G$8:$G$10000,"="&amp;S64,'[1]2_inventory_total_details'!$H$8:$H$10000,"="&amp;T64,'[1]2_inventory_total_details'!$I$8:$I$10000,"="&amp;adj_date)+SUMIFS('[1]2_inventory_total_details'!$K$8:$K$10000,'[1]2_inventory_total_details'!$C$8:$C$10000,I64,'[1]2_inventory_total_details'!$F$8:$F$10000,MID(N64,1,3)*1,'[1]2_inventory_total_details'!$G$8:$G$10000,"="&amp;S64,'[1]2_inventory_total_details'!$H$8:$H$10000,"="&amp;T64,'[1]2_inventory_total_details'!$I$8:$I$10000,"="&amp;adj_date)+SUMIFS('[1]2_inventory_total_details'!$L$8:$L$10000,'[1]2_inventory_total_details'!$C$8:$C$10000,I64,'[1]2_inventory_total_details'!$F$8:$F$10000,MID(N64,1,3)*1,'[1]2_inventory_total_details'!$G$8:$G$10000,"="&amp;S64,'[1]2_inventory_total_details'!$H$8:$H$10000,"="&amp;T64,'[1]2_inventory_total_details'!$I$8:$I$10000,"="&amp;adj_date)))</f>
        <v/>
      </c>
      <c r="AC64" s="270" t="str">
        <f>IF(L64="","",IF(MID(N64,1,3)*1=1,SUMIFS('[1]1_inventory_total_details'!$J$8:$J$10000,'[1]1_inventory_total_details'!$C$8:$C$10000,I64,'[1]1_inventory_total_details'!$F$8:$F$10000,MID(N64,1,3)*1,'[1]1_inventory_total_details'!$G$8:$G$10000,"="&amp;S64,'[1]1_inventory_total_details'!$H$8:$H$10000,"="&amp;T64,'[1]1_inventory_total_details'!$I$8:$I$10000,"="&amp;adj_date)+SUMIFS('[1]1_inventory_total_details'!$M$8:$M$10000,'[1]1_inventory_total_details'!$C$8:$C$10000,I64,'[1]1_inventory_total_details'!$F$8:$F$10000,MID(N64,1,3)*1,'[1]1_inventory_total_details'!$G$8:$G$10000,"="&amp;S64,'[1]1_inventory_total_details'!$H$8:$H$10000,"="&amp;T64,'[1]1_inventory_total_details'!$I$8:$I$10000,"="&amp;adj_date)+SUMIFS('[1]1_inventory_total_details'!$K$8:$K$10000,'[1]1_inventory_total_details'!$C$8:$C$10000,I64,'[1]1_inventory_total_details'!$F$8:$F$10000,MID(N64,1,3)*1,'[1]1_inventory_total_details'!$G$8:$G$10000,"="&amp;S64,'[1]1_inventory_total_details'!$H$8:$H$10000,"="&amp;T64,'[1]1_inventory_total_details'!$I$8:$I$10000,"="&amp;adj_date)+SUMIFS('[1]1_inventory_total_details'!$L$8:$L$10000,'[1]1_inventory_total_details'!$C$8:$C$10000,I64,'[1]1_inventory_total_details'!$F$8:$F$10000,MID(N64,1,3)*1,'[1]1_inventory_total_details'!$G$8:$G$10000,"="&amp;S64,'[1]1_inventory_total_details'!$H$8:$H$10000,"="&amp;T64,'[1]1_inventory_total_details'!$I$8:$I$10000,"="&amp;adj_date),SUMIFS('[1]2_inventory_total_details'!$J$8:$J$10000,'[1]2_inventory_total_details'!$C$8:$C$10000,I64,'[1]2_inventory_total_details'!$F$8:$F$10000,MID(N64,1,3)*1,'[1]2_inventory_total_details'!$G$8:$G$10000,"="&amp;S64,'[1]2_inventory_total_details'!$H$8:$H$10000,"="&amp;T64,'[1]2_inventory_total_details'!$I$8:$I$10000,"="&amp;adj_date)+SUMIFS('[1]2_inventory_total_details'!$M$8:$M$10000,'[1]1_inventory_total_details'!$C$8:$C$10000,I64,'[1]2_inventory_total_details'!$F$8:$F$10000,MID(N64,1,3)*1,'[1]2_inventory_total_details'!$G$8:$G$10000,"="&amp;S64,'[1]2_inventory_total_details'!$H$8:$H$10000,"="&amp;T64,'[1]2_inventory_total_details'!$I$8:$I$10000,"="&amp;adj_date)+SUMIFS('[1]2_inventory_total_details'!$K$8:$K$10000,'[1]2_inventory_total_details'!$C$8:$C$10000,I64,'[1]2_inventory_total_details'!$F$8:$F$10000,MID(N64,1,3)*1,'[1]2_inventory_total_details'!$G$8:$G$10000,"="&amp;S64,'[1]2_inventory_total_details'!$H$8:$H$10000,"="&amp;T64,'[1]2_inventory_total_details'!$I$8:$I$10000,"="&amp;adj_date)+SUMIFS('[1]2_inventory_total_details'!$L$8:$L$10000,'[1]2_inventory_total_details'!$C$8:$C$10000,I64,'[1]2_inventory_total_details'!$F$8:$F$10000,MID(N64,1,3)*1,'[1]2_inventory_total_details'!$G$8:$G$10000,"="&amp;S64,'[1]2_inventory_total_details'!$H$8:$H$10000,"="&amp;T64,'[1]2_inventory_total_details'!$I$8:$I$10000,"="&amp;adj_date)))</f>
        <v/>
      </c>
      <c r="AD64" s="270" t="str">
        <f>IF(L64="","",SUMIFS('[1]1_group_totals'!$J$8:$J$10000,'[1]1_group_totals'!$C$8:$C$10000,I64,'[1]1_group_totals'!$F$8:$F$10000,adj_location_group_id,'[1]1_group_totals'!$G$8:$G$10000,MID(N64,1,3)*1,'[1]1_group_totals'!$H$8:$H$10000,"="&amp;S64,'[1]1_group_totals'!$I$8:$I$10000,"="&amp;T64))</f>
        <v/>
      </c>
      <c r="AE64" s="1796" t="str">
        <f t="shared" si="11"/>
        <v/>
      </c>
      <c r="AF64" s="1797" t="str">
        <f>IF(ISNA(MATCH(MID(AE64,1,3)*1,UomConversion!$D$8:$D$500,0)),"",IF(AJ64&lt;&gt;"",AJ64,""))</f>
        <v/>
      </c>
      <c r="AG64" s="1797" t="str">
        <f>IF(AND(AH64&gt;0,COUNTIFS(UomConversion!$D$8:$D$500,MID(AE64,1,3)*1,UomConversion!$J$8:$J$500,1)&gt;1),TEXT(AH64,"000")&amp;"."&amp;VLOOKUP(AH64,uom_list,5,FALSE),"")</f>
        <v/>
      </c>
      <c r="AH64" s="270" t="str">
        <f t="shared" si="12"/>
        <v/>
      </c>
      <c r="AI64" s="270" t="str">
        <f t="shared" si="13"/>
        <v/>
      </c>
      <c r="AJ64" s="270" t="str">
        <f t="shared" si="14"/>
        <v/>
      </c>
      <c r="AK64" s="270" t="str" cm="1">
        <f t="array" ref="AK64">IF(L64="","",Slookup(MID(AE64,1,3)*1,UomConversion!$D$8:$J$500,2,UomConversion!$I$8:$I$500,1,UomConversion!$J$8:$J$500,1))</f>
        <v/>
      </c>
      <c r="AL64" s="270" t="str">
        <f t="shared" si="15"/>
        <v/>
      </c>
      <c r="AM64" s="270" t="str">
        <f>IF(L64="","",(SUMIFS('[1]1_group_totals'!$K$8:$K$10000,'[1]1_group_totals'!$C$8:$C$10000,I64,'[1]1_group_totals'!$F$8:$F$10000,adj_location_group_id,'[1]1_group_totals'!$G$8:$G$10000,MID(N64,1,3)*1,'[1]1_group_totals'!$H$8:$H$10000,"="&amp;S64,'[1]1_group_totals'!$I$8:$I$10000,"="&amp;T64)+SUMIFS('[1]1_group_totals'!$N$8:$N$10000,'[1]1_group_totals'!$C$8:$C$10000,I64,'[1]1_group_totals'!$F$8:$F$10000,adj_location_group_id,'[1]1_group_totals'!$G$8:$G$10000,MID(N64,1,3)*1,'[1]1_group_totals'!$H$8:$H$10000,"="&amp;S64,'[1]1_group_totals'!$I$8:$I$10000,"="&amp;T64)+SUMIFS('[1]1_group_totals'!$P$8:$P$10000,'[1]1_group_totals'!$C$8:$C$10000,I64,'[1]1_group_totals'!$F$8:$F$10000,adj_location_group_id,'[1]1_group_totals'!$G$8:$G$10000,MID(N64,1,3)*1,'[1]1_group_totals'!$H$8:$H$10000,"="&amp;S64,'[1]1_group_totals'!$I$8:$I$10000,"="&amp;T64)+SUMIFS('[1]1_group_totals'!$Q$8:$Q$10000,'[1]1_group_totals'!$C$8:$C$10000,I64,'[1]1_group_totals'!$F$8:$F$10000,adj_location_group_id,'[1]1_group_totals'!$G$8:$G$10000,MID(N64,1,3)*1,'[1]1_group_totals'!$H$8:$H$10000,"="&amp;S64,'[1]1_group_totals'!$I$8:$I$10000,"="&amp;T64))+(SUMIFS('[1]1_group_totals'!$L$8:$L$10000,'[1]1_group_totals'!$C$8:$C$10000,I64,'[1]1_group_totals'!$F$8:$F$10000,adj_location_group_id,'[1]1_group_totals'!$G$8:$G$10000,MID(N64,1,3)*1,'[1]1_group_totals'!$H$8:$H$10000,"="&amp;S64,'[1]1_group_totals'!$I$8:$I$10000,"="&amp;T64)+SUMIFS('[1]1_group_totals'!$M$8:$M$10000,'[1]1_group_totals'!$C$8:$C$10000,I64,'[1]1_group_totals'!$F$8:$F$10000,adj_location_group_id,'[1]1_group_totals'!$G$8:$G$10000,MID(N64,1,3)*1,'[1]1_group_totals'!$H$8:$H$10000,"="&amp;S64,'[1]1_group_totals'!$I$8:$I$10000,"="&amp;T64)+SUMIFS('[1]1_group_totals'!$O$8:$O$10000,'[1]1_group_totals'!$C$8:$C$10000,I64,'[1]1_group_totals'!$F$8:$F$10000,adj_location_group_id,'[1]1_group_totals'!$G$8:$G$10000,MID(N64,1,3)*1,'[1]1_group_totals'!$H$8:$H$10000,"="&amp;S64,'[1]1_group_totals'!$I$8:$I$10000,"="&amp;T64)+SUMIFS('[1]1_group_totals'!$R$8:$R$10000,'[1]1_group_totals'!$C$8:$C$10000,I64,'[1]1_group_totals'!$F$8:$F$10000,adj_location_group_id,'[1]1_group_totals'!$G$8:$G$10000,MID(N64,1,3)*1,'[1]1_group_totals'!$H$8:$H$10000,"="&amp;S64,'[1]1_group_totals'!$I$8:$I$10000,"="&amp;T64)))</f>
        <v/>
      </c>
      <c r="AN64" s="270" t="str">
        <f>IF(L64="","",(SUMIFS('[1]1_inventory_totals'!$I$8:$I$10000,'[1]1_inventory_totals'!$C$8:$C$10000,I64,'[1]1_inventory_totals'!$F$8:$F$10000,"="&amp;S64,'[1]1_inventory_totals'!$G$8:$G$10000,"="&amp;T64)+SUMIFS('[1]1_inventory_totals'!$N$8:$N$10000,'[1]1_inventory_totals'!$C$8:$C$10000,I64,'[1]1_inventory_totals'!$F$8:$F$10000,"="&amp;S64,'[1]1_inventory_totals'!$G$8:$G$10000,"="&amp;T64)+SUMIFS('[1]1_inventory_totals'!$P$8:$P$10000,'[1]1_inventory_totals'!$C$8:$C$10000,I64,'[1]1_inventory_totals'!$F$8:$F$10000,"="&amp;S64,'[1]1_inventory_totals'!$G$8:$G$10000,"="&amp;T64)+SUMIFS('[1]1_inventory_totals'!$Q$8:$Q$10000,'[1]1_inventory_totals'!$C$8:$C$10000,I64,'[1]1_inventory_totals'!$F$8:$F$10000,"="&amp;S64,'[1]1_inventory_totals'!$G$8:$G$10000,"="&amp;T64)+SUMIFS('[1]1_inventory_totals'!$R$8:$R$10000,'[1]1_inventory_totals'!$C$8:$C$10000,I64,'[1]1_inventory_totals'!$F$8:$F$10000,"="&amp;S64,'[1]1_inventory_totals'!$G$8:$G$10000,"="&amp;T64))+(SUMIFS('[1]1_inventory_totals'!$J$8:$J$10000,'[1]1_inventory_totals'!$C$8:$C$10000,I64,'[1]1_inventory_totals'!$F$8:$F$10000,"="&amp;S64,'[1]1_inventory_totals'!$G$8:$G$10000,"="&amp;T64)+SUMIFS('[1]1_inventory_totals'!$K$8:$K$10000,'[1]1_inventory_totals'!$C$8:$C$10000,I64,'[1]1_inventory_totals'!$F$8:$F$10000,"="&amp;S64,'[1]1_inventory_totals'!$G$8:$G$10000,"="&amp;T64)+SUMIFS('[1]1_inventory_totals'!$L$8:$L$10000,'[1]1_inventory_totals'!$C$8:$C$10000,I64,'[1]1_inventory_totals'!$F$8:$F$10000,"="&amp;S64,'[1]1_inventory_totals'!$G$8:$G$10000,"="&amp;T64)+SUMIFS('[1]1_inventory_totals'!$M$8:$M$10000,'[1]1_inventory_totals'!$C$8:$C$10000,I64,'[1]1_inventory_totals'!$F$8:$F$10000,"="&amp;S64,'[1]1_inventory_totals'!$G$8:$G$10000,"="&amp;T64)+SUMIFS('[1]1_inventory_totals'!$O$8:$O$10000,'[1]1_inventory_totals'!$C$8:$C$10000,I64,'[1]1_inventory_totals'!$F$8:$F$10000,"="&amp;S64,'[1]1_inventory_totals'!$G$8:$G$10000,"="&amp;T64)+SUMIFS('[1]1_inventory_totals'!$S$8:$S$10000,'[1]1_inventory_totals'!$C$8:$C$10000,I64,'[1]1_inventory_totals'!$F$8:$F$10000,"="&amp;S64,'[1]1_inventory_totals'!$G$8:$G$10000,"="&amp;T64)))</f>
        <v/>
      </c>
      <c r="AO64" s="270" t="str">
        <f>IF(L64="","",(SUMIFS('[1]2_inventory_totals'!$I$8:$I$10000,'[1]2_inventory_totals'!$C$8:$C$10000,I64,'[1]2_inventory_totals'!$F$8:$F$10000,"="&amp;S64,'[1]2_inventory_totals'!$G$8:$G$10000,"="&amp;T64)+SUMIFS('[1]2_inventory_totals'!$N$8:$N$10000,'[1]2_inventory_totals'!$C$8:$C$10000,I64,'[1]2_inventory_totals'!$F$8:$F$10000,"="&amp;S64,'[1]2_inventory_totals'!$G$8:$G$10000,"="&amp;T64)+SUMIFS('[1]2_inventory_totals'!$P$8:$P$10000,'[1]2_inventory_totals'!$C$8:$C$10000,I64,'[1]2_inventory_totals'!$F$8:$F$10000,"="&amp;S64,'[1]2_inventory_totals'!$G$8:$G$10000,"="&amp;T64)+SUMIFS('[1]2_inventory_totals'!$Q$8:$Q$10000,'[1]2_inventory_totals'!$C$8:$C$10000,I64,'[1]2_inventory_totals'!$F$8:$F$10000,"="&amp;S64,'[1]2_inventory_totals'!$G$8:$G$10000,"="&amp;T64)+SUMIFS('[1]2_inventory_totals'!$R$8:$R$10000,'[1]2_inventory_totals'!$C$8:$C$10000,I64,'[1]2_inventory_totals'!$F$8:$F$10000,"="&amp;S64,'[1]2_inventory_totals'!$G$8:$G$10000,"="&amp;T64))+(SUMIFS('[1]2_inventory_totals'!$J$8:$J$10000,'[1]2_inventory_totals'!$C$8:$C$10000,I64,'[1]2_inventory_totals'!$F$8:$F$10000,"="&amp;S64,'[1]2_inventory_totals'!$G$8:$G$10000,"="&amp;T64)+SUMIFS('[1]2_inventory_totals'!$K$8:$K$10000,'[1]2_inventory_totals'!$C$8:$C$10000,I64,'[1]2_inventory_totals'!$F$8:$F$10000,"="&amp;S64,'[1]2_inventory_totals'!$G$8:$G$10000,"="&amp;T64)+SUMIFS('[1]2_inventory_totals'!$L$8:$L$10000,'[1]2_inventory_totals'!$C$8:$C$10000,I64,'[1]2_inventory_totals'!$F$8:$F$10000,"="&amp;S64,'[1]2_inventory_totals'!$G$8:$G$10000,"="&amp;T64)+SUMIFS('[1]2_inventory_totals'!$M$8:$M$10000,'[1]2_inventory_totals'!$C$8:$C$10000,I64,'[1]2_inventory_totals'!$F$8:$F$10000,"="&amp;S64,'[1]2_inventory_totals'!$G$8:$G$10000,"="&amp;T64)+SUMIFS('[1]2_inventory_totals'!$O$8:$O$10000,'[1]2_inventory_totals'!$C$8:$C$10000,I64,'[1]2_inventory_totals'!$F$8:$F$10000,"="&amp;S64,'[1]2_inventory_totals'!$G$8:$G$10000,"="&amp;T64)+SUMIFS('[1]2_inventory_totals'!$S$8:$S$10000,'[1]2_inventory_totals'!$C$8:$C$10000,I64,'[1]2_inventory_totals'!$F$8:$F$10000,"="&amp;S64,'[1]2_inventory_totals'!$G$8:$G$10000,"="&amp;T64)))</f>
        <v/>
      </c>
      <c r="AP64" s="954"/>
    </row>
    <row r="65" spans="1:42" ht="27" customHeight="1">
      <c r="A65" s="923"/>
      <c r="B65" s="1178"/>
      <c r="C65" s="950"/>
      <c r="D65" s="950"/>
      <c r="E65" s="950"/>
      <c r="F65" s="1199"/>
      <c r="G65" s="941"/>
      <c r="H65" s="1070"/>
      <c r="I65" s="1610" t="str">
        <f t="shared" si="5"/>
        <v/>
      </c>
      <c r="J65" s="270" t="str">
        <f t="shared" si="6"/>
        <v/>
      </c>
      <c r="K65" s="813" t="str">
        <f t="shared" si="16"/>
        <v/>
      </c>
      <c r="L65" s="1184"/>
      <c r="M65" s="1185"/>
      <c r="N65" s="1186"/>
      <c r="O65" s="1534"/>
      <c r="P65" s="336" t="str">
        <f t="shared" si="17"/>
        <v/>
      </c>
      <c r="Q65" s="336" t="str">
        <f>IF(L65="","",IF(AD65=0,0,(SUMIFS('[1]1_group_total_details'!$I$8:$I$10000,'[1]1_group_total_details'!$C$8:$C$10000,I65,'[1]1_group_total_details'!$F$8:$F$10000,adj_location_group_id,'[1]1_group_total_details'!$G$8:$G$10000,MID(N65,1,3)*1,'[1]1_group_total_details'!$H$8:$H$10000,"&lt;="&amp;adj_date)+SUMIFS('[1]1_group_total_details'!$L$8:$L$10000,'[1]1_group_total_details'!$C$8:$C$10000,I65,'[1]1_group_total_details'!$F$8:$F$10000,adj_location_group_id,'[1]1_group_total_details'!$G$8:$G$10000,MID(N65,1,3)*1,'[1]1_group_total_details'!$H$8:$H$10000,"&lt;="&amp;adj_date)+SUMIFS('[1]1_group_total_details'!$N$8:$N$10000,'[1]1_group_total_details'!$C$8:$C$10000,I65,'[1]1_group_total_details'!$F$8:$F$10000,adj_location_group_id,'[1]1_group_total_details'!$G$8:$G$10000,MID(N65,1,3)*1,'[1]1_group_total_details'!$H$8:$H$10000,"&lt;="&amp;adj_date)+SUMIFS('[1]1_group_total_details'!$O$8:$O$10000,'[1]1_group_total_details'!$C$8:$C$10000,I65,'[1]1_group_total_details'!$F$8:$F$10000,adj_location_group_id,'[1]1_group_total_details'!$G$8:$G$10000,MID(N65,1,3)*1,'[1]1_group_total_details'!$H$8:$H$10000,"&lt;="&amp;adj_date))-(SUMIFS('[1]1_group_total_details'!$J$8:$J$10000,'[1]1_group_total_details'!$C$8:$C$10000,I65,'[1]1_group_total_details'!$F$8:$F$10000,adj_location_group_id,'[1]1_group_total_details'!$G$8:$G$10000,MID(N65,1,3)*1,'[1]1_group_total_details'!$H$8:$H$10000,"&lt;="&amp;adj_date)+SUMIFS('[1]1_group_total_details'!$K$8:$K$10000,'[1]1_group_total_details'!$C$8:$C$10000,I65,'[1]1_group_total_details'!$F$8:$F$10000,adj_location_group_id,'[1]1_group_total_details'!$G$8:$G$10000,MID(N65,1,3)*1,'[1]1_group_total_details'!$H$8:$H$10000,"&lt;="&amp;adj_date)+SUMIFS('[1]1_group_total_details'!$M$8:$M$10000,'[1]1_group_total_details'!$C$8:$C$10000,I65,'[1]1_group_total_details'!$F$8:$F$10000,adj_location_group_id,'[1]1_group_total_details'!$G$8:$G$10000,MID(N65,1,3)*1,'[1]1_group_total_details'!$H$8:$H$10000,"&lt;="&amp;adj_date)+SUMIFS('[1]1_group_total_details'!$P$8:$P$10000,'[1]1_group_total_details'!$C$8:$C$10000,I65,'[1]1_group_total_details'!$F$8:$F$10000,adj_location_group_id,'[1]1_group_total_details'!$G$8:$G$10000,MID(N65,1,3)*1,'[1]1_group_total_details'!$H$8:$H$10000,"&lt;="&amp;adj_date))))</f>
        <v/>
      </c>
      <c r="R65" s="1187"/>
      <c r="S65" s="1186"/>
      <c r="T65" s="1186"/>
      <c r="U65" s="1184"/>
      <c r="V65" s="270" t="str" cm="1">
        <f t="array" ref="V65">IF(L65="","",IF(M65=AE65,1,Slookup(MID(AE65,1,3)*1,UomConversion!$D$8:$J$500,5,UomConversion!$E$8:$E$500,MID(M65,1,3)*1,UomConversion!$J$8:$J$500,1)))</f>
        <v/>
      </c>
      <c r="W65" s="270" t="str">
        <f t="shared" si="8"/>
        <v/>
      </c>
      <c r="X65" s="1795" t="str">
        <f t="shared" si="9"/>
        <v/>
      </c>
      <c r="Y65" s="1795" t="str">
        <f t="shared" si="10"/>
        <v/>
      </c>
      <c r="Z65" s="270" t="str">
        <f>IF(I65="","",IF(ISNA(MATCH(I65,IF(MID(N65,1,3)*1=1,'[1]1_inventory_totals'!$C$8:$C$10000,IF(MID(N65,1,3)*1=2,'[1]2_inventory_totals'!$C$8:$C$10000,"")),0)),0,IF(AL65&gt;0,1,0)))</f>
        <v/>
      </c>
      <c r="AA65" s="270" t="str">
        <f>IF(L65="","",IF(MID(N65,1,3)*1=1,SUMIFS('[1]1_inventory_total_details'!$J$8:$J$10000,'[1]1_inventory_total_details'!$C$8:$C$10000,I65,'[1]1_inventory_total_details'!$F$8:$F$10000,MID(N65,1,3)*1,'[1]1_inventory_total_details'!$G$8:$G$10000,"="&amp;S65,'[1]1_inventory_total_details'!$H$8:$H$10000,"="&amp;T65,'[1]1_inventory_total_details'!$I$8:$I$10000,"="&amp;adj_date)+SUMIFS('[1]1_inventory_total_details'!$M$8:$M$10000,'[1]1_inventory_total_details'!$C$8:$C$10000,I65,'[1]1_inventory_total_details'!$F$8:$F$10000,MID(N65,1,3)*1,'[1]1_inventory_total_details'!$G$8:$G$10000,"="&amp;S65,'[1]1_inventory_total_details'!$H$8:$H$10000,"="&amp;T65,'[1]1_inventory_total_details'!$I$8:$I$10000,"="&amp;adj_date)+SUMIFS('[1]1_inventory_total_details'!$K$8:$K$10000,'[1]1_inventory_total_details'!$C$8:$C$10000,I65,'[1]1_inventory_total_details'!$F$8:$F$10000,MID(N65,1,3)*1,'[1]1_inventory_total_details'!$G$8:$G$10000,"="&amp;S65,'[1]1_inventory_total_details'!$H$8:$H$10000,"="&amp;T65,'[1]1_inventory_total_details'!$I$8:$I$10000,"="&amp;adj_date)+SUMIFS('[1]1_inventory_total_details'!$L$8:$L$10000,'[1]1_inventory_total_details'!$C$8:$C$10000,I65,'[1]1_inventory_total_details'!$F$8:$F$10000,MID(N65,1,3)*1,'[1]1_inventory_total_details'!$G$8:$G$10000,"="&amp;S65,'[1]1_inventory_total_details'!$H$8:$H$10000,"="&amp;T65,'[1]1_inventory_total_details'!$I$8:$I$10000,"="&amp;adj_date),SUMIFS('[1]2_inventory_total_details'!$J$8:$J$10000,'[1]2_inventory_total_details'!$C$8:$C$10000,I65,'[1]2_inventory_total_details'!$F$8:$F$10000,MID(N65,1,3)*1,'[1]2_inventory_total_details'!$G$8:$G$10000,"="&amp;S65,'[1]2_inventory_total_details'!$H$8:$H$10000,"="&amp;T65,'[1]2_inventory_total_details'!$I$8:$I$10000,"="&amp;adj_date)+SUMIFS('[1]2_inventory_total_details'!$M$8:$M$10000,'[1]1_inventory_total_details'!$C$8:$C$10000,I65,'[1]2_inventory_total_details'!$F$8:$F$10000,MID(N65,1,3)*1,'[1]2_inventory_total_details'!$G$8:$G$10000,"="&amp;S65,'[1]2_inventory_total_details'!$H$8:$H$10000,"="&amp;T65,'[1]2_inventory_total_details'!$I$8:$I$10000,"="&amp;adj_date)+SUMIFS('[1]2_inventory_total_details'!$K$8:$K$10000,'[1]2_inventory_total_details'!$C$8:$C$10000,I65,'[1]2_inventory_total_details'!$F$8:$F$10000,MID(N65,1,3)*1,'[1]2_inventory_total_details'!$G$8:$G$10000,"="&amp;S65,'[1]2_inventory_total_details'!$H$8:$H$10000,"="&amp;T65,'[1]2_inventory_total_details'!$I$8:$I$10000,"="&amp;adj_date)+SUMIFS('[1]2_inventory_total_details'!$L$8:$L$10000,'[1]2_inventory_total_details'!$C$8:$C$10000,I65,'[1]2_inventory_total_details'!$F$8:$F$10000,MID(N65,1,3)*1,'[1]2_inventory_total_details'!$G$8:$G$10000,"="&amp;S65,'[1]2_inventory_total_details'!$H$8:$H$10000,"="&amp;T65,'[1]2_inventory_total_details'!$I$8:$I$10000,"="&amp;adj_date)))</f>
        <v/>
      </c>
      <c r="AB65" s="270" t="str">
        <f>IF(L65="","",IF(MID(N65,1,3)*1=1,SUMIFS('[1]1_inventory_total_details'!$J$8:$J$10000,'[1]1_inventory_total_details'!$C$8:$C$10000,I65,'[1]1_inventory_total_details'!$F$8:$F$10000,MID(N65,1,3)*1,'[1]1_inventory_total_details'!$G$8:$G$10000,"="&amp;S65,'[1]1_inventory_total_details'!$H$8:$H$10000,"="&amp;T65,'[1]1_inventory_total_details'!$I$8:$I$10000,"="&amp;adj_date)+SUMIFS('[1]1_inventory_total_details'!$M$8:$M$10000,'[1]1_inventory_total_details'!$C$8:$C$10000,I65,'[1]1_inventory_total_details'!$F$8:$F$10000,MID(N65,1,3)*1,'[1]1_inventory_total_details'!$G$8:$G$10000,"="&amp;S65,'[1]1_inventory_total_details'!$H$8:$H$10000,"="&amp;T65,'[1]1_inventory_total_details'!$I$8:$I$10000,"="&amp;adj_date)+SUMIFS('[1]1_inventory_total_details'!$K$8:$K$10000,'[1]1_inventory_total_details'!$C$8:$C$10000,I65,'[1]1_inventory_total_details'!$F$8:$F$10000,MID(N65,1,3)*1,'[1]1_inventory_total_details'!$G$8:$G$10000,"="&amp;S65,'[1]1_inventory_total_details'!$H$8:$H$10000,"="&amp;T65,'[1]1_inventory_total_details'!$I$8:$I$10000,"="&amp;adj_date)+SUMIFS('[1]1_inventory_total_details'!$L$8:$L$10000,'[1]1_inventory_total_details'!$C$8:$C$10000,I65,'[1]1_inventory_total_details'!$F$8:$F$10000,MID(N65,1,3)*1,'[1]1_inventory_total_details'!$G$8:$G$10000,"="&amp;S65,'[1]1_inventory_total_details'!$H$8:$H$10000,"="&amp;T65,'[1]1_inventory_total_details'!$I$8:$I$10000,"="&amp;adj_date),SUMIFS('[1]2_inventory_total_details'!$J$8:$J$10000,'[1]2_inventory_total_details'!$C$8:$C$10000,I65,'[1]2_inventory_total_details'!$F$8:$F$10000,MID(N65,1,3)*1,'[1]2_inventory_total_details'!$G$8:$G$10000,"="&amp;S65,'[1]2_inventory_total_details'!$H$8:$H$10000,"="&amp;T65,'[1]2_inventory_total_details'!$I$8:$I$10000,"="&amp;adj_date)+SUMIFS('[1]2_inventory_total_details'!$M$8:$M$10000,'[1]1_inventory_total_details'!$C$8:$C$10000,I65,'[1]2_inventory_total_details'!$F$8:$F$10000,MID(N65,1,3)*1,'[1]2_inventory_total_details'!$G$8:$G$10000,"="&amp;S65,'[1]2_inventory_total_details'!$H$8:$H$10000,"="&amp;T65,'[1]2_inventory_total_details'!$I$8:$I$10000,"="&amp;adj_date)+SUMIFS('[1]2_inventory_total_details'!$K$8:$K$10000,'[1]2_inventory_total_details'!$C$8:$C$10000,I65,'[1]2_inventory_total_details'!$F$8:$F$10000,MID(N65,1,3)*1,'[1]2_inventory_total_details'!$G$8:$G$10000,"="&amp;S65,'[1]2_inventory_total_details'!$H$8:$H$10000,"="&amp;T65,'[1]2_inventory_total_details'!$I$8:$I$10000,"="&amp;adj_date)+SUMIFS('[1]2_inventory_total_details'!$L$8:$L$10000,'[1]2_inventory_total_details'!$C$8:$C$10000,I65,'[1]2_inventory_total_details'!$F$8:$F$10000,MID(N65,1,3)*1,'[1]2_inventory_total_details'!$G$8:$G$10000,"="&amp;S65,'[1]2_inventory_total_details'!$H$8:$H$10000,"="&amp;T65,'[1]2_inventory_total_details'!$I$8:$I$10000,"="&amp;adj_date)))</f>
        <v/>
      </c>
      <c r="AC65" s="270" t="str">
        <f>IF(L65="","",IF(MID(N65,1,3)*1=1,SUMIFS('[1]1_inventory_total_details'!$J$8:$J$10000,'[1]1_inventory_total_details'!$C$8:$C$10000,I65,'[1]1_inventory_total_details'!$F$8:$F$10000,MID(N65,1,3)*1,'[1]1_inventory_total_details'!$G$8:$G$10000,"="&amp;S65,'[1]1_inventory_total_details'!$H$8:$H$10000,"="&amp;T65,'[1]1_inventory_total_details'!$I$8:$I$10000,"="&amp;adj_date)+SUMIFS('[1]1_inventory_total_details'!$M$8:$M$10000,'[1]1_inventory_total_details'!$C$8:$C$10000,I65,'[1]1_inventory_total_details'!$F$8:$F$10000,MID(N65,1,3)*1,'[1]1_inventory_total_details'!$G$8:$G$10000,"="&amp;S65,'[1]1_inventory_total_details'!$H$8:$H$10000,"="&amp;T65,'[1]1_inventory_total_details'!$I$8:$I$10000,"="&amp;adj_date)+SUMIFS('[1]1_inventory_total_details'!$K$8:$K$10000,'[1]1_inventory_total_details'!$C$8:$C$10000,I65,'[1]1_inventory_total_details'!$F$8:$F$10000,MID(N65,1,3)*1,'[1]1_inventory_total_details'!$G$8:$G$10000,"="&amp;S65,'[1]1_inventory_total_details'!$H$8:$H$10000,"="&amp;T65,'[1]1_inventory_total_details'!$I$8:$I$10000,"="&amp;adj_date)+SUMIFS('[1]1_inventory_total_details'!$L$8:$L$10000,'[1]1_inventory_total_details'!$C$8:$C$10000,I65,'[1]1_inventory_total_details'!$F$8:$F$10000,MID(N65,1,3)*1,'[1]1_inventory_total_details'!$G$8:$G$10000,"="&amp;S65,'[1]1_inventory_total_details'!$H$8:$H$10000,"="&amp;T65,'[1]1_inventory_total_details'!$I$8:$I$10000,"="&amp;adj_date),SUMIFS('[1]2_inventory_total_details'!$J$8:$J$10000,'[1]2_inventory_total_details'!$C$8:$C$10000,I65,'[1]2_inventory_total_details'!$F$8:$F$10000,MID(N65,1,3)*1,'[1]2_inventory_total_details'!$G$8:$G$10000,"="&amp;S65,'[1]2_inventory_total_details'!$H$8:$H$10000,"="&amp;T65,'[1]2_inventory_total_details'!$I$8:$I$10000,"="&amp;adj_date)+SUMIFS('[1]2_inventory_total_details'!$M$8:$M$10000,'[1]1_inventory_total_details'!$C$8:$C$10000,I65,'[1]2_inventory_total_details'!$F$8:$F$10000,MID(N65,1,3)*1,'[1]2_inventory_total_details'!$G$8:$G$10000,"="&amp;S65,'[1]2_inventory_total_details'!$H$8:$H$10000,"="&amp;T65,'[1]2_inventory_total_details'!$I$8:$I$10000,"="&amp;adj_date)+SUMIFS('[1]2_inventory_total_details'!$K$8:$K$10000,'[1]2_inventory_total_details'!$C$8:$C$10000,I65,'[1]2_inventory_total_details'!$F$8:$F$10000,MID(N65,1,3)*1,'[1]2_inventory_total_details'!$G$8:$G$10000,"="&amp;S65,'[1]2_inventory_total_details'!$H$8:$H$10000,"="&amp;T65,'[1]2_inventory_total_details'!$I$8:$I$10000,"="&amp;adj_date)+SUMIFS('[1]2_inventory_total_details'!$L$8:$L$10000,'[1]2_inventory_total_details'!$C$8:$C$10000,I65,'[1]2_inventory_total_details'!$F$8:$F$10000,MID(N65,1,3)*1,'[1]2_inventory_total_details'!$G$8:$G$10000,"="&amp;S65,'[1]2_inventory_total_details'!$H$8:$H$10000,"="&amp;T65,'[1]2_inventory_total_details'!$I$8:$I$10000,"="&amp;adj_date)))</f>
        <v/>
      </c>
      <c r="AD65" s="270" t="str">
        <f>IF(L65="","",SUMIFS('[1]1_group_totals'!$J$8:$J$10000,'[1]1_group_totals'!$C$8:$C$10000,I65,'[1]1_group_totals'!$F$8:$F$10000,adj_location_group_id,'[1]1_group_totals'!$G$8:$G$10000,MID(N65,1,3)*1,'[1]1_group_totals'!$H$8:$H$10000,"="&amp;S65,'[1]1_group_totals'!$I$8:$I$10000,"="&amp;T65))</f>
        <v/>
      </c>
      <c r="AE65" s="1796" t="str">
        <f t="shared" si="11"/>
        <v/>
      </c>
      <c r="AF65" s="1797" t="str">
        <f>IF(ISNA(MATCH(MID(AE65,1,3)*1,UomConversion!$D$8:$D$500,0)),"",IF(AJ65&lt;&gt;"",AJ65,""))</f>
        <v/>
      </c>
      <c r="AG65" s="1797" t="str">
        <f>IF(AND(AH65&gt;0,COUNTIFS(UomConversion!$D$8:$D$500,MID(AE65,1,3)*1,UomConversion!$J$8:$J$500,1)&gt;1),TEXT(AH65,"000")&amp;"."&amp;VLOOKUP(AH65,uom_list,5,FALSE),"")</f>
        <v/>
      </c>
      <c r="AH65" s="270" t="str">
        <f t="shared" si="12"/>
        <v/>
      </c>
      <c r="AI65" s="270" t="str">
        <f t="shared" si="13"/>
        <v/>
      </c>
      <c r="AJ65" s="270" t="str">
        <f t="shared" si="14"/>
        <v/>
      </c>
      <c r="AK65" s="270" t="str" cm="1">
        <f t="array" ref="AK65">IF(L65="","",Slookup(MID(AE65,1,3)*1,UomConversion!$D$8:$J$500,2,UomConversion!$I$8:$I$500,1,UomConversion!$J$8:$J$500,1))</f>
        <v/>
      </c>
      <c r="AL65" s="270" t="str">
        <f t="shared" si="15"/>
        <v/>
      </c>
      <c r="AM65" s="270" t="str">
        <f>IF(L65="","",(SUMIFS('[1]1_group_totals'!$K$8:$K$10000,'[1]1_group_totals'!$C$8:$C$10000,I65,'[1]1_group_totals'!$F$8:$F$10000,adj_location_group_id,'[1]1_group_totals'!$G$8:$G$10000,MID(N65,1,3)*1,'[1]1_group_totals'!$H$8:$H$10000,"="&amp;S65,'[1]1_group_totals'!$I$8:$I$10000,"="&amp;T65)+SUMIFS('[1]1_group_totals'!$N$8:$N$10000,'[1]1_group_totals'!$C$8:$C$10000,I65,'[1]1_group_totals'!$F$8:$F$10000,adj_location_group_id,'[1]1_group_totals'!$G$8:$G$10000,MID(N65,1,3)*1,'[1]1_group_totals'!$H$8:$H$10000,"="&amp;S65,'[1]1_group_totals'!$I$8:$I$10000,"="&amp;T65)+SUMIFS('[1]1_group_totals'!$P$8:$P$10000,'[1]1_group_totals'!$C$8:$C$10000,I65,'[1]1_group_totals'!$F$8:$F$10000,adj_location_group_id,'[1]1_group_totals'!$G$8:$G$10000,MID(N65,1,3)*1,'[1]1_group_totals'!$H$8:$H$10000,"="&amp;S65,'[1]1_group_totals'!$I$8:$I$10000,"="&amp;T65)+SUMIFS('[1]1_group_totals'!$Q$8:$Q$10000,'[1]1_group_totals'!$C$8:$C$10000,I65,'[1]1_group_totals'!$F$8:$F$10000,adj_location_group_id,'[1]1_group_totals'!$G$8:$G$10000,MID(N65,1,3)*1,'[1]1_group_totals'!$H$8:$H$10000,"="&amp;S65,'[1]1_group_totals'!$I$8:$I$10000,"="&amp;T65))+(SUMIFS('[1]1_group_totals'!$L$8:$L$10000,'[1]1_group_totals'!$C$8:$C$10000,I65,'[1]1_group_totals'!$F$8:$F$10000,adj_location_group_id,'[1]1_group_totals'!$G$8:$G$10000,MID(N65,1,3)*1,'[1]1_group_totals'!$H$8:$H$10000,"="&amp;S65,'[1]1_group_totals'!$I$8:$I$10000,"="&amp;T65)+SUMIFS('[1]1_group_totals'!$M$8:$M$10000,'[1]1_group_totals'!$C$8:$C$10000,I65,'[1]1_group_totals'!$F$8:$F$10000,adj_location_group_id,'[1]1_group_totals'!$G$8:$G$10000,MID(N65,1,3)*1,'[1]1_group_totals'!$H$8:$H$10000,"="&amp;S65,'[1]1_group_totals'!$I$8:$I$10000,"="&amp;T65)+SUMIFS('[1]1_group_totals'!$O$8:$O$10000,'[1]1_group_totals'!$C$8:$C$10000,I65,'[1]1_group_totals'!$F$8:$F$10000,adj_location_group_id,'[1]1_group_totals'!$G$8:$G$10000,MID(N65,1,3)*1,'[1]1_group_totals'!$H$8:$H$10000,"="&amp;S65,'[1]1_group_totals'!$I$8:$I$10000,"="&amp;T65)+SUMIFS('[1]1_group_totals'!$R$8:$R$10000,'[1]1_group_totals'!$C$8:$C$10000,I65,'[1]1_group_totals'!$F$8:$F$10000,adj_location_group_id,'[1]1_group_totals'!$G$8:$G$10000,MID(N65,1,3)*1,'[1]1_group_totals'!$H$8:$H$10000,"="&amp;S65,'[1]1_group_totals'!$I$8:$I$10000,"="&amp;T65)))</f>
        <v/>
      </c>
      <c r="AN65" s="270" t="str">
        <f>IF(L65="","",(SUMIFS('[1]1_inventory_totals'!$I$8:$I$10000,'[1]1_inventory_totals'!$C$8:$C$10000,I65,'[1]1_inventory_totals'!$F$8:$F$10000,"="&amp;S65,'[1]1_inventory_totals'!$G$8:$G$10000,"="&amp;T65)+SUMIFS('[1]1_inventory_totals'!$N$8:$N$10000,'[1]1_inventory_totals'!$C$8:$C$10000,I65,'[1]1_inventory_totals'!$F$8:$F$10000,"="&amp;S65,'[1]1_inventory_totals'!$G$8:$G$10000,"="&amp;T65)+SUMIFS('[1]1_inventory_totals'!$P$8:$P$10000,'[1]1_inventory_totals'!$C$8:$C$10000,I65,'[1]1_inventory_totals'!$F$8:$F$10000,"="&amp;S65,'[1]1_inventory_totals'!$G$8:$G$10000,"="&amp;T65)+SUMIFS('[1]1_inventory_totals'!$Q$8:$Q$10000,'[1]1_inventory_totals'!$C$8:$C$10000,I65,'[1]1_inventory_totals'!$F$8:$F$10000,"="&amp;S65,'[1]1_inventory_totals'!$G$8:$G$10000,"="&amp;T65)+SUMIFS('[1]1_inventory_totals'!$R$8:$R$10000,'[1]1_inventory_totals'!$C$8:$C$10000,I65,'[1]1_inventory_totals'!$F$8:$F$10000,"="&amp;S65,'[1]1_inventory_totals'!$G$8:$G$10000,"="&amp;T65))+(SUMIFS('[1]1_inventory_totals'!$J$8:$J$10000,'[1]1_inventory_totals'!$C$8:$C$10000,I65,'[1]1_inventory_totals'!$F$8:$F$10000,"="&amp;S65,'[1]1_inventory_totals'!$G$8:$G$10000,"="&amp;T65)+SUMIFS('[1]1_inventory_totals'!$K$8:$K$10000,'[1]1_inventory_totals'!$C$8:$C$10000,I65,'[1]1_inventory_totals'!$F$8:$F$10000,"="&amp;S65,'[1]1_inventory_totals'!$G$8:$G$10000,"="&amp;T65)+SUMIFS('[1]1_inventory_totals'!$L$8:$L$10000,'[1]1_inventory_totals'!$C$8:$C$10000,I65,'[1]1_inventory_totals'!$F$8:$F$10000,"="&amp;S65,'[1]1_inventory_totals'!$G$8:$G$10000,"="&amp;T65)+SUMIFS('[1]1_inventory_totals'!$M$8:$M$10000,'[1]1_inventory_totals'!$C$8:$C$10000,I65,'[1]1_inventory_totals'!$F$8:$F$10000,"="&amp;S65,'[1]1_inventory_totals'!$G$8:$G$10000,"="&amp;T65)+SUMIFS('[1]1_inventory_totals'!$O$8:$O$10000,'[1]1_inventory_totals'!$C$8:$C$10000,I65,'[1]1_inventory_totals'!$F$8:$F$10000,"="&amp;S65,'[1]1_inventory_totals'!$G$8:$G$10000,"="&amp;T65)+SUMIFS('[1]1_inventory_totals'!$S$8:$S$10000,'[1]1_inventory_totals'!$C$8:$C$10000,I65,'[1]1_inventory_totals'!$F$8:$F$10000,"="&amp;S65,'[1]1_inventory_totals'!$G$8:$G$10000,"="&amp;T65)))</f>
        <v/>
      </c>
      <c r="AO65" s="270" t="str">
        <f>IF(L65="","",(SUMIFS('[1]2_inventory_totals'!$I$8:$I$10000,'[1]2_inventory_totals'!$C$8:$C$10000,I65,'[1]2_inventory_totals'!$F$8:$F$10000,"="&amp;S65,'[1]2_inventory_totals'!$G$8:$G$10000,"="&amp;T65)+SUMIFS('[1]2_inventory_totals'!$N$8:$N$10000,'[1]2_inventory_totals'!$C$8:$C$10000,I65,'[1]2_inventory_totals'!$F$8:$F$10000,"="&amp;S65,'[1]2_inventory_totals'!$G$8:$G$10000,"="&amp;T65)+SUMIFS('[1]2_inventory_totals'!$P$8:$P$10000,'[1]2_inventory_totals'!$C$8:$C$10000,I65,'[1]2_inventory_totals'!$F$8:$F$10000,"="&amp;S65,'[1]2_inventory_totals'!$G$8:$G$10000,"="&amp;T65)+SUMIFS('[1]2_inventory_totals'!$Q$8:$Q$10000,'[1]2_inventory_totals'!$C$8:$C$10000,I65,'[1]2_inventory_totals'!$F$8:$F$10000,"="&amp;S65,'[1]2_inventory_totals'!$G$8:$G$10000,"="&amp;T65)+SUMIFS('[1]2_inventory_totals'!$R$8:$R$10000,'[1]2_inventory_totals'!$C$8:$C$10000,I65,'[1]2_inventory_totals'!$F$8:$F$10000,"="&amp;S65,'[1]2_inventory_totals'!$G$8:$G$10000,"="&amp;T65))+(SUMIFS('[1]2_inventory_totals'!$J$8:$J$10000,'[1]2_inventory_totals'!$C$8:$C$10000,I65,'[1]2_inventory_totals'!$F$8:$F$10000,"="&amp;S65,'[1]2_inventory_totals'!$G$8:$G$10000,"="&amp;T65)+SUMIFS('[1]2_inventory_totals'!$K$8:$K$10000,'[1]2_inventory_totals'!$C$8:$C$10000,I65,'[1]2_inventory_totals'!$F$8:$F$10000,"="&amp;S65,'[1]2_inventory_totals'!$G$8:$G$10000,"="&amp;T65)+SUMIFS('[1]2_inventory_totals'!$L$8:$L$10000,'[1]2_inventory_totals'!$C$8:$C$10000,I65,'[1]2_inventory_totals'!$F$8:$F$10000,"="&amp;S65,'[1]2_inventory_totals'!$G$8:$G$10000,"="&amp;T65)+SUMIFS('[1]2_inventory_totals'!$M$8:$M$10000,'[1]2_inventory_totals'!$C$8:$C$10000,I65,'[1]2_inventory_totals'!$F$8:$F$10000,"="&amp;S65,'[1]2_inventory_totals'!$G$8:$G$10000,"="&amp;T65)+SUMIFS('[1]2_inventory_totals'!$O$8:$O$10000,'[1]2_inventory_totals'!$C$8:$C$10000,I65,'[1]2_inventory_totals'!$F$8:$F$10000,"="&amp;S65,'[1]2_inventory_totals'!$G$8:$G$10000,"="&amp;T65)+SUMIFS('[1]2_inventory_totals'!$S$8:$S$10000,'[1]2_inventory_totals'!$C$8:$C$10000,I65,'[1]2_inventory_totals'!$F$8:$F$10000,"="&amp;S65,'[1]2_inventory_totals'!$G$8:$G$10000,"="&amp;T65)))</f>
        <v/>
      </c>
      <c r="AP65" s="954"/>
    </row>
    <row r="66" spans="1:42" ht="27" customHeight="1">
      <c r="A66" s="923"/>
      <c r="B66" s="1178"/>
      <c r="C66" s="950"/>
      <c r="D66" s="950"/>
      <c r="E66" s="950"/>
      <c r="F66" s="1199"/>
      <c r="G66" s="941"/>
      <c r="H66" s="1070"/>
      <c r="I66" s="1610" t="str">
        <f t="shared" si="5"/>
        <v/>
      </c>
      <c r="J66" s="270" t="str">
        <f t="shared" si="6"/>
        <v/>
      </c>
      <c r="K66" s="813" t="str">
        <f t="shared" si="16"/>
        <v/>
      </c>
      <c r="L66" s="1184"/>
      <c r="M66" s="1185"/>
      <c r="N66" s="1186"/>
      <c r="O66" s="1534"/>
      <c r="P66" s="336" t="str">
        <f t="shared" si="17"/>
        <v/>
      </c>
      <c r="Q66" s="336" t="str">
        <f>IF(L66="","",IF(AD66=0,0,(SUMIFS('[1]1_group_total_details'!$I$8:$I$10000,'[1]1_group_total_details'!$C$8:$C$10000,I66,'[1]1_group_total_details'!$F$8:$F$10000,adj_location_group_id,'[1]1_group_total_details'!$G$8:$G$10000,MID(N66,1,3)*1,'[1]1_group_total_details'!$H$8:$H$10000,"&lt;="&amp;adj_date)+SUMIFS('[1]1_group_total_details'!$L$8:$L$10000,'[1]1_group_total_details'!$C$8:$C$10000,I66,'[1]1_group_total_details'!$F$8:$F$10000,adj_location_group_id,'[1]1_group_total_details'!$G$8:$G$10000,MID(N66,1,3)*1,'[1]1_group_total_details'!$H$8:$H$10000,"&lt;="&amp;adj_date)+SUMIFS('[1]1_group_total_details'!$N$8:$N$10000,'[1]1_group_total_details'!$C$8:$C$10000,I66,'[1]1_group_total_details'!$F$8:$F$10000,adj_location_group_id,'[1]1_group_total_details'!$G$8:$G$10000,MID(N66,1,3)*1,'[1]1_group_total_details'!$H$8:$H$10000,"&lt;="&amp;adj_date)+SUMIFS('[1]1_group_total_details'!$O$8:$O$10000,'[1]1_group_total_details'!$C$8:$C$10000,I66,'[1]1_group_total_details'!$F$8:$F$10000,adj_location_group_id,'[1]1_group_total_details'!$G$8:$G$10000,MID(N66,1,3)*1,'[1]1_group_total_details'!$H$8:$H$10000,"&lt;="&amp;adj_date))-(SUMIFS('[1]1_group_total_details'!$J$8:$J$10000,'[1]1_group_total_details'!$C$8:$C$10000,I66,'[1]1_group_total_details'!$F$8:$F$10000,adj_location_group_id,'[1]1_group_total_details'!$G$8:$G$10000,MID(N66,1,3)*1,'[1]1_group_total_details'!$H$8:$H$10000,"&lt;="&amp;adj_date)+SUMIFS('[1]1_group_total_details'!$K$8:$K$10000,'[1]1_group_total_details'!$C$8:$C$10000,I66,'[1]1_group_total_details'!$F$8:$F$10000,adj_location_group_id,'[1]1_group_total_details'!$G$8:$G$10000,MID(N66,1,3)*1,'[1]1_group_total_details'!$H$8:$H$10000,"&lt;="&amp;adj_date)+SUMIFS('[1]1_group_total_details'!$M$8:$M$10000,'[1]1_group_total_details'!$C$8:$C$10000,I66,'[1]1_group_total_details'!$F$8:$F$10000,adj_location_group_id,'[1]1_group_total_details'!$G$8:$G$10000,MID(N66,1,3)*1,'[1]1_group_total_details'!$H$8:$H$10000,"&lt;="&amp;adj_date)+SUMIFS('[1]1_group_total_details'!$P$8:$P$10000,'[1]1_group_total_details'!$C$8:$C$10000,I66,'[1]1_group_total_details'!$F$8:$F$10000,adj_location_group_id,'[1]1_group_total_details'!$G$8:$G$10000,MID(N66,1,3)*1,'[1]1_group_total_details'!$H$8:$H$10000,"&lt;="&amp;adj_date))))</f>
        <v/>
      </c>
      <c r="R66" s="1187"/>
      <c r="S66" s="1186"/>
      <c r="T66" s="1186"/>
      <c r="U66" s="1184"/>
      <c r="V66" s="270" t="str" cm="1">
        <f t="array" ref="V66">IF(L66="","",IF(M66=AE66,1,Slookup(MID(AE66,1,3)*1,UomConversion!$D$8:$J$500,5,UomConversion!$E$8:$E$500,MID(M66,1,3)*1,UomConversion!$J$8:$J$500,1)))</f>
        <v/>
      </c>
      <c r="W66" s="270" t="str">
        <f t="shared" si="8"/>
        <v/>
      </c>
      <c r="X66" s="1795" t="str">
        <f t="shared" si="9"/>
        <v/>
      </c>
      <c r="Y66" s="1795" t="str">
        <f t="shared" si="10"/>
        <v/>
      </c>
      <c r="Z66" s="270" t="str">
        <f>IF(I66="","",IF(ISNA(MATCH(I66,IF(MID(N66,1,3)*1=1,'[1]1_inventory_totals'!$C$8:$C$10000,IF(MID(N66,1,3)*1=2,'[1]2_inventory_totals'!$C$8:$C$10000,"")),0)),0,IF(AL66&gt;0,1,0)))</f>
        <v/>
      </c>
      <c r="AA66" s="270" t="str">
        <f>IF(L66="","",IF(MID(N66,1,3)*1=1,SUMIFS('[1]1_inventory_total_details'!$J$8:$J$10000,'[1]1_inventory_total_details'!$C$8:$C$10000,I66,'[1]1_inventory_total_details'!$F$8:$F$10000,MID(N66,1,3)*1,'[1]1_inventory_total_details'!$G$8:$G$10000,"="&amp;S66,'[1]1_inventory_total_details'!$H$8:$H$10000,"="&amp;T66,'[1]1_inventory_total_details'!$I$8:$I$10000,"="&amp;adj_date)+SUMIFS('[1]1_inventory_total_details'!$M$8:$M$10000,'[1]1_inventory_total_details'!$C$8:$C$10000,I66,'[1]1_inventory_total_details'!$F$8:$F$10000,MID(N66,1,3)*1,'[1]1_inventory_total_details'!$G$8:$G$10000,"="&amp;S66,'[1]1_inventory_total_details'!$H$8:$H$10000,"="&amp;T66,'[1]1_inventory_total_details'!$I$8:$I$10000,"="&amp;adj_date)+SUMIFS('[1]1_inventory_total_details'!$K$8:$K$10000,'[1]1_inventory_total_details'!$C$8:$C$10000,I66,'[1]1_inventory_total_details'!$F$8:$F$10000,MID(N66,1,3)*1,'[1]1_inventory_total_details'!$G$8:$G$10000,"="&amp;S66,'[1]1_inventory_total_details'!$H$8:$H$10000,"="&amp;T66,'[1]1_inventory_total_details'!$I$8:$I$10000,"="&amp;adj_date)+SUMIFS('[1]1_inventory_total_details'!$L$8:$L$10000,'[1]1_inventory_total_details'!$C$8:$C$10000,I66,'[1]1_inventory_total_details'!$F$8:$F$10000,MID(N66,1,3)*1,'[1]1_inventory_total_details'!$G$8:$G$10000,"="&amp;S66,'[1]1_inventory_total_details'!$H$8:$H$10000,"="&amp;T66,'[1]1_inventory_total_details'!$I$8:$I$10000,"="&amp;adj_date),SUMIFS('[1]2_inventory_total_details'!$J$8:$J$10000,'[1]2_inventory_total_details'!$C$8:$C$10000,I66,'[1]2_inventory_total_details'!$F$8:$F$10000,MID(N66,1,3)*1,'[1]2_inventory_total_details'!$G$8:$G$10000,"="&amp;S66,'[1]2_inventory_total_details'!$H$8:$H$10000,"="&amp;T66,'[1]2_inventory_total_details'!$I$8:$I$10000,"="&amp;adj_date)+SUMIFS('[1]2_inventory_total_details'!$M$8:$M$10000,'[1]1_inventory_total_details'!$C$8:$C$10000,I66,'[1]2_inventory_total_details'!$F$8:$F$10000,MID(N66,1,3)*1,'[1]2_inventory_total_details'!$G$8:$G$10000,"="&amp;S66,'[1]2_inventory_total_details'!$H$8:$H$10000,"="&amp;T66,'[1]2_inventory_total_details'!$I$8:$I$10000,"="&amp;adj_date)+SUMIFS('[1]2_inventory_total_details'!$K$8:$K$10000,'[1]2_inventory_total_details'!$C$8:$C$10000,I66,'[1]2_inventory_total_details'!$F$8:$F$10000,MID(N66,1,3)*1,'[1]2_inventory_total_details'!$G$8:$G$10000,"="&amp;S66,'[1]2_inventory_total_details'!$H$8:$H$10000,"="&amp;T66,'[1]2_inventory_total_details'!$I$8:$I$10000,"="&amp;adj_date)+SUMIFS('[1]2_inventory_total_details'!$L$8:$L$10000,'[1]2_inventory_total_details'!$C$8:$C$10000,I66,'[1]2_inventory_total_details'!$F$8:$F$10000,MID(N66,1,3)*1,'[1]2_inventory_total_details'!$G$8:$G$10000,"="&amp;S66,'[1]2_inventory_total_details'!$H$8:$H$10000,"="&amp;T66,'[1]2_inventory_total_details'!$I$8:$I$10000,"="&amp;adj_date)))</f>
        <v/>
      </c>
      <c r="AB66" s="270" t="str">
        <f>IF(L66="","",IF(MID(N66,1,3)*1=1,SUMIFS('[1]1_inventory_total_details'!$J$8:$J$10000,'[1]1_inventory_total_details'!$C$8:$C$10000,I66,'[1]1_inventory_total_details'!$F$8:$F$10000,MID(N66,1,3)*1,'[1]1_inventory_total_details'!$G$8:$G$10000,"="&amp;S66,'[1]1_inventory_total_details'!$H$8:$H$10000,"="&amp;T66,'[1]1_inventory_total_details'!$I$8:$I$10000,"="&amp;adj_date)+SUMIFS('[1]1_inventory_total_details'!$M$8:$M$10000,'[1]1_inventory_total_details'!$C$8:$C$10000,I66,'[1]1_inventory_total_details'!$F$8:$F$10000,MID(N66,1,3)*1,'[1]1_inventory_total_details'!$G$8:$G$10000,"="&amp;S66,'[1]1_inventory_total_details'!$H$8:$H$10000,"="&amp;T66,'[1]1_inventory_total_details'!$I$8:$I$10000,"="&amp;adj_date)+SUMIFS('[1]1_inventory_total_details'!$K$8:$K$10000,'[1]1_inventory_total_details'!$C$8:$C$10000,I66,'[1]1_inventory_total_details'!$F$8:$F$10000,MID(N66,1,3)*1,'[1]1_inventory_total_details'!$G$8:$G$10000,"="&amp;S66,'[1]1_inventory_total_details'!$H$8:$H$10000,"="&amp;T66,'[1]1_inventory_total_details'!$I$8:$I$10000,"="&amp;adj_date)+SUMIFS('[1]1_inventory_total_details'!$L$8:$L$10000,'[1]1_inventory_total_details'!$C$8:$C$10000,I66,'[1]1_inventory_total_details'!$F$8:$F$10000,MID(N66,1,3)*1,'[1]1_inventory_total_details'!$G$8:$G$10000,"="&amp;S66,'[1]1_inventory_total_details'!$H$8:$H$10000,"="&amp;T66,'[1]1_inventory_total_details'!$I$8:$I$10000,"="&amp;adj_date),SUMIFS('[1]2_inventory_total_details'!$J$8:$J$10000,'[1]2_inventory_total_details'!$C$8:$C$10000,I66,'[1]2_inventory_total_details'!$F$8:$F$10000,MID(N66,1,3)*1,'[1]2_inventory_total_details'!$G$8:$G$10000,"="&amp;S66,'[1]2_inventory_total_details'!$H$8:$H$10000,"="&amp;T66,'[1]2_inventory_total_details'!$I$8:$I$10000,"="&amp;adj_date)+SUMIFS('[1]2_inventory_total_details'!$M$8:$M$10000,'[1]1_inventory_total_details'!$C$8:$C$10000,I66,'[1]2_inventory_total_details'!$F$8:$F$10000,MID(N66,1,3)*1,'[1]2_inventory_total_details'!$G$8:$G$10000,"="&amp;S66,'[1]2_inventory_total_details'!$H$8:$H$10000,"="&amp;T66,'[1]2_inventory_total_details'!$I$8:$I$10000,"="&amp;adj_date)+SUMIFS('[1]2_inventory_total_details'!$K$8:$K$10000,'[1]2_inventory_total_details'!$C$8:$C$10000,I66,'[1]2_inventory_total_details'!$F$8:$F$10000,MID(N66,1,3)*1,'[1]2_inventory_total_details'!$G$8:$G$10000,"="&amp;S66,'[1]2_inventory_total_details'!$H$8:$H$10000,"="&amp;T66,'[1]2_inventory_total_details'!$I$8:$I$10000,"="&amp;adj_date)+SUMIFS('[1]2_inventory_total_details'!$L$8:$L$10000,'[1]2_inventory_total_details'!$C$8:$C$10000,I66,'[1]2_inventory_total_details'!$F$8:$F$10000,MID(N66,1,3)*1,'[1]2_inventory_total_details'!$G$8:$G$10000,"="&amp;S66,'[1]2_inventory_total_details'!$H$8:$H$10000,"="&amp;T66,'[1]2_inventory_total_details'!$I$8:$I$10000,"="&amp;adj_date)))</f>
        <v/>
      </c>
      <c r="AC66" s="270" t="str">
        <f>IF(L66="","",IF(MID(N66,1,3)*1=1,SUMIFS('[1]1_inventory_total_details'!$J$8:$J$10000,'[1]1_inventory_total_details'!$C$8:$C$10000,I66,'[1]1_inventory_total_details'!$F$8:$F$10000,MID(N66,1,3)*1,'[1]1_inventory_total_details'!$G$8:$G$10000,"="&amp;S66,'[1]1_inventory_total_details'!$H$8:$H$10000,"="&amp;T66,'[1]1_inventory_total_details'!$I$8:$I$10000,"="&amp;adj_date)+SUMIFS('[1]1_inventory_total_details'!$M$8:$M$10000,'[1]1_inventory_total_details'!$C$8:$C$10000,I66,'[1]1_inventory_total_details'!$F$8:$F$10000,MID(N66,1,3)*1,'[1]1_inventory_total_details'!$G$8:$G$10000,"="&amp;S66,'[1]1_inventory_total_details'!$H$8:$H$10000,"="&amp;T66,'[1]1_inventory_total_details'!$I$8:$I$10000,"="&amp;adj_date)+SUMIFS('[1]1_inventory_total_details'!$K$8:$K$10000,'[1]1_inventory_total_details'!$C$8:$C$10000,I66,'[1]1_inventory_total_details'!$F$8:$F$10000,MID(N66,1,3)*1,'[1]1_inventory_total_details'!$G$8:$G$10000,"="&amp;S66,'[1]1_inventory_total_details'!$H$8:$H$10000,"="&amp;T66,'[1]1_inventory_total_details'!$I$8:$I$10000,"="&amp;adj_date)+SUMIFS('[1]1_inventory_total_details'!$L$8:$L$10000,'[1]1_inventory_total_details'!$C$8:$C$10000,I66,'[1]1_inventory_total_details'!$F$8:$F$10000,MID(N66,1,3)*1,'[1]1_inventory_total_details'!$G$8:$G$10000,"="&amp;S66,'[1]1_inventory_total_details'!$H$8:$H$10000,"="&amp;T66,'[1]1_inventory_total_details'!$I$8:$I$10000,"="&amp;adj_date),SUMIFS('[1]2_inventory_total_details'!$J$8:$J$10000,'[1]2_inventory_total_details'!$C$8:$C$10000,I66,'[1]2_inventory_total_details'!$F$8:$F$10000,MID(N66,1,3)*1,'[1]2_inventory_total_details'!$G$8:$G$10000,"="&amp;S66,'[1]2_inventory_total_details'!$H$8:$H$10000,"="&amp;T66,'[1]2_inventory_total_details'!$I$8:$I$10000,"="&amp;adj_date)+SUMIFS('[1]2_inventory_total_details'!$M$8:$M$10000,'[1]1_inventory_total_details'!$C$8:$C$10000,I66,'[1]2_inventory_total_details'!$F$8:$F$10000,MID(N66,1,3)*1,'[1]2_inventory_total_details'!$G$8:$G$10000,"="&amp;S66,'[1]2_inventory_total_details'!$H$8:$H$10000,"="&amp;T66,'[1]2_inventory_total_details'!$I$8:$I$10000,"="&amp;adj_date)+SUMIFS('[1]2_inventory_total_details'!$K$8:$K$10000,'[1]2_inventory_total_details'!$C$8:$C$10000,I66,'[1]2_inventory_total_details'!$F$8:$F$10000,MID(N66,1,3)*1,'[1]2_inventory_total_details'!$G$8:$G$10000,"="&amp;S66,'[1]2_inventory_total_details'!$H$8:$H$10000,"="&amp;T66,'[1]2_inventory_total_details'!$I$8:$I$10000,"="&amp;adj_date)+SUMIFS('[1]2_inventory_total_details'!$L$8:$L$10000,'[1]2_inventory_total_details'!$C$8:$C$10000,I66,'[1]2_inventory_total_details'!$F$8:$F$10000,MID(N66,1,3)*1,'[1]2_inventory_total_details'!$G$8:$G$10000,"="&amp;S66,'[1]2_inventory_total_details'!$H$8:$H$10000,"="&amp;T66,'[1]2_inventory_total_details'!$I$8:$I$10000,"="&amp;adj_date)))</f>
        <v/>
      </c>
      <c r="AD66" s="270" t="str">
        <f>IF(L66="","",SUMIFS('[1]1_group_totals'!$J$8:$J$10000,'[1]1_group_totals'!$C$8:$C$10000,I66,'[1]1_group_totals'!$F$8:$F$10000,adj_location_group_id,'[1]1_group_totals'!$G$8:$G$10000,MID(N66,1,3)*1,'[1]1_group_totals'!$H$8:$H$10000,"="&amp;S66,'[1]1_group_totals'!$I$8:$I$10000,"="&amp;T66))</f>
        <v/>
      </c>
      <c r="AE66" s="1796" t="str">
        <f t="shared" si="11"/>
        <v/>
      </c>
      <c r="AF66" s="1797" t="str">
        <f>IF(ISNA(MATCH(MID(AE66,1,3)*1,UomConversion!$D$8:$D$500,0)),"",IF(AJ66&lt;&gt;"",AJ66,""))</f>
        <v/>
      </c>
      <c r="AG66" s="1797" t="str">
        <f>IF(AND(AH66&gt;0,COUNTIFS(UomConversion!$D$8:$D$500,MID(AE66,1,3)*1,UomConversion!$J$8:$J$500,1)&gt;1),TEXT(AH66,"000")&amp;"."&amp;VLOOKUP(AH66,uom_list,5,FALSE),"")</f>
        <v/>
      </c>
      <c r="AH66" s="270" t="str">
        <f t="shared" si="12"/>
        <v/>
      </c>
      <c r="AI66" s="270" t="str">
        <f t="shared" si="13"/>
        <v/>
      </c>
      <c r="AJ66" s="270" t="str">
        <f t="shared" si="14"/>
        <v/>
      </c>
      <c r="AK66" s="270" t="str" cm="1">
        <f t="array" ref="AK66">IF(L66="","",Slookup(MID(AE66,1,3)*1,UomConversion!$D$8:$J$500,2,UomConversion!$I$8:$I$500,1,UomConversion!$J$8:$J$500,1))</f>
        <v/>
      </c>
      <c r="AL66" s="270" t="str">
        <f t="shared" si="15"/>
        <v/>
      </c>
      <c r="AM66" s="270" t="str">
        <f>IF(L66="","",(SUMIFS('[1]1_group_totals'!$K$8:$K$10000,'[1]1_group_totals'!$C$8:$C$10000,I66,'[1]1_group_totals'!$F$8:$F$10000,adj_location_group_id,'[1]1_group_totals'!$G$8:$G$10000,MID(N66,1,3)*1,'[1]1_group_totals'!$H$8:$H$10000,"="&amp;S66,'[1]1_group_totals'!$I$8:$I$10000,"="&amp;T66)+SUMIFS('[1]1_group_totals'!$N$8:$N$10000,'[1]1_group_totals'!$C$8:$C$10000,I66,'[1]1_group_totals'!$F$8:$F$10000,adj_location_group_id,'[1]1_group_totals'!$G$8:$G$10000,MID(N66,1,3)*1,'[1]1_group_totals'!$H$8:$H$10000,"="&amp;S66,'[1]1_group_totals'!$I$8:$I$10000,"="&amp;T66)+SUMIFS('[1]1_group_totals'!$P$8:$P$10000,'[1]1_group_totals'!$C$8:$C$10000,I66,'[1]1_group_totals'!$F$8:$F$10000,adj_location_group_id,'[1]1_group_totals'!$G$8:$G$10000,MID(N66,1,3)*1,'[1]1_group_totals'!$H$8:$H$10000,"="&amp;S66,'[1]1_group_totals'!$I$8:$I$10000,"="&amp;T66)+SUMIFS('[1]1_group_totals'!$Q$8:$Q$10000,'[1]1_group_totals'!$C$8:$C$10000,I66,'[1]1_group_totals'!$F$8:$F$10000,adj_location_group_id,'[1]1_group_totals'!$G$8:$G$10000,MID(N66,1,3)*1,'[1]1_group_totals'!$H$8:$H$10000,"="&amp;S66,'[1]1_group_totals'!$I$8:$I$10000,"="&amp;T66))+(SUMIFS('[1]1_group_totals'!$L$8:$L$10000,'[1]1_group_totals'!$C$8:$C$10000,I66,'[1]1_group_totals'!$F$8:$F$10000,adj_location_group_id,'[1]1_group_totals'!$G$8:$G$10000,MID(N66,1,3)*1,'[1]1_group_totals'!$H$8:$H$10000,"="&amp;S66,'[1]1_group_totals'!$I$8:$I$10000,"="&amp;T66)+SUMIFS('[1]1_group_totals'!$M$8:$M$10000,'[1]1_group_totals'!$C$8:$C$10000,I66,'[1]1_group_totals'!$F$8:$F$10000,adj_location_group_id,'[1]1_group_totals'!$G$8:$G$10000,MID(N66,1,3)*1,'[1]1_group_totals'!$H$8:$H$10000,"="&amp;S66,'[1]1_group_totals'!$I$8:$I$10000,"="&amp;T66)+SUMIFS('[1]1_group_totals'!$O$8:$O$10000,'[1]1_group_totals'!$C$8:$C$10000,I66,'[1]1_group_totals'!$F$8:$F$10000,adj_location_group_id,'[1]1_group_totals'!$G$8:$G$10000,MID(N66,1,3)*1,'[1]1_group_totals'!$H$8:$H$10000,"="&amp;S66,'[1]1_group_totals'!$I$8:$I$10000,"="&amp;T66)+SUMIFS('[1]1_group_totals'!$R$8:$R$10000,'[1]1_group_totals'!$C$8:$C$10000,I66,'[1]1_group_totals'!$F$8:$F$10000,adj_location_group_id,'[1]1_group_totals'!$G$8:$G$10000,MID(N66,1,3)*1,'[1]1_group_totals'!$H$8:$H$10000,"="&amp;S66,'[1]1_group_totals'!$I$8:$I$10000,"="&amp;T66)))</f>
        <v/>
      </c>
      <c r="AN66" s="270" t="str">
        <f>IF(L66="","",(SUMIFS('[1]1_inventory_totals'!$I$8:$I$10000,'[1]1_inventory_totals'!$C$8:$C$10000,I66,'[1]1_inventory_totals'!$F$8:$F$10000,"="&amp;S66,'[1]1_inventory_totals'!$G$8:$G$10000,"="&amp;T66)+SUMIFS('[1]1_inventory_totals'!$N$8:$N$10000,'[1]1_inventory_totals'!$C$8:$C$10000,I66,'[1]1_inventory_totals'!$F$8:$F$10000,"="&amp;S66,'[1]1_inventory_totals'!$G$8:$G$10000,"="&amp;T66)+SUMIFS('[1]1_inventory_totals'!$P$8:$P$10000,'[1]1_inventory_totals'!$C$8:$C$10000,I66,'[1]1_inventory_totals'!$F$8:$F$10000,"="&amp;S66,'[1]1_inventory_totals'!$G$8:$G$10000,"="&amp;T66)+SUMIFS('[1]1_inventory_totals'!$Q$8:$Q$10000,'[1]1_inventory_totals'!$C$8:$C$10000,I66,'[1]1_inventory_totals'!$F$8:$F$10000,"="&amp;S66,'[1]1_inventory_totals'!$G$8:$G$10000,"="&amp;T66)+SUMIFS('[1]1_inventory_totals'!$R$8:$R$10000,'[1]1_inventory_totals'!$C$8:$C$10000,I66,'[1]1_inventory_totals'!$F$8:$F$10000,"="&amp;S66,'[1]1_inventory_totals'!$G$8:$G$10000,"="&amp;T66))+(SUMIFS('[1]1_inventory_totals'!$J$8:$J$10000,'[1]1_inventory_totals'!$C$8:$C$10000,I66,'[1]1_inventory_totals'!$F$8:$F$10000,"="&amp;S66,'[1]1_inventory_totals'!$G$8:$G$10000,"="&amp;T66)+SUMIFS('[1]1_inventory_totals'!$K$8:$K$10000,'[1]1_inventory_totals'!$C$8:$C$10000,I66,'[1]1_inventory_totals'!$F$8:$F$10000,"="&amp;S66,'[1]1_inventory_totals'!$G$8:$G$10000,"="&amp;T66)+SUMIFS('[1]1_inventory_totals'!$L$8:$L$10000,'[1]1_inventory_totals'!$C$8:$C$10000,I66,'[1]1_inventory_totals'!$F$8:$F$10000,"="&amp;S66,'[1]1_inventory_totals'!$G$8:$G$10000,"="&amp;T66)+SUMIFS('[1]1_inventory_totals'!$M$8:$M$10000,'[1]1_inventory_totals'!$C$8:$C$10000,I66,'[1]1_inventory_totals'!$F$8:$F$10000,"="&amp;S66,'[1]1_inventory_totals'!$G$8:$G$10000,"="&amp;T66)+SUMIFS('[1]1_inventory_totals'!$O$8:$O$10000,'[1]1_inventory_totals'!$C$8:$C$10000,I66,'[1]1_inventory_totals'!$F$8:$F$10000,"="&amp;S66,'[1]1_inventory_totals'!$G$8:$G$10000,"="&amp;T66)+SUMIFS('[1]1_inventory_totals'!$S$8:$S$10000,'[1]1_inventory_totals'!$C$8:$C$10000,I66,'[1]1_inventory_totals'!$F$8:$F$10000,"="&amp;S66,'[1]1_inventory_totals'!$G$8:$G$10000,"="&amp;T66)))</f>
        <v/>
      </c>
      <c r="AO66" s="270" t="str">
        <f>IF(L66="","",(SUMIFS('[1]2_inventory_totals'!$I$8:$I$10000,'[1]2_inventory_totals'!$C$8:$C$10000,I66,'[1]2_inventory_totals'!$F$8:$F$10000,"="&amp;S66,'[1]2_inventory_totals'!$G$8:$G$10000,"="&amp;T66)+SUMIFS('[1]2_inventory_totals'!$N$8:$N$10000,'[1]2_inventory_totals'!$C$8:$C$10000,I66,'[1]2_inventory_totals'!$F$8:$F$10000,"="&amp;S66,'[1]2_inventory_totals'!$G$8:$G$10000,"="&amp;T66)+SUMIFS('[1]2_inventory_totals'!$P$8:$P$10000,'[1]2_inventory_totals'!$C$8:$C$10000,I66,'[1]2_inventory_totals'!$F$8:$F$10000,"="&amp;S66,'[1]2_inventory_totals'!$G$8:$G$10000,"="&amp;T66)+SUMIFS('[1]2_inventory_totals'!$Q$8:$Q$10000,'[1]2_inventory_totals'!$C$8:$C$10000,I66,'[1]2_inventory_totals'!$F$8:$F$10000,"="&amp;S66,'[1]2_inventory_totals'!$G$8:$G$10000,"="&amp;T66)+SUMIFS('[1]2_inventory_totals'!$R$8:$R$10000,'[1]2_inventory_totals'!$C$8:$C$10000,I66,'[1]2_inventory_totals'!$F$8:$F$10000,"="&amp;S66,'[1]2_inventory_totals'!$G$8:$G$10000,"="&amp;T66))+(SUMIFS('[1]2_inventory_totals'!$J$8:$J$10000,'[1]2_inventory_totals'!$C$8:$C$10000,I66,'[1]2_inventory_totals'!$F$8:$F$10000,"="&amp;S66,'[1]2_inventory_totals'!$G$8:$G$10000,"="&amp;T66)+SUMIFS('[1]2_inventory_totals'!$K$8:$K$10000,'[1]2_inventory_totals'!$C$8:$C$10000,I66,'[1]2_inventory_totals'!$F$8:$F$10000,"="&amp;S66,'[1]2_inventory_totals'!$G$8:$G$10000,"="&amp;T66)+SUMIFS('[1]2_inventory_totals'!$L$8:$L$10000,'[1]2_inventory_totals'!$C$8:$C$10000,I66,'[1]2_inventory_totals'!$F$8:$F$10000,"="&amp;S66,'[1]2_inventory_totals'!$G$8:$G$10000,"="&amp;T66)+SUMIFS('[1]2_inventory_totals'!$M$8:$M$10000,'[1]2_inventory_totals'!$C$8:$C$10000,I66,'[1]2_inventory_totals'!$F$8:$F$10000,"="&amp;S66,'[1]2_inventory_totals'!$G$8:$G$10000,"="&amp;T66)+SUMIFS('[1]2_inventory_totals'!$O$8:$O$10000,'[1]2_inventory_totals'!$C$8:$C$10000,I66,'[1]2_inventory_totals'!$F$8:$F$10000,"="&amp;S66,'[1]2_inventory_totals'!$G$8:$G$10000,"="&amp;T66)+SUMIFS('[1]2_inventory_totals'!$S$8:$S$10000,'[1]2_inventory_totals'!$C$8:$C$10000,I66,'[1]2_inventory_totals'!$F$8:$F$10000,"="&amp;S66,'[1]2_inventory_totals'!$G$8:$G$10000,"="&amp;T66)))</f>
        <v/>
      </c>
      <c r="AP66" s="954"/>
    </row>
    <row r="67" spans="1:42" ht="27" customHeight="1">
      <c r="A67" s="923"/>
      <c r="B67" s="1178"/>
      <c r="C67" s="950"/>
      <c r="D67" s="950"/>
      <c r="E67" s="950"/>
      <c r="F67" s="1199"/>
      <c r="G67" s="941"/>
      <c r="H67" s="1070"/>
      <c r="I67" s="1610" t="str">
        <f t="shared" si="5"/>
        <v/>
      </c>
      <c r="J67" s="270" t="str">
        <f t="shared" si="6"/>
        <v/>
      </c>
      <c r="K67" s="813" t="str">
        <f t="shared" si="16"/>
        <v/>
      </c>
      <c r="L67" s="1184"/>
      <c r="M67" s="1185"/>
      <c r="N67" s="1186"/>
      <c r="O67" s="1534"/>
      <c r="P67" s="336" t="str">
        <f t="shared" si="17"/>
        <v/>
      </c>
      <c r="Q67" s="336" t="str">
        <f>IF(L67="","",IF(AD67=0,0,(SUMIFS('[1]1_group_total_details'!$I$8:$I$10000,'[1]1_group_total_details'!$C$8:$C$10000,I67,'[1]1_group_total_details'!$F$8:$F$10000,adj_location_group_id,'[1]1_group_total_details'!$G$8:$G$10000,MID(N67,1,3)*1,'[1]1_group_total_details'!$H$8:$H$10000,"&lt;="&amp;adj_date)+SUMIFS('[1]1_group_total_details'!$L$8:$L$10000,'[1]1_group_total_details'!$C$8:$C$10000,I67,'[1]1_group_total_details'!$F$8:$F$10000,adj_location_group_id,'[1]1_group_total_details'!$G$8:$G$10000,MID(N67,1,3)*1,'[1]1_group_total_details'!$H$8:$H$10000,"&lt;="&amp;adj_date)+SUMIFS('[1]1_group_total_details'!$N$8:$N$10000,'[1]1_group_total_details'!$C$8:$C$10000,I67,'[1]1_group_total_details'!$F$8:$F$10000,adj_location_group_id,'[1]1_group_total_details'!$G$8:$G$10000,MID(N67,1,3)*1,'[1]1_group_total_details'!$H$8:$H$10000,"&lt;="&amp;adj_date)+SUMIFS('[1]1_group_total_details'!$O$8:$O$10000,'[1]1_group_total_details'!$C$8:$C$10000,I67,'[1]1_group_total_details'!$F$8:$F$10000,adj_location_group_id,'[1]1_group_total_details'!$G$8:$G$10000,MID(N67,1,3)*1,'[1]1_group_total_details'!$H$8:$H$10000,"&lt;="&amp;adj_date))-(SUMIFS('[1]1_group_total_details'!$J$8:$J$10000,'[1]1_group_total_details'!$C$8:$C$10000,I67,'[1]1_group_total_details'!$F$8:$F$10000,adj_location_group_id,'[1]1_group_total_details'!$G$8:$G$10000,MID(N67,1,3)*1,'[1]1_group_total_details'!$H$8:$H$10000,"&lt;="&amp;adj_date)+SUMIFS('[1]1_group_total_details'!$K$8:$K$10000,'[1]1_group_total_details'!$C$8:$C$10000,I67,'[1]1_group_total_details'!$F$8:$F$10000,adj_location_group_id,'[1]1_group_total_details'!$G$8:$G$10000,MID(N67,1,3)*1,'[1]1_group_total_details'!$H$8:$H$10000,"&lt;="&amp;adj_date)+SUMIFS('[1]1_group_total_details'!$M$8:$M$10000,'[1]1_group_total_details'!$C$8:$C$10000,I67,'[1]1_group_total_details'!$F$8:$F$10000,adj_location_group_id,'[1]1_group_total_details'!$G$8:$G$10000,MID(N67,1,3)*1,'[1]1_group_total_details'!$H$8:$H$10000,"&lt;="&amp;adj_date)+SUMIFS('[1]1_group_total_details'!$P$8:$P$10000,'[1]1_group_total_details'!$C$8:$C$10000,I67,'[1]1_group_total_details'!$F$8:$F$10000,adj_location_group_id,'[1]1_group_total_details'!$G$8:$G$10000,MID(N67,1,3)*1,'[1]1_group_total_details'!$H$8:$H$10000,"&lt;="&amp;adj_date))))</f>
        <v/>
      </c>
      <c r="R67" s="1187"/>
      <c r="S67" s="1186"/>
      <c r="T67" s="1186"/>
      <c r="U67" s="1184"/>
      <c r="V67" s="270" t="str" cm="1">
        <f t="array" ref="V67">IF(L67="","",IF(M67=AE67,1,Slookup(MID(AE67,1,3)*1,UomConversion!$D$8:$J$500,5,UomConversion!$E$8:$E$500,MID(M67,1,3)*1,UomConversion!$J$8:$J$500,1)))</f>
        <v/>
      </c>
      <c r="W67" s="270" t="str">
        <f t="shared" si="8"/>
        <v/>
      </c>
      <c r="X67" s="1795" t="str">
        <f t="shared" si="9"/>
        <v/>
      </c>
      <c r="Y67" s="1795" t="str">
        <f t="shared" si="10"/>
        <v/>
      </c>
      <c r="Z67" s="270" t="str">
        <f>IF(I67="","",IF(ISNA(MATCH(I67,IF(MID(N67,1,3)*1=1,'[1]1_inventory_totals'!$C$8:$C$10000,IF(MID(N67,1,3)*1=2,'[1]2_inventory_totals'!$C$8:$C$10000,"")),0)),0,IF(AL67&gt;0,1,0)))</f>
        <v/>
      </c>
      <c r="AA67" s="270" t="str">
        <f>IF(L67="","",IF(MID(N67,1,3)*1=1,SUMIFS('[1]1_inventory_total_details'!$J$8:$J$10000,'[1]1_inventory_total_details'!$C$8:$C$10000,I67,'[1]1_inventory_total_details'!$F$8:$F$10000,MID(N67,1,3)*1,'[1]1_inventory_total_details'!$G$8:$G$10000,"="&amp;S67,'[1]1_inventory_total_details'!$H$8:$H$10000,"="&amp;T67,'[1]1_inventory_total_details'!$I$8:$I$10000,"="&amp;adj_date)+SUMIFS('[1]1_inventory_total_details'!$M$8:$M$10000,'[1]1_inventory_total_details'!$C$8:$C$10000,I67,'[1]1_inventory_total_details'!$F$8:$F$10000,MID(N67,1,3)*1,'[1]1_inventory_total_details'!$G$8:$G$10000,"="&amp;S67,'[1]1_inventory_total_details'!$H$8:$H$10000,"="&amp;T67,'[1]1_inventory_total_details'!$I$8:$I$10000,"="&amp;adj_date)+SUMIFS('[1]1_inventory_total_details'!$K$8:$K$10000,'[1]1_inventory_total_details'!$C$8:$C$10000,I67,'[1]1_inventory_total_details'!$F$8:$F$10000,MID(N67,1,3)*1,'[1]1_inventory_total_details'!$G$8:$G$10000,"="&amp;S67,'[1]1_inventory_total_details'!$H$8:$H$10000,"="&amp;T67,'[1]1_inventory_total_details'!$I$8:$I$10000,"="&amp;adj_date)+SUMIFS('[1]1_inventory_total_details'!$L$8:$L$10000,'[1]1_inventory_total_details'!$C$8:$C$10000,I67,'[1]1_inventory_total_details'!$F$8:$F$10000,MID(N67,1,3)*1,'[1]1_inventory_total_details'!$G$8:$G$10000,"="&amp;S67,'[1]1_inventory_total_details'!$H$8:$H$10000,"="&amp;T67,'[1]1_inventory_total_details'!$I$8:$I$10000,"="&amp;adj_date),SUMIFS('[1]2_inventory_total_details'!$J$8:$J$10000,'[1]2_inventory_total_details'!$C$8:$C$10000,I67,'[1]2_inventory_total_details'!$F$8:$F$10000,MID(N67,1,3)*1,'[1]2_inventory_total_details'!$G$8:$G$10000,"="&amp;S67,'[1]2_inventory_total_details'!$H$8:$H$10000,"="&amp;T67,'[1]2_inventory_total_details'!$I$8:$I$10000,"="&amp;adj_date)+SUMIFS('[1]2_inventory_total_details'!$M$8:$M$10000,'[1]1_inventory_total_details'!$C$8:$C$10000,I67,'[1]2_inventory_total_details'!$F$8:$F$10000,MID(N67,1,3)*1,'[1]2_inventory_total_details'!$G$8:$G$10000,"="&amp;S67,'[1]2_inventory_total_details'!$H$8:$H$10000,"="&amp;T67,'[1]2_inventory_total_details'!$I$8:$I$10000,"="&amp;adj_date)+SUMIFS('[1]2_inventory_total_details'!$K$8:$K$10000,'[1]2_inventory_total_details'!$C$8:$C$10000,I67,'[1]2_inventory_total_details'!$F$8:$F$10000,MID(N67,1,3)*1,'[1]2_inventory_total_details'!$G$8:$G$10000,"="&amp;S67,'[1]2_inventory_total_details'!$H$8:$H$10000,"="&amp;T67,'[1]2_inventory_total_details'!$I$8:$I$10000,"="&amp;adj_date)+SUMIFS('[1]2_inventory_total_details'!$L$8:$L$10000,'[1]2_inventory_total_details'!$C$8:$C$10000,I67,'[1]2_inventory_total_details'!$F$8:$F$10000,MID(N67,1,3)*1,'[1]2_inventory_total_details'!$G$8:$G$10000,"="&amp;S67,'[1]2_inventory_total_details'!$H$8:$H$10000,"="&amp;T67,'[1]2_inventory_total_details'!$I$8:$I$10000,"="&amp;adj_date)))</f>
        <v/>
      </c>
      <c r="AB67" s="270" t="str">
        <f>IF(L67="","",IF(MID(N67,1,3)*1=1,SUMIFS('[1]1_inventory_total_details'!$J$8:$J$10000,'[1]1_inventory_total_details'!$C$8:$C$10000,I67,'[1]1_inventory_total_details'!$F$8:$F$10000,MID(N67,1,3)*1,'[1]1_inventory_total_details'!$G$8:$G$10000,"="&amp;S67,'[1]1_inventory_total_details'!$H$8:$H$10000,"="&amp;T67,'[1]1_inventory_total_details'!$I$8:$I$10000,"="&amp;adj_date)+SUMIFS('[1]1_inventory_total_details'!$M$8:$M$10000,'[1]1_inventory_total_details'!$C$8:$C$10000,I67,'[1]1_inventory_total_details'!$F$8:$F$10000,MID(N67,1,3)*1,'[1]1_inventory_total_details'!$G$8:$G$10000,"="&amp;S67,'[1]1_inventory_total_details'!$H$8:$H$10000,"="&amp;T67,'[1]1_inventory_total_details'!$I$8:$I$10000,"="&amp;adj_date)+SUMIFS('[1]1_inventory_total_details'!$K$8:$K$10000,'[1]1_inventory_total_details'!$C$8:$C$10000,I67,'[1]1_inventory_total_details'!$F$8:$F$10000,MID(N67,1,3)*1,'[1]1_inventory_total_details'!$G$8:$G$10000,"="&amp;S67,'[1]1_inventory_total_details'!$H$8:$H$10000,"="&amp;T67,'[1]1_inventory_total_details'!$I$8:$I$10000,"="&amp;adj_date)+SUMIFS('[1]1_inventory_total_details'!$L$8:$L$10000,'[1]1_inventory_total_details'!$C$8:$C$10000,I67,'[1]1_inventory_total_details'!$F$8:$F$10000,MID(N67,1,3)*1,'[1]1_inventory_total_details'!$G$8:$G$10000,"="&amp;S67,'[1]1_inventory_total_details'!$H$8:$H$10000,"="&amp;T67,'[1]1_inventory_total_details'!$I$8:$I$10000,"="&amp;adj_date),SUMIFS('[1]2_inventory_total_details'!$J$8:$J$10000,'[1]2_inventory_total_details'!$C$8:$C$10000,I67,'[1]2_inventory_total_details'!$F$8:$F$10000,MID(N67,1,3)*1,'[1]2_inventory_total_details'!$G$8:$G$10000,"="&amp;S67,'[1]2_inventory_total_details'!$H$8:$H$10000,"="&amp;T67,'[1]2_inventory_total_details'!$I$8:$I$10000,"="&amp;adj_date)+SUMIFS('[1]2_inventory_total_details'!$M$8:$M$10000,'[1]1_inventory_total_details'!$C$8:$C$10000,I67,'[1]2_inventory_total_details'!$F$8:$F$10000,MID(N67,1,3)*1,'[1]2_inventory_total_details'!$G$8:$G$10000,"="&amp;S67,'[1]2_inventory_total_details'!$H$8:$H$10000,"="&amp;T67,'[1]2_inventory_total_details'!$I$8:$I$10000,"="&amp;adj_date)+SUMIFS('[1]2_inventory_total_details'!$K$8:$K$10000,'[1]2_inventory_total_details'!$C$8:$C$10000,I67,'[1]2_inventory_total_details'!$F$8:$F$10000,MID(N67,1,3)*1,'[1]2_inventory_total_details'!$G$8:$G$10000,"="&amp;S67,'[1]2_inventory_total_details'!$H$8:$H$10000,"="&amp;T67,'[1]2_inventory_total_details'!$I$8:$I$10000,"="&amp;adj_date)+SUMIFS('[1]2_inventory_total_details'!$L$8:$L$10000,'[1]2_inventory_total_details'!$C$8:$C$10000,I67,'[1]2_inventory_total_details'!$F$8:$F$10000,MID(N67,1,3)*1,'[1]2_inventory_total_details'!$G$8:$G$10000,"="&amp;S67,'[1]2_inventory_total_details'!$H$8:$H$10000,"="&amp;T67,'[1]2_inventory_total_details'!$I$8:$I$10000,"="&amp;adj_date)))</f>
        <v/>
      </c>
      <c r="AC67" s="270" t="str">
        <f>IF(L67="","",IF(MID(N67,1,3)*1=1,SUMIFS('[1]1_inventory_total_details'!$J$8:$J$10000,'[1]1_inventory_total_details'!$C$8:$C$10000,I67,'[1]1_inventory_total_details'!$F$8:$F$10000,MID(N67,1,3)*1,'[1]1_inventory_total_details'!$G$8:$G$10000,"="&amp;S67,'[1]1_inventory_total_details'!$H$8:$H$10000,"="&amp;T67,'[1]1_inventory_total_details'!$I$8:$I$10000,"="&amp;adj_date)+SUMIFS('[1]1_inventory_total_details'!$M$8:$M$10000,'[1]1_inventory_total_details'!$C$8:$C$10000,I67,'[1]1_inventory_total_details'!$F$8:$F$10000,MID(N67,1,3)*1,'[1]1_inventory_total_details'!$G$8:$G$10000,"="&amp;S67,'[1]1_inventory_total_details'!$H$8:$H$10000,"="&amp;T67,'[1]1_inventory_total_details'!$I$8:$I$10000,"="&amp;adj_date)+SUMIFS('[1]1_inventory_total_details'!$K$8:$K$10000,'[1]1_inventory_total_details'!$C$8:$C$10000,I67,'[1]1_inventory_total_details'!$F$8:$F$10000,MID(N67,1,3)*1,'[1]1_inventory_total_details'!$G$8:$G$10000,"="&amp;S67,'[1]1_inventory_total_details'!$H$8:$H$10000,"="&amp;T67,'[1]1_inventory_total_details'!$I$8:$I$10000,"="&amp;adj_date)+SUMIFS('[1]1_inventory_total_details'!$L$8:$L$10000,'[1]1_inventory_total_details'!$C$8:$C$10000,I67,'[1]1_inventory_total_details'!$F$8:$F$10000,MID(N67,1,3)*1,'[1]1_inventory_total_details'!$G$8:$G$10000,"="&amp;S67,'[1]1_inventory_total_details'!$H$8:$H$10000,"="&amp;T67,'[1]1_inventory_total_details'!$I$8:$I$10000,"="&amp;adj_date),SUMIFS('[1]2_inventory_total_details'!$J$8:$J$10000,'[1]2_inventory_total_details'!$C$8:$C$10000,I67,'[1]2_inventory_total_details'!$F$8:$F$10000,MID(N67,1,3)*1,'[1]2_inventory_total_details'!$G$8:$G$10000,"="&amp;S67,'[1]2_inventory_total_details'!$H$8:$H$10000,"="&amp;T67,'[1]2_inventory_total_details'!$I$8:$I$10000,"="&amp;adj_date)+SUMIFS('[1]2_inventory_total_details'!$M$8:$M$10000,'[1]1_inventory_total_details'!$C$8:$C$10000,I67,'[1]2_inventory_total_details'!$F$8:$F$10000,MID(N67,1,3)*1,'[1]2_inventory_total_details'!$G$8:$G$10000,"="&amp;S67,'[1]2_inventory_total_details'!$H$8:$H$10000,"="&amp;T67,'[1]2_inventory_total_details'!$I$8:$I$10000,"="&amp;adj_date)+SUMIFS('[1]2_inventory_total_details'!$K$8:$K$10000,'[1]2_inventory_total_details'!$C$8:$C$10000,I67,'[1]2_inventory_total_details'!$F$8:$F$10000,MID(N67,1,3)*1,'[1]2_inventory_total_details'!$G$8:$G$10000,"="&amp;S67,'[1]2_inventory_total_details'!$H$8:$H$10000,"="&amp;T67,'[1]2_inventory_total_details'!$I$8:$I$10000,"="&amp;adj_date)+SUMIFS('[1]2_inventory_total_details'!$L$8:$L$10000,'[1]2_inventory_total_details'!$C$8:$C$10000,I67,'[1]2_inventory_total_details'!$F$8:$F$10000,MID(N67,1,3)*1,'[1]2_inventory_total_details'!$G$8:$G$10000,"="&amp;S67,'[1]2_inventory_total_details'!$H$8:$H$10000,"="&amp;T67,'[1]2_inventory_total_details'!$I$8:$I$10000,"="&amp;adj_date)))</f>
        <v/>
      </c>
      <c r="AD67" s="270" t="str">
        <f>IF(L67="","",SUMIFS('[1]1_group_totals'!$J$8:$J$10000,'[1]1_group_totals'!$C$8:$C$10000,I67,'[1]1_group_totals'!$F$8:$F$10000,adj_location_group_id,'[1]1_group_totals'!$G$8:$G$10000,MID(N67,1,3)*1,'[1]1_group_totals'!$H$8:$H$10000,"="&amp;S67,'[1]1_group_totals'!$I$8:$I$10000,"="&amp;T67))</f>
        <v/>
      </c>
      <c r="AE67" s="1796" t="str">
        <f t="shared" si="11"/>
        <v/>
      </c>
      <c r="AF67" s="1797" t="str">
        <f>IF(ISNA(MATCH(MID(AE67,1,3)*1,UomConversion!$D$8:$D$500,0)),"",IF(AJ67&lt;&gt;"",AJ67,""))</f>
        <v/>
      </c>
      <c r="AG67" s="1797" t="str">
        <f>IF(AND(AH67&gt;0,COUNTIFS(UomConversion!$D$8:$D$500,MID(AE67,1,3)*1,UomConversion!$J$8:$J$500,1)&gt;1),TEXT(AH67,"000")&amp;"."&amp;VLOOKUP(AH67,uom_list,5,FALSE),"")</f>
        <v/>
      </c>
      <c r="AH67" s="270" t="str">
        <f t="shared" si="12"/>
        <v/>
      </c>
      <c r="AI67" s="270" t="str">
        <f t="shared" si="13"/>
        <v/>
      </c>
      <c r="AJ67" s="270" t="str">
        <f t="shared" si="14"/>
        <v/>
      </c>
      <c r="AK67" s="270" t="str" cm="1">
        <f t="array" ref="AK67">IF(L67="","",Slookup(MID(AE67,1,3)*1,UomConversion!$D$8:$J$500,2,UomConversion!$I$8:$I$500,1,UomConversion!$J$8:$J$500,1))</f>
        <v/>
      </c>
      <c r="AL67" s="270" t="str">
        <f t="shared" si="15"/>
        <v/>
      </c>
      <c r="AM67" s="270" t="str">
        <f>IF(L67="","",(SUMIFS('[1]1_group_totals'!$K$8:$K$10000,'[1]1_group_totals'!$C$8:$C$10000,I67,'[1]1_group_totals'!$F$8:$F$10000,adj_location_group_id,'[1]1_group_totals'!$G$8:$G$10000,MID(N67,1,3)*1,'[1]1_group_totals'!$H$8:$H$10000,"="&amp;S67,'[1]1_group_totals'!$I$8:$I$10000,"="&amp;T67)+SUMIFS('[1]1_group_totals'!$N$8:$N$10000,'[1]1_group_totals'!$C$8:$C$10000,I67,'[1]1_group_totals'!$F$8:$F$10000,adj_location_group_id,'[1]1_group_totals'!$G$8:$G$10000,MID(N67,1,3)*1,'[1]1_group_totals'!$H$8:$H$10000,"="&amp;S67,'[1]1_group_totals'!$I$8:$I$10000,"="&amp;T67)+SUMIFS('[1]1_group_totals'!$P$8:$P$10000,'[1]1_group_totals'!$C$8:$C$10000,I67,'[1]1_group_totals'!$F$8:$F$10000,adj_location_group_id,'[1]1_group_totals'!$G$8:$G$10000,MID(N67,1,3)*1,'[1]1_group_totals'!$H$8:$H$10000,"="&amp;S67,'[1]1_group_totals'!$I$8:$I$10000,"="&amp;T67)+SUMIFS('[1]1_group_totals'!$Q$8:$Q$10000,'[1]1_group_totals'!$C$8:$C$10000,I67,'[1]1_group_totals'!$F$8:$F$10000,adj_location_group_id,'[1]1_group_totals'!$G$8:$G$10000,MID(N67,1,3)*1,'[1]1_group_totals'!$H$8:$H$10000,"="&amp;S67,'[1]1_group_totals'!$I$8:$I$10000,"="&amp;T67))+(SUMIFS('[1]1_group_totals'!$L$8:$L$10000,'[1]1_group_totals'!$C$8:$C$10000,I67,'[1]1_group_totals'!$F$8:$F$10000,adj_location_group_id,'[1]1_group_totals'!$G$8:$G$10000,MID(N67,1,3)*1,'[1]1_group_totals'!$H$8:$H$10000,"="&amp;S67,'[1]1_group_totals'!$I$8:$I$10000,"="&amp;T67)+SUMIFS('[1]1_group_totals'!$M$8:$M$10000,'[1]1_group_totals'!$C$8:$C$10000,I67,'[1]1_group_totals'!$F$8:$F$10000,adj_location_group_id,'[1]1_group_totals'!$G$8:$G$10000,MID(N67,1,3)*1,'[1]1_group_totals'!$H$8:$H$10000,"="&amp;S67,'[1]1_group_totals'!$I$8:$I$10000,"="&amp;T67)+SUMIFS('[1]1_group_totals'!$O$8:$O$10000,'[1]1_group_totals'!$C$8:$C$10000,I67,'[1]1_group_totals'!$F$8:$F$10000,adj_location_group_id,'[1]1_group_totals'!$G$8:$G$10000,MID(N67,1,3)*1,'[1]1_group_totals'!$H$8:$H$10000,"="&amp;S67,'[1]1_group_totals'!$I$8:$I$10000,"="&amp;T67)+SUMIFS('[1]1_group_totals'!$R$8:$R$10000,'[1]1_group_totals'!$C$8:$C$10000,I67,'[1]1_group_totals'!$F$8:$F$10000,adj_location_group_id,'[1]1_group_totals'!$G$8:$G$10000,MID(N67,1,3)*1,'[1]1_group_totals'!$H$8:$H$10000,"="&amp;S67,'[1]1_group_totals'!$I$8:$I$10000,"="&amp;T67)))</f>
        <v/>
      </c>
      <c r="AN67" s="270" t="str">
        <f>IF(L67="","",(SUMIFS('[1]1_inventory_totals'!$I$8:$I$10000,'[1]1_inventory_totals'!$C$8:$C$10000,I67,'[1]1_inventory_totals'!$F$8:$F$10000,"="&amp;S67,'[1]1_inventory_totals'!$G$8:$G$10000,"="&amp;T67)+SUMIFS('[1]1_inventory_totals'!$N$8:$N$10000,'[1]1_inventory_totals'!$C$8:$C$10000,I67,'[1]1_inventory_totals'!$F$8:$F$10000,"="&amp;S67,'[1]1_inventory_totals'!$G$8:$G$10000,"="&amp;T67)+SUMIFS('[1]1_inventory_totals'!$P$8:$P$10000,'[1]1_inventory_totals'!$C$8:$C$10000,I67,'[1]1_inventory_totals'!$F$8:$F$10000,"="&amp;S67,'[1]1_inventory_totals'!$G$8:$G$10000,"="&amp;T67)+SUMIFS('[1]1_inventory_totals'!$Q$8:$Q$10000,'[1]1_inventory_totals'!$C$8:$C$10000,I67,'[1]1_inventory_totals'!$F$8:$F$10000,"="&amp;S67,'[1]1_inventory_totals'!$G$8:$G$10000,"="&amp;T67)+SUMIFS('[1]1_inventory_totals'!$R$8:$R$10000,'[1]1_inventory_totals'!$C$8:$C$10000,I67,'[1]1_inventory_totals'!$F$8:$F$10000,"="&amp;S67,'[1]1_inventory_totals'!$G$8:$G$10000,"="&amp;T67))+(SUMIFS('[1]1_inventory_totals'!$J$8:$J$10000,'[1]1_inventory_totals'!$C$8:$C$10000,I67,'[1]1_inventory_totals'!$F$8:$F$10000,"="&amp;S67,'[1]1_inventory_totals'!$G$8:$G$10000,"="&amp;T67)+SUMIFS('[1]1_inventory_totals'!$K$8:$K$10000,'[1]1_inventory_totals'!$C$8:$C$10000,I67,'[1]1_inventory_totals'!$F$8:$F$10000,"="&amp;S67,'[1]1_inventory_totals'!$G$8:$G$10000,"="&amp;T67)+SUMIFS('[1]1_inventory_totals'!$L$8:$L$10000,'[1]1_inventory_totals'!$C$8:$C$10000,I67,'[1]1_inventory_totals'!$F$8:$F$10000,"="&amp;S67,'[1]1_inventory_totals'!$G$8:$G$10000,"="&amp;T67)+SUMIFS('[1]1_inventory_totals'!$M$8:$M$10000,'[1]1_inventory_totals'!$C$8:$C$10000,I67,'[1]1_inventory_totals'!$F$8:$F$10000,"="&amp;S67,'[1]1_inventory_totals'!$G$8:$G$10000,"="&amp;T67)+SUMIFS('[1]1_inventory_totals'!$O$8:$O$10000,'[1]1_inventory_totals'!$C$8:$C$10000,I67,'[1]1_inventory_totals'!$F$8:$F$10000,"="&amp;S67,'[1]1_inventory_totals'!$G$8:$G$10000,"="&amp;T67)+SUMIFS('[1]1_inventory_totals'!$S$8:$S$10000,'[1]1_inventory_totals'!$C$8:$C$10000,I67,'[1]1_inventory_totals'!$F$8:$F$10000,"="&amp;S67,'[1]1_inventory_totals'!$G$8:$G$10000,"="&amp;T67)))</f>
        <v/>
      </c>
      <c r="AO67" s="270" t="str">
        <f>IF(L67="","",(SUMIFS('[1]2_inventory_totals'!$I$8:$I$10000,'[1]2_inventory_totals'!$C$8:$C$10000,I67,'[1]2_inventory_totals'!$F$8:$F$10000,"="&amp;S67,'[1]2_inventory_totals'!$G$8:$G$10000,"="&amp;T67)+SUMIFS('[1]2_inventory_totals'!$N$8:$N$10000,'[1]2_inventory_totals'!$C$8:$C$10000,I67,'[1]2_inventory_totals'!$F$8:$F$10000,"="&amp;S67,'[1]2_inventory_totals'!$G$8:$G$10000,"="&amp;T67)+SUMIFS('[1]2_inventory_totals'!$P$8:$P$10000,'[1]2_inventory_totals'!$C$8:$C$10000,I67,'[1]2_inventory_totals'!$F$8:$F$10000,"="&amp;S67,'[1]2_inventory_totals'!$G$8:$G$10000,"="&amp;T67)+SUMIFS('[1]2_inventory_totals'!$Q$8:$Q$10000,'[1]2_inventory_totals'!$C$8:$C$10000,I67,'[1]2_inventory_totals'!$F$8:$F$10000,"="&amp;S67,'[1]2_inventory_totals'!$G$8:$G$10000,"="&amp;T67)+SUMIFS('[1]2_inventory_totals'!$R$8:$R$10000,'[1]2_inventory_totals'!$C$8:$C$10000,I67,'[1]2_inventory_totals'!$F$8:$F$10000,"="&amp;S67,'[1]2_inventory_totals'!$G$8:$G$10000,"="&amp;T67))+(SUMIFS('[1]2_inventory_totals'!$J$8:$J$10000,'[1]2_inventory_totals'!$C$8:$C$10000,I67,'[1]2_inventory_totals'!$F$8:$F$10000,"="&amp;S67,'[1]2_inventory_totals'!$G$8:$G$10000,"="&amp;T67)+SUMIFS('[1]2_inventory_totals'!$K$8:$K$10000,'[1]2_inventory_totals'!$C$8:$C$10000,I67,'[1]2_inventory_totals'!$F$8:$F$10000,"="&amp;S67,'[1]2_inventory_totals'!$G$8:$G$10000,"="&amp;T67)+SUMIFS('[1]2_inventory_totals'!$L$8:$L$10000,'[1]2_inventory_totals'!$C$8:$C$10000,I67,'[1]2_inventory_totals'!$F$8:$F$10000,"="&amp;S67,'[1]2_inventory_totals'!$G$8:$G$10000,"="&amp;T67)+SUMIFS('[1]2_inventory_totals'!$M$8:$M$10000,'[1]2_inventory_totals'!$C$8:$C$10000,I67,'[1]2_inventory_totals'!$F$8:$F$10000,"="&amp;S67,'[1]2_inventory_totals'!$G$8:$G$10000,"="&amp;T67)+SUMIFS('[1]2_inventory_totals'!$O$8:$O$10000,'[1]2_inventory_totals'!$C$8:$C$10000,I67,'[1]2_inventory_totals'!$F$8:$F$10000,"="&amp;S67,'[1]2_inventory_totals'!$G$8:$G$10000,"="&amp;T67)+SUMIFS('[1]2_inventory_totals'!$S$8:$S$10000,'[1]2_inventory_totals'!$C$8:$C$10000,I67,'[1]2_inventory_totals'!$F$8:$F$10000,"="&amp;S67,'[1]2_inventory_totals'!$G$8:$G$10000,"="&amp;T67)))</f>
        <v/>
      </c>
      <c r="AP67" s="954"/>
    </row>
    <row r="68" spans="1:42" ht="27" customHeight="1">
      <c r="A68" s="923"/>
      <c r="B68" s="1178"/>
      <c r="C68" s="950"/>
      <c r="D68" s="950"/>
      <c r="E68" s="950"/>
      <c r="F68" s="1199"/>
      <c r="G68" s="941"/>
      <c r="H68" s="1070"/>
      <c r="I68" s="1610" t="str">
        <f t="shared" si="5"/>
        <v/>
      </c>
      <c r="J68" s="270" t="str">
        <f t="shared" si="6"/>
        <v/>
      </c>
      <c r="K68" s="813" t="str">
        <f t="shared" si="16"/>
        <v/>
      </c>
      <c r="L68" s="1184"/>
      <c r="M68" s="1185"/>
      <c r="N68" s="1186"/>
      <c r="O68" s="1534"/>
      <c r="P68" s="336" t="str">
        <f t="shared" si="17"/>
        <v/>
      </c>
      <c r="Q68" s="336" t="str">
        <f>IF(L68="","",IF(AD68=0,0,(SUMIFS('[1]1_group_total_details'!$I$8:$I$10000,'[1]1_group_total_details'!$C$8:$C$10000,I68,'[1]1_group_total_details'!$F$8:$F$10000,adj_location_group_id,'[1]1_group_total_details'!$G$8:$G$10000,MID(N68,1,3)*1,'[1]1_group_total_details'!$H$8:$H$10000,"&lt;="&amp;adj_date)+SUMIFS('[1]1_group_total_details'!$L$8:$L$10000,'[1]1_group_total_details'!$C$8:$C$10000,I68,'[1]1_group_total_details'!$F$8:$F$10000,adj_location_group_id,'[1]1_group_total_details'!$G$8:$G$10000,MID(N68,1,3)*1,'[1]1_group_total_details'!$H$8:$H$10000,"&lt;="&amp;adj_date)+SUMIFS('[1]1_group_total_details'!$N$8:$N$10000,'[1]1_group_total_details'!$C$8:$C$10000,I68,'[1]1_group_total_details'!$F$8:$F$10000,adj_location_group_id,'[1]1_group_total_details'!$G$8:$G$10000,MID(N68,1,3)*1,'[1]1_group_total_details'!$H$8:$H$10000,"&lt;="&amp;adj_date)+SUMIFS('[1]1_group_total_details'!$O$8:$O$10000,'[1]1_group_total_details'!$C$8:$C$10000,I68,'[1]1_group_total_details'!$F$8:$F$10000,adj_location_group_id,'[1]1_group_total_details'!$G$8:$G$10000,MID(N68,1,3)*1,'[1]1_group_total_details'!$H$8:$H$10000,"&lt;="&amp;adj_date))-(SUMIFS('[1]1_group_total_details'!$J$8:$J$10000,'[1]1_group_total_details'!$C$8:$C$10000,I68,'[1]1_group_total_details'!$F$8:$F$10000,adj_location_group_id,'[1]1_group_total_details'!$G$8:$G$10000,MID(N68,1,3)*1,'[1]1_group_total_details'!$H$8:$H$10000,"&lt;="&amp;adj_date)+SUMIFS('[1]1_group_total_details'!$K$8:$K$10000,'[1]1_group_total_details'!$C$8:$C$10000,I68,'[1]1_group_total_details'!$F$8:$F$10000,adj_location_group_id,'[1]1_group_total_details'!$G$8:$G$10000,MID(N68,1,3)*1,'[1]1_group_total_details'!$H$8:$H$10000,"&lt;="&amp;adj_date)+SUMIFS('[1]1_group_total_details'!$M$8:$M$10000,'[1]1_group_total_details'!$C$8:$C$10000,I68,'[1]1_group_total_details'!$F$8:$F$10000,adj_location_group_id,'[1]1_group_total_details'!$G$8:$G$10000,MID(N68,1,3)*1,'[1]1_group_total_details'!$H$8:$H$10000,"&lt;="&amp;adj_date)+SUMIFS('[1]1_group_total_details'!$P$8:$P$10000,'[1]1_group_total_details'!$C$8:$C$10000,I68,'[1]1_group_total_details'!$F$8:$F$10000,adj_location_group_id,'[1]1_group_total_details'!$G$8:$G$10000,MID(N68,1,3)*1,'[1]1_group_total_details'!$H$8:$H$10000,"&lt;="&amp;adj_date))))</f>
        <v/>
      </c>
      <c r="R68" s="1187"/>
      <c r="S68" s="1186"/>
      <c r="T68" s="1186"/>
      <c r="U68" s="1184"/>
      <c r="V68" s="270" t="str" cm="1">
        <f t="array" ref="V68">IF(L68="","",IF(M68=AE68,1,Slookup(MID(AE68,1,3)*1,UomConversion!$D$8:$J$500,5,UomConversion!$E$8:$E$500,MID(M68,1,3)*1,UomConversion!$J$8:$J$500,1)))</f>
        <v/>
      </c>
      <c r="W68" s="270" t="str">
        <f t="shared" si="8"/>
        <v/>
      </c>
      <c r="X68" s="1795" t="str">
        <f t="shared" si="9"/>
        <v/>
      </c>
      <c r="Y68" s="1795" t="str">
        <f t="shared" si="10"/>
        <v/>
      </c>
      <c r="Z68" s="270" t="str">
        <f>IF(I68="","",IF(ISNA(MATCH(I68,IF(MID(N68,1,3)*1=1,'[1]1_inventory_totals'!$C$8:$C$10000,IF(MID(N68,1,3)*1=2,'[1]2_inventory_totals'!$C$8:$C$10000,"")),0)),0,IF(AL68&gt;0,1,0)))</f>
        <v/>
      </c>
      <c r="AA68" s="270" t="str">
        <f>IF(L68="","",IF(MID(N68,1,3)*1=1,SUMIFS('[1]1_inventory_total_details'!$J$8:$J$10000,'[1]1_inventory_total_details'!$C$8:$C$10000,I68,'[1]1_inventory_total_details'!$F$8:$F$10000,MID(N68,1,3)*1,'[1]1_inventory_total_details'!$G$8:$G$10000,"="&amp;S68,'[1]1_inventory_total_details'!$H$8:$H$10000,"="&amp;T68,'[1]1_inventory_total_details'!$I$8:$I$10000,"="&amp;adj_date)+SUMIFS('[1]1_inventory_total_details'!$M$8:$M$10000,'[1]1_inventory_total_details'!$C$8:$C$10000,I68,'[1]1_inventory_total_details'!$F$8:$F$10000,MID(N68,1,3)*1,'[1]1_inventory_total_details'!$G$8:$G$10000,"="&amp;S68,'[1]1_inventory_total_details'!$H$8:$H$10000,"="&amp;T68,'[1]1_inventory_total_details'!$I$8:$I$10000,"="&amp;adj_date)+SUMIFS('[1]1_inventory_total_details'!$K$8:$K$10000,'[1]1_inventory_total_details'!$C$8:$C$10000,I68,'[1]1_inventory_total_details'!$F$8:$F$10000,MID(N68,1,3)*1,'[1]1_inventory_total_details'!$G$8:$G$10000,"="&amp;S68,'[1]1_inventory_total_details'!$H$8:$H$10000,"="&amp;T68,'[1]1_inventory_total_details'!$I$8:$I$10000,"="&amp;adj_date)+SUMIFS('[1]1_inventory_total_details'!$L$8:$L$10000,'[1]1_inventory_total_details'!$C$8:$C$10000,I68,'[1]1_inventory_total_details'!$F$8:$F$10000,MID(N68,1,3)*1,'[1]1_inventory_total_details'!$G$8:$G$10000,"="&amp;S68,'[1]1_inventory_total_details'!$H$8:$H$10000,"="&amp;T68,'[1]1_inventory_total_details'!$I$8:$I$10000,"="&amp;adj_date),SUMIFS('[1]2_inventory_total_details'!$J$8:$J$10000,'[1]2_inventory_total_details'!$C$8:$C$10000,I68,'[1]2_inventory_total_details'!$F$8:$F$10000,MID(N68,1,3)*1,'[1]2_inventory_total_details'!$G$8:$G$10000,"="&amp;S68,'[1]2_inventory_total_details'!$H$8:$H$10000,"="&amp;T68,'[1]2_inventory_total_details'!$I$8:$I$10000,"="&amp;adj_date)+SUMIFS('[1]2_inventory_total_details'!$M$8:$M$10000,'[1]1_inventory_total_details'!$C$8:$C$10000,I68,'[1]2_inventory_total_details'!$F$8:$F$10000,MID(N68,1,3)*1,'[1]2_inventory_total_details'!$G$8:$G$10000,"="&amp;S68,'[1]2_inventory_total_details'!$H$8:$H$10000,"="&amp;T68,'[1]2_inventory_total_details'!$I$8:$I$10000,"="&amp;adj_date)+SUMIFS('[1]2_inventory_total_details'!$K$8:$K$10000,'[1]2_inventory_total_details'!$C$8:$C$10000,I68,'[1]2_inventory_total_details'!$F$8:$F$10000,MID(N68,1,3)*1,'[1]2_inventory_total_details'!$G$8:$G$10000,"="&amp;S68,'[1]2_inventory_total_details'!$H$8:$H$10000,"="&amp;T68,'[1]2_inventory_total_details'!$I$8:$I$10000,"="&amp;adj_date)+SUMIFS('[1]2_inventory_total_details'!$L$8:$L$10000,'[1]2_inventory_total_details'!$C$8:$C$10000,I68,'[1]2_inventory_total_details'!$F$8:$F$10000,MID(N68,1,3)*1,'[1]2_inventory_total_details'!$G$8:$G$10000,"="&amp;S68,'[1]2_inventory_total_details'!$H$8:$H$10000,"="&amp;T68,'[1]2_inventory_total_details'!$I$8:$I$10000,"="&amp;adj_date)))</f>
        <v/>
      </c>
      <c r="AB68" s="270" t="str">
        <f>IF(L68="","",IF(MID(N68,1,3)*1=1,SUMIFS('[1]1_inventory_total_details'!$J$8:$J$10000,'[1]1_inventory_total_details'!$C$8:$C$10000,I68,'[1]1_inventory_total_details'!$F$8:$F$10000,MID(N68,1,3)*1,'[1]1_inventory_total_details'!$G$8:$G$10000,"="&amp;S68,'[1]1_inventory_total_details'!$H$8:$H$10000,"="&amp;T68,'[1]1_inventory_total_details'!$I$8:$I$10000,"="&amp;adj_date)+SUMIFS('[1]1_inventory_total_details'!$M$8:$M$10000,'[1]1_inventory_total_details'!$C$8:$C$10000,I68,'[1]1_inventory_total_details'!$F$8:$F$10000,MID(N68,1,3)*1,'[1]1_inventory_total_details'!$G$8:$G$10000,"="&amp;S68,'[1]1_inventory_total_details'!$H$8:$H$10000,"="&amp;T68,'[1]1_inventory_total_details'!$I$8:$I$10000,"="&amp;adj_date)+SUMIFS('[1]1_inventory_total_details'!$K$8:$K$10000,'[1]1_inventory_total_details'!$C$8:$C$10000,I68,'[1]1_inventory_total_details'!$F$8:$F$10000,MID(N68,1,3)*1,'[1]1_inventory_total_details'!$G$8:$G$10000,"="&amp;S68,'[1]1_inventory_total_details'!$H$8:$H$10000,"="&amp;T68,'[1]1_inventory_total_details'!$I$8:$I$10000,"="&amp;adj_date)+SUMIFS('[1]1_inventory_total_details'!$L$8:$L$10000,'[1]1_inventory_total_details'!$C$8:$C$10000,I68,'[1]1_inventory_total_details'!$F$8:$F$10000,MID(N68,1,3)*1,'[1]1_inventory_total_details'!$G$8:$G$10000,"="&amp;S68,'[1]1_inventory_total_details'!$H$8:$H$10000,"="&amp;T68,'[1]1_inventory_total_details'!$I$8:$I$10000,"="&amp;adj_date),SUMIFS('[1]2_inventory_total_details'!$J$8:$J$10000,'[1]2_inventory_total_details'!$C$8:$C$10000,I68,'[1]2_inventory_total_details'!$F$8:$F$10000,MID(N68,1,3)*1,'[1]2_inventory_total_details'!$G$8:$G$10000,"="&amp;S68,'[1]2_inventory_total_details'!$H$8:$H$10000,"="&amp;T68,'[1]2_inventory_total_details'!$I$8:$I$10000,"="&amp;adj_date)+SUMIFS('[1]2_inventory_total_details'!$M$8:$M$10000,'[1]1_inventory_total_details'!$C$8:$C$10000,I68,'[1]2_inventory_total_details'!$F$8:$F$10000,MID(N68,1,3)*1,'[1]2_inventory_total_details'!$G$8:$G$10000,"="&amp;S68,'[1]2_inventory_total_details'!$H$8:$H$10000,"="&amp;T68,'[1]2_inventory_total_details'!$I$8:$I$10000,"="&amp;adj_date)+SUMIFS('[1]2_inventory_total_details'!$K$8:$K$10000,'[1]2_inventory_total_details'!$C$8:$C$10000,I68,'[1]2_inventory_total_details'!$F$8:$F$10000,MID(N68,1,3)*1,'[1]2_inventory_total_details'!$G$8:$G$10000,"="&amp;S68,'[1]2_inventory_total_details'!$H$8:$H$10000,"="&amp;T68,'[1]2_inventory_total_details'!$I$8:$I$10000,"="&amp;adj_date)+SUMIFS('[1]2_inventory_total_details'!$L$8:$L$10000,'[1]2_inventory_total_details'!$C$8:$C$10000,I68,'[1]2_inventory_total_details'!$F$8:$F$10000,MID(N68,1,3)*1,'[1]2_inventory_total_details'!$G$8:$G$10000,"="&amp;S68,'[1]2_inventory_total_details'!$H$8:$H$10000,"="&amp;T68,'[1]2_inventory_total_details'!$I$8:$I$10000,"="&amp;adj_date)))</f>
        <v/>
      </c>
      <c r="AC68" s="270" t="str">
        <f>IF(L68="","",IF(MID(N68,1,3)*1=1,SUMIFS('[1]1_inventory_total_details'!$J$8:$J$10000,'[1]1_inventory_total_details'!$C$8:$C$10000,I68,'[1]1_inventory_total_details'!$F$8:$F$10000,MID(N68,1,3)*1,'[1]1_inventory_total_details'!$G$8:$G$10000,"="&amp;S68,'[1]1_inventory_total_details'!$H$8:$H$10000,"="&amp;T68,'[1]1_inventory_total_details'!$I$8:$I$10000,"="&amp;adj_date)+SUMIFS('[1]1_inventory_total_details'!$M$8:$M$10000,'[1]1_inventory_total_details'!$C$8:$C$10000,I68,'[1]1_inventory_total_details'!$F$8:$F$10000,MID(N68,1,3)*1,'[1]1_inventory_total_details'!$G$8:$G$10000,"="&amp;S68,'[1]1_inventory_total_details'!$H$8:$H$10000,"="&amp;T68,'[1]1_inventory_total_details'!$I$8:$I$10000,"="&amp;adj_date)+SUMIFS('[1]1_inventory_total_details'!$K$8:$K$10000,'[1]1_inventory_total_details'!$C$8:$C$10000,I68,'[1]1_inventory_total_details'!$F$8:$F$10000,MID(N68,1,3)*1,'[1]1_inventory_total_details'!$G$8:$G$10000,"="&amp;S68,'[1]1_inventory_total_details'!$H$8:$H$10000,"="&amp;T68,'[1]1_inventory_total_details'!$I$8:$I$10000,"="&amp;adj_date)+SUMIFS('[1]1_inventory_total_details'!$L$8:$L$10000,'[1]1_inventory_total_details'!$C$8:$C$10000,I68,'[1]1_inventory_total_details'!$F$8:$F$10000,MID(N68,1,3)*1,'[1]1_inventory_total_details'!$G$8:$G$10000,"="&amp;S68,'[1]1_inventory_total_details'!$H$8:$H$10000,"="&amp;T68,'[1]1_inventory_total_details'!$I$8:$I$10000,"="&amp;adj_date),SUMIFS('[1]2_inventory_total_details'!$J$8:$J$10000,'[1]2_inventory_total_details'!$C$8:$C$10000,I68,'[1]2_inventory_total_details'!$F$8:$F$10000,MID(N68,1,3)*1,'[1]2_inventory_total_details'!$G$8:$G$10000,"="&amp;S68,'[1]2_inventory_total_details'!$H$8:$H$10000,"="&amp;T68,'[1]2_inventory_total_details'!$I$8:$I$10000,"="&amp;adj_date)+SUMIFS('[1]2_inventory_total_details'!$M$8:$M$10000,'[1]1_inventory_total_details'!$C$8:$C$10000,I68,'[1]2_inventory_total_details'!$F$8:$F$10000,MID(N68,1,3)*1,'[1]2_inventory_total_details'!$G$8:$G$10000,"="&amp;S68,'[1]2_inventory_total_details'!$H$8:$H$10000,"="&amp;T68,'[1]2_inventory_total_details'!$I$8:$I$10000,"="&amp;adj_date)+SUMIFS('[1]2_inventory_total_details'!$K$8:$K$10000,'[1]2_inventory_total_details'!$C$8:$C$10000,I68,'[1]2_inventory_total_details'!$F$8:$F$10000,MID(N68,1,3)*1,'[1]2_inventory_total_details'!$G$8:$G$10000,"="&amp;S68,'[1]2_inventory_total_details'!$H$8:$H$10000,"="&amp;T68,'[1]2_inventory_total_details'!$I$8:$I$10000,"="&amp;adj_date)+SUMIFS('[1]2_inventory_total_details'!$L$8:$L$10000,'[1]2_inventory_total_details'!$C$8:$C$10000,I68,'[1]2_inventory_total_details'!$F$8:$F$10000,MID(N68,1,3)*1,'[1]2_inventory_total_details'!$G$8:$G$10000,"="&amp;S68,'[1]2_inventory_total_details'!$H$8:$H$10000,"="&amp;T68,'[1]2_inventory_total_details'!$I$8:$I$10000,"="&amp;adj_date)))</f>
        <v/>
      </c>
      <c r="AD68" s="270" t="str">
        <f>IF(L68="","",SUMIFS('[1]1_group_totals'!$J$8:$J$10000,'[1]1_group_totals'!$C$8:$C$10000,I68,'[1]1_group_totals'!$F$8:$F$10000,adj_location_group_id,'[1]1_group_totals'!$G$8:$G$10000,MID(N68,1,3)*1,'[1]1_group_totals'!$H$8:$H$10000,"="&amp;S68,'[1]1_group_totals'!$I$8:$I$10000,"="&amp;T68))</f>
        <v/>
      </c>
      <c r="AE68" s="1796" t="str">
        <f t="shared" si="11"/>
        <v/>
      </c>
      <c r="AF68" s="1797" t="str">
        <f>IF(ISNA(MATCH(MID(AE68,1,3)*1,UomConversion!$D$8:$D$500,0)),"",IF(AJ68&lt;&gt;"",AJ68,""))</f>
        <v/>
      </c>
      <c r="AG68" s="1797" t="str">
        <f>IF(AND(AH68&gt;0,COUNTIFS(UomConversion!$D$8:$D$500,MID(AE68,1,3)*1,UomConversion!$J$8:$J$500,1)&gt;1),TEXT(AH68,"000")&amp;"."&amp;VLOOKUP(AH68,uom_list,5,FALSE),"")</f>
        <v/>
      </c>
      <c r="AH68" s="270" t="str">
        <f t="shared" si="12"/>
        <v/>
      </c>
      <c r="AI68" s="270" t="str">
        <f t="shared" si="13"/>
        <v/>
      </c>
      <c r="AJ68" s="270" t="str">
        <f t="shared" si="14"/>
        <v/>
      </c>
      <c r="AK68" s="270" t="str" cm="1">
        <f t="array" ref="AK68">IF(L68="","",Slookup(MID(AE68,1,3)*1,UomConversion!$D$8:$J$500,2,UomConversion!$I$8:$I$500,1,UomConversion!$J$8:$J$500,1))</f>
        <v/>
      </c>
      <c r="AL68" s="270" t="str">
        <f t="shared" si="15"/>
        <v/>
      </c>
      <c r="AM68" s="270" t="str">
        <f>IF(L68="","",(SUMIFS('[1]1_group_totals'!$K$8:$K$10000,'[1]1_group_totals'!$C$8:$C$10000,I68,'[1]1_group_totals'!$F$8:$F$10000,adj_location_group_id,'[1]1_group_totals'!$G$8:$G$10000,MID(N68,1,3)*1,'[1]1_group_totals'!$H$8:$H$10000,"="&amp;S68,'[1]1_group_totals'!$I$8:$I$10000,"="&amp;T68)+SUMIFS('[1]1_group_totals'!$N$8:$N$10000,'[1]1_group_totals'!$C$8:$C$10000,I68,'[1]1_group_totals'!$F$8:$F$10000,adj_location_group_id,'[1]1_group_totals'!$G$8:$G$10000,MID(N68,1,3)*1,'[1]1_group_totals'!$H$8:$H$10000,"="&amp;S68,'[1]1_group_totals'!$I$8:$I$10000,"="&amp;T68)+SUMIFS('[1]1_group_totals'!$P$8:$P$10000,'[1]1_group_totals'!$C$8:$C$10000,I68,'[1]1_group_totals'!$F$8:$F$10000,adj_location_group_id,'[1]1_group_totals'!$G$8:$G$10000,MID(N68,1,3)*1,'[1]1_group_totals'!$H$8:$H$10000,"="&amp;S68,'[1]1_group_totals'!$I$8:$I$10000,"="&amp;T68)+SUMIFS('[1]1_group_totals'!$Q$8:$Q$10000,'[1]1_group_totals'!$C$8:$C$10000,I68,'[1]1_group_totals'!$F$8:$F$10000,adj_location_group_id,'[1]1_group_totals'!$G$8:$G$10000,MID(N68,1,3)*1,'[1]1_group_totals'!$H$8:$H$10000,"="&amp;S68,'[1]1_group_totals'!$I$8:$I$10000,"="&amp;T68))+(SUMIFS('[1]1_group_totals'!$L$8:$L$10000,'[1]1_group_totals'!$C$8:$C$10000,I68,'[1]1_group_totals'!$F$8:$F$10000,adj_location_group_id,'[1]1_group_totals'!$G$8:$G$10000,MID(N68,1,3)*1,'[1]1_group_totals'!$H$8:$H$10000,"="&amp;S68,'[1]1_group_totals'!$I$8:$I$10000,"="&amp;T68)+SUMIFS('[1]1_group_totals'!$M$8:$M$10000,'[1]1_group_totals'!$C$8:$C$10000,I68,'[1]1_group_totals'!$F$8:$F$10000,adj_location_group_id,'[1]1_group_totals'!$G$8:$G$10000,MID(N68,1,3)*1,'[1]1_group_totals'!$H$8:$H$10000,"="&amp;S68,'[1]1_group_totals'!$I$8:$I$10000,"="&amp;T68)+SUMIFS('[1]1_group_totals'!$O$8:$O$10000,'[1]1_group_totals'!$C$8:$C$10000,I68,'[1]1_group_totals'!$F$8:$F$10000,adj_location_group_id,'[1]1_group_totals'!$G$8:$G$10000,MID(N68,1,3)*1,'[1]1_group_totals'!$H$8:$H$10000,"="&amp;S68,'[1]1_group_totals'!$I$8:$I$10000,"="&amp;T68)+SUMIFS('[1]1_group_totals'!$R$8:$R$10000,'[1]1_group_totals'!$C$8:$C$10000,I68,'[1]1_group_totals'!$F$8:$F$10000,adj_location_group_id,'[1]1_group_totals'!$G$8:$G$10000,MID(N68,1,3)*1,'[1]1_group_totals'!$H$8:$H$10000,"="&amp;S68,'[1]1_group_totals'!$I$8:$I$10000,"="&amp;T68)))</f>
        <v/>
      </c>
      <c r="AN68" s="270" t="str">
        <f>IF(L68="","",(SUMIFS('[1]1_inventory_totals'!$I$8:$I$10000,'[1]1_inventory_totals'!$C$8:$C$10000,I68,'[1]1_inventory_totals'!$F$8:$F$10000,"="&amp;S68,'[1]1_inventory_totals'!$G$8:$G$10000,"="&amp;T68)+SUMIFS('[1]1_inventory_totals'!$N$8:$N$10000,'[1]1_inventory_totals'!$C$8:$C$10000,I68,'[1]1_inventory_totals'!$F$8:$F$10000,"="&amp;S68,'[1]1_inventory_totals'!$G$8:$G$10000,"="&amp;T68)+SUMIFS('[1]1_inventory_totals'!$P$8:$P$10000,'[1]1_inventory_totals'!$C$8:$C$10000,I68,'[1]1_inventory_totals'!$F$8:$F$10000,"="&amp;S68,'[1]1_inventory_totals'!$G$8:$G$10000,"="&amp;T68)+SUMIFS('[1]1_inventory_totals'!$Q$8:$Q$10000,'[1]1_inventory_totals'!$C$8:$C$10000,I68,'[1]1_inventory_totals'!$F$8:$F$10000,"="&amp;S68,'[1]1_inventory_totals'!$G$8:$G$10000,"="&amp;T68)+SUMIFS('[1]1_inventory_totals'!$R$8:$R$10000,'[1]1_inventory_totals'!$C$8:$C$10000,I68,'[1]1_inventory_totals'!$F$8:$F$10000,"="&amp;S68,'[1]1_inventory_totals'!$G$8:$G$10000,"="&amp;T68))+(SUMIFS('[1]1_inventory_totals'!$J$8:$J$10000,'[1]1_inventory_totals'!$C$8:$C$10000,I68,'[1]1_inventory_totals'!$F$8:$F$10000,"="&amp;S68,'[1]1_inventory_totals'!$G$8:$G$10000,"="&amp;T68)+SUMIFS('[1]1_inventory_totals'!$K$8:$K$10000,'[1]1_inventory_totals'!$C$8:$C$10000,I68,'[1]1_inventory_totals'!$F$8:$F$10000,"="&amp;S68,'[1]1_inventory_totals'!$G$8:$G$10000,"="&amp;T68)+SUMIFS('[1]1_inventory_totals'!$L$8:$L$10000,'[1]1_inventory_totals'!$C$8:$C$10000,I68,'[1]1_inventory_totals'!$F$8:$F$10000,"="&amp;S68,'[1]1_inventory_totals'!$G$8:$G$10000,"="&amp;T68)+SUMIFS('[1]1_inventory_totals'!$M$8:$M$10000,'[1]1_inventory_totals'!$C$8:$C$10000,I68,'[1]1_inventory_totals'!$F$8:$F$10000,"="&amp;S68,'[1]1_inventory_totals'!$G$8:$G$10000,"="&amp;T68)+SUMIFS('[1]1_inventory_totals'!$O$8:$O$10000,'[1]1_inventory_totals'!$C$8:$C$10000,I68,'[1]1_inventory_totals'!$F$8:$F$10000,"="&amp;S68,'[1]1_inventory_totals'!$G$8:$G$10000,"="&amp;T68)+SUMIFS('[1]1_inventory_totals'!$S$8:$S$10000,'[1]1_inventory_totals'!$C$8:$C$10000,I68,'[1]1_inventory_totals'!$F$8:$F$10000,"="&amp;S68,'[1]1_inventory_totals'!$G$8:$G$10000,"="&amp;T68)))</f>
        <v/>
      </c>
      <c r="AO68" s="270" t="str">
        <f>IF(L68="","",(SUMIFS('[1]2_inventory_totals'!$I$8:$I$10000,'[1]2_inventory_totals'!$C$8:$C$10000,I68,'[1]2_inventory_totals'!$F$8:$F$10000,"="&amp;S68,'[1]2_inventory_totals'!$G$8:$G$10000,"="&amp;T68)+SUMIFS('[1]2_inventory_totals'!$N$8:$N$10000,'[1]2_inventory_totals'!$C$8:$C$10000,I68,'[1]2_inventory_totals'!$F$8:$F$10000,"="&amp;S68,'[1]2_inventory_totals'!$G$8:$G$10000,"="&amp;T68)+SUMIFS('[1]2_inventory_totals'!$P$8:$P$10000,'[1]2_inventory_totals'!$C$8:$C$10000,I68,'[1]2_inventory_totals'!$F$8:$F$10000,"="&amp;S68,'[1]2_inventory_totals'!$G$8:$G$10000,"="&amp;T68)+SUMIFS('[1]2_inventory_totals'!$Q$8:$Q$10000,'[1]2_inventory_totals'!$C$8:$C$10000,I68,'[1]2_inventory_totals'!$F$8:$F$10000,"="&amp;S68,'[1]2_inventory_totals'!$G$8:$G$10000,"="&amp;T68)+SUMIFS('[1]2_inventory_totals'!$R$8:$R$10000,'[1]2_inventory_totals'!$C$8:$C$10000,I68,'[1]2_inventory_totals'!$F$8:$F$10000,"="&amp;S68,'[1]2_inventory_totals'!$G$8:$G$10000,"="&amp;T68))+(SUMIFS('[1]2_inventory_totals'!$J$8:$J$10000,'[1]2_inventory_totals'!$C$8:$C$10000,I68,'[1]2_inventory_totals'!$F$8:$F$10000,"="&amp;S68,'[1]2_inventory_totals'!$G$8:$G$10000,"="&amp;T68)+SUMIFS('[1]2_inventory_totals'!$K$8:$K$10000,'[1]2_inventory_totals'!$C$8:$C$10000,I68,'[1]2_inventory_totals'!$F$8:$F$10000,"="&amp;S68,'[1]2_inventory_totals'!$G$8:$G$10000,"="&amp;T68)+SUMIFS('[1]2_inventory_totals'!$L$8:$L$10000,'[1]2_inventory_totals'!$C$8:$C$10000,I68,'[1]2_inventory_totals'!$F$8:$F$10000,"="&amp;S68,'[1]2_inventory_totals'!$G$8:$G$10000,"="&amp;T68)+SUMIFS('[1]2_inventory_totals'!$M$8:$M$10000,'[1]2_inventory_totals'!$C$8:$C$10000,I68,'[1]2_inventory_totals'!$F$8:$F$10000,"="&amp;S68,'[1]2_inventory_totals'!$G$8:$G$10000,"="&amp;T68)+SUMIFS('[1]2_inventory_totals'!$O$8:$O$10000,'[1]2_inventory_totals'!$C$8:$C$10000,I68,'[1]2_inventory_totals'!$F$8:$F$10000,"="&amp;S68,'[1]2_inventory_totals'!$G$8:$G$10000,"="&amp;T68)+SUMIFS('[1]2_inventory_totals'!$S$8:$S$10000,'[1]2_inventory_totals'!$C$8:$C$10000,I68,'[1]2_inventory_totals'!$F$8:$F$10000,"="&amp;S68,'[1]2_inventory_totals'!$G$8:$G$10000,"="&amp;T68)))</f>
        <v/>
      </c>
      <c r="AP68" s="954"/>
    </row>
    <row r="69" spans="1:42" ht="27" customHeight="1">
      <c r="A69" s="923"/>
      <c r="B69" s="1178"/>
      <c r="C69" s="950"/>
      <c r="D69" s="950"/>
      <c r="E69" s="950"/>
      <c r="F69" s="1199"/>
      <c r="G69" s="941"/>
      <c r="H69" s="1070"/>
      <c r="I69" s="1610" t="str">
        <f t="shared" si="5"/>
        <v/>
      </c>
      <c r="J69" s="270" t="str">
        <f t="shared" si="6"/>
        <v/>
      </c>
      <c r="K69" s="813" t="str">
        <f t="shared" si="16"/>
        <v/>
      </c>
      <c r="L69" s="1184"/>
      <c r="M69" s="1185"/>
      <c r="N69" s="1186"/>
      <c r="O69" s="1534"/>
      <c r="P69" s="336" t="str">
        <f t="shared" si="17"/>
        <v/>
      </c>
      <c r="Q69" s="336" t="str">
        <f>IF(L69="","",IF(AD69=0,0,(SUMIFS('[1]1_group_total_details'!$I$8:$I$10000,'[1]1_group_total_details'!$C$8:$C$10000,I69,'[1]1_group_total_details'!$F$8:$F$10000,adj_location_group_id,'[1]1_group_total_details'!$G$8:$G$10000,MID(N69,1,3)*1,'[1]1_group_total_details'!$H$8:$H$10000,"&lt;="&amp;adj_date)+SUMIFS('[1]1_group_total_details'!$L$8:$L$10000,'[1]1_group_total_details'!$C$8:$C$10000,I69,'[1]1_group_total_details'!$F$8:$F$10000,adj_location_group_id,'[1]1_group_total_details'!$G$8:$G$10000,MID(N69,1,3)*1,'[1]1_group_total_details'!$H$8:$H$10000,"&lt;="&amp;adj_date)+SUMIFS('[1]1_group_total_details'!$N$8:$N$10000,'[1]1_group_total_details'!$C$8:$C$10000,I69,'[1]1_group_total_details'!$F$8:$F$10000,adj_location_group_id,'[1]1_group_total_details'!$G$8:$G$10000,MID(N69,1,3)*1,'[1]1_group_total_details'!$H$8:$H$10000,"&lt;="&amp;adj_date)+SUMIFS('[1]1_group_total_details'!$O$8:$O$10000,'[1]1_group_total_details'!$C$8:$C$10000,I69,'[1]1_group_total_details'!$F$8:$F$10000,adj_location_group_id,'[1]1_group_total_details'!$G$8:$G$10000,MID(N69,1,3)*1,'[1]1_group_total_details'!$H$8:$H$10000,"&lt;="&amp;adj_date))-(SUMIFS('[1]1_group_total_details'!$J$8:$J$10000,'[1]1_group_total_details'!$C$8:$C$10000,I69,'[1]1_group_total_details'!$F$8:$F$10000,adj_location_group_id,'[1]1_group_total_details'!$G$8:$G$10000,MID(N69,1,3)*1,'[1]1_group_total_details'!$H$8:$H$10000,"&lt;="&amp;adj_date)+SUMIFS('[1]1_group_total_details'!$K$8:$K$10000,'[1]1_group_total_details'!$C$8:$C$10000,I69,'[1]1_group_total_details'!$F$8:$F$10000,adj_location_group_id,'[1]1_group_total_details'!$G$8:$G$10000,MID(N69,1,3)*1,'[1]1_group_total_details'!$H$8:$H$10000,"&lt;="&amp;adj_date)+SUMIFS('[1]1_group_total_details'!$M$8:$M$10000,'[1]1_group_total_details'!$C$8:$C$10000,I69,'[1]1_group_total_details'!$F$8:$F$10000,adj_location_group_id,'[1]1_group_total_details'!$G$8:$G$10000,MID(N69,1,3)*1,'[1]1_group_total_details'!$H$8:$H$10000,"&lt;="&amp;adj_date)+SUMIFS('[1]1_group_total_details'!$P$8:$P$10000,'[1]1_group_total_details'!$C$8:$C$10000,I69,'[1]1_group_total_details'!$F$8:$F$10000,adj_location_group_id,'[1]1_group_total_details'!$G$8:$G$10000,MID(N69,1,3)*1,'[1]1_group_total_details'!$H$8:$H$10000,"&lt;="&amp;adj_date))))</f>
        <v/>
      </c>
      <c r="R69" s="1187"/>
      <c r="S69" s="1186"/>
      <c r="T69" s="1186"/>
      <c r="U69" s="1184"/>
      <c r="V69" s="270" t="str" cm="1">
        <f t="array" ref="V69">IF(L69="","",IF(M69=AE69,1,Slookup(MID(AE69,1,3)*1,UomConversion!$D$8:$J$500,5,UomConversion!$E$8:$E$500,MID(M69,1,3)*1,UomConversion!$J$8:$J$500,1)))</f>
        <v/>
      </c>
      <c r="W69" s="270" t="str">
        <f t="shared" si="8"/>
        <v/>
      </c>
      <c r="X69" s="1795" t="str">
        <f t="shared" si="9"/>
        <v/>
      </c>
      <c r="Y69" s="1795" t="str">
        <f t="shared" si="10"/>
        <v/>
      </c>
      <c r="Z69" s="270" t="str">
        <f>IF(I69="","",IF(ISNA(MATCH(I69,IF(MID(N69,1,3)*1=1,'[1]1_inventory_totals'!$C$8:$C$10000,IF(MID(N69,1,3)*1=2,'[1]2_inventory_totals'!$C$8:$C$10000,"")),0)),0,IF(AL69&gt;0,1,0)))</f>
        <v/>
      </c>
      <c r="AA69" s="270" t="str">
        <f>IF(L69="","",IF(MID(N69,1,3)*1=1,SUMIFS('[1]1_inventory_total_details'!$J$8:$J$10000,'[1]1_inventory_total_details'!$C$8:$C$10000,I69,'[1]1_inventory_total_details'!$F$8:$F$10000,MID(N69,1,3)*1,'[1]1_inventory_total_details'!$G$8:$G$10000,"="&amp;S69,'[1]1_inventory_total_details'!$H$8:$H$10000,"="&amp;T69,'[1]1_inventory_total_details'!$I$8:$I$10000,"="&amp;adj_date)+SUMIFS('[1]1_inventory_total_details'!$M$8:$M$10000,'[1]1_inventory_total_details'!$C$8:$C$10000,I69,'[1]1_inventory_total_details'!$F$8:$F$10000,MID(N69,1,3)*1,'[1]1_inventory_total_details'!$G$8:$G$10000,"="&amp;S69,'[1]1_inventory_total_details'!$H$8:$H$10000,"="&amp;T69,'[1]1_inventory_total_details'!$I$8:$I$10000,"="&amp;adj_date)+SUMIFS('[1]1_inventory_total_details'!$K$8:$K$10000,'[1]1_inventory_total_details'!$C$8:$C$10000,I69,'[1]1_inventory_total_details'!$F$8:$F$10000,MID(N69,1,3)*1,'[1]1_inventory_total_details'!$G$8:$G$10000,"="&amp;S69,'[1]1_inventory_total_details'!$H$8:$H$10000,"="&amp;T69,'[1]1_inventory_total_details'!$I$8:$I$10000,"="&amp;adj_date)+SUMIFS('[1]1_inventory_total_details'!$L$8:$L$10000,'[1]1_inventory_total_details'!$C$8:$C$10000,I69,'[1]1_inventory_total_details'!$F$8:$F$10000,MID(N69,1,3)*1,'[1]1_inventory_total_details'!$G$8:$G$10000,"="&amp;S69,'[1]1_inventory_total_details'!$H$8:$H$10000,"="&amp;T69,'[1]1_inventory_total_details'!$I$8:$I$10000,"="&amp;adj_date),SUMIFS('[1]2_inventory_total_details'!$J$8:$J$10000,'[1]2_inventory_total_details'!$C$8:$C$10000,I69,'[1]2_inventory_total_details'!$F$8:$F$10000,MID(N69,1,3)*1,'[1]2_inventory_total_details'!$G$8:$G$10000,"="&amp;S69,'[1]2_inventory_total_details'!$H$8:$H$10000,"="&amp;T69,'[1]2_inventory_total_details'!$I$8:$I$10000,"="&amp;adj_date)+SUMIFS('[1]2_inventory_total_details'!$M$8:$M$10000,'[1]1_inventory_total_details'!$C$8:$C$10000,I69,'[1]2_inventory_total_details'!$F$8:$F$10000,MID(N69,1,3)*1,'[1]2_inventory_total_details'!$G$8:$G$10000,"="&amp;S69,'[1]2_inventory_total_details'!$H$8:$H$10000,"="&amp;T69,'[1]2_inventory_total_details'!$I$8:$I$10000,"="&amp;adj_date)+SUMIFS('[1]2_inventory_total_details'!$K$8:$K$10000,'[1]2_inventory_total_details'!$C$8:$C$10000,I69,'[1]2_inventory_total_details'!$F$8:$F$10000,MID(N69,1,3)*1,'[1]2_inventory_total_details'!$G$8:$G$10000,"="&amp;S69,'[1]2_inventory_total_details'!$H$8:$H$10000,"="&amp;T69,'[1]2_inventory_total_details'!$I$8:$I$10000,"="&amp;adj_date)+SUMIFS('[1]2_inventory_total_details'!$L$8:$L$10000,'[1]2_inventory_total_details'!$C$8:$C$10000,I69,'[1]2_inventory_total_details'!$F$8:$F$10000,MID(N69,1,3)*1,'[1]2_inventory_total_details'!$G$8:$G$10000,"="&amp;S69,'[1]2_inventory_total_details'!$H$8:$H$10000,"="&amp;T69,'[1]2_inventory_total_details'!$I$8:$I$10000,"="&amp;adj_date)))</f>
        <v/>
      </c>
      <c r="AB69" s="270" t="str">
        <f>IF(L69="","",IF(MID(N69,1,3)*1=1,SUMIFS('[1]1_inventory_total_details'!$J$8:$J$10000,'[1]1_inventory_total_details'!$C$8:$C$10000,I69,'[1]1_inventory_total_details'!$F$8:$F$10000,MID(N69,1,3)*1,'[1]1_inventory_total_details'!$G$8:$G$10000,"="&amp;S69,'[1]1_inventory_total_details'!$H$8:$H$10000,"="&amp;T69,'[1]1_inventory_total_details'!$I$8:$I$10000,"="&amp;adj_date)+SUMIFS('[1]1_inventory_total_details'!$M$8:$M$10000,'[1]1_inventory_total_details'!$C$8:$C$10000,I69,'[1]1_inventory_total_details'!$F$8:$F$10000,MID(N69,1,3)*1,'[1]1_inventory_total_details'!$G$8:$G$10000,"="&amp;S69,'[1]1_inventory_total_details'!$H$8:$H$10000,"="&amp;T69,'[1]1_inventory_total_details'!$I$8:$I$10000,"="&amp;adj_date)+SUMIFS('[1]1_inventory_total_details'!$K$8:$K$10000,'[1]1_inventory_total_details'!$C$8:$C$10000,I69,'[1]1_inventory_total_details'!$F$8:$F$10000,MID(N69,1,3)*1,'[1]1_inventory_total_details'!$G$8:$G$10000,"="&amp;S69,'[1]1_inventory_total_details'!$H$8:$H$10000,"="&amp;T69,'[1]1_inventory_total_details'!$I$8:$I$10000,"="&amp;adj_date)+SUMIFS('[1]1_inventory_total_details'!$L$8:$L$10000,'[1]1_inventory_total_details'!$C$8:$C$10000,I69,'[1]1_inventory_total_details'!$F$8:$F$10000,MID(N69,1,3)*1,'[1]1_inventory_total_details'!$G$8:$G$10000,"="&amp;S69,'[1]1_inventory_total_details'!$H$8:$H$10000,"="&amp;T69,'[1]1_inventory_total_details'!$I$8:$I$10000,"="&amp;adj_date),SUMIFS('[1]2_inventory_total_details'!$J$8:$J$10000,'[1]2_inventory_total_details'!$C$8:$C$10000,I69,'[1]2_inventory_total_details'!$F$8:$F$10000,MID(N69,1,3)*1,'[1]2_inventory_total_details'!$G$8:$G$10000,"="&amp;S69,'[1]2_inventory_total_details'!$H$8:$H$10000,"="&amp;T69,'[1]2_inventory_total_details'!$I$8:$I$10000,"="&amp;adj_date)+SUMIFS('[1]2_inventory_total_details'!$M$8:$M$10000,'[1]1_inventory_total_details'!$C$8:$C$10000,I69,'[1]2_inventory_total_details'!$F$8:$F$10000,MID(N69,1,3)*1,'[1]2_inventory_total_details'!$G$8:$G$10000,"="&amp;S69,'[1]2_inventory_total_details'!$H$8:$H$10000,"="&amp;T69,'[1]2_inventory_total_details'!$I$8:$I$10000,"="&amp;adj_date)+SUMIFS('[1]2_inventory_total_details'!$K$8:$K$10000,'[1]2_inventory_total_details'!$C$8:$C$10000,I69,'[1]2_inventory_total_details'!$F$8:$F$10000,MID(N69,1,3)*1,'[1]2_inventory_total_details'!$G$8:$G$10000,"="&amp;S69,'[1]2_inventory_total_details'!$H$8:$H$10000,"="&amp;T69,'[1]2_inventory_total_details'!$I$8:$I$10000,"="&amp;adj_date)+SUMIFS('[1]2_inventory_total_details'!$L$8:$L$10000,'[1]2_inventory_total_details'!$C$8:$C$10000,I69,'[1]2_inventory_total_details'!$F$8:$F$10000,MID(N69,1,3)*1,'[1]2_inventory_total_details'!$G$8:$G$10000,"="&amp;S69,'[1]2_inventory_total_details'!$H$8:$H$10000,"="&amp;T69,'[1]2_inventory_total_details'!$I$8:$I$10000,"="&amp;adj_date)))</f>
        <v/>
      </c>
      <c r="AC69" s="270" t="str">
        <f>IF(L69="","",IF(MID(N69,1,3)*1=1,SUMIFS('[1]1_inventory_total_details'!$J$8:$J$10000,'[1]1_inventory_total_details'!$C$8:$C$10000,I69,'[1]1_inventory_total_details'!$F$8:$F$10000,MID(N69,1,3)*1,'[1]1_inventory_total_details'!$G$8:$G$10000,"="&amp;S69,'[1]1_inventory_total_details'!$H$8:$H$10000,"="&amp;T69,'[1]1_inventory_total_details'!$I$8:$I$10000,"="&amp;adj_date)+SUMIFS('[1]1_inventory_total_details'!$M$8:$M$10000,'[1]1_inventory_total_details'!$C$8:$C$10000,I69,'[1]1_inventory_total_details'!$F$8:$F$10000,MID(N69,1,3)*1,'[1]1_inventory_total_details'!$G$8:$G$10000,"="&amp;S69,'[1]1_inventory_total_details'!$H$8:$H$10000,"="&amp;T69,'[1]1_inventory_total_details'!$I$8:$I$10000,"="&amp;adj_date)+SUMIFS('[1]1_inventory_total_details'!$K$8:$K$10000,'[1]1_inventory_total_details'!$C$8:$C$10000,I69,'[1]1_inventory_total_details'!$F$8:$F$10000,MID(N69,1,3)*1,'[1]1_inventory_total_details'!$G$8:$G$10000,"="&amp;S69,'[1]1_inventory_total_details'!$H$8:$H$10000,"="&amp;T69,'[1]1_inventory_total_details'!$I$8:$I$10000,"="&amp;adj_date)+SUMIFS('[1]1_inventory_total_details'!$L$8:$L$10000,'[1]1_inventory_total_details'!$C$8:$C$10000,I69,'[1]1_inventory_total_details'!$F$8:$F$10000,MID(N69,1,3)*1,'[1]1_inventory_total_details'!$G$8:$G$10000,"="&amp;S69,'[1]1_inventory_total_details'!$H$8:$H$10000,"="&amp;T69,'[1]1_inventory_total_details'!$I$8:$I$10000,"="&amp;adj_date),SUMIFS('[1]2_inventory_total_details'!$J$8:$J$10000,'[1]2_inventory_total_details'!$C$8:$C$10000,I69,'[1]2_inventory_total_details'!$F$8:$F$10000,MID(N69,1,3)*1,'[1]2_inventory_total_details'!$G$8:$G$10000,"="&amp;S69,'[1]2_inventory_total_details'!$H$8:$H$10000,"="&amp;T69,'[1]2_inventory_total_details'!$I$8:$I$10000,"="&amp;adj_date)+SUMIFS('[1]2_inventory_total_details'!$M$8:$M$10000,'[1]1_inventory_total_details'!$C$8:$C$10000,I69,'[1]2_inventory_total_details'!$F$8:$F$10000,MID(N69,1,3)*1,'[1]2_inventory_total_details'!$G$8:$G$10000,"="&amp;S69,'[1]2_inventory_total_details'!$H$8:$H$10000,"="&amp;T69,'[1]2_inventory_total_details'!$I$8:$I$10000,"="&amp;adj_date)+SUMIFS('[1]2_inventory_total_details'!$K$8:$K$10000,'[1]2_inventory_total_details'!$C$8:$C$10000,I69,'[1]2_inventory_total_details'!$F$8:$F$10000,MID(N69,1,3)*1,'[1]2_inventory_total_details'!$G$8:$G$10000,"="&amp;S69,'[1]2_inventory_total_details'!$H$8:$H$10000,"="&amp;T69,'[1]2_inventory_total_details'!$I$8:$I$10000,"="&amp;adj_date)+SUMIFS('[1]2_inventory_total_details'!$L$8:$L$10000,'[1]2_inventory_total_details'!$C$8:$C$10000,I69,'[1]2_inventory_total_details'!$F$8:$F$10000,MID(N69,1,3)*1,'[1]2_inventory_total_details'!$G$8:$G$10000,"="&amp;S69,'[1]2_inventory_total_details'!$H$8:$H$10000,"="&amp;T69,'[1]2_inventory_total_details'!$I$8:$I$10000,"="&amp;adj_date)))</f>
        <v/>
      </c>
      <c r="AD69" s="270" t="str">
        <f>IF(L69="","",SUMIFS('[1]1_group_totals'!$J$8:$J$10000,'[1]1_group_totals'!$C$8:$C$10000,I69,'[1]1_group_totals'!$F$8:$F$10000,adj_location_group_id,'[1]1_group_totals'!$G$8:$G$10000,MID(N69,1,3)*1,'[1]1_group_totals'!$H$8:$H$10000,"="&amp;S69,'[1]1_group_totals'!$I$8:$I$10000,"="&amp;T69))</f>
        <v/>
      </c>
      <c r="AE69" s="1796" t="str">
        <f t="shared" si="11"/>
        <v/>
      </c>
      <c r="AF69" s="1797" t="str">
        <f>IF(ISNA(MATCH(MID(AE69,1,3)*1,UomConversion!$D$8:$D$500,0)),"",IF(AJ69&lt;&gt;"",AJ69,""))</f>
        <v/>
      </c>
      <c r="AG69" s="1797" t="str">
        <f>IF(AND(AH69&gt;0,COUNTIFS(UomConversion!$D$8:$D$500,MID(AE69,1,3)*1,UomConversion!$J$8:$J$500,1)&gt;1),TEXT(AH69,"000")&amp;"."&amp;VLOOKUP(AH69,uom_list,5,FALSE),"")</f>
        <v/>
      </c>
      <c r="AH69" s="270" t="str">
        <f t="shared" si="12"/>
        <v/>
      </c>
      <c r="AI69" s="270" t="str">
        <f t="shared" si="13"/>
        <v/>
      </c>
      <c r="AJ69" s="270" t="str">
        <f t="shared" si="14"/>
        <v/>
      </c>
      <c r="AK69" s="270" t="str" cm="1">
        <f t="array" ref="AK69">IF(L69="","",Slookup(MID(AE69,1,3)*1,UomConversion!$D$8:$J$500,2,UomConversion!$I$8:$I$500,1,UomConversion!$J$8:$J$500,1))</f>
        <v/>
      </c>
      <c r="AL69" s="270" t="str">
        <f t="shared" si="15"/>
        <v/>
      </c>
      <c r="AM69" s="270" t="str">
        <f>IF(L69="","",(SUMIFS('[1]1_group_totals'!$K$8:$K$10000,'[1]1_group_totals'!$C$8:$C$10000,I69,'[1]1_group_totals'!$F$8:$F$10000,adj_location_group_id,'[1]1_group_totals'!$G$8:$G$10000,MID(N69,1,3)*1,'[1]1_group_totals'!$H$8:$H$10000,"="&amp;S69,'[1]1_group_totals'!$I$8:$I$10000,"="&amp;T69)+SUMIFS('[1]1_group_totals'!$N$8:$N$10000,'[1]1_group_totals'!$C$8:$C$10000,I69,'[1]1_group_totals'!$F$8:$F$10000,adj_location_group_id,'[1]1_group_totals'!$G$8:$G$10000,MID(N69,1,3)*1,'[1]1_group_totals'!$H$8:$H$10000,"="&amp;S69,'[1]1_group_totals'!$I$8:$I$10000,"="&amp;T69)+SUMIFS('[1]1_group_totals'!$P$8:$P$10000,'[1]1_group_totals'!$C$8:$C$10000,I69,'[1]1_group_totals'!$F$8:$F$10000,adj_location_group_id,'[1]1_group_totals'!$G$8:$G$10000,MID(N69,1,3)*1,'[1]1_group_totals'!$H$8:$H$10000,"="&amp;S69,'[1]1_group_totals'!$I$8:$I$10000,"="&amp;T69)+SUMIFS('[1]1_group_totals'!$Q$8:$Q$10000,'[1]1_group_totals'!$C$8:$C$10000,I69,'[1]1_group_totals'!$F$8:$F$10000,adj_location_group_id,'[1]1_group_totals'!$G$8:$G$10000,MID(N69,1,3)*1,'[1]1_group_totals'!$H$8:$H$10000,"="&amp;S69,'[1]1_group_totals'!$I$8:$I$10000,"="&amp;T69))+(SUMIFS('[1]1_group_totals'!$L$8:$L$10000,'[1]1_group_totals'!$C$8:$C$10000,I69,'[1]1_group_totals'!$F$8:$F$10000,adj_location_group_id,'[1]1_group_totals'!$G$8:$G$10000,MID(N69,1,3)*1,'[1]1_group_totals'!$H$8:$H$10000,"="&amp;S69,'[1]1_group_totals'!$I$8:$I$10000,"="&amp;T69)+SUMIFS('[1]1_group_totals'!$M$8:$M$10000,'[1]1_group_totals'!$C$8:$C$10000,I69,'[1]1_group_totals'!$F$8:$F$10000,adj_location_group_id,'[1]1_group_totals'!$G$8:$G$10000,MID(N69,1,3)*1,'[1]1_group_totals'!$H$8:$H$10000,"="&amp;S69,'[1]1_group_totals'!$I$8:$I$10000,"="&amp;T69)+SUMIFS('[1]1_group_totals'!$O$8:$O$10000,'[1]1_group_totals'!$C$8:$C$10000,I69,'[1]1_group_totals'!$F$8:$F$10000,adj_location_group_id,'[1]1_group_totals'!$G$8:$G$10000,MID(N69,1,3)*1,'[1]1_group_totals'!$H$8:$H$10000,"="&amp;S69,'[1]1_group_totals'!$I$8:$I$10000,"="&amp;T69)+SUMIFS('[1]1_group_totals'!$R$8:$R$10000,'[1]1_group_totals'!$C$8:$C$10000,I69,'[1]1_group_totals'!$F$8:$F$10000,adj_location_group_id,'[1]1_group_totals'!$G$8:$G$10000,MID(N69,1,3)*1,'[1]1_group_totals'!$H$8:$H$10000,"="&amp;S69,'[1]1_group_totals'!$I$8:$I$10000,"="&amp;T69)))</f>
        <v/>
      </c>
      <c r="AN69" s="270" t="str">
        <f>IF(L69="","",(SUMIFS('[1]1_inventory_totals'!$I$8:$I$10000,'[1]1_inventory_totals'!$C$8:$C$10000,I69,'[1]1_inventory_totals'!$F$8:$F$10000,"="&amp;S69,'[1]1_inventory_totals'!$G$8:$G$10000,"="&amp;T69)+SUMIFS('[1]1_inventory_totals'!$N$8:$N$10000,'[1]1_inventory_totals'!$C$8:$C$10000,I69,'[1]1_inventory_totals'!$F$8:$F$10000,"="&amp;S69,'[1]1_inventory_totals'!$G$8:$G$10000,"="&amp;T69)+SUMIFS('[1]1_inventory_totals'!$P$8:$P$10000,'[1]1_inventory_totals'!$C$8:$C$10000,I69,'[1]1_inventory_totals'!$F$8:$F$10000,"="&amp;S69,'[1]1_inventory_totals'!$G$8:$G$10000,"="&amp;T69)+SUMIFS('[1]1_inventory_totals'!$Q$8:$Q$10000,'[1]1_inventory_totals'!$C$8:$C$10000,I69,'[1]1_inventory_totals'!$F$8:$F$10000,"="&amp;S69,'[1]1_inventory_totals'!$G$8:$G$10000,"="&amp;T69)+SUMIFS('[1]1_inventory_totals'!$R$8:$R$10000,'[1]1_inventory_totals'!$C$8:$C$10000,I69,'[1]1_inventory_totals'!$F$8:$F$10000,"="&amp;S69,'[1]1_inventory_totals'!$G$8:$G$10000,"="&amp;T69))+(SUMIFS('[1]1_inventory_totals'!$J$8:$J$10000,'[1]1_inventory_totals'!$C$8:$C$10000,I69,'[1]1_inventory_totals'!$F$8:$F$10000,"="&amp;S69,'[1]1_inventory_totals'!$G$8:$G$10000,"="&amp;T69)+SUMIFS('[1]1_inventory_totals'!$K$8:$K$10000,'[1]1_inventory_totals'!$C$8:$C$10000,I69,'[1]1_inventory_totals'!$F$8:$F$10000,"="&amp;S69,'[1]1_inventory_totals'!$G$8:$G$10000,"="&amp;T69)+SUMIFS('[1]1_inventory_totals'!$L$8:$L$10000,'[1]1_inventory_totals'!$C$8:$C$10000,I69,'[1]1_inventory_totals'!$F$8:$F$10000,"="&amp;S69,'[1]1_inventory_totals'!$G$8:$G$10000,"="&amp;T69)+SUMIFS('[1]1_inventory_totals'!$M$8:$M$10000,'[1]1_inventory_totals'!$C$8:$C$10000,I69,'[1]1_inventory_totals'!$F$8:$F$10000,"="&amp;S69,'[1]1_inventory_totals'!$G$8:$G$10000,"="&amp;T69)+SUMIFS('[1]1_inventory_totals'!$O$8:$O$10000,'[1]1_inventory_totals'!$C$8:$C$10000,I69,'[1]1_inventory_totals'!$F$8:$F$10000,"="&amp;S69,'[1]1_inventory_totals'!$G$8:$G$10000,"="&amp;T69)+SUMIFS('[1]1_inventory_totals'!$S$8:$S$10000,'[1]1_inventory_totals'!$C$8:$C$10000,I69,'[1]1_inventory_totals'!$F$8:$F$10000,"="&amp;S69,'[1]1_inventory_totals'!$G$8:$G$10000,"="&amp;T69)))</f>
        <v/>
      </c>
      <c r="AO69" s="270" t="str">
        <f>IF(L69="","",(SUMIFS('[1]2_inventory_totals'!$I$8:$I$10000,'[1]2_inventory_totals'!$C$8:$C$10000,I69,'[1]2_inventory_totals'!$F$8:$F$10000,"="&amp;S69,'[1]2_inventory_totals'!$G$8:$G$10000,"="&amp;T69)+SUMIFS('[1]2_inventory_totals'!$N$8:$N$10000,'[1]2_inventory_totals'!$C$8:$C$10000,I69,'[1]2_inventory_totals'!$F$8:$F$10000,"="&amp;S69,'[1]2_inventory_totals'!$G$8:$G$10000,"="&amp;T69)+SUMIFS('[1]2_inventory_totals'!$P$8:$P$10000,'[1]2_inventory_totals'!$C$8:$C$10000,I69,'[1]2_inventory_totals'!$F$8:$F$10000,"="&amp;S69,'[1]2_inventory_totals'!$G$8:$G$10000,"="&amp;T69)+SUMIFS('[1]2_inventory_totals'!$Q$8:$Q$10000,'[1]2_inventory_totals'!$C$8:$C$10000,I69,'[1]2_inventory_totals'!$F$8:$F$10000,"="&amp;S69,'[1]2_inventory_totals'!$G$8:$G$10000,"="&amp;T69)+SUMIFS('[1]2_inventory_totals'!$R$8:$R$10000,'[1]2_inventory_totals'!$C$8:$C$10000,I69,'[1]2_inventory_totals'!$F$8:$F$10000,"="&amp;S69,'[1]2_inventory_totals'!$G$8:$G$10000,"="&amp;T69))+(SUMIFS('[1]2_inventory_totals'!$J$8:$J$10000,'[1]2_inventory_totals'!$C$8:$C$10000,I69,'[1]2_inventory_totals'!$F$8:$F$10000,"="&amp;S69,'[1]2_inventory_totals'!$G$8:$G$10000,"="&amp;T69)+SUMIFS('[1]2_inventory_totals'!$K$8:$K$10000,'[1]2_inventory_totals'!$C$8:$C$10000,I69,'[1]2_inventory_totals'!$F$8:$F$10000,"="&amp;S69,'[1]2_inventory_totals'!$G$8:$G$10000,"="&amp;T69)+SUMIFS('[1]2_inventory_totals'!$L$8:$L$10000,'[1]2_inventory_totals'!$C$8:$C$10000,I69,'[1]2_inventory_totals'!$F$8:$F$10000,"="&amp;S69,'[1]2_inventory_totals'!$G$8:$G$10000,"="&amp;T69)+SUMIFS('[1]2_inventory_totals'!$M$8:$M$10000,'[1]2_inventory_totals'!$C$8:$C$10000,I69,'[1]2_inventory_totals'!$F$8:$F$10000,"="&amp;S69,'[1]2_inventory_totals'!$G$8:$G$10000,"="&amp;T69)+SUMIFS('[1]2_inventory_totals'!$O$8:$O$10000,'[1]2_inventory_totals'!$C$8:$C$10000,I69,'[1]2_inventory_totals'!$F$8:$F$10000,"="&amp;S69,'[1]2_inventory_totals'!$G$8:$G$10000,"="&amp;T69)+SUMIFS('[1]2_inventory_totals'!$S$8:$S$10000,'[1]2_inventory_totals'!$C$8:$C$10000,I69,'[1]2_inventory_totals'!$F$8:$F$10000,"="&amp;S69,'[1]2_inventory_totals'!$G$8:$G$10000,"="&amp;T69)))</f>
        <v/>
      </c>
      <c r="AP69" s="954"/>
    </row>
    <row r="70" spans="1:42" ht="27" customHeight="1">
      <c r="A70" s="923"/>
      <c r="B70" s="1178"/>
      <c r="C70" s="950"/>
      <c r="D70" s="950"/>
      <c r="E70" s="950"/>
      <c r="F70" s="1199"/>
      <c r="G70" s="941"/>
      <c r="H70" s="1070"/>
      <c r="I70" s="1610" t="str">
        <f t="shared" si="5"/>
        <v/>
      </c>
      <c r="J70" s="270" t="str">
        <f t="shared" si="6"/>
        <v/>
      </c>
      <c r="K70" s="813" t="str">
        <f t="shared" si="16"/>
        <v/>
      </c>
      <c r="L70" s="1184"/>
      <c r="M70" s="1185"/>
      <c r="N70" s="1186"/>
      <c r="O70" s="1534"/>
      <c r="P70" s="336" t="str">
        <f t="shared" si="17"/>
        <v/>
      </c>
      <c r="Q70" s="336" t="str">
        <f>IF(L70="","",IF(AD70=0,0,(SUMIFS('[1]1_group_total_details'!$I$8:$I$10000,'[1]1_group_total_details'!$C$8:$C$10000,I70,'[1]1_group_total_details'!$F$8:$F$10000,adj_location_group_id,'[1]1_group_total_details'!$G$8:$G$10000,MID(N70,1,3)*1,'[1]1_group_total_details'!$H$8:$H$10000,"&lt;="&amp;adj_date)+SUMIFS('[1]1_group_total_details'!$L$8:$L$10000,'[1]1_group_total_details'!$C$8:$C$10000,I70,'[1]1_group_total_details'!$F$8:$F$10000,adj_location_group_id,'[1]1_group_total_details'!$G$8:$G$10000,MID(N70,1,3)*1,'[1]1_group_total_details'!$H$8:$H$10000,"&lt;="&amp;adj_date)+SUMIFS('[1]1_group_total_details'!$N$8:$N$10000,'[1]1_group_total_details'!$C$8:$C$10000,I70,'[1]1_group_total_details'!$F$8:$F$10000,adj_location_group_id,'[1]1_group_total_details'!$G$8:$G$10000,MID(N70,1,3)*1,'[1]1_group_total_details'!$H$8:$H$10000,"&lt;="&amp;adj_date)+SUMIFS('[1]1_group_total_details'!$O$8:$O$10000,'[1]1_group_total_details'!$C$8:$C$10000,I70,'[1]1_group_total_details'!$F$8:$F$10000,adj_location_group_id,'[1]1_group_total_details'!$G$8:$G$10000,MID(N70,1,3)*1,'[1]1_group_total_details'!$H$8:$H$10000,"&lt;="&amp;adj_date))-(SUMIFS('[1]1_group_total_details'!$J$8:$J$10000,'[1]1_group_total_details'!$C$8:$C$10000,I70,'[1]1_group_total_details'!$F$8:$F$10000,adj_location_group_id,'[1]1_group_total_details'!$G$8:$G$10000,MID(N70,1,3)*1,'[1]1_group_total_details'!$H$8:$H$10000,"&lt;="&amp;adj_date)+SUMIFS('[1]1_group_total_details'!$K$8:$K$10000,'[1]1_group_total_details'!$C$8:$C$10000,I70,'[1]1_group_total_details'!$F$8:$F$10000,adj_location_group_id,'[1]1_group_total_details'!$G$8:$G$10000,MID(N70,1,3)*1,'[1]1_group_total_details'!$H$8:$H$10000,"&lt;="&amp;adj_date)+SUMIFS('[1]1_group_total_details'!$M$8:$M$10000,'[1]1_group_total_details'!$C$8:$C$10000,I70,'[1]1_group_total_details'!$F$8:$F$10000,adj_location_group_id,'[1]1_group_total_details'!$G$8:$G$10000,MID(N70,1,3)*1,'[1]1_group_total_details'!$H$8:$H$10000,"&lt;="&amp;adj_date)+SUMIFS('[1]1_group_total_details'!$P$8:$P$10000,'[1]1_group_total_details'!$C$8:$C$10000,I70,'[1]1_group_total_details'!$F$8:$F$10000,adj_location_group_id,'[1]1_group_total_details'!$G$8:$G$10000,MID(N70,1,3)*1,'[1]1_group_total_details'!$H$8:$H$10000,"&lt;="&amp;adj_date))))</f>
        <v/>
      </c>
      <c r="R70" s="1187"/>
      <c r="S70" s="1186"/>
      <c r="T70" s="1186"/>
      <c r="U70" s="1184"/>
      <c r="V70" s="270" t="str" cm="1">
        <f t="array" ref="V70">IF(L70="","",IF(M70=AE70,1,Slookup(MID(AE70,1,3)*1,UomConversion!$D$8:$J$500,5,UomConversion!$E$8:$E$500,MID(M70,1,3)*1,UomConversion!$J$8:$J$500,1)))</f>
        <v/>
      </c>
      <c r="W70" s="270" t="str">
        <f t="shared" si="8"/>
        <v/>
      </c>
      <c r="X70" s="1795" t="str">
        <f t="shared" si="9"/>
        <v/>
      </c>
      <c r="Y70" s="1795" t="str">
        <f t="shared" si="10"/>
        <v/>
      </c>
      <c r="Z70" s="270" t="str">
        <f>IF(I70="","",IF(ISNA(MATCH(I70,IF(MID(N70,1,3)*1=1,'[1]1_inventory_totals'!$C$8:$C$10000,IF(MID(N70,1,3)*1=2,'[1]2_inventory_totals'!$C$8:$C$10000,"")),0)),0,IF(AL70&gt;0,1,0)))</f>
        <v/>
      </c>
      <c r="AA70" s="270" t="str">
        <f>IF(L70="","",IF(MID(N70,1,3)*1=1,SUMIFS('[1]1_inventory_total_details'!$J$8:$J$10000,'[1]1_inventory_total_details'!$C$8:$C$10000,I70,'[1]1_inventory_total_details'!$F$8:$F$10000,MID(N70,1,3)*1,'[1]1_inventory_total_details'!$G$8:$G$10000,"="&amp;S70,'[1]1_inventory_total_details'!$H$8:$H$10000,"="&amp;T70,'[1]1_inventory_total_details'!$I$8:$I$10000,"="&amp;adj_date)+SUMIFS('[1]1_inventory_total_details'!$M$8:$M$10000,'[1]1_inventory_total_details'!$C$8:$C$10000,I70,'[1]1_inventory_total_details'!$F$8:$F$10000,MID(N70,1,3)*1,'[1]1_inventory_total_details'!$G$8:$G$10000,"="&amp;S70,'[1]1_inventory_total_details'!$H$8:$H$10000,"="&amp;T70,'[1]1_inventory_total_details'!$I$8:$I$10000,"="&amp;adj_date)+SUMIFS('[1]1_inventory_total_details'!$K$8:$K$10000,'[1]1_inventory_total_details'!$C$8:$C$10000,I70,'[1]1_inventory_total_details'!$F$8:$F$10000,MID(N70,1,3)*1,'[1]1_inventory_total_details'!$G$8:$G$10000,"="&amp;S70,'[1]1_inventory_total_details'!$H$8:$H$10000,"="&amp;T70,'[1]1_inventory_total_details'!$I$8:$I$10000,"="&amp;adj_date)+SUMIFS('[1]1_inventory_total_details'!$L$8:$L$10000,'[1]1_inventory_total_details'!$C$8:$C$10000,I70,'[1]1_inventory_total_details'!$F$8:$F$10000,MID(N70,1,3)*1,'[1]1_inventory_total_details'!$G$8:$G$10000,"="&amp;S70,'[1]1_inventory_total_details'!$H$8:$H$10000,"="&amp;T70,'[1]1_inventory_total_details'!$I$8:$I$10000,"="&amp;adj_date),SUMIFS('[1]2_inventory_total_details'!$J$8:$J$10000,'[1]2_inventory_total_details'!$C$8:$C$10000,I70,'[1]2_inventory_total_details'!$F$8:$F$10000,MID(N70,1,3)*1,'[1]2_inventory_total_details'!$G$8:$G$10000,"="&amp;S70,'[1]2_inventory_total_details'!$H$8:$H$10000,"="&amp;T70,'[1]2_inventory_total_details'!$I$8:$I$10000,"="&amp;adj_date)+SUMIFS('[1]2_inventory_total_details'!$M$8:$M$10000,'[1]1_inventory_total_details'!$C$8:$C$10000,I70,'[1]2_inventory_total_details'!$F$8:$F$10000,MID(N70,1,3)*1,'[1]2_inventory_total_details'!$G$8:$G$10000,"="&amp;S70,'[1]2_inventory_total_details'!$H$8:$H$10000,"="&amp;T70,'[1]2_inventory_total_details'!$I$8:$I$10000,"="&amp;adj_date)+SUMIFS('[1]2_inventory_total_details'!$K$8:$K$10000,'[1]2_inventory_total_details'!$C$8:$C$10000,I70,'[1]2_inventory_total_details'!$F$8:$F$10000,MID(N70,1,3)*1,'[1]2_inventory_total_details'!$G$8:$G$10000,"="&amp;S70,'[1]2_inventory_total_details'!$H$8:$H$10000,"="&amp;T70,'[1]2_inventory_total_details'!$I$8:$I$10000,"="&amp;adj_date)+SUMIFS('[1]2_inventory_total_details'!$L$8:$L$10000,'[1]2_inventory_total_details'!$C$8:$C$10000,I70,'[1]2_inventory_total_details'!$F$8:$F$10000,MID(N70,1,3)*1,'[1]2_inventory_total_details'!$G$8:$G$10000,"="&amp;S70,'[1]2_inventory_total_details'!$H$8:$H$10000,"="&amp;T70,'[1]2_inventory_total_details'!$I$8:$I$10000,"="&amp;adj_date)))</f>
        <v/>
      </c>
      <c r="AB70" s="270" t="str">
        <f>IF(L70="","",IF(MID(N70,1,3)*1=1,SUMIFS('[1]1_inventory_total_details'!$J$8:$J$10000,'[1]1_inventory_total_details'!$C$8:$C$10000,I70,'[1]1_inventory_total_details'!$F$8:$F$10000,MID(N70,1,3)*1,'[1]1_inventory_total_details'!$G$8:$G$10000,"="&amp;S70,'[1]1_inventory_total_details'!$H$8:$H$10000,"="&amp;T70,'[1]1_inventory_total_details'!$I$8:$I$10000,"="&amp;adj_date)+SUMIFS('[1]1_inventory_total_details'!$M$8:$M$10000,'[1]1_inventory_total_details'!$C$8:$C$10000,I70,'[1]1_inventory_total_details'!$F$8:$F$10000,MID(N70,1,3)*1,'[1]1_inventory_total_details'!$G$8:$G$10000,"="&amp;S70,'[1]1_inventory_total_details'!$H$8:$H$10000,"="&amp;T70,'[1]1_inventory_total_details'!$I$8:$I$10000,"="&amp;adj_date)+SUMIFS('[1]1_inventory_total_details'!$K$8:$K$10000,'[1]1_inventory_total_details'!$C$8:$C$10000,I70,'[1]1_inventory_total_details'!$F$8:$F$10000,MID(N70,1,3)*1,'[1]1_inventory_total_details'!$G$8:$G$10000,"="&amp;S70,'[1]1_inventory_total_details'!$H$8:$H$10000,"="&amp;T70,'[1]1_inventory_total_details'!$I$8:$I$10000,"="&amp;adj_date)+SUMIFS('[1]1_inventory_total_details'!$L$8:$L$10000,'[1]1_inventory_total_details'!$C$8:$C$10000,I70,'[1]1_inventory_total_details'!$F$8:$F$10000,MID(N70,1,3)*1,'[1]1_inventory_total_details'!$G$8:$G$10000,"="&amp;S70,'[1]1_inventory_total_details'!$H$8:$H$10000,"="&amp;T70,'[1]1_inventory_total_details'!$I$8:$I$10000,"="&amp;adj_date),SUMIFS('[1]2_inventory_total_details'!$J$8:$J$10000,'[1]2_inventory_total_details'!$C$8:$C$10000,I70,'[1]2_inventory_total_details'!$F$8:$F$10000,MID(N70,1,3)*1,'[1]2_inventory_total_details'!$G$8:$G$10000,"="&amp;S70,'[1]2_inventory_total_details'!$H$8:$H$10000,"="&amp;T70,'[1]2_inventory_total_details'!$I$8:$I$10000,"="&amp;adj_date)+SUMIFS('[1]2_inventory_total_details'!$M$8:$M$10000,'[1]1_inventory_total_details'!$C$8:$C$10000,I70,'[1]2_inventory_total_details'!$F$8:$F$10000,MID(N70,1,3)*1,'[1]2_inventory_total_details'!$G$8:$G$10000,"="&amp;S70,'[1]2_inventory_total_details'!$H$8:$H$10000,"="&amp;T70,'[1]2_inventory_total_details'!$I$8:$I$10000,"="&amp;adj_date)+SUMIFS('[1]2_inventory_total_details'!$K$8:$K$10000,'[1]2_inventory_total_details'!$C$8:$C$10000,I70,'[1]2_inventory_total_details'!$F$8:$F$10000,MID(N70,1,3)*1,'[1]2_inventory_total_details'!$G$8:$G$10000,"="&amp;S70,'[1]2_inventory_total_details'!$H$8:$H$10000,"="&amp;T70,'[1]2_inventory_total_details'!$I$8:$I$10000,"="&amp;adj_date)+SUMIFS('[1]2_inventory_total_details'!$L$8:$L$10000,'[1]2_inventory_total_details'!$C$8:$C$10000,I70,'[1]2_inventory_total_details'!$F$8:$F$10000,MID(N70,1,3)*1,'[1]2_inventory_total_details'!$G$8:$G$10000,"="&amp;S70,'[1]2_inventory_total_details'!$H$8:$H$10000,"="&amp;T70,'[1]2_inventory_total_details'!$I$8:$I$10000,"="&amp;adj_date)))</f>
        <v/>
      </c>
      <c r="AC70" s="270" t="str">
        <f>IF(L70="","",IF(MID(N70,1,3)*1=1,SUMIFS('[1]1_inventory_total_details'!$J$8:$J$10000,'[1]1_inventory_total_details'!$C$8:$C$10000,I70,'[1]1_inventory_total_details'!$F$8:$F$10000,MID(N70,1,3)*1,'[1]1_inventory_total_details'!$G$8:$G$10000,"="&amp;S70,'[1]1_inventory_total_details'!$H$8:$H$10000,"="&amp;T70,'[1]1_inventory_total_details'!$I$8:$I$10000,"="&amp;adj_date)+SUMIFS('[1]1_inventory_total_details'!$M$8:$M$10000,'[1]1_inventory_total_details'!$C$8:$C$10000,I70,'[1]1_inventory_total_details'!$F$8:$F$10000,MID(N70,1,3)*1,'[1]1_inventory_total_details'!$G$8:$G$10000,"="&amp;S70,'[1]1_inventory_total_details'!$H$8:$H$10000,"="&amp;T70,'[1]1_inventory_total_details'!$I$8:$I$10000,"="&amp;adj_date)+SUMIFS('[1]1_inventory_total_details'!$K$8:$K$10000,'[1]1_inventory_total_details'!$C$8:$C$10000,I70,'[1]1_inventory_total_details'!$F$8:$F$10000,MID(N70,1,3)*1,'[1]1_inventory_total_details'!$G$8:$G$10000,"="&amp;S70,'[1]1_inventory_total_details'!$H$8:$H$10000,"="&amp;T70,'[1]1_inventory_total_details'!$I$8:$I$10000,"="&amp;adj_date)+SUMIFS('[1]1_inventory_total_details'!$L$8:$L$10000,'[1]1_inventory_total_details'!$C$8:$C$10000,I70,'[1]1_inventory_total_details'!$F$8:$F$10000,MID(N70,1,3)*1,'[1]1_inventory_total_details'!$G$8:$G$10000,"="&amp;S70,'[1]1_inventory_total_details'!$H$8:$H$10000,"="&amp;T70,'[1]1_inventory_total_details'!$I$8:$I$10000,"="&amp;adj_date),SUMIFS('[1]2_inventory_total_details'!$J$8:$J$10000,'[1]2_inventory_total_details'!$C$8:$C$10000,I70,'[1]2_inventory_total_details'!$F$8:$F$10000,MID(N70,1,3)*1,'[1]2_inventory_total_details'!$G$8:$G$10000,"="&amp;S70,'[1]2_inventory_total_details'!$H$8:$H$10000,"="&amp;T70,'[1]2_inventory_total_details'!$I$8:$I$10000,"="&amp;adj_date)+SUMIFS('[1]2_inventory_total_details'!$M$8:$M$10000,'[1]1_inventory_total_details'!$C$8:$C$10000,I70,'[1]2_inventory_total_details'!$F$8:$F$10000,MID(N70,1,3)*1,'[1]2_inventory_total_details'!$G$8:$G$10000,"="&amp;S70,'[1]2_inventory_total_details'!$H$8:$H$10000,"="&amp;T70,'[1]2_inventory_total_details'!$I$8:$I$10000,"="&amp;adj_date)+SUMIFS('[1]2_inventory_total_details'!$K$8:$K$10000,'[1]2_inventory_total_details'!$C$8:$C$10000,I70,'[1]2_inventory_total_details'!$F$8:$F$10000,MID(N70,1,3)*1,'[1]2_inventory_total_details'!$G$8:$G$10000,"="&amp;S70,'[1]2_inventory_total_details'!$H$8:$H$10000,"="&amp;T70,'[1]2_inventory_total_details'!$I$8:$I$10000,"="&amp;adj_date)+SUMIFS('[1]2_inventory_total_details'!$L$8:$L$10000,'[1]2_inventory_total_details'!$C$8:$C$10000,I70,'[1]2_inventory_total_details'!$F$8:$F$10000,MID(N70,1,3)*1,'[1]2_inventory_total_details'!$G$8:$G$10000,"="&amp;S70,'[1]2_inventory_total_details'!$H$8:$H$10000,"="&amp;T70,'[1]2_inventory_total_details'!$I$8:$I$10000,"="&amp;adj_date)))</f>
        <v/>
      </c>
      <c r="AD70" s="270" t="str">
        <f>IF(L70="","",SUMIFS('[1]1_group_totals'!$J$8:$J$10000,'[1]1_group_totals'!$C$8:$C$10000,I70,'[1]1_group_totals'!$F$8:$F$10000,adj_location_group_id,'[1]1_group_totals'!$G$8:$G$10000,MID(N70,1,3)*1,'[1]1_group_totals'!$H$8:$H$10000,"="&amp;S70,'[1]1_group_totals'!$I$8:$I$10000,"="&amp;T70))</f>
        <v/>
      </c>
      <c r="AE70" s="1796" t="str">
        <f t="shared" si="11"/>
        <v/>
      </c>
      <c r="AF70" s="1797" t="str">
        <f>IF(ISNA(MATCH(MID(AE70,1,3)*1,UomConversion!$D$8:$D$500,0)),"",IF(AJ70&lt;&gt;"",AJ70,""))</f>
        <v/>
      </c>
      <c r="AG70" s="1797" t="str">
        <f>IF(AND(AH70&gt;0,COUNTIFS(UomConversion!$D$8:$D$500,MID(AE70,1,3)*1,UomConversion!$J$8:$J$500,1)&gt;1),TEXT(AH70,"000")&amp;"."&amp;VLOOKUP(AH70,uom_list,5,FALSE),"")</f>
        <v/>
      </c>
      <c r="AH70" s="270" t="str">
        <f t="shared" si="12"/>
        <v/>
      </c>
      <c r="AI70" s="270" t="str">
        <f t="shared" si="13"/>
        <v/>
      </c>
      <c r="AJ70" s="270" t="str">
        <f t="shared" si="14"/>
        <v/>
      </c>
      <c r="AK70" s="270" t="str" cm="1">
        <f t="array" ref="AK70">IF(L70="","",Slookup(MID(AE70,1,3)*1,UomConversion!$D$8:$J$500,2,UomConversion!$I$8:$I$500,1,UomConversion!$J$8:$J$500,1))</f>
        <v/>
      </c>
      <c r="AL70" s="270" t="str">
        <f t="shared" si="15"/>
        <v/>
      </c>
      <c r="AM70" s="270" t="str">
        <f>IF(L70="","",(SUMIFS('[1]1_group_totals'!$K$8:$K$10000,'[1]1_group_totals'!$C$8:$C$10000,I70,'[1]1_group_totals'!$F$8:$F$10000,adj_location_group_id,'[1]1_group_totals'!$G$8:$G$10000,MID(N70,1,3)*1,'[1]1_group_totals'!$H$8:$H$10000,"="&amp;S70,'[1]1_group_totals'!$I$8:$I$10000,"="&amp;T70)+SUMIFS('[1]1_group_totals'!$N$8:$N$10000,'[1]1_group_totals'!$C$8:$C$10000,I70,'[1]1_group_totals'!$F$8:$F$10000,adj_location_group_id,'[1]1_group_totals'!$G$8:$G$10000,MID(N70,1,3)*1,'[1]1_group_totals'!$H$8:$H$10000,"="&amp;S70,'[1]1_group_totals'!$I$8:$I$10000,"="&amp;T70)+SUMIFS('[1]1_group_totals'!$P$8:$P$10000,'[1]1_group_totals'!$C$8:$C$10000,I70,'[1]1_group_totals'!$F$8:$F$10000,adj_location_group_id,'[1]1_group_totals'!$G$8:$G$10000,MID(N70,1,3)*1,'[1]1_group_totals'!$H$8:$H$10000,"="&amp;S70,'[1]1_group_totals'!$I$8:$I$10000,"="&amp;T70)+SUMIFS('[1]1_group_totals'!$Q$8:$Q$10000,'[1]1_group_totals'!$C$8:$C$10000,I70,'[1]1_group_totals'!$F$8:$F$10000,adj_location_group_id,'[1]1_group_totals'!$G$8:$G$10000,MID(N70,1,3)*1,'[1]1_group_totals'!$H$8:$H$10000,"="&amp;S70,'[1]1_group_totals'!$I$8:$I$10000,"="&amp;T70))+(SUMIFS('[1]1_group_totals'!$L$8:$L$10000,'[1]1_group_totals'!$C$8:$C$10000,I70,'[1]1_group_totals'!$F$8:$F$10000,adj_location_group_id,'[1]1_group_totals'!$G$8:$G$10000,MID(N70,1,3)*1,'[1]1_group_totals'!$H$8:$H$10000,"="&amp;S70,'[1]1_group_totals'!$I$8:$I$10000,"="&amp;T70)+SUMIFS('[1]1_group_totals'!$M$8:$M$10000,'[1]1_group_totals'!$C$8:$C$10000,I70,'[1]1_group_totals'!$F$8:$F$10000,adj_location_group_id,'[1]1_group_totals'!$G$8:$G$10000,MID(N70,1,3)*1,'[1]1_group_totals'!$H$8:$H$10000,"="&amp;S70,'[1]1_group_totals'!$I$8:$I$10000,"="&amp;T70)+SUMIFS('[1]1_group_totals'!$O$8:$O$10000,'[1]1_group_totals'!$C$8:$C$10000,I70,'[1]1_group_totals'!$F$8:$F$10000,adj_location_group_id,'[1]1_group_totals'!$G$8:$G$10000,MID(N70,1,3)*1,'[1]1_group_totals'!$H$8:$H$10000,"="&amp;S70,'[1]1_group_totals'!$I$8:$I$10000,"="&amp;T70)+SUMIFS('[1]1_group_totals'!$R$8:$R$10000,'[1]1_group_totals'!$C$8:$C$10000,I70,'[1]1_group_totals'!$F$8:$F$10000,adj_location_group_id,'[1]1_group_totals'!$G$8:$G$10000,MID(N70,1,3)*1,'[1]1_group_totals'!$H$8:$H$10000,"="&amp;S70,'[1]1_group_totals'!$I$8:$I$10000,"="&amp;T70)))</f>
        <v/>
      </c>
      <c r="AN70" s="270" t="str">
        <f>IF(L70="","",(SUMIFS('[1]1_inventory_totals'!$I$8:$I$10000,'[1]1_inventory_totals'!$C$8:$C$10000,I70,'[1]1_inventory_totals'!$F$8:$F$10000,"="&amp;S70,'[1]1_inventory_totals'!$G$8:$G$10000,"="&amp;T70)+SUMIFS('[1]1_inventory_totals'!$N$8:$N$10000,'[1]1_inventory_totals'!$C$8:$C$10000,I70,'[1]1_inventory_totals'!$F$8:$F$10000,"="&amp;S70,'[1]1_inventory_totals'!$G$8:$G$10000,"="&amp;T70)+SUMIFS('[1]1_inventory_totals'!$P$8:$P$10000,'[1]1_inventory_totals'!$C$8:$C$10000,I70,'[1]1_inventory_totals'!$F$8:$F$10000,"="&amp;S70,'[1]1_inventory_totals'!$G$8:$G$10000,"="&amp;T70)+SUMIFS('[1]1_inventory_totals'!$Q$8:$Q$10000,'[1]1_inventory_totals'!$C$8:$C$10000,I70,'[1]1_inventory_totals'!$F$8:$F$10000,"="&amp;S70,'[1]1_inventory_totals'!$G$8:$G$10000,"="&amp;T70)+SUMIFS('[1]1_inventory_totals'!$R$8:$R$10000,'[1]1_inventory_totals'!$C$8:$C$10000,I70,'[1]1_inventory_totals'!$F$8:$F$10000,"="&amp;S70,'[1]1_inventory_totals'!$G$8:$G$10000,"="&amp;T70))+(SUMIFS('[1]1_inventory_totals'!$J$8:$J$10000,'[1]1_inventory_totals'!$C$8:$C$10000,I70,'[1]1_inventory_totals'!$F$8:$F$10000,"="&amp;S70,'[1]1_inventory_totals'!$G$8:$G$10000,"="&amp;T70)+SUMIFS('[1]1_inventory_totals'!$K$8:$K$10000,'[1]1_inventory_totals'!$C$8:$C$10000,I70,'[1]1_inventory_totals'!$F$8:$F$10000,"="&amp;S70,'[1]1_inventory_totals'!$G$8:$G$10000,"="&amp;T70)+SUMIFS('[1]1_inventory_totals'!$L$8:$L$10000,'[1]1_inventory_totals'!$C$8:$C$10000,I70,'[1]1_inventory_totals'!$F$8:$F$10000,"="&amp;S70,'[1]1_inventory_totals'!$G$8:$G$10000,"="&amp;T70)+SUMIFS('[1]1_inventory_totals'!$M$8:$M$10000,'[1]1_inventory_totals'!$C$8:$C$10000,I70,'[1]1_inventory_totals'!$F$8:$F$10000,"="&amp;S70,'[1]1_inventory_totals'!$G$8:$G$10000,"="&amp;T70)+SUMIFS('[1]1_inventory_totals'!$O$8:$O$10000,'[1]1_inventory_totals'!$C$8:$C$10000,I70,'[1]1_inventory_totals'!$F$8:$F$10000,"="&amp;S70,'[1]1_inventory_totals'!$G$8:$G$10000,"="&amp;T70)+SUMIFS('[1]1_inventory_totals'!$S$8:$S$10000,'[1]1_inventory_totals'!$C$8:$C$10000,I70,'[1]1_inventory_totals'!$F$8:$F$10000,"="&amp;S70,'[1]1_inventory_totals'!$G$8:$G$10000,"="&amp;T70)))</f>
        <v/>
      </c>
      <c r="AO70" s="270" t="str">
        <f>IF(L70="","",(SUMIFS('[1]2_inventory_totals'!$I$8:$I$10000,'[1]2_inventory_totals'!$C$8:$C$10000,I70,'[1]2_inventory_totals'!$F$8:$F$10000,"="&amp;S70,'[1]2_inventory_totals'!$G$8:$G$10000,"="&amp;T70)+SUMIFS('[1]2_inventory_totals'!$N$8:$N$10000,'[1]2_inventory_totals'!$C$8:$C$10000,I70,'[1]2_inventory_totals'!$F$8:$F$10000,"="&amp;S70,'[1]2_inventory_totals'!$G$8:$G$10000,"="&amp;T70)+SUMIFS('[1]2_inventory_totals'!$P$8:$P$10000,'[1]2_inventory_totals'!$C$8:$C$10000,I70,'[1]2_inventory_totals'!$F$8:$F$10000,"="&amp;S70,'[1]2_inventory_totals'!$G$8:$G$10000,"="&amp;T70)+SUMIFS('[1]2_inventory_totals'!$Q$8:$Q$10000,'[1]2_inventory_totals'!$C$8:$C$10000,I70,'[1]2_inventory_totals'!$F$8:$F$10000,"="&amp;S70,'[1]2_inventory_totals'!$G$8:$G$10000,"="&amp;T70)+SUMIFS('[1]2_inventory_totals'!$R$8:$R$10000,'[1]2_inventory_totals'!$C$8:$C$10000,I70,'[1]2_inventory_totals'!$F$8:$F$10000,"="&amp;S70,'[1]2_inventory_totals'!$G$8:$G$10000,"="&amp;T70))+(SUMIFS('[1]2_inventory_totals'!$J$8:$J$10000,'[1]2_inventory_totals'!$C$8:$C$10000,I70,'[1]2_inventory_totals'!$F$8:$F$10000,"="&amp;S70,'[1]2_inventory_totals'!$G$8:$G$10000,"="&amp;T70)+SUMIFS('[1]2_inventory_totals'!$K$8:$K$10000,'[1]2_inventory_totals'!$C$8:$C$10000,I70,'[1]2_inventory_totals'!$F$8:$F$10000,"="&amp;S70,'[1]2_inventory_totals'!$G$8:$G$10000,"="&amp;T70)+SUMIFS('[1]2_inventory_totals'!$L$8:$L$10000,'[1]2_inventory_totals'!$C$8:$C$10000,I70,'[1]2_inventory_totals'!$F$8:$F$10000,"="&amp;S70,'[1]2_inventory_totals'!$G$8:$G$10000,"="&amp;T70)+SUMIFS('[1]2_inventory_totals'!$M$8:$M$10000,'[1]2_inventory_totals'!$C$8:$C$10000,I70,'[1]2_inventory_totals'!$F$8:$F$10000,"="&amp;S70,'[1]2_inventory_totals'!$G$8:$G$10000,"="&amp;T70)+SUMIFS('[1]2_inventory_totals'!$O$8:$O$10000,'[1]2_inventory_totals'!$C$8:$C$10000,I70,'[1]2_inventory_totals'!$F$8:$F$10000,"="&amp;S70,'[1]2_inventory_totals'!$G$8:$G$10000,"="&amp;T70)+SUMIFS('[1]2_inventory_totals'!$S$8:$S$10000,'[1]2_inventory_totals'!$C$8:$C$10000,I70,'[1]2_inventory_totals'!$F$8:$F$10000,"="&amp;S70,'[1]2_inventory_totals'!$G$8:$G$10000,"="&amp;T70)))</f>
        <v/>
      </c>
      <c r="AP70" s="954"/>
    </row>
    <row r="71" spans="1:42" ht="27" customHeight="1">
      <c r="A71" s="923"/>
      <c r="B71" s="1178"/>
      <c r="C71" s="950"/>
      <c r="D71" s="950"/>
      <c r="E71" s="950"/>
      <c r="F71" s="1199"/>
      <c r="G71" s="941"/>
      <c r="H71" s="1070"/>
      <c r="I71" s="1610" t="str">
        <f t="shared" si="5"/>
        <v/>
      </c>
      <c r="J71" s="270" t="str">
        <f t="shared" si="6"/>
        <v/>
      </c>
      <c r="K71" s="813" t="str">
        <f t="shared" si="16"/>
        <v/>
      </c>
      <c r="L71" s="1184"/>
      <c r="M71" s="1185"/>
      <c r="N71" s="1186"/>
      <c r="O71" s="1534"/>
      <c r="P71" s="336" t="str">
        <f t="shared" si="17"/>
        <v/>
      </c>
      <c r="Q71" s="336" t="str">
        <f>IF(L71="","",IF(AD71=0,0,(SUMIFS('[1]1_group_total_details'!$I$8:$I$10000,'[1]1_group_total_details'!$C$8:$C$10000,I71,'[1]1_group_total_details'!$F$8:$F$10000,adj_location_group_id,'[1]1_group_total_details'!$G$8:$G$10000,MID(N71,1,3)*1,'[1]1_group_total_details'!$H$8:$H$10000,"&lt;="&amp;adj_date)+SUMIFS('[1]1_group_total_details'!$L$8:$L$10000,'[1]1_group_total_details'!$C$8:$C$10000,I71,'[1]1_group_total_details'!$F$8:$F$10000,adj_location_group_id,'[1]1_group_total_details'!$G$8:$G$10000,MID(N71,1,3)*1,'[1]1_group_total_details'!$H$8:$H$10000,"&lt;="&amp;adj_date)+SUMIFS('[1]1_group_total_details'!$N$8:$N$10000,'[1]1_group_total_details'!$C$8:$C$10000,I71,'[1]1_group_total_details'!$F$8:$F$10000,adj_location_group_id,'[1]1_group_total_details'!$G$8:$G$10000,MID(N71,1,3)*1,'[1]1_group_total_details'!$H$8:$H$10000,"&lt;="&amp;adj_date)+SUMIFS('[1]1_group_total_details'!$O$8:$O$10000,'[1]1_group_total_details'!$C$8:$C$10000,I71,'[1]1_group_total_details'!$F$8:$F$10000,adj_location_group_id,'[1]1_group_total_details'!$G$8:$G$10000,MID(N71,1,3)*1,'[1]1_group_total_details'!$H$8:$H$10000,"&lt;="&amp;adj_date))-(SUMIFS('[1]1_group_total_details'!$J$8:$J$10000,'[1]1_group_total_details'!$C$8:$C$10000,I71,'[1]1_group_total_details'!$F$8:$F$10000,adj_location_group_id,'[1]1_group_total_details'!$G$8:$G$10000,MID(N71,1,3)*1,'[1]1_group_total_details'!$H$8:$H$10000,"&lt;="&amp;adj_date)+SUMIFS('[1]1_group_total_details'!$K$8:$K$10000,'[1]1_group_total_details'!$C$8:$C$10000,I71,'[1]1_group_total_details'!$F$8:$F$10000,adj_location_group_id,'[1]1_group_total_details'!$G$8:$G$10000,MID(N71,1,3)*1,'[1]1_group_total_details'!$H$8:$H$10000,"&lt;="&amp;adj_date)+SUMIFS('[1]1_group_total_details'!$M$8:$M$10000,'[1]1_group_total_details'!$C$8:$C$10000,I71,'[1]1_group_total_details'!$F$8:$F$10000,adj_location_group_id,'[1]1_group_total_details'!$G$8:$G$10000,MID(N71,1,3)*1,'[1]1_group_total_details'!$H$8:$H$10000,"&lt;="&amp;adj_date)+SUMIFS('[1]1_group_total_details'!$P$8:$P$10000,'[1]1_group_total_details'!$C$8:$C$10000,I71,'[1]1_group_total_details'!$F$8:$F$10000,adj_location_group_id,'[1]1_group_total_details'!$G$8:$G$10000,MID(N71,1,3)*1,'[1]1_group_total_details'!$H$8:$H$10000,"&lt;="&amp;adj_date))))</f>
        <v/>
      </c>
      <c r="R71" s="1187"/>
      <c r="S71" s="1186"/>
      <c r="T71" s="1186"/>
      <c r="U71" s="1184"/>
      <c r="V71" s="270" t="str" cm="1">
        <f t="array" ref="V71">IF(L71="","",IF(M71=AE71,1,Slookup(MID(AE71,1,3)*1,UomConversion!$D$8:$J$500,5,UomConversion!$E$8:$E$500,MID(M71,1,3)*1,UomConversion!$J$8:$J$500,1)))</f>
        <v/>
      </c>
      <c r="W71" s="270" t="str">
        <f t="shared" si="8"/>
        <v/>
      </c>
      <c r="X71" s="1795" t="str">
        <f t="shared" si="9"/>
        <v/>
      </c>
      <c r="Y71" s="1795" t="str">
        <f t="shared" si="10"/>
        <v/>
      </c>
      <c r="Z71" s="270" t="str">
        <f>IF(I71="","",IF(ISNA(MATCH(I71,IF(MID(N71,1,3)*1=1,'[1]1_inventory_totals'!$C$8:$C$10000,IF(MID(N71,1,3)*1=2,'[1]2_inventory_totals'!$C$8:$C$10000,"")),0)),0,IF(AL71&gt;0,1,0)))</f>
        <v/>
      </c>
      <c r="AA71" s="270" t="str">
        <f>IF(L71="","",IF(MID(N71,1,3)*1=1,SUMIFS('[1]1_inventory_total_details'!$J$8:$J$10000,'[1]1_inventory_total_details'!$C$8:$C$10000,I71,'[1]1_inventory_total_details'!$F$8:$F$10000,MID(N71,1,3)*1,'[1]1_inventory_total_details'!$G$8:$G$10000,"="&amp;S71,'[1]1_inventory_total_details'!$H$8:$H$10000,"="&amp;T71,'[1]1_inventory_total_details'!$I$8:$I$10000,"="&amp;adj_date)+SUMIFS('[1]1_inventory_total_details'!$M$8:$M$10000,'[1]1_inventory_total_details'!$C$8:$C$10000,I71,'[1]1_inventory_total_details'!$F$8:$F$10000,MID(N71,1,3)*1,'[1]1_inventory_total_details'!$G$8:$G$10000,"="&amp;S71,'[1]1_inventory_total_details'!$H$8:$H$10000,"="&amp;T71,'[1]1_inventory_total_details'!$I$8:$I$10000,"="&amp;adj_date)+SUMIFS('[1]1_inventory_total_details'!$K$8:$K$10000,'[1]1_inventory_total_details'!$C$8:$C$10000,I71,'[1]1_inventory_total_details'!$F$8:$F$10000,MID(N71,1,3)*1,'[1]1_inventory_total_details'!$G$8:$G$10000,"="&amp;S71,'[1]1_inventory_total_details'!$H$8:$H$10000,"="&amp;T71,'[1]1_inventory_total_details'!$I$8:$I$10000,"="&amp;adj_date)+SUMIFS('[1]1_inventory_total_details'!$L$8:$L$10000,'[1]1_inventory_total_details'!$C$8:$C$10000,I71,'[1]1_inventory_total_details'!$F$8:$F$10000,MID(N71,1,3)*1,'[1]1_inventory_total_details'!$G$8:$G$10000,"="&amp;S71,'[1]1_inventory_total_details'!$H$8:$H$10000,"="&amp;T71,'[1]1_inventory_total_details'!$I$8:$I$10000,"="&amp;adj_date),SUMIFS('[1]2_inventory_total_details'!$J$8:$J$10000,'[1]2_inventory_total_details'!$C$8:$C$10000,I71,'[1]2_inventory_total_details'!$F$8:$F$10000,MID(N71,1,3)*1,'[1]2_inventory_total_details'!$G$8:$G$10000,"="&amp;S71,'[1]2_inventory_total_details'!$H$8:$H$10000,"="&amp;T71,'[1]2_inventory_total_details'!$I$8:$I$10000,"="&amp;adj_date)+SUMIFS('[1]2_inventory_total_details'!$M$8:$M$10000,'[1]1_inventory_total_details'!$C$8:$C$10000,I71,'[1]2_inventory_total_details'!$F$8:$F$10000,MID(N71,1,3)*1,'[1]2_inventory_total_details'!$G$8:$G$10000,"="&amp;S71,'[1]2_inventory_total_details'!$H$8:$H$10000,"="&amp;T71,'[1]2_inventory_total_details'!$I$8:$I$10000,"="&amp;adj_date)+SUMIFS('[1]2_inventory_total_details'!$K$8:$K$10000,'[1]2_inventory_total_details'!$C$8:$C$10000,I71,'[1]2_inventory_total_details'!$F$8:$F$10000,MID(N71,1,3)*1,'[1]2_inventory_total_details'!$G$8:$G$10000,"="&amp;S71,'[1]2_inventory_total_details'!$H$8:$H$10000,"="&amp;T71,'[1]2_inventory_total_details'!$I$8:$I$10000,"="&amp;adj_date)+SUMIFS('[1]2_inventory_total_details'!$L$8:$L$10000,'[1]2_inventory_total_details'!$C$8:$C$10000,I71,'[1]2_inventory_total_details'!$F$8:$F$10000,MID(N71,1,3)*1,'[1]2_inventory_total_details'!$G$8:$G$10000,"="&amp;S71,'[1]2_inventory_total_details'!$H$8:$H$10000,"="&amp;T71,'[1]2_inventory_total_details'!$I$8:$I$10000,"="&amp;adj_date)))</f>
        <v/>
      </c>
      <c r="AB71" s="270" t="str">
        <f>IF(L71="","",IF(MID(N71,1,3)*1=1,SUMIFS('[1]1_inventory_total_details'!$J$8:$J$10000,'[1]1_inventory_total_details'!$C$8:$C$10000,I71,'[1]1_inventory_total_details'!$F$8:$F$10000,MID(N71,1,3)*1,'[1]1_inventory_total_details'!$G$8:$G$10000,"="&amp;S71,'[1]1_inventory_total_details'!$H$8:$H$10000,"="&amp;T71,'[1]1_inventory_total_details'!$I$8:$I$10000,"="&amp;adj_date)+SUMIFS('[1]1_inventory_total_details'!$M$8:$M$10000,'[1]1_inventory_total_details'!$C$8:$C$10000,I71,'[1]1_inventory_total_details'!$F$8:$F$10000,MID(N71,1,3)*1,'[1]1_inventory_total_details'!$G$8:$G$10000,"="&amp;S71,'[1]1_inventory_total_details'!$H$8:$H$10000,"="&amp;T71,'[1]1_inventory_total_details'!$I$8:$I$10000,"="&amp;adj_date)+SUMIFS('[1]1_inventory_total_details'!$K$8:$K$10000,'[1]1_inventory_total_details'!$C$8:$C$10000,I71,'[1]1_inventory_total_details'!$F$8:$F$10000,MID(N71,1,3)*1,'[1]1_inventory_total_details'!$G$8:$G$10000,"="&amp;S71,'[1]1_inventory_total_details'!$H$8:$H$10000,"="&amp;T71,'[1]1_inventory_total_details'!$I$8:$I$10000,"="&amp;adj_date)+SUMIFS('[1]1_inventory_total_details'!$L$8:$L$10000,'[1]1_inventory_total_details'!$C$8:$C$10000,I71,'[1]1_inventory_total_details'!$F$8:$F$10000,MID(N71,1,3)*1,'[1]1_inventory_total_details'!$G$8:$G$10000,"="&amp;S71,'[1]1_inventory_total_details'!$H$8:$H$10000,"="&amp;T71,'[1]1_inventory_total_details'!$I$8:$I$10000,"="&amp;adj_date),SUMIFS('[1]2_inventory_total_details'!$J$8:$J$10000,'[1]2_inventory_total_details'!$C$8:$C$10000,I71,'[1]2_inventory_total_details'!$F$8:$F$10000,MID(N71,1,3)*1,'[1]2_inventory_total_details'!$G$8:$G$10000,"="&amp;S71,'[1]2_inventory_total_details'!$H$8:$H$10000,"="&amp;T71,'[1]2_inventory_total_details'!$I$8:$I$10000,"="&amp;adj_date)+SUMIFS('[1]2_inventory_total_details'!$M$8:$M$10000,'[1]1_inventory_total_details'!$C$8:$C$10000,I71,'[1]2_inventory_total_details'!$F$8:$F$10000,MID(N71,1,3)*1,'[1]2_inventory_total_details'!$G$8:$G$10000,"="&amp;S71,'[1]2_inventory_total_details'!$H$8:$H$10000,"="&amp;T71,'[1]2_inventory_total_details'!$I$8:$I$10000,"="&amp;adj_date)+SUMIFS('[1]2_inventory_total_details'!$K$8:$K$10000,'[1]2_inventory_total_details'!$C$8:$C$10000,I71,'[1]2_inventory_total_details'!$F$8:$F$10000,MID(N71,1,3)*1,'[1]2_inventory_total_details'!$G$8:$G$10000,"="&amp;S71,'[1]2_inventory_total_details'!$H$8:$H$10000,"="&amp;T71,'[1]2_inventory_total_details'!$I$8:$I$10000,"="&amp;adj_date)+SUMIFS('[1]2_inventory_total_details'!$L$8:$L$10000,'[1]2_inventory_total_details'!$C$8:$C$10000,I71,'[1]2_inventory_total_details'!$F$8:$F$10000,MID(N71,1,3)*1,'[1]2_inventory_total_details'!$G$8:$G$10000,"="&amp;S71,'[1]2_inventory_total_details'!$H$8:$H$10000,"="&amp;T71,'[1]2_inventory_total_details'!$I$8:$I$10000,"="&amp;adj_date)))</f>
        <v/>
      </c>
      <c r="AC71" s="270" t="str">
        <f>IF(L71="","",IF(MID(N71,1,3)*1=1,SUMIFS('[1]1_inventory_total_details'!$J$8:$J$10000,'[1]1_inventory_total_details'!$C$8:$C$10000,I71,'[1]1_inventory_total_details'!$F$8:$F$10000,MID(N71,1,3)*1,'[1]1_inventory_total_details'!$G$8:$G$10000,"="&amp;S71,'[1]1_inventory_total_details'!$H$8:$H$10000,"="&amp;T71,'[1]1_inventory_total_details'!$I$8:$I$10000,"="&amp;adj_date)+SUMIFS('[1]1_inventory_total_details'!$M$8:$M$10000,'[1]1_inventory_total_details'!$C$8:$C$10000,I71,'[1]1_inventory_total_details'!$F$8:$F$10000,MID(N71,1,3)*1,'[1]1_inventory_total_details'!$G$8:$G$10000,"="&amp;S71,'[1]1_inventory_total_details'!$H$8:$H$10000,"="&amp;T71,'[1]1_inventory_total_details'!$I$8:$I$10000,"="&amp;adj_date)+SUMIFS('[1]1_inventory_total_details'!$K$8:$K$10000,'[1]1_inventory_total_details'!$C$8:$C$10000,I71,'[1]1_inventory_total_details'!$F$8:$F$10000,MID(N71,1,3)*1,'[1]1_inventory_total_details'!$G$8:$G$10000,"="&amp;S71,'[1]1_inventory_total_details'!$H$8:$H$10000,"="&amp;T71,'[1]1_inventory_total_details'!$I$8:$I$10000,"="&amp;adj_date)+SUMIFS('[1]1_inventory_total_details'!$L$8:$L$10000,'[1]1_inventory_total_details'!$C$8:$C$10000,I71,'[1]1_inventory_total_details'!$F$8:$F$10000,MID(N71,1,3)*1,'[1]1_inventory_total_details'!$G$8:$G$10000,"="&amp;S71,'[1]1_inventory_total_details'!$H$8:$H$10000,"="&amp;T71,'[1]1_inventory_total_details'!$I$8:$I$10000,"="&amp;adj_date),SUMIFS('[1]2_inventory_total_details'!$J$8:$J$10000,'[1]2_inventory_total_details'!$C$8:$C$10000,I71,'[1]2_inventory_total_details'!$F$8:$F$10000,MID(N71,1,3)*1,'[1]2_inventory_total_details'!$G$8:$G$10000,"="&amp;S71,'[1]2_inventory_total_details'!$H$8:$H$10000,"="&amp;T71,'[1]2_inventory_total_details'!$I$8:$I$10000,"="&amp;adj_date)+SUMIFS('[1]2_inventory_total_details'!$M$8:$M$10000,'[1]1_inventory_total_details'!$C$8:$C$10000,I71,'[1]2_inventory_total_details'!$F$8:$F$10000,MID(N71,1,3)*1,'[1]2_inventory_total_details'!$G$8:$G$10000,"="&amp;S71,'[1]2_inventory_total_details'!$H$8:$H$10000,"="&amp;T71,'[1]2_inventory_total_details'!$I$8:$I$10000,"="&amp;adj_date)+SUMIFS('[1]2_inventory_total_details'!$K$8:$K$10000,'[1]2_inventory_total_details'!$C$8:$C$10000,I71,'[1]2_inventory_total_details'!$F$8:$F$10000,MID(N71,1,3)*1,'[1]2_inventory_total_details'!$G$8:$G$10000,"="&amp;S71,'[1]2_inventory_total_details'!$H$8:$H$10000,"="&amp;T71,'[1]2_inventory_total_details'!$I$8:$I$10000,"="&amp;adj_date)+SUMIFS('[1]2_inventory_total_details'!$L$8:$L$10000,'[1]2_inventory_total_details'!$C$8:$C$10000,I71,'[1]2_inventory_total_details'!$F$8:$F$10000,MID(N71,1,3)*1,'[1]2_inventory_total_details'!$G$8:$G$10000,"="&amp;S71,'[1]2_inventory_total_details'!$H$8:$H$10000,"="&amp;T71,'[1]2_inventory_total_details'!$I$8:$I$10000,"="&amp;adj_date)))</f>
        <v/>
      </c>
      <c r="AD71" s="270" t="str">
        <f>IF(L71="","",SUMIFS('[1]1_group_totals'!$J$8:$J$10000,'[1]1_group_totals'!$C$8:$C$10000,I71,'[1]1_group_totals'!$F$8:$F$10000,adj_location_group_id,'[1]1_group_totals'!$G$8:$G$10000,MID(N71,1,3)*1,'[1]1_group_totals'!$H$8:$H$10000,"="&amp;S71,'[1]1_group_totals'!$I$8:$I$10000,"="&amp;T71))</f>
        <v/>
      </c>
      <c r="AE71" s="1796" t="str">
        <f t="shared" si="11"/>
        <v/>
      </c>
      <c r="AF71" s="1797" t="str">
        <f>IF(ISNA(MATCH(MID(AE71,1,3)*1,UomConversion!$D$8:$D$500,0)),"",IF(AJ71&lt;&gt;"",AJ71,""))</f>
        <v/>
      </c>
      <c r="AG71" s="1797" t="str">
        <f>IF(AND(AH71&gt;0,COUNTIFS(UomConversion!$D$8:$D$500,MID(AE71,1,3)*1,UomConversion!$J$8:$J$500,1)&gt;1),TEXT(AH71,"000")&amp;"."&amp;VLOOKUP(AH71,uom_list,5,FALSE),"")</f>
        <v/>
      </c>
      <c r="AH71" s="270" t="str">
        <f t="shared" si="12"/>
        <v/>
      </c>
      <c r="AI71" s="270" t="str">
        <f t="shared" si="13"/>
        <v/>
      </c>
      <c r="AJ71" s="270" t="str">
        <f t="shared" si="14"/>
        <v/>
      </c>
      <c r="AK71" s="270" t="str" cm="1">
        <f t="array" ref="AK71">IF(L71="","",Slookup(MID(AE71,1,3)*1,UomConversion!$D$8:$J$500,2,UomConversion!$I$8:$I$500,1,UomConversion!$J$8:$J$500,1))</f>
        <v/>
      </c>
      <c r="AL71" s="270" t="str">
        <f t="shared" si="15"/>
        <v/>
      </c>
      <c r="AM71" s="270" t="str">
        <f>IF(L71="","",(SUMIFS('[1]1_group_totals'!$K$8:$K$10000,'[1]1_group_totals'!$C$8:$C$10000,I71,'[1]1_group_totals'!$F$8:$F$10000,adj_location_group_id,'[1]1_group_totals'!$G$8:$G$10000,MID(N71,1,3)*1,'[1]1_group_totals'!$H$8:$H$10000,"="&amp;S71,'[1]1_group_totals'!$I$8:$I$10000,"="&amp;T71)+SUMIFS('[1]1_group_totals'!$N$8:$N$10000,'[1]1_group_totals'!$C$8:$C$10000,I71,'[1]1_group_totals'!$F$8:$F$10000,adj_location_group_id,'[1]1_group_totals'!$G$8:$G$10000,MID(N71,1,3)*1,'[1]1_group_totals'!$H$8:$H$10000,"="&amp;S71,'[1]1_group_totals'!$I$8:$I$10000,"="&amp;T71)+SUMIFS('[1]1_group_totals'!$P$8:$P$10000,'[1]1_group_totals'!$C$8:$C$10000,I71,'[1]1_group_totals'!$F$8:$F$10000,adj_location_group_id,'[1]1_group_totals'!$G$8:$G$10000,MID(N71,1,3)*1,'[1]1_group_totals'!$H$8:$H$10000,"="&amp;S71,'[1]1_group_totals'!$I$8:$I$10000,"="&amp;T71)+SUMIFS('[1]1_group_totals'!$Q$8:$Q$10000,'[1]1_group_totals'!$C$8:$C$10000,I71,'[1]1_group_totals'!$F$8:$F$10000,adj_location_group_id,'[1]1_group_totals'!$G$8:$G$10000,MID(N71,1,3)*1,'[1]1_group_totals'!$H$8:$H$10000,"="&amp;S71,'[1]1_group_totals'!$I$8:$I$10000,"="&amp;T71))+(SUMIFS('[1]1_group_totals'!$L$8:$L$10000,'[1]1_group_totals'!$C$8:$C$10000,I71,'[1]1_group_totals'!$F$8:$F$10000,adj_location_group_id,'[1]1_group_totals'!$G$8:$G$10000,MID(N71,1,3)*1,'[1]1_group_totals'!$H$8:$H$10000,"="&amp;S71,'[1]1_group_totals'!$I$8:$I$10000,"="&amp;T71)+SUMIFS('[1]1_group_totals'!$M$8:$M$10000,'[1]1_group_totals'!$C$8:$C$10000,I71,'[1]1_group_totals'!$F$8:$F$10000,adj_location_group_id,'[1]1_group_totals'!$G$8:$G$10000,MID(N71,1,3)*1,'[1]1_group_totals'!$H$8:$H$10000,"="&amp;S71,'[1]1_group_totals'!$I$8:$I$10000,"="&amp;T71)+SUMIFS('[1]1_group_totals'!$O$8:$O$10000,'[1]1_group_totals'!$C$8:$C$10000,I71,'[1]1_group_totals'!$F$8:$F$10000,adj_location_group_id,'[1]1_group_totals'!$G$8:$G$10000,MID(N71,1,3)*1,'[1]1_group_totals'!$H$8:$H$10000,"="&amp;S71,'[1]1_group_totals'!$I$8:$I$10000,"="&amp;T71)+SUMIFS('[1]1_group_totals'!$R$8:$R$10000,'[1]1_group_totals'!$C$8:$C$10000,I71,'[1]1_group_totals'!$F$8:$F$10000,adj_location_group_id,'[1]1_group_totals'!$G$8:$G$10000,MID(N71,1,3)*1,'[1]1_group_totals'!$H$8:$H$10000,"="&amp;S71,'[1]1_group_totals'!$I$8:$I$10000,"="&amp;T71)))</f>
        <v/>
      </c>
      <c r="AN71" s="270" t="str">
        <f>IF(L71="","",(SUMIFS('[1]1_inventory_totals'!$I$8:$I$10000,'[1]1_inventory_totals'!$C$8:$C$10000,I71,'[1]1_inventory_totals'!$F$8:$F$10000,"="&amp;S71,'[1]1_inventory_totals'!$G$8:$G$10000,"="&amp;T71)+SUMIFS('[1]1_inventory_totals'!$N$8:$N$10000,'[1]1_inventory_totals'!$C$8:$C$10000,I71,'[1]1_inventory_totals'!$F$8:$F$10000,"="&amp;S71,'[1]1_inventory_totals'!$G$8:$G$10000,"="&amp;T71)+SUMIFS('[1]1_inventory_totals'!$P$8:$P$10000,'[1]1_inventory_totals'!$C$8:$C$10000,I71,'[1]1_inventory_totals'!$F$8:$F$10000,"="&amp;S71,'[1]1_inventory_totals'!$G$8:$G$10000,"="&amp;T71)+SUMIFS('[1]1_inventory_totals'!$Q$8:$Q$10000,'[1]1_inventory_totals'!$C$8:$C$10000,I71,'[1]1_inventory_totals'!$F$8:$F$10000,"="&amp;S71,'[1]1_inventory_totals'!$G$8:$G$10000,"="&amp;T71)+SUMIFS('[1]1_inventory_totals'!$R$8:$R$10000,'[1]1_inventory_totals'!$C$8:$C$10000,I71,'[1]1_inventory_totals'!$F$8:$F$10000,"="&amp;S71,'[1]1_inventory_totals'!$G$8:$G$10000,"="&amp;T71))+(SUMIFS('[1]1_inventory_totals'!$J$8:$J$10000,'[1]1_inventory_totals'!$C$8:$C$10000,I71,'[1]1_inventory_totals'!$F$8:$F$10000,"="&amp;S71,'[1]1_inventory_totals'!$G$8:$G$10000,"="&amp;T71)+SUMIFS('[1]1_inventory_totals'!$K$8:$K$10000,'[1]1_inventory_totals'!$C$8:$C$10000,I71,'[1]1_inventory_totals'!$F$8:$F$10000,"="&amp;S71,'[1]1_inventory_totals'!$G$8:$G$10000,"="&amp;T71)+SUMIFS('[1]1_inventory_totals'!$L$8:$L$10000,'[1]1_inventory_totals'!$C$8:$C$10000,I71,'[1]1_inventory_totals'!$F$8:$F$10000,"="&amp;S71,'[1]1_inventory_totals'!$G$8:$G$10000,"="&amp;T71)+SUMIFS('[1]1_inventory_totals'!$M$8:$M$10000,'[1]1_inventory_totals'!$C$8:$C$10000,I71,'[1]1_inventory_totals'!$F$8:$F$10000,"="&amp;S71,'[1]1_inventory_totals'!$G$8:$G$10000,"="&amp;T71)+SUMIFS('[1]1_inventory_totals'!$O$8:$O$10000,'[1]1_inventory_totals'!$C$8:$C$10000,I71,'[1]1_inventory_totals'!$F$8:$F$10000,"="&amp;S71,'[1]1_inventory_totals'!$G$8:$G$10000,"="&amp;T71)+SUMIFS('[1]1_inventory_totals'!$S$8:$S$10000,'[1]1_inventory_totals'!$C$8:$C$10000,I71,'[1]1_inventory_totals'!$F$8:$F$10000,"="&amp;S71,'[1]1_inventory_totals'!$G$8:$G$10000,"="&amp;T71)))</f>
        <v/>
      </c>
      <c r="AO71" s="270" t="str">
        <f>IF(L71="","",(SUMIFS('[1]2_inventory_totals'!$I$8:$I$10000,'[1]2_inventory_totals'!$C$8:$C$10000,I71,'[1]2_inventory_totals'!$F$8:$F$10000,"="&amp;S71,'[1]2_inventory_totals'!$G$8:$G$10000,"="&amp;T71)+SUMIFS('[1]2_inventory_totals'!$N$8:$N$10000,'[1]2_inventory_totals'!$C$8:$C$10000,I71,'[1]2_inventory_totals'!$F$8:$F$10000,"="&amp;S71,'[1]2_inventory_totals'!$G$8:$G$10000,"="&amp;T71)+SUMIFS('[1]2_inventory_totals'!$P$8:$P$10000,'[1]2_inventory_totals'!$C$8:$C$10000,I71,'[1]2_inventory_totals'!$F$8:$F$10000,"="&amp;S71,'[1]2_inventory_totals'!$G$8:$G$10000,"="&amp;T71)+SUMIFS('[1]2_inventory_totals'!$Q$8:$Q$10000,'[1]2_inventory_totals'!$C$8:$C$10000,I71,'[1]2_inventory_totals'!$F$8:$F$10000,"="&amp;S71,'[1]2_inventory_totals'!$G$8:$G$10000,"="&amp;T71)+SUMIFS('[1]2_inventory_totals'!$R$8:$R$10000,'[1]2_inventory_totals'!$C$8:$C$10000,I71,'[1]2_inventory_totals'!$F$8:$F$10000,"="&amp;S71,'[1]2_inventory_totals'!$G$8:$G$10000,"="&amp;T71))+(SUMIFS('[1]2_inventory_totals'!$J$8:$J$10000,'[1]2_inventory_totals'!$C$8:$C$10000,I71,'[1]2_inventory_totals'!$F$8:$F$10000,"="&amp;S71,'[1]2_inventory_totals'!$G$8:$G$10000,"="&amp;T71)+SUMIFS('[1]2_inventory_totals'!$K$8:$K$10000,'[1]2_inventory_totals'!$C$8:$C$10000,I71,'[1]2_inventory_totals'!$F$8:$F$10000,"="&amp;S71,'[1]2_inventory_totals'!$G$8:$G$10000,"="&amp;T71)+SUMIFS('[1]2_inventory_totals'!$L$8:$L$10000,'[1]2_inventory_totals'!$C$8:$C$10000,I71,'[1]2_inventory_totals'!$F$8:$F$10000,"="&amp;S71,'[1]2_inventory_totals'!$G$8:$G$10000,"="&amp;T71)+SUMIFS('[1]2_inventory_totals'!$M$8:$M$10000,'[1]2_inventory_totals'!$C$8:$C$10000,I71,'[1]2_inventory_totals'!$F$8:$F$10000,"="&amp;S71,'[1]2_inventory_totals'!$G$8:$G$10000,"="&amp;T71)+SUMIFS('[1]2_inventory_totals'!$O$8:$O$10000,'[1]2_inventory_totals'!$C$8:$C$10000,I71,'[1]2_inventory_totals'!$F$8:$F$10000,"="&amp;S71,'[1]2_inventory_totals'!$G$8:$G$10000,"="&amp;T71)+SUMIFS('[1]2_inventory_totals'!$S$8:$S$10000,'[1]2_inventory_totals'!$C$8:$C$10000,I71,'[1]2_inventory_totals'!$F$8:$F$10000,"="&amp;S71,'[1]2_inventory_totals'!$G$8:$G$10000,"="&amp;T71)))</f>
        <v/>
      </c>
      <c r="AP71" s="954"/>
    </row>
    <row r="72" spans="1:42" ht="27" customHeight="1">
      <c r="A72" s="923"/>
      <c r="B72" s="1178"/>
      <c r="C72" s="950"/>
      <c r="D72" s="950"/>
      <c r="E72" s="950"/>
      <c r="F72" s="1199"/>
      <c r="G72" s="941"/>
      <c r="H72" s="1070"/>
      <c r="I72" s="1610" t="str">
        <f t="shared" si="5"/>
        <v/>
      </c>
      <c r="J72" s="270" t="str">
        <f t="shared" si="6"/>
        <v/>
      </c>
      <c r="K72" s="813" t="str">
        <f t="shared" ref="K72:K87" si="18">IF(L72="","",VLOOKUP(I72,product_list,4,FALSE))</f>
        <v/>
      </c>
      <c r="L72" s="1184"/>
      <c r="M72" s="1185"/>
      <c r="N72" s="1186"/>
      <c r="O72" s="1534"/>
      <c r="P72" s="336" t="str">
        <f t="shared" ref="P72:P87" si="19">IF(AND(adj_type&lt;&gt;"",L72&lt;&gt;"",M72&lt;&gt;""),IF(adj_type=1,O72*W72/V72,O72*W72/V72-Q72),"")</f>
        <v/>
      </c>
      <c r="Q72" s="336" t="str">
        <f>IF(L72="","",IF(AD72=0,0,(SUMIFS('[1]1_group_total_details'!$I$8:$I$10000,'[1]1_group_total_details'!$C$8:$C$10000,I72,'[1]1_group_total_details'!$F$8:$F$10000,adj_location_group_id,'[1]1_group_total_details'!$G$8:$G$10000,MID(N72,1,3)*1,'[1]1_group_total_details'!$H$8:$H$10000,"&lt;="&amp;adj_date)+SUMIFS('[1]1_group_total_details'!$L$8:$L$10000,'[1]1_group_total_details'!$C$8:$C$10000,I72,'[1]1_group_total_details'!$F$8:$F$10000,adj_location_group_id,'[1]1_group_total_details'!$G$8:$G$10000,MID(N72,1,3)*1,'[1]1_group_total_details'!$H$8:$H$10000,"&lt;="&amp;adj_date)+SUMIFS('[1]1_group_total_details'!$N$8:$N$10000,'[1]1_group_total_details'!$C$8:$C$10000,I72,'[1]1_group_total_details'!$F$8:$F$10000,adj_location_group_id,'[1]1_group_total_details'!$G$8:$G$10000,MID(N72,1,3)*1,'[1]1_group_total_details'!$H$8:$H$10000,"&lt;="&amp;adj_date)+SUMIFS('[1]1_group_total_details'!$O$8:$O$10000,'[1]1_group_total_details'!$C$8:$C$10000,I72,'[1]1_group_total_details'!$F$8:$F$10000,adj_location_group_id,'[1]1_group_total_details'!$G$8:$G$10000,MID(N72,1,3)*1,'[1]1_group_total_details'!$H$8:$H$10000,"&lt;="&amp;adj_date))-(SUMIFS('[1]1_group_total_details'!$J$8:$J$10000,'[1]1_group_total_details'!$C$8:$C$10000,I72,'[1]1_group_total_details'!$F$8:$F$10000,adj_location_group_id,'[1]1_group_total_details'!$G$8:$G$10000,MID(N72,1,3)*1,'[1]1_group_total_details'!$H$8:$H$10000,"&lt;="&amp;adj_date)+SUMIFS('[1]1_group_total_details'!$K$8:$K$10000,'[1]1_group_total_details'!$C$8:$C$10000,I72,'[1]1_group_total_details'!$F$8:$F$10000,adj_location_group_id,'[1]1_group_total_details'!$G$8:$G$10000,MID(N72,1,3)*1,'[1]1_group_total_details'!$H$8:$H$10000,"&lt;="&amp;adj_date)+SUMIFS('[1]1_group_total_details'!$M$8:$M$10000,'[1]1_group_total_details'!$C$8:$C$10000,I72,'[1]1_group_total_details'!$F$8:$F$10000,adj_location_group_id,'[1]1_group_total_details'!$G$8:$G$10000,MID(N72,1,3)*1,'[1]1_group_total_details'!$H$8:$H$10000,"&lt;="&amp;adj_date)+SUMIFS('[1]1_group_total_details'!$P$8:$P$10000,'[1]1_group_total_details'!$C$8:$C$10000,I72,'[1]1_group_total_details'!$F$8:$F$10000,adj_location_group_id,'[1]1_group_total_details'!$G$8:$G$10000,MID(N72,1,3)*1,'[1]1_group_total_details'!$H$8:$H$10000,"&lt;="&amp;adj_date))))</f>
        <v/>
      </c>
      <c r="R72" s="1187"/>
      <c r="S72" s="1186"/>
      <c r="T72" s="1186"/>
      <c r="U72" s="1184"/>
      <c r="V72" s="270" t="str" cm="1">
        <f t="array" ref="V72">IF(L72="","",IF(M72=AE72,1,Slookup(MID(AE72,1,3)*1,UomConversion!$D$8:$J$500,5,UomConversion!$E$8:$E$500,MID(M72,1,3)*1,UomConversion!$J$8:$J$500,1)))</f>
        <v/>
      </c>
      <c r="W72" s="270" t="str">
        <f t="shared" si="8"/>
        <v/>
      </c>
      <c r="X72" s="1795" t="str">
        <f t="shared" si="9"/>
        <v/>
      </c>
      <c r="Y72" s="1795" t="str">
        <f t="shared" si="10"/>
        <v/>
      </c>
      <c r="Z72" s="270" t="str">
        <f>IF(I72="","",IF(ISNA(MATCH(I72,IF(MID(N72,1,3)*1=1,'[1]1_inventory_totals'!$C$8:$C$10000,IF(MID(N72,1,3)*1=2,'[1]2_inventory_totals'!$C$8:$C$10000,"")),0)),0,IF(AL72&gt;0,1,0)))</f>
        <v/>
      </c>
      <c r="AA72" s="270" t="str">
        <f>IF(L72="","",IF(MID(N72,1,3)*1=1,SUMIFS('[1]1_inventory_total_details'!$J$8:$J$10000,'[1]1_inventory_total_details'!$C$8:$C$10000,I72,'[1]1_inventory_total_details'!$F$8:$F$10000,MID(N72,1,3)*1,'[1]1_inventory_total_details'!$G$8:$G$10000,"="&amp;S72,'[1]1_inventory_total_details'!$H$8:$H$10000,"="&amp;T72,'[1]1_inventory_total_details'!$I$8:$I$10000,"="&amp;adj_date)+SUMIFS('[1]1_inventory_total_details'!$M$8:$M$10000,'[1]1_inventory_total_details'!$C$8:$C$10000,I72,'[1]1_inventory_total_details'!$F$8:$F$10000,MID(N72,1,3)*1,'[1]1_inventory_total_details'!$G$8:$G$10000,"="&amp;S72,'[1]1_inventory_total_details'!$H$8:$H$10000,"="&amp;T72,'[1]1_inventory_total_details'!$I$8:$I$10000,"="&amp;adj_date)+SUMIFS('[1]1_inventory_total_details'!$K$8:$K$10000,'[1]1_inventory_total_details'!$C$8:$C$10000,I72,'[1]1_inventory_total_details'!$F$8:$F$10000,MID(N72,1,3)*1,'[1]1_inventory_total_details'!$G$8:$G$10000,"="&amp;S72,'[1]1_inventory_total_details'!$H$8:$H$10000,"="&amp;T72,'[1]1_inventory_total_details'!$I$8:$I$10000,"="&amp;adj_date)+SUMIFS('[1]1_inventory_total_details'!$L$8:$L$10000,'[1]1_inventory_total_details'!$C$8:$C$10000,I72,'[1]1_inventory_total_details'!$F$8:$F$10000,MID(N72,1,3)*1,'[1]1_inventory_total_details'!$G$8:$G$10000,"="&amp;S72,'[1]1_inventory_total_details'!$H$8:$H$10000,"="&amp;T72,'[1]1_inventory_total_details'!$I$8:$I$10000,"="&amp;adj_date),SUMIFS('[1]2_inventory_total_details'!$J$8:$J$10000,'[1]2_inventory_total_details'!$C$8:$C$10000,I72,'[1]2_inventory_total_details'!$F$8:$F$10000,MID(N72,1,3)*1,'[1]2_inventory_total_details'!$G$8:$G$10000,"="&amp;S72,'[1]2_inventory_total_details'!$H$8:$H$10000,"="&amp;T72,'[1]2_inventory_total_details'!$I$8:$I$10000,"="&amp;adj_date)+SUMIFS('[1]2_inventory_total_details'!$M$8:$M$10000,'[1]1_inventory_total_details'!$C$8:$C$10000,I72,'[1]2_inventory_total_details'!$F$8:$F$10000,MID(N72,1,3)*1,'[1]2_inventory_total_details'!$G$8:$G$10000,"="&amp;S72,'[1]2_inventory_total_details'!$H$8:$H$10000,"="&amp;T72,'[1]2_inventory_total_details'!$I$8:$I$10000,"="&amp;adj_date)+SUMIFS('[1]2_inventory_total_details'!$K$8:$K$10000,'[1]2_inventory_total_details'!$C$8:$C$10000,I72,'[1]2_inventory_total_details'!$F$8:$F$10000,MID(N72,1,3)*1,'[1]2_inventory_total_details'!$G$8:$G$10000,"="&amp;S72,'[1]2_inventory_total_details'!$H$8:$H$10000,"="&amp;T72,'[1]2_inventory_total_details'!$I$8:$I$10000,"="&amp;adj_date)+SUMIFS('[1]2_inventory_total_details'!$L$8:$L$10000,'[1]2_inventory_total_details'!$C$8:$C$10000,I72,'[1]2_inventory_total_details'!$F$8:$F$10000,MID(N72,1,3)*1,'[1]2_inventory_total_details'!$G$8:$G$10000,"="&amp;S72,'[1]2_inventory_total_details'!$H$8:$H$10000,"="&amp;T72,'[1]2_inventory_total_details'!$I$8:$I$10000,"="&amp;adj_date)))</f>
        <v/>
      </c>
      <c r="AB72" s="270" t="str">
        <f>IF(L72="","",IF(MID(N72,1,3)*1=1,SUMIFS('[1]1_inventory_total_details'!$J$8:$J$10000,'[1]1_inventory_total_details'!$C$8:$C$10000,I72,'[1]1_inventory_total_details'!$F$8:$F$10000,MID(N72,1,3)*1,'[1]1_inventory_total_details'!$G$8:$G$10000,"="&amp;S72,'[1]1_inventory_total_details'!$H$8:$H$10000,"="&amp;T72,'[1]1_inventory_total_details'!$I$8:$I$10000,"="&amp;adj_date)+SUMIFS('[1]1_inventory_total_details'!$M$8:$M$10000,'[1]1_inventory_total_details'!$C$8:$C$10000,I72,'[1]1_inventory_total_details'!$F$8:$F$10000,MID(N72,1,3)*1,'[1]1_inventory_total_details'!$G$8:$G$10000,"="&amp;S72,'[1]1_inventory_total_details'!$H$8:$H$10000,"="&amp;T72,'[1]1_inventory_total_details'!$I$8:$I$10000,"="&amp;adj_date)+SUMIFS('[1]1_inventory_total_details'!$K$8:$K$10000,'[1]1_inventory_total_details'!$C$8:$C$10000,I72,'[1]1_inventory_total_details'!$F$8:$F$10000,MID(N72,1,3)*1,'[1]1_inventory_total_details'!$G$8:$G$10000,"="&amp;S72,'[1]1_inventory_total_details'!$H$8:$H$10000,"="&amp;T72,'[1]1_inventory_total_details'!$I$8:$I$10000,"="&amp;adj_date)+SUMIFS('[1]1_inventory_total_details'!$L$8:$L$10000,'[1]1_inventory_total_details'!$C$8:$C$10000,I72,'[1]1_inventory_total_details'!$F$8:$F$10000,MID(N72,1,3)*1,'[1]1_inventory_total_details'!$G$8:$G$10000,"="&amp;S72,'[1]1_inventory_total_details'!$H$8:$H$10000,"="&amp;T72,'[1]1_inventory_total_details'!$I$8:$I$10000,"="&amp;adj_date),SUMIFS('[1]2_inventory_total_details'!$J$8:$J$10000,'[1]2_inventory_total_details'!$C$8:$C$10000,I72,'[1]2_inventory_total_details'!$F$8:$F$10000,MID(N72,1,3)*1,'[1]2_inventory_total_details'!$G$8:$G$10000,"="&amp;S72,'[1]2_inventory_total_details'!$H$8:$H$10000,"="&amp;T72,'[1]2_inventory_total_details'!$I$8:$I$10000,"="&amp;adj_date)+SUMIFS('[1]2_inventory_total_details'!$M$8:$M$10000,'[1]1_inventory_total_details'!$C$8:$C$10000,I72,'[1]2_inventory_total_details'!$F$8:$F$10000,MID(N72,1,3)*1,'[1]2_inventory_total_details'!$G$8:$G$10000,"="&amp;S72,'[1]2_inventory_total_details'!$H$8:$H$10000,"="&amp;T72,'[1]2_inventory_total_details'!$I$8:$I$10000,"="&amp;adj_date)+SUMIFS('[1]2_inventory_total_details'!$K$8:$K$10000,'[1]2_inventory_total_details'!$C$8:$C$10000,I72,'[1]2_inventory_total_details'!$F$8:$F$10000,MID(N72,1,3)*1,'[1]2_inventory_total_details'!$G$8:$G$10000,"="&amp;S72,'[1]2_inventory_total_details'!$H$8:$H$10000,"="&amp;T72,'[1]2_inventory_total_details'!$I$8:$I$10000,"="&amp;adj_date)+SUMIFS('[1]2_inventory_total_details'!$L$8:$L$10000,'[1]2_inventory_total_details'!$C$8:$C$10000,I72,'[1]2_inventory_total_details'!$F$8:$F$10000,MID(N72,1,3)*1,'[1]2_inventory_total_details'!$G$8:$G$10000,"="&amp;S72,'[1]2_inventory_total_details'!$H$8:$H$10000,"="&amp;T72,'[1]2_inventory_total_details'!$I$8:$I$10000,"="&amp;adj_date)))</f>
        <v/>
      </c>
      <c r="AC72" s="270" t="str">
        <f>IF(L72="","",IF(MID(N72,1,3)*1=1,SUMIFS('[1]1_inventory_total_details'!$J$8:$J$10000,'[1]1_inventory_total_details'!$C$8:$C$10000,I72,'[1]1_inventory_total_details'!$F$8:$F$10000,MID(N72,1,3)*1,'[1]1_inventory_total_details'!$G$8:$G$10000,"="&amp;S72,'[1]1_inventory_total_details'!$H$8:$H$10000,"="&amp;T72,'[1]1_inventory_total_details'!$I$8:$I$10000,"="&amp;adj_date)+SUMIFS('[1]1_inventory_total_details'!$M$8:$M$10000,'[1]1_inventory_total_details'!$C$8:$C$10000,I72,'[1]1_inventory_total_details'!$F$8:$F$10000,MID(N72,1,3)*1,'[1]1_inventory_total_details'!$G$8:$G$10000,"="&amp;S72,'[1]1_inventory_total_details'!$H$8:$H$10000,"="&amp;T72,'[1]1_inventory_total_details'!$I$8:$I$10000,"="&amp;adj_date)+SUMIFS('[1]1_inventory_total_details'!$K$8:$K$10000,'[1]1_inventory_total_details'!$C$8:$C$10000,I72,'[1]1_inventory_total_details'!$F$8:$F$10000,MID(N72,1,3)*1,'[1]1_inventory_total_details'!$G$8:$G$10000,"="&amp;S72,'[1]1_inventory_total_details'!$H$8:$H$10000,"="&amp;T72,'[1]1_inventory_total_details'!$I$8:$I$10000,"="&amp;adj_date)+SUMIFS('[1]1_inventory_total_details'!$L$8:$L$10000,'[1]1_inventory_total_details'!$C$8:$C$10000,I72,'[1]1_inventory_total_details'!$F$8:$F$10000,MID(N72,1,3)*1,'[1]1_inventory_total_details'!$G$8:$G$10000,"="&amp;S72,'[1]1_inventory_total_details'!$H$8:$H$10000,"="&amp;T72,'[1]1_inventory_total_details'!$I$8:$I$10000,"="&amp;adj_date),SUMIFS('[1]2_inventory_total_details'!$J$8:$J$10000,'[1]2_inventory_total_details'!$C$8:$C$10000,I72,'[1]2_inventory_total_details'!$F$8:$F$10000,MID(N72,1,3)*1,'[1]2_inventory_total_details'!$G$8:$G$10000,"="&amp;S72,'[1]2_inventory_total_details'!$H$8:$H$10000,"="&amp;T72,'[1]2_inventory_total_details'!$I$8:$I$10000,"="&amp;adj_date)+SUMIFS('[1]2_inventory_total_details'!$M$8:$M$10000,'[1]1_inventory_total_details'!$C$8:$C$10000,I72,'[1]2_inventory_total_details'!$F$8:$F$10000,MID(N72,1,3)*1,'[1]2_inventory_total_details'!$G$8:$G$10000,"="&amp;S72,'[1]2_inventory_total_details'!$H$8:$H$10000,"="&amp;T72,'[1]2_inventory_total_details'!$I$8:$I$10000,"="&amp;adj_date)+SUMIFS('[1]2_inventory_total_details'!$K$8:$K$10000,'[1]2_inventory_total_details'!$C$8:$C$10000,I72,'[1]2_inventory_total_details'!$F$8:$F$10000,MID(N72,1,3)*1,'[1]2_inventory_total_details'!$G$8:$G$10000,"="&amp;S72,'[1]2_inventory_total_details'!$H$8:$H$10000,"="&amp;T72,'[1]2_inventory_total_details'!$I$8:$I$10000,"="&amp;adj_date)+SUMIFS('[1]2_inventory_total_details'!$L$8:$L$10000,'[1]2_inventory_total_details'!$C$8:$C$10000,I72,'[1]2_inventory_total_details'!$F$8:$F$10000,MID(N72,1,3)*1,'[1]2_inventory_total_details'!$G$8:$G$10000,"="&amp;S72,'[1]2_inventory_total_details'!$H$8:$H$10000,"="&amp;T72,'[1]2_inventory_total_details'!$I$8:$I$10000,"="&amp;adj_date)))</f>
        <v/>
      </c>
      <c r="AD72" s="270" t="str">
        <f>IF(L72="","",SUMIFS('[1]1_group_totals'!$J$8:$J$10000,'[1]1_group_totals'!$C$8:$C$10000,I72,'[1]1_group_totals'!$F$8:$F$10000,adj_location_group_id,'[1]1_group_totals'!$G$8:$G$10000,MID(N72,1,3)*1,'[1]1_group_totals'!$H$8:$H$10000,"="&amp;S72,'[1]1_group_totals'!$I$8:$I$10000,"="&amp;T72))</f>
        <v/>
      </c>
      <c r="AE72" s="1796" t="str">
        <f t="shared" si="11"/>
        <v/>
      </c>
      <c r="AF72" s="1797" t="str">
        <f>IF(ISNA(MATCH(MID(AE72,1,3)*1,UomConversion!$D$8:$D$500,0)),"",IF(AJ72&lt;&gt;"",AJ72,""))</f>
        <v/>
      </c>
      <c r="AG72" s="1797" t="str">
        <f>IF(AND(AH72&gt;0,COUNTIFS(UomConversion!$D$8:$D$500,MID(AE72,1,3)*1,UomConversion!$J$8:$J$500,1)&gt;1),TEXT(AH72,"000")&amp;"."&amp;VLOOKUP(AH72,uom_list,5,FALSE),"")</f>
        <v/>
      </c>
      <c r="AH72" s="270" t="str">
        <f t="shared" si="12"/>
        <v/>
      </c>
      <c r="AI72" s="270" t="str">
        <f t="shared" si="13"/>
        <v/>
      </c>
      <c r="AJ72" s="270" t="str">
        <f t="shared" si="14"/>
        <v/>
      </c>
      <c r="AK72" s="270" t="str" cm="1">
        <f t="array" ref="AK72">IF(L72="","",Slookup(MID(AE72,1,3)*1,UomConversion!$D$8:$J$500,2,UomConversion!$I$8:$I$500,1,UomConversion!$J$8:$J$500,1))</f>
        <v/>
      </c>
      <c r="AL72" s="270" t="str">
        <f t="shared" si="15"/>
        <v/>
      </c>
      <c r="AM72" s="270" t="str">
        <f>IF(L72="","",(SUMIFS('[1]1_group_totals'!$K$8:$K$10000,'[1]1_group_totals'!$C$8:$C$10000,I72,'[1]1_group_totals'!$F$8:$F$10000,adj_location_group_id,'[1]1_group_totals'!$G$8:$G$10000,MID(N72,1,3)*1,'[1]1_group_totals'!$H$8:$H$10000,"="&amp;S72,'[1]1_group_totals'!$I$8:$I$10000,"="&amp;T72)+SUMIFS('[1]1_group_totals'!$N$8:$N$10000,'[1]1_group_totals'!$C$8:$C$10000,I72,'[1]1_group_totals'!$F$8:$F$10000,adj_location_group_id,'[1]1_group_totals'!$G$8:$G$10000,MID(N72,1,3)*1,'[1]1_group_totals'!$H$8:$H$10000,"="&amp;S72,'[1]1_group_totals'!$I$8:$I$10000,"="&amp;T72)+SUMIFS('[1]1_group_totals'!$P$8:$P$10000,'[1]1_group_totals'!$C$8:$C$10000,I72,'[1]1_group_totals'!$F$8:$F$10000,adj_location_group_id,'[1]1_group_totals'!$G$8:$G$10000,MID(N72,1,3)*1,'[1]1_group_totals'!$H$8:$H$10000,"="&amp;S72,'[1]1_group_totals'!$I$8:$I$10000,"="&amp;T72)+SUMIFS('[1]1_group_totals'!$Q$8:$Q$10000,'[1]1_group_totals'!$C$8:$C$10000,I72,'[1]1_group_totals'!$F$8:$F$10000,adj_location_group_id,'[1]1_group_totals'!$G$8:$G$10000,MID(N72,1,3)*1,'[1]1_group_totals'!$H$8:$H$10000,"="&amp;S72,'[1]1_group_totals'!$I$8:$I$10000,"="&amp;T72))+(SUMIFS('[1]1_group_totals'!$L$8:$L$10000,'[1]1_group_totals'!$C$8:$C$10000,I72,'[1]1_group_totals'!$F$8:$F$10000,adj_location_group_id,'[1]1_group_totals'!$G$8:$G$10000,MID(N72,1,3)*1,'[1]1_group_totals'!$H$8:$H$10000,"="&amp;S72,'[1]1_group_totals'!$I$8:$I$10000,"="&amp;T72)+SUMIFS('[1]1_group_totals'!$M$8:$M$10000,'[1]1_group_totals'!$C$8:$C$10000,I72,'[1]1_group_totals'!$F$8:$F$10000,adj_location_group_id,'[1]1_group_totals'!$G$8:$G$10000,MID(N72,1,3)*1,'[1]1_group_totals'!$H$8:$H$10000,"="&amp;S72,'[1]1_group_totals'!$I$8:$I$10000,"="&amp;T72)+SUMIFS('[1]1_group_totals'!$O$8:$O$10000,'[1]1_group_totals'!$C$8:$C$10000,I72,'[1]1_group_totals'!$F$8:$F$10000,adj_location_group_id,'[1]1_group_totals'!$G$8:$G$10000,MID(N72,1,3)*1,'[1]1_group_totals'!$H$8:$H$10000,"="&amp;S72,'[1]1_group_totals'!$I$8:$I$10000,"="&amp;T72)+SUMIFS('[1]1_group_totals'!$R$8:$R$10000,'[1]1_group_totals'!$C$8:$C$10000,I72,'[1]1_group_totals'!$F$8:$F$10000,adj_location_group_id,'[1]1_group_totals'!$G$8:$G$10000,MID(N72,1,3)*1,'[1]1_group_totals'!$H$8:$H$10000,"="&amp;S72,'[1]1_group_totals'!$I$8:$I$10000,"="&amp;T72)))</f>
        <v/>
      </c>
      <c r="AN72" s="270" t="str">
        <f>IF(L72="","",(SUMIFS('[1]1_inventory_totals'!$I$8:$I$10000,'[1]1_inventory_totals'!$C$8:$C$10000,I72,'[1]1_inventory_totals'!$F$8:$F$10000,"="&amp;S72,'[1]1_inventory_totals'!$G$8:$G$10000,"="&amp;T72)+SUMIFS('[1]1_inventory_totals'!$N$8:$N$10000,'[1]1_inventory_totals'!$C$8:$C$10000,I72,'[1]1_inventory_totals'!$F$8:$F$10000,"="&amp;S72,'[1]1_inventory_totals'!$G$8:$G$10000,"="&amp;T72)+SUMIFS('[1]1_inventory_totals'!$P$8:$P$10000,'[1]1_inventory_totals'!$C$8:$C$10000,I72,'[1]1_inventory_totals'!$F$8:$F$10000,"="&amp;S72,'[1]1_inventory_totals'!$G$8:$G$10000,"="&amp;T72)+SUMIFS('[1]1_inventory_totals'!$Q$8:$Q$10000,'[1]1_inventory_totals'!$C$8:$C$10000,I72,'[1]1_inventory_totals'!$F$8:$F$10000,"="&amp;S72,'[1]1_inventory_totals'!$G$8:$G$10000,"="&amp;T72)+SUMIFS('[1]1_inventory_totals'!$R$8:$R$10000,'[1]1_inventory_totals'!$C$8:$C$10000,I72,'[1]1_inventory_totals'!$F$8:$F$10000,"="&amp;S72,'[1]1_inventory_totals'!$G$8:$G$10000,"="&amp;T72))+(SUMIFS('[1]1_inventory_totals'!$J$8:$J$10000,'[1]1_inventory_totals'!$C$8:$C$10000,I72,'[1]1_inventory_totals'!$F$8:$F$10000,"="&amp;S72,'[1]1_inventory_totals'!$G$8:$G$10000,"="&amp;T72)+SUMIFS('[1]1_inventory_totals'!$K$8:$K$10000,'[1]1_inventory_totals'!$C$8:$C$10000,I72,'[1]1_inventory_totals'!$F$8:$F$10000,"="&amp;S72,'[1]1_inventory_totals'!$G$8:$G$10000,"="&amp;T72)+SUMIFS('[1]1_inventory_totals'!$L$8:$L$10000,'[1]1_inventory_totals'!$C$8:$C$10000,I72,'[1]1_inventory_totals'!$F$8:$F$10000,"="&amp;S72,'[1]1_inventory_totals'!$G$8:$G$10000,"="&amp;T72)+SUMIFS('[1]1_inventory_totals'!$M$8:$M$10000,'[1]1_inventory_totals'!$C$8:$C$10000,I72,'[1]1_inventory_totals'!$F$8:$F$10000,"="&amp;S72,'[1]1_inventory_totals'!$G$8:$G$10000,"="&amp;T72)+SUMIFS('[1]1_inventory_totals'!$O$8:$O$10000,'[1]1_inventory_totals'!$C$8:$C$10000,I72,'[1]1_inventory_totals'!$F$8:$F$10000,"="&amp;S72,'[1]1_inventory_totals'!$G$8:$G$10000,"="&amp;T72)+SUMIFS('[1]1_inventory_totals'!$S$8:$S$10000,'[1]1_inventory_totals'!$C$8:$C$10000,I72,'[1]1_inventory_totals'!$F$8:$F$10000,"="&amp;S72,'[1]1_inventory_totals'!$G$8:$G$10000,"="&amp;T72)))</f>
        <v/>
      </c>
      <c r="AO72" s="270" t="str">
        <f>IF(L72="","",(SUMIFS('[1]2_inventory_totals'!$I$8:$I$10000,'[1]2_inventory_totals'!$C$8:$C$10000,I72,'[1]2_inventory_totals'!$F$8:$F$10000,"="&amp;S72,'[1]2_inventory_totals'!$G$8:$G$10000,"="&amp;T72)+SUMIFS('[1]2_inventory_totals'!$N$8:$N$10000,'[1]2_inventory_totals'!$C$8:$C$10000,I72,'[1]2_inventory_totals'!$F$8:$F$10000,"="&amp;S72,'[1]2_inventory_totals'!$G$8:$G$10000,"="&amp;T72)+SUMIFS('[1]2_inventory_totals'!$P$8:$P$10000,'[1]2_inventory_totals'!$C$8:$C$10000,I72,'[1]2_inventory_totals'!$F$8:$F$10000,"="&amp;S72,'[1]2_inventory_totals'!$G$8:$G$10000,"="&amp;T72)+SUMIFS('[1]2_inventory_totals'!$Q$8:$Q$10000,'[1]2_inventory_totals'!$C$8:$C$10000,I72,'[1]2_inventory_totals'!$F$8:$F$10000,"="&amp;S72,'[1]2_inventory_totals'!$G$8:$G$10000,"="&amp;T72)+SUMIFS('[1]2_inventory_totals'!$R$8:$R$10000,'[1]2_inventory_totals'!$C$8:$C$10000,I72,'[1]2_inventory_totals'!$F$8:$F$10000,"="&amp;S72,'[1]2_inventory_totals'!$G$8:$G$10000,"="&amp;T72))+(SUMIFS('[1]2_inventory_totals'!$J$8:$J$10000,'[1]2_inventory_totals'!$C$8:$C$10000,I72,'[1]2_inventory_totals'!$F$8:$F$10000,"="&amp;S72,'[1]2_inventory_totals'!$G$8:$G$10000,"="&amp;T72)+SUMIFS('[1]2_inventory_totals'!$K$8:$K$10000,'[1]2_inventory_totals'!$C$8:$C$10000,I72,'[1]2_inventory_totals'!$F$8:$F$10000,"="&amp;S72,'[1]2_inventory_totals'!$G$8:$G$10000,"="&amp;T72)+SUMIFS('[1]2_inventory_totals'!$L$8:$L$10000,'[1]2_inventory_totals'!$C$8:$C$10000,I72,'[1]2_inventory_totals'!$F$8:$F$10000,"="&amp;S72,'[1]2_inventory_totals'!$G$8:$G$10000,"="&amp;T72)+SUMIFS('[1]2_inventory_totals'!$M$8:$M$10000,'[1]2_inventory_totals'!$C$8:$C$10000,I72,'[1]2_inventory_totals'!$F$8:$F$10000,"="&amp;S72,'[1]2_inventory_totals'!$G$8:$G$10000,"="&amp;T72)+SUMIFS('[1]2_inventory_totals'!$O$8:$O$10000,'[1]2_inventory_totals'!$C$8:$C$10000,I72,'[1]2_inventory_totals'!$F$8:$F$10000,"="&amp;S72,'[1]2_inventory_totals'!$G$8:$G$10000,"="&amp;T72)+SUMIFS('[1]2_inventory_totals'!$S$8:$S$10000,'[1]2_inventory_totals'!$C$8:$C$10000,I72,'[1]2_inventory_totals'!$F$8:$F$10000,"="&amp;S72,'[1]2_inventory_totals'!$G$8:$G$10000,"="&amp;T72)))</f>
        <v/>
      </c>
      <c r="AP72" s="954"/>
    </row>
    <row r="73" spans="1:42" ht="27" customHeight="1">
      <c r="A73" s="923"/>
      <c r="B73" s="1178"/>
      <c r="C73" s="950"/>
      <c r="D73" s="950"/>
      <c r="E73" s="950"/>
      <c r="F73" s="1199"/>
      <c r="G73" s="941"/>
      <c r="H73" s="1070"/>
      <c r="I73" s="1610" t="str">
        <f t="shared" ref="I73:I87" si="20">IF(L73="","",MID(L73,1,5)*1)</f>
        <v/>
      </c>
      <c r="J73" s="270" t="str">
        <f t="shared" ref="J73:J87" si="21">IF(L73="","",J72+1)</f>
        <v/>
      </c>
      <c r="K73" s="813" t="str">
        <f t="shared" si="18"/>
        <v/>
      </c>
      <c r="L73" s="1184"/>
      <c r="M73" s="1185"/>
      <c r="N73" s="1186"/>
      <c r="O73" s="1534"/>
      <c r="P73" s="336" t="str">
        <f t="shared" si="19"/>
        <v/>
      </c>
      <c r="Q73" s="336" t="str">
        <f>IF(L73="","",IF(AD73=0,0,(SUMIFS('[1]1_group_total_details'!$I$8:$I$10000,'[1]1_group_total_details'!$C$8:$C$10000,I73,'[1]1_group_total_details'!$F$8:$F$10000,adj_location_group_id,'[1]1_group_total_details'!$G$8:$G$10000,MID(N73,1,3)*1,'[1]1_group_total_details'!$H$8:$H$10000,"&lt;="&amp;adj_date)+SUMIFS('[1]1_group_total_details'!$L$8:$L$10000,'[1]1_group_total_details'!$C$8:$C$10000,I73,'[1]1_group_total_details'!$F$8:$F$10000,adj_location_group_id,'[1]1_group_total_details'!$G$8:$G$10000,MID(N73,1,3)*1,'[1]1_group_total_details'!$H$8:$H$10000,"&lt;="&amp;adj_date)+SUMIFS('[1]1_group_total_details'!$N$8:$N$10000,'[1]1_group_total_details'!$C$8:$C$10000,I73,'[1]1_group_total_details'!$F$8:$F$10000,adj_location_group_id,'[1]1_group_total_details'!$G$8:$G$10000,MID(N73,1,3)*1,'[1]1_group_total_details'!$H$8:$H$10000,"&lt;="&amp;adj_date)+SUMIFS('[1]1_group_total_details'!$O$8:$O$10000,'[1]1_group_total_details'!$C$8:$C$10000,I73,'[1]1_group_total_details'!$F$8:$F$10000,adj_location_group_id,'[1]1_group_total_details'!$G$8:$G$10000,MID(N73,1,3)*1,'[1]1_group_total_details'!$H$8:$H$10000,"&lt;="&amp;adj_date))-(SUMIFS('[1]1_group_total_details'!$J$8:$J$10000,'[1]1_group_total_details'!$C$8:$C$10000,I73,'[1]1_group_total_details'!$F$8:$F$10000,adj_location_group_id,'[1]1_group_total_details'!$G$8:$G$10000,MID(N73,1,3)*1,'[1]1_group_total_details'!$H$8:$H$10000,"&lt;="&amp;adj_date)+SUMIFS('[1]1_group_total_details'!$K$8:$K$10000,'[1]1_group_total_details'!$C$8:$C$10000,I73,'[1]1_group_total_details'!$F$8:$F$10000,adj_location_group_id,'[1]1_group_total_details'!$G$8:$G$10000,MID(N73,1,3)*1,'[1]1_group_total_details'!$H$8:$H$10000,"&lt;="&amp;adj_date)+SUMIFS('[1]1_group_total_details'!$M$8:$M$10000,'[1]1_group_total_details'!$C$8:$C$10000,I73,'[1]1_group_total_details'!$F$8:$F$10000,adj_location_group_id,'[1]1_group_total_details'!$G$8:$G$10000,MID(N73,1,3)*1,'[1]1_group_total_details'!$H$8:$H$10000,"&lt;="&amp;adj_date)+SUMIFS('[1]1_group_total_details'!$P$8:$P$10000,'[1]1_group_total_details'!$C$8:$C$10000,I73,'[1]1_group_total_details'!$F$8:$F$10000,adj_location_group_id,'[1]1_group_total_details'!$G$8:$G$10000,MID(N73,1,3)*1,'[1]1_group_total_details'!$H$8:$H$10000,"&lt;="&amp;adj_date))))</f>
        <v/>
      </c>
      <c r="R73" s="1187"/>
      <c r="S73" s="1186"/>
      <c r="T73" s="1186"/>
      <c r="U73" s="1184"/>
      <c r="V73" s="270" t="str" cm="1">
        <f t="array" ref="V73">IF(L73="","",IF(M73=AE73,1,Slookup(MID(AE73,1,3)*1,UomConversion!$D$8:$J$500,5,UomConversion!$E$8:$E$500,MID(M73,1,3)*1,UomConversion!$J$8:$J$500,1)))</f>
        <v/>
      </c>
      <c r="W73" s="270" t="str">
        <f t="shared" ref="W73:W87" si="22">IF(AND(L73="",ISNA(VLOOKUP(I73,product_list,18,FALSE))),"",VLOOKUP(I73,product_list,18,FALSE))</f>
        <v/>
      </c>
      <c r="X73" s="1795" t="str">
        <f t="shared" ref="X73:X87" si="23">IF(L73="","",IF(M73=AE73,Y73,IF(M73=AF73,ROUND(Y73/V73,2),IF(M73=AG73,ROUND(Y73/W73,2)))))</f>
        <v/>
      </c>
      <c r="Y73" s="1795" t="str">
        <f t="shared" ref="Y73:Y87" si="24">IF(L73="","",VLOOKUP(I73,product_list,14,FALSE))</f>
        <v/>
      </c>
      <c r="Z73" s="270" t="str">
        <f>IF(I73="","",IF(ISNA(MATCH(I73,IF(MID(N73,1,3)*1=1,'[1]1_inventory_totals'!$C$8:$C$10000,IF(MID(N73,1,3)*1=2,'[1]2_inventory_totals'!$C$8:$C$10000,"")),0)),0,IF(AL73&gt;0,1,0)))</f>
        <v/>
      </c>
      <c r="AA73" s="270" t="str">
        <f>IF(L73="","",IF(MID(N73,1,3)*1=1,SUMIFS('[1]1_inventory_total_details'!$J$8:$J$10000,'[1]1_inventory_total_details'!$C$8:$C$10000,I73,'[1]1_inventory_total_details'!$F$8:$F$10000,MID(N73,1,3)*1,'[1]1_inventory_total_details'!$G$8:$G$10000,"="&amp;S73,'[1]1_inventory_total_details'!$H$8:$H$10000,"="&amp;T73,'[1]1_inventory_total_details'!$I$8:$I$10000,"="&amp;adj_date)+SUMIFS('[1]1_inventory_total_details'!$M$8:$M$10000,'[1]1_inventory_total_details'!$C$8:$C$10000,I73,'[1]1_inventory_total_details'!$F$8:$F$10000,MID(N73,1,3)*1,'[1]1_inventory_total_details'!$G$8:$G$10000,"="&amp;S73,'[1]1_inventory_total_details'!$H$8:$H$10000,"="&amp;T73,'[1]1_inventory_total_details'!$I$8:$I$10000,"="&amp;adj_date)+SUMIFS('[1]1_inventory_total_details'!$K$8:$K$10000,'[1]1_inventory_total_details'!$C$8:$C$10000,I73,'[1]1_inventory_total_details'!$F$8:$F$10000,MID(N73,1,3)*1,'[1]1_inventory_total_details'!$G$8:$G$10000,"="&amp;S73,'[1]1_inventory_total_details'!$H$8:$H$10000,"="&amp;T73,'[1]1_inventory_total_details'!$I$8:$I$10000,"="&amp;adj_date)+SUMIFS('[1]1_inventory_total_details'!$L$8:$L$10000,'[1]1_inventory_total_details'!$C$8:$C$10000,I73,'[1]1_inventory_total_details'!$F$8:$F$10000,MID(N73,1,3)*1,'[1]1_inventory_total_details'!$G$8:$G$10000,"="&amp;S73,'[1]1_inventory_total_details'!$H$8:$H$10000,"="&amp;T73,'[1]1_inventory_total_details'!$I$8:$I$10000,"="&amp;adj_date),SUMIFS('[1]2_inventory_total_details'!$J$8:$J$10000,'[1]2_inventory_total_details'!$C$8:$C$10000,I73,'[1]2_inventory_total_details'!$F$8:$F$10000,MID(N73,1,3)*1,'[1]2_inventory_total_details'!$G$8:$G$10000,"="&amp;S73,'[1]2_inventory_total_details'!$H$8:$H$10000,"="&amp;T73,'[1]2_inventory_total_details'!$I$8:$I$10000,"="&amp;adj_date)+SUMIFS('[1]2_inventory_total_details'!$M$8:$M$10000,'[1]1_inventory_total_details'!$C$8:$C$10000,I73,'[1]2_inventory_total_details'!$F$8:$F$10000,MID(N73,1,3)*1,'[1]2_inventory_total_details'!$G$8:$G$10000,"="&amp;S73,'[1]2_inventory_total_details'!$H$8:$H$10000,"="&amp;T73,'[1]2_inventory_total_details'!$I$8:$I$10000,"="&amp;adj_date)+SUMIFS('[1]2_inventory_total_details'!$K$8:$K$10000,'[1]2_inventory_total_details'!$C$8:$C$10000,I73,'[1]2_inventory_total_details'!$F$8:$F$10000,MID(N73,1,3)*1,'[1]2_inventory_total_details'!$G$8:$G$10000,"="&amp;S73,'[1]2_inventory_total_details'!$H$8:$H$10000,"="&amp;T73,'[1]2_inventory_total_details'!$I$8:$I$10000,"="&amp;adj_date)+SUMIFS('[1]2_inventory_total_details'!$L$8:$L$10000,'[1]2_inventory_total_details'!$C$8:$C$10000,I73,'[1]2_inventory_total_details'!$F$8:$F$10000,MID(N73,1,3)*1,'[1]2_inventory_total_details'!$G$8:$G$10000,"="&amp;S73,'[1]2_inventory_total_details'!$H$8:$H$10000,"="&amp;T73,'[1]2_inventory_total_details'!$I$8:$I$10000,"="&amp;adj_date)))</f>
        <v/>
      </c>
      <c r="AB73" s="270" t="str">
        <f>IF(L73="","",IF(MID(N73,1,3)*1=1,SUMIFS('[1]1_inventory_total_details'!$J$8:$J$10000,'[1]1_inventory_total_details'!$C$8:$C$10000,I73,'[1]1_inventory_total_details'!$F$8:$F$10000,MID(N73,1,3)*1,'[1]1_inventory_total_details'!$G$8:$G$10000,"="&amp;S73,'[1]1_inventory_total_details'!$H$8:$H$10000,"="&amp;T73,'[1]1_inventory_total_details'!$I$8:$I$10000,"="&amp;adj_date)+SUMIFS('[1]1_inventory_total_details'!$M$8:$M$10000,'[1]1_inventory_total_details'!$C$8:$C$10000,I73,'[1]1_inventory_total_details'!$F$8:$F$10000,MID(N73,1,3)*1,'[1]1_inventory_total_details'!$G$8:$G$10000,"="&amp;S73,'[1]1_inventory_total_details'!$H$8:$H$10000,"="&amp;T73,'[1]1_inventory_total_details'!$I$8:$I$10000,"="&amp;adj_date)+SUMIFS('[1]1_inventory_total_details'!$K$8:$K$10000,'[1]1_inventory_total_details'!$C$8:$C$10000,I73,'[1]1_inventory_total_details'!$F$8:$F$10000,MID(N73,1,3)*1,'[1]1_inventory_total_details'!$G$8:$G$10000,"="&amp;S73,'[1]1_inventory_total_details'!$H$8:$H$10000,"="&amp;T73,'[1]1_inventory_total_details'!$I$8:$I$10000,"="&amp;adj_date)+SUMIFS('[1]1_inventory_total_details'!$L$8:$L$10000,'[1]1_inventory_total_details'!$C$8:$C$10000,I73,'[1]1_inventory_total_details'!$F$8:$F$10000,MID(N73,1,3)*1,'[1]1_inventory_total_details'!$G$8:$G$10000,"="&amp;S73,'[1]1_inventory_total_details'!$H$8:$H$10000,"="&amp;T73,'[1]1_inventory_total_details'!$I$8:$I$10000,"="&amp;adj_date),SUMIFS('[1]2_inventory_total_details'!$J$8:$J$10000,'[1]2_inventory_total_details'!$C$8:$C$10000,I73,'[1]2_inventory_total_details'!$F$8:$F$10000,MID(N73,1,3)*1,'[1]2_inventory_total_details'!$G$8:$G$10000,"="&amp;S73,'[1]2_inventory_total_details'!$H$8:$H$10000,"="&amp;T73,'[1]2_inventory_total_details'!$I$8:$I$10000,"="&amp;adj_date)+SUMIFS('[1]2_inventory_total_details'!$M$8:$M$10000,'[1]1_inventory_total_details'!$C$8:$C$10000,I73,'[1]2_inventory_total_details'!$F$8:$F$10000,MID(N73,1,3)*1,'[1]2_inventory_total_details'!$G$8:$G$10000,"="&amp;S73,'[1]2_inventory_total_details'!$H$8:$H$10000,"="&amp;T73,'[1]2_inventory_total_details'!$I$8:$I$10000,"="&amp;adj_date)+SUMIFS('[1]2_inventory_total_details'!$K$8:$K$10000,'[1]2_inventory_total_details'!$C$8:$C$10000,I73,'[1]2_inventory_total_details'!$F$8:$F$10000,MID(N73,1,3)*1,'[1]2_inventory_total_details'!$G$8:$G$10000,"="&amp;S73,'[1]2_inventory_total_details'!$H$8:$H$10000,"="&amp;T73,'[1]2_inventory_total_details'!$I$8:$I$10000,"="&amp;adj_date)+SUMIFS('[1]2_inventory_total_details'!$L$8:$L$10000,'[1]2_inventory_total_details'!$C$8:$C$10000,I73,'[1]2_inventory_total_details'!$F$8:$F$10000,MID(N73,1,3)*1,'[1]2_inventory_total_details'!$G$8:$G$10000,"="&amp;S73,'[1]2_inventory_total_details'!$H$8:$H$10000,"="&amp;T73,'[1]2_inventory_total_details'!$I$8:$I$10000,"="&amp;adj_date)))</f>
        <v/>
      </c>
      <c r="AC73" s="270" t="str">
        <f>IF(L73="","",IF(MID(N73,1,3)*1=1,SUMIFS('[1]1_inventory_total_details'!$J$8:$J$10000,'[1]1_inventory_total_details'!$C$8:$C$10000,I73,'[1]1_inventory_total_details'!$F$8:$F$10000,MID(N73,1,3)*1,'[1]1_inventory_total_details'!$G$8:$G$10000,"="&amp;S73,'[1]1_inventory_total_details'!$H$8:$H$10000,"="&amp;T73,'[1]1_inventory_total_details'!$I$8:$I$10000,"="&amp;adj_date)+SUMIFS('[1]1_inventory_total_details'!$M$8:$M$10000,'[1]1_inventory_total_details'!$C$8:$C$10000,I73,'[1]1_inventory_total_details'!$F$8:$F$10000,MID(N73,1,3)*1,'[1]1_inventory_total_details'!$G$8:$G$10000,"="&amp;S73,'[1]1_inventory_total_details'!$H$8:$H$10000,"="&amp;T73,'[1]1_inventory_total_details'!$I$8:$I$10000,"="&amp;adj_date)+SUMIFS('[1]1_inventory_total_details'!$K$8:$K$10000,'[1]1_inventory_total_details'!$C$8:$C$10000,I73,'[1]1_inventory_total_details'!$F$8:$F$10000,MID(N73,1,3)*1,'[1]1_inventory_total_details'!$G$8:$G$10000,"="&amp;S73,'[1]1_inventory_total_details'!$H$8:$H$10000,"="&amp;T73,'[1]1_inventory_total_details'!$I$8:$I$10000,"="&amp;adj_date)+SUMIFS('[1]1_inventory_total_details'!$L$8:$L$10000,'[1]1_inventory_total_details'!$C$8:$C$10000,I73,'[1]1_inventory_total_details'!$F$8:$F$10000,MID(N73,1,3)*1,'[1]1_inventory_total_details'!$G$8:$G$10000,"="&amp;S73,'[1]1_inventory_total_details'!$H$8:$H$10000,"="&amp;T73,'[1]1_inventory_total_details'!$I$8:$I$10000,"="&amp;adj_date),SUMIFS('[1]2_inventory_total_details'!$J$8:$J$10000,'[1]2_inventory_total_details'!$C$8:$C$10000,I73,'[1]2_inventory_total_details'!$F$8:$F$10000,MID(N73,1,3)*1,'[1]2_inventory_total_details'!$G$8:$G$10000,"="&amp;S73,'[1]2_inventory_total_details'!$H$8:$H$10000,"="&amp;T73,'[1]2_inventory_total_details'!$I$8:$I$10000,"="&amp;adj_date)+SUMIFS('[1]2_inventory_total_details'!$M$8:$M$10000,'[1]1_inventory_total_details'!$C$8:$C$10000,I73,'[1]2_inventory_total_details'!$F$8:$F$10000,MID(N73,1,3)*1,'[1]2_inventory_total_details'!$G$8:$G$10000,"="&amp;S73,'[1]2_inventory_total_details'!$H$8:$H$10000,"="&amp;T73,'[1]2_inventory_total_details'!$I$8:$I$10000,"="&amp;adj_date)+SUMIFS('[1]2_inventory_total_details'!$K$8:$K$10000,'[1]2_inventory_total_details'!$C$8:$C$10000,I73,'[1]2_inventory_total_details'!$F$8:$F$10000,MID(N73,1,3)*1,'[1]2_inventory_total_details'!$G$8:$G$10000,"="&amp;S73,'[1]2_inventory_total_details'!$H$8:$H$10000,"="&amp;T73,'[1]2_inventory_total_details'!$I$8:$I$10000,"="&amp;adj_date)+SUMIFS('[1]2_inventory_total_details'!$L$8:$L$10000,'[1]2_inventory_total_details'!$C$8:$C$10000,I73,'[1]2_inventory_total_details'!$F$8:$F$10000,MID(N73,1,3)*1,'[1]2_inventory_total_details'!$G$8:$G$10000,"="&amp;S73,'[1]2_inventory_total_details'!$H$8:$H$10000,"="&amp;T73,'[1]2_inventory_total_details'!$I$8:$I$10000,"="&amp;adj_date)))</f>
        <v/>
      </c>
      <c r="AD73" s="270" t="str">
        <f>IF(L73="","",SUMIFS('[1]1_group_totals'!$J$8:$J$10000,'[1]1_group_totals'!$C$8:$C$10000,I73,'[1]1_group_totals'!$F$8:$F$10000,adj_location_group_id,'[1]1_group_totals'!$G$8:$G$10000,MID(N73,1,3)*1,'[1]1_group_totals'!$H$8:$H$10000,"="&amp;S73,'[1]1_group_totals'!$I$8:$I$10000,"="&amp;T73))</f>
        <v/>
      </c>
      <c r="AE73" s="1796" t="str">
        <f t="shared" ref="AE73:AE87" si="25">IF(L73="","",VLOOKUP(I73,product_list,8,FALSE))</f>
        <v/>
      </c>
      <c r="AF73" s="1797" t="str">
        <f>IF(ISNA(MATCH(MID(AE73,1,3)*1,UomConversion!$D$8:$D$500,0)),"",IF(AJ73&lt;&gt;"",AJ73,""))</f>
        <v/>
      </c>
      <c r="AG73" s="1797" t="str">
        <f>IF(AND(AH73&gt;0,COUNTIFS(UomConversion!$D$8:$D$500,MID(AE73,1,3)*1,UomConversion!$J$8:$J$500,1)&gt;1),TEXT(AH73,"000")&amp;"."&amp;VLOOKUP(AH73,uom_list,5,FALSE),"")</f>
        <v/>
      </c>
      <c r="AH73" s="270" t="str">
        <f t="shared" ref="AH73:AH87" si="26">IF(AND(L73&lt;&gt;"",AK73&gt;0),AK73,"")</f>
        <v/>
      </c>
      <c r="AI73" s="270" t="str">
        <f t="shared" ref="AI73:AI87" si="27">IF(L73="","",IF(V73&gt;0,W73/V73,""))</f>
        <v/>
      </c>
      <c r="AJ73" s="270" t="str">
        <f t="shared" ref="AJ73:AJ87" si="28">IF(OR(ISNA(VLOOKUP(MID(AE73,1,3)*1,uom_converion_list,2,FALSE)),L73=""),"",TEXT(VLOOKUP(MID(AE73,1,3)*1,uom_converion_list,2,FALSE),"000")&amp;"."&amp;VLOOKUP(VLOOKUP(MID(AE73,1,3)*1,uom_converion_list,2,FALSE),uom_list,5,FALSE))</f>
        <v/>
      </c>
      <c r="AK73" s="270" t="str" cm="1">
        <f t="array" ref="AK73">IF(L73="","",Slookup(MID(AE73,1,3)*1,UomConversion!$D$8:$J$500,2,UomConversion!$I$8:$I$500,1,UomConversion!$J$8:$J$500,1))</f>
        <v/>
      </c>
      <c r="AL73" s="270" t="str">
        <f t="shared" ref="AL73:AL87" si="29">IF(L73="","",IF(MID(N73,1,3)*1 = 1,AN73, IF(MID(N73,1,3)*1 = 2,AO73,0)))</f>
        <v/>
      </c>
      <c r="AM73" s="270" t="str">
        <f>IF(L73="","",(SUMIFS('[1]1_group_totals'!$K$8:$K$10000,'[1]1_group_totals'!$C$8:$C$10000,I73,'[1]1_group_totals'!$F$8:$F$10000,adj_location_group_id,'[1]1_group_totals'!$G$8:$G$10000,MID(N73,1,3)*1,'[1]1_group_totals'!$H$8:$H$10000,"="&amp;S73,'[1]1_group_totals'!$I$8:$I$10000,"="&amp;T73)+SUMIFS('[1]1_group_totals'!$N$8:$N$10000,'[1]1_group_totals'!$C$8:$C$10000,I73,'[1]1_group_totals'!$F$8:$F$10000,adj_location_group_id,'[1]1_group_totals'!$G$8:$G$10000,MID(N73,1,3)*1,'[1]1_group_totals'!$H$8:$H$10000,"="&amp;S73,'[1]1_group_totals'!$I$8:$I$10000,"="&amp;T73)+SUMIFS('[1]1_group_totals'!$P$8:$P$10000,'[1]1_group_totals'!$C$8:$C$10000,I73,'[1]1_group_totals'!$F$8:$F$10000,adj_location_group_id,'[1]1_group_totals'!$G$8:$G$10000,MID(N73,1,3)*1,'[1]1_group_totals'!$H$8:$H$10000,"="&amp;S73,'[1]1_group_totals'!$I$8:$I$10000,"="&amp;T73)+SUMIFS('[1]1_group_totals'!$Q$8:$Q$10000,'[1]1_group_totals'!$C$8:$C$10000,I73,'[1]1_group_totals'!$F$8:$F$10000,adj_location_group_id,'[1]1_group_totals'!$G$8:$G$10000,MID(N73,1,3)*1,'[1]1_group_totals'!$H$8:$H$10000,"="&amp;S73,'[1]1_group_totals'!$I$8:$I$10000,"="&amp;T73))+(SUMIFS('[1]1_group_totals'!$L$8:$L$10000,'[1]1_group_totals'!$C$8:$C$10000,I73,'[1]1_group_totals'!$F$8:$F$10000,adj_location_group_id,'[1]1_group_totals'!$G$8:$G$10000,MID(N73,1,3)*1,'[1]1_group_totals'!$H$8:$H$10000,"="&amp;S73,'[1]1_group_totals'!$I$8:$I$10000,"="&amp;T73)+SUMIFS('[1]1_group_totals'!$M$8:$M$10000,'[1]1_group_totals'!$C$8:$C$10000,I73,'[1]1_group_totals'!$F$8:$F$10000,adj_location_group_id,'[1]1_group_totals'!$G$8:$G$10000,MID(N73,1,3)*1,'[1]1_group_totals'!$H$8:$H$10000,"="&amp;S73,'[1]1_group_totals'!$I$8:$I$10000,"="&amp;T73)+SUMIFS('[1]1_group_totals'!$O$8:$O$10000,'[1]1_group_totals'!$C$8:$C$10000,I73,'[1]1_group_totals'!$F$8:$F$10000,adj_location_group_id,'[1]1_group_totals'!$G$8:$G$10000,MID(N73,1,3)*1,'[1]1_group_totals'!$H$8:$H$10000,"="&amp;S73,'[1]1_group_totals'!$I$8:$I$10000,"="&amp;T73)+SUMIFS('[1]1_group_totals'!$R$8:$R$10000,'[1]1_group_totals'!$C$8:$C$10000,I73,'[1]1_group_totals'!$F$8:$F$10000,adj_location_group_id,'[1]1_group_totals'!$G$8:$G$10000,MID(N73,1,3)*1,'[1]1_group_totals'!$H$8:$H$10000,"="&amp;S73,'[1]1_group_totals'!$I$8:$I$10000,"="&amp;T73)))</f>
        <v/>
      </c>
      <c r="AN73" s="270" t="str">
        <f>IF(L73="","",(SUMIFS('[1]1_inventory_totals'!$I$8:$I$10000,'[1]1_inventory_totals'!$C$8:$C$10000,I73,'[1]1_inventory_totals'!$F$8:$F$10000,"="&amp;S73,'[1]1_inventory_totals'!$G$8:$G$10000,"="&amp;T73)+SUMIFS('[1]1_inventory_totals'!$N$8:$N$10000,'[1]1_inventory_totals'!$C$8:$C$10000,I73,'[1]1_inventory_totals'!$F$8:$F$10000,"="&amp;S73,'[1]1_inventory_totals'!$G$8:$G$10000,"="&amp;T73)+SUMIFS('[1]1_inventory_totals'!$P$8:$P$10000,'[1]1_inventory_totals'!$C$8:$C$10000,I73,'[1]1_inventory_totals'!$F$8:$F$10000,"="&amp;S73,'[1]1_inventory_totals'!$G$8:$G$10000,"="&amp;T73)+SUMIFS('[1]1_inventory_totals'!$Q$8:$Q$10000,'[1]1_inventory_totals'!$C$8:$C$10000,I73,'[1]1_inventory_totals'!$F$8:$F$10000,"="&amp;S73,'[1]1_inventory_totals'!$G$8:$G$10000,"="&amp;T73)+SUMIFS('[1]1_inventory_totals'!$R$8:$R$10000,'[1]1_inventory_totals'!$C$8:$C$10000,I73,'[1]1_inventory_totals'!$F$8:$F$10000,"="&amp;S73,'[1]1_inventory_totals'!$G$8:$G$10000,"="&amp;T73))+(SUMIFS('[1]1_inventory_totals'!$J$8:$J$10000,'[1]1_inventory_totals'!$C$8:$C$10000,I73,'[1]1_inventory_totals'!$F$8:$F$10000,"="&amp;S73,'[1]1_inventory_totals'!$G$8:$G$10000,"="&amp;T73)+SUMIFS('[1]1_inventory_totals'!$K$8:$K$10000,'[1]1_inventory_totals'!$C$8:$C$10000,I73,'[1]1_inventory_totals'!$F$8:$F$10000,"="&amp;S73,'[1]1_inventory_totals'!$G$8:$G$10000,"="&amp;T73)+SUMIFS('[1]1_inventory_totals'!$L$8:$L$10000,'[1]1_inventory_totals'!$C$8:$C$10000,I73,'[1]1_inventory_totals'!$F$8:$F$10000,"="&amp;S73,'[1]1_inventory_totals'!$G$8:$G$10000,"="&amp;T73)+SUMIFS('[1]1_inventory_totals'!$M$8:$M$10000,'[1]1_inventory_totals'!$C$8:$C$10000,I73,'[1]1_inventory_totals'!$F$8:$F$10000,"="&amp;S73,'[1]1_inventory_totals'!$G$8:$G$10000,"="&amp;T73)+SUMIFS('[1]1_inventory_totals'!$O$8:$O$10000,'[1]1_inventory_totals'!$C$8:$C$10000,I73,'[1]1_inventory_totals'!$F$8:$F$10000,"="&amp;S73,'[1]1_inventory_totals'!$G$8:$G$10000,"="&amp;T73)+SUMIFS('[1]1_inventory_totals'!$S$8:$S$10000,'[1]1_inventory_totals'!$C$8:$C$10000,I73,'[1]1_inventory_totals'!$F$8:$F$10000,"="&amp;S73,'[1]1_inventory_totals'!$G$8:$G$10000,"="&amp;T73)))</f>
        <v/>
      </c>
      <c r="AO73" s="270" t="str">
        <f>IF(L73="","",(SUMIFS('[1]2_inventory_totals'!$I$8:$I$10000,'[1]2_inventory_totals'!$C$8:$C$10000,I73,'[1]2_inventory_totals'!$F$8:$F$10000,"="&amp;S73,'[1]2_inventory_totals'!$G$8:$G$10000,"="&amp;T73)+SUMIFS('[1]2_inventory_totals'!$N$8:$N$10000,'[1]2_inventory_totals'!$C$8:$C$10000,I73,'[1]2_inventory_totals'!$F$8:$F$10000,"="&amp;S73,'[1]2_inventory_totals'!$G$8:$G$10000,"="&amp;T73)+SUMIFS('[1]2_inventory_totals'!$P$8:$P$10000,'[1]2_inventory_totals'!$C$8:$C$10000,I73,'[1]2_inventory_totals'!$F$8:$F$10000,"="&amp;S73,'[1]2_inventory_totals'!$G$8:$G$10000,"="&amp;T73)+SUMIFS('[1]2_inventory_totals'!$Q$8:$Q$10000,'[1]2_inventory_totals'!$C$8:$C$10000,I73,'[1]2_inventory_totals'!$F$8:$F$10000,"="&amp;S73,'[1]2_inventory_totals'!$G$8:$G$10000,"="&amp;T73)+SUMIFS('[1]2_inventory_totals'!$R$8:$R$10000,'[1]2_inventory_totals'!$C$8:$C$10000,I73,'[1]2_inventory_totals'!$F$8:$F$10000,"="&amp;S73,'[1]2_inventory_totals'!$G$8:$G$10000,"="&amp;T73))+(SUMIFS('[1]2_inventory_totals'!$J$8:$J$10000,'[1]2_inventory_totals'!$C$8:$C$10000,I73,'[1]2_inventory_totals'!$F$8:$F$10000,"="&amp;S73,'[1]2_inventory_totals'!$G$8:$G$10000,"="&amp;T73)+SUMIFS('[1]2_inventory_totals'!$K$8:$K$10000,'[1]2_inventory_totals'!$C$8:$C$10000,I73,'[1]2_inventory_totals'!$F$8:$F$10000,"="&amp;S73,'[1]2_inventory_totals'!$G$8:$G$10000,"="&amp;T73)+SUMIFS('[1]2_inventory_totals'!$L$8:$L$10000,'[1]2_inventory_totals'!$C$8:$C$10000,I73,'[1]2_inventory_totals'!$F$8:$F$10000,"="&amp;S73,'[1]2_inventory_totals'!$G$8:$G$10000,"="&amp;T73)+SUMIFS('[1]2_inventory_totals'!$M$8:$M$10000,'[1]2_inventory_totals'!$C$8:$C$10000,I73,'[1]2_inventory_totals'!$F$8:$F$10000,"="&amp;S73,'[1]2_inventory_totals'!$G$8:$G$10000,"="&amp;T73)+SUMIFS('[1]2_inventory_totals'!$O$8:$O$10000,'[1]2_inventory_totals'!$C$8:$C$10000,I73,'[1]2_inventory_totals'!$F$8:$F$10000,"="&amp;S73,'[1]2_inventory_totals'!$G$8:$G$10000,"="&amp;T73)+SUMIFS('[1]2_inventory_totals'!$S$8:$S$10000,'[1]2_inventory_totals'!$C$8:$C$10000,I73,'[1]2_inventory_totals'!$F$8:$F$10000,"="&amp;S73,'[1]2_inventory_totals'!$G$8:$G$10000,"="&amp;T73)))</f>
        <v/>
      </c>
      <c r="AP73" s="954"/>
    </row>
    <row r="74" spans="1:42" ht="27" customHeight="1">
      <c r="A74" s="923"/>
      <c r="B74" s="1178"/>
      <c r="C74" s="950"/>
      <c r="D74" s="950"/>
      <c r="E74" s="950"/>
      <c r="F74" s="1199"/>
      <c r="G74" s="941"/>
      <c r="H74" s="1070"/>
      <c r="I74" s="1610" t="str">
        <f t="shared" si="20"/>
        <v/>
      </c>
      <c r="J74" s="270" t="str">
        <f t="shared" si="21"/>
        <v/>
      </c>
      <c r="K74" s="813" t="str">
        <f t="shared" si="18"/>
        <v/>
      </c>
      <c r="L74" s="1184"/>
      <c r="M74" s="1185"/>
      <c r="N74" s="1186"/>
      <c r="O74" s="1534"/>
      <c r="P74" s="336" t="str">
        <f t="shared" si="19"/>
        <v/>
      </c>
      <c r="Q74" s="336" t="str">
        <f>IF(L74="","",IF(AD74=0,0,(SUMIFS('[1]1_group_total_details'!$I$8:$I$10000,'[1]1_group_total_details'!$C$8:$C$10000,I74,'[1]1_group_total_details'!$F$8:$F$10000,adj_location_group_id,'[1]1_group_total_details'!$G$8:$G$10000,MID(N74,1,3)*1,'[1]1_group_total_details'!$H$8:$H$10000,"&lt;="&amp;adj_date)+SUMIFS('[1]1_group_total_details'!$L$8:$L$10000,'[1]1_group_total_details'!$C$8:$C$10000,I74,'[1]1_group_total_details'!$F$8:$F$10000,adj_location_group_id,'[1]1_group_total_details'!$G$8:$G$10000,MID(N74,1,3)*1,'[1]1_group_total_details'!$H$8:$H$10000,"&lt;="&amp;adj_date)+SUMIFS('[1]1_group_total_details'!$N$8:$N$10000,'[1]1_group_total_details'!$C$8:$C$10000,I74,'[1]1_group_total_details'!$F$8:$F$10000,adj_location_group_id,'[1]1_group_total_details'!$G$8:$G$10000,MID(N74,1,3)*1,'[1]1_group_total_details'!$H$8:$H$10000,"&lt;="&amp;adj_date)+SUMIFS('[1]1_group_total_details'!$O$8:$O$10000,'[1]1_group_total_details'!$C$8:$C$10000,I74,'[1]1_group_total_details'!$F$8:$F$10000,adj_location_group_id,'[1]1_group_total_details'!$G$8:$G$10000,MID(N74,1,3)*1,'[1]1_group_total_details'!$H$8:$H$10000,"&lt;="&amp;adj_date))-(SUMIFS('[1]1_group_total_details'!$J$8:$J$10000,'[1]1_group_total_details'!$C$8:$C$10000,I74,'[1]1_group_total_details'!$F$8:$F$10000,adj_location_group_id,'[1]1_group_total_details'!$G$8:$G$10000,MID(N74,1,3)*1,'[1]1_group_total_details'!$H$8:$H$10000,"&lt;="&amp;adj_date)+SUMIFS('[1]1_group_total_details'!$K$8:$K$10000,'[1]1_group_total_details'!$C$8:$C$10000,I74,'[1]1_group_total_details'!$F$8:$F$10000,adj_location_group_id,'[1]1_group_total_details'!$G$8:$G$10000,MID(N74,1,3)*1,'[1]1_group_total_details'!$H$8:$H$10000,"&lt;="&amp;adj_date)+SUMIFS('[1]1_group_total_details'!$M$8:$M$10000,'[1]1_group_total_details'!$C$8:$C$10000,I74,'[1]1_group_total_details'!$F$8:$F$10000,adj_location_group_id,'[1]1_group_total_details'!$G$8:$G$10000,MID(N74,1,3)*1,'[1]1_group_total_details'!$H$8:$H$10000,"&lt;="&amp;adj_date)+SUMIFS('[1]1_group_total_details'!$P$8:$P$10000,'[1]1_group_total_details'!$C$8:$C$10000,I74,'[1]1_group_total_details'!$F$8:$F$10000,adj_location_group_id,'[1]1_group_total_details'!$G$8:$G$10000,MID(N74,1,3)*1,'[1]1_group_total_details'!$H$8:$H$10000,"&lt;="&amp;adj_date))))</f>
        <v/>
      </c>
      <c r="R74" s="1187"/>
      <c r="S74" s="1186"/>
      <c r="T74" s="1186"/>
      <c r="U74" s="1184"/>
      <c r="V74" s="270" t="str" cm="1">
        <f t="array" ref="V74">IF(L74="","",IF(M74=AE74,1,Slookup(MID(AE74,1,3)*1,UomConversion!$D$8:$J$500,5,UomConversion!$E$8:$E$500,MID(M74,1,3)*1,UomConversion!$J$8:$J$500,1)))</f>
        <v/>
      </c>
      <c r="W74" s="270" t="str">
        <f t="shared" si="22"/>
        <v/>
      </c>
      <c r="X74" s="1795" t="str">
        <f t="shared" si="23"/>
        <v/>
      </c>
      <c r="Y74" s="1795" t="str">
        <f t="shared" si="24"/>
        <v/>
      </c>
      <c r="Z74" s="270" t="str">
        <f>IF(I74="","",IF(ISNA(MATCH(I74,IF(MID(N74,1,3)*1=1,'[1]1_inventory_totals'!$C$8:$C$10000,IF(MID(N74,1,3)*1=2,'[1]2_inventory_totals'!$C$8:$C$10000,"")),0)),0,IF(AL74&gt;0,1,0)))</f>
        <v/>
      </c>
      <c r="AA74" s="270" t="str">
        <f>IF(L74="","",IF(MID(N74,1,3)*1=1,SUMIFS('[1]1_inventory_total_details'!$J$8:$J$10000,'[1]1_inventory_total_details'!$C$8:$C$10000,I74,'[1]1_inventory_total_details'!$F$8:$F$10000,MID(N74,1,3)*1,'[1]1_inventory_total_details'!$G$8:$G$10000,"="&amp;S74,'[1]1_inventory_total_details'!$H$8:$H$10000,"="&amp;T74,'[1]1_inventory_total_details'!$I$8:$I$10000,"="&amp;adj_date)+SUMIFS('[1]1_inventory_total_details'!$M$8:$M$10000,'[1]1_inventory_total_details'!$C$8:$C$10000,I74,'[1]1_inventory_total_details'!$F$8:$F$10000,MID(N74,1,3)*1,'[1]1_inventory_total_details'!$G$8:$G$10000,"="&amp;S74,'[1]1_inventory_total_details'!$H$8:$H$10000,"="&amp;T74,'[1]1_inventory_total_details'!$I$8:$I$10000,"="&amp;adj_date)+SUMIFS('[1]1_inventory_total_details'!$K$8:$K$10000,'[1]1_inventory_total_details'!$C$8:$C$10000,I74,'[1]1_inventory_total_details'!$F$8:$F$10000,MID(N74,1,3)*1,'[1]1_inventory_total_details'!$G$8:$G$10000,"="&amp;S74,'[1]1_inventory_total_details'!$H$8:$H$10000,"="&amp;T74,'[1]1_inventory_total_details'!$I$8:$I$10000,"="&amp;adj_date)+SUMIFS('[1]1_inventory_total_details'!$L$8:$L$10000,'[1]1_inventory_total_details'!$C$8:$C$10000,I74,'[1]1_inventory_total_details'!$F$8:$F$10000,MID(N74,1,3)*1,'[1]1_inventory_total_details'!$G$8:$G$10000,"="&amp;S74,'[1]1_inventory_total_details'!$H$8:$H$10000,"="&amp;T74,'[1]1_inventory_total_details'!$I$8:$I$10000,"="&amp;adj_date),SUMIFS('[1]2_inventory_total_details'!$J$8:$J$10000,'[1]2_inventory_total_details'!$C$8:$C$10000,I74,'[1]2_inventory_total_details'!$F$8:$F$10000,MID(N74,1,3)*1,'[1]2_inventory_total_details'!$G$8:$G$10000,"="&amp;S74,'[1]2_inventory_total_details'!$H$8:$H$10000,"="&amp;T74,'[1]2_inventory_total_details'!$I$8:$I$10000,"="&amp;adj_date)+SUMIFS('[1]2_inventory_total_details'!$M$8:$M$10000,'[1]1_inventory_total_details'!$C$8:$C$10000,I74,'[1]2_inventory_total_details'!$F$8:$F$10000,MID(N74,1,3)*1,'[1]2_inventory_total_details'!$G$8:$G$10000,"="&amp;S74,'[1]2_inventory_total_details'!$H$8:$H$10000,"="&amp;T74,'[1]2_inventory_total_details'!$I$8:$I$10000,"="&amp;adj_date)+SUMIFS('[1]2_inventory_total_details'!$K$8:$K$10000,'[1]2_inventory_total_details'!$C$8:$C$10000,I74,'[1]2_inventory_total_details'!$F$8:$F$10000,MID(N74,1,3)*1,'[1]2_inventory_total_details'!$G$8:$G$10000,"="&amp;S74,'[1]2_inventory_total_details'!$H$8:$H$10000,"="&amp;T74,'[1]2_inventory_total_details'!$I$8:$I$10000,"="&amp;adj_date)+SUMIFS('[1]2_inventory_total_details'!$L$8:$L$10000,'[1]2_inventory_total_details'!$C$8:$C$10000,I74,'[1]2_inventory_total_details'!$F$8:$F$10000,MID(N74,1,3)*1,'[1]2_inventory_total_details'!$G$8:$G$10000,"="&amp;S74,'[1]2_inventory_total_details'!$H$8:$H$10000,"="&amp;T74,'[1]2_inventory_total_details'!$I$8:$I$10000,"="&amp;adj_date)))</f>
        <v/>
      </c>
      <c r="AB74" s="270" t="str">
        <f>IF(L74="","",IF(MID(N74,1,3)*1=1,SUMIFS('[1]1_inventory_total_details'!$J$8:$J$10000,'[1]1_inventory_total_details'!$C$8:$C$10000,I74,'[1]1_inventory_total_details'!$F$8:$F$10000,MID(N74,1,3)*1,'[1]1_inventory_total_details'!$G$8:$G$10000,"="&amp;S74,'[1]1_inventory_total_details'!$H$8:$H$10000,"="&amp;T74,'[1]1_inventory_total_details'!$I$8:$I$10000,"="&amp;adj_date)+SUMIFS('[1]1_inventory_total_details'!$M$8:$M$10000,'[1]1_inventory_total_details'!$C$8:$C$10000,I74,'[1]1_inventory_total_details'!$F$8:$F$10000,MID(N74,1,3)*1,'[1]1_inventory_total_details'!$G$8:$G$10000,"="&amp;S74,'[1]1_inventory_total_details'!$H$8:$H$10000,"="&amp;T74,'[1]1_inventory_total_details'!$I$8:$I$10000,"="&amp;adj_date)+SUMIFS('[1]1_inventory_total_details'!$K$8:$K$10000,'[1]1_inventory_total_details'!$C$8:$C$10000,I74,'[1]1_inventory_total_details'!$F$8:$F$10000,MID(N74,1,3)*1,'[1]1_inventory_total_details'!$G$8:$G$10000,"="&amp;S74,'[1]1_inventory_total_details'!$H$8:$H$10000,"="&amp;T74,'[1]1_inventory_total_details'!$I$8:$I$10000,"="&amp;adj_date)+SUMIFS('[1]1_inventory_total_details'!$L$8:$L$10000,'[1]1_inventory_total_details'!$C$8:$C$10000,I74,'[1]1_inventory_total_details'!$F$8:$F$10000,MID(N74,1,3)*1,'[1]1_inventory_total_details'!$G$8:$G$10000,"="&amp;S74,'[1]1_inventory_total_details'!$H$8:$H$10000,"="&amp;T74,'[1]1_inventory_total_details'!$I$8:$I$10000,"="&amp;adj_date),SUMIFS('[1]2_inventory_total_details'!$J$8:$J$10000,'[1]2_inventory_total_details'!$C$8:$C$10000,I74,'[1]2_inventory_total_details'!$F$8:$F$10000,MID(N74,1,3)*1,'[1]2_inventory_total_details'!$G$8:$G$10000,"="&amp;S74,'[1]2_inventory_total_details'!$H$8:$H$10000,"="&amp;T74,'[1]2_inventory_total_details'!$I$8:$I$10000,"="&amp;adj_date)+SUMIFS('[1]2_inventory_total_details'!$M$8:$M$10000,'[1]1_inventory_total_details'!$C$8:$C$10000,I74,'[1]2_inventory_total_details'!$F$8:$F$10000,MID(N74,1,3)*1,'[1]2_inventory_total_details'!$G$8:$G$10000,"="&amp;S74,'[1]2_inventory_total_details'!$H$8:$H$10000,"="&amp;T74,'[1]2_inventory_total_details'!$I$8:$I$10000,"="&amp;adj_date)+SUMIFS('[1]2_inventory_total_details'!$K$8:$K$10000,'[1]2_inventory_total_details'!$C$8:$C$10000,I74,'[1]2_inventory_total_details'!$F$8:$F$10000,MID(N74,1,3)*1,'[1]2_inventory_total_details'!$G$8:$G$10000,"="&amp;S74,'[1]2_inventory_total_details'!$H$8:$H$10000,"="&amp;T74,'[1]2_inventory_total_details'!$I$8:$I$10000,"="&amp;adj_date)+SUMIFS('[1]2_inventory_total_details'!$L$8:$L$10000,'[1]2_inventory_total_details'!$C$8:$C$10000,I74,'[1]2_inventory_total_details'!$F$8:$F$10000,MID(N74,1,3)*1,'[1]2_inventory_total_details'!$G$8:$G$10000,"="&amp;S74,'[1]2_inventory_total_details'!$H$8:$H$10000,"="&amp;T74,'[1]2_inventory_total_details'!$I$8:$I$10000,"="&amp;adj_date)))</f>
        <v/>
      </c>
      <c r="AC74" s="270" t="str">
        <f>IF(L74="","",IF(MID(N74,1,3)*1=1,SUMIFS('[1]1_inventory_total_details'!$J$8:$J$10000,'[1]1_inventory_total_details'!$C$8:$C$10000,I74,'[1]1_inventory_total_details'!$F$8:$F$10000,MID(N74,1,3)*1,'[1]1_inventory_total_details'!$G$8:$G$10000,"="&amp;S74,'[1]1_inventory_total_details'!$H$8:$H$10000,"="&amp;T74,'[1]1_inventory_total_details'!$I$8:$I$10000,"="&amp;adj_date)+SUMIFS('[1]1_inventory_total_details'!$M$8:$M$10000,'[1]1_inventory_total_details'!$C$8:$C$10000,I74,'[1]1_inventory_total_details'!$F$8:$F$10000,MID(N74,1,3)*1,'[1]1_inventory_total_details'!$G$8:$G$10000,"="&amp;S74,'[1]1_inventory_total_details'!$H$8:$H$10000,"="&amp;T74,'[1]1_inventory_total_details'!$I$8:$I$10000,"="&amp;adj_date)+SUMIFS('[1]1_inventory_total_details'!$K$8:$K$10000,'[1]1_inventory_total_details'!$C$8:$C$10000,I74,'[1]1_inventory_total_details'!$F$8:$F$10000,MID(N74,1,3)*1,'[1]1_inventory_total_details'!$G$8:$G$10000,"="&amp;S74,'[1]1_inventory_total_details'!$H$8:$H$10000,"="&amp;T74,'[1]1_inventory_total_details'!$I$8:$I$10000,"="&amp;adj_date)+SUMIFS('[1]1_inventory_total_details'!$L$8:$L$10000,'[1]1_inventory_total_details'!$C$8:$C$10000,I74,'[1]1_inventory_total_details'!$F$8:$F$10000,MID(N74,1,3)*1,'[1]1_inventory_total_details'!$G$8:$G$10000,"="&amp;S74,'[1]1_inventory_total_details'!$H$8:$H$10000,"="&amp;T74,'[1]1_inventory_total_details'!$I$8:$I$10000,"="&amp;adj_date),SUMIFS('[1]2_inventory_total_details'!$J$8:$J$10000,'[1]2_inventory_total_details'!$C$8:$C$10000,I74,'[1]2_inventory_total_details'!$F$8:$F$10000,MID(N74,1,3)*1,'[1]2_inventory_total_details'!$G$8:$G$10000,"="&amp;S74,'[1]2_inventory_total_details'!$H$8:$H$10000,"="&amp;T74,'[1]2_inventory_total_details'!$I$8:$I$10000,"="&amp;adj_date)+SUMIFS('[1]2_inventory_total_details'!$M$8:$M$10000,'[1]1_inventory_total_details'!$C$8:$C$10000,I74,'[1]2_inventory_total_details'!$F$8:$F$10000,MID(N74,1,3)*1,'[1]2_inventory_total_details'!$G$8:$G$10000,"="&amp;S74,'[1]2_inventory_total_details'!$H$8:$H$10000,"="&amp;T74,'[1]2_inventory_total_details'!$I$8:$I$10000,"="&amp;adj_date)+SUMIFS('[1]2_inventory_total_details'!$K$8:$K$10000,'[1]2_inventory_total_details'!$C$8:$C$10000,I74,'[1]2_inventory_total_details'!$F$8:$F$10000,MID(N74,1,3)*1,'[1]2_inventory_total_details'!$G$8:$G$10000,"="&amp;S74,'[1]2_inventory_total_details'!$H$8:$H$10000,"="&amp;T74,'[1]2_inventory_total_details'!$I$8:$I$10000,"="&amp;adj_date)+SUMIFS('[1]2_inventory_total_details'!$L$8:$L$10000,'[1]2_inventory_total_details'!$C$8:$C$10000,I74,'[1]2_inventory_total_details'!$F$8:$F$10000,MID(N74,1,3)*1,'[1]2_inventory_total_details'!$G$8:$G$10000,"="&amp;S74,'[1]2_inventory_total_details'!$H$8:$H$10000,"="&amp;T74,'[1]2_inventory_total_details'!$I$8:$I$10000,"="&amp;adj_date)))</f>
        <v/>
      </c>
      <c r="AD74" s="270" t="str">
        <f>IF(L74="","",SUMIFS('[1]1_group_totals'!$J$8:$J$10000,'[1]1_group_totals'!$C$8:$C$10000,I74,'[1]1_group_totals'!$F$8:$F$10000,adj_location_group_id,'[1]1_group_totals'!$G$8:$G$10000,MID(N74,1,3)*1,'[1]1_group_totals'!$H$8:$H$10000,"="&amp;S74,'[1]1_group_totals'!$I$8:$I$10000,"="&amp;T74))</f>
        <v/>
      </c>
      <c r="AE74" s="1796" t="str">
        <f t="shared" si="25"/>
        <v/>
      </c>
      <c r="AF74" s="1797" t="str">
        <f>IF(ISNA(MATCH(MID(AE74,1,3)*1,UomConversion!$D$8:$D$500,0)),"",IF(AJ74&lt;&gt;"",AJ74,""))</f>
        <v/>
      </c>
      <c r="AG74" s="1797" t="str">
        <f>IF(AND(AH74&gt;0,COUNTIFS(UomConversion!$D$8:$D$500,MID(AE74,1,3)*1,UomConversion!$J$8:$J$500,1)&gt;1),TEXT(AH74,"000")&amp;"."&amp;VLOOKUP(AH74,uom_list,5,FALSE),"")</f>
        <v/>
      </c>
      <c r="AH74" s="270" t="str">
        <f t="shared" si="26"/>
        <v/>
      </c>
      <c r="AI74" s="270" t="str">
        <f t="shared" si="27"/>
        <v/>
      </c>
      <c r="AJ74" s="270" t="str">
        <f t="shared" si="28"/>
        <v/>
      </c>
      <c r="AK74" s="270" t="str" cm="1">
        <f t="array" ref="AK74">IF(L74="","",Slookup(MID(AE74,1,3)*1,UomConversion!$D$8:$J$500,2,UomConversion!$I$8:$I$500,1,UomConversion!$J$8:$J$500,1))</f>
        <v/>
      </c>
      <c r="AL74" s="270" t="str">
        <f t="shared" si="29"/>
        <v/>
      </c>
      <c r="AM74" s="270" t="str">
        <f>IF(L74="","",(SUMIFS('[1]1_group_totals'!$K$8:$K$10000,'[1]1_group_totals'!$C$8:$C$10000,I74,'[1]1_group_totals'!$F$8:$F$10000,adj_location_group_id,'[1]1_group_totals'!$G$8:$G$10000,MID(N74,1,3)*1,'[1]1_group_totals'!$H$8:$H$10000,"="&amp;S74,'[1]1_group_totals'!$I$8:$I$10000,"="&amp;T74)+SUMIFS('[1]1_group_totals'!$N$8:$N$10000,'[1]1_group_totals'!$C$8:$C$10000,I74,'[1]1_group_totals'!$F$8:$F$10000,adj_location_group_id,'[1]1_group_totals'!$G$8:$G$10000,MID(N74,1,3)*1,'[1]1_group_totals'!$H$8:$H$10000,"="&amp;S74,'[1]1_group_totals'!$I$8:$I$10000,"="&amp;T74)+SUMIFS('[1]1_group_totals'!$P$8:$P$10000,'[1]1_group_totals'!$C$8:$C$10000,I74,'[1]1_group_totals'!$F$8:$F$10000,adj_location_group_id,'[1]1_group_totals'!$G$8:$G$10000,MID(N74,1,3)*1,'[1]1_group_totals'!$H$8:$H$10000,"="&amp;S74,'[1]1_group_totals'!$I$8:$I$10000,"="&amp;T74)+SUMIFS('[1]1_group_totals'!$Q$8:$Q$10000,'[1]1_group_totals'!$C$8:$C$10000,I74,'[1]1_group_totals'!$F$8:$F$10000,adj_location_group_id,'[1]1_group_totals'!$G$8:$G$10000,MID(N74,1,3)*1,'[1]1_group_totals'!$H$8:$H$10000,"="&amp;S74,'[1]1_group_totals'!$I$8:$I$10000,"="&amp;T74))+(SUMIFS('[1]1_group_totals'!$L$8:$L$10000,'[1]1_group_totals'!$C$8:$C$10000,I74,'[1]1_group_totals'!$F$8:$F$10000,adj_location_group_id,'[1]1_group_totals'!$G$8:$G$10000,MID(N74,1,3)*1,'[1]1_group_totals'!$H$8:$H$10000,"="&amp;S74,'[1]1_group_totals'!$I$8:$I$10000,"="&amp;T74)+SUMIFS('[1]1_group_totals'!$M$8:$M$10000,'[1]1_group_totals'!$C$8:$C$10000,I74,'[1]1_group_totals'!$F$8:$F$10000,adj_location_group_id,'[1]1_group_totals'!$G$8:$G$10000,MID(N74,1,3)*1,'[1]1_group_totals'!$H$8:$H$10000,"="&amp;S74,'[1]1_group_totals'!$I$8:$I$10000,"="&amp;T74)+SUMIFS('[1]1_group_totals'!$O$8:$O$10000,'[1]1_group_totals'!$C$8:$C$10000,I74,'[1]1_group_totals'!$F$8:$F$10000,adj_location_group_id,'[1]1_group_totals'!$G$8:$G$10000,MID(N74,1,3)*1,'[1]1_group_totals'!$H$8:$H$10000,"="&amp;S74,'[1]1_group_totals'!$I$8:$I$10000,"="&amp;T74)+SUMIFS('[1]1_group_totals'!$R$8:$R$10000,'[1]1_group_totals'!$C$8:$C$10000,I74,'[1]1_group_totals'!$F$8:$F$10000,adj_location_group_id,'[1]1_group_totals'!$G$8:$G$10000,MID(N74,1,3)*1,'[1]1_group_totals'!$H$8:$H$10000,"="&amp;S74,'[1]1_group_totals'!$I$8:$I$10000,"="&amp;T74)))</f>
        <v/>
      </c>
      <c r="AN74" s="270" t="str">
        <f>IF(L74="","",(SUMIFS('[1]1_inventory_totals'!$I$8:$I$10000,'[1]1_inventory_totals'!$C$8:$C$10000,I74,'[1]1_inventory_totals'!$F$8:$F$10000,"="&amp;S74,'[1]1_inventory_totals'!$G$8:$G$10000,"="&amp;T74)+SUMIFS('[1]1_inventory_totals'!$N$8:$N$10000,'[1]1_inventory_totals'!$C$8:$C$10000,I74,'[1]1_inventory_totals'!$F$8:$F$10000,"="&amp;S74,'[1]1_inventory_totals'!$G$8:$G$10000,"="&amp;T74)+SUMIFS('[1]1_inventory_totals'!$P$8:$P$10000,'[1]1_inventory_totals'!$C$8:$C$10000,I74,'[1]1_inventory_totals'!$F$8:$F$10000,"="&amp;S74,'[1]1_inventory_totals'!$G$8:$G$10000,"="&amp;T74)+SUMIFS('[1]1_inventory_totals'!$Q$8:$Q$10000,'[1]1_inventory_totals'!$C$8:$C$10000,I74,'[1]1_inventory_totals'!$F$8:$F$10000,"="&amp;S74,'[1]1_inventory_totals'!$G$8:$G$10000,"="&amp;T74)+SUMIFS('[1]1_inventory_totals'!$R$8:$R$10000,'[1]1_inventory_totals'!$C$8:$C$10000,I74,'[1]1_inventory_totals'!$F$8:$F$10000,"="&amp;S74,'[1]1_inventory_totals'!$G$8:$G$10000,"="&amp;T74))+(SUMIFS('[1]1_inventory_totals'!$J$8:$J$10000,'[1]1_inventory_totals'!$C$8:$C$10000,I74,'[1]1_inventory_totals'!$F$8:$F$10000,"="&amp;S74,'[1]1_inventory_totals'!$G$8:$G$10000,"="&amp;T74)+SUMIFS('[1]1_inventory_totals'!$K$8:$K$10000,'[1]1_inventory_totals'!$C$8:$C$10000,I74,'[1]1_inventory_totals'!$F$8:$F$10000,"="&amp;S74,'[1]1_inventory_totals'!$G$8:$G$10000,"="&amp;T74)+SUMIFS('[1]1_inventory_totals'!$L$8:$L$10000,'[1]1_inventory_totals'!$C$8:$C$10000,I74,'[1]1_inventory_totals'!$F$8:$F$10000,"="&amp;S74,'[1]1_inventory_totals'!$G$8:$G$10000,"="&amp;T74)+SUMIFS('[1]1_inventory_totals'!$M$8:$M$10000,'[1]1_inventory_totals'!$C$8:$C$10000,I74,'[1]1_inventory_totals'!$F$8:$F$10000,"="&amp;S74,'[1]1_inventory_totals'!$G$8:$G$10000,"="&amp;T74)+SUMIFS('[1]1_inventory_totals'!$O$8:$O$10000,'[1]1_inventory_totals'!$C$8:$C$10000,I74,'[1]1_inventory_totals'!$F$8:$F$10000,"="&amp;S74,'[1]1_inventory_totals'!$G$8:$G$10000,"="&amp;T74)+SUMIFS('[1]1_inventory_totals'!$S$8:$S$10000,'[1]1_inventory_totals'!$C$8:$C$10000,I74,'[1]1_inventory_totals'!$F$8:$F$10000,"="&amp;S74,'[1]1_inventory_totals'!$G$8:$G$10000,"="&amp;T74)))</f>
        <v/>
      </c>
      <c r="AO74" s="270" t="str">
        <f>IF(L74="","",(SUMIFS('[1]2_inventory_totals'!$I$8:$I$10000,'[1]2_inventory_totals'!$C$8:$C$10000,I74,'[1]2_inventory_totals'!$F$8:$F$10000,"="&amp;S74,'[1]2_inventory_totals'!$G$8:$G$10000,"="&amp;T74)+SUMIFS('[1]2_inventory_totals'!$N$8:$N$10000,'[1]2_inventory_totals'!$C$8:$C$10000,I74,'[1]2_inventory_totals'!$F$8:$F$10000,"="&amp;S74,'[1]2_inventory_totals'!$G$8:$G$10000,"="&amp;T74)+SUMIFS('[1]2_inventory_totals'!$P$8:$P$10000,'[1]2_inventory_totals'!$C$8:$C$10000,I74,'[1]2_inventory_totals'!$F$8:$F$10000,"="&amp;S74,'[1]2_inventory_totals'!$G$8:$G$10000,"="&amp;T74)+SUMIFS('[1]2_inventory_totals'!$Q$8:$Q$10000,'[1]2_inventory_totals'!$C$8:$C$10000,I74,'[1]2_inventory_totals'!$F$8:$F$10000,"="&amp;S74,'[1]2_inventory_totals'!$G$8:$G$10000,"="&amp;T74)+SUMIFS('[1]2_inventory_totals'!$R$8:$R$10000,'[1]2_inventory_totals'!$C$8:$C$10000,I74,'[1]2_inventory_totals'!$F$8:$F$10000,"="&amp;S74,'[1]2_inventory_totals'!$G$8:$G$10000,"="&amp;T74))+(SUMIFS('[1]2_inventory_totals'!$J$8:$J$10000,'[1]2_inventory_totals'!$C$8:$C$10000,I74,'[1]2_inventory_totals'!$F$8:$F$10000,"="&amp;S74,'[1]2_inventory_totals'!$G$8:$G$10000,"="&amp;T74)+SUMIFS('[1]2_inventory_totals'!$K$8:$K$10000,'[1]2_inventory_totals'!$C$8:$C$10000,I74,'[1]2_inventory_totals'!$F$8:$F$10000,"="&amp;S74,'[1]2_inventory_totals'!$G$8:$G$10000,"="&amp;T74)+SUMIFS('[1]2_inventory_totals'!$L$8:$L$10000,'[1]2_inventory_totals'!$C$8:$C$10000,I74,'[1]2_inventory_totals'!$F$8:$F$10000,"="&amp;S74,'[1]2_inventory_totals'!$G$8:$G$10000,"="&amp;T74)+SUMIFS('[1]2_inventory_totals'!$M$8:$M$10000,'[1]2_inventory_totals'!$C$8:$C$10000,I74,'[1]2_inventory_totals'!$F$8:$F$10000,"="&amp;S74,'[1]2_inventory_totals'!$G$8:$G$10000,"="&amp;T74)+SUMIFS('[1]2_inventory_totals'!$O$8:$O$10000,'[1]2_inventory_totals'!$C$8:$C$10000,I74,'[1]2_inventory_totals'!$F$8:$F$10000,"="&amp;S74,'[1]2_inventory_totals'!$G$8:$G$10000,"="&amp;T74)+SUMIFS('[1]2_inventory_totals'!$S$8:$S$10000,'[1]2_inventory_totals'!$C$8:$C$10000,I74,'[1]2_inventory_totals'!$F$8:$F$10000,"="&amp;S74,'[1]2_inventory_totals'!$G$8:$G$10000,"="&amp;T74)))</f>
        <v/>
      </c>
      <c r="AP74" s="954"/>
    </row>
    <row r="75" spans="1:42" ht="27" customHeight="1">
      <c r="A75" s="923"/>
      <c r="B75" s="1178"/>
      <c r="C75" s="950"/>
      <c r="D75" s="950"/>
      <c r="E75" s="950"/>
      <c r="F75" s="1199"/>
      <c r="G75" s="941"/>
      <c r="H75" s="1070"/>
      <c r="I75" s="1610" t="str">
        <f t="shared" si="20"/>
        <v/>
      </c>
      <c r="J75" s="270" t="str">
        <f t="shared" si="21"/>
        <v/>
      </c>
      <c r="K75" s="813" t="str">
        <f t="shared" si="18"/>
        <v/>
      </c>
      <c r="L75" s="1184"/>
      <c r="M75" s="1185"/>
      <c r="N75" s="1186"/>
      <c r="O75" s="1534"/>
      <c r="P75" s="336" t="str">
        <f t="shared" si="19"/>
        <v/>
      </c>
      <c r="Q75" s="336" t="str">
        <f>IF(L75="","",IF(AD75=0,0,(SUMIFS('[1]1_group_total_details'!$I$8:$I$10000,'[1]1_group_total_details'!$C$8:$C$10000,I75,'[1]1_group_total_details'!$F$8:$F$10000,adj_location_group_id,'[1]1_group_total_details'!$G$8:$G$10000,MID(N75,1,3)*1,'[1]1_group_total_details'!$H$8:$H$10000,"&lt;="&amp;adj_date)+SUMIFS('[1]1_group_total_details'!$L$8:$L$10000,'[1]1_group_total_details'!$C$8:$C$10000,I75,'[1]1_group_total_details'!$F$8:$F$10000,adj_location_group_id,'[1]1_group_total_details'!$G$8:$G$10000,MID(N75,1,3)*1,'[1]1_group_total_details'!$H$8:$H$10000,"&lt;="&amp;adj_date)+SUMIFS('[1]1_group_total_details'!$N$8:$N$10000,'[1]1_group_total_details'!$C$8:$C$10000,I75,'[1]1_group_total_details'!$F$8:$F$10000,adj_location_group_id,'[1]1_group_total_details'!$G$8:$G$10000,MID(N75,1,3)*1,'[1]1_group_total_details'!$H$8:$H$10000,"&lt;="&amp;adj_date)+SUMIFS('[1]1_group_total_details'!$O$8:$O$10000,'[1]1_group_total_details'!$C$8:$C$10000,I75,'[1]1_group_total_details'!$F$8:$F$10000,adj_location_group_id,'[1]1_group_total_details'!$G$8:$G$10000,MID(N75,1,3)*1,'[1]1_group_total_details'!$H$8:$H$10000,"&lt;="&amp;adj_date))-(SUMIFS('[1]1_group_total_details'!$J$8:$J$10000,'[1]1_group_total_details'!$C$8:$C$10000,I75,'[1]1_group_total_details'!$F$8:$F$10000,adj_location_group_id,'[1]1_group_total_details'!$G$8:$G$10000,MID(N75,1,3)*1,'[1]1_group_total_details'!$H$8:$H$10000,"&lt;="&amp;adj_date)+SUMIFS('[1]1_group_total_details'!$K$8:$K$10000,'[1]1_group_total_details'!$C$8:$C$10000,I75,'[1]1_group_total_details'!$F$8:$F$10000,adj_location_group_id,'[1]1_group_total_details'!$G$8:$G$10000,MID(N75,1,3)*1,'[1]1_group_total_details'!$H$8:$H$10000,"&lt;="&amp;adj_date)+SUMIFS('[1]1_group_total_details'!$M$8:$M$10000,'[1]1_group_total_details'!$C$8:$C$10000,I75,'[1]1_group_total_details'!$F$8:$F$10000,adj_location_group_id,'[1]1_group_total_details'!$G$8:$G$10000,MID(N75,1,3)*1,'[1]1_group_total_details'!$H$8:$H$10000,"&lt;="&amp;adj_date)+SUMIFS('[1]1_group_total_details'!$P$8:$P$10000,'[1]1_group_total_details'!$C$8:$C$10000,I75,'[1]1_group_total_details'!$F$8:$F$10000,adj_location_group_id,'[1]1_group_total_details'!$G$8:$G$10000,MID(N75,1,3)*1,'[1]1_group_total_details'!$H$8:$H$10000,"&lt;="&amp;adj_date))))</f>
        <v/>
      </c>
      <c r="R75" s="1187"/>
      <c r="S75" s="1186"/>
      <c r="T75" s="1186"/>
      <c r="U75" s="1184"/>
      <c r="V75" s="270" t="str" cm="1">
        <f t="array" ref="V75">IF(L75="","",IF(M75=AE75,1,Slookup(MID(AE75,1,3)*1,UomConversion!$D$8:$J$500,5,UomConversion!$E$8:$E$500,MID(M75,1,3)*1,UomConversion!$J$8:$J$500,1)))</f>
        <v/>
      </c>
      <c r="W75" s="270" t="str">
        <f t="shared" si="22"/>
        <v/>
      </c>
      <c r="X75" s="1795" t="str">
        <f t="shared" si="23"/>
        <v/>
      </c>
      <c r="Y75" s="1795" t="str">
        <f t="shared" si="24"/>
        <v/>
      </c>
      <c r="Z75" s="270" t="str">
        <f>IF(I75="","",IF(ISNA(MATCH(I75,IF(MID(N75,1,3)*1=1,'[1]1_inventory_totals'!$C$8:$C$10000,IF(MID(N75,1,3)*1=2,'[1]2_inventory_totals'!$C$8:$C$10000,"")),0)),0,IF(AL75&gt;0,1,0)))</f>
        <v/>
      </c>
      <c r="AA75" s="270" t="str">
        <f>IF(L75="","",IF(MID(N75,1,3)*1=1,SUMIFS('[1]1_inventory_total_details'!$J$8:$J$10000,'[1]1_inventory_total_details'!$C$8:$C$10000,I75,'[1]1_inventory_total_details'!$F$8:$F$10000,MID(N75,1,3)*1,'[1]1_inventory_total_details'!$G$8:$G$10000,"="&amp;S75,'[1]1_inventory_total_details'!$H$8:$H$10000,"="&amp;T75,'[1]1_inventory_total_details'!$I$8:$I$10000,"="&amp;adj_date)+SUMIFS('[1]1_inventory_total_details'!$M$8:$M$10000,'[1]1_inventory_total_details'!$C$8:$C$10000,I75,'[1]1_inventory_total_details'!$F$8:$F$10000,MID(N75,1,3)*1,'[1]1_inventory_total_details'!$G$8:$G$10000,"="&amp;S75,'[1]1_inventory_total_details'!$H$8:$H$10000,"="&amp;T75,'[1]1_inventory_total_details'!$I$8:$I$10000,"="&amp;adj_date)+SUMIFS('[1]1_inventory_total_details'!$K$8:$K$10000,'[1]1_inventory_total_details'!$C$8:$C$10000,I75,'[1]1_inventory_total_details'!$F$8:$F$10000,MID(N75,1,3)*1,'[1]1_inventory_total_details'!$G$8:$G$10000,"="&amp;S75,'[1]1_inventory_total_details'!$H$8:$H$10000,"="&amp;T75,'[1]1_inventory_total_details'!$I$8:$I$10000,"="&amp;adj_date)+SUMIFS('[1]1_inventory_total_details'!$L$8:$L$10000,'[1]1_inventory_total_details'!$C$8:$C$10000,I75,'[1]1_inventory_total_details'!$F$8:$F$10000,MID(N75,1,3)*1,'[1]1_inventory_total_details'!$G$8:$G$10000,"="&amp;S75,'[1]1_inventory_total_details'!$H$8:$H$10000,"="&amp;T75,'[1]1_inventory_total_details'!$I$8:$I$10000,"="&amp;adj_date),SUMIFS('[1]2_inventory_total_details'!$J$8:$J$10000,'[1]2_inventory_total_details'!$C$8:$C$10000,I75,'[1]2_inventory_total_details'!$F$8:$F$10000,MID(N75,1,3)*1,'[1]2_inventory_total_details'!$G$8:$G$10000,"="&amp;S75,'[1]2_inventory_total_details'!$H$8:$H$10000,"="&amp;T75,'[1]2_inventory_total_details'!$I$8:$I$10000,"="&amp;adj_date)+SUMIFS('[1]2_inventory_total_details'!$M$8:$M$10000,'[1]1_inventory_total_details'!$C$8:$C$10000,I75,'[1]2_inventory_total_details'!$F$8:$F$10000,MID(N75,1,3)*1,'[1]2_inventory_total_details'!$G$8:$G$10000,"="&amp;S75,'[1]2_inventory_total_details'!$H$8:$H$10000,"="&amp;T75,'[1]2_inventory_total_details'!$I$8:$I$10000,"="&amp;adj_date)+SUMIFS('[1]2_inventory_total_details'!$K$8:$K$10000,'[1]2_inventory_total_details'!$C$8:$C$10000,I75,'[1]2_inventory_total_details'!$F$8:$F$10000,MID(N75,1,3)*1,'[1]2_inventory_total_details'!$G$8:$G$10000,"="&amp;S75,'[1]2_inventory_total_details'!$H$8:$H$10000,"="&amp;T75,'[1]2_inventory_total_details'!$I$8:$I$10000,"="&amp;adj_date)+SUMIFS('[1]2_inventory_total_details'!$L$8:$L$10000,'[1]2_inventory_total_details'!$C$8:$C$10000,I75,'[1]2_inventory_total_details'!$F$8:$F$10000,MID(N75,1,3)*1,'[1]2_inventory_total_details'!$G$8:$G$10000,"="&amp;S75,'[1]2_inventory_total_details'!$H$8:$H$10000,"="&amp;T75,'[1]2_inventory_total_details'!$I$8:$I$10000,"="&amp;adj_date)))</f>
        <v/>
      </c>
      <c r="AB75" s="270" t="str">
        <f>IF(L75="","",IF(MID(N75,1,3)*1=1,SUMIFS('[1]1_inventory_total_details'!$J$8:$J$10000,'[1]1_inventory_total_details'!$C$8:$C$10000,I75,'[1]1_inventory_total_details'!$F$8:$F$10000,MID(N75,1,3)*1,'[1]1_inventory_total_details'!$G$8:$G$10000,"="&amp;S75,'[1]1_inventory_total_details'!$H$8:$H$10000,"="&amp;T75,'[1]1_inventory_total_details'!$I$8:$I$10000,"="&amp;adj_date)+SUMIFS('[1]1_inventory_total_details'!$M$8:$M$10000,'[1]1_inventory_total_details'!$C$8:$C$10000,I75,'[1]1_inventory_total_details'!$F$8:$F$10000,MID(N75,1,3)*1,'[1]1_inventory_total_details'!$G$8:$G$10000,"="&amp;S75,'[1]1_inventory_total_details'!$H$8:$H$10000,"="&amp;T75,'[1]1_inventory_total_details'!$I$8:$I$10000,"="&amp;adj_date)+SUMIFS('[1]1_inventory_total_details'!$K$8:$K$10000,'[1]1_inventory_total_details'!$C$8:$C$10000,I75,'[1]1_inventory_total_details'!$F$8:$F$10000,MID(N75,1,3)*1,'[1]1_inventory_total_details'!$G$8:$G$10000,"="&amp;S75,'[1]1_inventory_total_details'!$H$8:$H$10000,"="&amp;T75,'[1]1_inventory_total_details'!$I$8:$I$10000,"="&amp;adj_date)+SUMIFS('[1]1_inventory_total_details'!$L$8:$L$10000,'[1]1_inventory_total_details'!$C$8:$C$10000,I75,'[1]1_inventory_total_details'!$F$8:$F$10000,MID(N75,1,3)*1,'[1]1_inventory_total_details'!$G$8:$G$10000,"="&amp;S75,'[1]1_inventory_total_details'!$H$8:$H$10000,"="&amp;T75,'[1]1_inventory_total_details'!$I$8:$I$10000,"="&amp;adj_date),SUMIFS('[1]2_inventory_total_details'!$J$8:$J$10000,'[1]2_inventory_total_details'!$C$8:$C$10000,I75,'[1]2_inventory_total_details'!$F$8:$F$10000,MID(N75,1,3)*1,'[1]2_inventory_total_details'!$G$8:$G$10000,"="&amp;S75,'[1]2_inventory_total_details'!$H$8:$H$10000,"="&amp;T75,'[1]2_inventory_total_details'!$I$8:$I$10000,"="&amp;adj_date)+SUMIFS('[1]2_inventory_total_details'!$M$8:$M$10000,'[1]1_inventory_total_details'!$C$8:$C$10000,I75,'[1]2_inventory_total_details'!$F$8:$F$10000,MID(N75,1,3)*1,'[1]2_inventory_total_details'!$G$8:$G$10000,"="&amp;S75,'[1]2_inventory_total_details'!$H$8:$H$10000,"="&amp;T75,'[1]2_inventory_total_details'!$I$8:$I$10000,"="&amp;adj_date)+SUMIFS('[1]2_inventory_total_details'!$K$8:$K$10000,'[1]2_inventory_total_details'!$C$8:$C$10000,I75,'[1]2_inventory_total_details'!$F$8:$F$10000,MID(N75,1,3)*1,'[1]2_inventory_total_details'!$G$8:$G$10000,"="&amp;S75,'[1]2_inventory_total_details'!$H$8:$H$10000,"="&amp;T75,'[1]2_inventory_total_details'!$I$8:$I$10000,"="&amp;adj_date)+SUMIFS('[1]2_inventory_total_details'!$L$8:$L$10000,'[1]2_inventory_total_details'!$C$8:$C$10000,I75,'[1]2_inventory_total_details'!$F$8:$F$10000,MID(N75,1,3)*1,'[1]2_inventory_total_details'!$G$8:$G$10000,"="&amp;S75,'[1]2_inventory_total_details'!$H$8:$H$10000,"="&amp;T75,'[1]2_inventory_total_details'!$I$8:$I$10000,"="&amp;adj_date)))</f>
        <v/>
      </c>
      <c r="AC75" s="270" t="str">
        <f>IF(L75="","",IF(MID(N75,1,3)*1=1,SUMIFS('[1]1_inventory_total_details'!$J$8:$J$10000,'[1]1_inventory_total_details'!$C$8:$C$10000,I75,'[1]1_inventory_total_details'!$F$8:$F$10000,MID(N75,1,3)*1,'[1]1_inventory_total_details'!$G$8:$G$10000,"="&amp;S75,'[1]1_inventory_total_details'!$H$8:$H$10000,"="&amp;T75,'[1]1_inventory_total_details'!$I$8:$I$10000,"="&amp;adj_date)+SUMIFS('[1]1_inventory_total_details'!$M$8:$M$10000,'[1]1_inventory_total_details'!$C$8:$C$10000,I75,'[1]1_inventory_total_details'!$F$8:$F$10000,MID(N75,1,3)*1,'[1]1_inventory_total_details'!$G$8:$G$10000,"="&amp;S75,'[1]1_inventory_total_details'!$H$8:$H$10000,"="&amp;T75,'[1]1_inventory_total_details'!$I$8:$I$10000,"="&amp;adj_date)+SUMIFS('[1]1_inventory_total_details'!$K$8:$K$10000,'[1]1_inventory_total_details'!$C$8:$C$10000,I75,'[1]1_inventory_total_details'!$F$8:$F$10000,MID(N75,1,3)*1,'[1]1_inventory_total_details'!$G$8:$G$10000,"="&amp;S75,'[1]1_inventory_total_details'!$H$8:$H$10000,"="&amp;T75,'[1]1_inventory_total_details'!$I$8:$I$10000,"="&amp;adj_date)+SUMIFS('[1]1_inventory_total_details'!$L$8:$L$10000,'[1]1_inventory_total_details'!$C$8:$C$10000,I75,'[1]1_inventory_total_details'!$F$8:$F$10000,MID(N75,1,3)*1,'[1]1_inventory_total_details'!$G$8:$G$10000,"="&amp;S75,'[1]1_inventory_total_details'!$H$8:$H$10000,"="&amp;T75,'[1]1_inventory_total_details'!$I$8:$I$10000,"="&amp;adj_date),SUMIFS('[1]2_inventory_total_details'!$J$8:$J$10000,'[1]2_inventory_total_details'!$C$8:$C$10000,I75,'[1]2_inventory_total_details'!$F$8:$F$10000,MID(N75,1,3)*1,'[1]2_inventory_total_details'!$G$8:$G$10000,"="&amp;S75,'[1]2_inventory_total_details'!$H$8:$H$10000,"="&amp;T75,'[1]2_inventory_total_details'!$I$8:$I$10000,"="&amp;adj_date)+SUMIFS('[1]2_inventory_total_details'!$M$8:$M$10000,'[1]1_inventory_total_details'!$C$8:$C$10000,I75,'[1]2_inventory_total_details'!$F$8:$F$10000,MID(N75,1,3)*1,'[1]2_inventory_total_details'!$G$8:$G$10000,"="&amp;S75,'[1]2_inventory_total_details'!$H$8:$H$10000,"="&amp;T75,'[1]2_inventory_total_details'!$I$8:$I$10000,"="&amp;adj_date)+SUMIFS('[1]2_inventory_total_details'!$K$8:$K$10000,'[1]2_inventory_total_details'!$C$8:$C$10000,I75,'[1]2_inventory_total_details'!$F$8:$F$10000,MID(N75,1,3)*1,'[1]2_inventory_total_details'!$G$8:$G$10000,"="&amp;S75,'[1]2_inventory_total_details'!$H$8:$H$10000,"="&amp;T75,'[1]2_inventory_total_details'!$I$8:$I$10000,"="&amp;adj_date)+SUMIFS('[1]2_inventory_total_details'!$L$8:$L$10000,'[1]2_inventory_total_details'!$C$8:$C$10000,I75,'[1]2_inventory_total_details'!$F$8:$F$10000,MID(N75,1,3)*1,'[1]2_inventory_total_details'!$G$8:$G$10000,"="&amp;S75,'[1]2_inventory_total_details'!$H$8:$H$10000,"="&amp;T75,'[1]2_inventory_total_details'!$I$8:$I$10000,"="&amp;adj_date)))</f>
        <v/>
      </c>
      <c r="AD75" s="270" t="str">
        <f>IF(L75="","",SUMIFS('[1]1_group_totals'!$J$8:$J$10000,'[1]1_group_totals'!$C$8:$C$10000,I75,'[1]1_group_totals'!$F$8:$F$10000,adj_location_group_id,'[1]1_group_totals'!$G$8:$G$10000,MID(N75,1,3)*1,'[1]1_group_totals'!$H$8:$H$10000,"="&amp;S75,'[1]1_group_totals'!$I$8:$I$10000,"="&amp;T75))</f>
        <v/>
      </c>
      <c r="AE75" s="1796" t="str">
        <f t="shared" si="25"/>
        <v/>
      </c>
      <c r="AF75" s="1797" t="str">
        <f>IF(ISNA(MATCH(MID(AE75,1,3)*1,UomConversion!$D$8:$D$500,0)),"",IF(AJ75&lt;&gt;"",AJ75,""))</f>
        <v/>
      </c>
      <c r="AG75" s="1797" t="str">
        <f>IF(AND(AH75&gt;0,COUNTIFS(UomConversion!$D$8:$D$500,MID(AE75,1,3)*1,UomConversion!$J$8:$J$500,1)&gt;1),TEXT(AH75,"000")&amp;"."&amp;VLOOKUP(AH75,uom_list,5,FALSE),"")</f>
        <v/>
      </c>
      <c r="AH75" s="270" t="str">
        <f t="shared" si="26"/>
        <v/>
      </c>
      <c r="AI75" s="270" t="str">
        <f t="shared" si="27"/>
        <v/>
      </c>
      <c r="AJ75" s="270" t="str">
        <f t="shared" si="28"/>
        <v/>
      </c>
      <c r="AK75" s="270" t="str" cm="1">
        <f t="array" ref="AK75">IF(L75="","",Slookup(MID(AE75,1,3)*1,UomConversion!$D$8:$J$500,2,UomConversion!$I$8:$I$500,1,UomConversion!$J$8:$J$500,1))</f>
        <v/>
      </c>
      <c r="AL75" s="270" t="str">
        <f t="shared" si="29"/>
        <v/>
      </c>
      <c r="AM75" s="270" t="str">
        <f>IF(L75="","",(SUMIFS('[1]1_group_totals'!$K$8:$K$10000,'[1]1_group_totals'!$C$8:$C$10000,I75,'[1]1_group_totals'!$F$8:$F$10000,adj_location_group_id,'[1]1_group_totals'!$G$8:$G$10000,MID(N75,1,3)*1,'[1]1_group_totals'!$H$8:$H$10000,"="&amp;S75,'[1]1_group_totals'!$I$8:$I$10000,"="&amp;T75)+SUMIFS('[1]1_group_totals'!$N$8:$N$10000,'[1]1_group_totals'!$C$8:$C$10000,I75,'[1]1_group_totals'!$F$8:$F$10000,adj_location_group_id,'[1]1_group_totals'!$G$8:$G$10000,MID(N75,1,3)*1,'[1]1_group_totals'!$H$8:$H$10000,"="&amp;S75,'[1]1_group_totals'!$I$8:$I$10000,"="&amp;T75)+SUMIFS('[1]1_group_totals'!$P$8:$P$10000,'[1]1_group_totals'!$C$8:$C$10000,I75,'[1]1_group_totals'!$F$8:$F$10000,adj_location_group_id,'[1]1_group_totals'!$G$8:$G$10000,MID(N75,1,3)*1,'[1]1_group_totals'!$H$8:$H$10000,"="&amp;S75,'[1]1_group_totals'!$I$8:$I$10000,"="&amp;T75)+SUMIFS('[1]1_group_totals'!$Q$8:$Q$10000,'[1]1_group_totals'!$C$8:$C$10000,I75,'[1]1_group_totals'!$F$8:$F$10000,adj_location_group_id,'[1]1_group_totals'!$G$8:$G$10000,MID(N75,1,3)*1,'[1]1_group_totals'!$H$8:$H$10000,"="&amp;S75,'[1]1_group_totals'!$I$8:$I$10000,"="&amp;T75))+(SUMIFS('[1]1_group_totals'!$L$8:$L$10000,'[1]1_group_totals'!$C$8:$C$10000,I75,'[1]1_group_totals'!$F$8:$F$10000,adj_location_group_id,'[1]1_group_totals'!$G$8:$G$10000,MID(N75,1,3)*1,'[1]1_group_totals'!$H$8:$H$10000,"="&amp;S75,'[1]1_group_totals'!$I$8:$I$10000,"="&amp;T75)+SUMIFS('[1]1_group_totals'!$M$8:$M$10000,'[1]1_group_totals'!$C$8:$C$10000,I75,'[1]1_group_totals'!$F$8:$F$10000,adj_location_group_id,'[1]1_group_totals'!$G$8:$G$10000,MID(N75,1,3)*1,'[1]1_group_totals'!$H$8:$H$10000,"="&amp;S75,'[1]1_group_totals'!$I$8:$I$10000,"="&amp;T75)+SUMIFS('[1]1_group_totals'!$O$8:$O$10000,'[1]1_group_totals'!$C$8:$C$10000,I75,'[1]1_group_totals'!$F$8:$F$10000,adj_location_group_id,'[1]1_group_totals'!$G$8:$G$10000,MID(N75,1,3)*1,'[1]1_group_totals'!$H$8:$H$10000,"="&amp;S75,'[1]1_group_totals'!$I$8:$I$10000,"="&amp;T75)+SUMIFS('[1]1_group_totals'!$R$8:$R$10000,'[1]1_group_totals'!$C$8:$C$10000,I75,'[1]1_group_totals'!$F$8:$F$10000,adj_location_group_id,'[1]1_group_totals'!$G$8:$G$10000,MID(N75,1,3)*1,'[1]1_group_totals'!$H$8:$H$10000,"="&amp;S75,'[1]1_group_totals'!$I$8:$I$10000,"="&amp;T75)))</f>
        <v/>
      </c>
      <c r="AN75" s="270" t="str">
        <f>IF(L75="","",(SUMIFS('[1]1_inventory_totals'!$I$8:$I$10000,'[1]1_inventory_totals'!$C$8:$C$10000,I75,'[1]1_inventory_totals'!$F$8:$F$10000,"="&amp;S75,'[1]1_inventory_totals'!$G$8:$G$10000,"="&amp;T75)+SUMIFS('[1]1_inventory_totals'!$N$8:$N$10000,'[1]1_inventory_totals'!$C$8:$C$10000,I75,'[1]1_inventory_totals'!$F$8:$F$10000,"="&amp;S75,'[1]1_inventory_totals'!$G$8:$G$10000,"="&amp;T75)+SUMIFS('[1]1_inventory_totals'!$P$8:$P$10000,'[1]1_inventory_totals'!$C$8:$C$10000,I75,'[1]1_inventory_totals'!$F$8:$F$10000,"="&amp;S75,'[1]1_inventory_totals'!$G$8:$G$10000,"="&amp;T75)+SUMIFS('[1]1_inventory_totals'!$Q$8:$Q$10000,'[1]1_inventory_totals'!$C$8:$C$10000,I75,'[1]1_inventory_totals'!$F$8:$F$10000,"="&amp;S75,'[1]1_inventory_totals'!$G$8:$G$10000,"="&amp;T75)+SUMIFS('[1]1_inventory_totals'!$R$8:$R$10000,'[1]1_inventory_totals'!$C$8:$C$10000,I75,'[1]1_inventory_totals'!$F$8:$F$10000,"="&amp;S75,'[1]1_inventory_totals'!$G$8:$G$10000,"="&amp;T75))+(SUMIFS('[1]1_inventory_totals'!$J$8:$J$10000,'[1]1_inventory_totals'!$C$8:$C$10000,I75,'[1]1_inventory_totals'!$F$8:$F$10000,"="&amp;S75,'[1]1_inventory_totals'!$G$8:$G$10000,"="&amp;T75)+SUMIFS('[1]1_inventory_totals'!$K$8:$K$10000,'[1]1_inventory_totals'!$C$8:$C$10000,I75,'[1]1_inventory_totals'!$F$8:$F$10000,"="&amp;S75,'[1]1_inventory_totals'!$G$8:$G$10000,"="&amp;T75)+SUMIFS('[1]1_inventory_totals'!$L$8:$L$10000,'[1]1_inventory_totals'!$C$8:$C$10000,I75,'[1]1_inventory_totals'!$F$8:$F$10000,"="&amp;S75,'[1]1_inventory_totals'!$G$8:$G$10000,"="&amp;T75)+SUMIFS('[1]1_inventory_totals'!$M$8:$M$10000,'[1]1_inventory_totals'!$C$8:$C$10000,I75,'[1]1_inventory_totals'!$F$8:$F$10000,"="&amp;S75,'[1]1_inventory_totals'!$G$8:$G$10000,"="&amp;T75)+SUMIFS('[1]1_inventory_totals'!$O$8:$O$10000,'[1]1_inventory_totals'!$C$8:$C$10000,I75,'[1]1_inventory_totals'!$F$8:$F$10000,"="&amp;S75,'[1]1_inventory_totals'!$G$8:$G$10000,"="&amp;T75)+SUMIFS('[1]1_inventory_totals'!$S$8:$S$10000,'[1]1_inventory_totals'!$C$8:$C$10000,I75,'[1]1_inventory_totals'!$F$8:$F$10000,"="&amp;S75,'[1]1_inventory_totals'!$G$8:$G$10000,"="&amp;T75)))</f>
        <v/>
      </c>
      <c r="AO75" s="270" t="str">
        <f>IF(L75="","",(SUMIFS('[1]2_inventory_totals'!$I$8:$I$10000,'[1]2_inventory_totals'!$C$8:$C$10000,I75,'[1]2_inventory_totals'!$F$8:$F$10000,"="&amp;S75,'[1]2_inventory_totals'!$G$8:$G$10000,"="&amp;T75)+SUMIFS('[1]2_inventory_totals'!$N$8:$N$10000,'[1]2_inventory_totals'!$C$8:$C$10000,I75,'[1]2_inventory_totals'!$F$8:$F$10000,"="&amp;S75,'[1]2_inventory_totals'!$G$8:$G$10000,"="&amp;T75)+SUMIFS('[1]2_inventory_totals'!$P$8:$P$10000,'[1]2_inventory_totals'!$C$8:$C$10000,I75,'[1]2_inventory_totals'!$F$8:$F$10000,"="&amp;S75,'[1]2_inventory_totals'!$G$8:$G$10000,"="&amp;T75)+SUMIFS('[1]2_inventory_totals'!$Q$8:$Q$10000,'[1]2_inventory_totals'!$C$8:$C$10000,I75,'[1]2_inventory_totals'!$F$8:$F$10000,"="&amp;S75,'[1]2_inventory_totals'!$G$8:$G$10000,"="&amp;T75)+SUMIFS('[1]2_inventory_totals'!$R$8:$R$10000,'[1]2_inventory_totals'!$C$8:$C$10000,I75,'[1]2_inventory_totals'!$F$8:$F$10000,"="&amp;S75,'[1]2_inventory_totals'!$G$8:$G$10000,"="&amp;T75))+(SUMIFS('[1]2_inventory_totals'!$J$8:$J$10000,'[1]2_inventory_totals'!$C$8:$C$10000,I75,'[1]2_inventory_totals'!$F$8:$F$10000,"="&amp;S75,'[1]2_inventory_totals'!$G$8:$G$10000,"="&amp;T75)+SUMIFS('[1]2_inventory_totals'!$K$8:$K$10000,'[1]2_inventory_totals'!$C$8:$C$10000,I75,'[1]2_inventory_totals'!$F$8:$F$10000,"="&amp;S75,'[1]2_inventory_totals'!$G$8:$G$10000,"="&amp;T75)+SUMIFS('[1]2_inventory_totals'!$L$8:$L$10000,'[1]2_inventory_totals'!$C$8:$C$10000,I75,'[1]2_inventory_totals'!$F$8:$F$10000,"="&amp;S75,'[1]2_inventory_totals'!$G$8:$G$10000,"="&amp;T75)+SUMIFS('[1]2_inventory_totals'!$M$8:$M$10000,'[1]2_inventory_totals'!$C$8:$C$10000,I75,'[1]2_inventory_totals'!$F$8:$F$10000,"="&amp;S75,'[1]2_inventory_totals'!$G$8:$G$10000,"="&amp;T75)+SUMIFS('[1]2_inventory_totals'!$O$8:$O$10000,'[1]2_inventory_totals'!$C$8:$C$10000,I75,'[1]2_inventory_totals'!$F$8:$F$10000,"="&amp;S75,'[1]2_inventory_totals'!$G$8:$G$10000,"="&amp;T75)+SUMIFS('[1]2_inventory_totals'!$S$8:$S$10000,'[1]2_inventory_totals'!$C$8:$C$10000,I75,'[1]2_inventory_totals'!$F$8:$F$10000,"="&amp;S75,'[1]2_inventory_totals'!$G$8:$G$10000,"="&amp;T75)))</f>
        <v/>
      </c>
      <c r="AP75" s="954"/>
    </row>
    <row r="76" spans="1:42" ht="27" customHeight="1">
      <c r="A76" s="923"/>
      <c r="B76" s="1178"/>
      <c r="C76" s="950"/>
      <c r="D76" s="950"/>
      <c r="E76" s="950"/>
      <c r="F76" s="1199"/>
      <c r="G76" s="941"/>
      <c r="H76" s="1070"/>
      <c r="I76" s="1610" t="str">
        <f t="shared" si="20"/>
        <v/>
      </c>
      <c r="J76" s="270" t="str">
        <f t="shared" si="21"/>
        <v/>
      </c>
      <c r="K76" s="813" t="str">
        <f t="shared" si="18"/>
        <v/>
      </c>
      <c r="L76" s="1184"/>
      <c r="M76" s="1185"/>
      <c r="N76" s="1186"/>
      <c r="O76" s="1534"/>
      <c r="P76" s="336" t="str">
        <f t="shared" si="19"/>
        <v/>
      </c>
      <c r="Q76" s="336" t="str">
        <f>IF(L76="","",IF(AD76=0,0,(SUMIFS('[1]1_group_total_details'!$I$8:$I$10000,'[1]1_group_total_details'!$C$8:$C$10000,I76,'[1]1_group_total_details'!$F$8:$F$10000,adj_location_group_id,'[1]1_group_total_details'!$G$8:$G$10000,MID(N76,1,3)*1,'[1]1_group_total_details'!$H$8:$H$10000,"&lt;="&amp;adj_date)+SUMIFS('[1]1_group_total_details'!$L$8:$L$10000,'[1]1_group_total_details'!$C$8:$C$10000,I76,'[1]1_group_total_details'!$F$8:$F$10000,adj_location_group_id,'[1]1_group_total_details'!$G$8:$G$10000,MID(N76,1,3)*1,'[1]1_group_total_details'!$H$8:$H$10000,"&lt;="&amp;adj_date)+SUMIFS('[1]1_group_total_details'!$N$8:$N$10000,'[1]1_group_total_details'!$C$8:$C$10000,I76,'[1]1_group_total_details'!$F$8:$F$10000,adj_location_group_id,'[1]1_group_total_details'!$G$8:$G$10000,MID(N76,1,3)*1,'[1]1_group_total_details'!$H$8:$H$10000,"&lt;="&amp;adj_date)+SUMIFS('[1]1_group_total_details'!$O$8:$O$10000,'[1]1_group_total_details'!$C$8:$C$10000,I76,'[1]1_group_total_details'!$F$8:$F$10000,adj_location_group_id,'[1]1_group_total_details'!$G$8:$G$10000,MID(N76,1,3)*1,'[1]1_group_total_details'!$H$8:$H$10000,"&lt;="&amp;adj_date))-(SUMIFS('[1]1_group_total_details'!$J$8:$J$10000,'[1]1_group_total_details'!$C$8:$C$10000,I76,'[1]1_group_total_details'!$F$8:$F$10000,adj_location_group_id,'[1]1_group_total_details'!$G$8:$G$10000,MID(N76,1,3)*1,'[1]1_group_total_details'!$H$8:$H$10000,"&lt;="&amp;adj_date)+SUMIFS('[1]1_group_total_details'!$K$8:$K$10000,'[1]1_group_total_details'!$C$8:$C$10000,I76,'[1]1_group_total_details'!$F$8:$F$10000,adj_location_group_id,'[1]1_group_total_details'!$G$8:$G$10000,MID(N76,1,3)*1,'[1]1_group_total_details'!$H$8:$H$10000,"&lt;="&amp;adj_date)+SUMIFS('[1]1_group_total_details'!$M$8:$M$10000,'[1]1_group_total_details'!$C$8:$C$10000,I76,'[1]1_group_total_details'!$F$8:$F$10000,adj_location_group_id,'[1]1_group_total_details'!$G$8:$G$10000,MID(N76,1,3)*1,'[1]1_group_total_details'!$H$8:$H$10000,"&lt;="&amp;adj_date)+SUMIFS('[1]1_group_total_details'!$P$8:$P$10000,'[1]1_group_total_details'!$C$8:$C$10000,I76,'[1]1_group_total_details'!$F$8:$F$10000,adj_location_group_id,'[1]1_group_total_details'!$G$8:$G$10000,MID(N76,1,3)*1,'[1]1_group_total_details'!$H$8:$H$10000,"&lt;="&amp;adj_date))))</f>
        <v/>
      </c>
      <c r="R76" s="1187"/>
      <c r="S76" s="1186"/>
      <c r="T76" s="1186"/>
      <c r="U76" s="1184"/>
      <c r="V76" s="270" t="str" cm="1">
        <f t="array" ref="V76">IF(L76="","",IF(M76=AE76,1,Slookup(MID(AE76,1,3)*1,UomConversion!$D$8:$J$500,5,UomConversion!$E$8:$E$500,MID(M76,1,3)*1,UomConversion!$J$8:$J$500,1)))</f>
        <v/>
      </c>
      <c r="W76" s="270" t="str">
        <f t="shared" si="22"/>
        <v/>
      </c>
      <c r="X76" s="1795" t="str">
        <f t="shared" si="23"/>
        <v/>
      </c>
      <c r="Y76" s="1795" t="str">
        <f t="shared" si="24"/>
        <v/>
      </c>
      <c r="Z76" s="270" t="str">
        <f>IF(I76="","",IF(ISNA(MATCH(I76,IF(MID(N76,1,3)*1=1,'[1]1_inventory_totals'!$C$8:$C$10000,IF(MID(N76,1,3)*1=2,'[1]2_inventory_totals'!$C$8:$C$10000,"")),0)),0,IF(AL76&gt;0,1,0)))</f>
        <v/>
      </c>
      <c r="AA76" s="270" t="str">
        <f>IF(L76="","",IF(MID(N76,1,3)*1=1,SUMIFS('[1]1_inventory_total_details'!$J$8:$J$10000,'[1]1_inventory_total_details'!$C$8:$C$10000,I76,'[1]1_inventory_total_details'!$F$8:$F$10000,MID(N76,1,3)*1,'[1]1_inventory_total_details'!$G$8:$G$10000,"="&amp;S76,'[1]1_inventory_total_details'!$H$8:$H$10000,"="&amp;T76,'[1]1_inventory_total_details'!$I$8:$I$10000,"="&amp;adj_date)+SUMIFS('[1]1_inventory_total_details'!$M$8:$M$10000,'[1]1_inventory_total_details'!$C$8:$C$10000,I76,'[1]1_inventory_total_details'!$F$8:$F$10000,MID(N76,1,3)*1,'[1]1_inventory_total_details'!$G$8:$G$10000,"="&amp;S76,'[1]1_inventory_total_details'!$H$8:$H$10000,"="&amp;T76,'[1]1_inventory_total_details'!$I$8:$I$10000,"="&amp;adj_date)+SUMIFS('[1]1_inventory_total_details'!$K$8:$K$10000,'[1]1_inventory_total_details'!$C$8:$C$10000,I76,'[1]1_inventory_total_details'!$F$8:$F$10000,MID(N76,1,3)*1,'[1]1_inventory_total_details'!$G$8:$G$10000,"="&amp;S76,'[1]1_inventory_total_details'!$H$8:$H$10000,"="&amp;T76,'[1]1_inventory_total_details'!$I$8:$I$10000,"="&amp;adj_date)+SUMIFS('[1]1_inventory_total_details'!$L$8:$L$10000,'[1]1_inventory_total_details'!$C$8:$C$10000,I76,'[1]1_inventory_total_details'!$F$8:$F$10000,MID(N76,1,3)*1,'[1]1_inventory_total_details'!$G$8:$G$10000,"="&amp;S76,'[1]1_inventory_total_details'!$H$8:$H$10000,"="&amp;T76,'[1]1_inventory_total_details'!$I$8:$I$10000,"="&amp;adj_date),SUMIFS('[1]2_inventory_total_details'!$J$8:$J$10000,'[1]2_inventory_total_details'!$C$8:$C$10000,I76,'[1]2_inventory_total_details'!$F$8:$F$10000,MID(N76,1,3)*1,'[1]2_inventory_total_details'!$G$8:$G$10000,"="&amp;S76,'[1]2_inventory_total_details'!$H$8:$H$10000,"="&amp;T76,'[1]2_inventory_total_details'!$I$8:$I$10000,"="&amp;adj_date)+SUMIFS('[1]2_inventory_total_details'!$M$8:$M$10000,'[1]1_inventory_total_details'!$C$8:$C$10000,I76,'[1]2_inventory_total_details'!$F$8:$F$10000,MID(N76,1,3)*1,'[1]2_inventory_total_details'!$G$8:$G$10000,"="&amp;S76,'[1]2_inventory_total_details'!$H$8:$H$10000,"="&amp;T76,'[1]2_inventory_total_details'!$I$8:$I$10000,"="&amp;adj_date)+SUMIFS('[1]2_inventory_total_details'!$K$8:$K$10000,'[1]2_inventory_total_details'!$C$8:$C$10000,I76,'[1]2_inventory_total_details'!$F$8:$F$10000,MID(N76,1,3)*1,'[1]2_inventory_total_details'!$G$8:$G$10000,"="&amp;S76,'[1]2_inventory_total_details'!$H$8:$H$10000,"="&amp;T76,'[1]2_inventory_total_details'!$I$8:$I$10000,"="&amp;adj_date)+SUMIFS('[1]2_inventory_total_details'!$L$8:$L$10000,'[1]2_inventory_total_details'!$C$8:$C$10000,I76,'[1]2_inventory_total_details'!$F$8:$F$10000,MID(N76,1,3)*1,'[1]2_inventory_total_details'!$G$8:$G$10000,"="&amp;S76,'[1]2_inventory_total_details'!$H$8:$H$10000,"="&amp;T76,'[1]2_inventory_total_details'!$I$8:$I$10000,"="&amp;adj_date)))</f>
        <v/>
      </c>
      <c r="AB76" s="270" t="str">
        <f>IF(L76="","",IF(MID(N76,1,3)*1=1,SUMIFS('[1]1_inventory_total_details'!$J$8:$J$10000,'[1]1_inventory_total_details'!$C$8:$C$10000,I76,'[1]1_inventory_total_details'!$F$8:$F$10000,MID(N76,1,3)*1,'[1]1_inventory_total_details'!$G$8:$G$10000,"="&amp;S76,'[1]1_inventory_total_details'!$H$8:$H$10000,"="&amp;T76,'[1]1_inventory_total_details'!$I$8:$I$10000,"="&amp;adj_date)+SUMIFS('[1]1_inventory_total_details'!$M$8:$M$10000,'[1]1_inventory_total_details'!$C$8:$C$10000,I76,'[1]1_inventory_total_details'!$F$8:$F$10000,MID(N76,1,3)*1,'[1]1_inventory_total_details'!$G$8:$G$10000,"="&amp;S76,'[1]1_inventory_total_details'!$H$8:$H$10000,"="&amp;T76,'[1]1_inventory_total_details'!$I$8:$I$10000,"="&amp;adj_date)+SUMIFS('[1]1_inventory_total_details'!$K$8:$K$10000,'[1]1_inventory_total_details'!$C$8:$C$10000,I76,'[1]1_inventory_total_details'!$F$8:$F$10000,MID(N76,1,3)*1,'[1]1_inventory_total_details'!$G$8:$G$10000,"="&amp;S76,'[1]1_inventory_total_details'!$H$8:$H$10000,"="&amp;T76,'[1]1_inventory_total_details'!$I$8:$I$10000,"="&amp;adj_date)+SUMIFS('[1]1_inventory_total_details'!$L$8:$L$10000,'[1]1_inventory_total_details'!$C$8:$C$10000,I76,'[1]1_inventory_total_details'!$F$8:$F$10000,MID(N76,1,3)*1,'[1]1_inventory_total_details'!$G$8:$G$10000,"="&amp;S76,'[1]1_inventory_total_details'!$H$8:$H$10000,"="&amp;T76,'[1]1_inventory_total_details'!$I$8:$I$10000,"="&amp;adj_date),SUMIFS('[1]2_inventory_total_details'!$J$8:$J$10000,'[1]2_inventory_total_details'!$C$8:$C$10000,I76,'[1]2_inventory_total_details'!$F$8:$F$10000,MID(N76,1,3)*1,'[1]2_inventory_total_details'!$G$8:$G$10000,"="&amp;S76,'[1]2_inventory_total_details'!$H$8:$H$10000,"="&amp;T76,'[1]2_inventory_total_details'!$I$8:$I$10000,"="&amp;adj_date)+SUMIFS('[1]2_inventory_total_details'!$M$8:$M$10000,'[1]1_inventory_total_details'!$C$8:$C$10000,I76,'[1]2_inventory_total_details'!$F$8:$F$10000,MID(N76,1,3)*1,'[1]2_inventory_total_details'!$G$8:$G$10000,"="&amp;S76,'[1]2_inventory_total_details'!$H$8:$H$10000,"="&amp;T76,'[1]2_inventory_total_details'!$I$8:$I$10000,"="&amp;adj_date)+SUMIFS('[1]2_inventory_total_details'!$K$8:$K$10000,'[1]2_inventory_total_details'!$C$8:$C$10000,I76,'[1]2_inventory_total_details'!$F$8:$F$10000,MID(N76,1,3)*1,'[1]2_inventory_total_details'!$G$8:$G$10000,"="&amp;S76,'[1]2_inventory_total_details'!$H$8:$H$10000,"="&amp;T76,'[1]2_inventory_total_details'!$I$8:$I$10000,"="&amp;adj_date)+SUMIFS('[1]2_inventory_total_details'!$L$8:$L$10000,'[1]2_inventory_total_details'!$C$8:$C$10000,I76,'[1]2_inventory_total_details'!$F$8:$F$10000,MID(N76,1,3)*1,'[1]2_inventory_total_details'!$G$8:$G$10000,"="&amp;S76,'[1]2_inventory_total_details'!$H$8:$H$10000,"="&amp;T76,'[1]2_inventory_total_details'!$I$8:$I$10000,"="&amp;adj_date)))</f>
        <v/>
      </c>
      <c r="AC76" s="270" t="str">
        <f>IF(L76="","",IF(MID(N76,1,3)*1=1,SUMIFS('[1]1_inventory_total_details'!$J$8:$J$10000,'[1]1_inventory_total_details'!$C$8:$C$10000,I76,'[1]1_inventory_total_details'!$F$8:$F$10000,MID(N76,1,3)*1,'[1]1_inventory_total_details'!$G$8:$G$10000,"="&amp;S76,'[1]1_inventory_total_details'!$H$8:$H$10000,"="&amp;T76,'[1]1_inventory_total_details'!$I$8:$I$10000,"="&amp;adj_date)+SUMIFS('[1]1_inventory_total_details'!$M$8:$M$10000,'[1]1_inventory_total_details'!$C$8:$C$10000,I76,'[1]1_inventory_total_details'!$F$8:$F$10000,MID(N76,1,3)*1,'[1]1_inventory_total_details'!$G$8:$G$10000,"="&amp;S76,'[1]1_inventory_total_details'!$H$8:$H$10000,"="&amp;T76,'[1]1_inventory_total_details'!$I$8:$I$10000,"="&amp;adj_date)+SUMIFS('[1]1_inventory_total_details'!$K$8:$K$10000,'[1]1_inventory_total_details'!$C$8:$C$10000,I76,'[1]1_inventory_total_details'!$F$8:$F$10000,MID(N76,1,3)*1,'[1]1_inventory_total_details'!$G$8:$G$10000,"="&amp;S76,'[1]1_inventory_total_details'!$H$8:$H$10000,"="&amp;T76,'[1]1_inventory_total_details'!$I$8:$I$10000,"="&amp;adj_date)+SUMIFS('[1]1_inventory_total_details'!$L$8:$L$10000,'[1]1_inventory_total_details'!$C$8:$C$10000,I76,'[1]1_inventory_total_details'!$F$8:$F$10000,MID(N76,1,3)*1,'[1]1_inventory_total_details'!$G$8:$G$10000,"="&amp;S76,'[1]1_inventory_total_details'!$H$8:$H$10000,"="&amp;T76,'[1]1_inventory_total_details'!$I$8:$I$10000,"="&amp;adj_date),SUMIFS('[1]2_inventory_total_details'!$J$8:$J$10000,'[1]2_inventory_total_details'!$C$8:$C$10000,I76,'[1]2_inventory_total_details'!$F$8:$F$10000,MID(N76,1,3)*1,'[1]2_inventory_total_details'!$G$8:$G$10000,"="&amp;S76,'[1]2_inventory_total_details'!$H$8:$H$10000,"="&amp;T76,'[1]2_inventory_total_details'!$I$8:$I$10000,"="&amp;adj_date)+SUMIFS('[1]2_inventory_total_details'!$M$8:$M$10000,'[1]1_inventory_total_details'!$C$8:$C$10000,I76,'[1]2_inventory_total_details'!$F$8:$F$10000,MID(N76,1,3)*1,'[1]2_inventory_total_details'!$G$8:$G$10000,"="&amp;S76,'[1]2_inventory_total_details'!$H$8:$H$10000,"="&amp;T76,'[1]2_inventory_total_details'!$I$8:$I$10000,"="&amp;adj_date)+SUMIFS('[1]2_inventory_total_details'!$K$8:$K$10000,'[1]2_inventory_total_details'!$C$8:$C$10000,I76,'[1]2_inventory_total_details'!$F$8:$F$10000,MID(N76,1,3)*1,'[1]2_inventory_total_details'!$G$8:$G$10000,"="&amp;S76,'[1]2_inventory_total_details'!$H$8:$H$10000,"="&amp;T76,'[1]2_inventory_total_details'!$I$8:$I$10000,"="&amp;adj_date)+SUMIFS('[1]2_inventory_total_details'!$L$8:$L$10000,'[1]2_inventory_total_details'!$C$8:$C$10000,I76,'[1]2_inventory_total_details'!$F$8:$F$10000,MID(N76,1,3)*1,'[1]2_inventory_total_details'!$G$8:$G$10000,"="&amp;S76,'[1]2_inventory_total_details'!$H$8:$H$10000,"="&amp;T76,'[1]2_inventory_total_details'!$I$8:$I$10000,"="&amp;adj_date)))</f>
        <v/>
      </c>
      <c r="AD76" s="270" t="str">
        <f>IF(L76="","",SUMIFS('[1]1_group_totals'!$J$8:$J$10000,'[1]1_group_totals'!$C$8:$C$10000,I76,'[1]1_group_totals'!$F$8:$F$10000,adj_location_group_id,'[1]1_group_totals'!$G$8:$G$10000,MID(N76,1,3)*1,'[1]1_group_totals'!$H$8:$H$10000,"="&amp;S76,'[1]1_group_totals'!$I$8:$I$10000,"="&amp;T76))</f>
        <v/>
      </c>
      <c r="AE76" s="1796" t="str">
        <f t="shared" si="25"/>
        <v/>
      </c>
      <c r="AF76" s="1797" t="str">
        <f>IF(ISNA(MATCH(MID(AE76,1,3)*1,UomConversion!$D$8:$D$500,0)),"",IF(AJ76&lt;&gt;"",AJ76,""))</f>
        <v/>
      </c>
      <c r="AG76" s="1797" t="str">
        <f>IF(AND(AH76&gt;0,COUNTIFS(UomConversion!$D$8:$D$500,MID(AE76,1,3)*1,UomConversion!$J$8:$J$500,1)&gt;1),TEXT(AH76,"000")&amp;"."&amp;VLOOKUP(AH76,uom_list,5,FALSE),"")</f>
        <v/>
      </c>
      <c r="AH76" s="270" t="str">
        <f t="shared" si="26"/>
        <v/>
      </c>
      <c r="AI76" s="270" t="str">
        <f t="shared" si="27"/>
        <v/>
      </c>
      <c r="AJ76" s="270" t="str">
        <f t="shared" si="28"/>
        <v/>
      </c>
      <c r="AK76" s="270" t="str" cm="1">
        <f t="array" ref="AK76">IF(L76="","",Slookup(MID(AE76,1,3)*1,UomConversion!$D$8:$J$500,2,UomConversion!$I$8:$I$500,1,UomConversion!$J$8:$J$500,1))</f>
        <v/>
      </c>
      <c r="AL76" s="270" t="str">
        <f t="shared" si="29"/>
        <v/>
      </c>
      <c r="AM76" s="270" t="str">
        <f>IF(L76="","",(SUMIFS('[1]1_group_totals'!$K$8:$K$10000,'[1]1_group_totals'!$C$8:$C$10000,I76,'[1]1_group_totals'!$F$8:$F$10000,adj_location_group_id,'[1]1_group_totals'!$G$8:$G$10000,MID(N76,1,3)*1,'[1]1_group_totals'!$H$8:$H$10000,"="&amp;S76,'[1]1_group_totals'!$I$8:$I$10000,"="&amp;T76)+SUMIFS('[1]1_group_totals'!$N$8:$N$10000,'[1]1_group_totals'!$C$8:$C$10000,I76,'[1]1_group_totals'!$F$8:$F$10000,adj_location_group_id,'[1]1_group_totals'!$G$8:$G$10000,MID(N76,1,3)*1,'[1]1_group_totals'!$H$8:$H$10000,"="&amp;S76,'[1]1_group_totals'!$I$8:$I$10000,"="&amp;T76)+SUMIFS('[1]1_group_totals'!$P$8:$P$10000,'[1]1_group_totals'!$C$8:$C$10000,I76,'[1]1_group_totals'!$F$8:$F$10000,adj_location_group_id,'[1]1_group_totals'!$G$8:$G$10000,MID(N76,1,3)*1,'[1]1_group_totals'!$H$8:$H$10000,"="&amp;S76,'[1]1_group_totals'!$I$8:$I$10000,"="&amp;T76)+SUMIFS('[1]1_group_totals'!$Q$8:$Q$10000,'[1]1_group_totals'!$C$8:$C$10000,I76,'[1]1_group_totals'!$F$8:$F$10000,adj_location_group_id,'[1]1_group_totals'!$G$8:$G$10000,MID(N76,1,3)*1,'[1]1_group_totals'!$H$8:$H$10000,"="&amp;S76,'[1]1_group_totals'!$I$8:$I$10000,"="&amp;T76))+(SUMIFS('[1]1_group_totals'!$L$8:$L$10000,'[1]1_group_totals'!$C$8:$C$10000,I76,'[1]1_group_totals'!$F$8:$F$10000,adj_location_group_id,'[1]1_group_totals'!$G$8:$G$10000,MID(N76,1,3)*1,'[1]1_group_totals'!$H$8:$H$10000,"="&amp;S76,'[1]1_group_totals'!$I$8:$I$10000,"="&amp;T76)+SUMIFS('[1]1_group_totals'!$M$8:$M$10000,'[1]1_group_totals'!$C$8:$C$10000,I76,'[1]1_group_totals'!$F$8:$F$10000,adj_location_group_id,'[1]1_group_totals'!$G$8:$G$10000,MID(N76,1,3)*1,'[1]1_group_totals'!$H$8:$H$10000,"="&amp;S76,'[1]1_group_totals'!$I$8:$I$10000,"="&amp;T76)+SUMIFS('[1]1_group_totals'!$O$8:$O$10000,'[1]1_group_totals'!$C$8:$C$10000,I76,'[1]1_group_totals'!$F$8:$F$10000,adj_location_group_id,'[1]1_group_totals'!$G$8:$G$10000,MID(N76,1,3)*1,'[1]1_group_totals'!$H$8:$H$10000,"="&amp;S76,'[1]1_group_totals'!$I$8:$I$10000,"="&amp;T76)+SUMIFS('[1]1_group_totals'!$R$8:$R$10000,'[1]1_group_totals'!$C$8:$C$10000,I76,'[1]1_group_totals'!$F$8:$F$10000,adj_location_group_id,'[1]1_group_totals'!$G$8:$G$10000,MID(N76,1,3)*1,'[1]1_group_totals'!$H$8:$H$10000,"="&amp;S76,'[1]1_group_totals'!$I$8:$I$10000,"="&amp;T76)))</f>
        <v/>
      </c>
      <c r="AN76" s="270" t="str">
        <f>IF(L76="","",(SUMIFS('[1]1_inventory_totals'!$I$8:$I$10000,'[1]1_inventory_totals'!$C$8:$C$10000,I76,'[1]1_inventory_totals'!$F$8:$F$10000,"="&amp;S76,'[1]1_inventory_totals'!$G$8:$G$10000,"="&amp;T76)+SUMIFS('[1]1_inventory_totals'!$N$8:$N$10000,'[1]1_inventory_totals'!$C$8:$C$10000,I76,'[1]1_inventory_totals'!$F$8:$F$10000,"="&amp;S76,'[1]1_inventory_totals'!$G$8:$G$10000,"="&amp;T76)+SUMIFS('[1]1_inventory_totals'!$P$8:$P$10000,'[1]1_inventory_totals'!$C$8:$C$10000,I76,'[1]1_inventory_totals'!$F$8:$F$10000,"="&amp;S76,'[1]1_inventory_totals'!$G$8:$G$10000,"="&amp;T76)+SUMIFS('[1]1_inventory_totals'!$Q$8:$Q$10000,'[1]1_inventory_totals'!$C$8:$C$10000,I76,'[1]1_inventory_totals'!$F$8:$F$10000,"="&amp;S76,'[1]1_inventory_totals'!$G$8:$G$10000,"="&amp;T76)+SUMIFS('[1]1_inventory_totals'!$R$8:$R$10000,'[1]1_inventory_totals'!$C$8:$C$10000,I76,'[1]1_inventory_totals'!$F$8:$F$10000,"="&amp;S76,'[1]1_inventory_totals'!$G$8:$G$10000,"="&amp;T76))+(SUMIFS('[1]1_inventory_totals'!$J$8:$J$10000,'[1]1_inventory_totals'!$C$8:$C$10000,I76,'[1]1_inventory_totals'!$F$8:$F$10000,"="&amp;S76,'[1]1_inventory_totals'!$G$8:$G$10000,"="&amp;T76)+SUMIFS('[1]1_inventory_totals'!$K$8:$K$10000,'[1]1_inventory_totals'!$C$8:$C$10000,I76,'[1]1_inventory_totals'!$F$8:$F$10000,"="&amp;S76,'[1]1_inventory_totals'!$G$8:$G$10000,"="&amp;T76)+SUMIFS('[1]1_inventory_totals'!$L$8:$L$10000,'[1]1_inventory_totals'!$C$8:$C$10000,I76,'[1]1_inventory_totals'!$F$8:$F$10000,"="&amp;S76,'[1]1_inventory_totals'!$G$8:$G$10000,"="&amp;T76)+SUMIFS('[1]1_inventory_totals'!$M$8:$M$10000,'[1]1_inventory_totals'!$C$8:$C$10000,I76,'[1]1_inventory_totals'!$F$8:$F$10000,"="&amp;S76,'[1]1_inventory_totals'!$G$8:$G$10000,"="&amp;T76)+SUMIFS('[1]1_inventory_totals'!$O$8:$O$10000,'[1]1_inventory_totals'!$C$8:$C$10000,I76,'[1]1_inventory_totals'!$F$8:$F$10000,"="&amp;S76,'[1]1_inventory_totals'!$G$8:$G$10000,"="&amp;T76)+SUMIFS('[1]1_inventory_totals'!$S$8:$S$10000,'[1]1_inventory_totals'!$C$8:$C$10000,I76,'[1]1_inventory_totals'!$F$8:$F$10000,"="&amp;S76,'[1]1_inventory_totals'!$G$8:$G$10000,"="&amp;T76)))</f>
        <v/>
      </c>
      <c r="AO76" s="270" t="str">
        <f>IF(L76="","",(SUMIFS('[1]2_inventory_totals'!$I$8:$I$10000,'[1]2_inventory_totals'!$C$8:$C$10000,I76,'[1]2_inventory_totals'!$F$8:$F$10000,"="&amp;S76,'[1]2_inventory_totals'!$G$8:$G$10000,"="&amp;T76)+SUMIFS('[1]2_inventory_totals'!$N$8:$N$10000,'[1]2_inventory_totals'!$C$8:$C$10000,I76,'[1]2_inventory_totals'!$F$8:$F$10000,"="&amp;S76,'[1]2_inventory_totals'!$G$8:$G$10000,"="&amp;T76)+SUMIFS('[1]2_inventory_totals'!$P$8:$P$10000,'[1]2_inventory_totals'!$C$8:$C$10000,I76,'[1]2_inventory_totals'!$F$8:$F$10000,"="&amp;S76,'[1]2_inventory_totals'!$G$8:$G$10000,"="&amp;T76)+SUMIFS('[1]2_inventory_totals'!$Q$8:$Q$10000,'[1]2_inventory_totals'!$C$8:$C$10000,I76,'[1]2_inventory_totals'!$F$8:$F$10000,"="&amp;S76,'[1]2_inventory_totals'!$G$8:$G$10000,"="&amp;T76)+SUMIFS('[1]2_inventory_totals'!$R$8:$R$10000,'[1]2_inventory_totals'!$C$8:$C$10000,I76,'[1]2_inventory_totals'!$F$8:$F$10000,"="&amp;S76,'[1]2_inventory_totals'!$G$8:$G$10000,"="&amp;T76))+(SUMIFS('[1]2_inventory_totals'!$J$8:$J$10000,'[1]2_inventory_totals'!$C$8:$C$10000,I76,'[1]2_inventory_totals'!$F$8:$F$10000,"="&amp;S76,'[1]2_inventory_totals'!$G$8:$G$10000,"="&amp;T76)+SUMIFS('[1]2_inventory_totals'!$K$8:$K$10000,'[1]2_inventory_totals'!$C$8:$C$10000,I76,'[1]2_inventory_totals'!$F$8:$F$10000,"="&amp;S76,'[1]2_inventory_totals'!$G$8:$G$10000,"="&amp;T76)+SUMIFS('[1]2_inventory_totals'!$L$8:$L$10000,'[1]2_inventory_totals'!$C$8:$C$10000,I76,'[1]2_inventory_totals'!$F$8:$F$10000,"="&amp;S76,'[1]2_inventory_totals'!$G$8:$G$10000,"="&amp;T76)+SUMIFS('[1]2_inventory_totals'!$M$8:$M$10000,'[1]2_inventory_totals'!$C$8:$C$10000,I76,'[1]2_inventory_totals'!$F$8:$F$10000,"="&amp;S76,'[1]2_inventory_totals'!$G$8:$G$10000,"="&amp;T76)+SUMIFS('[1]2_inventory_totals'!$O$8:$O$10000,'[1]2_inventory_totals'!$C$8:$C$10000,I76,'[1]2_inventory_totals'!$F$8:$F$10000,"="&amp;S76,'[1]2_inventory_totals'!$G$8:$G$10000,"="&amp;T76)+SUMIFS('[1]2_inventory_totals'!$S$8:$S$10000,'[1]2_inventory_totals'!$C$8:$C$10000,I76,'[1]2_inventory_totals'!$F$8:$F$10000,"="&amp;S76,'[1]2_inventory_totals'!$G$8:$G$10000,"="&amp;T76)))</f>
        <v/>
      </c>
      <c r="AP76" s="954"/>
    </row>
    <row r="77" spans="1:42" ht="27" customHeight="1">
      <c r="A77" s="923"/>
      <c r="B77" s="1178"/>
      <c r="C77" s="950"/>
      <c r="D77" s="950"/>
      <c r="E77" s="950"/>
      <c r="F77" s="1199"/>
      <c r="G77" s="941"/>
      <c r="H77" s="1070"/>
      <c r="I77" s="1610" t="str">
        <f t="shared" si="20"/>
        <v/>
      </c>
      <c r="J77" s="270" t="str">
        <f t="shared" si="21"/>
        <v/>
      </c>
      <c r="K77" s="813" t="str">
        <f t="shared" si="18"/>
        <v/>
      </c>
      <c r="L77" s="1184"/>
      <c r="M77" s="1185"/>
      <c r="N77" s="1186"/>
      <c r="O77" s="1534"/>
      <c r="P77" s="336" t="str">
        <f t="shared" si="19"/>
        <v/>
      </c>
      <c r="Q77" s="336" t="str">
        <f>IF(L77="","",IF(AD77=0,0,(SUMIFS('[1]1_group_total_details'!$I$8:$I$10000,'[1]1_group_total_details'!$C$8:$C$10000,I77,'[1]1_group_total_details'!$F$8:$F$10000,adj_location_group_id,'[1]1_group_total_details'!$G$8:$G$10000,MID(N77,1,3)*1,'[1]1_group_total_details'!$H$8:$H$10000,"&lt;="&amp;adj_date)+SUMIFS('[1]1_group_total_details'!$L$8:$L$10000,'[1]1_group_total_details'!$C$8:$C$10000,I77,'[1]1_group_total_details'!$F$8:$F$10000,adj_location_group_id,'[1]1_group_total_details'!$G$8:$G$10000,MID(N77,1,3)*1,'[1]1_group_total_details'!$H$8:$H$10000,"&lt;="&amp;adj_date)+SUMIFS('[1]1_group_total_details'!$N$8:$N$10000,'[1]1_group_total_details'!$C$8:$C$10000,I77,'[1]1_group_total_details'!$F$8:$F$10000,adj_location_group_id,'[1]1_group_total_details'!$G$8:$G$10000,MID(N77,1,3)*1,'[1]1_group_total_details'!$H$8:$H$10000,"&lt;="&amp;adj_date)+SUMIFS('[1]1_group_total_details'!$O$8:$O$10000,'[1]1_group_total_details'!$C$8:$C$10000,I77,'[1]1_group_total_details'!$F$8:$F$10000,adj_location_group_id,'[1]1_group_total_details'!$G$8:$G$10000,MID(N77,1,3)*1,'[1]1_group_total_details'!$H$8:$H$10000,"&lt;="&amp;adj_date))-(SUMIFS('[1]1_group_total_details'!$J$8:$J$10000,'[1]1_group_total_details'!$C$8:$C$10000,I77,'[1]1_group_total_details'!$F$8:$F$10000,adj_location_group_id,'[1]1_group_total_details'!$G$8:$G$10000,MID(N77,1,3)*1,'[1]1_group_total_details'!$H$8:$H$10000,"&lt;="&amp;adj_date)+SUMIFS('[1]1_group_total_details'!$K$8:$K$10000,'[1]1_group_total_details'!$C$8:$C$10000,I77,'[1]1_group_total_details'!$F$8:$F$10000,adj_location_group_id,'[1]1_group_total_details'!$G$8:$G$10000,MID(N77,1,3)*1,'[1]1_group_total_details'!$H$8:$H$10000,"&lt;="&amp;adj_date)+SUMIFS('[1]1_group_total_details'!$M$8:$M$10000,'[1]1_group_total_details'!$C$8:$C$10000,I77,'[1]1_group_total_details'!$F$8:$F$10000,adj_location_group_id,'[1]1_group_total_details'!$G$8:$G$10000,MID(N77,1,3)*1,'[1]1_group_total_details'!$H$8:$H$10000,"&lt;="&amp;adj_date)+SUMIFS('[1]1_group_total_details'!$P$8:$P$10000,'[1]1_group_total_details'!$C$8:$C$10000,I77,'[1]1_group_total_details'!$F$8:$F$10000,adj_location_group_id,'[1]1_group_total_details'!$G$8:$G$10000,MID(N77,1,3)*1,'[1]1_group_total_details'!$H$8:$H$10000,"&lt;="&amp;adj_date))))</f>
        <v/>
      </c>
      <c r="R77" s="1187"/>
      <c r="S77" s="1186"/>
      <c r="T77" s="1186"/>
      <c r="U77" s="1184"/>
      <c r="V77" s="270" t="str" cm="1">
        <f t="array" ref="V77">IF(L77="","",IF(M77=AE77,1,Slookup(MID(AE77,1,3)*1,UomConversion!$D$8:$J$500,5,UomConversion!$E$8:$E$500,MID(M77,1,3)*1,UomConversion!$J$8:$J$500,1)))</f>
        <v/>
      </c>
      <c r="W77" s="270" t="str">
        <f t="shared" si="22"/>
        <v/>
      </c>
      <c r="X77" s="1795" t="str">
        <f t="shared" si="23"/>
        <v/>
      </c>
      <c r="Y77" s="1795" t="str">
        <f t="shared" si="24"/>
        <v/>
      </c>
      <c r="Z77" s="270" t="str">
        <f>IF(I77="","",IF(ISNA(MATCH(I77,IF(MID(N77,1,3)*1=1,'[1]1_inventory_totals'!$C$8:$C$10000,IF(MID(N77,1,3)*1=2,'[1]2_inventory_totals'!$C$8:$C$10000,"")),0)),0,IF(AL77&gt;0,1,0)))</f>
        <v/>
      </c>
      <c r="AA77" s="270" t="str">
        <f>IF(L77="","",IF(MID(N77,1,3)*1=1,SUMIFS('[1]1_inventory_total_details'!$J$8:$J$10000,'[1]1_inventory_total_details'!$C$8:$C$10000,I77,'[1]1_inventory_total_details'!$F$8:$F$10000,MID(N77,1,3)*1,'[1]1_inventory_total_details'!$G$8:$G$10000,"="&amp;S77,'[1]1_inventory_total_details'!$H$8:$H$10000,"="&amp;T77,'[1]1_inventory_total_details'!$I$8:$I$10000,"="&amp;adj_date)+SUMIFS('[1]1_inventory_total_details'!$M$8:$M$10000,'[1]1_inventory_total_details'!$C$8:$C$10000,I77,'[1]1_inventory_total_details'!$F$8:$F$10000,MID(N77,1,3)*1,'[1]1_inventory_total_details'!$G$8:$G$10000,"="&amp;S77,'[1]1_inventory_total_details'!$H$8:$H$10000,"="&amp;T77,'[1]1_inventory_total_details'!$I$8:$I$10000,"="&amp;adj_date)+SUMIFS('[1]1_inventory_total_details'!$K$8:$K$10000,'[1]1_inventory_total_details'!$C$8:$C$10000,I77,'[1]1_inventory_total_details'!$F$8:$F$10000,MID(N77,1,3)*1,'[1]1_inventory_total_details'!$G$8:$G$10000,"="&amp;S77,'[1]1_inventory_total_details'!$H$8:$H$10000,"="&amp;T77,'[1]1_inventory_total_details'!$I$8:$I$10000,"="&amp;adj_date)+SUMIFS('[1]1_inventory_total_details'!$L$8:$L$10000,'[1]1_inventory_total_details'!$C$8:$C$10000,I77,'[1]1_inventory_total_details'!$F$8:$F$10000,MID(N77,1,3)*1,'[1]1_inventory_total_details'!$G$8:$G$10000,"="&amp;S77,'[1]1_inventory_total_details'!$H$8:$H$10000,"="&amp;T77,'[1]1_inventory_total_details'!$I$8:$I$10000,"="&amp;adj_date),SUMIFS('[1]2_inventory_total_details'!$J$8:$J$10000,'[1]2_inventory_total_details'!$C$8:$C$10000,I77,'[1]2_inventory_total_details'!$F$8:$F$10000,MID(N77,1,3)*1,'[1]2_inventory_total_details'!$G$8:$G$10000,"="&amp;S77,'[1]2_inventory_total_details'!$H$8:$H$10000,"="&amp;T77,'[1]2_inventory_total_details'!$I$8:$I$10000,"="&amp;adj_date)+SUMIFS('[1]2_inventory_total_details'!$M$8:$M$10000,'[1]1_inventory_total_details'!$C$8:$C$10000,I77,'[1]2_inventory_total_details'!$F$8:$F$10000,MID(N77,1,3)*1,'[1]2_inventory_total_details'!$G$8:$G$10000,"="&amp;S77,'[1]2_inventory_total_details'!$H$8:$H$10000,"="&amp;T77,'[1]2_inventory_total_details'!$I$8:$I$10000,"="&amp;adj_date)+SUMIFS('[1]2_inventory_total_details'!$K$8:$K$10000,'[1]2_inventory_total_details'!$C$8:$C$10000,I77,'[1]2_inventory_total_details'!$F$8:$F$10000,MID(N77,1,3)*1,'[1]2_inventory_total_details'!$G$8:$G$10000,"="&amp;S77,'[1]2_inventory_total_details'!$H$8:$H$10000,"="&amp;T77,'[1]2_inventory_total_details'!$I$8:$I$10000,"="&amp;adj_date)+SUMIFS('[1]2_inventory_total_details'!$L$8:$L$10000,'[1]2_inventory_total_details'!$C$8:$C$10000,I77,'[1]2_inventory_total_details'!$F$8:$F$10000,MID(N77,1,3)*1,'[1]2_inventory_total_details'!$G$8:$G$10000,"="&amp;S77,'[1]2_inventory_total_details'!$H$8:$H$10000,"="&amp;T77,'[1]2_inventory_total_details'!$I$8:$I$10000,"="&amp;adj_date)))</f>
        <v/>
      </c>
      <c r="AB77" s="270" t="str">
        <f>IF(L77="","",IF(MID(N77,1,3)*1=1,SUMIFS('[1]1_inventory_total_details'!$J$8:$J$10000,'[1]1_inventory_total_details'!$C$8:$C$10000,I77,'[1]1_inventory_total_details'!$F$8:$F$10000,MID(N77,1,3)*1,'[1]1_inventory_total_details'!$G$8:$G$10000,"="&amp;S77,'[1]1_inventory_total_details'!$H$8:$H$10000,"="&amp;T77,'[1]1_inventory_total_details'!$I$8:$I$10000,"="&amp;adj_date)+SUMIFS('[1]1_inventory_total_details'!$M$8:$M$10000,'[1]1_inventory_total_details'!$C$8:$C$10000,I77,'[1]1_inventory_total_details'!$F$8:$F$10000,MID(N77,1,3)*1,'[1]1_inventory_total_details'!$G$8:$G$10000,"="&amp;S77,'[1]1_inventory_total_details'!$H$8:$H$10000,"="&amp;T77,'[1]1_inventory_total_details'!$I$8:$I$10000,"="&amp;adj_date)+SUMIFS('[1]1_inventory_total_details'!$K$8:$K$10000,'[1]1_inventory_total_details'!$C$8:$C$10000,I77,'[1]1_inventory_total_details'!$F$8:$F$10000,MID(N77,1,3)*1,'[1]1_inventory_total_details'!$G$8:$G$10000,"="&amp;S77,'[1]1_inventory_total_details'!$H$8:$H$10000,"="&amp;T77,'[1]1_inventory_total_details'!$I$8:$I$10000,"="&amp;adj_date)+SUMIFS('[1]1_inventory_total_details'!$L$8:$L$10000,'[1]1_inventory_total_details'!$C$8:$C$10000,I77,'[1]1_inventory_total_details'!$F$8:$F$10000,MID(N77,1,3)*1,'[1]1_inventory_total_details'!$G$8:$G$10000,"="&amp;S77,'[1]1_inventory_total_details'!$H$8:$H$10000,"="&amp;T77,'[1]1_inventory_total_details'!$I$8:$I$10000,"="&amp;adj_date),SUMIFS('[1]2_inventory_total_details'!$J$8:$J$10000,'[1]2_inventory_total_details'!$C$8:$C$10000,I77,'[1]2_inventory_total_details'!$F$8:$F$10000,MID(N77,1,3)*1,'[1]2_inventory_total_details'!$G$8:$G$10000,"="&amp;S77,'[1]2_inventory_total_details'!$H$8:$H$10000,"="&amp;T77,'[1]2_inventory_total_details'!$I$8:$I$10000,"="&amp;adj_date)+SUMIFS('[1]2_inventory_total_details'!$M$8:$M$10000,'[1]1_inventory_total_details'!$C$8:$C$10000,I77,'[1]2_inventory_total_details'!$F$8:$F$10000,MID(N77,1,3)*1,'[1]2_inventory_total_details'!$G$8:$G$10000,"="&amp;S77,'[1]2_inventory_total_details'!$H$8:$H$10000,"="&amp;T77,'[1]2_inventory_total_details'!$I$8:$I$10000,"="&amp;adj_date)+SUMIFS('[1]2_inventory_total_details'!$K$8:$K$10000,'[1]2_inventory_total_details'!$C$8:$C$10000,I77,'[1]2_inventory_total_details'!$F$8:$F$10000,MID(N77,1,3)*1,'[1]2_inventory_total_details'!$G$8:$G$10000,"="&amp;S77,'[1]2_inventory_total_details'!$H$8:$H$10000,"="&amp;T77,'[1]2_inventory_total_details'!$I$8:$I$10000,"="&amp;adj_date)+SUMIFS('[1]2_inventory_total_details'!$L$8:$L$10000,'[1]2_inventory_total_details'!$C$8:$C$10000,I77,'[1]2_inventory_total_details'!$F$8:$F$10000,MID(N77,1,3)*1,'[1]2_inventory_total_details'!$G$8:$G$10000,"="&amp;S77,'[1]2_inventory_total_details'!$H$8:$H$10000,"="&amp;T77,'[1]2_inventory_total_details'!$I$8:$I$10000,"="&amp;adj_date)))</f>
        <v/>
      </c>
      <c r="AC77" s="270" t="str">
        <f>IF(L77="","",IF(MID(N77,1,3)*1=1,SUMIFS('[1]1_inventory_total_details'!$J$8:$J$10000,'[1]1_inventory_total_details'!$C$8:$C$10000,I77,'[1]1_inventory_total_details'!$F$8:$F$10000,MID(N77,1,3)*1,'[1]1_inventory_total_details'!$G$8:$G$10000,"="&amp;S77,'[1]1_inventory_total_details'!$H$8:$H$10000,"="&amp;T77,'[1]1_inventory_total_details'!$I$8:$I$10000,"="&amp;adj_date)+SUMIFS('[1]1_inventory_total_details'!$M$8:$M$10000,'[1]1_inventory_total_details'!$C$8:$C$10000,I77,'[1]1_inventory_total_details'!$F$8:$F$10000,MID(N77,1,3)*1,'[1]1_inventory_total_details'!$G$8:$G$10000,"="&amp;S77,'[1]1_inventory_total_details'!$H$8:$H$10000,"="&amp;T77,'[1]1_inventory_total_details'!$I$8:$I$10000,"="&amp;adj_date)+SUMIFS('[1]1_inventory_total_details'!$K$8:$K$10000,'[1]1_inventory_total_details'!$C$8:$C$10000,I77,'[1]1_inventory_total_details'!$F$8:$F$10000,MID(N77,1,3)*1,'[1]1_inventory_total_details'!$G$8:$G$10000,"="&amp;S77,'[1]1_inventory_total_details'!$H$8:$H$10000,"="&amp;T77,'[1]1_inventory_total_details'!$I$8:$I$10000,"="&amp;adj_date)+SUMIFS('[1]1_inventory_total_details'!$L$8:$L$10000,'[1]1_inventory_total_details'!$C$8:$C$10000,I77,'[1]1_inventory_total_details'!$F$8:$F$10000,MID(N77,1,3)*1,'[1]1_inventory_total_details'!$G$8:$G$10000,"="&amp;S77,'[1]1_inventory_total_details'!$H$8:$H$10000,"="&amp;T77,'[1]1_inventory_total_details'!$I$8:$I$10000,"="&amp;adj_date),SUMIFS('[1]2_inventory_total_details'!$J$8:$J$10000,'[1]2_inventory_total_details'!$C$8:$C$10000,I77,'[1]2_inventory_total_details'!$F$8:$F$10000,MID(N77,1,3)*1,'[1]2_inventory_total_details'!$G$8:$G$10000,"="&amp;S77,'[1]2_inventory_total_details'!$H$8:$H$10000,"="&amp;T77,'[1]2_inventory_total_details'!$I$8:$I$10000,"="&amp;adj_date)+SUMIFS('[1]2_inventory_total_details'!$M$8:$M$10000,'[1]1_inventory_total_details'!$C$8:$C$10000,I77,'[1]2_inventory_total_details'!$F$8:$F$10000,MID(N77,1,3)*1,'[1]2_inventory_total_details'!$G$8:$G$10000,"="&amp;S77,'[1]2_inventory_total_details'!$H$8:$H$10000,"="&amp;T77,'[1]2_inventory_total_details'!$I$8:$I$10000,"="&amp;adj_date)+SUMIFS('[1]2_inventory_total_details'!$K$8:$K$10000,'[1]2_inventory_total_details'!$C$8:$C$10000,I77,'[1]2_inventory_total_details'!$F$8:$F$10000,MID(N77,1,3)*1,'[1]2_inventory_total_details'!$G$8:$G$10000,"="&amp;S77,'[1]2_inventory_total_details'!$H$8:$H$10000,"="&amp;T77,'[1]2_inventory_total_details'!$I$8:$I$10000,"="&amp;adj_date)+SUMIFS('[1]2_inventory_total_details'!$L$8:$L$10000,'[1]2_inventory_total_details'!$C$8:$C$10000,I77,'[1]2_inventory_total_details'!$F$8:$F$10000,MID(N77,1,3)*1,'[1]2_inventory_total_details'!$G$8:$G$10000,"="&amp;S77,'[1]2_inventory_total_details'!$H$8:$H$10000,"="&amp;T77,'[1]2_inventory_total_details'!$I$8:$I$10000,"="&amp;adj_date)))</f>
        <v/>
      </c>
      <c r="AD77" s="270" t="str">
        <f>IF(L77="","",SUMIFS('[1]1_group_totals'!$J$8:$J$10000,'[1]1_group_totals'!$C$8:$C$10000,I77,'[1]1_group_totals'!$F$8:$F$10000,adj_location_group_id,'[1]1_group_totals'!$G$8:$G$10000,MID(N77,1,3)*1,'[1]1_group_totals'!$H$8:$H$10000,"="&amp;S77,'[1]1_group_totals'!$I$8:$I$10000,"="&amp;T77))</f>
        <v/>
      </c>
      <c r="AE77" s="1796" t="str">
        <f t="shared" si="25"/>
        <v/>
      </c>
      <c r="AF77" s="1797" t="str">
        <f>IF(ISNA(MATCH(MID(AE77,1,3)*1,UomConversion!$D$8:$D$500,0)),"",IF(AJ77&lt;&gt;"",AJ77,""))</f>
        <v/>
      </c>
      <c r="AG77" s="1797" t="str">
        <f>IF(AND(AH77&gt;0,COUNTIFS(UomConversion!$D$8:$D$500,MID(AE77,1,3)*1,UomConversion!$J$8:$J$500,1)&gt;1),TEXT(AH77,"000")&amp;"."&amp;VLOOKUP(AH77,uom_list,5,FALSE),"")</f>
        <v/>
      </c>
      <c r="AH77" s="270" t="str">
        <f t="shared" si="26"/>
        <v/>
      </c>
      <c r="AI77" s="270" t="str">
        <f t="shared" si="27"/>
        <v/>
      </c>
      <c r="AJ77" s="270" t="str">
        <f t="shared" si="28"/>
        <v/>
      </c>
      <c r="AK77" s="270" t="str" cm="1">
        <f t="array" ref="AK77">IF(L77="","",Slookup(MID(AE77,1,3)*1,UomConversion!$D$8:$J$500,2,UomConversion!$I$8:$I$500,1,UomConversion!$J$8:$J$500,1))</f>
        <v/>
      </c>
      <c r="AL77" s="270" t="str">
        <f t="shared" si="29"/>
        <v/>
      </c>
      <c r="AM77" s="270" t="str">
        <f>IF(L77="","",(SUMIFS('[1]1_group_totals'!$K$8:$K$10000,'[1]1_group_totals'!$C$8:$C$10000,I77,'[1]1_group_totals'!$F$8:$F$10000,adj_location_group_id,'[1]1_group_totals'!$G$8:$G$10000,MID(N77,1,3)*1,'[1]1_group_totals'!$H$8:$H$10000,"="&amp;S77,'[1]1_group_totals'!$I$8:$I$10000,"="&amp;T77)+SUMIFS('[1]1_group_totals'!$N$8:$N$10000,'[1]1_group_totals'!$C$8:$C$10000,I77,'[1]1_group_totals'!$F$8:$F$10000,adj_location_group_id,'[1]1_group_totals'!$G$8:$G$10000,MID(N77,1,3)*1,'[1]1_group_totals'!$H$8:$H$10000,"="&amp;S77,'[1]1_group_totals'!$I$8:$I$10000,"="&amp;T77)+SUMIFS('[1]1_group_totals'!$P$8:$P$10000,'[1]1_group_totals'!$C$8:$C$10000,I77,'[1]1_group_totals'!$F$8:$F$10000,adj_location_group_id,'[1]1_group_totals'!$G$8:$G$10000,MID(N77,1,3)*1,'[1]1_group_totals'!$H$8:$H$10000,"="&amp;S77,'[1]1_group_totals'!$I$8:$I$10000,"="&amp;T77)+SUMIFS('[1]1_group_totals'!$Q$8:$Q$10000,'[1]1_group_totals'!$C$8:$C$10000,I77,'[1]1_group_totals'!$F$8:$F$10000,adj_location_group_id,'[1]1_group_totals'!$G$8:$G$10000,MID(N77,1,3)*1,'[1]1_group_totals'!$H$8:$H$10000,"="&amp;S77,'[1]1_group_totals'!$I$8:$I$10000,"="&amp;T77))+(SUMIFS('[1]1_group_totals'!$L$8:$L$10000,'[1]1_group_totals'!$C$8:$C$10000,I77,'[1]1_group_totals'!$F$8:$F$10000,adj_location_group_id,'[1]1_group_totals'!$G$8:$G$10000,MID(N77,1,3)*1,'[1]1_group_totals'!$H$8:$H$10000,"="&amp;S77,'[1]1_group_totals'!$I$8:$I$10000,"="&amp;T77)+SUMIFS('[1]1_group_totals'!$M$8:$M$10000,'[1]1_group_totals'!$C$8:$C$10000,I77,'[1]1_group_totals'!$F$8:$F$10000,adj_location_group_id,'[1]1_group_totals'!$G$8:$G$10000,MID(N77,1,3)*1,'[1]1_group_totals'!$H$8:$H$10000,"="&amp;S77,'[1]1_group_totals'!$I$8:$I$10000,"="&amp;T77)+SUMIFS('[1]1_group_totals'!$O$8:$O$10000,'[1]1_group_totals'!$C$8:$C$10000,I77,'[1]1_group_totals'!$F$8:$F$10000,adj_location_group_id,'[1]1_group_totals'!$G$8:$G$10000,MID(N77,1,3)*1,'[1]1_group_totals'!$H$8:$H$10000,"="&amp;S77,'[1]1_group_totals'!$I$8:$I$10000,"="&amp;T77)+SUMIFS('[1]1_group_totals'!$R$8:$R$10000,'[1]1_group_totals'!$C$8:$C$10000,I77,'[1]1_group_totals'!$F$8:$F$10000,adj_location_group_id,'[1]1_group_totals'!$G$8:$G$10000,MID(N77,1,3)*1,'[1]1_group_totals'!$H$8:$H$10000,"="&amp;S77,'[1]1_group_totals'!$I$8:$I$10000,"="&amp;T77)))</f>
        <v/>
      </c>
      <c r="AN77" s="270" t="str">
        <f>IF(L77="","",(SUMIFS('[1]1_inventory_totals'!$I$8:$I$10000,'[1]1_inventory_totals'!$C$8:$C$10000,I77,'[1]1_inventory_totals'!$F$8:$F$10000,"="&amp;S77,'[1]1_inventory_totals'!$G$8:$G$10000,"="&amp;T77)+SUMIFS('[1]1_inventory_totals'!$N$8:$N$10000,'[1]1_inventory_totals'!$C$8:$C$10000,I77,'[1]1_inventory_totals'!$F$8:$F$10000,"="&amp;S77,'[1]1_inventory_totals'!$G$8:$G$10000,"="&amp;T77)+SUMIFS('[1]1_inventory_totals'!$P$8:$P$10000,'[1]1_inventory_totals'!$C$8:$C$10000,I77,'[1]1_inventory_totals'!$F$8:$F$10000,"="&amp;S77,'[1]1_inventory_totals'!$G$8:$G$10000,"="&amp;T77)+SUMIFS('[1]1_inventory_totals'!$Q$8:$Q$10000,'[1]1_inventory_totals'!$C$8:$C$10000,I77,'[1]1_inventory_totals'!$F$8:$F$10000,"="&amp;S77,'[1]1_inventory_totals'!$G$8:$G$10000,"="&amp;T77)+SUMIFS('[1]1_inventory_totals'!$R$8:$R$10000,'[1]1_inventory_totals'!$C$8:$C$10000,I77,'[1]1_inventory_totals'!$F$8:$F$10000,"="&amp;S77,'[1]1_inventory_totals'!$G$8:$G$10000,"="&amp;T77))+(SUMIFS('[1]1_inventory_totals'!$J$8:$J$10000,'[1]1_inventory_totals'!$C$8:$C$10000,I77,'[1]1_inventory_totals'!$F$8:$F$10000,"="&amp;S77,'[1]1_inventory_totals'!$G$8:$G$10000,"="&amp;T77)+SUMIFS('[1]1_inventory_totals'!$K$8:$K$10000,'[1]1_inventory_totals'!$C$8:$C$10000,I77,'[1]1_inventory_totals'!$F$8:$F$10000,"="&amp;S77,'[1]1_inventory_totals'!$G$8:$G$10000,"="&amp;T77)+SUMIFS('[1]1_inventory_totals'!$L$8:$L$10000,'[1]1_inventory_totals'!$C$8:$C$10000,I77,'[1]1_inventory_totals'!$F$8:$F$10000,"="&amp;S77,'[1]1_inventory_totals'!$G$8:$G$10000,"="&amp;T77)+SUMIFS('[1]1_inventory_totals'!$M$8:$M$10000,'[1]1_inventory_totals'!$C$8:$C$10000,I77,'[1]1_inventory_totals'!$F$8:$F$10000,"="&amp;S77,'[1]1_inventory_totals'!$G$8:$G$10000,"="&amp;T77)+SUMIFS('[1]1_inventory_totals'!$O$8:$O$10000,'[1]1_inventory_totals'!$C$8:$C$10000,I77,'[1]1_inventory_totals'!$F$8:$F$10000,"="&amp;S77,'[1]1_inventory_totals'!$G$8:$G$10000,"="&amp;T77)+SUMIFS('[1]1_inventory_totals'!$S$8:$S$10000,'[1]1_inventory_totals'!$C$8:$C$10000,I77,'[1]1_inventory_totals'!$F$8:$F$10000,"="&amp;S77,'[1]1_inventory_totals'!$G$8:$G$10000,"="&amp;T77)))</f>
        <v/>
      </c>
      <c r="AO77" s="270" t="str">
        <f>IF(L77="","",(SUMIFS('[1]2_inventory_totals'!$I$8:$I$10000,'[1]2_inventory_totals'!$C$8:$C$10000,I77,'[1]2_inventory_totals'!$F$8:$F$10000,"="&amp;S77,'[1]2_inventory_totals'!$G$8:$G$10000,"="&amp;T77)+SUMIFS('[1]2_inventory_totals'!$N$8:$N$10000,'[1]2_inventory_totals'!$C$8:$C$10000,I77,'[1]2_inventory_totals'!$F$8:$F$10000,"="&amp;S77,'[1]2_inventory_totals'!$G$8:$G$10000,"="&amp;T77)+SUMIFS('[1]2_inventory_totals'!$P$8:$P$10000,'[1]2_inventory_totals'!$C$8:$C$10000,I77,'[1]2_inventory_totals'!$F$8:$F$10000,"="&amp;S77,'[1]2_inventory_totals'!$G$8:$G$10000,"="&amp;T77)+SUMIFS('[1]2_inventory_totals'!$Q$8:$Q$10000,'[1]2_inventory_totals'!$C$8:$C$10000,I77,'[1]2_inventory_totals'!$F$8:$F$10000,"="&amp;S77,'[1]2_inventory_totals'!$G$8:$G$10000,"="&amp;T77)+SUMIFS('[1]2_inventory_totals'!$R$8:$R$10000,'[1]2_inventory_totals'!$C$8:$C$10000,I77,'[1]2_inventory_totals'!$F$8:$F$10000,"="&amp;S77,'[1]2_inventory_totals'!$G$8:$G$10000,"="&amp;T77))+(SUMIFS('[1]2_inventory_totals'!$J$8:$J$10000,'[1]2_inventory_totals'!$C$8:$C$10000,I77,'[1]2_inventory_totals'!$F$8:$F$10000,"="&amp;S77,'[1]2_inventory_totals'!$G$8:$G$10000,"="&amp;T77)+SUMIFS('[1]2_inventory_totals'!$K$8:$K$10000,'[1]2_inventory_totals'!$C$8:$C$10000,I77,'[1]2_inventory_totals'!$F$8:$F$10000,"="&amp;S77,'[1]2_inventory_totals'!$G$8:$G$10000,"="&amp;T77)+SUMIFS('[1]2_inventory_totals'!$L$8:$L$10000,'[1]2_inventory_totals'!$C$8:$C$10000,I77,'[1]2_inventory_totals'!$F$8:$F$10000,"="&amp;S77,'[1]2_inventory_totals'!$G$8:$G$10000,"="&amp;T77)+SUMIFS('[1]2_inventory_totals'!$M$8:$M$10000,'[1]2_inventory_totals'!$C$8:$C$10000,I77,'[1]2_inventory_totals'!$F$8:$F$10000,"="&amp;S77,'[1]2_inventory_totals'!$G$8:$G$10000,"="&amp;T77)+SUMIFS('[1]2_inventory_totals'!$O$8:$O$10000,'[1]2_inventory_totals'!$C$8:$C$10000,I77,'[1]2_inventory_totals'!$F$8:$F$10000,"="&amp;S77,'[1]2_inventory_totals'!$G$8:$G$10000,"="&amp;T77)+SUMIFS('[1]2_inventory_totals'!$S$8:$S$10000,'[1]2_inventory_totals'!$C$8:$C$10000,I77,'[1]2_inventory_totals'!$F$8:$F$10000,"="&amp;S77,'[1]2_inventory_totals'!$G$8:$G$10000,"="&amp;T77)))</f>
        <v/>
      </c>
      <c r="AP77" s="954"/>
    </row>
    <row r="78" spans="1:42" ht="27" customHeight="1">
      <c r="A78" s="923"/>
      <c r="B78" s="1178"/>
      <c r="C78" s="950"/>
      <c r="D78" s="950"/>
      <c r="E78" s="950"/>
      <c r="F78" s="1199"/>
      <c r="G78" s="941"/>
      <c r="H78" s="1070"/>
      <c r="I78" s="1610" t="str">
        <f t="shared" si="20"/>
        <v/>
      </c>
      <c r="J78" s="270" t="str">
        <f t="shared" si="21"/>
        <v/>
      </c>
      <c r="K78" s="813" t="str">
        <f t="shared" si="18"/>
        <v/>
      </c>
      <c r="L78" s="1184"/>
      <c r="M78" s="1185"/>
      <c r="N78" s="1186"/>
      <c r="O78" s="1534"/>
      <c r="P78" s="336" t="str">
        <f t="shared" si="19"/>
        <v/>
      </c>
      <c r="Q78" s="336" t="str">
        <f>IF(L78="","",IF(AD78=0,0,(SUMIFS('[1]1_group_total_details'!$I$8:$I$10000,'[1]1_group_total_details'!$C$8:$C$10000,I78,'[1]1_group_total_details'!$F$8:$F$10000,adj_location_group_id,'[1]1_group_total_details'!$G$8:$G$10000,MID(N78,1,3)*1,'[1]1_group_total_details'!$H$8:$H$10000,"&lt;="&amp;adj_date)+SUMIFS('[1]1_group_total_details'!$L$8:$L$10000,'[1]1_group_total_details'!$C$8:$C$10000,I78,'[1]1_group_total_details'!$F$8:$F$10000,adj_location_group_id,'[1]1_group_total_details'!$G$8:$G$10000,MID(N78,1,3)*1,'[1]1_group_total_details'!$H$8:$H$10000,"&lt;="&amp;adj_date)+SUMIFS('[1]1_group_total_details'!$N$8:$N$10000,'[1]1_group_total_details'!$C$8:$C$10000,I78,'[1]1_group_total_details'!$F$8:$F$10000,adj_location_group_id,'[1]1_group_total_details'!$G$8:$G$10000,MID(N78,1,3)*1,'[1]1_group_total_details'!$H$8:$H$10000,"&lt;="&amp;adj_date)+SUMIFS('[1]1_group_total_details'!$O$8:$O$10000,'[1]1_group_total_details'!$C$8:$C$10000,I78,'[1]1_group_total_details'!$F$8:$F$10000,adj_location_group_id,'[1]1_group_total_details'!$G$8:$G$10000,MID(N78,1,3)*1,'[1]1_group_total_details'!$H$8:$H$10000,"&lt;="&amp;adj_date))-(SUMIFS('[1]1_group_total_details'!$J$8:$J$10000,'[1]1_group_total_details'!$C$8:$C$10000,I78,'[1]1_group_total_details'!$F$8:$F$10000,adj_location_group_id,'[1]1_group_total_details'!$G$8:$G$10000,MID(N78,1,3)*1,'[1]1_group_total_details'!$H$8:$H$10000,"&lt;="&amp;adj_date)+SUMIFS('[1]1_group_total_details'!$K$8:$K$10000,'[1]1_group_total_details'!$C$8:$C$10000,I78,'[1]1_group_total_details'!$F$8:$F$10000,adj_location_group_id,'[1]1_group_total_details'!$G$8:$G$10000,MID(N78,1,3)*1,'[1]1_group_total_details'!$H$8:$H$10000,"&lt;="&amp;adj_date)+SUMIFS('[1]1_group_total_details'!$M$8:$M$10000,'[1]1_group_total_details'!$C$8:$C$10000,I78,'[1]1_group_total_details'!$F$8:$F$10000,adj_location_group_id,'[1]1_group_total_details'!$G$8:$G$10000,MID(N78,1,3)*1,'[1]1_group_total_details'!$H$8:$H$10000,"&lt;="&amp;adj_date)+SUMIFS('[1]1_group_total_details'!$P$8:$P$10000,'[1]1_group_total_details'!$C$8:$C$10000,I78,'[1]1_group_total_details'!$F$8:$F$10000,adj_location_group_id,'[1]1_group_total_details'!$G$8:$G$10000,MID(N78,1,3)*1,'[1]1_group_total_details'!$H$8:$H$10000,"&lt;="&amp;adj_date))))</f>
        <v/>
      </c>
      <c r="R78" s="1187"/>
      <c r="S78" s="1186"/>
      <c r="T78" s="1186"/>
      <c r="U78" s="1184"/>
      <c r="V78" s="270" t="str" cm="1">
        <f t="array" ref="V78">IF(L78="","",IF(M78=AE78,1,Slookup(MID(AE78,1,3)*1,UomConversion!$D$8:$J$500,5,UomConversion!$E$8:$E$500,MID(M78,1,3)*1,UomConversion!$J$8:$J$500,1)))</f>
        <v/>
      </c>
      <c r="W78" s="270" t="str">
        <f t="shared" si="22"/>
        <v/>
      </c>
      <c r="X78" s="1795" t="str">
        <f t="shared" si="23"/>
        <v/>
      </c>
      <c r="Y78" s="1795" t="str">
        <f t="shared" si="24"/>
        <v/>
      </c>
      <c r="Z78" s="270" t="str">
        <f>IF(I78="","",IF(ISNA(MATCH(I78,IF(MID(N78,1,3)*1=1,'[1]1_inventory_totals'!$C$8:$C$10000,IF(MID(N78,1,3)*1=2,'[1]2_inventory_totals'!$C$8:$C$10000,"")),0)),0,IF(AL78&gt;0,1,0)))</f>
        <v/>
      </c>
      <c r="AA78" s="270" t="str">
        <f>IF(L78="","",IF(MID(N78,1,3)*1=1,SUMIFS('[1]1_inventory_total_details'!$J$8:$J$10000,'[1]1_inventory_total_details'!$C$8:$C$10000,I78,'[1]1_inventory_total_details'!$F$8:$F$10000,MID(N78,1,3)*1,'[1]1_inventory_total_details'!$G$8:$G$10000,"="&amp;S78,'[1]1_inventory_total_details'!$H$8:$H$10000,"="&amp;T78,'[1]1_inventory_total_details'!$I$8:$I$10000,"="&amp;adj_date)+SUMIFS('[1]1_inventory_total_details'!$M$8:$M$10000,'[1]1_inventory_total_details'!$C$8:$C$10000,I78,'[1]1_inventory_total_details'!$F$8:$F$10000,MID(N78,1,3)*1,'[1]1_inventory_total_details'!$G$8:$G$10000,"="&amp;S78,'[1]1_inventory_total_details'!$H$8:$H$10000,"="&amp;T78,'[1]1_inventory_total_details'!$I$8:$I$10000,"="&amp;adj_date)+SUMIFS('[1]1_inventory_total_details'!$K$8:$K$10000,'[1]1_inventory_total_details'!$C$8:$C$10000,I78,'[1]1_inventory_total_details'!$F$8:$F$10000,MID(N78,1,3)*1,'[1]1_inventory_total_details'!$G$8:$G$10000,"="&amp;S78,'[1]1_inventory_total_details'!$H$8:$H$10000,"="&amp;T78,'[1]1_inventory_total_details'!$I$8:$I$10000,"="&amp;adj_date)+SUMIFS('[1]1_inventory_total_details'!$L$8:$L$10000,'[1]1_inventory_total_details'!$C$8:$C$10000,I78,'[1]1_inventory_total_details'!$F$8:$F$10000,MID(N78,1,3)*1,'[1]1_inventory_total_details'!$G$8:$G$10000,"="&amp;S78,'[1]1_inventory_total_details'!$H$8:$H$10000,"="&amp;T78,'[1]1_inventory_total_details'!$I$8:$I$10000,"="&amp;adj_date),SUMIFS('[1]2_inventory_total_details'!$J$8:$J$10000,'[1]2_inventory_total_details'!$C$8:$C$10000,I78,'[1]2_inventory_total_details'!$F$8:$F$10000,MID(N78,1,3)*1,'[1]2_inventory_total_details'!$G$8:$G$10000,"="&amp;S78,'[1]2_inventory_total_details'!$H$8:$H$10000,"="&amp;T78,'[1]2_inventory_total_details'!$I$8:$I$10000,"="&amp;adj_date)+SUMIFS('[1]2_inventory_total_details'!$M$8:$M$10000,'[1]1_inventory_total_details'!$C$8:$C$10000,I78,'[1]2_inventory_total_details'!$F$8:$F$10000,MID(N78,1,3)*1,'[1]2_inventory_total_details'!$G$8:$G$10000,"="&amp;S78,'[1]2_inventory_total_details'!$H$8:$H$10000,"="&amp;T78,'[1]2_inventory_total_details'!$I$8:$I$10000,"="&amp;adj_date)+SUMIFS('[1]2_inventory_total_details'!$K$8:$K$10000,'[1]2_inventory_total_details'!$C$8:$C$10000,I78,'[1]2_inventory_total_details'!$F$8:$F$10000,MID(N78,1,3)*1,'[1]2_inventory_total_details'!$G$8:$G$10000,"="&amp;S78,'[1]2_inventory_total_details'!$H$8:$H$10000,"="&amp;T78,'[1]2_inventory_total_details'!$I$8:$I$10000,"="&amp;adj_date)+SUMIFS('[1]2_inventory_total_details'!$L$8:$L$10000,'[1]2_inventory_total_details'!$C$8:$C$10000,I78,'[1]2_inventory_total_details'!$F$8:$F$10000,MID(N78,1,3)*1,'[1]2_inventory_total_details'!$G$8:$G$10000,"="&amp;S78,'[1]2_inventory_total_details'!$H$8:$H$10000,"="&amp;T78,'[1]2_inventory_total_details'!$I$8:$I$10000,"="&amp;adj_date)))</f>
        <v/>
      </c>
      <c r="AB78" s="270" t="str">
        <f>IF(L78="","",IF(MID(N78,1,3)*1=1,SUMIFS('[1]1_inventory_total_details'!$J$8:$J$10000,'[1]1_inventory_total_details'!$C$8:$C$10000,I78,'[1]1_inventory_total_details'!$F$8:$F$10000,MID(N78,1,3)*1,'[1]1_inventory_total_details'!$G$8:$G$10000,"="&amp;S78,'[1]1_inventory_total_details'!$H$8:$H$10000,"="&amp;T78,'[1]1_inventory_total_details'!$I$8:$I$10000,"="&amp;adj_date)+SUMIFS('[1]1_inventory_total_details'!$M$8:$M$10000,'[1]1_inventory_total_details'!$C$8:$C$10000,I78,'[1]1_inventory_total_details'!$F$8:$F$10000,MID(N78,1,3)*1,'[1]1_inventory_total_details'!$G$8:$G$10000,"="&amp;S78,'[1]1_inventory_total_details'!$H$8:$H$10000,"="&amp;T78,'[1]1_inventory_total_details'!$I$8:$I$10000,"="&amp;adj_date)+SUMIFS('[1]1_inventory_total_details'!$K$8:$K$10000,'[1]1_inventory_total_details'!$C$8:$C$10000,I78,'[1]1_inventory_total_details'!$F$8:$F$10000,MID(N78,1,3)*1,'[1]1_inventory_total_details'!$G$8:$G$10000,"="&amp;S78,'[1]1_inventory_total_details'!$H$8:$H$10000,"="&amp;T78,'[1]1_inventory_total_details'!$I$8:$I$10000,"="&amp;adj_date)+SUMIFS('[1]1_inventory_total_details'!$L$8:$L$10000,'[1]1_inventory_total_details'!$C$8:$C$10000,I78,'[1]1_inventory_total_details'!$F$8:$F$10000,MID(N78,1,3)*1,'[1]1_inventory_total_details'!$G$8:$G$10000,"="&amp;S78,'[1]1_inventory_total_details'!$H$8:$H$10000,"="&amp;T78,'[1]1_inventory_total_details'!$I$8:$I$10000,"="&amp;adj_date),SUMIFS('[1]2_inventory_total_details'!$J$8:$J$10000,'[1]2_inventory_total_details'!$C$8:$C$10000,I78,'[1]2_inventory_total_details'!$F$8:$F$10000,MID(N78,1,3)*1,'[1]2_inventory_total_details'!$G$8:$G$10000,"="&amp;S78,'[1]2_inventory_total_details'!$H$8:$H$10000,"="&amp;T78,'[1]2_inventory_total_details'!$I$8:$I$10000,"="&amp;adj_date)+SUMIFS('[1]2_inventory_total_details'!$M$8:$M$10000,'[1]1_inventory_total_details'!$C$8:$C$10000,I78,'[1]2_inventory_total_details'!$F$8:$F$10000,MID(N78,1,3)*1,'[1]2_inventory_total_details'!$G$8:$G$10000,"="&amp;S78,'[1]2_inventory_total_details'!$H$8:$H$10000,"="&amp;T78,'[1]2_inventory_total_details'!$I$8:$I$10000,"="&amp;adj_date)+SUMIFS('[1]2_inventory_total_details'!$K$8:$K$10000,'[1]2_inventory_total_details'!$C$8:$C$10000,I78,'[1]2_inventory_total_details'!$F$8:$F$10000,MID(N78,1,3)*1,'[1]2_inventory_total_details'!$G$8:$G$10000,"="&amp;S78,'[1]2_inventory_total_details'!$H$8:$H$10000,"="&amp;T78,'[1]2_inventory_total_details'!$I$8:$I$10000,"="&amp;adj_date)+SUMIFS('[1]2_inventory_total_details'!$L$8:$L$10000,'[1]2_inventory_total_details'!$C$8:$C$10000,I78,'[1]2_inventory_total_details'!$F$8:$F$10000,MID(N78,1,3)*1,'[1]2_inventory_total_details'!$G$8:$G$10000,"="&amp;S78,'[1]2_inventory_total_details'!$H$8:$H$10000,"="&amp;T78,'[1]2_inventory_total_details'!$I$8:$I$10000,"="&amp;adj_date)))</f>
        <v/>
      </c>
      <c r="AC78" s="270" t="str">
        <f>IF(L78="","",IF(MID(N78,1,3)*1=1,SUMIFS('[1]1_inventory_total_details'!$J$8:$J$10000,'[1]1_inventory_total_details'!$C$8:$C$10000,I78,'[1]1_inventory_total_details'!$F$8:$F$10000,MID(N78,1,3)*1,'[1]1_inventory_total_details'!$G$8:$G$10000,"="&amp;S78,'[1]1_inventory_total_details'!$H$8:$H$10000,"="&amp;T78,'[1]1_inventory_total_details'!$I$8:$I$10000,"="&amp;adj_date)+SUMIFS('[1]1_inventory_total_details'!$M$8:$M$10000,'[1]1_inventory_total_details'!$C$8:$C$10000,I78,'[1]1_inventory_total_details'!$F$8:$F$10000,MID(N78,1,3)*1,'[1]1_inventory_total_details'!$G$8:$G$10000,"="&amp;S78,'[1]1_inventory_total_details'!$H$8:$H$10000,"="&amp;T78,'[1]1_inventory_total_details'!$I$8:$I$10000,"="&amp;adj_date)+SUMIFS('[1]1_inventory_total_details'!$K$8:$K$10000,'[1]1_inventory_total_details'!$C$8:$C$10000,I78,'[1]1_inventory_total_details'!$F$8:$F$10000,MID(N78,1,3)*1,'[1]1_inventory_total_details'!$G$8:$G$10000,"="&amp;S78,'[1]1_inventory_total_details'!$H$8:$H$10000,"="&amp;T78,'[1]1_inventory_total_details'!$I$8:$I$10000,"="&amp;adj_date)+SUMIFS('[1]1_inventory_total_details'!$L$8:$L$10000,'[1]1_inventory_total_details'!$C$8:$C$10000,I78,'[1]1_inventory_total_details'!$F$8:$F$10000,MID(N78,1,3)*1,'[1]1_inventory_total_details'!$G$8:$G$10000,"="&amp;S78,'[1]1_inventory_total_details'!$H$8:$H$10000,"="&amp;T78,'[1]1_inventory_total_details'!$I$8:$I$10000,"="&amp;adj_date),SUMIFS('[1]2_inventory_total_details'!$J$8:$J$10000,'[1]2_inventory_total_details'!$C$8:$C$10000,I78,'[1]2_inventory_total_details'!$F$8:$F$10000,MID(N78,1,3)*1,'[1]2_inventory_total_details'!$G$8:$G$10000,"="&amp;S78,'[1]2_inventory_total_details'!$H$8:$H$10000,"="&amp;T78,'[1]2_inventory_total_details'!$I$8:$I$10000,"="&amp;adj_date)+SUMIFS('[1]2_inventory_total_details'!$M$8:$M$10000,'[1]1_inventory_total_details'!$C$8:$C$10000,I78,'[1]2_inventory_total_details'!$F$8:$F$10000,MID(N78,1,3)*1,'[1]2_inventory_total_details'!$G$8:$G$10000,"="&amp;S78,'[1]2_inventory_total_details'!$H$8:$H$10000,"="&amp;T78,'[1]2_inventory_total_details'!$I$8:$I$10000,"="&amp;adj_date)+SUMIFS('[1]2_inventory_total_details'!$K$8:$K$10000,'[1]2_inventory_total_details'!$C$8:$C$10000,I78,'[1]2_inventory_total_details'!$F$8:$F$10000,MID(N78,1,3)*1,'[1]2_inventory_total_details'!$G$8:$G$10000,"="&amp;S78,'[1]2_inventory_total_details'!$H$8:$H$10000,"="&amp;T78,'[1]2_inventory_total_details'!$I$8:$I$10000,"="&amp;adj_date)+SUMIFS('[1]2_inventory_total_details'!$L$8:$L$10000,'[1]2_inventory_total_details'!$C$8:$C$10000,I78,'[1]2_inventory_total_details'!$F$8:$F$10000,MID(N78,1,3)*1,'[1]2_inventory_total_details'!$G$8:$G$10000,"="&amp;S78,'[1]2_inventory_total_details'!$H$8:$H$10000,"="&amp;T78,'[1]2_inventory_total_details'!$I$8:$I$10000,"="&amp;adj_date)))</f>
        <v/>
      </c>
      <c r="AD78" s="270" t="str">
        <f>IF(L78="","",SUMIFS('[1]1_group_totals'!$J$8:$J$10000,'[1]1_group_totals'!$C$8:$C$10000,I78,'[1]1_group_totals'!$F$8:$F$10000,adj_location_group_id,'[1]1_group_totals'!$G$8:$G$10000,MID(N78,1,3)*1,'[1]1_group_totals'!$H$8:$H$10000,"="&amp;S78,'[1]1_group_totals'!$I$8:$I$10000,"="&amp;T78))</f>
        <v/>
      </c>
      <c r="AE78" s="1796" t="str">
        <f t="shared" si="25"/>
        <v/>
      </c>
      <c r="AF78" s="1797" t="str">
        <f>IF(ISNA(MATCH(MID(AE78,1,3)*1,UomConversion!$D$8:$D$500,0)),"",IF(AJ78&lt;&gt;"",AJ78,""))</f>
        <v/>
      </c>
      <c r="AG78" s="1797" t="str">
        <f>IF(AND(AH78&gt;0,COUNTIFS(UomConversion!$D$8:$D$500,MID(AE78,1,3)*1,UomConversion!$J$8:$J$500,1)&gt;1),TEXT(AH78,"000")&amp;"."&amp;VLOOKUP(AH78,uom_list,5,FALSE),"")</f>
        <v/>
      </c>
      <c r="AH78" s="270" t="str">
        <f t="shared" si="26"/>
        <v/>
      </c>
      <c r="AI78" s="270" t="str">
        <f t="shared" si="27"/>
        <v/>
      </c>
      <c r="AJ78" s="270" t="str">
        <f t="shared" si="28"/>
        <v/>
      </c>
      <c r="AK78" s="270" t="str" cm="1">
        <f t="array" ref="AK78">IF(L78="","",Slookup(MID(AE78,1,3)*1,UomConversion!$D$8:$J$500,2,UomConversion!$I$8:$I$500,1,UomConversion!$J$8:$J$500,1))</f>
        <v/>
      </c>
      <c r="AL78" s="270" t="str">
        <f t="shared" si="29"/>
        <v/>
      </c>
      <c r="AM78" s="270" t="str">
        <f>IF(L78="","",(SUMIFS('[1]1_group_totals'!$K$8:$K$10000,'[1]1_group_totals'!$C$8:$C$10000,I78,'[1]1_group_totals'!$F$8:$F$10000,adj_location_group_id,'[1]1_group_totals'!$G$8:$G$10000,MID(N78,1,3)*1,'[1]1_group_totals'!$H$8:$H$10000,"="&amp;S78,'[1]1_group_totals'!$I$8:$I$10000,"="&amp;T78)+SUMIFS('[1]1_group_totals'!$N$8:$N$10000,'[1]1_group_totals'!$C$8:$C$10000,I78,'[1]1_group_totals'!$F$8:$F$10000,adj_location_group_id,'[1]1_group_totals'!$G$8:$G$10000,MID(N78,1,3)*1,'[1]1_group_totals'!$H$8:$H$10000,"="&amp;S78,'[1]1_group_totals'!$I$8:$I$10000,"="&amp;T78)+SUMIFS('[1]1_group_totals'!$P$8:$P$10000,'[1]1_group_totals'!$C$8:$C$10000,I78,'[1]1_group_totals'!$F$8:$F$10000,adj_location_group_id,'[1]1_group_totals'!$G$8:$G$10000,MID(N78,1,3)*1,'[1]1_group_totals'!$H$8:$H$10000,"="&amp;S78,'[1]1_group_totals'!$I$8:$I$10000,"="&amp;T78)+SUMIFS('[1]1_group_totals'!$Q$8:$Q$10000,'[1]1_group_totals'!$C$8:$C$10000,I78,'[1]1_group_totals'!$F$8:$F$10000,adj_location_group_id,'[1]1_group_totals'!$G$8:$G$10000,MID(N78,1,3)*1,'[1]1_group_totals'!$H$8:$H$10000,"="&amp;S78,'[1]1_group_totals'!$I$8:$I$10000,"="&amp;T78))+(SUMIFS('[1]1_group_totals'!$L$8:$L$10000,'[1]1_group_totals'!$C$8:$C$10000,I78,'[1]1_group_totals'!$F$8:$F$10000,adj_location_group_id,'[1]1_group_totals'!$G$8:$G$10000,MID(N78,1,3)*1,'[1]1_group_totals'!$H$8:$H$10000,"="&amp;S78,'[1]1_group_totals'!$I$8:$I$10000,"="&amp;T78)+SUMIFS('[1]1_group_totals'!$M$8:$M$10000,'[1]1_group_totals'!$C$8:$C$10000,I78,'[1]1_group_totals'!$F$8:$F$10000,adj_location_group_id,'[1]1_group_totals'!$G$8:$G$10000,MID(N78,1,3)*1,'[1]1_group_totals'!$H$8:$H$10000,"="&amp;S78,'[1]1_group_totals'!$I$8:$I$10000,"="&amp;T78)+SUMIFS('[1]1_group_totals'!$O$8:$O$10000,'[1]1_group_totals'!$C$8:$C$10000,I78,'[1]1_group_totals'!$F$8:$F$10000,adj_location_group_id,'[1]1_group_totals'!$G$8:$G$10000,MID(N78,1,3)*1,'[1]1_group_totals'!$H$8:$H$10000,"="&amp;S78,'[1]1_group_totals'!$I$8:$I$10000,"="&amp;T78)+SUMIFS('[1]1_group_totals'!$R$8:$R$10000,'[1]1_group_totals'!$C$8:$C$10000,I78,'[1]1_group_totals'!$F$8:$F$10000,adj_location_group_id,'[1]1_group_totals'!$G$8:$G$10000,MID(N78,1,3)*1,'[1]1_group_totals'!$H$8:$H$10000,"="&amp;S78,'[1]1_group_totals'!$I$8:$I$10000,"="&amp;T78)))</f>
        <v/>
      </c>
      <c r="AN78" s="270" t="str">
        <f>IF(L78="","",(SUMIFS('[1]1_inventory_totals'!$I$8:$I$10000,'[1]1_inventory_totals'!$C$8:$C$10000,I78,'[1]1_inventory_totals'!$F$8:$F$10000,"="&amp;S78,'[1]1_inventory_totals'!$G$8:$G$10000,"="&amp;T78)+SUMIFS('[1]1_inventory_totals'!$N$8:$N$10000,'[1]1_inventory_totals'!$C$8:$C$10000,I78,'[1]1_inventory_totals'!$F$8:$F$10000,"="&amp;S78,'[1]1_inventory_totals'!$G$8:$G$10000,"="&amp;T78)+SUMIFS('[1]1_inventory_totals'!$P$8:$P$10000,'[1]1_inventory_totals'!$C$8:$C$10000,I78,'[1]1_inventory_totals'!$F$8:$F$10000,"="&amp;S78,'[1]1_inventory_totals'!$G$8:$G$10000,"="&amp;T78)+SUMIFS('[1]1_inventory_totals'!$Q$8:$Q$10000,'[1]1_inventory_totals'!$C$8:$C$10000,I78,'[1]1_inventory_totals'!$F$8:$F$10000,"="&amp;S78,'[1]1_inventory_totals'!$G$8:$G$10000,"="&amp;T78)+SUMIFS('[1]1_inventory_totals'!$R$8:$R$10000,'[1]1_inventory_totals'!$C$8:$C$10000,I78,'[1]1_inventory_totals'!$F$8:$F$10000,"="&amp;S78,'[1]1_inventory_totals'!$G$8:$G$10000,"="&amp;T78))+(SUMIFS('[1]1_inventory_totals'!$J$8:$J$10000,'[1]1_inventory_totals'!$C$8:$C$10000,I78,'[1]1_inventory_totals'!$F$8:$F$10000,"="&amp;S78,'[1]1_inventory_totals'!$G$8:$G$10000,"="&amp;T78)+SUMIFS('[1]1_inventory_totals'!$K$8:$K$10000,'[1]1_inventory_totals'!$C$8:$C$10000,I78,'[1]1_inventory_totals'!$F$8:$F$10000,"="&amp;S78,'[1]1_inventory_totals'!$G$8:$G$10000,"="&amp;T78)+SUMIFS('[1]1_inventory_totals'!$L$8:$L$10000,'[1]1_inventory_totals'!$C$8:$C$10000,I78,'[1]1_inventory_totals'!$F$8:$F$10000,"="&amp;S78,'[1]1_inventory_totals'!$G$8:$G$10000,"="&amp;T78)+SUMIFS('[1]1_inventory_totals'!$M$8:$M$10000,'[1]1_inventory_totals'!$C$8:$C$10000,I78,'[1]1_inventory_totals'!$F$8:$F$10000,"="&amp;S78,'[1]1_inventory_totals'!$G$8:$G$10000,"="&amp;T78)+SUMIFS('[1]1_inventory_totals'!$O$8:$O$10000,'[1]1_inventory_totals'!$C$8:$C$10000,I78,'[1]1_inventory_totals'!$F$8:$F$10000,"="&amp;S78,'[1]1_inventory_totals'!$G$8:$G$10000,"="&amp;T78)+SUMIFS('[1]1_inventory_totals'!$S$8:$S$10000,'[1]1_inventory_totals'!$C$8:$C$10000,I78,'[1]1_inventory_totals'!$F$8:$F$10000,"="&amp;S78,'[1]1_inventory_totals'!$G$8:$G$10000,"="&amp;T78)))</f>
        <v/>
      </c>
      <c r="AO78" s="270" t="str">
        <f>IF(L78="","",(SUMIFS('[1]2_inventory_totals'!$I$8:$I$10000,'[1]2_inventory_totals'!$C$8:$C$10000,I78,'[1]2_inventory_totals'!$F$8:$F$10000,"="&amp;S78,'[1]2_inventory_totals'!$G$8:$G$10000,"="&amp;T78)+SUMIFS('[1]2_inventory_totals'!$N$8:$N$10000,'[1]2_inventory_totals'!$C$8:$C$10000,I78,'[1]2_inventory_totals'!$F$8:$F$10000,"="&amp;S78,'[1]2_inventory_totals'!$G$8:$G$10000,"="&amp;T78)+SUMIFS('[1]2_inventory_totals'!$P$8:$P$10000,'[1]2_inventory_totals'!$C$8:$C$10000,I78,'[1]2_inventory_totals'!$F$8:$F$10000,"="&amp;S78,'[1]2_inventory_totals'!$G$8:$G$10000,"="&amp;T78)+SUMIFS('[1]2_inventory_totals'!$Q$8:$Q$10000,'[1]2_inventory_totals'!$C$8:$C$10000,I78,'[1]2_inventory_totals'!$F$8:$F$10000,"="&amp;S78,'[1]2_inventory_totals'!$G$8:$G$10000,"="&amp;T78)+SUMIFS('[1]2_inventory_totals'!$R$8:$R$10000,'[1]2_inventory_totals'!$C$8:$C$10000,I78,'[1]2_inventory_totals'!$F$8:$F$10000,"="&amp;S78,'[1]2_inventory_totals'!$G$8:$G$10000,"="&amp;T78))+(SUMIFS('[1]2_inventory_totals'!$J$8:$J$10000,'[1]2_inventory_totals'!$C$8:$C$10000,I78,'[1]2_inventory_totals'!$F$8:$F$10000,"="&amp;S78,'[1]2_inventory_totals'!$G$8:$G$10000,"="&amp;T78)+SUMIFS('[1]2_inventory_totals'!$K$8:$K$10000,'[1]2_inventory_totals'!$C$8:$C$10000,I78,'[1]2_inventory_totals'!$F$8:$F$10000,"="&amp;S78,'[1]2_inventory_totals'!$G$8:$G$10000,"="&amp;T78)+SUMIFS('[1]2_inventory_totals'!$L$8:$L$10000,'[1]2_inventory_totals'!$C$8:$C$10000,I78,'[1]2_inventory_totals'!$F$8:$F$10000,"="&amp;S78,'[1]2_inventory_totals'!$G$8:$G$10000,"="&amp;T78)+SUMIFS('[1]2_inventory_totals'!$M$8:$M$10000,'[1]2_inventory_totals'!$C$8:$C$10000,I78,'[1]2_inventory_totals'!$F$8:$F$10000,"="&amp;S78,'[1]2_inventory_totals'!$G$8:$G$10000,"="&amp;T78)+SUMIFS('[1]2_inventory_totals'!$O$8:$O$10000,'[1]2_inventory_totals'!$C$8:$C$10000,I78,'[1]2_inventory_totals'!$F$8:$F$10000,"="&amp;S78,'[1]2_inventory_totals'!$G$8:$G$10000,"="&amp;T78)+SUMIFS('[1]2_inventory_totals'!$S$8:$S$10000,'[1]2_inventory_totals'!$C$8:$C$10000,I78,'[1]2_inventory_totals'!$F$8:$F$10000,"="&amp;S78,'[1]2_inventory_totals'!$G$8:$G$10000,"="&amp;T78)))</f>
        <v/>
      </c>
      <c r="AP78" s="954"/>
    </row>
    <row r="79" spans="1:42" ht="27" customHeight="1">
      <c r="A79" s="923"/>
      <c r="B79" s="1178"/>
      <c r="C79" s="950"/>
      <c r="D79" s="950"/>
      <c r="E79" s="950"/>
      <c r="F79" s="1199"/>
      <c r="G79" s="941"/>
      <c r="H79" s="1070"/>
      <c r="I79" s="1610" t="str">
        <f t="shared" si="20"/>
        <v/>
      </c>
      <c r="J79" s="270" t="str">
        <f t="shared" si="21"/>
        <v/>
      </c>
      <c r="K79" s="813" t="str">
        <f t="shared" si="18"/>
        <v/>
      </c>
      <c r="L79" s="1184"/>
      <c r="M79" s="1185"/>
      <c r="N79" s="1186"/>
      <c r="O79" s="1534"/>
      <c r="P79" s="336" t="str">
        <f t="shared" si="19"/>
        <v/>
      </c>
      <c r="Q79" s="336" t="str">
        <f>IF(L79="","",IF(AD79=0,0,(SUMIFS('[1]1_group_total_details'!$I$8:$I$10000,'[1]1_group_total_details'!$C$8:$C$10000,I79,'[1]1_group_total_details'!$F$8:$F$10000,adj_location_group_id,'[1]1_group_total_details'!$G$8:$G$10000,MID(N79,1,3)*1,'[1]1_group_total_details'!$H$8:$H$10000,"&lt;="&amp;adj_date)+SUMIFS('[1]1_group_total_details'!$L$8:$L$10000,'[1]1_group_total_details'!$C$8:$C$10000,I79,'[1]1_group_total_details'!$F$8:$F$10000,adj_location_group_id,'[1]1_group_total_details'!$G$8:$G$10000,MID(N79,1,3)*1,'[1]1_group_total_details'!$H$8:$H$10000,"&lt;="&amp;adj_date)+SUMIFS('[1]1_group_total_details'!$N$8:$N$10000,'[1]1_group_total_details'!$C$8:$C$10000,I79,'[1]1_group_total_details'!$F$8:$F$10000,adj_location_group_id,'[1]1_group_total_details'!$G$8:$G$10000,MID(N79,1,3)*1,'[1]1_group_total_details'!$H$8:$H$10000,"&lt;="&amp;adj_date)+SUMIFS('[1]1_group_total_details'!$O$8:$O$10000,'[1]1_group_total_details'!$C$8:$C$10000,I79,'[1]1_group_total_details'!$F$8:$F$10000,adj_location_group_id,'[1]1_group_total_details'!$G$8:$G$10000,MID(N79,1,3)*1,'[1]1_group_total_details'!$H$8:$H$10000,"&lt;="&amp;adj_date))-(SUMIFS('[1]1_group_total_details'!$J$8:$J$10000,'[1]1_group_total_details'!$C$8:$C$10000,I79,'[1]1_group_total_details'!$F$8:$F$10000,adj_location_group_id,'[1]1_group_total_details'!$G$8:$G$10000,MID(N79,1,3)*1,'[1]1_group_total_details'!$H$8:$H$10000,"&lt;="&amp;adj_date)+SUMIFS('[1]1_group_total_details'!$K$8:$K$10000,'[1]1_group_total_details'!$C$8:$C$10000,I79,'[1]1_group_total_details'!$F$8:$F$10000,adj_location_group_id,'[1]1_group_total_details'!$G$8:$G$10000,MID(N79,1,3)*1,'[1]1_group_total_details'!$H$8:$H$10000,"&lt;="&amp;adj_date)+SUMIFS('[1]1_group_total_details'!$M$8:$M$10000,'[1]1_group_total_details'!$C$8:$C$10000,I79,'[1]1_group_total_details'!$F$8:$F$10000,adj_location_group_id,'[1]1_group_total_details'!$G$8:$G$10000,MID(N79,1,3)*1,'[1]1_group_total_details'!$H$8:$H$10000,"&lt;="&amp;adj_date)+SUMIFS('[1]1_group_total_details'!$P$8:$P$10000,'[1]1_group_total_details'!$C$8:$C$10000,I79,'[1]1_group_total_details'!$F$8:$F$10000,adj_location_group_id,'[1]1_group_total_details'!$G$8:$G$10000,MID(N79,1,3)*1,'[1]1_group_total_details'!$H$8:$H$10000,"&lt;="&amp;adj_date))))</f>
        <v/>
      </c>
      <c r="R79" s="1187"/>
      <c r="S79" s="1186"/>
      <c r="T79" s="1186"/>
      <c r="U79" s="1184"/>
      <c r="V79" s="270" t="str" cm="1">
        <f t="array" ref="V79">IF(L79="","",IF(M79=AE79,1,Slookup(MID(AE79,1,3)*1,UomConversion!$D$8:$J$500,5,UomConversion!$E$8:$E$500,MID(M79,1,3)*1,UomConversion!$J$8:$J$500,1)))</f>
        <v/>
      </c>
      <c r="W79" s="270" t="str">
        <f t="shared" si="22"/>
        <v/>
      </c>
      <c r="X79" s="1795" t="str">
        <f t="shared" si="23"/>
        <v/>
      </c>
      <c r="Y79" s="1795" t="str">
        <f t="shared" si="24"/>
        <v/>
      </c>
      <c r="Z79" s="270" t="str">
        <f>IF(I79="","",IF(ISNA(MATCH(I79,IF(MID(N79,1,3)*1=1,'[1]1_inventory_totals'!$C$8:$C$10000,IF(MID(N79,1,3)*1=2,'[1]2_inventory_totals'!$C$8:$C$10000,"")),0)),0,IF(AL79&gt;0,1,0)))</f>
        <v/>
      </c>
      <c r="AA79" s="270" t="str">
        <f>IF(L79="","",IF(MID(N79,1,3)*1=1,SUMIFS('[1]1_inventory_total_details'!$J$8:$J$10000,'[1]1_inventory_total_details'!$C$8:$C$10000,I79,'[1]1_inventory_total_details'!$F$8:$F$10000,MID(N79,1,3)*1,'[1]1_inventory_total_details'!$G$8:$G$10000,"="&amp;S79,'[1]1_inventory_total_details'!$H$8:$H$10000,"="&amp;T79,'[1]1_inventory_total_details'!$I$8:$I$10000,"="&amp;adj_date)+SUMIFS('[1]1_inventory_total_details'!$M$8:$M$10000,'[1]1_inventory_total_details'!$C$8:$C$10000,I79,'[1]1_inventory_total_details'!$F$8:$F$10000,MID(N79,1,3)*1,'[1]1_inventory_total_details'!$G$8:$G$10000,"="&amp;S79,'[1]1_inventory_total_details'!$H$8:$H$10000,"="&amp;T79,'[1]1_inventory_total_details'!$I$8:$I$10000,"="&amp;adj_date)+SUMIFS('[1]1_inventory_total_details'!$K$8:$K$10000,'[1]1_inventory_total_details'!$C$8:$C$10000,I79,'[1]1_inventory_total_details'!$F$8:$F$10000,MID(N79,1,3)*1,'[1]1_inventory_total_details'!$G$8:$G$10000,"="&amp;S79,'[1]1_inventory_total_details'!$H$8:$H$10000,"="&amp;T79,'[1]1_inventory_total_details'!$I$8:$I$10000,"="&amp;adj_date)+SUMIFS('[1]1_inventory_total_details'!$L$8:$L$10000,'[1]1_inventory_total_details'!$C$8:$C$10000,I79,'[1]1_inventory_total_details'!$F$8:$F$10000,MID(N79,1,3)*1,'[1]1_inventory_total_details'!$G$8:$G$10000,"="&amp;S79,'[1]1_inventory_total_details'!$H$8:$H$10000,"="&amp;T79,'[1]1_inventory_total_details'!$I$8:$I$10000,"="&amp;adj_date),SUMIFS('[1]2_inventory_total_details'!$J$8:$J$10000,'[1]2_inventory_total_details'!$C$8:$C$10000,I79,'[1]2_inventory_total_details'!$F$8:$F$10000,MID(N79,1,3)*1,'[1]2_inventory_total_details'!$G$8:$G$10000,"="&amp;S79,'[1]2_inventory_total_details'!$H$8:$H$10000,"="&amp;T79,'[1]2_inventory_total_details'!$I$8:$I$10000,"="&amp;adj_date)+SUMIFS('[1]2_inventory_total_details'!$M$8:$M$10000,'[1]1_inventory_total_details'!$C$8:$C$10000,I79,'[1]2_inventory_total_details'!$F$8:$F$10000,MID(N79,1,3)*1,'[1]2_inventory_total_details'!$G$8:$G$10000,"="&amp;S79,'[1]2_inventory_total_details'!$H$8:$H$10000,"="&amp;T79,'[1]2_inventory_total_details'!$I$8:$I$10000,"="&amp;adj_date)+SUMIFS('[1]2_inventory_total_details'!$K$8:$K$10000,'[1]2_inventory_total_details'!$C$8:$C$10000,I79,'[1]2_inventory_total_details'!$F$8:$F$10000,MID(N79,1,3)*1,'[1]2_inventory_total_details'!$G$8:$G$10000,"="&amp;S79,'[1]2_inventory_total_details'!$H$8:$H$10000,"="&amp;T79,'[1]2_inventory_total_details'!$I$8:$I$10000,"="&amp;adj_date)+SUMIFS('[1]2_inventory_total_details'!$L$8:$L$10000,'[1]2_inventory_total_details'!$C$8:$C$10000,I79,'[1]2_inventory_total_details'!$F$8:$F$10000,MID(N79,1,3)*1,'[1]2_inventory_total_details'!$G$8:$G$10000,"="&amp;S79,'[1]2_inventory_total_details'!$H$8:$H$10000,"="&amp;T79,'[1]2_inventory_total_details'!$I$8:$I$10000,"="&amp;adj_date)))</f>
        <v/>
      </c>
      <c r="AB79" s="270" t="str">
        <f>IF(L79="","",IF(MID(N79,1,3)*1=1,SUMIFS('[1]1_inventory_total_details'!$J$8:$J$10000,'[1]1_inventory_total_details'!$C$8:$C$10000,I79,'[1]1_inventory_total_details'!$F$8:$F$10000,MID(N79,1,3)*1,'[1]1_inventory_total_details'!$G$8:$G$10000,"="&amp;S79,'[1]1_inventory_total_details'!$H$8:$H$10000,"="&amp;T79,'[1]1_inventory_total_details'!$I$8:$I$10000,"="&amp;adj_date)+SUMIFS('[1]1_inventory_total_details'!$M$8:$M$10000,'[1]1_inventory_total_details'!$C$8:$C$10000,I79,'[1]1_inventory_total_details'!$F$8:$F$10000,MID(N79,1,3)*1,'[1]1_inventory_total_details'!$G$8:$G$10000,"="&amp;S79,'[1]1_inventory_total_details'!$H$8:$H$10000,"="&amp;T79,'[1]1_inventory_total_details'!$I$8:$I$10000,"="&amp;adj_date)+SUMIFS('[1]1_inventory_total_details'!$K$8:$K$10000,'[1]1_inventory_total_details'!$C$8:$C$10000,I79,'[1]1_inventory_total_details'!$F$8:$F$10000,MID(N79,1,3)*1,'[1]1_inventory_total_details'!$G$8:$G$10000,"="&amp;S79,'[1]1_inventory_total_details'!$H$8:$H$10000,"="&amp;T79,'[1]1_inventory_total_details'!$I$8:$I$10000,"="&amp;adj_date)+SUMIFS('[1]1_inventory_total_details'!$L$8:$L$10000,'[1]1_inventory_total_details'!$C$8:$C$10000,I79,'[1]1_inventory_total_details'!$F$8:$F$10000,MID(N79,1,3)*1,'[1]1_inventory_total_details'!$G$8:$G$10000,"="&amp;S79,'[1]1_inventory_total_details'!$H$8:$H$10000,"="&amp;T79,'[1]1_inventory_total_details'!$I$8:$I$10000,"="&amp;adj_date),SUMIFS('[1]2_inventory_total_details'!$J$8:$J$10000,'[1]2_inventory_total_details'!$C$8:$C$10000,I79,'[1]2_inventory_total_details'!$F$8:$F$10000,MID(N79,1,3)*1,'[1]2_inventory_total_details'!$G$8:$G$10000,"="&amp;S79,'[1]2_inventory_total_details'!$H$8:$H$10000,"="&amp;T79,'[1]2_inventory_total_details'!$I$8:$I$10000,"="&amp;adj_date)+SUMIFS('[1]2_inventory_total_details'!$M$8:$M$10000,'[1]1_inventory_total_details'!$C$8:$C$10000,I79,'[1]2_inventory_total_details'!$F$8:$F$10000,MID(N79,1,3)*1,'[1]2_inventory_total_details'!$G$8:$G$10000,"="&amp;S79,'[1]2_inventory_total_details'!$H$8:$H$10000,"="&amp;T79,'[1]2_inventory_total_details'!$I$8:$I$10000,"="&amp;adj_date)+SUMIFS('[1]2_inventory_total_details'!$K$8:$K$10000,'[1]2_inventory_total_details'!$C$8:$C$10000,I79,'[1]2_inventory_total_details'!$F$8:$F$10000,MID(N79,1,3)*1,'[1]2_inventory_total_details'!$G$8:$G$10000,"="&amp;S79,'[1]2_inventory_total_details'!$H$8:$H$10000,"="&amp;T79,'[1]2_inventory_total_details'!$I$8:$I$10000,"="&amp;adj_date)+SUMIFS('[1]2_inventory_total_details'!$L$8:$L$10000,'[1]2_inventory_total_details'!$C$8:$C$10000,I79,'[1]2_inventory_total_details'!$F$8:$F$10000,MID(N79,1,3)*1,'[1]2_inventory_total_details'!$G$8:$G$10000,"="&amp;S79,'[1]2_inventory_total_details'!$H$8:$H$10000,"="&amp;T79,'[1]2_inventory_total_details'!$I$8:$I$10000,"="&amp;adj_date)))</f>
        <v/>
      </c>
      <c r="AC79" s="270" t="str">
        <f>IF(L79="","",IF(MID(N79,1,3)*1=1,SUMIFS('[1]1_inventory_total_details'!$J$8:$J$10000,'[1]1_inventory_total_details'!$C$8:$C$10000,I79,'[1]1_inventory_total_details'!$F$8:$F$10000,MID(N79,1,3)*1,'[1]1_inventory_total_details'!$G$8:$G$10000,"="&amp;S79,'[1]1_inventory_total_details'!$H$8:$H$10000,"="&amp;T79,'[1]1_inventory_total_details'!$I$8:$I$10000,"="&amp;adj_date)+SUMIFS('[1]1_inventory_total_details'!$M$8:$M$10000,'[1]1_inventory_total_details'!$C$8:$C$10000,I79,'[1]1_inventory_total_details'!$F$8:$F$10000,MID(N79,1,3)*1,'[1]1_inventory_total_details'!$G$8:$G$10000,"="&amp;S79,'[1]1_inventory_total_details'!$H$8:$H$10000,"="&amp;T79,'[1]1_inventory_total_details'!$I$8:$I$10000,"="&amp;adj_date)+SUMIFS('[1]1_inventory_total_details'!$K$8:$K$10000,'[1]1_inventory_total_details'!$C$8:$C$10000,I79,'[1]1_inventory_total_details'!$F$8:$F$10000,MID(N79,1,3)*1,'[1]1_inventory_total_details'!$G$8:$G$10000,"="&amp;S79,'[1]1_inventory_total_details'!$H$8:$H$10000,"="&amp;T79,'[1]1_inventory_total_details'!$I$8:$I$10000,"="&amp;adj_date)+SUMIFS('[1]1_inventory_total_details'!$L$8:$L$10000,'[1]1_inventory_total_details'!$C$8:$C$10000,I79,'[1]1_inventory_total_details'!$F$8:$F$10000,MID(N79,1,3)*1,'[1]1_inventory_total_details'!$G$8:$G$10000,"="&amp;S79,'[1]1_inventory_total_details'!$H$8:$H$10000,"="&amp;T79,'[1]1_inventory_total_details'!$I$8:$I$10000,"="&amp;adj_date),SUMIFS('[1]2_inventory_total_details'!$J$8:$J$10000,'[1]2_inventory_total_details'!$C$8:$C$10000,I79,'[1]2_inventory_total_details'!$F$8:$F$10000,MID(N79,1,3)*1,'[1]2_inventory_total_details'!$G$8:$G$10000,"="&amp;S79,'[1]2_inventory_total_details'!$H$8:$H$10000,"="&amp;T79,'[1]2_inventory_total_details'!$I$8:$I$10000,"="&amp;adj_date)+SUMIFS('[1]2_inventory_total_details'!$M$8:$M$10000,'[1]1_inventory_total_details'!$C$8:$C$10000,I79,'[1]2_inventory_total_details'!$F$8:$F$10000,MID(N79,1,3)*1,'[1]2_inventory_total_details'!$G$8:$G$10000,"="&amp;S79,'[1]2_inventory_total_details'!$H$8:$H$10000,"="&amp;T79,'[1]2_inventory_total_details'!$I$8:$I$10000,"="&amp;adj_date)+SUMIFS('[1]2_inventory_total_details'!$K$8:$K$10000,'[1]2_inventory_total_details'!$C$8:$C$10000,I79,'[1]2_inventory_total_details'!$F$8:$F$10000,MID(N79,1,3)*1,'[1]2_inventory_total_details'!$G$8:$G$10000,"="&amp;S79,'[1]2_inventory_total_details'!$H$8:$H$10000,"="&amp;T79,'[1]2_inventory_total_details'!$I$8:$I$10000,"="&amp;adj_date)+SUMIFS('[1]2_inventory_total_details'!$L$8:$L$10000,'[1]2_inventory_total_details'!$C$8:$C$10000,I79,'[1]2_inventory_total_details'!$F$8:$F$10000,MID(N79,1,3)*1,'[1]2_inventory_total_details'!$G$8:$G$10000,"="&amp;S79,'[1]2_inventory_total_details'!$H$8:$H$10000,"="&amp;T79,'[1]2_inventory_total_details'!$I$8:$I$10000,"="&amp;adj_date)))</f>
        <v/>
      </c>
      <c r="AD79" s="270" t="str">
        <f>IF(L79="","",SUMIFS('[1]1_group_totals'!$J$8:$J$10000,'[1]1_group_totals'!$C$8:$C$10000,I79,'[1]1_group_totals'!$F$8:$F$10000,adj_location_group_id,'[1]1_group_totals'!$G$8:$G$10000,MID(N79,1,3)*1,'[1]1_group_totals'!$H$8:$H$10000,"="&amp;S79,'[1]1_group_totals'!$I$8:$I$10000,"="&amp;T79))</f>
        <v/>
      </c>
      <c r="AE79" s="1796" t="str">
        <f t="shared" si="25"/>
        <v/>
      </c>
      <c r="AF79" s="1797" t="str">
        <f>IF(ISNA(MATCH(MID(AE79,1,3)*1,UomConversion!$D$8:$D$500,0)),"",IF(AJ79&lt;&gt;"",AJ79,""))</f>
        <v/>
      </c>
      <c r="AG79" s="1797" t="str">
        <f>IF(AND(AH79&gt;0,COUNTIFS(UomConversion!$D$8:$D$500,MID(AE79,1,3)*1,UomConversion!$J$8:$J$500,1)&gt;1),TEXT(AH79,"000")&amp;"."&amp;VLOOKUP(AH79,uom_list,5,FALSE),"")</f>
        <v/>
      </c>
      <c r="AH79" s="270" t="str">
        <f t="shared" si="26"/>
        <v/>
      </c>
      <c r="AI79" s="270" t="str">
        <f t="shared" si="27"/>
        <v/>
      </c>
      <c r="AJ79" s="270" t="str">
        <f t="shared" si="28"/>
        <v/>
      </c>
      <c r="AK79" s="270" t="str" cm="1">
        <f t="array" ref="AK79">IF(L79="","",Slookup(MID(AE79,1,3)*1,UomConversion!$D$8:$J$500,2,UomConversion!$I$8:$I$500,1,UomConversion!$J$8:$J$500,1))</f>
        <v/>
      </c>
      <c r="AL79" s="270" t="str">
        <f t="shared" si="29"/>
        <v/>
      </c>
      <c r="AM79" s="270" t="str">
        <f>IF(L79="","",(SUMIFS('[1]1_group_totals'!$K$8:$K$10000,'[1]1_group_totals'!$C$8:$C$10000,I79,'[1]1_group_totals'!$F$8:$F$10000,adj_location_group_id,'[1]1_group_totals'!$G$8:$G$10000,MID(N79,1,3)*1,'[1]1_group_totals'!$H$8:$H$10000,"="&amp;S79,'[1]1_group_totals'!$I$8:$I$10000,"="&amp;T79)+SUMIFS('[1]1_group_totals'!$N$8:$N$10000,'[1]1_group_totals'!$C$8:$C$10000,I79,'[1]1_group_totals'!$F$8:$F$10000,adj_location_group_id,'[1]1_group_totals'!$G$8:$G$10000,MID(N79,1,3)*1,'[1]1_group_totals'!$H$8:$H$10000,"="&amp;S79,'[1]1_group_totals'!$I$8:$I$10000,"="&amp;T79)+SUMIFS('[1]1_group_totals'!$P$8:$P$10000,'[1]1_group_totals'!$C$8:$C$10000,I79,'[1]1_group_totals'!$F$8:$F$10000,adj_location_group_id,'[1]1_group_totals'!$G$8:$G$10000,MID(N79,1,3)*1,'[1]1_group_totals'!$H$8:$H$10000,"="&amp;S79,'[1]1_group_totals'!$I$8:$I$10000,"="&amp;T79)+SUMIFS('[1]1_group_totals'!$Q$8:$Q$10000,'[1]1_group_totals'!$C$8:$C$10000,I79,'[1]1_group_totals'!$F$8:$F$10000,adj_location_group_id,'[1]1_group_totals'!$G$8:$G$10000,MID(N79,1,3)*1,'[1]1_group_totals'!$H$8:$H$10000,"="&amp;S79,'[1]1_group_totals'!$I$8:$I$10000,"="&amp;T79))+(SUMIFS('[1]1_group_totals'!$L$8:$L$10000,'[1]1_group_totals'!$C$8:$C$10000,I79,'[1]1_group_totals'!$F$8:$F$10000,adj_location_group_id,'[1]1_group_totals'!$G$8:$G$10000,MID(N79,1,3)*1,'[1]1_group_totals'!$H$8:$H$10000,"="&amp;S79,'[1]1_group_totals'!$I$8:$I$10000,"="&amp;T79)+SUMIFS('[1]1_group_totals'!$M$8:$M$10000,'[1]1_group_totals'!$C$8:$C$10000,I79,'[1]1_group_totals'!$F$8:$F$10000,adj_location_group_id,'[1]1_group_totals'!$G$8:$G$10000,MID(N79,1,3)*1,'[1]1_group_totals'!$H$8:$H$10000,"="&amp;S79,'[1]1_group_totals'!$I$8:$I$10000,"="&amp;T79)+SUMIFS('[1]1_group_totals'!$O$8:$O$10000,'[1]1_group_totals'!$C$8:$C$10000,I79,'[1]1_group_totals'!$F$8:$F$10000,adj_location_group_id,'[1]1_group_totals'!$G$8:$G$10000,MID(N79,1,3)*1,'[1]1_group_totals'!$H$8:$H$10000,"="&amp;S79,'[1]1_group_totals'!$I$8:$I$10000,"="&amp;T79)+SUMIFS('[1]1_group_totals'!$R$8:$R$10000,'[1]1_group_totals'!$C$8:$C$10000,I79,'[1]1_group_totals'!$F$8:$F$10000,adj_location_group_id,'[1]1_group_totals'!$G$8:$G$10000,MID(N79,1,3)*1,'[1]1_group_totals'!$H$8:$H$10000,"="&amp;S79,'[1]1_group_totals'!$I$8:$I$10000,"="&amp;T79)))</f>
        <v/>
      </c>
      <c r="AN79" s="270" t="str">
        <f>IF(L79="","",(SUMIFS('[1]1_inventory_totals'!$I$8:$I$10000,'[1]1_inventory_totals'!$C$8:$C$10000,I79,'[1]1_inventory_totals'!$F$8:$F$10000,"="&amp;S79,'[1]1_inventory_totals'!$G$8:$G$10000,"="&amp;T79)+SUMIFS('[1]1_inventory_totals'!$N$8:$N$10000,'[1]1_inventory_totals'!$C$8:$C$10000,I79,'[1]1_inventory_totals'!$F$8:$F$10000,"="&amp;S79,'[1]1_inventory_totals'!$G$8:$G$10000,"="&amp;T79)+SUMIFS('[1]1_inventory_totals'!$P$8:$P$10000,'[1]1_inventory_totals'!$C$8:$C$10000,I79,'[1]1_inventory_totals'!$F$8:$F$10000,"="&amp;S79,'[1]1_inventory_totals'!$G$8:$G$10000,"="&amp;T79)+SUMIFS('[1]1_inventory_totals'!$Q$8:$Q$10000,'[1]1_inventory_totals'!$C$8:$C$10000,I79,'[1]1_inventory_totals'!$F$8:$F$10000,"="&amp;S79,'[1]1_inventory_totals'!$G$8:$G$10000,"="&amp;T79)+SUMIFS('[1]1_inventory_totals'!$R$8:$R$10000,'[1]1_inventory_totals'!$C$8:$C$10000,I79,'[1]1_inventory_totals'!$F$8:$F$10000,"="&amp;S79,'[1]1_inventory_totals'!$G$8:$G$10000,"="&amp;T79))+(SUMIFS('[1]1_inventory_totals'!$J$8:$J$10000,'[1]1_inventory_totals'!$C$8:$C$10000,I79,'[1]1_inventory_totals'!$F$8:$F$10000,"="&amp;S79,'[1]1_inventory_totals'!$G$8:$G$10000,"="&amp;T79)+SUMIFS('[1]1_inventory_totals'!$K$8:$K$10000,'[1]1_inventory_totals'!$C$8:$C$10000,I79,'[1]1_inventory_totals'!$F$8:$F$10000,"="&amp;S79,'[1]1_inventory_totals'!$G$8:$G$10000,"="&amp;T79)+SUMIFS('[1]1_inventory_totals'!$L$8:$L$10000,'[1]1_inventory_totals'!$C$8:$C$10000,I79,'[1]1_inventory_totals'!$F$8:$F$10000,"="&amp;S79,'[1]1_inventory_totals'!$G$8:$G$10000,"="&amp;T79)+SUMIFS('[1]1_inventory_totals'!$M$8:$M$10000,'[1]1_inventory_totals'!$C$8:$C$10000,I79,'[1]1_inventory_totals'!$F$8:$F$10000,"="&amp;S79,'[1]1_inventory_totals'!$G$8:$G$10000,"="&amp;T79)+SUMIFS('[1]1_inventory_totals'!$O$8:$O$10000,'[1]1_inventory_totals'!$C$8:$C$10000,I79,'[1]1_inventory_totals'!$F$8:$F$10000,"="&amp;S79,'[1]1_inventory_totals'!$G$8:$G$10000,"="&amp;T79)+SUMIFS('[1]1_inventory_totals'!$S$8:$S$10000,'[1]1_inventory_totals'!$C$8:$C$10000,I79,'[1]1_inventory_totals'!$F$8:$F$10000,"="&amp;S79,'[1]1_inventory_totals'!$G$8:$G$10000,"="&amp;T79)))</f>
        <v/>
      </c>
      <c r="AO79" s="270" t="str">
        <f>IF(L79="","",(SUMIFS('[1]2_inventory_totals'!$I$8:$I$10000,'[1]2_inventory_totals'!$C$8:$C$10000,I79,'[1]2_inventory_totals'!$F$8:$F$10000,"="&amp;S79,'[1]2_inventory_totals'!$G$8:$G$10000,"="&amp;T79)+SUMIFS('[1]2_inventory_totals'!$N$8:$N$10000,'[1]2_inventory_totals'!$C$8:$C$10000,I79,'[1]2_inventory_totals'!$F$8:$F$10000,"="&amp;S79,'[1]2_inventory_totals'!$G$8:$G$10000,"="&amp;T79)+SUMIFS('[1]2_inventory_totals'!$P$8:$P$10000,'[1]2_inventory_totals'!$C$8:$C$10000,I79,'[1]2_inventory_totals'!$F$8:$F$10000,"="&amp;S79,'[1]2_inventory_totals'!$G$8:$G$10000,"="&amp;T79)+SUMIFS('[1]2_inventory_totals'!$Q$8:$Q$10000,'[1]2_inventory_totals'!$C$8:$C$10000,I79,'[1]2_inventory_totals'!$F$8:$F$10000,"="&amp;S79,'[1]2_inventory_totals'!$G$8:$G$10000,"="&amp;T79)+SUMIFS('[1]2_inventory_totals'!$R$8:$R$10000,'[1]2_inventory_totals'!$C$8:$C$10000,I79,'[1]2_inventory_totals'!$F$8:$F$10000,"="&amp;S79,'[1]2_inventory_totals'!$G$8:$G$10000,"="&amp;T79))+(SUMIFS('[1]2_inventory_totals'!$J$8:$J$10000,'[1]2_inventory_totals'!$C$8:$C$10000,I79,'[1]2_inventory_totals'!$F$8:$F$10000,"="&amp;S79,'[1]2_inventory_totals'!$G$8:$G$10000,"="&amp;T79)+SUMIFS('[1]2_inventory_totals'!$K$8:$K$10000,'[1]2_inventory_totals'!$C$8:$C$10000,I79,'[1]2_inventory_totals'!$F$8:$F$10000,"="&amp;S79,'[1]2_inventory_totals'!$G$8:$G$10000,"="&amp;T79)+SUMIFS('[1]2_inventory_totals'!$L$8:$L$10000,'[1]2_inventory_totals'!$C$8:$C$10000,I79,'[1]2_inventory_totals'!$F$8:$F$10000,"="&amp;S79,'[1]2_inventory_totals'!$G$8:$G$10000,"="&amp;T79)+SUMIFS('[1]2_inventory_totals'!$M$8:$M$10000,'[1]2_inventory_totals'!$C$8:$C$10000,I79,'[1]2_inventory_totals'!$F$8:$F$10000,"="&amp;S79,'[1]2_inventory_totals'!$G$8:$G$10000,"="&amp;T79)+SUMIFS('[1]2_inventory_totals'!$O$8:$O$10000,'[1]2_inventory_totals'!$C$8:$C$10000,I79,'[1]2_inventory_totals'!$F$8:$F$10000,"="&amp;S79,'[1]2_inventory_totals'!$G$8:$G$10000,"="&amp;T79)+SUMIFS('[1]2_inventory_totals'!$S$8:$S$10000,'[1]2_inventory_totals'!$C$8:$C$10000,I79,'[1]2_inventory_totals'!$F$8:$F$10000,"="&amp;S79,'[1]2_inventory_totals'!$G$8:$G$10000,"="&amp;T79)))</f>
        <v/>
      </c>
      <c r="AP79" s="954"/>
    </row>
    <row r="80" spans="1:42" ht="27" customHeight="1">
      <c r="A80" s="923"/>
      <c r="B80" s="1178"/>
      <c r="C80" s="950"/>
      <c r="D80" s="950"/>
      <c r="E80" s="950"/>
      <c r="F80" s="1199"/>
      <c r="G80" s="941"/>
      <c r="H80" s="1070"/>
      <c r="I80" s="1610" t="str">
        <f t="shared" si="20"/>
        <v/>
      </c>
      <c r="J80" s="270" t="str">
        <f t="shared" si="21"/>
        <v/>
      </c>
      <c r="K80" s="813" t="str">
        <f t="shared" si="18"/>
        <v/>
      </c>
      <c r="L80" s="1184"/>
      <c r="M80" s="1185"/>
      <c r="N80" s="1186"/>
      <c r="O80" s="1534"/>
      <c r="P80" s="336" t="str">
        <f t="shared" si="19"/>
        <v/>
      </c>
      <c r="Q80" s="336" t="str">
        <f>IF(L80="","",IF(AD80=0,0,(SUMIFS('[1]1_group_total_details'!$I$8:$I$10000,'[1]1_group_total_details'!$C$8:$C$10000,I80,'[1]1_group_total_details'!$F$8:$F$10000,adj_location_group_id,'[1]1_group_total_details'!$G$8:$G$10000,MID(N80,1,3)*1,'[1]1_group_total_details'!$H$8:$H$10000,"&lt;="&amp;adj_date)+SUMIFS('[1]1_group_total_details'!$L$8:$L$10000,'[1]1_group_total_details'!$C$8:$C$10000,I80,'[1]1_group_total_details'!$F$8:$F$10000,adj_location_group_id,'[1]1_group_total_details'!$G$8:$G$10000,MID(N80,1,3)*1,'[1]1_group_total_details'!$H$8:$H$10000,"&lt;="&amp;adj_date)+SUMIFS('[1]1_group_total_details'!$N$8:$N$10000,'[1]1_group_total_details'!$C$8:$C$10000,I80,'[1]1_group_total_details'!$F$8:$F$10000,adj_location_group_id,'[1]1_group_total_details'!$G$8:$G$10000,MID(N80,1,3)*1,'[1]1_group_total_details'!$H$8:$H$10000,"&lt;="&amp;adj_date)+SUMIFS('[1]1_group_total_details'!$O$8:$O$10000,'[1]1_group_total_details'!$C$8:$C$10000,I80,'[1]1_group_total_details'!$F$8:$F$10000,adj_location_group_id,'[1]1_group_total_details'!$G$8:$G$10000,MID(N80,1,3)*1,'[1]1_group_total_details'!$H$8:$H$10000,"&lt;="&amp;adj_date))-(SUMIFS('[1]1_group_total_details'!$J$8:$J$10000,'[1]1_group_total_details'!$C$8:$C$10000,I80,'[1]1_group_total_details'!$F$8:$F$10000,adj_location_group_id,'[1]1_group_total_details'!$G$8:$G$10000,MID(N80,1,3)*1,'[1]1_group_total_details'!$H$8:$H$10000,"&lt;="&amp;adj_date)+SUMIFS('[1]1_group_total_details'!$K$8:$K$10000,'[1]1_group_total_details'!$C$8:$C$10000,I80,'[1]1_group_total_details'!$F$8:$F$10000,adj_location_group_id,'[1]1_group_total_details'!$G$8:$G$10000,MID(N80,1,3)*1,'[1]1_group_total_details'!$H$8:$H$10000,"&lt;="&amp;adj_date)+SUMIFS('[1]1_group_total_details'!$M$8:$M$10000,'[1]1_group_total_details'!$C$8:$C$10000,I80,'[1]1_group_total_details'!$F$8:$F$10000,adj_location_group_id,'[1]1_group_total_details'!$G$8:$G$10000,MID(N80,1,3)*1,'[1]1_group_total_details'!$H$8:$H$10000,"&lt;="&amp;adj_date)+SUMIFS('[1]1_group_total_details'!$P$8:$P$10000,'[1]1_group_total_details'!$C$8:$C$10000,I80,'[1]1_group_total_details'!$F$8:$F$10000,adj_location_group_id,'[1]1_group_total_details'!$G$8:$G$10000,MID(N80,1,3)*1,'[1]1_group_total_details'!$H$8:$H$10000,"&lt;="&amp;adj_date))))</f>
        <v/>
      </c>
      <c r="R80" s="1187"/>
      <c r="S80" s="1186"/>
      <c r="T80" s="1186"/>
      <c r="U80" s="1184"/>
      <c r="V80" s="270" t="str" cm="1">
        <f t="array" ref="V80">IF(L80="","",IF(M80=AE80,1,Slookup(MID(AE80,1,3)*1,UomConversion!$D$8:$J$500,5,UomConversion!$E$8:$E$500,MID(M80,1,3)*1,UomConversion!$J$8:$J$500,1)))</f>
        <v/>
      </c>
      <c r="W80" s="270" t="str">
        <f t="shared" si="22"/>
        <v/>
      </c>
      <c r="X80" s="1795" t="str">
        <f t="shared" si="23"/>
        <v/>
      </c>
      <c r="Y80" s="1795" t="str">
        <f t="shared" si="24"/>
        <v/>
      </c>
      <c r="Z80" s="270" t="str">
        <f>IF(I80="","",IF(ISNA(MATCH(I80,IF(MID(N80,1,3)*1=1,'[1]1_inventory_totals'!$C$8:$C$10000,IF(MID(N80,1,3)*1=2,'[1]2_inventory_totals'!$C$8:$C$10000,"")),0)),0,IF(AL80&gt;0,1,0)))</f>
        <v/>
      </c>
      <c r="AA80" s="270" t="str">
        <f>IF(L80="","",IF(MID(N80,1,3)*1=1,SUMIFS('[1]1_inventory_total_details'!$J$8:$J$10000,'[1]1_inventory_total_details'!$C$8:$C$10000,I80,'[1]1_inventory_total_details'!$F$8:$F$10000,MID(N80,1,3)*1,'[1]1_inventory_total_details'!$G$8:$G$10000,"="&amp;S80,'[1]1_inventory_total_details'!$H$8:$H$10000,"="&amp;T80,'[1]1_inventory_total_details'!$I$8:$I$10000,"="&amp;adj_date)+SUMIFS('[1]1_inventory_total_details'!$M$8:$M$10000,'[1]1_inventory_total_details'!$C$8:$C$10000,I80,'[1]1_inventory_total_details'!$F$8:$F$10000,MID(N80,1,3)*1,'[1]1_inventory_total_details'!$G$8:$G$10000,"="&amp;S80,'[1]1_inventory_total_details'!$H$8:$H$10000,"="&amp;T80,'[1]1_inventory_total_details'!$I$8:$I$10000,"="&amp;adj_date)+SUMIFS('[1]1_inventory_total_details'!$K$8:$K$10000,'[1]1_inventory_total_details'!$C$8:$C$10000,I80,'[1]1_inventory_total_details'!$F$8:$F$10000,MID(N80,1,3)*1,'[1]1_inventory_total_details'!$G$8:$G$10000,"="&amp;S80,'[1]1_inventory_total_details'!$H$8:$H$10000,"="&amp;T80,'[1]1_inventory_total_details'!$I$8:$I$10000,"="&amp;adj_date)+SUMIFS('[1]1_inventory_total_details'!$L$8:$L$10000,'[1]1_inventory_total_details'!$C$8:$C$10000,I80,'[1]1_inventory_total_details'!$F$8:$F$10000,MID(N80,1,3)*1,'[1]1_inventory_total_details'!$G$8:$G$10000,"="&amp;S80,'[1]1_inventory_total_details'!$H$8:$H$10000,"="&amp;T80,'[1]1_inventory_total_details'!$I$8:$I$10000,"="&amp;adj_date),SUMIFS('[1]2_inventory_total_details'!$J$8:$J$10000,'[1]2_inventory_total_details'!$C$8:$C$10000,I80,'[1]2_inventory_total_details'!$F$8:$F$10000,MID(N80,1,3)*1,'[1]2_inventory_total_details'!$G$8:$G$10000,"="&amp;S80,'[1]2_inventory_total_details'!$H$8:$H$10000,"="&amp;T80,'[1]2_inventory_total_details'!$I$8:$I$10000,"="&amp;adj_date)+SUMIFS('[1]2_inventory_total_details'!$M$8:$M$10000,'[1]1_inventory_total_details'!$C$8:$C$10000,I80,'[1]2_inventory_total_details'!$F$8:$F$10000,MID(N80,1,3)*1,'[1]2_inventory_total_details'!$G$8:$G$10000,"="&amp;S80,'[1]2_inventory_total_details'!$H$8:$H$10000,"="&amp;T80,'[1]2_inventory_total_details'!$I$8:$I$10000,"="&amp;adj_date)+SUMIFS('[1]2_inventory_total_details'!$K$8:$K$10000,'[1]2_inventory_total_details'!$C$8:$C$10000,I80,'[1]2_inventory_total_details'!$F$8:$F$10000,MID(N80,1,3)*1,'[1]2_inventory_total_details'!$G$8:$G$10000,"="&amp;S80,'[1]2_inventory_total_details'!$H$8:$H$10000,"="&amp;T80,'[1]2_inventory_total_details'!$I$8:$I$10000,"="&amp;adj_date)+SUMIFS('[1]2_inventory_total_details'!$L$8:$L$10000,'[1]2_inventory_total_details'!$C$8:$C$10000,I80,'[1]2_inventory_total_details'!$F$8:$F$10000,MID(N80,1,3)*1,'[1]2_inventory_total_details'!$G$8:$G$10000,"="&amp;S80,'[1]2_inventory_total_details'!$H$8:$H$10000,"="&amp;T80,'[1]2_inventory_total_details'!$I$8:$I$10000,"="&amp;adj_date)))</f>
        <v/>
      </c>
      <c r="AB80" s="270" t="str">
        <f>IF(L80="","",IF(MID(N80,1,3)*1=1,SUMIFS('[1]1_inventory_total_details'!$J$8:$J$10000,'[1]1_inventory_total_details'!$C$8:$C$10000,I80,'[1]1_inventory_total_details'!$F$8:$F$10000,MID(N80,1,3)*1,'[1]1_inventory_total_details'!$G$8:$G$10000,"="&amp;S80,'[1]1_inventory_total_details'!$H$8:$H$10000,"="&amp;T80,'[1]1_inventory_total_details'!$I$8:$I$10000,"="&amp;adj_date)+SUMIFS('[1]1_inventory_total_details'!$M$8:$M$10000,'[1]1_inventory_total_details'!$C$8:$C$10000,I80,'[1]1_inventory_total_details'!$F$8:$F$10000,MID(N80,1,3)*1,'[1]1_inventory_total_details'!$G$8:$G$10000,"="&amp;S80,'[1]1_inventory_total_details'!$H$8:$H$10000,"="&amp;T80,'[1]1_inventory_total_details'!$I$8:$I$10000,"="&amp;adj_date)+SUMIFS('[1]1_inventory_total_details'!$K$8:$K$10000,'[1]1_inventory_total_details'!$C$8:$C$10000,I80,'[1]1_inventory_total_details'!$F$8:$F$10000,MID(N80,1,3)*1,'[1]1_inventory_total_details'!$G$8:$G$10000,"="&amp;S80,'[1]1_inventory_total_details'!$H$8:$H$10000,"="&amp;T80,'[1]1_inventory_total_details'!$I$8:$I$10000,"="&amp;adj_date)+SUMIFS('[1]1_inventory_total_details'!$L$8:$L$10000,'[1]1_inventory_total_details'!$C$8:$C$10000,I80,'[1]1_inventory_total_details'!$F$8:$F$10000,MID(N80,1,3)*1,'[1]1_inventory_total_details'!$G$8:$G$10000,"="&amp;S80,'[1]1_inventory_total_details'!$H$8:$H$10000,"="&amp;T80,'[1]1_inventory_total_details'!$I$8:$I$10000,"="&amp;adj_date),SUMIFS('[1]2_inventory_total_details'!$J$8:$J$10000,'[1]2_inventory_total_details'!$C$8:$C$10000,I80,'[1]2_inventory_total_details'!$F$8:$F$10000,MID(N80,1,3)*1,'[1]2_inventory_total_details'!$G$8:$G$10000,"="&amp;S80,'[1]2_inventory_total_details'!$H$8:$H$10000,"="&amp;T80,'[1]2_inventory_total_details'!$I$8:$I$10000,"="&amp;adj_date)+SUMIFS('[1]2_inventory_total_details'!$M$8:$M$10000,'[1]1_inventory_total_details'!$C$8:$C$10000,I80,'[1]2_inventory_total_details'!$F$8:$F$10000,MID(N80,1,3)*1,'[1]2_inventory_total_details'!$G$8:$G$10000,"="&amp;S80,'[1]2_inventory_total_details'!$H$8:$H$10000,"="&amp;T80,'[1]2_inventory_total_details'!$I$8:$I$10000,"="&amp;adj_date)+SUMIFS('[1]2_inventory_total_details'!$K$8:$K$10000,'[1]2_inventory_total_details'!$C$8:$C$10000,I80,'[1]2_inventory_total_details'!$F$8:$F$10000,MID(N80,1,3)*1,'[1]2_inventory_total_details'!$G$8:$G$10000,"="&amp;S80,'[1]2_inventory_total_details'!$H$8:$H$10000,"="&amp;T80,'[1]2_inventory_total_details'!$I$8:$I$10000,"="&amp;adj_date)+SUMIFS('[1]2_inventory_total_details'!$L$8:$L$10000,'[1]2_inventory_total_details'!$C$8:$C$10000,I80,'[1]2_inventory_total_details'!$F$8:$F$10000,MID(N80,1,3)*1,'[1]2_inventory_total_details'!$G$8:$G$10000,"="&amp;S80,'[1]2_inventory_total_details'!$H$8:$H$10000,"="&amp;T80,'[1]2_inventory_total_details'!$I$8:$I$10000,"="&amp;adj_date)))</f>
        <v/>
      </c>
      <c r="AC80" s="270" t="str">
        <f>IF(L80="","",IF(MID(N80,1,3)*1=1,SUMIFS('[1]1_inventory_total_details'!$J$8:$J$10000,'[1]1_inventory_total_details'!$C$8:$C$10000,I80,'[1]1_inventory_total_details'!$F$8:$F$10000,MID(N80,1,3)*1,'[1]1_inventory_total_details'!$G$8:$G$10000,"="&amp;S80,'[1]1_inventory_total_details'!$H$8:$H$10000,"="&amp;T80,'[1]1_inventory_total_details'!$I$8:$I$10000,"="&amp;adj_date)+SUMIFS('[1]1_inventory_total_details'!$M$8:$M$10000,'[1]1_inventory_total_details'!$C$8:$C$10000,I80,'[1]1_inventory_total_details'!$F$8:$F$10000,MID(N80,1,3)*1,'[1]1_inventory_total_details'!$G$8:$G$10000,"="&amp;S80,'[1]1_inventory_total_details'!$H$8:$H$10000,"="&amp;T80,'[1]1_inventory_total_details'!$I$8:$I$10000,"="&amp;adj_date)+SUMIFS('[1]1_inventory_total_details'!$K$8:$K$10000,'[1]1_inventory_total_details'!$C$8:$C$10000,I80,'[1]1_inventory_total_details'!$F$8:$F$10000,MID(N80,1,3)*1,'[1]1_inventory_total_details'!$G$8:$G$10000,"="&amp;S80,'[1]1_inventory_total_details'!$H$8:$H$10000,"="&amp;T80,'[1]1_inventory_total_details'!$I$8:$I$10000,"="&amp;adj_date)+SUMIFS('[1]1_inventory_total_details'!$L$8:$L$10000,'[1]1_inventory_total_details'!$C$8:$C$10000,I80,'[1]1_inventory_total_details'!$F$8:$F$10000,MID(N80,1,3)*1,'[1]1_inventory_total_details'!$G$8:$G$10000,"="&amp;S80,'[1]1_inventory_total_details'!$H$8:$H$10000,"="&amp;T80,'[1]1_inventory_total_details'!$I$8:$I$10000,"="&amp;adj_date),SUMIFS('[1]2_inventory_total_details'!$J$8:$J$10000,'[1]2_inventory_total_details'!$C$8:$C$10000,I80,'[1]2_inventory_total_details'!$F$8:$F$10000,MID(N80,1,3)*1,'[1]2_inventory_total_details'!$G$8:$G$10000,"="&amp;S80,'[1]2_inventory_total_details'!$H$8:$H$10000,"="&amp;T80,'[1]2_inventory_total_details'!$I$8:$I$10000,"="&amp;adj_date)+SUMIFS('[1]2_inventory_total_details'!$M$8:$M$10000,'[1]1_inventory_total_details'!$C$8:$C$10000,I80,'[1]2_inventory_total_details'!$F$8:$F$10000,MID(N80,1,3)*1,'[1]2_inventory_total_details'!$G$8:$G$10000,"="&amp;S80,'[1]2_inventory_total_details'!$H$8:$H$10000,"="&amp;T80,'[1]2_inventory_total_details'!$I$8:$I$10000,"="&amp;adj_date)+SUMIFS('[1]2_inventory_total_details'!$K$8:$K$10000,'[1]2_inventory_total_details'!$C$8:$C$10000,I80,'[1]2_inventory_total_details'!$F$8:$F$10000,MID(N80,1,3)*1,'[1]2_inventory_total_details'!$G$8:$G$10000,"="&amp;S80,'[1]2_inventory_total_details'!$H$8:$H$10000,"="&amp;T80,'[1]2_inventory_total_details'!$I$8:$I$10000,"="&amp;adj_date)+SUMIFS('[1]2_inventory_total_details'!$L$8:$L$10000,'[1]2_inventory_total_details'!$C$8:$C$10000,I80,'[1]2_inventory_total_details'!$F$8:$F$10000,MID(N80,1,3)*1,'[1]2_inventory_total_details'!$G$8:$G$10000,"="&amp;S80,'[1]2_inventory_total_details'!$H$8:$H$10000,"="&amp;T80,'[1]2_inventory_total_details'!$I$8:$I$10000,"="&amp;adj_date)))</f>
        <v/>
      </c>
      <c r="AD80" s="270" t="str">
        <f>IF(L80="","",SUMIFS('[1]1_group_totals'!$J$8:$J$10000,'[1]1_group_totals'!$C$8:$C$10000,I80,'[1]1_group_totals'!$F$8:$F$10000,adj_location_group_id,'[1]1_group_totals'!$G$8:$G$10000,MID(N80,1,3)*1,'[1]1_group_totals'!$H$8:$H$10000,"="&amp;S80,'[1]1_group_totals'!$I$8:$I$10000,"="&amp;T80))</f>
        <v/>
      </c>
      <c r="AE80" s="1796" t="str">
        <f t="shared" si="25"/>
        <v/>
      </c>
      <c r="AF80" s="1797" t="str">
        <f>IF(ISNA(MATCH(MID(AE80,1,3)*1,UomConversion!$D$8:$D$500,0)),"",IF(AJ80&lt;&gt;"",AJ80,""))</f>
        <v/>
      </c>
      <c r="AG80" s="1797" t="str">
        <f>IF(AND(AH80&gt;0,COUNTIFS(UomConversion!$D$8:$D$500,MID(AE80,1,3)*1,UomConversion!$J$8:$J$500,1)&gt;1),TEXT(AH80,"000")&amp;"."&amp;VLOOKUP(AH80,uom_list,5,FALSE),"")</f>
        <v/>
      </c>
      <c r="AH80" s="270" t="str">
        <f t="shared" si="26"/>
        <v/>
      </c>
      <c r="AI80" s="270" t="str">
        <f t="shared" si="27"/>
        <v/>
      </c>
      <c r="AJ80" s="270" t="str">
        <f t="shared" si="28"/>
        <v/>
      </c>
      <c r="AK80" s="270" t="str" cm="1">
        <f t="array" ref="AK80">IF(L80="","",Slookup(MID(AE80,1,3)*1,UomConversion!$D$8:$J$500,2,UomConversion!$I$8:$I$500,1,UomConversion!$J$8:$J$500,1))</f>
        <v/>
      </c>
      <c r="AL80" s="270" t="str">
        <f t="shared" si="29"/>
        <v/>
      </c>
      <c r="AM80" s="270" t="str">
        <f>IF(L80="","",(SUMIFS('[1]1_group_totals'!$K$8:$K$10000,'[1]1_group_totals'!$C$8:$C$10000,I80,'[1]1_group_totals'!$F$8:$F$10000,adj_location_group_id,'[1]1_group_totals'!$G$8:$G$10000,MID(N80,1,3)*1,'[1]1_group_totals'!$H$8:$H$10000,"="&amp;S80,'[1]1_group_totals'!$I$8:$I$10000,"="&amp;T80)+SUMIFS('[1]1_group_totals'!$N$8:$N$10000,'[1]1_group_totals'!$C$8:$C$10000,I80,'[1]1_group_totals'!$F$8:$F$10000,adj_location_group_id,'[1]1_group_totals'!$G$8:$G$10000,MID(N80,1,3)*1,'[1]1_group_totals'!$H$8:$H$10000,"="&amp;S80,'[1]1_group_totals'!$I$8:$I$10000,"="&amp;T80)+SUMIFS('[1]1_group_totals'!$P$8:$P$10000,'[1]1_group_totals'!$C$8:$C$10000,I80,'[1]1_group_totals'!$F$8:$F$10000,adj_location_group_id,'[1]1_group_totals'!$G$8:$G$10000,MID(N80,1,3)*1,'[1]1_group_totals'!$H$8:$H$10000,"="&amp;S80,'[1]1_group_totals'!$I$8:$I$10000,"="&amp;T80)+SUMIFS('[1]1_group_totals'!$Q$8:$Q$10000,'[1]1_group_totals'!$C$8:$C$10000,I80,'[1]1_group_totals'!$F$8:$F$10000,adj_location_group_id,'[1]1_group_totals'!$G$8:$G$10000,MID(N80,1,3)*1,'[1]1_group_totals'!$H$8:$H$10000,"="&amp;S80,'[1]1_group_totals'!$I$8:$I$10000,"="&amp;T80))+(SUMIFS('[1]1_group_totals'!$L$8:$L$10000,'[1]1_group_totals'!$C$8:$C$10000,I80,'[1]1_group_totals'!$F$8:$F$10000,adj_location_group_id,'[1]1_group_totals'!$G$8:$G$10000,MID(N80,1,3)*1,'[1]1_group_totals'!$H$8:$H$10000,"="&amp;S80,'[1]1_group_totals'!$I$8:$I$10000,"="&amp;T80)+SUMIFS('[1]1_group_totals'!$M$8:$M$10000,'[1]1_group_totals'!$C$8:$C$10000,I80,'[1]1_group_totals'!$F$8:$F$10000,adj_location_group_id,'[1]1_group_totals'!$G$8:$G$10000,MID(N80,1,3)*1,'[1]1_group_totals'!$H$8:$H$10000,"="&amp;S80,'[1]1_group_totals'!$I$8:$I$10000,"="&amp;T80)+SUMIFS('[1]1_group_totals'!$O$8:$O$10000,'[1]1_group_totals'!$C$8:$C$10000,I80,'[1]1_group_totals'!$F$8:$F$10000,adj_location_group_id,'[1]1_group_totals'!$G$8:$G$10000,MID(N80,1,3)*1,'[1]1_group_totals'!$H$8:$H$10000,"="&amp;S80,'[1]1_group_totals'!$I$8:$I$10000,"="&amp;T80)+SUMIFS('[1]1_group_totals'!$R$8:$R$10000,'[1]1_group_totals'!$C$8:$C$10000,I80,'[1]1_group_totals'!$F$8:$F$10000,adj_location_group_id,'[1]1_group_totals'!$G$8:$G$10000,MID(N80,1,3)*1,'[1]1_group_totals'!$H$8:$H$10000,"="&amp;S80,'[1]1_group_totals'!$I$8:$I$10000,"="&amp;T80)))</f>
        <v/>
      </c>
      <c r="AN80" s="270" t="str">
        <f>IF(L80="","",(SUMIFS('[1]1_inventory_totals'!$I$8:$I$10000,'[1]1_inventory_totals'!$C$8:$C$10000,I80,'[1]1_inventory_totals'!$F$8:$F$10000,"="&amp;S80,'[1]1_inventory_totals'!$G$8:$G$10000,"="&amp;T80)+SUMIFS('[1]1_inventory_totals'!$N$8:$N$10000,'[1]1_inventory_totals'!$C$8:$C$10000,I80,'[1]1_inventory_totals'!$F$8:$F$10000,"="&amp;S80,'[1]1_inventory_totals'!$G$8:$G$10000,"="&amp;T80)+SUMIFS('[1]1_inventory_totals'!$P$8:$P$10000,'[1]1_inventory_totals'!$C$8:$C$10000,I80,'[1]1_inventory_totals'!$F$8:$F$10000,"="&amp;S80,'[1]1_inventory_totals'!$G$8:$G$10000,"="&amp;T80)+SUMIFS('[1]1_inventory_totals'!$Q$8:$Q$10000,'[1]1_inventory_totals'!$C$8:$C$10000,I80,'[1]1_inventory_totals'!$F$8:$F$10000,"="&amp;S80,'[1]1_inventory_totals'!$G$8:$G$10000,"="&amp;T80)+SUMIFS('[1]1_inventory_totals'!$R$8:$R$10000,'[1]1_inventory_totals'!$C$8:$C$10000,I80,'[1]1_inventory_totals'!$F$8:$F$10000,"="&amp;S80,'[1]1_inventory_totals'!$G$8:$G$10000,"="&amp;T80))+(SUMIFS('[1]1_inventory_totals'!$J$8:$J$10000,'[1]1_inventory_totals'!$C$8:$C$10000,I80,'[1]1_inventory_totals'!$F$8:$F$10000,"="&amp;S80,'[1]1_inventory_totals'!$G$8:$G$10000,"="&amp;T80)+SUMIFS('[1]1_inventory_totals'!$K$8:$K$10000,'[1]1_inventory_totals'!$C$8:$C$10000,I80,'[1]1_inventory_totals'!$F$8:$F$10000,"="&amp;S80,'[1]1_inventory_totals'!$G$8:$G$10000,"="&amp;T80)+SUMIFS('[1]1_inventory_totals'!$L$8:$L$10000,'[1]1_inventory_totals'!$C$8:$C$10000,I80,'[1]1_inventory_totals'!$F$8:$F$10000,"="&amp;S80,'[1]1_inventory_totals'!$G$8:$G$10000,"="&amp;T80)+SUMIFS('[1]1_inventory_totals'!$M$8:$M$10000,'[1]1_inventory_totals'!$C$8:$C$10000,I80,'[1]1_inventory_totals'!$F$8:$F$10000,"="&amp;S80,'[1]1_inventory_totals'!$G$8:$G$10000,"="&amp;T80)+SUMIFS('[1]1_inventory_totals'!$O$8:$O$10000,'[1]1_inventory_totals'!$C$8:$C$10000,I80,'[1]1_inventory_totals'!$F$8:$F$10000,"="&amp;S80,'[1]1_inventory_totals'!$G$8:$G$10000,"="&amp;T80)+SUMIFS('[1]1_inventory_totals'!$S$8:$S$10000,'[1]1_inventory_totals'!$C$8:$C$10000,I80,'[1]1_inventory_totals'!$F$8:$F$10000,"="&amp;S80,'[1]1_inventory_totals'!$G$8:$G$10000,"="&amp;T80)))</f>
        <v/>
      </c>
      <c r="AO80" s="270" t="str">
        <f>IF(L80="","",(SUMIFS('[1]2_inventory_totals'!$I$8:$I$10000,'[1]2_inventory_totals'!$C$8:$C$10000,I80,'[1]2_inventory_totals'!$F$8:$F$10000,"="&amp;S80,'[1]2_inventory_totals'!$G$8:$G$10000,"="&amp;T80)+SUMIFS('[1]2_inventory_totals'!$N$8:$N$10000,'[1]2_inventory_totals'!$C$8:$C$10000,I80,'[1]2_inventory_totals'!$F$8:$F$10000,"="&amp;S80,'[1]2_inventory_totals'!$G$8:$G$10000,"="&amp;T80)+SUMIFS('[1]2_inventory_totals'!$P$8:$P$10000,'[1]2_inventory_totals'!$C$8:$C$10000,I80,'[1]2_inventory_totals'!$F$8:$F$10000,"="&amp;S80,'[1]2_inventory_totals'!$G$8:$G$10000,"="&amp;T80)+SUMIFS('[1]2_inventory_totals'!$Q$8:$Q$10000,'[1]2_inventory_totals'!$C$8:$C$10000,I80,'[1]2_inventory_totals'!$F$8:$F$10000,"="&amp;S80,'[1]2_inventory_totals'!$G$8:$G$10000,"="&amp;T80)+SUMIFS('[1]2_inventory_totals'!$R$8:$R$10000,'[1]2_inventory_totals'!$C$8:$C$10000,I80,'[1]2_inventory_totals'!$F$8:$F$10000,"="&amp;S80,'[1]2_inventory_totals'!$G$8:$G$10000,"="&amp;T80))+(SUMIFS('[1]2_inventory_totals'!$J$8:$J$10000,'[1]2_inventory_totals'!$C$8:$C$10000,I80,'[1]2_inventory_totals'!$F$8:$F$10000,"="&amp;S80,'[1]2_inventory_totals'!$G$8:$G$10000,"="&amp;T80)+SUMIFS('[1]2_inventory_totals'!$K$8:$K$10000,'[1]2_inventory_totals'!$C$8:$C$10000,I80,'[1]2_inventory_totals'!$F$8:$F$10000,"="&amp;S80,'[1]2_inventory_totals'!$G$8:$G$10000,"="&amp;T80)+SUMIFS('[1]2_inventory_totals'!$L$8:$L$10000,'[1]2_inventory_totals'!$C$8:$C$10000,I80,'[1]2_inventory_totals'!$F$8:$F$10000,"="&amp;S80,'[1]2_inventory_totals'!$G$8:$G$10000,"="&amp;T80)+SUMIFS('[1]2_inventory_totals'!$M$8:$M$10000,'[1]2_inventory_totals'!$C$8:$C$10000,I80,'[1]2_inventory_totals'!$F$8:$F$10000,"="&amp;S80,'[1]2_inventory_totals'!$G$8:$G$10000,"="&amp;T80)+SUMIFS('[1]2_inventory_totals'!$O$8:$O$10000,'[1]2_inventory_totals'!$C$8:$C$10000,I80,'[1]2_inventory_totals'!$F$8:$F$10000,"="&amp;S80,'[1]2_inventory_totals'!$G$8:$G$10000,"="&amp;T80)+SUMIFS('[1]2_inventory_totals'!$S$8:$S$10000,'[1]2_inventory_totals'!$C$8:$C$10000,I80,'[1]2_inventory_totals'!$F$8:$F$10000,"="&amp;S80,'[1]2_inventory_totals'!$G$8:$G$10000,"="&amp;T80)))</f>
        <v/>
      </c>
      <c r="AP80" s="954"/>
    </row>
    <row r="81" spans="1:42" ht="27" customHeight="1">
      <c r="A81" s="923"/>
      <c r="B81" s="1178"/>
      <c r="C81" s="950"/>
      <c r="D81" s="950"/>
      <c r="E81" s="950"/>
      <c r="F81" s="1199"/>
      <c r="G81" s="941"/>
      <c r="H81" s="1070"/>
      <c r="I81" s="1610" t="str">
        <f t="shared" si="20"/>
        <v/>
      </c>
      <c r="J81" s="270" t="str">
        <f t="shared" si="21"/>
        <v/>
      </c>
      <c r="K81" s="813" t="str">
        <f t="shared" si="18"/>
        <v/>
      </c>
      <c r="L81" s="1184"/>
      <c r="M81" s="1185"/>
      <c r="N81" s="1186"/>
      <c r="O81" s="1534"/>
      <c r="P81" s="336" t="str">
        <f t="shared" si="19"/>
        <v/>
      </c>
      <c r="Q81" s="336" t="str">
        <f>IF(L81="","",IF(AD81=0,0,(SUMIFS('[1]1_group_total_details'!$I$8:$I$10000,'[1]1_group_total_details'!$C$8:$C$10000,I81,'[1]1_group_total_details'!$F$8:$F$10000,adj_location_group_id,'[1]1_group_total_details'!$G$8:$G$10000,MID(N81,1,3)*1,'[1]1_group_total_details'!$H$8:$H$10000,"&lt;="&amp;adj_date)+SUMIFS('[1]1_group_total_details'!$L$8:$L$10000,'[1]1_group_total_details'!$C$8:$C$10000,I81,'[1]1_group_total_details'!$F$8:$F$10000,adj_location_group_id,'[1]1_group_total_details'!$G$8:$G$10000,MID(N81,1,3)*1,'[1]1_group_total_details'!$H$8:$H$10000,"&lt;="&amp;adj_date)+SUMIFS('[1]1_group_total_details'!$N$8:$N$10000,'[1]1_group_total_details'!$C$8:$C$10000,I81,'[1]1_group_total_details'!$F$8:$F$10000,adj_location_group_id,'[1]1_group_total_details'!$G$8:$G$10000,MID(N81,1,3)*1,'[1]1_group_total_details'!$H$8:$H$10000,"&lt;="&amp;adj_date)+SUMIFS('[1]1_group_total_details'!$O$8:$O$10000,'[1]1_group_total_details'!$C$8:$C$10000,I81,'[1]1_group_total_details'!$F$8:$F$10000,adj_location_group_id,'[1]1_group_total_details'!$G$8:$G$10000,MID(N81,1,3)*1,'[1]1_group_total_details'!$H$8:$H$10000,"&lt;="&amp;adj_date))-(SUMIFS('[1]1_group_total_details'!$J$8:$J$10000,'[1]1_group_total_details'!$C$8:$C$10000,I81,'[1]1_group_total_details'!$F$8:$F$10000,adj_location_group_id,'[1]1_group_total_details'!$G$8:$G$10000,MID(N81,1,3)*1,'[1]1_group_total_details'!$H$8:$H$10000,"&lt;="&amp;adj_date)+SUMIFS('[1]1_group_total_details'!$K$8:$K$10000,'[1]1_group_total_details'!$C$8:$C$10000,I81,'[1]1_group_total_details'!$F$8:$F$10000,adj_location_group_id,'[1]1_group_total_details'!$G$8:$G$10000,MID(N81,1,3)*1,'[1]1_group_total_details'!$H$8:$H$10000,"&lt;="&amp;adj_date)+SUMIFS('[1]1_group_total_details'!$M$8:$M$10000,'[1]1_group_total_details'!$C$8:$C$10000,I81,'[1]1_group_total_details'!$F$8:$F$10000,adj_location_group_id,'[1]1_group_total_details'!$G$8:$G$10000,MID(N81,1,3)*1,'[1]1_group_total_details'!$H$8:$H$10000,"&lt;="&amp;adj_date)+SUMIFS('[1]1_group_total_details'!$P$8:$P$10000,'[1]1_group_total_details'!$C$8:$C$10000,I81,'[1]1_group_total_details'!$F$8:$F$10000,adj_location_group_id,'[1]1_group_total_details'!$G$8:$G$10000,MID(N81,1,3)*1,'[1]1_group_total_details'!$H$8:$H$10000,"&lt;="&amp;adj_date))))</f>
        <v/>
      </c>
      <c r="R81" s="1187"/>
      <c r="S81" s="1186"/>
      <c r="T81" s="1186"/>
      <c r="U81" s="1184"/>
      <c r="V81" s="270" t="str" cm="1">
        <f t="array" ref="V81">IF(L81="","",IF(M81=AE81,1,Slookup(MID(AE81,1,3)*1,UomConversion!$D$8:$J$500,5,UomConversion!$E$8:$E$500,MID(M81,1,3)*1,UomConversion!$J$8:$J$500,1)))</f>
        <v/>
      </c>
      <c r="W81" s="270" t="str">
        <f t="shared" si="22"/>
        <v/>
      </c>
      <c r="X81" s="1795" t="str">
        <f t="shared" si="23"/>
        <v/>
      </c>
      <c r="Y81" s="1795" t="str">
        <f t="shared" si="24"/>
        <v/>
      </c>
      <c r="Z81" s="270" t="str">
        <f>IF(I81="","",IF(ISNA(MATCH(I81,IF(MID(N81,1,3)*1=1,'[1]1_inventory_totals'!$C$8:$C$10000,IF(MID(N81,1,3)*1=2,'[1]2_inventory_totals'!$C$8:$C$10000,"")),0)),0,IF(AL81&gt;0,1,0)))</f>
        <v/>
      </c>
      <c r="AA81" s="270" t="str">
        <f>IF(L81="","",IF(MID(N81,1,3)*1=1,SUMIFS('[1]1_inventory_total_details'!$J$8:$J$10000,'[1]1_inventory_total_details'!$C$8:$C$10000,I81,'[1]1_inventory_total_details'!$F$8:$F$10000,MID(N81,1,3)*1,'[1]1_inventory_total_details'!$G$8:$G$10000,"="&amp;S81,'[1]1_inventory_total_details'!$H$8:$H$10000,"="&amp;T81,'[1]1_inventory_total_details'!$I$8:$I$10000,"="&amp;adj_date)+SUMIFS('[1]1_inventory_total_details'!$M$8:$M$10000,'[1]1_inventory_total_details'!$C$8:$C$10000,I81,'[1]1_inventory_total_details'!$F$8:$F$10000,MID(N81,1,3)*1,'[1]1_inventory_total_details'!$G$8:$G$10000,"="&amp;S81,'[1]1_inventory_total_details'!$H$8:$H$10000,"="&amp;T81,'[1]1_inventory_total_details'!$I$8:$I$10000,"="&amp;adj_date)+SUMIFS('[1]1_inventory_total_details'!$K$8:$K$10000,'[1]1_inventory_total_details'!$C$8:$C$10000,I81,'[1]1_inventory_total_details'!$F$8:$F$10000,MID(N81,1,3)*1,'[1]1_inventory_total_details'!$G$8:$G$10000,"="&amp;S81,'[1]1_inventory_total_details'!$H$8:$H$10000,"="&amp;T81,'[1]1_inventory_total_details'!$I$8:$I$10000,"="&amp;adj_date)+SUMIFS('[1]1_inventory_total_details'!$L$8:$L$10000,'[1]1_inventory_total_details'!$C$8:$C$10000,I81,'[1]1_inventory_total_details'!$F$8:$F$10000,MID(N81,1,3)*1,'[1]1_inventory_total_details'!$G$8:$G$10000,"="&amp;S81,'[1]1_inventory_total_details'!$H$8:$H$10000,"="&amp;T81,'[1]1_inventory_total_details'!$I$8:$I$10000,"="&amp;adj_date),SUMIFS('[1]2_inventory_total_details'!$J$8:$J$10000,'[1]2_inventory_total_details'!$C$8:$C$10000,I81,'[1]2_inventory_total_details'!$F$8:$F$10000,MID(N81,1,3)*1,'[1]2_inventory_total_details'!$G$8:$G$10000,"="&amp;S81,'[1]2_inventory_total_details'!$H$8:$H$10000,"="&amp;T81,'[1]2_inventory_total_details'!$I$8:$I$10000,"="&amp;adj_date)+SUMIFS('[1]2_inventory_total_details'!$M$8:$M$10000,'[1]1_inventory_total_details'!$C$8:$C$10000,I81,'[1]2_inventory_total_details'!$F$8:$F$10000,MID(N81,1,3)*1,'[1]2_inventory_total_details'!$G$8:$G$10000,"="&amp;S81,'[1]2_inventory_total_details'!$H$8:$H$10000,"="&amp;T81,'[1]2_inventory_total_details'!$I$8:$I$10000,"="&amp;adj_date)+SUMIFS('[1]2_inventory_total_details'!$K$8:$K$10000,'[1]2_inventory_total_details'!$C$8:$C$10000,I81,'[1]2_inventory_total_details'!$F$8:$F$10000,MID(N81,1,3)*1,'[1]2_inventory_total_details'!$G$8:$G$10000,"="&amp;S81,'[1]2_inventory_total_details'!$H$8:$H$10000,"="&amp;T81,'[1]2_inventory_total_details'!$I$8:$I$10000,"="&amp;adj_date)+SUMIFS('[1]2_inventory_total_details'!$L$8:$L$10000,'[1]2_inventory_total_details'!$C$8:$C$10000,I81,'[1]2_inventory_total_details'!$F$8:$F$10000,MID(N81,1,3)*1,'[1]2_inventory_total_details'!$G$8:$G$10000,"="&amp;S81,'[1]2_inventory_total_details'!$H$8:$H$10000,"="&amp;T81,'[1]2_inventory_total_details'!$I$8:$I$10000,"="&amp;adj_date)))</f>
        <v/>
      </c>
      <c r="AB81" s="270" t="str">
        <f>IF(L81="","",IF(MID(N81,1,3)*1=1,SUMIFS('[1]1_inventory_total_details'!$J$8:$J$10000,'[1]1_inventory_total_details'!$C$8:$C$10000,I81,'[1]1_inventory_total_details'!$F$8:$F$10000,MID(N81,1,3)*1,'[1]1_inventory_total_details'!$G$8:$G$10000,"="&amp;S81,'[1]1_inventory_total_details'!$H$8:$H$10000,"="&amp;T81,'[1]1_inventory_total_details'!$I$8:$I$10000,"="&amp;adj_date)+SUMIFS('[1]1_inventory_total_details'!$M$8:$M$10000,'[1]1_inventory_total_details'!$C$8:$C$10000,I81,'[1]1_inventory_total_details'!$F$8:$F$10000,MID(N81,1,3)*1,'[1]1_inventory_total_details'!$G$8:$G$10000,"="&amp;S81,'[1]1_inventory_total_details'!$H$8:$H$10000,"="&amp;T81,'[1]1_inventory_total_details'!$I$8:$I$10000,"="&amp;adj_date)+SUMIFS('[1]1_inventory_total_details'!$K$8:$K$10000,'[1]1_inventory_total_details'!$C$8:$C$10000,I81,'[1]1_inventory_total_details'!$F$8:$F$10000,MID(N81,1,3)*1,'[1]1_inventory_total_details'!$G$8:$G$10000,"="&amp;S81,'[1]1_inventory_total_details'!$H$8:$H$10000,"="&amp;T81,'[1]1_inventory_total_details'!$I$8:$I$10000,"="&amp;adj_date)+SUMIFS('[1]1_inventory_total_details'!$L$8:$L$10000,'[1]1_inventory_total_details'!$C$8:$C$10000,I81,'[1]1_inventory_total_details'!$F$8:$F$10000,MID(N81,1,3)*1,'[1]1_inventory_total_details'!$G$8:$G$10000,"="&amp;S81,'[1]1_inventory_total_details'!$H$8:$H$10000,"="&amp;T81,'[1]1_inventory_total_details'!$I$8:$I$10000,"="&amp;adj_date),SUMIFS('[1]2_inventory_total_details'!$J$8:$J$10000,'[1]2_inventory_total_details'!$C$8:$C$10000,I81,'[1]2_inventory_total_details'!$F$8:$F$10000,MID(N81,1,3)*1,'[1]2_inventory_total_details'!$G$8:$G$10000,"="&amp;S81,'[1]2_inventory_total_details'!$H$8:$H$10000,"="&amp;T81,'[1]2_inventory_total_details'!$I$8:$I$10000,"="&amp;adj_date)+SUMIFS('[1]2_inventory_total_details'!$M$8:$M$10000,'[1]1_inventory_total_details'!$C$8:$C$10000,I81,'[1]2_inventory_total_details'!$F$8:$F$10000,MID(N81,1,3)*1,'[1]2_inventory_total_details'!$G$8:$G$10000,"="&amp;S81,'[1]2_inventory_total_details'!$H$8:$H$10000,"="&amp;T81,'[1]2_inventory_total_details'!$I$8:$I$10000,"="&amp;adj_date)+SUMIFS('[1]2_inventory_total_details'!$K$8:$K$10000,'[1]2_inventory_total_details'!$C$8:$C$10000,I81,'[1]2_inventory_total_details'!$F$8:$F$10000,MID(N81,1,3)*1,'[1]2_inventory_total_details'!$G$8:$G$10000,"="&amp;S81,'[1]2_inventory_total_details'!$H$8:$H$10000,"="&amp;T81,'[1]2_inventory_total_details'!$I$8:$I$10000,"="&amp;adj_date)+SUMIFS('[1]2_inventory_total_details'!$L$8:$L$10000,'[1]2_inventory_total_details'!$C$8:$C$10000,I81,'[1]2_inventory_total_details'!$F$8:$F$10000,MID(N81,1,3)*1,'[1]2_inventory_total_details'!$G$8:$G$10000,"="&amp;S81,'[1]2_inventory_total_details'!$H$8:$H$10000,"="&amp;T81,'[1]2_inventory_total_details'!$I$8:$I$10000,"="&amp;adj_date)))</f>
        <v/>
      </c>
      <c r="AC81" s="270" t="str">
        <f>IF(L81="","",IF(MID(N81,1,3)*1=1,SUMIFS('[1]1_inventory_total_details'!$J$8:$J$10000,'[1]1_inventory_total_details'!$C$8:$C$10000,I81,'[1]1_inventory_total_details'!$F$8:$F$10000,MID(N81,1,3)*1,'[1]1_inventory_total_details'!$G$8:$G$10000,"="&amp;S81,'[1]1_inventory_total_details'!$H$8:$H$10000,"="&amp;T81,'[1]1_inventory_total_details'!$I$8:$I$10000,"="&amp;adj_date)+SUMIFS('[1]1_inventory_total_details'!$M$8:$M$10000,'[1]1_inventory_total_details'!$C$8:$C$10000,I81,'[1]1_inventory_total_details'!$F$8:$F$10000,MID(N81,1,3)*1,'[1]1_inventory_total_details'!$G$8:$G$10000,"="&amp;S81,'[1]1_inventory_total_details'!$H$8:$H$10000,"="&amp;T81,'[1]1_inventory_total_details'!$I$8:$I$10000,"="&amp;adj_date)+SUMIFS('[1]1_inventory_total_details'!$K$8:$K$10000,'[1]1_inventory_total_details'!$C$8:$C$10000,I81,'[1]1_inventory_total_details'!$F$8:$F$10000,MID(N81,1,3)*1,'[1]1_inventory_total_details'!$G$8:$G$10000,"="&amp;S81,'[1]1_inventory_total_details'!$H$8:$H$10000,"="&amp;T81,'[1]1_inventory_total_details'!$I$8:$I$10000,"="&amp;adj_date)+SUMIFS('[1]1_inventory_total_details'!$L$8:$L$10000,'[1]1_inventory_total_details'!$C$8:$C$10000,I81,'[1]1_inventory_total_details'!$F$8:$F$10000,MID(N81,1,3)*1,'[1]1_inventory_total_details'!$G$8:$G$10000,"="&amp;S81,'[1]1_inventory_total_details'!$H$8:$H$10000,"="&amp;T81,'[1]1_inventory_total_details'!$I$8:$I$10000,"="&amp;adj_date),SUMIFS('[1]2_inventory_total_details'!$J$8:$J$10000,'[1]2_inventory_total_details'!$C$8:$C$10000,I81,'[1]2_inventory_total_details'!$F$8:$F$10000,MID(N81,1,3)*1,'[1]2_inventory_total_details'!$G$8:$G$10000,"="&amp;S81,'[1]2_inventory_total_details'!$H$8:$H$10000,"="&amp;T81,'[1]2_inventory_total_details'!$I$8:$I$10000,"="&amp;adj_date)+SUMIFS('[1]2_inventory_total_details'!$M$8:$M$10000,'[1]1_inventory_total_details'!$C$8:$C$10000,I81,'[1]2_inventory_total_details'!$F$8:$F$10000,MID(N81,1,3)*1,'[1]2_inventory_total_details'!$G$8:$G$10000,"="&amp;S81,'[1]2_inventory_total_details'!$H$8:$H$10000,"="&amp;T81,'[1]2_inventory_total_details'!$I$8:$I$10000,"="&amp;adj_date)+SUMIFS('[1]2_inventory_total_details'!$K$8:$K$10000,'[1]2_inventory_total_details'!$C$8:$C$10000,I81,'[1]2_inventory_total_details'!$F$8:$F$10000,MID(N81,1,3)*1,'[1]2_inventory_total_details'!$G$8:$G$10000,"="&amp;S81,'[1]2_inventory_total_details'!$H$8:$H$10000,"="&amp;T81,'[1]2_inventory_total_details'!$I$8:$I$10000,"="&amp;adj_date)+SUMIFS('[1]2_inventory_total_details'!$L$8:$L$10000,'[1]2_inventory_total_details'!$C$8:$C$10000,I81,'[1]2_inventory_total_details'!$F$8:$F$10000,MID(N81,1,3)*1,'[1]2_inventory_total_details'!$G$8:$G$10000,"="&amp;S81,'[1]2_inventory_total_details'!$H$8:$H$10000,"="&amp;T81,'[1]2_inventory_total_details'!$I$8:$I$10000,"="&amp;adj_date)))</f>
        <v/>
      </c>
      <c r="AD81" s="270" t="str">
        <f>IF(L81="","",SUMIFS('[1]1_group_totals'!$J$8:$J$10000,'[1]1_group_totals'!$C$8:$C$10000,I81,'[1]1_group_totals'!$F$8:$F$10000,adj_location_group_id,'[1]1_group_totals'!$G$8:$G$10000,MID(N81,1,3)*1,'[1]1_group_totals'!$H$8:$H$10000,"="&amp;S81,'[1]1_group_totals'!$I$8:$I$10000,"="&amp;T81))</f>
        <v/>
      </c>
      <c r="AE81" s="1796" t="str">
        <f t="shared" si="25"/>
        <v/>
      </c>
      <c r="AF81" s="1797" t="str">
        <f>IF(ISNA(MATCH(MID(AE81,1,3)*1,UomConversion!$D$8:$D$500,0)),"",IF(AJ81&lt;&gt;"",AJ81,""))</f>
        <v/>
      </c>
      <c r="AG81" s="1797" t="str">
        <f>IF(AND(AH81&gt;0,COUNTIFS(UomConversion!$D$8:$D$500,MID(AE81,1,3)*1,UomConversion!$J$8:$J$500,1)&gt;1),TEXT(AH81,"000")&amp;"."&amp;VLOOKUP(AH81,uom_list,5,FALSE),"")</f>
        <v/>
      </c>
      <c r="AH81" s="270" t="str">
        <f t="shared" si="26"/>
        <v/>
      </c>
      <c r="AI81" s="270" t="str">
        <f t="shared" si="27"/>
        <v/>
      </c>
      <c r="AJ81" s="270" t="str">
        <f t="shared" si="28"/>
        <v/>
      </c>
      <c r="AK81" s="270" t="str" cm="1">
        <f t="array" ref="AK81">IF(L81="","",Slookup(MID(AE81,1,3)*1,UomConversion!$D$8:$J$500,2,UomConversion!$I$8:$I$500,1,UomConversion!$J$8:$J$500,1))</f>
        <v/>
      </c>
      <c r="AL81" s="270" t="str">
        <f t="shared" si="29"/>
        <v/>
      </c>
      <c r="AM81" s="270" t="str">
        <f>IF(L81="","",(SUMIFS('[1]1_group_totals'!$K$8:$K$10000,'[1]1_group_totals'!$C$8:$C$10000,I81,'[1]1_group_totals'!$F$8:$F$10000,adj_location_group_id,'[1]1_group_totals'!$G$8:$G$10000,MID(N81,1,3)*1,'[1]1_group_totals'!$H$8:$H$10000,"="&amp;S81,'[1]1_group_totals'!$I$8:$I$10000,"="&amp;T81)+SUMIFS('[1]1_group_totals'!$N$8:$N$10000,'[1]1_group_totals'!$C$8:$C$10000,I81,'[1]1_group_totals'!$F$8:$F$10000,adj_location_group_id,'[1]1_group_totals'!$G$8:$G$10000,MID(N81,1,3)*1,'[1]1_group_totals'!$H$8:$H$10000,"="&amp;S81,'[1]1_group_totals'!$I$8:$I$10000,"="&amp;T81)+SUMIFS('[1]1_group_totals'!$P$8:$P$10000,'[1]1_group_totals'!$C$8:$C$10000,I81,'[1]1_group_totals'!$F$8:$F$10000,adj_location_group_id,'[1]1_group_totals'!$G$8:$G$10000,MID(N81,1,3)*1,'[1]1_group_totals'!$H$8:$H$10000,"="&amp;S81,'[1]1_group_totals'!$I$8:$I$10000,"="&amp;T81)+SUMIFS('[1]1_group_totals'!$Q$8:$Q$10000,'[1]1_group_totals'!$C$8:$C$10000,I81,'[1]1_group_totals'!$F$8:$F$10000,adj_location_group_id,'[1]1_group_totals'!$G$8:$G$10000,MID(N81,1,3)*1,'[1]1_group_totals'!$H$8:$H$10000,"="&amp;S81,'[1]1_group_totals'!$I$8:$I$10000,"="&amp;T81))+(SUMIFS('[1]1_group_totals'!$L$8:$L$10000,'[1]1_group_totals'!$C$8:$C$10000,I81,'[1]1_group_totals'!$F$8:$F$10000,adj_location_group_id,'[1]1_group_totals'!$G$8:$G$10000,MID(N81,1,3)*1,'[1]1_group_totals'!$H$8:$H$10000,"="&amp;S81,'[1]1_group_totals'!$I$8:$I$10000,"="&amp;T81)+SUMIFS('[1]1_group_totals'!$M$8:$M$10000,'[1]1_group_totals'!$C$8:$C$10000,I81,'[1]1_group_totals'!$F$8:$F$10000,adj_location_group_id,'[1]1_group_totals'!$G$8:$G$10000,MID(N81,1,3)*1,'[1]1_group_totals'!$H$8:$H$10000,"="&amp;S81,'[1]1_group_totals'!$I$8:$I$10000,"="&amp;T81)+SUMIFS('[1]1_group_totals'!$O$8:$O$10000,'[1]1_group_totals'!$C$8:$C$10000,I81,'[1]1_group_totals'!$F$8:$F$10000,adj_location_group_id,'[1]1_group_totals'!$G$8:$G$10000,MID(N81,1,3)*1,'[1]1_group_totals'!$H$8:$H$10000,"="&amp;S81,'[1]1_group_totals'!$I$8:$I$10000,"="&amp;T81)+SUMIFS('[1]1_group_totals'!$R$8:$R$10000,'[1]1_group_totals'!$C$8:$C$10000,I81,'[1]1_group_totals'!$F$8:$F$10000,adj_location_group_id,'[1]1_group_totals'!$G$8:$G$10000,MID(N81,1,3)*1,'[1]1_group_totals'!$H$8:$H$10000,"="&amp;S81,'[1]1_group_totals'!$I$8:$I$10000,"="&amp;T81)))</f>
        <v/>
      </c>
      <c r="AN81" s="270" t="str">
        <f>IF(L81="","",(SUMIFS('[1]1_inventory_totals'!$I$8:$I$10000,'[1]1_inventory_totals'!$C$8:$C$10000,I81,'[1]1_inventory_totals'!$F$8:$F$10000,"="&amp;S81,'[1]1_inventory_totals'!$G$8:$G$10000,"="&amp;T81)+SUMIFS('[1]1_inventory_totals'!$N$8:$N$10000,'[1]1_inventory_totals'!$C$8:$C$10000,I81,'[1]1_inventory_totals'!$F$8:$F$10000,"="&amp;S81,'[1]1_inventory_totals'!$G$8:$G$10000,"="&amp;T81)+SUMIFS('[1]1_inventory_totals'!$P$8:$P$10000,'[1]1_inventory_totals'!$C$8:$C$10000,I81,'[1]1_inventory_totals'!$F$8:$F$10000,"="&amp;S81,'[1]1_inventory_totals'!$G$8:$G$10000,"="&amp;T81)+SUMIFS('[1]1_inventory_totals'!$Q$8:$Q$10000,'[1]1_inventory_totals'!$C$8:$C$10000,I81,'[1]1_inventory_totals'!$F$8:$F$10000,"="&amp;S81,'[1]1_inventory_totals'!$G$8:$G$10000,"="&amp;T81)+SUMIFS('[1]1_inventory_totals'!$R$8:$R$10000,'[1]1_inventory_totals'!$C$8:$C$10000,I81,'[1]1_inventory_totals'!$F$8:$F$10000,"="&amp;S81,'[1]1_inventory_totals'!$G$8:$G$10000,"="&amp;T81))+(SUMIFS('[1]1_inventory_totals'!$J$8:$J$10000,'[1]1_inventory_totals'!$C$8:$C$10000,I81,'[1]1_inventory_totals'!$F$8:$F$10000,"="&amp;S81,'[1]1_inventory_totals'!$G$8:$G$10000,"="&amp;T81)+SUMIFS('[1]1_inventory_totals'!$K$8:$K$10000,'[1]1_inventory_totals'!$C$8:$C$10000,I81,'[1]1_inventory_totals'!$F$8:$F$10000,"="&amp;S81,'[1]1_inventory_totals'!$G$8:$G$10000,"="&amp;T81)+SUMIFS('[1]1_inventory_totals'!$L$8:$L$10000,'[1]1_inventory_totals'!$C$8:$C$10000,I81,'[1]1_inventory_totals'!$F$8:$F$10000,"="&amp;S81,'[1]1_inventory_totals'!$G$8:$G$10000,"="&amp;T81)+SUMIFS('[1]1_inventory_totals'!$M$8:$M$10000,'[1]1_inventory_totals'!$C$8:$C$10000,I81,'[1]1_inventory_totals'!$F$8:$F$10000,"="&amp;S81,'[1]1_inventory_totals'!$G$8:$G$10000,"="&amp;T81)+SUMIFS('[1]1_inventory_totals'!$O$8:$O$10000,'[1]1_inventory_totals'!$C$8:$C$10000,I81,'[1]1_inventory_totals'!$F$8:$F$10000,"="&amp;S81,'[1]1_inventory_totals'!$G$8:$G$10000,"="&amp;T81)+SUMIFS('[1]1_inventory_totals'!$S$8:$S$10000,'[1]1_inventory_totals'!$C$8:$C$10000,I81,'[1]1_inventory_totals'!$F$8:$F$10000,"="&amp;S81,'[1]1_inventory_totals'!$G$8:$G$10000,"="&amp;T81)))</f>
        <v/>
      </c>
      <c r="AO81" s="270" t="str">
        <f>IF(L81="","",(SUMIFS('[1]2_inventory_totals'!$I$8:$I$10000,'[1]2_inventory_totals'!$C$8:$C$10000,I81,'[1]2_inventory_totals'!$F$8:$F$10000,"="&amp;S81,'[1]2_inventory_totals'!$G$8:$G$10000,"="&amp;T81)+SUMIFS('[1]2_inventory_totals'!$N$8:$N$10000,'[1]2_inventory_totals'!$C$8:$C$10000,I81,'[1]2_inventory_totals'!$F$8:$F$10000,"="&amp;S81,'[1]2_inventory_totals'!$G$8:$G$10000,"="&amp;T81)+SUMIFS('[1]2_inventory_totals'!$P$8:$P$10000,'[1]2_inventory_totals'!$C$8:$C$10000,I81,'[1]2_inventory_totals'!$F$8:$F$10000,"="&amp;S81,'[1]2_inventory_totals'!$G$8:$G$10000,"="&amp;T81)+SUMIFS('[1]2_inventory_totals'!$Q$8:$Q$10000,'[1]2_inventory_totals'!$C$8:$C$10000,I81,'[1]2_inventory_totals'!$F$8:$F$10000,"="&amp;S81,'[1]2_inventory_totals'!$G$8:$G$10000,"="&amp;T81)+SUMIFS('[1]2_inventory_totals'!$R$8:$R$10000,'[1]2_inventory_totals'!$C$8:$C$10000,I81,'[1]2_inventory_totals'!$F$8:$F$10000,"="&amp;S81,'[1]2_inventory_totals'!$G$8:$G$10000,"="&amp;T81))+(SUMIFS('[1]2_inventory_totals'!$J$8:$J$10000,'[1]2_inventory_totals'!$C$8:$C$10000,I81,'[1]2_inventory_totals'!$F$8:$F$10000,"="&amp;S81,'[1]2_inventory_totals'!$G$8:$G$10000,"="&amp;T81)+SUMIFS('[1]2_inventory_totals'!$K$8:$K$10000,'[1]2_inventory_totals'!$C$8:$C$10000,I81,'[1]2_inventory_totals'!$F$8:$F$10000,"="&amp;S81,'[1]2_inventory_totals'!$G$8:$G$10000,"="&amp;T81)+SUMIFS('[1]2_inventory_totals'!$L$8:$L$10000,'[1]2_inventory_totals'!$C$8:$C$10000,I81,'[1]2_inventory_totals'!$F$8:$F$10000,"="&amp;S81,'[1]2_inventory_totals'!$G$8:$G$10000,"="&amp;T81)+SUMIFS('[1]2_inventory_totals'!$M$8:$M$10000,'[1]2_inventory_totals'!$C$8:$C$10000,I81,'[1]2_inventory_totals'!$F$8:$F$10000,"="&amp;S81,'[1]2_inventory_totals'!$G$8:$G$10000,"="&amp;T81)+SUMIFS('[1]2_inventory_totals'!$O$8:$O$10000,'[1]2_inventory_totals'!$C$8:$C$10000,I81,'[1]2_inventory_totals'!$F$8:$F$10000,"="&amp;S81,'[1]2_inventory_totals'!$G$8:$G$10000,"="&amp;T81)+SUMIFS('[1]2_inventory_totals'!$S$8:$S$10000,'[1]2_inventory_totals'!$C$8:$C$10000,I81,'[1]2_inventory_totals'!$F$8:$F$10000,"="&amp;S81,'[1]2_inventory_totals'!$G$8:$G$10000,"="&amp;T81)))</f>
        <v/>
      </c>
      <c r="AP81" s="954"/>
    </row>
    <row r="82" spans="1:42" ht="27" customHeight="1">
      <c r="A82" s="923"/>
      <c r="B82" s="1178"/>
      <c r="C82" s="950"/>
      <c r="D82" s="950"/>
      <c r="E82" s="950"/>
      <c r="F82" s="1199"/>
      <c r="G82" s="941"/>
      <c r="H82" s="1070"/>
      <c r="I82" s="1610" t="str">
        <f t="shared" si="20"/>
        <v/>
      </c>
      <c r="J82" s="270" t="str">
        <f t="shared" si="21"/>
        <v/>
      </c>
      <c r="K82" s="813" t="str">
        <f t="shared" si="18"/>
        <v/>
      </c>
      <c r="L82" s="1184"/>
      <c r="M82" s="1185"/>
      <c r="N82" s="1186"/>
      <c r="O82" s="1534"/>
      <c r="P82" s="336" t="str">
        <f t="shared" si="19"/>
        <v/>
      </c>
      <c r="Q82" s="336" t="str">
        <f>IF(L82="","",IF(AD82=0,0,(SUMIFS('[1]1_group_total_details'!$I$8:$I$10000,'[1]1_group_total_details'!$C$8:$C$10000,I82,'[1]1_group_total_details'!$F$8:$F$10000,adj_location_group_id,'[1]1_group_total_details'!$G$8:$G$10000,MID(N82,1,3)*1,'[1]1_group_total_details'!$H$8:$H$10000,"&lt;="&amp;adj_date)+SUMIFS('[1]1_group_total_details'!$L$8:$L$10000,'[1]1_group_total_details'!$C$8:$C$10000,I82,'[1]1_group_total_details'!$F$8:$F$10000,adj_location_group_id,'[1]1_group_total_details'!$G$8:$G$10000,MID(N82,1,3)*1,'[1]1_group_total_details'!$H$8:$H$10000,"&lt;="&amp;adj_date)+SUMIFS('[1]1_group_total_details'!$N$8:$N$10000,'[1]1_group_total_details'!$C$8:$C$10000,I82,'[1]1_group_total_details'!$F$8:$F$10000,adj_location_group_id,'[1]1_group_total_details'!$G$8:$G$10000,MID(N82,1,3)*1,'[1]1_group_total_details'!$H$8:$H$10000,"&lt;="&amp;adj_date)+SUMIFS('[1]1_group_total_details'!$O$8:$O$10000,'[1]1_group_total_details'!$C$8:$C$10000,I82,'[1]1_group_total_details'!$F$8:$F$10000,adj_location_group_id,'[1]1_group_total_details'!$G$8:$G$10000,MID(N82,1,3)*1,'[1]1_group_total_details'!$H$8:$H$10000,"&lt;="&amp;adj_date))-(SUMIFS('[1]1_group_total_details'!$J$8:$J$10000,'[1]1_group_total_details'!$C$8:$C$10000,I82,'[1]1_group_total_details'!$F$8:$F$10000,adj_location_group_id,'[1]1_group_total_details'!$G$8:$G$10000,MID(N82,1,3)*1,'[1]1_group_total_details'!$H$8:$H$10000,"&lt;="&amp;adj_date)+SUMIFS('[1]1_group_total_details'!$K$8:$K$10000,'[1]1_group_total_details'!$C$8:$C$10000,I82,'[1]1_group_total_details'!$F$8:$F$10000,adj_location_group_id,'[1]1_group_total_details'!$G$8:$G$10000,MID(N82,1,3)*1,'[1]1_group_total_details'!$H$8:$H$10000,"&lt;="&amp;adj_date)+SUMIFS('[1]1_group_total_details'!$M$8:$M$10000,'[1]1_group_total_details'!$C$8:$C$10000,I82,'[1]1_group_total_details'!$F$8:$F$10000,adj_location_group_id,'[1]1_group_total_details'!$G$8:$G$10000,MID(N82,1,3)*1,'[1]1_group_total_details'!$H$8:$H$10000,"&lt;="&amp;adj_date)+SUMIFS('[1]1_group_total_details'!$P$8:$P$10000,'[1]1_group_total_details'!$C$8:$C$10000,I82,'[1]1_group_total_details'!$F$8:$F$10000,adj_location_group_id,'[1]1_group_total_details'!$G$8:$G$10000,MID(N82,1,3)*1,'[1]1_group_total_details'!$H$8:$H$10000,"&lt;="&amp;adj_date))))</f>
        <v/>
      </c>
      <c r="R82" s="1187"/>
      <c r="S82" s="1186"/>
      <c r="T82" s="1186"/>
      <c r="U82" s="1184"/>
      <c r="V82" s="270" t="str" cm="1">
        <f t="array" ref="V82">IF(L82="","",IF(M82=AE82,1,Slookup(MID(AE82,1,3)*1,UomConversion!$D$8:$J$500,5,UomConversion!$E$8:$E$500,MID(M82,1,3)*1,UomConversion!$J$8:$J$500,1)))</f>
        <v/>
      </c>
      <c r="W82" s="270" t="str">
        <f t="shared" si="22"/>
        <v/>
      </c>
      <c r="X82" s="1795" t="str">
        <f t="shared" si="23"/>
        <v/>
      </c>
      <c r="Y82" s="1795" t="str">
        <f t="shared" si="24"/>
        <v/>
      </c>
      <c r="Z82" s="270" t="str">
        <f>IF(I82="","",IF(ISNA(MATCH(I82,IF(MID(N82,1,3)*1=1,'[1]1_inventory_totals'!$C$8:$C$10000,IF(MID(N82,1,3)*1=2,'[1]2_inventory_totals'!$C$8:$C$10000,"")),0)),0,IF(AL82&gt;0,1,0)))</f>
        <v/>
      </c>
      <c r="AA82" s="270" t="str">
        <f>IF(L82="","",IF(MID(N82,1,3)*1=1,SUMIFS('[1]1_inventory_total_details'!$J$8:$J$10000,'[1]1_inventory_total_details'!$C$8:$C$10000,I82,'[1]1_inventory_total_details'!$F$8:$F$10000,MID(N82,1,3)*1,'[1]1_inventory_total_details'!$G$8:$G$10000,"="&amp;S82,'[1]1_inventory_total_details'!$H$8:$H$10000,"="&amp;T82,'[1]1_inventory_total_details'!$I$8:$I$10000,"="&amp;adj_date)+SUMIFS('[1]1_inventory_total_details'!$M$8:$M$10000,'[1]1_inventory_total_details'!$C$8:$C$10000,I82,'[1]1_inventory_total_details'!$F$8:$F$10000,MID(N82,1,3)*1,'[1]1_inventory_total_details'!$G$8:$G$10000,"="&amp;S82,'[1]1_inventory_total_details'!$H$8:$H$10000,"="&amp;T82,'[1]1_inventory_total_details'!$I$8:$I$10000,"="&amp;adj_date)+SUMIFS('[1]1_inventory_total_details'!$K$8:$K$10000,'[1]1_inventory_total_details'!$C$8:$C$10000,I82,'[1]1_inventory_total_details'!$F$8:$F$10000,MID(N82,1,3)*1,'[1]1_inventory_total_details'!$G$8:$G$10000,"="&amp;S82,'[1]1_inventory_total_details'!$H$8:$H$10000,"="&amp;T82,'[1]1_inventory_total_details'!$I$8:$I$10000,"="&amp;adj_date)+SUMIFS('[1]1_inventory_total_details'!$L$8:$L$10000,'[1]1_inventory_total_details'!$C$8:$C$10000,I82,'[1]1_inventory_total_details'!$F$8:$F$10000,MID(N82,1,3)*1,'[1]1_inventory_total_details'!$G$8:$G$10000,"="&amp;S82,'[1]1_inventory_total_details'!$H$8:$H$10000,"="&amp;T82,'[1]1_inventory_total_details'!$I$8:$I$10000,"="&amp;adj_date),SUMIFS('[1]2_inventory_total_details'!$J$8:$J$10000,'[1]2_inventory_total_details'!$C$8:$C$10000,I82,'[1]2_inventory_total_details'!$F$8:$F$10000,MID(N82,1,3)*1,'[1]2_inventory_total_details'!$G$8:$G$10000,"="&amp;S82,'[1]2_inventory_total_details'!$H$8:$H$10000,"="&amp;T82,'[1]2_inventory_total_details'!$I$8:$I$10000,"="&amp;adj_date)+SUMIFS('[1]2_inventory_total_details'!$M$8:$M$10000,'[1]1_inventory_total_details'!$C$8:$C$10000,I82,'[1]2_inventory_total_details'!$F$8:$F$10000,MID(N82,1,3)*1,'[1]2_inventory_total_details'!$G$8:$G$10000,"="&amp;S82,'[1]2_inventory_total_details'!$H$8:$H$10000,"="&amp;T82,'[1]2_inventory_total_details'!$I$8:$I$10000,"="&amp;adj_date)+SUMIFS('[1]2_inventory_total_details'!$K$8:$K$10000,'[1]2_inventory_total_details'!$C$8:$C$10000,I82,'[1]2_inventory_total_details'!$F$8:$F$10000,MID(N82,1,3)*1,'[1]2_inventory_total_details'!$G$8:$G$10000,"="&amp;S82,'[1]2_inventory_total_details'!$H$8:$H$10000,"="&amp;T82,'[1]2_inventory_total_details'!$I$8:$I$10000,"="&amp;adj_date)+SUMIFS('[1]2_inventory_total_details'!$L$8:$L$10000,'[1]2_inventory_total_details'!$C$8:$C$10000,I82,'[1]2_inventory_total_details'!$F$8:$F$10000,MID(N82,1,3)*1,'[1]2_inventory_total_details'!$G$8:$G$10000,"="&amp;S82,'[1]2_inventory_total_details'!$H$8:$H$10000,"="&amp;T82,'[1]2_inventory_total_details'!$I$8:$I$10000,"="&amp;adj_date)))</f>
        <v/>
      </c>
      <c r="AB82" s="270" t="str">
        <f>IF(L82="","",IF(MID(N82,1,3)*1=1,SUMIFS('[1]1_inventory_total_details'!$J$8:$J$10000,'[1]1_inventory_total_details'!$C$8:$C$10000,I82,'[1]1_inventory_total_details'!$F$8:$F$10000,MID(N82,1,3)*1,'[1]1_inventory_total_details'!$G$8:$G$10000,"="&amp;S82,'[1]1_inventory_total_details'!$H$8:$H$10000,"="&amp;T82,'[1]1_inventory_total_details'!$I$8:$I$10000,"="&amp;adj_date)+SUMIFS('[1]1_inventory_total_details'!$M$8:$M$10000,'[1]1_inventory_total_details'!$C$8:$C$10000,I82,'[1]1_inventory_total_details'!$F$8:$F$10000,MID(N82,1,3)*1,'[1]1_inventory_total_details'!$G$8:$G$10000,"="&amp;S82,'[1]1_inventory_total_details'!$H$8:$H$10000,"="&amp;T82,'[1]1_inventory_total_details'!$I$8:$I$10000,"="&amp;adj_date)+SUMIFS('[1]1_inventory_total_details'!$K$8:$K$10000,'[1]1_inventory_total_details'!$C$8:$C$10000,I82,'[1]1_inventory_total_details'!$F$8:$F$10000,MID(N82,1,3)*1,'[1]1_inventory_total_details'!$G$8:$G$10000,"="&amp;S82,'[1]1_inventory_total_details'!$H$8:$H$10000,"="&amp;T82,'[1]1_inventory_total_details'!$I$8:$I$10000,"="&amp;adj_date)+SUMIFS('[1]1_inventory_total_details'!$L$8:$L$10000,'[1]1_inventory_total_details'!$C$8:$C$10000,I82,'[1]1_inventory_total_details'!$F$8:$F$10000,MID(N82,1,3)*1,'[1]1_inventory_total_details'!$G$8:$G$10000,"="&amp;S82,'[1]1_inventory_total_details'!$H$8:$H$10000,"="&amp;T82,'[1]1_inventory_total_details'!$I$8:$I$10000,"="&amp;adj_date),SUMIFS('[1]2_inventory_total_details'!$J$8:$J$10000,'[1]2_inventory_total_details'!$C$8:$C$10000,I82,'[1]2_inventory_total_details'!$F$8:$F$10000,MID(N82,1,3)*1,'[1]2_inventory_total_details'!$G$8:$G$10000,"="&amp;S82,'[1]2_inventory_total_details'!$H$8:$H$10000,"="&amp;T82,'[1]2_inventory_total_details'!$I$8:$I$10000,"="&amp;adj_date)+SUMIFS('[1]2_inventory_total_details'!$M$8:$M$10000,'[1]1_inventory_total_details'!$C$8:$C$10000,I82,'[1]2_inventory_total_details'!$F$8:$F$10000,MID(N82,1,3)*1,'[1]2_inventory_total_details'!$G$8:$G$10000,"="&amp;S82,'[1]2_inventory_total_details'!$H$8:$H$10000,"="&amp;T82,'[1]2_inventory_total_details'!$I$8:$I$10000,"="&amp;adj_date)+SUMIFS('[1]2_inventory_total_details'!$K$8:$K$10000,'[1]2_inventory_total_details'!$C$8:$C$10000,I82,'[1]2_inventory_total_details'!$F$8:$F$10000,MID(N82,1,3)*1,'[1]2_inventory_total_details'!$G$8:$G$10000,"="&amp;S82,'[1]2_inventory_total_details'!$H$8:$H$10000,"="&amp;T82,'[1]2_inventory_total_details'!$I$8:$I$10000,"="&amp;adj_date)+SUMIFS('[1]2_inventory_total_details'!$L$8:$L$10000,'[1]2_inventory_total_details'!$C$8:$C$10000,I82,'[1]2_inventory_total_details'!$F$8:$F$10000,MID(N82,1,3)*1,'[1]2_inventory_total_details'!$G$8:$G$10000,"="&amp;S82,'[1]2_inventory_total_details'!$H$8:$H$10000,"="&amp;T82,'[1]2_inventory_total_details'!$I$8:$I$10000,"="&amp;adj_date)))</f>
        <v/>
      </c>
      <c r="AC82" s="270" t="str">
        <f>IF(L82="","",IF(MID(N82,1,3)*1=1,SUMIFS('[1]1_inventory_total_details'!$J$8:$J$10000,'[1]1_inventory_total_details'!$C$8:$C$10000,I82,'[1]1_inventory_total_details'!$F$8:$F$10000,MID(N82,1,3)*1,'[1]1_inventory_total_details'!$G$8:$G$10000,"="&amp;S82,'[1]1_inventory_total_details'!$H$8:$H$10000,"="&amp;T82,'[1]1_inventory_total_details'!$I$8:$I$10000,"="&amp;adj_date)+SUMIFS('[1]1_inventory_total_details'!$M$8:$M$10000,'[1]1_inventory_total_details'!$C$8:$C$10000,I82,'[1]1_inventory_total_details'!$F$8:$F$10000,MID(N82,1,3)*1,'[1]1_inventory_total_details'!$G$8:$G$10000,"="&amp;S82,'[1]1_inventory_total_details'!$H$8:$H$10000,"="&amp;T82,'[1]1_inventory_total_details'!$I$8:$I$10000,"="&amp;adj_date)+SUMIFS('[1]1_inventory_total_details'!$K$8:$K$10000,'[1]1_inventory_total_details'!$C$8:$C$10000,I82,'[1]1_inventory_total_details'!$F$8:$F$10000,MID(N82,1,3)*1,'[1]1_inventory_total_details'!$G$8:$G$10000,"="&amp;S82,'[1]1_inventory_total_details'!$H$8:$H$10000,"="&amp;T82,'[1]1_inventory_total_details'!$I$8:$I$10000,"="&amp;adj_date)+SUMIFS('[1]1_inventory_total_details'!$L$8:$L$10000,'[1]1_inventory_total_details'!$C$8:$C$10000,I82,'[1]1_inventory_total_details'!$F$8:$F$10000,MID(N82,1,3)*1,'[1]1_inventory_total_details'!$G$8:$G$10000,"="&amp;S82,'[1]1_inventory_total_details'!$H$8:$H$10000,"="&amp;T82,'[1]1_inventory_total_details'!$I$8:$I$10000,"="&amp;adj_date),SUMIFS('[1]2_inventory_total_details'!$J$8:$J$10000,'[1]2_inventory_total_details'!$C$8:$C$10000,I82,'[1]2_inventory_total_details'!$F$8:$F$10000,MID(N82,1,3)*1,'[1]2_inventory_total_details'!$G$8:$G$10000,"="&amp;S82,'[1]2_inventory_total_details'!$H$8:$H$10000,"="&amp;T82,'[1]2_inventory_total_details'!$I$8:$I$10000,"="&amp;adj_date)+SUMIFS('[1]2_inventory_total_details'!$M$8:$M$10000,'[1]1_inventory_total_details'!$C$8:$C$10000,I82,'[1]2_inventory_total_details'!$F$8:$F$10000,MID(N82,1,3)*1,'[1]2_inventory_total_details'!$G$8:$G$10000,"="&amp;S82,'[1]2_inventory_total_details'!$H$8:$H$10000,"="&amp;T82,'[1]2_inventory_total_details'!$I$8:$I$10000,"="&amp;adj_date)+SUMIFS('[1]2_inventory_total_details'!$K$8:$K$10000,'[1]2_inventory_total_details'!$C$8:$C$10000,I82,'[1]2_inventory_total_details'!$F$8:$F$10000,MID(N82,1,3)*1,'[1]2_inventory_total_details'!$G$8:$G$10000,"="&amp;S82,'[1]2_inventory_total_details'!$H$8:$H$10000,"="&amp;T82,'[1]2_inventory_total_details'!$I$8:$I$10000,"="&amp;adj_date)+SUMIFS('[1]2_inventory_total_details'!$L$8:$L$10000,'[1]2_inventory_total_details'!$C$8:$C$10000,I82,'[1]2_inventory_total_details'!$F$8:$F$10000,MID(N82,1,3)*1,'[1]2_inventory_total_details'!$G$8:$G$10000,"="&amp;S82,'[1]2_inventory_total_details'!$H$8:$H$10000,"="&amp;T82,'[1]2_inventory_total_details'!$I$8:$I$10000,"="&amp;adj_date)))</f>
        <v/>
      </c>
      <c r="AD82" s="270" t="str">
        <f>IF(L82="","",SUMIFS('[1]1_group_totals'!$J$8:$J$10000,'[1]1_group_totals'!$C$8:$C$10000,I82,'[1]1_group_totals'!$F$8:$F$10000,adj_location_group_id,'[1]1_group_totals'!$G$8:$G$10000,MID(N82,1,3)*1,'[1]1_group_totals'!$H$8:$H$10000,"="&amp;S82,'[1]1_group_totals'!$I$8:$I$10000,"="&amp;T82))</f>
        <v/>
      </c>
      <c r="AE82" s="1796" t="str">
        <f t="shared" si="25"/>
        <v/>
      </c>
      <c r="AF82" s="1797" t="str">
        <f>IF(ISNA(MATCH(MID(AE82,1,3)*1,UomConversion!$D$8:$D$500,0)),"",IF(AJ82&lt;&gt;"",AJ82,""))</f>
        <v/>
      </c>
      <c r="AG82" s="1797" t="str">
        <f>IF(AND(AH82&gt;0,COUNTIFS(UomConversion!$D$8:$D$500,MID(AE82,1,3)*1,UomConversion!$J$8:$J$500,1)&gt;1),TEXT(AH82,"000")&amp;"."&amp;VLOOKUP(AH82,uom_list,5,FALSE),"")</f>
        <v/>
      </c>
      <c r="AH82" s="270" t="str">
        <f t="shared" si="26"/>
        <v/>
      </c>
      <c r="AI82" s="270" t="str">
        <f t="shared" si="27"/>
        <v/>
      </c>
      <c r="AJ82" s="270" t="str">
        <f t="shared" si="28"/>
        <v/>
      </c>
      <c r="AK82" s="270" t="str" cm="1">
        <f t="array" ref="AK82">IF(L82="","",Slookup(MID(AE82,1,3)*1,UomConversion!$D$8:$J$500,2,UomConversion!$I$8:$I$500,1,UomConversion!$J$8:$J$500,1))</f>
        <v/>
      </c>
      <c r="AL82" s="270" t="str">
        <f t="shared" si="29"/>
        <v/>
      </c>
      <c r="AM82" s="270" t="str">
        <f>IF(L82="","",(SUMIFS('[1]1_group_totals'!$K$8:$K$10000,'[1]1_group_totals'!$C$8:$C$10000,I82,'[1]1_group_totals'!$F$8:$F$10000,adj_location_group_id,'[1]1_group_totals'!$G$8:$G$10000,MID(N82,1,3)*1,'[1]1_group_totals'!$H$8:$H$10000,"="&amp;S82,'[1]1_group_totals'!$I$8:$I$10000,"="&amp;T82)+SUMIFS('[1]1_group_totals'!$N$8:$N$10000,'[1]1_group_totals'!$C$8:$C$10000,I82,'[1]1_group_totals'!$F$8:$F$10000,adj_location_group_id,'[1]1_group_totals'!$G$8:$G$10000,MID(N82,1,3)*1,'[1]1_group_totals'!$H$8:$H$10000,"="&amp;S82,'[1]1_group_totals'!$I$8:$I$10000,"="&amp;T82)+SUMIFS('[1]1_group_totals'!$P$8:$P$10000,'[1]1_group_totals'!$C$8:$C$10000,I82,'[1]1_group_totals'!$F$8:$F$10000,adj_location_group_id,'[1]1_group_totals'!$G$8:$G$10000,MID(N82,1,3)*1,'[1]1_group_totals'!$H$8:$H$10000,"="&amp;S82,'[1]1_group_totals'!$I$8:$I$10000,"="&amp;T82)+SUMIFS('[1]1_group_totals'!$Q$8:$Q$10000,'[1]1_group_totals'!$C$8:$C$10000,I82,'[1]1_group_totals'!$F$8:$F$10000,adj_location_group_id,'[1]1_group_totals'!$G$8:$G$10000,MID(N82,1,3)*1,'[1]1_group_totals'!$H$8:$H$10000,"="&amp;S82,'[1]1_group_totals'!$I$8:$I$10000,"="&amp;T82))+(SUMIFS('[1]1_group_totals'!$L$8:$L$10000,'[1]1_group_totals'!$C$8:$C$10000,I82,'[1]1_group_totals'!$F$8:$F$10000,adj_location_group_id,'[1]1_group_totals'!$G$8:$G$10000,MID(N82,1,3)*1,'[1]1_group_totals'!$H$8:$H$10000,"="&amp;S82,'[1]1_group_totals'!$I$8:$I$10000,"="&amp;T82)+SUMIFS('[1]1_group_totals'!$M$8:$M$10000,'[1]1_group_totals'!$C$8:$C$10000,I82,'[1]1_group_totals'!$F$8:$F$10000,adj_location_group_id,'[1]1_group_totals'!$G$8:$G$10000,MID(N82,1,3)*1,'[1]1_group_totals'!$H$8:$H$10000,"="&amp;S82,'[1]1_group_totals'!$I$8:$I$10000,"="&amp;T82)+SUMIFS('[1]1_group_totals'!$O$8:$O$10000,'[1]1_group_totals'!$C$8:$C$10000,I82,'[1]1_group_totals'!$F$8:$F$10000,adj_location_group_id,'[1]1_group_totals'!$G$8:$G$10000,MID(N82,1,3)*1,'[1]1_group_totals'!$H$8:$H$10000,"="&amp;S82,'[1]1_group_totals'!$I$8:$I$10000,"="&amp;T82)+SUMIFS('[1]1_group_totals'!$R$8:$R$10000,'[1]1_group_totals'!$C$8:$C$10000,I82,'[1]1_group_totals'!$F$8:$F$10000,adj_location_group_id,'[1]1_group_totals'!$G$8:$G$10000,MID(N82,1,3)*1,'[1]1_group_totals'!$H$8:$H$10000,"="&amp;S82,'[1]1_group_totals'!$I$8:$I$10000,"="&amp;T82)))</f>
        <v/>
      </c>
      <c r="AN82" s="270" t="str">
        <f>IF(L82="","",(SUMIFS('[1]1_inventory_totals'!$I$8:$I$10000,'[1]1_inventory_totals'!$C$8:$C$10000,I82,'[1]1_inventory_totals'!$F$8:$F$10000,"="&amp;S82,'[1]1_inventory_totals'!$G$8:$G$10000,"="&amp;T82)+SUMIFS('[1]1_inventory_totals'!$N$8:$N$10000,'[1]1_inventory_totals'!$C$8:$C$10000,I82,'[1]1_inventory_totals'!$F$8:$F$10000,"="&amp;S82,'[1]1_inventory_totals'!$G$8:$G$10000,"="&amp;T82)+SUMIFS('[1]1_inventory_totals'!$P$8:$P$10000,'[1]1_inventory_totals'!$C$8:$C$10000,I82,'[1]1_inventory_totals'!$F$8:$F$10000,"="&amp;S82,'[1]1_inventory_totals'!$G$8:$G$10000,"="&amp;T82)+SUMIFS('[1]1_inventory_totals'!$Q$8:$Q$10000,'[1]1_inventory_totals'!$C$8:$C$10000,I82,'[1]1_inventory_totals'!$F$8:$F$10000,"="&amp;S82,'[1]1_inventory_totals'!$G$8:$G$10000,"="&amp;T82)+SUMIFS('[1]1_inventory_totals'!$R$8:$R$10000,'[1]1_inventory_totals'!$C$8:$C$10000,I82,'[1]1_inventory_totals'!$F$8:$F$10000,"="&amp;S82,'[1]1_inventory_totals'!$G$8:$G$10000,"="&amp;T82))+(SUMIFS('[1]1_inventory_totals'!$J$8:$J$10000,'[1]1_inventory_totals'!$C$8:$C$10000,I82,'[1]1_inventory_totals'!$F$8:$F$10000,"="&amp;S82,'[1]1_inventory_totals'!$G$8:$G$10000,"="&amp;T82)+SUMIFS('[1]1_inventory_totals'!$K$8:$K$10000,'[1]1_inventory_totals'!$C$8:$C$10000,I82,'[1]1_inventory_totals'!$F$8:$F$10000,"="&amp;S82,'[1]1_inventory_totals'!$G$8:$G$10000,"="&amp;T82)+SUMIFS('[1]1_inventory_totals'!$L$8:$L$10000,'[1]1_inventory_totals'!$C$8:$C$10000,I82,'[1]1_inventory_totals'!$F$8:$F$10000,"="&amp;S82,'[1]1_inventory_totals'!$G$8:$G$10000,"="&amp;T82)+SUMIFS('[1]1_inventory_totals'!$M$8:$M$10000,'[1]1_inventory_totals'!$C$8:$C$10000,I82,'[1]1_inventory_totals'!$F$8:$F$10000,"="&amp;S82,'[1]1_inventory_totals'!$G$8:$G$10000,"="&amp;T82)+SUMIFS('[1]1_inventory_totals'!$O$8:$O$10000,'[1]1_inventory_totals'!$C$8:$C$10000,I82,'[1]1_inventory_totals'!$F$8:$F$10000,"="&amp;S82,'[1]1_inventory_totals'!$G$8:$G$10000,"="&amp;T82)+SUMIFS('[1]1_inventory_totals'!$S$8:$S$10000,'[1]1_inventory_totals'!$C$8:$C$10000,I82,'[1]1_inventory_totals'!$F$8:$F$10000,"="&amp;S82,'[1]1_inventory_totals'!$G$8:$G$10000,"="&amp;T82)))</f>
        <v/>
      </c>
      <c r="AO82" s="270" t="str">
        <f>IF(L82="","",(SUMIFS('[1]2_inventory_totals'!$I$8:$I$10000,'[1]2_inventory_totals'!$C$8:$C$10000,I82,'[1]2_inventory_totals'!$F$8:$F$10000,"="&amp;S82,'[1]2_inventory_totals'!$G$8:$G$10000,"="&amp;T82)+SUMIFS('[1]2_inventory_totals'!$N$8:$N$10000,'[1]2_inventory_totals'!$C$8:$C$10000,I82,'[1]2_inventory_totals'!$F$8:$F$10000,"="&amp;S82,'[1]2_inventory_totals'!$G$8:$G$10000,"="&amp;T82)+SUMIFS('[1]2_inventory_totals'!$P$8:$P$10000,'[1]2_inventory_totals'!$C$8:$C$10000,I82,'[1]2_inventory_totals'!$F$8:$F$10000,"="&amp;S82,'[1]2_inventory_totals'!$G$8:$G$10000,"="&amp;T82)+SUMIFS('[1]2_inventory_totals'!$Q$8:$Q$10000,'[1]2_inventory_totals'!$C$8:$C$10000,I82,'[1]2_inventory_totals'!$F$8:$F$10000,"="&amp;S82,'[1]2_inventory_totals'!$G$8:$G$10000,"="&amp;T82)+SUMIFS('[1]2_inventory_totals'!$R$8:$R$10000,'[1]2_inventory_totals'!$C$8:$C$10000,I82,'[1]2_inventory_totals'!$F$8:$F$10000,"="&amp;S82,'[1]2_inventory_totals'!$G$8:$G$10000,"="&amp;T82))+(SUMIFS('[1]2_inventory_totals'!$J$8:$J$10000,'[1]2_inventory_totals'!$C$8:$C$10000,I82,'[1]2_inventory_totals'!$F$8:$F$10000,"="&amp;S82,'[1]2_inventory_totals'!$G$8:$G$10000,"="&amp;T82)+SUMIFS('[1]2_inventory_totals'!$K$8:$K$10000,'[1]2_inventory_totals'!$C$8:$C$10000,I82,'[1]2_inventory_totals'!$F$8:$F$10000,"="&amp;S82,'[1]2_inventory_totals'!$G$8:$G$10000,"="&amp;T82)+SUMIFS('[1]2_inventory_totals'!$L$8:$L$10000,'[1]2_inventory_totals'!$C$8:$C$10000,I82,'[1]2_inventory_totals'!$F$8:$F$10000,"="&amp;S82,'[1]2_inventory_totals'!$G$8:$G$10000,"="&amp;T82)+SUMIFS('[1]2_inventory_totals'!$M$8:$M$10000,'[1]2_inventory_totals'!$C$8:$C$10000,I82,'[1]2_inventory_totals'!$F$8:$F$10000,"="&amp;S82,'[1]2_inventory_totals'!$G$8:$G$10000,"="&amp;T82)+SUMIFS('[1]2_inventory_totals'!$O$8:$O$10000,'[1]2_inventory_totals'!$C$8:$C$10000,I82,'[1]2_inventory_totals'!$F$8:$F$10000,"="&amp;S82,'[1]2_inventory_totals'!$G$8:$G$10000,"="&amp;T82)+SUMIFS('[1]2_inventory_totals'!$S$8:$S$10000,'[1]2_inventory_totals'!$C$8:$C$10000,I82,'[1]2_inventory_totals'!$F$8:$F$10000,"="&amp;S82,'[1]2_inventory_totals'!$G$8:$G$10000,"="&amp;T82)))</f>
        <v/>
      </c>
      <c r="AP82" s="954"/>
    </row>
    <row r="83" spans="1:42" ht="27" customHeight="1">
      <c r="A83" s="923"/>
      <c r="B83" s="1178"/>
      <c r="C83" s="950"/>
      <c r="D83" s="950"/>
      <c r="E83" s="950"/>
      <c r="F83" s="1199"/>
      <c r="G83" s="941"/>
      <c r="H83" s="1070"/>
      <c r="I83" s="1610" t="str">
        <f t="shared" si="20"/>
        <v/>
      </c>
      <c r="J83" s="270" t="str">
        <f t="shared" si="21"/>
        <v/>
      </c>
      <c r="K83" s="813" t="str">
        <f t="shared" si="18"/>
        <v/>
      </c>
      <c r="L83" s="1184"/>
      <c r="M83" s="1185"/>
      <c r="N83" s="1186"/>
      <c r="O83" s="1534"/>
      <c r="P83" s="336" t="str">
        <f t="shared" si="19"/>
        <v/>
      </c>
      <c r="Q83" s="336" t="str">
        <f>IF(L83="","",IF(AD83=0,0,(SUMIFS('[1]1_group_total_details'!$I$8:$I$10000,'[1]1_group_total_details'!$C$8:$C$10000,I83,'[1]1_group_total_details'!$F$8:$F$10000,adj_location_group_id,'[1]1_group_total_details'!$G$8:$G$10000,MID(N83,1,3)*1,'[1]1_group_total_details'!$H$8:$H$10000,"&lt;="&amp;adj_date)+SUMIFS('[1]1_group_total_details'!$L$8:$L$10000,'[1]1_group_total_details'!$C$8:$C$10000,I83,'[1]1_group_total_details'!$F$8:$F$10000,adj_location_group_id,'[1]1_group_total_details'!$G$8:$G$10000,MID(N83,1,3)*1,'[1]1_group_total_details'!$H$8:$H$10000,"&lt;="&amp;adj_date)+SUMIFS('[1]1_group_total_details'!$N$8:$N$10000,'[1]1_group_total_details'!$C$8:$C$10000,I83,'[1]1_group_total_details'!$F$8:$F$10000,adj_location_group_id,'[1]1_group_total_details'!$G$8:$G$10000,MID(N83,1,3)*1,'[1]1_group_total_details'!$H$8:$H$10000,"&lt;="&amp;adj_date)+SUMIFS('[1]1_group_total_details'!$O$8:$O$10000,'[1]1_group_total_details'!$C$8:$C$10000,I83,'[1]1_group_total_details'!$F$8:$F$10000,adj_location_group_id,'[1]1_group_total_details'!$G$8:$G$10000,MID(N83,1,3)*1,'[1]1_group_total_details'!$H$8:$H$10000,"&lt;="&amp;adj_date))-(SUMIFS('[1]1_group_total_details'!$J$8:$J$10000,'[1]1_group_total_details'!$C$8:$C$10000,I83,'[1]1_group_total_details'!$F$8:$F$10000,adj_location_group_id,'[1]1_group_total_details'!$G$8:$G$10000,MID(N83,1,3)*1,'[1]1_group_total_details'!$H$8:$H$10000,"&lt;="&amp;adj_date)+SUMIFS('[1]1_group_total_details'!$K$8:$K$10000,'[1]1_group_total_details'!$C$8:$C$10000,I83,'[1]1_group_total_details'!$F$8:$F$10000,adj_location_group_id,'[1]1_group_total_details'!$G$8:$G$10000,MID(N83,1,3)*1,'[1]1_group_total_details'!$H$8:$H$10000,"&lt;="&amp;adj_date)+SUMIFS('[1]1_group_total_details'!$M$8:$M$10000,'[1]1_group_total_details'!$C$8:$C$10000,I83,'[1]1_group_total_details'!$F$8:$F$10000,adj_location_group_id,'[1]1_group_total_details'!$G$8:$G$10000,MID(N83,1,3)*1,'[1]1_group_total_details'!$H$8:$H$10000,"&lt;="&amp;adj_date)+SUMIFS('[1]1_group_total_details'!$P$8:$P$10000,'[1]1_group_total_details'!$C$8:$C$10000,I83,'[1]1_group_total_details'!$F$8:$F$10000,adj_location_group_id,'[1]1_group_total_details'!$G$8:$G$10000,MID(N83,1,3)*1,'[1]1_group_total_details'!$H$8:$H$10000,"&lt;="&amp;adj_date))))</f>
        <v/>
      </c>
      <c r="R83" s="1187"/>
      <c r="S83" s="1186"/>
      <c r="T83" s="1186"/>
      <c r="U83" s="1184"/>
      <c r="V83" s="270" t="str" cm="1">
        <f t="array" ref="V83">IF(L83="","",IF(M83=AE83,1,Slookup(MID(AE83,1,3)*1,UomConversion!$D$8:$J$500,5,UomConversion!$E$8:$E$500,MID(M83,1,3)*1,UomConversion!$J$8:$J$500,1)))</f>
        <v/>
      </c>
      <c r="W83" s="270" t="str">
        <f t="shared" si="22"/>
        <v/>
      </c>
      <c r="X83" s="1795" t="str">
        <f t="shared" si="23"/>
        <v/>
      </c>
      <c r="Y83" s="1795" t="str">
        <f t="shared" si="24"/>
        <v/>
      </c>
      <c r="Z83" s="270" t="str">
        <f>IF(I83="","",IF(ISNA(MATCH(I83,IF(MID(N83,1,3)*1=1,'[1]1_inventory_totals'!$C$8:$C$10000,IF(MID(N83,1,3)*1=2,'[1]2_inventory_totals'!$C$8:$C$10000,"")),0)),0,IF(AL83&gt;0,1,0)))</f>
        <v/>
      </c>
      <c r="AA83" s="270" t="str">
        <f>IF(L83="","",IF(MID(N83,1,3)*1=1,SUMIFS('[1]1_inventory_total_details'!$J$8:$J$10000,'[1]1_inventory_total_details'!$C$8:$C$10000,I83,'[1]1_inventory_total_details'!$F$8:$F$10000,MID(N83,1,3)*1,'[1]1_inventory_total_details'!$G$8:$G$10000,"="&amp;S83,'[1]1_inventory_total_details'!$H$8:$H$10000,"="&amp;T83,'[1]1_inventory_total_details'!$I$8:$I$10000,"="&amp;adj_date)+SUMIFS('[1]1_inventory_total_details'!$M$8:$M$10000,'[1]1_inventory_total_details'!$C$8:$C$10000,I83,'[1]1_inventory_total_details'!$F$8:$F$10000,MID(N83,1,3)*1,'[1]1_inventory_total_details'!$G$8:$G$10000,"="&amp;S83,'[1]1_inventory_total_details'!$H$8:$H$10000,"="&amp;T83,'[1]1_inventory_total_details'!$I$8:$I$10000,"="&amp;adj_date)+SUMIFS('[1]1_inventory_total_details'!$K$8:$K$10000,'[1]1_inventory_total_details'!$C$8:$C$10000,I83,'[1]1_inventory_total_details'!$F$8:$F$10000,MID(N83,1,3)*1,'[1]1_inventory_total_details'!$G$8:$G$10000,"="&amp;S83,'[1]1_inventory_total_details'!$H$8:$H$10000,"="&amp;T83,'[1]1_inventory_total_details'!$I$8:$I$10000,"="&amp;adj_date)+SUMIFS('[1]1_inventory_total_details'!$L$8:$L$10000,'[1]1_inventory_total_details'!$C$8:$C$10000,I83,'[1]1_inventory_total_details'!$F$8:$F$10000,MID(N83,1,3)*1,'[1]1_inventory_total_details'!$G$8:$G$10000,"="&amp;S83,'[1]1_inventory_total_details'!$H$8:$H$10000,"="&amp;T83,'[1]1_inventory_total_details'!$I$8:$I$10000,"="&amp;adj_date),SUMIFS('[1]2_inventory_total_details'!$J$8:$J$10000,'[1]2_inventory_total_details'!$C$8:$C$10000,I83,'[1]2_inventory_total_details'!$F$8:$F$10000,MID(N83,1,3)*1,'[1]2_inventory_total_details'!$G$8:$G$10000,"="&amp;S83,'[1]2_inventory_total_details'!$H$8:$H$10000,"="&amp;T83,'[1]2_inventory_total_details'!$I$8:$I$10000,"="&amp;adj_date)+SUMIFS('[1]2_inventory_total_details'!$M$8:$M$10000,'[1]1_inventory_total_details'!$C$8:$C$10000,I83,'[1]2_inventory_total_details'!$F$8:$F$10000,MID(N83,1,3)*1,'[1]2_inventory_total_details'!$G$8:$G$10000,"="&amp;S83,'[1]2_inventory_total_details'!$H$8:$H$10000,"="&amp;T83,'[1]2_inventory_total_details'!$I$8:$I$10000,"="&amp;adj_date)+SUMIFS('[1]2_inventory_total_details'!$K$8:$K$10000,'[1]2_inventory_total_details'!$C$8:$C$10000,I83,'[1]2_inventory_total_details'!$F$8:$F$10000,MID(N83,1,3)*1,'[1]2_inventory_total_details'!$G$8:$G$10000,"="&amp;S83,'[1]2_inventory_total_details'!$H$8:$H$10000,"="&amp;T83,'[1]2_inventory_total_details'!$I$8:$I$10000,"="&amp;adj_date)+SUMIFS('[1]2_inventory_total_details'!$L$8:$L$10000,'[1]2_inventory_total_details'!$C$8:$C$10000,I83,'[1]2_inventory_total_details'!$F$8:$F$10000,MID(N83,1,3)*1,'[1]2_inventory_total_details'!$G$8:$G$10000,"="&amp;S83,'[1]2_inventory_total_details'!$H$8:$H$10000,"="&amp;T83,'[1]2_inventory_total_details'!$I$8:$I$10000,"="&amp;adj_date)))</f>
        <v/>
      </c>
      <c r="AB83" s="270" t="str">
        <f>IF(L83="","",IF(MID(N83,1,3)*1=1,SUMIFS('[1]1_inventory_total_details'!$J$8:$J$10000,'[1]1_inventory_total_details'!$C$8:$C$10000,I83,'[1]1_inventory_total_details'!$F$8:$F$10000,MID(N83,1,3)*1,'[1]1_inventory_total_details'!$G$8:$G$10000,"="&amp;S83,'[1]1_inventory_total_details'!$H$8:$H$10000,"="&amp;T83,'[1]1_inventory_total_details'!$I$8:$I$10000,"="&amp;adj_date)+SUMIFS('[1]1_inventory_total_details'!$M$8:$M$10000,'[1]1_inventory_total_details'!$C$8:$C$10000,I83,'[1]1_inventory_total_details'!$F$8:$F$10000,MID(N83,1,3)*1,'[1]1_inventory_total_details'!$G$8:$G$10000,"="&amp;S83,'[1]1_inventory_total_details'!$H$8:$H$10000,"="&amp;T83,'[1]1_inventory_total_details'!$I$8:$I$10000,"="&amp;adj_date)+SUMIFS('[1]1_inventory_total_details'!$K$8:$K$10000,'[1]1_inventory_total_details'!$C$8:$C$10000,I83,'[1]1_inventory_total_details'!$F$8:$F$10000,MID(N83,1,3)*1,'[1]1_inventory_total_details'!$G$8:$G$10000,"="&amp;S83,'[1]1_inventory_total_details'!$H$8:$H$10000,"="&amp;T83,'[1]1_inventory_total_details'!$I$8:$I$10000,"="&amp;adj_date)+SUMIFS('[1]1_inventory_total_details'!$L$8:$L$10000,'[1]1_inventory_total_details'!$C$8:$C$10000,I83,'[1]1_inventory_total_details'!$F$8:$F$10000,MID(N83,1,3)*1,'[1]1_inventory_total_details'!$G$8:$G$10000,"="&amp;S83,'[1]1_inventory_total_details'!$H$8:$H$10000,"="&amp;T83,'[1]1_inventory_total_details'!$I$8:$I$10000,"="&amp;adj_date),SUMIFS('[1]2_inventory_total_details'!$J$8:$J$10000,'[1]2_inventory_total_details'!$C$8:$C$10000,I83,'[1]2_inventory_total_details'!$F$8:$F$10000,MID(N83,1,3)*1,'[1]2_inventory_total_details'!$G$8:$G$10000,"="&amp;S83,'[1]2_inventory_total_details'!$H$8:$H$10000,"="&amp;T83,'[1]2_inventory_total_details'!$I$8:$I$10000,"="&amp;adj_date)+SUMIFS('[1]2_inventory_total_details'!$M$8:$M$10000,'[1]1_inventory_total_details'!$C$8:$C$10000,I83,'[1]2_inventory_total_details'!$F$8:$F$10000,MID(N83,1,3)*1,'[1]2_inventory_total_details'!$G$8:$G$10000,"="&amp;S83,'[1]2_inventory_total_details'!$H$8:$H$10000,"="&amp;T83,'[1]2_inventory_total_details'!$I$8:$I$10000,"="&amp;adj_date)+SUMIFS('[1]2_inventory_total_details'!$K$8:$K$10000,'[1]2_inventory_total_details'!$C$8:$C$10000,I83,'[1]2_inventory_total_details'!$F$8:$F$10000,MID(N83,1,3)*1,'[1]2_inventory_total_details'!$G$8:$G$10000,"="&amp;S83,'[1]2_inventory_total_details'!$H$8:$H$10000,"="&amp;T83,'[1]2_inventory_total_details'!$I$8:$I$10000,"="&amp;adj_date)+SUMIFS('[1]2_inventory_total_details'!$L$8:$L$10000,'[1]2_inventory_total_details'!$C$8:$C$10000,I83,'[1]2_inventory_total_details'!$F$8:$F$10000,MID(N83,1,3)*1,'[1]2_inventory_total_details'!$G$8:$G$10000,"="&amp;S83,'[1]2_inventory_total_details'!$H$8:$H$10000,"="&amp;T83,'[1]2_inventory_total_details'!$I$8:$I$10000,"="&amp;adj_date)))</f>
        <v/>
      </c>
      <c r="AC83" s="270" t="str">
        <f>IF(L83="","",IF(MID(N83,1,3)*1=1,SUMIFS('[1]1_inventory_total_details'!$J$8:$J$10000,'[1]1_inventory_total_details'!$C$8:$C$10000,I83,'[1]1_inventory_total_details'!$F$8:$F$10000,MID(N83,1,3)*1,'[1]1_inventory_total_details'!$G$8:$G$10000,"="&amp;S83,'[1]1_inventory_total_details'!$H$8:$H$10000,"="&amp;T83,'[1]1_inventory_total_details'!$I$8:$I$10000,"="&amp;adj_date)+SUMIFS('[1]1_inventory_total_details'!$M$8:$M$10000,'[1]1_inventory_total_details'!$C$8:$C$10000,I83,'[1]1_inventory_total_details'!$F$8:$F$10000,MID(N83,1,3)*1,'[1]1_inventory_total_details'!$G$8:$G$10000,"="&amp;S83,'[1]1_inventory_total_details'!$H$8:$H$10000,"="&amp;T83,'[1]1_inventory_total_details'!$I$8:$I$10000,"="&amp;adj_date)+SUMIFS('[1]1_inventory_total_details'!$K$8:$K$10000,'[1]1_inventory_total_details'!$C$8:$C$10000,I83,'[1]1_inventory_total_details'!$F$8:$F$10000,MID(N83,1,3)*1,'[1]1_inventory_total_details'!$G$8:$G$10000,"="&amp;S83,'[1]1_inventory_total_details'!$H$8:$H$10000,"="&amp;T83,'[1]1_inventory_total_details'!$I$8:$I$10000,"="&amp;adj_date)+SUMIFS('[1]1_inventory_total_details'!$L$8:$L$10000,'[1]1_inventory_total_details'!$C$8:$C$10000,I83,'[1]1_inventory_total_details'!$F$8:$F$10000,MID(N83,1,3)*1,'[1]1_inventory_total_details'!$G$8:$G$10000,"="&amp;S83,'[1]1_inventory_total_details'!$H$8:$H$10000,"="&amp;T83,'[1]1_inventory_total_details'!$I$8:$I$10000,"="&amp;adj_date),SUMIFS('[1]2_inventory_total_details'!$J$8:$J$10000,'[1]2_inventory_total_details'!$C$8:$C$10000,I83,'[1]2_inventory_total_details'!$F$8:$F$10000,MID(N83,1,3)*1,'[1]2_inventory_total_details'!$G$8:$G$10000,"="&amp;S83,'[1]2_inventory_total_details'!$H$8:$H$10000,"="&amp;T83,'[1]2_inventory_total_details'!$I$8:$I$10000,"="&amp;adj_date)+SUMIFS('[1]2_inventory_total_details'!$M$8:$M$10000,'[1]1_inventory_total_details'!$C$8:$C$10000,I83,'[1]2_inventory_total_details'!$F$8:$F$10000,MID(N83,1,3)*1,'[1]2_inventory_total_details'!$G$8:$G$10000,"="&amp;S83,'[1]2_inventory_total_details'!$H$8:$H$10000,"="&amp;T83,'[1]2_inventory_total_details'!$I$8:$I$10000,"="&amp;adj_date)+SUMIFS('[1]2_inventory_total_details'!$K$8:$K$10000,'[1]2_inventory_total_details'!$C$8:$C$10000,I83,'[1]2_inventory_total_details'!$F$8:$F$10000,MID(N83,1,3)*1,'[1]2_inventory_total_details'!$G$8:$G$10000,"="&amp;S83,'[1]2_inventory_total_details'!$H$8:$H$10000,"="&amp;T83,'[1]2_inventory_total_details'!$I$8:$I$10000,"="&amp;adj_date)+SUMIFS('[1]2_inventory_total_details'!$L$8:$L$10000,'[1]2_inventory_total_details'!$C$8:$C$10000,I83,'[1]2_inventory_total_details'!$F$8:$F$10000,MID(N83,1,3)*1,'[1]2_inventory_total_details'!$G$8:$G$10000,"="&amp;S83,'[1]2_inventory_total_details'!$H$8:$H$10000,"="&amp;T83,'[1]2_inventory_total_details'!$I$8:$I$10000,"="&amp;adj_date)))</f>
        <v/>
      </c>
      <c r="AD83" s="270" t="str">
        <f>IF(L83="","",SUMIFS('[1]1_group_totals'!$J$8:$J$10000,'[1]1_group_totals'!$C$8:$C$10000,I83,'[1]1_group_totals'!$F$8:$F$10000,adj_location_group_id,'[1]1_group_totals'!$G$8:$G$10000,MID(N83,1,3)*1,'[1]1_group_totals'!$H$8:$H$10000,"="&amp;S83,'[1]1_group_totals'!$I$8:$I$10000,"="&amp;T83))</f>
        <v/>
      </c>
      <c r="AE83" s="1796" t="str">
        <f t="shared" si="25"/>
        <v/>
      </c>
      <c r="AF83" s="1797" t="str">
        <f>IF(ISNA(MATCH(MID(AE83,1,3)*1,UomConversion!$D$8:$D$500,0)),"",IF(AJ83&lt;&gt;"",AJ83,""))</f>
        <v/>
      </c>
      <c r="AG83" s="1797" t="str">
        <f>IF(AND(AH83&gt;0,COUNTIFS(UomConversion!$D$8:$D$500,MID(AE83,1,3)*1,UomConversion!$J$8:$J$500,1)&gt;1),TEXT(AH83,"000")&amp;"."&amp;VLOOKUP(AH83,uom_list,5,FALSE),"")</f>
        <v/>
      </c>
      <c r="AH83" s="270" t="str">
        <f t="shared" si="26"/>
        <v/>
      </c>
      <c r="AI83" s="270" t="str">
        <f t="shared" si="27"/>
        <v/>
      </c>
      <c r="AJ83" s="270" t="str">
        <f t="shared" si="28"/>
        <v/>
      </c>
      <c r="AK83" s="270" t="str" cm="1">
        <f t="array" ref="AK83">IF(L83="","",Slookup(MID(AE83,1,3)*1,UomConversion!$D$8:$J$500,2,UomConversion!$I$8:$I$500,1,UomConversion!$J$8:$J$500,1))</f>
        <v/>
      </c>
      <c r="AL83" s="270" t="str">
        <f t="shared" si="29"/>
        <v/>
      </c>
      <c r="AM83" s="270" t="str">
        <f>IF(L83="","",(SUMIFS('[1]1_group_totals'!$K$8:$K$10000,'[1]1_group_totals'!$C$8:$C$10000,I83,'[1]1_group_totals'!$F$8:$F$10000,adj_location_group_id,'[1]1_group_totals'!$G$8:$G$10000,MID(N83,1,3)*1,'[1]1_group_totals'!$H$8:$H$10000,"="&amp;S83,'[1]1_group_totals'!$I$8:$I$10000,"="&amp;T83)+SUMIFS('[1]1_group_totals'!$N$8:$N$10000,'[1]1_group_totals'!$C$8:$C$10000,I83,'[1]1_group_totals'!$F$8:$F$10000,adj_location_group_id,'[1]1_group_totals'!$G$8:$G$10000,MID(N83,1,3)*1,'[1]1_group_totals'!$H$8:$H$10000,"="&amp;S83,'[1]1_group_totals'!$I$8:$I$10000,"="&amp;T83)+SUMIFS('[1]1_group_totals'!$P$8:$P$10000,'[1]1_group_totals'!$C$8:$C$10000,I83,'[1]1_group_totals'!$F$8:$F$10000,adj_location_group_id,'[1]1_group_totals'!$G$8:$G$10000,MID(N83,1,3)*1,'[1]1_group_totals'!$H$8:$H$10000,"="&amp;S83,'[1]1_group_totals'!$I$8:$I$10000,"="&amp;T83)+SUMIFS('[1]1_group_totals'!$Q$8:$Q$10000,'[1]1_group_totals'!$C$8:$C$10000,I83,'[1]1_group_totals'!$F$8:$F$10000,adj_location_group_id,'[1]1_group_totals'!$G$8:$G$10000,MID(N83,1,3)*1,'[1]1_group_totals'!$H$8:$H$10000,"="&amp;S83,'[1]1_group_totals'!$I$8:$I$10000,"="&amp;T83))+(SUMIFS('[1]1_group_totals'!$L$8:$L$10000,'[1]1_group_totals'!$C$8:$C$10000,I83,'[1]1_group_totals'!$F$8:$F$10000,adj_location_group_id,'[1]1_group_totals'!$G$8:$G$10000,MID(N83,1,3)*1,'[1]1_group_totals'!$H$8:$H$10000,"="&amp;S83,'[1]1_group_totals'!$I$8:$I$10000,"="&amp;T83)+SUMIFS('[1]1_group_totals'!$M$8:$M$10000,'[1]1_group_totals'!$C$8:$C$10000,I83,'[1]1_group_totals'!$F$8:$F$10000,adj_location_group_id,'[1]1_group_totals'!$G$8:$G$10000,MID(N83,1,3)*1,'[1]1_group_totals'!$H$8:$H$10000,"="&amp;S83,'[1]1_group_totals'!$I$8:$I$10000,"="&amp;T83)+SUMIFS('[1]1_group_totals'!$O$8:$O$10000,'[1]1_group_totals'!$C$8:$C$10000,I83,'[1]1_group_totals'!$F$8:$F$10000,adj_location_group_id,'[1]1_group_totals'!$G$8:$G$10000,MID(N83,1,3)*1,'[1]1_group_totals'!$H$8:$H$10000,"="&amp;S83,'[1]1_group_totals'!$I$8:$I$10000,"="&amp;T83)+SUMIFS('[1]1_group_totals'!$R$8:$R$10000,'[1]1_group_totals'!$C$8:$C$10000,I83,'[1]1_group_totals'!$F$8:$F$10000,adj_location_group_id,'[1]1_group_totals'!$G$8:$G$10000,MID(N83,1,3)*1,'[1]1_group_totals'!$H$8:$H$10000,"="&amp;S83,'[1]1_group_totals'!$I$8:$I$10000,"="&amp;T83)))</f>
        <v/>
      </c>
      <c r="AN83" s="270" t="str">
        <f>IF(L83="","",(SUMIFS('[1]1_inventory_totals'!$I$8:$I$10000,'[1]1_inventory_totals'!$C$8:$C$10000,I83,'[1]1_inventory_totals'!$F$8:$F$10000,"="&amp;S83,'[1]1_inventory_totals'!$G$8:$G$10000,"="&amp;T83)+SUMIFS('[1]1_inventory_totals'!$N$8:$N$10000,'[1]1_inventory_totals'!$C$8:$C$10000,I83,'[1]1_inventory_totals'!$F$8:$F$10000,"="&amp;S83,'[1]1_inventory_totals'!$G$8:$G$10000,"="&amp;T83)+SUMIFS('[1]1_inventory_totals'!$P$8:$P$10000,'[1]1_inventory_totals'!$C$8:$C$10000,I83,'[1]1_inventory_totals'!$F$8:$F$10000,"="&amp;S83,'[1]1_inventory_totals'!$G$8:$G$10000,"="&amp;T83)+SUMIFS('[1]1_inventory_totals'!$Q$8:$Q$10000,'[1]1_inventory_totals'!$C$8:$C$10000,I83,'[1]1_inventory_totals'!$F$8:$F$10000,"="&amp;S83,'[1]1_inventory_totals'!$G$8:$G$10000,"="&amp;T83)+SUMIFS('[1]1_inventory_totals'!$R$8:$R$10000,'[1]1_inventory_totals'!$C$8:$C$10000,I83,'[1]1_inventory_totals'!$F$8:$F$10000,"="&amp;S83,'[1]1_inventory_totals'!$G$8:$G$10000,"="&amp;T83))+(SUMIFS('[1]1_inventory_totals'!$J$8:$J$10000,'[1]1_inventory_totals'!$C$8:$C$10000,I83,'[1]1_inventory_totals'!$F$8:$F$10000,"="&amp;S83,'[1]1_inventory_totals'!$G$8:$G$10000,"="&amp;T83)+SUMIFS('[1]1_inventory_totals'!$K$8:$K$10000,'[1]1_inventory_totals'!$C$8:$C$10000,I83,'[1]1_inventory_totals'!$F$8:$F$10000,"="&amp;S83,'[1]1_inventory_totals'!$G$8:$G$10000,"="&amp;T83)+SUMIFS('[1]1_inventory_totals'!$L$8:$L$10000,'[1]1_inventory_totals'!$C$8:$C$10000,I83,'[1]1_inventory_totals'!$F$8:$F$10000,"="&amp;S83,'[1]1_inventory_totals'!$G$8:$G$10000,"="&amp;T83)+SUMIFS('[1]1_inventory_totals'!$M$8:$M$10000,'[1]1_inventory_totals'!$C$8:$C$10000,I83,'[1]1_inventory_totals'!$F$8:$F$10000,"="&amp;S83,'[1]1_inventory_totals'!$G$8:$G$10000,"="&amp;T83)+SUMIFS('[1]1_inventory_totals'!$O$8:$O$10000,'[1]1_inventory_totals'!$C$8:$C$10000,I83,'[1]1_inventory_totals'!$F$8:$F$10000,"="&amp;S83,'[1]1_inventory_totals'!$G$8:$G$10000,"="&amp;T83)+SUMIFS('[1]1_inventory_totals'!$S$8:$S$10000,'[1]1_inventory_totals'!$C$8:$C$10000,I83,'[1]1_inventory_totals'!$F$8:$F$10000,"="&amp;S83,'[1]1_inventory_totals'!$G$8:$G$10000,"="&amp;T83)))</f>
        <v/>
      </c>
      <c r="AO83" s="270" t="str">
        <f>IF(L83="","",(SUMIFS('[1]2_inventory_totals'!$I$8:$I$10000,'[1]2_inventory_totals'!$C$8:$C$10000,I83,'[1]2_inventory_totals'!$F$8:$F$10000,"="&amp;S83,'[1]2_inventory_totals'!$G$8:$G$10000,"="&amp;T83)+SUMIFS('[1]2_inventory_totals'!$N$8:$N$10000,'[1]2_inventory_totals'!$C$8:$C$10000,I83,'[1]2_inventory_totals'!$F$8:$F$10000,"="&amp;S83,'[1]2_inventory_totals'!$G$8:$G$10000,"="&amp;T83)+SUMIFS('[1]2_inventory_totals'!$P$8:$P$10000,'[1]2_inventory_totals'!$C$8:$C$10000,I83,'[1]2_inventory_totals'!$F$8:$F$10000,"="&amp;S83,'[1]2_inventory_totals'!$G$8:$G$10000,"="&amp;T83)+SUMIFS('[1]2_inventory_totals'!$Q$8:$Q$10000,'[1]2_inventory_totals'!$C$8:$C$10000,I83,'[1]2_inventory_totals'!$F$8:$F$10000,"="&amp;S83,'[1]2_inventory_totals'!$G$8:$G$10000,"="&amp;T83)+SUMIFS('[1]2_inventory_totals'!$R$8:$R$10000,'[1]2_inventory_totals'!$C$8:$C$10000,I83,'[1]2_inventory_totals'!$F$8:$F$10000,"="&amp;S83,'[1]2_inventory_totals'!$G$8:$G$10000,"="&amp;T83))+(SUMIFS('[1]2_inventory_totals'!$J$8:$J$10000,'[1]2_inventory_totals'!$C$8:$C$10000,I83,'[1]2_inventory_totals'!$F$8:$F$10000,"="&amp;S83,'[1]2_inventory_totals'!$G$8:$G$10000,"="&amp;T83)+SUMIFS('[1]2_inventory_totals'!$K$8:$K$10000,'[1]2_inventory_totals'!$C$8:$C$10000,I83,'[1]2_inventory_totals'!$F$8:$F$10000,"="&amp;S83,'[1]2_inventory_totals'!$G$8:$G$10000,"="&amp;T83)+SUMIFS('[1]2_inventory_totals'!$L$8:$L$10000,'[1]2_inventory_totals'!$C$8:$C$10000,I83,'[1]2_inventory_totals'!$F$8:$F$10000,"="&amp;S83,'[1]2_inventory_totals'!$G$8:$G$10000,"="&amp;T83)+SUMIFS('[1]2_inventory_totals'!$M$8:$M$10000,'[1]2_inventory_totals'!$C$8:$C$10000,I83,'[1]2_inventory_totals'!$F$8:$F$10000,"="&amp;S83,'[1]2_inventory_totals'!$G$8:$G$10000,"="&amp;T83)+SUMIFS('[1]2_inventory_totals'!$O$8:$O$10000,'[1]2_inventory_totals'!$C$8:$C$10000,I83,'[1]2_inventory_totals'!$F$8:$F$10000,"="&amp;S83,'[1]2_inventory_totals'!$G$8:$G$10000,"="&amp;T83)+SUMIFS('[1]2_inventory_totals'!$S$8:$S$10000,'[1]2_inventory_totals'!$C$8:$C$10000,I83,'[1]2_inventory_totals'!$F$8:$F$10000,"="&amp;S83,'[1]2_inventory_totals'!$G$8:$G$10000,"="&amp;T83)))</f>
        <v/>
      </c>
      <c r="AP83" s="954"/>
    </row>
    <row r="84" spans="1:42" ht="27" customHeight="1">
      <c r="A84" s="923"/>
      <c r="B84" s="1178"/>
      <c r="C84" s="950"/>
      <c r="D84" s="950"/>
      <c r="E84" s="950"/>
      <c r="F84" s="1199"/>
      <c r="G84" s="941"/>
      <c r="H84" s="1070"/>
      <c r="I84" s="1610" t="str">
        <f t="shared" si="20"/>
        <v/>
      </c>
      <c r="J84" s="270" t="str">
        <f t="shared" si="21"/>
        <v/>
      </c>
      <c r="K84" s="813" t="str">
        <f t="shared" si="18"/>
        <v/>
      </c>
      <c r="L84" s="1184"/>
      <c r="M84" s="1185"/>
      <c r="N84" s="1186"/>
      <c r="O84" s="1534"/>
      <c r="P84" s="336" t="str">
        <f t="shared" si="19"/>
        <v/>
      </c>
      <c r="Q84" s="336" t="str">
        <f>IF(L84="","",IF(AD84=0,0,(SUMIFS('[1]1_group_total_details'!$I$8:$I$10000,'[1]1_group_total_details'!$C$8:$C$10000,I84,'[1]1_group_total_details'!$F$8:$F$10000,adj_location_group_id,'[1]1_group_total_details'!$G$8:$G$10000,MID(N84,1,3)*1,'[1]1_group_total_details'!$H$8:$H$10000,"&lt;="&amp;adj_date)+SUMIFS('[1]1_group_total_details'!$L$8:$L$10000,'[1]1_group_total_details'!$C$8:$C$10000,I84,'[1]1_group_total_details'!$F$8:$F$10000,adj_location_group_id,'[1]1_group_total_details'!$G$8:$G$10000,MID(N84,1,3)*1,'[1]1_group_total_details'!$H$8:$H$10000,"&lt;="&amp;adj_date)+SUMIFS('[1]1_group_total_details'!$N$8:$N$10000,'[1]1_group_total_details'!$C$8:$C$10000,I84,'[1]1_group_total_details'!$F$8:$F$10000,adj_location_group_id,'[1]1_group_total_details'!$G$8:$G$10000,MID(N84,1,3)*1,'[1]1_group_total_details'!$H$8:$H$10000,"&lt;="&amp;adj_date)+SUMIFS('[1]1_group_total_details'!$O$8:$O$10000,'[1]1_group_total_details'!$C$8:$C$10000,I84,'[1]1_group_total_details'!$F$8:$F$10000,adj_location_group_id,'[1]1_group_total_details'!$G$8:$G$10000,MID(N84,1,3)*1,'[1]1_group_total_details'!$H$8:$H$10000,"&lt;="&amp;adj_date))-(SUMIFS('[1]1_group_total_details'!$J$8:$J$10000,'[1]1_group_total_details'!$C$8:$C$10000,I84,'[1]1_group_total_details'!$F$8:$F$10000,adj_location_group_id,'[1]1_group_total_details'!$G$8:$G$10000,MID(N84,1,3)*1,'[1]1_group_total_details'!$H$8:$H$10000,"&lt;="&amp;adj_date)+SUMIFS('[1]1_group_total_details'!$K$8:$K$10000,'[1]1_group_total_details'!$C$8:$C$10000,I84,'[1]1_group_total_details'!$F$8:$F$10000,adj_location_group_id,'[1]1_group_total_details'!$G$8:$G$10000,MID(N84,1,3)*1,'[1]1_group_total_details'!$H$8:$H$10000,"&lt;="&amp;adj_date)+SUMIFS('[1]1_group_total_details'!$M$8:$M$10000,'[1]1_group_total_details'!$C$8:$C$10000,I84,'[1]1_group_total_details'!$F$8:$F$10000,adj_location_group_id,'[1]1_group_total_details'!$G$8:$G$10000,MID(N84,1,3)*1,'[1]1_group_total_details'!$H$8:$H$10000,"&lt;="&amp;adj_date)+SUMIFS('[1]1_group_total_details'!$P$8:$P$10000,'[1]1_group_total_details'!$C$8:$C$10000,I84,'[1]1_group_total_details'!$F$8:$F$10000,adj_location_group_id,'[1]1_group_total_details'!$G$8:$G$10000,MID(N84,1,3)*1,'[1]1_group_total_details'!$H$8:$H$10000,"&lt;="&amp;adj_date))))</f>
        <v/>
      </c>
      <c r="R84" s="1187"/>
      <c r="S84" s="1186"/>
      <c r="T84" s="1186"/>
      <c r="U84" s="1184"/>
      <c r="V84" s="270" t="str" cm="1">
        <f t="array" ref="V84">IF(L84="","",IF(M84=AE84,1,Slookup(MID(AE84,1,3)*1,UomConversion!$D$8:$J$500,5,UomConversion!$E$8:$E$500,MID(M84,1,3)*1,UomConversion!$J$8:$J$500,1)))</f>
        <v/>
      </c>
      <c r="W84" s="270" t="str">
        <f t="shared" si="22"/>
        <v/>
      </c>
      <c r="X84" s="1795" t="str">
        <f t="shared" si="23"/>
        <v/>
      </c>
      <c r="Y84" s="1795" t="str">
        <f t="shared" si="24"/>
        <v/>
      </c>
      <c r="Z84" s="270" t="str">
        <f>IF(I84="","",IF(ISNA(MATCH(I84,IF(MID(N84,1,3)*1=1,'[1]1_inventory_totals'!$C$8:$C$10000,IF(MID(N84,1,3)*1=2,'[1]2_inventory_totals'!$C$8:$C$10000,"")),0)),0,IF(AL84&gt;0,1,0)))</f>
        <v/>
      </c>
      <c r="AA84" s="270" t="str">
        <f>IF(L84="","",IF(MID(N84,1,3)*1=1,SUMIFS('[1]1_inventory_total_details'!$J$8:$J$10000,'[1]1_inventory_total_details'!$C$8:$C$10000,I84,'[1]1_inventory_total_details'!$F$8:$F$10000,MID(N84,1,3)*1,'[1]1_inventory_total_details'!$G$8:$G$10000,"="&amp;S84,'[1]1_inventory_total_details'!$H$8:$H$10000,"="&amp;T84,'[1]1_inventory_total_details'!$I$8:$I$10000,"="&amp;adj_date)+SUMIFS('[1]1_inventory_total_details'!$M$8:$M$10000,'[1]1_inventory_total_details'!$C$8:$C$10000,I84,'[1]1_inventory_total_details'!$F$8:$F$10000,MID(N84,1,3)*1,'[1]1_inventory_total_details'!$G$8:$G$10000,"="&amp;S84,'[1]1_inventory_total_details'!$H$8:$H$10000,"="&amp;T84,'[1]1_inventory_total_details'!$I$8:$I$10000,"="&amp;adj_date)+SUMIFS('[1]1_inventory_total_details'!$K$8:$K$10000,'[1]1_inventory_total_details'!$C$8:$C$10000,I84,'[1]1_inventory_total_details'!$F$8:$F$10000,MID(N84,1,3)*1,'[1]1_inventory_total_details'!$G$8:$G$10000,"="&amp;S84,'[1]1_inventory_total_details'!$H$8:$H$10000,"="&amp;T84,'[1]1_inventory_total_details'!$I$8:$I$10000,"="&amp;adj_date)+SUMIFS('[1]1_inventory_total_details'!$L$8:$L$10000,'[1]1_inventory_total_details'!$C$8:$C$10000,I84,'[1]1_inventory_total_details'!$F$8:$F$10000,MID(N84,1,3)*1,'[1]1_inventory_total_details'!$G$8:$G$10000,"="&amp;S84,'[1]1_inventory_total_details'!$H$8:$H$10000,"="&amp;T84,'[1]1_inventory_total_details'!$I$8:$I$10000,"="&amp;adj_date),SUMIFS('[1]2_inventory_total_details'!$J$8:$J$10000,'[1]2_inventory_total_details'!$C$8:$C$10000,I84,'[1]2_inventory_total_details'!$F$8:$F$10000,MID(N84,1,3)*1,'[1]2_inventory_total_details'!$G$8:$G$10000,"="&amp;S84,'[1]2_inventory_total_details'!$H$8:$H$10000,"="&amp;T84,'[1]2_inventory_total_details'!$I$8:$I$10000,"="&amp;adj_date)+SUMIFS('[1]2_inventory_total_details'!$M$8:$M$10000,'[1]1_inventory_total_details'!$C$8:$C$10000,I84,'[1]2_inventory_total_details'!$F$8:$F$10000,MID(N84,1,3)*1,'[1]2_inventory_total_details'!$G$8:$G$10000,"="&amp;S84,'[1]2_inventory_total_details'!$H$8:$H$10000,"="&amp;T84,'[1]2_inventory_total_details'!$I$8:$I$10000,"="&amp;adj_date)+SUMIFS('[1]2_inventory_total_details'!$K$8:$K$10000,'[1]2_inventory_total_details'!$C$8:$C$10000,I84,'[1]2_inventory_total_details'!$F$8:$F$10000,MID(N84,1,3)*1,'[1]2_inventory_total_details'!$G$8:$G$10000,"="&amp;S84,'[1]2_inventory_total_details'!$H$8:$H$10000,"="&amp;T84,'[1]2_inventory_total_details'!$I$8:$I$10000,"="&amp;adj_date)+SUMIFS('[1]2_inventory_total_details'!$L$8:$L$10000,'[1]2_inventory_total_details'!$C$8:$C$10000,I84,'[1]2_inventory_total_details'!$F$8:$F$10000,MID(N84,1,3)*1,'[1]2_inventory_total_details'!$G$8:$G$10000,"="&amp;S84,'[1]2_inventory_total_details'!$H$8:$H$10000,"="&amp;T84,'[1]2_inventory_total_details'!$I$8:$I$10000,"="&amp;adj_date)))</f>
        <v/>
      </c>
      <c r="AB84" s="270" t="str">
        <f>IF(L84="","",IF(MID(N84,1,3)*1=1,SUMIFS('[1]1_inventory_total_details'!$J$8:$J$10000,'[1]1_inventory_total_details'!$C$8:$C$10000,I84,'[1]1_inventory_total_details'!$F$8:$F$10000,MID(N84,1,3)*1,'[1]1_inventory_total_details'!$G$8:$G$10000,"="&amp;S84,'[1]1_inventory_total_details'!$H$8:$H$10000,"="&amp;T84,'[1]1_inventory_total_details'!$I$8:$I$10000,"="&amp;adj_date)+SUMIFS('[1]1_inventory_total_details'!$M$8:$M$10000,'[1]1_inventory_total_details'!$C$8:$C$10000,I84,'[1]1_inventory_total_details'!$F$8:$F$10000,MID(N84,1,3)*1,'[1]1_inventory_total_details'!$G$8:$G$10000,"="&amp;S84,'[1]1_inventory_total_details'!$H$8:$H$10000,"="&amp;T84,'[1]1_inventory_total_details'!$I$8:$I$10000,"="&amp;adj_date)+SUMIFS('[1]1_inventory_total_details'!$K$8:$K$10000,'[1]1_inventory_total_details'!$C$8:$C$10000,I84,'[1]1_inventory_total_details'!$F$8:$F$10000,MID(N84,1,3)*1,'[1]1_inventory_total_details'!$G$8:$G$10000,"="&amp;S84,'[1]1_inventory_total_details'!$H$8:$H$10000,"="&amp;T84,'[1]1_inventory_total_details'!$I$8:$I$10000,"="&amp;adj_date)+SUMIFS('[1]1_inventory_total_details'!$L$8:$L$10000,'[1]1_inventory_total_details'!$C$8:$C$10000,I84,'[1]1_inventory_total_details'!$F$8:$F$10000,MID(N84,1,3)*1,'[1]1_inventory_total_details'!$G$8:$G$10000,"="&amp;S84,'[1]1_inventory_total_details'!$H$8:$H$10000,"="&amp;T84,'[1]1_inventory_total_details'!$I$8:$I$10000,"="&amp;adj_date),SUMIFS('[1]2_inventory_total_details'!$J$8:$J$10000,'[1]2_inventory_total_details'!$C$8:$C$10000,I84,'[1]2_inventory_total_details'!$F$8:$F$10000,MID(N84,1,3)*1,'[1]2_inventory_total_details'!$G$8:$G$10000,"="&amp;S84,'[1]2_inventory_total_details'!$H$8:$H$10000,"="&amp;T84,'[1]2_inventory_total_details'!$I$8:$I$10000,"="&amp;adj_date)+SUMIFS('[1]2_inventory_total_details'!$M$8:$M$10000,'[1]1_inventory_total_details'!$C$8:$C$10000,I84,'[1]2_inventory_total_details'!$F$8:$F$10000,MID(N84,1,3)*1,'[1]2_inventory_total_details'!$G$8:$G$10000,"="&amp;S84,'[1]2_inventory_total_details'!$H$8:$H$10000,"="&amp;T84,'[1]2_inventory_total_details'!$I$8:$I$10000,"="&amp;adj_date)+SUMIFS('[1]2_inventory_total_details'!$K$8:$K$10000,'[1]2_inventory_total_details'!$C$8:$C$10000,I84,'[1]2_inventory_total_details'!$F$8:$F$10000,MID(N84,1,3)*1,'[1]2_inventory_total_details'!$G$8:$G$10000,"="&amp;S84,'[1]2_inventory_total_details'!$H$8:$H$10000,"="&amp;T84,'[1]2_inventory_total_details'!$I$8:$I$10000,"="&amp;adj_date)+SUMIFS('[1]2_inventory_total_details'!$L$8:$L$10000,'[1]2_inventory_total_details'!$C$8:$C$10000,I84,'[1]2_inventory_total_details'!$F$8:$F$10000,MID(N84,1,3)*1,'[1]2_inventory_total_details'!$G$8:$G$10000,"="&amp;S84,'[1]2_inventory_total_details'!$H$8:$H$10000,"="&amp;T84,'[1]2_inventory_total_details'!$I$8:$I$10000,"="&amp;adj_date)))</f>
        <v/>
      </c>
      <c r="AC84" s="270" t="str">
        <f>IF(L84="","",IF(MID(N84,1,3)*1=1,SUMIFS('[1]1_inventory_total_details'!$J$8:$J$10000,'[1]1_inventory_total_details'!$C$8:$C$10000,I84,'[1]1_inventory_total_details'!$F$8:$F$10000,MID(N84,1,3)*1,'[1]1_inventory_total_details'!$G$8:$G$10000,"="&amp;S84,'[1]1_inventory_total_details'!$H$8:$H$10000,"="&amp;T84,'[1]1_inventory_total_details'!$I$8:$I$10000,"="&amp;adj_date)+SUMIFS('[1]1_inventory_total_details'!$M$8:$M$10000,'[1]1_inventory_total_details'!$C$8:$C$10000,I84,'[1]1_inventory_total_details'!$F$8:$F$10000,MID(N84,1,3)*1,'[1]1_inventory_total_details'!$G$8:$G$10000,"="&amp;S84,'[1]1_inventory_total_details'!$H$8:$H$10000,"="&amp;T84,'[1]1_inventory_total_details'!$I$8:$I$10000,"="&amp;adj_date)+SUMIFS('[1]1_inventory_total_details'!$K$8:$K$10000,'[1]1_inventory_total_details'!$C$8:$C$10000,I84,'[1]1_inventory_total_details'!$F$8:$F$10000,MID(N84,1,3)*1,'[1]1_inventory_total_details'!$G$8:$G$10000,"="&amp;S84,'[1]1_inventory_total_details'!$H$8:$H$10000,"="&amp;T84,'[1]1_inventory_total_details'!$I$8:$I$10000,"="&amp;adj_date)+SUMIFS('[1]1_inventory_total_details'!$L$8:$L$10000,'[1]1_inventory_total_details'!$C$8:$C$10000,I84,'[1]1_inventory_total_details'!$F$8:$F$10000,MID(N84,1,3)*1,'[1]1_inventory_total_details'!$G$8:$G$10000,"="&amp;S84,'[1]1_inventory_total_details'!$H$8:$H$10000,"="&amp;T84,'[1]1_inventory_total_details'!$I$8:$I$10000,"="&amp;adj_date),SUMIFS('[1]2_inventory_total_details'!$J$8:$J$10000,'[1]2_inventory_total_details'!$C$8:$C$10000,I84,'[1]2_inventory_total_details'!$F$8:$F$10000,MID(N84,1,3)*1,'[1]2_inventory_total_details'!$G$8:$G$10000,"="&amp;S84,'[1]2_inventory_total_details'!$H$8:$H$10000,"="&amp;T84,'[1]2_inventory_total_details'!$I$8:$I$10000,"="&amp;adj_date)+SUMIFS('[1]2_inventory_total_details'!$M$8:$M$10000,'[1]1_inventory_total_details'!$C$8:$C$10000,I84,'[1]2_inventory_total_details'!$F$8:$F$10000,MID(N84,1,3)*1,'[1]2_inventory_total_details'!$G$8:$G$10000,"="&amp;S84,'[1]2_inventory_total_details'!$H$8:$H$10000,"="&amp;T84,'[1]2_inventory_total_details'!$I$8:$I$10000,"="&amp;adj_date)+SUMIFS('[1]2_inventory_total_details'!$K$8:$K$10000,'[1]2_inventory_total_details'!$C$8:$C$10000,I84,'[1]2_inventory_total_details'!$F$8:$F$10000,MID(N84,1,3)*1,'[1]2_inventory_total_details'!$G$8:$G$10000,"="&amp;S84,'[1]2_inventory_total_details'!$H$8:$H$10000,"="&amp;T84,'[1]2_inventory_total_details'!$I$8:$I$10000,"="&amp;adj_date)+SUMIFS('[1]2_inventory_total_details'!$L$8:$L$10000,'[1]2_inventory_total_details'!$C$8:$C$10000,I84,'[1]2_inventory_total_details'!$F$8:$F$10000,MID(N84,1,3)*1,'[1]2_inventory_total_details'!$G$8:$G$10000,"="&amp;S84,'[1]2_inventory_total_details'!$H$8:$H$10000,"="&amp;T84,'[1]2_inventory_total_details'!$I$8:$I$10000,"="&amp;adj_date)))</f>
        <v/>
      </c>
      <c r="AD84" s="270" t="str">
        <f>IF(L84="","",SUMIFS('[1]1_group_totals'!$J$8:$J$10000,'[1]1_group_totals'!$C$8:$C$10000,I84,'[1]1_group_totals'!$F$8:$F$10000,adj_location_group_id,'[1]1_group_totals'!$G$8:$G$10000,MID(N84,1,3)*1,'[1]1_group_totals'!$H$8:$H$10000,"="&amp;S84,'[1]1_group_totals'!$I$8:$I$10000,"="&amp;T84))</f>
        <v/>
      </c>
      <c r="AE84" s="1796" t="str">
        <f t="shared" si="25"/>
        <v/>
      </c>
      <c r="AF84" s="1797" t="str">
        <f>IF(ISNA(MATCH(MID(AE84,1,3)*1,UomConversion!$D$8:$D$500,0)),"",IF(AJ84&lt;&gt;"",AJ84,""))</f>
        <v/>
      </c>
      <c r="AG84" s="1797" t="str">
        <f>IF(AND(AH84&gt;0,COUNTIFS(UomConversion!$D$8:$D$500,MID(AE84,1,3)*1,UomConversion!$J$8:$J$500,1)&gt;1),TEXT(AH84,"000")&amp;"."&amp;VLOOKUP(AH84,uom_list,5,FALSE),"")</f>
        <v/>
      </c>
      <c r="AH84" s="270" t="str">
        <f t="shared" si="26"/>
        <v/>
      </c>
      <c r="AI84" s="270" t="str">
        <f t="shared" si="27"/>
        <v/>
      </c>
      <c r="AJ84" s="270" t="str">
        <f t="shared" si="28"/>
        <v/>
      </c>
      <c r="AK84" s="270" t="str" cm="1">
        <f t="array" ref="AK84">IF(L84="","",Slookup(MID(AE84,1,3)*1,UomConversion!$D$8:$J$500,2,UomConversion!$I$8:$I$500,1,UomConversion!$J$8:$J$500,1))</f>
        <v/>
      </c>
      <c r="AL84" s="270" t="str">
        <f t="shared" si="29"/>
        <v/>
      </c>
      <c r="AM84" s="270" t="str">
        <f>IF(L84="","",(SUMIFS('[1]1_group_totals'!$K$8:$K$10000,'[1]1_group_totals'!$C$8:$C$10000,I84,'[1]1_group_totals'!$F$8:$F$10000,adj_location_group_id,'[1]1_group_totals'!$G$8:$G$10000,MID(N84,1,3)*1,'[1]1_group_totals'!$H$8:$H$10000,"="&amp;S84,'[1]1_group_totals'!$I$8:$I$10000,"="&amp;T84)+SUMIFS('[1]1_group_totals'!$N$8:$N$10000,'[1]1_group_totals'!$C$8:$C$10000,I84,'[1]1_group_totals'!$F$8:$F$10000,adj_location_group_id,'[1]1_group_totals'!$G$8:$G$10000,MID(N84,1,3)*1,'[1]1_group_totals'!$H$8:$H$10000,"="&amp;S84,'[1]1_group_totals'!$I$8:$I$10000,"="&amp;T84)+SUMIFS('[1]1_group_totals'!$P$8:$P$10000,'[1]1_group_totals'!$C$8:$C$10000,I84,'[1]1_group_totals'!$F$8:$F$10000,adj_location_group_id,'[1]1_group_totals'!$G$8:$G$10000,MID(N84,1,3)*1,'[1]1_group_totals'!$H$8:$H$10000,"="&amp;S84,'[1]1_group_totals'!$I$8:$I$10000,"="&amp;T84)+SUMIFS('[1]1_group_totals'!$Q$8:$Q$10000,'[1]1_group_totals'!$C$8:$C$10000,I84,'[1]1_group_totals'!$F$8:$F$10000,adj_location_group_id,'[1]1_group_totals'!$G$8:$G$10000,MID(N84,1,3)*1,'[1]1_group_totals'!$H$8:$H$10000,"="&amp;S84,'[1]1_group_totals'!$I$8:$I$10000,"="&amp;T84))+(SUMIFS('[1]1_group_totals'!$L$8:$L$10000,'[1]1_group_totals'!$C$8:$C$10000,I84,'[1]1_group_totals'!$F$8:$F$10000,adj_location_group_id,'[1]1_group_totals'!$G$8:$G$10000,MID(N84,1,3)*1,'[1]1_group_totals'!$H$8:$H$10000,"="&amp;S84,'[1]1_group_totals'!$I$8:$I$10000,"="&amp;T84)+SUMIFS('[1]1_group_totals'!$M$8:$M$10000,'[1]1_group_totals'!$C$8:$C$10000,I84,'[1]1_group_totals'!$F$8:$F$10000,adj_location_group_id,'[1]1_group_totals'!$G$8:$G$10000,MID(N84,1,3)*1,'[1]1_group_totals'!$H$8:$H$10000,"="&amp;S84,'[1]1_group_totals'!$I$8:$I$10000,"="&amp;T84)+SUMIFS('[1]1_group_totals'!$O$8:$O$10000,'[1]1_group_totals'!$C$8:$C$10000,I84,'[1]1_group_totals'!$F$8:$F$10000,adj_location_group_id,'[1]1_group_totals'!$G$8:$G$10000,MID(N84,1,3)*1,'[1]1_group_totals'!$H$8:$H$10000,"="&amp;S84,'[1]1_group_totals'!$I$8:$I$10000,"="&amp;T84)+SUMIFS('[1]1_group_totals'!$R$8:$R$10000,'[1]1_group_totals'!$C$8:$C$10000,I84,'[1]1_group_totals'!$F$8:$F$10000,adj_location_group_id,'[1]1_group_totals'!$G$8:$G$10000,MID(N84,1,3)*1,'[1]1_group_totals'!$H$8:$H$10000,"="&amp;S84,'[1]1_group_totals'!$I$8:$I$10000,"="&amp;T84)))</f>
        <v/>
      </c>
      <c r="AN84" s="270" t="str">
        <f>IF(L84="","",(SUMIFS('[1]1_inventory_totals'!$I$8:$I$10000,'[1]1_inventory_totals'!$C$8:$C$10000,I84,'[1]1_inventory_totals'!$F$8:$F$10000,"="&amp;S84,'[1]1_inventory_totals'!$G$8:$G$10000,"="&amp;T84)+SUMIFS('[1]1_inventory_totals'!$N$8:$N$10000,'[1]1_inventory_totals'!$C$8:$C$10000,I84,'[1]1_inventory_totals'!$F$8:$F$10000,"="&amp;S84,'[1]1_inventory_totals'!$G$8:$G$10000,"="&amp;T84)+SUMIFS('[1]1_inventory_totals'!$P$8:$P$10000,'[1]1_inventory_totals'!$C$8:$C$10000,I84,'[1]1_inventory_totals'!$F$8:$F$10000,"="&amp;S84,'[1]1_inventory_totals'!$G$8:$G$10000,"="&amp;T84)+SUMIFS('[1]1_inventory_totals'!$Q$8:$Q$10000,'[1]1_inventory_totals'!$C$8:$C$10000,I84,'[1]1_inventory_totals'!$F$8:$F$10000,"="&amp;S84,'[1]1_inventory_totals'!$G$8:$G$10000,"="&amp;T84)+SUMIFS('[1]1_inventory_totals'!$R$8:$R$10000,'[1]1_inventory_totals'!$C$8:$C$10000,I84,'[1]1_inventory_totals'!$F$8:$F$10000,"="&amp;S84,'[1]1_inventory_totals'!$G$8:$G$10000,"="&amp;T84))+(SUMIFS('[1]1_inventory_totals'!$J$8:$J$10000,'[1]1_inventory_totals'!$C$8:$C$10000,I84,'[1]1_inventory_totals'!$F$8:$F$10000,"="&amp;S84,'[1]1_inventory_totals'!$G$8:$G$10000,"="&amp;T84)+SUMIFS('[1]1_inventory_totals'!$K$8:$K$10000,'[1]1_inventory_totals'!$C$8:$C$10000,I84,'[1]1_inventory_totals'!$F$8:$F$10000,"="&amp;S84,'[1]1_inventory_totals'!$G$8:$G$10000,"="&amp;T84)+SUMIFS('[1]1_inventory_totals'!$L$8:$L$10000,'[1]1_inventory_totals'!$C$8:$C$10000,I84,'[1]1_inventory_totals'!$F$8:$F$10000,"="&amp;S84,'[1]1_inventory_totals'!$G$8:$G$10000,"="&amp;T84)+SUMIFS('[1]1_inventory_totals'!$M$8:$M$10000,'[1]1_inventory_totals'!$C$8:$C$10000,I84,'[1]1_inventory_totals'!$F$8:$F$10000,"="&amp;S84,'[1]1_inventory_totals'!$G$8:$G$10000,"="&amp;T84)+SUMIFS('[1]1_inventory_totals'!$O$8:$O$10000,'[1]1_inventory_totals'!$C$8:$C$10000,I84,'[1]1_inventory_totals'!$F$8:$F$10000,"="&amp;S84,'[1]1_inventory_totals'!$G$8:$G$10000,"="&amp;T84)+SUMIFS('[1]1_inventory_totals'!$S$8:$S$10000,'[1]1_inventory_totals'!$C$8:$C$10000,I84,'[1]1_inventory_totals'!$F$8:$F$10000,"="&amp;S84,'[1]1_inventory_totals'!$G$8:$G$10000,"="&amp;T84)))</f>
        <v/>
      </c>
      <c r="AO84" s="270" t="str">
        <f>IF(L84="","",(SUMIFS('[1]2_inventory_totals'!$I$8:$I$10000,'[1]2_inventory_totals'!$C$8:$C$10000,I84,'[1]2_inventory_totals'!$F$8:$F$10000,"="&amp;S84,'[1]2_inventory_totals'!$G$8:$G$10000,"="&amp;T84)+SUMIFS('[1]2_inventory_totals'!$N$8:$N$10000,'[1]2_inventory_totals'!$C$8:$C$10000,I84,'[1]2_inventory_totals'!$F$8:$F$10000,"="&amp;S84,'[1]2_inventory_totals'!$G$8:$G$10000,"="&amp;T84)+SUMIFS('[1]2_inventory_totals'!$P$8:$P$10000,'[1]2_inventory_totals'!$C$8:$C$10000,I84,'[1]2_inventory_totals'!$F$8:$F$10000,"="&amp;S84,'[1]2_inventory_totals'!$G$8:$G$10000,"="&amp;T84)+SUMIFS('[1]2_inventory_totals'!$Q$8:$Q$10000,'[1]2_inventory_totals'!$C$8:$C$10000,I84,'[1]2_inventory_totals'!$F$8:$F$10000,"="&amp;S84,'[1]2_inventory_totals'!$G$8:$G$10000,"="&amp;T84)+SUMIFS('[1]2_inventory_totals'!$R$8:$R$10000,'[1]2_inventory_totals'!$C$8:$C$10000,I84,'[1]2_inventory_totals'!$F$8:$F$10000,"="&amp;S84,'[1]2_inventory_totals'!$G$8:$G$10000,"="&amp;T84))+(SUMIFS('[1]2_inventory_totals'!$J$8:$J$10000,'[1]2_inventory_totals'!$C$8:$C$10000,I84,'[1]2_inventory_totals'!$F$8:$F$10000,"="&amp;S84,'[1]2_inventory_totals'!$G$8:$G$10000,"="&amp;T84)+SUMIFS('[1]2_inventory_totals'!$K$8:$K$10000,'[1]2_inventory_totals'!$C$8:$C$10000,I84,'[1]2_inventory_totals'!$F$8:$F$10000,"="&amp;S84,'[1]2_inventory_totals'!$G$8:$G$10000,"="&amp;T84)+SUMIFS('[1]2_inventory_totals'!$L$8:$L$10000,'[1]2_inventory_totals'!$C$8:$C$10000,I84,'[1]2_inventory_totals'!$F$8:$F$10000,"="&amp;S84,'[1]2_inventory_totals'!$G$8:$G$10000,"="&amp;T84)+SUMIFS('[1]2_inventory_totals'!$M$8:$M$10000,'[1]2_inventory_totals'!$C$8:$C$10000,I84,'[1]2_inventory_totals'!$F$8:$F$10000,"="&amp;S84,'[1]2_inventory_totals'!$G$8:$G$10000,"="&amp;T84)+SUMIFS('[1]2_inventory_totals'!$O$8:$O$10000,'[1]2_inventory_totals'!$C$8:$C$10000,I84,'[1]2_inventory_totals'!$F$8:$F$10000,"="&amp;S84,'[1]2_inventory_totals'!$G$8:$G$10000,"="&amp;T84)+SUMIFS('[1]2_inventory_totals'!$S$8:$S$10000,'[1]2_inventory_totals'!$C$8:$C$10000,I84,'[1]2_inventory_totals'!$F$8:$F$10000,"="&amp;S84,'[1]2_inventory_totals'!$G$8:$G$10000,"="&amp;T84)))</f>
        <v/>
      </c>
      <c r="AP84" s="954"/>
    </row>
    <row r="85" spans="1:42" ht="27" customHeight="1">
      <c r="A85" s="923"/>
      <c r="B85" s="1178"/>
      <c r="C85" s="950"/>
      <c r="D85" s="950"/>
      <c r="E85" s="950"/>
      <c r="F85" s="1199"/>
      <c r="G85" s="941"/>
      <c r="H85" s="1070"/>
      <c r="I85" s="1610" t="str">
        <f t="shared" si="20"/>
        <v/>
      </c>
      <c r="J85" s="270" t="str">
        <f t="shared" si="21"/>
        <v/>
      </c>
      <c r="K85" s="813" t="str">
        <f t="shared" si="18"/>
        <v/>
      </c>
      <c r="L85" s="1184"/>
      <c r="M85" s="1185"/>
      <c r="N85" s="1186"/>
      <c r="O85" s="1534"/>
      <c r="P85" s="336" t="str">
        <f t="shared" si="19"/>
        <v/>
      </c>
      <c r="Q85" s="336" t="str">
        <f>IF(L85="","",IF(AD85=0,0,(SUMIFS('[1]1_group_total_details'!$I$8:$I$10000,'[1]1_group_total_details'!$C$8:$C$10000,I85,'[1]1_group_total_details'!$F$8:$F$10000,adj_location_group_id,'[1]1_group_total_details'!$G$8:$G$10000,MID(N85,1,3)*1,'[1]1_group_total_details'!$H$8:$H$10000,"&lt;="&amp;adj_date)+SUMIFS('[1]1_group_total_details'!$L$8:$L$10000,'[1]1_group_total_details'!$C$8:$C$10000,I85,'[1]1_group_total_details'!$F$8:$F$10000,adj_location_group_id,'[1]1_group_total_details'!$G$8:$G$10000,MID(N85,1,3)*1,'[1]1_group_total_details'!$H$8:$H$10000,"&lt;="&amp;adj_date)+SUMIFS('[1]1_group_total_details'!$N$8:$N$10000,'[1]1_group_total_details'!$C$8:$C$10000,I85,'[1]1_group_total_details'!$F$8:$F$10000,adj_location_group_id,'[1]1_group_total_details'!$G$8:$G$10000,MID(N85,1,3)*1,'[1]1_group_total_details'!$H$8:$H$10000,"&lt;="&amp;adj_date)+SUMIFS('[1]1_group_total_details'!$O$8:$O$10000,'[1]1_group_total_details'!$C$8:$C$10000,I85,'[1]1_group_total_details'!$F$8:$F$10000,adj_location_group_id,'[1]1_group_total_details'!$G$8:$G$10000,MID(N85,1,3)*1,'[1]1_group_total_details'!$H$8:$H$10000,"&lt;="&amp;adj_date))-(SUMIFS('[1]1_group_total_details'!$J$8:$J$10000,'[1]1_group_total_details'!$C$8:$C$10000,I85,'[1]1_group_total_details'!$F$8:$F$10000,adj_location_group_id,'[1]1_group_total_details'!$G$8:$G$10000,MID(N85,1,3)*1,'[1]1_group_total_details'!$H$8:$H$10000,"&lt;="&amp;adj_date)+SUMIFS('[1]1_group_total_details'!$K$8:$K$10000,'[1]1_group_total_details'!$C$8:$C$10000,I85,'[1]1_group_total_details'!$F$8:$F$10000,adj_location_group_id,'[1]1_group_total_details'!$G$8:$G$10000,MID(N85,1,3)*1,'[1]1_group_total_details'!$H$8:$H$10000,"&lt;="&amp;adj_date)+SUMIFS('[1]1_group_total_details'!$M$8:$M$10000,'[1]1_group_total_details'!$C$8:$C$10000,I85,'[1]1_group_total_details'!$F$8:$F$10000,adj_location_group_id,'[1]1_group_total_details'!$G$8:$G$10000,MID(N85,1,3)*1,'[1]1_group_total_details'!$H$8:$H$10000,"&lt;="&amp;adj_date)+SUMIFS('[1]1_group_total_details'!$P$8:$P$10000,'[1]1_group_total_details'!$C$8:$C$10000,I85,'[1]1_group_total_details'!$F$8:$F$10000,adj_location_group_id,'[1]1_group_total_details'!$G$8:$G$10000,MID(N85,1,3)*1,'[1]1_group_total_details'!$H$8:$H$10000,"&lt;="&amp;adj_date))))</f>
        <v/>
      </c>
      <c r="R85" s="1187"/>
      <c r="S85" s="1186"/>
      <c r="T85" s="1186"/>
      <c r="U85" s="1184"/>
      <c r="V85" s="270" t="str" cm="1">
        <f t="array" ref="V85">IF(L85="","",IF(M85=AE85,1,Slookup(MID(AE85,1,3)*1,UomConversion!$D$8:$J$500,5,UomConversion!$E$8:$E$500,MID(M85,1,3)*1,UomConversion!$J$8:$J$500,1)))</f>
        <v/>
      </c>
      <c r="W85" s="270" t="str">
        <f t="shared" si="22"/>
        <v/>
      </c>
      <c r="X85" s="1795" t="str">
        <f t="shared" si="23"/>
        <v/>
      </c>
      <c r="Y85" s="1795" t="str">
        <f t="shared" si="24"/>
        <v/>
      </c>
      <c r="Z85" s="270" t="str">
        <f>IF(I85="","",IF(ISNA(MATCH(I85,IF(MID(N85,1,3)*1=1,'[1]1_inventory_totals'!$C$8:$C$10000,IF(MID(N85,1,3)*1=2,'[1]2_inventory_totals'!$C$8:$C$10000,"")),0)),0,IF(AL85&gt;0,1,0)))</f>
        <v/>
      </c>
      <c r="AA85" s="270" t="str">
        <f>IF(L85="","",IF(MID(N85,1,3)*1=1,SUMIFS('[1]1_inventory_total_details'!$J$8:$J$10000,'[1]1_inventory_total_details'!$C$8:$C$10000,I85,'[1]1_inventory_total_details'!$F$8:$F$10000,MID(N85,1,3)*1,'[1]1_inventory_total_details'!$G$8:$G$10000,"="&amp;S85,'[1]1_inventory_total_details'!$H$8:$H$10000,"="&amp;T85,'[1]1_inventory_total_details'!$I$8:$I$10000,"="&amp;adj_date)+SUMIFS('[1]1_inventory_total_details'!$M$8:$M$10000,'[1]1_inventory_total_details'!$C$8:$C$10000,I85,'[1]1_inventory_total_details'!$F$8:$F$10000,MID(N85,1,3)*1,'[1]1_inventory_total_details'!$G$8:$G$10000,"="&amp;S85,'[1]1_inventory_total_details'!$H$8:$H$10000,"="&amp;T85,'[1]1_inventory_total_details'!$I$8:$I$10000,"="&amp;adj_date)+SUMIFS('[1]1_inventory_total_details'!$K$8:$K$10000,'[1]1_inventory_total_details'!$C$8:$C$10000,I85,'[1]1_inventory_total_details'!$F$8:$F$10000,MID(N85,1,3)*1,'[1]1_inventory_total_details'!$G$8:$G$10000,"="&amp;S85,'[1]1_inventory_total_details'!$H$8:$H$10000,"="&amp;T85,'[1]1_inventory_total_details'!$I$8:$I$10000,"="&amp;adj_date)+SUMIFS('[1]1_inventory_total_details'!$L$8:$L$10000,'[1]1_inventory_total_details'!$C$8:$C$10000,I85,'[1]1_inventory_total_details'!$F$8:$F$10000,MID(N85,1,3)*1,'[1]1_inventory_total_details'!$G$8:$G$10000,"="&amp;S85,'[1]1_inventory_total_details'!$H$8:$H$10000,"="&amp;T85,'[1]1_inventory_total_details'!$I$8:$I$10000,"="&amp;adj_date),SUMIFS('[1]2_inventory_total_details'!$J$8:$J$10000,'[1]2_inventory_total_details'!$C$8:$C$10000,I85,'[1]2_inventory_total_details'!$F$8:$F$10000,MID(N85,1,3)*1,'[1]2_inventory_total_details'!$G$8:$G$10000,"="&amp;S85,'[1]2_inventory_total_details'!$H$8:$H$10000,"="&amp;T85,'[1]2_inventory_total_details'!$I$8:$I$10000,"="&amp;adj_date)+SUMIFS('[1]2_inventory_total_details'!$M$8:$M$10000,'[1]1_inventory_total_details'!$C$8:$C$10000,I85,'[1]2_inventory_total_details'!$F$8:$F$10000,MID(N85,1,3)*1,'[1]2_inventory_total_details'!$G$8:$G$10000,"="&amp;S85,'[1]2_inventory_total_details'!$H$8:$H$10000,"="&amp;T85,'[1]2_inventory_total_details'!$I$8:$I$10000,"="&amp;adj_date)+SUMIFS('[1]2_inventory_total_details'!$K$8:$K$10000,'[1]2_inventory_total_details'!$C$8:$C$10000,I85,'[1]2_inventory_total_details'!$F$8:$F$10000,MID(N85,1,3)*1,'[1]2_inventory_total_details'!$G$8:$G$10000,"="&amp;S85,'[1]2_inventory_total_details'!$H$8:$H$10000,"="&amp;T85,'[1]2_inventory_total_details'!$I$8:$I$10000,"="&amp;adj_date)+SUMIFS('[1]2_inventory_total_details'!$L$8:$L$10000,'[1]2_inventory_total_details'!$C$8:$C$10000,I85,'[1]2_inventory_total_details'!$F$8:$F$10000,MID(N85,1,3)*1,'[1]2_inventory_total_details'!$G$8:$G$10000,"="&amp;S85,'[1]2_inventory_total_details'!$H$8:$H$10000,"="&amp;T85,'[1]2_inventory_total_details'!$I$8:$I$10000,"="&amp;adj_date)))</f>
        <v/>
      </c>
      <c r="AB85" s="270" t="str">
        <f>IF(L85="","",IF(MID(N85,1,3)*1=1,SUMIFS('[1]1_inventory_total_details'!$J$8:$J$10000,'[1]1_inventory_total_details'!$C$8:$C$10000,I85,'[1]1_inventory_total_details'!$F$8:$F$10000,MID(N85,1,3)*1,'[1]1_inventory_total_details'!$G$8:$G$10000,"="&amp;S85,'[1]1_inventory_total_details'!$H$8:$H$10000,"="&amp;T85,'[1]1_inventory_total_details'!$I$8:$I$10000,"="&amp;adj_date)+SUMIFS('[1]1_inventory_total_details'!$M$8:$M$10000,'[1]1_inventory_total_details'!$C$8:$C$10000,I85,'[1]1_inventory_total_details'!$F$8:$F$10000,MID(N85,1,3)*1,'[1]1_inventory_total_details'!$G$8:$G$10000,"="&amp;S85,'[1]1_inventory_total_details'!$H$8:$H$10000,"="&amp;T85,'[1]1_inventory_total_details'!$I$8:$I$10000,"="&amp;adj_date)+SUMIFS('[1]1_inventory_total_details'!$K$8:$K$10000,'[1]1_inventory_total_details'!$C$8:$C$10000,I85,'[1]1_inventory_total_details'!$F$8:$F$10000,MID(N85,1,3)*1,'[1]1_inventory_total_details'!$G$8:$G$10000,"="&amp;S85,'[1]1_inventory_total_details'!$H$8:$H$10000,"="&amp;T85,'[1]1_inventory_total_details'!$I$8:$I$10000,"="&amp;adj_date)+SUMIFS('[1]1_inventory_total_details'!$L$8:$L$10000,'[1]1_inventory_total_details'!$C$8:$C$10000,I85,'[1]1_inventory_total_details'!$F$8:$F$10000,MID(N85,1,3)*1,'[1]1_inventory_total_details'!$G$8:$G$10000,"="&amp;S85,'[1]1_inventory_total_details'!$H$8:$H$10000,"="&amp;T85,'[1]1_inventory_total_details'!$I$8:$I$10000,"="&amp;adj_date),SUMIFS('[1]2_inventory_total_details'!$J$8:$J$10000,'[1]2_inventory_total_details'!$C$8:$C$10000,I85,'[1]2_inventory_total_details'!$F$8:$F$10000,MID(N85,1,3)*1,'[1]2_inventory_total_details'!$G$8:$G$10000,"="&amp;S85,'[1]2_inventory_total_details'!$H$8:$H$10000,"="&amp;T85,'[1]2_inventory_total_details'!$I$8:$I$10000,"="&amp;adj_date)+SUMIFS('[1]2_inventory_total_details'!$M$8:$M$10000,'[1]1_inventory_total_details'!$C$8:$C$10000,I85,'[1]2_inventory_total_details'!$F$8:$F$10000,MID(N85,1,3)*1,'[1]2_inventory_total_details'!$G$8:$G$10000,"="&amp;S85,'[1]2_inventory_total_details'!$H$8:$H$10000,"="&amp;T85,'[1]2_inventory_total_details'!$I$8:$I$10000,"="&amp;adj_date)+SUMIFS('[1]2_inventory_total_details'!$K$8:$K$10000,'[1]2_inventory_total_details'!$C$8:$C$10000,I85,'[1]2_inventory_total_details'!$F$8:$F$10000,MID(N85,1,3)*1,'[1]2_inventory_total_details'!$G$8:$G$10000,"="&amp;S85,'[1]2_inventory_total_details'!$H$8:$H$10000,"="&amp;T85,'[1]2_inventory_total_details'!$I$8:$I$10000,"="&amp;adj_date)+SUMIFS('[1]2_inventory_total_details'!$L$8:$L$10000,'[1]2_inventory_total_details'!$C$8:$C$10000,I85,'[1]2_inventory_total_details'!$F$8:$F$10000,MID(N85,1,3)*1,'[1]2_inventory_total_details'!$G$8:$G$10000,"="&amp;S85,'[1]2_inventory_total_details'!$H$8:$H$10000,"="&amp;T85,'[1]2_inventory_total_details'!$I$8:$I$10000,"="&amp;adj_date)))</f>
        <v/>
      </c>
      <c r="AC85" s="270" t="str">
        <f>IF(L85="","",IF(MID(N85,1,3)*1=1,SUMIFS('[1]1_inventory_total_details'!$J$8:$J$10000,'[1]1_inventory_total_details'!$C$8:$C$10000,I85,'[1]1_inventory_total_details'!$F$8:$F$10000,MID(N85,1,3)*1,'[1]1_inventory_total_details'!$G$8:$G$10000,"="&amp;S85,'[1]1_inventory_total_details'!$H$8:$H$10000,"="&amp;T85,'[1]1_inventory_total_details'!$I$8:$I$10000,"="&amp;adj_date)+SUMIFS('[1]1_inventory_total_details'!$M$8:$M$10000,'[1]1_inventory_total_details'!$C$8:$C$10000,I85,'[1]1_inventory_total_details'!$F$8:$F$10000,MID(N85,1,3)*1,'[1]1_inventory_total_details'!$G$8:$G$10000,"="&amp;S85,'[1]1_inventory_total_details'!$H$8:$H$10000,"="&amp;T85,'[1]1_inventory_total_details'!$I$8:$I$10000,"="&amp;adj_date)+SUMIFS('[1]1_inventory_total_details'!$K$8:$K$10000,'[1]1_inventory_total_details'!$C$8:$C$10000,I85,'[1]1_inventory_total_details'!$F$8:$F$10000,MID(N85,1,3)*1,'[1]1_inventory_total_details'!$G$8:$G$10000,"="&amp;S85,'[1]1_inventory_total_details'!$H$8:$H$10000,"="&amp;T85,'[1]1_inventory_total_details'!$I$8:$I$10000,"="&amp;adj_date)+SUMIFS('[1]1_inventory_total_details'!$L$8:$L$10000,'[1]1_inventory_total_details'!$C$8:$C$10000,I85,'[1]1_inventory_total_details'!$F$8:$F$10000,MID(N85,1,3)*1,'[1]1_inventory_total_details'!$G$8:$G$10000,"="&amp;S85,'[1]1_inventory_total_details'!$H$8:$H$10000,"="&amp;T85,'[1]1_inventory_total_details'!$I$8:$I$10000,"="&amp;adj_date),SUMIFS('[1]2_inventory_total_details'!$J$8:$J$10000,'[1]2_inventory_total_details'!$C$8:$C$10000,I85,'[1]2_inventory_total_details'!$F$8:$F$10000,MID(N85,1,3)*1,'[1]2_inventory_total_details'!$G$8:$G$10000,"="&amp;S85,'[1]2_inventory_total_details'!$H$8:$H$10000,"="&amp;T85,'[1]2_inventory_total_details'!$I$8:$I$10000,"="&amp;adj_date)+SUMIFS('[1]2_inventory_total_details'!$M$8:$M$10000,'[1]1_inventory_total_details'!$C$8:$C$10000,I85,'[1]2_inventory_total_details'!$F$8:$F$10000,MID(N85,1,3)*1,'[1]2_inventory_total_details'!$G$8:$G$10000,"="&amp;S85,'[1]2_inventory_total_details'!$H$8:$H$10000,"="&amp;T85,'[1]2_inventory_total_details'!$I$8:$I$10000,"="&amp;adj_date)+SUMIFS('[1]2_inventory_total_details'!$K$8:$K$10000,'[1]2_inventory_total_details'!$C$8:$C$10000,I85,'[1]2_inventory_total_details'!$F$8:$F$10000,MID(N85,1,3)*1,'[1]2_inventory_total_details'!$G$8:$G$10000,"="&amp;S85,'[1]2_inventory_total_details'!$H$8:$H$10000,"="&amp;T85,'[1]2_inventory_total_details'!$I$8:$I$10000,"="&amp;adj_date)+SUMIFS('[1]2_inventory_total_details'!$L$8:$L$10000,'[1]2_inventory_total_details'!$C$8:$C$10000,I85,'[1]2_inventory_total_details'!$F$8:$F$10000,MID(N85,1,3)*1,'[1]2_inventory_total_details'!$G$8:$G$10000,"="&amp;S85,'[1]2_inventory_total_details'!$H$8:$H$10000,"="&amp;T85,'[1]2_inventory_total_details'!$I$8:$I$10000,"="&amp;adj_date)))</f>
        <v/>
      </c>
      <c r="AD85" s="270" t="str">
        <f>IF(L85="","",SUMIFS('[1]1_group_totals'!$J$8:$J$10000,'[1]1_group_totals'!$C$8:$C$10000,I85,'[1]1_group_totals'!$F$8:$F$10000,adj_location_group_id,'[1]1_group_totals'!$G$8:$G$10000,MID(N85,1,3)*1,'[1]1_group_totals'!$H$8:$H$10000,"="&amp;S85,'[1]1_group_totals'!$I$8:$I$10000,"="&amp;T85))</f>
        <v/>
      </c>
      <c r="AE85" s="1796" t="str">
        <f t="shared" si="25"/>
        <v/>
      </c>
      <c r="AF85" s="1797" t="str">
        <f>IF(ISNA(MATCH(MID(AE85,1,3)*1,UomConversion!$D$8:$D$500,0)),"",IF(AJ85&lt;&gt;"",AJ85,""))</f>
        <v/>
      </c>
      <c r="AG85" s="1797" t="str">
        <f>IF(AND(AH85&gt;0,COUNTIFS(UomConversion!$D$8:$D$500,MID(AE85,1,3)*1,UomConversion!$J$8:$J$500,1)&gt;1),TEXT(AH85,"000")&amp;"."&amp;VLOOKUP(AH85,uom_list,5,FALSE),"")</f>
        <v/>
      </c>
      <c r="AH85" s="270" t="str">
        <f t="shared" si="26"/>
        <v/>
      </c>
      <c r="AI85" s="270" t="str">
        <f t="shared" si="27"/>
        <v/>
      </c>
      <c r="AJ85" s="270" t="str">
        <f t="shared" si="28"/>
        <v/>
      </c>
      <c r="AK85" s="270" t="str" cm="1">
        <f t="array" ref="AK85">IF(L85="","",Slookup(MID(AE85,1,3)*1,UomConversion!$D$8:$J$500,2,UomConversion!$I$8:$I$500,1,UomConversion!$J$8:$J$500,1))</f>
        <v/>
      </c>
      <c r="AL85" s="270" t="str">
        <f t="shared" si="29"/>
        <v/>
      </c>
      <c r="AM85" s="270" t="str">
        <f>IF(L85="","",(SUMIFS('[1]1_group_totals'!$K$8:$K$10000,'[1]1_group_totals'!$C$8:$C$10000,I85,'[1]1_group_totals'!$F$8:$F$10000,adj_location_group_id,'[1]1_group_totals'!$G$8:$G$10000,MID(N85,1,3)*1,'[1]1_group_totals'!$H$8:$H$10000,"="&amp;S85,'[1]1_group_totals'!$I$8:$I$10000,"="&amp;T85)+SUMIFS('[1]1_group_totals'!$N$8:$N$10000,'[1]1_group_totals'!$C$8:$C$10000,I85,'[1]1_group_totals'!$F$8:$F$10000,adj_location_group_id,'[1]1_group_totals'!$G$8:$G$10000,MID(N85,1,3)*1,'[1]1_group_totals'!$H$8:$H$10000,"="&amp;S85,'[1]1_group_totals'!$I$8:$I$10000,"="&amp;T85)+SUMIFS('[1]1_group_totals'!$P$8:$P$10000,'[1]1_group_totals'!$C$8:$C$10000,I85,'[1]1_group_totals'!$F$8:$F$10000,adj_location_group_id,'[1]1_group_totals'!$G$8:$G$10000,MID(N85,1,3)*1,'[1]1_group_totals'!$H$8:$H$10000,"="&amp;S85,'[1]1_group_totals'!$I$8:$I$10000,"="&amp;T85)+SUMIFS('[1]1_group_totals'!$Q$8:$Q$10000,'[1]1_group_totals'!$C$8:$C$10000,I85,'[1]1_group_totals'!$F$8:$F$10000,adj_location_group_id,'[1]1_group_totals'!$G$8:$G$10000,MID(N85,1,3)*1,'[1]1_group_totals'!$H$8:$H$10000,"="&amp;S85,'[1]1_group_totals'!$I$8:$I$10000,"="&amp;T85))+(SUMIFS('[1]1_group_totals'!$L$8:$L$10000,'[1]1_group_totals'!$C$8:$C$10000,I85,'[1]1_group_totals'!$F$8:$F$10000,adj_location_group_id,'[1]1_group_totals'!$G$8:$G$10000,MID(N85,1,3)*1,'[1]1_group_totals'!$H$8:$H$10000,"="&amp;S85,'[1]1_group_totals'!$I$8:$I$10000,"="&amp;T85)+SUMIFS('[1]1_group_totals'!$M$8:$M$10000,'[1]1_group_totals'!$C$8:$C$10000,I85,'[1]1_group_totals'!$F$8:$F$10000,adj_location_group_id,'[1]1_group_totals'!$G$8:$G$10000,MID(N85,1,3)*1,'[1]1_group_totals'!$H$8:$H$10000,"="&amp;S85,'[1]1_group_totals'!$I$8:$I$10000,"="&amp;T85)+SUMIFS('[1]1_group_totals'!$O$8:$O$10000,'[1]1_group_totals'!$C$8:$C$10000,I85,'[1]1_group_totals'!$F$8:$F$10000,adj_location_group_id,'[1]1_group_totals'!$G$8:$G$10000,MID(N85,1,3)*1,'[1]1_group_totals'!$H$8:$H$10000,"="&amp;S85,'[1]1_group_totals'!$I$8:$I$10000,"="&amp;T85)+SUMIFS('[1]1_group_totals'!$R$8:$R$10000,'[1]1_group_totals'!$C$8:$C$10000,I85,'[1]1_group_totals'!$F$8:$F$10000,adj_location_group_id,'[1]1_group_totals'!$G$8:$G$10000,MID(N85,1,3)*1,'[1]1_group_totals'!$H$8:$H$10000,"="&amp;S85,'[1]1_group_totals'!$I$8:$I$10000,"="&amp;T85)))</f>
        <v/>
      </c>
      <c r="AN85" s="270" t="str">
        <f>IF(L85="","",(SUMIFS('[1]1_inventory_totals'!$I$8:$I$10000,'[1]1_inventory_totals'!$C$8:$C$10000,I85,'[1]1_inventory_totals'!$F$8:$F$10000,"="&amp;S85,'[1]1_inventory_totals'!$G$8:$G$10000,"="&amp;T85)+SUMIFS('[1]1_inventory_totals'!$N$8:$N$10000,'[1]1_inventory_totals'!$C$8:$C$10000,I85,'[1]1_inventory_totals'!$F$8:$F$10000,"="&amp;S85,'[1]1_inventory_totals'!$G$8:$G$10000,"="&amp;T85)+SUMIFS('[1]1_inventory_totals'!$P$8:$P$10000,'[1]1_inventory_totals'!$C$8:$C$10000,I85,'[1]1_inventory_totals'!$F$8:$F$10000,"="&amp;S85,'[1]1_inventory_totals'!$G$8:$G$10000,"="&amp;T85)+SUMIFS('[1]1_inventory_totals'!$Q$8:$Q$10000,'[1]1_inventory_totals'!$C$8:$C$10000,I85,'[1]1_inventory_totals'!$F$8:$F$10000,"="&amp;S85,'[1]1_inventory_totals'!$G$8:$G$10000,"="&amp;T85)+SUMIFS('[1]1_inventory_totals'!$R$8:$R$10000,'[1]1_inventory_totals'!$C$8:$C$10000,I85,'[1]1_inventory_totals'!$F$8:$F$10000,"="&amp;S85,'[1]1_inventory_totals'!$G$8:$G$10000,"="&amp;T85))+(SUMIFS('[1]1_inventory_totals'!$J$8:$J$10000,'[1]1_inventory_totals'!$C$8:$C$10000,I85,'[1]1_inventory_totals'!$F$8:$F$10000,"="&amp;S85,'[1]1_inventory_totals'!$G$8:$G$10000,"="&amp;T85)+SUMIFS('[1]1_inventory_totals'!$K$8:$K$10000,'[1]1_inventory_totals'!$C$8:$C$10000,I85,'[1]1_inventory_totals'!$F$8:$F$10000,"="&amp;S85,'[1]1_inventory_totals'!$G$8:$G$10000,"="&amp;T85)+SUMIFS('[1]1_inventory_totals'!$L$8:$L$10000,'[1]1_inventory_totals'!$C$8:$C$10000,I85,'[1]1_inventory_totals'!$F$8:$F$10000,"="&amp;S85,'[1]1_inventory_totals'!$G$8:$G$10000,"="&amp;T85)+SUMIFS('[1]1_inventory_totals'!$M$8:$M$10000,'[1]1_inventory_totals'!$C$8:$C$10000,I85,'[1]1_inventory_totals'!$F$8:$F$10000,"="&amp;S85,'[1]1_inventory_totals'!$G$8:$G$10000,"="&amp;T85)+SUMIFS('[1]1_inventory_totals'!$O$8:$O$10000,'[1]1_inventory_totals'!$C$8:$C$10000,I85,'[1]1_inventory_totals'!$F$8:$F$10000,"="&amp;S85,'[1]1_inventory_totals'!$G$8:$G$10000,"="&amp;T85)+SUMIFS('[1]1_inventory_totals'!$S$8:$S$10000,'[1]1_inventory_totals'!$C$8:$C$10000,I85,'[1]1_inventory_totals'!$F$8:$F$10000,"="&amp;S85,'[1]1_inventory_totals'!$G$8:$G$10000,"="&amp;T85)))</f>
        <v/>
      </c>
      <c r="AO85" s="270" t="str">
        <f>IF(L85="","",(SUMIFS('[1]2_inventory_totals'!$I$8:$I$10000,'[1]2_inventory_totals'!$C$8:$C$10000,I85,'[1]2_inventory_totals'!$F$8:$F$10000,"="&amp;S85,'[1]2_inventory_totals'!$G$8:$G$10000,"="&amp;T85)+SUMIFS('[1]2_inventory_totals'!$N$8:$N$10000,'[1]2_inventory_totals'!$C$8:$C$10000,I85,'[1]2_inventory_totals'!$F$8:$F$10000,"="&amp;S85,'[1]2_inventory_totals'!$G$8:$G$10000,"="&amp;T85)+SUMIFS('[1]2_inventory_totals'!$P$8:$P$10000,'[1]2_inventory_totals'!$C$8:$C$10000,I85,'[1]2_inventory_totals'!$F$8:$F$10000,"="&amp;S85,'[1]2_inventory_totals'!$G$8:$G$10000,"="&amp;T85)+SUMIFS('[1]2_inventory_totals'!$Q$8:$Q$10000,'[1]2_inventory_totals'!$C$8:$C$10000,I85,'[1]2_inventory_totals'!$F$8:$F$10000,"="&amp;S85,'[1]2_inventory_totals'!$G$8:$G$10000,"="&amp;T85)+SUMIFS('[1]2_inventory_totals'!$R$8:$R$10000,'[1]2_inventory_totals'!$C$8:$C$10000,I85,'[1]2_inventory_totals'!$F$8:$F$10000,"="&amp;S85,'[1]2_inventory_totals'!$G$8:$G$10000,"="&amp;T85))+(SUMIFS('[1]2_inventory_totals'!$J$8:$J$10000,'[1]2_inventory_totals'!$C$8:$C$10000,I85,'[1]2_inventory_totals'!$F$8:$F$10000,"="&amp;S85,'[1]2_inventory_totals'!$G$8:$G$10000,"="&amp;T85)+SUMIFS('[1]2_inventory_totals'!$K$8:$K$10000,'[1]2_inventory_totals'!$C$8:$C$10000,I85,'[1]2_inventory_totals'!$F$8:$F$10000,"="&amp;S85,'[1]2_inventory_totals'!$G$8:$G$10000,"="&amp;T85)+SUMIFS('[1]2_inventory_totals'!$L$8:$L$10000,'[1]2_inventory_totals'!$C$8:$C$10000,I85,'[1]2_inventory_totals'!$F$8:$F$10000,"="&amp;S85,'[1]2_inventory_totals'!$G$8:$G$10000,"="&amp;T85)+SUMIFS('[1]2_inventory_totals'!$M$8:$M$10000,'[1]2_inventory_totals'!$C$8:$C$10000,I85,'[1]2_inventory_totals'!$F$8:$F$10000,"="&amp;S85,'[1]2_inventory_totals'!$G$8:$G$10000,"="&amp;T85)+SUMIFS('[1]2_inventory_totals'!$O$8:$O$10000,'[1]2_inventory_totals'!$C$8:$C$10000,I85,'[1]2_inventory_totals'!$F$8:$F$10000,"="&amp;S85,'[1]2_inventory_totals'!$G$8:$G$10000,"="&amp;T85)+SUMIFS('[1]2_inventory_totals'!$S$8:$S$10000,'[1]2_inventory_totals'!$C$8:$C$10000,I85,'[1]2_inventory_totals'!$F$8:$F$10000,"="&amp;S85,'[1]2_inventory_totals'!$G$8:$G$10000,"="&amp;T85)))</f>
        <v/>
      </c>
      <c r="AP85" s="954"/>
    </row>
    <row r="86" spans="1:42" ht="27" customHeight="1">
      <c r="A86" s="923"/>
      <c r="B86" s="1178"/>
      <c r="C86" s="950"/>
      <c r="D86" s="950"/>
      <c r="E86" s="950"/>
      <c r="F86" s="1199"/>
      <c r="G86" s="941"/>
      <c r="H86" s="1070"/>
      <c r="I86" s="1610" t="str">
        <f t="shared" si="20"/>
        <v/>
      </c>
      <c r="J86" s="270" t="str">
        <f t="shared" si="21"/>
        <v/>
      </c>
      <c r="K86" s="813" t="str">
        <f t="shared" si="18"/>
        <v/>
      </c>
      <c r="L86" s="1184"/>
      <c r="M86" s="1185"/>
      <c r="N86" s="1186"/>
      <c r="O86" s="1534"/>
      <c r="P86" s="336" t="str">
        <f t="shared" si="19"/>
        <v/>
      </c>
      <c r="Q86" s="336" t="str">
        <f>IF(L86="","",IF(AD86=0,0,(SUMIFS('[1]1_group_total_details'!$I$8:$I$10000,'[1]1_group_total_details'!$C$8:$C$10000,I86,'[1]1_group_total_details'!$F$8:$F$10000,adj_location_group_id,'[1]1_group_total_details'!$G$8:$G$10000,MID(N86,1,3)*1,'[1]1_group_total_details'!$H$8:$H$10000,"&lt;="&amp;adj_date)+SUMIFS('[1]1_group_total_details'!$L$8:$L$10000,'[1]1_group_total_details'!$C$8:$C$10000,I86,'[1]1_group_total_details'!$F$8:$F$10000,adj_location_group_id,'[1]1_group_total_details'!$G$8:$G$10000,MID(N86,1,3)*1,'[1]1_group_total_details'!$H$8:$H$10000,"&lt;="&amp;adj_date)+SUMIFS('[1]1_group_total_details'!$N$8:$N$10000,'[1]1_group_total_details'!$C$8:$C$10000,I86,'[1]1_group_total_details'!$F$8:$F$10000,adj_location_group_id,'[1]1_group_total_details'!$G$8:$G$10000,MID(N86,1,3)*1,'[1]1_group_total_details'!$H$8:$H$10000,"&lt;="&amp;adj_date)+SUMIFS('[1]1_group_total_details'!$O$8:$O$10000,'[1]1_group_total_details'!$C$8:$C$10000,I86,'[1]1_group_total_details'!$F$8:$F$10000,adj_location_group_id,'[1]1_group_total_details'!$G$8:$G$10000,MID(N86,1,3)*1,'[1]1_group_total_details'!$H$8:$H$10000,"&lt;="&amp;adj_date))-(SUMIFS('[1]1_group_total_details'!$J$8:$J$10000,'[1]1_group_total_details'!$C$8:$C$10000,I86,'[1]1_group_total_details'!$F$8:$F$10000,adj_location_group_id,'[1]1_group_total_details'!$G$8:$G$10000,MID(N86,1,3)*1,'[1]1_group_total_details'!$H$8:$H$10000,"&lt;="&amp;adj_date)+SUMIFS('[1]1_group_total_details'!$K$8:$K$10000,'[1]1_group_total_details'!$C$8:$C$10000,I86,'[1]1_group_total_details'!$F$8:$F$10000,adj_location_group_id,'[1]1_group_total_details'!$G$8:$G$10000,MID(N86,1,3)*1,'[1]1_group_total_details'!$H$8:$H$10000,"&lt;="&amp;adj_date)+SUMIFS('[1]1_group_total_details'!$M$8:$M$10000,'[1]1_group_total_details'!$C$8:$C$10000,I86,'[1]1_group_total_details'!$F$8:$F$10000,adj_location_group_id,'[1]1_group_total_details'!$G$8:$G$10000,MID(N86,1,3)*1,'[1]1_group_total_details'!$H$8:$H$10000,"&lt;="&amp;adj_date)+SUMIFS('[1]1_group_total_details'!$P$8:$P$10000,'[1]1_group_total_details'!$C$8:$C$10000,I86,'[1]1_group_total_details'!$F$8:$F$10000,adj_location_group_id,'[1]1_group_total_details'!$G$8:$G$10000,MID(N86,1,3)*1,'[1]1_group_total_details'!$H$8:$H$10000,"&lt;="&amp;adj_date))))</f>
        <v/>
      </c>
      <c r="R86" s="1187"/>
      <c r="S86" s="1186"/>
      <c r="T86" s="1186"/>
      <c r="U86" s="1184"/>
      <c r="V86" s="270" t="str" cm="1">
        <f t="array" ref="V86">IF(L86="","",IF(M86=AE86,1,Slookup(MID(AE86,1,3)*1,UomConversion!$D$8:$J$500,5,UomConversion!$E$8:$E$500,MID(M86,1,3)*1,UomConversion!$J$8:$J$500,1)))</f>
        <v/>
      </c>
      <c r="W86" s="270" t="str">
        <f t="shared" si="22"/>
        <v/>
      </c>
      <c r="X86" s="1795" t="str">
        <f t="shared" si="23"/>
        <v/>
      </c>
      <c r="Y86" s="1795" t="str">
        <f t="shared" si="24"/>
        <v/>
      </c>
      <c r="Z86" s="270" t="str">
        <f>IF(I86="","",IF(ISNA(MATCH(I86,IF(MID(N86,1,3)*1=1,'[1]1_inventory_totals'!$C$8:$C$10000,IF(MID(N86,1,3)*1=2,'[1]2_inventory_totals'!$C$8:$C$10000,"")),0)),0,IF(AL86&gt;0,1,0)))</f>
        <v/>
      </c>
      <c r="AA86" s="270" t="str">
        <f>IF(L86="","",IF(MID(N86,1,3)*1=1,SUMIFS('[1]1_inventory_total_details'!$J$8:$J$10000,'[1]1_inventory_total_details'!$C$8:$C$10000,I86,'[1]1_inventory_total_details'!$F$8:$F$10000,MID(N86,1,3)*1,'[1]1_inventory_total_details'!$G$8:$G$10000,"="&amp;S86,'[1]1_inventory_total_details'!$H$8:$H$10000,"="&amp;T86,'[1]1_inventory_total_details'!$I$8:$I$10000,"="&amp;adj_date)+SUMIFS('[1]1_inventory_total_details'!$M$8:$M$10000,'[1]1_inventory_total_details'!$C$8:$C$10000,I86,'[1]1_inventory_total_details'!$F$8:$F$10000,MID(N86,1,3)*1,'[1]1_inventory_total_details'!$G$8:$G$10000,"="&amp;S86,'[1]1_inventory_total_details'!$H$8:$H$10000,"="&amp;T86,'[1]1_inventory_total_details'!$I$8:$I$10000,"="&amp;adj_date)+SUMIFS('[1]1_inventory_total_details'!$K$8:$K$10000,'[1]1_inventory_total_details'!$C$8:$C$10000,I86,'[1]1_inventory_total_details'!$F$8:$F$10000,MID(N86,1,3)*1,'[1]1_inventory_total_details'!$G$8:$G$10000,"="&amp;S86,'[1]1_inventory_total_details'!$H$8:$H$10000,"="&amp;T86,'[1]1_inventory_total_details'!$I$8:$I$10000,"="&amp;adj_date)+SUMIFS('[1]1_inventory_total_details'!$L$8:$L$10000,'[1]1_inventory_total_details'!$C$8:$C$10000,I86,'[1]1_inventory_total_details'!$F$8:$F$10000,MID(N86,1,3)*1,'[1]1_inventory_total_details'!$G$8:$G$10000,"="&amp;S86,'[1]1_inventory_total_details'!$H$8:$H$10000,"="&amp;T86,'[1]1_inventory_total_details'!$I$8:$I$10000,"="&amp;adj_date),SUMIFS('[1]2_inventory_total_details'!$J$8:$J$10000,'[1]2_inventory_total_details'!$C$8:$C$10000,I86,'[1]2_inventory_total_details'!$F$8:$F$10000,MID(N86,1,3)*1,'[1]2_inventory_total_details'!$G$8:$G$10000,"="&amp;S86,'[1]2_inventory_total_details'!$H$8:$H$10000,"="&amp;T86,'[1]2_inventory_total_details'!$I$8:$I$10000,"="&amp;adj_date)+SUMIFS('[1]2_inventory_total_details'!$M$8:$M$10000,'[1]1_inventory_total_details'!$C$8:$C$10000,I86,'[1]2_inventory_total_details'!$F$8:$F$10000,MID(N86,1,3)*1,'[1]2_inventory_total_details'!$G$8:$G$10000,"="&amp;S86,'[1]2_inventory_total_details'!$H$8:$H$10000,"="&amp;T86,'[1]2_inventory_total_details'!$I$8:$I$10000,"="&amp;adj_date)+SUMIFS('[1]2_inventory_total_details'!$K$8:$K$10000,'[1]2_inventory_total_details'!$C$8:$C$10000,I86,'[1]2_inventory_total_details'!$F$8:$F$10000,MID(N86,1,3)*1,'[1]2_inventory_total_details'!$G$8:$G$10000,"="&amp;S86,'[1]2_inventory_total_details'!$H$8:$H$10000,"="&amp;T86,'[1]2_inventory_total_details'!$I$8:$I$10000,"="&amp;adj_date)+SUMIFS('[1]2_inventory_total_details'!$L$8:$L$10000,'[1]2_inventory_total_details'!$C$8:$C$10000,I86,'[1]2_inventory_total_details'!$F$8:$F$10000,MID(N86,1,3)*1,'[1]2_inventory_total_details'!$G$8:$G$10000,"="&amp;S86,'[1]2_inventory_total_details'!$H$8:$H$10000,"="&amp;T86,'[1]2_inventory_total_details'!$I$8:$I$10000,"="&amp;adj_date)))</f>
        <v/>
      </c>
      <c r="AB86" s="270" t="str">
        <f>IF(L86="","",IF(MID(N86,1,3)*1=1,SUMIFS('[1]1_inventory_total_details'!$J$8:$J$10000,'[1]1_inventory_total_details'!$C$8:$C$10000,I86,'[1]1_inventory_total_details'!$F$8:$F$10000,MID(N86,1,3)*1,'[1]1_inventory_total_details'!$G$8:$G$10000,"="&amp;S86,'[1]1_inventory_total_details'!$H$8:$H$10000,"="&amp;T86,'[1]1_inventory_total_details'!$I$8:$I$10000,"="&amp;adj_date)+SUMIFS('[1]1_inventory_total_details'!$M$8:$M$10000,'[1]1_inventory_total_details'!$C$8:$C$10000,I86,'[1]1_inventory_total_details'!$F$8:$F$10000,MID(N86,1,3)*1,'[1]1_inventory_total_details'!$G$8:$G$10000,"="&amp;S86,'[1]1_inventory_total_details'!$H$8:$H$10000,"="&amp;T86,'[1]1_inventory_total_details'!$I$8:$I$10000,"="&amp;adj_date)+SUMIFS('[1]1_inventory_total_details'!$K$8:$K$10000,'[1]1_inventory_total_details'!$C$8:$C$10000,I86,'[1]1_inventory_total_details'!$F$8:$F$10000,MID(N86,1,3)*1,'[1]1_inventory_total_details'!$G$8:$G$10000,"="&amp;S86,'[1]1_inventory_total_details'!$H$8:$H$10000,"="&amp;T86,'[1]1_inventory_total_details'!$I$8:$I$10000,"="&amp;adj_date)+SUMIFS('[1]1_inventory_total_details'!$L$8:$L$10000,'[1]1_inventory_total_details'!$C$8:$C$10000,I86,'[1]1_inventory_total_details'!$F$8:$F$10000,MID(N86,1,3)*1,'[1]1_inventory_total_details'!$G$8:$G$10000,"="&amp;S86,'[1]1_inventory_total_details'!$H$8:$H$10000,"="&amp;T86,'[1]1_inventory_total_details'!$I$8:$I$10000,"="&amp;adj_date),SUMIFS('[1]2_inventory_total_details'!$J$8:$J$10000,'[1]2_inventory_total_details'!$C$8:$C$10000,I86,'[1]2_inventory_total_details'!$F$8:$F$10000,MID(N86,1,3)*1,'[1]2_inventory_total_details'!$G$8:$G$10000,"="&amp;S86,'[1]2_inventory_total_details'!$H$8:$H$10000,"="&amp;T86,'[1]2_inventory_total_details'!$I$8:$I$10000,"="&amp;adj_date)+SUMIFS('[1]2_inventory_total_details'!$M$8:$M$10000,'[1]1_inventory_total_details'!$C$8:$C$10000,I86,'[1]2_inventory_total_details'!$F$8:$F$10000,MID(N86,1,3)*1,'[1]2_inventory_total_details'!$G$8:$G$10000,"="&amp;S86,'[1]2_inventory_total_details'!$H$8:$H$10000,"="&amp;T86,'[1]2_inventory_total_details'!$I$8:$I$10000,"="&amp;adj_date)+SUMIFS('[1]2_inventory_total_details'!$K$8:$K$10000,'[1]2_inventory_total_details'!$C$8:$C$10000,I86,'[1]2_inventory_total_details'!$F$8:$F$10000,MID(N86,1,3)*1,'[1]2_inventory_total_details'!$G$8:$G$10000,"="&amp;S86,'[1]2_inventory_total_details'!$H$8:$H$10000,"="&amp;T86,'[1]2_inventory_total_details'!$I$8:$I$10000,"="&amp;adj_date)+SUMIFS('[1]2_inventory_total_details'!$L$8:$L$10000,'[1]2_inventory_total_details'!$C$8:$C$10000,I86,'[1]2_inventory_total_details'!$F$8:$F$10000,MID(N86,1,3)*1,'[1]2_inventory_total_details'!$G$8:$G$10000,"="&amp;S86,'[1]2_inventory_total_details'!$H$8:$H$10000,"="&amp;T86,'[1]2_inventory_total_details'!$I$8:$I$10000,"="&amp;adj_date)))</f>
        <v/>
      </c>
      <c r="AC86" s="270" t="str">
        <f>IF(L86="","",IF(MID(N86,1,3)*1=1,SUMIFS('[1]1_inventory_total_details'!$J$8:$J$10000,'[1]1_inventory_total_details'!$C$8:$C$10000,I86,'[1]1_inventory_total_details'!$F$8:$F$10000,MID(N86,1,3)*1,'[1]1_inventory_total_details'!$G$8:$G$10000,"="&amp;S86,'[1]1_inventory_total_details'!$H$8:$H$10000,"="&amp;T86,'[1]1_inventory_total_details'!$I$8:$I$10000,"="&amp;adj_date)+SUMIFS('[1]1_inventory_total_details'!$M$8:$M$10000,'[1]1_inventory_total_details'!$C$8:$C$10000,I86,'[1]1_inventory_total_details'!$F$8:$F$10000,MID(N86,1,3)*1,'[1]1_inventory_total_details'!$G$8:$G$10000,"="&amp;S86,'[1]1_inventory_total_details'!$H$8:$H$10000,"="&amp;T86,'[1]1_inventory_total_details'!$I$8:$I$10000,"="&amp;adj_date)+SUMIFS('[1]1_inventory_total_details'!$K$8:$K$10000,'[1]1_inventory_total_details'!$C$8:$C$10000,I86,'[1]1_inventory_total_details'!$F$8:$F$10000,MID(N86,1,3)*1,'[1]1_inventory_total_details'!$G$8:$G$10000,"="&amp;S86,'[1]1_inventory_total_details'!$H$8:$H$10000,"="&amp;T86,'[1]1_inventory_total_details'!$I$8:$I$10000,"="&amp;adj_date)+SUMIFS('[1]1_inventory_total_details'!$L$8:$L$10000,'[1]1_inventory_total_details'!$C$8:$C$10000,I86,'[1]1_inventory_total_details'!$F$8:$F$10000,MID(N86,1,3)*1,'[1]1_inventory_total_details'!$G$8:$G$10000,"="&amp;S86,'[1]1_inventory_total_details'!$H$8:$H$10000,"="&amp;T86,'[1]1_inventory_total_details'!$I$8:$I$10000,"="&amp;adj_date),SUMIFS('[1]2_inventory_total_details'!$J$8:$J$10000,'[1]2_inventory_total_details'!$C$8:$C$10000,I86,'[1]2_inventory_total_details'!$F$8:$F$10000,MID(N86,1,3)*1,'[1]2_inventory_total_details'!$G$8:$G$10000,"="&amp;S86,'[1]2_inventory_total_details'!$H$8:$H$10000,"="&amp;T86,'[1]2_inventory_total_details'!$I$8:$I$10000,"="&amp;adj_date)+SUMIFS('[1]2_inventory_total_details'!$M$8:$M$10000,'[1]1_inventory_total_details'!$C$8:$C$10000,I86,'[1]2_inventory_total_details'!$F$8:$F$10000,MID(N86,1,3)*1,'[1]2_inventory_total_details'!$G$8:$G$10000,"="&amp;S86,'[1]2_inventory_total_details'!$H$8:$H$10000,"="&amp;T86,'[1]2_inventory_total_details'!$I$8:$I$10000,"="&amp;adj_date)+SUMIFS('[1]2_inventory_total_details'!$K$8:$K$10000,'[1]2_inventory_total_details'!$C$8:$C$10000,I86,'[1]2_inventory_total_details'!$F$8:$F$10000,MID(N86,1,3)*1,'[1]2_inventory_total_details'!$G$8:$G$10000,"="&amp;S86,'[1]2_inventory_total_details'!$H$8:$H$10000,"="&amp;T86,'[1]2_inventory_total_details'!$I$8:$I$10000,"="&amp;adj_date)+SUMIFS('[1]2_inventory_total_details'!$L$8:$L$10000,'[1]2_inventory_total_details'!$C$8:$C$10000,I86,'[1]2_inventory_total_details'!$F$8:$F$10000,MID(N86,1,3)*1,'[1]2_inventory_total_details'!$G$8:$G$10000,"="&amp;S86,'[1]2_inventory_total_details'!$H$8:$H$10000,"="&amp;T86,'[1]2_inventory_total_details'!$I$8:$I$10000,"="&amp;adj_date)))</f>
        <v/>
      </c>
      <c r="AD86" s="270" t="str">
        <f>IF(L86="","",SUMIFS('[1]1_group_totals'!$J$8:$J$10000,'[1]1_group_totals'!$C$8:$C$10000,I86,'[1]1_group_totals'!$F$8:$F$10000,adj_location_group_id,'[1]1_group_totals'!$G$8:$G$10000,MID(N86,1,3)*1,'[1]1_group_totals'!$H$8:$H$10000,"="&amp;S86,'[1]1_group_totals'!$I$8:$I$10000,"="&amp;T86))</f>
        <v/>
      </c>
      <c r="AE86" s="1796" t="str">
        <f t="shared" si="25"/>
        <v/>
      </c>
      <c r="AF86" s="1797" t="str">
        <f>IF(ISNA(MATCH(MID(AE86,1,3)*1,UomConversion!$D$8:$D$500,0)),"",IF(AJ86&lt;&gt;"",AJ86,""))</f>
        <v/>
      </c>
      <c r="AG86" s="1797" t="str">
        <f>IF(AND(AH86&gt;0,COUNTIFS(UomConversion!$D$8:$D$500,MID(AE86,1,3)*1,UomConversion!$J$8:$J$500,1)&gt;1),TEXT(AH86,"000")&amp;"."&amp;VLOOKUP(AH86,uom_list,5,FALSE),"")</f>
        <v/>
      </c>
      <c r="AH86" s="270" t="str">
        <f t="shared" si="26"/>
        <v/>
      </c>
      <c r="AI86" s="270" t="str">
        <f t="shared" si="27"/>
        <v/>
      </c>
      <c r="AJ86" s="270" t="str">
        <f t="shared" si="28"/>
        <v/>
      </c>
      <c r="AK86" s="270" t="str" cm="1">
        <f t="array" ref="AK86">IF(L86="","",Slookup(MID(AE86,1,3)*1,UomConversion!$D$8:$J$500,2,UomConversion!$I$8:$I$500,1,UomConversion!$J$8:$J$500,1))</f>
        <v/>
      </c>
      <c r="AL86" s="270" t="str">
        <f t="shared" si="29"/>
        <v/>
      </c>
      <c r="AM86" s="270" t="str">
        <f>IF(L86="","",(SUMIFS('[1]1_group_totals'!$K$8:$K$10000,'[1]1_group_totals'!$C$8:$C$10000,I86,'[1]1_group_totals'!$F$8:$F$10000,adj_location_group_id,'[1]1_group_totals'!$G$8:$G$10000,MID(N86,1,3)*1,'[1]1_group_totals'!$H$8:$H$10000,"="&amp;S86,'[1]1_group_totals'!$I$8:$I$10000,"="&amp;T86)+SUMIFS('[1]1_group_totals'!$N$8:$N$10000,'[1]1_group_totals'!$C$8:$C$10000,I86,'[1]1_group_totals'!$F$8:$F$10000,adj_location_group_id,'[1]1_group_totals'!$G$8:$G$10000,MID(N86,1,3)*1,'[1]1_group_totals'!$H$8:$H$10000,"="&amp;S86,'[1]1_group_totals'!$I$8:$I$10000,"="&amp;T86)+SUMIFS('[1]1_group_totals'!$P$8:$P$10000,'[1]1_group_totals'!$C$8:$C$10000,I86,'[1]1_group_totals'!$F$8:$F$10000,adj_location_group_id,'[1]1_group_totals'!$G$8:$G$10000,MID(N86,1,3)*1,'[1]1_group_totals'!$H$8:$H$10000,"="&amp;S86,'[1]1_group_totals'!$I$8:$I$10000,"="&amp;T86)+SUMIFS('[1]1_group_totals'!$Q$8:$Q$10000,'[1]1_group_totals'!$C$8:$C$10000,I86,'[1]1_group_totals'!$F$8:$F$10000,adj_location_group_id,'[1]1_group_totals'!$G$8:$G$10000,MID(N86,1,3)*1,'[1]1_group_totals'!$H$8:$H$10000,"="&amp;S86,'[1]1_group_totals'!$I$8:$I$10000,"="&amp;T86))+(SUMIFS('[1]1_group_totals'!$L$8:$L$10000,'[1]1_group_totals'!$C$8:$C$10000,I86,'[1]1_group_totals'!$F$8:$F$10000,adj_location_group_id,'[1]1_group_totals'!$G$8:$G$10000,MID(N86,1,3)*1,'[1]1_group_totals'!$H$8:$H$10000,"="&amp;S86,'[1]1_group_totals'!$I$8:$I$10000,"="&amp;T86)+SUMIFS('[1]1_group_totals'!$M$8:$M$10000,'[1]1_group_totals'!$C$8:$C$10000,I86,'[1]1_group_totals'!$F$8:$F$10000,adj_location_group_id,'[1]1_group_totals'!$G$8:$G$10000,MID(N86,1,3)*1,'[1]1_group_totals'!$H$8:$H$10000,"="&amp;S86,'[1]1_group_totals'!$I$8:$I$10000,"="&amp;T86)+SUMIFS('[1]1_group_totals'!$O$8:$O$10000,'[1]1_group_totals'!$C$8:$C$10000,I86,'[1]1_group_totals'!$F$8:$F$10000,adj_location_group_id,'[1]1_group_totals'!$G$8:$G$10000,MID(N86,1,3)*1,'[1]1_group_totals'!$H$8:$H$10000,"="&amp;S86,'[1]1_group_totals'!$I$8:$I$10000,"="&amp;T86)+SUMIFS('[1]1_group_totals'!$R$8:$R$10000,'[1]1_group_totals'!$C$8:$C$10000,I86,'[1]1_group_totals'!$F$8:$F$10000,adj_location_group_id,'[1]1_group_totals'!$G$8:$G$10000,MID(N86,1,3)*1,'[1]1_group_totals'!$H$8:$H$10000,"="&amp;S86,'[1]1_group_totals'!$I$8:$I$10000,"="&amp;T86)))</f>
        <v/>
      </c>
      <c r="AN86" s="270" t="str">
        <f>IF(L86="","",(SUMIFS('[1]1_inventory_totals'!$I$8:$I$10000,'[1]1_inventory_totals'!$C$8:$C$10000,I86,'[1]1_inventory_totals'!$F$8:$F$10000,"="&amp;S86,'[1]1_inventory_totals'!$G$8:$G$10000,"="&amp;T86)+SUMIFS('[1]1_inventory_totals'!$N$8:$N$10000,'[1]1_inventory_totals'!$C$8:$C$10000,I86,'[1]1_inventory_totals'!$F$8:$F$10000,"="&amp;S86,'[1]1_inventory_totals'!$G$8:$G$10000,"="&amp;T86)+SUMIFS('[1]1_inventory_totals'!$P$8:$P$10000,'[1]1_inventory_totals'!$C$8:$C$10000,I86,'[1]1_inventory_totals'!$F$8:$F$10000,"="&amp;S86,'[1]1_inventory_totals'!$G$8:$G$10000,"="&amp;T86)+SUMIFS('[1]1_inventory_totals'!$Q$8:$Q$10000,'[1]1_inventory_totals'!$C$8:$C$10000,I86,'[1]1_inventory_totals'!$F$8:$F$10000,"="&amp;S86,'[1]1_inventory_totals'!$G$8:$G$10000,"="&amp;T86)+SUMIFS('[1]1_inventory_totals'!$R$8:$R$10000,'[1]1_inventory_totals'!$C$8:$C$10000,I86,'[1]1_inventory_totals'!$F$8:$F$10000,"="&amp;S86,'[1]1_inventory_totals'!$G$8:$G$10000,"="&amp;T86))+(SUMIFS('[1]1_inventory_totals'!$J$8:$J$10000,'[1]1_inventory_totals'!$C$8:$C$10000,I86,'[1]1_inventory_totals'!$F$8:$F$10000,"="&amp;S86,'[1]1_inventory_totals'!$G$8:$G$10000,"="&amp;T86)+SUMIFS('[1]1_inventory_totals'!$K$8:$K$10000,'[1]1_inventory_totals'!$C$8:$C$10000,I86,'[1]1_inventory_totals'!$F$8:$F$10000,"="&amp;S86,'[1]1_inventory_totals'!$G$8:$G$10000,"="&amp;T86)+SUMIFS('[1]1_inventory_totals'!$L$8:$L$10000,'[1]1_inventory_totals'!$C$8:$C$10000,I86,'[1]1_inventory_totals'!$F$8:$F$10000,"="&amp;S86,'[1]1_inventory_totals'!$G$8:$G$10000,"="&amp;T86)+SUMIFS('[1]1_inventory_totals'!$M$8:$M$10000,'[1]1_inventory_totals'!$C$8:$C$10000,I86,'[1]1_inventory_totals'!$F$8:$F$10000,"="&amp;S86,'[1]1_inventory_totals'!$G$8:$G$10000,"="&amp;T86)+SUMIFS('[1]1_inventory_totals'!$O$8:$O$10000,'[1]1_inventory_totals'!$C$8:$C$10000,I86,'[1]1_inventory_totals'!$F$8:$F$10000,"="&amp;S86,'[1]1_inventory_totals'!$G$8:$G$10000,"="&amp;T86)+SUMIFS('[1]1_inventory_totals'!$S$8:$S$10000,'[1]1_inventory_totals'!$C$8:$C$10000,I86,'[1]1_inventory_totals'!$F$8:$F$10000,"="&amp;S86,'[1]1_inventory_totals'!$G$8:$G$10000,"="&amp;T86)))</f>
        <v/>
      </c>
      <c r="AO86" s="270" t="str">
        <f>IF(L86="","",(SUMIFS('[1]2_inventory_totals'!$I$8:$I$10000,'[1]2_inventory_totals'!$C$8:$C$10000,I86,'[1]2_inventory_totals'!$F$8:$F$10000,"="&amp;S86,'[1]2_inventory_totals'!$G$8:$G$10000,"="&amp;T86)+SUMIFS('[1]2_inventory_totals'!$N$8:$N$10000,'[1]2_inventory_totals'!$C$8:$C$10000,I86,'[1]2_inventory_totals'!$F$8:$F$10000,"="&amp;S86,'[1]2_inventory_totals'!$G$8:$G$10000,"="&amp;T86)+SUMIFS('[1]2_inventory_totals'!$P$8:$P$10000,'[1]2_inventory_totals'!$C$8:$C$10000,I86,'[1]2_inventory_totals'!$F$8:$F$10000,"="&amp;S86,'[1]2_inventory_totals'!$G$8:$G$10000,"="&amp;T86)+SUMIFS('[1]2_inventory_totals'!$Q$8:$Q$10000,'[1]2_inventory_totals'!$C$8:$C$10000,I86,'[1]2_inventory_totals'!$F$8:$F$10000,"="&amp;S86,'[1]2_inventory_totals'!$G$8:$G$10000,"="&amp;T86)+SUMIFS('[1]2_inventory_totals'!$R$8:$R$10000,'[1]2_inventory_totals'!$C$8:$C$10000,I86,'[1]2_inventory_totals'!$F$8:$F$10000,"="&amp;S86,'[1]2_inventory_totals'!$G$8:$G$10000,"="&amp;T86))+(SUMIFS('[1]2_inventory_totals'!$J$8:$J$10000,'[1]2_inventory_totals'!$C$8:$C$10000,I86,'[1]2_inventory_totals'!$F$8:$F$10000,"="&amp;S86,'[1]2_inventory_totals'!$G$8:$G$10000,"="&amp;T86)+SUMIFS('[1]2_inventory_totals'!$K$8:$K$10000,'[1]2_inventory_totals'!$C$8:$C$10000,I86,'[1]2_inventory_totals'!$F$8:$F$10000,"="&amp;S86,'[1]2_inventory_totals'!$G$8:$G$10000,"="&amp;T86)+SUMIFS('[1]2_inventory_totals'!$L$8:$L$10000,'[1]2_inventory_totals'!$C$8:$C$10000,I86,'[1]2_inventory_totals'!$F$8:$F$10000,"="&amp;S86,'[1]2_inventory_totals'!$G$8:$G$10000,"="&amp;T86)+SUMIFS('[1]2_inventory_totals'!$M$8:$M$10000,'[1]2_inventory_totals'!$C$8:$C$10000,I86,'[1]2_inventory_totals'!$F$8:$F$10000,"="&amp;S86,'[1]2_inventory_totals'!$G$8:$G$10000,"="&amp;T86)+SUMIFS('[1]2_inventory_totals'!$O$8:$O$10000,'[1]2_inventory_totals'!$C$8:$C$10000,I86,'[1]2_inventory_totals'!$F$8:$F$10000,"="&amp;S86,'[1]2_inventory_totals'!$G$8:$G$10000,"="&amp;T86)+SUMIFS('[1]2_inventory_totals'!$S$8:$S$10000,'[1]2_inventory_totals'!$C$8:$C$10000,I86,'[1]2_inventory_totals'!$F$8:$F$10000,"="&amp;S86,'[1]2_inventory_totals'!$G$8:$G$10000,"="&amp;T86)))</f>
        <v/>
      </c>
      <c r="AP86" s="954"/>
    </row>
    <row r="87" spans="1:42" ht="27" customHeight="1">
      <c r="A87" s="923"/>
      <c r="B87" s="1178"/>
      <c r="C87" s="950"/>
      <c r="D87" s="950"/>
      <c r="E87" s="950"/>
      <c r="F87" s="1199"/>
      <c r="G87" s="941"/>
      <c r="I87" s="1610" t="str">
        <f t="shared" si="20"/>
        <v/>
      </c>
      <c r="J87" s="270" t="str">
        <f t="shared" si="21"/>
        <v/>
      </c>
      <c r="K87" s="813" t="str">
        <f t="shared" si="18"/>
        <v/>
      </c>
      <c r="L87" s="1184"/>
      <c r="M87" s="1185"/>
      <c r="N87" s="1186"/>
      <c r="O87" s="1534"/>
      <c r="P87" s="336" t="str">
        <f t="shared" si="19"/>
        <v/>
      </c>
      <c r="Q87" s="336" t="str">
        <f>IF(L87="","",IF(AD87=0,0,(SUMIFS('[1]1_group_total_details'!$I$8:$I$10000,'[1]1_group_total_details'!$C$8:$C$10000,I87,'[1]1_group_total_details'!$F$8:$F$10000,adj_location_group_id,'[1]1_group_total_details'!$G$8:$G$10000,MID(N87,1,3)*1,'[1]1_group_total_details'!$H$8:$H$10000,"&lt;="&amp;adj_date)+SUMIFS('[1]1_group_total_details'!$L$8:$L$10000,'[1]1_group_total_details'!$C$8:$C$10000,I87,'[1]1_group_total_details'!$F$8:$F$10000,adj_location_group_id,'[1]1_group_total_details'!$G$8:$G$10000,MID(N87,1,3)*1,'[1]1_group_total_details'!$H$8:$H$10000,"&lt;="&amp;adj_date)+SUMIFS('[1]1_group_total_details'!$N$8:$N$10000,'[1]1_group_total_details'!$C$8:$C$10000,I87,'[1]1_group_total_details'!$F$8:$F$10000,adj_location_group_id,'[1]1_group_total_details'!$G$8:$G$10000,MID(N87,1,3)*1,'[1]1_group_total_details'!$H$8:$H$10000,"&lt;="&amp;adj_date)+SUMIFS('[1]1_group_total_details'!$O$8:$O$10000,'[1]1_group_total_details'!$C$8:$C$10000,I87,'[1]1_group_total_details'!$F$8:$F$10000,adj_location_group_id,'[1]1_group_total_details'!$G$8:$G$10000,MID(N87,1,3)*1,'[1]1_group_total_details'!$H$8:$H$10000,"&lt;="&amp;adj_date))-(SUMIFS('[1]1_group_total_details'!$J$8:$J$10000,'[1]1_group_total_details'!$C$8:$C$10000,I87,'[1]1_group_total_details'!$F$8:$F$10000,adj_location_group_id,'[1]1_group_total_details'!$G$8:$G$10000,MID(N87,1,3)*1,'[1]1_group_total_details'!$H$8:$H$10000,"&lt;="&amp;adj_date)+SUMIFS('[1]1_group_total_details'!$K$8:$K$10000,'[1]1_group_total_details'!$C$8:$C$10000,I87,'[1]1_group_total_details'!$F$8:$F$10000,adj_location_group_id,'[1]1_group_total_details'!$G$8:$G$10000,MID(N87,1,3)*1,'[1]1_group_total_details'!$H$8:$H$10000,"&lt;="&amp;adj_date)+SUMIFS('[1]1_group_total_details'!$M$8:$M$10000,'[1]1_group_total_details'!$C$8:$C$10000,I87,'[1]1_group_total_details'!$F$8:$F$10000,adj_location_group_id,'[1]1_group_total_details'!$G$8:$G$10000,MID(N87,1,3)*1,'[1]1_group_total_details'!$H$8:$H$10000,"&lt;="&amp;adj_date)+SUMIFS('[1]1_group_total_details'!$P$8:$P$10000,'[1]1_group_total_details'!$C$8:$C$10000,I87,'[1]1_group_total_details'!$F$8:$F$10000,adj_location_group_id,'[1]1_group_total_details'!$G$8:$G$10000,MID(N87,1,3)*1,'[1]1_group_total_details'!$H$8:$H$10000,"&lt;="&amp;adj_date))))</f>
        <v/>
      </c>
      <c r="R87" s="1187"/>
      <c r="S87" s="1186"/>
      <c r="T87" s="1186"/>
      <c r="U87" s="1184"/>
      <c r="V87" s="270" t="str" cm="1">
        <f t="array" ref="V87">IF(L87="","",IF(M87=AE87,1,Slookup(MID(AE87,1,3)*1,UomConversion!$D$8:$J$500,5,UomConversion!$E$8:$E$500,MID(M87,1,3)*1,UomConversion!$J$8:$J$500,1)))</f>
        <v/>
      </c>
      <c r="W87" s="270" t="str">
        <f t="shared" si="22"/>
        <v/>
      </c>
      <c r="X87" s="1795" t="str">
        <f t="shared" si="23"/>
        <v/>
      </c>
      <c r="Y87" s="1795" t="str">
        <f t="shared" si="24"/>
        <v/>
      </c>
      <c r="Z87" s="270" t="str">
        <f>IF(I87="","",IF(ISNA(MATCH(I87,IF(MID(N87,1,3)*1=1,'[1]1_inventory_totals'!$C$8:$C$10000,IF(MID(N87,1,3)*1=2,'[1]2_inventory_totals'!$C$8:$C$10000,"")),0)),0,IF(AL87&gt;0,1,0)))</f>
        <v/>
      </c>
      <c r="AA87" s="270" t="str">
        <f>IF(L87="","",IF(MID(N87,1,3)*1=1,SUMIFS('[1]1_inventory_total_details'!$J$8:$J$10000,'[1]1_inventory_total_details'!$C$8:$C$10000,I87,'[1]1_inventory_total_details'!$F$8:$F$10000,MID(N87,1,3)*1,'[1]1_inventory_total_details'!$G$8:$G$10000,"="&amp;S87,'[1]1_inventory_total_details'!$H$8:$H$10000,"="&amp;T87,'[1]1_inventory_total_details'!$I$8:$I$10000,"="&amp;adj_date)+SUMIFS('[1]1_inventory_total_details'!$M$8:$M$10000,'[1]1_inventory_total_details'!$C$8:$C$10000,I87,'[1]1_inventory_total_details'!$F$8:$F$10000,MID(N87,1,3)*1,'[1]1_inventory_total_details'!$G$8:$G$10000,"="&amp;S87,'[1]1_inventory_total_details'!$H$8:$H$10000,"="&amp;T87,'[1]1_inventory_total_details'!$I$8:$I$10000,"="&amp;adj_date)+SUMIFS('[1]1_inventory_total_details'!$K$8:$K$10000,'[1]1_inventory_total_details'!$C$8:$C$10000,I87,'[1]1_inventory_total_details'!$F$8:$F$10000,MID(N87,1,3)*1,'[1]1_inventory_total_details'!$G$8:$G$10000,"="&amp;S87,'[1]1_inventory_total_details'!$H$8:$H$10000,"="&amp;T87,'[1]1_inventory_total_details'!$I$8:$I$10000,"="&amp;adj_date)+SUMIFS('[1]1_inventory_total_details'!$L$8:$L$10000,'[1]1_inventory_total_details'!$C$8:$C$10000,I87,'[1]1_inventory_total_details'!$F$8:$F$10000,MID(N87,1,3)*1,'[1]1_inventory_total_details'!$G$8:$G$10000,"="&amp;S87,'[1]1_inventory_total_details'!$H$8:$H$10000,"="&amp;T87,'[1]1_inventory_total_details'!$I$8:$I$10000,"="&amp;adj_date),SUMIFS('[1]2_inventory_total_details'!$J$8:$J$10000,'[1]2_inventory_total_details'!$C$8:$C$10000,I87,'[1]2_inventory_total_details'!$F$8:$F$10000,MID(N87,1,3)*1,'[1]2_inventory_total_details'!$G$8:$G$10000,"="&amp;S87,'[1]2_inventory_total_details'!$H$8:$H$10000,"="&amp;T87,'[1]2_inventory_total_details'!$I$8:$I$10000,"="&amp;adj_date)+SUMIFS('[1]2_inventory_total_details'!$M$8:$M$10000,'[1]1_inventory_total_details'!$C$8:$C$10000,I87,'[1]2_inventory_total_details'!$F$8:$F$10000,MID(N87,1,3)*1,'[1]2_inventory_total_details'!$G$8:$G$10000,"="&amp;S87,'[1]2_inventory_total_details'!$H$8:$H$10000,"="&amp;T87,'[1]2_inventory_total_details'!$I$8:$I$10000,"="&amp;adj_date)+SUMIFS('[1]2_inventory_total_details'!$K$8:$K$10000,'[1]2_inventory_total_details'!$C$8:$C$10000,I87,'[1]2_inventory_total_details'!$F$8:$F$10000,MID(N87,1,3)*1,'[1]2_inventory_total_details'!$G$8:$G$10000,"="&amp;S87,'[1]2_inventory_total_details'!$H$8:$H$10000,"="&amp;T87,'[1]2_inventory_total_details'!$I$8:$I$10000,"="&amp;adj_date)+SUMIFS('[1]2_inventory_total_details'!$L$8:$L$10000,'[1]2_inventory_total_details'!$C$8:$C$10000,I87,'[1]2_inventory_total_details'!$F$8:$F$10000,MID(N87,1,3)*1,'[1]2_inventory_total_details'!$G$8:$G$10000,"="&amp;S87,'[1]2_inventory_total_details'!$H$8:$H$10000,"="&amp;T87,'[1]2_inventory_total_details'!$I$8:$I$10000,"="&amp;adj_date)))</f>
        <v/>
      </c>
      <c r="AB87" s="270" t="str">
        <f>IF(L87="","",IF(MID(N87,1,3)*1=1,SUMIFS('[1]1_inventory_total_details'!$J$8:$J$10000,'[1]1_inventory_total_details'!$C$8:$C$10000,I87,'[1]1_inventory_total_details'!$F$8:$F$10000,MID(N87,1,3)*1,'[1]1_inventory_total_details'!$G$8:$G$10000,"="&amp;S87,'[1]1_inventory_total_details'!$H$8:$H$10000,"="&amp;T87,'[1]1_inventory_total_details'!$I$8:$I$10000,"="&amp;adj_date)+SUMIFS('[1]1_inventory_total_details'!$M$8:$M$10000,'[1]1_inventory_total_details'!$C$8:$C$10000,I87,'[1]1_inventory_total_details'!$F$8:$F$10000,MID(N87,1,3)*1,'[1]1_inventory_total_details'!$G$8:$G$10000,"="&amp;S87,'[1]1_inventory_total_details'!$H$8:$H$10000,"="&amp;T87,'[1]1_inventory_total_details'!$I$8:$I$10000,"="&amp;adj_date)+SUMIFS('[1]1_inventory_total_details'!$K$8:$K$10000,'[1]1_inventory_total_details'!$C$8:$C$10000,I87,'[1]1_inventory_total_details'!$F$8:$F$10000,MID(N87,1,3)*1,'[1]1_inventory_total_details'!$G$8:$G$10000,"="&amp;S87,'[1]1_inventory_total_details'!$H$8:$H$10000,"="&amp;T87,'[1]1_inventory_total_details'!$I$8:$I$10000,"="&amp;adj_date)+SUMIFS('[1]1_inventory_total_details'!$L$8:$L$10000,'[1]1_inventory_total_details'!$C$8:$C$10000,I87,'[1]1_inventory_total_details'!$F$8:$F$10000,MID(N87,1,3)*1,'[1]1_inventory_total_details'!$G$8:$G$10000,"="&amp;S87,'[1]1_inventory_total_details'!$H$8:$H$10000,"="&amp;T87,'[1]1_inventory_total_details'!$I$8:$I$10000,"="&amp;adj_date),SUMIFS('[1]2_inventory_total_details'!$J$8:$J$10000,'[1]2_inventory_total_details'!$C$8:$C$10000,I87,'[1]2_inventory_total_details'!$F$8:$F$10000,MID(N87,1,3)*1,'[1]2_inventory_total_details'!$G$8:$G$10000,"="&amp;S87,'[1]2_inventory_total_details'!$H$8:$H$10000,"="&amp;T87,'[1]2_inventory_total_details'!$I$8:$I$10000,"="&amp;adj_date)+SUMIFS('[1]2_inventory_total_details'!$M$8:$M$10000,'[1]1_inventory_total_details'!$C$8:$C$10000,I87,'[1]2_inventory_total_details'!$F$8:$F$10000,MID(N87,1,3)*1,'[1]2_inventory_total_details'!$G$8:$G$10000,"="&amp;S87,'[1]2_inventory_total_details'!$H$8:$H$10000,"="&amp;T87,'[1]2_inventory_total_details'!$I$8:$I$10000,"="&amp;adj_date)+SUMIFS('[1]2_inventory_total_details'!$K$8:$K$10000,'[1]2_inventory_total_details'!$C$8:$C$10000,I87,'[1]2_inventory_total_details'!$F$8:$F$10000,MID(N87,1,3)*1,'[1]2_inventory_total_details'!$G$8:$G$10000,"="&amp;S87,'[1]2_inventory_total_details'!$H$8:$H$10000,"="&amp;T87,'[1]2_inventory_total_details'!$I$8:$I$10000,"="&amp;adj_date)+SUMIFS('[1]2_inventory_total_details'!$L$8:$L$10000,'[1]2_inventory_total_details'!$C$8:$C$10000,I87,'[1]2_inventory_total_details'!$F$8:$F$10000,MID(N87,1,3)*1,'[1]2_inventory_total_details'!$G$8:$G$10000,"="&amp;S87,'[1]2_inventory_total_details'!$H$8:$H$10000,"="&amp;T87,'[1]2_inventory_total_details'!$I$8:$I$10000,"="&amp;adj_date)))</f>
        <v/>
      </c>
      <c r="AC87" s="270" t="str">
        <f>IF(L87="","",IF(MID(N87,1,3)*1=1,SUMIFS('[1]1_inventory_total_details'!$J$8:$J$10000,'[1]1_inventory_total_details'!$C$8:$C$10000,I87,'[1]1_inventory_total_details'!$F$8:$F$10000,MID(N87,1,3)*1,'[1]1_inventory_total_details'!$G$8:$G$10000,"="&amp;S87,'[1]1_inventory_total_details'!$H$8:$H$10000,"="&amp;T87,'[1]1_inventory_total_details'!$I$8:$I$10000,"="&amp;adj_date)+SUMIFS('[1]1_inventory_total_details'!$M$8:$M$10000,'[1]1_inventory_total_details'!$C$8:$C$10000,I87,'[1]1_inventory_total_details'!$F$8:$F$10000,MID(N87,1,3)*1,'[1]1_inventory_total_details'!$G$8:$G$10000,"="&amp;S87,'[1]1_inventory_total_details'!$H$8:$H$10000,"="&amp;T87,'[1]1_inventory_total_details'!$I$8:$I$10000,"="&amp;adj_date)+SUMIFS('[1]1_inventory_total_details'!$K$8:$K$10000,'[1]1_inventory_total_details'!$C$8:$C$10000,I87,'[1]1_inventory_total_details'!$F$8:$F$10000,MID(N87,1,3)*1,'[1]1_inventory_total_details'!$G$8:$G$10000,"="&amp;S87,'[1]1_inventory_total_details'!$H$8:$H$10000,"="&amp;T87,'[1]1_inventory_total_details'!$I$8:$I$10000,"="&amp;adj_date)+SUMIFS('[1]1_inventory_total_details'!$L$8:$L$10000,'[1]1_inventory_total_details'!$C$8:$C$10000,I87,'[1]1_inventory_total_details'!$F$8:$F$10000,MID(N87,1,3)*1,'[1]1_inventory_total_details'!$G$8:$G$10000,"="&amp;S87,'[1]1_inventory_total_details'!$H$8:$H$10000,"="&amp;T87,'[1]1_inventory_total_details'!$I$8:$I$10000,"="&amp;adj_date),SUMIFS('[1]2_inventory_total_details'!$J$8:$J$10000,'[1]2_inventory_total_details'!$C$8:$C$10000,I87,'[1]2_inventory_total_details'!$F$8:$F$10000,MID(N87,1,3)*1,'[1]2_inventory_total_details'!$G$8:$G$10000,"="&amp;S87,'[1]2_inventory_total_details'!$H$8:$H$10000,"="&amp;T87,'[1]2_inventory_total_details'!$I$8:$I$10000,"="&amp;adj_date)+SUMIFS('[1]2_inventory_total_details'!$M$8:$M$10000,'[1]1_inventory_total_details'!$C$8:$C$10000,I87,'[1]2_inventory_total_details'!$F$8:$F$10000,MID(N87,1,3)*1,'[1]2_inventory_total_details'!$G$8:$G$10000,"="&amp;S87,'[1]2_inventory_total_details'!$H$8:$H$10000,"="&amp;T87,'[1]2_inventory_total_details'!$I$8:$I$10000,"="&amp;adj_date)+SUMIFS('[1]2_inventory_total_details'!$K$8:$K$10000,'[1]2_inventory_total_details'!$C$8:$C$10000,I87,'[1]2_inventory_total_details'!$F$8:$F$10000,MID(N87,1,3)*1,'[1]2_inventory_total_details'!$G$8:$G$10000,"="&amp;S87,'[1]2_inventory_total_details'!$H$8:$H$10000,"="&amp;T87,'[1]2_inventory_total_details'!$I$8:$I$10000,"="&amp;adj_date)+SUMIFS('[1]2_inventory_total_details'!$L$8:$L$10000,'[1]2_inventory_total_details'!$C$8:$C$10000,I87,'[1]2_inventory_total_details'!$F$8:$F$10000,MID(N87,1,3)*1,'[1]2_inventory_total_details'!$G$8:$G$10000,"="&amp;S87,'[1]2_inventory_total_details'!$H$8:$H$10000,"="&amp;T87,'[1]2_inventory_total_details'!$I$8:$I$10000,"="&amp;adj_date)))</f>
        <v/>
      </c>
      <c r="AD87" s="270" t="str">
        <f>IF(L87="","",SUMIFS('[1]1_group_totals'!$J$8:$J$10000,'[1]1_group_totals'!$C$8:$C$10000,I87,'[1]1_group_totals'!$F$8:$F$10000,adj_location_group_id,'[1]1_group_totals'!$G$8:$G$10000,MID(N87,1,3)*1,'[1]1_group_totals'!$H$8:$H$10000,"="&amp;S87,'[1]1_group_totals'!$I$8:$I$10000,"="&amp;T87))</f>
        <v/>
      </c>
      <c r="AE87" s="1796" t="str">
        <f t="shared" si="25"/>
        <v/>
      </c>
      <c r="AF87" s="1797" t="str">
        <f>IF(ISNA(MATCH(MID(AE87,1,3)*1,UomConversion!$D$8:$D$500,0)),"",IF(AJ87&lt;&gt;"",AJ87,""))</f>
        <v/>
      </c>
      <c r="AG87" s="1797" t="str">
        <f>IF(AND(AH87&gt;0,COUNTIFS(UomConversion!$D$8:$D$500,MID(AE87,1,3)*1,UomConversion!$J$8:$J$500,1)&gt;1),TEXT(AH87,"000")&amp;"."&amp;VLOOKUP(AH87,uom_list,5,FALSE),"")</f>
        <v/>
      </c>
      <c r="AH87" s="270" t="str">
        <f t="shared" si="26"/>
        <v/>
      </c>
      <c r="AI87" s="270" t="str">
        <f t="shared" si="27"/>
        <v/>
      </c>
      <c r="AJ87" s="270" t="str">
        <f t="shared" si="28"/>
        <v/>
      </c>
      <c r="AK87" s="270" t="str" cm="1">
        <f t="array" ref="AK87">IF(L87="","",Slookup(MID(AE87,1,3)*1,UomConversion!$D$8:$J$500,2,UomConversion!$I$8:$I$500,1,UomConversion!$J$8:$J$500,1))</f>
        <v/>
      </c>
      <c r="AL87" s="270" t="str">
        <f t="shared" si="29"/>
        <v/>
      </c>
      <c r="AM87" s="270" t="str">
        <f>IF(L87="","",(SUMIFS('[1]1_group_totals'!$K$8:$K$10000,'[1]1_group_totals'!$C$8:$C$10000,I87,'[1]1_group_totals'!$F$8:$F$10000,adj_location_group_id,'[1]1_group_totals'!$G$8:$G$10000,MID(N87,1,3)*1,'[1]1_group_totals'!$H$8:$H$10000,"="&amp;S87,'[1]1_group_totals'!$I$8:$I$10000,"="&amp;T87)+SUMIFS('[1]1_group_totals'!$N$8:$N$10000,'[1]1_group_totals'!$C$8:$C$10000,I87,'[1]1_group_totals'!$F$8:$F$10000,adj_location_group_id,'[1]1_group_totals'!$G$8:$G$10000,MID(N87,1,3)*1,'[1]1_group_totals'!$H$8:$H$10000,"="&amp;S87,'[1]1_group_totals'!$I$8:$I$10000,"="&amp;T87)+SUMIFS('[1]1_group_totals'!$P$8:$P$10000,'[1]1_group_totals'!$C$8:$C$10000,I87,'[1]1_group_totals'!$F$8:$F$10000,adj_location_group_id,'[1]1_group_totals'!$G$8:$G$10000,MID(N87,1,3)*1,'[1]1_group_totals'!$H$8:$H$10000,"="&amp;S87,'[1]1_group_totals'!$I$8:$I$10000,"="&amp;T87)+SUMIFS('[1]1_group_totals'!$Q$8:$Q$10000,'[1]1_group_totals'!$C$8:$C$10000,I87,'[1]1_group_totals'!$F$8:$F$10000,adj_location_group_id,'[1]1_group_totals'!$G$8:$G$10000,MID(N87,1,3)*1,'[1]1_group_totals'!$H$8:$H$10000,"="&amp;S87,'[1]1_group_totals'!$I$8:$I$10000,"="&amp;T87))+(SUMIFS('[1]1_group_totals'!$L$8:$L$10000,'[1]1_group_totals'!$C$8:$C$10000,I87,'[1]1_group_totals'!$F$8:$F$10000,adj_location_group_id,'[1]1_group_totals'!$G$8:$G$10000,MID(N87,1,3)*1,'[1]1_group_totals'!$H$8:$H$10000,"="&amp;S87,'[1]1_group_totals'!$I$8:$I$10000,"="&amp;T87)+SUMIFS('[1]1_group_totals'!$M$8:$M$10000,'[1]1_group_totals'!$C$8:$C$10000,I87,'[1]1_group_totals'!$F$8:$F$10000,adj_location_group_id,'[1]1_group_totals'!$G$8:$G$10000,MID(N87,1,3)*1,'[1]1_group_totals'!$H$8:$H$10000,"="&amp;S87,'[1]1_group_totals'!$I$8:$I$10000,"="&amp;T87)+SUMIFS('[1]1_group_totals'!$O$8:$O$10000,'[1]1_group_totals'!$C$8:$C$10000,I87,'[1]1_group_totals'!$F$8:$F$10000,adj_location_group_id,'[1]1_group_totals'!$G$8:$G$10000,MID(N87,1,3)*1,'[1]1_group_totals'!$H$8:$H$10000,"="&amp;S87,'[1]1_group_totals'!$I$8:$I$10000,"="&amp;T87)+SUMIFS('[1]1_group_totals'!$R$8:$R$10000,'[1]1_group_totals'!$C$8:$C$10000,I87,'[1]1_group_totals'!$F$8:$F$10000,adj_location_group_id,'[1]1_group_totals'!$G$8:$G$10000,MID(N87,1,3)*1,'[1]1_group_totals'!$H$8:$H$10000,"="&amp;S87,'[1]1_group_totals'!$I$8:$I$10000,"="&amp;T87)))</f>
        <v/>
      </c>
      <c r="AN87" s="270" t="str">
        <f>IF(L87="","",(SUMIFS('[1]1_inventory_totals'!$I$8:$I$10000,'[1]1_inventory_totals'!$C$8:$C$10000,I87,'[1]1_inventory_totals'!$F$8:$F$10000,"="&amp;S87,'[1]1_inventory_totals'!$G$8:$G$10000,"="&amp;T87)+SUMIFS('[1]1_inventory_totals'!$N$8:$N$10000,'[1]1_inventory_totals'!$C$8:$C$10000,I87,'[1]1_inventory_totals'!$F$8:$F$10000,"="&amp;S87,'[1]1_inventory_totals'!$G$8:$G$10000,"="&amp;T87)+SUMIFS('[1]1_inventory_totals'!$P$8:$P$10000,'[1]1_inventory_totals'!$C$8:$C$10000,I87,'[1]1_inventory_totals'!$F$8:$F$10000,"="&amp;S87,'[1]1_inventory_totals'!$G$8:$G$10000,"="&amp;T87)+SUMIFS('[1]1_inventory_totals'!$Q$8:$Q$10000,'[1]1_inventory_totals'!$C$8:$C$10000,I87,'[1]1_inventory_totals'!$F$8:$F$10000,"="&amp;S87,'[1]1_inventory_totals'!$G$8:$G$10000,"="&amp;T87)+SUMIFS('[1]1_inventory_totals'!$R$8:$R$10000,'[1]1_inventory_totals'!$C$8:$C$10000,I87,'[1]1_inventory_totals'!$F$8:$F$10000,"="&amp;S87,'[1]1_inventory_totals'!$G$8:$G$10000,"="&amp;T87))+(SUMIFS('[1]1_inventory_totals'!$J$8:$J$10000,'[1]1_inventory_totals'!$C$8:$C$10000,I87,'[1]1_inventory_totals'!$F$8:$F$10000,"="&amp;S87,'[1]1_inventory_totals'!$G$8:$G$10000,"="&amp;T87)+SUMIFS('[1]1_inventory_totals'!$K$8:$K$10000,'[1]1_inventory_totals'!$C$8:$C$10000,I87,'[1]1_inventory_totals'!$F$8:$F$10000,"="&amp;S87,'[1]1_inventory_totals'!$G$8:$G$10000,"="&amp;T87)+SUMIFS('[1]1_inventory_totals'!$L$8:$L$10000,'[1]1_inventory_totals'!$C$8:$C$10000,I87,'[1]1_inventory_totals'!$F$8:$F$10000,"="&amp;S87,'[1]1_inventory_totals'!$G$8:$G$10000,"="&amp;T87)+SUMIFS('[1]1_inventory_totals'!$M$8:$M$10000,'[1]1_inventory_totals'!$C$8:$C$10000,I87,'[1]1_inventory_totals'!$F$8:$F$10000,"="&amp;S87,'[1]1_inventory_totals'!$G$8:$G$10000,"="&amp;T87)+SUMIFS('[1]1_inventory_totals'!$O$8:$O$10000,'[1]1_inventory_totals'!$C$8:$C$10000,I87,'[1]1_inventory_totals'!$F$8:$F$10000,"="&amp;S87,'[1]1_inventory_totals'!$G$8:$G$10000,"="&amp;T87)+SUMIFS('[1]1_inventory_totals'!$S$8:$S$10000,'[1]1_inventory_totals'!$C$8:$C$10000,I87,'[1]1_inventory_totals'!$F$8:$F$10000,"="&amp;S87,'[1]1_inventory_totals'!$G$8:$G$10000,"="&amp;T87)))</f>
        <v/>
      </c>
      <c r="AO87" s="270" t="str">
        <f>IF(L87="","",(SUMIFS('[1]2_inventory_totals'!$I$8:$I$10000,'[1]2_inventory_totals'!$C$8:$C$10000,I87,'[1]2_inventory_totals'!$F$8:$F$10000,"="&amp;S87,'[1]2_inventory_totals'!$G$8:$G$10000,"="&amp;T87)+SUMIFS('[1]2_inventory_totals'!$N$8:$N$10000,'[1]2_inventory_totals'!$C$8:$C$10000,I87,'[1]2_inventory_totals'!$F$8:$F$10000,"="&amp;S87,'[1]2_inventory_totals'!$G$8:$G$10000,"="&amp;T87)+SUMIFS('[1]2_inventory_totals'!$P$8:$P$10000,'[1]2_inventory_totals'!$C$8:$C$10000,I87,'[1]2_inventory_totals'!$F$8:$F$10000,"="&amp;S87,'[1]2_inventory_totals'!$G$8:$G$10000,"="&amp;T87)+SUMIFS('[1]2_inventory_totals'!$Q$8:$Q$10000,'[1]2_inventory_totals'!$C$8:$C$10000,I87,'[1]2_inventory_totals'!$F$8:$F$10000,"="&amp;S87,'[1]2_inventory_totals'!$G$8:$G$10000,"="&amp;T87)+SUMIFS('[1]2_inventory_totals'!$R$8:$R$10000,'[1]2_inventory_totals'!$C$8:$C$10000,I87,'[1]2_inventory_totals'!$F$8:$F$10000,"="&amp;S87,'[1]2_inventory_totals'!$G$8:$G$10000,"="&amp;T87))+(SUMIFS('[1]2_inventory_totals'!$J$8:$J$10000,'[1]2_inventory_totals'!$C$8:$C$10000,I87,'[1]2_inventory_totals'!$F$8:$F$10000,"="&amp;S87,'[1]2_inventory_totals'!$G$8:$G$10000,"="&amp;T87)+SUMIFS('[1]2_inventory_totals'!$K$8:$K$10000,'[1]2_inventory_totals'!$C$8:$C$10000,I87,'[1]2_inventory_totals'!$F$8:$F$10000,"="&amp;S87,'[1]2_inventory_totals'!$G$8:$G$10000,"="&amp;T87)+SUMIFS('[1]2_inventory_totals'!$L$8:$L$10000,'[1]2_inventory_totals'!$C$8:$C$10000,I87,'[1]2_inventory_totals'!$F$8:$F$10000,"="&amp;S87,'[1]2_inventory_totals'!$G$8:$G$10000,"="&amp;T87)+SUMIFS('[1]2_inventory_totals'!$M$8:$M$10000,'[1]2_inventory_totals'!$C$8:$C$10000,I87,'[1]2_inventory_totals'!$F$8:$F$10000,"="&amp;S87,'[1]2_inventory_totals'!$G$8:$G$10000,"="&amp;T87)+SUMIFS('[1]2_inventory_totals'!$O$8:$O$10000,'[1]2_inventory_totals'!$C$8:$C$10000,I87,'[1]2_inventory_totals'!$F$8:$F$10000,"="&amp;S87,'[1]2_inventory_totals'!$G$8:$G$10000,"="&amp;T87)+SUMIFS('[1]2_inventory_totals'!$S$8:$S$10000,'[1]2_inventory_totals'!$C$8:$C$10000,I87,'[1]2_inventory_totals'!$F$8:$F$10000,"="&amp;S87,'[1]2_inventory_totals'!$G$8:$G$10000,"="&amp;T87)))</f>
        <v/>
      </c>
      <c r="AP87" s="954"/>
    </row>
    <row r="88" spans="1:42" ht="27" customHeight="1">
      <c r="A88" s="923"/>
      <c r="B88" s="1200"/>
      <c r="C88" s="1201"/>
      <c r="D88" s="1201"/>
      <c r="E88" s="1201"/>
      <c r="F88" s="1202"/>
      <c r="G88" s="941"/>
      <c r="I88" s="987"/>
      <c r="J88" s="953"/>
      <c r="K88" s="953"/>
      <c r="L88" s="1203"/>
      <c r="M88" s="1204"/>
      <c r="N88" s="1204"/>
      <c r="O88" s="1535" t="s">
        <v>1828</v>
      </c>
      <c r="P88" s="1793">
        <f>SUM(P8:P87)</f>
        <v>0</v>
      </c>
      <c r="Q88" s="1204" t="s">
        <v>134</v>
      </c>
      <c r="R88" s="1204"/>
      <c r="S88" s="1204"/>
      <c r="T88" s="1204"/>
      <c r="U88" s="1115"/>
      <c r="X88" s="1205"/>
      <c r="Y88" s="1205"/>
      <c r="AP88" s="954"/>
    </row>
    <row r="89" spans="1:42" ht="27" customHeight="1">
      <c r="A89" s="923"/>
      <c r="B89" s="1178"/>
      <c r="C89" s="924"/>
      <c r="D89" s="924"/>
      <c r="E89" s="924"/>
      <c r="F89" s="1199"/>
      <c r="G89" s="941"/>
      <c r="L89" s="1206"/>
      <c r="M89" s="971"/>
      <c r="N89" s="971"/>
      <c r="O89" s="971"/>
      <c r="P89" s="971"/>
      <c r="Q89" s="971"/>
      <c r="R89" s="971"/>
      <c r="S89" s="971"/>
      <c r="T89" s="971"/>
      <c r="U89" s="971"/>
      <c r="AP89" s="954"/>
    </row>
    <row r="90" spans="1:42" ht="27" customHeight="1">
      <c r="B90" s="1178"/>
      <c r="C90" s="974"/>
      <c r="D90" s="974"/>
      <c r="E90" s="974"/>
      <c r="F90" s="1199"/>
      <c r="G90" s="941"/>
      <c r="J90" s="953"/>
      <c r="K90" s="953"/>
      <c r="L90" s="1207"/>
      <c r="AP90" s="954"/>
    </row>
    <row r="91" spans="1:42" ht="27" customHeight="1">
      <c r="B91" s="1208"/>
      <c r="C91" s="1209"/>
      <c r="D91" s="1210"/>
      <c r="E91" s="1211"/>
      <c r="F91" s="1212"/>
      <c r="K91" s="979"/>
      <c r="M91" s="980"/>
      <c r="N91" s="980"/>
      <c r="O91" s="954"/>
      <c r="P91" s="980"/>
      <c r="Q91" s="980"/>
      <c r="R91" s="980"/>
      <c r="S91" s="980"/>
      <c r="T91" s="980"/>
      <c r="U91" s="980"/>
    </row>
    <row r="92" spans="1:42" ht="24.95" customHeight="1">
      <c r="J92" s="983"/>
      <c r="K92" s="983"/>
      <c r="L92" s="983"/>
      <c r="M92" s="933"/>
      <c r="N92" s="933"/>
      <c r="O92" s="933"/>
      <c r="P92" s="933"/>
      <c r="Q92" s="933"/>
      <c r="R92" s="933"/>
      <c r="S92" s="933"/>
      <c r="T92" s="933"/>
      <c r="U92" s="933"/>
    </row>
    <row r="93" spans="1:42" ht="25.5" customHeight="1"/>
    <row r="101" spans="43:62" ht="30" customHeight="1"/>
    <row r="102" spans="43:62" ht="30" customHeight="1"/>
    <row r="103" spans="43:62" ht="30" customHeight="1"/>
    <row r="104" spans="43:62" ht="30" customHeight="1"/>
    <row r="110" spans="43:62" ht="24.95" customHeight="1">
      <c r="AQ110" s="981"/>
    </row>
    <row r="112" spans="43:62" ht="7.5" customHeight="1">
      <c r="AR112" s="1091"/>
      <c r="BJ112" s="1092"/>
    </row>
    <row r="113" spans="43:75" ht="24.95" customHeight="1">
      <c r="AQ113" s="1213" t="s">
        <v>1527</v>
      </c>
      <c r="BI113" s="1214"/>
    </row>
    <row r="114" spans="43:75" ht="24.95" customHeight="1">
      <c r="AQ114" s="1095" t="s">
        <v>193</v>
      </c>
      <c r="AR114" s="1096"/>
      <c r="AS114" s="1096" t="s">
        <v>1521</v>
      </c>
      <c r="AT114" s="1097" t="str">
        <f>VLOOKUP(1,company_list,2,FALSE)</f>
        <v>គោកស្នួល ខនស្រ្តាក់សិន មេធៀរៀល</v>
      </c>
      <c r="AU114" s="1098"/>
      <c r="AV114" s="1098"/>
      <c r="AW114" s="1098"/>
      <c r="BI114" s="1215"/>
      <c r="BK114" s="1100"/>
      <c r="BL114" s="1100"/>
      <c r="BM114" s="1100"/>
      <c r="BN114" s="1100"/>
      <c r="BO114" s="1101"/>
    </row>
    <row r="115" spans="43:75" ht="24.95" customHeight="1">
      <c r="AQ115" s="1102" t="s">
        <v>106</v>
      </c>
      <c r="AR115" s="1103"/>
      <c r="AS115" s="1103" t="s">
        <v>1521</v>
      </c>
      <c r="AT115" s="1104" t="e">
        <f>IF(C13="","",VLOOKUP(MID(C13,1,2),branch_list,4,FALSE))</f>
        <v>#N/A</v>
      </c>
      <c r="AU115" s="1105"/>
      <c r="AV115" s="1105"/>
      <c r="AW115" s="1105"/>
      <c r="BI115" s="1891"/>
      <c r="BJ115" s="1891"/>
      <c r="BK115" s="1891"/>
      <c r="BL115" s="1891"/>
      <c r="BM115" s="1891"/>
      <c r="BN115" s="1100"/>
      <c r="BO115" s="1101"/>
    </row>
    <row r="116" spans="43:75" ht="24.95" customHeight="1">
      <c r="AQ116" s="1102" t="s">
        <v>104</v>
      </c>
      <c r="AR116" s="1103"/>
      <c r="AS116" s="1103" t="s">
        <v>1521</v>
      </c>
      <c r="AT116" s="1104" t="e">
        <f>IF(C13="","",VLOOKUP(MID(C13,1,2),branch_list,11,FALSE))</f>
        <v>#N/A</v>
      </c>
      <c r="AU116" s="1105"/>
      <c r="AV116" s="1105"/>
      <c r="AW116" s="1105"/>
      <c r="AY116" s="1892" t="e">
        <f>IF(quote_service_type="","",MID(quote_service_type,5,100))</f>
        <v>#NAME?</v>
      </c>
      <c r="AZ116" s="1892"/>
      <c r="BA116" s="1892"/>
      <c r="BB116" s="1892"/>
      <c r="BC116" s="1892"/>
      <c r="BD116" s="1106"/>
      <c r="BE116" s="1879"/>
      <c r="BI116" s="1891"/>
      <c r="BJ116" s="1891"/>
      <c r="BK116" s="1891"/>
      <c r="BL116" s="1891"/>
      <c r="BM116" s="1891"/>
      <c r="BN116" s="1100"/>
      <c r="BO116" s="1101"/>
    </row>
    <row r="117" spans="43:75" ht="24.95" customHeight="1">
      <c r="AQ117" s="1213"/>
      <c r="AR117" s="1091"/>
      <c r="AY117" s="1892"/>
      <c r="AZ117" s="1892"/>
      <c r="BA117" s="1892"/>
      <c r="BB117" s="1892"/>
      <c r="BC117" s="1892"/>
      <c r="BD117" s="1106"/>
      <c r="BE117" s="1879"/>
      <c r="BI117" s="1216"/>
      <c r="BJ117" s="1092"/>
      <c r="BQ117" s="1881" t="e">
        <f>IF(quote_service_type="","",MID(quote_service_type,5,100))</f>
        <v>#NAME?</v>
      </c>
      <c r="BR117" s="1881"/>
      <c r="BS117" s="1881"/>
      <c r="BT117" s="1881"/>
      <c r="BU117" s="1881"/>
      <c r="BW117" s="1879"/>
    </row>
    <row r="118" spans="43:75" ht="24.95" customHeight="1">
      <c r="AV118" s="1108"/>
      <c r="AW118" s="1108"/>
      <c r="AY118" s="1892"/>
      <c r="AZ118" s="1892"/>
      <c r="BA118" s="1892"/>
      <c r="BB118" s="1892"/>
      <c r="BC118" s="1892"/>
      <c r="BD118" s="1106"/>
      <c r="BE118" s="1879"/>
      <c r="BN118" s="1108"/>
      <c r="BO118" s="1108"/>
      <c r="BQ118" s="1881"/>
      <c r="BR118" s="1881"/>
      <c r="BS118" s="1881"/>
      <c r="BT118" s="1881"/>
      <c r="BU118" s="1881"/>
      <c r="BW118" s="1879"/>
    </row>
    <row r="119" spans="43:75" ht="24.95" customHeight="1">
      <c r="AQ119" s="1880" t="s">
        <v>193</v>
      </c>
      <c r="AR119" s="1880"/>
      <c r="AS119" s="1110" t="s">
        <v>1521</v>
      </c>
      <c r="AT119" s="1111" t="e">
        <f>IF(#REF!="","",VLOOKUP(MID(#REF!,1,4),customer_list,4,FALSE))</f>
        <v>#REF!</v>
      </c>
      <c r="AU119" s="1108"/>
      <c r="AV119" s="1112"/>
      <c r="AW119" s="1112"/>
      <c r="BA119" s="1113"/>
      <c r="BB119" s="1114"/>
      <c r="BC119" s="1113"/>
      <c r="BD119" s="1114"/>
      <c r="BI119" s="1880" t="s">
        <v>193</v>
      </c>
      <c r="BJ119" s="1880"/>
      <c r="BK119" s="956" t="s">
        <v>1521</v>
      </c>
      <c r="BL119" s="1111" t="e">
        <f>IF(#REF!="","",VLOOKUP(MID(#REF!,1,4),customer_list,4,FALSE))</f>
        <v>#REF!</v>
      </c>
      <c r="BM119" s="1108"/>
      <c r="BN119" s="1112"/>
      <c r="BO119" s="1112"/>
      <c r="BW119" s="1879"/>
    </row>
    <row r="120" spans="43:75" ht="24.95" customHeight="1">
      <c r="AQ120" s="1880" t="s">
        <v>106</v>
      </c>
      <c r="AR120" s="1880"/>
      <c r="AS120" s="1110" t="s">
        <v>1521</v>
      </c>
      <c r="AT120" s="1115" t="e">
        <f>IF(#REF!="","",VLOOKUP(MID(#REF!,1,4),customer_list,8,FALSE))</f>
        <v>#REF!</v>
      </c>
      <c r="AU120" s="1112"/>
      <c r="AV120" s="1112"/>
      <c r="AW120" s="1112"/>
      <c r="BA120" s="1109"/>
      <c r="BB120" s="1109" t="s">
        <v>73</v>
      </c>
      <c r="BC120" s="956" t="s">
        <v>1521</v>
      </c>
      <c r="BD120" s="1116"/>
      <c r="BE120" s="1117">
        <f>IF(C9="","",C9)</f>
        <v>46204</v>
      </c>
      <c r="BF120" s="1117"/>
      <c r="BI120" s="1880" t="s">
        <v>106</v>
      </c>
      <c r="BJ120" s="1880"/>
      <c r="BK120" s="956" t="s">
        <v>1521</v>
      </c>
      <c r="BL120" s="1115" t="e">
        <f>IF(#REF!="","",VLOOKUP(MID(#REF!,1,4),customer_list,8,FALSE))</f>
        <v>#REF!</v>
      </c>
      <c r="BM120" s="1112"/>
      <c r="BN120" s="1112"/>
      <c r="BO120" s="1112"/>
      <c r="BS120" s="1109"/>
      <c r="BT120" s="1118"/>
      <c r="BU120" s="1119" t="s">
        <v>1540</v>
      </c>
      <c r="BV120" s="1116"/>
      <c r="BW120" s="1117">
        <f>IF(C9="","",C9)</f>
        <v>46204</v>
      </c>
    </row>
    <row r="121" spans="43:75" ht="24.95" customHeight="1">
      <c r="AQ121" s="1880" t="s">
        <v>104</v>
      </c>
      <c r="AR121" s="1880"/>
      <c r="AS121" s="1110" t="s">
        <v>1521</v>
      </c>
      <c r="AT121" s="1112" t="e">
        <f>IF(#REF!="","",VLOOKUP(MID(#REF!,1,4),customer_list,6,FALSE))</f>
        <v>#REF!</v>
      </c>
      <c r="AU121" s="1112"/>
      <c r="BA121" s="1109"/>
      <c r="BB121" s="1109" t="s">
        <v>159</v>
      </c>
      <c r="BC121" s="956" t="s">
        <v>1521</v>
      </c>
      <c r="BD121" s="1217"/>
      <c r="BE121" s="1217" t="e">
        <f>IF(E9="","",E9)</f>
        <v>#VALUE!</v>
      </c>
      <c r="BI121" s="1880" t="s">
        <v>104</v>
      </c>
      <c r="BJ121" s="1880"/>
      <c r="BK121" s="956" t="s">
        <v>1521</v>
      </c>
      <c r="BL121" s="1112" t="e">
        <f>IF(#REF!="","",VLOOKUP(MID(#REF!,1,4),customer_list,6,FALSE))</f>
        <v>#REF!</v>
      </c>
      <c r="BM121" s="1112"/>
      <c r="BS121" s="1109"/>
      <c r="BT121" s="1118"/>
      <c r="BU121" s="1118" t="s">
        <v>1541</v>
      </c>
      <c r="BV121" s="1217"/>
      <c r="BW121" s="1217" t="e">
        <f>IF(E9="","",E9)</f>
        <v>#VALUE!</v>
      </c>
    </row>
    <row r="122" spans="43:75" ht="12" customHeight="1"/>
    <row r="123" spans="43:75" ht="24.95" customHeight="1">
      <c r="AQ123" s="1218" t="s">
        <v>47</v>
      </c>
      <c r="AR123" s="1875" t="s">
        <v>159</v>
      </c>
      <c r="AS123" s="1876"/>
      <c r="AT123" s="1876"/>
      <c r="AU123" s="1875" t="s">
        <v>89</v>
      </c>
      <c r="AV123" s="1877"/>
      <c r="AW123" s="1220" t="s">
        <v>65</v>
      </c>
      <c r="AX123" s="1220" t="s">
        <v>65</v>
      </c>
      <c r="AY123" s="1220" t="s">
        <v>61</v>
      </c>
      <c r="AZ123" s="1875" t="s">
        <v>62</v>
      </c>
      <c r="BA123" s="1877"/>
      <c r="BB123" s="1875" t="s">
        <v>46</v>
      </c>
      <c r="BC123" s="1877"/>
      <c r="BD123" s="1875" t="s">
        <v>186</v>
      </c>
      <c r="BE123" s="1877"/>
      <c r="BF123" s="1221"/>
      <c r="BI123" s="1220" t="s">
        <v>47</v>
      </c>
      <c r="BJ123" s="1875" t="s">
        <v>159</v>
      </c>
      <c r="BK123" s="1876"/>
      <c r="BL123" s="1876"/>
      <c r="BM123" s="1875" t="s">
        <v>89</v>
      </c>
      <c r="BN123" s="1877"/>
      <c r="BO123" s="1220" t="s">
        <v>65</v>
      </c>
      <c r="BP123" s="1220" t="s">
        <v>65</v>
      </c>
      <c r="BQ123" s="1219" t="s">
        <v>61</v>
      </c>
      <c r="BR123" s="1875" t="s">
        <v>62</v>
      </c>
      <c r="BS123" s="1877"/>
      <c r="BT123" s="1875" t="s">
        <v>46</v>
      </c>
      <c r="BU123" s="1877"/>
      <c r="BV123" s="1875" t="s">
        <v>186</v>
      </c>
      <c r="BW123" s="1877"/>
    </row>
    <row r="124" spans="43:75" ht="24.95" customHeight="1">
      <c r="AQ124" s="1222" t="s">
        <v>9</v>
      </c>
      <c r="AR124" s="1873" t="s">
        <v>94</v>
      </c>
      <c r="AS124" s="1874"/>
      <c r="AT124" s="1874"/>
      <c r="AU124" s="1873" t="s">
        <v>229</v>
      </c>
      <c r="AV124" s="1878"/>
      <c r="AW124" s="1222" t="s">
        <v>67</v>
      </c>
      <c r="AX124" s="1222" t="s">
        <v>651</v>
      </c>
      <c r="AY124" s="1222" t="s">
        <v>14</v>
      </c>
      <c r="AZ124" s="1873" t="s">
        <v>68</v>
      </c>
      <c r="BA124" s="1878"/>
      <c r="BB124" s="1873" t="s">
        <v>83</v>
      </c>
      <c r="BC124" s="1878"/>
      <c r="BD124" s="1873" t="s">
        <v>1522</v>
      </c>
      <c r="BE124" s="1878"/>
      <c r="BF124" s="1224"/>
      <c r="BI124" s="1222" t="s">
        <v>9</v>
      </c>
      <c r="BJ124" s="1873" t="s">
        <v>94</v>
      </c>
      <c r="BK124" s="1874"/>
      <c r="BL124" s="1874"/>
      <c r="BM124" s="1873" t="s">
        <v>229</v>
      </c>
      <c r="BN124" s="1878"/>
      <c r="BO124" s="1222" t="s">
        <v>67</v>
      </c>
      <c r="BP124" s="1222" t="s">
        <v>651</v>
      </c>
      <c r="BQ124" s="1223" t="s">
        <v>14</v>
      </c>
      <c r="BR124" s="1873" t="s">
        <v>68</v>
      </c>
      <c r="BS124" s="1878"/>
      <c r="BT124" s="1873" t="s">
        <v>83</v>
      </c>
      <c r="BU124" s="1878"/>
      <c r="BV124" s="1873" t="s">
        <v>1522</v>
      </c>
      <c r="BW124" s="1878"/>
    </row>
    <row r="125" spans="43:75" ht="24.95" customHeight="1">
      <c r="AQ125" s="1126" t="str">
        <f>IF(L8="","",1)</f>
        <v/>
      </c>
      <c r="AR125" s="1127" t="str">
        <f t="shared" ref="AR125:AR156" si="30">IF(K8&lt;&gt;"",K8,"")</f>
        <v/>
      </c>
      <c r="AS125" s="1127"/>
      <c r="AT125" s="1128"/>
      <c r="AU125" s="1129" t="str">
        <f t="shared" ref="AU125:AU156" si="31">IF(L8&lt;&gt;"",MID(L8,7,200),"")</f>
        <v/>
      </c>
      <c r="AV125" s="1130"/>
      <c r="AW125" s="1131" t="e">
        <f>IF(#REF!&gt;0,#REF!,"")</f>
        <v>#REF!</v>
      </c>
      <c r="AX125" s="1131" t="e">
        <f>IF(#REF!&lt;&gt;"",#REF!,"")</f>
        <v>#REF!</v>
      </c>
      <c r="AY125" s="1132" t="str">
        <f t="shared" ref="AY125:AY156" si="32">IF(L8&lt;&gt;"",MID(M8,5,100),"")</f>
        <v/>
      </c>
      <c r="AZ125" s="1133" t="str">
        <f t="shared" ref="AZ125:AZ188" si="33">IF(AU125="","",quote_currency_symbol)</f>
        <v/>
      </c>
      <c r="BA125" s="1134" t="str">
        <f>IF(L8&lt;&gt;"",#REF!,"")</f>
        <v/>
      </c>
      <c r="BB125" s="1135" t="e">
        <f>IF(BC125=0,"",quote_currency_symbol)</f>
        <v>#NAME?</v>
      </c>
      <c r="BC125" s="1136" t="str">
        <f>IF(L8&lt;&gt;"",#REF!,"")</f>
        <v/>
      </c>
      <c r="BD125" s="1135" t="str">
        <f t="shared" ref="BD125:BD188" si="34">IF(AU125="","",quote_currency_symbol)</f>
        <v/>
      </c>
      <c r="BE125" s="1137" t="e">
        <f>IF(AND(AU125&lt;&gt;"",AW125&gt;0),(N(AW125))*BA125-BC125,"")</f>
        <v>#REF!</v>
      </c>
      <c r="BF125" s="1224"/>
      <c r="BI125" s="1127" t="str">
        <f>IF(L8="","",1)</f>
        <v/>
      </c>
      <c r="BJ125" s="1128" t="str">
        <f t="shared" ref="BJ125:BJ156" si="35">IF(L8&lt;&gt;"",K8,"")</f>
        <v/>
      </c>
      <c r="BK125" s="1128"/>
      <c r="BL125" s="1128"/>
      <c r="BM125" s="1129" t="str">
        <f t="shared" ref="BM125:BM156" si="36">IF(L8&lt;&gt;"",MID(L8,7,200),"")</f>
        <v/>
      </c>
      <c r="BN125" s="1130"/>
      <c r="BO125" s="1127" t="e">
        <f>IF(#REF!&gt;0,#REF!,"")</f>
        <v>#REF!</v>
      </c>
      <c r="BP125" s="1127" t="e">
        <f>IF(#REF!&lt;&gt;"",#REF!,"")</f>
        <v>#REF!</v>
      </c>
      <c r="BQ125" s="1132" t="str">
        <f t="shared" ref="BQ125:BQ156" si="37">IF(L8&lt;&gt;"",MID(M8,5,100),"")</f>
        <v/>
      </c>
      <c r="BR125" s="1133" t="str">
        <f t="shared" ref="BR125:BR188" si="38">IF(BM125="","",quote_currency_symbol)</f>
        <v/>
      </c>
      <c r="BS125" s="1138" t="str">
        <f>IF(L8&lt;&gt;"",#REF!,"")</f>
        <v/>
      </c>
      <c r="BT125" s="1139" t="str">
        <f t="shared" ref="BT125:BT188" si="39">IF(BM125="","",quote_currency_symbol)</f>
        <v/>
      </c>
      <c r="BU125" s="1139" t="str">
        <f>IF(L8&lt;&gt;"",#REF!,"")</f>
        <v/>
      </c>
      <c r="BV125" s="1140" t="str">
        <f t="shared" ref="BV125:BV188" si="40">IF(BM125="","",quote_currency_symbol)</f>
        <v/>
      </c>
      <c r="BW125" s="1139" t="e">
        <f>IF(AND(BM125&lt;&gt;"",BO125&gt;0),(N(BO125))*BS125-BU125,"")</f>
        <v>#REF!</v>
      </c>
    </row>
    <row r="126" spans="43:75" ht="24.95" customHeight="1">
      <c r="AQ126" s="1141" t="str">
        <f t="shared" ref="AQ126:AQ157" si="41">IF(L9="","",AQ125+1)</f>
        <v/>
      </c>
      <c r="AR126" s="1142" t="str">
        <f t="shared" si="30"/>
        <v/>
      </c>
      <c r="AS126" s="1142"/>
      <c r="AT126" s="1143"/>
      <c r="AU126" s="1129" t="str">
        <f t="shared" si="31"/>
        <v/>
      </c>
      <c r="AV126" s="1104"/>
      <c r="AW126" s="1103" t="e">
        <f>IF(#REF!&gt;0,#REF!,"")</f>
        <v>#REF!</v>
      </c>
      <c r="AX126" s="1103" t="e">
        <f>IF(#REF!&lt;&gt;"",#REF!,"")</f>
        <v>#REF!</v>
      </c>
      <c r="AY126" s="1132" t="str">
        <f t="shared" si="32"/>
        <v/>
      </c>
      <c r="AZ126" s="1144" t="str">
        <f t="shared" si="33"/>
        <v/>
      </c>
      <c r="BA126" s="1136" t="str">
        <f>IF(L9&lt;&gt;"",#REF!,"")</f>
        <v/>
      </c>
      <c r="BB126" s="1145" t="str">
        <f t="shared" ref="BB126:BB189" si="42">IF(AU126="","",quote_currency_symbol)</f>
        <v/>
      </c>
      <c r="BC126" s="1136" t="str">
        <f>IF(L9&lt;&gt;"",#REF!,"")</f>
        <v/>
      </c>
      <c r="BD126" s="1145" t="str">
        <f t="shared" si="34"/>
        <v/>
      </c>
      <c r="BE126" s="1137" t="e">
        <f t="shared" ref="BE126:BE189" si="43">IF(AND(AU126&lt;&gt;"",AW126&gt;0),(N(AW126))*BA126-BC126,"")</f>
        <v>#REF!</v>
      </c>
      <c r="BF126" s="1224"/>
      <c r="BI126" s="1142" t="str">
        <f t="shared" ref="BI126:BI157" si="44">IF(L9="","",BI125+1)</f>
        <v/>
      </c>
      <c r="BJ126" s="1143" t="str">
        <f t="shared" si="35"/>
        <v/>
      </c>
      <c r="BK126" s="1143"/>
      <c r="BL126" s="1143"/>
      <c r="BM126" s="1129" t="str">
        <f t="shared" si="36"/>
        <v/>
      </c>
      <c r="BN126" s="1104"/>
      <c r="BO126" s="1142" t="e">
        <f>IF(#REF!&gt;0,#REF!,"")</f>
        <v>#REF!</v>
      </c>
      <c r="BP126" s="1142" t="e">
        <f>IF(#REF!&lt;&gt;"",#REF!,"")</f>
        <v>#REF!</v>
      </c>
      <c r="BQ126" s="1132" t="str">
        <f t="shared" si="37"/>
        <v/>
      </c>
      <c r="BR126" s="1144" t="str">
        <f t="shared" si="38"/>
        <v/>
      </c>
      <c r="BS126" s="1146" t="str">
        <f>IF(L9&lt;&gt;"",#REF!,"")</f>
        <v/>
      </c>
      <c r="BT126" s="1147" t="str">
        <f t="shared" si="39"/>
        <v/>
      </c>
      <c r="BU126" s="1147" t="str">
        <f>IF(L9&lt;&gt;"",#REF!,"")</f>
        <v/>
      </c>
      <c r="BV126" s="1148" t="str">
        <f t="shared" si="40"/>
        <v/>
      </c>
      <c r="BW126" s="1139" t="e">
        <f t="shared" ref="BW126:BW189" si="45">IF(AND(BM126&lt;&gt;"",BO126&gt;0),(N(BO126))*BS126-BU126,"")</f>
        <v>#REF!</v>
      </c>
    </row>
    <row r="127" spans="43:75" ht="24.95" customHeight="1">
      <c r="AQ127" s="1141" t="str">
        <f t="shared" si="41"/>
        <v/>
      </c>
      <c r="AR127" s="1142" t="str">
        <f t="shared" si="30"/>
        <v/>
      </c>
      <c r="AS127" s="1142"/>
      <c r="AT127" s="1143"/>
      <c r="AU127" s="1129" t="str">
        <f t="shared" si="31"/>
        <v/>
      </c>
      <c r="AV127" s="1104"/>
      <c r="AW127" s="1103" t="e">
        <f>IF(#REF!&gt;0,#REF!,"")</f>
        <v>#REF!</v>
      </c>
      <c r="AX127" s="1103" t="e">
        <f>IF(#REF!&lt;&gt;"",#REF!,"")</f>
        <v>#REF!</v>
      </c>
      <c r="AY127" s="1132" t="str">
        <f t="shared" si="32"/>
        <v/>
      </c>
      <c r="AZ127" s="1144" t="str">
        <f t="shared" si="33"/>
        <v/>
      </c>
      <c r="BA127" s="1136" t="str">
        <f>IF(L10&lt;&gt;"",#REF!,"")</f>
        <v/>
      </c>
      <c r="BB127" s="1145" t="str">
        <f t="shared" si="42"/>
        <v/>
      </c>
      <c r="BC127" s="1136" t="str">
        <f>IF(L10&lt;&gt;"",#REF!,"")</f>
        <v/>
      </c>
      <c r="BD127" s="1145" t="str">
        <f t="shared" si="34"/>
        <v/>
      </c>
      <c r="BE127" s="1137" t="e">
        <f t="shared" si="43"/>
        <v>#REF!</v>
      </c>
      <c r="BF127" s="1224"/>
      <c r="BI127" s="1142" t="str">
        <f t="shared" si="44"/>
        <v/>
      </c>
      <c r="BJ127" s="1143" t="str">
        <f t="shared" si="35"/>
        <v/>
      </c>
      <c r="BK127" s="1143"/>
      <c r="BL127" s="1143"/>
      <c r="BM127" s="1129" t="str">
        <f t="shared" si="36"/>
        <v/>
      </c>
      <c r="BN127" s="1104"/>
      <c r="BO127" s="1142" t="e">
        <f>IF(#REF!&gt;0,#REF!,"")</f>
        <v>#REF!</v>
      </c>
      <c r="BP127" s="1142" t="e">
        <f>IF(#REF!&lt;&gt;"",#REF!,"")</f>
        <v>#REF!</v>
      </c>
      <c r="BQ127" s="1132" t="str">
        <f t="shared" si="37"/>
        <v/>
      </c>
      <c r="BR127" s="1144" t="str">
        <f t="shared" si="38"/>
        <v/>
      </c>
      <c r="BS127" s="1146" t="str">
        <f>IF(L10&lt;&gt;"",#REF!,"")</f>
        <v/>
      </c>
      <c r="BT127" s="1147" t="str">
        <f t="shared" si="39"/>
        <v/>
      </c>
      <c r="BU127" s="1147" t="str">
        <f>IF(L10&lt;&gt;"",#REF!,"")</f>
        <v/>
      </c>
      <c r="BV127" s="1148" t="str">
        <f t="shared" si="40"/>
        <v/>
      </c>
      <c r="BW127" s="1139" t="e">
        <f t="shared" si="45"/>
        <v>#REF!</v>
      </c>
    </row>
    <row r="128" spans="43:75" ht="24.95" customHeight="1">
      <c r="AQ128" s="1141" t="str">
        <f t="shared" si="41"/>
        <v/>
      </c>
      <c r="AR128" s="1142" t="str">
        <f t="shared" si="30"/>
        <v/>
      </c>
      <c r="AS128" s="1142"/>
      <c r="AT128" s="1143"/>
      <c r="AU128" s="1129" t="str">
        <f t="shared" si="31"/>
        <v/>
      </c>
      <c r="AV128" s="1104"/>
      <c r="AW128" s="1103" t="e">
        <f>IF(#REF!&gt;0,#REF!,"")</f>
        <v>#REF!</v>
      </c>
      <c r="AX128" s="1103" t="e">
        <f>IF(#REF!&lt;&gt;"",#REF!,"")</f>
        <v>#REF!</v>
      </c>
      <c r="AY128" s="1132" t="str">
        <f t="shared" si="32"/>
        <v/>
      </c>
      <c r="AZ128" s="1144" t="str">
        <f t="shared" si="33"/>
        <v/>
      </c>
      <c r="BA128" s="1136" t="str">
        <f>IF(L11&lt;&gt;"",#REF!,"")</f>
        <v/>
      </c>
      <c r="BB128" s="1145" t="str">
        <f t="shared" si="42"/>
        <v/>
      </c>
      <c r="BC128" s="1136" t="str">
        <f>IF(L11&lt;&gt;"",#REF!,"")</f>
        <v/>
      </c>
      <c r="BD128" s="1145" t="str">
        <f t="shared" si="34"/>
        <v/>
      </c>
      <c r="BE128" s="1137" t="e">
        <f t="shared" si="43"/>
        <v>#REF!</v>
      </c>
      <c r="BF128" s="1224"/>
      <c r="BI128" s="1142" t="str">
        <f t="shared" si="44"/>
        <v/>
      </c>
      <c r="BJ128" s="1143" t="str">
        <f t="shared" si="35"/>
        <v/>
      </c>
      <c r="BK128" s="1143"/>
      <c r="BL128" s="1143"/>
      <c r="BM128" s="1129" t="str">
        <f t="shared" si="36"/>
        <v/>
      </c>
      <c r="BN128" s="1104"/>
      <c r="BO128" s="1142" t="e">
        <f>IF(#REF!&gt;0,#REF!,"")</f>
        <v>#REF!</v>
      </c>
      <c r="BP128" s="1142" t="e">
        <f>IF(#REF!&lt;&gt;"",#REF!,"")</f>
        <v>#REF!</v>
      </c>
      <c r="BQ128" s="1132" t="str">
        <f t="shared" si="37"/>
        <v/>
      </c>
      <c r="BR128" s="1144" t="str">
        <f t="shared" si="38"/>
        <v/>
      </c>
      <c r="BS128" s="1146" t="str">
        <f>IF(L11&lt;&gt;"",#REF!,"")</f>
        <v/>
      </c>
      <c r="BT128" s="1147" t="str">
        <f t="shared" si="39"/>
        <v/>
      </c>
      <c r="BU128" s="1147" t="str">
        <f>IF(L11&lt;&gt;"",#REF!,"")</f>
        <v/>
      </c>
      <c r="BV128" s="1148" t="str">
        <f t="shared" si="40"/>
        <v/>
      </c>
      <c r="BW128" s="1139" t="e">
        <f t="shared" si="45"/>
        <v>#REF!</v>
      </c>
    </row>
    <row r="129" spans="43:75" ht="24.95" customHeight="1">
      <c r="AQ129" s="1141" t="str">
        <f t="shared" si="41"/>
        <v/>
      </c>
      <c r="AR129" s="1142" t="str">
        <f t="shared" si="30"/>
        <v/>
      </c>
      <c r="AS129" s="1142"/>
      <c r="AT129" s="1143"/>
      <c r="AU129" s="1129" t="str">
        <f t="shared" si="31"/>
        <v/>
      </c>
      <c r="AV129" s="1104"/>
      <c r="AW129" s="1103" t="e">
        <f>IF(#REF!&gt;0,#REF!,"")</f>
        <v>#REF!</v>
      </c>
      <c r="AX129" s="1103" t="e">
        <f>IF(#REF!&lt;&gt;"",#REF!,"")</f>
        <v>#REF!</v>
      </c>
      <c r="AY129" s="1132" t="str">
        <f t="shared" si="32"/>
        <v/>
      </c>
      <c r="AZ129" s="1144" t="str">
        <f t="shared" si="33"/>
        <v/>
      </c>
      <c r="BA129" s="1136" t="str">
        <f>IF(L12&lt;&gt;"",#REF!,"")</f>
        <v/>
      </c>
      <c r="BB129" s="1145" t="str">
        <f t="shared" si="42"/>
        <v/>
      </c>
      <c r="BC129" s="1136" t="str">
        <f>IF(L12&lt;&gt;"",#REF!,"")</f>
        <v/>
      </c>
      <c r="BD129" s="1145" t="str">
        <f t="shared" si="34"/>
        <v/>
      </c>
      <c r="BE129" s="1137" t="e">
        <f t="shared" si="43"/>
        <v>#REF!</v>
      </c>
      <c r="BF129" s="1224"/>
      <c r="BI129" s="1142" t="str">
        <f t="shared" si="44"/>
        <v/>
      </c>
      <c r="BJ129" s="1143" t="str">
        <f t="shared" si="35"/>
        <v/>
      </c>
      <c r="BK129" s="1143"/>
      <c r="BL129" s="1143"/>
      <c r="BM129" s="1129" t="str">
        <f t="shared" si="36"/>
        <v/>
      </c>
      <c r="BN129" s="1104"/>
      <c r="BO129" s="1142" t="e">
        <f>IF(#REF!&gt;0,#REF!,"")</f>
        <v>#REF!</v>
      </c>
      <c r="BP129" s="1142" t="e">
        <f>IF(#REF!&lt;&gt;"",#REF!,"")</f>
        <v>#REF!</v>
      </c>
      <c r="BQ129" s="1132" t="str">
        <f t="shared" si="37"/>
        <v/>
      </c>
      <c r="BR129" s="1144" t="str">
        <f t="shared" si="38"/>
        <v/>
      </c>
      <c r="BS129" s="1146" t="str">
        <f>IF(L12&lt;&gt;"",#REF!,"")</f>
        <v/>
      </c>
      <c r="BT129" s="1147" t="str">
        <f t="shared" si="39"/>
        <v/>
      </c>
      <c r="BU129" s="1147" t="str">
        <f>IF(L12&lt;&gt;"",#REF!,"")</f>
        <v/>
      </c>
      <c r="BV129" s="1148" t="str">
        <f t="shared" si="40"/>
        <v/>
      </c>
      <c r="BW129" s="1139" t="e">
        <f t="shared" si="45"/>
        <v>#REF!</v>
      </c>
    </row>
    <row r="130" spans="43:75" ht="24.95" customHeight="1">
      <c r="AQ130" s="1141" t="str">
        <f t="shared" si="41"/>
        <v/>
      </c>
      <c r="AR130" s="1142" t="str">
        <f t="shared" si="30"/>
        <v/>
      </c>
      <c r="AS130" s="1142"/>
      <c r="AT130" s="1143"/>
      <c r="AU130" s="1129" t="str">
        <f t="shared" si="31"/>
        <v/>
      </c>
      <c r="AV130" s="1104"/>
      <c r="AW130" s="1103" t="e">
        <f>IF(#REF!&gt;0,#REF!,"")</f>
        <v>#REF!</v>
      </c>
      <c r="AX130" s="1103" t="e">
        <f>IF(#REF!&lt;&gt;"",#REF!,"")</f>
        <v>#REF!</v>
      </c>
      <c r="AY130" s="1132" t="str">
        <f t="shared" si="32"/>
        <v/>
      </c>
      <c r="AZ130" s="1144" t="str">
        <f t="shared" si="33"/>
        <v/>
      </c>
      <c r="BA130" s="1136" t="str">
        <f>IF(L13&lt;&gt;"",#REF!,"")</f>
        <v/>
      </c>
      <c r="BB130" s="1145" t="str">
        <f t="shared" si="42"/>
        <v/>
      </c>
      <c r="BC130" s="1136" t="str">
        <f>IF(L13&lt;&gt;"",#REF!,"")</f>
        <v/>
      </c>
      <c r="BD130" s="1145" t="str">
        <f t="shared" si="34"/>
        <v/>
      </c>
      <c r="BE130" s="1137" t="e">
        <f t="shared" si="43"/>
        <v>#REF!</v>
      </c>
      <c r="BF130" s="1224"/>
      <c r="BI130" s="1142" t="str">
        <f t="shared" si="44"/>
        <v/>
      </c>
      <c r="BJ130" s="1143" t="str">
        <f t="shared" si="35"/>
        <v/>
      </c>
      <c r="BK130" s="1143"/>
      <c r="BL130" s="1143"/>
      <c r="BM130" s="1129" t="str">
        <f t="shared" si="36"/>
        <v/>
      </c>
      <c r="BN130" s="1104"/>
      <c r="BO130" s="1142" t="e">
        <f>IF(#REF!&gt;0,#REF!,"")</f>
        <v>#REF!</v>
      </c>
      <c r="BP130" s="1142" t="e">
        <f>IF(#REF!&lt;&gt;"",#REF!,"")</f>
        <v>#REF!</v>
      </c>
      <c r="BQ130" s="1132" t="str">
        <f t="shared" si="37"/>
        <v/>
      </c>
      <c r="BR130" s="1144" t="str">
        <f t="shared" si="38"/>
        <v/>
      </c>
      <c r="BS130" s="1146" t="str">
        <f>IF(L13&lt;&gt;"",#REF!,"")</f>
        <v/>
      </c>
      <c r="BT130" s="1147" t="str">
        <f t="shared" si="39"/>
        <v/>
      </c>
      <c r="BU130" s="1147" t="str">
        <f>IF(L13&lt;&gt;"",#REF!,"")</f>
        <v/>
      </c>
      <c r="BV130" s="1148" t="str">
        <f t="shared" si="40"/>
        <v/>
      </c>
      <c r="BW130" s="1139" t="e">
        <f t="shared" si="45"/>
        <v>#REF!</v>
      </c>
    </row>
    <row r="131" spans="43:75" ht="24.95" customHeight="1">
      <c r="AQ131" s="1141" t="str">
        <f t="shared" si="41"/>
        <v/>
      </c>
      <c r="AR131" s="1142" t="str">
        <f t="shared" si="30"/>
        <v/>
      </c>
      <c r="AS131" s="1142"/>
      <c r="AT131" s="1143"/>
      <c r="AU131" s="1129" t="str">
        <f t="shared" si="31"/>
        <v/>
      </c>
      <c r="AV131" s="1104"/>
      <c r="AW131" s="1103" t="e">
        <f>IF(#REF!&gt;0,#REF!,"")</f>
        <v>#REF!</v>
      </c>
      <c r="AX131" s="1103" t="e">
        <f>IF(#REF!&lt;&gt;"",#REF!,"")</f>
        <v>#REF!</v>
      </c>
      <c r="AY131" s="1132" t="str">
        <f t="shared" si="32"/>
        <v/>
      </c>
      <c r="AZ131" s="1144" t="str">
        <f t="shared" si="33"/>
        <v/>
      </c>
      <c r="BA131" s="1136" t="str">
        <f>IF(L14&lt;&gt;"",#REF!,"")</f>
        <v/>
      </c>
      <c r="BB131" s="1145" t="str">
        <f t="shared" si="42"/>
        <v/>
      </c>
      <c r="BC131" s="1136" t="str">
        <f>IF(L14&lt;&gt;"",#REF!,"")</f>
        <v/>
      </c>
      <c r="BD131" s="1145" t="str">
        <f t="shared" si="34"/>
        <v/>
      </c>
      <c r="BE131" s="1137" t="e">
        <f t="shared" si="43"/>
        <v>#REF!</v>
      </c>
      <c r="BF131" s="1224"/>
      <c r="BI131" s="1142" t="str">
        <f t="shared" si="44"/>
        <v/>
      </c>
      <c r="BJ131" s="1143" t="str">
        <f t="shared" si="35"/>
        <v/>
      </c>
      <c r="BK131" s="1143"/>
      <c r="BL131" s="1143"/>
      <c r="BM131" s="1129" t="str">
        <f t="shared" si="36"/>
        <v/>
      </c>
      <c r="BN131" s="1104"/>
      <c r="BO131" s="1142" t="e">
        <f>IF(#REF!&gt;0,#REF!,"")</f>
        <v>#REF!</v>
      </c>
      <c r="BP131" s="1142" t="e">
        <f>IF(#REF!&lt;&gt;"",#REF!,"")</f>
        <v>#REF!</v>
      </c>
      <c r="BQ131" s="1132" t="str">
        <f t="shared" si="37"/>
        <v/>
      </c>
      <c r="BR131" s="1144" t="str">
        <f t="shared" si="38"/>
        <v/>
      </c>
      <c r="BS131" s="1146" t="str">
        <f>IF(L14&lt;&gt;"",#REF!,"")</f>
        <v/>
      </c>
      <c r="BT131" s="1147" t="str">
        <f t="shared" si="39"/>
        <v/>
      </c>
      <c r="BU131" s="1147" t="str">
        <f>IF(L14&lt;&gt;"",#REF!,"")</f>
        <v/>
      </c>
      <c r="BV131" s="1148" t="str">
        <f t="shared" si="40"/>
        <v/>
      </c>
      <c r="BW131" s="1139" t="e">
        <f t="shared" si="45"/>
        <v>#REF!</v>
      </c>
    </row>
    <row r="132" spans="43:75" ht="24.95" customHeight="1">
      <c r="AQ132" s="1141" t="str">
        <f t="shared" si="41"/>
        <v/>
      </c>
      <c r="AR132" s="1142" t="str">
        <f t="shared" si="30"/>
        <v/>
      </c>
      <c r="AS132" s="1142"/>
      <c r="AT132" s="1143"/>
      <c r="AU132" s="1129" t="str">
        <f t="shared" si="31"/>
        <v/>
      </c>
      <c r="AV132" s="1104"/>
      <c r="AW132" s="1103" t="e">
        <f>IF(#REF!&gt;0,#REF!,"")</f>
        <v>#REF!</v>
      </c>
      <c r="AX132" s="1103" t="e">
        <f>IF(#REF!&lt;&gt;"",#REF!,"")</f>
        <v>#REF!</v>
      </c>
      <c r="AY132" s="1132" t="str">
        <f t="shared" si="32"/>
        <v/>
      </c>
      <c r="AZ132" s="1144" t="str">
        <f t="shared" si="33"/>
        <v/>
      </c>
      <c r="BA132" s="1136" t="str">
        <f>IF(L15&lt;&gt;"",#REF!,"")</f>
        <v/>
      </c>
      <c r="BB132" s="1145" t="str">
        <f t="shared" si="42"/>
        <v/>
      </c>
      <c r="BC132" s="1136" t="str">
        <f>IF(L15&lt;&gt;"",#REF!,"")</f>
        <v/>
      </c>
      <c r="BD132" s="1145" t="str">
        <f t="shared" si="34"/>
        <v/>
      </c>
      <c r="BE132" s="1137" t="e">
        <f t="shared" si="43"/>
        <v>#REF!</v>
      </c>
      <c r="BF132" s="1224"/>
      <c r="BI132" s="1142" t="str">
        <f t="shared" si="44"/>
        <v/>
      </c>
      <c r="BJ132" s="1143" t="str">
        <f t="shared" si="35"/>
        <v/>
      </c>
      <c r="BK132" s="1143"/>
      <c r="BL132" s="1143"/>
      <c r="BM132" s="1129" t="str">
        <f t="shared" si="36"/>
        <v/>
      </c>
      <c r="BN132" s="1104"/>
      <c r="BO132" s="1142" t="e">
        <f>IF(#REF!&gt;0,#REF!,"")</f>
        <v>#REF!</v>
      </c>
      <c r="BP132" s="1142" t="e">
        <f>IF(#REF!&lt;&gt;"",#REF!,"")</f>
        <v>#REF!</v>
      </c>
      <c r="BQ132" s="1132" t="str">
        <f t="shared" si="37"/>
        <v/>
      </c>
      <c r="BR132" s="1144" t="str">
        <f t="shared" si="38"/>
        <v/>
      </c>
      <c r="BS132" s="1146" t="str">
        <f>IF(L15&lt;&gt;"",#REF!,"")</f>
        <v/>
      </c>
      <c r="BT132" s="1147" t="str">
        <f t="shared" si="39"/>
        <v/>
      </c>
      <c r="BU132" s="1147" t="str">
        <f>IF(L15&lt;&gt;"",#REF!,"")</f>
        <v/>
      </c>
      <c r="BV132" s="1148" t="str">
        <f t="shared" si="40"/>
        <v/>
      </c>
      <c r="BW132" s="1139" t="e">
        <f t="shared" si="45"/>
        <v>#REF!</v>
      </c>
    </row>
    <row r="133" spans="43:75" ht="24.95" customHeight="1">
      <c r="AQ133" s="1141" t="str">
        <f t="shared" si="41"/>
        <v/>
      </c>
      <c r="AR133" s="1142" t="str">
        <f t="shared" si="30"/>
        <v/>
      </c>
      <c r="AS133" s="1142"/>
      <c r="AT133" s="1143"/>
      <c r="AU133" s="1129" t="str">
        <f t="shared" si="31"/>
        <v/>
      </c>
      <c r="AV133" s="1104"/>
      <c r="AW133" s="1103" t="e">
        <f>IF(#REF!&gt;0,#REF!,"")</f>
        <v>#REF!</v>
      </c>
      <c r="AX133" s="1103" t="e">
        <f>IF(#REF!&lt;&gt;"",#REF!,"")</f>
        <v>#REF!</v>
      </c>
      <c r="AY133" s="1132" t="str">
        <f t="shared" si="32"/>
        <v/>
      </c>
      <c r="AZ133" s="1144" t="str">
        <f t="shared" si="33"/>
        <v/>
      </c>
      <c r="BA133" s="1136" t="str">
        <f>IF(L16&lt;&gt;"",#REF!,"")</f>
        <v/>
      </c>
      <c r="BB133" s="1145" t="str">
        <f t="shared" si="42"/>
        <v/>
      </c>
      <c r="BC133" s="1136" t="str">
        <f>IF(L16&lt;&gt;"",#REF!,"")</f>
        <v/>
      </c>
      <c r="BD133" s="1145" t="str">
        <f t="shared" si="34"/>
        <v/>
      </c>
      <c r="BE133" s="1137" t="e">
        <f t="shared" si="43"/>
        <v>#REF!</v>
      </c>
      <c r="BF133" s="1224"/>
      <c r="BI133" s="1142" t="str">
        <f t="shared" si="44"/>
        <v/>
      </c>
      <c r="BJ133" s="1143" t="str">
        <f t="shared" si="35"/>
        <v/>
      </c>
      <c r="BK133" s="1143"/>
      <c r="BL133" s="1143"/>
      <c r="BM133" s="1129" t="str">
        <f t="shared" si="36"/>
        <v/>
      </c>
      <c r="BN133" s="1104"/>
      <c r="BO133" s="1142" t="e">
        <f>IF(#REF!&gt;0,#REF!,"")</f>
        <v>#REF!</v>
      </c>
      <c r="BP133" s="1142" t="e">
        <f>IF(#REF!&lt;&gt;"",#REF!,"")</f>
        <v>#REF!</v>
      </c>
      <c r="BQ133" s="1132" t="str">
        <f t="shared" si="37"/>
        <v/>
      </c>
      <c r="BR133" s="1144" t="str">
        <f t="shared" si="38"/>
        <v/>
      </c>
      <c r="BS133" s="1146" t="str">
        <f>IF(L16&lt;&gt;"",#REF!,"")</f>
        <v/>
      </c>
      <c r="BT133" s="1147" t="str">
        <f t="shared" si="39"/>
        <v/>
      </c>
      <c r="BU133" s="1147" t="str">
        <f>IF(L16&lt;&gt;"",#REF!,"")</f>
        <v/>
      </c>
      <c r="BV133" s="1148" t="str">
        <f t="shared" si="40"/>
        <v/>
      </c>
      <c r="BW133" s="1139" t="e">
        <f t="shared" si="45"/>
        <v>#REF!</v>
      </c>
    </row>
    <row r="134" spans="43:75" ht="24.95" customHeight="1">
      <c r="AQ134" s="1141" t="str">
        <f t="shared" si="41"/>
        <v/>
      </c>
      <c r="AR134" s="1142" t="str">
        <f t="shared" si="30"/>
        <v/>
      </c>
      <c r="AS134" s="1142"/>
      <c r="AT134" s="1143"/>
      <c r="AU134" s="1129" t="str">
        <f t="shared" si="31"/>
        <v/>
      </c>
      <c r="AV134" s="1104"/>
      <c r="AW134" s="1103" t="e">
        <f>IF(#REF!&gt;0,#REF!,"")</f>
        <v>#REF!</v>
      </c>
      <c r="AX134" s="1103" t="e">
        <f>IF(#REF!&lt;&gt;"",#REF!,"")</f>
        <v>#REF!</v>
      </c>
      <c r="AY134" s="1132" t="str">
        <f t="shared" si="32"/>
        <v/>
      </c>
      <c r="AZ134" s="1144" t="str">
        <f t="shared" si="33"/>
        <v/>
      </c>
      <c r="BA134" s="1136" t="str">
        <f>IF(L17&lt;&gt;"",#REF!,"")</f>
        <v/>
      </c>
      <c r="BB134" s="1145" t="str">
        <f t="shared" si="42"/>
        <v/>
      </c>
      <c r="BC134" s="1136" t="str">
        <f>IF(L17&lt;&gt;"",#REF!,"")</f>
        <v/>
      </c>
      <c r="BD134" s="1145" t="str">
        <f t="shared" si="34"/>
        <v/>
      </c>
      <c r="BE134" s="1137" t="e">
        <f t="shared" si="43"/>
        <v>#REF!</v>
      </c>
      <c r="BF134" s="1224"/>
      <c r="BI134" s="1142" t="str">
        <f t="shared" si="44"/>
        <v/>
      </c>
      <c r="BJ134" s="1143" t="str">
        <f t="shared" si="35"/>
        <v/>
      </c>
      <c r="BK134" s="1143"/>
      <c r="BL134" s="1143"/>
      <c r="BM134" s="1129" t="str">
        <f t="shared" si="36"/>
        <v/>
      </c>
      <c r="BN134" s="1104"/>
      <c r="BO134" s="1142" t="e">
        <f>IF(#REF!&gt;0,#REF!,"")</f>
        <v>#REF!</v>
      </c>
      <c r="BP134" s="1142" t="e">
        <f>IF(#REF!&lt;&gt;"",#REF!,"")</f>
        <v>#REF!</v>
      </c>
      <c r="BQ134" s="1132" t="str">
        <f t="shared" si="37"/>
        <v/>
      </c>
      <c r="BR134" s="1144" t="str">
        <f t="shared" si="38"/>
        <v/>
      </c>
      <c r="BS134" s="1146" t="str">
        <f>IF(L17&lt;&gt;"",#REF!,"")</f>
        <v/>
      </c>
      <c r="BT134" s="1147" t="str">
        <f t="shared" si="39"/>
        <v/>
      </c>
      <c r="BU134" s="1147" t="str">
        <f>IF(L17&lt;&gt;"",#REF!,"")</f>
        <v/>
      </c>
      <c r="BV134" s="1148" t="str">
        <f t="shared" si="40"/>
        <v/>
      </c>
      <c r="BW134" s="1139" t="e">
        <f t="shared" si="45"/>
        <v>#REF!</v>
      </c>
    </row>
    <row r="135" spans="43:75" ht="24.95" customHeight="1">
      <c r="AQ135" s="1141" t="str">
        <f t="shared" si="41"/>
        <v/>
      </c>
      <c r="AR135" s="1142" t="str">
        <f t="shared" si="30"/>
        <v/>
      </c>
      <c r="AS135" s="1142"/>
      <c r="AT135" s="1143"/>
      <c r="AU135" s="1129" t="str">
        <f t="shared" si="31"/>
        <v/>
      </c>
      <c r="AV135" s="1104"/>
      <c r="AW135" s="1103" t="e">
        <f>IF(#REF!&gt;0,#REF!,"")</f>
        <v>#REF!</v>
      </c>
      <c r="AX135" s="1103" t="e">
        <f>IF(#REF!&lt;&gt;"",#REF!,"")</f>
        <v>#REF!</v>
      </c>
      <c r="AY135" s="1132" t="str">
        <f t="shared" si="32"/>
        <v/>
      </c>
      <c r="AZ135" s="1144" t="str">
        <f t="shared" si="33"/>
        <v/>
      </c>
      <c r="BA135" s="1136" t="str">
        <f>IF(L18&lt;&gt;"",#REF!,"")</f>
        <v/>
      </c>
      <c r="BB135" s="1145" t="str">
        <f t="shared" si="42"/>
        <v/>
      </c>
      <c r="BC135" s="1136" t="str">
        <f>IF(L18&lt;&gt;"",#REF!,"")</f>
        <v/>
      </c>
      <c r="BD135" s="1145" t="str">
        <f t="shared" si="34"/>
        <v/>
      </c>
      <c r="BE135" s="1137" t="e">
        <f t="shared" si="43"/>
        <v>#REF!</v>
      </c>
      <c r="BF135" s="1224"/>
      <c r="BI135" s="1142" t="str">
        <f t="shared" si="44"/>
        <v/>
      </c>
      <c r="BJ135" s="1143" t="str">
        <f t="shared" si="35"/>
        <v/>
      </c>
      <c r="BK135" s="1143"/>
      <c r="BL135" s="1143"/>
      <c r="BM135" s="1129" t="str">
        <f t="shared" si="36"/>
        <v/>
      </c>
      <c r="BN135" s="1104"/>
      <c r="BO135" s="1142" t="e">
        <f>IF(#REF!&gt;0,#REF!,"")</f>
        <v>#REF!</v>
      </c>
      <c r="BP135" s="1142" t="e">
        <f>IF(#REF!&lt;&gt;"",#REF!,"")</f>
        <v>#REF!</v>
      </c>
      <c r="BQ135" s="1132" t="str">
        <f t="shared" si="37"/>
        <v/>
      </c>
      <c r="BR135" s="1144" t="str">
        <f t="shared" si="38"/>
        <v/>
      </c>
      <c r="BS135" s="1146" t="str">
        <f>IF(L18&lt;&gt;"",#REF!,"")</f>
        <v/>
      </c>
      <c r="BT135" s="1147" t="str">
        <f t="shared" si="39"/>
        <v/>
      </c>
      <c r="BU135" s="1147" t="str">
        <f>IF(L18&lt;&gt;"",#REF!,"")</f>
        <v/>
      </c>
      <c r="BV135" s="1148" t="str">
        <f t="shared" si="40"/>
        <v/>
      </c>
      <c r="BW135" s="1139" t="e">
        <f t="shared" si="45"/>
        <v>#REF!</v>
      </c>
    </row>
    <row r="136" spans="43:75" ht="24.95" customHeight="1">
      <c r="AQ136" s="1141" t="str">
        <f t="shared" si="41"/>
        <v/>
      </c>
      <c r="AR136" s="1142" t="str">
        <f t="shared" si="30"/>
        <v/>
      </c>
      <c r="AS136" s="1142"/>
      <c r="AT136" s="1143"/>
      <c r="AU136" s="1129" t="str">
        <f t="shared" si="31"/>
        <v/>
      </c>
      <c r="AV136" s="1104"/>
      <c r="AW136" s="1103" t="e">
        <f>IF(#REF!&gt;0,#REF!,"")</f>
        <v>#REF!</v>
      </c>
      <c r="AX136" s="1103" t="e">
        <f>IF(#REF!&lt;&gt;"",#REF!,"")</f>
        <v>#REF!</v>
      </c>
      <c r="AY136" s="1132" t="str">
        <f t="shared" si="32"/>
        <v/>
      </c>
      <c r="AZ136" s="1144" t="str">
        <f t="shared" si="33"/>
        <v/>
      </c>
      <c r="BA136" s="1136" t="str">
        <f>IF(L19&lt;&gt;"",#REF!,"")</f>
        <v/>
      </c>
      <c r="BB136" s="1145" t="str">
        <f t="shared" si="42"/>
        <v/>
      </c>
      <c r="BC136" s="1136" t="str">
        <f>IF(L19&lt;&gt;"",#REF!,"")</f>
        <v/>
      </c>
      <c r="BD136" s="1145" t="str">
        <f t="shared" si="34"/>
        <v/>
      </c>
      <c r="BE136" s="1137" t="e">
        <f t="shared" si="43"/>
        <v>#REF!</v>
      </c>
      <c r="BF136" s="1224"/>
      <c r="BI136" s="1142" t="str">
        <f t="shared" si="44"/>
        <v/>
      </c>
      <c r="BJ136" s="1143" t="str">
        <f t="shared" si="35"/>
        <v/>
      </c>
      <c r="BK136" s="1143"/>
      <c r="BL136" s="1143"/>
      <c r="BM136" s="1129" t="str">
        <f t="shared" si="36"/>
        <v/>
      </c>
      <c r="BN136" s="1104"/>
      <c r="BO136" s="1142" t="e">
        <f>IF(#REF!&gt;0,#REF!,"")</f>
        <v>#REF!</v>
      </c>
      <c r="BP136" s="1142" t="e">
        <f>IF(#REF!&lt;&gt;"",#REF!,"")</f>
        <v>#REF!</v>
      </c>
      <c r="BQ136" s="1132" t="str">
        <f t="shared" si="37"/>
        <v/>
      </c>
      <c r="BR136" s="1144" t="str">
        <f t="shared" si="38"/>
        <v/>
      </c>
      <c r="BS136" s="1146" t="str">
        <f>IF(L19&lt;&gt;"",#REF!,"")</f>
        <v/>
      </c>
      <c r="BT136" s="1147" t="str">
        <f t="shared" si="39"/>
        <v/>
      </c>
      <c r="BU136" s="1147" t="str">
        <f>IF(L19&lt;&gt;"",#REF!,"")</f>
        <v/>
      </c>
      <c r="BV136" s="1148" t="str">
        <f t="shared" si="40"/>
        <v/>
      </c>
      <c r="BW136" s="1139" t="e">
        <f t="shared" si="45"/>
        <v>#REF!</v>
      </c>
    </row>
    <row r="137" spans="43:75" ht="24.95" customHeight="1">
      <c r="AQ137" s="1141" t="str">
        <f t="shared" si="41"/>
        <v/>
      </c>
      <c r="AR137" s="1142" t="str">
        <f t="shared" si="30"/>
        <v/>
      </c>
      <c r="AS137" s="1142"/>
      <c r="AT137" s="1143"/>
      <c r="AU137" s="1129" t="str">
        <f t="shared" si="31"/>
        <v/>
      </c>
      <c r="AV137" s="1104"/>
      <c r="AW137" s="1103" t="e">
        <f>IF(#REF!&gt;0,#REF!,"")</f>
        <v>#REF!</v>
      </c>
      <c r="AX137" s="1103" t="e">
        <f>IF(#REF!&lt;&gt;"",#REF!,"")</f>
        <v>#REF!</v>
      </c>
      <c r="AY137" s="1132" t="str">
        <f t="shared" si="32"/>
        <v/>
      </c>
      <c r="AZ137" s="1144" t="str">
        <f t="shared" si="33"/>
        <v/>
      </c>
      <c r="BA137" s="1136" t="str">
        <f>IF(L20&lt;&gt;"",#REF!,"")</f>
        <v/>
      </c>
      <c r="BB137" s="1145" t="str">
        <f t="shared" si="42"/>
        <v/>
      </c>
      <c r="BC137" s="1136" t="str">
        <f>IF(L20&lt;&gt;"",#REF!,"")</f>
        <v/>
      </c>
      <c r="BD137" s="1145" t="str">
        <f t="shared" si="34"/>
        <v/>
      </c>
      <c r="BE137" s="1137" t="e">
        <f t="shared" si="43"/>
        <v>#REF!</v>
      </c>
      <c r="BF137" s="1224"/>
      <c r="BI137" s="1142" t="str">
        <f t="shared" si="44"/>
        <v/>
      </c>
      <c r="BJ137" s="1143" t="str">
        <f t="shared" si="35"/>
        <v/>
      </c>
      <c r="BK137" s="1143"/>
      <c r="BL137" s="1143"/>
      <c r="BM137" s="1129" t="str">
        <f t="shared" si="36"/>
        <v/>
      </c>
      <c r="BN137" s="1104"/>
      <c r="BO137" s="1142" t="e">
        <f>IF(#REF!&gt;0,#REF!,"")</f>
        <v>#REF!</v>
      </c>
      <c r="BP137" s="1142" t="e">
        <f>IF(#REF!&lt;&gt;"",#REF!,"")</f>
        <v>#REF!</v>
      </c>
      <c r="BQ137" s="1132" t="str">
        <f t="shared" si="37"/>
        <v/>
      </c>
      <c r="BR137" s="1144" t="str">
        <f t="shared" si="38"/>
        <v/>
      </c>
      <c r="BS137" s="1146" t="str">
        <f>IF(L20&lt;&gt;"",#REF!,"")</f>
        <v/>
      </c>
      <c r="BT137" s="1147" t="str">
        <f t="shared" si="39"/>
        <v/>
      </c>
      <c r="BU137" s="1147" t="str">
        <f>IF(L20&lt;&gt;"",#REF!,"")</f>
        <v/>
      </c>
      <c r="BV137" s="1148" t="str">
        <f t="shared" si="40"/>
        <v/>
      </c>
      <c r="BW137" s="1139" t="e">
        <f t="shared" si="45"/>
        <v>#REF!</v>
      </c>
    </row>
    <row r="138" spans="43:75" ht="24.95" customHeight="1">
      <c r="AQ138" s="1141" t="str">
        <f t="shared" si="41"/>
        <v/>
      </c>
      <c r="AR138" s="1142" t="str">
        <f t="shared" si="30"/>
        <v/>
      </c>
      <c r="AS138" s="1142"/>
      <c r="AT138" s="1143"/>
      <c r="AU138" s="1129" t="str">
        <f t="shared" si="31"/>
        <v/>
      </c>
      <c r="AV138" s="1104"/>
      <c r="AW138" s="1103" t="e">
        <f>IF(#REF!&gt;0,#REF!,"")</f>
        <v>#REF!</v>
      </c>
      <c r="AX138" s="1103" t="e">
        <f>IF(#REF!&lt;&gt;"",#REF!,"")</f>
        <v>#REF!</v>
      </c>
      <c r="AY138" s="1132" t="str">
        <f t="shared" si="32"/>
        <v/>
      </c>
      <c r="AZ138" s="1144" t="str">
        <f t="shared" si="33"/>
        <v/>
      </c>
      <c r="BA138" s="1136" t="str">
        <f>IF(L21&lt;&gt;"",#REF!,"")</f>
        <v/>
      </c>
      <c r="BB138" s="1145" t="str">
        <f t="shared" si="42"/>
        <v/>
      </c>
      <c r="BC138" s="1136" t="str">
        <f>IF(L21&lt;&gt;"",#REF!,"")</f>
        <v/>
      </c>
      <c r="BD138" s="1145" t="str">
        <f t="shared" si="34"/>
        <v/>
      </c>
      <c r="BE138" s="1137" t="e">
        <f t="shared" si="43"/>
        <v>#REF!</v>
      </c>
      <c r="BF138" s="1224"/>
      <c r="BI138" s="1142" t="str">
        <f t="shared" si="44"/>
        <v/>
      </c>
      <c r="BJ138" s="1143" t="str">
        <f t="shared" si="35"/>
        <v/>
      </c>
      <c r="BK138" s="1143"/>
      <c r="BL138" s="1143"/>
      <c r="BM138" s="1129" t="str">
        <f t="shared" si="36"/>
        <v/>
      </c>
      <c r="BN138" s="1104"/>
      <c r="BO138" s="1142" t="e">
        <f>IF(#REF!&gt;0,#REF!,"")</f>
        <v>#REF!</v>
      </c>
      <c r="BP138" s="1142" t="e">
        <f>IF(#REF!&lt;&gt;"",#REF!,"")</f>
        <v>#REF!</v>
      </c>
      <c r="BQ138" s="1132" t="str">
        <f t="shared" si="37"/>
        <v/>
      </c>
      <c r="BR138" s="1144" t="str">
        <f t="shared" si="38"/>
        <v/>
      </c>
      <c r="BS138" s="1146" t="str">
        <f>IF(L21&lt;&gt;"",#REF!,"")</f>
        <v/>
      </c>
      <c r="BT138" s="1147" t="str">
        <f t="shared" si="39"/>
        <v/>
      </c>
      <c r="BU138" s="1147" t="str">
        <f>IF(L21&lt;&gt;"",#REF!,"")</f>
        <v/>
      </c>
      <c r="BV138" s="1148" t="str">
        <f t="shared" si="40"/>
        <v/>
      </c>
      <c r="BW138" s="1139" t="e">
        <f t="shared" si="45"/>
        <v>#REF!</v>
      </c>
    </row>
    <row r="139" spans="43:75" ht="24.95" hidden="1" customHeight="1">
      <c r="AQ139" s="1141" t="str">
        <f t="shared" si="41"/>
        <v/>
      </c>
      <c r="AR139" s="1142" t="str">
        <f t="shared" si="30"/>
        <v/>
      </c>
      <c r="AS139" s="1142"/>
      <c r="AT139" s="1143"/>
      <c r="AU139" s="1129" t="str">
        <f t="shared" si="31"/>
        <v/>
      </c>
      <c r="AV139" s="1104"/>
      <c r="AW139" s="1103" t="e">
        <f>IF(#REF!&gt;0,#REF!,"")</f>
        <v>#REF!</v>
      </c>
      <c r="AX139" s="1103" t="e">
        <f>IF(#REF!&lt;&gt;"",#REF!,"")</f>
        <v>#REF!</v>
      </c>
      <c r="AY139" s="1132" t="str">
        <f t="shared" si="32"/>
        <v/>
      </c>
      <c r="AZ139" s="1144" t="str">
        <f t="shared" si="33"/>
        <v/>
      </c>
      <c r="BA139" s="1136" t="str">
        <f>IF(L22&lt;&gt;"",#REF!,"")</f>
        <v/>
      </c>
      <c r="BB139" s="1145" t="str">
        <f t="shared" si="42"/>
        <v/>
      </c>
      <c r="BC139" s="1136" t="str">
        <f>IF(L22&lt;&gt;"",#REF!,"")</f>
        <v/>
      </c>
      <c r="BD139" s="1145" t="str">
        <f t="shared" si="34"/>
        <v/>
      </c>
      <c r="BE139" s="1137" t="e">
        <f t="shared" si="43"/>
        <v>#REF!</v>
      </c>
      <c r="BF139" s="1224"/>
      <c r="BI139" s="1142" t="str">
        <f t="shared" si="44"/>
        <v/>
      </c>
      <c r="BJ139" s="1143" t="str">
        <f t="shared" si="35"/>
        <v/>
      </c>
      <c r="BK139" s="1143"/>
      <c r="BL139" s="1143"/>
      <c r="BM139" s="1129" t="str">
        <f t="shared" si="36"/>
        <v/>
      </c>
      <c r="BN139" s="1104"/>
      <c r="BO139" s="1142" t="e">
        <f>IF(#REF!&gt;0,#REF!,"")</f>
        <v>#REF!</v>
      </c>
      <c r="BP139" s="1142" t="e">
        <f>IF(#REF!&lt;&gt;"",#REF!,"")</f>
        <v>#REF!</v>
      </c>
      <c r="BQ139" s="1132" t="str">
        <f t="shared" si="37"/>
        <v/>
      </c>
      <c r="BR139" s="1144" t="str">
        <f t="shared" si="38"/>
        <v/>
      </c>
      <c r="BS139" s="1146" t="str">
        <f>IF(L22&lt;&gt;"",#REF!,"")</f>
        <v/>
      </c>
      <c r="BT139" s="1147" t="str">
        <f t="shared" si="39"/>
        <v/>
      </c>
      <c r="BU139" s="1147" t="str">
        <f>IF(L22&lt;&gt;"",#REF!,"")</f>
        <v/>
      </c>
      <c r="BV139" s="1148" t="str">
        <f t="shared" si="40"/>
        <v/>
      </c>
      <c r="BW139" s="1139" t="e">
        <f t="shared" si="45"/>
        <v>#REF!</v>
      </c>
    </row>
    <row r="140" spans="43:75" ht="24.95" hidden="1" customHeight="1">
      <c r="AQ140" s="1141" t="str">
        <f t="shared" si="41"/>
        <v/>
      </c>
      <c r="AR140" s="1141" t="str">
        <f t="shared" si="30"/>
        <v/>
      </c>
      <c r="AS140" s="1141"/>
      <c r="AT140" s="1149"/>
      <c r="AU140" s="1129" t="str">
        <f t="shared" si="31"/>
        <v/>
      </c>
      <c r="AV140" s="1150"/>
      <c r="AW140" s="1102" t="e">
        <f>IF(#REF!&gt;0,#REF!,"")</f>
        <v>#REF!</v>
      </c>
      <c r="AX140" s="1102" t="e">
        <f>IF(#REF!&lt;&gt;"",#REF!,"")</f>
        <v>#REF!</v>
      </c>
      <c r="AY140" s="1132" t="str">
        <f t="shared" si="32"/>
        <v/>
      </c>
      <c r="AZ140" s="1151" t="str">
        <f t="shared" si="33"/>
        <v/>
      </c>
      <c r="BA140" s="1152" t="str">
        <f>IF(L23&lt;&gt;"",#REF!,"")</f>
        <v/>
      </c>
      <c r="BB140" s="1153" t="str">
        <f t="shared" si="42"/>
        <v/>
      </c>
      <c r="BC140" s="1152" t="str">
        <f>IF(L23&lt;&gt;"",#REF!,"")</f>
        <v/>
      </c>
      <c r="BD140" s="1153" t="str">
        <f t="shared" si="34"/>
        <v/>
      </c>
      <c r="BE140" s="1137" t="e">
        <f t="shared" si="43"/>
        <v>#REF!</v>
      </c>
      <c r="BF140" s="1224"/>
      <c r="BI140" s="1142" t="str">
        <f t="shared" si="44"/>
        <v/>
      </c>
      <c r="BJ140" s="1143" t="str">
        <f t="shared" si="35"/>
        <v/>
      </c>
      <c r="BK140" s="1143"/>
      <c r="BL140" s="1143"/>
      <c r="BM140" s="1129" t="str">
        <f t="shared" si="36"/>
        <v/>
      </c>
      <c r="BN140" s="1104"/>
      <c r="BO140" s="1142" t="e">
        <f>IF(#REF!&gt;0,#REF!,"")</f>
        <v>#REF!</v>
      </c>
      <c r="BP140" s="1142" t="e">
        <f>IF(#REF!&lt;&gt;"",#REF!,"")</f>
        <v>#REF!</v>
      </c>
      <c r="BQ140" s="1132" t="str">
        <f t="shared" si="37"/>
        <v/>
      </c>
      <c r="BR140" s="1144" t="str">
        <f t="shared" si="38"/>
        <v/>
      </c>
      <c r="BS140" s="1146" t="str">
        <f>IF(L23&lt;&gt;"",#REF!,"")</f>
        <v/>
      </c>
      <c r="BT140" s="1147" t="str">
        <f t="shared" si="39"/>
        <v/>
      </c>
      <c r="BU140" s="1147" t="str">
        <f>IF(L23&lt;&gt;"",#REF!,"")</f>
        <v/>
      </c>
      <c r="BV140" s="1148" t="str">
        <f t="shared" si="40"/>
        <v/>
      </c>
      <c r="BW140" s="1139" t="e">
        <f t="shared" si="45"/>
        <v>#REF!</v>
      </c>
    </row>
    <row r="141" spans="43:75" ht="24.95" hidden="1" customHeight="1">
      <c r="AQ141" s="1141" t="str">
        <f t="shared" si="41"/>
        <v/>
      </c>
      <c r="AR141" s="1141" t="str">
        <f t="shared" si="30"/>
        <v/>
      </c>
      <c r="AS141" s="1141"/>
      <c r="AT141" s="1149"/>
      <c r="AU141" s="1129" t="str">
        <f t="shared" si="31"/>
        <v/>
      </c>
      <c r="AV141" s="1150"/>
      <c r="AW141" s="1102" t="e">
        <f>IF(#REF!&gt;0,#REF!,"")</f>
        <v>#REF!</v>
      </c>
      <c r="AX141" s="1102" t="e">
        <f>IF(#REF!&lt;&gt;"",#REF!,"")</f>
        <v>#REF!</v>
      </c>
      <c r="AY141" s="1132" t="str">
        <f t="shared" si="32"/>
        <v/>
      </c>
      <c r="AZ141" s="1151" t="str">
        <f t="shared" si="33"/>
        <v/>
      </c>
      <c r="BA141" s="1152" t="str">
        <f>IF(L24&lt;&gt;"",#REF!,"")</f>
        <v/>
      </c>
      <c r="BB141" s="1153" t="str">
        <f t="shared" si="42"/>
        <v/>
      </c>
      <c r="BC141" s="1152" t="str">
        <f>IF(L24&lt;&gt;"",#REF!,"")</f>
        <v/>
      </c>
      <c r="BD141" s="1153" t="str">
        <f t="shared" si="34"/>
        <v/>
      </c>
      <c r="BE141" s="1137" t="e">
        <f t="shared" si="43"/>
        <v>#REF!</v>
      </c>
      <c r="BF141" s="1224"/>
      <c r="BI141" s="1142" t="str">
        <f t="shared" si="44"/>
        <v/>
      </c>
      <c r="BJ141" s="1143" t="str">
        <f t="shared" si="35"/>
        <v/>
      </c>
      <c r="BK141" s="1143"/>
      <c r="BL141" s="1143"/>
      <c r="BM141" s="1129" t="str">
        <f t="shared" si="36"/>
        <v/>
      </c>
      <c r="BN141" s="1104"/>
      <c r="BO141" s="1142" t="e">
        <f>IF(#REF!&gt;0,#REF!,"")</f>
        <v>#REF!</v>
      </c>
      <c r="BP141" s="1142" t="e">
        <f>IF(#REF!&lt;&gt;"",#REF!,"")</f>
        <v>#REF!</v>
      </c>
      <c r="BQ141" s="1132" t="str">
        <f t="shared" si="37"/>
        <v/>
      </c>
      <c r="BR141" s="1144" t="str">
        <f t="shared" si="38"/>
        <v/>
      </c>
      <c r="BS141" s="1146" t="str">
        <f>IF(L24&lt;&gt;"",#REF!,"")</f>
        <v/>
      </c>
      <c r="BT141" s="1147" t="str">
        <f t="shared" si="39"/>
        <v/>
      </c>
      <c r="BU141" s="1147" t="str">
        <f>IF(L24&lt;&gt;"",#REF!,"")</f>
        <v/>
      </c>
      <c r="BV141" s="1148" t="str">
        <f t="shared" si="40"/>
        <v/>
      </c>
      <c r="BW141" s="1139" t="e">
        <f t="shared" si="45"/>
        <v>#REF!</v>
      </c>
    </row>
    <row r="142" spans="43:75" ht="24.95" hidden="1" customHeight="1">
      <c r="AQ142" s="1141" t="str">
        <f t="shared" si="41"/>
        <v/>
      </c>
      <c r="AR142" s="1141" t="str">
        <f t="shared" si="30"/>
        <v/>
      </c>
      <c r="AS142" s="1141"/>
      <c r="AT142" s="1149"/>
      <c r="AU142" s="1129" t="str">
        <f t="shared" si="31"/>
        <v/>
      </c>
      <c r="AV142" s="1150"/>
      <c r="AW142" s="1102" t="e">
        <f>IF(#REF!&gt;0,#REF!,"")</f>
        <v>#REF!</v>
      </c>
      <c r="AX142" s="1102" t="e">
        <f>IF(#REF!&lt;&gt;"",#REF!,"")</f>
        <v>#REF!</v>
      </c>
      <c r="AY142" s="1132" t="str">
        <f t="shared" si="32"/>
        <v/>
      </c>
      <c r="AZ142" s="1151" t="str">
        <f t="shared" si="33"/>
        <v/>
      </c>
      <c r="BA142" s="1152" t="str">
        <f>IF(L25&lt;&gt;"",#REF!,"")</f>
        <v/>
      </c>
      <c r="BB142" s="1153" t="str">
        <f t="shared" si="42"/>
        <v/>
      </c>
      <c r="BC142" s="1152" t="str">
        <f>IF(L25&lt;&gt;"",#REF!,"")</f>
        <v/>
      </c>
      <c r="BD142" s="1153" t="str">
        <f t="shared" si="34"/>
        <v/>
      </c>
      <c r="BE142" s="1137" t="e">
        <f t="shared" si="43"/>
        <v>#REF!</v>
      </c>
      <c r="BF142" s="1224"/>
      <c r="BI142" s="1142" t="str">
        <f t="shared" si="44"/>
        <v/>
      </c>
      <c r="BJ142" s="1143" t="str">
        <f t="shared" si="35"/>
        <v/>
      </c>
      <c r="BK142" s="1143"/>
      <c r="BL142" s="1143"/>
      <c r="BM142" s="1129" t="str">
        <f t="shared" si="36"/>
        <v/>
      </c>
      <c r="BN142" s="1104"/>
      <c r="BO142" s="1142" t="e">
        <f>IF(#REF!&gt;0,#REF!,"")</f>
        <v>#REF!</v>
      </c>
      <c r="BP142" s="1142" t="e">
        <f>IF(#REF!&lt;&gt;"",#REF!,"")</f>
        <v>#REF!</v>
      </c>
      <c r="BQ142" s="1132" t="str">
        <f t="shared" si="37"/>
        <v/>
      </c>
      <c r="BR142" s="1144" t="str">
        <f t="shared" si="38"/>
        <v/>
      </c>
      <c r="BS142" s="1146" t="str">
        <f>IF(L25&lt;&gt;"",#REF!,"")</f>
        <v/>
      </c>
      <c r="BT142" s="1147" t="str">
        <f t="shared" si="39"/>
        <v/>
      </c>
      <c r="BU142" s="1147" t="str">
        <f>IF(L25&lt;&gt;"",#REF!,"")</f>
        <v/>
      </c>
      <c r="BV142" s="1148" t="str">
        <f t="shared" si="40"/>
        <v/>
      </c>
      <c r="BW142" s="1139" t="e">
        <f t="shared" si="45"/>
        <v>#REF!</v>
      </c>
    </row>
    <row r="143" spans="43:75" ht="24.95" hidden="1" customHeight="1">
      <c r="AQ143" s="1141" t="str">
        <f t="shared" si="41"/>
        <v/>
      </c>
      <c r="AR143" s="1141" t="str">
        <f t="shared" si="30"/>
        <v/>
      </c>
      <c r="AS143" s="1141"/>
      <c r="AT143" s="1149"/>
      <c r="AU143" s="1129" t="str">
        <f t="shared" si="31"/>
        <v/>
      </c>
      <c r="AV143" s="1150"/>
      <c r="AW143" s="1102" t="e">
        <f>IF(#REF!&gt;0,#REF!,"")</f>
        <v>#REF!</v>
      </c>
      <c r="AX143" s="1102" t="e">
        <f>IF(#REF!&lt;&gt;"",#REF!,"")</f>
        <v>#REF!</v>
      </c>
      <c r="AY143" s="1132" t="str">
        <f t="shared" si="32"/>
        <v/>
      </c>
      <c r="AZ143" s="1151" t="str">
        <f t="shared" si="33"/>
        <v/>
      </c>
      <c r="BA143" s="1152" t="str">
        <f>IF(L26&lt;&gt;"",#REF!,"")</f>
        <v/>
      </c>
      <c r="BB143" s="1153" t="str">
        <f t="shared" si="42"/>
        <v/>
      </c>
      <c r="BC143" s="1152" t="str">
        <f>IF(L26&lt;&gt;"",#REF!,"")</f>
        <v/>
      </c>
      <c r="BD143" s="1153" t="str">
        <f t="shared" si="34"/>
        <v/>
      </c>
      <c r="BE143" s="1137" t="e">
        <f t="shared" si="43"/>
        <v>#REF!</v>
      </c>
      <c r="BF143" s="1224"/>
      <c r="BI143" s="1142" t="str">
        <f t="shared" si="44"/>
        <v/>
      </c>
      <c r="BJ143" s="1143" t="str">
        <f t="shared" si="35"/>
        <v/>
      </c>
      <c r="BK143" s="1143"/>
      <c r="BL143" s="1143"/>
      <c r="BM143" s="1129" t="str">
        <f t="shared" si="36"/>
        <v/>
      </c>
      <c r="BN143" s="1104"/>
      <c r="BO143" s="1142" t="e">
        <f>IF(#REF!&gt;0,#REF!,"")</f>
        <v>#REF!</v>
      </c>
      <c r="BP143" s="1142" t="e">
        <f>IF(#REF!&lt;&gt;"",#REF!,"")</f>
        <v>#REF!</v>
      </c>
      <c r="BQ143" s="1132" t="str">
        <f t="shared" si="37"/>
        <v/>
      </c>
      <c r="BR143" s="1144" t="str">
        <f t="shared" si="38"/>
        <v/>
      </c>
      <c r="BS143" s="1146" t="str">
        <f>IF(L26&lt;&gt;"",#REF!,"")</f>
        <v/>
      </c>
      <c r="BT143" s="1147" t="str">
        <f t="shared" si="39"/>
        <v/>
      </c>
      <c r="BU143" s="1147" t="str">
        <f>IF(L26&lt;&gt;"",#REF!,"")</f>
        <v/>
      </c>
      <c r="BV143" s="1148" t="str">
        <f t="shared" si="40"/>
        <v/>
      </c>
      <c r="BW143" s="1139" t="e">
        <f t="shared" si="45"/>
        <v>#REF!</v>
      </c>
    </row>
    <row r="144" spans="43:75" ht="24.95" hidden="1" customHeight="1">
      <c r="AQ144" s="1141" t="str">
        <f t="shared" si="41"/>
        <v/>
      </c>
      <c r="AR144" s="1141" t="str">
        <f t="shared" si="30"/>
        <v/>
      </c>
      <c r="AS144" s="1141"/>
      <c r="AT144" s="1149"/>
      <c r="AU144" s="1129" t="str">
        <f t="shared" si="31"/>
        <v/>
      </c>
      <c r="AV144" s="1150"/>
      <c r="AW144" s="1102" t="e">
        <f>IF(#REF!&gt;0,#REF!,"")</f>
        <v>#REF!</v>
      </c>
      <c r="AX144" s="1102" t="e">
        <f>IF(#REF!&lt;&gt;"",#REF!,"")</f>
        <v>#REF!</v>
      </c>
      <c r="AY144" s="1132" t="str">
        <f t="shared" si="32"/>
        <v/>
      </c>
      <c r="AZ144" s="1151" t="str">
        <f t="shared" si="33"/>
        <v/>
      </c>
      <c r="BA144" s="1152" t="str">
        <f>IF(L27&lt;&gt;"",#REF!,"")</f>
        <v/>
      </c>
      <c r="BB144" s="1153" t="str">
        <f t="shared" si="42"/>
        <v/>
      </c>
      <c r="BC144" s="1152" t="str">
        <f>IF(L27&lt;&gt;"",#REF!,"")</f>
        <v/>
      </c>
      <c r="BD144" s="1153" t="str">
        <f t="shared" si="34"/>
        <v/>
      </c>
      <c r="BE144" s="1137" t="e">
        <f t="shared" si="43"/>
        <v>#REF!</v>
      </c>
      <c r="BF144" s="1224"/>
      <c r="BI144" s="1142" t="str">
        <f t="shared" si="44"/>
        <v/>
      </c>
      <c r="BJ144" s="1143" t="str">
        <f t="shared" si="35"/>
        <v/>
      </c>
      <c r="BK144" s="1143"/>
      <c r="BL144" s="1143"/>
      <c r="BM144" s="1129" t="str">
        <f t="shared" si="36"/>
        <v/>
      </c>
      <c r="BN144" s="1104"/>
      <c r="BO144" s="1142" t="e">
        <f>IF(#REF!&gt;0,#REF!,"")</f>
        <v>#REF!</v>
      </c>
      <c r="BP144" s="1142" t="e">
        <f>IF(#REF!&lt;&gt;"",#REF!,"")</f>
        <v>#REF!</v>
      </c>
      <c r="BQ144" s="1132" t="str">
        <f t="shared" si="37"/>
        <v/>
      </c>
      <c r="BR144" s="1144" t="str">
        <f t="shared" si="38"/>
        <v/>
      </c>
      <c r="BS144" s="1146" t="str">
        <f>IF(L27&lt;&gt;"",#REF!,"")</f>
        <v/>
      </c>
      <c r="BT144" s="1147" t="str">
        <f t="shared" si="39"/>
        <v/>
      </c>
      <c r="BU144" s="1147" t="str">
        <f>IF(L27&lt;&gt;"",#REF!,"")</f>
        <v/>
      </c>
      <c r="BV144" s="1148" t="str">
        <f t="shared" si="40"/>
        <v/>
      </c>
      <c r="BW144" s="1139" t="e">
        <f t="shared" si="45"/>
        <v>#REF!</v>
      </c>
    </row>
    <row r="145" spans="43:75" ht="24.95" hidden="1" customHeight="1">
      <c r="AQ145" s="1141" t="str">
        <f t="shared" si="41"/>
        <v/>
      </c>
      <c r="AR145" s="1141" t="str">
        <f t="shared" si="30"/>
        <v/>
      </c>
      <c r="AS145" s="1141"/>
      <c r="AT145" s="1149"/>
      <c r="AU145" s="1129" t="str">
        <f t="shared" si="31"/>
        <v/>
      </c>
      <c r="AV145" s="1150"/>
      <c r="AW145" s="1102" t="e">
        <f>IF(#REF!&gt;0,#REF!,"")</f>
        <v>#REF!</v>
      </c>
      <c r="AX145" s="1102" t="e">
        <f>IF(#REF!&lt;&gt;"",#REF!,"")</f>
        <v>#REF!</v>
      </c>
      <c r="AY145" s="1132" t="str">
        <f t="shared" si="32"/>
        <v/>
      </c>
      <c r="AZ145" s="1151" t="str">
        <f t="shared" si="33"/>
        <v/>
      </c>
      <c r="BA145" s="1152" t="str">
        <f>IF(L28&lt;&gt;"",#REF!,"")</f>
        <v/>
      </c>
      <c r="BB145" s="1153" t="str">
        <f t="shared" si="42"/>
        <v/>
      </c>
      <c r="BC145" s="1152" t="str">
        <f>IF(L28&lt;&gt;"",#REF!,"")</f>
        <v/>
      </c>
      <c r="BD145" s="1153" t="str">
        <f t="shared" si="34"/>
        <v/>
      </c>
      <c r="BE145" s="1137" t="e">
        <f t="shared" si="43"/>
        <v>#REF!</v>
      </c>
      <c r="BF145" s="1224"/>
      <c r="BI145" s="1142" t="str">
        <f t="shared" si="44"/>
        <v/>
      </c>
      <c r="BJ145" s="1143" t="str">
        <f t="shared" si="35"/>
        <v/>
      </c>
      <c r="BK145" s="1143"/>
      <c r="BL145" s="1143"/>
      <c r="BM145" s="1129" t="str">
        <f t="shared" si="36"/>
        <v/>
      </c>
      <c r="BN145" s="1104"/>
      <c r="BO145" s="1142" t="e">
        <f>IF(#REF!&gt;0,#REF!,"")</f>
        <v>#REF!</v>
      </c>
      <c r="BP145" s="1142" t="e">
        <f>IF(#REF!&lt;&gt;"",#REF!,"")</f>
        <v>#REF!</v>
      </c>
      <c r="BQ145" s="1132" t="str">
        <f t="shared" si="37"/>
        <v/>
      </c>
      <c r="BR145" s="1144" t="str">
        <f t="shared" si="38"/>
        <v/>
      </c>
      <c r="BS145" s="1146" t="str">
        <f>IF(L28&lt;&gt;"",#REF!,"")</f>
        <v/>
      </c>
      <c r="BT145" s="1147" t="str">
        <f t="shared" si="39"/>
        <v/>
      </c>
      <c r="BU145" s="1147" t="str">
        <f>IF(L28&lt;&gt;"",#REF!,"")</f>
        <v/>
      </c>
      <c r="BV145" s="1148" t="str">
        <f t="shared" si="40"/>
        <v/>
      </c>
      <c r="BW145" s="1139" t="e">
        <f t="shared" si="45"/>
        <v>#REF!</v>
      </c>
    </row>
    <row r="146" spans="43:75" ht="24.95" hidden="1" customHeight="1">
      <c r="AQ146" s="1141" t="str">
        <f t="shared" si="41"/>
        <v/>
      </c>
      <c r="AR146" s="1141" t="str">
        <f t="shared" si="30"/>
        <v/>
      </c>
      <c r="AS146" s="1141"/>
      <c r="AT146" s="1149"/>
      <c r="AU146" s="1129" t="str">
        <f t="shared" si="31"/>
        <v/>
      </c>
      <c r="AV146" s="1150"/>
      <c r="AW146" s="1102" t="e">
        <f>IF(#REF!&gt;0,#REF!,"")</f>
        <v>#REF!</v>
      </c>
      <c r="AX146" s="1102" t="e">
        <f>IF(#REF!&lt;&gt;"",#REF!,"")</f>
        <v>#REF!</v>
      </c>
      <c r="AY146" s="1132" t="str">
        <f t="shared" si="32"/>
        <v/>
      </c>
      <c r="AZ146" s="1151" t="str">
        <f t="shared" si="33"/>
        <v/>
      </c>
      <c r="BA146" s="1152" t="str">
        <f>IF(L29&lt;&gt;"",#REF!,"")</f>
        <v/>
      </c>
      <c r="BB146" s="1153" t="str">
        <f t="shared" si="42"/>
        <v/>
      </c>
      <c r="BC146" s="1152" t="str">
        <f>IF(L29&lt;&gt;"",#REF!,"")</f>
        <v/>
      </c>
      <c r="BD146" s="1153" t="str">
        <f t="shared" si="34"/>
        <v/>
      </c>
      <c r="BE146" s="1137" t="e">
        <f t="shared" si="43"/>
        <v>#REF!</v>
      </c>
      <c r="BF146" s="1224"/>
      <c r="BI146" s="1142" t="str">
        <f t="shared" si="44"/>
        <v/>
      </c>
      <c r="BJ146" s="1143" t="str">
        <f t="shared" si="35"/>
        <v/>
      </c>
      <c r="BK146" s="1143"/>
      <c r="BL146" s="1143"/>
      <c r="BM146" s="1129" t="str">
        <f t="shared" si="36"/>
        <v/>
      </c>
      <c r="BN146" s="1104"/>
      <c r="BO146" s="1142" t="e">
        <f>IF(#REF!&gt;0,#REF!,"")</f>
        <v>#REF!</v>
      </c>
      <c r="BP146" s="1142" t="e">
        <f>IF(#REF!&lt;&gt;"",#REF!,"")</f>
        <v>#REF!</v>
      </c>
      <c r="BQ146" s="1132" t="str">
        <f t="shared" si="37"/>
        <v/>
      </c>
      <c r="BR146" s="1144" t="str">
        <f t="shared" si="38"/>
        <v/>
      </c>
      <c r="BS146" s="1146" t="str">
        <f>IF(L29&lt;&gt;"",#REF!,"")</f>
        <v/>
      </c>
      <c r="BT146" s="1147" t="str">
        <f t="shared" si="39"/>
        <v/>
      </c>
      <c r="BU146" s="1147" t="str">
        <f>IF(L29&lt;&gt;"",#REF!,"")</f>
        <v/>
      </c>
      <c r="BV146" s="1148" t="str">
        <f t="shared" si="40"/>
        <v/>
      </c>
      <c r="BW146" s="1139" t="e">
        <f t="shared" si="45"/>
        <v>#REF!</v>
      </c>
    </row>
    <row r="147" spans="43:75" ht="24.95" hidden="1" customHeight="1">
      <c r="AQ147" s="1141" t="str">
        <f t="shared" si="41"/>
        <v/>
      </c>
      <c r="AR147" s="1141" t="str">
        <f t="shared" si="30"/>
        <v/>
      </c>
      <c r="AS147" s="1141"/>
      <c r="AT147" s="1149"/>
      <c r="AU147" s="1129" t="str">
        <f t="shared" si="31"/>
        <v/>
      </c>
      <c r="AV147" s="1150"/>
      <c r="AW147" s="1102" t="e">
        <f>IF(#REF!&gt;0,#REF!,"")</f>
        <v>#REF!</v>
      </c>
      <c r="AX147" s="1102" t="e">
        <f>IF(#REF!&lt;&gt;"",#REF!,"")</f>
        <v>#REF!</v>
      </c>
      <c r="AY147" s="1132" t="str">
        <f t="shared" si="32"/>
        <v/>
      </c>
      <c r="AZ147" s="1151" t="str">
        <f t="shared" si="33"/>
        <v/>
      </c>
      <c r="BA147" s="1152" t="str">
        <f>IF(L30&lt;&gt;"",#REF!,"")</f>
        <v/>
      </c>
      <c r="BB147" s="1153" t="str">
        <f t="shared" si="42"/>
        <v/>
      </c>
      <c r="BC147" s="1152" t="str">
        <f>IF(L30&lt;&gt;"",#REF!,"")</f>
        <v/>
      </c>
      <c r="BD147" s="1153" t="str">
        <f t="shared" si="34"/>
        <v/>
      </c>
      <c r="BE147" s="1137" t="e">
        <f t="shared" si="43"/>
        <v>#REF!</v>
      </c>
      <c r="BF147" s="1224"/>
      <c r="BI147" s="1142" t="str">
        <f t="shared" si="44"/>
        <v/>
      </c>
      <c r="BJ147" s="1143" t="str">
        <f t="shared" si="35"/>
        <v/>
      </c>
      <c r="BK147" s="1143"/>
      <c r="BL147" s="1143"/>
      <c r="BM147" s="1129" t="str">
        <f t="shared" si="36"/>
        <v/>
      </c>
      <c r="BN147" s="1104"/>
      <c r="BO147" s="1142" t="e">
        <f>IF(#REF!&gt;0,#REF!,"")</f>
        <v>#REF!</v>
      </c>
      <c r="BP147" s="1142" t="e">
        <f>IF(#REF!&lt;&gt;"",#REF!,"")</f>
        <v>#REF!</v>
      </c>
      <c r="BQ147" s="1132" t="str">
        <f t="shared" si="37"/>
        <v/>
      </c>
      <c r="BR147" s="1144" t="str">
        <f t="shared" si="38"/>
        <v/>
      </c>
      <c r="BS147" s="1146" t="str">
        <f>IF(L30&lt;&gt;"",#REF!,"")</f>
        <v/>
      </c>
      <c r="BT147" s="1147" t="str">
        <f t="shared" si="39"/>
        <v/>
      </c>
      <c r="BU147" s="1147" t="str">
        <f>IF(L30&lt;&gt;"",#REF!,"")</f>
        <v/>
      </c>
      <c r="BV147" s="1148" t="str">
        <f t="shared" si="40"/>
        <v/>
      </c>
      <c r="BW147" s="1139" t="e">
        <f t="shared" si="45"/>
        <v>#REF!</v>
      </c>
    </row>
    <row r="148" spans="43:75" ht="24.95" hidden="1" customHeight="1">
      <c r="AQ148" s="1141" t="str">
        <f t="shared" si="41"/>
        <v/>
      </c>
      <c r="AR148" s="1141" t="str">
        <f t="shared" si="30"/>
        <v/>
      </c>
      <c r="AS148" s="1141"/>
      <c r="AT148" s="1149"/>
      <c r="AU148" s="1129" t="str">
        <f t="shared" si="31"/>
        <v/>
      </c>
      <c r="AV148" s="1150"/>
      <c r="AW148" s="1102" t="e">
        <f>IF(#REF!&gt;0,#REF!,"")</f>
        <v>#REF!</v>
      </c>
      <c r="AX148" s="1102" t="e">
        <f>IF(#REF!&lt;&gt;"",#REF!,"")</f>
        <v>#REF!</v>
      </c>
      <c r="AY148" s="1132" t="str">
        <f t="shared" si="32"/>
        <v/>
      </c>
      <c r="AZ148" s="1151" t="str">
        <f t="shared" si="33"/>
        <v/>
      </c>
      <c r="BA148" s="1152" t="str">
        <f>IF(L31&lt;&gt;"",#REF!,"")</f>
        <v/>
      </c>
      <c r="BB148" s="1153" t="str">
        <f t="shared" si="42"/>
        <v/>
      </c>
      <c r="BC148" s="1152" t="str">
        <f>IF(L31&lt;&gt;"",#REF!,"")</f>
        <v/>
      </c>
      <c r="BD148" s="1153" t="str">
        <f t="shared" si="34"/>
        <v/>
      </c>
      <c r="BE148" s="1137" t="e">
        <f t="shared" si="43"/>
        <v>#REF!</v>
      </c>
      <c r="BF148" s="1224"/>
      <c r="BI148" s="1142" t="str">
        <f t="shared" si="44"/>
        <v/>
      </c>
      <c r="BJ148" s="1143" t="str">
        <f t="shared" si="35"/>
        <v/>
      </c>
      <c r="BK148" s="1143"/>
      <c r="BL148" s="1143"/>
      <c r="BM148" s="1129" t="str">
        <f t="shared" si="36"/>
        <v/>
      </c>
      <c r="BN148" s="1104"/>
      <c r="BO148" s="1142" t="e">
        <f>IF(#REF!&gt;0,#REF!,"")</f>
        <v>#REF!</v>
      </c>
      <c r="BP148" s="1142" t="e">
        <f>IF(#REF!&lt;&gt;"",#REF!,"")</f>
        <v>#REF!</v>
      </c>
      <c r="BQ148" s="1132" t="str">
        <f t="shared" si="37"/>
        <v/>
      </c>
      <c r="BR148" s="1144" t="str">
        <f t="shared" si="38"/>
        <v/>
      </c>
      <c r="BS148" s="1146" t="str">
        <f>IF(L31&lt;&gt;"",#REF!,"")</f>
        <v/>
      </c>
      <c r="BT148" s="1147" t="str">
        <f t="shared" si="39"/>
        <v/>
      </c>
      <c r="BU148" s="1147" t="str">
        <f>IF(L31&lt;&gt;"",#REF!,"")</f>
        <v/>
      </c>
      <c r="BV148" s="1148" t="str">
        <f t="shared" si="40"/>
        <v/>
      </c>
      <c r="BW148" s="1139" t="e">
        <f t="shared" si="45"/>
        <v>#REF!</v>
      </c>
    </row>
    <row r="149" spans="43:75" ht="24.95" hidden="1" customHeight="1">
      <c r="AQ149" s="1141" t="str">
        <f t="shared" si="41"/>
        <v/>
      </c>
      <c r="AR149" s="1141" t="str">
        <f t="shared" si="30"/>
        <v/>
      </c>
      <c r="AS149" s="1141"/>
      <c r="AT149" s="1149"/>
      <c r="AU149" s="1129" t="str">
        <f t="shared" si="31"/>
        <v/>
      </c>
      <c r="AV149" s="1150"/>
      <c r="AW149" s="1102" t="e">
        <f>IF(#REF!&gt;0,#REF!,"")</f>
        <v>#REF!</v>
      </c>
      <c r="AX149" s="1102" t="e">
        <f>IF(#REF!&lt;&gt;"",#REF!,"")</f>
        <v>#REF!</v>
      </c>
      <c r="AY149" s="1132" t="str">
        <f t="shared" si="32"/>
        <v/>
      </c>
      <c r="AZ149" s="1151" t="str">
        <f t="shared" si="33"/>
        <v/>
      </c>
      <c r="BA149" s="1152" t="str">
        <f>IF(L32&lt;&gt;"",#REF!,"")</f>
        <v/>
      </c>
      <c r="BB149" s="1153" t="str">
        <f t="shared" si="42"/>
        <v/>
      </c>
      <c r="BC149" s="1152" t="str">
        <f>IF(L32&lt;&gt;"",#REF!,"")</f>
        <v/>
      </c>
      <c r="BD149" s="1153" t="str">
        <f t="shared" si="34"/>
        <v/>
      </c>
      <c r="BE149" s="1137" t="e">
        <f t="shared" si="43"/>
        <v>#REF!</v>
      </c>
      <c r="BF149" s="1224"/>
      <c r="BI149" s="1142" t="str">
        <f t="shared" si="44"/>
        <v/>
      </c>
      <c r="BJ149" s="1143" t="str">
        <f t="shared" si="35"/>
        <v/>
      </c>
      <c r="BK149" s="1143"/>
      <c r="BL149" s="1143"/>
      <c r="BM149" s="1129" t="str">
        <f t="shared" si="36"/>
        <v/>
      </c>
      <c r="BN149" s="1104"/>
      <c r="BO149" s="1142" t="e">
        <f>IF(#REF!&gt;0,#REF!,"")</f>
        <v>#REF!</v>
      </c>
      <c r="BP149" s="1142" t="e">
        <f>IF(#REF!&lt;&gt;"",#REF!,"")</f>
        <v>#REF!</v>
      </c>
      <c r="BQ149" s="1132" t="str">
        <f t="shared" si="37"/>
        <v/>
      </c>
      <c r="BR149" s="1144" t="str">
        <f t="shared" si="38"/>
        <v/>
      </c>
      <c r="BS149" s="1146" t="str">
        <f>IF(L32&lt;&gt;"",#REF!,"")</f>
        <v/>
      </c>
      <c r="BT149" s="1147" t="str">
        <f t="shared" si="39"/>
        <v/>
      </c>
      <c r="BU149" s="1147" t="str">
        <f>IF(L32&lt;&gt;"",#REF!,"")</f>
        <v/>
      </c>
      <c r="BV149" s="1148" t="str">
        <f t="shared" si="40"/>
        <v/>
      </c>
      <c r="BW149" s="1139" t="e">
        <f t="shared" si="45"/>
        <v>#REF!</v>
      </c>
    </row>
    <row r="150" spans="43:75" ht="24.95" hidden="1" customHeight="1">
      <c r="AQ150" s="1141" t="str">
        <f t="shared" si="41"/>
        <v/>
      </c>
      <c r="AR150" s="1141" t="str">
        <f t="shared" si="30"/>
        <v/>
      </c>
      <c r="AS150" s="1141"/>
      <c r="AT150" s="1149"/>
      <c r="AU150" s="1129" t="str">
        <f t="shared" si="31"/>
        <v/>
      </c>
      <c r="AV150" s="1150"/>
      <c r="AW150" s="1102" t="e">
        <f>IF(#REF!&gt;0,#REF!,"")</f>
        <v>#REF!</v>
      </c>
      <c r="AX150" s="1102" t="e">
        <f>IF(#REF!&lt;&gt;"",#REF!,"")</f>
        <v>#REF!</v>
      </c>
      <c r="AY150" s="1132" t="str">
        <f t="shared" si="32"/>
        <v/>
      </c>
      <c r="AZ150" s="1151" t="str">
        <f t="shared" si="33"/>
        <v/>
      </c>
      <c r="BA150" s="1152" t="str">
        <f>IF(L33&lt;&gt;"",#REF!,"")</f>
        <v/>
      </c>
      <c r="BB150" s="1153" t="str">
        <f t="shared" si="42"/>
        <v/>
      </c>
      <c r="BC150" s="1152" t="str">
        <f>IF(L33&lt;&gt;"",#REF!,"")</f>
        <v/>
      </c>
      <c r="BD150" s="1153" t="str">
        <f t="shared" si="34"/>
        <v/>
      </c>
      <c r="BE150" s="1137" t="e">
        <f t="shared" si="43"/>
        <v>#REF!</v>
      </c>
      <c r="BF150" s="1224"/>
      <c r="BI150" s="1142" t="str">
        <f t="shared" si="44"/>
        <v/>
      </c>
      <c r="BJ150" s="1143" t="str">
        <f t="shared" si="35"/>
        <v/>
      </c>
      <c r="BK150" s="1143"/>
      <c r="BL150" s="1143"/>
      <c r="BM150" s="1129" t="str">
        <f t="shared" si="36"/>
        <v/>
      </c>
      <c r="BN150" s="1104"/>
      <c r="BO150" s="1142" t="e">
        <f>IF(#REF!&gt;0,#REF!,"")</f>
        <v>#REF!</v>
      </c>
      <c r="BP150" s="1142" t="e">
        <f>IF(#REF!&lt;&gt;"",#REF!,"")</f>
        <v>#REF!</v>
      </c>
      <c r="BQ150" s="1132" t="str">
        <f t="shared" si="37"/>
        <v/>
      </c>
      <c r="BR150" s="1144" t="str">
        <f t="shared" si="38"/>
        <v/>
      </c>
      <c r="BS150" s="1146" t="str">
        <f>IF(L33&lt;&gt;"",#REF!,"")</f>
        <v/>
      </c>
      <c r="BT150" s="1147" t="str">
        <f t="shared" si="39"/>
        <v/>
      </c>
      <c r="BU150" s="1147" t="str">
        <f>IF(L33&lt;&gt;"",#REF!,"")</f>
        <v/>
      </c>
      <c r="BV150" s="1148" t="str">
        <f t="shared" si="40"/>
        <v/>
      </c>
      <c r="BW150" s="1139" t="e">
        <f t="shared" si="45"/>
        <v>#REF!</v>
      </c>
    </row>
    <row r="151" spans="43:75" ht="24.95" hidden="1" customHeight="1">
      <c r="AQ151" s="1141" t="str">
        <f t="shared" si="41"/>
        <v/>
      </c>
      <c r="AR151" s="1141" t="str">
        <f t="shared" si="30"/>
        <v/>
      </c>
      <c r="AS151" s="1141"/>
      <c r="AT151" s="1149"/>
      <c r="AU151" s="1129" t="str">
        <f t="shared" si="31"/>
        <v/>
      </c>
      <c r="AV151" s="1150"/>
      <c r="AW151" s="1102" t="e">
        <f>IF(#REF!&gt;0,#REF!,"")</f>
        <v>#REF!</v>
      </c>
      <c r="AX151" s="1102" t="e">
        <f>IF(#REF!&lt;&gt;"",#REF!,"")</f>
        <v>#REF!</v>
      </c>
      <c r="AY151" s="1132" t="str">
        <f t="shared" si="32"/>
        <v/>
      </c>
      <c r="AZ151" s="1151" t="str">
        <f t="shared" si="33"/>
        <v/>
      </c>
      <c r="BA151" s="1152" t="str">
        <f>IF(L34&lt;&gt;"",#REF!,"")</f>
        <v/>
      </c>
      <c r="BB151" s="1153" t="str">
        <f t="shared" si="42"/>
        <v/>
      </c>
      <c r="BC151" s="1152" t="str">
        <f>IF(L34&lt;&gt;"",#REF!,"")</f>
        <v/>
      </c>
      <c r="BD151" s="1153" t="str">
        <f t="shared" si="34"/>
        <v/>
      </c>
      <c r="BE151" s="1137" t="e">
        <f t="shared" si="43"/>
        <v>#REF!</v>
      </c>
      <c r="BF151" s="1224"/>
      <c r="BI151" s="1142" t="str">
        <f t="shared" si="44"/>
        <v/>
      </c>
      <c r="BJ151" s="1143" t="str">
        <f t="shared" si="35"/>
        <v/>
      </c>
      <c r="BK151" s="1143"/>
      <c r="BL151" s="1143"/>
      <c r="BM151" s="1129" t="str">
        <f t="shared" si="36"/>
        <v/>
      </c>
      <c r="BN151" s="1104"/>
      <c r="BO151" s="1142" t="e">
        <f>IF(#REF!&gt;0,#REF!,"")</f>
        <v>#REF!</v>
      </c>
      <c r="BP151" s="1142" t="e">
        <f>IF(#REF!&lt;&gt;"",#REF!,"")</f>
        <v>#REF!</v>
      </c>
      <c r="BQ151" s="1132" t="str">
        <f t="shared" si="37"/>
        <v/>
      </c>
      <c r="BR151" s="1144" t="str">
        <f t="shared" si="38"/>
        <v/>
      </c>
      <c r="BS151" s="1146" t="str">
        <f>IF(L34&lt;&gt;"",#REF!,"")</f>
        <v/>
      </c>
      <c r="BT151" s="1147" t="str">
        <f t="shared" si="39"/>
        <v/>
      </c>
      <c r="BU151" s="1147" t="str">
        <f>IF(L34&lt;&gt;"",#REF!,"")</f>
        <v/>
      </c>
      <c r="BV151" s="1148" t="str">
        <f t="shared" si="40"/>
        <v/>
      </c>
      <c r="BW151" s="1139" t="e">
        <f t="shared" si="45"/>
        <v>#REF!</v>
      </c>
    </row>
    <row r="152" spans="43:75" ht="24.95" hidden="1" customHeight="1">
      <c r="AQ152" s="1141" t="str">
        <f t="shared" si="41"/>
        <v/>
      </c>
      <c r="AR152" s="1141" t="str">
        <f t="shared" si="30"/>
        <v/>
      </c>
      <c r="AS152" s="1141"/>
      <c r="AT152" s="1149"/>
      <c r="AU152" s="1129" t="str">
        <f t="shared" si="31"/>
        <v/>
      </c>
      <c r="AV152" s="1150"/>
      <c r="AW152" s="1102" t="e">
        <f>IF(#REF!&gt;0,#REF!,"")</f>
        <v>#REF!</v>
      </c>
      <c r="AX152" s="1102" t="e">
        <f>IF(#REF!&lt;&gt;"",#REF!,"")</f>
        <v>#REF!</v>
      </c>
      <c r="AY152" s="1132" t="str">
        <f t="shared" si="32"/>
        <v/>
      </c>
      <c r="AZ152" s="1151" t="str">
        <f t="shared" si="33"/>
        <v/>
      </c>
      <c r="BA152" s="1152" t="str">
        <f>IF(L35&lt;&gt;"",#REF!,"")</f>
        <v/>
      </c>
      <c r="BB152" s="1153" t="str">
        <f t="shared" si="42"/>
        <v/>
      </c>
      <c r="BC152" s="1152" t="str">
        <f>IF(L35&lt;&gt;"",#REF!,"")</f>
        <v/>
      </c>
      <c r="BD152" s="1153" t="str">
        <f t="shared" si="34"/>
        <v/>
      </c>
      <c r="BE152" s="1137" t="e">
        <f t="shared" si="43"/>
        <v>#REF!</v>
      </c>
      <c r="BF152" s="1224"/>
      <c r="BI152" s="1142" t="str">
        <f t="shared" si="44"/>
        <v/>
      </c>
      <c r="BJ152" s="1143" t="str">
        <f t="shared" si="35"/>
        <v/>
      </c>
      <c r="BK152" s="1143"/>
      <c r="BL152" s="1143"/>
      <c r="BM152" s="1129" t="str">
        <f t="shared" si="36"/>
        <v/>
      </c>
      <c r="BN152" s="1104"/>
      <c r="BO152" s="1142" t="e">
        <f>IF(#REF!&gt;0,#REF!,"")</f>
        <v>#REF!</v>
      </c>
      <c r="BP152" s="1142" t="e">
        <f>IF(#REF!&lt;&gt;"",#REF!,"")</f>
        <v>#REF!</v>
      </c>
      <c r="BQ152" s="1132" t="str">
        <f t="shared" si="37"/>
        <v/>
      </c>
      <c r="BR152" s="1144" t="str">
        <f t="shared" si="38"/>
        <v/>
      </c>
      <c r="BS152" s="1146" t="str">
        <f>IF(L35&lt;&gt;"",#REF!,"")</f>
        <v/>
      </c>
      <c r="BT152" s="1147" t="str">
        <f t="shared" si="39"/>
        <v/>
      </c>
      <c r="BU152" s="1147" t="str">
        <f>IF(L35&lt;&gt;"",#REF!,"")</f>
        <v/>
      </c>
      <c r="BV152" s="1148" t="str">
        <f t="shared" si="40"/>
        <v/>
      </c>
      <c r="BW152" s="1139" t="e">
        <f t="shared" si="45"/>
        <v>#REF!</v>
      </c>
    </row>
    <row r="153" spans="43:75" ht="24.95" hidden="1" customHeight="1">
      <c r="AQ153" s="1141" t="str">
        <f t="shared" si="41"/>
        <v/>
      </c>
      <c r="AR153" s="1141" t="str">
        <f t="shared" si="30"/>
        <v/>
      </c>
      <c r="AS153" s="1141"/>
      <c r="AT153" s="1149"/>
      <c r="AU153" s="1129" t="str">
        <f t="shared" si="31"/>
        <v/>
      </c>
      <c r="AV153" s="1150"/>
      <c r="AW153" s="1102" t="e">
        <f>IF(#REF!&gt;0,#REF!,"")</f>
        <v>#REF!</v>
      </c>
      <c r="AX153" s="1102" t="e">
        <f>IF(#REF!&lt;&gt;"",#REF!,"")</f>
        <v>#REF!</v>
      </c>
      <c r="AY153" s="1132" t="str">
        <f t="shared" si="32"/>
        <v/>
      </c>
      <c r="AZ153" s="1151" t="str">
        <f t="shared" si="33"/>
        <v/>
      </c>
      <c r="BA153" s="1152" t="str">
        <f>IF(L36&lt;&gt;"",#REF!,"")</f>
        <v/>
      </c>
      <c r="BB153" s="1153" t="str">
        <f t="shared" si="42"/>
        <v/>
      </c>
      <c r="BC153" s="1152" t="str">
        <f>IF(L36&lt;&gt;"",#REF!,"")</f>
        <v/>
      </c>
      <c r="BD153" s="1153" t="str">
        <f t="shared" si="34"/>
        <v/>
      </c>
      <c r="BE153" s="1137" t="e">
        <f t="shared" si="43"/>
        <v>#REF!</v>
      </c>
      <c r="BF153" s="1224"/>
      <c r="BI153" s="1142" t="str">
        <f t="shared" si="44"/>
        <v/>
      </c>
      <c r="BJ153" s="1143" t="str">
        <f t="shared" si="35"/>
        <v/>
      </c>
      <c r="BK153" s="1143"/>
      <c r="BL153" s="1143"/>
      <c r="BM153" s="1129" t="str">
        <f t="shared" si="36"/>
        <v/>
      </c>
      <c r="BN153" s="1104"/>
      <c r="BO153" s="1142" t="e">
        <f>IF(#REF!&gt;0,#REF!,"")</f>
        <v>#REF!</v>
      </c>
      <c r="BP153" s="1142" t="e">
        <f>IF(#REF!&lt;&gt;"",#REF!,"")</f>
        <v>#REF!</v>
      </c>
      <c r="BQ153" s="1132" t="str">
        <f t="shared" si="37"/>
        <v/>
      </c>
      <c r="BR153" s="1144" t="str">
        <f t="shared" si="38"/>
        <v/>
      </c>
      <c r="BS153" s="1146" t="str">
        <f>IF(L36&lt;&gt;"",#REF!,"")</f>
        <v/>
      </c>
      <c r="BT153" s="1147" t="str">
        <f t="shared" si="39"/>
        <v/>
      </c>
      <c r="BU153" s="1147" t="str">
        <f>IF(L36&lt;&gt;"",#REF!,"")</f>
        <v/>
      </c>
      <c r="BV153" s="1148" t="str">
        <f t="shared" si="40"/>
        <v/>
      </c>
      <c r="BW153" s="1139" t="e">
        <f t="shared" si="45"/>
        <v>#REF!</v>
      </c>
    </row>
    <row r="154" spans="43:75" ht="24.95" hidden="1" customHeight="1">
      <c r="AQ154" s="1141" t="str">
        <f t="shared" si="41"/>
        <v/>
      </c>
      <c r="AR154" s="1141" t="str">
        <f t="shared" si="30"/>
        <v/>
      </c>
      <c r="AS154" s="1141"/>
      <c r="AT154" s="1149"/>
      <c r="AU154" s="1129" t="str">
        <f t="shared" si="31"/>
        <v/>
      </c>
      <c r="AV154" s="1150"/>
      <c r="AW154" s="1102" t="e">
        <f>IF(#REF!&gt;0,#REF!,"")</f>
        <v>#REF!</v>
      </c>
      <c r="AX154" s="1102" t="e">
        <f>IF(#REF!&lt;&gt;"",#REF!,"")</f>
        <v>#REF!</v>
      </c>
      <c r="AY154" s="1132" t="str">
        <f t="shared" si="32"/>
        <v/>
      </c>
      <c r="AZ154" s="1151" t="str">
        <f t="shared" si="33"/>
        <v/>
      </c>
      <c r="BA154" s="1152" t="str">
        <f>IF(L37&lt;&gt;"",#REF!,"")</f>
        <v/>
      </c>
      <c r="BB154" s="1153" t="str">
        <f t="shared" si="42"/>
        <v/>
      </c>
      <c r="BC154" s="1152" t="str">
        <f>IF(L37&lt;&gt;"",#REF!,"")</f>
        <v/>
      </c>
      <c r="BD154" s="1153" t="str">
        <f t="shared" si="34"/>
        <v/>
      </c>
      <c r="BE154" s="1137" t="e">
        <f t="shared" si="43"/>
        <v>#REF!</v>
      </c>
      <c r="BF154" s="1224"/>
      <c r="BI154" s="1142" t="str">
        <f t="shared" si="44"/>
        <v/>
      </c>
      <c r="BJ154" s="1143" t="str">
        <f t="shared" si="35"/>
        <v/>
      </c>
      <c r="BK154" s="1143"/>
      <c r="BL154" s="1143"/>
      <c r="BM154" s="1129" t="str">
        <f t="shared" si="36"/>
        <v/>
      </c>
      <c r="BN154" s="1104"/>
      <c r="BO154" s="1142" t="e">
        <f>IF(#REF!&gt;0,#REF!,"")</f>
        <v>#REF!</v>
      </c>
      <c r="BP154" s="1142" t="e">
        <f>IF(#REF!&lt;&gt;"",#REF!,"")</f>
        <v>#REF!</v>
      </c>
      <c r="BQ154" s="1132" t="str">
        <f t="shared" si="37"/>
        <v/>
      </c>
      <c r="BR154" s="1144" t="str">
        <f t="shared" si="38"/>
        <v/>
      </c>
      <c r="BS154" s="1146" t="str">
        <f>IF(L37&lt;&gt;"",#REF!,"")</f>
        <v/>
      </c>
      <c r="BT154" s="1147" t="str">
        <f t="shared" si="39"/>
        <v/>
      </c>
      <c r="BU154" s="1147" t="str">
        <f>IF(L37&lt;&gt;"",#REF!,"")</f>
        <v/>
      </c>
      <c r="BV154" s="1148" t="str">
        <f t="shared" si="40"/>
        <v/>
      </c>
      <c r="BW154" s="1139" t="e">
        <f t="shared" si="45"/>
        <v>#REF!</v>
      </c>
    </row>
    <row r="155" spans="43:75" ht="24.95" hidden="1" customHeight="1">
      <c r="AQ155" s="1141" t="str">
        <f t="shared" si="41"/>
        <v/>
      </c>
      <c r="AR155" s="1141" t="str">
        <f t="shared" si="30"/>
        <v/>
      </c>
      <c r="AS155" s="1141"/>
      <c r="AT155" s="1149"/>
      <c r="AU155" s="1129" t="str">
        <f t="shared" si="31"/>
        <v/>
      </c>
      <c r="AV155" s="1150"/>
      <c r="AW155" s="1102" t="e">
        <f>IF(#REF!&gt;0,#REF!,"")</f>
        <v>#REF!</v>
      </c>
      <c r="AX155" s="1102" t="e">
        <f>IF(#REF!&lt;&gt;"",#REF!,"")</f>
        <v>#REF!</v>
      </c>
      <c r="AY155" s="1132" t="str">
        <f t="shared" si="32"/>
        <v/>
      </c>
      <c r="AZ155" s="1151" t="str">
        <f t="shared" si="33"/>
        <v/>
      </c>
      <c r="BA155" s="1152" t="str">
        <f>IF(L38&lt;&gt;"",#REF!,"")</f>
        <v/>
      </c>
      <c r="BB155" s="1153" t="str">
        <f t="shared" si="42"/>
        <v/>
      </c>
      <c r="BC155" s="1152" t="str">
        <f>IF(L38&lt;&gt;"",#REF!,"")</f>
        <v/>
      </c>
      <c r="BD155" s="1153" t="str">
        <f t="shared" si="34"/>
        <v/>
      </c>
      <c r="BE155" s="1137" t="e">
        <f t="shared" si="43"/>
        <v>#REF!</v>
      </c>
      <c r="BF155" s="1224"/>
      <c r="BI155" s="1142" t="str">
        <f t="shared" si="44"/>
        <v/>
      </c>
      <c r="BJ155" s="1143" t="str">
        <f t="shared" si="35"/>
        <v/>
      </c>
      <c r="BK155" s="1143"/>
      <c r="BL155" s="1143"/>
      <c r="BM155" s="1129" t="str">
        <f t="shared" si="36"/>
        <v/>
      </c>
      <c r="BN155" s="1104"/>
      <c r="BO155" s="1142" t="e">
        <f>IF(#REF!&gt;0,#REF!,"")</f>
        <v>#REF!</v>
      </c>
      <c r="BP155" s="1142" t="e">
        <f>IF(#REF!&lt;&gt;"",#REF!,"")</f>
        <v>#REF!</v>
      </c>
      <c r="BQ155" s="1132" t="str">
        <f t="shared" si="37"/>
        <v/>
      </c>
      <c r="BR155" s="1144" t="str">
        <f t="shared" si="38"/>
        <v/>
      </c>
      <c r="BS155" s="1146" t="str">
        <f>IF(L38&lt;&gt;"",#REF!,"")</f>
        <v/>
      </c>
      <c r="BT155" s="1147" t="str">
        <f t="shared" si="39"/>
        <v/>
      </c>
      <c r="BU155" s="1147" t="str">
        <f>IF(L38&lt;&gt;"",#REF!,"")</f>
        <v/>
      </c>
      <c r="BV155" s="1148" t="str">
        <f t="shared" si="40"/>
        <v/>
      </c>
      <c r="BW155" s="1139" t="e">
        <f t="shared" si="45"/>
        <v>#REF!</v>
      </c>
    </row>
    <row r="156" spans="43:75" ht="24.95" hidden="1" customHeight="1">
      <c r="AQ156" s="1141" t="str">
        <f t="shared" si="41"/>
        <v/>
      </c>
      <c r="AR156" s="1141" t="str">
        <f t="shared" si="30"/>
        <v/>
      </c>
      <c r="AS156" s="1141"/>
      <c r="AT156" s="1149"/>
      <c r="AU156" s="1129" t="str">
        <f t="shared" si="31"/>
        <v/>
      </c>
      <c r="AV156" s="1150"/>
      <c r="AW156" s="1102" t="e">
        <f>IF(#REF!&gt;0,#REF!,"")</f>
        <v>#REF!</v>
      </c>
      <c r="AX156" s="1102" t="e">
        <f>IF(#REF!&lt;&gt;"",#REF!,"")</f>
        <v>#REF!</v>
      </c>
      <c r="AY156" s="1132" t="str">
        <f t="shared" si="32"/>
        <v/>
      </c>
      <c r="AZ156" s="1151" t="str">
        <f t="shared" si="33"/>
        <v/>
      </c>
      <c r="BA156" s="1152" t="str">
        <f>IF(L39&lt;&gt;"",#REF!,"")</f>
        <v/>
      </c>
      <c r="BB156" s="1153" t="str">
        <f t="shared" si="42"/>
        <v/>
      </c>
      <c r="BC156" s="1152" t="str">
        <f>IF(L39&lt;&gt;"",#REF!,"")</f>
        <v/>
      </c>
      <c r="BD156" s="1153" t="str">
        <f t="shared" si="34"/>
        <v/>
      </c>
      <c r="BE156" s="1137" t="e">
        <f t="shared" si="43"/>
        <v>#REF!</v>
      </c>
      <c r="BF156" s="1224"/>
      <c r="BI156" s="1142" t="str">
        <f t="shared" si="44"/>
        <v/>
      </c>
      <c r="BJ156" s="1143" t="str">
        <f t="shared" si="35"/>
        <v/>
      </c>
      <c r="BK156" s="1143"/>
      <c r="BL156" s="1143"/>
      <c r="BM156" s="1129" t="str">
        <f t="shared" si="36"/>
        <v/>
      </c>
      <c r="BN156" s="1104"/>
      <c r="BO156" s="1142" t="e">
        <f>IF(#REF!&gt;0,#REF!,"")</f>
        <v>#REF!</v>
      </c>
      <c r="BP156" s="1142" t="e">
        <f>IF(#REF!&lt;&gt;"",#REF!,"")</f>
        <v>#REF!</v>
      </c>
      <c r="BQ156" s="1132" t="str">
        <f t="shared" si="37"/>
        <v/>
      </c>
      <c r="BR156" s="1144" t="str">
        <f t="shared" si="38"/>
        <v/>
      </c>
      <c r="BS156" s="1146" t="str">
        <f>IF(L39&lt;&gt;"",#REF!,"")</f>
        <v/>
      </c>
      <c r="BT156" s="1147" t="str">
        <f t="shared" si="39"/>
        <v/>
      </c>
      <c r="BU156" s="1147" t="str">
        <f>IF(L39&lt;&gt;"",#REF!,"")</f>
        <v/>
      </c>
      <c r="BV156" s="1148" t="str">
        <f t="shared" si="40"/>
        <v/>
      </c>
      <c r="BW156" s="1139" t="e">
        <f t="shared" si="45"/>
        <v>#REF!</v>
      </c>
    </row>
    <row r="157" spans="43:75" ht="24.95" hidden="1" customHeight="1">
      <c r="AQ157" s="1141" t="str">
        <f t="shared" si="41"/>
        <v/>
      </c>
      <c r="AR157" s="1141" t="str">
        <f t="shared" ref="AR157:AR188" si="46">IF(K40&lt;&gt;"",K40,"")</f>
        <v/>
      </c>
      <c r="AS157" s="1141"/>
      <c r="AT157" s="1149"/>
      <c r="AU157" s="1129" t="str">
        <f t="shared" ref="AU157:AU188" si="47">IF(L40&lt;&gt;"",MID(L40,7,200),"")</f>
        <v/>
      </c>
      <c r="AV157" s="1150"/>
      <c r="AW157" s="1102" t="e">
        <f>IF(#REF!&gt;0,#REF!,"")</f>
        <v>#REF!</v>
      </c>
      <c r="AX157" s="1102" t="e">
        <f>IF(#REF!&lt;&gt;"",#REF!,"")</f>
        <v>#REF!</v>
      </c>
      <c r="AY157" s="1132" t="str">
        <f t="shared" ref="AY157:AY188" si="48">IF(L40&lt;&gt;"",MID(M40,5,100),"")</f>
        <v/>
      </c>
      <c r="AZ157" s="1151" t="str">
        <f t="shared" si="33"/>
        <v/>
      </c>
      <c r="BA157" s="1152" t="str">
        <f>IF(L40&lt;&gt;"",#REF!,"")</f>
        <v/>
      </c>
      <c r="BB157" s="1153" t="str">
        <f t="shared" si="42"/>
        <v/>
      </c>
      <c r="BC157" s="1152" t="str">
        <f>IF(L40&lt;&gt;"",#REF!,"")</f>
        <v/>
      </c>
      <c r="BD157" s="1153" t="str">
        <f t="shared" si="34"/>
        <v/>
      </c>
      <c r="BE157" s="1137" t="e">
        <f t="shared" si="43"/>
        <v>#REF!</v>
      </c>
      <c r="BI157" s="1142" t="str">
        <f t="shared" si="44"/>
        <v/>
      </c>
      <c r="BJ157" s="1143" t="str">
        <f t="shared" ref="BJ157:BJ188" si="49">IF(L40&lt;&gt;"",K40,"")</f>
        <v/>
      </c>
      <c r="BK157" s="1143"/>
      <c r="BL157" s="1143"/>
      <c r="BM157" s="1129" t="str">
        <f t="shared" ref="BM157:BM188" si="50">IF(L40&lt;&gt;"",MID(L40,7,200),"")</f>
        <v/>
      </c>
      <c r="BN157" s="1104"/>
      <c r="BO157" s="1142" t="e">
        <f>IF(#REF!&gt;0,#REF!,"")</f>
        <v>#REF!</v>
      </c>
      <c r="BP157" s="1142" t="e">
        <f>IF(#REF!&lt;&gt;"",#REF!,"")</f>
        <v>#REF!</v>
      </c>
      <c r="BQ157" s="1132" t="str">
        <f t="shared" ref="BQ157:BQ188" si="51">IF(L40&lt;&gt;"",MID(M40,5,100),"")</f>
        <v/>
      </c>
      <c r="BR157" s="1144" t="str">
        <f t="shared" si="38"/>
        <v/>
      </c>
      <c r="BS157" s="1146" t="str">
        <f>IF(L40&lt;&gt;"",#REF!,"")</f>
        <v/>
      </c>
      <c r="BT157" s="1147" t="str">
        <f t="shared" si="39"/>
        <v/>
      </c>
      <c r="BU157" s="1147" t="str">
        <f>IF(L40&lt;&gt;"",#REF!,"")</f>
        <v/>
      </c>
      <c r="BV157" s="1148" t="str">
        <f t="shared" si="40"/>
        <v/>
      </c>
      <c r="BW157" s="1139" t="e">
        <f t="shared" si="45"/>
        <v>#REF!</v>
      </c>
    </row>
    <row r="158" spans="43:75" ht="24.95" hidden="1" customHeight="1">
      <c r="AQ158" s="1141" t="str">
        <f t="shared" ref="AQ158:AQ189" si="52">IF(L41="","",AQ157+1)</f>
        <v/>
      </c>
      <c r="AR158" s="1141" t="str">
        <f t="shared" si="46"/>
        <v/>
      </c>
      <c r="AS158" s="1141"/>
      <c r="AT158" s="1149"/>
      <c r="AU158" s="1129" t="str">
        <f t="shared" si="47"/>
        <v/>
      </c>
      <c r="AV158" s="1150"/>
      <c r="AW158" s="1102" t="e">
        <f>IF(#REF!&gt;0,#REF!,"")</f>
        <v>#REF!</v>
      </c>
      <c r="AX158" s="1102" t="e">
        <f>IF(#REF!&lt;&gt;"",#REF!,"")</f>
        <v>#REF!</v>
      </c>
      <c r="AY158" s="1132" t="str">
        <f t="shared" si="48"/>
        <v/>
      </c>
      <c r="AZ158" s="1151" t="str">
        <f t="shared" si="33"/>
        <v/>
      </c>
      <c r="BA158" s="1152" t="str">
        <f>IF(L41&lt;&gt;"",#REF!,"")</f>
        <v/>
      </c>
      <c r="BB158" s="1153" t="str">
        <f t="shared" si="42"/>
        <v/>
      </c>
      <c r="BC158" s="1152" t="str">
        <f>IF(L41&lt;&gt;"",#REF!,"")</f>
        <v/>
      </c>
      <c r="BD158" s="1153" t="str">
        <f t="shared" si="34"/>
        <v/>
      </c>
      <c r="BE158" s="1137" t="e">
        <f t="shared" si="43"/>
        <v>#REF!</v>
      </c>
      <c r="BI158" s="1142" t="str">
        <f t="shared" ref="BI158:BI189" si="53">IF(L41="","",BI157+1)</f>
        <v/>
      </c>
      <c r="BJ158" s="1143" t="str">
        <f t="shared" si="49"/>
        <v/>
      </c>
      <c r="BK158" s="1143"/>
      <c r="BL158" s="1143"/>
      <c r="BM158" s="1129" t="str">
        <f t="shared" si="50"/>
        <v/>
      </c>
      <c r="BN158" s="1104"/>
      <c r="BO158" s="1142" t="e">
        <f>IF(#REF!&gt;0,#REF!,"")</f>
        <v>#REF!</v>
      </c>
      <c r="BP158" s="1142" t="e">
        <f>IF(#REF!&lt;&gt;"",#REF!,"")</f>
        <v>#REF!</v>
      </c>
      <c r="BQ158" s="1132" t="str">
        <f t="shared" si="51"/>
        <v/>
      </c>
      <c r="BR158" s="1144" t="str">
        <f t="shared" si="38"/>
        <v/>
      </c>
      <c r="BS158" s="1146" t="str">
        <f>IF(L41&lt;&gt;"",#REF!,"")</f>
        <v/>
      </c>
      <c r="BT158" s="1147" t="str">
        <f t="shared" si="39"/>
        <v/>
      </c>
      <c r="BU158" s="1147" t="str">
        <f>IF(L41&lt;&gt;"",#REF!,"")</f>
        <v/>
      </c>
      <c r="BV158" s="1148" t="str">
        <f t="shared" si="40"/>
        <v/>
      </c>
      <c r="BW158" s="1139" t="e">
        <f t="shared" si="45"/>
        <v>#REF!</v>
      </c>
    </row>
    <row r="159" spans="43:75" ht="24.95" hidden="1" customHeight="1">
      <c r="AQ159" s="1141" t="str">
        <f t="shared" si="52"/>
        <v/>
      </c>
      <c r="AR159" s="1141" t="str">
        <f t="shared" si="46"/>
        <v/>
      </c>
      <c r="AS159" s="1141"/>
      <c r="AT159" s="1149"/>
      <c r="AU159" s="1129" t="str">
        <f t="shared" si="47"/>
        <v/>
      </c>
      <c r="AV159" s="1150"/>
      <c r="AW159" s="1102" t="e">
        <f>IF(#REF!&gt;0,#REF!,"")</f>
        <v>#REF!</v>
      </c>
      <c r="AX159" s="1102" t="e">
        <f>IF(#REF!&lt;&gt;"",#REF!,"")</f>
        <v>#REF!</v>
      </c>
      <c r="AY159" s="1132" t="str">
        <f t="shared" si="48"/>
        <v/>
      </c>
      <c r="AZ159" s="1151" t="str">
        <f t="shared" si="33"/>
        <v/>
      </c>
      <c r="BA159" s="1152" t="str">
        <f>IF(L42&lt;&gt;"",#REF!,"")</f>
        <v/>
      </c>
      <c r="BB159" s="1153" t="str">
        <f t="shared" si="42"/>
        <v/>
      </c>
      <c r="BC159" s="1152" t="str">
        <f>IF(L42&lt;&gt;"",#REF!,"")</f>
        <v/>
      </c>
      <c r="BD159" s="1153" t="str">
        <f t="shared" si="34"/>
        <v/>
      </c>
      <c r="BE159" s="1137" t="e">
        <f t="shared" si="43"/>
        <v>#REF!</v>
      </c>
      <c r="BI159" s="1142" t="str">
        <f t="shared" si="53"/>
        <v/>
      </c>
      <c r="BJ159" s="1143" t="str">
        <f t="shared" si="49"/>
        <v/>
      </c>
      <c r="BK159" s="1143"/>
      <c r="BL159" s="1143"/>
      <c r="BM159" s="1129" t="str">
        <f t="shared" si="50"/>
        <v/>
      </c>
      <c r="BN159" s="1104"/>
      <c r="BO159" s="1142" t="e">
        <f>IF(#REF!&gt;0,#REF!,"")</f>
        <v>#REF!</v>
      </c>
      <c r="BP159" s="1142" t="e">
        <f>IF(#REF!&lt;&gt;"",#REF!,"")</f>
        <v>#REF!</v>
      </c>
      <c r="BQ159" s="1132" t="str">
        <f t="shared" si="51"/>
        <v/>
      </c>
      <c r="BR159" s="1144" t="str">
        <f t="shared" si="38"/>
        <v/>
      </c>
      <c r="BS159" s="1146" t="str">
        <f>IF(L42&lt;&gt;"",#REF!,"")</f>
        <v/>
      </c>
      <c r="BT159" s="1147" t="str">
        <f t="shared" si="39"/>
        <v/>
      </c>
      <c r="BU159" s="1147" t="str">
        <f>IF(L42&lt;&gt;"",#REF!,"")</f>
        <v/>
      </c>
      <c r="BV159" s="1148" t="str">
        <f t="shared" si="40"/>
        <v/>
      </c>
      <c r="BW159" s="1139" t="e">
        <f t="shared" si="45"/>
        <v>#REF!</v>
      </c>
    </row>
    <row r="160" spans="43:75" ht="24.95" hidden="1" customHeight="1">
      <c r="AQ160" s="1141" t="str">
        <f t="shared" si="52"/>
        <v/>
      </c>
      <c r="AR160" s="1141" t="str">
        <f t="shared" si="46"/>
        <v/>
      </c>
      <c r="AS160" s="1141"/>
      <c r="AT160" s="1149"/>
      <c r="AU160" s="1129" t="str">
        <f t="shared" si="47"/>
        <v/>
      </c>
      <c r="AV160" s="1150"/>
      <c r="AW160" s="1102" t="e">
        <f>IF(#REF!&gt;0,#REF!,"")</f>
        <v>#REF!</v>
      </c>
      <c r="AX160" s="1102" t="e">
        <f>IF(#REF!&lt;&gt;"",#REF!,"")</f>
        <v>#REF!</v>
      </c>
      <c r="AY160" s="1132" t="str">
        <f t="shared" si="48"/>
        <v/>
      </c>
      <c r="AZ160" s="1151" t="str">
        <f t="shared" si="33"/>
        <v/>
      </c>
      <c r="BA160" s="1152" t="str">
        <f>IF(L43&lt;&gt;"",#REF!,"")</f>
        <v/>
      </c>
      <c r="BB160" s="1153" t="str">
        <f t="shared" si="42"/>
        <v/>
      </c>
      <c r="BC160" s="1152" t="str">
        <f>IF(L43&lt;&gt;"",#REF!,"")</f>
        <v/>
      </c>
      <c r="BD160" s="1153" t="str">
        <f t="shared" si="34"/>
        <v/>
      </c>
      <c r="BE160" s="1137" t="e">
        <f t="shared" si="43"/>
        <v>#REF!</v>
      </c>
      <c r="BI160" s="1142" t="str">
        <f t="shared" si="53"/>
        <v/>
      </c>
      <c r="BJ160" s="1143" t="str">
        <f t="shared" si="49"/>
        <v/>
      </c>
      <c r="BK160" s="1143"/>
      <c r="BL160" s="1143"/>
      <c r="BM160" s="1129" t="str">
        <f t="shared" si="50"/>
        <v/>
      </c>
      <c r="BN160" s="1104"/>
      <c r="BO160" s="1142" t="e">
        <f>IF(#REF!&gt;0,#REF!,"")</f>
        <v>#REF!</v>
      </c>
      <c r="BP160" s="1142" t="e">
        <f>IF(#REF!&lt;&gt;"",#REF!,"")</f>
        <v>#REF!</v>
      </c>
      <c r="BQ160" s="1132" t="str">
        <f t="shared" si="51"/>
        <v/>
      </c>
      <c r="BR160" s="1144" t="str">
        <f t="shared" si="38"/>
        <v/>
      </c>
      <c r="BS160" s="1146" t="str">
        <f>IF(L43&lt;&gt;"",#REF!,"")</f>
        <v/>
      </c>
      <c r="BT160" s="1147" t="str">
        <f t="shared" si="39"/>
        <v/>
      </c>
      <c r="BU160" s="1147" t="str">
        <f>IF(L43&lt;&gt;"",#REF!,"")</f>
        <v/>
      </c>
      <c r="BV160" s="1148" t="str">
        <f t="shared" si="40"/>
        <v/>
      </c>
      <c r="BW160" s="1139" t="e">
        <f t="shared" si="45"/>
        <v>#REF!</v>
      </c>
    </row>
    <row r="161" spans="43:75" ht="24.95" hidden="1" customHeight="1">
      <c r="AQ161" s="1141" t="str">
        <f t="shared" si="52"/>
        <v/>
      </c>
      <c r="AR161" s="1141" t="str">
        <f t="shared" si="46"/>
        <v/>
      </c>
      <c r="AS161" s="1141"/>
      <c r="AT161" s="1149"/>
      <c r="AU161" s="1129" t="str">
        <f t="shared" si="47"/>
        <v/>
      </c>
      <c r="AV161" s="1150"/>
      <c r="AW161" s="1102" t="e">
        <f>IF(#REF!&gt;0,#REF!,"")</f>
        <v>#REF!</v>
      </c>
      <c r="AX161" s="1102" t="e">
        <f>IF(#REF!&lt;&gt;"",#REF!,"")</f>
        <v>#REF!</v>
      </c>
      <c r="AY161" s="1132" t="str">
        <f t="shared" si="48"/>
        <v/>
      </c>
      <c r="AZ161" s="1151" t="str">
        <f t="shared" si="33"/>
        <v/>
      </c>
      <c r="BA161" s="1152" t="str">
        <f>IF(L44&lt;&gt;"",#REF!,"")</f>
        <v/>
      </c>
      <c r="BB161" s="1153" t="str">
        <f t="shared" si="42"/>
        <v/>
      </c>
      <c r="BC161" s="1152" t="str">
        <f>IF(L44&lt;&gt;"",#REF!,"")</f>
        <v/>
      </c>
      <c r="BD161" s="1153" t="str">
        <f t="shared" si="34"/>
        <v/>
      </c>
      <c r="BE161" s="1137" t="e">
        <f t="shared" si="43"/>
        <v>#REF!</v>
      </c>
      <c r="BI161" s="1142" t="str">
        <f t="shared" si="53"/>
        <v/>
      </c>
      <c r="BJ161" s="1143" t="str">
        <f t="shared" si="49"/>
        <v/>
      </c>
      <c r="BK161" s="1143"/>
      <c r="BL161" s="1143"/>
      <c r="BM161" s="1129" t="str">
        <f t="shared" si="50"/>
        <v/>
      </c>
      <c r="BN161" s="1104"/>
      <c r="BO161" s="1142" t="e">
        <f>IF(#REF!&gt;0,#REF!,"")</f>
        <v>#REF!</v>
      </c>
      <c r="BP161" s="1142" t="e">
        <f>IF(#REF!&lt;&gt;"",#REF!,"")</f>
        <v>#REF!</v>
      </c>
      <c r="BQ161" s="1132" t="str">
        <f t="shared" si="51"/>
        <v/>
      </c>
      <c r="BR161" s="1144" t="str">
        <f t="shared" si="38"/>
        <v/>
      </c>
      <c r="BS161" s="1146" t="str">
        <f>IF(L44&lt;&gt;"",#REF!,"")</f>
        <v/>
      </c>
      <c r="BT161" s="1147" t="str">
        <f t="shared" si="39"/>
        <v/>
      </c>
      <c r="BU161" s="1147" t="str">
        <f>IF(L44&lt;&gt;"",#REF!,"")</f>
        <v/>
      </c>
      <c r="BV161" s="1148" t="str">
        <f t="shared" si="40"/>
        <v/>
      </c>
      <c r="BW161" s="1139" t="e">
        <f t="shared" si="45"/>
        <v>#REF!</v>
      </c>
    </row>
    <row r="162" spans="43:75" ht="24.95" hidden="1" customHeight="1">
      <c r="AQ162" s="1141" t="str">
        <f t="shared" si="52"/>
        <v/>
      </c>
      <c r="AR162" s="1141" t="str">
        <f t="shared" si="46"/>
        <v/>
      </c>
      <c r="AS162" s="1141"/>
      <c r="AT162" s="1149"/>
      <c r="AU162" s="1129" t="str">
        <f t="shared" si="47"/>
        <v/>
      </c>
      <c r="AV162" s="1150"/>
      <c r="AW162" s="1102" t="e">
        <f>IF(#REF!&gt;0,#REF!,"")</f>
        <v>#REF!</v>
      </c>
      <c r="AX162" s="1102" t="e">
        <f>IF(#REF!&lt;&gt;"",#REF!,"")</f>
        <v>#REF!</v>
      </c>
      <c r="AY162" s="1132" t="str">
        <f t="shared" si="48"/>
        <v/>
      </c>
      <c r="AZ162" s="1151" t="str">
        <f t="shared" si="33"/>
        <v/>
      </c>
      <c r="BA162" s="1152" t="str">
        <f>IF(L45&lt;&gt;"",#REF!,"")</f>
        <v/>
      </c>
      <c r="BB162" s="1153" t="str">
        <f t="shared" si="42"/>
        <v/>
      </c>
      <c r="BC162" s="1152" t="str">
        <f>IF(L45&lt;&gt;"",#REF!,"")</f>
        <v/>
      </c>
      <c r="BD162" s="1153" t="str">
        <f t="shared" si="34"/>
        <v/>
      </c>
      <c r="BE162" s="1137" t="e">
        <f t="shared" si="43"/>
        <v>#REF!</v>
      </c>
      <c r="BI162" s="1142" t="str">
        <f t="shared" si="53"/>
        <v/>
      </c>
      <c r="BJ162" s="1143" t="str">
        <f t="shared" si="49"/>
        <v/>
      </c>
      <c r="BK162" s="1143"/>
      <c r="BL162" s="1143"/>
      <c r="BM162" s="1129" t="str">
        <f t="shared" si="50"/>
        <v/>
      </c>
      <c r="BN162" s="1104"/>
      <c r="BO162" s="1142" t="e">
        <f>IF(#REF!&gt;0,#REF!,"")</f>
        <v>#REF!</v>
      </c>
      <c r="BP162" s="1142" t="e">
        <f>IF(#REF!&lt;&gt;"",#REF!,"")</f>
        <v>#REF!</v>
      </c>
      <c r="BQ162" s="1132" t="str">
        <f t="shared" si="51"/>
        <v/>
      </c>
      <c r="BR162" s="1144" t="str">
        <f t="shared" si="38"/>
        <v/>
      </c>
      <c r="BS162" s="1146" t="str">
        <f>IF(L45&lt;&gt;"",#REF!,"")</f>
        <v/>
      </c>
      <c r="BT162" s="1147" t="str">
        <f t="shared" si="39"/>
        <v/>
      </c>
      <c r="BU162" s="1147" t="str">
        <f>IF(L45&lt;&gt;"",#REF!,"")</f>
        <v/>
      </c>
      <c r="BV162" s="1148" t="str">
        <f t="shared" si="40"/>
        <v/>
      </c>
      <c r="BW162" s="1139" t="e">
        <f t="shared" si="45"/>
        <v>#REF!</v>
      </c>
    </row>
    <row r="163" spans="43:75" ht="24.95" hidden="1" customHeight="1">
      <c r="AQ163" s="1141" t="str">
        <f t="shared" si="52"/>
        <v/>
      </c>
      <c r="AR163" s="1141" t="str">
        <f t="shared" si="46"/>
        <v/>
      </c>
      <c r="AS163" s="1141"/>
      <c r="AT163" s="1149"/>
      <c r="AU163" s="1129" t="str">
        <f t="shared" si="47"/>
        <v/>
      </c>
      <c r="AV163" s="1150"/>
      <c r="AW163" s="1102" t="e">
        <f>IF(#REF!&gt;0,#REF!,"")</f>
        <v>#REF!</v>
      </c>
      <c r="AX163" s="1102" t="e">
        <f>IF(#REF!&lt;&gt;"",#REF!,"")</f>
        <v>#REF!</v>
      </c>
      <c r="AY163" s="1132" t="str">
        <f t="shared" si="48"/>
        <v/>
      </c>
      <c r="AZ163" s="1151" t="str">
        <f t="shared" si="33"/>
        <v/>
      </c>
      <c r="BA163" s="1152" t="str">
        <f>IF(L46&lt;&gt;"",#REF!,"")</f>
        <v/>
      </c>
      <c r="BB163" s="1153" t="str">
        <f t="shared" si="42"/>
        <v/>
      </c>
      <c r="BC163" s="1152" t="str">
        <f>IF(L46&lt;&gt;"",#REF!,"")</f>
        <v/>
      </c>
      <c r="BD163" s="1153" t="str">
        <f t="shared" si="34"/>
        <v/>
      </c>
      <c r="BE163" s="1137" t="e">
        <f t="shared" si="43"/>
        <v>#REF!</v>
      </c>
      <c r="BI163" s="1142" t="str">
        <f t="shared" si="53"/>
        <v/>
      </c>
      <c r="BJ163" s="1143" t="str">
        <f t="shared" si="49"/>
        <v/>
      </c>
      <c r="BK163" s="1143"/>
      <c r="BL163" s="1143"/>
      <c r="BM163" s="1129" t="str">
        <f t="shared" si="50"/>
        <v/>
      </c>
      <c r="BN163" s="1104"/>
      <c r="BO163" s="1142" t="e">
        <f>IF(#REF!&gt;0,#REF!,"")</f>
        <v>#REF!</v>
      </c>
      <c r="BP163" s="1142" t="e">
        <f>IF(#REF!&lt;&gt;"",#REF!,"")</f>
        <v>#REF!</v>
      </c>
      <c r="BQ163" s="1132" t="str">
        <f t="shared" si="51"/>
        <v/>
      </c>
      <c r="BR163" s="1144" t="str">
        <f t="shared" si="38"/>
        <v/>
      </c>
      <c r="BS163" s="1146" t="str">
        <f>IF(L46&lt;&gt;"",#REF!,"")</f>
        <v/>
      </c>
      <c r="BT163" s="1147" t="str">
        <f t="shared" si="39"/>
        <v/>
      </c>
      <c r="BU163" s="1147" t="str">
        <f>IF(L46&lt;&gt;"",#REF!,"")</f>
        <v/>
      </c>
      <c r="BV163" s="1148" t="str">
        <f t="shared" si="40"/>
        <v/>
      </c>
      <c r="BW163" s="1139" t="e">
        <f t="shared" si="45"/>
        <v>#REF!</v>
      </c>
    </row>
    <row r="164" spans="43:75" ht="24.95" hidden="1" customHeight="1">
      <c r="AQ164" s="1141" t="str">
        <f t="shared" si="52"/>
        <v/>
      </c>
      <c r="AR164" s="1141" t="str">
        <f t="shared" si="46"/>
        <v/>
      </c>
      <c r="AS164" s="1141"/>
      <c r="AT164" s="1149"/>
      <c r="AU164" s="1129" t="str">
        <f t="shared" si="47"/>
        <v/>
      </c>
      <c r="AV164" s="1150"/>
      <c r="AW164" s="1102" t="e">
        <f>IF(#REF!&gt;0,#REF!,"")</f>
        <v>#REF!</v>
      </c>
      <c r="AX164" s="1102" t="e">
        <f>IF(#REF!&lt;&gt;"",#REF!,"")</f>
        <v>#REF!</v>
      </c>
      <c r="AY164" s="1132" t="str">
        <f t="shared" si="48"/>
        <v/>
      </c>
      <c r="AZ164" s="1151" t="str">
        <f t="shared" si="33"/>
        <v/>
      </c>
      <c r="BA164" s="1152" t="str">
        <f>IF(L47&lt;&gt;"",#REF!,"")</f>
        <v/>
      </c>
      <c r="BB164" s="1153" t="str">
        <f t="shared" si="42"/>
        <v/>
      </c>
      <c r="BC164" s="1152" t="str">
        <f>IF(L47&lt;&gt;"",#REF!,"")</f>
        <v/>
      </c>
      <c r="BD164" s="1153" t="str">
        <f t="shared" si="34"/>
        <v/>
      </c>
      <c r="BE164" s="1137" t="e">
        <f t="shared" si="43"/>
        <v>#REF!</v>
      </c>
      <c r="BI164" s="1142" t="str">
        <f t="shared" si="53"/>
        <v/>
      </c>
      <c r="BJ164" s="1143" t="str">
        <f t="shared" si="49"/>
        <v/>
      </c>
      <c r="BK164" s="1143"/>
      <c r="BL164" s="1143"/>
      <c r="BM164" s="1129" t="str">
        <f t="shared" si="50"/>
        <v/>
      </c>
      <c r="BN164" s="1104"/>
      <c r="BO164" s="1142" t="e">
        <f>IF(#REF!&gt;0,#REF!,"")</f>
        <v>#REF!</v>
      </c>
      <c r="BP164" s="1142" t="e">
        <f>IF(#REF!&lt;&gt;"",#REF!,"")</f>
        <v>#REF!</v>
      </c>
      <c r="BQ164" s="1132" t="str">
        <f t="shared" si="51"/>
        <v/>
      </c>
      <c r="BR164" s="1144" t="str">
        <f t="shared" si="38"/>
        <v/>
      </c>
      <c r="BS164" s="1146" t="str">
        <f>IF(L47&lt;&gt;"",#REF!,"")</f>
        <v/>
      </c>
      <c r="BT164" s="1147" t="str">
        <f t="shared" si="39"/>
        <v/>
      </c>
      <c r="BU164" s="1147" t="str">
        <f>IF(L47&lt;&gt;"",#REF!,"")</f>
        <v/>
      </c>
      <c r="BV164" s="1148" t="str">
        <f t="shared" si="40"/>
        <v/>
      </c>
      <c r="BW164" s="1139" t="e">
        <f t="shared" si="45"/>
        <v>#REF!</v>
      </c>
    </row>
    <row r="165" spans="43:75" ht="24.95" hidden="1" customHeight="1">
      <c r="AQ165" s="1141" t="str">
        <f t="shared" si="52"/>
        <v/>
      </c>
      <c r="AR165" s="1141" t="str">
        <f t="shared" si="46"/>
        <v/>
      </c>
      <c r="AS165" s="1141"/>
      <c r="AT165" s="1149"/>
      <c r="AU165" s="1129" t="str">
        <f t="shared" si="47"/>
        <v/>
      </c>
      <c r="AV165" s="1150"/>
      <c r="AW165" s="1102" t="e">
        <f>IF(#REF!&gt;0,#REF!,"")</f>
        <v>#REF!</v>
      </c>
      <c r="AX165" s="1102" t="e">
        <f>IF(#REF!&lt;&gt;"",#REF!,"")</f>
        <v>#REF!</v>
      </c>
      <c r="AY165" s="1132" t="str">
        <f t="shared" si="48"/>
        <v/>
      </c>
      <c r="AZ165" s="1151" t="str">
        <f t="shared" si="33"/>
        <v/>
      </c>
      <c r="BA165" s="1152" t="str">
        <f>IF(L48&lt;&gt;"",#REF!,"")</f>
        <v/>
      </c>
      <c r="BB165" s="1153" t="str">
        <f t="shared" si="42"/>
        <v/>
      </c>
      <c r="BC165" s="1152" t="str">
        <f>IF(L48&lt;&gt;"",#REF!,"")</f>
        <v/>
      </c>
      <c r="BD165" s="1153" t="str">
        <f t="shared" si="34"/>
        <v/>
      </c>
      <c r="BE165" s="1137" t="e">
        <f t="shared" si="43"/>
        <v>#REF!</v>
      </c>
      <c r="BI165" s="1142" t="str">
        <f t="shared" si="53"/>
        <v/>
      </c>
      <c r="BJ165" s="1143" t="str">
        <f t="shared" si="49"/>
        <v/>
      </c>
      <c r="BK165" s="1143"/>
      <c r="BL165" s="1143"/>
      <c r="BM165" s="1129" t="str">
        <f t="shared" si="50"/>
        <v/>
      </c>
      <c r="BN165" s="1104"/>
      <c r="BO165" s="1142" t="e">
        <f>IF(#REF!&gt;0,#REF!,"")</f>
        <v>#REF!</v>
      </c>
      <c r="BP165" s="1142" t="e">
        <f>IF(#REF!&lt;&gt;"",#REF!,"")</f>
        <v>#REF!</v>
      </c>
      <c r="BQ165" s="1132" t="str">
        <f t="shared" si="51"/>
        <v/>
      </c>
      <c r="BR165" s="1144" t="str">
        <f t="shared" si="38"/>
        <v/>
      </c>
      <c r="BS165" s="1146" t="str">
        <f>IF(L48&lt;&gt;"",#REF!,"")</f>
        <v/>
      </c>
      <c r="BT165" s="1147" t="str">
        <f t="shared" si="39"/>
        <v/>
      </c>
      <c r="BU165" s="1147" t="str">
        <f>IF(L48&lt;&gt;"",#REF!,"")</f>
        <v/>
      </c>
      <c r="BV165" s="1148" t="str">
        <f t="shared" si="40"/>
        <v/>
      </c>
      <c r="BW165" s="1139" t="e">
        <f t="shared" si="45"/>
        <v>#REF!</v>
      </c>
    </row>
    <row r="166" spans="43:75" ht="24.95" hidden="1" customHeight="1">
      <c r="AQ166" s="1141" t="str">
        <f t="shared" si="52"/>
        <v/>
      </c>
      <c r="AR166" s="1141" t="str">
        <f t="shared" si="46"/>
        <v/>
      </c>
      <c r="AS166" s="1141"/>
      <c r="AT166" s="1149"/>
      <c r="AU166" s="1129" t="str">
        <f t="shared" si="47"/>
        <v/>
      </c>
      <c r="AV166" s="1150"/>
      <c r="AW166" s="1102" t="e">
        <f>IF(#REF!&gt;0,#REF!,"")</f>
        <v>#REF!</v>
      </c>
      <c r="AX166" s="1102" t="e">
        <f>IF(#REF!&lt;&gt;"",#REF!,"")</f>
        <v>#REF!</v>
      </c>
      <c r="AY166" s="1132" t="str">
        <f t="shared" si="48"/>
        <v/>
      </c>
      <c r="AZ166" s="1151" t="str">
        <f t="shared" si="33"/>
        <v/>
      </c>
      <c r="BA166" s="1152" t="str">
        <f>IF(L49&lt;&gt;"",#REF!,"")</f>
        <v/>
      </c>
      <c r="BB166" s="1153" t="str">
        <f t="shared" si="42"/>
        <v/>
      </c>
      <c r="BC166" s="1152" t="str">
        <f>IF(L49&lt;&gt;"",#REF!,"")</f>
        <v/>
      </c>
      <c r="BD166" s="1153" t="str">
        <f t="shared" si="34"/>
        <v/>
      </c>
      <c r="BE166" s="1137" t="e">
        <f t="shared" si="43"/>
        <v>#REF!</v>
      </c>
      <c r="BI166" s="1142" t="str">
        <f t="shared" si="53"/>
        <v/>
      </c>
      <c r="BJ166" s="1143" t="str">
        <f t="shared" si="49"/>
        <v/>
      </c>
      <c r="BK166" s="1143"/>
      <c r="BL166" s="1143"/>
      <c r="BM166" s="1129" t="str">
        <f t="shared" si="50"/>
        <v/>
      </c>
      <c r="BN166" s="1104"/>
      <c r="BO166" s="1142" t="e">
        <f>IF(#REF!&gt;0,#REF!,"")</f>
        <v>#REF!</v>
      </c>
      <c r="BP166" s="1142" t="e">
        <f>IF(#REF!&lt;&gt;"",#REF!,"")</f>
        <v>#REF!</v>
      </c>
      <c r="BQ166" s="1132" t="str">
        <f t="shared" si="51"/>
        <v/>
      </c>
      <c r="BR166" s="1144" t="str">
        <f t="shared" si="38"/>
        <v/>
      </c>
      <c r="BS166" s="1146" t="str">
        <f>IF(L49&lt;&gt;"",#REF!,"")</f>
        <v/>
      </c>
      <c r="BT166" s="1147" t="str">
        <f t="shared" si="39"/>
        <v/>
      </c>
      <c r="BU166" s="1147" t="str">
        <f>IF(L49&lt;&gt;"",#REF!,"")</f>
        <v/>
      </c>
      <c r="BV166" s="1148" t="str">
        <f t="shared" si="40"/>
        <v/>
      </c>
      <c r="BW166" s="1139" t="e">
        <f t="shared" si="45"/>
        <v>#REF!</v>
      </c>
    </row>
    <row r="167" spans="43:75" ht="24.95" hidden="1" customHeight="1">
      <c r="AQ167" s="1141" t="str">
        <f t="shared" si="52"/>
        <v/>
      </c>
      <c r="AR167" s="1141" t="str">
        <f t="shared" si="46"/>
        <v/>
      </c>
      <c r="AS167" s="1141"/>
      <c r="AT167" s="1149"/>
      <c r="AU167" s="1129" t="str">
        <f t="shared" si="47"/>
        <v/>
      </c>
      <c r="AV167" s="1150"/>
      <c r="AW167" s="1102" t="e">
        <f>IF(#REF!&gt;0,#REF!,"")</f>
        <v>#REF!</v>
      </c>
      <c r="AX167" s="1102" t="e">
        <f>IF(#REF!&lt;&gt;"",#REF!,"")</f>
        <v>#REF!</v>
      </c>
      <c r="AY167" s="1132" t="str">
        <f t="shared" si="48"/>
        <v/>
      </c>
      <c r="AZ167" s="1151" t="str">
        <f t="shared" si="33"/>
        <v/>
      </c>
      <c r="BA167" s="1152" t="str">
        <f>IF(L50&lt;&gt;"",#REF!,"")</f>
        <v/>
      </c>
      <c r="BB167" s="1153" t="str">
        <f t="shared" si="42"/>
        <v/>
      </c>
      <c r="BC167" s="1152" t="str">
        <f>IF(L50&lt;&gt;"",#REF!,"")</f>
        <v/>
      </c>
      <c r="BD167" s="1153" t="str">
        <f t="shared" si="34"/>
        <v/>
      </c>
      <c r="BE167" s="1137" t="e">
        <f t="shared" si="43"/>
        <v>#REF!</v>
      </c>
      <c r="BI167" s="1142" t="str">
        <f t="shared" si="53"/>
        <v/>
      </c>
      <c r="BJ167" s="1143" t="str">
        <f t="shared" si="49"/>
        <v/>
      </c>
      <c r="BK167" s="1143"/>
      <c r="BL167" s="1143"/>
      <c r="BM167" s="1129" t="str">
        <f t="shared" si="50"/>
        <v/>
      </c>
      <c r="BN167" s="1104"/>
      <c r="BO167" s="1142" t="e">
        <f>IF(#REF!&gt;0,#REF!,"")</f>
        <v>#REF!</v>
      </c>
      <c r="BP167" s="1142" t="e">
        <f>IF(#REF!&lt;&gt;"",#REF!,"")</f>
        <v>#REF!</v>
      </c>
      <c r="BQ167" s="1132" t="str">
        <f t="shared" si="51"/>
        <v/>
      </c>
      <c r="BR167" s="1144" t="str">
        <f t="shared" si="38"/>
        <v/>
      </c>
      <c r="BS167" s="1146" t="str">
        <f>IF(L50&lt;&gt;"",#REF!,"")</f>
        <v/>
      </c>
      <c r="BT167" s="1147" t="str">
        <f t="shared" si="39"/>
        <v/>
      </c>
      <c r="BU167" s="1147" t="str">
        <f>IF(L50&lt;&gt;"",#REF!,"")</f>
        <v/>
      </c>
      <c r="BV167" s="1148" t="str">
        <f t="shared" si="40"/>
        <v/>
      </c>
      <c r="BW167" s="1139" t="e">
        <f t="shared" si="45"/>
        <v>#REF!</v>
      </c>
    </row>
    <row r="168" spans="43:75" ht="24.95" hidden="1" customHeight="1">
      <c r="AQ168" s="1141" t="str">
        <f t="shared" si="52"/>
        <v/>
      </c>
      <c r="AR168" s="1141" t="str">
        <f t="shared" si="46"/>
        <v/>
      </c>
      <c r="AS168" s="1141"/>
      <c r="AT168" s="1149"/>
      <c r="AU168" s="1129" t="str">
        <f t="shared" si="47"/>
        <v/>
      </c>
      <c r="AV168" s="1150"/>
      <c r="AW168" s="1102" t="e">
        <f>IF(#REF!&gt;0,#REF!,"")</f>
        <v>#REF!</v>
      </c>
      <c r="AX168" s="1102" t="e">
        <f>IF(#REF!&lt;&gt;"",#REF!,"")</f>
        <v>#REF!</v>
      </c>
      <c r="AY168" s="1132" t="str">
        <f t="shared" si="48"/>
        <v/>
      </c>
      <c r="AZ168" s="1151" t="str">
        <f t="shared" si="33"/>
        <v/>
      </c>
      <c r="BA168" s="1152" t="str">
        <f>IF(L51&lt;&gt;"",#REF!,"")</f>
        <v/>
      </c>
      <c r="BB168" s="1153" t="str">
        <f t="shared" si="42"/>
        <v/>
      </c>
      <c r="BC168" s="1152" t="str">
        <f>IF(L51&lt;&gt;"",#REF!,"")</f>
        <v/>
      </c>
      <c r="BD168" s="1153" t="str">
        <f t="shared" si="34"/>
        <v/>
      </c>
      <c r="BE168" s="1137" t="e">
        <f t="shared" si="43"/>
        <v>#REF!</v>
      </c>
      <c r="BI168" s="1142" t="str">
        <f t="shared" si="53"/>
        <v/>
      </c>
      <c r="BJ168" s="1143" t="str">
        <f t="shared" si="49"/>
        <v/>
      </c>
      <c r="BK168" s="1143"/>
      <c r="BL168" s="1143"/>
      <c r="BM168" s="1129" t="str">
        <f t="shared" si="50"/>
        <v/>
      </c>
      <c r="BN168" s="1104"/>
      <c r="BO168" s="1142" t="e">
        <f>IF(#REF!&gt;0,#REF!,"")</f>
        <v>#REF!</v>
      </c>
      <c r="BP168" s="1142" t="e">
        <f>IF(#REF!&lt;&gt;"",#REF!,"")</f>
        <v>#REF!</v>
      </c>
      <c r="BQ168" s="1132" t="str">
        <f t="shared" si="51"/>
        <v/>
      </c>
      <c r="BR168" s="1144" t="str">
        <f t="shared" si="38"/>
        <v/>
      </c>
      <c r="BS168" s="1146" t="str">
        <f>IF(L51&lt;&gt;"",#REF!,"")</f>
        <v/>
      </c>
      <c r="BT168" s="1147" t="str">
        <f t="shared" si="39"/>
        <v/>
      </c>
      <c r="BU168" s="1147" t="str">
        <f>IF(L51&lt;&gt;"",#REF!,"")</f>
        <v/>
      </c>
      <c r="BV168" s="1148" t="str">
        <f t="shared" si="40"/>
        <v/>
      </c>
      <c r="BW168" s="1139" t="e">
        <f t="shared" si="45"/>
        <v>#REF!</v>
      </c>
    </row>
    <row r="169" spans="43:75" ht="24.95" hidden="1" customHeight="1">
      <c r="AQ169" s="1141" t="str">
        <f t="shared" si="52"/>
        <v/>
      </c>
      <c r="AR169" s="1141" t="str">
        <f t="shared" si="46"/>
        <v/>
      </c>
      <c r="AS169" s="1141"/>
      <c r="AT169" s="1149"/>
      <c r="AU169" s="1129" t="str">
        <f t="shared" si="47"/>
        <v/>
      </c>
      <c r="AV169" s="1150"/>
      <c r="AW169" s="1102" t="e">
        <f>IF(#REF!&gt;0,#REF!,"")</f>
        <v>#REF!</v>
      </c>
      <c r="AX169" s="1102" t="e">
        <f>IF(#REF!&lt;&gt;"",#REF!,"")</f>
        <v>#REF!</v>
      </c>
      <c r="AY169" s="1132" t="str">
        <f t="shared" si="48"/>
        <v/>
      </c>
      <c r="AZ169" s="1151" t="str">
        <f t="shared" si="33"/>
        <v/>
      </c>
      <c r="BA169" s="1152" t="str">
        <f>IF(L52&lt;&gt;"",#REF!,"")</f>
        <v/>
      </c>
      <c r="BB169" s="1153" t="str">
        <f t="shared" si="42"/>
        <v/>
      </c>
      <c r="BC169" s="1152" t="str">
        <f>IF(L52&lt;&gt;"",#REF!,"")</f>
        <v/>
      </c>
      <c r="BD169" s="1153" t="str">
        <f t="shared" si="34"/>
        <v/>
      </c>
      <c r="BE169" s="1137" t="e">
        <f t="shared" si="43"/>
        <v>#REF!</v>
      </c>
      <c r="BI169" s="1142" t="str">
        <f t="shared" si="53"/>
        <v/>
      </c>
      <c r="BJ169" s="1143" t="str">
        <f t="shared" si="49"/>
        <v/>
      </c>
      <c r="BK169" s="1143"/>
      <c r="BL169" s="1143"/>
      <c r="BM169" s="1129" t="str">
        <f t="shared" si="50"/>
        <v/>
      </c>
      <c r="BN169" s="1104"/>
      <c r="BO169" s="1142" t="e">
        <f>IF(#REF!&gt;0,#REF!,"")</f>
        <v>#REF!</v>
      </c>
      <c r="BP169" s="1142" t="e">
        <f>IF(#REF!&lt;&gt;"",#REF!,"")</f>
        <v>#REF!</v>
      </c>
      <c r="BQ169" s="1132" t="str">
        <f t="shared" si="51"/>
        <v/>
      </c>
      <c r="BR169" s="1144" t="str">
        <f t="shared" si="38"/>
        <v/>
      </c>
      <c r="BS169" s="1146" t="str">
        <f>IF(L52&lt;&gt;"",#REF!,"")</f>
        <v/>
      </c>
      <c r="BT169" s="1147" t="str">
        <f t="shared" si="39"/>
        <v/>
      </c>
      <c r="BU169" s="1147" t="str">
        <f>IF(L52&lt;&gt;"",#REF!,"")</f>
        <v/>
      </c>
      <c r="BV169" s="1148" t="str">
        <f t="shared" si="40"/>
        <v/>
      </c>
      <c r="BW169" s="1139" t="e">
        <f t="shared" si="45"/>
        <v>#REF!</v>
      </c>
    </row>
    <row r="170" spans="43:75" ht="24.95" hidden="1" customHeight="1">
      <c r="AQ170" s="1141" t="str">
        <f t="shared" si="52"/>
        <v/>
      </c>
      <c r="AR170" s="1141" t="str">
        <f t="shared" si="46"/>
        <v/>
      </c>
      <c r="AS170" s="1141"/>
      <c r="AT170" s="1149"/>
      <c r="AU170" s="1129" t="str">
        <f t="shared" si="47"/>
        <v/>
      </c>
      <c r="AV170" s="1150"/>
      <c r="AW170" s="1102" t="e">
        <f>IF(#REF!&gt;0,#REF!,"")</f>
        <v>#REF!</v>
      </c>
      <c r="AX170" s="1102" t="e">
        <f>IF(#REF!&lt;&gt;"",#REF!,"")</f>
        <v>#REF!</v>
      </c>
      <c r="AY170" s="1132" t="str">
        <f t="shared" si="48"/>
        <v/>
      </c>
      <c r="AZ170" s="1151" t="str">
        <f t="shared" si="33"/>
        <v/>
      </c>
      <c r="BA170" s="1152" t="str">
        <f>IF(L53&lt;&gt;"",#REF!,"")</f>
        <v/>
      </c>
      <c r="BB170" s="1153" t="str">
        <f t="shared" si="42"/>
        <v/>
      </c>
      <c r="BC170" s="1152" t="str">
        <f>IF(L53&lt;&gt;"",#REF!,"")</f>
        <v/>
      </c>
      <c r="BD170" s="1153" t="str">
        <f t="shared" si="34"/>
        <v/>
      </c>
      <c r="BE170" s="1137" t="e">
        <f t="shared" si="43"/>
        <v>#REF!</v>
      </c>
      <c r="BI170" s="1142" t="str">
        <f t="shared" si="53"/>
        <v/>
      </c>
      <c r="BJ170" s="1143" t="str">
        <f t="shared" si="49"/>
        <v/>
      </c>
      <c r="BK170" s="1143"/>
      <c r="BL170" s="1143"/>
      <c r="BM170" s="1129" t="str">
        <f t="shared" si="50"/>
        <v/>
      </c>
      <c r="BN170" s="1104"/>
      <c r="BO170" s="1142" t="e">
        <f>IF(#REF!&gt;0,#REF!,"")</f>
        <v>#REF!</v>
      </c>
      <c r="BP170" s="1142" t="e">
        <f>IF(#REF!&lt;&gt;"",#REF!,"")</f>
        <v>#REF!</v>
      </c>
      <c r="BQ170" s="1132" t="str">
        <f t="shared" si="51"/>
        <v/>
      </c>
      <c r="BR170" s="1144" t="str">
        <f t="shared" si="38"/>
        <v/>
      </c>
      <c r="BS170" s="1146" t="str">
        <f>IF(L53&lt;&gt;"",#REF!,"")</f>
        <v/>
      </c>
      <c r="BT170" s="1147" t="str">
        <f t="shared" si="39"/>
        <v/>
      </c>
      <c r="BU170" s="1147" t="str">
        <f>IF(L53&lt;&gt;"",#REF!,"")</f>
        <v/>
      </c>
      <c r="BV170" s="1148" t="str">
        <f t="shared" si="40"/>
        <v/>
      </c>
      <c r="BW170" s="1139" t="e">
        <f t="shared" si="45"/>
        <v>#REF!</v>
      </c>
    </row>
    <row r="171" spans="43:75" ht="24.95" hidden="1" customHeight="1">
      <c r="AQ171" s="1141" t="str">
        <f t="shared" si="52"/>
        <v/>
      </c>
      <c r="AR171" s="1141" t="str">
        <f t="shared" si="46"/>
        <v/>
      </c>
      <c r="AS171" s="1141"/>
      <c r="AT171" s="1149"/>
      <c r="AU171" s="1129" t="str">
        <f t="shared" si="47"/>
        <v/>
      </c>
      <c r="AV171" s="1150"/>
      <c r="AW171" s="1102" t="e">
        <f>IF(#REF!&gt;0,#REF!,"")</f>
        <v>#REF!</v>
      </c>
      <c r="AX171" s="1102" t="e">
        <f>IF(#REF!&lt;&gt;"",#REF!,"")</f>
        <v>#REF!</v>
      </c>
      <c r="AY171" s="1132" t="str">
        <f t="shared" si="48"/>
        <v/>
      </c>
      <c r="AZ171" s="1151" t="str">
        <f t="shared" si="33"/>
        <v/>
      </c>
      <c r="BA171" s="1152" t="str">
        <f>IF(L54&lt;&gt;"",#REF!,"")</f>
        <v/>
      </c>
      <c r="BB171" s="1153" t="str">
        <f t="shared" si="42"/>
        <v/>
      </c>
      <c r="BC171" s="1152" t="str">
        <f>IF(L54&lt;&gt;"",#REF!,"")</f>
        <v/>
      </c>
      <c r="BD171" s="1153" t="str">
        <f t="shared" si="34"/>
        <v/>
      </c>
      <c r="BE171" s="1137" t="e">
        <f t="shared" si="43"/>
        <v>#REF!</v>
      </c>
      <c r="BI171" s="1142" t="str">
        <f t="shared" si="53"/>
        <v/>
      </c>
      <c r="BJ171" s="1143" t="str">
        <f t="shared" si="49"/>
        <v/>
      </c>
      <c r="BK171" s="1143"/>
      <c r="BL171" s="1143"/>
      <c r="BM171" s="1129" t="str">
        <f t="shared" si="50"/>
        <v/>
      </c>
      <c r="BN171" s="1104"/>
      <c r="BO171" s="1142" t="e">
        <f>IF(#REF!&gt;0,#REF!,"")</f>
        <v>#REF!</v>
      </c>
      <c r="BP171" s="1142" t="e">
        <f>IF(#REF!&lt;&gt;"",#REF!,"")</f>
        <v>#REF!</v>
      </c>
      <c r="BQ171" s="1132" t="str">
        <f t="shared" si="51"/>
        <v/>
      </c>
      <c r="BR171" s="1144" t="str">
        <f t="shared" si="38"/>
        <v/>
      </c>
      <c r="BS171" s="1146" t="str">
        <f>IF(L54&lt;&gt;"",#REF!,"")</f>
        <v/>
      </c>
      <c r="BT171" s="1147" t="str">
        <f t="shared" si="39"/>
        <v/>
      </c>
      <c r="BU171" s="1147" t="str">
        <f>IF(L54&lt;&gt;"",#REF!,"")</f>
        <v/>
      </c>
      <c r="BV171" s="1148" t="str">
        <f t="shared" si="40"/>
        <v/>
      </c>
      <c r="BW171" s="1139" t="e">
        <f t="shared" si="45"/>
        <v>#REF!</v>
      </c>
    </row>
    <row r="172" spans="43:75" ht="24.95" hidden="1" customHeight="1">
      <c r="AQ172" s="1141" t="str">
        <f t="shared" si="52"/>
        <v/>
      </c>
      <c r="AR172" s="1141" t="str">
        <f t="shared" si="46"/>
        <v/>
      </c>
      <c r="AS172" s="1141"/>
      <c r="AT172" s="1149"/>
      <c r="AU172" s="1129" t="str">
        <f t="shared" si="47"/>
        <v/>
      </c>
      <c r="AV172" s="1150"/>
      <c r="AW172" s="1102" t="e">
        <f>IF(#REF!&gt;0,#REF!,"")</f>
        <v>#REF!</v>
      </c>
      <c r="AX172" s="1102" t="e">
        <f>IF(#REF!&lt;&gt;"",#REF!,"")</f>
        <v>#REF!</v>
      </c>
      <c r="AY172" s="1132" t="str">
        <f t="shared" si="48"/>
        <v/>
      </c>
      <c r="AZ172" s="1151" t="str">
        <f t="shared" si="33"/>
        <v/>
      </c>
      <c r="BA172" s="1152" t="str">
        <f>IF(L55&lt;&gt;"",#REF!,"")</f>
        <v/>
      </c>
      <c r="BB172" s="1153" t="str">
        <f t="shared" si="42"/>
        <v/>
      </c>
      <c r="BC172" s="1152" t="str">
        <f>IF(L55&lt;&gt;"",#REF!,"")</f>
        <v/>
      </c>
      <c r="BD172" s="1153" t="str">
        <f t="shared" si="34"/>
        <v/>
      </c>
      <c r="BE172" s="1137" t="e">
        <f t="shared" si="43"/>
        <v>#REF!</v>
      </c>
      <c r="BI172" s="1142" t="str">
        <f t="shared" si="53"/>
        <v/>
      </c>
      <c r="BJ172" s="1143" t="str">
        <f t="shared" si="49"/>
        <v/>
      </c>
      <c r="BK172" s="1143"/>
      <c r="BL172" s="1143"/>
      <c r="BM172" s="1129" t="str">
        <f t="shared" si="50"/>
        <v/>
      </c>
      <c r="BN172" s="1104"/>
      <c r="BO172" s="1142" t="e">
        <f>IF(#REF!&gt;0,#REF!,"")</f>
        <v>#REF!</v>
      </c>
      <c r="BP172" s="1142" t="e">
        <f>IF(#REF!&lt;&gt;"",#REF!,"")</f>
        <v>#REF!</v>
      </c>
      <c r="BQ172" s="1132" t="str">
        <f t="shared" si="51"/>
        <v/>
      </c>
      <c r="BR172" s="1144" t="str">
        <f t="shared" si="38"/>
        <v/>
      </c>
      <c r="BS172" s="1146" t="str">
        <f>IF(L55&lt;&gt;"",#REF!,"")</f>
        <v/>
      </c>
      <c r="BT172" s="1147" t="str">
        <f t="shared" si="39"/>
        <v/>
      </c>
      <c r="BU172" s="1147" t="str">
        <f>IF(L55&lt;&gt;"",#REF!,"")</f>
        <v/>
      </c>
      <c r="BV172" s="1148" t="str">
        <f t="shared" si="40"/>
        <v/>
      </c>
      <c r="BW172" s="1139" t="e">
        <f t="shared" si="45"/>
        <v>#REF!</v>
      </c>
    </row>
    <row r="173" spans="43:75" ht="24.95" hidden="1" customHeight="1">
      <c r="AQ173" s="1141" t="str">
        <f t="shared" si="52"/>
        <v/>
      </c>
      <c r="AR173" s="1141" t="str">
        <f t="shared" si="46"/>
        <v/>
      </c>
      <c r="AS173" s="1141"/>
      <c r="AT173" s="1149"/>
      <c r="AU173" s="1129" t="str">
        <f t="shared" si="47"/>
        <v/>
      </c>
      <c r="AV173" s="1150"/>
      <c r="AW173" s="1102" t="e">
        <f>IF(#REF!&gt;0,#REF!,"")</f>
        <v>#REF!</v>
      </c>
      <c r="AX173" s="1102" t="e">
        <f>IF(#REF!&lt;&gt;"",#REF!,"")</f>
        <v>#REF!</v>
      </c>
      <c r="AY173" s="1132" t="str">
        <f t="shared" si="48"/>
        <v/>
      </c>
      <c r="AZ173" s="1151" t="str">
        <f t="shared" si="33"/>
        <v/>
      </c>
      <c r="BA173" s="1152" t="str">
        <f>IF(L56&lt;&gt;"",#REF!,"")</f>
        <v/>
      </c>
      <c r="BB173" s="1153" t="str">
        <f t="shared" si="42"/>
        <v/>
      </c>
      <c r="BC173" s="1152" t="str">
        <f>IF(L56&lt;&gt;"",#REF!,"")</f>
        <v/>
      </c>
      <c r="BD173" s="1153" t="str">
        <f t="shared" si="34"/>
        <v/>
      </c>
      <c r="BE173" s="1137" t="e">
        <f t="shared" si="43"/>
        <v>#REF!</v>
      </c>
      <c r="BI173" s="1142" t="str">
        <f t="shared" si="53"/>
        <v/>
      </c>
      <c r="BJ173" s="1143" t="str">
        <f t="shared" si="49"/>
        <v/>
      </c>
      <c r="BK173" s="1143"/>
      <c r="BL173" s="1143"/>
      <c r="BM173" s="1129" t="str">
        <f t="shared" si="50"/>
        <v/>
      </c>
      <c r="BN173" s="1104"/>
      <c r="BO173" s="1142" t="e">
        <f>IF(#REF!&gt;0,#REF!,"")</f>
        <v>#REF!</v>
      </c>
      <c r="BP173" s="1142" t="e">
        <f>IF(#REF!&lt;&gt;"",#REF!,"")</f>
        <v>#REF!</v>
      </c>
      <c r="BQ173" s="1132" t="str">
        <f t="shared" si="51"/>
        <v/>
      </c>
      <c r="BR173" s="1144" t="str">
        <f t="shared" si="38"/>
        <v/>
      </c>
      <c r="BS173" s="1146" t="str">
        <f>IF(L56&lt;&gt;"",#REF!,"")</f>
        <v/>
      </c>
      <c r="BT173" s="1147" t="str">
        <f t="shared" si="39"/>
        <v/>
      </c>
      <c r="BU173" s="1147" t="str">
        <f>IF(L56&lt;&gt;"",#REF!,"")</f>
        <v/>
      </c>
      <c r="BV173" s="1148" t="str">
        <f t="shared" si="40"/>
        <v/>
      </c>
      <c r="BW173" s="1139" t="e">
        <f t="shared" si="45"/>
        <v>#REF!</v>
      </c>
    </row>
    <row r="174" spans="43:75" ht="24.95" hidden="1" customHeight="1">
      <c r="AQ174" s="1141" t="str">
        <f t="shared" si="52"/>
        <v/>
      </c>
      <c r="AR174" s="1141" t="str">
        <f t="shared" si="46"/>
        <v/>
      </c>
      <c r="AS174" s="1141"/>
      <c r="AT174" s="1149"/>
      <c r="AU174" s="1129" t="str">
        <f t="shared" si="47"/>
        <v/>
      </c>
      <c r="AV174" s="1150"/>
      <c r="AW174" s="1102" t="e">
        <f>IF(#REF!&gt;0,#REF!,"")</f>
        <v>#REF!</v>
      </c>
      <c r="AX174" s="1102" t="e">
        <f>IF(#REF!&lt;&gt;"",#REF!,"")</f>
        <v>#REF!</v>
      </c>
      <c r="AY174" s="1132" t="str">
        <f t="shared" si="48"/>
        <v/>
      </c>
      <c r="AZ174" s="1151" t="str">
        <f t="shared" si="33"/>
        <v/>
      </c>
      <c r="BA174" s="1152" t="str">
        <f>IF(L57&lt;&gt;"",#REF!,"")</f>
        <v/>
      </c>
      <c r="BB174" s="1153" t="str">
        <f t="shared" si="42"/>
        <v/>
      </c>
      <c r="BC174" s="1152" t="str">
        <f>IF(L57&lt;&gt;"",#REF!,"")</f>
        <v/>
      </c>
      <c r="BD174" s="1153" t="str">
        <f t="shared" si="34"/>
        <v/>
      </c>
      <c r="BE174" s="1137" t="e">
        <f t="shared" si="43"/>
        <v>#REF!</v>
      </c>
      <c r="BI174" s="1142" t="str">
        <f t="shared" si="53"/>
        <v/>
      </c>
      <c r="BJ174" s="1143" t="str">
        <f t="shared" si="49"/>
        <v/>
      </c>
      <c r="BK174" s="1143"/>
      <c r="BL174" s="1143"/>
      <c r="BM174" s="1129" t="str">
        <f t="shared" si="50"/>
        <v/>
      </c>
      <c r="BN174" s="1104"/>
      <c r="BO174" s="1142" t="e">
        <f>IF(#REF!&gt;0,#REF!,"")</f>
        <v>#REF!</v>
      </c>
      <c r="BP174" s="1142" t="e">
        <f>IF(#REF!&lt;&gt;"",#REF!,"")</f>
        <v>#REF!</v>
      </c>
      <c r="BQ174" s="1132" t="str">
        <f t="shared" si="51"/>
        <v/>
      </c>
      <c r="BR174" s="1144" t="str">
        <f t="shared" si="38"/>
        <v/>
      </c>
      <c r="BS174" s="1146" t="str">
        <f>IF(L57&lt;&gt;"",#REF!,"")</f>
        <v/>
      </c>
      <c r="BT174" s="1147" t="str">
        <f t="shared" si="39"/>
        <v/>
      </c>
      <c r="BU174" s="1147" t="str">
        <f>IF(L57&lt;&gt;"",#REF!,"")</f>
        <v/>
      </c>
      <c r="BV174" s="1148" t="str">
        <f t="shared" si="40"/>
        <v/>
      </c>
      <c r="BW174" s="1139" t="e">
        <f t="shared" si="45"/>
        <v>#REF!</v>
      </c>
    </row>
    <row r="175" spans="43:75" ht="24.95" hidden="1" customHeight="1">
      <c r="AQ175" s="1141" t="str">
        <f t="shared" si="52"/>
        <v/>
      </c>
      <c r="AR175" s="1141" t="str">
        <f t="shared" si="46"/>
        <v/>
      </c>
      <c r="AS175" s="1141"/>
      <c r="AT175" s="1149"/>
      <c r="AU175" s="1129" t="str">
        <f t="shared" si="47"/>
        <v/>
      </c>
      <c r="AV175" s="1150"/>
      <c r="AW175" s="1102" t="e">
        <f>IF(#REF!&gt;0,#REF!,"")</f>
        <v>#REF!</v>
      </c>
      <c r="AX175" s="1102" t="e">
        <f>IF(#REF!&lt;&gt;"",#REF!,"")</f>
        <v>#REF!</v>
      </c>
      <c r="AY175" s="1132" t="str">
        <f t="shared" si="48"/>
        <v/>
      </c>
      <c r="AZ175" s="1151" t="str">
        <f t="shared" si="33"/>
        <v/>
      </c>
      <c r="BA175" s="1152" t="str">
        <f>IF(L58&lt;&gt;"",#REF!,"")</f>
        <v/>
      </c>
      <c r="BB175" s="1153" t="str">
        <f t="shared" si="42"/>
        <v/>
      </c>
      <c r="BC175" s="1152" t="str">
        <f>IF(L58&lt;&gt;"",#REF!,"")</f>
        <v/>
      </c>
      <c r="BD175" s="1153" t="str">
        <f t="shared" si="34"/>
        <v/>
      </c>
      <c r="BE175" s="1137" t="e">
        <f t="shared" si="43"/>
        <v>#REF!</v>
      </c>
      <c r="BI175" s="1142" t="str">
        <f t="shared" si="53"/>
        <v/>
      </c>
      <c r="BJ175" s="1143" t="str">
        <f t="shared" si="49"/>
        <v/>
      </c>
      <c r="BK175" s="1143"/>
      <c r="BL175" s="1143"/>
      <c r="BM175" s="1129" t="str">
        <f t="shared" si="50"/>
        <v/>
      </c>
      <c r="BN175" s="1104"/>
      <c r="BO175" s="1142" t="e">
        <f>IF(#REF!&gt;0,#REF!,"")</f>
        <v>#REF!</v>
      </c>
      <c r="BP175" s="1142" t="e">
        <f>IF(#REF!&lt;&gt;"",#REF!,"")</f>
        <v>#REF!</v>
      </c>
      <c r="BQ175" s="1132" t="str">
        <f t="shared" si="51"/>
        <v/>
      </c>
      <c r="BR175" s="1144" t="str">
        <f t="shared" si="38"/>
        <v/>
      </c>
      <c r="BS175" s="1146" t="str">
        <f>IF(L58&lt;&gt;"",#REF!,"")</f>
        <v/>
      </c>
      <c r="BT175" s="1147" t="str">
        <f t="shared" si="39"/>
        <v/>
      </c>
      <c r="BU175" s="1147" t="str">
        <f>IF(L58&lt;&gt;"",#REF!,"")</f>
        <v/>
      </c>
      <c r="BV175" s="1148" t="str">
        <f t="shared" si="40"/>
        <v/>
      </c>
      <c r="BW175" s="1139" t="e">
        <f t="shared" si="45"/>
        <v>#REF!</v>
      </c>
    </row>
    <row r="176" spans="43:75" ht="24.95" hidden="1" customHeight="1">
      <c r="AQ176" s="1141" t="str">
        <f t="shared" si="52"/>
        <v/>
      </c>
      <c r="AR176" s="1141" t="str">
        <f t="shared" si="46"/>
        <v/>
      </c>
      <c r="AS176" s="1141"/>
      <c r="AT176" s="1149"/>
      <c r="AU176" s="1129" t="str">
        <f t="shared" si="47"/>
        <v/>
      </c>
      <c r="AV176" s="1150"/>
      <c r="AW176" s="1102" t="e">
        <f>IF(#REF!&gt;0,#REF!,"")</f>
        <v>#REF!</v>
      </c>
      <c r="AX176" s="1102" t="e">
        <f>IF(#REF!&lt;&gt;"",#REF!,"")</f>
        <v>#REF!</v>
      </c>
      <c r="AY176" s="1132" t="str">
        <f t="shared" si="48"/>
        <v/>
      </c>
      <c r="AZ176" s="1151" t="str">
        <f t="shared" si="33"/>
        <v/>
      </c>
      <c r="BA176" s="1152" t="str">
        <f>IF(L59&lt;&gt;"",#REF!,"")</f>
        <v/>
      </c>
      <c r="BB176" s="1153" t="str">
        <f t="shared" si="42"/>
        <v/>
      </c>
      <c r="BC176" s="1152" t="str">
        <f>IF(L59&lt;&gt;"",#REF!,"")</f>
        <v/>
      </c>
      <c r="BD176" s="1153" t="str">
        <f t="shared" si="34"/>
        <v/>
      </c>
      <c r="BE176" s="1137" t="e">
        <f t="shared" si="43"/>
        <v>#REF!</v>
      </c>
      <c r="BI176" s="1142" t="str">
        <f t="shared" si="53"/>
        <v/>
      </c>
      <c r="BJ176" s="1143" t="str">
        <f t="shared" si="49"/>
        <v/>
      </c>
      <c r="BK176" s="1143"/>
      <c r="BL176" s="1143"/>
      <c r="BM176" s="1129" t="str">
        <f t="shared" si="50"/>
        <v/>
      </c>
      <c r="BN176" s="1104"/>
      <c r="BO176" s="1142" t="e">
        <f>IF(#REF!&gt;0,#REF!,"")</f>
        <v>#REF!</v>
      </c>
      <c r="BP176" s="1142" t="e">
        <f>IF(#REF!&lt;&gt;"",#REF!,"")</f>
        <v>#REF!</v>
      </c>
      <c r="BQ176" s="1132" t="str">
        <f t="shared" si="51"/>
        <v/>
      </c>
      <c r="BR176" s="1144" t="str">
        <f t="shared" si="38"/>
        <v/>
      </c>
      <c r="BS176" s="1146" t="str">
        <f>IF(L59&lt;&gt;"",#REF!,"")</f>
        <v/>
      </c>
      <c r="BT176" s="1147" t="str">
        <f t="shared" si="39"/>
        <v/>
      </c>
      <c r="BU176" s="1147" t="str">
        <f>IF(L59&lt;&gt;"",#REF!,"")</f>
        <v/>
      </c>
      <c r="BV176" s="1148" t="str">
        <f t="shared" si="40"/>
        <v/>
      </c>
      <c r="BW176" s="1139" t="e">
        <f t="shared" si="45"/>
        <v>#REF!</v>
      </c>
    </row>
    <row r="177" spans="43:75" ht="24.95" hidden="1" customHeight="1">
      <c r="AQ177" s="1141" t="str">
        <f t="shared" si="52"/>
        <v/>
      </c>
      <c r="AR177" s="1141" t="str">
        <f t="shared" si="46"/>
        <v/>
      </c>
      <c r="AS177" s="1141"/>
      <c r="AT177" s="1149"/>
      <c r="AU177" s="1129" t="str">
        <f t="shared" si="47"/>
        <v/>
      </c>
      <c r="AV177" s="1150"/>
      <c r="AW177" s="1102" t="e">
        <f>IF(#REF!&gt;0,#REF!,"")</f>
        <v>#REF!</v>
      </c>
      <c r="AX177" s="1102" t="e">
        <f>IF(#REF!&lt;&gt;"",#REF!,"")</f>
        <v>#REF!</v>
      </c>
      <c r="AY177" s="1132" t="str">
        <f t="shared" si="48"/>
        <v/>
      </c>
      <c r="AZ177" s="1151" t="str">
        <f t="shared" si="33"/>
        <v/>
      </c>
      <c r="BA177" s="1152" t="str">
        <f>IF(L60&lt;&gt;"",#REF!,"")</f>
        <v/>
      </c>
      <c r="BB177" s="1153" t="str">
        <f t="shared" si="42"/>
        <v/>
      </c>
      <c r="BC177" s="1152" t="str">
        <f>IF(L60&lt;&gt;"",#REF!,"")</f>
        <v/>
      </c>
      <c r="BD177" s="1153" t="str">
        <f t="shared" si="34"/>
        <v/>
      </c>
      <c r="BE177" s="1137" t="e">
        <f t="shared" si="43"/>
        <v>#REF!</v>
      </c>
      <c r="BI177" s="1142" t="str">
        <f t="shared" si="53"/>
        <v/>
      </c>
      <c r="BJ177" s="1143" t="str">
        <f t="shared" si="49"/>
        <v/>
      </c>
      <c r="BK177" s="1143"/>
      <c r="BL177" s="1143"/>
      <c r="BM177" s="1129" t="str">
        <f t="shared" si="50"/>
        <v/>
      </c>
      <c r="BN177" s="1104"/>
      <c r="BO177" s="1142" t="e">
        <f>IF(#REF!&gt;0,#REF!,"")</f>
        <v>#REF!</v>
      </c>
      <c r="BP177" s="1142" t="e">
        <f>IF(#REF!&lt;&gt;"",#REF!,"")</f>
        <v>#REF!</v>
      </c>
      <c r="BQ177" s="1132" t="str">
        <f t="shared" si="51"/>
        <v/>
      </c>
      <c r="BR177" s="1144" t="str">
        <f t="shared" si="38"/>
        <v/>
      </c>
      <c r="BS177" s="1146" t="str">
        <f>IF(L60&lt;&gt;"",#REF!,"")</f>
        <v/>
      </c>
      <c r="BT177" s="1147" t="str">
        <f t="shared" si="39"/>
        <v/>
      </c>
      <c r="BU177" s="1147" t="str">
        <f>IF(L60&lt;&gt;"",#REF!,"")</f>
        <v/>
      </c>
      <c r="BV177" s="1148" t="str">
        <f t="shared" si="40"/>
        <v/>
      </c>
      <c r="BW177" s="1139" t="e">
        <f t="shared" si="45"/>
        <v>#REF!</v>
      </c>
    </row>
    <row r="178" spans="43:75" ht="24.95" hidden="1" customHeight="1">
      <c r="AQ178" s="1141" t="str">
        <f t="shared" si="52"/>
        <v/>
      </c>
      <c r="AR178" s="1141" t="str">
        <f t="shared" si="46"/>
        <v/>
      </c>
      <c r="AS178" s="1141"/>
      <c r="AT178" s="1149"/>
      <c r="AU178" s="1129" t="str">
        <f t="shared" si="47"/>
        <v/>
      </c>
      <c r="AV178" s="1150"/>
      <c r="AW178" s="1102" t="e">
        <f>IF(#REF!&gt;0,#REF!,"")</f>
        <v>#REF!</v>
      </c>
      <c r="AX178" s="1102" t="e">
        <f>IF(#REF!&lt;&gt;"",#REF!,"")</f>
        <v>#REF!</v>
      </c>
      <c r="AY178" s="1132" t="str">
        <f t="shared" si="48"/>
        <v/>
      </c>
      <c r="AZ178" s="1151" t="str">
        <f t="shared" si="33"/>
        <v/>
      </c>
      <c r="BA178" s="1152" t="str">
        <f>IF(L61&lt;&gt;"",#REF!,"")</f>
        <v/>
      </c>
      <c r="BB178" s="1153" t="str">
        <f t="shared" si="42"/>
        <v/>
      </c>
      <c r="BC178" s="1152" t="str">
        <f>IF(L61&lt;&gt;"",#REF!,"")</f>
        <v/>
      </c>
      <c r="BD178" s="1153" t="str">
        <f t="shared" si="34"/>
        <v/>
      </c>
      <c r="BE178" s="1137" t="e">
        <f t="shared" si="43"/>
        <v>#REF!</v>
      </c>
      <c r="BI178" s="1142" t="str">
        <f t="shared" si="53"/>
        <v/>
      </c>
      <c r="BJ178" s="1143" t="str">
        <f t="shared" si="49"/>
        <v/>
      </c>
      <c r="BK178" s="1143"/>
      <c r="BL178" s="1143"/>
      <c r="BM178" s="1129" t="str">
        <f t="shared" si="50"/>
        <v/>
      </c>
      <c r="BN178" s="1104"/>
      <c r="BO178" s="1142" t="e">
        <f>IF(#REF!&gt;0,#REF!,"")</f>
        <v>#REF!</v>
      </c>
      <c r="BP178" s="1142" t="e">
        <f>IF(#REF!&lt;&gt;"",#REF!,"")</f>
        <v>#REF!</v>
      </c>
      <c r="BQ178" s="1132" t="str">
        <f t="shared" si="51"/>
        <v/>
      </c>
      <c r="BR178" s="1144" t="str">
        <f t="shared" si="38"/>
        <v/>
      </c>
      <c r="BS178" s="1146" t="str">
        <f>IF(L61&lt;&gt;"",#REF!,"")</f>
        <v/>
      </c>
      <c r="BT178" s="1147" t="str">
        <f t="shared" si="39"/>
        <v/>
      </c>
      <c r="BU178" s="1147" t="str">
        <f>IF(L61&lt;&gt;"",#REF!,"")</f>
        <v/>
      </c>
      <c r="BV178" s="1148" t="str">
        <f t="shared" si="40"/>
        <v/>
      </c>
      <c r="BW178" s="1139" t="e">
        <f t="shared" si="45"/>
        <v>#REF!</v>
      </c>
    </row>
    <row r="179" spans="43:75" ht="24.95" hidden="1" customHeight="1">
      <c r="AQ179" s="1141" t="str">
        <f t="shared" si="52"/>
        <v/>
      </c>
      <c r="AR179" s="1141" t="str">
        <f t="shared" si="46"/>
        <v/>
      </c>
      <c r="AS179" s="1141"/>
      <c r="AT179" s="1149"/>
      <c r="AU179" s="1129" t="str">
        <f t="shared" si="47"/>
        <v/>
      </c>
      <c r="AV179" s="1150"/>
      <c r="AW179" s="1102" t="e">
        <f>IF(#REF!&gt;0,#REF!,"")</f>
        <v>#REF!</v>
      </c>
      <c r="AX179" s="1102" t="e">
        <f>IF(#REF!&lt;&gt;"",#REF!,"")</f>
        <v>#REF!</v>
      </c>
      <c r="AY179" s="1132" t="str">
        <f t="shared" si="48"/>
        <v/>
      </c>
      <c r="AZ179" s="1151" t="str">
        <f t="shared" si="33"/>
        <v/>
      </c>
      <c r="BA179" s="1152" t="str">
        <f>IF(L62&lt;&gt;"",#REF!,"")</f>
        <v/>
      </c>
      <c r="BB179" s="1153" t="str">
        <f t="shared" si="42"/>
        <v/>
      </c>
      <c r="BC179" s="1152" t="str">
        <f>IF(L62&lt;&gt;"",#REF!,"")</f>
        <v/>
      </c>
      <c r="BD179" s="1153" t="str">
        <f t="shared" si="34"/>
        <v/>
      </c>
      <c r="BE179" s="1137" t="e">
        <f t="shared" si="43"/>
        <v>#REF!</v>
      </c>
      <c r="BI179" s="1142" t="str">
        <f t="shared" si="53"/>
        <v/>
      </c>
      <c r="BJ179" s="1143" t="str">
        <f t="shared" si="49"/>
        <v/>
      </c>
      <c r="BK179" s="1143"/>
      <c r="BL179" s="1143"/>
      <c r="BM179" s="1129" t="str">
        <f t="shared" si="50"/>
        <v/>
      </c>
      <c r="BN179" s="1104"/>
      <c r="BO179" s="1142" t="e">
        <f>IF(#REF!&gt;0,#REF!,"")</f>
        <v>#REF!</v>
      </c>
      <c r="BP179" s="1142" t="e">
        <f>IF(#REF!&lt;&gt;"",#REF!,"")</f>
        <v>#REF!</v>
      </c>
      <c r="BQ179" s="1132" t="str">
        <f t="shared" si="51"/>
        <v/>
      </c>
      <c r="BR179" s="1144" t="str">
        <f t="shared" si="38"/>
        <v/>
      </c>
      <c r="BS179" s="1146" t="str">
        <f>IF(L62&lt;&gt;"",#REF!,"")</f>
        <v/>
      </c>
      <c r="BT179" s="1147" t="str">
        <f t="shared" si="39"/>
        <v/>
      </c>
      <c r="BU179" s="1147" t="str">
        <f>IF(L62&lt;&gt;"",#REF!,"")</f>
        <v/>
      </c>
      <c r="BV179" s="1148" t="str">
        <f t="shared" si="40"/>
        <v/>
      </c>
      <c r="BW179" s="1139" t="e">
        <f t="shared" si="45"/>
        <v>#REF!</v>
      </c>
    </row>
    <row r="180" spans="43:75" ht="24.95" hidden="1" customHeight="1">
      <c r="AQ180" s="1141" t="str">
        <f t="shared" si="52"/>
        <v/>
      </c>
      <c r="AR180" s="1141" t="str">
        <f t="shared" si="46"/>
        <v/>
      </c>
      <c r="AS180" s="1141"/>
      <c r="AT180" s="1149"/>
      <c r="AU180" s="1129" t="str">
        <f t="shared" si="47"/>
        <v/>
      </c>
      <c r="AV180" s="1150"/>
      <c r="AW180" s="1102" t="e">
        <f>IF(#REF!&gt;0,#REF!,"")</f>
        <v>#REF!</v>
      </c>
      <c r="AX180" s="1102" t="e">
        <f>IF(#REF!&lt;&gt;"",#REF!,"")</f>
        <v>#REF!</v>
      </c>
      <c r="AY180" s="1132" t="str">
        <f t="shared" si="48"/>
        <v/>
      </c>
      <c r="AZ180" s="1151" t="str">
        <f t="shared" si="33"/>
        <v/>
      </c>
      <c r="BA180" s="1152" t="str">
        <f>IF(L63&lt;&gt;"",#REF!,"")</f>
        <v/>
      </c>
      <c r="BB180" s="1153" t="str">
        <f t="shared" si="42"/>
        <v/>
      </c>
      <c r="BC180" s="1152" t="str">
        <f>IF(L63&lt;&gt;"",#REF!,"")</f>
        <v/>
      </c>
      <c r="BD180" s="1153" t="str">
        <f t="shared" si="34"/>
        <v/>
      </c>
      <c r="BE180" s="1137" t="e">
        <f t="shared" si="43"/>
        <v>#REF!</v>
      </c>
      <c r="BI180" s="1142" t="str">
        <f t="shared" si="53"/>
        <v/>
      </c>
      <c r="BJ180" s="1143" t="str">
        <f t="shared" si="49"/>
        <v/>
      </c>
      <c r="BK180" s="1143"/>
      <c r="BL180" s="1143"/>
      <c r="BM180" s="1129" t="str">
        <f t="shared" si="50"/>
        <v/>
      </c>
      <c r="BN180" s="1104"/>
      <c r="BO180" s="1142" t="e">
        <f>IF(#REF!&gt;0,#REF!,"")</f>
        <v>#REF!</v>
      </c>
      <c r="BP180" s="1142" t="e">
        <f>IF(#REF!&lt;&gt;"",#REF!,"")</f>
        <v>#REF!</v>
      </c>
      <c r="BQ180" s="1132" t="str">
        <f t="shared" si="51"/>
        <v/>
      </c>
      <c r="BR180" s="1144" t="str">
        <f t="shared" si="38"/>
        <v/>
      </c>
      <c r="BS180" s="1146" t="str">
        <f>IF(L63&lt;&gt;"",#REF!,"")</f>
        <v/>
      </c>
      <c r="BT180" s="1147" t="str">
        <f t="shared" si="39"/>
        <v/>
      </c>
      <c r="BU180" s="1147" t="str">
        <f>IF(L63&lt;&gt;"",#REF!,"")</f>
        <v/>
      </c>
      <c r="BV180" s="1148" t="str">
        <f t="shared" si="40"/>
        <v/>
      </c>
      <c r="BW180" s="1139" t="e">
        <f t="shared" si="45"/>
        <v>#REF!</v>
      </c>
    </row>
    <row r="181" spans="43:75" ht="24.95" hidden="1" customHeight="1">
      <c r="AQ181" s="1141" t="str">
        <f t="shared" si="52"/>
        <v/>
      </c>
      <c r="AR181" s="1141" t="str">
        <f t="shared" si="46"/>
        <v/>
      </c>
      <c r="AS181" s="1141"/>
      <c r="AT181" s="1149"/>
      <c r="AU181" s="1129" t="str">
        <f t="shared" si="47"/>
        <v/>
      </c>
      <c r="AV181" s="1150"/>
      <c r="AW181" s="1102" t="e">
        <f>IF(#REF!&gt;0,#REF!,"")</f>
        <v>#REF!</v>
      </c>
      <c r="AX181" s="1102" t="e">
        <f>IF(#REF!&lt;&gt;"",#REF!,"")</f>
        <v>#REF!</v>
      </c>
      <c r="AY181" s="1132" t="str">
        <f t="shared" si="48"/>
        <v/>
      </c>
      <c r="AZ181" s="1151" t="str">
        <f t="shared" si="33"/>
        <v/>
      </c>
      <c r="BA181" s="1152" t="str">
        <f>IF(L64&lt;&gt;"",#REF!,"")</f>
        <v/>
      </c>
      <c r="BB181" s="1153" t="str">
        <f t="shared" si="42"/>
        <v/>
      </c>
      <c r="BC181" s="1152" t="str">
        <f>IF(L64&lt;&gt;"",#REF!,"")</f>
        <v/>
      </c>
      <c r="BD181" s="1153" t="str">
        <f t="shared" si="34"/>
        <v/>
      </c>
      <c r="BE181" s="1137" t="e">
        <f t="shared" si="43"/>
        <v>#REF!</v>
      </c>
      <c r="BI181" s="1142" t="str">
        <f t="shared" si="53"/>
        <v/>
      </c>
      <c r="BJ181" s="1143" t="str">
        <f t="shared" si="49"/>
        <v/>
      </c>
      <c r="BK181" s="1143"/>
      <c r="BL181" s="1143"/>
      <c r="BM181" s="1129" t="str">
        <f t="shared" si="50"/>
        <v/>
      </c>
      <c r="BN181" s="1104"/>
      <c r="BO181" s="1142" t="e">
        <f>IF(#REF!&gt;0,#REF!,"")</f>
        <v>#REF!</v>
      </c>
      <c r="BP181" s="1142" t="e">
        <f>IF(#REF!&lt;&gt;"",#REF!,"")</f>
        <v>#REF!</v>
      </c>
      <c r="BQ181" s="1132" t="str">
        <f t="shared" si="51"/>
        <v/>
      </c>
      <c r="BR181" s="1144" t="str">
        <f t="shared" si="38"/>
        <v/>
      </c>
      <c r="BS181" s="1146" t="str">
        <f>IF(L64&lt;&gt;"",#REF!,"")</f>
        <v/>
      </c>
      <c r="BT181" s="1147" t="str">
        <f t="shared" si="39"/>
        <v/>
      </c>
      <c r="BU181" s="1147" t="str">
        <f>IF(L64&lt;&gt;"",#REF!,"")</f>
        <v/>
      </c>
      <c r="BV181" s="1148" t="str">
        <f t="shared" si="40"/>
        <v/>
      </c>
      <c r="BW181" s="1139" t="e">
        <f t="shared" si="45"/>
        <v>#REF!</v>
      </c>
    </row>
    <row r="182" spans="43:75" ht="24.95" hidden="1" customHeight="1">
      <c r="AQ182" s="1141" t="str">
        <f t="shared" si="52"/>
        <v/>
      </c>
      <c r="AR182" s="1141" t="str">
        <f t="shared" si="46"/>
        <v/>
      </c>
      <c r="AS182" s="1141"/>
      <c r="AT182" s="1149"/>
      <c r="AU182" s="1129" t="str">
        <f t="shared" si="47"/>
        <v/>
      </c>
      <c r="AV182" s="1150"/>
      <c r="AW182" s="1102" t="e">
        <f>IF(#REF!&gt;0,#REF!,"")</f>
        <v>#REF!</v>
      </c>
      <c r="AX182" s="1102" t="e">
        <f>IF(#REF!&lt;&gt;"",#REF!,"")</f>
        <v>#REF!</v>
      </c>
      <c r="AY182" s="1132" t="str">
        <f t="shared" si="48"/>
        <v/>
      </c>
      <c r="AZ182" s="1151" t="str">
        <f t="shared" si="33"/>
        <v/>
      </c>
      <c r="BA182" s="1152" t="str">
        <f>IF(L65&lt;&gt;"",#REF!,"")</f>
        <v/>
      </c>
      <c r="BB182" s="1153" t="str">
        <f t="shared" si="42"/>
        <v/>
      </c>
      <c r="BC182" s="1152" t="str">
        <f>IF(L65&lt;&gt;"",#REF!,"")</f>
        <v/>
      </c>
      <c r="BD182" s="1153" t="str">
        <f t="shared" si="34"/>
        <v/>
      </c>
      <c r="BE182" s="1137" t="e">
        <f t="shared" si="43"/>
        <v>#REF!</v>
      </c>
      <c r="BI182" s="1142" t="str">
        <f t="shared" si="53"/>
        <v/>
      </c>
      <c r="BJ182" s="1143" t="str">
        <f t="shared" si="49"/>
        <v/>
      </c>
      <c r="BK182" s="1143"/>
      <c r="BL182" s="1143"/>
      <c r="BM182" s="1129" t="str">
        <f t="shared" si="50"/>
        <v/>
      </c>
      <c r="BN182" s="1104"/>
      <c r="BO182" s="1142" t="e">
        <f>IF(#REF!&gt;0,#REF!,"")</f>
        <v>#REF!</v>
      </c>
      <c r="BP182" s="1142" t="e">
        <f>IF(#REF!&lt;&gt;"",#REF!,"")</f>
        <v>#REF!</v>
      </c>
      <c r="BQ182" s="1132" t="str">
        <f t="shared" si="51"/>
        <v/>
      </c>
      <c r="BR182" s="1144" t="str">
        <f t="shared" si="38"/>
        <v/>
      </c>
      <c r="BS182" s="1146" t="str">
        <f>IF(L65&lt;&gt;"",#REF!,"")</f>
        <v/>
      </c>
      <c r="BT182" s="1147" t="str">
        <f t="shared" si="39"/>
        <v/>
      </c>
      <c r="BU182" s="1147" t="str">
        <f>IF(L65&lt;&gt;"",#REF!,"")</f>
        <v/>
      </c>
      <c r="BV182" s="1148" t="str">
        <f t="shared" si="40"/>
        <v/>
      </c>
      <c r="BW182" s="1139" t="e">
        <f t="shared" si="45"/>
        <v>#REF!</v>
      </c>
    </row>
    <row r="183" spans="43:75" ht="24.95" hidden="1" customHeight="1">
      <c r="AQ183" s="1141" t="str">
        <f t="shared" si="52"/>
        <v/>
      </c>
      <c r="AR183" s="1141" t="str">
        <f t="shared" si="46"/>
        <v/>
      </c>
      <c r="AS183" s="1141"/>
      <c r="AT183" s="1149"/>
      <c r="AU183" s="1129" t="str">
        <f t="shared" si="47"/>
        <v/>
      </c>
      <c r="AV183" s="1150"/>
      <c r="AW183" s="1102" t="e">
        <f>IF(#REF!&gt;0,#REF!,"")</f>
        <v>#REF!</v>
      </c>
      <c r="AX183" s="1102" t="e">
        <f>IF(#REF!&lt;&gt;"",#REF!,"")</f>
        <v>#REF!</v>
      </c>
      <c r="AY183" s="1132" t="str">
        <f t="shared" si="48"/>
        <v/>
      </c>
      <c r="AZ183" s="1151" t="str">
        <f t="shared" si="33"/>
        <v/>
      </c>
      <c r="BA183" s="1152" t="str">
        <f>IF(L66&lt;&gt;"",#REF!,"")</f>
        <v/>
      </c>
      <c r="BB183" s="1153" t="str">
        <f t="shared" si="42"/>
        <v/>
      </c>
      <c r="BC183" s="1152" t="str">
        <f>IF(L66&lt;&gt;"",#REF!,"")</f>
        <v/>
      </c>
      <c r="BD183" s="1153" t="str">
        <f t="shared" si="34"/>
        <v/>
      </c>
      <c r="BE183" s="1137" t="e">
        <f t="shared" si="43"/>
        <v>#REF!</v>
      </c>
      <c r="BI183" s="1142" t="str">
        <f t="shared" si="53"/>
        <v/>
      </c>
      <c r="BJ183" s="1143" t="str">
        <f t="shared" si="49"/>
        <v/>
      </c>
      <c r="BK183" s="1143"/>
      <c r="BL183" s="1143"/>
      <c r="BM183" s="1129" t="str">
        <f t="shared" si="50"/>
        <v/>
      </c>
      <c r="BN183" s="1104"/>
      <c r="BO183" s="1142" t="e">
        <f>IF(#REF!&gt;0,#REF!,"")</f>
        <v>#REF!</v>
      </c>
      <c r="BP183" s="1142" t="e">
        <f>IF(#REF!&lt;&gt;"",#REF!,"")</f>
        <v>#REF!</v>
      </c>
      <c r="BQ183" s="1132" t="str">
        <f t="shared" si="51"/>
        <v/>
      </c>
      <c r="BR183" s="1144" t="str">
        <f t="shared" si="38"/>
        <v/>
      </c>
      <c r="BS183" s="1146" t="str">
        <f>IF(L66&lt;&gt;"",#REF!,"")</f>
        <v/>
      </c>
      <c r="BT183" s="1147" t="str">
        <f t="shared" si="39"/>
        <v/>
      </c>
      <c r="BU183" s="1147" t="str">
        <f>IF(L66&lt;&gt;"",#REF!,"")</f>
        <v/>
      </c>
      <c r="BV183" s="1148" t="str">
        <f t="shared" si="40"/>
        <v/>
      </c>
      <c r="BW183" s="1139" t="e">
        <f t="shared" si="45"/>
        <v>#REF!</v>
      </c>
    </row>
    <row r="184" spans="43:75" ht="24.95" hidden="1" customHeight="1">
      <c r="AQ184" s="1141" t="str">
        <f t="shared" si="52"/>
        <v/>
      </c>
      <c r="AR184" s="1141" t="str">
        <f t="shared" si="46"/>
        <v/>
      </c>
      <c r="AS184" s="1141"/>
      <c r="AT184" s="1149"/>
      <c r="AU184" s="1129" t="str">
        <f t="shared" si="47"/>
        <v/>
      </c>
      <c r="AV184" s="1150"/>
      <c r="AW184" s="1102" t="e">
        <f>IF(#REF!&gt;0,#REF!,"")</f>
        <v>#REF!</v>
      </c>
      <c r="AX184" s="1102" t="e">
        <f>IF(#REF!&lt;&gt;"",#REF!,"")</f>
        <v>#REF!</v>
      </c>
      <c r="AY184" s="1132" t="str">
        <f t="shared" si="48"/>
        <v/>
      </c>
      <c r="AZ184" s="1151" t="str">
        <f t="shared" si="33"/>
        <v/>
      </c>
      <c r="BA184" s="1152" t="str">
        <f>IF(L67&lt;&gt;"",#REF!,"")</f>
        <v/>
      </c>
      <c r="BB184" s="1153" t="str">
        <f t="shared" si="42"/>
        <v/>
      </c>
      <c r="BC184" s="1152" t="str">
        <f>IF(L67&lt;&gt;"",#REF!,"")</f>
        <v/>
      </c>
      <c r="BD184" s="1153" t="str">
        <f t="shared" si="34"/>
        <v/>
      </c>
      <c r="BE184" s="1137" t="e">
        <f t="shared" si="43"/>
        <v>#REF!</v>
      </c>
      <c r="BI184" s="1142" t="str">
        <f t="shared" si="53"/>
        <v/>
      </c>
      <c r="BJ184" s="1143" t="str">
        <f t="shared" si="49"/>
        <v/>
      </c>
      <c r="BK184" s="1143"/>
      <c r="BL184" s="1143"/>
      <c r="BM184" s="1129" t="str">
        <f t="shared" si="50"/>
        <v/>
      </c>
      <c r="BN184" s="1104"/>
      <c r="BO184" s="1142" t="e">
        <f>IF(#REF!&gt;0,#REF!,"")</f>
        <v>#REF!</v>
      </c>
      <c r="BP184" s="1142" t="e">
        <f>IF(#REF!&lt;&gt;"",#REF!,"")</f>
        <v>#REF!</v>
      </c>
      <c r="BQ184" s="1132" t="str">
        <f t="shared" si="51"/>
        <v/>
      </c>
      <c r="BR184" s="1144" t="str">
        <f t="shared" si="38"/>
        <v/>
      </c>
      <c r="BS184" s="1146" t="str">
        <f>IF(L67&lt;&gt;"",#REF!,"")</f>
        <v/>
      </c>
      <c r="BT184" s="1147" t="str">
        <f t="shared" si="39"/>
        <v/>
      </c>
      <c r="BU184" s="1147" t="str">
        <f>IF(L67&lt;&gt;"",#REF!,"")</f>
        <v/>
      </c>
      <c r="BV184" s="1148" t="str">
        <f t="shared" si="40"/>
        <v/>
      </c>
      <c r="BW184" s="1139" t="e">
        <f t="shared" si="45"/>
        <v>#REF!</v>
      </c>
    </row>
    <row r="185" spans="43:75" ht="24.95" hidden="1" customHeight="1">
      <c r="AQ185" s="1141" t="str">
        <f t="shared" si="52"/>
        <v/>
      </c>
      <c r="AR185" s="1141" t="str">
        <f t="shared" si="46"/>
        <v/>
      </c>
      <c r="AS185" s="1141"/>
      <c r="AT185" s="1149"/>
      <c r="AU185" s="1129" t="str">
        <f t="shared" si="47"/>
        <v/>
      </c>
      <c r="AV185" s="1150"/>
      <c r="AW185" s="1102" t="e">
        <f>IF(#REF!&gt;0,#REF!,"")</f>
        <v>#REF!</v>
      </c>
      <c r="AX185" s="1102" t="e">
        <f>IF(#REF!&lt;&gt;"",#REF!,"")</f>
        <v>#REF!</v>
      </c>
      <c r="AY185" s="1132" t="str">
        <f t="shared" si="48"/>
        <v/>
      </c>
      <c r="AZ185" s="1151" t="str">
        <f t="shared" si="33"/>
        <v/>
      </c>
      <c r="BA185" s="1152" t="str">
        <f>IF(L68&lt;&gt;"",#REF!,"")</f>
        <v/>
      </c>
      <c r="BB185" s="1153" t="str">
        <f t="shared" si="42"/>
        <v/>
      </c>
      <c r="BC185" s="1152" t="str">
        <f>IF(L68&lt;&gt;"",#REF!,"")</f>
        <v/>
      </c>
      <c r="BD185" s="1153" t="str">
        <f t="shared" si="34"/>
        <v/>
      </c>
      <c r="BE185" s="1137" t="e">
        <f t="shared" si="43"/>
        <v>#REF!</v>
      </c>
      <c r="BI185" s="1142" t="str">
        <f t="shared" si="53"/>
        <v/>
      </c>
      <c r="BJ185" s="1143" t="str">
        <f t="shared" si="49"/>
        <v/>
      </c>
      <c r="BK185" s="1143"/>
      <c r="BL185" s="1143"/>
      <c r="BM185" s="1129" t="str">
        <f t="shared" si="50"/>
        <v/>
      </c>
      <c r="BN185" s="1104"/>
      <c r="BO185" s="1142" t="e">
        <f>IF(#REF!&gt;0,#REF!,"")</f>
        <v>#REF!</v>
      </c>
      <c r="BP185" s="1142" t="e">
        <f>IF(#REF!&lt;&gt;"",#REF!,"")</f>
        <v>#REF!</v>
      </c>
      <c r="BQ185" s="1132" t="str">
        <f t="shared" si="51"/>
        <v/>
      </c>
      <c r="BR185" s="1144" t="str">
        <f t="shared" si="38"/>
        <v/>
      </c>
      <c r="BS185" s="1146" t="str">
        <f>IF(L68&lt;&gt;"",#REF!,"")</f>
        <v/>
      </c>
      <c r="BT185" s="1147" t="str">
        <f t="shared" si="39"/>
        <v/>
      </c>
      <c r="BU185" s="1147" t="str">
        <f>IF(L68&lt;&gt;"",#REF!,"")</f>
        <v/>
      </c>
      <c r="BV185" s="1148" t="str">
        <f t="shared" si="40"/>
        <v/>
      </c>
      <c r="BW185" s="1139" t="e">
        <f t="shared" si="45"/>
        <v>#REF!</v>
      </c>
    </row>
    <row r="186" spans="43:75" ht="24.95" hidden="1" customHeight="1">
      <c r="AQ186" s="1141" t="str">
        <f t="shared" si="52"/>
        <v/>
      </c>
      <c r="AR186" s="1141" t="str">
        <f t="shared" si="46"/>
        <v/>
      </c>
      <c r="AS186" s="1141"/>
      <c r="AT186" s="1149"/>
      <c r="AU186" s="1129" t="str">
        <f t="shared" si="47"/>
        <v/>
      </c>
      <c r="AV186" s="1150"/>
      <c r="AW186" s="1102" t="e">
        <f>IF(#REF!&gt;0,#REF!,"")</f>
        <v>#REF!</v>
      </c>
      <c r="AX186" s="1102" t="e">
        <f>IF(#REF!&lt;&gt;"",#REF!,"")</f>
        <v>#REF!</v>
      </c>
      <c r="AY186" s="1132" t="str">
        <f t="shared" si="48"/>
        <v/>
      </c>
      <c r="AZ186" s="1151" t="str">
        <f t="shared" si="33"/>
        <v/>
      </c>
      <c r="BA186" s="1152" t="str">
        <f>IF(L69&lt;&gt;"",#REF!,"")</f>
        <v/>
      </c>
      <c r="BB186" s="1153" t="str">
        <f t="shared" si="42"/>
        <v/>
      </c>
      <c r="BC186" s="1152" t="str">
        <f>IF(L69&lt;&gt;"",#REF!,"")</f>
        <v/>
      </c>
      <c r="BD186" s="1153" t="str">
        <f t="shared" si="34"/>
        <v/>
      </c>
      <c r="BE186" s="1137" t="e">
        <f t="shared" si="43"/>
        <v>#REF!</v>
      </c>
      <c r="BI186" s="1142" t="str">
        <f t="shared" si="53"/>
        <v/>
      </c>
      <c r="BJ186" s="1143" t="str">
        <f t="shared" si="49"/>
        <v/>
      </c>
      <c r="BK186" s="1143"/>
      <c r="BL186" s="1143"/>
      <c r="BM186" s="1129" t="str">
        <f t="shared" si="50"/>
        <v/>
      </c>
      <c r="BN186" s="1104"/>
      <c r="BO186" s="1142" t="e">
        <f>IF(#REF!&gt;0,#REF!,"")</f>
        <v>#REF!</v>
      </c>
      <c r="BP186" s="1142" t="e">
        <f>IF(#REF!&lt;&gt;"",#REF!,"")</f>
        <v>#REF!</v>
      </c>
      <c r="BQ186" s="1132" t="str">
        <f t="shared" si="51"/>
        <v/>
      </c>
      <c r="BR186" s="1144" t="str">
        <f t="shared" si="38"/>
        <v/>
      </c>
      <c r="BS186" s="1146" t="str">
        <f>IF(L69&lt;&gt;"",#REF!,"")</f>
        <v/>
      </c>
      <c r="BT186" s="1147" t="str">
        <f t="shared" si="39"/>
        <v/>
      </c>
      <c r="BU186" s="1147" t="str">
        <f>IF(L69&lt;&gt;"",#REF!,"")</f>
        <v/>
      </c>
      <c r="BV186" s="1148" t="str">
        <f t="shared" si="40"/>
        <v/>
      </c>
      <c r="BW186" s="1139" t="e">
        <f t="shared" si="45"/>
        <v>#REF!</v>
      </c>
    </row>
    <row r="187" spans="43:75" ht="24.95" hidden="1" customHeight="1">
      <c r="AQ187" s="1141" t="str">
        <f t="shared" si="52"/>
        <v/>
      </c>
      <c r="AR187" s="1141" t="str">
        <f t="shared" si="46"/>
        <v/>
      </c>
      <c r="AS187" s="1141"/>
      <c r="AT187" s="1149"/>
      <c r="AU187" s="1129" t="str">
        <f t="shared" si="47"/>
        <v/>
      </c>
      <c r="AV187" s="1150"/>
      <c r="AW187" s="1102" t="e">
        <f>IF(#REF!&gt;0,#REF!,"")</f>
        <v>#REF!</v>
      </c>
      <c r="AX187" s="1102" t="e">
        <f>IF(#REF!&lt;&gt;"",#REF!,"")</f>
        <v>#REF!</v>
      </c>
      <c r="AY187" s="1132" t="str">
        <f t="shared" si="48"/>
        <v/>
      </c>
      <c r="AZ187" s="1151" t="str">
        <f t="shared" si="33"/>
        <v/>
      </c>
      <c r="BA187" s="1152" t="str">
        <f>IF(L70&lt;&gt;"",#REF!,"")</f>
        <v/>
      </c>
      <c r="BB187" s="1153" t="str">
        <f t="shared" si="42"/>
        <v/>
      </c>
      <c r="BC187" s="1152" t="str">
        <f>IF(L70&lt;&gt;"",#REF!,"")</f>
        <v/>
      </c>
      <c r="BD187" s="1153" t="str">
        <f t="shared" si="34"/>
        <v/>
      </c>
      <c r="BE187" s="1137" t="e">
        <f t="shared" si="43"/>
        <v>#REF!</v>
      </c>
      <c r="BI187" s="1142" t="str">
        <f t="shared" si="53"/>
        <v/>
      </c>
      <c r="BJ187" s="1143" t="str">
        <f t="shared" si="49"/>
        <v/>
      </c>
      <c r="BK187" s="1143"/>
      <c r="BL187" s="1143"/>
      <c r="BM187" s="1129" t="str">
        <f t="shared" si="50"/>
        <v/>
      </c>
      <c r="BN187" s="1104"/>
      <c r="BO187" s="1142" t="e">
        <f>IF(#REF!&gt;0,#REF!,"")</f>
        <v>#REF!</v>
      </c>
      <c r="BP187" s="1142" t="e">
        <f>IF(#REF!&lt;&gt;"",#REF!,"")</f>
        <v>#REF!</v>
      </c>
      <c r="BQ187" s="1132" t="str">
        <f t="shared" si="51"/>
        <v/>
      </c>
      <c r="BR187" s="1144" t="str">
        <f t="shared" si="38"/>
        <v/>
      </c>
      <c r="BS187" s="1146" t="str">
        <f>IF(L70&lt;&gt;"",#REF!,"")</f>
        <v/>
      </c>
      <c r="BT187" s="1147" t="str">
        <f t="shared" si="39"/>
        <v/>
      </c>
      <c r="BU187" s="1147" t="str">
        <f>IF(L70&lt;&gt;"",#REF!,"")</f>
        <v/>
      </c>
      <c r="BV187" s="1148" t="str">
        <f t="shared" si="40"/>
        <v/>
      </c>
      <c r="BW187" s="1139" t="e">
        <f t="shared" si="45"/>
        <v>#REF!</v>
      </c>
    </row>
    <row r="188" spans="43:75" ht="24.95" hidden="1" customHeight="1">
      <c r="AQ188" s="1141" t="str">
        <f t="shared" si="52"/>
        <v/>
      </c>
      <c r="AR188" s="1141" t="str">
        <f t="shared" si="46"/>
        <v/>
      </c>
      <c r="AS188" s="1141"/>
      <c r="AT188" s="1149"/>
      <c r="AU188" s="1129" t="str">
        <f t="shared" si="47"/>
        <v/>
      </c>
      <c r="AV188" s="1150"/>
      <c r="AW188" s="1102" t="e">
        <f>IF(#REF!&gt;0,#REF!,"")</f>
        <v>#REF!</v>
      </c>
      <c r="AX188" s="1102" t="e">
        <f>IF(#REF!&lt;&gt;"",#REF!,"")</f>
        <v>#REF!</v>
      </c>
      <c r="AY188" s="1132" t="str">
        <f t="shared" si="48"/>
        <v/>
      </c>
      <c r="AZ188" s="1151" t="str">
        <f t="shared" si="33"/>
        <v/>
      </c>
      <c r="BA188" s="1152" t="str">
        <f>IF(L71&lt;&gt;"",#REF!,"")</f>
        <v/>
      </c>
      <c r="BB188" s="1153" t="str">
        <f t="shared" si="42"/>
        <v/>
      </c>
      <c r="BC188" s="1152" t="str">
        <f>IF(L71&lt;&gt;"",#REF!,"")</f>
        <v/>
      </c>
      <c r="BD188" s="1153" t="str">
        <f t="shared" si="34"/>
        <v/>
      </c>
      <c r="BE188" s="1137" t="e">
        <f t="shared" si="43"/>
        <v>#REF!</v>
      </c>
      <c r="BI188" s="1142" t="str">
        <f t="shared" si="53"/>
        <v/>
      </c>
      <c r="BJ188" s="1143" t="str">
        <f t="shared" si="49"/>
        <v/>
      </c>
      <c r="BK188" s="1143"/>
      <c r="BL188" s="1143"/>
      <c r="BM188" s="1129" t="str">
        <f t="shared" si="50"/>
        <v/>
      </c>
      <c r="BN188" s="1104"/>
      <c r="BO188" s="1142" t="e">
        <f>IF(#REF!&gt;0,#REF!,"")</f>
        <v>#REF!</v>
      </c>
      <c r="BP188" s="1142" t="e">
        <f>IF(#REF!&lt;&gt;"",#REF!,"")</f>
        <v>#REF!</v>
      </c>
      <c r="BQ188" s="1132" t="str">
        <f t="shared" si="51"/>
        <v/>
      </c>
      <c r="BR188" s="1144" t="str">
        <f t="shared" si="38"/>
        <v/>
      </c>
      <c r="BS188" s="1146" t="str">
        <f>IF(L71&lt;&gt;"",#REF!,"")</f>
        <v/>
      </c>
      <c r="BT188" s="1147" t="str">
        <f t="shared" si="39"/>
        <v/>
      </c>
      <c r="BU188" s="1147" t="str">
        <f>IF(L71&lt;&gt;"",#REF!,"")</f>
        <v/>
      </c>
      <c r="BV188" s="1148" t="str">
        <f t="shared" si="40"/>
        <v/>
      </c>
      <c r="BW188" s="1139" t="e">
        <f t="shared" si="45"/>
        <v>#REF!</v>
      </c>
    </row>
    <row r="189" spans="43:75" ht="24.95" hidden="1" customHeight="1">
      <c r="AQ189" s="1141" t="str">
        <f t="shared" si="52"/>
        <v/>
      </c>
      <c r="AR189" s="1141" t="str">
        <f t="shared" ref="AR189:AR204" si="54">IF(K72&lt;&gt;"",K72,"")</f>
        <v/>
      </c>
      <c r="AS189" s="1141"/>
      <c r="AT189" s="1149"/>
      <c r="AU189" s="1129" t="str">
        <f t="shared" ref="AU189:AU200" si="55">IF(L72&lt;&gt;"",MID(L72,7,200),"")</f>
        <v/>
      </c>
      <c r="AV189" s="1150"/>
      <c r="AW189" s="1102" t="e">
        <f>IF(#REF!&gt;0,#REF!,"")</f>
        <v>#REF!</v>
      </c>
      <c r="AX189" s="1102" t="e">
        <f>IF(#REF!&lt;&gt;"",#REF!,"")</f>
        <v>#REF!</v>
      </c>
      <c r="AY189" s="1132" t="str">
        <f t="shared" ref="AY189:AY200" si="56">IF(L72&lt;&gt;"",MID(M72,5,100),"")</f>
        <v/>
      </c>
      <c r="AZ189" s="1151" t="str">
        <f t="shared" ref="AZ189:AZ204" si="57">IF(AU189="","",quote_currency_symbol)</f>
        <v/>
      </c>
      <c r="BA189" s="1152" t="str">
        <f>IF(L72&lt;&gt;"",#REF!,"")</f>
        <v/>
      </c>
      <c r="BB189" s="1153" t="str">
        <f t="shared" si="42"/>
        <v/>
      </c>
      <c r="BC189" s="1152" t="str">
        <f>IF(L72&lt;&gt;"",#REF!,"")</f>
        <v/>
      </c>
      <c r="BD189" s="1153" t="str">
        <f t="shared" ref="BD189:BD204" si="58">IF(AU189="","",quote_currency_symbol)</f>
        <v/>
      </c>
      <c r="BE189" s="1137" t="e">
        <f t="shared" si="43"/>
        <v>#REF!</v>
      </c>
      <c r="BI189" s="1142" t="str">
        <f t="shared" si="53"/>
        <v/>
      </c>
      <c r="BJ189" s="1143" t="str">
        <f t="shared" ref="BJ189:BJ204" si="59">IF(L72&lt;&gt;"",K72,"")</f>
        <v/>
      </c>
      <c r="BK189" s="1143"/>
      <c r="BL189" s="1143"/>
      <c r="BM189" s="1129" t="str">
        <f t="shared" ref="BM189:BM204" si="60">IF(L72&lt;&gt;"",MID(L72,7,200),"")</f>
        <v/>
      </c>
      <c r="BN189" s="1104"/>
      <c r="BO189" s="1142" t="e">
        <f>IF(#REF!&gt;0,#REF!,"")</f>
        <v>#REF!</v>
      </c>
      <c r="BP189" s="1142" t="e">
        <f>IF(#REF!&lt;&gt;"",#REF!,"")</f>
        <v>#REF!</v>
      </c>
      <c r="BQ189" s="1132" t="str">
        <f t="shared" ref="BQ189:BQ204" si="61">IF(L72&lt;&gt;"",MID(M72,5,100),"")</f>
        <v/>
      </c>
      <c r="BR189" s="1144" t="str">
        <f t="shared" ref="BR189:BR204" si="62">IF(BM189="","",quote_currency_symbol)</f>
        <v/>
      </c>
      <c r="BS189" s="1146" t="str">
        <f>IF(L72&lt;&gt;"",#REF!,"")</f>
        <v/>
      </c>
      <c r="BT189" s="1147" t="str">
        <f t="shared" ref="BT189:BT204" si="63">IF(BM189="","",quote_currency_symbol)</f>
        <v/>
      </c>
      <c r="BU189" s="1147" t="str">
        <f>IF(L72&lt;&gt;"",#REF!,"")</f>
        <v/>
      </c>
      <c r="BV189" s="1148" t="str">
        <f t="shared" ref="BV189:BV204" si="64">IF(BM189="","",quote_currency_symbol)</f>
        <v/>
      </c>
      <c r="BW189" s="1139" t="e">
        <f t="shared" si="45"/>
        <v>#REF!</v>
      </c>
    </row>
    <row r="190" spans="43:75" ht="24.95" hidden="1" customHeight="1">
      <c r="AQ190" s="1141" t="str">
        <f t="shared" ref="AQ190:AQ204" si="65">IF(L73="","",AQ189+1)</f>
        <v/>
      </c>
      <c r="AR190" s="1141" t="str">
        <f t="shared" si="54"/>
        <v/>
      </c>
      <c r="AS190" s="1141"/>
      <c r="AT190" s="1149"/>
      <c r="AU190" s="1129" t="str">
        <f t="shared" si="55"/>
        <v/>
      </c>
      <c r="AV190" s="1150"/>
      <c r="AW190" s="1102" t="e">
        <f>IF(#REF!&gt;0,#REF!,"")</f>
        <v>#REF!</v>
      </c>
      <c r="AX190" s="1102" t="e">
        <f>IF(#REF!&lt;&gt;"",#REF!,"")</f>
        <v>#REF!</v>
      </c>
      <c r="AY190" s="1132" t="str">
        <f t="shared" si="56"/>
        <v/>
      </c>
      <c r="AZ190" s="1151" t="str">
        <f t="shared" si="57"/>
        <v/>
      </c>
      <c r="BA190" s="1152" t="str">
        <f>IF(L73&lt;&gt;"",#REF!,"")</f>
        <v/>
      </c>
      <c r="BB190" s="1153" t="str">
        <f t="shared" ref="BB190:BB204" si="66">IF(AU190="","",quote_currency_symbol)</f>
        <v/>
      </c>
      <c r="BC190" s="1152" t="str">
        <f>IF(L73&lt;&gt;"",#REF!,"")</f>
        <v/>
      </c>
      <c r="BD190" s="1153" t="str">
        <f t="shared" si="58"/>
        <v/>
      </c>
      <c r="BE190" s="1137" t="e">
        <f t="shared" ref="BE190:BE204" si="67">IF(AND(AU190&lt;&gt;"",AW190&gt;0),(N(AW190))*BA190-BC190,"")</f>
        <v>#REF!</v>
      </c>
      <c r="BI190" s="1142" t="str">
        <f t="shared" ref="BI190:BI204" si="68">IF(L73="","",BI189+1)</f>
        <v/>
      </c>
      <c r="BJ190" s="1143" t="str">
        <f t="shared" si="59"/>
        <v/>
      </c>
      <c r="BK190" s="1143"/>
      <c r="BL190" s="1143"/>
      <c r="BM190" s="1129" t="str">
        <f t="shared" si="60"/>
        <v/>
      </c>
      <c r="BN190" s="1104"/>
      <c r="BO190" s="1142" t="e">
        <f>IF(#REF!&gt;0,#REF!,"")</f>
        <v>#REF!</v>
      </c>
      <c r="BP190" s="1142" t="e">
        <f>IF(#REF!&lt;&gt;"",#REF!,"")</f>
        <v>#REF!</v>
      </c>
      <c r="BQ190" s="1132" t="str">
        <f t="shared" si="61"/>
        <v/>
      </c>
      <c r="BR190" s="1144" t="str">
        <f t="shared" si="62"/>
        <v/>
      </c>
      <c r="BS190" s="1146" t="str">
        <f>IF(L73&lt;&gt;"",#REF!,"")</f>
        <v/>
      </c>
      <c r="BT190" s="1147" t="str">
        <f t="shared" si="63"/>
        <v/>
      </c>
      <c r="BU190" s="1147" t="str">
        <f>IF(L73&lt;&gt;"",#REF!,"")</f>
        <v/>
      </c>
      <c r="BV190" s="1148" t="str">
        <f t="shared" si="64"/>
        <v/>
      </c>
      <c r="BW190" s="1139" t="e">
        <f t="shared" ref="BW190:BW204" si="69">IF(AND(BM190&lt;&gt;"",BO190&gt;0),(N(BO190))*BS190-BU190,"")</f>
        <v>#REF!</v>
      </c>
    </row>
    <row r="191" spans="43:75" ht="24.95" hidden="1" customHeight="1">
      <c r="AQ191" s="1141" t="str">
        <f t="shared" si="65"/>
        <v/>
      </c>
      <c r="AR191" s="1141" t="str">
        <f t="shared" si="54"/>
        <v/>
      </c>
      <c r="AS191" s="1141"/>
      <c r="AT191" s="1149"/>
      <c r="AU191" s="1129" t="str">
        <f t="shared" si="55"/>
        <v/>
      </c>
      <c r="AV191" s="1150"/>
      <c r="AW191" s="1102" t="e">
        <f>IF(#REF!&gt;0,#REF!,"")</f>
        <v>#REF!</v>
      </c>
      <c r="AX191" s="1102" t="e">
        <f>IF(#REF!&lt;&gt;"",#REF!,"")</f>
        <v>#REF!</v>
      </c>
      <c r="AY191" s="1132" t="str">
        <f t="shared" si="56"/>
        <v/>
      </c>
      <c r="AZ191" s="1151" t="str">
        <f t="shared" si="57"/>
        <v/>
      </c>
      <c r="BA191" s="1152" t="str">
        <f>IF(L74&lt;&gt;"",#REF!,"")</f>
        <v/>
      </c>
      <c r="BB191" s="1153" t="str">
        <f t="shared" si="66"/>
        <v/>
      </c>
      <c r="BC191" s="1152" t="str">
        <f>IF(L74&lt;&gt;"",#REF!,"")</f>
        <v/>
      </c>
      <c r="BD191" s="1153" t="str">
        <f t="shared" si="58"/>
        <v/>
      </c>
      <c r="BE191" s="1137" t="e">
        <f t="shared" si="67"/>
        <v>#REF!</v>
      </c>
      <c r="BI191" s="1142" t="str">
        <f t="shared" si="68"/>
        <v/>
      </c>
      <c r="BJ191" s="1143" t="str">
        <f t="shared" si="59"/>
        <v/>
      </c>
      <c r="BK191" s="1143"/>
      <c r="BL191" s="1143"/>
      <c r="BM191" s="1129" t="str">
        <f t="shared" si="60"/>
        <v/>
      </c>
      <c r="BN191" s="1104"/>
      <c r="BO191" s="1142" t="e">
        <f>IF(#REF!&gt;0,#REF!,"")</f>
        <v>#REF!</v>
      </c>
      <c r="BP191" s="1142" t="e">
        <f>IF(#REF!&lt;&gt;"",#REF!,"")</f>
        <v>#REF!</v>
      </c>
      <c r="BQ191" s="1132" t="str">
        <f t="shared" si="61"/>
        <v/>
      </c>
      <c r="BR191" s="1144" t="str">
        <f t="shared" si="62"/>
        <v/>
      </c>
      <c r="BS191" s="1146" t="str">
        <f>IF(L74&lt;&gt;"",#REF!,"")</f>
        <v/>
      </c>
      <c r="BT191" s="1147" t="str">
        <f t="shared" si="63"/>
        <v/>
      </c>
      <c r="BU191" s="1147" t="str">
        <f>IF(L74&lt;&gt;"",#REF!,"")</f>
        <v/>
      </c>
      <c r="BV191" s="1148" t="str">
        <f t="shared" si="64"/>
        <v/>
      </c>
      <c r="BW191" s="1139" t="e">
        <f t="shared" si="69"/>
        <v>#REF!</v>
      </c>
    </row>
    <row r="192" spans="43:75" ht="24.95" hidden="1" customHeight="1">
      <c r="AQ192" s="1141" t="str">
        <f t="shared" si="65"/>
        <v/>
      </c>
      <c r="AR192" s="1141" t="str">
        <f t="shared" si="54"/>
        <v/>
      </c>
      <c r="AS192" s="1141"/>
      <c r="AT192" s="1149"/>
      <c r="AU192" s="1129" t="str">
        <f t="shared" si="55"/>
        <v/>
      </c>
      <c r="AV192" s="1150"/>
      <c r="AW192" s="1102" t="e">
        <f>IF(#REF!&gt;0,#REF!,"")</f>
        <v>#REF!</v>
      </c>
      <c r="AX192" s="1102" t="e">
        <f>IF(#REF!&lt;&gt;"",#REF!,"")</f>
        <v>#REF!</v>
      </c>
      <c r="AY192" s="1132" t="str">
        <f t="shared" si="56"/>
        <v/>
      </c>
      <c r="AZ192" s="1151" t="str">
        <f t="shared" si="57"/>
        <v/>
      </c>
      <c r="BA192" s="1152" t="str">
        <f>IF(L75&lt;&gt;"",#REF!,"")</f>
        <v/>
      </c>
      <c r="BB192" s="1153" t="str">
        <f t="shared" si="66"/>
        <v/>
      </c>
      <c r="BC192" s="1152" t="str">
        <f>IF(L75&lt;&gt;"",#REF!,"")</f>
        <v/>
      </c>
      <c r="BD192" s="1153" t="str">
        <f t="shared" si="58"/>
        <v/>
      </c>
      <c r="BE192" s="1137" t="e">
        <f t="shared" si="67"/>
        <v>#REF!</v>
      </c>
      <c r="BI192" s="1142" t="str">
        <f t="shared" si="68"/>
        <v/>
      </c>
      <c r="BJ192" s="1143" t="str">
        <f t="shared" si="59"/>
        <v/>
      </c>
      <c r="BK192" s="1143"/>
      <c r="BL192" s="1143"/>
      <c r="BM192" s="1129" t="str">
        <f t="shared" si="60"/>
        <v/>
      </c>
      <c r="BN192" s="1104"/>
      <c r="BO192" s="1142" t="e">
        <f>IF(#REF!&gt;0,#REF!,"")</f>
        <v>#REF!</v>
      </c>
      <c r="BP192" s="1142" t="e">
        <f>IF(#REF!&lt;&gt;"",#REF!,"")</f>
        <v>#REF!</v>
      </c>
      <c r="BQ192" s="1132" t="str">
        <f t="shared" si="61"/>
        <v/>
      </c>
      <c r="BR192" s="1144" t="str">
        <f t="shared" si="62"/>
        <v/>
      </c>
      <c r="BS192" s="1146" t="str">
        <f>IF(L75&lt;&gt;"",#REF!,"")</f>
        <v/>
      </c>
      <c r="BT192" s="1147" t="str">
        <f t="shared" si="63"/>
        <v/>
      </c>
      <c r="BU192" s="1147" t="str">
        <f>IF(L75&lt;&gt;"",#REF!,"")</f>
        <v/>
      </c>
      <c r="BV192" s="1148" t="str">
        <f t="shared" si="64"/>
        <v/>
      </c>
      <c r="BW192" s="1139" t="e">
        <f t="shared" si="69"/>
        <v>#REF!</v>
      </c>
    </row>
    <row r="193" spans="43:75" ht="24.95" hidden="1" customHeight="1">
      <c r="AQ193" s="1141" t="str">
        <f t="shared" si="65"/>
        <v/>
      </c>
      <c r="AR193" s="1141" t="str">
        <f t="shared" si="54"/>
        <v/>
      </c>
      <c r="AS193" s="1141"/>
      <c r="AT193" s="1149"/>
      <c r="AU193" s="1129" t="str">
        <f t="shared" si="55"/>
        <v/>
      </c>
      <c r="AV193" s="1150"/>
      <c r="AW193" s="1102" t="e">
        <f>IF(#REF!&gt;0,#REF!,"")</f>
        <v>#REF!</v>
      </c>
      <c r="AX193" s="1102" t="e">
        <f>IF(#REF!&lt;&gt;"",#REF!,"")</f>
        <v>#REF!</v>
      </c>
      <c r="AY193" s="1132" t="str">
        <f t="shared" si="56"/>
        <v/>
      </c>
      <c r="AZ193" s="1151" t="str">
        <f t="shared" si="57"/>
        <v/>
      </c>
      <c r="BA193" s="1152" t="str">
        <f>IF(L76&lt;&gt;"",#REF!,"")</f>
        <v/>
      </c>
      <c r="BB193" s="1153" t="str">
        <f t="shared" si="66"/>
        <v/>
      </c>
      <c r="BC193" s="1152" t="str">
        <f>IF(L76&lt;&gt;"",#REF!,"")</f>
        <v/>
      </c>
      <c r="BD193" s="1153" t="str">
        <f t="shared" si="58"/>
        <v/>
      </c>
      <c r="BE193" s="1137" t="e">
        <f t="shared" si="67"/>
        <v>#REF!</v>
      </c>
      <c r="BI193" s="1142" t="str">
        <f t="shared" si="68"/>
        <v/>
      </c>
      <c r="BJ193" s="1143" t="str">
        <f t="shared" si="59"/>
        <v/>
      </c>
      <c r="BK193" s="1143"/>
      <c r="BL193" s="1143"/>
      <c r="BM193" s="1129" t="str">
        <f t="shared" si="60"/>
        <v/>
      </c>
      <c r="BN193" s="1104"/>
      <c r="BO193" s="1142" t="e">
        <f>IF(#REF!&gt;0,#REF!,"")</f>
        <v>#REF!</v>
      </c>
      <c r="BP193" s="1142" t="e">
        <f>IF(#REF!&lt;&gt;"",#REF!,"")</f>
        <v>#REF!</v>
      </c>
      <c r="BQ193" s="1132" t="str">
        <f t="shared" si="61"/>
        <v/>
      </c>
      <c r="BR193" s="1144" t="str">
        <f t="shared" si="62"/>
        <v/>
      </c>
      <c r="BS193" s="1146" t="str">
        <f>IF(L76&lt;&gt;"",#REF!,"")</f>
        <v/>
      </c>
      <c r="BT193" s="1147" t="str">
        <f t="shared" si="63"/>
        <v/>
      </c>
      <c r="BU193" s="1147" t="str">
        <f>IF(L76&lt;&gt;"",#REF!,"")</f>
        <v/>
      </c>
      <c r="BV193" s="1148" t="str">
        <f t="shared" si="64"/>
        <v/>
      </c>
      <c r="BW193" s="1139" t="e">
        <f t="shared" si="69"/>
        <v>#REF!</v>
      </c>
    </row>
    <row r="194" spans="43:75" ht="24.95" hidden="1" customHeight="1">
      <c r="AQ194" s="1141" t="str">
        <f t="shared" si="65"/>
        <v/>
      </c>
      <c r="AR194" s="1141" t="str">
        <f t="shared" si="54"/>
        <v/>
      </c>
      <c r="AS194" s="1141"/>
      <c r="AT194" s="1149"/>
      <c r="AU194" s="1129" t="str">
        <f t="shared" si="55"/>
        <v/>
      </c>
      <c r="AV194" s="1150"/>
      <c r="AW194" s="1102" t="e">
        <f>IF(#REF!&gt;0,#REF!,"")</f>
        <v>#REF!</v>
      </c>
      <c r="AX194" s="1102" t="e">
        <f>IF(#REF!&lt;&gt;"",#REF!,"")</f>
        <v>#REF!</v>
      </c>
      <c r="AY194" s="1132" t="str">
        <f t="shared" si="56"/>
        <v/>
      </c>
      <c r="AZ194" s="1151" t="str">
        <f t="shared" si="57"/>
        <v/>
      </c>
      <c r="BA194" s="1152" t="str">
        <f>IF(L77&lt;&gt;"",#REF!,"")</f>
        <v/>
      </c>
      <c r="BB194" s="1153" t="str">
        <f t="shared" si="66"/>
        <v/>
      </c>
      <c r="BC194" s="1152" t="str">
        <f>IF(L77&lt;&gt;"",#REF!,"")</f>
        <v/>
      </c>
      <c r="BD194" s="1153" t="str">
        <f t="shared" si="58"/>
        <v/>
      </c>
      <c r="BE194" s="1137" t="e">
        <f t="shared" si="67"/>
        <v>#REF!</v>
      </c>
      <c r="BI194" s="1142" t="str">
        <f t="shared" si="68"/>
        <v/>
      </c>
      <c r="BJ194" s="1143" t="str">
        <f t="shared" si="59"/>
        <v/>
      </c>
      <c r="BK194" s="1143"/>
      <c r="BL194" s="1143"/>
      <c r="BM194" s="1129" t="str">
        <f t="shared" si="60"/>
        <v/>
      </c>
      <c r="BN194" s="1104"/>
      <c r="BO194" s="1142" t="e">
        <f>IF(#REF!&gt;0,#REF!,"")</f>
        <v>#REF!</v>
      </c>
      <c r="BP194" s="1142" t="e">
        <f>IF(#REF!&lt;&gt;"",#REF!,"")</f>
        <v>#REF!</v>
      </c>
      <c r="BQ194" s="1132" t="str">
        <f t="shared" si="61"/>
        <v/>
      </c>
      <c r="BR194" s="1144" t="str">
        <f t="shared" si="62"/>
        <v/>
      </c>
      <c r="BS194" s="1146" t="str">
        <f>IF(L77&lt;&gt;"",#REF!,"")</f>
        <v/>
      </c>
      <c r="BT194" s="1147" t="str">
        <f t="shared" si="63"/>
        <v/>
      </c>
      <c r="BU194" s="1147" t="str">
        <f>IF(L77&lt;&gt;"",#REF!,"")</f>
        <v/>
      </c>
      <c r="BV194" s="1148" t="str">
        <f t="shared" si="64"/>
        <v/>
      </c>
      <c r="BW194" s="1139" t="e">
        <f t="shared" si="69"/>
        <v>#REF!</v>
      </c>
    </row>
    <row r="195" spans="43:75" ht="24.95" hidden="1" customHeight="1">
      <c r="AQ195" s="1141" t="str">
        <f t="shared" si="65"/>
        <v/>
      </c>
      <c r="AR195" s="1141" t="str">
        <f t="shared" si="54"/>
        <v/>
      </c>
      <c r="AS195" s="1141"/>
      <c r="AT195" s="1149"/>
      <c r="AU195" s="1129" t="str">
        <f t="shared" si="55"/>
        <v/>
      </c>
      <c r="AV195" s="1150"/>
      <c r="AW195" s="1102" t="e">
        <f>IF(#REF!&gt;0,#REF!,"")</f>
        <v>#REF!</v>
      </c>
      <c r="AX195" s="1102" t="e">
        <f>IF(#REF!&lt;&gt;"",#REF!,"")</f>
        <v>#REF!</v>
      </c>
      <c r="AY195" s="1132" t="str">
        <f t="shared" si="56"/>
        <v/>
      </c>
      <c r="AZ195" s="1151" t="str">
        <f t="shared" si="57"/>
        <v/>
      </c>
      <c r="BA195" s="1152" t="str">
        <f>IF(L78&lt;&gt;"",#REF!,"")</f>
        <v/>
      </c>
      <c r="BB195" s="1153" t="str">
        <f t="shared" si="66"/>
        <v/>
      </c>
      <c r="BC195" s="1152" t="str">
        <f>IF(L78&lt;&gt;"",#REF!,"")</f>
        <v/>
      </c>
      <c r="BD195" s="1153" t="str">
        <f t="shared" si="58"/>
        <v/>
      </c>
      <c r="BE195" s="1137" t="e">
        <f t="shared" si="67"/>
        <v>#REF!</v>
      </c>
      <c r="BI195" s="1142" t="str">
        <f t="shared" si="68"/>
        <v/>
      </c>
      <c r="BJ195" s="1143" t="str">
        <f t="shared" si="59"/>
        <v/>
      </c>
      <c r="BK195" s="1143"/>
      <c r="BL195" s="1143"/>
      <c r="BM195" s="1129" t="str">
        <f t="shared" si="60"/>
        <v/>
      </c>
      <c r="BN195" s="1104"/>
      <c r="BO195" s="1142" t="e">
        <f>IF(#REF!&gt;0,#REF!,"")</f>
        <v>#REF!</v>
      </c>
      <c r="BP195" s="1142" t="e">
        <f>IF(#REF!&lt;&gt;"",#REF!,"")</f>
        <v>#REF!</v>
      </c>
      <c r="BQ195" s="1132" t="str">
        <f t="shared" si="61"/>
        <v/>
      </c>
      <c r="BR195" s="1144" t="str">
        <f t="shared" si="62"/>
        <v/>
      </c>
      <c r="BS195" s="1146" t="str">
        <f>IF(L78&lt;&gt;"",#REF!,"")</f>
        <v/>
      </c>
      <c r="BT195" s="1147" t="str">
        <f t="shared" si="63"/>
        <v/>
      </c>
      <c r="BU195" s="1147" t="str">
        <f>IF(L78&lt;&gt;"",#REF!,"")</f>
        <v/>
      </c>
      <c r="BV195" s="1148" t="str">
        <f t="shared" si="64"/>
        <v/>
      </c>
      <c r="BW195" s="1139" t="e">
        <f t="shared" si="69"/>
        <v>#REF!</v>
      </c>
    </row>
    <row r="196" spans="43:75" ht="24.95" hidden="1" customHeight="1">
      <c r="AQ196" s="1141" t="str">
        <f t="shared" si="65"/>
        <v/>
      </c>
      <c r="AR196" s="1141" t="str">
        <f t="shared" si="54"/>
        <v/>
      </c>
      <c r="AS196" s="1141"/>
      <c r="AT196" s="1149"/>
      <c r="AU196" s="1129" t="str">
        <f t="shared" si="55"/>
        <v/>
      </c>
      <c r="AV196" s="1150"/>
      <c r="AW196" s="1102" t="e">
        <f>IF(#REF!&gt;0,#REF!,"")</f>
        <v>#REF!</v>
      </c>
      <c r="AX196" s="1102" t="e">
        <f>IF(#REF!&lt;&gt;"",#REF!,"")</f>
        <v>#REF!</v>
      </c>
      <c r="AY196" s="1132" t="str">
        <f t="shared" si="56"/>
        <v/>
      </c>
      <c r="AZ196" s="1151" t="str">
        <f t="shared" si="57"/>
        <v/>
      </c>
      <c r="BA196" s="1152" t="str">
        <f>IF(L79&lt;&gt;"",#REF!,"")</f>
        <v/>
      </c>
      <c r="BB196" s="1153" t="str">
        <f t="shared" si="66"/>
        <v/>
      </c>
      <c r="BC196" s="1152" t="str">
        <f>IF(L79&lt;&gt;"",#REF!,"")</f>
        <v/>
      </c>
      <c r="BD196" s="1153" t="str">
        <f t="shared" si="58"/>
        <v/>
      </c>
      <c r="BE196" s="1137" t="e">
        <f t="shared" si="67"/>
        <v>#REF!</v>
      </c>
      <c r="BI196" s="1142" t="str">
        <f t="shared" si="68"/>
        <v/>
      </c>
      <c r="BJ196" s="1143" t="str">
        <f t="shared" si="59"/>
        <v/>
      </c>
      <c r="BK196" s="1143"/>
      <c r="BL196" s="1143"/>
      <c r="BM196" s="1129" t="str">
        <f t="shared" si="60"/>
        <v/>
      </c>
      <c r="BN196" s="1104"/>
      <c r="BO196" s="1142" t="e">
        <f>IF(#REF!&gt;0,#REF!,"")</f>
        <v>#REF!</v>
      </c>
      <c r="BP196" s="1142" t="e">
        <f>IF(#REF!&lt;&gt;"",#REF!,"")</f>
        <v>#REF!</v>
      </c>
      <c r="BQ196" s="1132" t="str">
        <f t="shared" si="61"/>
        <v/>
      </c>
      <c r="BR196" s="1144" t="str">
        <f t="shared" si="62"/>
        <v/>
      </c>
      <c r="BS196" s="1146" t="str">
        <f>IF(L79&lt;&gt;"",#REF!,"")</f>
        <v/>
      </c>
      <c r="BT196" s="1147" t="str">
        <f t="shared" si="63"/>
        <v/>
      </c>
      <c r="BU196" s="1147" t="str">
        <f>IF(L79&lt;&gt;"",#REF!,"")</f>
        <v/>
      </c>
      <c r="BV196" s="1148" t="str">
        <f t="shared" si="64"/>
        <v/>
      </c>
      <c r="BW196" s="1139" t="e">
        <f t="shared" si="69"/>
        <v>#REF!</v>
      </c>
    </row>
    <row r="197" spans="43:75" ht="24.95" hidden="1" customHeight="1">
      <c r="AQ197" s="1141" t="str">
        <f t="shared" si="65"/>
        <v/>
      </c>
      <c r="AR197" s="1141" t="str">
        <f t="shared" si="54"/>
        <v/>
      </c>
      <c r="AS197" s="1141"/>
      <c r="AT197" s="1149"/>
      <c r="AU197" s="1129" t="str">
        <f t="shared" si="55"/>
        <v/>
      </c>
      <c r="AV197" s="1150"/>
      <c r="AW197" s="1102" t="e">
        <f>IF(#REF!&gt;0,#REF!,"")</f>
        <v>#REF!</v>
      </c>
      <c r="AX197" s="1102" t="e">
        <f>IF(#REF!&lt;&gt;"",#REF!,"")</f>
        <v>#REF!</v>
      </c>
      <c r="AY197" s="1132" t="str">
        <f t="shared" si="56"/>
        <v/>
      </c>
      <c r="AZ197" s="1151" t="str">
        <f t="shared" si="57"/>
        <v/>
      </c>
      <c r="BA197" s="1152" t="str">
        <f>IF(L80&lt;&gt;"",#REF!,"")</f>
        <v/>
      </c>
      <c r="BB197" s="1153" t="str">
        <f t="shared" si="66"/>
        <v/>
      </c>
      <c r="BC197" s="1152" t="str">
        <f>IF(L80&lt;&gt;"",#REF!,"")</f>
        <v/>
      </c>
      <c r="BD197" s="1153" t="str">
        <f t="shared" si="58"/>
        <v/>
      </c>
      <c r="BE197" s="1137" t="e">
        <f t="shared" si="67"/>
        <v>#REF!</v>
      </c>
      <c r="BI197" s="1142" t="str">
        <f t="shared" si="68"/>
        <v/>
      </c>
      <c r="BJ197" s="1143" t="str">
        <f t="shared" si="59"/>
        <v/>
      </c>
      <c r="BK197" s="1143"/>
      <c r="BL197" s="1143"/>
      <c r="BM197" s="1129" t="str">
        <f t="shared" si="60"/>
        <v/>
      </c>
      <c r="BN197" s="1104"/>
      <c r="BO197" s="1142" t="e">
        <f>IF(#REF!&gt;0,#REF!,"")</f>
        <v>#REF!</v>
      </c>
      <c r="BP197" s="1142" t="e">
        <f>IF(#REF!&lt;&gt;"",#REF!,"")</f>
        <v>#REF!</v>
      </c>
      <c r="BQ197" s="1132" t="str">
        <f t="shared" si="61"/>
        <v/>
      </c>
      <c r="BR197" s="1144" t="str">
        <f t="shared" si="62"/>
        <v/>
      </c>
      <c r="BS197" s="1146" t="str">
        <f>IF(L80&lt;&gt;"",#REF!,"")</f>
        <v/>
      </c>
      <c r="BT197" s="1147" t="str">
        <f t="shared" si="63"/>
        <v/>
      </c>
      <c r="BU197" s="1147" t="str">
        <f>IF(L80&lt;&gt;"",#REF!,"")</f>
        <v/>
      </c>
      <c r="BV197" s="1148" t="str">
        <f t="shared" si="64"/>
        <v/>
      </c>
      <c r="BW197" s="1139" t="e">
        <f t="shared" si="69"/>
        <v>#REF!</v>
      </c>
    </row>
    <row r="198" spans="43:75" ht="24.95" hidden="1" customHeight="1">
      <c r="AQ198" s="1141" t="str">
        <f t="shared" si="65"/>
        <v/>
      </c>
      <c r="AR198" s="1141" t="str">
        <f t="shared" si="54"/>
        <v/>
      </c>
      <c r="AS198" s="1141"/>
      <c r="AT198" s="1149"/>
      <c r="AU198" s="1129" t="str">
        <f t="shared" si="55"/>
        <v/>
      </c>
      <c r="AV198" s="1150"/>
      <c r="AW198" s="1102" t="e">
        <f>IF(#REF!&gt;0,#REF!,"")</f>
        <v>#REF!</v>
      </c>
      <c r="AX198" s="1102" t="e">
        <f>IF(#REF!&lt;&gt;"",#REF!,"")</f>
        <v>#REF!</v>
      </c>
      <c r="AY198" s="1132" t="str">
        <f t="shared" si="56"/>
        <v/>
      </c>
      <c r="AZ198" s="1151" t="str">
        <f t="shared" si="57"/>
        <v/>
      </c>
      <c r="BA198" s="1152" t="str">
        <f>IF(L81&lt;&gt;"",#REF!,"")</f>
        <v/>
      </c>
      <c r="BB198" s="1153" t="str">
        <f t="shared" si="66"/>
        <v/>
      </c>
      <c r="BC198" s="1152" t="str">
        <f>IF(L81&lt;&gt;"",#REF!,"")</f>
        <v/>
      </c>
      <c r="BD198" s="1153" t="str">
        <f t="shared" si="58"/>
        <v/>
      </c>
      <c r="BE198" s="1137" t="e">
        <f t="shared" si="67"/>
        <v>#REF!</v>
      </c>
      <c r="BI198" s="1142" t="str">
        <f t="shared" si="68"/>
        <v/>
      </c>
      <c r="BJ198" s="1143" t="str">
        <f t="shared" si="59"/>
        <v/>
      </c>
      <c r="BK198" s="1143"/>
      <c r="BL198" s="1143"/>
      <c r="BM198" s="1129" t="str">
        <f t="shared" si="60"/>
        <v/>
      </c>
      <c r="BN198" s="1104"/>
      <c r="BO198" s="1142" t="e">
        <f>IF(#REF!&gt;0,#REF!,"")</f>
        <v>#REF!</v>
      </c>
      <c r="BP198" s="1142" t="e">
        <f>IF(#REF!&lt;&gt;"",#REF!,"")</f>
        <v>#REF!</v>
      </c>
      <c r="BQ198" s="1132" t="str">
        <f t="shared" si="61"/>
        <v/>
      </c>
      <c r="BR198" s="1144" t="str">
        <f t="shared" si="62"/>
        <v/>
      </c>
      <c r="BS198" s="1146" t="str">
        <f>IF(L81&lt;&gt;"",#REF!,"")</f>
        <v/>
      </c>
      <c r="BT198" s="1147" t="str">
        <f t="shared" si="63"/>
        <v/>
      </c>
      <c r="BU198" s="1147" t="str">
        <f>IF(L81&lt;&gt;"",#REF!,"")</f>
        <v/>
      </c>
      <c r="BV198" s="1148" t="str">
        <f t="shared" si="64"/>
        <v/>
      </c>
      <c r="BW198" s="1139" t="e">
        <f t="shared" si="69"/>
        <v>#REF!</v>
      </c>
    </row>
    <row r="199" spans="43:75" ht="24.95" hidden="1" customHeight="1">
      <c r="AQ199" s="1141" t="str">
        <f t="shared" si="65"/>
        <v/>
      </c>
      <c r="AR199" s="1141" t="str">
        <f t="shared" si="54"/>
        <v/>
      </c>
      <c r="AS199" s="1141"/>
      <c r="AT199" s="1149"/>
      <c r="AU199" s="1129" t="str">
        <f t="shared" si="55"/>
        <v/>
      </c>
      <c r="AV199" s="1150"/>
      <c r="AW199" s="1102" t="e">
        <f>IF(#REF!&gt;0,#REF!,"")</f>
        <v>#REF!</v>
      </c>
      <c r="AX199" s="1102" t="e">
        <f>IF(#REF!&lt;&gt;"",#REF!,"")</f>
        <v>#REF!</v>
      </c>
      <c r="AY199" s="1132" t="str">
        <f t="shared" si="56"/>
        <v/>
      </c>
      <c r="AZ199" s="1151" t="str">
        <f t="shared" si="57"/>
        <v/>
      </c>
      <c r="BA199" s="1152" t="str">
        <f>IF(L82&lt;&gt;"",#REF!,"")</f>
        <v/>
      </c>
      <c r="BB199" s="1153" t="str">
        <f t="shared" si="66"/>
        <v/>
      </c>
      <c r="BC199" s="1152" t="str">
        <f>IF(L82&lt;&gt;"",#REF!,"")</f>
        <v/>
      </c>
      <c r="BD199" s="1153" t="str">
        <f t="shared" si="58"/>
        <v/>
      </c>
      <c r="BE199" s="1137" t="e">
        <f t="shared" si="67"/>
        <v>#REF!</v>
      </c>
      <c r="BI199" s="1142" t="str">
        <f t="shared" si="68"/>
        <v/>
      </c>
      <c r="BJ199" s="1143" t="str">
        <f t="shared" si="59"/>
        <v/>
      </c>
      <c r="BK199" s="1143"/>
      <c r="BL199" s="1143"/>
      <c r="BM199" s="1129" t="str">
        <f t="shared" si="60"/>
        <v/>
      </c>
      <c r="BN199" s="1104"/>
      <c r="BO199" s="1142" t="e">
        <f>IF(#REF!&gt;0,#REF!,"")</f>
        <v>#REF!</v>
      </c>
      <c r="BP199" s="1142" t="e">
        <f>IF(#REF!&lt;&gt;"",#REF!,"")</f>
        <v>#REF!</v>
      </c>
      <c r="BQ199" s="1132" t="str">
        <f t="shared" si="61"/>
        <v/>
      </c>
      <c r="BR199" s="1144" t="str">
        <f t="shared" si="62"/>
        <v/>
      </c>
      <c r="BS199" s="1146" t="str">
        <f>IF(L82&lt;&gt;"",#REF!,"")</f>
        <v/>
      </c>
      <c r="BT199" s="1147" t="str">
        <f t="shared" si="63"/>
        <v/>
      </c>
      <c r="BU199" s="1147" t="str">
        <f>IF(L82&lt;&gt;"",#REF!,"")</f>
        <v/>
      </c>
      <c r="BV199" s="1148" t="str">
        <f t="shared" si="64"/>
        <v/>
      </c>
      <c r="BW199" s="1139" t="e">
        <f t="shared" si="69"/>
        <v>#REF!</v>
      </c>
    </row>
    <row r="200" spans="43:75" ht="24.95" hidden="1" customHeight="1">
      <c r="AQ200" s="1141" t="str">
        <f t="shared" si="65"/>
        <v/>
      </c>
      <c r="AR200" s="1141" t="str">
        <f t="shared" si="54"/>
        <v/>
      </c>
      <c r="AS200" s="1141"/>
      <c r="AT200" s="1149"/>
      <c r="AU200" s="1129" t="str">
        <f t="shared" si="55"/>
        <v/>
      </c>
      <c r="AV200" s="1150"/>
      <c r="AW200" s="1102" t="e">
        <f>IF(#REF!&gt;0,#REF!,"")</f>
        <v>#REF!</v>
      </c>
      <c r="AX200" s="1102" t="e">
        <f>IF(#REF!&lt;&gt;"",#REF!,"")</f>
        <v>#REF!</v>
      </c>
      <c r="AY200" s="1132" t="str">
        <f t="shared" si="56"/>
        <v/>
      </c>
      <c r="AZ200" s="1151" t="str">
        <f t="shared" si="57"/>
        <v/>
      </c>
      <c r="BA200" s="1152" t="str">
        <f>IF(L83&lt;&gt;"",#REF!,"")</f>
        <v/>
      </c>
      <c r="BB200" s="1153" t="str">
        <f t="shared" si="66"/>
        <v/>
      </c>
      <c r="BC200" s="1152" t="str">
        <f>IF(L83&lt;&gt;"",#REF!,"")</f>
        <v/>
      </c>
      <c r="BD200" s="1153" t="str">
        <f t="shared" si="58"/>
        <v/>
      </c>
      <c r="BE200" s="1137" t="e">
        <f t="shared" si="67"/>
        <v>#REF!</v>
      </c>
      <c r="BI200" s="1142" t="str">
        <f t="shared" si="68"/>
        <v/>
      </c>
      <c r="BJ200" s="1143" t="str">
        <f t="shared" si="59"/>
        <v/>
      </c>
      <c r="BK200" s="1143"/>
      <c r="BL200" s="1143"/>
      <c r="BM200" s="1129" t="str">
        <f t="shared" si="60"/>
        <v/>
      </c>
      <c r="BN200" s="1104"/>
      <c r="BO200" s="1142" t="e">
        <f>IF(#REF!&gt;0,#REF!,"")</f>
        <v>#REF!</v>
      </c>
      <c r="BP200" s="1142" t="e">
        <f>IF(#REF!&lt;&gt;"",#REF!,"")</f>
        <v>#REF!</v>
      </c>
      <c r="BQ200" s="1132" t="str">
        <f t="shared" si="61"/>
        <v/>
      </c>
      <c r="BR200" s="1144" t="str">
        <f t="shared" si="62"/>
        <v/>
      </c>
      <c r="BS200" s="1146" t="str">
        <f>IF(L83&lt;&gt;"",#REF!,"")</f>
        <v/>
      </c>
      <c r="BT200" s="1147" t="str">
        <f t="shared" si="63"/>
        <v/>
      </c>
      <c r="BU200" s="1147" t="str">
        <f>IF(L83&lt;&gt;"",#REF!,"")</f>
        <v/>
      </c>
      <c r="BV200" s="1148" t="str">
        <f t="shared" si="64"/>
        <v/>
      </c>
      <c r="BW200" s="1139" t="e">
        <f t="shared" si="69"/>
        <v>#REF!</v>
      </c>
    </row>
    <row r="201" spans="43:75" ht="24.95" hidden="1" customHeight="1">
      <c r="AQ201" s="1141" t="str">
        <f t="shared" si="65"/>
        <v/>
      </c>
      <c r="AR201" s="1141" t="str">
        <f t="shared" si="54"/>
        <v/>
      </c>
      <c r="AS201" s="1141"/>
      <c r="AT201" s="1149"/>
      <c r="AU201" s="1154" t="str">
        <f>IF(L84&lt;&gt;"",MID(L84,4,100),"")</f>
        <v/>
      </c>
      <c r="AV201" s="1150"/>
      <c r="AW201" s="1102" t="e">
        <f>IF(#REF!&gt;0,#REF!,"")</f>
        <v>#REF!</v>
      </c>
      <c r="AX201" s="1102" t="e">
        <f>IF(#REF!&lt;&gt;"",#REF!,"")</f>
        <v>#REF!</v>
      </c>
      <c r="AY201" s="1155" t="str">
        <f>IF(L84&lt;&gt;"",MID(M84,4,100),"")</f>
        <v/>
      </c>
      <c r="AZ201" s="1151" t="str">
        <f t="shared" si="57"/>
        <v/>
      </c>
      <c r="BA201" s="1152" t="str">
        <f>IF(L84&lt;&gt;"",#REF!,"")</f>
        <v/>
      </c>
      <c r="BB201" s="1153" t="str">
        <f t="shared" si="66"/>
        <v/>
      </c>
      <c r="BC201" s="1152" t="str">
        <f>IF(L84&lt;&gt;"",#REF!,"")</f>
        <v/>
      </c>
      <c r="BD201" s="1153" t="str">
        <f t="shared" si="58"/>
        <v/>
      </c>
      <c r="BE201" s="1137" t="e">
        <f t="shared" si="67"/>
        <v>#REF!</v>
      </c>
      <c r="BI201" s="1142" t="str">
        <f t="shared" si="68"/>
        <v/>
      </c>
      <c r="BJ201" s="1143" t="str">
        <f t="shared" si="59"/>
        <v/>
      </c>
      <c r="BK201" s="1143"/>
      <c r="BL201" s="1143"/>
      <c r="BM201" s="1129" t="str">
        <f t="shared" si="60"/>
        <v/>
      </c>
      <c r="BN201" s="1104"/>
      <c r="BO201" s="1142" t="e">
        <f>IF(#REF!&gt;0,#REF!,"")</f>
        <v>#REF!</v>
      </c>
      <c r="BP201" s="1142" t="e">
        <f>IF(#REF!&lt;&gt;"",#REF!,"")</f>
        <v>#REF!</v>
      </c>
      <c r="BQ201" s="1132" t="str">
        <f t="shared" si="61"/>
        <v/>
      </c>
      <c r="BR201" s="1144" t="str">
        <f t="shared" si="62"/>
        <v/>
      </c>
      <c r="BS201" s="1146" t="str">
        <f>IF(L84&lt;&gt;"",#REF!,"")</f>
        <v/>
      </c>
      <c r="BT201" s="1147" t="str">
        <f t="shared" si="63"/>
        <v/>
      </c>
      <c r="BU201" s="1147" t="str">
        <f>IF(L84&lt;&gt;"",#REF!,"")</f>
        <v/>
      </c>
      <c r="BV201" s="1148" t="str">
        <f t="shared" si="64"/>
        <v/>
      </c>
      <c r="BW201" s="1139" t="e">
        <f t="shared" si="69"/>
        <v>#REF!</v>
      </c>
    </row>
    <row r="202" spans="43:75" ht="24.95" hidden="1" customHeight="1">
      <c r="AQ202" s="1141" t="str">
        <f t="shared" si="65"/>
        <v/>
      </c>
      <c r="AR202" s="1141" t="str">
        <f t="shared" si="54"/>
        <v/>
      </c>
      <c r="AS202" s="1141"/>
      <c r="AT202" s="1149"/>
      <c r="AU202" s="1154" t="str">
        <f>IF(L85&lt;&gt;"",MID(L85,4,100),"")</f>
        <v/>
      </c>
      <c r="AV202" s="1150"/>
      <c r="AW202" s="1102" t="e">
        <f>IF(#REF!&gt;0,#REF!,"")</f>
        <v>#REF!</v>
      </c>
      <c r="AX202" s="1102" t="e">
        <f>IF(#REF!&lt;&gt;"",#REF!,"")</f>
        <v>#REF!</v>
      </c>
      <c r="AY202" s="1155" t="str">
        <f>IF(L85&lt;&gt;"",MID(M85,4,100),"")</f>
        <v/>
      </c>
      <c r="AZ202" s="1151" t="str">
        <f t="shared" si="57"/>
        <v/>
      </c>
      <c r="BA202" s="1152" t="str">
        <f>IF(L85&lt;&gt;"",#REF!,"")</f>
        <v/>
      </c>
      <c r="BB202" s="1153" t="str">
        <f t="shared" si="66"/>
        <v/>
      </c>
      <c r="BC202" s="1152" t="str">
        <f>IF(L85&lt;&gt;"",#REF!,"")</f>
        <v/>
      </c>
      <c r="BD202" s="1153" t="str">
        <f t="shared" si="58"/>
        <v/>
      </c>
      <c r="BE202" s="1137" t="e">
        <f t="shared" si="67"/>
        <v>#REF!</v>
      </c>
      <c r="BI202" s="1142" t="str">
        <f t="shared" si="68"/>
        <v/>
      </c>
      <c r="BJ202" s="1143" t="str">
        <f t="shared" si="59"/>
        <v/>
      </c>
      <c r="BK202" s="1143"/>
      <c r="BL202" s="1143"/>
      <c r="BM202" s="1129" t="str">
        <f t="shared" si="60"/>
        <v/>
      </c>
      <c r="BN202" s="1104"/>
      <c r="BO202" s="1142" t="e">
        <f>IF(#REF!&gt;0,#REF!,"")</f>
        <v>#REF!</v>
      </c>
      <c r="BP202" s="1142" t="e">
        <f>IF(#REF!&lt;&gt;"",#REF!,"")</f>
        <v>#REF!</v>
      </c>
      <c r="BQ202" s="1132" t="str">
        <f t="shared" si="61"/>
        <v/>
      </c>
      <c r="BR202" s="1144" t="str">
        <f t="shared" si="62"/>
        <v/>
      </c>
      <c r="BS202" s="1146" t="str">
        <f>IF(L85&lt;&gt;"",#REF!,"")</f>
        <v/>
      </c>
      <c r="BT202" s="1147" t="str">
        <f t="shared" si="63"/>
        <v/>
      </c>
      <c r="BU202" s="1147" t="str">
        <f>IF(L85&lt;&gt;"",#REF!,"")</f>
        <v/>
      </c>
      <c r="BV202" s="1148" t="str">
        <f t="shared" si="64"/>
        <v/>
      </c>
      <c r="BW202" s="1139" t="e">
        <f t="shared" si="69"/>
        <v>#REF!</v>
      </c>
    </row>
    <row r="203" spans="43:75" ht="24.95" hidden="1" customHeight="1">
      <c r="AQ203" s="1141" t="str">
        <f t="shared" si="65"/>
        <v/>
      </c>
      <c r="AR203" s="1141" t="str">
        <f t="shared" si="54"/>
        <v/>
      </c>
      <c r="AS203" s="1141"/>
      <c r="AT203" s="1149"/>
      <c r="AU203" s="1154" t="str">
        <f>IF(L86&lt;&gt;"",MID(L86,4,100),"")</f>
        <v/>
      </c>
      <c r="AV203" s="1150"/>
      <c r="AW203" s="1102" t="e">
        <f>IF(#REF!&gt;0,#REF!,"")</f>
        <v>#REF!</v>
      </c>
      <c r="AX203" s="1102" t="e">
        <f>IF(#REF!&lt;&gt;"",#REF!,"")</f>
        <v>#REF!</v>
      </c>
      <c r="AY203" s="1155" t="str">
        <f>IF(L86&lt;&gt;"",MID(M86,4,100),"")</f>
        <v/>
      </c>
      <c r="AZ203" s="1151" t="str">
        <f t="shared" si="57"/>
        <v/>
      </c>
      <c r="BA203" s="1152" t="str">
        <f>IF(L86&lt;&gt;"",#REF!,"")</f>
        <v/>
      </c>
      <c r="BB203" s="1153" t="str">
        <f t="shared" si="66"/>
        <v/>
      </c>
      <c r="BC203" s="1152" t="str">
        <f>IF(L86&lt;&gt;"",#REF!,"")</f>
        <v/>
      </c>
      <c r="BD203" s="1153" t="str">
        <f t="shared" si="58"/>
        <v/>
      </c>
      <c r="BE203" s="1137" t="e">
        <f t="shared" si="67"/>
        <v>#REF!</v>
      </c>
      <c r="BI203" s="1142" t="str">
        <f t="shared" si="68"/>
        <v/>
      </c>
      <c r="BJ203" s="1143" t="str">
        <f t="shared" si="59"/>
        <v/>
      </c>
      <c r="BK203" s="1143"/>
      <c r="BL203" s="1143"/>
      <c r="BM203" s="1129" t="str">
        <f t="shared" si="60"/>
        <v/>
      </c>
      <c r="BN203" s="1104"/>
      <c r="BO203" s="1142" t="e">
        <f>IF(#REF!&gt;0,#REF!,"")</f>
        <v>#REF!</v>
      </c>
      <c r="BP203" s="1142" t="e">
        <f>IF(#REF!&lt;&gt;"",#REF!,"")</f>
        <v>#REF!</v>
      </c>
      <c r="BQ203" s="1132" t="str">
        <f t="shared" si="61"/>
        <v/>
      </c>
      <c r="BR203" s="1144" t="str">
        <f t="shared" si="62"/>
        <v/>
      </c>
      <c r="BS203" s="1146" t="str">
        <f>IF(L86&lt;&gt;"",#REF!,"")</f>
        <v/>
      </c>
      <c r="BT203" s="1147" t="str">
        <f t="shared" si="63"/>
        <v/>
      </c>
      <c r="BU203" s="1147" t="str">
        <f>IF(L86&lt;&gt;"",#REF!,"")</f>
        <v/>
      </c>
      <c r="BV203" s="1148" t="str">
        <f t="shared" si="64"/>
        <v/>
      </c>
      <c r="BW203" s="1139" t="e">
        <f t="shared" si="69"/>
        <v>#REF!</v>
      </c>
    </row>
    <row r="204" spans="43:75" ht="24.95" hidden="1" customHeight="1">
      <c r="AQ204" s="1141" t="str">
        <f t="shared" si="65"/>
        <v/>
      </c>
      <c r="AR204" s="1141" t="str">
        <f t="shared" si="54"/>
        <v/>
      </c>
      <c r="AS204" s="1141"/>
      <c r="AT204" s="1149"/>
      <c r="AU204" s="1154" t="str">
        <f>IF(L87&lt;&gt;"",MID(L87,4,100),"")</f>
        <v/>
      </c>
      <c r="AV204" s="1150"/>
      <c r="AW204" s="1102" t="e">
        <f>IF(#REF!&gt;0,#REF!,"")</f>
        <v>#REF!</v>
      </c>
      <c r="AX204" s="1102" t="e">
        <f>IF(#REF!&lt;&gt;"",#REF!,"")</f>
        <v>#REF!</v>
      </c>
      <c r="AY204" s="1155" t="str">
        <f>IF(L87&lt;&gt;"",MID(M87,4,100),"")</f>
        <v/>
      </c>
      <c r="AZ204" s="1151" t="str">
        <f t="shared" si="57"/>
        <v/>
      </c>
      <c r="BA204" s="1152" t="str">
        <f>IF(L87&lt;&gt;"",#REF!,"")</f>
        <v/>
      </c>
      <c r="BB204" s="1153" t="str">
        <f t="shared" si="66"/>
        <v/>
      </c>
      <c r="BC204" s="1152" t="str">
        <f>IF(L87&lt;&gt;"",#REF!,"")</f>
        <v/>
      </c>
      <c r="BD204" s="1153" t="str">
        <f t="shared" si="58"/>
        <v/>
      </c>
      <c r="BE204" s="1137" t="e">
        <f t="shared" si="67"/>
        <v>#REF!</v>
      </c>
      <c r="BI204" s="1142" t="str">
        <f t="shared" si="68"/>
        <v/>
      </c>
      <c r="BJ204" s="1143" t="str">
        <f t="shared" si="59"/>
        <v/>
      </c>
      <c r="BK204" s="1143"/>
      <c r="BL204" s="1143"/>
      <c r="BM204" s="1129" t="str">
        <f t="shared" si="60"/>
        <v/>
      </c>
      <c r="BN204" s="1104"/>
      <c r="BO204" s="1142" t="e">
        <f>IF(#REF!&gt;0,#REF!,"")</f>
        <v>#REF!</v>
      </c>
      <c r="BP204" s="1142" t="e">
        <f>IF(#REF!&lt;&gt;"",#REF!,"")</f>
        <v>#REF!</v>
      </c>
      <c r="BQ204" s="1132" t="str">
        <f t="shared" si="61"/>
        <v/>
      </c>
      <c r="BR204" s="1144" t="str">
        <f t="shared" si="62"/>
        <v/>
      </c>
      <c r="BS204" s="1146" t="str">
        <f>IF(L87&lt;&gt;"",#REF!,"")</f>
        <v/>
      </c>
      <c r="BT204" s="1147" t="str">
        <f t="shared" si="63"/>
        <v/>
      </c>
      <c r="BU204" s="1147" t="str">
        <f>IF(L87&lt;&gt;"",#REF!,"")</f>
        <v/>
      </c>
      <c r="BV204" s="1148" t="str">
        <f t="shared" si="64"/>
        <v/>
      </c>
      <c r="BW204" s="1139" t="e">
        <f t="shared" si="69"/>
        <v>#REF!</v>
      </c>
    </row>
    <row r="205" spans="43:75" ht="24.95" customHeight="1">
      <c r="AQ205" s="981"/>
      <c r="BC205" s="1225" t="s">
        <v>1523</v>
      </c>
      <c r="BD205" s="1226" t="e">
        <f>quote_currency_symbol</f>
        <v>#NAME?</v>
      </c>
      <c r="BE205" s="1227" t="e">
        <f>SUM(BE125:BE204)</f>
        <v>#REF!</v>
      </c>
      <c r="BI205" s="980"/>
      <c r="BU205" s="1225" t="s">
        <v>1523</v>
      </c>
      <c r="BV205" s="1225" t="e">
        <f>quote_currency_symbol</f>
        <v>#NAME?</v>
      </c>
      <c r="BW205" s="1228" t="e">
        <f>SUM(BW125:BW204)</f>
        <v>#REF!</v>
      </c>
    </row>
    <row r="206" spans="43:75" ht="24.95" customHeight="1">
      <c r="AQ206" s="1229" t="s">
        <v>1525</v>
      </c>
      <c r="BC206" s="1230" t="s">
        <v>661</v>
      </c>
      <c r="BD206" s="1226" t="e">
        <f>quote_currency_symbol</f>
        <v>#NAME?</v>
      </c>
      <c r="BE206" s="1231" t="e">
        <f>#REF!</f>
        <v>#REF!</v>
      </c>
      <c r="BI206" s="1232" t="s">
        <v>1525</v>
      </c>
      <c r="BU206" s="1230" t="s">
        <v>661</v>
      </c>
      <c r="BV206" s="1225" t="e">
        <f>quote_currency_symbol</f>
        <v>#NAME?</v>
      </c>
      <c r="BW206" s="1233" t="e">
        <f>#REF!</f>
        <v>#REF!</v>
      </c>
    </row>
    <row r="207" spans="43:75" ht="24.95" customHeight="1">
      <c r="BC207" s="1230" t="s">
        <v>662</v>
      </c>
      <c r="BD207" s="1226" t="e">
        <f>quote_currency_symbol</f>
        <v>#NAME?</v>
      </c>
      <c r="BE207" s="1231" t="e">
        <f>#REF!</f>
        <v>#REF!</v>
      </c>
      <c r="BU207" s="1230" t="s">
        <v>662</v>
      </c>
      <c r="BV207" s="1225" t="e">
        <f>quote_currency_symbol</f>
        <v>#NAME?</v>
      </c>
      <c r="BW207" s="1233" t="e">
        <f>#REF!</f>
        <v>#REF!</v>
      </c>
    </row>
    <row r="208" spans="43:75" ht="24.95" customHeight="1">
      <c r="BC208" s="1230" t="s">
        <v>1524</v>
      </c>
      <c r="BD208" s="1226" t="e">
        <f>quote_currency_symbol</f>
        <v>#NAME?</v>
      </c>
      <c r="BE208" s="1231" t="e">
        <f>BE205-BE206-BE207</f>
        <v>#REF!</v>
      </c>
      <c r="BU208" s="1230" t="s">
        <v>1524</v>
      </c>
      <c r="BV208" s="1225" t="e">
        <f>quote_currency_symbol</f>
        <v>#NAME?</v>
      </c>
      <c r="BW208" s="1233" t="e">
        <f>BW205-BW206-BW207</f>
        <v>#REF!</v>
      </c>
    </row>
  </sheetData>
  <sheetProtection algorithmName="SHA-512" hashValue="u3p0p1Hel20cNC3WgwTWSV9mTP1lwzgmtZEpanlYMfvD9mUHhVMo1oa+GFgYe21o93vhtZVzh0kuXbq01de3zA==" saltValue="w3uDw8P4blFFBn/AArquDw==" spinCount="100000" sheet="1" objects="1" scenarios="1"/>
  <mergeCells count="36">
    <mergeCell ref="C15:E15"/>
    <mergeCell ref="C17:E17"/>
    <mergeCell ref="C13:E13"/>
    <mergeCell ref="AQ121:AR121"/>
    <mergeCell ref="C19:D19"/>
    <mergeCell ref="BI121:BJ121"/>
    <mergeCell ref="C22:E24"/>
    <mergeCell ref="BI115:BM116"/>
    <mergeCell ref="AY116:BC118"/>
    <mergeCell ref="BE116:BE118"/>
    <mergeCell ref="BW117:BW119"/>
    <mergeCell ref="AQ119:AR119"/>
    <mergeCell ref="BI119:BJ119"/>
    <mergeCell ref="AQ120:AR120"/>
    <mergeCell ref="BI120:BJ120"/>
    <mergeCell ref="BQ117:BU118"/>
    <mergeCell ref="BM124:BN124"/>
    <mergeCell ref="BR124:BS124"/>
    <mergeCell ref="BT124:BU124"/>
    <mergeCell ref="BV124:BW124"/>
    <mergeCell ref="BM123:BN123"/>
    <mergeCell ref="BR123:BS123"/>
    <mergeCell ref="BT123:BU123"/>
    <mergeCell ref="BV123:BW123"/>
    <mergeCell ref="BJ124:BL124"/>
    <mergeCell ref="AR123:AT123"/>
    <mergeCell ref="AU123:AV123"/>
    <mergeCell ref="AZ123:BA123"/>
    <mergeCell ref="BB123:BC123"/>
    <mergeCell ref="BD123:BE123"/>
    <mergeCell ref="BJ123:BL123"/>
    <mergeCell ref="AR124:AT124"/>
    <mergeCell ref="AU124:AV124"/>
    <mergeCell ref="AZ124:BA124"/>
    <mergeCell ref="BB124:BC124"/>
    <mergeCell ref="BD124:BE124"/>
  </mergeCells>
  <phoneticPr fontId="36" type="noConversion"/>
  <dataValidations count="11">
    <dataValidation type="list" allowBlank="1" showInputMessage="1" showErrorMessage="1" sqref="AP4" xr:uid="{C5125A6E-449E-464B-AC47-F8403C96B86A}">
      <formula1>$AP$2</formula1>
    </dataValidation>
    <dataValidation type="list" allowBlank="1" showInputMessage="1" showErrorMessage="1" sqref="C19" xr:uid="{DC961E7E-6D05-469B-A3FC-DA4CDA4A0D8E}">
      <formula1>chart_account_default_option</formula1>
    </dataValidation>
    <dataValidation type="whole" operator="greaterThanOrEqual" allowBlank="1" showInputMessage="1" showErrorMessage="1" sqref="O8:O87" xr:uid="{DB157A3E-E4B3-4BE0-8EB6-8E0D6861D5F8}">
      <formula1>0</formula1>
    </dataValidation>
    <dataValidation type="list" allowBlank="1" showInputMessage="1" showErrorMessage="1" sqref="L8:L87" xr:uid="{879B430A-EDAF-45AA-8DB2-56A4E393AC3D}">
      <formula1>product_name_option</formula1>
    </dataValidation>
    <dataValidation type="list" allowBlank="1" showInputMessage="1" showErrorMessage="1" sqref="N8:N87" xr:uid="{34574BD0-583B-49D9-8169-F7844C33D0EC}">
      <formula1>location_option</formula1>
    </dataValidation>
    <dataValidation type="list" allowBlank="1" showInputMessage="1" showErrorMessage="1" sqref="C15" xr:uid="{293C2B0E-89D5-4AF6-9DD3-2BCD045E1CCE}">
      <formula1>saller_option</formula1>
    </dataValidation>
    <dataValidation type="list" allowBlank="1" showInputMessage="1" showErrorMessage="1" sqref="C13" xr:uid="{B09F2DD7-D44C-4057-8AD1-836376E32945}">
      <formula1>branch_option</formula1>
    </dataValidation>
    <dataValidation type="list" allowBlank="1" showInputMessage="1" showErrorMessage="1" sqref="C17" xr:uid="{660501C0-B056-49F8-B554-1E6A01713516}">
      <formula1>inv_adj_stock_type_option</formula1>
    </dataValidation>
    <dataValidation type="list" allowBlank="1" showInputMessage="1" showErrorMessage="1" sqref="C11" xr:uid="{46C42644-CB36-4E2D-8A2F-410C997262AE}">
      <formula1>location_group_option</formula1>
    </dataValidation>
    <dataValidation type="decimal" operator="greaterThanOrEqual" allowBlank="1" showInputMessage="1" showErrorMessage="1" sqref="R8:R87" xr:uid="{9EF2624C-A5F7-4C08-99EF-718E7A221031}">
      <formula1>0</formula1>
    </dataValidation>
    <dataValidation type="list" allowBlank="1" showInputMessage="1" showErrorMessage="1" sqref="M8:M87" xr:uid="{9974A013-9C03-4AE7-B6D3-FEBC49B20653}">
      <formula1>AE8:AG8</formula1>
    </dataValidation>
  </dataValidations>
  <pageMargins left="0" right="0" top="3.937007874015748E-2" bottom="0.39370078740157483" header="0" footer="0"/>
  <pageSetup paperSize="9" scale="30" orientation="landscape" r:id="rId1"/>
  <headerFooter scaleWithDoc="0" alignWithMargins="0">
    <oddFooter>&amp;CPage &amp;P of &amp;N</oddFooter>
  </headerFooter>
  <colBreaks count="1" manualBreakCount="1">
    <brk id="35" max="214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" r:id="rId4" name="Button 50">
              <controlPr defaultSize="0" autoFill="0" autoPict="0" macro="[0]!SaveAdjustStock">
                <anchor>
                  <from>
                    <xdr:col>10</xdr:col>
                    <xdr:colOff>800100</xdr:colOff>
                    <xdr:row>2</xdr:row>
                    <xdr:rowOff>28575</xdr:rowOff>
                  </from>
                  <to>
                    <xdr:col>11</xdr:col>
                    <xdr:colOff>1200150</xdr:colOff>
                    <xdr:row>3</xdr:row>
                    <xdr:rowOff>428625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280B5A-57AA-4214-A562-2D066AFEEF85}">
  <sheetPr codeName="Sheet64"/>
  <dimension ref="A1:CB177"/>
  <sheetViews>
    <sheetView showGridLines="0" zoomScale="80" zoomScaleNormal="80" workbookViewId="0">
      <pane ySplit="8" topLeftCell="A9" activePane="bottomLeft" state="frozen"/>
      <selection activeCell="B1" sqref="B1"/>
      <selection pane="bottomLeft" activeCell="P27" sqref="P27"/>
    </sheetView>
  </sheetViews>
  <sheetFormatPr defaultRowHeight="23.25"/>
  <cols>
    <col min="1" max="1" width="1.42578125" customWidth="1"/>
    <col min="2" max="2" width="3.85546875" style="2" customWidth="1"/>
    <col min="3" max="3" width="7" customWidth="1"/>
    <col min="4" max="4" width="14.85546875" customWidth="1"/>
    <col min="5" max="5" width="22.5703125" style="5" customWidth="1"/>
    <col min="6" max="6" width="2.5703125" style="5" customWidth="1"/>
    <col min="7" max="7" width="17.140625" style="5" customWidth="1"/>
    <col min="8" max="8" width="22.140625" style="2" customWidth="1"/>
    <col min="9" max="9" width="10.140625" customWidth="1"/>
    <col min="10" max="10" width="15" customWidth="1"/>
    <col min="11" max="11" width="15.140625" customWidth="1"/>
    <col min="12" max="12" width="19.5703125" customWidth="1"/>
    <col min="13" max="13" width="3.42578125" customWidth="1"/>
    <col min="14" max="14" width="2.85546875" hidden="1" customWidth="1"/>
    <col min="15" max="15" width="24.140625" bestFit="1" customWidth="1"/>
    <col min="16" max="16" width="44.140625" customWidth="1"/>
    <col min="17" max="17" width="5.140625" customWidth="1"/>
    <col min="18" max="18" width="20.7109375" customWidth="1"/>
    <col min="19" max="19" width="7.42578125" customWidth="1"/>
    <col min="64" max="64" width="12.7109375" bestFit="1" customWidth="1"/>
    <col min="66" max="80" width="6.7109375" customWidth="1"/>
  </cols>
  <sheetData>
    <row r="1" spans="2:80" ht="58.5" customHeight="1"/>
    <row r="2" spans="2:80" ht="8.25" customHeight="1"/>
    <row r="3" spans="2:80" ht="0.75" customHeight="1">
      <c r="C3" s="1901"/>
      <c r="D3" s="1901"/>
      <c r="E3" s="1901"/>
      <c r="F3" s="1901"/>
      <c r="G3" s="1901"/>
      <c r="H3" s="1901"/>
      <c r="I3" s="1901"/>
      <c r="J3" s="1901"/>
      <c r="K3" s="1901"/>
      <c r="L3" s="1901"/>
      <c r="O3" s="146"/>
      <c r="BL3" t="s">
        <v>1806</v>
      </c>
      <c r="BN3" s="345" t="s">
        <v>108</v>
      </c>
      <c r="BO3" s="345">
        <v>1</v>
      </c>
      <c r="BP3" s="345">
        <v>1</v>
      </c>
      <c r="BQ3" s="345">
        <v>6</v>
      </c>
      <c r="BR3" s="345" t="s">
        <v>109</v>
      </c>
      <c r="BS3" s="345">
        <v>2</v>
      </c>
      <c r="BT3" s="345">
        <v>6</v>
      </c>
      <c r="BU3" s="345">
        <v>0</v>
      </c>
      <c r="BV3" s="345">
        <v>0</v>
      </c>
      <c r="BW3" s="345">
        <v>0</v>
      </c>
      <c r="BX3" s="345">
        <v>0</v>
      </c>
      <c r="BY3" s="345">
        <v>1</v>
      </c>
      <c r="BZ3" s="345">
        <v>2</v>
      </c>
      <c r="CA3" s="345">
        <v>7</v>
      </c>
      <c r="CB3" s="346">
        <v>1</v>
      </c>
    </row>
    <row r="4" spans="2:80" ht="36.75">
      <c r="B4" s="815"/>
      <c r="C4" s="402" t="str">
        <f>Setting!D9</f>
        <v>គោកស្នួល ខនស្រ្តាក់សិន មេធៀរៀល</v>
      </c>
      <c r="D4" s="402"/>
      <c r="E4" s="402"/>
      <c r="F4" s="402"/>
      <c r="G4" s="402"/>
      <c r="H4" s="402"/>
      <c r="I4" s="402"/>
      <c r="J4" s="402"/>
      <c r="K4" s="402"/>
      <c r="L4" s="402"/>
      <c r="O4" s="337" t="s">
        <v>1893</v>
      </c>
      <c r="P4" s="410"/>
      <c r="R4" s="68"/>
      <c r="S4" s="297"/>
      <c r="T4" s="297"/>
    </row>
    <row r="5" spans="2:80" s="5" customFormat="1" ht="27.75" customHeight="1">
      <c r="B5" s="816"/>
      <c r="C5" s="814" t="str">
        <f>Setting!E9</f>
        <v>KORK SNUOL CONSTRUCTION MATERIAL</v>
      </c>
      <c r="D5" s="333"/>
      <c r="E5" s="349"/>
      <c r="F5" s="349"/>
      <c r="G5" s="349"/>
      <c r="H5" s="349"/>
      <c r="I5" s="349"/>
      <c r="J5" s="349"/>
      <c r="K5" s="349"/>
      <c r="L5" s="349"/>
      <c r="O5" s="337" t="s">
        <v>1874</v>
      </c>
      <c r="P5" s="404" t="s">
        <v>1854</v>
      </c>
      <c r="Q5"/>
      <c r="R5" s="68"/>
      <c r="S5" s="498"/>
      <c r="T5" s="183"/>
      <c r="U5"/>
      <c r="V5"/>
      <c r="W5"/>
      <c r="X5"/>
      <c r="Y5"/>
      <c r="Z5"/>
      <c r="AA5"/>
      <c r="AB5"/>
      <c r="AC5"/>
    </row>
    <row r="6" spans="2:80" s="5" customFormat="1" ht="25.5">
      <c r="B6" s="816"/>
      <c r="C6" s="196" t="str">
        <f>O5&amp;print_adj_branch_address_kh</f>
        <v>អាសយដ្ឋាន ៖ ភូមិគោកស្នួល ឃុំខ្នាត ស្រុកពួក ខេត្តសៀមរាប</v>
      </c>
      <c r="D6" s="196"/>
      <c r="E6" s="349"/>
      <c r="F6" s="349"/>
      <c r="G6" s="349"/>
      <c r="H6" s="349"/>
      <c r="I6" s="349"/>
      <c r="J6" s="349"/>
      <c r="K6" s="349"/>
      <c r="L6" s="349"/>
      <c r="N6" s="176"/>
      <c r="O6" s="337" t="s">
        <v>1876</v>
      </c>
      <c r="P6" s="415" t="s">
        <v>102</v>
      </c>
      <c r="Q6" s="168"/>
      <c r="R6" s="414"/>
      <c r="S6" s="168"/>
      <c r="T6" s="168"/>
      <c r="U6" s="168"/>
      <c r="V6" s="168"/>
      <c r="W6" s="168"/>
      <c r="X6" s="168"/>
      <c r="Y6"/>
      <c r="Z6"/>
      <c r="AA6"/>
      <c r="AB6"/>
      <c r="AC6"/>
    </row>
    <row r="7" spans="2:80" s="5" customFormat="1" ht="25.5">
      <c r="B7" s="816"/>
      <c r="C7" s="196" t="str">
        <f>O6&amp;print_adj_branch_telephone&amp;IF(print_adj_branch_email="",""," , "&amp;O7&amp;print_adj_branch_email)</f>
        <v>លេខទូរស័ព្ទ ៖ 015 43 44 00 , អ៊ីម៉ែល​ ៖ boupanha.edu@gmail.com</v>
      </c>
      <c r="D7" s="196"/>
      <c r="E7" s="349"/>
      <c r="F7" s="349"/>
      <c r="G7" s="349"/>
      <c r="H7" s="349"/>
      <c r="I7" s="349"/>
      <c r="J7" s="349"/>
      <c r="K7" s="349"/>
      <c r="L7" s="349"/>
      <c r="O7" s="337" t="s">
        <v>1877</v>
      </c>
      <c r="P7" s="404" t="s">
        <v>1855</v>
      </c>
      <c r="Q7" s="168"/>
      <c r="R7" s="414"/>
      <c r="S7" s="168"/>
      <c r="T7" s="168"/>
      <c r="U7" s="168"/>
      <c r="V7" s="168"/>
      <c r="W7" s="168"/>
      <c r="X7" s="168"/>
      <c r="Y7"/>
      <c r="Z7"/>
      <c r="AA7"/>
      <c r="AB7"/>
      <c r="AC7"/>
    </row>
    <row r="8" spans="2:80" ht="38.25" customHeight="1" thickBot="1">
      <c r="B8" s="815"/>
      <c r="C8" s="403" t="s">
        <v>1875</v>
      </c>
      <c r="D8" s="403"/>
      <c r="E8" s="377"/>
      <c r="F8" s="377"/>
      <c r="G8" s="377"/>
      <c r="H8" s="377"/>
      <c r="I8" s="377"/>
      <c r="J8" s="377"/>
      <c r="K8" s="377"/>
      <c r="L8" s="378"/>
      <c r="O8" s="188"/>
      <c r="P8" s="404"/>
      <c r="Q8" s="168"/>
      <c r="R8" s="414"/>
      <c r="S8" s="168"/>
      <c r="T8" s="168"/>
      <c r="U8" s="168"/>
      <c r="V8" s="168"/>
      <c r="W8" s="168"/>
      <c r="X8" s="168"/>
    </row>
    <row r="9" spans="2:80" ht="3.75" customHeight="1">
      <c r="B9" s="817"/>
      <c r="H9" s="45"/>
      <c r="K9" s="351"/>
      <c r="L9" s="351"/>
      <c r="O9" s="225"/>
      <c r="P9" s="188"/>
      <c r="Q9" s="168"/>
      <c r="R9" s="168"/>
      <c r="S9" s="168"/>
      <c r="T9" s="168"/>
      <c r="U9" s="168"/>
      <c r="V9" s="168"/>
      <c r="W9" s="168"/>
      <c r="X9" s="168"/>
    </row>
    <row r="10" spans="2:80" ht="3.75" customHeight="1">
      <c r="B10" s="817"/>
      <c r="E10"/>
      <c r="F10"/>
      <c r="G10"/>
      <c r="H10" s="148"/>
      <c r="I10" s="148"/>
      <c r="J10" s="158"/>
      <c r="K10" s="158"/>
      <c r="L10" s="158"/>
      <c r="O10" s="225"/>
      <c r="P10" s="188"/>
      <c r="Q10" s="168"/>
      <c r="R10" s="168"/>
      <c r="S10" s="168"/>
      <c r="T10" s="168"/>
      <c r="U10" s="168"/>
      <c r="V10" s="168"/>
      <c r="W10" s="168"/>
      <c r="X10" s="168"/>
    </row>
    <row r="11" spans="2:80" s="52" customFormat="1" ht="10.5" customHeight="1">
      <c r="B11" s="817"/>
      <c r="C11" s="344"/>
      <c r="D11" s="344"/>
      <c r="E11" s="344"/>
      <c r="F11" s="344"/>
      <c r="H11" s="148"/>
      <c r="I11" s="148"/>
      <c r="J11"/>
      <c r="N11" s="81"/>
      <c r="O11" s="225"/>
      <c r="P11" s="188"/>
      <c r="Q11" s="168"/>
      <c r="R11" s="168"/>
      <c r="S11" s="168"/>
      <c r="T11" s="168"/>
      <c r="U11" s="168"/>
      <c r="V11" s="168"/>
      <c r="W11" s="168"/>
      <c r="X11" s="168"/>
      <c r="Y11"/>
      <c r="Z11"/>
      <c r="AA11"/>
      <c r="AB11"/>
      <c r="AC11"/>
    </row>
    <row r="12" spans="2:80" s="52" customFormat="1" ht="30" customHeight="1">
      <c r="B12" s="817"/>
      <c r="C12" s="196" t="s">
        <v>3315</v>
      </c>
      <c r="D12" s="196"/>
      <c r="E12" s="1905" t="s">
        <v>1661</v>
      </c>
      <c r="F12" s="1905"/>
      <c r="G12" s="1905"/>
      <c r="H12" s="1905"/>
      <c r="I12" s="853"/>
      <c r="J12" s="857"/>
      <c r="K12" s="856" t="s">
        <v>3317</v>
      </c>
      <c r="L12" s="858" t="s">
        <v>3340</v>
      </c>
      <c r="M12" s="855" t="str">
        <f ca="1">MID(MID(CELL("filename",B1),FIND("]",CELL("filename",B1))+1,255),1,40)</f>
        <v>PrintInvAdjustment</v>
      </c>
      <c r="N12"/>
      <c r="O12" s="841"/>
      <c r="P12" s="337"/>
      <c r="Q12" s="258"/>
      <c r="R12" s="258"/>
      <c r="S12" s="258"/>
      <c r="T12" s="258"/>
      <c r="U12" s="258"/>
      <c r="V12" s="258"/>
      <c r="W12" s="258"/>
      <c r="X12" s="258"/>
      <c r="Y12"/>
      <c r="Z12"/>
      <c r="AA12"/>
      <c r="AB12"/>
      <c r="AC12"/>
    </row>
    <row r="13" spans="2:80" s="52" customFormat="1" ht="30" customHeight="1">
      <c r="B13" s="817"/>
      <c r="C13" s="196" t="s">
        <v>3316</v>
      </c>
      <c r="D13" s="196"/>
      <c r="E13" s="1905"/>
      <c r="F13" s="1905"/>
      <c r="G13" s="1905"/>
      <c r="H13" s="1905"/>
      <c r="I13" s="853"/>
      <c r="J13" s="859"/>
      <c r="K13" s="854" t="s">
        <v>3318</v>
      </c>
      <c r="L13" s="860">
        <v>46221</v>
      </c>
      <c r="M13" s="855"/>
      <c r="N13"/>
      <c r="O13" s="841"/>
      <c r="P13" s="337"/>
      <c r="Q13" s="258"/>
      <c r="R13" s="258"/>
      <c r="S13" s="258"/>
      <c r="T13" s="258"/>
      <c r="U13" s="258"/>
      <c r="V13" s="258"/>
      <c r="W13" s="258"/>
      <c r="X13" s="258"/>
      <c r="Y13"/>
      <c r="Z13"/>
      <c r="AA13"/>
      <c r="AB13"/>
      <c r="AC13"/>
    </row>
    <row r="14" spans="2:80" s="52" customFormat="1" ht="27" hidden="1">
      <c r="B14" s="817"/>
      <c r="C14" s="772"/>
      <c r="D14" s="772"/>
      <c r="E14" s="772"/>
      <c r="F14" s="772"/>
      <c r="G14" s="772"/>
      <c r="H14" s="772"/>
      <c r="I14" s="148"/>
      <c r="J14" s="445"/>
      <c r="K14" s="352"/>
      <c r="L14" s="842"/>
      <c r="N14"/>
      <c r="O14" s="225"/>
      <c r="P14" s="188"/>
      <c r="Q14" s="168"/>
      <c r="R14" s="168"/>
      <c r="S14" s="168"/>
      <c r="T14" s="168"/>
      <c r="U14" s="168"/>
      <c r="V14" s="168"/>
      <c r="W14" s="168"/>
      <c r="X14" s="168"/>
      <c r="Y14"/>
      <c r="Z14"/>
      <c r="AA14"/>
      <c r="AB14"/>
      <c r="AC14"/>
    </row>
    <row r="15" spans="2:80" ht="13.5" hidden="1" customHeight="1">
      <c r="B15" s="8"/>
      <c r="C15" s="5"/>
      <c r="D15" s="5"/>
      <c r="H15" s="5"/>
      <c r="I15" s="5"/>
      <c r="J15" s="5"/>
      <c r="K15" s="5"/>
      <c r="L15" s="5"/>
      <c r="M15" s="5"/>
      <c r="N15" s="5"/>
      <c r="O15" s="225"/>
      <c r="P15" s="188"/>
      <c r="Q15" s="168"/>
      <c r="R15" s="168"/>
      <c r="S15" s="168"/>
      <c r="T15" s="168"/>
      <c r="U15" s="168"/>
      <c r="V15" s="168"/>
      <c r="W15" s="168"/>
      <c r="X15" s="168"/>
    </row>
    <row r="16" spans="2:80" ht="32.25" hidden="1" customHeight="1">
      <c r="B16" s="818">
        <v>-9</v>
      </c>
      <c r="C16" s="829"/>
      <c r="D16" s="829"/>
      <c r="E16" s="352"/>
      <c r="F16" s="352"/>
      <c r="G16" s="776"/>
      <c r="H16" s="776"/>
      <c r="I16" s="777"/>
      <c r="J16" s="778"/>
      <c r="K16" s="751"/>
      <c r="L16" s="353"/>
      <c r="M16" s="58"/>
      <c r="O16" s="225"/>
      <c r="P16" s="188"/>
      <c r="Q16" s="168"/>
      <c r="R16" s="168"/>
      <c r="S16" s="168"/>
      <c r="T16" s="168"/>
      <c r="U16" s="168"/>
      <c r="V16" s="168"/>
      <c r="W16" s="168"/>
      <c r="X16" s="168"/>
    </row>
    <row r="17" spans="1:29" ht="30" hidden="1" customHeight="1">
      <c r="B17" s="818"/>
      <c r="C17" s="830"/>
      <c r="D17" s="830"/>
      <c r="E17" s="352"/>
      <c r="F17" s="435"/>
      <c r="G17" s="436"/>
      <c r="H17" s="437"/>
      <c r="I17" s="437"/>
      <c r="J17" s="438"/>
      <c r="K17" s="439"/>
      <c r="L17" s="439"/>
      <c r="M17" s="58"/>
      <c r="N17" s="37"/>
      <c r="O17" s="225"/>
      <c r="P17" s="188"/>
      <c r="Q17" s="168"/>
      <c r="R17" s="168"/>
      <c r="S17" s="168"/>
      <c r="T17" s="168"/>
      <c r="U17" s="168"/>
      <c r="V17" s="168"/>
      <c r="W17" s="168"/>
      <c r="X17" s="168"/>
    </row>
    <row r="18" spans="1:29" s="3" customFormat="1" ht="20.100000000000001" hidden="1" customHeight="1">
      <c r="B18" s="819"/>
      <c r="C18" s="749"/>
      <c r="D18" s="749"/>
      <c r="E18" s="426"/>
      <c r="F18" s="435"/>
      <c r="G18" s="750"/>
      <c r="H18" s="752"/>
      <c r="I18" s="752"/>
      <c r="J18" s="752"/>
      <c r="K18" s="752"/>
      <c r="L18" s="831"/>
      <c r="M18" s="384"/>
      <c r="N18" s="385"/>
      <c r="O18" s="225"/>
      <c r="P18" s="188"/>
      <c r="Q18" s="168"/>
      <c r="R18" s="168"/>
      <c r="S18" s="168"/>
      <c r="T18" s="168"/>
      <c r="U18" s="168"/>
      <c r="V18" s="168"/>
      <c r="W18" s="168"/>
      <c r="X18" s="168"/>
    </row>
    <row r="19" spans="1:29" ht="30" hidden="1" customHeight="1">
      <c r="B19" s="818"/>
      <c r="C19" s="830"/>
      <c r="D19" s="830"/>
      <c r="E19" s="352"/>
      <c r="F19" s="435"/>
      <c r="G19" s="832"/>
      <c r="H19" s="833"/>
      <c r="I19" s="833"/>
      <c r="J19" s="833"/>
      <c r="K19" s="833"/>
      <c r="L19" s="439"/>
      <c r="M19" s="58"/>
      <c r="O19" s="225"/>
      <c r="P19" s="188"/>
      <c r="Q19" s="168"/>
      <c r="R19" s="168"/>
      <c r="S19" s="168"/>
      <c r="T19" s="168"/>
      <c r="U19" s="168"/>
      <c r="V19" s="168"/>
      <c r="W19" s="168"/>
      <c r="X19" s="168"/>
    </row>
    <row r="20" spans="1:29" ht="30" hidden="1" customHeight="1">
      <c r="B20" s="818"/>
      <c r="C20" s="834"/>
      <c r="D20" s="834"/>
      <c r="E20" s="352"/>
      <c r="F20" s="435"/>
      <c r="G20" s="183"/>
      <c r="H20" s="213"/>
      <c r="I20" s="213"/>
      <c r="J20" s="213"/>
      <c r="K20" s="213"/>
      <c r="L20" s="183"/>
      <c r="M20" s="58"/>
      <c r="N20" s="58"/>
      <c r="O20" s="225"/>
      <c r="P20" s="188"/>
      <c r="Q20" s="168"/>
      <c r="R20" s="168"/>
      <c r="S20" s="168"/>
      <c r="T20" s="168"/>
      <c r="U20" s="168"/>
      <c r="V20" s="168"/>
      <c r="W20" s="168"/>
      <c r="X20" s="168"/>
    </row>
    <row r="21" spans="1:29" ht="20.100000000000001" hidden="1" customHeight="1">
      <c r="B21" s="8"/>
      <c r="C21" s="749"/>
      <c r="D21" s="749"/>
      <c r="E21" s="445"/>
      <c r="F21" s="435"/>
      <c r="G21" s="835"/>
      <c r="H21" s="750"/>
      <c r="I21" s="750"/>
      <c r="J21" s="750"/>
      <c r="K21" s="750"/>
      <c r="L21" s="750"/>
      <c r="M21" s="5"/>
      <c r="N21" s="5"/>
      <c r="O21" s="225"/>
      <c r="P21" s="188"/>
      <c r="Q21" s="168"/>
      <c r="R21" s="168"/>
      <c r="S21" s="168"/>
      <c r="T21" s="168"/>
      <c r="U21" s="168"/>
      <c r="V21" s="168"/>
      <c r="W21" s="168"/>
      <c r="X21" s="168"/>
    </row>
    <row r="22" spans="1:29" ht="30" hidden="1" customHeight="1">
      <c r="B22" s="8"/>
      <c r="C22" s="830"/>
      <c r="D22" s="830"/>
      <c r="E22" s="445"/>
      <c r="F22" s="435"/>
      <c r="G22" s="836"/>
      <c r="H22" s="836"/>
      <c r="I22" s="836"/>
      <c r="J22" s="836"/>
      <c r="K22" s="836"/>
      <c r="L22" s="836"/>
      <c r="M22" s="5"/>
      <c r="N22" s="5"/>
      <c r="O22" s="225"/>
      <c r="P22" s="188"/>
      <c r="Q22" s="168"/>
      <c r="R22" s="168"/>
      <c r="S22" s="168"/>
      <c r="T22" s="168"/>
      <c r="U22" s="168"/>
      <c r="V22" s="168"/>
      <c r="W22" s="168"/>
      <c r="X22" s="168"/>
    </row>
    <row r="23" spans="1:29" ht="11.25" hidden="1" customHeight="1">
      <c r="B23" s="8"/>
      <c r="C23" s="354"/>
      <c r="D23" s="354"/>
      <c r="E23" s="354"/>
      <c r="F23" s="354"/>
      <c r="G23" s="1904"/>
      <c r="H23" s="1904"/>
      <c r="I23" s="1904"/>
      <c r="J23" s="352"/>
      <c r="K23" s="352"/>
      <c r="L23" s="353"/>
      <c r="M23" s="5"/>
    </row>
    <row r="24" spans="1:29" s="4" customFormat="1" ht="13.5" customHeight="1">
      <c r="B24" s="2"/>
      <c r="E24" s="64"/>
      <c r="F24" s="64"/>
      <c r="G24" s="65"/>
      <c r="H24" s="66"/>
      <c r="I24" s="202"/>
      <c r="K24" s="68"/>
      <c r="L24" s="69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</row>
    <row r="25" spans="1:29" s="355" customFormat="1" ht="27">
      <c r="B25" s="820"/>
      <c r="C25" s="862" t="s">
        <v>47</v>
      </c>
      <c r="D25" s="862" t="s">
        <v>159</v>
      </c>
      <c r="E25" s="864" t="s">
        <v>3314</v>
      </c>
      <c r="F25" s="865"/>
      <c r="G25" s="866"/>
      <c r="H25" s="862" t="s">
        <v>1655</v>
      </c>
      <c r="I25" s="862" t="s">
        <v>135</v>
      </c>
      <c r="J25" s="862" t="s">
        <v>134</v>
      </c>
      <c r="K25" s="862" t="s">
        <v>62</v>
      </c>
      <c r="L25" s="862" t="s">
        <v>2976</v>
      </c>
      <c r="N25" s="356"/>
      <c r="O25" s="34"/>
      <c r="P25" s="34"/>
      <c r="Q25"/>
      <c r="R25"/>
      <c r="S25"/>
      <c r="T25"/>
      <c r="U25"/>
      <c r="V25"/>
      <c r="W25"/>
      <c r="X25"/>
      <c r="Y25"/>
      <c r="Z25"/>
      <c r="AA25"/>
      <c r="AB25"/>
      <c r="AC25"/>
    </row>
    <row r="26" spans="1:29" s="357" customFormat="1" ht="15.75">
      <c r="B26" s="821"/>
      <c r="C26" s="863" t="s">
        <v>9</v>
      </c>
      <c r="D26" s="863" t="s">
        <v>1838</v>
      </c>
      <c r="E26" s="867" t="s">
        <v>229</v>
      </c>
      <c r="F26" s="868"/>
      <c r="G26" s="869"/>
      <c r="H26" s="863" t="s">
        <v>3313</v>
      </c>
      <c r="I26" s="863" t="s">
        <v>67</v>
      </c>
      <c r="J26" s="863" t="s">
        <v>19</v>
      </c>
      <c r="K26" s="863" t="s">
        <v>68</v>
      </c>
      <c r="L26" s="863" t="s">
        <v>1901</v>
      </c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</row>
    <row r="27" spans="1:29" s="357" customFormat="1" ht="33" customHeight="1">
      <c r="A27" s="423"/>
      <c r="B27" s="821">
        <v>1</v>
      </c>
      <c r="C27" s="393">
        <v>1</v>
      </c>
      <c r="D27" s="393" t="s">
        <v>2570</v>
      </c>
      <c r="E27" s="843" t="s">
        <v>3339</v>
      </c>
      <c r="F27" s="844"/>
      <c r="G27" s="845"/>
      <c r="H27" s="846" t="s">
        <v>1661</v>
      </c>
      <c r="I27" s="391">
        <v>5</v>
      </c>
      <c r="J27" s="847" t="s">
        <v>2172</v>
      </c>
      <c r="K27" s="398">
        <v>27.34</v>
      </c>
      <c r="L27" s="849">
        <v>136.69999999999999</v>
      </c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</row>
    <row r="28" spans="1:29" s="357" customFormat="1" ht="33" customHeight="1">
      <c r="A28" s="423"/>
      <c r="B28" s="821">
        <v>2</v>
      </c>
      <c r="C28" s="393">
        <v>2</v>
      </c>
      <c r="D28" s="393" t="s">
        <v>2343</v>
      </c>
      <c r="E28" s="843" t="s">
        <v>3341</v>
      </c>
      <c r="F28" s="844"/>
      <c r="G28" s="845"/>
      <c r="H28" s="846" t="s">
        <v>1661</v>
      </c>
      <c r="I28" s="391">
        <v>5</v>
      </c>
      <c r="J28" s="847" t="s">
        <v>2164</v>
      </c>
      <c r="K28" s="398">
        <v>74.400000000000006</v>
      </c>
      <c r="L28" s="849">
        <v>372</v>
      </c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</row>
    <row r="29" spans="1:29" s="357" customFormat="1" ht="33" customHeight="1">
      <c r="A29" s="423"/>
      <c r="B29" s="821">
        <v>3</v>
      </c>
      <c r="C29" s="393">
        <v>3</v>
      </c>
      <c r="D29" s="393" t="s">
        <v>2526</v>
      </c>
      <c r="E29" s="843" t="s">
        <v>3342</v>
      </c>
      <c r="F29" s="844"/>
      <c r="G29" s="845"/>
      <c r="H29" s="846" t="s">
        <v>1661</v>
      </c>
      <c r="I29" s="391">
        <v>5</v>
      </c>
      <c r="J29" s="847" t="s">
        <v>2715</v>
      </c>
      <c r="K29" s="398">
        <v>85</v>
      </c>
      <c r="L29" s="849">
        <v>425</v>
      </c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</row>
    <row r="30" spans="1:29" s="357" customFormat="1" ht="33" hidden="1" customHeight="1">
      <c r="A30" s="423"/>
      <c r="B30" s="821">
        <v>4</v>
      </c>
      <c r="C30" s="393"/>
      <c r="D30" s="393"/>
      <c r="E30" s="843"/>
      <c r="F30" s="844"/>
      <c r="G30" s="845"/>
      <c r="H30" s="846"/>
      <c r="I30" s="391"/>
      <c r="J30" s="847"/>
      <c r="K30" s="398"/>
      <c r="L30" s="849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</row>
    <row r="31" spans="1:29" s="357" customFormat="1" ht="33" hidden="1" customHeight="1">
      <c r="A31" s="423"/>
      <c r="B31" s="821">
        <v>5</v>
      </c>
      <c r="C31" s="393"/>
      <c r="D31" s="393"/>
      <c r="E31" s="843"/>
      <c r="F31" s="844"/>
      <c r="G31" s="845"/>
      <c r="H31" s="846"/>
      <c r="I31" s="391"/>
      <c r="J31" s="847"/>
      <c r="K31" s="398"/>
      <c r="L31" s="849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</row>
    <row r="32" spans="1:29" s="357" customFormat="1" ht="33" hidden="1" customHeight="1">
      <c r="A32" s="423"/>
      <c r="B32" s="821">
        <v>6</v>
      </c>
      <c r="C32" s="393"/>
      <c r="D32" s="393"/>
      <c r="E32" s="843"/>
      <c r="F32" s="844"/>
      <c r="G32" s="845"/>
      <c r="H32" s="846"/>
      <c r="I32" s="391"/>
      <c r="J32" s="847"/>
      <c r="K32" s="398"/>
      <c r="L32" s="849"/>
      <c r="O32" s="848"/>
      <c r="P32"/>
      <c r="Q32"/>
      <c r="R32"/>
      <c r="S32"/>
      <c r="T32"/>
      <c r="U32"/>
      <c r="V32"/>
      <c r="W32"/>
      <c r="X32"/>
      <c r="Y32"/>
      <c r="Z32"/>
      <c r="AA32"/>
      <c r="AB32"/>
      <c r="AC32"/>
    </row>
    <row r="33" spans="1:29" s="357" customFormat="1" ht="33" hidden="1" customHeight="1">
      <c r="A33" s="423"/>
      <c r="B33" s="821">
        <v>7</v>
      </c>
      <c r="C33" s="393"/>
      <c r="D33" s="393"/>
      <c r="E33" s="843"/>
      <c r="F33" s="844"/>
      <c r="G33" s="845"/>
      <c r="H33" s="846"/>
      <c r="I33" s="391"/>
      <c r="J33" s="847"/>
      <c r="K33" s="398"/>
      <c r="L33" s="849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</row>
    <row r="34" spans="1:29" s="357" customFormat="1" ht="33" hidden="1" customHeight="1">
      <c r="A34" s="423"/>
      <c r="B34" s="821">
        <v>8</v>
      </c>
      <c r="C34" s="393"/>
      <c r="D34" s="393"/>
      <c r="E34" s="843"/>
      <c r="F34" s="844"/>
      <c r="G34" s="845"/>
      <c r="H34" s="846"/>
      <c r="I34" s="391"/>
      <c r="J34" s="847"/>
      <c r="K34" s="398"/>
      <c r="L34" s="849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</row>
    <row r="35" spans="1:29" s="357" customFormat="1" ht="33" hidden="1" customHeight="1">
      <c r="A35" s="423"/>
      <c r="B35" s="821">
        <v>9</v>
      </c>
      <c r="C35" s="393"/>
      <c r="D35" s="393"/>
      <c r="E35" s="843"/>
      <c r="F35" s="844"/>
      <c r="G35" s="845"/>
      <c r="H35" s="846"/>
      <c r="I35" s="391"/>
      <c r="J35" s="847"/>
      <c r="K35" s="398"/>
      <c r="L35" s="849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</row>
    <row r="36" spans="1:29" s="357" customFormat="1" ht="33" hidden="1" customHeight="1">
      <c r="A36" s="423"/>
      <c r="B36" s="821">
        <v>10</v>
      </c>
      <c r="C36" s="393"/>
      <c r="D36" s="393"/>
      <c r="E36" s="843"/>
      <c r="F36" s="844"/>
      <c r="G36" s="845"/>
      <c r="H36" s="846"/>
      <c r="I36" s="391"/>
      <c r="J36" s="847"/>
      <c r="K36" s="398"/>
      <c r="L36" s="849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</row>
    <row r="37" spans="1:29" s="357" customFormat="1" ht="33" hidden="1" customHeight="1">
      <c r="A37" s="423"/>
      <c r="B37" s="821">
        <v>11</v>
      </c>
      <c r="C37" s="393"/>
      <c r="D37" s="393"/>
      <c r="E37" s="843"/>
      <c r="F37" s="844"/>
      <c r="G37" s="845"/>
      <c r="H37" s="846"/>
      <c r="I37" s="391"/>
      <c r="J37" s="847"/>
      <c r="K37" s="398"/>
      <c r="L37" s="849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</row>
    <row r="38" spans="1:29" s="357" customFormat="1" ht="33" hidden="1" customHeight="1">
      <c r="A38" s="423"/>
      <c r="B38" s="821">
        <v>12</v>
      </c>
      <c r="C38" s="393"/>
      <c r="D38" s="393"/>
      <c r="E38" s="843"/>
      <c r="F38" s="844"/>
      <c r="G38" s="845"/>
      <c r="H38" s="846"/>
      <c r="I38" s="391"/>
      <c r="J38" s="847"/>
      <c r="K38" s="398"/>
      <c r="L38" s="849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</row>
    <row r="39" spans="1:29" s="357" customFormat="1" ht="33" hidden="1" customHeight="1">
      <c r="A39" s="423"/>
      <c r="B39" s="821">
        <v>13</v>
      </c>
      <c r="C39" s="393"/>
      <c r="D39" s="393"/>
      <c r="E39" s="843"/>
      <c r="F39" s="844"/>
      <c r="G39" s="845"/>
      <c r="H39" s="846"/>
      <c r="I39" s="391"/>
      <c r="J39" s="847"/>
      <c r="K39" s="398"/>
      <c r="L39" s="84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</row>
    <row r="40" spans="1:29" s="357" customFormat="1" ht="33" hidden="1" customHeight="1">
      <c r="A40" s="423"/>
      <c r="B40" s="821">
        <v>14</v>
      </c>
      <c r="C40" s="393"/>
      <c r="D40" s="393"/>
      <c r="E40" s="843"/>
      <c r="F40" s="844"/>
      <c r="G40" s="845"/>
      <c r="H40" s="846"/>
      <c r="I40" s="391"/>
      <c r="J40" s="847"/>
      <c r="K40" s="398"/>
      <c r="L40" s="849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</row>
    <row r="41" spans="1:29" s="357" customFormat="1" ht="33" hidden="1" customHeight="1">
      <c r="A41" s="423"/>
      <c r="B41" s="821">
        <v>15</v>
      </c>
      <c r="C41" s="393"/>
      <c r="D41" s="393"/>
      <c r="E41" s="843"/>
      <c r="F41" s="844"/>
      <c r="G41" s="845"/>
      <c r="H41" s="846"/>
      <c r="I41" s="391"/>
      <c r="J41" s="847"/>
      <c r="K41" s="398"/>
      <c r="L41" s="849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</row>
    <row r="42" spans="1:29" s="357" customFormat="1" ht="33" hidden="1" customHeight="1">
      <c r="A42" s="423"/>
      <c r="B42" s="821">
        <v>16</v>
      </c>
      <c r="C42" s="393"/>
      <c r="D42" s="393"/>
      <c r="E42" s="843"/>
      <c r="F42" s="844"/>
      <c r="G42" s="845"/>
      <c r="H42" s="846"/>
      <c r="I42" s="391"/>
      <c r="J42" s="847"/>
      <c r="K42" s="398"/>
      <c r="L42" s="849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</row>
    <row r="43" spans="1:29" s="357" customFormat="1" ht="33" hidden="1" customHeight="1">
      <c r="A43" s="423"/>
      <c r="B43" s="821">
        <v>17</v>
      </c>
      <c r="C43" s="393"/>
      <c r="D43" s="393"/>
      <c r="E43" s="843"/>
      <c r="F43" s="844"/>
      <c r="G43" s="845"/>
      <c r="H43" s="846"/>
      <c r="I43" s="391"/>
      <c r="J43" s="847"/>
      <c r="K43" s="398"/>
      <c r="L43" s="849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</row>
    <row r="44" spans="1:29" s="357" customFormat="1" ht="33" hidden="1" customHeight="1">
      <c r="A44" s="423"/>
      <c r="B44" s="821">
        <v>18</v>
      </c>
      <c r="C44" s="393"/>
      <c r="D44" s="393"/>
      <c r="E44" s="843"/>
      <c r="F44" s="844"/>
      <c r="G44" s="845"/>
      <c r="H44" s="846"/>
      <c r="I44" s="391"/>
      <c r="J44" s="847"/>
      <c r="K44" s="398"/>
      <c r="L44" s="849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</row>
    <row r="45" spans="1:29" s="357" customFormat="1" ht="33" hidden="1" customHeight="1">
      <c r="A45" s="423"/>
      <c r="B45" s="821">
        <v>19</v>
      </c>
      <c r="C45" s="393"/>
      <c r="D45" s="393"/>
      <c r="E45" s="843"/>
      <c r="F45" s="844"/>
      <c r="G45" s="845"/>
      <c r="H45" s="846"/>
      <c r="I45" s="391"/>
      <c r="J45" s="847"/>
      <c r="K45" s="398"/>
      <c r="L45" s="849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</row>
    <row r="46" spans="1:29" s="357" customFormat="1" ht="33" hidden="1" customHeight="1">
      <c r="A46" s="423"/>
      <c r="B46" s="821">
        <v>20</v>
      </c>
      <c r="C46" s="393"/>
      <c r="D46" s="393"/>
      <c r="E46" s="843"/>
      <c r="F46" s="844"/>
      <c r="G46" s="845"/>
      <c r="H46" s="846"/>
      <c r="I46" s="391"/>
      <c r="J46" s="847"/>
      <c r="K46" s="398"/>
      <c r="L46" s="849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</row>
    <row r="47" spans="1:29" s="357" customFormat="1" ht="33" hidden="1" customHeight="1">
      <c r="A47" s="423"/>
      <c r="B47" s="821">
        <v>21</v>
      </c>
      <c r="C47" s="393"/>
      <c r="D47" s="393"/>
      <c r="E47" s="843"/>
      <c r="F47" s="844"/>
      <c r="G47" s="845"/>
      <c r="H47" s="846"/>
      <c r="I47" s="391"/>
      <c r="J47" s="847"/>
      <c r="K47" s="398"/>
      <c r="L47" s="849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</row>
    <row r="48" spans="1:29" s="357" customFormat="1" ht="33" hidden="1" customHeight="1">
      <c r="A48" s="423"/>
      <c r="B48" s="821">
        <v>22</v>
      </c>
      <c r="C48" s="393"/>
      <c r="D48" s="393"/>
      <c r="E48" s="843"/>
      <c r="F48" s="844"/>
      <c r="G48" s="845"/>
      <c r="H48" s="846"/>
      <c r="I48" s="391"/>
      <c r="J48" s="847"/>
      <c r="K48" s="398"/>
      <c r="L48" s="849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</row>
    <row r="49" spans="1:29" s="357" customFormat="1" ht="33" hidden="1" customHeight="1">
      <c r="A49" s="423"/>
      <c r="B49" s="821">
        <v>23</v>
      </c>
      <c r="C49" s="393"/>
      <c r="D49" s="393"/>
      <c r="E49" s="843"/>
      <c r="F49" s="844"/>
      <c r="G49" s="845"/>
      <c r="H49" s="846"/>
      <c r="I49" s="391"/>
      <c r="J49" s="847"/>
      <c r="K49" s="398"/>
      <c r="L49" s="8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</row>
    <row r="50" spans="1:29" s="357" customFormat="1" ht="33" hidden="1" customHeight="1">
      <c r="A50" s="423"/>
      <c r="B50" s="821">
        <v>24</v>
      </c>
      <c r="C50" s="393"/>
      <c r="D50" s="393"/>
      <c r="E50" s="843"/>
      <c r="F50" s="844"/>
      <c r="G50" s="845"/>
      <c r="H50" s="846"/>
      <c r="I50" s="391"/>
      <c r="J50" s="847"/>
      <c r="K50" s="398"/>
      <c r="L50" s="849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</row>
    <row r="51" spans="1:29" s="357" customFormat="1" ht="33" hidden="1" customHeight="1">
      <c r="A51" s="423"/>
      <c r="B51" s="821">
        <v>25</v>
      </c>
      <c r="C51" s="393"/>
      <c r="D51" s="393"/>
      <c r="E51" s="843"/>
      <c r="F51" s="844"/>
      <c r="G51" s="845"/>
      <c r="H51" s="846"/>
      <c r="I51" s="391"/>
      <c r="J51" s="847"/>
      <c r="K51" s="398"/>
      <c r="L51" s="849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</row>
    <row r="52" spans="1:29" s="357" customFormat="1" ht="33" hidden="1" customHeight="1">
      <c r="A52" s="423"/>
      <c r="B52" s="821">
        <v>26</v>
      </c>
      <c r="C52" s="393"/>
      <c r="D52" s="393"/>
      <c r="E52" s="843"/>
      <c r="F52" s="844"/>
      <c r="G52" s="845"/>
      <c r="H52" s="846"/>
      <c r="I52" s="391"/>
      <c r="J52" s="847"/>
      <c r="K52" s="398"/>
      <c r="L52" s="849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</row>
    <row r="53" spans="1:29" s="357" customFormat="1" ht="33" hidden="1" customHeight="1">
      <c r="A53" s="423"/>
      <c r="B53" s="821">
        <v>27</v>
      </c>
      <c r="C53" s="393"/>
      <c r="D53" s="393"/>
      <c r="E53" s="843"/>
      <c r="F53" s="844"/>
      <c r="G53" s="845"/>
      <c r="H53" s="846"/>
      <c r="I53" s="391"/>
      <c r="J53" s="847"/>
      <c r="K53" s="398"/>
      <c r="L53" s="849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</row>
    <row r="54" spans="1:29" s="357" customFormat="1" ht="33" hidden="1" customHeight="1">
      <c r="A54" s="423"/>
      <c r="B54" s="821">
        <v>28</v>
      </c>
      <c r="C54" s="393"/>
      <c r="D54" s="393"/>
      <c r="E54" s="843"/>
      <c r="F54" s="844"/>
      <c r="G54" s="845"/>
      <c r="H54" s="846"/>
      <c r="I54" s="391"/>
      <c r="J54" s="847"/>
      <c r="K54" s="398"/>
      <c r="L54" s="849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</row>
    <row r="55" spans="1:29" s="357" customFormat="1" ht="33" hidden="1" customHeight="1">
      <c r="B55" s="821">
        <v>29</v>
      </c>
      <c r="C55" s="393"/>
      <c r="D55" s="393"/>
      <c r="E55" s="843"/>
      <c r="F55" s="844"/>
      <c r="G55" s="845"/>
      <c r="H55" s="846"/>
      <c r="I55" s="391"/>
      <c r="J55" s="847"/>
      <c r="K55" s="398"/>
      <c r="L55" s="849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</row>
    <row r="56" spans="1:29" s="357" customFormat="1" ht="33" hidden="1" customHeight="1">
      <c r="B56" s="821">
        <v>30</v>
      </c>
      <c r="C56" s="393"/>
      <c r="D56" s="393"/>
      <c r="E56" s="843"/>
      <c r="F56" s="844"/>
      <c r="G56" s="845"/>
      <c r="H56" s="846"/>
      <c r="I56" s="391"/>
      <c r="J56" s="847"/>
      <c r="K56" s="398"/>
      <c r="L56" s="849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</row>
    <row r="57" spans="1:29" s="357" customFormat="1" ht="33" hidden="1" customHeight="1">
      <c r="B57" s="821">
        <v>31</v>
      </c>
      <c r="C57" s="393"/>
      <c r="D57" s="393"/>
      <c r="E57" s="843"/>
      <c r="F57" s="844"/>
      <c r="G57" s="845"/>
      <c r="H57" s="846"/>
      <c r="I57" s="391"/>
      <c r="J57" s="847"/>
      <c r="K57" s="398"/>
      <c r="L57" s="849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</row>
    <row r="58" spans="1:29" s="357" customFormat="1" ht="33" hidden="1" customHeight="1">
      <c r="B58" s="821">
        <v>32</v>
      </c>
      <c r="C58" s="393"/>
      <c r="D58" s="393"/>
      <c r="E58" s="843"/>
      <c r="F58" s="844"/>
      <c r="G58" s="845"/>
      <c r="H58" s="846"/>
      <c r="I58" s="391"/>
      <c r="J58" s="847"/>
      <c r="K58" s="398"/>
      <c r="L58" s="849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</row>
    <row r="59" spans="1:29" s="357" customFormat="1" ht="33" hidden="1" customHeight="1">
      <c r="B59" s="821">
        <v>33</v>
      </c>
      <c r="C59" s="393"/>
      <c r="D59" s="393"/>
      <c r="E59" s="843"/>
      <c r="F59" s="844"/>
      <c r="G59" s="845"/>
      <c r="H59" s="846"/>
      <c r="I59" s="391"/>
      <c r="J59" s="847"/>
      <c r="K59" s="398"/>
      <c r="L59" s="84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</row>
    <row r="60" spans="1:29" s="357" customFormat="1" ht="33" hidden="1" customHeight="1">
      <c r="B60" s="821">
        <v>34</v>
      </c>
      <c r="C60" s="393"/>
      <c r="D60" s="393"/>
      <c r="E60" s="843"/>
      <c r="F60" s="844"/>
      <c r="G60" s="845"/>
      <c r="H60" s="846"/>
      <c r="I60" s="391"/>
      <c r="J60" s="847"/>
      <c r="K60" s="398"/>
      <c r="L60" s="849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</row>
    <row r="61" spans="1:29" s="357" customFormat="1" ht="33" hidden="1" customHeight="1">
      <c r="B61" s="821">
        <v>35</v>
      </c>
      <c r="C61" s="393"/>
      <c r="D61" s="393"/>
      <c r="E61" s="843"/>
      <c r="F61" s="844"/>
      <c r="G61" s="845"/>
      <c r="H61" s="846"/>
      <c r="I61" s="391"/>
      <c r="J61" s="847"/>
      <c r="K61" s="398"/>
      <c r="L61" s="849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</row>
    <row r="62" spans="1:29" s="357" customFormat="1" ht="33" hidden="1" customHeight="1">
      <c r="B62" s="821">
        <v>36</v>
      </c>
      <c r="C62" s="393"/>
      <c r="D62" s="393"/>
      <c r="E62" s="843"/>
      <c r="F62" s="844"/>
      <c r="G62" s="845"/>
      <c r="H62" s="846"/>
      <c r="I62" s="391"/>
      <c r="J62" s="847"/>
      <c r="K62" s="398"/>
      <c r="L62" s="849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</row>
    <row r="63" spans="1:29" s="357" customFormat="1" ht="33" hidden="1" customHeight="1">
      <c r="B63" s="821">
        <v>37</v>
      </c>
      <c r="C63" s="393"/>
      <c r="D63" s="393"/>
      <c r="E63" s="843"/>
      <c r="F63" s="844"/>
      <c r="G63" s="845"/>
      <c r="H63" s="846"/>
      <c r="I63" s="391"/>
      <c r="J63" s="847"/>
      <c r="K63" s="398"/>
      <c r="L63" s="849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</row>
    <row r="64" spans="1:29" s="357" customFormat="1" ht="33" hidden="1" customHeight="1">
      <c r="B64" s="821">
        <v>38</v>
      </c>
      <c r="C64" s="393"/>
      <c r="D64" s="393"/>
      <c r="E64" s="843"/>
      <c r="F64" s="844"/>
      <c r="G64" s="845"/>
      <c r="H64" s="846"/>
      <c r="I64" s="391"/>
      <c r="J64" s="847"/>
      <c r="K64" s="398"/>
      <c r="L64" s="849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</row>
    <row r="65" spans="2:29" s="357" customFormat="1" ht="33" hidden="1" customHeight="1">
      <c r="B65" s="821">
        <v>39</v>
      </c>
      <c r="C65" s="393"/>
      <c r="D65" s="393"/>
      <c r="E65" s="843"/>
      <c r="F65" s="844"/>
      <c r="G65" s="845"/>
      <c r="H65" s="846"/>
      <c r="I65" s="391"/>
      <c r="J65" s="847"/>
      <c r="K65" s="398"/>
      <c r="L65" s="849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</row>
    <row r="66" spans="2:29" s="357" customFormat="1" ht="33" hidden="1" customHeight="1">
      <c r="B66" s="821">
        <v>40</v>
      </c>
      <c r="C66" s="393"/>
      <c r="D66" s="393"/>
      <c r="E66" s="843"/>
      <c r="F66" s="844"/>
      <c r="G66" s="845"/>
      <c r="H66" s="846"/>
      <c r="I66" s="391"/>
      <c r="J66" s="847"/>
      <c r="K66" s="398"/>
      <c r="L66" s="849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</row>
    <row r="67" spans="2:29" s="357" customFormat="1" ht="33" hidden="1" customHeight="1">
      <c r="B67" s="821">
        <v>41</v>
      </c>
      <c r="C67" s="393"/>
      <c r="D67" s="393"/>
      <c r="E67" s="843"/>
      <c r="F67" s="844"/>
      <c r="G67" s="845"/>
      <c r="H67" s="846"/>
      <c r="I67" s="391"/>
      <c r="J67" s="847"/>
      <c r="K67" s="398"/>
      <c r="L67" s="849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</row>
    <row r="68" spans="2:29" s="357" customFormat="1" ht="33" hidden="1" customHeight="1">
      <c r="B68" s="821">
        <v>42</v>
      </c>
      <c r="C68" s="393"/>
      <c r="D68" s="393"/>
      <c r="E68" s="843"/>
      <c r="F68" s="844"/>
      <c r="G68" s="845"/>
      <c r="H68" s="846"/>
      <c r="I68" s="391"/>
      <c r="J68" s="847"/>
      <c r="K68" s="398"/>
      <c r="L68" s="849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</row>
    <row r="69" spans="2:29" s="357" customFormat="1" ht="33" hidden="1" customHeight="1">
      <c r="B69" s="821">
        <v>43</v>
      </c>
      <c r="C69" s="393"/>
      <c r="D69" s="393"/>
      <c r="E69" s="843"/>
      <c r="F69" s="844"/>
      <c r="G69" s="845"/>
      <c r="H69" s="846"/>
      <c r="I69" s="391"/>
      <c r="J69" s="847"/>
      <c r="K69" s="398"/>
      <c r="L69" s="84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</row>
    <row r="70" spans="2:29" s="357" customFormat="1" ht="33" hidden="1" customHeight="1">
      <c r="B70" s="821">
        <v>44</v>
      </c>
      <c r="C70" s="393"/>
      <c r="D70" s="393"/>
      <c r="E70" s="843"/>
      <c r="F70" s="844"/>
      <c r="G70" s="845"/>
      <c r="H70" s="846"/>
      <c r="I70" s="391"/>
      <c r="J70" s="847"/>
      <c r="K70" s="398"/>
      <c r="L70" s="849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</row>
    <row r="71" spans="2:29" s="357" customFormat="1" ht="33" hidden="1" customHeight="1">
      <c r="B71" s="821">
        <v>45</v>
      </c>
      <c r="C71" s="393"/>
      <c r="D71" s="393"/>
      <c r="E71" s="843"/>
      <c r="F71" s="844"/>
      <c r="G71" s="845"/>
      <c r="H71" s="846"/>
      <c r="I71" s="391"/>
      <c r="J71" s="847"/>
      <c r="K71" s="398"/>
      <c r="L71" s="849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</row>
    <row r="72" spans="2:29" s="357" customFormat="1" ht="33" hidden="1" customHeight="1">
      <c r="B72" s="821">
        <v>46</v>
      </c>
      <c r="C72" s="393"/>
      <c r="D72" s="393"/>
      <c r="E72" s="843"/>
      <c r="F72" s="844"/>
      <c r="G72" s="845"/>
      <c r="H72" s="846"/>
      <c r="I72" s="391"/>
      <c r="J72" s="847"/>
      <c r="K72" s="398"/>
      <c r="L72" s="849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</row>
    <row r="73" spans="2:29" s="357" customFormat="1" ht="33" hidden="1" customHeight="1">
      <c r="B73" s="821">
        <v>47</v>
      </c>
      <c r="C73" s="393"/>
      <c r="D73" s="393"/>
      <c r="E73" s="843"/>
      <c r="F73" s="844"/>
      <c r="G73" s="845"/>
      <c r="H73" s="846"/>
      <c r="I73" s="391"/>
      <c r="J73" s="847"/>
      <c r="K73" s="398"/>
      <c r="L73" s="849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</row>
    <row r="74" spans="2:29" s="357" customFormat="1" ht="33" hidden="1" customHeight="1">
      <c r="B74" s="821">
        <v>48</v>
      </c>
      <c r="C74" s="393"/>
      <c r="D74" s="393"/>
      <c r="E74" s="843"/>
      <c r="F74" s="844"/>
      <c r="G74" s="845"/>
      <c r="H74" s="846"/>
      <c r="I74" s="391"/>
      <c r="J74" s="847"/>
      <c r="K74" s="398"/>
      <c r="L74" s="849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</row>
    <row r="75" spans="2:29" s="357" customFormat="1" ht="33" hidden="1" customHeight="1">
      <c r="B75" s="821">
        <v>49</v>
      </c>
      <c r="C75" s="393"/>
      <c r="D75" s="393"/>
      <c r="E75" s="843"/>
      <c r="F75" s="844"/>
      <c r="G75" s="845"/>
      <c r="H75" s="846"/>
      <c r="I75" s="391"/>
      <c r="J75" s="847"/>
      <c r="K75" s="398"/>
      <c r="L75" s="849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</row>
    <row r="76" spans="2:29" s="357" customFormat="1" ht="33" hidden="1" customHeight="1">
      <c r="B76" s="821">
        <v>50</v>
      </c>
      <c r="C76" s="393"/>
      <c r="D76" s="393"/>
      <c r="E76" s="843"/>
      <c r="F76" s="844"/>
      <c r="G76" s="845"/>
      <c r="H76" s="846"/>
      <c r="I76" s="391"/>
      <c r="J76" s="847"/>
      <c r="K76" s="398"/>
      <c r="L76" s="849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</row>
    <row r="77" spans="2:29" s="357" customFormat="1" ht="33" hidden="1" customHeight="1">
      <c r="B77" s="821">
        <v>51</v>
      </c>
      <c r="C77" s="393"/>
      <c r="D77" s="393"/>
      <c r="E77" s="843"/>
      <c r="F77" s="844"/>
      <c r="G77" s="845"/>
      <c r="H77" s="846"/>
      <c r="I77" s="391"/>
      <c r="J77" s="847"/>
      <c r="K77" s="398"/>
      <c r="L77" s="849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</row>
    <row r="78" spans="2:29" s="357" customFormat="1" ht="33" hidden="1" customHeight="1">
      <c r="B78" s="821">
        <v>52</v>
      </c>
      <c r="C78" s="393"/>
      <c r="D78" s="393"/>
      <c r="E78" s="843"/>
      <c r="F78" s="844"/>
      <c r="G78" s="845"/>
      <c r="H78" s="846"/>
      <c r="I78" s="391"/>
      <c r="J78" s="847"/>
      <c r="K78" s="398"/>
      <c r="L78" s="849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</row>
    <row r="79" spans="2:29" s="357" customFormat="1" ht="33" hidden="1" customHeight="1">
      <c r="B79" s="821">
        <v>53</v>
      </c>
      <c r="C79" s="393"/>
      <c r="D79" s="393"/>
      <c r="E79" s="843"/>
      <c r="F79" s="844"/>
      <c r="G79" s="845"/>
      <c r="H79" s="846"/>
      <c r="I79" s="391"/>
      <c r="J79" s="847"/>
      <c r="K79" s="398"/>
      <c r="L79" s="84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</row>
    <row r="80" spans="2:29" s="357" customFormat="1" ht="33" hidden="1" customHeight="1">
      <c r="B80" s="821">
        <v>54</v>
      </c>
      <c r="C80" s="393"/>
      <c r="D80" s="393"/>
      <c r="E80" s="843"/>
      <c r="F80" s="844"/>
      <c r="G80" s="845"/>
      <c r="H80" s="846"/>
      <c r="I80" s="391"/>
      <c r="J80" s="847"/>
      <c r="K80" s="398"/>
      <c r="L80" s="849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</row>
    <row r="81" spans="2:29" s="357" customFormat="1" ht="33" hidden="1" customHeight="1">
      <c r="B81" s="821">
        <v>55</v>
      </c>
      <c r="C81" s="393"/>
      <c r="D81" s="393"/>
      <c r="E81" s="843"/>
      <c r="F81" s="844"/>
      <c r="G81" s="845"/>
      <c r="H81" s="846"/>
      <c r="I81" s="391"/>
      <c r="J81" s="847"/>
      <c r="K81" s="398"/>
      <c r="L81" s="849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</row>
    <row r="82" spans="2:29" s="357" customFormat="1" ht="33" hidden="1" customHeight="1">
      <c r="B82" s="821">
        <v>56</v>
      </c>
      <c r="C82" s="393"/>
      <c r="D82" s="393"/>
      <c r="E82" s="843"/>
      <c r="F82" s="844"/>
      <c r="G82" s="845"/>
      <c r="H82" s="846"/>
      <c r="I82" s="391"/>
      <c r="J82" s="847"/>
      <c r="K82" s="398"/>
      <c r="L82" s="849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</row>
    <row r="83" spans="2:29" s="357" customFormat="1" ht="33" hidden="1" customHeight="1">
      <c r="B83" s="821">
        <v>57</v>
      </c>
      <c r="C83" s="393"/>
      <c r="D83" s="393"/>
      <c r="E83" s="843"/>
      <c r="F83" s="844"/>
      <c r="G83" s="845"/>
      <c r="H83" s="846"/>
      <c r="I83" s="391"/>
      <c r="J83" s="847"/>
      <c r="K83" s="398"/>
      <c r="L83" s="849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</row>
    <row r="84" spans="2:29" s="357" customFormat="1" ht="33" hidden="1" customHeight="1">
      <c r="B84" s="821">
        <v>58</v>
      </c>
      <c r="C84" s="393"/>
      <c r="D84" s="393"/>
      <c r="E84" s="843"/>
      <c r="F84" s="844"/>
      <c r="G84" s="845"/>
      <c r="H84" s="846"/>
      <c r="I84" s="391"/>
      <c r="J84" s="847"/>
      <c r="K84" s="398"/>
      <c r="L84" s="849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</row>
    <row r="85" spans="2:29" s="357" customFormat="1" ht="33" hidden="1" customHeight="1">
      <c r="B85" s="821">
        <v>59</v>
      </c>
      <c r="C85" s="393"/>
      <c r="D85" s="393"/>
      <c r="E85" s="843"/>
      <c r="F85" s="844"/>
      <c r="G85" s="845"/>
      <c r="H85" s="846"/>
      <c r="I85" s="391"/>
      <c r="J85" s="847"/>
      <c r="K85" s="398"/>
      <c r="L85" s="849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</row>
    <row r="86" spans="2:29" s="357" customFormat="1" ht="33" hidden="1" customHeight="1">
      <c r="B86" s="821">
        <v>60</v>
      </c>
      <c r="C86" s="393"/>
      <c r="D86" s="393"/>
      <c r="E86" s="843"/>
      <c r="F86" s="844"/>
      <c r="G86" s="845"/>
      <c r="H86" s="846"/>
      <c r="I86" s="391"/>
      <c r="J86" s="847"/>
      <c r="K86" s="398"/>
      <c r="L86" s="849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</row>
    <row r="87" spans="2:29" s="357" customFormat="1" ht="33" hidden="1" customHeight="1">
      <c r="B87" s="821">
        <v>61</v>
      </c>
      <c r="C87" s="393"/>
      <c r="D87" s="393"/>
      <c r="E87" s="843"/>
      <c r="F87" s="844"/>
      <c r="G87" s="845"/>
      <c r="H87" s="846"/>
      <c r="I87" s="391"/>
      <c r="J87" s="847"/>
      <c r="K87" s="398"/>
      <c r="L87" s="849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</row>
    <row r="88" spans="2:29" s="357" customFormat="1" ht="33" hidden="1" customHeight="1">
      <c r="B88" s="821">
        <v>62</v>
      </c>
      <c r="C88" s="393"/>
      <c r="D88" s="393"/>
      <c r="E88" s="843"/>
      <c r="F88" s="844"/>
      <c r="G88" s="845"/>
      <c r="H88" s="846"/>
      <c r="I88" s="391"/>
      <c r="J88" s="847"/>
      <c r="K88" s="398"/>
      <c r="L88" s="849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</row>
    <row r="89" spans="2:29" s="357" customFormat="1" ht="33" hidden="1" customHeight="1">
      <c r="B89" s="821">
        <v>63</v>
      </c>
      <c r="C89" s="393"/>
      <c r="D89" s="393"/>
      <c r="E89" s="843"/>
      <c r="F89" s="844"/>
      <c r="G89" s="845"/>
      <c r="H89" s="846"/>
      <c r="I89" s="391"/>
      <c r="J89" s="847"/>
      <c r="K89" s="398"/>
      <c r="L89" s="84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</row>
    <row r="90" spans="2:29" s="357" customFormat="1" ht="33" hidden="1" customHeight="1">
      <c r="B90" s="821">
        <v>64</v>
      </c>
      <c r="C90" s="393"/>
      <c r="D90" s="393"/>
      <c r="E90" s="843"/>
      <c r="F90" s="844"/>
      <c r="G90" s="845"/>
      <c r="H90" s="846"/>
      <c r="I90" s="391"/>
      <c r="J90" s="847"/>
      <c r="K90" s="398"/>
      <c r="L90" s="849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</row>
    <row r="91" spans="2:29" s="357" customFormat="1" ht="33" hidden="1" customHeight="1">
      <c r="B91" s="821">
        <v>65</v>
      </c>
      <c r="C91" s="393"/>
      <c r="D91" s="393"/>
      <c r="E91" s="843"/>
      <c r="F91" s="844"/>
      <c r="G91" s="845"/>
      <c r="H91" s="846"/>
      <c r="I91" s="391"/>
      <c r="J91" s="847"/>
      <c r="K91" s="398"/>
      <c r="L91" s="849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</row>
    <row r="92" spans="2:29" s="357" customFormat="1" ht="33" hidden="1" customHeight="1">
      <c r="B92" s="821">
        <v>66</v>
      </c>
      <c r="C92" s="393"/>
      <c r="D92" s="393"/>
      <c r="E92" s="843"/>
      <c r="F92" s="844"/>
      <c r="G92" s="845"/>
      <c r="H92" s="846"/>
      <c r="I92" s="391"/>
      <c r="J92" s="847"/>
      <c r="K92" s="398"/>
      <c r="L92" s="849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</row>
    <row r="93" spans="2:29" s="357" customFormat="1" ht="33" hidden="1" customHeight="1">
      <c r="B93" s="821">
        <v>67</v>
      </c>
      <c r="C93" s="393"/>
      <c r="D93" s="393"/>
      <c r="E93" s="843"/>
      <c r="F93" s="844"/>
      <c r="G93" s="845"/>
      <c r="H93" s="846"/>
      <c r="I93" s="391"/>
      <c r="J93" s="847"/>
      <c r="K93" s="398"/>
      <c r="L93" s="849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</row>
    <row r="94" spans="2:29" s="357" customFormat="1" ht="33" hidden="1" customHeight="1">
      <c r="B94" s="821">
        <v>68</v>
      </c>
      <c r="C94" s="393"/>
      <c r="D94" s="393"/>
      <c r="E94" s="843"/>
      <c r="F94" s="844"/>
      <c r="G94" s="845"/>
      <c r="H94" s="846"/>
      <c r="I94" s="391"/>
      <c r="J94" s="847"/>
      <c r="K94" s="398"/>
      <c r="L94" s="849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</row>
    <row r="95" spans="2:29" s="357" customFormat="1" ht="33" hidden="1" customHeight="1">
      <c r="B95" s="821">
        <v>69</v>
      </c>
      <c r="C95" s="393"/>
      <c r="D95" s="393"/>
      <c r="E95" s="843"/>
      <c r="F95" s="844"/>
      <c r="G95" s="845"/>
      <c r="H95" s="846"/>
      <c r="I95" s="391"/>
      <c r="J95" s="847"/>
      <c r="K95" s="398"/>
      <c r="L95" s="849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</row>
    <row r="96" spans="2:29" s="357" customFormat="1" ht="33" hidden="1" customHeight="1">
      <c r="B96" s="821">
        <v>70</v>
      </c>
      <c r="C96" s="393"/>
      <c r="D96" s="393"/>
      <c r="E96" s="843"/>
      <c r="F96" s="844"/>
      <c r="G96" s="845"/>
      <c r="H96" s="846"/>
      <c r="I96" s="391"/>
      <c r="J96" s="847"/>
      <c r="K96" s="398"/>
      <c r="L96" s="849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</row>
    <row r="97" spans="2:29" s="357" customFormat="1" ht="33" hidden="1" customHeight="1">
      <c r="B97" s="821">
        <v>71</v>
      </c>
      <c r="C97" s="393"/>
      <c r="D97" s="393"/>
      <c r="E97" s="843"/>
      <c r="F97" s="844"/>
      <c r="G97" s="845"/>
      <c r="H97" s="846"/>
      <c r="I97" s="391"/>
      <c r="J97" s="847"/>
      <c r="K97" s="398"/>
      <c r="L97" s="849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</row>
    <row r="98" spans="2:29" s="357" customFormat="1" ht="33" hidden="1" customHeight="1">
      <c r="B98" s="821">
        <v>72</v>
      </c>
      <c r="C98" s="393"/>
      <c r="D98" s="393"/>
      <c r="E98" s="843"/>
      <c r="F98" s="844"/>
      <c r="G98" s="845"/>
      <c r="H98" s="846"/>
      <c r="I98" s="391"/>
      <c r="J98" s="847"/>
      <c r="K98" s="398"/>
      <c r="L98" s="849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</row>
    <row r="99" spans="2:29" s="357" customFormat="1" ht="33" hidden="1" customHeight="1">
      <c r="B99" s="821">
        <v>73</v>
      </c>
      <c r="C99" s="393"/>
      <c r="D99" s="393"/>
      <c r="E99" s="843"/>
      <c r="F99" s="844"/>
      <c r="G99" s="845"/>
      <c r="H99" s="846"/>
      <c r="I99" s="391"/>
      <c r="J99" s="847"/>
      <c r="K99" s="398"/>
      <c r="L99" s="84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</row>
    <row r="100" spans="2:29" s="357" customFormat="1" ht="33" hidden="1" customHeight="1">
      <c r="B100" s="821">
        <v>74</v>
      </c>
      <c r="C100" s="393"/>
      <c r="D100" s="393"/>
      <c r="E100" s="843"/>
      <c r="F100" s="844"/>
      <c r="G100" s="845"/>
      <c r="H100" s="846"/>
      <c r="I100" s="391"/>
      <c r="J100" s="847"/>
      <c r="K100" s="398"/>
      <c r="L100" s="849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</row>
    <row r="101" spans="2:29" s="357" customFormat="1" ht="33" hidden="1" customHeight="1">
      <c r="B101" s="821">
        <v>75</v>
      </c>
      <c r="C101" s="393"/>
      <c r="D101" s="393"/>
      <c r="E101" s="843"/>
      <c r="F101" s="844"/>
      <c r="G101" s="845"/>
      <c r="H101" s="846"/>
      <c r="I101" s="391"/>
      <c r="J101" s="847"/>
      <c r="K101" s="398"/>
      <c r="L101" s="849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</row>
    <row r="102" spans="2:29" s="357" customFormat="1" ht="33" hidden="1" customHeight="1">
      <c r="B102" s="821">
        <v>76</v>
      </c>
      <c r="C102" s="393"/>
      <c r="D102" s="393"/>
      <c r="E102" s="843"/>
      <c r="F102" s="844"/>
      <c r="G102" s="845"/>
      <c r="H102" s="846"/>
      <c r="I102" s="391"/>
      <c r="J102" s="847"/>
      <c r="K102" s="398"/>
      <c r="L102" s="849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</row>
    <row r="103" spans="2:29" s="357" customFormat="1" ht="33" hidden="1" customHeight="1">
      <c r="B103" s="821">
        <v>77</v>
      </c>
      <c r="C103" s="393"/>
      <c r="D103" s="393"/>
      <c r="E103" s="843"/>
      <c r="F103" s="844"/>
      <c r="G103" s="845"/>
      <c r="H103" s="846"/>
      <c r="I103" s="391"/>
      <c r="J103" s="847"/>
      <c r="K103" s="398"/>
      <c r="L103" s="849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</row>
    <row r="104" spans="2:29" s="357" customFormat="1" ht="33" hidden="1" customHeight="1">
      <c r="B104" s="821">
        <v>78</v>
      </c>
      <c r="C104" s="393"/>
      <c r="D104" s="393"/>
      <c r="E104" s="843"/>
      <c r="F104" s="844"/>
      <c r="G104" s="845"/>
      <c r="H104" s="846"/>
      <c r="I104" s="391"/>
      <c r="J104" s="847"/>
      <c r="K104" s="398"/>
      <c r="L104" s="849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</row>
    <row r="105" spans="2:29" s="357" customFormat="1" ht="33" hidden="1" customHeight="1">
      <c r="B105" s="821">
        <v>79</v>
      </c>
      <c r="C105" s="393"/>
      <c r="D105" s="393"/>
      <c r="E105" s="843"/>
      <c r="F105" s="844"/>
      <c r="G105" s="845"/>
      <c r="H105" s="846"/>
      <c r="I105" s="391"/>
      <c r="J105" s="847"/>
      <c r="K105" s="398"/>
      <c r="L105" s="849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</row>
    <row r="106" spans="2:29" s="357" customFormat="1" ht="33" hidden="1" customHeight="1">
      <c r="B106" s="821">
        <v>80</v>
      </c>
      <c r="C106" s="393"/>
      <c r="D106" s="393"/>
      <c r="E106" s="843"/>
      <c r="F106" s="844"/>
      <c r="G106" s="845"/>
      <c r="H106" s="846"/>
      <c r="I106" s="391"/>
      <c r="J106" s="847"/>
      <c r="K106" s="398"/>
      <c r="L106" s="849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</row>
    <row r="107" spans="2:29" s="357" customFormat="1" ht="33" hidden="1" customHeight="1">
      <c r="B107" s="821">
        <v>81</v>
      </c>
      <c r="C107" s="393"/>
      <c r="D107" s="393"/>
      <c r="E107" s="843"/>
      <c r="F107" s="844"/>
      <c r="G107" s="845"/>
      <c r="H107" s="846"/>
      <c r="I107" s="391"/>
      <c r="J107" s="847"/>
      <c r="K107" s="398"/>
      <c r="L107" s="849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</row>
    <row r="108" spans="2:29" s="357" customFormat="1" ht="33" hidden="1" customHeight="1">
      <c r="B108" s="821">
        <v>82</v>
      </c>
      <c r="C108" s="393"/>
      <c r="D108" s="393"/>
      <c r="E108" s="843"/>
      <c r="F108" s="844"/>
      <c r="G108" s="845"/>
      <c r="H108" s="846"/>
      <c r="I108" s="391"/>
      <c r="J108" s="847"/>
      <c r="K108" s="398"/>
      <c r="L108" s="849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</row>
    <row r="109" spans="2:29" s="357" customFormat="1" ht="33" hidden="1" customHeight="1">
      <c r="B109" s="821">
        <v>83</v>
      </c>
      <c r="C109" s="393"/>
      <c r="D109" s="393"/>
      <c r="E109" s="843"/>
      <c r="F109" s="844"/>
      <c r="G109" s="845"/>
      <c r="H109" s="846"/>
      <c r="I109" s="391"/>
      <c r="J109" s="847"/>
      <c r="K109" s="398"/>
      <c r="L109" s="84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</row>
    <row r="110" spans="2:29" s="357" customFormat="1" ht="33" hidden="1" customHeight="1">
      <c r="B110" s="821">
        <v>84</v>
      </c>
      <c r="C110" s="393"/>
      <c r="D110" s="393"/>
      <c r="E110" s="843"/>
      <c r="F110" s="844"/>
      <c r="G110" s="845"/>
      <c r="H110" s="846"/>
      <c r="I110" s="391"/>
      <c r="J110" s="847"/>
      <c r="K110" s="398"/>
      <c r="L110" s="849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</row>
    <row r="111" spans="2:29" s="357" customFormat="1" ht="33" hidden="1" customHeight="1">
      <c r="B111" s="821">
        <v>85</v>
      </c>
      <c r="C111" s="393"/>
      <c r="D111" s="393"/>
      <c r="E111" s="843"/>
      <c r="F111" s="844"/>
      <c r="G111" s="845"/>
      <c r="H111" s="846"/>
      <c r="I111" s="391"/>
      <c r="J111" s="847"/>
      <c r="K111" s="398"/>
      <c r="L111" s="849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</row>
    <row r="112" spans="2:29" s="357" customFormat="1" ht="33" hidden="1" customHeight="1">
      <c r="B112" s="821">
        <v>86</v>
      </c>
      <c r="C112" s="393"/>
      <c r="D112" s="393"/>
      <c r="E112" s="843"/>
      <c r="F112" s="844"/>
      <c r="G112" s="845"/>
      <c r="H112" s="846"/>
      <c r="I112" s="391"/>
      <c r="J112" s="847"/>
      <c r="K112" s="398"/>
      <c r="L112" s="849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</row>
    <row r="113" spans="2:29" s="357" customFormat="1" ht="33" hidden="1" customHeight="1">
      <c r="B113" s="821">
        <v>87</v>
      </c>
      <c r="C113" s="393"/>
      <c r="D113" s="393"/>
      <c r="E113" s="843"/>
      <c r="F113" s="844"/>
      <c r="G113" s="845"/>
      <c r="H113" s="846"/>
      <c r="I113" s="391"/>
      <c r="J113" s="847"/>
      <c r="K113" s="398"/>
      <c r="L113" s="849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</row>
    <row r="114" spans="2:29" s="357" customFormat="1" ht="33" hidden="1" customHeight="1">
      <c r="B114" s="821">
        <v>88</v>
      </c>
      <c r="C114" s="393"/>
      <c r="D114" s="393"/>
      <c r="E114" s="843"/>
      <c r="F114" s="844"/>
      <c r="G114" s="845"/>
      <c r="H114" s="846"/>
      <c r="I114" s="391"/>
      <c r="J114" s="847"/>
      <c r="K114" s="398"/>
      <c r="L114" s="849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</row>
    <row r="115" spans="2:29" s="357" customFormat="1" ht="33" hidden="1" customHeight="1">
      <c r="B115" s="821">
        <v>89</v>
      </c>
      <c r="C115" s="393"/>
      <c r="D115" s="393"/>
      <c r="E115" s="843"/>
      <c r="F115" s="844"/>
      <c r="G115" s="845"/>
      <c r="H115" s="846"/>
      <c r="I115" s="391"/>
      <c r="J115" s="847"/>
      <c r="K115" s="398"/>
      <c r="L115" s="849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</row>
    <row r="116" spans="2:29" s="357" customFormat="1" ht="33" hidden="1" customHeight="1">
      <c r="B116" s="821">
        <v>90</v>
      </c>
      <c r="C116" s="393"/>
      <c r="D116" s="393"/>
      <c r="E116" s="843"/>
      <c r="F116" s="844"/>
      <c r="G116" s="845"/>
      <c r="H116" s="846"/>
      <c r="I116" s="391"/>
      <c r="J116" s="847"/>
      <c r="K116" s="398"/>
      <c r="L116" s="849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</row>
    <row r="117" spans="2:29" s="357" customFormat="1" ht="33" hidden="1" customHeight="1">
      <c r="B117" s="821">
        <v>91</v>
      </c>
      <c r="C117" s="393"/>
      <c r="D117" s="393"/>
      <c r="E117" s="843"/>
      <c r="F117" s="844"/>
      <c r="G117" s="845"/>
      <c r="H117" s="846"/>
      <c r="I117" s="391"/>
      <c r="J117" s="847"/>
      <c r="K117" s="398"/>
      <c r="L117" s="849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</row>
    <row r="118" spans="2:29" s="357" customFormat="1" ht="33" hidden="1" customHeight="1">
      <c r="B118" s="821">
        <v>92</v>
      </c>
      <c r="C118" s="393"/>
      <c r="D118" s="393"/>
      <c r="E118" s="843"/>
      <c r="F118" s="844"/>
      <c r="G118" s="845"/>
      <c r="H118" s="846"/>
      <c r="I118" s="391"/>
      <c r="J118" s="847"/>
      <c r="K118" s="398"/>
      <c r="L118" s="849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</row>
    <row r="119" spans="2:29" s="357" customFormat="1" ht="33" hidden="1" customHeight="1">
      <c r="B119" s="821">
        <v>93</v>
      </c>
      <c r="C119" s="393"/>
      <c r="D119" s="393"/>
      <c r="E119" s="843"/>
      <c r="F119" s="844"/>
      <c r="G119" s="845"/>
      <c r="H119" s="846"/>
      <c r="I119" s="391"/>
      <c r="J119" s="847"/>
      <c r="K119" s="398"/>
      <c r="L119" s="84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</row>
    <row r="120" spans="2:29" s="357" customFormat="1" ht="33" hidden="1" customHeight="1">
      <c r="B120" s="821">
        <v>94</v>
      </c>
      <c r="C120" s="393"/>
      <c r="D120" s="393"/>
      <c r="E120" s="843"/>
      <c r="F120" s="844"/>
      <c r="G120" s="845"/>
      <c r="H120" s="846"/>
      <c r="I120" s="391"/>
      <c r="J120" s="847"/>
      <c r="K120" s="398"/>
      <c r="L120" s="849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</row>
    <row r="121" spans="2:29" s="357" customFormat="1" ht="33" hidden="1" customHeight="1">
      <c r="B121" s="821">
        <v>95</v>
      </c>
      <c r="C121" s="393"/>
      <c r="D121" s="393"/>
      <c r="E121" s="843"/>
      <c r="F121" s="844"/>
      <c r="G121" s="845"/>
      <c r="H121" s="846"/>
      <c r="I121" s="391"/>
      <c r="J121" s="847"/>
      <c r="K121" s="398"/>
      <c r="L121" s="849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</row>
    <row r="122" spans="2:29" s="357" customFormat="1" ht="33" hidden="1" customHeight="1">
      <c r="B122" s="821">
        <v>96</v>
      </c>
      <c r="C122" s="393"/>
      <c r="D122" s="393"/>
      <c r="E122" s="843"/>
      <c r="F122" s="844"/>
      <c r="G122" s="845"/>
      <c r="H122" s="846"/>
      <c r="I122" s="391"/>
      <c r="J122" s="847"/>
      <c r="K122" s="398"/>
      <c r="L122" s="849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</row>
    <row r="123" spans="2:29" s="357" customFormat="1" ht="33" hidden="1" customHeight="1">
      <c r="B123" s="821">
        <v>97</v>
      </c>
      <c r="C123" s="393"/>
      <c r="D123" s="393"/>
      <c r="E123" s="843"/>
      <c r="F123" s="844"/>
      <c r="G123" s="845"/>
      <c r="H123" s="846"/>
      <c r="I123" s="391"/>
      <c r="J123" s="847"/>
      <c r="K123" s="398"/>
      <c r="L123" s="849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</row>
    <row r="124" spans="2:29" s="357" customFormat="1" ht="33" hidden="1" customHeight="1">
      <c r="B124" s="821">
        <v>98</v>
      </c>
      <c r="C124" s="393"/>
      <c r="D124" s="393"/>
      <c r="E124" s="843"/>
      <c r="F124" s="844"/>
      <c r="G124" s="845"/>
      <c r="H124" s="846"/>
      <c r="I124" s="391"/>
      <c r="J124" s="847"/>
      <c r="K124" s="398"/>
      <c r="L124" s="849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</row>
    <row r="125" spans="2:29" s="357" customFormat="1" ht="33" hidden="1" customHeight="1">
      <c r="B125" s="821">
        <v>99</v>
      </c>
      <c r="C125" s="393"/>
      <c r="D125" s="393"/>
      <c r="E125" s="843"/>
      <c r="F125" s="844"/>
      <c r="G125" s="845"/>
      <c r="H125" s="846"/>
      <c r="I125" s="391"/>
      <c r="J125" s="847"/>
      <c r="K125" s="398"/>
      <c r="L125" s="849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</row>
    <row r="126" spans="2:29" s="357" customFormat="1" ht="33" hidden="1" customHeight="1">
      <c r="B126" s="821">
        <v>100</v>
      </c>
      <c r="C126" s="393"/>
      <c r="D126" s="393"/>
      <c r="E126" s="843"/>
      <c r="F126" s="844"/>
      <c r="G126" s="845"/>
      <c r="H126" s="846"/>
      <c r="I126" s="391"/>
      <c r="J126" s="847"/>
      <c r="K126" s="398"/>
      <c r="L126" s="849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</row>
    <row r="127" spans="2:29" s="357" customFormat="1" ht="33" hidden="1" customHeight="1">
      <c r="B127" s="821">
        <v>101</v>
      </c>
      <c r="C127" s="393"/>
      <c r="D127" s="393"/>
      <c r="E127" s="843"/>
      <c r="F127" s="844"/>
      <c r="G127" s="845"/>
      <c r="H127" s="846"/>
      <c r="I127" s="391"/>
      <c r="J127" s="847"/>
      <c r="K127" s="398"/>
      <c r="L127" s="849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</row>
    <row r="128" spans="2:29" s="357" customFormat="1" ht="33" hidden="1" customHeight="1">
      <c r="B128" s="821">
        <v>102</v>
      </c>
      <c r="C128" s="393"/>
      <c r="D128" s="393"/>
      <c r="E128" s="843"/>
      <c r="F128" s="844"/>
      <c r="G128" s="845"/>
      <c r="H128" s="846"/>
      <c r="I128" s="391"/>
      <c r="J128" s="847"/>
      <c r="K128" s="398"/>
      <c r="L128" s="849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</row>
    <row r="129" spans="2:29" s="357" customFormat="1" ht="33" hidden="1" customHeight="1">
      <c r="B129" s="821">
        <v>103</v>
      </c>
      <c r="C129" s="393"/>
      <c r="D129" s="393"/>
      <c r="E129" s="843"/>
      <c r="F129" s="844"/>
      <c r="G129" s="845"/>
      <c r="H129" s="846"/>
      <c r="I129" s="391"/>
      <c r="J129" s="847"/>
      <c r="K129" s="398"/>
      <c r="L129" s="84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</row>
    <row r="130" spans="2:29" s="357" customFormat="1" ht="33" hidden="1" customHeight="1">
      <c r="B130" s="821">
        <v>104</v>
      </c>
      <c r="C130" s="393"/>
      <c r="D130" s="393"/>
      <c r="E130" s="843"/>
      <c r="F130" s="844"/>
      <c r="G130" s="845"/>
      <c r="H130" s="846"/>
      <c r="I130" s="391"/>
      <c r="J130" s="847"/>
      <c r="K130" s="398"/>
      <c r="L130" s="849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</row>
    <row r="131" spans="2:29" s="357" customFormat="1" ht="33" hidden="1" customHeight="1">
      <c r="B131" s="821">
        <v>105</v>
      </c>
      <c r="C131" s="393"/>
      <c r="D131" s="393"/>
      <c r="E131" s="843"/>
      <c r="F131" s="844"/>
      <c r="G131" s="845"/>
      <c r="H131" s="846"/>
      <c r="I131" s="391"/>
      <c r="J131" s="847"/>
      <c r="K131" s="398"/>
      <c r="L131" s="849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</row>
    <row r="132" spans="2:29" s="357" customFormat="1" ht="33" hidden="1" customHeight="1">
      <c r="B132" s="821">
        <v>106</v>
      </c>
      <c r="C132" s="393"/>
      <c r="D132" s="393"/>
      <c r="E132" s="843"/>
      <c r="F132" s="844"/>
      <c r="G132" s="845"/>
      <c r="H132" s="846"/>
      <c r="I132" s="391"/>
      <c r="J132" s="847"/>
      <c r="K132" s="398"/>
      <c r="L132" s="849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</row>
    <row r="133" spans="2:29" s="357" customFormat="1" ht="33" hidden="1" customHeight="1">
      <c r="B133" s="821">
        <v>107</v>
      </c>
      <c r="C133" s="393"/>
      <c r="D133" s="393"/>
      <c r="E133" s="843"/>
      <c r="F133" s="844"/>
      <c r="G133" s="845"/>
      <c r="H133" s="846"/>
      <c r="I133" s="391"/>
      <c r="J133" s="847"/>
      <c r="K133" s="398"/>
      <c r="L133" s="849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</row>
    <row r="134" spans="2:29" s="357" customFormat="1" ht="33" hidden="1" customHeight="1">
      <c r="B134" s="821">
        <v>108</v>
      </c>
      <c r="C134" s="393"/>
      <c r="D134" s="393"/>
      <c r="E134" s="843"/>
      <c r="F134" s="844"/>
      <c r="G134" s="845"/>
      <c r="H134" s="846"/>
      <c r="I134" s="391"/>
      <c r="J134" s="847"/>
      <c r="K134" s="398"/>
      <c r="L134" s="849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</row>
    <row r="135" spans="2:29" s="357" customFormat="1" ht="33" hidden="1" customHeight="1">
      <c r="B135" s="821">
        <v>109</v>
      </c>
      <c r="C135" s="393"/>
      <c r="D135" s="393"/>
      <c r="E135" s="843"/>
      <c r="F135" s="844"/>
      <c r="G135" s="845"/>
      <c r="H135" s="846"/>
      <c r="I135" s="391"/>
      <c r="J135" s="847"/>
      <c r="K135" s="398"/>
      <c r="L135" s="849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</row>
    <row r="136" spans="2:29" s="357" customFormat="1" ht="33" hidden="1" customHeight="1">
      <c r="B136" s="821">
        <v>110</v>
      </c>
      <c r="C136" s="393"/>
      <c r="D136" s="393"/>
      <c r="E136" s="843"/>
      <c r="F136" s="844"/>
      <c r="G136" s="845"/>
      <c r="H136" s="846"/>
      <c r="I136" s="391"/>
      <c r="J136" s="847"/>
      <c r="K136" s="398"/>
      <c r="L136" s="849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</row>
    <row r="137" spans="2:29" s="357" customFormat="1" ht="33" hidden="1" customHeight="1">
      <c r="B137" s="821">
        <v>111</v>
      </c>
      <c r="C137" s="393"/>
      <c r="D137" s="393"/>
      <c r="E137" s="843"/>
      <c r="F137" s="844"/>
      <c r="G137" s="845"/>
      <c r="H137" s="846"/>
      <c r="I137" s="391"/>
      <c r="J137" s="847"/>
      <c r="K137" s="398"/>
      <c r="L137" s="849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</row>
    <row r="138" spans="2:29" s="357" customFormat="1" ht="33" hidden="1" customHeight="1">
      <c r="B138" s="821">
        <v>112</v>
      </c>
      <c r="C138" s="393"/>
      <c r="D138" s="393"/>
      <c r="E138" s="843"/>
      <c r="F138" s="844"/>
      <c r="G138" s="845"/>
      <c r="H138" s="846"/>
      <c r="I138" s="391"/>
      <c r="J138" s="847"/>
      <c r="K138" s="398"/>
      <c r="L138" s="849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</row>
    <row r="139" spans="2:29" s="357" customFormat="1" ht="33" hidden="1" customHeight="1">
      <c r="B139" s="821">
        <v>113</v>
      </c>
      <c r="C139" s="393"/>
      <c r="D139" s="393"/>
      <c r="E139" s="843"/>
      <c r="F139" s="844"/>
      <c r="G139" s="845"/>
      <c r="H139" s="846"/>
      <c r="I139" s="391"/>
      <c r="J139" s="847"/>
      <c r="K139" s="398"/>
      <c r="L139" s="84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</row>
    <row r="140" spans="2:29" s="357" customFormat="1" ht="33" hidden="1" customHeight="1">
      <c r="B140" s="821">
        <v>114</v>
      </c>
      <c r="C140" s="393"/>
      <c r="D140" s="393"/>
      <c r="E140" s="843"/>
      <c r="F140" s="844"/>
      <c r="G140" s="845"/>
      <c r="H140" s="846"/>
      <c r="I140" s="391"/>
      <c r="J140" s="847"/>
      <c r="K140" s="398"/>
      <c r="L140" s="849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</row>
    <row r="141" spans="2:29" s="357" customFormat="1" ht="33" hidden="1" customHeight="1">
      <c r="B141" s="821">
        <v>115</v>
      </c>
      <c r="C141" s="393"/>
      <c r="D141" s="393"/>
      <c r="E141" s="843"/>
      <c r="F141" s="844"/>
      <c r="G141" s="845"/>
      <c r="H141" s="846"/>
      <c r="I141" s="391"/>
      <c r="J141" s="847"/>
      <c r="K141" s="398"/>
      <c r="L141" s="849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</row>
    <row r="142" spans="2:29" s="357" customFormat="1" ht="33" hidden="1" customHeight="1">
      <c r="B142" s="821">
        <v>116</v>
      </c>
      <c r="C142" s="393"/>
      <c r="D142" s="393"/>
      <c r="E142" s="843"/>
      <c r="F142" s="844"/>
      <c r="G142" s="845"/>
      <c r="H142" s="846"/>
      <c r="I142" s="391"/>
      <c r="J142" s="847"/>
      <c r="K142" s="398"/>
      <c r="L142" s="849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</row>
    <row r="143" spans="2:29" s="357" customFormat="1" ht="33" hidden="1" customHeight="1">
      <c r="B143" s="821">
        <v>117</v>
      </c>
      <c r="C143" s="393"/>
      <c r="D143" s="393"/>
      <c r="E143" s="843"/>
      <c r="F143" s="844"/>
      <c r="G143" s="845"/>
      <c r="H143" s="846"/>
      <c r="I143" s="391"/>
      <c r="J143" s="847"/>
      <c r="K143" s="398"/>
      <c r="L143" s="849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</row>
    <row r="144" spans="2:29" ht="33.950000000000003" customHeight="1">
      <c r="C144" s="196" t="s">
        <v>1891</v>
      </c>
      <c r="D144" s="196"/>
      <c r="E144" s="340"/>
      <c r="F144" s="420"/>
      <c r="G144" s="852">
        <v>4036</v>
      </c>
      <c r="H144" s="840"/>
      <c r="I144" s="840"/>
      <c r="J144" s="840"/>
      <c r="K144" s="841" t="s">
        <v>3329</v>
      </c>
      <c r="L144" s="850">
        <v>933.7</v>
      </c>
      <c r="O144" s="417"/>
      <c r="P144" s="837"/>
    </row>
    <row r="145" spans="2:29" ht="33.950000000000003" customHeight="1">
      <c r="C145" s="422"/>
      <c r="D145" s="422"/>
      <c r="E145" s="187"/>
      <c r="F145" s="359"/>
      <c r="G145" s="416"/>
      <c r="H145" s="840"/>
      <c r="I145" s="840"/>
      <c r="J145" s="840"/>
      <c r="K145" s="841" t="s">
        <v>3330</v>
      </c>
      <c r="L145" s="851">
        <f>L144*G144</f>
        <v>3768413.2</v>
      </c>
      <c r="O145" s="417"/>
      <c r="P145" s="837"/>
    </row>
    <row r="146" spans="2:29" ht="33.950000000000003" customHeight="1">
      <c r="C146" s="340"/>
      <c r="D146" s="340"/>
      <c r="E146" s="340"/>
      <c r="F146" s="340"/>
      <c r="G146" s="340"/>
      <c r="H146" s="340"/>
      <c r="I146" s="340"/>
      <c r="J146" s="838"/>
      <c r="K146" s="763"/>
      <c r="L146" s="839"/>
    </row>
    <row r="147" spans="2:29" ht="30" customHeight="1">
      <c r="C147" s="418"/>
      <c r="D147" s="418"/>
      <c r="E147" s="418"/>
      <c r="F147" s="418"/>
      <c r="G147" s="418"/>
      <c r="H147" s="1902"/>
      <c r="I147" s="1902"/>
      <c r="J147" s="1902"/>
      <c r="K147" s="295"/>
    </row>
    <row r="148" spans="2:29">
      <c r="C148" s="418"/>
      <c r="D148" s="418"/>
      <c r="E148" s="418"/>
      <c r="F148" s="418"/>
      <c r="G148" s="418"/>
      <c r="J148" s="115"/>
      <c r="K148" s="115"/>
      <c r="L148" s="115"/>
    </row>
    <row r="149" spans="2:29" ht="25.5">
      <c r="C149" s="764"/>
      <c r="D149" s="764"/>
      <c r="E149" s="765"/>
      <c r="F149" s="765"/>
      <c r="G149" s="9"/>
      <c r="H149" s="72"/>
      <c r="K149" s="5"/>
    </row>
    <row r="150" spans="2:29">
      <c r="C150" s="738"/>
      <c r="D150" s="738"/>
      <c r="E150" s="375"/>
      <c r="F150" s="375"/>
      <c r="G150" s="133"/>
      <c r="K150" s="5"/>
    </row>
    <row r="151" spans="2:29">
      <c r="C151" s="738"/>
      <c r="D151" s="738"/>
      <c r="E151" s="375"/>
      <c r="F151" s="375"/>
      <c r="G151" s="133"/>
      <c r="K151" s="5"/>
    </row>
    <row r="152" spans="2:29">
      <c r="C152" s="738"/>
      <c r="D152" s="738"/>
      <c r="E152" s="411"/>
      <c r="F152" s="376"/>
      <c r="G152" s="133"/>
      <c r="K152" s="5"/>
    </row>
    <row r="153" spans="2:29">
      <c r="C153" s="154"/>
      <c r="D153" s="154"/>
      <c r="E153" s="150"/>
      <c r="F153" s="150"/>
      <c r="G153"/>
      <c r="K153" s="5"/>
    </row>
    <row r="154" spans="2:29">
      <c r="C154" s="5"/>
      <c r="D154" s="5"/>
      <c r="E154" s="739"/>
      <c r="F154" s="739"/>
      <c r="G154"/>
      <c r="K154" s="5"/>
    </row>
    <row r="155" spans="2:29" ht="33.75" customHeight="1">
      <c r="C155" s="740"/>
      <c r="D155" s="740"/>
      <c r="E155" s="736"/>
      <c r="F155" s="736"/>
      <c r="G155" s="736"/>
      <c r="H155" s="736"/>
      <c r="I155" s="737"/>
      <c r="J155" s="737"/>
      <c r="K155" s="737"/>
      <c r="L155" s="737"/>
    </row>
    <row r="156" spans="2:29" s="3" customFormat="1" ht="26.25" customHeight="1">
      <c r="B156" s="13"/>
      <c r="C156" s="741"/>
      <c r="D156" s="741"/>
      <c r="E156" s="742"/>
      <c r="F156" s="742"/>
      <c r="G156" s="742"/>
      <c r="H156" s="742"/>
      <c r="I156" s="743"/>
      <c r="J156" s="743"/>
      <c r="K156" s="743"/>
      <c r="L156" s="743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</row>
    <row r="157" spans="2:29" ht="15">
      <c r="C157" s="9"/>
      <c r="D157" s="9"/>
      <c r="E157" s="9"/>
      <c r="F157" s="9"/>
      <c r="G157" s="11"/>
      <c r="H157" s="358"/>
    </row>
    <row r="158" spans="2:29" ht="15">
      <c r="E158"/>
      <c r="F158"/>
      <c r="G158"/>
    </row>
    <row r="159" spans="2:29">
      <c r="C159" s="1903"/>
      <c r="D159" s="1903"/>
      <c r="E159" s="1903"/>
      <c r="F159" s="1903"/>
      <c r="G159" s="1903"/>
      <c r="H159" s="1903"/>
      <c r="I159" s="5"/>
      <c r="J159" s="1903"/>
      <c r="K159" s="1903"/>
      <c r="L159" s="1903"/>
    </row>
    <row r="160" spans="2:29">
      <c r="C160" s="5"/>
      <c r="D160" s="5"/>
      <c r="H160" s="8"/>
      <c r="I160" s="5"/>
      <c r="J160" s="5"/>
      <c r="K160" s="5"/>
      <c r="L160" s="5"/>
    </row>
    <row r="161" spans="3:12">
      <c r="C161" s="5"/>
      <c r="D161" s="5"/>
      <c r="H161" s="8"/>
      <c r="I161" s="5"/>
      <c r="J161" s="5"/>
      <c r="K161" s="5"/>
      <c r="L161" s="5"/>
    </row>
    <row r="162" spans="3:12">
      <c r="C162" s="5"/>
      <c r="D162" s="5"/>
      <c r="H162" s="8"/>
      <c r="I162" s="5"/>
      <c r="J162" s="5"/>
      <c r="K162" s="5"/>
      <c r="L162" s="5"/>
    </row>
    <row r="163" spans="3:12">
      <c r="C163" s="5"/>
      <c r="D163" s="5"/>
      <c r="H163" s="8"/>
      <c r="I163" s="5"/>
      <c r="J163" s="5"/>
      <c r="K163" s="5"/>
      <c r="L163" s="5"/>
    </row>
    <row r="164" spans="3:12">
      <c r="C164" s="5"/>
      <c r="D164" s="5"/>
      <c r="H164" s="8"/>
      <c r="I164" s="5"/>
      <c r="J164" s="5"/>
      <c r="K164" s="5"/>
      <c r="L164" s="5"/>
    </row>
    <row r="165" spans="3:12">
      <c r="C165" s="5"/>
      <c r="D165" s="5"/>
      <c r="H165" s="8"/>
      <c r="I165" s="5"/>
      <c r="J165" s="5"/>
      <c r="K165" s="5"/>
      <c r="L165" s="5"/>
    </row>
    <row r="166" spans="3:12">
      <c r="C166" s="5"/>
      <c r="D166" s="5"/>
      <c r="H166" s="8"/>
      <c r="I166" s="5"/>
      <c r="J166" s="5"/>
      <c r="K166" s="5"/>
      <c r="L166" s="5"/>
    </row>
    <row r="167" spans="3:12">
      <c r="C167" s="5"/>
      <c r="D167" s="5"/>
      <c r="H167" s="8"/>
      <c r="I167" s="5"/>
      <c r="J167" s="5"/>
      <c r="K167" s="5"/>
      <c r="L167" s="5"/>
    </row>
    <row r="168" spans="3:12">
      <c r="C168" s="5"/>
      <c r="D168" s="5"/>
      <c r="H168" s="8"/>
      <c r="I168" s="5"/>
      <c r="J168" s="5"/>
      <c r="K168" s="5"/>
      <c r="L168" s="5"/>
    </row>
    <row r="169" spans="3:12">
      <c r="C169" s="5"/>
      <c r="D169" s="5"/>
      <c r="H169" s="8"/>
      <c r="I169" s="5"/>
      <c r="J169" s="5"/>
      <c r="K169" s="5"/>
      <c r="L169" s="5"/>
    </row>
    <row r="170" spans="3:12">
      <c r="C170" s="5"/>
      <c r="D170" s="5"/>
      <c r="H170" s="8"/>
      <c r="I170" s="5"/>
      <c r="J170" s="5"/>
      <c r="K170" s="5"/>
      <c r="L170" s="5"/>
    </row>
    <row r="171" spans="3:12">
      <c r="C171" s="5"/>
      <c r="D171" s="5"/>
      <c r="H171" s="8"/>
      <c r="I171" s="5"/>
      <c r="J171" s="5"/>
      <c r="K171" s="5"/>
      <c r="L171" s="5"/>
    </row>
    <row r="172" spans="3:12">
      <c r="C172" s="5"/>
      <c r="D172" s="5"/>
      <c r="H172" s="8"/>
      <c r="I172" s="5"/>
      <c r="J172" s="5"/>
      <c r="K172" s="5"/>
      <c r="L172" s="5"/>
    </row>
    <row r="173" spans="3:12">
      <c r="C173" s="5"/>
      <c r="D173" s="5"/>
      <c r="H173" s="8"/>
      <c r="I173" s="5"/>
      <c r="J173" s="5"/>
      <c r="K173" s="5"/>
      <c r="L173" s="5"/>
    </row>
    <row r="174" spans="3:12">
      <c r="C174" s="5"/>
      <c r="D174" s="5"/>
      <c r="H174" s="8"/>
      <c r="I174" s="5"/>
      <c r="J174" s="5"/>
      <c r="K174" s="5"/>
      <c r="L174" s="5"/>
    </row>
    <row r="175" spans="3:12">
      <c r="C175" s="5"/>
      <c r="D175" s="5"/>
      <c r="H175" s="8"/>
      <c r="I175" s="5"/>
      <c r="J175" s="5"/>
      <c r="K175" s="5"/>
      <c r="L175" s="5"/>
    </row>
    <row r="176" spans="3:12">
      <c r="C176" s="5"/>
      <c r="D176" s="5"/>
      <c r="H176" s="8"/>
      <c r="I176" s="5"/>
      <c r="J176" s="5"/>
      <c r="K176" s="5"/>
      <c r="L176" s="5"/>
    </row>
    <row r="177" spans="3:12">
      <c r="C177" s="5"/>
      <c r="D177" s="5"/>
      <c r="H177" s="8"/>
      <c r="I177" s="5"/>
      <c r="J177" s="5"/>
      <c r="K177" s="5"/>
      <c r="L177" s="5"/>
    </row>
  </sheetData>
  <mergeCells count="7">
    <mergeCell ref="C3:L3"/>
    <mergeCell ref="H147:J147"/>
    <mergeCell ref="C159:H159"/>
    <mergeCell ref="J159:L159"/>
    <mergeCell ref="G23:I23"/>
    <mergeCell ref="E13:H13"/>
    <mergeCell ref="E12:H12"/>
  </mergeCells>
  <dataValidations disablePrompts="1" count="3">
    <dataValidation allowBlank="1" showInputMessage="1" showErrorMessage="1" prompt="MOI ID/ Tax ID number" sqref="G22" xr:uid="{ADDBBEDC-3A7A-4115-BE6A-43FD2ACE59B8}"/>
    <dataValidation allowBlank="1" showInputMessage="1" showErrorMessage="1" promptTitle="Email/Telelgram/Other" prompt="Email/Telelgram/Other" sqref="H21:K21" xr:uid="{8612B9EA-670C-40AB-80DD-160AB6C45AC0}"/>
    <dataValidation type="textLength" allowBlank="1" showInputMessage="1" showErrorMessage="1" errorTitle="Number not valid" error="បញ្ចូលលេខមិនត្រឹមត្រូវេ! សូមបញ្ចូលលេខប្រអប់ ត្រឹមតែមួយខ្ទង់សម្រាប់មួយប្រអប់។ _x000a_" promptTitle="Customer TAX ID " sqref="N6" xr:uid="{BC1383D1-90C5-4AFF-8B50-0EF658A6DC80}">
      <formula1>1</formula1>
      <formula2>1</formula2>
    </dataValidation>
  </dataValidations>
  <printOptions horizontalCentered="1"/>
  <pageMargins left="0.19685039370078741" right="0" top="0.19685039370078741" bottom="0.19685039370078741" header="0" footer="7.874015748031496E-2"/>
  <pageSetup paperSize="9" scale="70" orientation="portrait" horizontalDpi="1200" verticalDpi="1200" r:id="rId1"/>
  <headerFooter>
    <oddFooter>&amp;CPage &amp;P of &amp;N</oddFooter>
  </headerFooter>
  <drawing r:id="rId2"/>
  <legacyDrawing r:id="rId3"/>
  <controls>
    <mc:AlternateContent xmlns:mc="http://schemas.openxmlformats.org/markup-compatibility/2006">
      <mc:Choice Requires="x14">
        <control shapeId="4691969" r:id="rId4" name="invAdjComboBox">
          <controlPr defaultSize="0" autoLine="0" r:id="rId5">
            <anchor moveWithCells="1">
              <from>
                <xdr:col>14</xdr:col>
                <xdr:colOff>0</xdr:colOff>
                <xdr:row>0</xdr:row>
                <xdr:rowOff>66675</xdr:rowOff>
              </from>
              <to>
                <xdr:col>16</xdr:col>
                <xdr:colOff>28575</xdr:colOff>
                <xdr:row>0</xdr:row>
                <xdr:rowOff>581025</xdr:rowOff>
              </to>
            </anchor>
          </controlPr>
        </control>
      </mc:Choice>
      <mc:Fallback>
        <control shapeId="4691969" r:id="rId4" name="invAdjComboBox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3BAF5-21C3-4AE4-B7BE-109D15D74B15}">
  <sheetPr codeName="Sheet63"/>
  <dimension ref="A1:N259"/>
  <sheetViews>
    <sheetView showGridLines="0" zoomScale="80" zoomScaleNormal="80" workbookViewId="0">
      <pane ySplit="20" topLeftCell="A26" activePane="bottomLeft" state="frozen"/>
      <selection pane="bottomLeft" activeCell="P30" sqref="P30"/>
    </sheetView>
  </sheetViews>
  <sheetFormatPr defaultRowHeight="23.25"/>
  <cols>
    <col min="1" max="1" width="3.5703125" customWidth="1"/>
    <col min="2" max="2" width="3.85546875" customWidth="1"/>
    <col min="3" max="3" width="1.7109375" customWidth="1"/>
    <col min="4" max="4" width="4.140625" customWidth="1"/>
    <col min="5" max="5" width="26.140625" style="5" customWidth="1"/>
    <col min="6" max="6" width="2.5703125" style="5" customWidth="1"/>
    <col min="7" max="7" width="13.42578125" style="5" customWidth="1"/>
    <col min="8" max="8" width="9.5703125" style="2" customWidth="1"/>
    <col min="9" max="9" width="18.140625" customWidth="1"/>
    <col min="10" max="10" width="2.7109375" customWidth="1"/>
    <col min="11" max="11" width="12.7109375" customWidth="1"/>
    <col min="12" max="12" width="13.7109375" customWidth="1"/>
    <col min="13" max="13" width="1.7109375" customWidth="1"/>
    <col min="14" max="14" width="9.5703125" customWidth="1"/>
    <col min="15" max="15" width="11.28515625" customWidth="1"/>
    <col min="16" max="16" width="24.140625" bestFit="1" customWidth="1"/>
    <col min="17" max="17" width="49" customWidth="1"/>
    <col min="18" max="18" width="5.140625" customWidth="1"/>
    <col min="19" max="19" width="20.7109375" customWidth="1"/>
    <col min="20" max="20" width="7.42578125" customWidth="1"/>
    <col min="65" max="65" width="12.7109375" bestFit="1" customWidth="1"/>
    <col min="67" max="81" width="6.7109375" customWidth="1"/>
  </cols>
  <sheetData>
    <row r="1" spans="1:14" ht="9.75" customHeight="1"/>
    <row r="2" spans="1:14" ht="8.25" customHeight="1"/>
    <row r="3" spans="1:14" ht="14.25" hidden="1" customHeight="1">
      <c r="C3" s="1901"/>
      <c r="D3" s="1901"/>
      <c r="E3" s="1901"/>
      <c r="F3" s="1901"/>
      <c r="G3" s="1901"/>
      <c r="H3" s="1901"/>
      <c r="I3" s="1901"/>
      <c r="J3" s="1901"/>
      <c r="K3" s="1901"/>
      <c r="L3" s="1901"/>
      <c r="M3" s="1901"/>
    </row>
    <row r="4" spans="1:14" ht="36.75">
      <c r="B4" s="347"/>
      <c r="C4" s="770"/>
      <c r="D4" s="747"/>
      <c r="E4" s="756"/>
      <c r="F4" s="402"/>
      <c r="G4" s="402"/>
      <c r="H4" s="402"/>
      <c r="I4" s="402"/>
      <c r="J4" s="402"/>
      <c r="K4" s="402"/>
      <c r="L4" s="402"/>
      <c r="M4" s="402"/>
    </row>
    <row r="5" spans="1:14" ht="27.75" customHeight="1">
      <c r="A5" s="5"/>
      <c r="B5" s="348"/>
      <c r="C5" s="769"/>
      <c r="D5" s="184"/>
      <c r="E5" s="757"/>
      <c r="F5" s="349"/>
      <c r="G5" s="349"/>
      <c r="H5" s="349"/>
      <c r="I5" s="349"/>
      <c r="J5" s="349"/>
      <c r="K5" s="349"/>
      <c r="L5" s="349"/>
      <c r="M5" s="349"/>
      <c r="N5" s="5"/>
    </row>
    <row r="6" spans="1:14" hidden="1">
      <c r="A6" s="5"/>
      <c r="B6" s="767"/>
      <c r="C6" s="771"/>
      <c r="D6" s="771"/>
      <c r="E6" s="772"/>
      <c r="F6" s="349"/>
      <c r="G6" s="349"/>
      <c r="H6" s="349"/>
      <c r="I6" s="349"/>
      <c r="J6" s="349"/>
      <c r="K6" s="349"/>
      <c r="L6" s="349"/>
      <c r="M6" s="349"/>
      <c r="N6" s="5"/>
    </row>
    <row r="7" spans="1:14" hidden="1">
      <c r="A7" s="5"/>
      <c r="B7" s="767"/>
      <c r="C7" s="771"/>
      <c r="D7" s="771"/>
      <c r="E7" s="772"/>
      <c r="F7" s="349"/>
      <c r="G7" s="349"/>
      <c r="H7" s="349"/>
      <c r="I7" s="349"/>
      <c r="J7" s="349"/>
      <c r="K7" s="349"/>
      <c r="L7" s="349"/>
      <c r="M7" s="349"/>
      <c r="N7" s="5"/>
    </row>
    <row r="8" spans="1:14" ht="6.75" customHeight="1">
      <c r="B8" s="347"/>
      <c r="E8" s="68"/>
      <c r="F8" s="68"/>
      <c r="G8" s="68"/>
      <c r="H8" s="68"/>
      <c r="I8" s="68"/>
      <c r="J8" s="68"/>
      <c r="K8" s="68"/>
      <c r="L8" s="68"/>
      <c r="M8" s="68"/>
    </row>
    <row r="9" spans="1:14" ht="6.75" customHeight="1">
      <c r="B9" s="350"/>
      <c r="H9" s="45"/>
      <c r="M9" s="351"/>
    </row>
    <row r="10" spans="1:14" ht="24" customHeight="1">
      <c r="B10" s="350"/>
      <c r="E10"/>
      <c r="F10" s="754"/>
      <c r="G10"/>
      <c r="H10" s="188" t="s">
        <v>3025</v>
      </c>
      <c r="I10" s="754"/>
      <c r="J10" s="202" t="s">
        <v>86</v>
      </c>
      <c r="K10" s="811" t="s">
        <v>3230</v>
      </c>
      <c r="L10" s="797"/>
      <c r="M10" s="158"/>
    </row>
    <row r="11" spans="1:14" ht="24" customHeight="1">
      <c r="A11" s="52"/>
      <c r="B11" s="350"/>
      <c r="C11" s="344"/>
      <c r="D11" s="344"/>
      <c r="E11" s="344"/>
      <c r="F11" s="344"/>
      <c r="G11" s="52"/>
      <c r="H11" s="188" t="s">
        <v>3026</v>
      </c>
      <c r="I11" s="754"/>
      <c r="J11" s="202" t="s">
        <v>86</v>
      </c>
      <c r="K11" s="798"/>
      <c r="L11" s="799"/>
      <c r="M11" s="52"/>
      <c r="N11" s="52"/>
    </row>
    <row r="12" spans="1:14" ht="24" customHeight="1">
      <c r="A12" s="52"/>
      <c r="B12" s="350"/>
      <c r="D12" s="755"/>
      <c r="E12" s="754"/>
      <c r="F12" s="754"/>
      <c r="G12" s="281"/>
      <c r="H12" s="337" t="s">
        <v>3024</v>
      </c>
      <c r="I12" s="754"/>
      <c r="J12" s="202" t="s">
        <v>86</v>
      </c>
      <c r="L12" s="748"/>
      <c r="N12" s="149"/>
    </row>
    <row r="13" spans="1:14" ht="8.1" customHeight="1">
      <c r="A13" s="52"/>
      <c r="B13" s="350"/>
      <c r="G13" s="753"/>
      <c r="H13" s="148"/>
      <c r="I13" s="148"/>
      <c r="J13" s="148"/>
      <c r="N13" s="149"/>
    </row>
    <row r="14" spans="1:14" ht="29.25" customHeight="1">
      <c r="A14" s="52"/>
      <c r="B14" s="350"/>
      <c r="D14" s="196" t="s">
        <v>3021</v>
      </c>
      <c r="E14" s="196"/>
      <c r="F14" s="66" t="s">
        <v>86</v>
      </c>
      <c r="G14" s="793"/>
      <c r="H14" s="794"/>
      <c r="I14" s="794"/>
      <c r="J14" s="794"/>
      <c r="K14" s="795"/>
      <c r="L14" s="795"/>
      <c r="N14" s="52"/>
    </row>
    <row r="15" spans="1:14" ht="24" customHeight="1">
      <c r="B15" s="5"/>
      <c r="D15" s="753" t="s">
        <v>3022</v>
      </c>
      <c r="E15" s="748"/>
      <c r="F15" s="202" t="s">
        <v>86</v>
      </c>
      <c r="G15" s="796"/>
      <c r="H15" s="796"/>
      <c r="I15" s="796"/>
      <c r="J15" s="796"/>
      <c r="K15" s="796"/>
      <c r="L15" s="796"/>
      <c r="M15" s="5"/>
      <c r="N15" s="5"/>
    </row>
    <row r="16" spans="1:14" ht="24" customHeight="1">
      <c r="B16" s="58">
        <v>-9</v>
      </c>
      <c r="D16" s="753" t="s">
        <v>3023</v>
      </c>
      <c r="E16" s="748"/>
      <c r="F16" s="202" t="s">
        <v>86</v>
      </c>
      <c r="G16" s="796"/>
      <c r="H16" s="796"/>
      <c r="I16" s="796"/>
      <c r="J16" s="796"/>
      <c r="K16" s="796"/>
      <c r="L16" s="796"/>
      <c r="M16" s="751"/>
      <c r="N16" s="58"/>
    </row>
    <row r="17" spans="1:14" ht="27.95" customHeight="1">
      <c r="B17" s="58"/>
      <c r="C17" s="281"/>
      <c r="D17" s="253" t="s">
        <v>3027</v>
      </c>
      <c r="F17" s="202"/>
      <c r="H17" s="776"/>
      <c r="I17" s="777"/>
      <c r="J17" s="777"/>
      <c r="K17" s="778"/>
      <c r="L17" s="778"/>
      <c r="M17" s="439"/>
      <c r="N17" s="58"/>
    </row>
    <row r="18" spans="1:14" ht="8.1" customHeight="1">
      <c r="A18" s="3"/>
      <c r="B18" s="383"/>
      <c r="C18" s="749"/>
      <c r="D18" s="749"/>
      <c r="E18" s="426"/>
      <c r="F18" s="435"/>
      <c r="G18" s="750"/>
      <c r="H18" s="752"/>
      <c r="I18" s="752"/>
      <c r="J18" s="752"/>
      <c r="K18" s="752"/>
      <c r="L18" s="752"/>
      <c r="M18" s="752"/>
      <c r="N18" s="384"/>
    </row>
    <row r="19" spans="1:14" ht="25.5" customHeight="1">
      <c r="B19" s="58"/>
      <c r="C19" s="783" t="s">
        <v>47</v>
      </c>
      <c r="D19" s="784"/>
      <c r="E19" s="783" t="s">
        <v>1863</v>
      </c>
      <c r="F19" s="785"/>
      <c r="G19" s="784"/>
      <c r="H19" s="786" t="s">
        <v>135</v>
      </c>
      <c r="I19" s="786" t="s">
        <v>134</v>
      </c>
      <c r="J19" s="783" t="s">
        <v>90</v>
      </c>
      <c r="K19" s="787"/>
      <c r="L19" s="783" t="s">
        <v>85</v>
      </c>
      <c r="M19" s="787"/>
      <c r="N19" s="58"/>
    </row>
    <row r="20" spans="1:14" ht="15.75" customHeight="1">
      <c r="B20" s="58"/>
      <c r="C20" s="806" t="s">
        <v>9</v>
      </c>
      <c r="D20" s="807"/>
      <c r="E20" s="806" t="s">
        <v>1862</v>
      </c>
      <c r="F20" s="808"/>
      <c r="G20" s="807"/>
      <c r="H20" s="809" t="s">
        <v>67</v>
      </c>
      <c r="I20" s="809" t="s">
        <v>19</v>
      </c>
      <c r="J20" s="806" t="s">
        <v>1873</v>
      </c>
      <c r="K20" s="810"/>
      <c r="L20" s="806" t="s">
        <v>1880</v>
      </c>
      <c r="M20" s="810"/>
      <c r="N20" s="58"/>
    </row>
    <row r="21" spans="1:14" ht="27" customHeight="1">
      <c r="B21" s="5"/>
      <c r="C21" s="1910">
        <v>1</v>
      </c>
      <c r="D21" s="1911"/>
      <c r="E21" s="1914"/>
      <c r="F21" s="1915"/>
      <c r="G21" s="1916"/>
      <c r="H21" s="788"/>
      <c r="I21" s="789"/>
      <c r="J21" s="1908"/>
      <c r="K21" s="1909"/>
      <c r="L21" s="1913"/>
      <c r="M21" s="1909"/>
      <c r="N21" s="5"/>
    </row>
    <row r="22" spans="1:14" ht="27" customHeight="1">
      <c r="B22" s="5"/>
      <c r="C22" s="1910">
        <v>2</v>
      </c>
      <c r="D22" s="1911"/>
      <c r="E22" s="800"/>
      <c r="F22" s="801"/>
      <c r="G22" s="802"/>
      <c r="H22" s="788"/>
      <c r="I22" s="789"/>
      <c r="J22" s="792"/>
      <c r="K22" s="791"/>
      <c r="L22" s="790"/>
      <c r="M22" s="791"/>
      <c r="N22" s="5"/>
    </row>
    <row r="23" spans="1:14" ht="27" customHeight="1">
      <c r="B23" s="5"/>
      <c r="C23" s="1910">
        <v>3</v>
      </c>
      <c r="D23" s="1911"/>
      <c r="E23" s="800"/>
      <c r="F23" s="801"/>
      <c r="G23" s="802"/>
      <c r="H23" s="788"/>
      <c r="I23" s="789"/>
      <c r="J23" s="792"/>
      <c r="K23" s="791"/>
      <c r="L23" s="790"/>
      <c r="M23" s="791"/>
      <c r="N23" s="5"/>
    </row>
    <row r="24" spans="1:14" ht="27" customHeight="1">
      <c r="B24" s="5"/>
      <c r="C24" s="1910">
        <v>4</v>
      </c>
      <c r="D24" s="1911"/>
      <c r="E24" s="800"/>
      <c r="F24" s="801"/>
      <c r="G24" s="802"/>
      <c r="H24" s="788"/>
      <c r="I24" s="789"/>
      <c r="J24" s="792"/>
      <c r="K24" s="791"/>
      <c r="L24" s="790"/>
      <c r="M24" s="791"/>
      <c r="N24" s="5"/>
    </row>
    <row r="25" spans="1:14" ht="27" customHeight="1">
      <c r="B25" s="5"/>
      <c r="C25" s="1910">
        <v>5</v>
      </c>
      <c r="D25" s="1911"/>
      <c r="E25" s="800"/>
      <c r="F25" s="801"/>
      <c r="G25" s="802"/>
      <c r="H25" s="788"/>
      <c r="I25" s="789"/>
      <c r="J25" s="792"/>
      <c r="K25" s="791"/>
      <c r="L25" s="790"/>
      <c r="M25" s="791"/>
      <c r="N25" s="5"/>
    </row>
    <row r="26" spans="1:14" ht="27" customHeight="1">
      <c r="B26" s="5"/>
      <c r="C26" s="1910">
        <v>6</v>
      </c>
      <c r="D26" s="1911"/>
      <c r="E26" s="800"/>
      <c r="F26" s="801"/>
      <c r="G26" s="802"/>
      <c r="H26" s="788"/>
      <c r="I26" s="789"/>
      <c r="J26" s="792"/>
      <c r="K26" s="791"/>
      <c r="L26" s="790"/>
      <c r="M26" s="791"/>
      <c r="N26" s="5"/>
    </row>
    <row r="27" spans="1:14" ht="27" customHeight="1">
      <c r="B27" s="5"/>
      <c r="C27" s="1910">
        <v>7</v>
      </c>
      <c r="D27" s="1911"/>
      <c r="E27" s="800"/>
      <c r="F27" s="801"/>
      <c r="G27" s="802"/>
      <c r="H27" s="788"/>
      <c r="I27" s="789"/>
      <c r="J27" s="792"/>
      <c r="K27" s="791"/>
      <c r="L27" s="790"/>
      <c r="M27" s="791"/>
      <c r="N27" s="5"/>
    </row>
    <row r="28" spans="1:14" ht="27" customHeight="1">
      <c r="B28" s="5"/>
      <c r="C28" s="1910">
        <v>8</v>
      </c>
      <c r="D28" s="1911"/>
      <c r="E28" s="800"/>
      <c r="F28" s="801"/>
      <c r="G28" s="802"/>
      <c r="H28" s="788"/>
      <c r="I28" s="789"/>
      <c r="J28" s="792"/>
      <c r="K28" s="791"/>
      <c r="L28" s="790"/>
      <c r="M28" s="791"/>
      <c r="N28" s="5"/>
    </row>
    <row r="29" spans="1:14" ht="27" customHeight="1">
      <c r="B29" s="5"/>
      <c r="C29" s="1910">
        <v>9</v>
      </c>
      <c r="D29" s="1911"/>
      <c r="E29" s="800"/>
      <c r="F29" s="801"/>
      <c r="G29" s="802"/>
      <c r="H29" s="788"/>
      <c r="I29" s="789"/>
      <c r="J29" s="792"/>
      <c r="K29" s="791"/>
      <c r="L29" s="790"/>
      <c r="M29" s="791"/>
      <c r="N29" s="5"/>
    </row>
    <row r="30" spans="1:14" ht="27" customHeight="1">
      <c r="B30" s="5"/>
      <c r="C30" s="1910">
        <v>10</v>
      </c>
      <c r="D30" s="1911"/>
      <c r="E30" s="800"/>
      <c r="F30" s="801"/>
      <c r="G30" s="802"/>
      <c r="H30" s="788"/>
      <c r="I30" s="789"/>
      <c r="J30" s="792"/>
      <c r="K30" s="791"/>
      <c r="L30" s="790"/>
      <c r="M30" s="791"/>
      <c r="N30" s="5"/>
    </row>
    <row r="31" spans="1:14" ht="27" customHeight="1">
      <c r="B31" s="5"/>
      <c r="C31" s="1910">
        <v>11</v>
      </c>
      <c r="D31" s="1911"/>
      <c r="E31" s="800"/>
      <c r="F31" s="801"/>
      <c r="G31" s="802"/>
      <c r="H31" s="788"/>
      <c r="I31" s="789"/>
      <c r="J31" s="792"/>
      <c r="K31" s="791"/>
      <c r="L31" s="790"/>
      <c r="M31" s="791"/>
      <c r="N31" s="5"/>
    </row>
    <row r="32" spans="1:14" ht="27" customHeight="1">
      <c r="B32" s="5"/>
      <c r="C32" s="1910">
        <v>12</v>
      </c>
      <c r="D32" s="1911"/>
      <c r="E32" s="800"/>
      <c r="F32" s="801"/>
      <c r="G32" s="802"/>
      <c r="H32" s="788"/>
      <c r="I32" s="789"/>
      <c r="J32" s="792"/>
      <c r="K32" s="791"/>
      <c r="L32" s="790"/>
      <c r="M32" s="791"/>
      <c r="N32" s="5"/>
    </row>
    <row r="33" spans="2:14" ht="27" customHeight="1">
      <c r="B33" s="5"/>
      <c r="C33" s="1910">
        <v>13</v>
      </c>
      <c r="D33" s="1911"/>
      <c r="E33" s="800"/>
      <c r="F33" s="801"/>
      <c r="G33" s="802"/>
      <c r="H33" s="788"/>
      <c r="I33" s="789"/>
      <c r="J33" s="792"/>
      <c r="K33" s="791"/>
      <c r="L33" s="790"/>
      <c r="M33" s="791"/>
      <c r="N33" s="5"/>
    </row>
    <row r="34" spans="2:14" ht="27" customHeight="1">
      <c r="B34" s="5"/>
      <c r="C34" s="1910">
        <v>14</v>
      </c>
      <c r="D34" s="1911"/>
      <c r="E34" s="800"/>
      <c r="F34" s="801"/>
      <c r="G34" s="802"/>
      <c r="H34" s="788"/>
      <c r="I34" s="789"/>
      <c r="J34" s="792"/>
      <c r="K34" s="791"/>
      <c r="L34" s="790"/>
      <c r="M34" s="791"/>
      <c r="N34" s="5"/>
    </row>
    <row r="35" spans="2:14" ht="27" hidden="1" customHeight="1">
      <c r="B35" s="5"/>
      <c r="C35" s="1910"/>
      <c r="D35" s="1911"/>
      <c r="E35" s="800"/>
      <c r="F35" s="801"/>
      <c r="G35" s="802"/>
      <c r="H35" s="788"/>
      <c r="I35" s="789"/>
      <c r="J35" s="792"/>
      <c r="K35" s="791"/>
      <c r="L35" s="790"/>
      <c r="M35" s="791"/>
      <c r="N35" s="5"/>
    </row>
    <row r="36" spans="2:14" ht="27" hidden="1" customHeight="1">
      <c r="B36" s="5"/>
      <c r="C36" s="1910"/>
      <c r="D36" s="1911"/>
      <c r="E36" s="800"/>
      <c r="F36" s="801"/>
      <c r="G36" s="802"/>
      <c r="H36" s="788"/>
      <c r="I36" s="789"/>
      <c r="J36" s="792"/>
      <c r="K36" s="791"/>
      <c r="L36" s="790"/>
      <c r="M36" s="791"/>
      <c r="N36" s="5"/>
    </row>
    <row r="37" spans="2:14" ht="27" hidden="1" customHeight="1">
      <c r="B37" s="5"/>
      <c r="C37" s="1910"/>
      <c r="D37" s="1911"/>
      <c r="E37" s="800"/>
      <c r="F37" s="801"/>
      <c r="G37" s="802"/>
      <c r="H37" s="788"/>
      <c r="I37" s="789"/>
      <c r="J37" s="792"/>
      <c r="K37" s="791"/>
      <c r="L37" s="790"/>
      <c r="M37" s="791"/>
      <c r="N37" s="5"/>
    </row>
    <row r="38" spans="2:14" ht="27" hidden="1" customHeight="1">
      <c r="B38" s="5"/>
      <c r="C38" s="1910"/>
      <c r="D38" s="1911"/>
      <c r="E38" s="800"/>
      <c r="F38" s="801"/>
      <c r="G38" s="802"/>
      <c r="H38" s="788"/>
      <c r="I38" s="789"/>
      <c r="J38" s="792"/>
      <c r="K38" s="791"/>
      <c r="L38" s="790"/>
      <c r="M38" s="791"/>
      <c r="N38" s="5"/>
    </row>
    <row r="39" spans="2:14" ht="27" hidden="1" customHeight="1">
      <c r="B39" s="5"/>
      <c r="C39" s="1910"/>
      <c r="D39" s="1911"/>
      <c r="E39" s="800"/>
      <c r="F39" s="801"/>
      <c r="G39" s="802"/>
      <c r="H39" s="788"/>
      <c r="I39" s="789"/>
      <c r="J39" s="792"/>
      <c r="K39" s="791"/>
      <c r="L39" s="790"/>
      <c r="M39" s="791"/>
      <c r="N39" s="5"/>
    </row>
    <row r="40" spans="2:14" ht="27" hidden="1" customHeight="1">
      <c r="B40" s="5"/>
      <c r="C40" s="1910"/>
      <c r="D40" s="1911"/>
      <c r="E40" s="800"/>
      <c r="F40" s="801"/>
      <c r="G40" s="802"/>
      <c r="H40" s="788"/>
      <c r="I40" s="789"/>
      <c r="J40" s="792"/>
      <c r="K40" s="791"/>
      <c r="L40" s="790"/>
      <c r="M40" s="791"/>
      <c r="N40" s="5"/>
    </row>
    <row r="41" spans="2:14" ht="27" hidden="1" customHeight="1">
      <c r="B41" s="5"/>
      <c r="C41" s="1910"/>
      <c r="D41" s="1911"/>
      <c r="E41" s="800"/>
      <c r="F41" s="801"/>
      <c r="G41" s="802"/>
      <c r="H41" s="788"/>
      <c r="I41" s="789"/>
      <c r="J41" s="792"/>
      <c r="K41" s="791"/>
      <c r="L41" s="790"/>
      <c r="M41" s="791"/>
      <c r="N41" s="5"/>
    </row>
    <row r="42" spans="2:14" ht="27" hidden="1" customHeight="1">
      <c r="B42" s="5"/>
      <c r="C42" s="1910"/>
      <c r="D42" s="1911"/>
      <c r="E42" s="800"/>
      <c r="F42" s="801"/>
      <c r="G42" s="802"/>
      <c r="H42" s="788"/>
      <c r="I42" s="789"/>
      <c r="J42" s="792"/>
      <c r="K42" s="791"/>
      <c r="L42" s="790"/>
      <c r="M42" s="791"/>
      <c r="N42" s="5"/>
    </row>
    <row r="43" spans="2:14" ht="27" hidden="1" customHeight="1">
      <c r="B43" s="5"/>
      <c r="C43" s="1910"/>
      <c r="D43" s="1911"/>
      <c r="E43" s="800"/>
      <c r="F43" s="801"/>
      <c r="G43" s="802"/>
      <c r="H43" s="788"/>
      <c r="I43" s="789"/>
      <c r="J43" s="792"/>
      <c r="K43" s="791"/>
      <c r="L43" s="790"/>
      <c r="M43" s="791"/>
      <c r="N43" s="5"/>
    </row>
    <row r="44" spans="2:14" ht="27" hidden="1" customHeight="1">
      <c r="B44" s="5"/>
      <c r="C44" s="1910"/>
      <c r="D44" s="1911"/>
      <c r="E44" s="800"/>
      <c r="F44" s="801"/>
      <c r="G44" s="802"/>
      <c r="H44" s="788"/>
      <c r="I44" s="789"/>
      <c r="J44" s="792"/>
      <c r="K44" s="791"/>
      <c r="L44" s="790"/>
      <c r="M44" s="791"/>
      <c r="N44" s="5"/>
    </row>
    <row r="45" spans="2:14" ht="27" hidden="1" customHeight="1">
      <c r="B45" s="5"/>
      <c r="C45" s="1910"/>
      <c r="D45" s="1911"/>
      <c r="E45" s="800"/>
      <c r="F45" s="801"/>
      <c r="G45" s="802"/>
      <c r="H45" s="788"/>
      <c r="I45" s="789"/>
      <c r="J45" s="792"/>
      <c r="K45" s="791"/>
      <c r="L45" s="790"/>
      <c r="M45" s="791"/>
      <c r="N45" s="5"/>
    </row>
    <row r="46" spans="2:14" ht="27" hidden="1" customHeight="1">
      <c r="B46" s="5"/>
      <c r="C46" s="1910"/>
      <c r="D46" s="1911"/>
      <c r="E46" s="800"/>
      <c r="F46" s="801"/>
      <c r="G46" s="802"/>
      <c r="H46" s="788"/>
      <c r="I46" s="789"/>
      <c r="J46" s="792"/>
      <c r="K46" s="791"/>
      <c r="L46" s="790"/>
      <c r="M46" s="791"/>
      <c r="N46" s="5"/>
    </row>
    <row r="47" spans="2:14" ht="27" hidden="1" customHeight="1">
      <c r="B47" s="5"/>
      <c r="C47" s="1910"/>
      <c r="D47" s="1911"/>
      <c r="E47" s="800"/>
      <c r="F47" s="801"/>
      <c r="G47" s="802"/>
      <c r="H47" s="788"/>
      <c r="I47" s="789"/>
      <c r="J47" s="792"/>
      <c r="K47" s="791"/>
      <c r="L47" s="790"/>
      <c r="M47" s="791"/>
      <c r="N47" s="5"/>
    </row>
    <row r="48" spans="2:14" ht="27" hidden="1" customHeight="1">
      <c r="B48" s="5"/>
      <c r="C48" s="1910"/>
      <c r="D48" s="1911"/>
      <c r="E48" s="800"/>
      <c r="F48" s="801"/>
      <c r="G48" s="802"/>
      <c r="H48" s="788"/>
      <c r="I48" s="789"/>
      <c r="J48" s="792"/>
      <c r="K48" s="791"/>
      <c r="L48" s="790"/>
      <c r="M48" s="791"/>
      <c r="N48" s="5"/>
    </row>
    <row r="49" spans="2:14" ht="27" hidden="1" customHeight="1">
      <c r="B49" s="5"/>
      <c r="C49" s="1910"/>
      <c r="D49" s="1911"/>
      <c r="E49" s="800"/>
      <c r="F49" s="801"/>
      <c r="G49" s="802"/>
      <c r="H49" s="788"/>
      <c r="I49" s="789"/>
      <c r="J49" s="792"/>
      <c r="K49" s="791"/>
      <c r="L49" s="790"/>
      <c r="M49" s="791"/>
      <c r="N49" s="5"/>
    </row>
    <row r="50" spans="2:14" ht="27" hidden="1" customHeight="1">
      <c r="B50" s="5"/>
      <c r="C50" s="1910"/>
      <c r="D50" s="1911"/>
      <c r="E50" s="800"/>
      <c r="F50" s="801"/>
      <c r="G50" s="802"/>
      <c r="H50" s="788"/>
      <c r="I50" s="789"/>
      <c r="J50" s="792"/>
      <c r="K50" s="791"/>
      <c r="L50" s="790"/>
      <c r="M50" s="791"/>
      <c r="N50" s="5"/>
    </row>
    <row r="51" spans="2:14" ht="27" hidden="1" customHeight="1">
      <c r="B51" s="5"/>
      <c r="C51" s="1910"/>
      <c r="D51" s="1911"/>
      <c r="E51" s="800"/>
      <c r="F51" s="801"/>
      <c r="G51" s="802"/>
      <c r="H51" s="788"/>
      <c r="I51" s="789"/>
      <c r="J51" s="792"/>
      <c r="K51" s="791"/>
      <c r="L51" s="790"/>
      <c r="M51" s="791"/>
      <c r="N51" s="5"/>
    </row>
    <row r="52" spans="2:14" ht="27" hidden="1" customHeight="1">
      <c r="B52" s="5"/>
      <c r="C52" s="1910"/>
      <c r="D52" s="1911"/>
      <c r="E52" s="800"/>
      <c r="F52" s="801"/>
      <c r="G52" s="802"/>
      <c r="H52" s="788"/>
      <c r="I52" s="789"/>
      <c r="J52" s="792"/>
      <c r="K52" s="791"/>
      <c r="L52" s="790"/>
      <c r="M52" s="791"/>
      <c r="N52" s="5"/>
    </row>
    <row r="53" spans="2:14" ht="27" hidden="1" customHeight="1">
      <c r="B53" s="5"/>
      <c r="C53" s="1910"/>
      <c r="D53" s="1911"/>
      <c r="E53" s="800"/>
      <c r="F53" s="801"/>
      <c r="G53" s="802"/>
      <c r="H53" s="788"/>
      <c r="I53" s="789"/>
      <c r="J53" s="792"/>
      <c r="K53" s="791"/>
      <c r="L53" s="790"/>
      <c r="M53" s="791"/>
      <c r="N53" s="5"/>
    </row>
    <row r="54" spans="2:14" ht="27" hidden="1" customHeight="1">
      <c r="B54" s="5"/>
      <c r="C54" s="1910"/>
      <c r="D54" s="1911"/>
      <c r="E54" s="800"/>
      <c r="F54" s="801"/>
      <c r="G54" s="802"/>
      <c r="H54" s="788"/>
      <c r="I54" s="789"/>
      <c r="J54" s="792"/>
      <c r="K54" s="791"/>
      <c r="L54" s="790"/>
      <c r="M54" s="791"/>
      <c r="N54" s="5"/>
    </row>
    <row r="55" spans="2:14" ht="27" hidden="1" customHeight="1">
      <c r="B55" s="5"/>
      <c r="C55" s="1910"/>
      <c r="D55" s="1911"/>
      <c r="E55" s="800"/>
      <c r="F55" s="801"/>
      <c r="G55" s="802"/>
      <c r="H55" s="788"/>
      <c r="I55" s="789"/>
      <c r="J55" s="792"/>
      <c r="K55" s="791"/>
      <c r="L55" s="790"/>
      <c r="M55" s="791"/>
      <c r="N55" s="5"/>
    </row>
    <row r="56" spans="2:14" ht="27" hidden="1" customHeight="1">
      <c r="B56" s="5"/>
      <c r="C56" s="1910"/>
      <c r="D56" s="1911"/>
      <c r="E56" s="800"/>
      <c r="F56" s="801"/>
      <c r="G56" s="802"/>
      <c r="H56" s="788"/>
      <c r="I56" s="789"/>
      <c r="J56" s="792"/>
      <c r="K56" s="791"/>
      <c r="L56" s="790"/>
      <c r="M56" s="791"/>
      <c r="N56" s="5"/>
    </row>
    <row r="57" spans="2:14" ht="27" hidden="1" customHeight="1">
      <c r="B57" s="5"/>
      <c r="C57" s="1910"/>
      <c r="D57" s="1911"/>
      <c r="E57" s="800"/>
      <c r="F57" s="801"/>
      <c r="G57" s="802"/>
      <c r="H57" s="788"/>
      <c r="I57" s="789"/>
      <c r="J57" s="792"/>
      <c r="K57" s="791"/>
      <c r="L57" s="790"/>
      <c r="M57" s="791"/>
      <c r="N57" s="5"/>
    </row>
    <row r="58" spans="2:14" ht="27" hidden="1" customHeight="1">
      <c r="B58" s="5"/>
      <c r="C58" s="1910"/>
      <c r="D58" s="1911"/>
      <c r="E58" s="800"/>
      <c r="F58" s="801"/>
      <c r="G58" s="802"/>
      <c r="H58" s="788"/>
      <c r="I58" s="789"/>
      <c r="J58" s="792"/>
      <c r="K58" s="791"/>
      <c r="L58" s="790"/>
      <c r="M58" s="791"/>
      <c r="N58" s="5"/>
    </row>
    <row r="59" spans="2:14" ht="27" hidden="1" customHeight="1">
      <c r="B59" s="5"/>
      <c r="C59" s="1910"/>
      <c r="D59" s="1911"/>
      <c r="E59" s="800"/>
      <c r="F59" s="801"/>
      <c r="G59" s="802"/>
      <c r="H59" s="788"/>
      <c r="I59" s="789"/>
      <c r="J59" s="792"/>
      <c r="K59" s="791"/>
      <c r="L59" s="790"/>
      <c r="M59" s="791"/>
      <c r="N59" s="5"/>
    </row>
    <row r="60" spans="2:14" ht="27" hidden="1" customHeight="1">
      <c r="B60" s="5"/>
      <c r="C60" s="1910"/>
      <c r="D60" s="1911"/>
      <c r="E60" s="800"/>
      <c r="F60" s="801"/>
      <c r="G60" s="802"/>
      <c r="H60" s="788"/>
      <c r="I60" s="789"/>
      <c r="J60" s="792"/>
      <c r="K60" s="791"/>
      <c r="L60" s="790"/>
      <c r="M60" s="791"/>
      <c r="N60" s="5"/>
    </row>
    <row r="61" spans="2:14" ht="27" hidden="1" customHeight="1">
      <c r="B61" s="5"/>
      <c r="C61" s="1910"/>
      <c r="D61" s="1911"/>
      <c r="E61" s="800"/>
      <c r="F61" s="801"/>
      <c r="G61" s="802"/>
      <c r="H61" s="788"/>
      <c r="I61" s="789"/>
      <c r="J61" s="792"/>
      <c r="K61" s="791"/>
      <c r="L61" s="790"/>
      <c r="M61" s="791"/>
      <c r="N61" s="5"/>
    </row>
    <row r="62" spans="2:14" ht="27" hidden="1" customHeight="1">
      <c r="B62" s="5"/>
      <c r="C62" s="1910"/>
      <c r="D62" s="1911"/>
      <c r="E62" s="800"/>
      <c r="F62" s="801"/>
      <c r="G62" s="802"/>
      <c r="H62" s="788"/>
      <c r="I62" s="789"/>
      <c r="J62" s="792"/>
      <c r="K62" s="791"/>
      <c r="L62" s="790"/>
      <c r="M62" s="791"/>
      <c r="N62" s="5"/>
    </row>
    <row r="63" spans="2:14" ht="27" hidden="1" customHeight="1">
      <c r="B63" s="5"/>
      <c r="C63" s="1910"/>
      <c r="D63" s="1911"/>
      <c r="E63" s="800"/>
      <c r="F63" s="801"/>
      <c r="G63" s="802"/>
      <c r="H63" s="788"/>
      <c r="I63" s="789"/>
      <c r="J63" s="792"/>
      <c r="K63" s="791"/>
      <c r="L63" s="790"/>
      <c r="M63" s="791"/>
      <c r="N63" s="5"/>
    </row>
    <row r="64" spans="2:14" ht="27" hidden="1" customHeight="1">
      <c r="B64" s="5"/>
      <c r="C64" s="1910"/>
      <c r="D64" s="1911"/>
      <c r="E64" s="800"/>
      <c r="F64" s="801"/>
      <c r="G64" s="802"/>
      <c r="H64" s="788"/>
      <c r="I64" s="789"/>
      <c r="J64" s="792"/>
      <c r="K64" s="791"/>
      <c r="L64" s="790"/>
      <c r="M64" s="791"/>
      <c r="N64" s="5"/>
    </row>
    <row r="65" spans="2:14" ht="27" hidden="1" customHeight="1">
      <c r="B65" s="5"/>
      <c r="C65" s="1910"/>
      <c r="D65" s="1911"/>
      <c r="E65" s="800"/>
      <c r="F65" s="801"/>
      <c r="G65" s="802"/>
      <c r="H65" s="788"/>
      <c r="I65" s="789"/>
      <c r="J65" s="792"/>
      <c r="K65" s="791"/>
      <c r="L65" s="790"/>
      <c r="M65" s="791"/>
      <c r="N65" s="5"/>
    </row>
    <row r="66" spans="2:14" ht="27" hidden="1" customHeight="1">
      <c r="B66" s="5"/>
      <c r="C66" s="1910"/>
      <c r="D66" s="1911"/>
      <c r="E66" s="800"/>
      <c r="F66" s="801"/>
      <c r="G66" s="802"/>
      <c r="H66" s="788"/>
      <c r="I66" s="789"/>
      <c r="J66" s="792"/>
      <c r="K66" s="791"/>
      <c r="L66" s="790"/>
      <c r="M66" s="791"/>
      <c r="N66" s="5"/>
    </row>
    <row r="67" spans="2:14" ht="27" hidden="1" customHeight="1">
      <c r="B67" s="5"/>
      <c r="C67" s="1910"/>
      <c r="D67" s="1911"/>
      <c r="E67" s="800"/>
      <c r="F67" s="801"/>
      <c r="G67" s="802"/>
      <c r="H67" s="788"/>
      <c r="I67" s="789"/>
      <c r="J67" s="792"/>
      <c r="K67" s="791"/>
      <c r="L67" s="790"/>
      <c r="M67" s="791"/>
      <c r="N67" s="5"/>
    </row>
    <row r="68" spans="2:14" ht="27" hidden="1" customHeight="1">
      <c r="B68" s="5"/>
      <c r="C68" s="1910"/>
      <c r="D68" s="1911"/>
      <c r="E68" s="800"/>
      <c r="F68" s="801"/>
      <c r="G68" s="802"/>
      <c r="H68" s="788"/>
      <c r="I68" s="789"/>
      <c r="J68" s="792"/>
      <c r="K68" s="791"/>
      <c r="L68" s="790"/>
      <c r="M68" s="791"/>
      <c r="N68" s="5"/>
    </row>
    <row r="69" spans="2:14" ht="27" hidden="1" customHeight="1">
      <c r="B69" s="5"/>
      <c r="C69" s="1910"/>
      <c r="D69" s="1911"/>
      <c r="E69" s="800"/>
      <c r="F69" s="801"/>
      <c r="G69" s="802"/>
      <c r="H69" s="788"/>
      <c r="I69" s="789"/>
      <c r="J69" s="792"/>
      <c r="K69" s="791"/>
      <c r="L69" s="790"/>
      <c r="M69" s="791"/>
      <c r="N69" s="5"/>
    </row>
    <row r="70" spans="2:14" ht="27" hidden="1" customHeight="1">
      <c r="B70" s="5"/>
      <c r="C70" s="1910"/>
      <c r="D70" s="1911"/>
      <c r="E70" s="800"/>
      <c r="F70" s="801"/>
      <c r="G70" s="802"/>
      <c r="H70" s="788"/>
      <c r="I70" s="789"/>
      <c r="J70" s="792"/>
      <c r="K70" s="791"/>
      <c r="L70" s="790"/>
      <c r="M70" s="791"/>
      <c r="N70" s="5"/>
    </row>
    <row r="71" spans="2:14" ht="27" hidden="1" customHeight="1">
      <c r="B71" s="5"/>
      <c r="C71" s="1910"/>
      <c r="D71" s="1911"/>
      <c r="E71" s="800"/>
      <c r="F71" s="801"/>
      <c r="G71" s="802"/>
      <c r="H71" s="788"/>
      <c r="I71" s="789"/>
      <c r="J71" s="792"/>
      <c r="K71" s="791"/>
      <c r="L71" s="790"/>
      <c r="M71" s="791"/>
      <c r="N71" s="5"/>
    </row>
    <row r="72" spans="2:14" ht="27" hidden="1" customHeight="1">
      <c r="B72" s="5"/>
      <c r="C72" s="1910"/>
      <c r="D72" s="1911"/>
      <c r="E72" s="800"/>
      <c r="F72" s="801"/>
      <c r="G72" s="802"/>
      <c r="H72" s="788"/>
      <c r="I72" s="789"/>
      <c r="J72" s="792"/>
      <c r="K72" s="791"/>
      <c r="L72" s="790"/>
      <c r="M72" s="791"/>
      <c r="N72" s="5"/>
    </row>
    <row r="73" spans="2:14" ht="27" hidden="1" customHeight="1">
      <c r="B73" s="5"/>
      <c r="C73" s="1910"/>
      <c r="D73" s="1911"/>
      <c r="E73" s="800"/>
      <c r="F73" s="801"/>
      <c r="G73" s="802"/>
      <c r="H73" s="788"/>
      <c r="I73" s="789"/>
      <c r="J73" s="792"/>
      <c r="K73" s="791"/>
      <c r="L73" s="790"/>
      <c r="M73" s="791"/>
      <c r="N73" s="5"/>
    </row>
    <row r="74" spans="2:14" ht="27" hidden="1" customHeight="1">
      <c r="B74" s="5"/>
      <c r="C74" s="1910"/>
      <c r="D74" s="1911"/>
      <c r="E74" s="800"/>
      <c r="F74" s="801"/>
      <c r="G74" s="802"/>
      <c r="H74" s="788"/>
      <c r="I74" s="789"/>
      <c r="J74" s="792"/>
      <c r="K74" s="791"/>
      <c r="L74" s="790"/>
      <c r="M74" s="791"/>
      <c r="N74" s="5"/>
    </row>
    <row r="75" spans="2:14" ht="27" hidden="1" customHeight="1">
      <c r="B75" s="5"/>
      <c r="C75" s="1910"/>
      <c r="D75" s="1911"/>
      <c r="E75" s="800"/>
      <c r="F75" s="801"/>
      <c r="G75" s="802"/>
      <c r="H75" s="788"/>
      <c r="I75" s="789"/>
      <c r="J75" s="792"/>
      <c r="K75" s="791"/>
      <c r="L75" s="790"/>
      <c r="M75" s="791"/>
      <c r="N75" s="5"/>
    </row>
    <row r="76" spans="2:14" ht="27" hidden="1" customHeight="1">
      <c r="B76" s="5"/>
      <c r="C76" s="1910"/>
      <c r="D76" s="1911"/>
      <c r="E76" s="800"/>
      <c r="F76" s="801"/>
      <c r="G76" s="802"/>
      <c r="H76" s="788"/>
      <c r="I76" s="789"/>
      <c r="J76" s="792"/>
      <c r="K76" s="791"/>
      <c r="L76" s="790"/>
      <c r="M76" s="791"/>
      <c r="N76" s="5"/>
    </row>
    <row r="77" spans="2:14" ht="27" hidden="1" customHeight="1">
      <c r="B77" s="5"/>
      <c r="C77" s="1910"/>
      <c r="D77" s="1911"/>
      <c r="E77" s="800"/>
      <c r="F77" s="801"/>
      <c r="G77" s="802"/>
      <c r="H77" s="788"/>
      <c r="I77" s="789"/>
      <c r="J77" s="792"/>
      <c r="K77" s="791"/>
      <c r="L77" s="790"/>
      <c r="M77" s="791"/>
      <c r="N77" s="5"/>
    </row>
    <row r="78" spans="2:14" ht="27" hidden="1" customHeight="1">
      <c r="B78" s="5"/>
      <c r="C78" s="1910"/>
      <c r="D78" s="1911"/>
      <c r="E78" s="800"/>
      <c r="F78" s="801"/>
      <c r="G78" s="802"/>
      <c r="H78" s="788"/>
      <c r="I78" s="789"/>
      <c r="J78" s="792"/>
      <c r="K78" s="791"/>
      <c r="L78" s="790"/>
      <c r="M78" s="791"/>
      <c r="N78" s="5"/>
    </row>
    <row r="79" spans="2:14" ht="27" hidden="1" customHeight="1">
      <c r="B79" s="5"/>
      <c r="C79" s="1910"/>
      <c r="D79" s="1911"/>
      <c r="E79" s="800"/>
      <c r="F79" s="801"/>
      <c r="G79" s="802"/>
      <c r="H79" s="788"/>
      <c r="I79" s="789"/>
      <c r="J79" s="792"/>
      <c r="K79" s="791"/>
      <c r="L79" s="790"/>
      <c r="M79" s="791"/>
      <c r="N79" s="5"/>
    </row>
    <row r="80" spans="2:14" ht="27" hidden="1" customHeight="1">
      <c r="B80" s="5"/>
      <c r="C80" s="1910"/>
      <c r="D80" s="1911"/>
      <c r="E80" s="800"/>
      <c r="F80" s="801"/>
      <c r="G80" s="802"/>
      <c r="H80" s="788"/>
      <c r="I80" s="789"/>
      <c r="J80" s="792"/>
      <c r="K80" s="791"/>
      <c r="L80" s="790"/>
      <c r="M80" s="791"/>
      <c r="N80" s="5"/>
    </row>
    <row r="81" spans="2:14" ht="27" hidden="1" customHeight="1">
      <c r="B81" s="5"/>
      <c r="C81" s="1910"/>
      <c r="D81" s="1911"/>
      <c r="E81" s="800"/>
      <c r="F81" s="801"/>
      <c r="G81" s="802"/>
      <c r="H81" s="788"/>
      <c r="I81" s="789"/>
      <c r="J81" s="792"/>
      <c r="K81" s="791"/>
      <c r="L81" s="790"/>
      <c r="M81" s="791"/>
      <c r="N81" s="5"/>
    </row>
    <row r="82" spans="2:14" ht="27" hidden="1" customHeight="1">
      <c r="B82" s="5"/>
      <c r="C82" s="1910"/>
      <c r="D82" s="1911"/>
      <c r="E82" s="800"/>
      <c r="F82" s="801"/>
      <c r="G82" s="802"/>
      <c r="H82" s="788"/>
      <c r="I82" s="789"/>
      <c r="J82" s="792"/>
      <c r="K82" s="791"/>
      <c r="L82" s="790"/>
      <c r="M82" s="791"/>
      <c r="N82" s="5"/>
    </row>
    <row r="83" spans="2:14" ht="27" hidden="1" customHeight="1">
      <c r="B83" s="5"/>
      <c r="C83" s="1910"/>
      <c r="D83" s="1911"/>
      <c r="E83" s="800"/>
      <c r="F83" s="801"/>
      <c r="G83" s="802"/>
      <c r="H83" s="788"/>
      <c r="I83" s="789"/>
      <c r="J83" s="792"/>
      <c r="K83" s="791"/>
      <c r="L83" s="790"/>
      <c r="M83" s="791"/>
      <c r="N83" s="5"/>
    </row>
    <row r="84" spans="2:14" ht="27" hidden="1" customHeight="1">
      <c r="B84" s="5"/>
      <c r="C84" s="1910"/>
      <c r="D84" s="1911"/>
      <c r="E84" s="800"/>
      <c r="F84" s="801"/>
      <c r="G84" s="802"/>
      <c r="H84" s="788"/>
      <c r="I84" s="789"/>
      <c r="J84" s="792"/>
      <c r="K84" s="791"/>
      <c r="L84" s="790"/>
      <c r="M84" s="791"/>
      <c r="N84" s="5"/>
    </row>
    <row r="85" spans="2:14" ht="27" hidden="1" customHeight="1">
      <c r="B85" s="5"/>
      <c r="C85" s="1910"/>
      <c r="D85" s="1911"/>
      <c r="E85" s="800"/>
      <c r="F85" s="801"/>
      <c r="G85" s="802"/>
      <c r="H85" s="788"/>
      <c r="I85" s="789"/>
      <c r="J85" s="792"/>
      <c r="K85" s="791"/>
      <c r="L85" s="790"/>
      <c r="M85" s="791"/>
      <c r="N85" s="5"/>
    </row>
    <row r="86" spans="2:14" ht="27" hidden="1" customHeight="1">
      <c r="B86" s="5"/>
      <c r="C86" s="1910"/>
      <c r="D86" s="1911"/>
      <c r="E86" s="800"/>
      <c r="F86" s="801"/>
      <c r="G86" s="802"/>
      <c r="H86" s="788"/>
      <c r="I86" s="789"/>
      <c r="J86" s="792"/>
      <c r="K86" s="791"/>
      <c r="L86" s="790"/>
      <c r="M86" s="791"/>
      <c r="N86" s="5"/>
    </row>
    <row r="87" spans="2:14" ht="27" hidden="1" customHeight="1">
      <c r="B87" s="5"/>
      <c r="C87" s="1910"/>
      <c r="D87" s="1911"/>
      <c r="E87" s="800"/>
      <c r="F87" s="801"/>
      <c r="G87" s="802"/>
      <c r="H87" s="788"/>
      <c r="I87" s="789"/>
      <c r="J87" s="792"/>
      <c r="K87" s="791"/>
      <c r="L87" s="790"/>
      <c r="M87" s="791"/>
      <c r="N87" s="5"/>
    </row>
    <row r="88" spans="2:14" ht="27" hidden="1" customHeight="1">
      <c r="B88" s="5"/>
      <c r="C88" s="1910"/>
      <c r="D88" s="1911"/>
      <c r="E88" s="800"/>
      <c r="F88" s="801"/>
      <c r="G88" s="802"/>
      <c r="H88" s="788"/>
      <c r="I88" s="789"/>
      <c r="J88" s="792"/>
      <c r="K88" s="791"/>
      <c r="L88" s="790"/>
      <c r="M88" s="791"/>
      <c r="N88" s="5"/>
    </row>
    <row r="89" spans="2:14" ht="27" hidden="1" customHeight="1">
      <c r="B89" s="5"/>
      <c r="C89" s="1910"/>
      <c r="D89" s="1911"/>
      <c r="E89" s="800"/>
      <c r="F89" s="801"/>
      <c r="G89" s="802"/>
      <c r="H89" s="788"/>
      <c r="I89" s="789"/>
      <c r="J89" s="792"/>
      <c r="K89" s="791"/>
      <c r="L89" s="790"/>
      <c r="M89" s="791"/>
      <c r="N89" s="5"/>
    </row>
    <row r="90" spans="2:14" ht="27" hidden="1" customHeight="1">
      <c r="B90" s="5"/>
      <c r="C90" s="1910"/>
      <c r="D90" s="1911"/>
      <c r="E90" s="800"/>
      <c r="F90" s="801"/>
      <c r="G90" s="802"/>
      <c r="H90" s="788"/>
      <c r="I90" s="789"/>
      <c r="J90" s="792"/>
      <c r="K90" s="791"/>
      <c r="L90" s="790"/>
      <c r="M90" s="791"/>
      <c r="N90" s="5"/>
    </row>
    <row r="91" spans="2:14" ht="27" hidden="1" customHeight="1">
      <c r="B91" s="5"/>
      <c r="C91" s="1910"/>
      <c r="D91" s="1911"/>
      <c r="E91" s="800"/>
      <c r="F91" s="801"/>
      <c r="G91" s="802"/>
      <c r="H91" s="788"/>
      <c r="I91" s="789"/>
      <c r="J91" s="792"/>
      <c r="K91" s="791"/>
      <c r="L91" s="790"/>
      <c r="M91" s="791"/>
      <c r="N91" s="5"/>
    </row>
    <row r="92" spans="2:14" ht="27" hidden="1" customHeight="1">
      <c r="B92" s="5"/>
      <c r="C92" s="1910"/>
      <c r="D92" s="1911"/>
      <c r="E92" s="800"/>
      <c r="F92" s="801"/>
      <c r="G92" s="802"/>
      <c r="H92" s="788"/>
      <c r="I92" s="789"/>
      <c r="J92" s="792"/>
      <c r="K92" s="791"/>
      <c r="L92" s="790"/>
      <c r="M92" s="791"/>
      <c r="N92" s="5"/>
    </row>
    <row r="93" spans="2:14" ht="27" hidden="1" customHeight="1">
      <c r="B93" s="5"/>
      <c r="C93" s="1910"/>
      <c r="D93" s="1911"/>
      <c r="E93" s="800"/>
      <c r="F93" s="801"/>
      <c r="G93" s="802"/>
      <c r="H93" s="788"/>
      <c r="I93" s="789"/>
      <c r="J93" s="792"/>
      <c r="K93" s="791"/>
      <c r="L93" s="790"/>
      <c r="M93" s="791"/>
      <c r="N93" s="5"/>
    </row>
    <row r="94" spans="2:14" ht="27" hidden="1" customHeight="1">
      <c r="B94" s="5"/>
      <c r="C94" s="1910"/>
      <c r="D94" s="1911"/>
      <c r="E94" s="800"/>
      <c r="F94" s="801"/>
      <c r="G94" s="802"/>
      <c r="H94" s="788"/>
      <c r="I94" s="789"/>
      <c r="J94" s="792"/>
      <c r="K94" s="791"/>
      <c r="L94" s="790"/>
      <c r="M94" s="791"/>
      <c r="N94" s="5"/>
    </row>
    <row r="95" spans="2:14" ht="27" hidden="1" customHeight="1">
      <c r="B95" s="5"/>
      <c r="C95" s="1910"/>
      <c r="D95" s="1911"/>
      <c r="E95" s="800"/>
      <c r="F95" s="801"/>
      <c r="G95" s="802"/>
      <c r="H95" s="788"/>
      <c r="I95" s="789"/>
      <c r="J95" s="792"/>
      <c r="K95" s="791"/>
      <c r="L95" s="790"/>
      <c r="M95" s="791"/>
      <c r="N95" s="5"/>
    </row>
    <row r="96" spans="2:14" ht="27" hidden="1" customHeight="1">
      <c r="B96" s="5"/>
      <c r="C96" s="1910"/>
      <c r="D96" s="1911"/>
      <c r="E96" s="1914"/>
      <c r="F96" s="1915"/>
      <c r="G96" s="1916"/>
      <c r="H96" s="788"/>
      <c r="I96" s="789"/>
      <c r="J96" s="1908"/>
      <c r="K96" s="1909"/>
      <c r="L96" s="1913"/>
      <c r="M96" s="1909"/>
      <c r="N96" s="5"/>
    </row>
    <row r="97" spans="1:14" ht="27" hidden="1" customHeight="1">
      <c r="B97" s="5"/>
      <c r="C97" s="1910"/>
      <c r="D97" s="1911"/>
      <c r="E97" s="1914"/>
      <c r="F97" s="1915"/>
      <c r="G97" s="1916"/>
      <c r="H97" s="788"/>
      <c r="I97" s="789"/>
      <c r="J97" s="1908"/>
      <c r="K97" s="1909"/>
      <c r="L97" s="1913"/>
      <c r="M97" s="1909"/>
      <c r="N97" s="5"/>
    </row>
    <row r="98" spans="1:14" ht="27" hidden="1" customHeight="1">
      <c r="A98" s="4"/>
      <c r="B98" s="5"/>
      <c r="C98" s="1910"/>
      <c r="D98" s="1911"/>
      <c r="E98" s="1914"/>
      <c r="F98" s="1915"/>
      <c r="G98" s="1916"/>
      <c r="H98" s="788"/>
      <c r="I98" s="789"/>
      <c r="J98" s="1908"/>
      <c r="K98" s="1909"/>
      <c r="L98" s="1913"/>
      <c r="M98" s="1909"/>
      <c r="N98" s="4"/>
    </row>
    <row r="99" spans="1:14" ht="27" hidden="1" customHeight="1">
      <c r="A99" s="355"/>
      <c r="B99" s="5"/>
      <c r="C99" s="1910"/>
      <c r="D99" s="1911"/>
      <c r="E99" s="1914"/>
      <c r="F99" s="1915"/>
      <c r="G99" s="1916"/>
      <c r="H99" s="788"/>
      <c r="I99" s="789"/>
      <c r="J99" s="1908"/>
      <c r="K99" s="1909"/>
      <c r="L99" s="1913"/>
      <c r="M99" s="1909"/>
      <c r="N99" s="355"/>
    </row>
    <row r="100" spans="1:14" ht="27" hidden="1" customHeight="1">
      <c r="A100" s="357"/>
      <c r="B100" s="5"/>
      <c r="C100" s="1910"/>
      <c r="D100" s="1911"/>
      <c r="E100" s="1914"/>
      <c r="F100" s="1915"/>
      <c r="G100" s="1916"/>
      <c r="H100" s="788"/>
      <c r="I100" s="789"/>
      <c r="J100" s="1908"/>
      <c r="K100" s="1909"/>
      <c r="L100" s="1913"/>
      <c r="M100" s="1909"/>
      <c r="N100" s="357"/>
    </row>
    <row r="101" spans="1:14" ht="27" hidden="1" customHeight="1">
      <c r="A101" s="423"/>
      <c r="B101" s="5"/>
      <c r="C101" s="1910"/>
      <c r="D101" s="1911"/>
      <c r="E101" s="1914"/>
      <c r="F101" s="1915"/>
      <c r="G101" s="1916"/>
      <c r="H101" s="788"/>
      <c r="I101" s="789"/>
      <c r="J101" s="1908"/>
      <c r="K101" s="1909"/>
      <c r="L101" s="1913"/>
      <c r="M101" s="1909"/>
      <c r="N101" s="357"/>
    </row>
    <row r="102" spans="1:14" ht="27" hidden="1" customHeight="1">
      <c r="A102" s="423"/>
      <c r="B102" s="5"/>
      <c r="C102" s="1910"/>
      <c r="D102" s="1911"/>
      <c r="E102" s="1914"/>
      <c r="F102" s="1915"/>
      <c r="G102" s="1916"/>
      <c r="H102" s="788"/>
      <c r="I102" s="789"/>
      <c r="J102" s="1908"/>
      <c r="K102" s="1909"/>
      <c r="L102" s="1913"/>
      <c r="M102" s="1909"/>
      <c r="N102" s="357"/>
    </row>
    <row r="103" spans="1:14" ht="27" hidden="1" customHeight="1">
      <c r="A103" s="423"/>
      <c r="B103" s="5"/>
      <c r="C103" s="1910"/>
      <c r="D103" s="1911"/>
      <c r="E103" s="1914"/>
      <c r="F103" s="1915"/>
      <c r="G103" s="1916"/>
      <c r="H103" s="788"/>
      <c r="I103" s="789"/>
      <c r="J103" s="1908"/>
      <c r="K103" s="1909"/>
      <c r="L103" s="1913"/>
      <c r="M103" s="1909"/>
      <c r="N103" s="357"/>
    </row>
    <row r="104" spans="1:14" ht="27" hidden="1" customHeight="1">
      <c r="A104" s="423"/>
      <c r="B104" s="5"/>
      <c r="C104" s="1910"/>
      <c r="D104" s="1911"/>
      <c r="E104" s="800"/>
      <c r="F104" s="801"/>
      <c r="G104" s="802"/>
      <c r="H104" s="788"/>
      <c r="I104" s="789"/>
      <c r="J104" s="792"/>
      <c r="K104" s="791"/>
      <c r="L104" s="790"/>
      <c r="M104" s="791"/>
      <c r="N104" s="357"/>
    </row>
    <row r="105" spans="1:14" ht="27" hidden="1" customHeight="1">
      <c r="A105" s="423"/>
      <c r="B105" s="5"/>
      <c r="C105" s="1910"/>
      <c r="D105" s="1911"/>
      <c r="E105" s="800"/>
      <c r="F105" s="801"/>
      <c r="G105" s="802"/>
      <c r="H105" s="788"/>
      <c r="I105" s="789"/>
      <c r="J105" s="792"/>
      <c r="K105" s="791"/>
      <c r="L105" s="790"/>
      <c r="M105" s="791"/>
      <c r="N105" s="357"/>
    </row>
    <row r="106" spans="1:14" ht="27" hidden="1" customHeight="1">
      <c r="A106" s="423"/>
      <c r="B106" s="5"/>
      <c r="C106" s="1910"/>
      <c r="D106" s="1911"/>
      <c r="E106" s="800"/>
      <c r="F106" s="801"/>
      <c r="G106" s="802"/>
      <c r="H106" s="788"/>
      <c r="I106" s="789"/>
      <c r="J106" s="792"/>
      <c r="K106" s="791"/>
      <c r="L106" s="790"/>
      <c r="M106" s="791"/>
      <c r="N106" s="357"/>
    </row>
    <row r="107" spans="1:14" ht="27" hidden="1" customHeight="1">
      <c r="A107" s="423"/>
      <c r="B107" s="5"/>
      <c r="C107" s="1910"/>
      <c r="D107" s="1911"/>
      <c r="E107" s="800"/>
      <c r="F107" s="801"/>
      <c r="G107" s="802"/>
      <c r="H107" s="788"/>
      <c r="I107" s="789"/>
      <c r="J107" s="792"/>
      <c r="K107" s="791"/>
      <c r="L107" s="790"/>
      <c r="M107" s="791"/>
      <c r="N107" s="357"/>
    </row>
    <row r="108" spans="1:14" ht="27" hidden="1" customHeight="1">
      <c r="A108" s="423"/>
      <c r="B108" s="5"/>
      <c r="C108" s="1910"/>
      <c r="D108" s="1911"/>
      <c r="E108" s="800"/>
      <c r="F108" s="801"/>
      <c r="G108" s="802"/>
      <c r="H108" s="788"/>
      <c r="I108" s="789"/>
      <c r="J108" s="792"/>
      <c r="K108" s="791"/>
      <c r="L108" s="790"/>
      <c r="M108" s="791"/>
      <c r="N108" s="357"/>
    </row>
    <row r="109" spans="1:14" ht="27" hidden="1" customHeight="1">
      <c r="A109" s="423"/>
      <c r="B109" s="5"/>
      <c r="C109" s="1910"/>
      <c r="D109" s="1911"/>
      <c r="E109" s="800"/>
      <c r="F109" s="801"/>
      <c r="G109" s="802"/>
      <c r="H109" s="788"/>
      <c r="I109" s="789"/>
      <c r="J109" s="792"/>
      <c r="K109" s="791"/>
      <c r="L109" s="790"/>
      <c r="M109" s="791"/>
      <c r="N109" s="357"/>
    </row>
    <row r="110" spans="1:14" ht="27" hidden="1" customHeight="1">
      <c r="A110" s="423"/>
      <c r="B110" s="5"/>
      <c r="C110" s="1910"/>
      <c r="D110" s="1911"/>
      <c r="E110" s="1914"/>
      <c r="F110" s="1915"/>
      <c r="G110" s="1916"/>
      <c r="H110" s="788"/>
      <c r="I110" s="789"/>
      <c r="J110" s="1908"/>
      <c r="K110" s="1909"/>
      <c r="L110" s="1913"/>
      <c r="M110" s="1909"/>
      <c r="N110" s="357"/>
    </row>
    <row r="111" spans="1:14" ht="27" hidden="1" customHeight="1">
      <c r="A111" s="423"/>
      <c r="B111" s="5"/>
      <c r="C111" s="1910"/>
      <c r="D111" s="1911"/>
      <c r="E111" s="1914"/>
      <c r="F111" s="1915"/>
      <c r="G111" s="1916"/>
      <c r="H111" s="788"/>
      <c r="I111" s="789"/>
      <c r="J111" s="1908"/>
      <c r="K111" s="1909"/>
      <c r="L111" s="1913"/>
      <c r="M111" s="1909"/>
      <c r="N111" s="357"/>
    </row>
    <row r="112" spans="1:14" ht="27" hidden="1" customHeight="1">
      <c r="A112" s="423"/>
      <c r="B112" s="5"/>
      <c r="C112" s="1910"/>
      <c r="D112" s="1911"/>
      <c r="E112" s="800"/>
      <c r="F112" s="801"/>
      <c r="G112" s="802"/>
      <c r="H112" s="788"/>
      <c r="I112" s="789"/>
      <c r="J112" s="792"/>
      <c r="K112" s="791"/>
      <c r="L112" s="790"/>
      <c r="M112" s="791"/>
      <c r="N112" s="357"/>
    </row>
    <row r="113" spans="1:14" ht="27" hidden="1" customHeight="1">
      <c r="A113" s="423"/>
      <c r="B113" s="5"/>
      <c r="C113" s="1910"/>
      <c r="D113" s="1911"/>
      <c r="E113" s="800"/>
      <c r="F113" s="801"/>
      <c r="G113" s="802"/>
      <c r="H113" s="788"/>
      <c r="I113" s="789"/>
      <c r="J113" s="792"/>
      <c r="K113" s="791"/>
      <c r="L113" s="790"/>
      <c r="M113" s="791"/>
      <c r="N113" s="357"/>
    </row>
    <row r="114" spans="1:14" ht="27" hidden="1" customHeight="1">
      <c r="A114" s="423"/>
      <c r="B114" s="5"/>
      <c r="C114" s="1910"/>
      <c r="D114" s="1911"/>
      <c r="E114" s="1914"/>
      <c r="F114" s="1915"/>
      <c r="G114" s="1916"/>
      <c r="H114" s="788"/>
      <c r="I114" s="789"/>
      <c r="J114" s="1908"/>
      <c r="K114" s="1909"/>
      <c r="L114" s="1913"/>
      <c r="M114" s="1909"/>
      <c r="N114" s="357"/>
    </row>
    <row r="115" spans="1:14" ht="27" hidden="1" customHeight="1">
      <c r="A115" s="423"/>
      <c r="B115" s="5"/>
      <c r="C115" s="1910"/>
      <c r="D115" s="1911"/>
      <c r="E115" s="1914"/>
      <c r="F115" s="1915"/>
      <c r="G115" s="1916"/>
      <c r="H115" s="788"/>
      <c r="I115" s="789"/>
      <c r="J115" s="1908"/>
      <c r="K115" s="1909"/>
      <c r="L115" s="1913"/>
      <c r="M115" s="1909"/>
      <c r="N115" s="357"/>
    </row>
    <row r="116" spans="1:14" ht="27" hidden="1" customHeight="1">
      <c r="A116" s="423"/>
      <c r="B116" s="5"/>
      <c r="C116" s="1910"/>
      <c r="D116" s="1911"/>
      <c r="E116" s="1914"/>
      <c r="F116" s="1915"/>
      <c r="G116" s="1916"/>
      <c r="H116" s="788"/>
      <c r="I116" s="789"/>
      <c r="J116" s="1908"/>
      <c r="K116" s="1909"/>
      <c r="L116" s="1913"/>
      <c r="M116" s="1909"/>
      <c r="N116" s="357"/>
    </row>
    <row r="117" spans="1:14" ht="27.95" customHeight="1">
      <c r="A117" s="423"/>
      <c r="B117" s="357"/>
      <c r="C117" s="774" t="s">
        <v>3020</v>
      </c>
      <c r="E117" s="768"/>
      <c r="F117"/>
      <c r="G117" s="773"/>
      <c r="H117" s="812" t="s">
        <v>699</v>
      </c>
      <c r="I117" s="779"/>
      <c r="J117" s="779"/>
      <c r="K117" s="804" t="s">
        <v>3231</v>
      </c>
      <c r="L117" s="1906"/>
      <c r="M117" s="1907"/>
      <c r="N117" s="357"/>
    </row>
    <row r="118" spans="1:14" ht="27.95" customHeight="1">
      <c r="A118" s="423"/>
      <c r="B118" s="357"/>
      <c r="C118" s="805" t="s">
        <v>3029</v>
      </c>
      <c r="D118" s="758"/>
      <c r="E118" s="759"/>
      <c r="F118" s="759"/>
      <c r="G118" s="759"/>
      <c r="H118" s="759"/>
      <c r="I118" s="780"/>
      <c r="J118" s="780"/>
      <c r="K118" s="225" t="s">
        <v>3232</v>
      </c>
      <c r="L118" s="1906"/>
      <c r="M118" s="1907"/>
      <c r="N118" s="357"/>
    </row>
    <row r="119" spans="1:14" ht="27.95" customHeight="1">
      <c r="A119" s="423"/>
      <c r="B119" s="357"/>
      <c r="C119" s="758"/>
      <c r="D119" s="758"/>
      <c r="E119" s="759"/>
      <c r="F119" s="759"/>
      <c r="G119" s="759"/>
      <c r="I119" s="753"/>
      <c r="J119" s="753"/>
      <c r="K119" s="225" t="s">
        <v>3233</v>
      </c>
      <c r="L119" s="1906"/>
      <c r="M119" s="1907"/>
      <c r="N119" s="357"/>
    </row>
    <row r="120" spans="1:14" ht="30" customHeight="1">
      <c r="A120" s="423"/>
      <c r="B120" s="357"/>
      <c r="C120" s="758"/>
      <c r="D120" s="758"/>
      <c r="E120" s="759"/>
      <c r="F120" s="759"/>
      <c r="G120" s="759"/>
      <c r="I120" s="753"/>
      <c r="J120" s="753"/>
      <c r="K120" s="225" t="s">
        <v>3234</v>
      </c>
      <c r="L120" s="1906"/>
      <c r="M120" s="1907"/>
      <c r="N120" s="357"/>
    </row>
    <row r="121" spans="1:14" ht="30" hidden="1" customHeight="1">
      <c r="A121" s="423"/>
      <c r="B121" s="357"/>
      <c r="C121" s="758"/>
      <c r="D121" s="758"/>
      <c r="E121" s="759"/>
      <c r="F121" s="759"/>
      <c r="G121" s="759"/>
      <c r="H121" s="760"/>
      <c r="I121" s="753"/>
      <c r="J121" s="753"/>
      <c r="K121" s="225" t="s">
        <v>3234</v>
      </c>
      <c r="L121" s="761"/>
      <c r="M121" s="761"/>
      <c r="N121" s="357"/>
    </row>
    <row r="122" spans="1:14" ht="30" hidden="1" customHeight="1">
      <c r="A122" s="423"/>
      <c r="B122" s="357"/>
      <c r="C122" s="758"/>
      <c r="D122" s="758"/>
      <c r="E122" s="759"/>
      <c r="F122" s="759"/>
      <c r="G122" s="759"/>
      <c r="H122" s="760"/>
      <c r="I122" s="753"/>
      <c r="J122" s="753"/>
      <c r="K122" s="225" t="s">
        <v>3234</v>
      </c>
      <c r="L122" s="761"/>
      <c r="M122" s="761"/>
      <c r="N122" s="357"/>
    </row>
    <row r="123" spans="1:14" ht="30" hidden="1" customHeight="1">
      <c r="A123" s="423"/>
      <c r="B123" s="357"/>
      <c r="C123" s="758"/>
      <c r="D123" s="758"/>
      <c r="E123" s="759"/>
      <c r="F123" s="759"/>
      <c r="G123" s="759"/>
      <c r="H123" s="760"/>
      <c r="I123" s="753"/>
      <c r="J123" s="753"/>
      <c r="K123" s="225" t="s">
        <v>3234</v>
      </c>
      <c r="L123" s="761"/>
      <c r="M123" s="761"/>
      <c r="N123" s="357"/>
    </row>
    <row r="124" spans="1:14" ht="30" hidden="1" customHeight="1">
      <c r="A124" s="423"/>
      <c r="B124" s="357"/>
      <c r="C124" s="758"/>
      <c r="D124" s="758"/>
      <c r="E124" s="759"/>
      <c r="F124" s="759"/>
      <c r="G124" s="759"/>
      <c r="H124" s="760"/>
      <c r="I124" s="753"/>
      <c r="J124" s="753"/>
      <c r="K124" s="225" t="s">
        <v>3234</v>
      </c>
      <c r="L124" s="761"/>
      <c r="M124" s="761"/>
      <c r="N124" s="357"/>
    </row>
    <row r="125" spans="1:14" ht="30" hidden="1" customHeight="1">
      <c r="A125" s="423"/>
      <c r="B125" s="357"/>
      <c r="C125" s="758"/>
      <c r="D125" s="758"/>
      <c r="E125" s="759"/>
      <c r="F125" s="759"/>
      <c r="G125" s="759"/>
      <c r="H125" s="760"/>
      <c r="I125" s="753"/>
      <c r="J125" s="753"/>
      <c r="K125" s="225" t="s">
        <v>3234</v>
      </c>
      <c r="L125" s="761"/>
      <c r="M125" s="761"/>
      <c r="N125" s="357"/>
    </row>
    <row r="126" spans="1:14" ht="30" hidden="1" customHeight="1">
      <c r="A126" s="423"/>
      <c r="B126" s="357"/>
      <c r="C126" s="758"/>
      <c r="D126" s="758"/>
      <c r="E126" s="759"/>
      <c r="F126" s="759"/>
      <c r="G126" s="759"/>
      <c r="H126" s="760"/>
      <c r="I126" s="753"/>
      <c r="J126" s="753"/>
      <c r="K126" s="225" t="s">
        <v>3234</v>
      </c>
      <c r="L126" s="761"/>
      <c r="M126" s="761"/>
      <c r="N126" s="357"/>
    </row>
    <row r="127" spans="1:14" ht="30" hidden="1" customHeight="1">
      <c r="A127" s="423"/>
      <c r="B127" s="357"/>
      <c r="C127" s="758"/>
      <c r="D127" s="758"/>
      <c r="E127" s="759"/>
      <c r="F127" s="759"/>
      <c r="G127" s="759"/>
      <c r="H127" s="760"/>
      <c r="I127" s="753"/>
      <c r="J127" s="753"/>
      <c r="K127" s="225" t="s">
        <v>3234</v>
      </c>
      <c r="L127" s="761"/>
      <c r="M127" s="761"/>
      <c r="N127" s="357"/>
    </row>
    <row r="128" spans="1:14" ht="30" hidden="1" customHeight="1">
      <c r="A128" s="423"/>
      <c r="B128" s="357"/>
      <c r="C128" s="758"/>
      <c r="D128" s="758"/>
      <c r="E128" s="759"/>
      <c r="F128" s="759"/>
      <c r="G128" s="759"/>
      <c r="H128" s="760"/>
      <c r="I128" s="753"/>
      <c r="J128" s="753"/>
      <c r="K128" s="225" t="s">
        <v>3234</v>
      </c>
      <c r="L128" s="761"/>
      <c r="M128" s="761"/>
      <c r="N128" s="357"/>
    </row>
    <row r="129" spans="1:14" ht="30" hidden="1" customHeight="1">
      <c r="A129" s="423"/>
      <c r="B129" s="357"/>
      <c r="C129" s="758"/>
      <c r="D129" s="758"/>
      <c r="E129" s="759"/>
      <c r="F129" s="759"/>
      <c r="G129" s="759"/>
      <c r="H129" s="760"/>
      <c r="I129" s="753"/>
      <c r="J129" s="753"/>
      <c r="K129" s="225" t="s">
        <v>3234</v>
      </c>
      <c r="L129" s="761"/>
      <c r="M129" s="761"/>
      <c r="N129" s="357"/>
    </row>
    <row r="130" spans="1:14" ht="30" hidden="1" customHeight="1">
      <c r="A130" s="423"/>
      <c r="B130" s="357"/>
      <c r="C130" s="758"/>
      <c r="D130" s="758"/>
      <c r="E130" s="759"/>
      <c r="F130" s="759"/>
      <c r="G130" s="759"/>
      <c r="H130" s="760"/>
      <c r="I130" s="753"/>
      <c r="J130" s="753"/>
      <c r="K130" s="225" t="s">
        <v>3234</v>
      </c>
      <c r="L130" s="761"/>
      <c r="M130" s="761"/>
      <c r="N130" s="357"/>
    </row>
    <row r="131" spans="1:14" ht="30" hidden="1" customHeight="1">
      <c r="A131" s="423"/>
      <c r="B131" s="357"/>
      <c r="C131" s="758"/>
      <c r="D131" s="758"/>
      <c r="E131" s="759"/>
      <c r="F131" s="759"/>
      <c r="G131" s="759"/>
      <c r="H131" s="760"/>
      <c r="I131" s="753"/>
      <c r="J131" s="753"/>
      <c r="K131" s="225" t="s">
        <v>3234</v>
      </c>
      <c r="L131" s="761"/>
      <c r="M131" s="761"/>
      <c r="N131" s="357"/>
    </row>
    <row r="132" spans="1:14" ht="30" hidden="1" customHeight="1">
      <c r="A132" s="423"/>
      <c r="B132" s="357"/>
      <c r="C132" s="758"/>
      <c r="D132" s="758"/>
      <c r="E132" s="759"/>
      <c r="F132" s="759"/>
      <c r="G132" s="759"/>
      <c r="H132" s="760"/>
      <c r="I132" s="753"/>
      <c r="J132" s="753"/>
      <c r="K132" s="225" t="s">
        <v>3234</v>
      </c>
      <c r="L132" s="761"/>
      <c r="M132" s="761"/>
      <c r="N132" s="357"/>
    </row>
    <row r="133" spans="1:14" ht="30" hidden="1" customHeight="1">
      <c r="A133" s="423"/>
      <c r="B133" s="357"/>
      <c r="C133" s="758"/>
      <c r="D133" s="758"/>
      <c r="E133" s="759"/>
      <c r="F133" s="759"/>
      <c r="G133" s="759"/>
      <c r="H133" s="760"/>
      <c r="I133" s="753"/>
      <c r="J133" s="753"/>
      <c r="K133" s="225" t="s">
        <v>3234</v>
      </c>
      <c r="L133" s="761"/>
      <c r="M133" s="761"/>
      <c r="N133" s="357"/>
    </row>
    <row r="134" spans="1:14" ht="30" hidden="1" customHeight="1">
      <c r="A134" s="423"/>
      <c r="B134" s="357"/>
      <c r="C134" s="758"/>
      <c r="D134" s="758"/>
      <c r="E134" s="759"/>
      <c r="F134" s="759"/>
      <c r="G134" s="759"/>
      <c r="H134" s="760"/>
      <c r="I134" s="753"/>
      <c r="J134" s="753"/>
      <c r="K134" s="225" t="s">
        <v>3234</v>
      </c>
      <c r="L134" s="761"/>
      <c r="M134" s="761"/>
      <c r="N134" s="357"/>
    </row>
    <row r="135" spans="1:14" ht="30" hidden="1" customHeight="1">
      <c r="A135" s="423"/>
      <c r="B135" s="357"/>
      <c r="C135" s="758"/>
      <c r="D135" s="758"/>
      <c r="E135" s="759"/>
      <c r="F135" s="759"/>
      <c r="G135" s="759"/>
      <c r="H135" s="760"/>
      <c r="I135" s="753"/>
      <c r="J135" s="753"/>
      <c r="K135" s="225" t="s">
        <v>3234</v>
      </c>
      <c r="L135" s="761"/>
      <c r="M135" s="761"/>
      <c r="N135" s="357"/>
    </row>
    <row r="136" spans="1:14" ht="30" hidden="1" customHeight="1">
      <c r="A136" s="423"/>
      <c r="B136" s="357"/>
      <c r="C136" s="758"/>
      <c r="D136" s="758"/>
      <c r="E136" s="759"/>
      <c r="F136" s="759"/>
      <c r="G136" s="759"/>
      <c r="H136" s="760"/>
      <c r="I136" s="753"/>
      <c r="J136" s="753"/>
      <c r="K136" s="225" t="s">
        <v>3234</v>
      </c>
      <c r="L136" s="761"/>
      <c r="M136" s="761"/>
      <c r="N136" s="357"/>
    </row>
    <row r="137" spans="1:14" ht="30" hidden="1" customHeight="1">
      <c r="A137" s="357"/>
      <c r="B137" s="357"/>
      <c r="C137" s="758"/>
      <c r="D137" s="758"/>
      <c r="E137" s="759"/>
      <c r="F137" s="759"/>
      <c r="G137" s="759"/>
      <c r="H137" s="760"/>
      <c r="I137" s="753"/>
      <c r="J137" s="753"/>
      <c r="K137" s="225" t="s">
        <v>3234</v>
      </c>
      <c r="L137" s="761"/>
      <c r="M137" s="761"/>
      <c r="N137" s="357"/>
    </row>
    <row r="138" spans="1:14" ht="30" hidden="1" customHeight="1">
      <c r="A138" s="357"/>
      <c r="B138" s="357"/>
      <c r="C138" s="758"/>
      <c r="D138" s="758"/>
      <c r="E138" s="759"/>
      <c r="F138" s="759"/>
      <c r="G138" s="759"/>
      <c r="H138" s="760"/>
      <c r="I138" s="753"/>
      <c r="J138" s="753"/>
      <c r="K138" s="225" t="s">
        <v>3234</v>
      </c>
      <c r="L138" s="761"/>
      <c r="M138" s="761"/>
      <c r="N138" s="357"/>
    </row>
    <row r="139" spans="1:14" ht="30" hidden="1" customHeight="1">
      <c r="A139" s="357"/>
      <c r="B139" s="357"/>
      <c r="C139" s="758"/>
      <c r="D139" s="758"/>
      <c r="E139" s="759"/>
      <c r="F139" s="759"/>
      <c r="G139" s="759"/>
      <c r="H139" s="760"/>
      <c r="I139" s="753"/>
      <c r="J139" s="753"/>
      <c r="K139" s="225" t="s">
        <v>3234</v>
      </c>
      <c r="L139" s="761"/>
      <c r="M139" s="761"/>
      <c r="N139" s="357"/>
    </row>
    <row r="140" spans="1:14" ht="30" hidden="1" customHeight="1">
      <c r="A140" s="357"/>
      <c r="B140" s="357"/>
      <c r="C140" s="758"/>
      <c r="D140" s="758"/>
      <c r="E140" s="759"/>
      <c r="F140" s="759"/>
      <c r="G140" s="759"/>
      <c r="H140" s="760"/>
      <c r="I140" s="753"/>
      <c r="J140" s="753"/>
      <c r="K140" s="225" t="s">
        <v>3234</v>
      </c>
      <c r="L140" s="761"/>
      <c r="M140" s="761"/>
      <c r="N140" s="357"/>
    </row>
    <row r="141" spans="1:14" ht="30" hidden="1" customHeight="1">
      <c r="A141" s="357"/>
      <c r="B141" s="357"/>
      <c r="C141" s="758"/>
      <c r="D141" s="758"/>
      <c r="E141" s="759"/>
      <c r="F141" s="759"/>
      <c r="G141" s="759"/>
      <c r="H141" s="760"/>
      <c r="I141" s="753"/>
      <c r="J141" s="753"/>
      <c r="K141" s="225" t="s">
        <v>3234</v>
      </c>
      <c r="L141" s="761"/>
      <c r="M141" s="761"/>
      <c r="N141" s="357"/>
    </row>
    <row r="142" spans="1:14" ht="30" hidden="1" customHeight="1">
      <c r="A142" s="357"/>
      <c r="B142" s="357"/>
      <c r="C142" s="758"/>
      <c r="D142" s="758"/>
      <c r="E142" s="759"/>
      <c r="F142" s="759"/>
      <c r="G142" s="759"/>
      <c r="H142" s="760"/>
      <c r="I142" s="753"/>
      <c r="J142" s="753"/>
      <c r="K142" s="225" t="s">
        <v>3234</v>
      </c>
      <c r="L142" s="761"/>
      <c r="M142" s="761"/>
      <c r="N142" s="357"/>
    </row>
    <row r="143" spans="1:14" ht="30" hidden="1" customHeight="1">
      <c r="A143" s="357"/>
      <c r="B143" s="357"/>
      <c r="C143" s="758"/>
      <c r="D143" s="758"/>
      <c r="E143" s="759"/>
      <c r="F143" s="759"/>
      <c r="G143" s="759"/>
      <c r="H143" s="760"/>
      <c r="I143" s="753"/>
      <c r="J143" s="753"/>
      <c r="K143" s="225" t="s">
        <v>3234</v>
      </c>
      <c r="L143" s="761"/>
      <c r="M143" s="761"/>
      <c r="N143" s="357"/>
    </row>
    <row r="144" spans="1:14" ht="30" hidden="1" customHeight="1">
      <c r="A144" s="357"/>
      <c r="B144" s="357"/>
      <c r="C144" s="758"/>
      <c r="D144" s="758"/>
      <c r="E144" s="759"/>
      <c r="F144" s="759"/>
      <c r="G144" s="759"/>
      <c r="H144" s="760"/>
      <c r="I144" s="753"/>
      <c r="J144" s="753"/>
      <c r="K144" s="225" t="s">
        <v>3234</v>
      </c>
      <c r="L144" s="761"/>
      <c r="M144" s="761"/>
      <c r="N144" s="357"/>
    </row>
    <row r="145" spans="1:14" ht="30" hidden="1" customHeight="1">
      <c r="A145" s="357"/>
      <c r="B145" s="357"/>
      <c r="C145" s="758"/>
      <c r="D145" s="758"/>
      <c r="E145" s="759"/>
      <c r="F145" s="759"/>
      <c r="G145" s="759"/>
      <c r="H145" s="760"/>
      <c r="I145" s="753"/>
      <c r="J145" s="753"/>
      <c r="K145" s="225" t="s">
        <v>3234</v>
      </c>
      <c r="L145" s="761"/>
      <c r="M145" s="761"/>
      <c r="N145" s="357"/>
    </row>
    <row r="146" spans="1:14" ht="30" hidden="1" customHeight="1">
      <c r="A146" s="357"/>
      <c r="B146" s="357"/>
      <c r="C146" s="758"/>
      <c r="D146" s="758"/>
      <c r="E146" s="759"/>
      <c r="F146" s="759"/>
      <c r="G146" s="759"/>
      <c r="H146" s="760"/>
      <c r="I146" s="753"/>
      <c r="J146" s="753"/>
      <c r="K146" s="225" t="s">
        <v>3234</v>
      </c>
      <c r="L146" s="761"/>
      <c r="M146" s="761"/>
      <c r="N146" s="357"/>
    </row>
    <row r="147" spans="1:14" ht="30" hidden="1" customHeight="1">
      <c r="A147" s="357"/>
      <c r="B147" s="357"/>
      <c r="C147" s="758"/>
      <c r="D147" s="758"/>
      <c r="E147" s="759"/>
      <c r="F147" s="759"/>
      <c r="G147" s="759"/>
      <c r="H147" s="760"/>
      <c r="I147" s="753"/>
      <c r="J147" s="753"/>
      <c r="K147" s="225" t="s">
        <v>3234</v>
      </c>
      <c r="L147" s="761"/>
      <c r="M147" s="761"/>
      <c r="N147" s="357"/>
    </row>
    <row r="148" spans="1:14" ht="30" hidden="1" customHeight="1">
      <c r="A148" s="357"/>
      <c r="B148" s="357"/>
      <c r="C148" s="758"/>
      <c r="D148" s="758"/>
      <c r="E148" s="759"/>
      <c r="F148" s="759"/>
      <c r="G148" s="759"/>
      <c r="H148" s="760"/>
      <c r="I148" s="753"/>
      <c r="J148" s="753"/>
      <c r="K148" s="225" t="s">
        <v>3234</v>
      </c>
      <c r="L148" s="761"/>
      <c r="M148" s="761"/>
      <c r="N148" s="357"/>
    </row>
    <row r="149" spans="1:14" ht="30" hidden="1" customHeight="1">
      <c r="A149" s="357"/>
      <c r="B149" s="357"/>
      <c r="C149" s="758"/>
      <c r="D149" s="758"/>
      <c r="E149" s="759"/>
      <c r="F149" s="759"/>
      <c r="G149" s="759"/>
      <c r="H149" s="760"/>
      <c r="I149" s="753"/>
      <c r="J149" s="753"/>
      <c r="K149" s="225" t="s">
        <v>3234</v>
      </c>
      <c r="L149" s="761"/>
      <c r="M149" s="761"/>
      <c r="N149" s="357"/>
    </row>
    <row r="150" spans="1:14" ht="30" hidden="1" customHeight="1">
      <c r="A150" s="357"/>
      <c r="B150" s="357"/>
      <c r="C150" s="758"/>
      <c r="D150" s="758"/>
      <c r="E150" s="759"/>
      <c r="F150" s="759"/>
      <c r="G150" s="759"/>
      <c r="H150" s="760"/>
      <c r="I150" s="753"/>
      <c r="J150" s="753"/>
      <c r="K150" s="225" t="s">
        <v>3234</v>
      </c>
      <c r="L150" s="761"/>
      <c r="M150" s="761"/>
      <c r="N150" s="357"/>
    </row>
    <row r="151" spans="1:14" ht="30" hidden="1" customHeight="1">
      <c r="A151" s="357"/>
      <c r="B151" s="357"/>
      <c r="C151" s="758"/>
      <c r="D151" s="758"/>
      <c r="E151" s="759"/>
      <c r="F151" s="759"/>
      <c r="G151" s="759"/>
      <c r="H151" s="760"/>
      <c r="I151" s="753"/>
      <c r="J151" s="753"/>
      <c r="K151" s="225" t="s">
        <v>3234</v>
      </c>
      <c r="L151" s="761"/>
      <c r="M151" s="761"/>
      <c r="N151" s="357"/>
    </row>
    <row r="152" spans="1:14" ht="30" hidden="1" customHeight="1">
      <c r="A152" s="357"/>
      <c r="B152" s="357"/>
      <c r="C152" s="758"/>
      <c r="D152" s="758"/>
      <c r="E152" s="759"/>
      <c r="F152" s="759"/>
      <c r="G152" s="759"/>
      <c r="H152" s="760"/>
      <c r="I152" s="753"/>
      <c r="J152" s="753"/>
      <c r="K152" s="225" t="s">
        <v>3234</v>
      </c>
      <c r="L152" s="761"/>
      <c r="M152" s="761"/>
      <c r="N152" s="357"/>
    </row>
    <row r="153" spans="1:14" ht="30" hidden="1" customHeight="1">
      <c r="A153" s="357"/>
      <c r="B153" s="357"/>
      <c r="C153" s="758"/>
      <c r="D153" s="758"/>
      <c r="E153" s="759"/>
      <c r="F153" s="759"/>
      <c r="G153" s="759"/>
      <c r="H153" s="760"/>
      <c r="I153" s="753"/>
      <c r="J153" s="753"/>
      <c r="K153" s="225" t="s">
        <v>3234</v>
      </c>
      <c r="L153" s="761"/>
      <c r="M153" s="761"/>
      <c r="N153" s="357"/>
    </row>
    <row r="154" spans="1:14" ht="30" hidden="1" customHeight="1">
      <c r="A154" s="357"/>
      <c r="B154" s="357"/>
      <c r="C154" s="758"/>
      <c r="D154" s="758"/>
      <c r="E154" s="759"/>
      <c r="F154" s="759"/>
      <c r="G154" s="759"/>
      <c r="H154" s="760"/>
      <c r="I154" s="753"/>
      <c r="J154" s="753"/>
      <c r="K154" s="225" t="s">
        <v>3234</v>
      </c>
      <c r="L154" s="761"/>
      <c r="M154" s="761"/>
      <c r="N154" s="357"/>
    </row>
    <row r="155" spans="1:14" ht="30" hidden="1" customHeight="1">
      <c r="A155" s="357"/>
      <c r="B155" s="357"/>
      <c r="C155" s="758"/>
      <c r="D155" s="758"/>
      <c r="E155" s="759"/>
      <c r="F155" s="759"/>
      <c r="G155" s="759"/>
      <c r="H155" s="760"/>
      <c r="I155" s="753"/>
      <c r="J155" s="753"/>
      <c r="K155" s="225" t="s">
        <v>3234</v>
      </c>
      <c r="L155" s="761"/>
      <c r="M155" s="761"/>
      <c r="N155" s="357"/>
    </row>
    <row r="156" spans="1:14" ht="30" hidden="1" customHeight="1">
      <c r="A156" s="357"/>
      <c r="B156" s="357"/>
      <c r="C156" s="758"/>
      <c r="D156" s="758"/>
      <c r="E156" s="759"/>
      <c r="F156" s="759"/>
      <c r="G156" s="759"/>
      <c r="H156" s="760"/>
      <c r="I156" s="753"/>
      <c r="J156" s="753"/>
      <c r="K156" s="225" t="s">
        <v>3234</v>
      </c>
      <c r="L156" s="761"/>
      <c r="M156" s="761"/>
      <c r="N156" s="357"/>
    </row>
    <row r="157" spans="1:14" ht="30" hidden="1" customHeight="1">
      <c r="A157" s="357"/>
      <c r="B157" s="357"/>
      <c r="C157" s="758"/>
      <c r="D157" s="758"/>
      <c r="E157" s="759"/>
      <c r="F157" s="759"/>
      <c r="G157" s="759"/>
      <c r="H157" s="760"/>
      <c r="I157" s="753"/>
      <c r="J157" s="753"/>
      <c r="K157" s="225" t="s">
        <v>3234</v>
      </c>
      <c r="L157" s="761"/>
      <c r="M157" s="761"/>
      <c r="N157" s="357"/>
    </row>
    <row r="158" spans="1:14" ht="30" hidden="1" customHeight="1">
      <c r="A158" s="357"/>
      <c r="B158" s="357"/>
      <c r="C158" s="758"/>
      <c r="D158" s="758"/>
      <c r="E158" s="759"/>
      <c r="F158" s="759"/>
      <c r="G158" s="759"/>
      <c r="H158" s="760"/>
      <c r="I158" s="753"/>
      <c r="J158" s="753"/>
      <c r="K158" s="225" t="s">
        <v>3234</v>
      </c>
      <c r="L158" s="761"/>
      <c r="M158" s="761"/>
      <c r="N158" s="357"/>
    </row>
    <row r="159" spans="1:14" ht="30" hidden="1" customHeight="1">
      <c r="A159" s="357"/>
      <c r="B159" s="357"/>
      <c r="C159" s="758"/>
      <c r="D159" s="758"/>
      <c r="E159" s="759"/>
      <c r="F159" s="759"/>
      <c r="G159" s="759"/>
      <c r="H159" s="760"/>
      <c r="I159" s="753"/>
      <c r="J159" s="753"/>
      <c r="K159" s="225" t="s">
        <v>3234</v>
      </c>
      <c r="L159" s="761"/>
      <c r="M159" s="761"/>
      <c r="N159" s="357"/>
    </row>
    <row r="160" spans="1:14" ht="30" hidden="1" customHeight="1">
      <c r="A160" s="357"/>
      <c r="B160" s="357"/>
      <c r="C160" s="758"/>
      <c r="D160" s="758"/>
      <c r="E160" s="759"/>
      <c r="F160" s="759"/>
      <c r="G160" s="759"/>
      <c r="H160" s="760"/>
      <c r="I160" s="753"/>
      <c r="J160" s="753"/>
      <c r="K160" s="225" t="s">
        <v>3234</v>
      </c>
      <c r="L160" s="761"/>
      <c r="M160" s="761"/>
      <c r="N160" s="357"/>
    </row>
    <row r="161" spans="1:14" ht="30" hidden="1" customHeight="1">
      <c r="A161" s="357"/>
      <c r="B161" s="357"/>
      <c r="C161" s="758"/>
      <c r="D161" s="758"/>
      <c r="E161" s="759"/>
      <c r="F161" s="759"/>
      <c r="G161" s="759"/>
      <c r="H161" s="760"/>
      <c r="I161" s="753"/>
      <c r="J161" s="753"/>
      <c r="K161" s="225" t="s">
        <v>3234</v>
      </c>
      <c r="L161" s="761"/>
      <c r="M161" s="761"/>
      <c r="N161" s="357"/>
    </row>
    <row r="162" spans="1:14" ht="30" hidden="1" customHeight="1">
      <c r="A162" s="357"/>
      <c r="B162" s="357"/>
      <c r="C162" s="758"/>
      <c r="D162" s="758"/>
      <c r="E162" s="759"/>
      <c r="F162" s="759"/>
      <c r="G162" s="759"/>
      <c r="H162" s="760"/>
      <c r="I162" s="753"/>
      <c r="J162" s="753"/>
      <c r="K162" s="225" t="s">
        <v>3234</v>
      </c>
      <c r="L162" s="761"/>
      <c r="M162" s="761"/>
      <c r="N162" s="357"/>
    </row>
    <row r="163" spans="1:14" ht="30" hidden="1" customHeight="1">
      <c r="A163" s="357"/>
      <c r="B163" s="357"/>
      <c r="C163" s="758"/>
      <c r="D163" s="758"/>
      <c r="E163" s="759"/>
      <c r="F163" s="759"/>
      <c r="G163" s="759"/>
      <c r="H163" s="760"/>
      <c r="I163" s="753"/>
      <c r="J163" s="753"/>
      <c r="K163" s="225" t="s">
        <v>3234</v>
      </c>
      <c r="L163" s="761"/>
      <c r="M163" s="761"/>
      <c r="N163" s="357"/>
    </row>
    <row r="164" spans="1:14" ht="30" hidden="1" customHeight="1">
      <c r="A164" s="357"/>
      <c r="B164" s="357"/>
      <c r="C164" s="758"/>
      <c r="D164" s="758"/>
      <c r="E164" s="759"/>
      <c r="F164" s="759"/>
      <c r="G164" s="759"/>
      <c r="H164" s="760"/>
      <c r="I164" s="753"/>
      <c r="J164" s="753"/>
      <c r="K164" s="225" t="s">
        <v>3234</v>
      </c>
      <c r="L164" s="761"/>
      <c r="M164" s="761"/>
      <c r="N164" s="357"/>
    </row>
    <row r="165" spans="1:14" ht="30" hidden="1" customHeight="1">
      <c r="A165" s="357"/>
      <c r="B165" s="357"/>
      <c r="C165" s="758"/>
      <c r="D165" s="758"/>
      <c r="E165" s="759"/>
      <c r="F165" s="759"/>
      <c r="G165" s="759"/>
      <c r="H165" s="760"/>
      <c r="I165" s="753"/>
      <c r="J165" s="753"/>
      <c r="K165" s="225" t="s">
        <v>3234</v>
      </c>
      <c r="L165" s="761"/>
      <c r="M165" s="761"/>
      <c r="N165" s="357"/>
    </row>
    <row r="166" spans="1:14" ht="30" hidden="1" customHeight="1">
      <c r="A166" s="357"/>
      <c r="B166" s="357"/>
      <c r="C166" s="758"/>
      <c r="D166" s="758"/>
      <c r="E166" s="759"/>
      <c r="F166" s="759"/>
      <c r="G166" s="759"/>
      <c r="H166" s="760"/>
      <c r="I166" s="753"/>
      <c r="J166" s="753"/>
      <c r="K166" s="225" t="s">
        <v>3234</v>
      </c>
      <c r="L166" s="761"/>
      <c r="M166" s="761"/>
      <c r="N166" s="357"/>
    </row>
    <row r="167" spans="1:14" ht="30" hidden="1" customHeight="1">
      <c r="A167" s="357"/>
      <c r="B167" s="357"/>
      <c r="C167" s="758"/>
      <c r="D167" s="758"/>
      <c r="E167" s="759"/>
      <c r="F167" s="759"/>
      <c r="G167" s="759"/>
      <c r="H167" s="760"/>
      <c r="I167" s="753"/>
      <c r="J167" s="753"/>
      <c r="K167" s="225" t="s">
        <v>3234</v>
      </c>
      <c r="L167" s="761"/>
      <c r="M167" s="761"/>
      <c r="N167" s="357"/>
    </row>
    <row r="168" spans="1:14" ht="30" hidden="1" customHeight="1">
      <c r="A168" s="357"/>
      <c r="B168" s="357"/>
      <c r="C168" s="758"/>
      <c r="D168" s="758"/>
      <c r="E168" s="759"/>
      <c r="F168" s="759"/>
      <c r="G168" s="759"/>
      <c r="H168" s="760"/>
      <c r="I168" s="753"/>
      <c r="J168" s="753"/>
      <c r="K168" s="225" t="s">
        <v>3234</v>
      </c>
      <c r="L168" s="761"/>
      <c r="M168" s="761"/>
      <c r="N168" s="357"/>
    </row>
    <row r="169" spans="1:14" ht="30" hidden="1" customHeight="1">
      <c r="A169" s="357"/>
      <c r="B169" s="357"/>
      <c r="C169" s="758"/>
      <c r="D169" s="758"/>
      <c r="E169" s="759"/>
      <c r="F169" s="759"/>
      <c r="G169" s="759"/>
      <c r="H169" s="760"/>
      <c r="I169" s="753"/>
      <c r="J169" s="753"/>
      <c r="K169" s="225" t="s">
        <v>3234</v>
      </c>
      <c r="L169" s="761"/>
      <c r="M169" s="761"/>
      <c r="N169" s="357"/>
    </row>
    <row r="170" spans="1:14" ht="30" hidden="1" customHeight="1">
      <c r="A170" s="357"/>
      <c r="B170" s="357"/>
      <c r="C170" s="758"/>
      <c r="D170" s="758"/>
      <c r="E170" s="759"/>
      <c r="F170" s="759"/>
      <c r="G170" s="759"/>
      <c r="H170" s="760"/>
      <c r="I170" s="753"/>
      <c r="J170" s="753"/>
      <c r="K170" s="225" t="s">
        <v>3234</v>
      </c>
      <c r="L170" s="761"/>
      <c r="M170" s="761"/>
      <c r="N170" s="357"/>
    </row>
    <row r="171" spans="1:14" ht="30" hidden="1" customHeight="1">
      <c r="A171" s="357"/>
      <c r="B171" s="357"/>
      <c r="C171" s="758"/>
      <c r="D171" s="758"/>
      <c r="E171" s="759"/>
      <c r="F171" s="759"/>
      <c r="G171" s="759"/>
      <c r="H171" s="760"/>
      <c r="I171" s="753"/>
      <c r="J171" s="753"/>
      <c r="K171" s="225" t="s">
        <v>3234</v>
      </c>
      <c r="L171" s="761"/>
      <c r="M171" s="761"/>
      <c r="N171" s="357"/>
    </row>
    <row r="172" spans="1:14" ht="30" hidden="1" customHeight="1">
      <c r="A172" s="357"/>
      <c r="B172" s="357"/>
      <c r="C172" s="758"/>
      <c r="D172" s="758"/>
      <c r="E172" s="759"/>
      <c r="F172" s="759"/>
      <c r="G172" s="759"/>
      <c r="H172" s="760"/>
      <c r="I172" s="753"/>
      <c r="J172" s="753"/>
      <c r="K172" s="225" t="s">
        <v>3234</v>
      </c>
      <c r="L172" s="761"/>
      <c r="M172" s="761"/>
      <c r="N172" s="357"/>
    </row>
    <row r="173" spans="1:14" ht="30" hidden="1" customHeight="1">
      <c r="A173" s="357"/>
      <c r="B173" s="357"/>
      <c r="C173" s="758"/>
      <c r="D173" s="758"/>
      <c r="E173" s="759"/>
      <c r="F173" s="759"/>
      <c r="G173" s="759"/>
      <c r="H173" s="760"/>
      <c r="I173" s="753"/>
      <c r="J173" s="753"/>
      <c r="K173" s="225" t="s">
        <v>3234</v>
      </c>
      <c r="L173" s="761"/>
      <c r="M173" s="761"/>
      <c r="N173" s="357"/>
    </row>
    <row r="174" spans="1:14" ht="30" hidden="1" customHeight="1">
      <c r="A174" s="357"/>
      <c r="B174" s="357"/>
      <c r="C174" s="758"/>
      <c r="D174" s="758"/>
      <c r="E174" s="759"/>
      <c r="F174" s="759"/>
      <c r="G174" s="759"/>
      <c r="H174" s="760"/>
      <c r="I174" s="753"/>
      <c r="J174" s="753"/>
      <c r="K174" s="225" t="s">
        <v>3234</v>
      </c>
      <c r="L174" s="761"/>
      <c r="M174" s="761"/>
      <c r="N174" s="357"/>
    </row>
    <row r="175" spans="1:14" ht="30" hidden="1" customHeight="1">
      <c r="A175" s="357"/>
      <c r="B175" s="357"/>
      <c r="C175" s="758"/>
      <c r="D175" s="758"/>
      <c r="E175" s="759"/>
      <c r="F175" s="759"/>
      <c r="G175" s="759"/>
      <c r="H175" s="760"/>
      <c r="I175" s="753"/>
      <c r="J175" s="753"/>
      <c r="K175" s="225" t="s">
        <v>3234</v>
      </c>
      <c r="L175" s="761"/>
      <c r="M175" s="761"/>
      <c r="N175" s="357"/>
    </row>
    <row r="176" spans="1:14" ht="30" hidden="1" customHeight="1">
      <c r="A176" s="357"/>
      <c r="B176" s="357"/>
      <c r="C176" s="758"/>
      <c r="D176" s="758"/>
      <c r="E176" s="759"/>
      <c r="F176" s="759"/>
      <c r="G176" s="759"/>
      <c r="H176" s="760"/>
      <c r="I176" s="753"/>
      <c r="J176" s="753"/>
      <c r="K176" s="225" t="s">
        <v>3234</v>
      </c>
      <c r="L176" s="761"/>
      <c r="M176" s="761"/>
      <c r="N176" s="357"/>
    </row>
    <row r="177" spans="1:14" ht="30" hidden="1" customHeight="1">
      <c r="A177" s="357"/>
      <c r="B177" s="357"/>
      <c r="C177" s="758"/>
      <c r="D177" s="758"/>
      <c r="E177" s="759"/>
      <c r="F177" s="759"/>
      <c r="G177" s="759"/>
      <c r="H177" s="760"/>
      <c r="I177" s="753"/>
      <c r="J177" s="753"/>
      <c r="K177" s="225" t="s">
        <v>3234</v>
      </c>
      <c r="L177" s="761"/>
      <c r="M177" s="761"/>
      <c r="N177" s="357"/>
    </row>
    <row r="178" spans="1:14" ht="30" hidden="1" customHeight="1">
      <c r="A178" s="357"/>
      <c r="B178" s="357"/>
      <c r="C178" s="758"/>
      <c r="D178" s="758"/>
      <c r="E178" s="759"/>
      <c r="F178" s="759"/>
      <c r="G178" s="759"/>
      <c r="H178" s="760"/>
      <c r="I178" s="753"/>
      <c r="J178" s="753"/>
      <c r="K178" s="225" t="s">
        <v>3234</v>
      </c>
      <c r="L178" s="761"/>
      <c r="M178" s="761"/>
      <c r="N178" s="357"/>
    </row>
    <row r="179" spans="1:14" ht="30" hidden="1" customHeight="1">
      <c r="A179" s="357"/>
      <c r="B179" s="357"/>
      <c r="C179" s="758"/>
      <c r="D179" s="758"/>
      <c r="E179" s="759"/>
      <c r="F179" s="759"/>
      <c r="G179" s="759"/>
      <c r="H179" s="760"/>
      <c r="I179" s="753"/>
      <c r="J179" s="753"/>
      <c r="K179" s="225" t="s">
        <v>3234</v>
      </c>
      <c r="L179" s="761"/>
      <c r="M179" s="761"/>
      <c r="N179" s="357"/>
    </row>
    <row r="180" spans="1:14" ht="30" hidden="1" customHeight="1">
      <c r="A180" s="357"/>
      <c r="B180" s="357"/>
      <c r="C180" s="758"/>
      <c r="D180" s="758"/>
      <c r="E180" s="759"/>
      <c r="F180" s="759"/>
      <c r="G180" s="759"/>
      <c r="H180" s="760"/>
      <c r="I180" s="753"/>
      <c r="J180" s="753"/>
      <c r="K180" s="225" t="s">
        <v>3234</v>
      </c>
      <c r="L180" s="761"/>
      <c r="M180" s="761"/>
      <c r="N180" s="357"/>
    </row>
    <row r="181" spans="1:14" ht="30" hidden="1" customHeight="1">
      <c r="A181" s="357"/>
      <c r="B181" s="357"/>
      <c r="C181" s="758"/>
      <c r="D181" s="758"/>
      <c r="E181" s="759"/>
      <c r="F181" s="759"/>
      <c r="G181" s="759"/>
      <c r="H181" s="760"/>
      <c r="I181" s="753"/>
      <c r="J181" s="753"/>
      <c r="K181" s="225" t="s">
        <v>3234</v>
      </c>
      <c r="L181" s="761"/>
      <c r="M181" s="761"/>
      <c r="N181" s="357"/>
    </row>
    <row r="182" spans="1:14" ht="30" hidden="1" customHeight="1">
      <c r="A182" s="357"/>
      <c r="B182" s="357"/>
      <c r="C182" s="758"/>
      <c r="D182" s="758"/>
      <c r="E182" s="759"/>
      <c r="F182" s="759"/>
      <c r="G182" s="759"/>
      <c r="H182" s="760"/>
      <c r="I182" s="753"/>
      <c r="J182" s="753"/>
      <c r="K182" s="225" t="s">
        <v>3234</v>
      </c>
      <c r="L182" s="761"/>
      <c r="M182" s="761"/>
      <c r="N182" s="357"/>
    </row>
    <row r="183" spans="1:14" ht="30" hidden="1" customHeight="1">
      <c r="A183" s="357"/>
      <c r="B183" s="357"/>
      <c r="C183" s="758"/>
      <c r="D183" s="758"/>
      <c r="E183" s="759"/>
      <c r="F183" s="759"/>
      <c r="G183" s="759"/>
      <c r="H183" s="760"/>
      <c r="I183" s="753"/>
      <c r="J183" s="753"/>
      <c r="K183" s="225" t="s">
        <v>3234</v>
      </c>
      <c r="L183" s="761"/>
      <c r="M183" s="761"/>
      <c r="N183" s="357"/>
    </row>
    <row r="184" spans="1:14" ht="30" hidden="1" customHeight="1">
      <c r="A184" s="357"/>
      <c r="B184" s="357"/>
      <c r="C184" s="758"/>
      <c r="D184" s="758"/>
      <c r="E184" s="759"/>
      <c r="F184" s="759"/>
      <c r="G184" s="759"/>
      <c r="H184" s="760"/>
      <c r="I184" s="753"/>
      <c r="J184" s="753"/>
      <c r="K184" s="225" t="s">
        <v>3234</v>
      </c>
      <c r="L184" s="761"/>
      <c r="M184" s="761"/>
      <c r="N184" s="357"/>
    </row>
    <row r="185" spans="1:14" ht="30" hidden="1" customHeight="1">
      <c r="A185" s="357"/>
      <c r="B185" s="357"/>
      <c r="C185" s="758"/>
      <c r="D185" s="758"/>
      <c r="E185" s="759"/>
      <c r="F185" s="759"/>
      <c r="G185" s="759"/>
      <c r="H185" s="760"/>
      <c r="I185" s="753"/>
      <c r="J185" s="753"/>
      <c r="K185" s="225" t="s">
        <v>3234</v>
      </c>
      <c r="L185" s="761"/>
      <c r="M185" s="761"/>
      <c r="N185" s="357"/>
    </row>
    <row r="186" spans="1:14" ht="30" hidden="1" customHeight="1">
      <c r="A186" s="357"/>
      <c r="B186" s="357"/>
      <c r="C186" s="758"/>
      <c r="D186" s="758"/>
      <c r="E186" s="759"/>
      <c r="F186" s="759"/>
      <c r="G186" s="759"/>
      <c r="H186" s="760"/>
      <c r="I186" s="753"/>
      <c r="J186" s="753"/>
      <c r="K186" s="225" t="s">
        <v>3234</v>
      </c>
      <c r="L186" s="761"/>
      <c r="M186" s="761"/>
      <c r="N186" s="357"/>
    </row>
    <row r="187" spans="1:14" ht="30" hidden="1" customHeight="1">
      <c r="A187" s="357"/>
      <c r="B187" s="357"/>
      <c r="C187" s="758"/>
      <c r="D187" s="758"/>
      <c r="E187" s="759"/>
      <c r="F187" s="759"/>
      <c r="G187" s="759"/>
      <c r="H187" s="760"/>
      <c r="I187" s="753"/>
      <c r="J187" s="753"/>
      <c r="K187" s="225" t="s">
        <v>3234</v>
      </c>
      <c r="L187" s="761"/>
      <c r="M187" s="761"/>
      <c r="N187" s="357"/>
    </row>
    <row r="188" spans="1:14" ht="30" hidden="1" customHeight="1">
      <c r="A188" s="357"/>
      <c r="B188" s="357"/>
      <c r="C188" s="758"/>
      <c r="D188" s="758"/>
      <c r="E188" s="759"/>
      <c r="F188" s="759"/>
      <c r="G188" s="759"/>
      <c r="H188" s="760"/>
      <c r="I188" s="753"/>
      <c r="J188" s="753"/>
      <c r="K188" s="225" t="s">
        <v>3234</v>
      </c>
      <c r="L188" s="761"/>
      <c r="M188" s="761"/>
      <c r="N188" s="357"/>
    </row>
    <row r="189" spans="1:14" ht="30" hidden="1" customHeight="1">
      <c r="A189" s="357"/>
      <c r="B189" s="357"/>
      <c r="C189" s="758"/>
      <c r="D189" s="758"/>
      <c r="E189" s="759"/>
      <c r="F189" s="759"/>
      <c r="G189" s="759"/>
      <c r="H189" s="760"/>
      <c r="I189" s="753"/>
      <c r="J189" s="753"/>
      <c r="K189" s="225" t="s">
        <v>3234</v>
      </c>
      <c r="L189" s="761"/>
      <c r="M189" s="761"/>
      <c r="N189" s="357"/>
    </row>
    <row r="190" spans="1:14" ht="30" hidden="1" customHeight="1">
      <c r="A190" s="357"/>
      <c r="B190" s="357"/>
      <c r="C190" s="758"/>
      <c r="D190" s="758"/>
      <c r="E190" s="759"/>
      <c r="F190" s="759"/>
      <c r="G190" s="759"/>
      <c r="H190" s="760"/>
      <c r="I190" s="753"/>
      <c r="J190" s="753"/>
      <c r="K190" s="225" t="s">
        <v>3234</v>
      </c>
      <c r="L190" s="761"/>
      <c r="M190" s="761"/>
      <c r="N190" s="357"/>
    </row>
    <row r="191" spans="1:14" ht="30" hidden="1" customHeight="1">
      <c r="A191" s="357"/>
      <c r="B191" s="357"/>
      <c r="C191" s="758"/>
      <c r="D191" s="758"/>
      <c r="E191" s="759"/>
      <c r="F191" s="759"/>
      <c r="G191" s="759"/>
      <c r="H191" s="760"/>
      <c r="I191" s="753"/>
      <c r="J191" s="753"/>
      <c r="K191" s="225" t="s">
        <v>3234</v>
      </c>
      <c r="L191" s="761"/>
      <c r="M191" s="761"/>
      <c r="N191" s="357"/>
    </row>
    <row r="192" spans="1:14" ht="30" hidden="1" customHeight="1">
      <c r="A192" s="357"/>
      <c r="B192" s="357"/>
      <c r="C192" s="758"/>
      <c r="D192" s="758"/>
      <c r="E192" s="759"/>
      <c r="F192" s="759"/>
      <c r="G192" s="759"/>
      <c r="H192" s="760"/>
      <c r="I192" s="753"/>
      <c r="J192" s="753"/>
      <c r="K192" s="225" t="s">
        <v>3234</v>
      </c>
      <c r="L192" s="761"/>
      <c r="M192" s="761"/>
      <c r="N192" s="357"/>
    </row>
    <row r="193" spans="1:14" ht="30" hidden="1" customHeight="1">
      <c r="A193" s="357"/>
      <c r="B193" s="357"/>
      <c r="C193" s="758"/>
      <c r="D193" s="758"/>
      <c r="E193" s="759"/>
      <c r="F193" s="759"/>
      <c r="G193" s="759"/>
      <c r="H193" s="760"/>
      <c r="I193" s="753"/>
      <c r="J193" s="753"/>
      <c r="K193" s="225" t="s">
        <v>3234</v>
      </c>
      <c r="L193" s="761"/>
      <c r="M193" s="761"/>
      <c r="N193" s="357"/>
    </row>
    <row r="194" spans="1:14" ht="30" hidden="1" customHeight="1">
      <c r="A194" s="357"/>
      <c r="B194" s="357"/>
      <c r="C194" s="758"/>
      <c r="D194" s="758"/>
      <c r="E194" s="759"/>
      <c r="F194" s="759"/>
      <c r="G194" s="759"/>
      <c r="H194" s="760"/>
      <c r="I194" s="753"/>
      <c r="J194" s="753"/>
      <c r="K194" s="225" t="s">
        <v>3234</v>
      </c>
      <c r="L194" s="761"/>
      <c r="M194" s="761"/>
      <c r="N194" s="357"/>
    </row>
    <row r="195" spans="1:14" ht="30" hidden="1" customHeight="1">
      <c r="A195" s="357"/>
      <c r="B195" s="357"/>
      <c r="C195" s="758"/>
      <c r="D195" s="758"/>
      <c r="E195" s="759"/>
      <c r="F195" s="759"/>
      <c r="G195" s="759"/>
      <c r="H195" s="760"/>
      <c r="I195" s="753"/>
      <c r="J195" s="753"/>
      <c r="K195" s="225" t="s">
        <v>3234</v>
      </c>
      <c r="L195" s="761"/>
      <c r="M195" s="761"/>
      <c r="N195" s="357"/>
    </row>
    <row r="196" spans="1:14" ht="30" hidden="1" customHeight="1">
      <c r="A196" s="357"/>
      <c r="B196" s="357"/>
      <c r="C196" s="758"/>
      <c r="D196" s="758"/>
      <c r="E196" s="759"/>
      <c r="F196" s="759"/>
      <c r="G196" s="759"/>
      <c r="H196" s="760"/>
      <c r="I196" s="753"/>
      <c r="J196" s="753"/>
      <c r="K196" s="225" t="s">
        <v>3234</v>
      </c>
      <c r="L196" s="761"/>
      <c r="M196" s="761"/>
      <c r="N196" s="357"/>
    </row>
    <row r="197" spans="1:14" ht="30" hidden="1" customHeight="1">
      <c r="A197" s="357"/>
      <c r="B197" s="357"/>
      <c r="C197" s="758"/>
      <c r="D197" s="758"/>
      <c r="E197" s="759"/>
      <c r="F197" s="759"/>
      <c r="G197" s="759"/>
      <c r="H197" s="760"/>
      <c r="I197" s="753"/>
      <c r="J197" s="753"/>
      <c r="K197" s="225" t="s">
        <v>3234</v>
      </c>
      <c r="L197" s="761"/>
      <c r="M197" s="761"/>
      <c r="N197" s="357"/>
    </row>
    <row r="198" spans="1:14" ht="30" hidden="1" customHeight="1">
      <c r="A198" s="357"/>
      <c r="B198" s="357"/>
      <c r="C198" s="758"/>
      <c r="D198" s="758"/>
      <c r="E198" s="759"/>
      <c r="F198" s="759"/>
      <c r="G198" s="759"/>
      <c r="H198" s="760"/>
      <c r="I198" s="753"/>
      <c r="J198" s="753"/>
      <c r="K198" s="225" t="s">
        <v>3234</v>
      </c>
      <c r="L198" s="761"/>
      <c r="M198" s="761"/>
      <c r="N198" s="357"/>
    </row>
    <row r="199" spans="1:14" ht="30" hidden="1" customHeight="1">
      <c r="A199" s="357"/>
      <c r="B199" s="357"/>
      <c r="C199" s="758"/>
      <c r="D199" s="758"/>
      <c r="E199" s="759"/>
      <c r="F199" s="759"/>
      <c r="G199" s="759"/>
      <c r="H199" s="760"/>
      <c r="I199" s="753"/>
      <c r="J199" s="753"/>
      <c r="K199" s="225" t="s">
        <v>3234</v>
      </c>
      <c r="L199" s="761"/>
      <c r="M199" s="761"/>
      <c r="N199" s="357"/>
    </row>
    <row r="200" spans="1:14" ht="30" hidden="1" customHeight="1">
      <c r="A200" s="357"/>
      <c r="B200" s="357"/>
      <c r="C200" s="758"/>
      <c r="D200" s="758"/>
      <c r="E200" s="759"/>
      <c r="F200" s="759"/>
      <c r="G200" s="759"/>
      <c r="H200" s="760"/>
      <c r="I200" s="753"/>
      <c r="J200" s="753"/>
      <c r="K200" s="225" t="s">
        <v>3234</v>
      </c>
      <c r="L200" s="761"/>
      <c r="M200" s="761"/>
      <c r="N200" s="357"/>
    </row>
    <row r="201" spans="1:14" ht="30" hidden="1" customHeight="1">
      <c r="A201" s="357"/>
      <c r="B201" s="357"/>
      <c r="C201" s="758"/>
      <c r="D201" s="758"/>
      <c r="E201" s="759"/>
      <c r="F201" s="759"/>
      <c r="G201" s="759"/>
      <c r="H201" s="760"/>
      <c r="I201" s="753"/>
      <c r="J201" s="753"/>
      <c r="K201" s="225" t="s">
        <v>3234</v>
      </c>
      <c r="L201" s="761"/>
      <c r="M201" s="761"/>
      <c r="N201" s="357"/>
    </row>
    <row r="202" spans="1:14" ht="30" hidden="1" customHeight="1">
      <c r="A202" s="357"/>
      <c r="B202" s="357"/>
      <c r="C202" s="758"/>
      <c r="D202" s="758"/>
      <c r="E202" s="759"/>
      <c r="F202" s="759"/>
      <c r="G202" s="759"/>
      <c r="H202" s="760"/>
      <c r="I202" s="753"/>
      <c r="J202" s="753"/>
      <c r="K202" s="225" t="s">
        <v>3234</v>
      </c>
      <c r="L202" s="761"/>
      <c r="M202" s="761"/>
      <c r="N202" s="357"/>
    </row>
    <row r="203" spans="1:14" ht="30" hidden="1" customHeight="1">
      <c r="A203" s="357"/>
      <c r="B203" s="357"/>
      <c r="C203" s="758"/>
      <c r="D203" s="758"/>
      <c r="E203" s="759"/>
      <c r="F203" s="759"/>
      <c r="G203" s="759"/>
      <c r="H203" s="760"/>
      <c r="I203" s="753"/>
      <c r="J203" s="753"/>
      <c r="K203" s="225" t="s">
        <v>3234</v>
      </c>
      <c r="L203" s="761"/>
      <c r="M203" s="761"/>
      <c r="N203" s="357"/>
    </row>
    <row r="204" spans="1:14" ht="30" hidden="1" customHeight="1">
      <c r="A204" s="357"/>
      <c r="B204" s="357"/>
      <c r="C204" s="758"/>
      <c r="D204" s="758"/>
      <c r="E204" s="759"/>
      <c r="F204" s="759"/>
      <c r="G204" s="759"/>
      <c r="H204" s="760"/>
      <c r="I204" s="753"/>
      <c r="J204" s="753"/>
      <c r="K204" s="225" t="s">
        <v>3234</v>
      </c>
      <c r="L204" s="761"/>
      <c r="M204" s="761"/>
      <c r="N204" s="357"/>
    </row>
    <row r="205" spans="1:14" ht="30" hidden="1" customHeight="1">
      <c r="A205" s="357"/>
      <c r="B205" s="357"/>
      <c r="C205" s="758"/>
      <c r="D205" s="758"/>
      <c r="E205" s="759"/>
      <c r="F205" s="759"/>
      <c r="G205" s="759"/>
      <c r="H205" s="760"/>
      <c r="I205" s="753"/>
      <c r="J205" s="753"/>
      <c r="K205" s="225" t="s">
        <v>3234</v>
      </c>
      <c r="L205" s="761"/>
      <c r="M205" s="761"/>
      <c r="N205" s="357"/>
    </row>
    <row r="206" spans="1:14" ht="30" hidden="1" customHeight="1">
      <c r="A206" s="357"/>
      <c r="B206" s="357"/>
      <c r="C206" s="758"/>
      <c r="D206" s="758"/>
      <c r="E206" s="759"/>
      <c r="F206" s="759"/>
      <c r="G206" s="759"/>
      <c r="H206" s="760"/>
      <c r="I206" s="753"/>
      <c r="J206" s="753"/>
      <c r="K206" s="225" t="s">
        <v>3234</v>
      </c>
      <c r="L206" s="761"/>
      <c r="M206" s="761"/>
      <c r="N206" s="357"/>
    </row>
    <row r="207" spans="1:14" ht="30" hidden="1" customHeight="1">
      <c r="A207" s="357"/>
      <c r="B207" s="357"/>
      <c r="C207" s="758"/>
      <c r="D207" s="758"/>
      <c r="E207" s="759"/>
      <c r="F207" s="759"/>
      <c r="G207" s="759"/>
      <c r="H207" s="760"/>
      <c r="I207" s="753"/>
      <c r="J207" s="753"/>
      <c r="K207" s="225" t="s">
        <v>3234</v>
      </c>
      <c r="L207" s="761"/>
      <c r="M207" s="761"/>
      <c r="N207" s="357"/>
    </row>
    <row r="208" spans="1:14" ht="30" hidden="1" customHeight="1">
      <c r="A208" s="357"/>
      <c r="B208" s="357"/>
      <c r="C208" s="758"/>
      <c r="D208" s="758"/>
      <c r="E208" s="759"/>
      <c r="F208" s="759"/>
      <c r="G208" s="759"/>
      <c r="H208" s="760"/>
      <c r="I208" s="753"/>
      <c r="J208" s="753"/>
      <c r="K208" s="225" t="s">
        <v>3234</v>
      </c>
      <c r="L208" s="761"/>
      <c r="M208" s="761"/>
      <c r="N208" s="357"/>
    </row>
    <row r="209" spans="1:14" ht="30" hidden="1" customHeight="1">
      <c r="A209" s="357"/>
      <c r="B209" s="357"/>
      <c r="C209" s="758"/>
      <c r="D209" s="758"/>
      <c r="E209" s="759"/>
      <c r="F209" s="759"/>
      <c r="G209" s="759"/>
      <c r="H209" s="760"/>
      <c r="I209" s="753"/>
      <c r="J209" s="753"/>
      <c r="K209" s="225" t="s">
        <v>3234</v>
      </c>
      <c r="L209" s="761"/>
      <c r="M209" s="761"/>
      <c r="N209" s="357"/>
    </row>
    <row r="210" spans="1:14" ht="30" hidden="1" customHeight="1">
      <c r="A210" s="357"/>
      <c r="B210" s="357"/>
      <c r="C210" s="758"/>
      <c r="D210" s="758"/>
      <c r="E210" s="759"/>
      <c r="F210" s="759"/>
      <c r="G210" s="759"/>
      <c r="H210" s="760"/>
      <c r="I210" s="753"/>
      <c r="J210" s="753"/>
      <c r="K210" s="225" t="s">
        <v>3234</v>
      </c>
      <c r="L210" s="761"/>
      <c r="M210" s="761"/>
      <c r="N210" s="357"/>
    </row>
    <row r="211" spans="1:14" ht="30" hidden="1" customHeight="1">
      <c r="A211" s="357"/>
      <c r="B211" s="357"/>
      <c r="C211" s="758"/>
      <c r="D211" s="758"/>
      <c r="E211" s="759"/>
      <c r="F211" s="759"/>
      <c r="G211" s="759"/>
      <c r="H211" s="760"/>
      <c r="I211" s="753"/>
      <c r="J211" s="753"/>
      <c r="K211" s="225" t="s">
        <v>3234</v>
      </c>
      <c r="L211" s="761"/>
      <c r="M211" s="761"/>
      <c r="N211" s="357"/>
    </row>
    <row r="212" spans="1:14" ht="30" hidden="1" customHeight="1">
      <c r="A212" s="357"/>
      <c r="B212" s="357"/>
      <c r="C212" s="758"/>
      <c r="D212" s="758"/>
      <c r="E212" s="759"/>
      <c r="F212" s="759"/>
      <c r="G212" s="759"/>
      <c r="H212" s="760"/>
      <c r="I212" s="753"/>
      <c r="J212" s="753"/>
      <c r="K212" s="225" t="s">
        <v>3234</v>
      </c>
      <c r="L212" s="761"/>
      <c r="M212" s="761"/>
      <c r="N212" s="357"/>
    </row>
    <row r="213" spans="1:14" ht="30" hidden="1" customHeight="1">
      <c r="A213" s="357"/>
      <c r="B213" s="357"/>
      <c r="C213" s="758"/>
      <c r="D213" s="758"/>
      <c r="E213" s="759"/>
      <c r="F213" s="759"/>
      <c r="G213" s="759"/>
      <c r="H213" s="760"/>
      <c r="I213" s="753"/>
      <c r="J213" s="753"/>
      <c r="K213" s="225" t="s">
        <v>3234</v>
      </c>
      <c r="L213" s="761"/>
      <c r="M213" s="761"/>
      <c r="N213" s="357"/>
    </row>
    <row r="214" spans="1:14" ht="30" hidden="1" customHeight="1">
      <c r="A214" s="357"/>
      <c r="B214" s="357"/>
      <c r="C214" s="758"/>
      <c r="D214" s="758"/>
      <c r="E214" s="759"/>
      <c r="F214" s="759"/>
      <c r="G214" s="759"/>
      <c r="H214" s="760"/>
      <c r="I214" s="753"/>
      <c r="J214" s="753"/>
      <c r="K214" s="225" t="s">
        <v>3234</v>
      </c>
      <c r="L214" s="761"/>
      <c r="M214" s="761"/>
      <c r="N214" s="357"/>
    </row>
    <row r="215" spans="1:14" ht="30" hidden="1" customHeight="1">
      <c r="A215" s="357"/>
      <c r="B215" s="357"/>
      <c r="C215" s="758"/>
      <c r="D215" s="758"/>
      <c r="E215" s="759"/>
      <c r="F215" s="759"/>
      <c r="G215" s="759"/>
      <c r="H215" s="760"/>
      <c r="I215" s="753"/>
      <c r="J215" s="753"/>
      <c r="K215" s="225" t="s">
        <v>3234</v>
      </c>
      <c r="L215" s="761"/>
      <c r="M215" s="761"/>
      <c r="N215" s="357"/>
    </row>
    <row r="216" spans="1:14" ht="30" hidden="1" customHeight="1">
      <c r="A216" s="357"/>
      <c r="B216" s="357"/>
      <c r="C216" s="758"/>
      <c r="D216" s="758"/>
      <c r="E216" s="759"/>
      <c r="F216" s="759"/>
      <c r="G216" s="759"/>
      <c r="H216" s="760"/>
      <c r="I216" s="753"/>
      <c r="J216" s="753"/>
      <c r="K216" s="225" t="s">
        <v>3234</v>
      </c>
      <c r="L216" s="761"/>
      <c r="M216" s="761"/>
      <c r="N216" s="357"/>
    </row>
    <row r="217" spans="1:14" ht="30" hidden="1" customHeight="1">
      <c r="A217" s="357"/>
      <c r="B217" s="357"/>
      <c r="C217" s="758"/>
      <c r="D217" s="758"/>
      <c r="E217" s="759"/>
      <c r="F217" s="759"/>
      <c r="G217" s="759"/>
      <c r="H217" s="760"/>
      <c r="I217" s="753"/>
      <c r="J217" s="753"/>
      <c r="K217" s="225" t="s">
        <v>3234</v>
      </c>
      <c r="L217" s="761"/>
      <c r="M217" s="761"/>
      <c r="N217" s="357"/>
    </row>
    <row r="218" spans="1:14" ht="30" hidden="1" customHeight="1">
      <c r="A218" s="357"/>
      <c r="B218" s="357"/>
      <c r="C218" s="758"/>
      <c r="D218" s="758"/>
      <c r="E218" s="759"/>
      <c r="F218" s="759"/>
      <c r="G218" s="759"/>
      <c r="H218" s="760"/>
      <c r="I218" s="753"/>
      <c r="J218" s="753"/>
      <c r="K218" s="225" t="s">
        <v>3234</v>
      </c>
      <c r="L218" s="761"/>
      <c r="M218" s="761"/>
      <c r="N218" s="357"/>
    </row>
    <row r="219" spans="1:14" ht="30" hidden="1" customHeight="1">
      <c r="A219" s="357"/>
      <c r="B219" s="357"/>
      <c r="C219" s="758"/>
      <c r="D219" s="758"/>
      <c r="E219" s="759"/>
      <c r="F219" s="759"/>
      <c r="G219" s="759"/>
      <c r="H219" s="760"/>
      <c r="I219" s="753"/>
      <c r="J219" s="753"/>
      <c r="K219" s="225" t="s">
        <v>3234</v>
      </c>
      <c r="L219" s="761"/>
      <c r="M219" s="761"/>
      <c r="N219" s="357"/>
    </row>
    <row r="220" spans="1:14" ht="30" hidden="1" customHeight="1">
      <c r="A220" s="357"/>
      <c r="B220" s="357"/>
      <c r="C220" s="758"/>
      <c r="D220" s="758"/>
      <c r="E220" s="759"/>
      <c r="F220" s="759"/>
      <c r="G220" s="759"/>
      <c r="H220" s="760"/>
      <c r="I220" s="753"/>
      <c r="J220" s="753"/>
      <c r="K220" s="225" t="s">
        <v>3234</v>
      </c>
      <c r="L220" s="761"/>
      <c r="M220" s="761"/>
      <c r="N220" s="357"/>
    </row>
    <row r="221" spans="1:14" ht="30" hidden="1" customHeight="1">
      <c r="A221" s="357"/>
      <c r="B221" s="357"/>
      <c r="C221" s="758"/>
      <c r="D221" s="758"/>
      <c r="E221" s="759"/>
      <c r="F221" s="759"/>
      <c r="G221" s="759"/>
      <c r="H221" s="760"/>
      <c r="I221" s="753"/>
      <c r="J221" s="753"/>
      <c r="K221" s="225" t="s">
        <v>3234</v>
      </c>
      <c r="L221" s="761"/>
      <c r="M221" s="761"/>
      <c r="N221" s="357"/>
    </row>
    <row r="222" spans="1:14" ht="30" hidden="1" customHeight="1">
      <c r="A222" s="357"/>
      <c r="B222" s="357"/>
      <c r="C222" s="758"/>
      <c r="D222" s="758"/>
      <c r="E222" s="759"/>
      <c r="F222" s="759"/>
      <c r="G222" s="759"/>
      <c r="H222" s="760"/>
      <c r="I222" s="753"/>
      <c r="J222" s="753"/>
      <c r="K222" s="225" t="s">
        <v>3234</v>
      </c>
      <c r="L222" s="761"/>
      <c r="M222" s="761"/>
      <c r="N222" s="357"/>
    </row>
    <row r="223" spans="1:14" ht="30" hidden="1" customHeight="1">
      <c r="A223" s="357"/>
      <c r="B223" s="357"/>
      <c r="C223" s="758"/>
      <c r="D223" s="758"/>
      <c r="E223" s="759"/>
      <c r="F223" s="759"/>
      <c r="G223" s="759"/>
      <c r="H223" s="760"/>
      <c r="I223" s="753"/>
      <c r="J223" s="753"/>
      <c r="K223" s="225" t="s">
        <v>3234</v>
      </c>
      <c r="L223" s="761"/>
      <c r="M223" s="761"/>
      <c r="N223" s="357"/>
    </row>
    <row r="224" spans="1:14" ht="30" hidden="1" customHeight="1">
      <c r="A224" s="357"/>
      <c r="B224" s="357"/>
      <c r="C224" s="758"/>
      <c r="D224" s="758"/>
      <c r="E224" s="759"/>
      <c r="F224" s="759"/>
      <c r="G224" s="759"/>
      <c r="H224" s="760"/>
      <c r="I224" s="753"/>
      <c r="J224" s="753"/>
      <c r="K224" s="225" t="s">
        <v>3234</v>
      </c>
      <c r="L224" s="761"/>
      <c r="M224" s="761"/>
      <c r="N224" s="357"/>
    </row>
    <row r="225" spans="1:14" ht="30" hidden="1" customHeight="1">
      <c r="A225" s="357"/>
      <c r="B225" s="357"/>
      <c r="C225" s="758"/>
      <c r="D225" s="758"/>
      <c r="E225" s="759"/>
      <c r="F225" s="759"/>
      <c r="G225" s="759"/>
      <c r="H225" s="760"/>
      <c r="I225" s="753"/>
      <c r="J225" s="753"/>
      <c r="K225" s="225" t="s">
        <v>3234</v>
      </c>
      <c r="L225" s="761"/>
      <c r="M225" s="761"/>
      <c r="N225" s="357"/>
    </row>
    <row r="226" spans="1:14" ht="33.950000000000003" customHeight="1">
      <c r="C226" s="196"/>
      <c r="D226" s="196"/>
      <c r="E226" s="340"/>
      <c r="F226" s="420"/>
      <c r="G226"/>
      <c r="H226" s="766"/>
      <c r="I226" s="753"/>
      <c r="J226" s="753"/>
      <c r="K226" s="225" t="s">
        <v>3235</v>
      </c>
      <c r="L226" s="1906"/>
      <c r="M226" s="1907"/>
    </row>
    <row r="227" spans="1:14" ht="33.950000000000003" customHeight="1">
      <c r="C227" s="422"/>
      <c r="D227" s="422"/>
      <c r="E227" s="187"/>
      <c r="F227" s="359"/>
      <c r="G227" s="416"/>
      <c r="H227" s="766"/>
      <c r="I227" s="766"/>
      <c r="J227" s="766"/>
      <c r="K227" s="766"/>
      <c r="L227" s="762"/>
      <c r="M227" s="763"/>
    </row>
    <row r="228" spans="1:14" ht="50.25" customHeight="1">
      <c r="C228" s="1912"/>
      <c r="D228" s="1912"/>
      <c r="E228" s="1912"/>
      <c r="F228" s="1912"/>
      <c r="G228" s="1912"/>
      <c r="H228" s="766"/>
      <c r="I228" s="766"/>
      <c r="J228" s="766"/>
      <c r="K228" s="766"/>
      <c r="L228" s="762"/>
      <c r="M228" s="763"/>
    </row>
    <row r="229" spans="1:14" ht="30" customHeight="1">
      <c r="C229" s="418"/>
      <c r="D229" s="418"/>
      <c r="E229" s="418"/>
      <c r="F229" s="418"/>
      <c r="G229" s="418"/>
      <c r="H229" s="1902"/>
      <c r="I229" s="1902"/>
      <c r="J229" s="1902"/>
      <c r="K229" s="1902"/>
      <c r="L229" s="417"/>
      <c r="M229" s="295"/>
    </row>
    <row r="230" spans="1:14">
      <c r="C230" s="418"/>
      <c r="D230" s="418"/>
      <c r="E230" s="418"/>
      <c r="F230" s="418"/>
      <c r="G230" s="418"/>
      <c r="K230" s="115"/>
      <c r="L230" s="115"/>
      <c r="M230" s="115"/>
    </row>
    <row r="231" spans="1:14" ht="25.5">
      <c r="C231" s="764"/>
      <c r="D231" s="764"/>
      <c r="E231" s="765"/>
      <c r="G231" s="9"/>
      <c r="H231" s="72"/>
      <c r="M231" s="5"/>
    </row>
    <row r="232" spans="1:14" ht="25.5">
      <c r="C232" s="738"/>
      <c r="D232" s="738"/>
      <c r="E232" s="375"/>
      <c r="F232" s="746"/>
      <c r="G232" s="133"/>
      <c r="M232" s="5"/>
    </row>
    <row r="233" spans="1:14">
      <c r="C233" s="738"/>
      <c r="D233" s="738"/>
      <c r="E233" s="375"/>
      <c r="F233" s="745"/>
      <c r="G233" s="133"/>
      <c r="M233" s="5"/>
    </row>
    <row r="234" spans="1:14">
      <c r="C234" s="738"/>
      <c r="D234" s="738"/>
      <c r="E234" s="411"/>
      <c r="F234" s="745"/>
      <c r="G234" s="133"/>
      <c r="M234" s="5"/>
    </row>
    <row r="235" spans="1:14">
      <c r="F235" s="376"/>
      <c r="G235"/>
      <c r="M235" s="5"/>
    </row>
    <row r="236" spans="1:14">
      <c r="C236" s="5"/>
      <c r="D236" s="5"/>
      <c r="E236" s="739"/>
      <c r="F236" s="739"/>
      <c r="G236"/>
      <c r="M236" s="5"/>
    </row>
    <row r="237" spans="1:14" ht="33.75" customHeight="1">
      <c r="C237" s="740"/>
      <c r="D237" s="740"/>
      <c r="E237" s="736"/>
      <c r="F237" s="736"/>
      <c r="G237" s="736"/>
      <c r="H237" s="736"/>
      <c r="I237" s="737"/>
      <c r="J237" s="737"/>
      <c r="K237" s="737"/>
      <c r="L237" s="737"/>
      <c r="M237" s="737"/>
    </row>
    <row r="238" spans="1:14" ht="26.25" customHeight="1">
      <c r="A238" s="3"/>
      <c r="B238" s="3"/>
      <c r="C238" s="741"/>
      <c r="D238" s="741"/>
      <c r="E238" s="742"/>
      <c r="F238" s="742"/>
      <c r="G238" s="742"/>
      <c r="H238" s="742"/>
      <c r="I238" s="743"/>
      <c r="J238" s="743"/>
      <c r="K238" s="743"/>
      <c r="L238" s="743"/>
      <c r="M238" s="743"/>
      <c r="N238" s="3"/>
    </row>
    <row r="239" spans="1:14" ht="15">
      <c r="C239" s="9"/>
      <c r="D239" s="9"/>
      <c r="E239" s="9"/>
      <c r="F239" s="9"/>
      <c r="G239" s="11"/>
      <c r="H239" s="744"/>
    </row>
    <row r="240" spans="1:14" ht="15">
      <c r="E240"/>
      <c r="F240"/>
      <c r="G240"/>
    </row>
    <row r="241" spans="3:13">
      <c r="C241" s="1903"/>
      <c r="D241" s="1903"/>
      <c r="E241" s="1903"/>
      <c r="F241" s="1903"/>
      <c r="G241" s="1903"/>
      <c r="H241" s="1903"/>
      <c r="I241" s="5"/>
      <c r="J241" s="5"/>
      <c r="K241" s="1903"/>
      <c r="L241" s="1903"/>
      <c r="M241" s="1903"/>
    </row>
    <row r="242" spans="3:13">
      <c r="C242" s="5"/>
      <c r="D242" s="5"/>
      <c r="H242" s="8"/>
      <c r="I242" s="5"/>
      <c r="J242" s="5"/>
      <c r="K242" s="5"/>
      <c r="L242" s="5"/>
      <c r="M242" s="5"/>
    </row>
    <row r="243" spans="3:13">
      <c r="C243" s="5"/>
      <c r="D243" s="5"/>
      <c r="H243" s="8"/>
      <c r="I243" s="5"/>
      <c r="J243" s="5"/>
      <c r="K243" s="5"/>
      <c r="L243" s="5"/>
      <c r="M243" s="5"/>
    </row>
    <row r="244" spans="3:13">
      <c r="C244" s="5"/>
      <c r="D244" s="5"/>
      <c r="H244" s="8"/>
      <c r="I244" s="5"/>
      <c r="J244" s="5"/>
      <c r="K244" s="5"/>
      <c r="L244" s="5"/>
      <c r="M244" s="5"/>
    </row>
    <row r="245" spans="3:13">
      <c r="C245" s="5"/>
      <c r="D245" s="5"/>
      <c r="H245" s="8"/>
      <c r="I245" s="5"/>
      <c r="J245" s="5"/>
      <c r="K245" s="5"/>
      <c r="L245" s="5"/>
      <c r="M245" s="5"/>
    </row>
    <row r="246" spans="3:13">
      <c r="C246" s="5"/>
      <c r="D246" s="5"/>
      <c r="H246" s="8"/>
      <c r="I246" s="5"/>
      <c r="J246" s="5"/>
      <c r="K246" s="5"/>
      <c r="L246" s="5"/>
      <c r="M246" s="5"/>
    </row>
    <row r="247" spans="3:13">
      <c r="C247" s="5"/>
      <c r="D247" s="5"/>
      <c r="H247" s="8"/>
      <c r="I247" s="5"/>
      <c r="J247" s="5"/>
      <c r="K247" s="5"/>
      <c r="L247" s="5"/>
      <c r="M247" s="5"/>
    </row>
    <row r="248" spans="3:13">
      <c r="C248" s="5"/>
      <c r="D248" s="5"/>
      <c r="H248" s="8"/>
      <c r="I248" s="5"/>
      <c r="J248" s="5"/>
      <c r="K248" s="5"/>
      <c r="L248" s="5"/>
      <c r="M248" s="5"/>
    </row>
    <row r="249" spans="3:13">
      <c r="C249" s="5"/>
      <c r="D249" s="5"/>
      <c r="H249" s="8"/>
      <c r="I249" s="5"/>
      <c r="J249" s="5"/>
      <c r="K249" s="5"/>
      <c r="L249" s="5"/>
      <c r="M249" s="5"/>
    </row>
    <row r="250" spans="3:13">
      <c r="C250" s="5"/>
      <c r="D250" s="5"/>
      <c r="H250" s="8"/>
      <c r="I250" s="5"/>
      <c r="J250" s="5"/>
      <c r="K250" s="5"/>
      <c r="L250" s="5"/>
      <c r="M250" s="5"/>
    </row>
    <row r="251" spans="3:13">
      <c r="C251" s="5"/>
      <c r="D251" s="5"/>
      <c r="H251" s="8"/>
      <c r="I251" s="5"/>
      <c r="J251" s="5"/>
      <c r="K251" s="5"/>
      <c r="L251" s="5"/>
      <c r="M251" s="5"/>
    </row>
    <row r="252" spans="3:13">
      <c r="C252" s="5"/>
      <c r="D252" s="5"/>
      <c r="H252" s="8"/>
      <c r="I252" s="5"/>
      <c r="J252" s="5"/>
      <c r="K252" s="5"/>
      <c r="L252" s="5"/>
      <c r="M252" s="5"/>
    </row>
    <row r="253" spans="3:13">
      <c r="C253" s="5"/>
      <c r="D253" s="5"/>
      <c r="H253" s="8"/>
      <c r="I253" s="5"/>
      <c r="J253" s="5"/>
      <c r="K253" s="5"/>
      <c r="L253" s="5"/>
      <c r="M253" s="5"/>
    </row>
    <row r="254" spans="3:13">
      <c r="C254" s="5"/>
      <c r="D254" s="5"/>
      <c r="H254" s="8"/>
      <c r="I254" s="5"/>
      <c r="J254" s="5"/>
      <c r="K254" s="5"/>
      <c r="L254" s="5"/>
      <c r="M254" s="5"/>
    </row>
    <row r="255" spans="3:13">
      <c r="C255" s="5"/>
      <c r="D255" s="5"/>
      <c r="H255" s="8"/>
      <c r="I255" s="5"/>
      <c r="J255" s="5"/>
      <c r="K255" s="5"/>
      <c r="L255" s="5"/>
      <c r="M255" s="5"/>
    </row>
    <row r="256" spans="3:13">
      <c r="C256" s="5"/>
      <c r="D256" s="5"/>
      <c r="H256" s="8"/>
      <c r="I256" s="5"/>
      <c r="J256" s="5"/>
      <c r="K256" s="5"/>
      <c r="L256" s="5"/>
      <c r="M256" s="5"/>
    </row>
    <row r="257" spans="3:13">
      <c r="C257" s="5"/>
      <c r="D257" s="5"/>
      <c r="H257" s="8"/>
      <c r="I257" s="5"/>
      <c r="J257" s="5"/>
      <c r="K257" s="5"/>
      <c r="L257" s="5"/>
      <c r="M257" s="5"/>
    </row>
    <row r="258" spans="3:13">
      <c r="C258" s="5"/>
      <c r="D258" s="5"/>
      <c r="H258" s="8"/>
      <c r="I258" s="5"/>
      <c r="J258" s="5"/>
      <c r="K258" s="5"/>
      <c r="L258" s="5"/>
      <c r="M258" s="5"/>
    </row>
    <row r="259" spans="3:13">
      <c r="C259" s="5"/>
      <c r="D259" s="5"/>
      <c r="H259" s="8"/>
      <c r="I259" s="5"/>
      <c r="J259" s="5"/>
      <c r="K259" s="5"/>
      <c r="L259" s="5"/>
      <c r="M259" s="5"/>
    </row>
  </sheetData>
  <mergeCells count="148">
    <mergeCell ref="L226:M226"/>
    <mergeCell ref="C109:D109"/>
    <mergeCell ref="C64:D64"/>
    <mergeCell ref="C65:D65"/>
    <mergeCell ref="C66:D66"/>
    <mergeCell ref="C67:D67"/>
    <mergeCell ref="C68:D68"/>
    <mergeCell ref="C59:D59"/>
    <mergeCell ref="C60:D60"/>
    <mergeCell ref="C61:D61"/>
    <mergeCell ref="C62:D62"/>
    <mergeCell ref="C63:D63"/>
    <mergeCell ref="C92:D92"/>
    <mergeCell ref="C93:D93"/>
    <mergeCell ref="C84:D84"/>
    <mergeCell ref="C85:D85"/>
    <mergeCell ref="C86:D86"/>
    <mergeCell ref="C87:D87"/>
    <mergeCell ref="C88:D88"/>
    <mergeCell ref="C74:D74"/>
    <mergeCell ref="C75:D75"/>
    <mergeCell ref="C76:D76"/>
    <mergeCell ref="C77:D77"/>
    <mergeCell ref="C78:D78"/>
    <mergeCell ref="C79:D79"/>
    <mergeCell ref="C54:D54"/>
    <mergeCell ref="C55:D55"/>
    <mergeCell ref="C56:D56"/>
    <mergeCell ref="C57:D57"/>
    <mergeCell ref="C58:D58"/>
    <mergeCell ref="C49:D49"/>
    <mergeCell ref="C50:D50"/>
    <mergeCell ref="C51:D51"/>
    <mergeCell ref="C52:D52"/>
    <mergeCell ref="C53:D53"/>
    <mergeCell ref="C44:D44"/>
    <mergeCell ref="C45:D45"/>
    <mergeCell ref="C46:D46"/>
    <mergeCell ref="C47:D47"/>
    <mergeCell ref="C48:D48"/>
    <mergeCell ref="C94:D94"/>
    <mergeCell ref="C95:D95"/>
    <mergeCell ref="C30:D30"/>
    <mergeCell ref="C31:D31"/>
    <mergeCell ref="C32:D32"/>
    <mergeCell ref="C33:D33"/>
    <mergeCell ref="C34:D34"/>
    <mergeCell ref="C35:D35"/>
    <mergeCell ref="C36:D36"/>
    <mergeCell ref="C37:D37"/>
    <mergeCell ref="C38:D38"/>
    <mergeCell ref="C39:D39"/>
    <mergeCell ref="C40:D40"/>
    <mergeCell ref="C41:D41"/>
    <mergeCell ref="C42:D42"/>
    <mergeCell ref="C43:D43"/>
    <mergeCell ref="C89:D89"/>
    <mergeCell ref="C90:D90"/>
    <mergeCell ref="C91:D91"/>
    <mergeCell ref="E111:G111"/>
    <mergeCell ref="E114:G114"/>
    <mergeCell ref="E115:G115"/>
    <mergeCell ref="E116:G116"/>
    <mergeCell ref="C22:D22"/>
    <mergeCell ref="C23:D23"/>
    <mergeCell ref="C24:D24"/>
    <mergeCell ref="C25:D25"/>
    <mergeCell ref="C26:D26"/>
    <mergeCell ref="C27:D27"/>
    <mergeCell ref="C28:D28"/>
    <mergeCell ref="C29:D29"/>
    <mergeCell ref="C69:D69"/>
    <mergeCell ref="C70:D70"/>
    <mergeCell ref="C71:D71"/>
    <mergeCell ref="C72:D72"/>
    <mergeCell ref="E100:G100"/>
    <mergeCell ref="E101:G101"/>
    <mergeCell ref="E102:G102"/>
    <mergeCell ref="E103:G103"/>
    <mergeCell ref="E110:G110"/>
    <mergeCell ref="C98:D98"/>
    <mergeCell ref="C99:D99"/>
    <mergeCell ref="C73:D73"/>
    <mergeCell ref="E21:G21"/>
    <mergeCell ref="E96:G96"/>
    <mergeCell ref="E97:G97"/>
    <mergeCell ref="E98:G98"/>
    <mergeCell ref="E99:G99"/>
    <mergeCell ref="C111:D111"/>
    <mergeCell ref="C114:D114"/>
    <mergeCell ref="C115:D115"/>
    <mergeCell ref="C116:D116"/>
    <mergeCell ref="C100:D100"/>
    <mergeCell ref="C101:D101"/>
    <mergeCell ref="C102:D102"/>
    <mergeCell ref="C103:D103"/>
    <mergeCell ref="C110:D110"/>
    <mergeCell ref="C112:D112"/>
    <mergeCell ref="C113:D113"/>
    <mergeCell ref="C104:D104"/>
    <mergeCell ref="C105:D105"/>
    <mergeCell ref="C106:D106"/>
    <mergeCell ref="C107:D107"/>
    <mergeCell ref="C108:D108"/>
    <mergeCell ref="C21:D21"/>
    <mergeCell ref="C96:D96"/>
    <mergeCell ref="C97:D97"/>
    <mergeCell ref="C80:D80"/>
    <mergeCell ref="C81:D81"/>
    <mergeCell ref="C82:D82"/>
    <mergeCell ref="C83:D83"/>
    <mergeCell ref="C3:M3"/>
    <mergeCell ref="H229:K229"/>
    <mergeCell ref="C241:H241"/>
    <mergeCell ref="K241:M241"/>
    <mergeCell ref="C228:G228"/>
    <mergeCell ref="L21:M21"/>
    <mergeCell ref="L96:M96"/>
    <mergeCell ref="L97:M97"/>
    <mergeCell ref="L98:M98"/>
    <mergeCell ref="L99:M99"/>
    <mergeCell ref="L100:M100"/>
    <mergeCell ref="L101:M101"/>
    <mergeCell ref="L102:M102"/>
    <mergeCell ref="L103:M103"/>
    <mergeCell ref="L110:M110"/>
    <mergeCell ref="L111:M111"/>
    <mergeCell ref="L114:M114"/>
    <mergeCell ref="L115:M115"/>
    <mergeCell ref="L116:M116"/>
    <mergeCell ref="J21:K21"/>
    <mergeCell ref="L117:M117"/>
    <mergeCell ref="L118:M118"/>
    <mergeCell ref="L119:M119"/>
    <mergeCell ref="L120:M120"/>
    <mergeCell ref="J96:K96"/>
    <mergeCell ref="J97:K97"/>
    <mergeCell ref="J98:K98"/>
    <mergeCell ref="J99:K99"/>
    <mergeCell ref="J100:K100"/>
    <mergeCell ref="J114:K114"/>
    <mergeCell ref="J115:K115"/>
    <mergeCell ref="J116:K116"/>
    <mergeCell ref="J101:K101"/>
    <mergeCell ref="J102:K102"/>
    <mergeCell ref="J103:K103"/>
    <mergeCell ref="J110:K110"/>
    <mergeCell ref="J111:K111"/>
  </mergeCells>
  <dataValidations count="1">
    <dataValidation allowBlank="1" showInputMessage="1" showErrorMessage="1" promptTitle="Email/Telelgram/Other" prompt="Email/Telelgram/Other" sqref="L21:L116 H21:J116" xr:uid="{7D505D87-7CB1-4EB1-86B0-323B3B55DDE3}"/>
  </dataValidations>
  <printOptions horizontalCentered="1"/>
  <pageMargins left="0" right="0" top="0" bottom="0" header="0" footer="0"/>
  <pageSetup paperSize="11" scale="70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D1FA93-1CDD-4A3A-9289-CB5068C00A39}">
  <sheetPr codeName="Sheet66"/>
  <dimension ref="A1:CB177"/>
  <sheetViews>
    <sheetView showGridLines="0" zoomScale="80" zoomScaleNormal="80" workbookViewId="0">
      <pane ySplit="4" topLeftCell="A5" activePane="bottomLeft" state="frozen"/>
      <selection pane="bottomLeft" activeCell="P12" sqref="P12"/>
    </sheetView>
  </sheetViews>
  <sheetFormatPr defaultRowHeight="23.25"/>
  <cols>
    <col min="1" max="1" width="6.28515625" customWidth="1"/>
    <col min="2" max="2" width="2.42578125" customWidth="1"/>
    <col min="3" max="3" width="7.140625" style="139" customWidth="1"/>
    <col min="4" max="4" width="30.5703125" style="154" customWidth="1"/>
    <col min="5" max="5" width="2.5703125" style="154" customWidth="1"/>
    <col min="6" max="6" width="14.140625" style="154" customWidth="1"/>
    <col min="7" max="7" width="5.85546875" style="139" customWidth="1"/>
    <col min="8" max="8" width="10.140625" customWidth="1"/>
    <col min="9" max="9" width="17.28515625" style="2" customWidth="1"/>
    <col min="10" max="10" width="14.28515625" customWidth="1"/>
    <col min="11" max="11" width="2.42578125" customWidth="1"/>
    <col min="12" max="12" width="22" style="848" customWidth="1"/>
    <col min="13" max="13" width="1.85546875" customWidth="1"/>
    <col min="14" max="14" width="3.5703125" customWidth="1"/>
    <col min="15" max="15" width="24.140625" bestFit="1" customWidth="1"/>
    <col min="16" max="16" width="49" customWidth="1"/>
    <col min="17" max="17" width="5.140625" customWidth="1"/>
    <col min="18" max="18" width="20.7109375" customWidth="1"/>
    <col min="19" max="19" width="7.42578125" customWidth="1"/>
    <col min="20" max="20" width="13.28515625" customWidth="1"/>
    <col min="64" max="64" width="12.7109375" bestFit="1" customWidth="1"/>
    <col min="66" max="80" width="6.7109375" customWidth="1"/>
  </cols>
  <sheetData>
    <row r="1" spans="2:80" ht="24.95" customHeight="1">
      <c r="C1"/>
      <c r="D1" s="5"/>
      <c r="E1" s="5"/>
      <c r="F1" s="5"/>
      <c r="G1" s="2"/>
      <c r="O1" s="733" t="s">
        <v>3360</v>
      </c>
      <c r="P1" s="733"/>
      <c r="Q1" s="732"/>
      <c r="R1" s="733"/>
      <c r="S1" s="732"/>
      <c r="T1" s="732"/>
      <c r="U1" s="732"/>
    </row>
    <row r="2" spans="2:80" ht="24.95" customHeight="1">
      <c r="C2"/>
      <c r="D2" s="5"/>
      <c r="E2" s="5"/>
      <c r="F2" s="5"/>
      <c r="G2" s="2"/>
    </row>
    <row r="3" spans="2:80" ht="8.1" customHeight="1">
      <c r="C3" s="1289"/>
      <c r="D3" s="1289"/>
      <c r="E3" s="1289"/>
      <c r="F3" s="1289"/>
      <c r="G3" s="1289"/>
      <c r="H3" s="1289"/>
      <c r="I3" s="1322"/>
      <c r="J3" s="1289"/>
      <c r="K3" s="1289"/>
      <c r="L3" s="1309"/>
      <c r="O3" s="146"/>
      <c r="BL3" t="s">
        <v>1806</v>
      </c>
      <c r="BN3" s="345" t="s">
        <v>108</v>
      </c>
      <c r="BO3" s="345">
        <v>1</v>
      </c>
      <c r="BP3" s="345">
        <v>1</v>
      </c>
      <c r="BQ3" s="345">
        <v>6</v>
      </c>
      <c r="BR3" s="345" t="s">
        <v>109</v>
      </c>
      <c r="BS3" s="345">
        <v>2</v>
      </c>
      <c r="BT3" s="345">
        <v>6</v>
      </c>
      <c r="BU3" s="345">
        <v>0</v>
      </c>
      <c r="BV3" s="345">
        <v>0</v>
      </c>
      <c r="BW3" s="345">
        <v>0</v>
      </c>
      <c r="BX3" s="345">
        <v>0</v>
      </c>
      <c r="BY3" s="345">
        <v>1</v>
      </c>
      <c r="BZ3" s="345">
        <v>2</v>
      </c>
      <c r="CA3" s="345">
        <v>7</v>
      </c>
      <c r="CB3" s="346">
        <v>1</v>
      </c>
    </row>
    <row r="4" spans="2:80" ht="8.1" customHeight="1">
      <c r="B4" s="347"/>
      <c r="C4"/>
      <c r="D4" s="734"/>
      <c r="E4" s="734"/>
      <c r="F4" s="734"/>
      <c r="G4" s="402"/>
      <c r="H4" s="402"/>
      <c r="I4" s="1323"/>
      <c r="J4" s="402"/>
      <c r="K4" s="402"/>
      <c r="L4" s="1310"/>
      <c r="R4" s="68"/>
      <c r="S4" s="1943"/>
      <c r="T4" s="1943"/>
    </row>
    <row r="5" spans="2:80" s="5" customFormat="1" ht="30.75" customHeight="1">
      <c r="B5" s="348"/>
      <c r="D5" s="735"/>
      <c r="E5" s="735"/>
      <c r="F5" s="735"/>
      <c r="G5" s="349"/>
      <c r="H5" s="349"/>
      <c r="I5" s="176"/>
      <c r="J5" s="349"/>
      <c r="K5" s="349"/>
      <c r="L5" s="1311"/>
      <c r="O5" s="337" t="s">
        <v>3015</v>
      </c>
      <c r="P5" s="410"/>
      <c r="Q5"/>
      <c r="R5" s="68"/>
      <c r="S5" s="498"/>
      <c r="T5" s="183"/>
      <c r="U5"/>
      <c r="V5"/>
      <c r="W5"/>
      <c r="X5"/>
      <c r="Y5"/>
      <c r="Z5"/>
      <c r="AA5"/>
      <c r="AB5"/>
      <c r="AC5"/>
    </row>
    <row r="6" spans="2:80" s="5" customFormat="1" ht="36.75">
      <c r="B6" s="348"/>
      <c r="C6" s="402"/>
      <c r="D6" s="349"/>
      <c r="E6" s="349"/>
      <c r="F6" s="349"/>
      <c r="G6" s="349"/>
      <c r="H6" s="349"/>
      <c r="I6" s="176"/>
      <c r="J6" s="349"/>
      <c r="K6" s="349"/>
      <c r="L6" s="1311"/>
      <c r="N6" s="176"/>
      <c r="O6" s="337" t="s">
        <v>1874</v>
      </c>
      <c r="P6" s="404" t="s">
        <v>1854</v>
      </c>
      <c r="Q6" s="168"/>
      <c r="R6" s="414"/>
      <c r="S6" s="168"/>
      <c r="T6" s="168"/>
      <c r="U6" s="168"/>
      <c r="V6" s="168"/>
      <c r="W6" s="168"/>
      <c r="X6" s="168"/>
      <c r="Y6"/>
      <c r="Z6"/>
      <c r="AA6"/>
      <c r="AB6"/>
      <c r="AC6"/>
    </row>
    <row r="7" spans="2:80" s="5" customFormat="1" ht="25.5">
      <c r="B7" s="348"/>
      <c r="C7" s="814"/>
      <c r="D7" s="349"/>
      <c r="E7" s="349"/>
      <c r="F7" s="349"/>
      <c r="G7" s="349"/>
      <c r="H7" s="349"/>
      <c r="I7" s="176"/>
      <c r="J7" s="349"/>
      <c r="K7" s="349"/>
      <c r="L7" s="1311"/>
      <c r="O7" s="337" t="s">
        <v>1876</v>
      </c>
      <c r="P7" s="415" t="s">
        <v>102</v>
      </c>
      <c r="Q7" s="168"/>
      <c r="R7" s="414"/>
      <c r="S7" s="168"/>
      <c r="T7" s="168"/>
      <c r="U7" s="168"/>
      <c r="V7" s="168"/>
      <c r="W7" s="168"/>
      <c r="X7" s="168"/>
      <c r="Y7"/>
      <c r="Z7"/>
      <c r="AA7"/>
      <c r="AB7"/>
      <c r="AC7"/>
    </row>
    <row r="8" spans="2:80" ht="5.25" customHeight="1">
      <c r="B8" s="347"/>
      <c r="C8"/>
      <c r="D8" s="68"/>
      <c r="E8" s="68"/>
      <c r="F8" s="68"/>
      <c r="G8" s="68"/>
      <c r="H8" s="68"/>
      <c r="I8" s="1324"/>
      <c r="J8" s="68"/>
      <c r="K8" s="68"/>
      <c r="L8" s="1312"/>
      <c r="Q8" s="168"/>
      <c r="R8" s="414"/>
      <c r="S8" s="168"/>
      <c r="T8" s="168"/>
      <c r="U8" s="168"/>
      <c r="V8" s="168"/>
      <c r="W8" s="168"/>
      <c r="X8" s="168"/>
    </row>
    <row r="9" spans="2:80" ht="24.95" customHeight="1">
      <c r="B9" s="350"/>
      <c r="C9" s="196" t="str">
        <f>O6&amp;print_quote_branch_address_kh</f>
        <v>អាសយដ្ឋាន ៖ ភូមិគោកស្នួល ឃុំខ្នាត ស្រុកពួក ខេត្តសៀមរាប</v>
      </c>
      <c r="D9" s="5"/>
      <c r="E9" s="5"/>
      <c r="F9" s="5"/>
      <c r="G9" s="45"/>
      <c r="J9" s="351"/>
      <c r="K9" s="351"/>
      <c r="L9" s="1313"/>
      <c r="O9" s="337" t="s">
        <v>1877</v>
      </c>
      <c r="P9" s="404" t="s">
        <v>1855</v>
      </c>
      <c r="Q9" s="168"/>
      <c r="R9" s="168"/>
      <c r="S9" s="168"/>
      <c r="T9" s="168"/>
      <c r="U9" s="168"/>
      <c r="V9" s="168"/>
      <c r="W9" s="168"/>
      <c r="X9" s="168"/>
    </row>
    <row r="10" spans="2:80" ht="24.95" customHeight="1">
      <c r="B10" s="350"/>
      <c r="C10" s="196" t="str">
        <f>O7&amp;print_quote_branch_telephone&amp;IF(print_quote_branch_email="",""," , "&amp;O9&amp;print_quote_branch_email)</f>
        <v>លេខទូរស័ព្ទ ៖ 015 43 44 00 , អ៊ីម៉ែល​ ៖ boupanha.edu@gmail.com</v>
      </c>
      <c r="D10"/>
      <c r="E10"/>
      <c r="F10"/>
      <c r="G10" s="148"/>
      <c r="H10" s="148"/>
      <c r="O10" s="188"/>
      <c r="Q10" s="168"/>
      <c r="R10" s="168"/>
      <c r="S10" s="168"/>
      <c r="T10" s="168"/>
      <c r="U10" s="168"/>
      <c r="V10" s="168"/>
      <c r="W10" s="168"/>
      <c r="X10" s="168"/>
    </row>
    <row r="11" spans="2:80" s="52" customFormat="1" ht="24.95" customHeight="1">
      <c r="B11" s="350"/>
      <c r="C11" s="253" t="s">
        <v>1875</v>
      </c>
      <c r="D11" s="344"/>
      <c r="E11" s="344"/>
      <c r="G11" s="148"/>
      <c r="H11" s="148"/>
      <c r="I11" s="1339" t="s">
        <v>3363</v>
      </c>
      <c r="K11" s="1324" t="s">
        <v>86</v>
      </c>
      <c r="L11" s="1468" t="s">
        <v>4616</v>
      </c>
      <c r="M11" s="1454"/>
      <c r="N11" s="1454"/>
      <c r="O11" s="1454"/>
      <c r="P11" s="1454"/>
      <c r="Q11" s="1454"/>
      <c r="R11" s="1454"/>
      <c r="S11" s="168"/>
      <c r="T11" s="168"/>
      <c r="U11" s="168"/>
      <c r="V11" s="168"/>
      <c r="W11" s="168"/>
      <c r="X11" s="168"/>
      <c r="Y11"/>
      <c r="Z11"/>
      <c r="AA11"/>
      <c r="AB11"/>
      <c r="AC11"/>
    </row>
    <row r="12" spans="2:80" s="52" customFormat="1" ht="24.95" customHeight="1">
      <c r="B12" s="350"/>
      <c r="E12" s="1291"/>
      <c r="F12" s="1291"/>
      <c r="G12" s="148"/>
      <c r="H12" s="148"/>
      <c r="I12" s="1339" t="s">
        <v>3364</v>
      </c>
      <c r="K12" s="1324" t="s">
        <v>86</v>
      </c>
      <c r="L12" s="1455">
        <v>46233</v>
      </c>
      <c r="M12" s="149"/>
      <c r="N12" s="3"/>
      <c r="O12" s="225"/>
      <c r="P12" s="188"/>
      <c r="Q12" s="168"/>
      <c r="R12" s="168"/>
      <c r="S12" s="168"/>
      <c r="T12" s="183"/>
      <c r="U12" s="168"/>
      <c r="V12" s="168"/>
      <c r="W12" s="168"/>
      <c r="X12" s="168"/>
      <c r="Y12"/>
      <c r="Z12"/>
      <c r="AA12"/>
      <c r="AB12"/>
      <c r="AC12"/>
    </row>
    <row r="13" spans="2:80" s="52" customFormat="1" ht="24.95" customHeight="1">
      <c r="B13" s="350"/>
      <c r="D13" s="1291"/>
      <c r="E13" s="1291"/>
      <c r="F13" s="1291"/>
      <c r="G13" s="148"/>
      <c r="H13" s="148"/>
      <c r="I13" s="1339" t="s">
        <v>3365</v>
      </c>
      <c r="K13" s="1324" t="s">
        <v>86</v>
      </c>
      <c r="L13" s="1335"/>
      <c r="M13" s="149"/>
      <c r="N13" s="3"/>
      <c r="O13" s="225"/>
      <c r="P13" s="188"/>
      <c r="Q13" s="168"/>
      <c r="R13" s="168"/>
      <c r="S13" s="168"/>
      <c r="T13" s="183"/>
      <c r="U13" s="168"/>
      <c r="V13" s="168"/>
      <c r="W13" s="168"/>
      <c r="X13" s="168"/>
      <c r="Y13"/>
      <c r="Z13"/>
      <c r="AA13"/>
      <c r="AB13"/>
      <c r="AC13"/>
    </row>
    <row r="14" spans="2:80" s="52" customFormat="1" ht="30" customHeight="1">
      <c r="B14" s="350"/>
      <c r="C14" s="1291"/>
      <c r="D14" s="1291"/>
      <c r="E14" s="1291"/>
      <c r="F14" s="1291"/>
      <c r="G14" s="148"/>
      <c r="H14" s="148"/>
      <c r="I14" s="1325"/>
      <c r="L14" s="1314"/>
      <c r="N14"/>
      <c r="O14" s="225"/>
      <c r="P14" s="188"/>
      <c r="Q14" s="168"/>
      <c r="R14" s="168"/>
      <c r="S14" s="168"/>
      <c r="T14" s="183"/>
      <c r="U14" s="168"/>
      <c r="V14" s="168"/>
      <c r="W14" s="168"/>
      <c r="X14" s="168"/>
      <c r="Y14"/>
      <c r="Z14"/>
      <c r="AA14"/>
      <c r="AB14"/>
      <c r="AC14"/>
    </row>
    <row r="15" spans="2:80" ht="7.5" customHeight="1">
      <c r="B15" s="5"/>
      <c r="C15" s="5"/>
      <c r="D15" s="5"/>
      <c r="E15" s="5"/>
      <c r="F15" s="5"/>
      <c r="G15" s="5"/>
      <c r="H15" s="5"/>
      <c r="I15" s="8"/>
      <c r="J15" s="5"/>
      <c r="K15" s="5"/>
      <c r="L15" s="1315"/>
      <c r="M15" s="5"/>
      <c r="N15" s="5"/>
      <c r="O15" s="225"/>
      <c r="P15" s="188"/>
      <c r="Q15" s="168"/>
      <c r="R15" s="168"/>
      <c r="S15" s="168"/>
      <c r="T15" s="183"/>
      <c r="U15" s="168"/>
      <c r="V15" s="168"/>
      <c r="W15" s="168"/>
      <c r="X15" s="168"/>
    </row>
    <row r="16" spans="2:80" ht="32.25" hidden="1" customHeight="1">
      <c r="B16" s="58">
        <v>-9</v>
      </c>
      <c r="C16" s="829"/>
      <c r="D16" s="352"/>
      <c r="E16" s="352"/>
      <c r="F16" s="776"/>
      <c r="G16" s="776"/>
      <c r="H16" s="777"/>
      <c r="I16" s="1326"/>
      <c r="J16" s="751"/>
      <c r="K16" s="751"/>
      <c r="L16" s="1316"/>
      <c r="M16" s="58"/>
      <c r="O16" s="225"/>
      <c r="P16" s="188"/>
      <c r="Q16" s="168"/>
      <c r="R16" s="168"/>
      <c r="S16" s="168"/>
      <c r="T16" s="183"/>
      <c r="U16" s="168"/>
      <c r="V16" s="168"/>
      <c r="W16" s="168"/>
      <c r="X16" s="168"/>
    </row>
    <row r="17" spans="1:29" ht="30" customHeight="1">
      <c r="B17" s="58"/>
      <c r="C17" s="830" t="s">
        <v>1864</v>
      </c>
      <c r="D17" s="352"/>
      <c r="E17" s="435" t="s">
        <v>86</v>
      </c>
      <c r="F17" s="1944" t="s">
        <v>4611</v>
      </c>
      <c r="G17" s="1944"/>
      <c r="H17" s="1944"/>
      <c r="I17" s="1944"/>
      <c r="J17" s="1944"/>
      <c r="K17" s="1944"/>
      <c r="L17" s="1944"/>
      <c r="M17" s="58"/>
      <c r="N17" s="37"/>
      <c r="O17" s="225"/>
      <c r="P17" s="188"/>
      <c r="Q17" s="168"/>
      <c r="R17" s="168"/>
      <c r="S17" s="168"/>
      <c r="T17" s="183"/>
      <c r="U17" s="168"/>
      <c r="V17" s="168"/>
      <c r="W17" s="168"/>
      <c r="X17" s="168"/>
    </row>
    <row r="18" spans="1:29" s="3" customFormat="1" ht="30" hidden="1" customHeight="1">
      <c r="B18" s="383"/>
      <c r="C18" s="749"/>
      <c r="D18" s="426"/>
      <c r="E18" s="435"/>
      <c r="F18" s="1305"/>
      <c r="G18" s="1306"/>
      <c r="H18" s="1306"/>
      <c r="I18" s="1327"/>
      <c r="J18" s="1306"/>
      <c r="K18" s="1306"/>
      <c r="L18" s="1317"/>
      <c r="M18" s="384"/>
      <c r="N18" s="385"/>
      <c r="O18" s="225"/>
      <c r="P18" s="188"/>
      <c r="Q18" s="168"/>
      <c r="R18" s="168"/>
      <c r="S18" s="168"/>
      <c r="T18" s="183"/>
      <c r="U18" s="168"/>
      <c r="V18" s="168"/>
      <c r="W18" s="168"/>
      <c r="X18" s="168"/>
    </row>
    <row r="19" spans="1:29" ht="30" customHeight="1">
      <c r="B19" s="58"/>
      <c r="C19" s="830" t="s">
        <v>106</v>
      </c>
      <c r="D19" s="352"/>
      <c r="E19" s="435" t="s">
        <v>86</v>
      </c>
      <c r="F19" s="1950" t="s">
        <v>4614</v>
      </c>
      <c r="G19" s="1950"/>
      <c r="H19" s="1950"/>
      <c r="I19" s="1950"/>
      <c r="J19" s="1950"/>
      <c r="K19" s="1950"/>
      <c r="L19" s="1950"/>
      <c r="M19" s="58"/>
      <c r="O19" s="225"/>
      <c r="P19" s="188"/>
      <c r="Q19" s="168"/>
      <c r="R19" s="168"/>
      <c r="S19" s="168"/>
      <c r="T19" s="183"/>
      <c r="U19" s="168"/>
      <c r="V19" s="168"/>
      <c r="W19" s="168"/>
      <c r="X19" s="168"/>
    </row>
    <row r="20" spans="1:29" ht="30" customHeight="1">
      <c r="B20" s="58"/>
      <c r="C20" s="834" t="s">
        <v>1866</v>
      </c>
      <c r="D20" s="352"/>
      <c r="E20" s="435" t="s">
        <v>86</v>
      </c>
      <c r="F20" s="1951" t="s">
        <v>4613</v>
      </c>
      <c r="G20" s="1951"/>
      <c r="H20" s="1951"/>
      <c r="I20" s="1951"/>
      <c r="J20" s="1951"/>
      <c r="K20" s="1951"/>
      <c r="L20" s="1951"/>
      <c r="M20" s="58"/>
      <c r="N20" s="58"/>
      <c r="P20" s="188"/>
      <c r="Q20" s="168"/>
      <c r="R20" s="168"/>
      <c r="S20" s="168"/>
      <c r="T20" s="183"/>
      <c r="U20" s="168"/>
      <c r="V20" s="168"/>
      <c r="W20" s="168"/>
      <c r="X20" s="168"/>
    </row>
    <row r="21" spans="1:29" ht="30" hidden="1" customHeight="1">
      <c r="B21" s="5"/>
      <c r="C21" s="749"/>
      <c r="D21" s="445"/>
      <c r="E21" s="435" t="s">
        <v>86</v>
      </c>
      <c r="F21" s="1303"/>
      <c r="G21" s="1304"/>
      <c r="H21" s="1304"/>
      <c r="I21" s="1328"/>
      <c r="J21" s="1304"/>
      <c r="K21" s="1304"/>
      <c r="L21" s="1318"/>
      <c r="M21" s="5"/>
      <c r="N21" s="5"/>
      <c r="O21" s="225"/>
      <c r="P21" s="188"/>
      <c r="Q21" s="168"/>
      <c r="R21" s="168"/>
      <c r="S21" s="168"/>
      <c r="T21" s="183"/>
      <c r="U21" s="168"/>
      <c r="V21" s="168"/>
      <c r="W21" s="168"/>
      <c r="X21" s="168"/>
    </row>
    <row r="22" spans="1:29" ht="30" customHeight="1">
      <c r="B22" s="5"/>
      <c r="C22" s="830" t="s">
        <v>3361</v>
      </c>
      <c r="D22" s="445"/>
      <c r="E22" s="435" t="s">
        <v>86</v>
      </c>
      <c r="F22" s="1949"/>
      <c r="G22" s="1949"/>
      <c r="H22" s="1949"/>
      <c r="I22" s="1949"/>
      <c r="J22" s="1949"/>
      <c r="K22" s="1949"/>
      <c r="L22" s="1949"/>
      <c r="M22" s="5"/>
      <c r="N22" s="5"/>
      <c r="O22" s="225"/>
      <c r="P22" s="188"/>
      <c r="Q22" s="168"/>
      <c r="R22" s="168"/>
      <c r="S22" s="168"/>
      <c r="T22" s="183"/>
      <c r="U22" s="168"/>
      <c r="V22" s="168"/>
      <c r="W22" s="168"/>
      <c r="X22" s="168"/>
    </row>
    <row r="23" spans="1:29" ht="11.25" customHeight="1">
      <c r="B23" s="5"/>
      <c r="C23" s="354"/>
      <c r="D23" s="354"/>
      <c r="E23" s="354"/>
      <c r="F23" s="1904"/>
      <c r="G23" s="1904"/>
      <c r="H23" s="1904"/>
      <c r="I23" s="1329"/>
      <c r="J23" s="352"/>
      <c r="K23" s="352"/>
      <c r="L23" s="1316"/>
      <c r="M23" s="5"/>
      <c r="P23" t="s">
        <v>2986</v>
      </c>
      <c r="T23" s="139"/>
    </row>
    <row r="24" spans="1:29" s="4" customFormat="1" ht="1.5" customHeight="1">
      <c r="B24"/>
      <c r="D24" s="64"/>
      <c r="E24" s="64"/>
      <c r="F24" s="65"/>
      <c r="G24" s="66"/>
      <c r="H24" s="202"/>
      <c r="I24" s="66"/>
      <c r="J24" s="68"/>
      <c r="K24" s="68"/>
      <c r="L24" s="1319"/>
      <c r="O24"/>
      <c r="P24"/>
      <c r="Q24"/>
      <c r="R24"/>
      <c r="S24"/>
      <c r="T24" s="139"/>
      <c r="U24"/>
      <c r="V24"/>
      <c r="W24"/>
      <c r="X24"/>
      <c r="Y24"/>
      <c r="Z24"/>
      <c r="AA24"/>
      <c r="AB24"/>
      <c r="AC24"/>
    </row>
    <row r="25" spans="1:29" s="355" customFormat="1" ht="27">
      <c r="C25" s="862" t="s">
        <v>47</v>
      </c>
      <c r="D25" s="1945" t="s">
        <v>1863</v>
      </c>
      <c r="E25" s="1955"/>
      <c r="F25" s="1955"/>
      <c r="G25" s="1946"/>
      <c r="H25" s="862" t="s">
        <v>135</v>
      </c>
      <c r="I25" s="862" t="s">
        <v>134</v>
      </c>
      <c r="J25" s="1945" t="s">
        <v>90</v>
      </c>
      <c r="K25" s="1946"/>
      <c r="L25" s="1945" t="s">
        <v>85</v>
      </c>
      <c r="M25" s="1946"/>
      <c r="N25" s="356"/>
      <c r="O25" s="34"/>
      <c r="P25" s="34"/>
      <c r="Q25"/>
      <c r="R25"/>
      <c r="S25"/>
      <c r="T25" s="139"/>
      <c r="U25"/>
      <c r="V25"/>
      <c r="W25"/>
      <c r="X25"/>
      <c r="Y25"/>
      <c r="Z25"/>
      <c r="AA25"/>
      <c r="AB25"/>
      <c r="AC25"/>
    </row>
    <row r="26" spans="1:29" s="357" customFormat="1" ht="18.75" customHeight="1">
      <c r="C26" s="878" t="s">
        <v>9</v>
      </c>
      <c r="D26" s="1947" t="s">
        <v>3312</v>
      </c>
      <c r="E26" s="1956"/>
      <c r="F26" s="1956"/>
      <c r="G26" s="1948"/>
      <c r="H26" s="878" t="s">
        <v>67</v>
      </c>
      <c r="I26" s="878" t="s">
        <v>19</v>
      </c>
      <c r="J26" s="1947" t="s">
        <v>3362</v>
      </c>
      <c r="K26" s="1948"/>
      <c r="L26" s="1947" t="s">
        <v>1522</v>
      </c>
      <c r="M26" s="1948"/>
      <c r="O26"/>
      <c r="P26"/>
      <c r="Q26"/>
      <c r="R26"/>
      <c r="S26"/>
      <c r="T26" s="139"/>
      <c r="U26"/>
      <c r="V26"/>
      <c r="W26"/>
      <c r="X26"/>
      <c r="Y26"/>
      <c r="Z26"/>
      <c r="AA26"/>
      <c r="AB26"/>
      <c r="AC26"/>
    </row>
    <row r="27" spans="1:29" s="357" customFormat="1" ht="30" customHeight="1">
      <c r="A27" s="423">
        <v>1</v>
      </c>
      <c r="C27" s="393">
        <v>1</v>
      </c>
      <c r="D27" s="1917" t="s">
        <v>3339</v>
      </c>
      <c r="E27" s="1918"/>
      <c r="F27" s="1918"/>
      <c r="G27" s="1919"/>
      <c r="H27" s="1292">
        <v>2</v>
      </c>
      <c r="I27" s="1330" t="s">
        <v>2172</v>
      </c>
      <c r="J27" s="1920">
        <v>28.5</v>
      </c>
      <c r="K27" s="1921"/>
      <c r="L27" s="1920">
        <v>57</v>
      </c>
      <c r="M27" s="1921"/>
      <c r="O27"/>
      <c r="P27"/>
      <c r="Q27"/>
      <c r="R27"/>
      <c r="S27"/>
      <c r="T27" s="139"/>
      <c r="U27"/>
      <c r="V27"/>
      <c r="W27"/>
      <c r="X27"/>
      <c r="Y27"/>
      <c r="Z27"/>
      <c r="AA27"/>
      <c r="AB27"/>
      <c r="AC27"/>
    </row>
    <row r="28" spans="1:29" s="357" customFormat="1" ht="99.95" customHeight="1">
      <c r="A28" s="423"/>
      <c r="C28" s="393"/>
      <c r="D28" s="1933" t="s">
        <v>4617</v>
      </c>
      <c r="E28" s="1918"/>
      <c r="F28" s="1918"/>
      <c r="G28" s="1919"/>
      <c r="H28" s="1924"/>
      <c r="I28" s="1925"/>
      <c r="J28" s="1925"/>
      <c r="K28" s="1925"/>
      <c r="L28" s="1925"/>
      <c r="M28" s="1926"/>
      <c r="O28"/>
      <c r="P28"/>
      <c r="Q28"/>
      <c r="R28"/>
      <c r="S28"/>
      <c r="T28" s="139"/>
      <c r="U28"/>
      <c r="V28"/>
      <c r="W28"/>
      <c r="X28"/>
      <c r="Y28"/>
      <c r="Z28"/>
      <c r="AA28"/>
      <c r="AB28"/>
      <c r="AC28"/>
    </row>
    <row r="29" spans="1:29" s="357" customFormat="1" ht="30" customHeight="1">
      <c r="A29" s="423">
        <v>2</v>
      </c>
      <c r="C29" s="393">
        <v>2</v>
      </c>
      <c r="D29" s="1917" t="s">
        <v>4618</v>
      </c>
      <c r="E29" s="1927"/>
      <c r="F29" s="1927"/>
      <c r="G29" s="1928"/>
      <c r="H29" s="1292">
        <v>3</v>
      </c>
      <c r="I29" s="1330" t="s">
        <v>2172</v>
      </c>
      <c r="J29" s="1920">
        <v>12</v>
      </c>
      <c r="K29" s="1921"/>
      <c r="L29" s="1920">
        <v>36</v>
      </c>
      <c r="M29" s="1921"/>
      <c r="O29"/>
      <c r="P29"/>
      <c r="Q29"/>
      <c r="R29"/>
      <c r="S29"/>
      <c r="T29" s="139"/>
      <c r="U29"/>
      <c r="V29"/>
      <c r="W29"/>
      <c r="X29"/>
      <c r="Y29"/>
      <c r="Z29"/>
      <c r="AA29"/>
      <c r="AB29"/>
      <c r="AC29"/>
    </row>
    <row r="30" spans="1:29" s="357" customFormat="1" ht="99.95" customHeight="1">
      <c r="A30" s="423"/>
      <c r="C30" s="393"/>
      <c r="D30" s="1933" t="s">
        <v>4619</v>
      </c>
      <c r="E30" s="1918"/>
      <c r="F30" s="1918"/>
      <c r="G30" s="1918"/>
      <c r="H30" s="1924"/>
      <c r="I30" s="1925"/>
      <c r="J30" s="1925"/>
      <c r="K30" s="1925"/>
      <c r="L30" s="1925"/>
      <c r="M30" s="1926"/>
      <c r="O30"/>
      <c r="P30"/>
      <c r="Q30"/>
      <c r="R30"/>
      <c r="S30"/>
      <c r="T30" s="139"/>
      <c r="U30"/>
      <c r="V30"/>
      <c r="W30"/>
      <c r="X30"/>
      <c r="Y30"/>
      <c r="Z30"/>
      <c r="AA30"/>
      <c r="AB30"/>
      <c r="AC30"/>
    </row>
    <row r="31" spans="1:29" s="357" customFormat="1" ht="30" customHeight="1">
      <c r="A31" s="423">
        <v>3</v>
      </c>
      <c r="C31" s="393">
        <v>3</v>
      </c>
      <c r="D31" s="1917" t="s">
        <v>4620</v>
      </c>
      <c r="E31" s="1927"/>
      <c r="F31" s="1927"/>
      <c r="G31" s="1928"/>
      <c r="H31" s="1292">
        <v>4</v>
      </c>
      <c r="I31" s="1330" t="s">
        <v>2172</v>
      </c>
      <c r="J31" s="1920">
        <v>9.5</v>
      </c>
      <c r="K31" s="1921"/>
      <c r="L31" s="1920">
        <v>38</v>
      </c>
      <c r="M31" s="1921"/>
      <c r="O31"/>
      <c r="P31"/>
      <c r="Q31"/>
      <c r="R31"/>
      <c r="S31"/>
      <c r="T31" s="139"/>
      <c r="U31"/>
      <c r="V31"/>
      <c r="W31"/>
      <c r="X31"/>
      <c r="Y31"/>
      <c r="Z31"/>
      <c r="AA31"/>
      <c r="AB31"/>
      <c r="AC31"/>
    </row>
    <row r="32" spans="1:29" s="357" customFormat="1" ht="99.95" customHeight="1">
      <c r="A32" s="423"/>
      <c r="C32" s="393"/>
      <c r="D32" s="1933" t="s">
        <v>4621</v>
      </c>
      <c r="E32" s="1918"/>
      <c r="F32" s="1918"/>
      <c r="G32" s="1918"/>
      <c r="H32" s="1924"/>
      <c r="I32" s="1925"/>
      <c r="J32" s="1925"/>
      <c r="K32" s="1925"/>
      <c r="L32" s="1925"/>
      <c r="M32" s="1926"/>
      <c r="O32"/>
      <c r="P32"/>
      <c r="Q32"/>
      <c r="R32"/>
      <c r="S32"/>
      <c r="T32" s="139"/>
      <c r="U32"/>
      <c r="V32"/>
      <c r="W32"/>
      <c r="X32"/>
      <c r="Y32"/>
      <c r="Z32"/>
      <c r="AA32"/>
      <c r="AB32"/>
      <c r="AC32"/>
    </row>
    <row r="33" spans="1:29" s="357" customFormat="1" ht="30" customHeight="1">
      <c r="A33" s="423">
        <v>4</v>
      </c>
      <c r="C33" s="393">
        <v>4</v>
      </c>
      <c r="D33" s="1917" t="s">
        <v>4622</v>
      </c>
      <c r="E33" s="1918"/>
      <c r="F33" s="1918"/>
      <c r="G33" s="1919"/>
      <c r="H33" s="1290">
        <v>5</v>
      </c>
      <c r="I33" s="1331" t="s">
        <v>2172</v>
      </c>
      <c r="J33" s="1920">
        <v>6.5</v>
      </c>
      <c r="K33" s="1921"/>
      <c r="L33" s="1920">
        <v>32.5</v>
      </c>
      <c r="M33" s="1921"/>
      <c r="O33"/>
      <c r="P33"/>
      <c r="Q33"/>
      <c r="R33"/>
      <c r="S33"/>
      <c r="T33" s="139"/>
      <c r="U33"/>
      <c r="V33"/>
      <c r="W33"/>
      <c r="X33"/>
      <c r="Y33"/>
      <c r="Z33"/>
      <c r="AA33"/>
      <c r="AB33"/>
      <c r="AC33"/>
    </row>
    <row r="34" spans="1:29" s="357" customFormat="1" ht="99.95" customHeight="1">
      <c r="A34" s="423"/>
      <c r="C34" s="393"/>
      <c r="D34" s="1933" t="s">
        <v>4623</v>
      </c>
      <c r="E34" s="1918"/>
      <c r="F34" s="1918"/>
      <c r="G34" s="1918"/>
      <c r="H34" s="1924"/>
      <c r="I34" s="1925"/>
      <c r="J34" s="1925"/>
      <c r="K34" s="1925"/>
      <c r="L34" s="1925"/>
      <c r="M34" s="1926"/>
      <c r="O34"/>
      <c r="P34"/>
      <c r="Q34"/>
      <c r="R34"/>
      <c r="S34"/>
      <c r="T34" s="139"/>
      <c r="U34"/>
      <c r="V34"/>
      <c r="W34"/>
      <c r="X34"/>
      <c r="Y34"/>
      <c r="Z34"/>
      <c r="AA34"/>
      <c r="AB34"/>
      <c r="AC34"/>
    </row>
    <row r="35" spans="1:29" s="357" customFormat="1" ht="30" customHeight="1">
      <c r="A35" s="423">
        <v>5</v>
      </c>
      <c r="C35" s="393">
        <v>5</v>
      </c>
      <c r="D35" s="1917" t="s">
        <v>4624</v>
      </c>
      <c r="E35" s="1927"/>
      <c r="F35" s="1927"/>
      <c r="G35" s="1928"/>
      <c r="H35" s="1292">
        <v>6</v>
      </c>
      <c r="I35" s="1330" t="s">
        <v>2172</v>
      </c>
      <c r="J35" s="1920">
        <v>4.25</v>
      </c>
      <c r="K35" s="1921"/>
      <c r="L35" s="1920">
        <v>25.5</v>
      </c>
      <c r="M35" s="1921"/>
      <c r="O35"/>
      <c r="P35"/>
      <c r="Q35"/>
      <c r="R35"/>
      <c r="S35"/>
      <c r="T35" s="139"/>
      <c r="U35"/>
      <c r="V35"/>
      <c r="W35"/>
      <c r="X35"/>
      <c r="Y35"/>
      <c r="Z35"/>
      <c r="AA35"/>
      <c r="AB35"/>
      <c r="AC35"/>
    </row>
    <row r="36" spans="1:29" s="357" customFormat="1" ht="99.95" customHeight="1">
      <c r="A36" s="423"/>
      <c r="C36" s="393"/>
      <c r="D36" s="1933" t="s">
        <v>4625</v>
      </c>
      <c r="E36" s="1918"/>
      <c r="F36" s="1918"/>
      <c r="G36" s="1918"/>
      <c r="H36" s="1924"/>
      <c r="I36" s="1925"/>
      <c r="J36" s="1925"/>
      <c r="K36" s="1925"/>
      <c r="L36" s="1925"/>
      <c r="M36" s="1926"/>
      <c r="O36"/>
      <c r="P36"/>
      <c r="Q36"/>
      <c r="R36"/>
      <c r="S36"/>
      <c r="T36" s="139"/>
      <c r="U36"/>
      <c r="V36"/>
      <c r="W36"/>
      <c r="X36"/>
      <c r="Y36"/>
      <c r="Z36"/>
      <c r="AA36"/>
      <c r="AB36"/>
      <c r="AC36"/>
    </row>
    <row r="37" spans="1:29" s="357" customFormat="1" ht="30" customHeight="1">
      <c r="A37" s="423">
        <v>6</v>
      </c>
      <c r="C37" s="393">
        <v>6</v>
      </c>
      <c r="D37" s="1933" t="s">
        <v>4626</v>
      </c>
      <c r="E37" s="1927"/>
      <c r="F37" s="1927"/>
      <c r="G37" s="1928"/>
      <c r="H37" s="1292">
        <v>7</v>
      </c>
      <c r="I37" s="1330" t="s">
        <v>2172</v>
      </c>
      <c r="J37" s="1920">
        <v>3.5</v>
      </c>
      <c r="K37" s="1921"/>
      <c r="L37" s="1920">
        <v>24.5</v>
      </c>
      <c r="M37" s="1921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</row>
    <row r="38" spans="1:29" s="357" customFormat="1" ht="99.95" customHeight="1">
      <c r="A38" s="423"/>
      <c r="C38" s="393"/>
      <c r="D38" s="1933" t="s">
        <v>4627</v>
      </c>
      <c r="E38" s="1918"/>
      <c r="F38" s="1918"/>
      <c r="G38" s="1918"/>
      <c r="H38" s="1924"/>
      <c r="I38" s="1925"/>
      <c r="J38" s="1925"/>
      <c r="K38" s="1925"/>
      <c r="L38" s="1925"/>
      <c r="M38" s="1926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</row>
    <row r="39" spans="1:29" s="357" customFormat="1" ht="30" customHeight="1">
      <c r="A39" s="423">
        <v>7</v>
      </c>
      <c r="C39" s="393">
        <v>7</v>
      </c>
      <c r="D39" s="1933" t="s">
        <v>4628</v>
      </c>
      <c r="E39" s="1927"/>
      <c r="F39" s="1927"/>
      <c r="G39" s="1928"/>
      <c r="H39" s="1292">
        <v>8</v>
      </c>
      <c r="I39" s="1330" t="s">
        <v>2172</v>
      </c>
      <c r="J39" s="1920">
        <v>2.5</v>
      </c>
      <c r="K39" s="1921"/>
      <c r="L39" s="1920">
        <v>20</v>
      </c>
      <c r="M39" s="1921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</row>
    <row r="40" spans="1:29" s="357" customFormat="1" ht="99.95" customHeight="1">
      <c r="A40" s="423"/>
      <c r="C40" s="393"/>
      <c r="D40" s="1933" t="s">
        <v>4629</v>
      </c>
      <c r="E40" s="1918"/>
      <c r="F40" s="1918"/>
      <c r="G40" s="1918"/>
      <c r="H40" s="1924"/>
      <c r="I40" s="1925"/>
      <c r="J40" s="1925"/>
      <c r="K40" s="1925"/>
      <c r="L40" s="1925"/>
      <c r="M40" s="1926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</row>
    <row r="41" spans="1:29" s="357" customFormat="1" ht="30" customHeight="1">
      <c r="A41" s="423">
        <v>8</v>
      </c>
      <c r="C41" s="393">
        <v>8</v>
      </c>
      <c r="D41" s="1933" t="s">
        <v>4630</v>
      </c>
      <c r="E41" s="1927"/>
      <c r="F41" s="1927"/>
      <c r="G41" s="1928"/>
      <c r="H41" s="1292">
        <v>9</v>
      </c>
      <c r="I41" s="1330" t="s">
        <v>2172</v>
      </c>
      <c r="J41" s="1920">
        <v>1.75</v>
      </c>
      <c r="K41" s="1921"/>
      <c r="L41" s="1920">
        <v>15.75</v>
      </c>
      <c r="M41" s="192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</row>
    <row r="42" spans="1:29" s="357" customFormat="1" ht="99.95" customHeight="1">
      <c r="A42" s="423"/>
      <c r="C42" s="1338"/>
      <c r="D42" s="1939" t="s">
        <v>4631</v>
      </c>
      <c r="E42" s="1927"/>
      <c r="F42" s="1927"/>
      <c r="G42" s="1927"/>
      <c r="H42" s="1940"/>
      <c r="I42" s="1941"/>
      <c r="J42" s="1941"/>
      <c r="K42" s="1941"/>
      <c r="L42" s="1941"/>
      <c r="M42" s="19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</row>
    <row r="43" spans="1:29" s="357" customFormat="1" ht="30" customHeight="1">
      <c r="A43" s="423">
        <v>9</v>
      </c>
      <c r="C43" s="393">
        <v>9</v>
      </c>
      <c r="D43" s="1933" t="s">
        <v>4632</v>
      </c>
      <c r="E43" s="1918"/>
      <c r="F43" s="1918"/>
      <c r="G43" s="1919"/>
      <c r="H43" s="1290">
        <v>10</v>
      </c>
      <c r="I43" s="1331" t="s">
        <v>2172</v>
      </c>
      <c r="J43" s="1920">
        <v>1.5</v>
      </c>
      <c r="K43" s="1921"/>
      <c r="L43" s="1920">
        <v>15</v>
      </c>
      <c r="M43" s="1921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</row>
    <row r="44" spans="1:29" s="357" customFormat="1" ht="99.95" customHeight="1">
      <c r="A44" s="423"/>
      <c r="C44" s="1337"/>
      <c r="D44" s="1934" t="s">
        <v>4633</v>
      </c>
      <c r="E44" s="1935"/>
      <c r="F44" s="1935"/>
      <c r="G44" s="1935"/>
      <c r="H44" s="1936"/>
      <c r="I44" s="1937"/>
      <c r="J44" s="1937"/>
      <c r="K44" s="1937"/>
      <c r="L44" s="1937"/>
      <c r="M44" s="1938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</row>
    <row r="45" spans="1:29" s="357" customFormat="1" ht="30" customHeight="1">
      <c r="A45" s="423">
        <v>10</v>
      </c>
      <c r="C45" s="393">
        <v>10</v>
      </c>
      <c r="D45" s="1933" t="s">
        <v>4634</v>
      </c>
      <c r="E45" s="1927"/>
      <c r="F45" s="1927"/>
      <c r="G45" s="1928"/>
      <c r="H45" s="1292">
        <v>11</v>
      </c>
      <c r="I45" s="1330" t="s">
        <v>2172</v>
      </c>
      <c r="J45" s="1920">
        <v>15.5</v>
      </c>
      <c r="K45" s="1921"/>
      <c r="L45" s="1920">
        <v>170.5</v>
      </c>
      <c r="M45" s="1921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</row>
    <row r="46" spans="1:29" s="357" customFormat="1" ht="99.95" customHeight="1">
      <c r="A46" s="423"/>
      <c r="C46" s="393"/>
      <c r="D46" s="1933" t="s">
        <v>4635</v>
      </c>
      <c r="E46" s="1918"/>
      <c r="F46" s="1918"/>
      <c r="G46" s="1918"/>
      <c r="H46" s="1924"/>
      <c r="I46" s="1925"/>
      <c r="J46" s="1925"/>
      <c r="K46" s="1925"/>
      <c r="L46" s="1925"/>
      <c r="M46" s="192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</row>
    <row r="47" spans="1:29" s="357" customFormat="1" ht="30" hidden="1" customHeight="1">
      <c r="A47" s="423">
        <v>11</v>
      </c>
      <c r="C47" s="393"/>
      <c r="D47" s="1933"/>
      <c r="E47" s="1918"/>
      <c r="F47" s="1918"/>
      <c r="G47" s="1919"/>
      <c r="H47" s="1290"/>
      <c r="I47" s="1331"/>
      <c r="J47" s="1920"/>
      <c r="K47" s="1921"/>
      <c r="L47" s="1920"/>
      <c r="M47" s="1921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</row>
    <row r="48" spans="1:29" s="357" customFormat="1" ht="99.95" hidden="1" customHeight="1">
      <c r="A48" s="423"/>
      <c r="C48" s="393"/>
      <c r="D48" s="1917"/>
      <c r="E48" s="1918"/>
      <c r="F48" s="1918"/>
      <c r="G48" s="1918"/>
      <c r="H48" s="1924"/>
      <c r="I48" s="1925"/>
      <c r="J48" s="1925"/>
      <c r="K48" s="1925"/>
      <c r="L48" s="1925"/>
      <c r="M48" s="1926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</row>
    <row r="49" spans="1:29" s="357" customFormat="1" ht="30" hidden="1" customHeight="1">
      <c r="A49" s="423">
        <v>12</v>
      </c>
      <c r="C49" s="393"/>
      <c r="D49" s="1917"/>
      <c r="E49" s="1927"/>
      <c r="F49" s="1927"/>
      <c r="G49" s="1928"/>
      <c r="H49" s="1292"/>
      <c r="I49" s="1330"/>
      <c r="J49" s="1920"/>
      <c r="K49" s="1921"/>
      <c r="L49" s="1920"/>
      <c r="M49" s="1921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</row>
    <row r="50" spans="1:29" s="357" customFormat="1" ht="99.95" hidden="1" customHeight="1">
      <c r="A50" s="423"/>
      <c r="C50" s="393"/>
      <c r="D50" s="1917"/>
      <c r="E50" s="1918"/>
      <c r="F50" s="1918"/>
      <c r="G50" s="1918"/>
      <c r="H50" s="1924"/>
      <c r="I50" s="1925"/>
      <c r="J50" s="1925"/>
      <c r="K50" s="1925"/>
      <c r="L50" s="1925"/>
      <c r="M50" s="1926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</row>
    <row r="51" spans="1:29" s="357" customFormat="1" ht="30" hidden="1" customHeight="1">
      <c r="A51" s="423">
        <v>13</v>
      </c>
      <c r="C51" s="393"/>
      <c r="D51" s="1917"/>
      <c r="E51" s="1927"/>
      <c r="F51" s="1927"/>
      <c r="G51" s="1928"/>
      <c r="H51" s="1292"/>
      <c r="I51" s="1330"/>
      <c r="J51" s="1920"/>
      <c r="K51" s="1921"/>
      <c r="L51" s="1920"/>
      <c r="M51" s="192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</row>
    <row r="52" spans="1:29" s="357" customFormat="1" ht="99.95" hidden="1" customHeight="1">
      <c r="A52" s="423"/>
      <c r="C52" s="393"/>
      <c r="D52" s="1917"/>
      <c r="E52" s="1918"/>
      <c r="F52" s="1918"/>
      <c r="G52" s="1918"/>
      <c r="H52" s="1924"/>
      <c r="I52" s="1925"/>
      <c r="J52" s="1925"/>
      <c r="K52" s="1925"/>
      <c r="L52" s="1925"/>
      <c r="M52" s="1926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</row>
    <row r="53" spans="1:29" s="357" customFormat="1" ht="30" hidden="1" customHeight="1">
      <c r="A53" s="423">
        <v>14</v>
      </c>
      <c r="C53" s="393"/>
      <c r="D53" s="1917"/>
      <c r="E53" s="1927"/>
      <c r="F53" s="1927"/>
      <c r="G53" s="1928"/>
      <c r="H53" s="1292"/>
      <c r="I53" s="1330"/>
      <c r="J53" s="1920"/>
      <c r="K53" s="1921"/>
      <c r="L53" s="1920"/>
      <c r="M53" s="1921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</row>
    <row r="54" spans="1:29" s="357" customFormat="1" ht="99.95" hidden="1" customHeight="1">
      <c r="A54" s="423"/>
      <c r="C54" s="393"/>
      <c r="D54" s="1917"/>
      <c r="E54" s="1918"/>
      <c r="F54" s="1918"/>
      <c r="G54" s="1918"/>
      <c r="H54" s="1924"/>
      <c r="I54" s="1925"/>
      <c r="J54" s="1925"/>
      <c r="K54" s="1925"/>
      <c r="L54" s="1925"/>
      <c r="M54" s="1926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</row>
    <row r="55" spans="1:29" s="357" customFormat="1" ht="30" hidden="1" customHeight="1">
      <c r="A55" s="423">
        <v>15</v>
      </c>
      <c r="C55" s="393"/>
      <c r="D55" s="1917"/>
      <c r="E55" s="1927"/>
      <c r="F55" s="1927"/>
      <c r="G55" s="1928"/>
      <c r="H55" s="1292"/>
      <c r="I55" s="1330"/>
      <c r="J55" s="1920"/>
      <c r="K55" s="1921"/>
      <c r="L55" s="1920"/>
      <c r="M55" s="1921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</row>
    <row r="56" spans="1:29" s="357" customFormat="1" ht="99.95" hidden="1" customHeight="1">
      <c r="A56" s="423"/>
      <c r="C56" s="393"/>
      <c r="D56" s="1917"/>
      <c r="E56" s="1918"/>
      <c r="F56" s="1918"/>
      <c r="G56" s="1918"/>
      <c r="H56" s="1924"/>
      <c r="I56" s="1925"/>
      <c r="J56" s="1925"/>
      <c r="K56" s="1925"/>
      <c r="L56" s="1925"/>
      <c r="M56" s="192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</row>
    <row r="57" spans="1:29" s="357" customFormat="1" ht="30" hidden="1" customHeight="1">
      <c r="A57" s="423">
        <v>16</v>
      </c>
      <c r="C57" s="393"/>
      <c r="D57" s="1917"/>
      <c r="E57" s="1927"/>
      <c r="F57" s="1927"/>
      <c r="G57" s="1928"/>
      <c r="H57" s="1292"/>
      <c r="I57" s="1330"/>
      <c r="J57" s="1920"/>
      <c r="K57" s="1921"/>
      <c r="L57" s="1920"/>
      <c r="M57" s="1921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</row>
    <row r="58" spans="1:29" s="357" customFormat="1" ht="99.95" hidden="1" customHeight="1">
      <c r="A58" s="423"/>
      <c r="C58" s="393"/>
      <c r="D58" s="1917"/>
      <c r="E58" s="1918"/>
      <c r="F58" s="1918"/>
      <c r="G58" s="1918"/>
      <c r="H58" s="1924"/>
      <c r="I58" s="1925"/>
      <c r="J58" s="1925"/>
      <c r="K58" s="1925"/>
      <c r="L58" s="1925"/>
      <c r="M58" s="1926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</row>
    <row r="59" spans="1:29" s="357" customFormat="1" ht="30" hidden="1" customHeight="1">
      <c r="A59" s="423">
        <v>17</v>
      </c>
      <c r="C59" s="393"/>
      <c r="D59" s="1917"/>
      <c r="E59" s="1927"/>
      <c r="F59" s="1927"/>
      <c r="G59" s="1928"/>
      <c r="H59" s="1292"/>
      <c r="I59" s="1330"/>
      <c r="J59" s="1920"/>
      <c r="K59" s="1921"/>
      <c r="L59" s="1920"/>
      <c r="M59" s="1921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</row>
    <row r="60" spans="1:29" s="357" customFormat="1" ht="99.95" hidden="1" customHeight="1">
      <c r="A60" s="423"/>
      <c r="C60" s="393"/>
      <c r="D60" s="1917"/>
      <c r="E60" s="1918"/>
      <c r="F60" s="1918"/>
      <c r="G60" s="1918"/>
      <c r="H60" s="1924"/>
      <c r="I60" s="1925"/>
      <c r="J60" s="1925"/>
      <c r="K60" s="1925"/>
      <c r="L60" s="1925"/>
      <c r="M60" s="1926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</row>
    <row r="61" spans="1:29" s="357" customFormat="1" ht="30" hidden="1" customHeight="1">
      <c r="A61" s="423">
        <v>18</v>
      </c>
      <c r="C61" s="393"/>
      <c r="D61" s="1917"/>
      <c r="E61" s="1918"/>
      <c r="F61" s="1918"/>
      <c r="G61" s="1919"/>
      <c r="H61" s="1290"/>
      <c r="I61" s="1331"/>
      <c r="J61" s="1920"/>
      <c r="K61" s="1921"/>
      <c r="L61" s="1922"/>
      <c r="M61" s="1923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</row>
    <row r="62" spans="1:29" s="357" customFormat="1" ht="99.95" hidden="1" customHeight="1">
      <c r="A62" s="423"/>
      <c r="C62" s="393"/>
      <c r="D62" s="1917"/>
      <c r="E62" s="1918"/>
      <c r="F62" s="1918"/>
      <c r="G62" s="1918"/>
      <c r="H62" s="1924"/>
      <c r="I62" s="1925"/>
      <c r="J62" s="1925"/>
      <c r="K62" s="1925"/>
      <c r="L62" s="1925"/>
      <c r="M62" s="1926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</row>
    <row r="63" spans="1:29" s="357" customFormat="1" ht="30" hidden="1" customHeight="1">
      <c r="A63" s="423">
        <v>19</v>
      </c>
      <c r="C63" s="393"/>
      <c r="D63" s="1917"/>
      <c r="E63" s="1927"/>
      <c r="F63" s="1927"/>
      <c r="G63" s="1928"/>
      <c r="H63" s="1292"/>
      <c r="I63" s="1330"/>
      <c r="J63" s="1920"/>
      <c r="K63" s="1921"/>
      <c r="L63" s="1922"/>
      <c r="M63" s="192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</row>
    <row r="64" spans="1:29" s="357" customFormat="1" ht="99.95" hidden="1" customHeight="1">
      <c r="A64" s="423"/>
      <c r="C64" s="393"/>
      <c r="D64" s="1917"/>
      <c r="E64" s="1918"/>
      <c r="F64" s="1918"/>
      <c r="G64" s="1918"/>
      <c r="H64" s="1924"/>
      <c r="I64" s="1925"/>
      <c r="J64" s="1925"/>
      <c r="K64" s="1925"/>
      <c r="L64" s="1925"/>
      <c r="M64" s="1926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</row>
    <row r="65" spans="1:29" s="357" customFormat="1" ht="30" hidden="1" customHeight="1">
      <c r="A65" s="423">
        <v>20</v>
      </c>
      <c r="C65" s="393"/>
      <c r="D65" s="1917"/>
      <c r="E65" s="1927"/>
      <c r="F65" s="1927"/>
      <c r="G65" s="1928"/>
      <c r="H65" s="1292"/>
      <c r="I65" s="1330"/>
      <c r="J65" s="1920"/>
      <c r="K65" s="1921"/>
      <c r="L65" s="1922"/>
      <c r="M65" s="1923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</row>
    <row r="66" spans="1:29" s="357" customFormat="1" ht="99.95" hidden="1" customHeight="1">
      <c r="A66" s="423"/>
      <c r="C66" s="393"/>
      <c r="D66" s="1917"/>
      <c r="E66" s="1918"/>
      <c r="F66" s="1918"/>
      <c r="G66" s="1918"/>
      <c r="H66" s="1924"/>
      <c r="I66" s="1925"/>
      <c r="J66" s="1925"/>
      <c r="K66" s="1925"/>
      <c r="L66" s="1925"/>
      <c r="M66" s="192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</row>
    <row r="67" spans="1:29" s="357" customFormat="1" ht="30" hidden="1" customHeight="1">
      <c r="A67" s="423">
        <v>41</v>
      </c>
      <c r="C67" s="393"/>
      <c r="D67" s="1917"/>
      <c r="E67" s="1927"/>
      <c r="F67" s="1927"/>
      <c r="G67" s="1928"/>
      <c r="H67" s="1292"/>
      <c r="I67" s="1330"/>
      <c r="J67" s="1920"/>
      <c r="K67" s="1921"/>
      <c r="L67" s="1922"/>
      <c r="M67" s="1923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</row>
    <row r="68" spans="1:29" s="357" customFormat="1" ht="99.95" hidden="1" customHeight="1">
      <c r="A68" s="423">
        <v>42</v>
      </c>
      <c r="C68" s="393"/>
      <c r="D68" s="1917"/>
      <c r="E68" s="1918"/>
      <c r="F68" s="1918"/>
      <c r="G68" s="1918"/>
      <c r="H68" s="1924"/>
      <c r="I68" s="1925"/>
      <c r="J68" s="1925"/>
      <c r="K68" s="1925"/>
      <c r="L68" s="1925"/>
      <c r="M68" s="1926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</row>
    <row r="69" spans="1:29" s="357" customFormat="1" ht="30" hidden="1" customHeight="1">
      <c r="A69" s="423">
        <v>43</v>
      </c>
      <c r="C69" s="393"/>
      <c r="D69" s="1917"/>
      <c r="E69" s="1927"/>
      <c r="F69" s="1927"/>
      <c r="G69" s="1928"/>
      <c r="H69" s="1292"/>
      <c r="I69" s="1330"/>
      <c r="J69" s="1920"/>
      <c r="K69" s="1921"/>
      <c r="L69" s="1922"/>
      <c r="M69" s="1923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</row>
    <row r="70" spans="1:29" s="357" customFormat="1" ht="99.95" hidden="1" customHeight="1">
      <c r="A70" s="423">
        <v>44</v>
      </c>
      <c r="C70" s="393"/>
      <c r="D70" s="1917"/>
      <c r="E70" s="1918"/>
      <c r="F70" s="1918"/>
      <c r="G70" s="1918"/>
      <c r="H70" s="1924"/>
      <c r="I70" s="1925"/>
      <c r="J70" s="1925"/>
      <c r="K70" s="1925"/>
      <c r="L70" s="1925"/>
      <c r="M70" s="1926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</row>
    <row r="71" spans="1:29" s="357" customFormat="1" ht="30" hidden="1" customHeight="1">
      <c r="A71" s="423">
        <v>45</v>
      </c>
      <c r="C71" s="393"/>
      <c r="D71" s="1917"/>
      <c r="E71" s="1927"/>
      <c r="F71" s="1927"/>
      <c r="G71" s="1928"/>
      <c r="H71" s="1292"/>
      <c r="I71" s="1330"/>
      <c r="J71" s="1920"/>
      <c r="K71" s="1921"/>
      <c r="L71" s="1922"/>
      <c r="M71" s="1923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</row>
    <row r="72" spans="1:29" s="357" customFormat="1" ht="99.95" hidden="1" customHeight="1">
      <c r="A72" s="423">
        <v>46</v>
      </c>
      <c r="C72" s="393"/>
      <c r="D72" s="1917"/>
      <c r="E72" s="1918"/>
      <c r="F72" s="1918"/>
      <c r="G72" s="1918"/>
      <c r="H72" s="1924"/>
      <c r="I72" s="1925"/>
      <c r="J72" s="1925"/>
      <c r="K72" s="1925"/>
      <c r="L72" s="1925"/>
      <c r="M72" s="1926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</row>
    <row r="73" spans="1:29" s="357" customFormat="1" ht="30" hidden="1" customHeight="1">
      <c r="A73" s="423">
        <v>47</v>
      </c>
      <c r="C73" s="393"/>
      <c r="D73" s="1917"/>
      <c r="E73" s="1927"/>
      <c r="F73" s="1927"/>
      <c r="G73" s="1928"/>
      <c r="H73" s="1292"/>
      <c r="I73" s="1330"/>
      <c r="J73" s="1920"/>
      <c r="K73" s="1921"/>
      <c r="L73" s="1922"/>
      <c r="M73" s="192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</row>
    <row r="74" spans="1:29" s="357" customFormat="1" ht="99.95" hidden="1" customHeight="1">
      <c r="A74" s="423">
        <v>48</v>
      </c>
      <c r="C74" s="393"/>
      <c r="D74" s="1917"/>
      <c r="E74" s="1918"/>
      <c r="F74" s="1918"/>
      <c r="G74" s="1918"/>
      <c r="H74" s="1924"/>
      <c r="I74" s="1925"/>
      <c r="J74" s="1925"/>
      <c r="K74" s="1925"/>
      <c r="L74" s="1925"/>
      <c r="M74" s="1926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</row>
    <row r="75" spans="1:29" s="357" customFormat="1" ht="30" hidden="1" customHeight="1">
      <c r="A75" s="423">
        <v>49</v>
      </c>
      <c r="C75" s="393"/>
      <c r="D75" s="1917"/>
      <c r="E75" s="1918"/>
      <c r="F75" s="1918"/>
      <c r="G75" s="1919"/>
      <c r="H75" s="1290"/>
      <c r="I75" s="1331"/>
      <c r="J75" s="1920"/>
      <c r="K75" s="1921"/>
      <c r="L75" s="1922"/>
      <c r="M75" s="1923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</row>
    <row r="76" spans="1:29" s="357" customFormat="1" ht="99.95" hidden="1" customHeight="1">
      <c r="A76" s="423">
        <v>50</v>
      </c>
      <c r="C76" s="393"/>
      <c r="D76" s="1917"/>
      <c r="E76" s="1918"/>
      <c r="F76" s="1918"/>
      <c r="G76" s="1918"/>
      <c r="H76" s="1924"/>
      <c r="I76" s="1925"/>
      <c r="J76" s="1925"/>
      <c r="K76" s="1925"/>
      <c r="L76" s="1925"/>
      <c r="M76" s="192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</row>
    <row r="77" spans="1:29" s="357" customFormat="1" ht="30" hidden="1" customHeight="1">
      <c r="A77" s="423">
        <v>51</v>
      </c>
      <c r="C77" s="393"/>
      <c r="D77" s="1917"/>
      <c r="E77" s="1927"/>
      <c r="F77" s="1927"/>
      <c r="G77" s="1928"/>
      <c r="H77" s="1292"/>
      <c r="I77" s="1330"/>
      <c r="J77" s="1920"/>
      <c r="K77" s="1921"/>
      <c r="L77" s="1922"/>
      <c r="M77" s="1923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</row>
    <row r="78" spans="1:29" s="357" customFormat="1" ht="99.95" hidden="1" customHeight="1">
      <c r="A78" s="423">
        <v>52</v>
      </c>
      <c r="C78" s="393"/>
      <c r="D78" s="1917"/>
      <c r="E78" s="1918"/>
      <c r="F78" s="1918"/>
      <c r="G78" s="1918"/>
      <c r="H78" s="1924"/>
      <c r="I78" s="1925"/>
      <c r="J78" s="1925"/>
      <c r="K78" s="1925"/>
      <c r="L78" s="1925"/>
      <c r="M78" s="1926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</row>
    <row r="79" spans="1:29" s="357" customFormat="1" ht="30" hidden="1" customHeight="1">
      <c r="A79" s="423">
        <v>53</v>
      </c>
      <c r="C79" s="393"/>
      <c r="D79" s="1917"/>
      <c r="E79" s="1927"/>
      <c r="F79" s="1927"/>
      <c r="G79" s="1928"/>
      <c r="H79" s="1292"/>
      <c r="I79" s="1330"/>
      <c r="J79" s="1920"/>
      <c r="K79" s="1921"/>
      <c r="L79" s="1922"/>
      <c r="M79" s="1923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</row>
    <row r="80" spans="1:29" s="357" customFormat="1" ht="99.95" hidden="1" customHeight="1">
      <c r="A80" s="423">
        <v>54</v>
      </c>
      <c r="C80" s="393"/>
      <c r="D80" s="1917"/>
      <c r="E80" s="1918"/>
      <c r="F80" s="1918"/>
      <c r="G80" s="1918"/>
      <c r="H80" s="1924"/>
      <c r="I80" s="1925"/>
      <c r="J80" s="1925"/>
      <c r="K80" s="1925"/>
      <c r="L80" s="1925"/>
      <c r="M80" s="1926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</row>
    <row r="81" spans="1:29" s="357" customFormat="1" ht="30" hidden="1" customHeight="1">
      <c r="A81" s="423">
        <v>55</v>
      </c>
      <c r="C81" s="393"/>
      <c r="D81" s="1917"/>
      <c r="E81" s="1927"/>
      <c r="F81" s="1927"/>
      <c r="G81" s="1928"/>
      <c r="H81" s="1292"/>
      <c r="I81" s="1330"/>
      <c r="J81" s="1920"/>
      <c r="K81" s="1921"/>
      <c r="L81" s="1922"/>
      <c r="M81" s="1923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</row>
    <row r="82" spans="1:29" s="357" customFormat="1" ht="99.95" hidden="1" customHeight="1">
      <c r="A82" s="423">
        <v>56</v>
      </c>
      <c r="C82" s="393"/>
      <c r="D82" s="1917"/>
      <c r="E82" s="1918"/>
      <c r="F82" s="1918"/>
      <c r="G82" s="1918"/>
      <c r="H82" s="1924"/>
      <c r="I82" s="1925"/>
      <c r="J82" s="1925"/>
      <c r="K82" s="1925"/>
      <c r="L82" s="1925"/>
      <c r="M82" s="1926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</row>
    <row r="83" spans="1:29" s="357" customFormat="1" ht="30" hidden="1" customHeight="1">
      <c r="A83" s="423">
        <v>57</v>
      </c>
      <c r="C83" s="393"/>
      <c r="D83" s="1917"/>
      <c r="E83" s="1918"/>
      <c r="F83" s="1918"/>
      <c r="G83" s="1919"/>
      <c r="H83" s="1290"/>
      <c r="I83" s="1331"/>
      <c r="J83" s="1920"/>
      <c r="K83" s="1921"/>
      <c r="L83" s="1922"/>
      <c r="M83" s="192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</row>
    <row r="84" spans="1:29" s="357" customFormat="1" ht="99.95" hidden="1" customHeight="1">
      <c r="A84" s="423">
        <v>58</v>
      </c>
      <c r="C84" s="393"/>
      <c r="D84" s="1917"/>
      <c r="E84" s="1918"/>
      <c r="F84" s="1918"/>
      <c r="G84" s="1918"/>
      <c r="H84" s="1924"/>
      <c r="I84" s="1925"/>
      <c r="J84" s="1925"/>
      <c r="K84" s="1925"/>
      <c r="L84" s="1925"/>
      <c r="M84" s="1926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</row>
    <row r="85" spans="1:29" s="357" customFormat="1" ht="30" hidden="1" customHeight="1">
      <c r="A85" s="423">
        <v>59</v>
      </c>
      <c r="C85" s="393"/>
      <c r="D85" s="1917"/>
      <c r="E85" s="1927"/>
      <c r="F85" s="1927"/>
      <c r="G85" s="1928"/>
      <c r="H85" s="1292"/>
      <c r="I85" s="1330"/>
      <c r="J85" s="1920"/>
      <c r="K85" s="1921"/>
      <c r="L85" s="1922"/>
      <c r="M85" s="1923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</row>
    <row r="86" spans="1:29" s="357" customFormat="1" ht="99.95" hidden="1" customHeight="1">
      <c r="A86" s="423">
        <v>60</v>
      </c>
      <c r="C86" s="393"/>
      <c r="D86" s="1917"/>
      <c r="E86" s="1918"/>
      <c r="F86" s="1918"/>
      <c r="G86" s="1918"/>
      <c r="H86" s="1924"/>
      <c r="I86" s="1925"/>
      <c r="J86" s="1925"/>
      <c r="K86" s="1925"/>
      <c r="L86" s="1925"/>
      <c r="M86" s="192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</row>
    <row r="87" spans="1:29" s="357" customFormat="1" ht="30" hidden="1" customHeight="1">
      <c r="A87" s="423">
        <v>61</v>
      </c>
      <c r="C87" s="393"/>
      <c r="D87" s="1917"/>
      <c r="E87" s="1927"/>
      <c r="F87" s="1927"/>
      <c r="G87" s="1928"/>
      <c r="H87" s="1292"/>
      <c r="I87" s="1330"/>
      <c r="J87" s="1920"/>
      <c r="K87" s="1921"/>
      <c r="L87" s="1922"/>
      <c r="M87" s="1923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</row>
    <row r="88" spans="1:29" s="357" customFormat="1" ht="99.95" hidden="1" customHeight="1">
      <c r="A88" s="423">
        <v>62</v>
      </c>
      <c r="C88" s="393"/>
      <c r="D88" s="1917"/>
      <c r="E88" s="1918"/>
      <c r="F88" s="1918"/>
      <c r="G88" s="1918"/>
      <c r="H88" s="1924"/>
      <c r="I88" s="1925"/>
      <c r="J88" s="1925"/>
      <c r="K88" s="1925"/>
      <c r="L88" s="1925"/>
      <c r="M88" s="1926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</row>
    <row r="89" spans="1:29" s="357" customFormat="1" ht="30" hidden="1" customHeight="1">
      <c r="A89" s="423">
        <v>63</v>
      </c>
      <c r="C89" s="393"/>
      <c r="D89" s="1917"/>
      <c r="E89" s="1918"/>
      <c r="F89" s="1918"/>
      <c r="G89" s="1919"/>
      <c r="H89" s="1290"/>
      <c r="I89" s="1331"/>
      <c r="J89" s="1920"/>
      <c r="K89" s="1921"/>
      <c r="L89" s="1922"/>
      <c r="M89" s="1923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</row>
    <row r="90" spans="1:29" s="357" customFormat="1" ht="99.95" hidden="1" customHeight="1">
      <c r="A90" s="423">
        <v>64</v>
      </c>
      <c r="C90" s="393"/>
      <c r="D90" s="1917"/>
      <c r="E90" s="1918"/>
      <c r="F90" s="1918"/>
      <c r="G90" s="1918"/>
      <c r="H90" s="1924"/>
      <c r="I90" s="1925"/>
      <c r="J90" s="1925"/>
      <c r="K90" s="1925"/>
      <c r="L90" s="1925"/>
      <c r="M90" s="1926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</row>
    <row r="91" spans="1:29" s="357" customFormat="1" ht="30" hidden="1" customHeight="1">
      <c r="A91" s="423">
        <v>65</v>
      </c>
      <c r="C91" s="393"/>
      <c r="D91" s="1917"/>
      <c r="E91" s="1927"/>
      <c r="F91" s="1927"/>
      <c r="G91" s="1928"/>
      <c r="H91" s="1292"/>
      <c r="I91" s="1330"/>
      <c r="J91" s="1920"/>
      <c r="K91" s="1921"/>
      <c r="L91" s="1922"/>
      <c r="M91" s="1923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</row>
    <row r="92" spans="1:29" s="357" customFormat="1" ht="99.95" hidden="1" customHeight="1">
      <c r="A92" s="423">
        <v>66</v>
      </c>
      <c r="C92" s="393"/>
      <c r="D92" s="1917"/>
      <c r="E92" s="1918"/>
      <c r="F92" s="1918"/>
      <c r="G92" s="1918"/>
      <c r="H92" s="1924"/>
      <c r="I92" s="1925"/>
      <c r="J92" s="1925"/>
      <c r="K92" s="1925"/>
      <c r="L92" s="1925"/>
      <c r="M92" s="1926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</row>
    <row r="93" spans="1:29" s="357" customFormat="1" ht="30" hidden="1" customHeight="1">
      <c r="A93" s="423">
        <v>67</v>
      </c>
      <c r="C93" s="393"/>
      <c r="D93" s="1917"/>
      <c r="E93" s="1927"/>
      <c r="F93" s="1927"/>
      <c r="G93" s="1928"/>
      <c r="H93" s="1292"/>
      <c r="I93" s="1330"/>
      <c r="J93" s="1920"/>
      <c r="K93" s="1921"/>
      <c r="L93" s="1922"/>
      <c r="M93" s="192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</row>
    <row r="94" spans="1:29" s="357" customFormat="1" ht="99.95" hidden="1" customHeight="1">
      <c r="A94" s="423">
        <v>68</v>
      </c>
      <c r="C94" s="393"/>
      <c r="D94" s="1917"/>
      <c r="E94" s="1918"/>
      <c r="F94" s="1918"/>
      <c r="G94" s="1918"/>
      <c r="H94" s="1924"/>
      <c r="I94" s="1925"/>
      <c r="J94" s="1925"/>
      <c r="K94" s="1925"/>
      <c r="L94" s="1925"/>
      <c r="M94" s="1926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</row>
    <row r="95" spans="1:29" s="357" customFormat="1" ht="30" hidden="1" customHeight="1">
      <c r="A95" s="423">
        <v>69</v>
      </c>
      <c r="C95" s="393"/>
      <c r="D95" s="1917"/>
      <c r="E95" s="1927"/>
      <c r="F95" s="1927"/>
      <c r="G95" s="1928"/>
      <c r="H95" s="1292"/>
      <c r="I95" s="1330"/>
      <c r="J95" s="1920"/>
      <c r="K95" s="1921"/>
      <c r="L95" s="1922"/>
      <c r="M95" s="1923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</row>
    <row r="96" spans="1:29" s="357" customFormat="1" ht="99.95" hidden="1" customHeight="1">
      <c r="A96" s="423">
        <v>70</v>
      </c>
      <c r="C96" s="393"/>
      <c r="D96" s="1917"/>
      <c r="E96" s="1918"/>
      <c r="F96" s="1918"/>
      <c r="G96" s="1918"/>
      <c r="H96" s="1924"/>
      <c r="I96" s="1925"/>
      <c r="J96" s="1925"/>
      <c r="K96" s="1925"/>
      <c r="L96" s="1925"/>
      <c r="M96" s="192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</row>
    <row r="97" spans="1:29" s="357" customFormat="1" ht="30" hidden="1" customHeight="1">
      <c r="A97" s="423">
        <v>71</v>
      </c>
      <c r="C97" s="393"/>
      <c r="D97" s="1917"/>
      <c r="E97" s="1918"/>
      <c r="F97" s="1918"/>
      <c r="G97" s="1919"/>
      <c r="H97" s="1290"/>
      <c r="I97" s="1331"/>
      <c r="J97" s="1920"/>
      <c r="K97" s="1921"/>
      <c r="L97" s="1922"/>
      <c r="M97" s="1923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</row>
    <row r="98" spans="1:29" s="357" customFormat="1" ht="99.95" hidden="1" customHeight="1">
      <c r="A98" s="423">
        <v>72</v>
      </c>
      <c r="C98" s="393"/>
      <c r="D98" s="1917"/>
      <c r="E98" s="1918"/>
      <c r="F98" s="1918"/>
      <c r="G98" s="1918"/>
      <c r="H98" s="1924"/>
      <c r="I98" s="1925"/>
      <c r="J98" s="1925"/>
      <c r="K98" s="1925"/>
      <c r="L98" s="1925"/>
      <c r="M98" s="1926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</row>
    <row r="99" spans="1:29" s="357" customFormat="1" ht="30" hidden="1" customHeight="1">
      <c r="A99" s="423">
        <v>73</v>
      </c>
      <c r="C99" s="393"/>
      <c r="D99" s="1917"/>
      <c r="E99" s="1927"/>
      <c r="F99" s="1927"/>
      <c r="G99" s="1928"/>
      <c r="H99" s="1292"/>
      <c r="I99" s="1330"/>
      <c r="J99" s="1920"/>
      <c r="K99" s="1921"/>
      <c r="L99" s="1922"/>
      <c r="M99" s="1923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</row>
    <row r="100" spans="1:29" s="357" customFormat="1" ht="99.95" hidden="1" customHeight="1">
      <c r="A100" s="423">
        <v>74</v>
      </c>
      <c r="C100" s="393"/>
      <c r="D100" s="1917"/>
      <c r="E100" s="1918"/>
      <c r="F100" s="1918"/>
      <c r="G100" s="1918"/>
      <c r="H100" s="1924"/>
      <c r="I100" s="1925"/>
      <c r="J100" s="1925"/>
      <c r="K100" s="1925"/>
      <c r="L100" s="1925"/>
      <c r="M100" s="1926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</row>
    <row r="101" spans="1:29" s="357" customFormat="1" ht="30" hidden="1" customHeight="1">
      <c r="A101" s="423">
        <v>75</v>
      </c>
      <c r="C101" s="393"/>
      <c r="D101" s="1917"/>
      <c r="E101" s="1927"/>
      <c r="F101" s="1927"/>
      <c r="G101" s="1928"/>
      <c r="H101" s="1292"/>
      <c r="I101" s="1330"/>
      <c r="J101" s="1920"/>
      <c r="K101" s="1921"/>
      <c r="L101" s="1922"/>
      <c r="M101" s="1923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</row>
    <row r="102" spans="1:29" s="357" customFormat="1" ht="99.95" hidden="1" customHeight="1">
      <c r="A102" s="423">
        <v>76</v>
      </c>
      <c r="C102" s="393"/>
      <c r="D102" s="1917"/>
      <c r="E102" s="1918"/>
      <c r="F102" s="1918"/>
      <c r="G102" s="1918"/>
      <c r="H102" s="1924"/>
      <c r="I102" s="1925"/>
      <c r="J102" s="1925"/>
      <c r="K102" s="1925"/>
      <c r="L102" s="1925"/>
      <c r="M102" s="1926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</row>
    <row r="103" spans="1:29" s="357" customFormat="1" ht="30" hidden="1" customHeight="1">
      <c r="A103" s="423">
        <v>77</v>
      </c>
      <c r="C103" s="393"/>
      <c r="D103" s="1917"/>
      <c r="E103" s="1918"/>
      <c r="F103" s="1918"/>
      <c r="G103" s="1919"/>
      <c r="H103" s="1290"/>
      <c r="I103" s="1331"/>
      <c r="J103" s="1920"/>
      <c r="K103" s="1921"/>
      <c r="L103" s="1922"/>
      <c r="M103" s="192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</row>
    <row r="104" spans="1:29" s="357" customFormat="1" ht="99.95" hidden="1" customHeight="1">
      <c r="A104" s="423">
        <v>78</v>
      </c>
      <c r="C104" s="393"/>
      <c r="D104" s="1917"/>
      <c r="E104" s="1918"/>
      <c r="F104" s="1918"/>
      <c r="G104" s="1918"/>
      <c r="H104" s="1924"/>
      <c r="I104" s="1925"/>
      <c r="J104" s="1925"/>
      <c r="K104" s="1925"/>
      <c r="L104" s="1925"/>
      <c r="M104" s="1926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</row>
    <row r="105" spans="1:29" s="357" customFormat="1" ht="30" hidden="1" customHeight="1">
      <c r="A105" s="423">
        <v>79</v>
      </c>
      <c r="C105" s="393"/>
      <c r="D105" s="1917"/>
      <c r="E105" s="1927"/>
      <c r="F105" s="1927"/>
      <c r="G105" s="1928"/>
      <c r="H105" s="1292"/>
      <c r="I105" s="1330"/>
      <c r="J105" s="1920"/>
      <c r="K105" s="1921"/>
      <c r="L105" s="1922"/>
      <c r="M105" s="1923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</row>
    <row r="106" spans="1:29" s="357" customFormat="1" ht="99.95" hidden="1" customHeight="1">
      <c r="A106" s="423">
        <v>80</v>
      </c>
      <c r="C106" s="393"/>
      <c r="D106" s="1917"/>
      <c r="E106" s="1918"/>
      <c r="F106" s="1918"/>
      <c r="G106" s="1918"/>
      <c r="H106" s="1924"/>
      <c r="I106" s="1925"/>
      <c r="J106" s="1925"/>
      <c r="K106" s="1925"/>
      <c r="L106" s="1925"/>
      <c r="M106" s="192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</row>
    <row r="107" spans="1:29" s="357" customFormat="1" ht="30" hidden="1" customHeight="1">
      <c r="A107" s="423">
        <v>81</v>
      </c>
      <c r="C107" s="393"/>
      <c r="D107" s="1917"/>
      <c r="E107" s="1927"/>
      <c r="F107" s="1927"/>
      <c r="G107" s="1928"/>
      <c r="H107" s="1292"/>
      <c r="I107" s="1330"/>
      <c r="J107" s="1920"/>
      <c r="K107" s="1921"/>
      <c r="L107" s="1922"/>
      <c r="M107" s="1923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</row>
    <row r="108" spans="1:29" s="357" customFormat="1" ht="99.95" hidden="1" customHeight="1">
      <c r="A108" s="423">
        <v>82</v>
      </c>
      <c r="C108" s="393"/>
      <c r="D108" s="1917"/>
      <c r="E108" s="1918"/>
      <c r="F108" s="1918"/>
      <c r="G108" s="1918"/>
      <c r="H108" s="1924"/>
      <c r="I108" s="1925"/>
      <c r="J108" s="1925"/>
      <c r="K108" s="1925"/>
      <c r="L108" s="1925"/>
      <c r="M108" s="1926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</row>
    <row r="109" spans="1:29" s="357" customFormat="1" ht="30" hidden="1" customHeight="1">
      <c r="A109" s="423">
        <v>83</v>
      </c>
      <c r="C109" s="393"/>
      <c r="D109" s="1917"/>
      <c r="E109" s="1927"/>
      <c r="F109" s="1927"/>
      <c r="G109" s="1928"/>
      <c r="H109" s="1292"/>
      <c r="I109" s="1330"/>
      <c r="J109" s="1920"/>
      <c r="K109" s="1921"/>
      <c r="L109" s="1922"/>
      <c r="M109" s="1923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</row>
    <row r="110" spans="1:29" s="357" customFormat="1" ht="99.95" hidden="1" customHeight="1">
      <c r="A110" s="423">
        <v>84</v>
      </c>
      <c r="C110" s="393"/>
      <c r="D110" s="1917"/>
      <c r="E110" s="1918"/>
      <c r="F110" s="1918"/>
      <c r="G110" s="1918"/>
      <c r="H110" s="1924"/>
      <c r="I110" s="1925"/>
      <c r="J110" s="1925"/>
      <c r="K110" s="1925"/>
      <c r="L110" s="1925"/>
      <c r="M110" s="1926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</row>
    <row r="111" spans="1:29" s="357" customFormat="1" ht="30" hidden="1" customHeight="1">
      <c r="A111" s="423">
        <v>85</v>
      </c>
      <c r="C111" s="393"/>
      <c r="D111" s="1917"/>
      <c r="E111" s="1918"/>
      <c r="F111" s="1918"/>
      <c r="G111" s="1919"/>
      <c r="H111" s="1290"/>
      <c r="I111" s="1331"/>
      <c r="J111" s="1920"/>
      <c r="K111" s="1921"/>
      <c r="L111" s="1922"/>
      <c r="M111" s="1923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</row>
    <row r="112" spans="1:29" s="357" customFormat="1" ht="99.95" hidden="1" customHeight="1">
      <c r="A112" s="423">
        <v>86</v>
      </c>
      <c r="C112" s="393"/>
      <c r="D112" s="1917"/>
      <c r="E112" s="1918"/>
      <c r="F112" s="1918"/>
      <c r="G112" s="1918"/>
      <c r="H112" s="1924"/>
      <c r="I112" s="1925"/>
      <c r="J112" s="1925"/>
      <c r="K112" s="1925"/>
      <c r="L112" s="1925"/>
      <c r="M112" s="1926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</row>
    <row r="113" spans="1:29" s="357" customFormat="1" ht="30" hidden="1" customHeight="1">
      <c r="A113" s="423">
        <v>87</v>
      </c>
      <c r="C113" s="393"/>
      <c r="D113" s="1917"/>
      <c r="E113" s="1927"/>
      <c r="F113" s="1927"/>
      <c r="G113" s="1928"/>
      <c r="H113" s="1292"/>
      <c r="I113" s="1330"/>
      <c r="J113" s="1920"/>
      <c r="K113" s="1921"/>
      <c r="L113" s="1922"/>
      <c r="M113" s="192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</row>
    <row r="114" spans="1:29" s="357" customFormat="1" ht="99.95" hidden="1" customHeight="1">
      <c r="A114" s="423">
        <v>88</v>
      </c>
      <c r="C114" s="393"/>
      <c r="D114" s="1917"/>
      <c r="E114" s="1918"/>
      <c r="F114" s="1918"/>
      <c r="G114" s="1918"/>
      <c r="H114" s="1924"/>
      <c r="I114" s="1925"/>
      <c r="J114" s="1925"/>
      <c r="K114" s="1925"/>
      <c r="L114" s="1925"/>
      <c r="M114" s="1926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</row>
    <row r="115" spans="1:29" s="357" customFormat="1" ht="30" hidden="1" customHeight="1">
      <c r="A115" s="423">
        <v>89</v>
      </c>
      <c r="C115" s="393"/>
      <c r="D115" s="1917"/>
      <c r="E115" s="1927"/>
      <c r="F115" s="1927"/>
      <c r="G115" s="1928"/>
      <c r="H115" s="1292"/>
      <c r="I115" s="1330"/>
      <c r="J115" s="1920"/>
      <c r="K115" s="1921"/>
      <c r="L115" s="1922"/>
      <c r="M115" s="1923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</row>
    <row r="116" spans="1:29" s="357" customFormat="1" ht="99.95" hidden="1" customHeight="1">
      <c r="A116" s="423">
        <v>90</v>
      </c>
      <c r="C116" s="393"/>
      <c r="D116" s="1917"/>
      <c r="E116" s="1918"/>
      <c r="F116" s="1918"/>
      <c r="G116" s="1918"/>
      <c r="H116" s="1924"/>
      <c r="I116" s="1925"/>
      <c r="J116" s="1925"/>
      <c r="K116" s="1925"/>
      <c r="L116" s="1925"/>
      <c r="M116" s="192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</row>
    <row r="117" spans="1:29" s="357" customFormat="1" ht="30" hidden="1" customHeight="1">
      <c r="A117" s="423">
        <v>91</v>
      </c>
      <c r="C117" s="393"/>
      <c r="D117" s="1917"/>
      <c r="E117" s="1918"/>
      <c r="F117" s="1918"/>
      <c r="G117" s="1919"/>
      <c r="H117" s="1290"/>
      <c r="I117" s="1331"/>
      <c r="J117" s="1920"/>
      <c r="K117" s="1921"/>
      <c r="L117" s="1922"/>
      <c r="M117" s="1923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</row>
    <row r="118" spans="1:29" s="357" customFormat="1" ht="99.95" hidden="1" customHeight="1">
      <c r="A118" s="423">
        <v>92</v>
      </c>
      <c r="C118" s="393"/>
      <c r="D118" s="1917"/>
      <c r="E118" s="1918"/>
      <c r="F118" s="1918"/>
      <c r="G118" s="1918"/>
      <c r="H118" s="1924"/>
      <c r="I118" s="1925"/>
      <c r="J118" s="1925"/>
      <c r="K118" s="1925"/>
      <c r="L118" s="1925"/>
      <c r="M118" s="1926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</row>
    <row r="119" spans="1:29" s="357" customFormat="1" ht="30" hidden="1" customHeight="1">
      <c r="A119" s="423">
        <v>93</v>
      </c>
      <c r="C119" s="393"/>
      <c r="D119" s="1917"/>
      <c r="E119" s="1927"/>
      <c r="F119" s="1927"/>
      <c r="G119" s="1928"/>
      <c r="H119" s="1292"/>
      <c r="I119" s="1330"/>
      <c r="J119" s="1920"/>
      <c r="K119" s="1921"/>
      <c r="L119" s="1922"/>
      <c r="M119" s="1923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</row>
    <row r="120" spans="1:29" s="357" customFormat="1" ht="99.95" hidden="1" customHeight="1">
      <c r="A120" s="423">
        <v>94</v>
      </c>
      <c r="C120" s="393"/>
      <c r="D120" s="1917"/>
      <c r="E120" s="1918"/>
      <c r="F120" s="1918"/>
      <c r="G120" s="1918"/>
      <c r="H120" s="1924"/>
      <c r="I120" s="1925"/>
      <c r="J120" s="1925"/>
      <c r="K120" s="1925"/>
      <c r="L120" s="1925"/>
      <c r="M120" s="1926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</row>
    <row r="121" spans="1:29" s="357" customFormat="1" ht="30" hidden="1" customHeight="1">
      <c r="A121" s="423">
        <v>95</v>
      </c>
      <c r="C121" s="393"/>
      <c r="D121" s="1917"/>
      <c r="E121" s="1927"/>
      <c r="F121" s="1927"/>
      <c r="G121" s="1928"/>
      <c r="H121" s="1292"/>
      <c r="I121" s="1330"/>
      <c r="J121" s="1920"/>
      <c r="K121" s="1921"/>
      <c r="L121" s="1922"/>
      <c r="M121" s="1923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</row>
    <row r="122" spans="1:29" s="357" customFormat="1" ht="99.95" hidden="1" customHeight="1">
      <c r="A122" s="423">
        <v>96</v>
      </c>
      <c r="C122" s="393"/>
      <c r="D122" s="1917"/>
      <c r="E122" s="1918"/>
      <c r="F122" s="1918"/>
      <c r="G122" s="1918"/>
      <c r="H122" s="1924"/>
      <c r="I122" s="1925"/>
      <c r="J122" s="1925"/>
      <c r="K122" s="1925"/>
      <c r="L122" s="1925"/>
      <c r="M122" s="1926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</row>
    <row r="123" spans="1:29" s="357" customFormat="1" ht="30" hidden="1" customHeight="1">
      <c r="A123" s="423">
        <v>97</v>
      </c>
      <c r="C123" s="393"/>
      <c r="D123" s="1917"/>
      <c r="E123" s="1927"/>
      <c r="F123" s="1927"/>
      <c r="G123" s="1928"/>
      <c r="H123" s="1292"/>
      <c r="I123" s="1330"/>
      <c r="J123" s="1920"/>
      <c r="K123" s="1921"/>
      <c r="L123" s="1922"/>
      <c r="M123" s="19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</row>
    <row r="124" spans="1:29" s="357" customFormat="1" ht="99.95" hidden="1" customHeight="1">
      <c r="A124" s="423">
        <v>98</v>
      </c>
      <c r="C124" s="393"/>
      <c r="D124" s="1917"/>
      <c r="E124" s="1918"/>
      <c r="F124" s="1918"/>
      <c r="G124" s="1918"/>
      <c r="H124" s="1924"/>
      <c r="I124" s="1925"/>
      <c r="J124" s="1925"/>
      <c r="K124" s="1925"/>
      <c r="L124" s="1925"/>
      <c r="M124" s="1926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</row>
    <row r="125" spans="1:29" s="357" customFormat="1" ht="30" hidden="1" customHeight="1">
      <c r="A125" s="423">
        <v>99</v>
      </c>
      <c r="C125" s="393"/>
      <c r="D125" s="1917"/>
      <c r="E125" s="1918"/>
      <c r="F125" s="1918"/>
      <c r="G125" s="1919"/>
      <c r="H125" s="1290"/>
      <c r="I125" s="1331"/>
      <c r="J125" s="1920"/>
      <c r="K125" s="1921"/>
      <c r="L125" s="1922"/>
      <c r="M125" s="1923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</row>
    <row r="126" spans="1:29" s="357" customFormat="1" ht="99.95" hidden="1" customHeight="1">
      <c r="A126" s="423">
        <v>100</v>
      </c>
      <c r="C126" s="393"/>
      <c r="D126" s="1917"/>
      <c r="E126" s="1918"/>
      <c r="F126" s="1918"/>
      <c r="G126" s="1918"/>
      <c r="H126" s="1924"/>
      <c r="I126" s="1925"/>
      <c r="J126" s="1925"/>
      <c r="K126" s="1925"/>
      <c r="L126" s="1925"/>
      <c r="M126" s="19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</row>
    <row r="127" spans="1:29" s="357" customFormat="1" ht="30" hidden="1" customHeight="1">
      <c r="A127" s="423">
        <v>101</v>
      </c>
      <c r="C127" s="393"/>
      <c r="D127" s="1917"/>
      <c r="E127" s="1927"/>
      <c r="F127" s="1927"/>
      <c r="G127" s="1928"/>
      <c r="H127" s="1292"/>
      <c r="I127" s="1330"/>
      <c r="J127" s="1920"/>
      <c r="K127" s="1921"/>
      <c r="L127" s="1922"/>
      <c r="M127" s="1923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</row>
    <row r="128" spans="1:29" s="357" customFormat="1" ht="99.95" hidden="1" customHeight="1">
      <c r="A128" s="423">
        <v>102</v>
      </c>
      <c r="C128" s="393"/>
      <c r="D128" s="1917"/>
      <c r="E128" s="1918"/>
      <c r="F128" s="1918"/>
      <c r="G128" s="1918"/>
      <c r="H128" s="1924"/>
      <c r="I128" s="1925"/>
      <c r="J128" s="1925"/>
      <c r="K128" s="1925"/>
      <c r="L128" s="1925"/>
      <c r="M128" s="1926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</row>
    <row r="129" spans="1:29" s="357" customFormat="1" ht="30" hidden="1" customHeight="1">
      <c r="A129" s="423">
        <v>103</v>
      </c>
      <c r="C129" s="393"/>
      <c r="D129" s="1917"/>
      <c r="E129" s="1927"/>
      <c r="F129" s="1927"/>
      <c r="G129" s="1928"/>
      <c r="H129" s="1292"/>
      <c r="I129" s="1330"/>
      <c r="J129" s="1920"/>
      <c r="K129" s="1921"/>
      <c r="L129" s="1922"/>
      <c r="M129" s="1923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</row>
    <row r="130" spans="1:29" s="357" customFormat="1" ht="99.95" hidden="1" customHeight="1">
      <c r="A130" s="423">
        <v>104</v>
      </c>
      <c r="C130" s="393"/>
      <c r="D130" s="1917"/>
      <c r="E130" s="1918"/>
      <c r="F130" s="1918"/>
      <c r="G130" s="1918"/>
      <c r="H130" s="1924"/>
      <c r="I130" s="1925"/>
      <c r="J130" s="1925"/>
      <c r="K130" s="1925"/>
      <c r="L130" s="1925"/>
      <c r="M130" s="1926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</row>
    <row r="131" spans="1:29" s="357" customFormat="1" ht="30" hidden="1" customHeight="1">
      <c r="A131" s="423">
        <v>105</v>
      </c>
      <c r="C131" s="393"/>
      <c r="D131" s="1917"/>
      <c r="E131" s="1918"/>
      <c r="F131" s="1918"/>
      <c r="G131" s="1919"/>
      <c r="H131" s="1290"/>
      <c r="I131" s="1331"/>
      <c r="J131" s="1920"/>
      <c r="K131" s="1921"/>
      <c r="L131" s="1922"/>
      <c r="M131" s="1923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</row>
    <row r="132" spans="1:29" s="357" customFormat="1" ht="99.95" hidden="1" customHeight="1">
      <c r="A132" s="423">
        <v>106</v>
      </c>
      <c r="C132" s="393"/>
      <c r="D132" s="1917"/>
      <c r="E132" s="1918"/>
      <c r="F132" s="1918"/>
      <c r="G132" s="1918"/>
      <c r="H132" s="1924"/>
      <c r="I132" s="1925"/>
      <c r="J132" s="1925"/>
      <c r="K132" s="1925"/>
      <c r="L132" s="1925"/>
      <c r="M132" s="1926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</row>
    <row r="133" spans="1:29" s="357" customFormat="1" ht="30" hidden="1" customHeight="1">
      <c r="A133" s="423">
        <v>107</v>
      </c>
      <c r="C133" s="393"/>
      <c r="D133" s="1917"/>
      <c r="E133" s="1927"/>
      <c r="F133" s="1927"/>
      <c r="G133" s="1928"/>
      <c r="H133" s="1292"/>
      <c r="I133" s="1330"/>
      <c r="J133" s="1920"/>
      <c r="K133" s="1921"/>
      <c r="L133" s="1922"/>
      <c r="M133" s="192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</row>
    <row r="134" spans="1:29" s="357" customFormat="1" ht="99.95" hidden="1" customHeight="1">
      <c r="A134" s="423">
        <v>108</v>
      </c>
      <c r="C134" s="393"/>
      <c r="D134" s="1917"/>
      <c r="E134" s="1918"/>
      <c r="F134" s="1918"/>
      <c r="G134" s="1918"/>
      <c r="H134" s="1924"/>
      <c r="I134" s="1925"/>
      <c r="J134" s="1925"/>
      <c r="K134" s="1925"/>
      <c r="L134" s="1925"/>
      <c r="M134" s="1926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</row>
    <row r="135" spans="1:29" s="357" customFormat="1" ht="30" hidden="1" customHeight="1">
      <c r="A135" s="423">
        <v>109</v>
      </c>
      <c r="C135" s="393"/>
      <c r="D135" s="1917"/>
      <c r="E135" s="1927"/>
      <c r="F135" s="1927"/>
      <c r="G135" s="1928"/>
      <c r="H135" s="1292"/>
      <c r="I135" s="1330"/>
      <c r="J135" s="1920"/>
      <c r="K135" s="1921"/>
      <c r="L135" s="1922"/>
      <c r="M135" s="1923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</row>
    <row r="136" spans="1:29" s="357" customFormat="1" ht="99.95" hidden="1" customHeight="1">
      <c r="A136" s="423">
        <v>110</v>
      </c>
      <c r="C136" s="393"/>
      <c r="D136" s="1917"/>
      <c r="E136" s="1918"/>
      <c r="F136" s="1918"/>
      <c r="G136" s="1918"/>
      <c r="H136" s="1924"/>
      <c r="I136" s="1925"/>
      <c r="J136" s="1925"/>
      <c r="K136" s="1925"/>
      <c r="L136" s="1925"/>
      <c r="M136" s="192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</row>
    <row r="137" spans="1:29" s="357" customFormat="1" ht="30" hidden="1" customHeight="1">
      <c r="A137" s="423">
        <v>111</v>
      </c>
      <c r="C137" s="393"/>
      <c r="D137" s="1917"/>
      <c r="E137" s="1927"/>
      <c r="F137" s="1927"/>
      <c r="G137" s="1928"/>
      <c r="H137" s="1292"/>
      <c r="I137" s="1330"/>
      <c r="J137" s="1920"/>
      <c r="K137" s="1921"/>
      <c r="L137" s="1922"/>
      <c r="M137" s="1923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</row>
    <row r="138" spans="1:29" s="357" customFormat="1" ht="99.95" hidden="1" customHeight="1">
      <c r="A138" s="423">
        <v>112</v>
      </c>
      <c r="C138" s="393"/>
      <c r="D138" s="1917"/>
      <c r="E138" s="1918"/>
      <c r="F138" s="1918"/>
      <c r="G138" s="1918"/>
      <c r="H138" s="1924"/>
      <c r="I138" s="1925"/>
      <c r="J138" s="1925"/>
      <c r="K138" s="1925"/>
      <c r="L138" s="1925"/>
      <c r="M138" s="1926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</row>
    <row r="139" spans="1:29" s="357" customFormat="1" ht="30" hidden="1" customHeight="1">
      <c r="A139" s="423">
        <v>113</v>
      </c>
      <c r="C139" s="393"/>
      <c r="D139" s="1917"/>
      <c r="E139" s="1918"/>
      <c r="F139" s="1918"/>
      <c r="G139" s="1919"/>
      <c r="H139" s="1290"/>
      <c r="I139" s="1331"/>
      <c r="J139" s="1920"/>
      <c r="K139" s="1921"/>
      <c r="L139" s="1922"/>
      <c r="M139" s="1923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</row>
    <row r="140" spans="1:29" s="357" customFormat="1" ht="99.95" hidden="1" customHeight="1">
      <c r="A140" s="423">
        <v>114</v>
      </c>
      <c r="C140" s="393"/>
      <c r="D140" s="1917"/>
      <c r="E140" s="1918"/>
      <c r="F140" s="1918"/>
      <c r="G140" s="1918"/>
      <c r="H140" s="1924"/>
      <c r="I140" s="1925"/>
      <c r="J140" s="1925"/>
      <c r="K140" s="1925"/>
      <c r="L140" s="1925"/>
      <c r="M140" s="1926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</row>
    <row r="141" spans="1:29" s="357" customFormat="1" ht="30" hidden="1" customHeight="1">
      <c r="A141" s="423">
        <v>115</v>
      </c>
      <c r="C141" s="393"/>
      <c r="D141" s="1917"/>
      <c r="E141" s="1927"/>
      <c r="F141" s="1927"/>
      <c r="G141" s="1928"/>
      <c r="H141" s="1292"/>
      <c r="I141" s="1330"/>
      <c r="J141" s="1920"/>
      <c r="K141" s="1921"/>
      <c r="L141" s="1922"/>
      <c r="M141" s="1923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</row>
    <row r="142" spans="1:29" s="357" customFormat="1" ht="99.95" hidden="1" customHeight="1">
      <c r="A142" s="423">
        <v>116</v>
      </c>
      <c r="C142" s="393"/>
      <c r="D142" s="1917"/>
      <c r="E142" s="1918"/>
      <c r="F142" s="1918"/>
      <c r="G142" s="1918"/>
      <c r="H142" s="1924"/>
      <c r="I142" s="1925"/>
      <c r="J142" s="1925"/>
      <c r="K142" s="1925"/>
      <c r="L142" s="1925"/>
      <c r="M142" s="1926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</row>
    <row r="143" spans="1:29" s="357" customFormat="1" ht="30" hidden="1" customHeight="1">
      <c r="A143" s="423">
        <v>117</v>
      </c>
      <c r="C143" s="393"/>
      <c r="D143" s="1917"/>
      <c r="E143" s="1918"/>
      <c r="F143" s="1918"/>
      <c r="G143" s="1919"/>
      <c r="H143" s="1290"/>
      <c r="I143" s="1331"/>
      <c r="J143" s="1920"/>
      <c r="K143" s="1921"/>
      <c r="L143" s="1922"/>
      <c r="M143" s="192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</row>
    <row r="144" spans="1:29" ht="30" customHeight="1">
      <c r="C144" s="337" t="s">
        <v>3366</v>
      </c>
      <c r="D144" s="750"/>
      <c r="E144" s="420"/>
      <c r="F144" s="1336">
        <v>4036</v>
      </c>
      <c r="G144" s="1293"/>
      <c r="H144" s="840"/>
      <c r="I144" s="1332"/>
      <c r="J144" s="417" t="s">
        <v>3370</v>
      </c>
      <c r="K144" s="841" t="s">
        <v>86</v>
      </c>
      <c r="L144" s="1929">
        <v>434.75</v>
      </c>
      <c r="M144" s="1930"/>
      <c r="O144" s="417" t="s">
        <v>1886</v>
      </c>
      <c r="P144" s="424">
        <v>0</v>
      </c>
    </row>
    <row r="145" spans="3:29" ht="30" customHeight="1">
      <c r="C145" s="1294" t="s">
        <v>2987</v>
      </c>
      <c r="D145" s="338"/>
      <c r="E145" s="359"/>
      <c r="F145" s="1295"/>
      <c r="G145" s="1293"/>
      <c r="H145" s="840"/>
      <c r="I145" s="1332"/>
      <c r="J145" s="417" t="s">
        <v>3371</v>
      </c>
      <c r="K145" s="841" t="s">
        <v>86</v>
      </c>
      <c r="L145" s="1931">
        <v>43.48</v>
      </c>
      <c r="M145" s="1932"/>
      <c r="O145" s="417"/>
    </row>
    <row r="146" spans="3:29" ht="30" customHeight="1">
      <c r="C146" s="1912" t="str">
        <f>SpellNumber(print_quote_grand_total)</f>
        <v>Four Hundred Thirty Four US Dollars and Seventy Five Cents</v>
      </c>
      <c r="D146" s="1912"/>
      <c r="E146" s="1912"/>
      <c r="F146" s="1912"/>
      <c r="G146" s="1293"/>
      <c r="H146" s="840"/>
      <c r="I146" s="1332"/>
      <c r="J146" s="417" t="s">
        <v>3372</v>
      </c>
      <c r="K146" s="841" t="s">
        <v>86</v>
      </c>
      <c r="L146" s="1931">
        <v>43.48</v>
      </c>
      <c r="M146" s="1932"/>
    </row>
    <row r="147" spans="3:29" ht="30" customHeight="1">
      <c r="C147" s="160"/>
      <c r="D147" s="160"/>
      <c r="E147" s="160"/>
      <c r="F147" s="160"/>
      <c r="G147" s="1293"/>
      <c r="H147" s="840"/>
      <c r="I147" s="1332"/>
      <c r="J147" s="417" t="s">
        <v>3373</v>
      </c>
      <c r="K147" s="841" t="s">
        <v>86</v>
      </c>
      <c r="L147" s="1931">
        <v>434.75</v>
      </c>
      <c r="M147" s="1932"/>
    </row>
    <row r="148" spans="3:29" ht="30" customHeight="1">
      <c r="C148" s="160"/>
      <c r="D148" s="160"/>
      <c r="E148" s="160"/>
      <c r="F148" s="160"/>
      <c r="I148" s="1332"/>
      <c r="J148" s="417" t="s">
        <v>3374</v>
      </c>
      <c r="K148" s="841" t="s">
        <v>86</v>
      </c>
      <c r="L148" s="1953">
        <v>1754651</v>
      </c>
      <c r="M148" s="1954"/>
    </row>
    <row r="149" spans="3:29" ht="24.95" customHeight="1">
      <c r="C149" s="764"/>
      <c r="D149" s="765"/>
      <c r="E149" s="765"/>
      <c r="F149" s="1296"/>
      <c r="G149" s="1296"/>
      <c r="J149" s="5"/>
      <c r="K149" s="5"/>
    </row>
    <row r="150" spans="3:29">
      <c r="C150" s="738"/>
      <c r="D150" s="375"/>
      <c r="E150" s="375"/>
      <c r="F150" s="256"/>
      <c r="J150" s="5"/>
      <c r="K150" s="5"/>
    </row>
    <row r="151" spans="3:29">
      <c r="C151" s="738"/>
      <c r="D151" s="375"/>
      <c r="E151" s="375"/>
      <c r="F151" s="256"/>
      <c r="J151" s="5"/>
      <c r="K151" s="5"/>
    </row>
    <row r="152" spans="3:29">
      <c r="C152" s="738"/>
      <c r="D152" s="411"/>
      <c r="E152" s="376"/>
      <c r="F152" s="256"/>
      <c r="J152" s="5"/>
      <c r="K152" s="5"/>
    </row>
    <row r="153" spans="3:29">
      <c r="C153" s="154"/>
      <c r="D153" s="1297"/>
      <c r="E153" s="1297"/>
      <c r="F153" s="139"/>
      <c r="J153" s="5"/>
      <c r="K153" s="5"/>
    </row>
    <row r="154" spans="3:29">
      <c r="C154" s="154"/>
      <c r="D154" s="739"/>
      <c r="E154" s="739"/>
      <c r="F154" s="139"/>
      <c r="J154" s="5"/>
      <c r="K154" s="5"/>
    </row>
    <row r="155" spans="3:29" ht="33.75" customHeight="1">
      <c r="C155" s="1298"/>
      <c r="D155" s="1299"/>
      <c r="E155" s="1299"/>
      <c r="F155" s="1299"/>
      <c r="G155" s="1299"/>
      <c r="H155" s="737"/>
      <c r="I155" s="1333"/>
      <c r="J155" s="737"/>
      <c r="K155" s="737"/>
      <c r="L155" s="1320"/>
    </row>
    <row r="156" spans="3:29" s="3" customFormat="1" ht="26.25" customHeight="1">
      <c r="C156" s="1300"/>
      <c r="D156" s="1301"/>
      <c r="E156" s="1301"/>
      <c r="F156" s="1301"/>
      <c r="G156" s="1301"/>
      <c r="H156" s="743"/>
      <c r="I156" s="1334"/>
      <c r="J156" s="743"/>
      <c r="K156" s="743"/>
      <c r="L156" s="1321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</row>
    <row r="157" spans="3:29" ht="15">
      <c r="C157" s="1296"/>
      <c r="D157" s="1296"/>
      <c r="E157" s="1296"/>
      <c r="F157" s="11"/>
      <c r="G157" s="1302"/>
    </row>
    <row r="158" spans="3:29" ht="15">
      <c r="D158" s="139"/>
      <c r="E158" s="139"/>
      <c r="F158" s="139"/>
    </row>
    <row r="159" spans="3:29">
      <c r="C159" s="1952"/>
      <c r="D159" s="1952"/>
      <c r="E159" s="1952"/>
      <c r="F159" s="1952"/>
      <c r="G159" s="1952"/>
      <c r="H159" s="5"/>
      <c r="I159" s="1903"/>
      <c r="J159" s="1903"/>
      <c r="K159" s="1903"/>
      <c r="L159" s="1903"/>
    </row>
    <row r="160" spans="3:29">
      <c r="C160" s="154"/>
      <c r="G160" s="154"/>
      <c r="H160" s="5"/>
      <c r="I160" s="8"/>
      <c r="J160" s="5"/>
      <c r="K160" s="5"/>
      <c r="L160" s="1315"/>
    </row>
    <row r="161" spans="3:12">
      <c r="C161" s="154"/>
      <c r="G161" s="154"/>
      <c r="H161" s="5"/>
      <c r="I161" s="8"/>
      <c r="J161" s="5"/>
      <c r="K161" s="5"/>
      <c r="L161" s="1315"/>
    </row>
    <row r="162" spans="3:12">
      <c r="C162" s="154"/>
      <c r="G162" s="154"/>
      <c r="H162" s="5"/>
      <c r="I162" s="8"/>
      <c r="J162" s="5"/>
      <c r="K162" s="5"/>
      <c r="L162" s="1315"/>
    </row>
    <row r="163" spans="3:12">
      <c r="C163" s="154"/>
      <c r="G163" s="154"/>
      <c r="H163" s="5"/>
      <c r="I163" s="8"/>
      <c r="J163" s="5"/>
      <c r="K163" s="5"/>
      <c r="L163" s="1315"/>
    </row>
    <row r="164" spans="3:12">
      <c r="C164" s="154"/>
      <c r="G164" s="154"/>
      <c r="H164" s="5"/>
      <c r="I164" s="8"/>
      <c r="J164" s="5"/>
      <c r="K164" s="5"/>
      <c r="L164" s="1315"/>
    </row>
    <row r="165" spans="3:12">
      <c r="C165" s="154"/>
      <c r="G165" s="154"/>
      <c r="H165" s="5"/>
      <c r="I165" s="8"/>
      <c r="J165" s="5"/>
      <c r="K165" s="5"/>
      <c r="L165" s="1315"/>
    </row>
    <row r="166" spans="3:12">
      <c r="C166" s="154"/>
      <c r="G166" s="154"/>
      <c r="H166" s="5"/>
      <c r="I166" s="8"/>
      <c r="J166" s="5"/>
      <c r="K166" s="5"/>
      <c r="L166" s="1315"/>
    </row>
    <row r="167" spans="3:12">
      <c r="C167" s="154"/>
      <c r="G167" s="154"/>
      <c r="H167" s="5"/>
      <c r="I167" s="8"/>
      <c r="J167" s="5"/>
      <c r="K167" s="5"/>
      <c r="L167" s="1315"/>
    </row>
    <row r="168" spans="3:12">
      <c r="C168" s="154"/>
      <c r="G168" s="154"/>
      <c r="H168" s="5"/>
      <c r="I168" s="8"/>
      <c r="J168" s="5"/>
      <c r="K168" s="5"/>
      <c r="L168" s="1315"/>
    </row>
    <row r="169" spans="3:12">
      <c r="C169" s="154"/>
      <c r="G169" s="154"/>
      <c r="H169" s="5"/>
      <c r="I169" s="8"/>
      <c r="J169" s="5"/>
      <c r="K169" s="5"/>
      <c r="L169" s="1315"/>
    </row>
    <row r="170" spans="3:12">
      <c r="C170" s="154"/>
      <c r="G170" s="154"/>
      <c r="H170" s="5"/>
      <c r="I170" s="8"/>
      <c r="J170" s="5"/>
      <c r="K170" s="5"/>
      <c r="L170" s="1315"/>
    </row>
    <row r="171" spans="3:12">
      <c r="C171" s="154"/>
      <c r="G171" s="154"/>
      <c r="H171" s="5"/>
      <c r="I171" s="8"/>
      <c r="J171" s="5"/>
      <c r="K171" s="5"/>
      <c r="L171" s="1315"/>
    </row>
    <row r="172" spans="3:12">
      <c r="C172" s="154"/>
      <c r="G172" s="154"/>
      <c r="H172" s="5"/>
      <c r="I172" s="8"/>
      <c r="J172" s="5"/>
      <c r="K172" s="5"/>
      <c r="L172" s="1315"/>
    </row>
    <row r="173" spans="3:12">
      <c r="C173" s="154"/>
      <c r="G173" s="154"/>
      <c r="H173" s="5"/>
      <c r="I173" s="8"/>
      <c r="J173" s="5"/>
      <c r="K173" s="5"/>
      <c r="L173" s="1315"/>
    </row>
    <row r="174" spans="3:12">
      <c r="C174" s="154"/>
      <c r="G174" s="154"/>
      <c r="H174" s="5"/>
      <c r="I174" s="8"/>
      <c r="J174" s="5"/>
      <c r="K174" s="5"/>
      <c r="L174" s="1315"/>
    </row>
    <row r="175" spans="3:12">
      <c r="C175" s="154"/>
      <c r="G175" s="154"/>
      <c r="H175" s="5"/>
      <c r="I175" s="8"/>
      <c r="J175" s="5"/>
      <c r="K175" s="5"/>
      <c r="L175" s="1315"/>
    </row>
    <row r="176" spans="3:12">
      <c r="C176" s="154"/>
      <c r="G176" s="154"/>
      <c r="H176" s="5"/>
      <c r="I176" s="8"/>
      <c r="J176" s="5"/>
      <c r="K176" s="5"/>
      <c r="L176" s="1315"/>
    </row>
    <row r="177" spans="3:12">
      <c r="C177" s="154"/>
      <c r="G177" s="154"/>
      <c r="H177" s="5"/>
      <c r="I177" s="8"/>
      <c r="J177" s="5"/>
      <c r="K177" s="5"/>
      <c r="L177" s="1315"/>
    </row>
  </sheetData>
  <mergeCells count="313">
    <mergeCell ref="C146:F146"/>
    <mergeCell ref="C159:G159"/>
    <mergeCell ref="I159:L159"/>
    <mergeCell ref="L146:M146"/>
    <mergeCell ref="L147:M147"/>
    <mergeCell ref="L148:M148"/>
    <mergeCell ref="L27:M27"/>
    <mergeCell ref="J27:K27"/>
    <mergeCell ref="D25:G25"/>
    <mergeCell ref="D26:G26"/>
    <mergeCell ref="D28:G28"/>
    <mergeCell ref="H28:M28"/>
    <mergeCell ref="D31:G31"/>
    <mergeCell ref="J31:K31"/>
    <mergeCell ref="L31:M31"/>
    <mergeCell ref="D32:G32"/>
    <mergeCell ref="H32:M32"/>
    <mergeCell ref="D29:G29"/>
    <mergeCell ref="J29:K29"/>
    <mergeCell ref="L29:M29"/>
    <mergeCell ref="D30:G30"/>
    <mergeCell ref="H30:M30"/>
    <mergeCell ref="D35:G35"/>
    <mergeCell ref="J35:K35"/>
    <mergeCell ref="S4:T4"/>
    <mergeCell ref="F17:L17"/>
    <mergeCell ref="L25:M25"/>
    <mergeCell ref="L26:M26"/>
    <mergeCell ref="J25:K25"/>
    <mergeCell ref="J26:K26"/>
    <mergeCell ref="D27:G27"/>
    <mergeCell ref="F22:L22"/>
    <mergeCell ref="F23:H23"/>
    <mergeCell ref="F19:L19"/>
    <mergeCell ref="F20:L20"/>
    <mergeCell ref="L35:M35"/>
    <mergeCell ref="D36:G36"/>
    <mergeCell ref="H36:M36"/>
    <mergeCell ref="D33:G33"/>
    <mergeCell ref="J33:K33"/>
    <mergeCell ref="L33:M33"/>
    <mergeCell ref="D34:G34"/>
    <mergeCell ref="H34:M34"/>
    <mergeCell ref="D39:G39"/>
    <mergeCell ref="J39:K39"/>
    <mergeCell ref="L39:M39"/>
    <mergeCell ref="D40:G40"/>
    <mergeCell ref="H40:M40"/>
    <mergeCell ref="D37:G37"/>
    <mergeCell ref="J37:K37"/>
    <mergeCell ref="L37:M37"/>
    <mergeCell ref="D38:G38"/>
    <mergeCell ref="H38:M38"/>
    <mergeCell ref="D43:G43"/>
    <mergeCell ref="J43:K43"/>
    <mergeCell ref="L43:M43"/>
    <mergeCell ref="D44:G44"/>
    <mergeCell ref="H44:M44"/>
    <mergeCell ref="D41:G41"/>
    <mergeCell ref="J41:K41"/>
    <mergeCell ref="L41:M41"/>
    <mergeCell ref="D42:G42"/>
    <mergeCell ref="H42:M42"/>
    <mergeCell ref="D47:G47"/>
    <mergeCell ref="J47:K47"/>
    <mergeCell ref="L47:M47"/>
    <mergeCell ref="D48:G48"/>
    <mergeCell ref="H48:M48"/>
    <mergeCell ref="D45:G45"/>
    <mergeCell ref="J45:K45"/>
    <mergeCell ref="L45:M45"/>
    <mergeCell ref="D46:G46"/>
    <mergeCell ref="H46:M46"/>
    <mergeCell ref="D51:G51"/>
    <mergeCell ref="J51:K51"/>
    <mergeCell ref="L51:M51"/>
    <mergeCell ref="D52:G52"/>
    <mergeCell ref="H52:M52"/>
    <mergeCell ref="D49:G49"/>
    <mergeCell ref="J49:K49"/>
    <mergeCell ref="L49:M49"/>
    <mergeCell ref="D50:G50"/>
    <mergeCell ref="H50:M50"/>
    <mergeCell ref="D55:G55"/>
    <mergeCell ref="J55:K55"/>
    <mergeCell ref="L55:M55"/>
    <mergeCell ref="D56:G56"/>
    <mergeCell ref="H56:M56"/>
    <mergeCell ref="D53:G53"/>
    <mergeCell ref="J53:K53"/>
    <mergeCell ref="L53:M53"/>
    <mergeCell ref="D54:G54"/>
    <mergeCell ref="H54:M54"/>
    <mergeCell ref="D59:G59"/>
    <mergeCell ref="J59:K59"/>
    <mergeCell ref="L59:M59"/>
    <mergeCell ref="D60:G60"/>
    <mergeCell ref="H60:M60"/>
    <mergeCell ref="D57:G57"/>
    <mergeCell ref="J57:K57"/>
    <mergeCell ref="L57:M57"/>
    <mergeCell ref="D58:G58"/>
    <mergeCell ref="H58:M58"/>
    <mergeCell ref="D63:G63"/>
    <mergeCell ref="J63:K63"/>
    <mergeCell ref="L63:M63"/>
    <mergeCell ref="D64:G64"/>
    <mergeCell ref="H64:M64"/>
    <mergeCell ref="D61:G61"/>
    <mergeCell ref="J61:K61"/>
    <mergeCell ref="L61:M61"/>
    <mergeCell ref="D62:G62"/>
    <mergeCell ref="H62:M62"/>
    <mergeCell ref="D67:G67"/>
    <mergeCell ref="J67:K67"/>
    <mergeCell ref="L67:M67"/>
    <mergeCell ref="D68:G68"/>
    <mergeCell ref="D65:G65"/>
    <mergeCell ref="J65:K65"/>
    <mergeCell ref="L65:M65"/>
    <mergeCell ref="D66:G66"/>
    <mergeCell ref="H66:M66"/>
    <mergeCell ref="D71:G71"/>
    <mergeCell ref="J71:K71"/>
    <mergeCell ref="L71:M71"/>
    <mergeCell ref="H68:M68"/>
    <mergeCell ref="H70:M70"/>
    <mergeCell ref="D72:G72"/>
    <mergeCell ref="H72:M72"/>
    <mergeCell ref="D77:G77"/>
    <mergeCell ref="J77:K77"/>
    <mergeCell ref="L77:M77"/>
    <mergeCell ref="D78:G78"/>
    <mergeCell ref="H78:M78"/>
    <mergeCell ref="D69:G69"/>
    <mergeCell ref="J69:K69"/>
    <mergeCell ref="L69:M69"/>
    <mergeCell ref="D70:G70"/>
    <mergeCell ref="D75:G75"/>
    <mergeCell ref="J75:K75"/>
    <mergeCell ref="L75:M75"/>
    <mergeCell ref="D73:G73"/>
    <mergeCell ref="J73:K73"/>
    <mergeCell ref="L73:M73"/>
    <mergeCell ref="D74:G74"/>
    <mergeCell ref="H74:M74"/>
    <mergeCell ref="D76:G76"/>
    <mergeCell ref="H76:M76"/>
    <mergeCell ref="D81:G81"/>
    <mergeCell ref="J81:K81"/>
    <mergeCell ref="L81:M81"/>
    <mergeCell ref="D82:G82"/>
    <mergeCell ref="H82:M82"/>
    <mergeCell ref="D79:G79"/>
    <mergeCell ref="J79:K79"/>
    <mergeCell ref="L79:M79"/>
    <mergeCell ref="D80:G80"/>
    <mergeCell ref="H80:M80"/>
    <mergeCell ref="D85:G85"/>
    <mergeCell ref="J85:K85"/>
    <mergeCell ref="L85:M85"/>
    <mergeCell ref="D86:G86"/>
    <mergeCell ref="H86:M86"/>
    <mergeCell ref="D83:G83"/>
    <mergeCell ref="J83:K83"/>
    <mergeCell ref="L83:M83"/>
    <mergeCell ref="D84:G84"/>
    <mergeCell ref="H84:M84"/>
    <mergeCell ref="D89:G89"/>
    <mergeCell ref="J89:K89"/>
    <mergeCell ref="L89:M89"/>
    <mergeCell ref="D90:G90"/>
    <mergeCell ref="H90:M90"/>
    <mergeCell ref="D87:G87"/>
    <mergeCell ref="J87:K87"/>
    <mergeCell ref="L87:M87"/>
    <mergeCell ref="D88:G88"/>
    <mergeCell ref="H88:M88"/>
    <mergeCell ref="D93:G93"/>
    <mergeCell ref="J93:K93"/>
    <mergeCell ref="L93:M93"/>
    <mergeCell ref="D94:G94"/>
    <mergeCell ref="H94:M94"/>
    <mergeCell ref="D91:G91"/>
    <mergeCell ref="J91:K91"/>
    <mergeCell ref="L91:M91"/>
    <mergeCell ref="D92:G92"/>
    <mergeCell ref="H92:M92"/>
    <mergeCell ref="D97:G97"/>
    <mergeCell ref="J97:K97"/>
    <mergeCell ref="L97:M97"/>
    <mergeCell ref="D98:G98"/>
    <mergeCell ref="H98:M98"/>
    <mergeCell ref="D95:G95"/>
    <mergeCell ref="J95:K95"/>
    <mergeCell ref="L95:M95"/>
    <mergeCell ref="D96:G96"/>
    <mergeCell ref="H96:M96"/>
    <mergeCell ref="D101:G101"/>
    <mergeCell ref="J101:K101"/>
    <mergeCell ref="L101:M101"/>
    <mergeCell ref="D102:G102"/>
    <mergeCell ref="H102:M102"/>
    <mergeCell ref="D99:G99"/>
    <mergeCell ref="J99:K99"/>
    <mergeCell ref="L99:M99"/>
    <mergeCell ref="D100:G100"/>
    <mergeCell ref="H100:M100"/>
    <mergeCell ref="D105:G105"/>
    <mergeCell ref="J105:K105"/>
    <mergeCell ref="L105:M105"/>
    <mergeCell ref="D106:G106"/>
    <mergeCell ref="H106:M106"/>
    <mergeCell ref="D103:G103"/>
    <mergeCell ref="J103:K103"/>
    <mergeCell ref="L103:M103"/>
    <mergeCell ref="D104:G104"/>
    <mergeCell ref="H104:M104"/>
    <mergeCell ref="D109:G109"/>
    <mergeCell ref="J109:K109"/>
    <mergeCell ref="L109:M109"/>
    <mergeCell ref="D110:G110"/>
    <mergeCell ref="H110:M110"/>
    <mergeCell ref="D107:G107"/>
    <mergeCell ref="J107:K107"/>
    <mergeCell ref="L107:M107"/>
    <mergeCell ref="D108:G108"/>
    <mergeCell ref="H108:M108"/>
    <mergeCell ref="D113:G113"/>
    <mergeCell ref="J113:K113"/>
    <mergeCell ref="L113:M113"/>
    <mergeCell ref="D114:G114"/>
    <mergeCell ref="H114:M114"/>
    <mergeCell ref="D111:G111"/>
    <mergeCell ref="J111:K111"/>
    <mergeCell ref="L111:M111"/>
    <mergeCell ref="D112:G112"/>
    <mergeCell ref="H112:M112"/>
    <mergeCell ref="D117:G117"/>
    <mergeCell ref="J117:K117"/>
    <mergeCell ref="L117:M117"/>
    <mergeCell ref="D118:G118"/>
    <mergeCell ref="H118:M118"/>
    <mergeCell ref="D115:G115"/>
    <mergeCell ref="J115:K115"/>
    <mergeCell ref="L115:M115"/>
    <mergeCell ref="D116:G116"/>
    <mergeCell ref="H116:M116"/>
    <mergeCell ref="D121:G121"/>
    <mergeCell ref="J121:K121"/>
    <mergeCell ref="L121:M121"/>
    <mergeCell ref="D122:G122"/>
    <mergeCell ref="H122:M122"/>
    <mergeCell ref="D119:G119"/>
    <mergeCell ref="J119:K119"/>
    <mergeCell ref="L119:M119"/>
    <mergeCell ref="D127:G127"/>
    <mergeCell ref="J127:K127"/>
    <mergeCell ref="L127:M127"/>
    <mergeCell ref="D120:G120"/>
    <mergeCell ref="H120:M120"/>
    <mergeCell ref="J125:K125"/>
    <mergeCell ref="L125:M125"/>
    <mergeCell ref="D126:G126"/>
    <mergeCell ref="H126:M126"/>
    <mergeCell ref="D125:G125"/>
    <mergeCell ref="D123:G123"/>
    <mergeCell ref="J123:K123"/>
    <mergeCell ref="L123:M123"/>
    <mergeCell ref="D131:G131"/>
    <mergeCell ref="J131:K131"/>
    <mergeCell ref="L131:M131"/>
    <mergeCell ref="D124:G124"/>
    <mergeCell ref="H124:M124"/>
    <mergeCell ref="D136:G136"/>
    <mergeCell ref="H136:M136"/>
    <mergeCell ref="D133:G133"/>
    <mergeCell ref="J133:K133"/>
    <mergeCell ref="L133:M133"/>
    <mergeCell ref="D134:G134"/>
    <mergeCell ref="H134:M134"/>
    <mergeCell ref="D132:G132"/>
    <mergeCell ref="H132:M132"/>
    <mergeCell ref="D129:G129"/>
    <mergeCell ref="J129:K129"/>
    <mergeCell ref="L129:M129"/>
    <mergeCell ref="D130:G130"/>
    <mergeCell ref="H130:M130"/>
    <mergeCell ref="D135:G135"/>
    <mergeCell ref="J135:K135"/>
    <mergeCell ref="L135:M135"/>
    <mergeCell ref="D128:G128"/>
    <mergeCell ref="H128:M128"/>
    <mergeCell ref="D143:G143"/>
    <mergeCell ref="J143:K143"/>
    <mergeCell ref="L143:M143"/>
    <mergeCell ref="L144:M144"/>
    <mergeCell ref="L145:M145"/>
    <mergeCell ref="D141:G141"/>
    <mergeCell ref="J141:K141"/>
    <mergeCell ref="L141:M141"/>
    <mergeCell ref="D142:G142"/>
    <mergeCell ref="H142:M142"/>
    <mergeCell ref="D139:G139"/>
    <mergeCell ref="J139:K139"/>
    <mergeCell ref="L139:M139"/>
    <mergeCell ref="D140:G140"/>
    <mergeCell ref="H140:M140"/>
    <mergeCell ref="D137:G137"/>
    <mergeCell ref="J137:K137"/>
    <mergeCell ref="L137:M137"/>
    <mergeCell ref="D138:G138"/>
    <mergeCell ref="H138:M138"/>
  </mergeCells>
  <dataValidations count="2">
    <dataValidation type="textLength" allowBlank="1" showInputMessage="1" showErrorMessage="1" errorTitle="Number not valid" error="បញ្ចូលលេខមិនត្រឹមត្រូវេ! សូមបញ្ចូលលេខប្រអប់ ត្រឹមតែមួយខ្ទង់សម្រាប់មួយប្រអប់។ _x000a_" promptTitle="Customer TAX ID " sqref="N6" xr:uid="{2A1B146D-A501-42D6-834D-28BCA76AC16C}">
      <formula1>1</formula1>
      <formula2>1</formula2>
    </dataValidation>
    <dataValidation allowBlank="1" showInputMessage="1" showErrorMessage="1" promptTitle="Email/Telelgram/Other" prompt="Email/Telelgram/Other" sqref="G21:K21" xr:uid="{D72DF77D-8EF9-49FA-A3F9-536DE438D652}"/>
  </dataValidations>
  <printOptions horizontalCentered="1"/>
  <pageMargins left="0.19685039370078741" right="0" top="0" bottom="7.874015748031496E-2" header="0" footer="0"/>
  <pageSetup paperSize="9" scale="78" orientation="portrait" horizontalDpi="1200" verticalDpi="1200" r:id="rId1"/>
  <headerFooter>
    <oddFooter>&amp;CPage &amp;P of &amp;N</oddFooter>
  </headerFooter>
  <drawing r:id="rId2"/>
  <legacyDrawing r:id="rId3"/>
  <controls>
    <mc:AlternateContent xmlns:mc="http://schemas.openxmlformats.org/markup-compatibility/2006">
      <mc:Choice Requires="x14">
        <control shapeId="4851713" r:id="rId4" name="QuotationComboBox">
          <controlPr defaultSize="0" autoLine="0" r:id="rId5">
            <anchor moveWithCells="1">
              <from>
                <xdr:col>14</xdr:col>
                <xdr:colOff>47625</xdr:colOff>
                <xdr:row>0</xdr:row>
                <xdr:rowOff>257175</xdr:rowOff>
              </from>
              <to>
                <xdr:col>16</xdr:col>
                <xdr:colOff>9525</xdr:colOff>
                <xdr:row>3</xdr:row>
                <xdr:rowOff>57150</xdr:rowOff>
              </to>
            </anchor>
          </controlPr>
        </control>
      </mc:Choice>
      <mc:Fallback>
        <control shapeId="4851713" r:id="rId4" name="QuotationComboBox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6E81B-E902-4AD1-AFA8-337BC29CD461}">
  <sheetPr codeName="Sheet58"/>
  <dimension ref="A1:CA177"/>
  <sheetViews>
    <sheetView showGridLines="0" zoomScale="80" zoomScaleNormal="80" workbookViewId="0">
      <pane ySplit="8" topLeftCell="A9" activePane="bottomLeft" state="frozen"/>
      <selection activeCell="B1" sqref="B1"/>
      <selection pane="bottomLeft" activeCell="N12" sqref="N12"/>
    </sheetView>
  </sheetViews>
  <sheetFormatPr defaultRowHeight="23.25"/>
  <cols>
    <col min="1" max="1" width="4.42578125" customWidth="1"/>
    <col min="2" max="2" width="2.42578125" customWidth="1"/>
    <col min="3" max="3" width="15.28515625" customWidth="1"/>
    <col min="4" max="4" width="22.5703125" style="5" customWidth="1"/>
    <col min="5" max="5" width="2.5703125" style="5" customWidth="1"/>
    <col min="6" max="6" width="21.140625" style="5" customWidth="1"/>
    <col min="7" max="7" width="15.7109375" style="2" customWidth="1"/>
    <col min="8" max="8" width="11.140625" customWidth="1"/>
    <col min="9" max="9" width="17.28515625" customWidth="1"/>
    <col min="10" max="10" width="16.42578125" customWidth="1"/>
    <col min="11" max="11" width="19.5703125" customWidth="1"/>
    <col min="12" max="12" width="2.7109375" customWidth="1"/>
    <col min="13" max="13" width="0.5703125" customWidth="1"/>
    <col min="14" max="14" width="24.140625" bestFit="1" customWidth="1"/>
    <col min="15" max="15" width="49" customWidth="1"/>
    <col min="16" max="16" width="5.140625" customWidth="1"/>
    <col min="17" max="17" width="20.7109375" customWidth="1"/>
    <col min="18" max="18" width="7.42578125" customWidth="1"/>
    <col min="19" max="19" width="13.28515625" customWidth="1"/>
    <col min="63" max="63" width="12.7109375" bestFit="1" customWidth="1"/>
    <col min="65" max="79" width="6.7109375" customWidth="1"/>
  </cols>
  <sheetData>
    <row r="1" spans="2:79" ht="24">
      <c r="N1" s="733" t="s">
        <v>3013</v>
      </c>
      <c r="O1" s="733"/>
      <c r="P1" s="732"/>
      <c r="Q1" s="733" t="s">
        <v>3014</v>
      </c>
      <c r="R1" s="732"/>
      <c r="S1" s="732"/>
      <c r="T1" s="732"/>
    </row>
    <row r="2" spans="2:79" ht="36.75" customHeight="1"/>
    <row r="3" spans="2:79" ht="4.5" customHeight="1">
      <c r="C3" s="1901"/>
      <c r="D3" s="1901"/>
      <c r="E3" s="1901"/>
      <c r="F3" s="1901"/>
      <c r="G3" s="1901"/>
      <c r="H3" s="1901"/>
      <c r="I3" s="1901"/>
      <c r="J3" s="1901"/>
      <c r="K3" s="1901"/>
      <c r="N3" s="146"/>
      <c r="BK3" t="s">
        <v>1806</v>
      </c>
      <c r="BM3" s="345" t="s">
        <v>108</v>
      </c>
      <c r="BN3" s="345">
        <v>1</v>
      </c>
      <c r="BO3" s="345">
        <v>1</v>
      </c>
      <c r="BP3" s="345">
        <v>6</v>
      </c>
      <c r="BQ3" s="345" t="s">
        <v>109</v>
      </c>
      <c r="BR3" s="345">
        <v>2</v>
      </c>
      <c r="BS3" s="345">
        <v>6</v>
      </c>
      <c r="BT3" s="345">
        <v>0</v>
      </c>
      <c r="BU3" s="345">
        <v>0</v>
      </c>
      <c r="BV3" s="345">
        <v>0</v>
      </c>
      <c r="BW3" s="345">
        <v>0</v>
      </c>
      <c r="BX3" s="345">
        <v>1</v>
      </c>
      <c r="BY3" s="345">
        <v>2</v>
      </c>
      <c r="BZ3" s="345">
        <v>7</v>
      </c>
      <c r="CA3" s="346">
        <v>1</v>
      </c>
    </row>
    <row r="4" spans="2:79" ht="34.5" customHeight="1">
      <c r="B4" s="347"/>
      <c r="C4" s="402" t="str">
        <f>Setting!D9</f>
        <v>គោកស្នួល ខនស្រ្តាក់សិន មេធៀរៀល</v>
      </c>
      <c r="D4" s="734"/>
      <c r="E4" s="734"/>
      <c r="F4" s="734"/>
      <c r="G4" s="402"/>
      <c r="H4" s="402"/>
      <c r="I4" s="402"/>
      <c r="J4" s="402"/>
      <c r="K4" s="402"/>
      <c r="N4" s="337" t="s">
        <v>3015</v>
      </c>
      <c r="O4" s="410"/>
      <c r="Q4" s="68" t="s">
        <v>3016</v>
      </c>
      <c r="R4" s="1959">
        <v>1</v>
      </c>
      <c r="S4" s="1959"/>
    </row>
    <row r="5" spans="2:79" s="5" customFormat="1" ht="30.75" customHeight="1">
      <c r="B5" s="348"/>
      <c r="C5" s="814" t="str">
        <f>Setting!E9</f>
        <v>KORK SNUOL CONSTRUCTION MATERIAL</v>
      </c>
      <c r="D5" s="735"/>
      <c r="E5" s="735"/>
      <c r="F5" s="735"/>
      <c r="G5" s="349"/>
      <c r="H5" s="349"/>
      <c r="I5" s="349"/>
      <c r="J5" s="349"/>
      <c r="K5" s="349"/>
      <c r="N5" s="337" t="s">
        <v>1874</v>
      </c>
      <c r="O5" s="404" t="s">
        <v>1854</v>
      </c>
      <c r="P5"/>
      <c r="Q5" s="68" t="s">
        <v>3017</v>
      </c>
      <c r="R5" s="413">
        <v>0</v>
      </c>
      <c r="S5" s="412" t="str">
        <f>IF(_xlfn.SINGLE(print_inv_payment_net_days)&gt;=1,"days","day")</f>
        <v>day</v>
      </c>
      <c r="T5"/>
      <c r="U5"/>
      <c r="V5"/>
      <c r="W5"/>
      <c r="X5"/>
      <c r="Y5"/>
      <c r="Z5"/>
      <c r="AA5"/>
      <c r="AB5"/>
    </row>
    <row r="6" spans="2:79" s="5" customFormat="1" ht="25.5">
      <c r="B6" s="348"/>
      <c r="C6" s="196" t="str">
        <f>N5&amp;print_inv_branch_address_kh</f>
        <v>អាសយដ្ឋាន ៖ ភូមិគោកស្នួល ឃុំខ្នាត ស្រុកពួក ខេត្តសៀមរាប</v>
      </c>
      <c r="D6" s="349"/>
      <c r="E6" s="349"/>
      <c r="F6" s="349"/>
      <c r="G6" s="349"/>
      <c r="H6" s="349"/>
      <c r="I6" s="349"/>
      <c r="J6" s="349"/>
      <c r="K6" s="349"/>
      <c r="M6" s="176"/>
      <c r="N6" s="337" t="s">
        <v>1876</v>
      </c>
      <c r="O6" s="415" t="s">
        <v>102</v>
      </c>
      <c r="P6" s="168"/>
      <c r="Q6" s="414"/>
      <c r="R6" s="168"/>
      <c r="S6" s="168"/>
      <c r="T6" s="168"/>
      <c r="U6" s="168"/>
      <c r="V6" s="168"/>
      <c r="W6" s="168"/>
      <c r="X6"/>
      <c r="Y6"/>
      <c r="Z6"/>
      <c r="AA6"/>
      <c r="AB6"/>
    </row>
    <row r="7" spans="2:79" s="5" customFormat="1" ht="25.5">
      <c r="B7" s="348"/>
      <c r="C7" s="196" t="str">
        <f>N6&amp;print_inv_branch_telephone&amp;IF(print_inv_branch_email="",""," , "&amp;N7&amp;print_inv_branch_email)</f>
        <v>លេខទូរស័ព្ទ ៖ 015 43 44 00 , អ៊ីម៉ែល​ ៖ boupanha.edu@gmail.com</v>
      </c>
      <c r="D7" s="349"/>
      <c r="E7" s="349"/>
      <c r="F7" s="349"/>
      <c r="G7" s="349"/>
      <c r="H7" s="349"/>
      <c r="I7" s="349"/>
      <c r="J7" s="349"/>
      <c r="K7" s="349"/>
      <c r="N7" s="337" t="s">
        <v>1877</v>
      </c>
      <c r="O7" s="404" t="s">
        <v>1855</v>
      </c>
      <c r="P7" s="168"/>
      <c r="Q7" s="414" t="s">
        <v>4168</v>
      </c>
      <c r="R7" s="168"/>
      <c r="S7" s="168"/>
      <c r="T7" s="168"/>
      <c r="U7" s="168"/>
      <c r="V7" s="168"/>
      <c r="W7" s="168"/>
      <c r="X7"/>
      <c r="Y7"/>
      <c r="Z7"/>
      <c r="AA7"/>
      <c r="AB7"/>
    </row>
    <row r="8" spans="2:79" ht="38.25" customHeight="1" thickBot="1">
      <c r="B8" s="347"/>
      <c r="C8" s="403" t="s">
        <v>1875</v>
      </c>
      <c r="D8" s="377"/>
      <c r="E8" s="377"/>
      <c r="F8" s="377"/>
      <c r="G8" s="377"/>
      <c r="H8" s="377"/>
      <c r="I8" s="377"/>
      <c r="J8" s="377"/>
      <c r="K8" s="378"/>
      <c r="N8" s="188"/>
      <c r="P8" s="168"/>
      <c r="Q8" s="414"/>
      <c r="R8" s="168"/>
      <c r="S8" s="168"/>
      <c r="T8" s="168"/>
      <c r="U8" s="168"/>
      <c r="V8" s="168"/>
      <c r="W8" s="168"/>
    </row>
    <row r="9" spans="2:79" ht="3.75" customHeight="1">
      <c r="B9" s="350"/>
      <c r="G9" s="45"/>
      <c r="J9" s="351"/>
      <c r="K9" s="351"/>
      <c r="N9" s="225"/>
      <c r="O9" s="188"/>
      <c r="P9" s="168"/>
      <c r="Q9" s="168"/>
      <c r="R9" s="168"/>
      <c r="S9" s="168"/>
      <c r="T9" s="168"/>
      <c r="U9" s="168"/>
      <c r="V9" s="168"/>
      <c r="W9" s="168"/>
    </row>
    <row r="10" spans="2:79" ht="1.5" customHeight="1">
      <c r="B10" s="350"/>
      <c r="D10"/>
      <c r="E10"/>
      <c r="F10"/>
      <c r="G10" s="1961"/>
      <c r="H10" s="1961"/>
      <c r="I10" s="158"/>
      <c r="J10" s="158"/>
      <c r="K10" s="158"/>
      <c r="N10" s="225"/>
      <c r="O10" s="188"/>
      <c r="P10" s="168"/>
      <c r="Q10" s="168"/>
      <c r="R10" s="168"/>
      <c r="S10" s="168"/>
      <c r="T10" s="168"/>
      <c r="U10" s="168"/>
      <c r="V10" s="168"/>
      <c r="W10" s="168"/>
    </row>
    <row r="11" spans="2:79" s="52" customFormat="1" ht="2.25" customHeight="1">
      <c r="B11" s="350"/>
      <c r="C11" s="1960"/>
      <c r="D11" s="1960"/>
      <c r="E11" s="344"/>
      <c r="G11" s="1961"/>
      <c r="H11" s="1961"/>
      <c r="I11"/>
      <c r="M11" s="81"/>
      <c r="N11" s="225"/>
      <c r="O11" s="188"/>
      <c r="P11" s="168"/>
      <c r="Q11" s="168"/>
      <c r="R11" s="168"/>
      <c r="S11" s="168"/>
      <c r="T11" s="168"/>
      <c r="U11" s="168"/>
      <c r="V11" s="168"/>
      <c r="W11" s="168"/>
      <c r="X11"/>
      <c r="Y11"/>
      <c r="Z11"/>
      <c r="AA11"/>
      <c r="AB11"/>
    </row>
    <row r="12" spans="2:79" s="52" customFormat="1" ht="27">
      <c r="B12" s="350"/>
      <c r="C12" s="387" t="s">
        <v>1837</v>
      </c>
      <c r="D12" s="3"/>
      <c r="E12" s="3"/>
      <c r="G12" s="1961"/>
      <c r="H12" s="1961"/>
      <c r="I12" s="450"/>
      <c r="J12" s="451" t="s">
        <v>1868</v>
      </c>
      <c r="K12" s="803" t="s">
        <v>4608</v>
      </c>
      <c r="L12" s="149"/>
      <c r="M12" s="3"/>
      <c r="N12" s="225"/>
      <c r="O12" s="188"/>
      <c r="P12" s="168"/>
      <c r="Q12" s="168"/>
      <c r="R12" s="168"/>
      <c r="S12" s="183"/>
      <c r="T12" s="168"/>
      <c r="U12" s="168"/>
      <c r="V12" s="168"/>
      <c r="W12" s="168"/>
      <c r="X12"/>
      <c r="Y12"/>
      <c r="Z12"/>
      <c r="AA12"/>
      <c r="AB12"/>
    </row>
    <row r="13" spans="2:79" s="52" customFormat="1" ht="27">
      <c r="B13" s="350"/>
      <c r="C13" s="1962"/>
      <c r="D13" s="1963"/>
      <c r="E13" s="1963"/>
      <c r="F13" s="1964"/>
      <c r="G13" s="1961"/>
      <c r="H13" s="1961"/>
      <c r="I13" s="453"/>
      <c r="J13" s="426" t="s">
        <v>1869</v>
      </c>
      <c r="K13" s="454">
        <v>46242</v>
      </c>
      <c r="L13" s="149"/>
      <c r="M13" s="3"/>
      <c r="N13" s="225"/>
      <c r="O13" s="188"/>
      <c r="P13" s="168"/>
      <c r="Q13" s="168"/>
      <c r="R13" s="168"/>
      <c r="S13" s="183"/>
      <c r="T13" s="168"/>
      <c r="U13" s="168"/>
      <c r="V13" s="168"/>
      <c r="W13" s="168"/>
      <c r="X13"/>
      <c r="Y13"/>
      <c r="Z13"/>
      <c r="AA13"/>
      <c r="AB13"/>
    </row>
    <row r="14" spans="2:79" s="52" customFormat="1" ht="27">
      <c r="B14" s="350"/>
      <c r="C14" s="1965"/>
      <c r="D14" s="1966"/>
      <c r="E14" s="1966"/>
      <c r="F14" s="1967"/>
      <c r="G14" s="1961"/>
      <c r="H14" s="1961"/>
      <c r="I14" s="455"/>
      <c r="J14" s="456" t="s">
        <v>1870</v>
      </c>
      <c r="K14" s="457">
        <v>46242</v>
      </c>
      <c r="M14"/>
      <c r="N14" s="225"/>
      <c r="O14" s="188"/>
      <c r="P14" s="168"/>
      <c r="Q14" s="168"/>
      <c r="R14" s="168"/>
      <c r="S14" s="183"/>
      <c r="T14" s="168"/>
      <c r="U14" s="168"/>
      <c r="V14" s="168"/>
      <c r="W14" s="168"/>
      <c r="X14"/>
      <c r="Y14"/>
      <c r="Z14"/>
      <c r="AA14"/>
      <c r="AB14"/>
    </row>
    <row r="15" spans="2:79" ht="7.5" customHeight="1">
      <c r="B15" s="5"/>
      <c r="C15" s="5"/>
      <c r="G15" s="5"/>
      <c r="H15" s="5"/>
      <c r="I15" s="5"/>
      <c r="J15" s="5"/>
      <c r="K15" s="5"/>
      <c r="L15" s="5"/>
      <c r="M15" s="5"/>
      <c r="N15" s="225"/>
      <c r="O15" s="188"/>
      <c r="P15" s="168"/>
      <c r="Q15" s="168"/>
      <c r="R15" s="168"/>
      <c r="S15" s="183"/>
      <c r="T15" s="168"/>
      <c r="U15" s="168"/>
      <c r="V15" s="168"/>
      <c r="W15" s="168"/>
    </row>
    <row r="16" spans="2:79" ht="32.25" customHeight="1">
      <c r="B16" s="58">
        <v>-9</v>
      </c>
      <c r="C16" s="1343" t="s">
        <v>3244</v>
      </c>
      <c r="D16" s="1344"/>
      <c r="E16" s="1344"/>
      <c r="F16" s="1345"/>
      <c r="G16" s="1345"/>
      <c r="H16" s="1346"/>
      <c r="I16" s="1347"/>
      <c r="J16" s="1348"/>
      <c r="K16" s="1349"/>
      <c r="L16" s="58"/>
      <c r="N16" s="225"/>
      <c r="O16" s="188"/>
      <c r="P16" s="168"/>
      <c r="Q16" s="168"/>
      <c r="R16" s="168"/>
      <c r="S16" s="183"/>
      <c r="T16" s="168"/>
      <c r="U16" s="168"/>
      <c r="V16" s="168"/>
      <c r="W16" s="168"/>
    </row>
    <row r="17" spans="1:28" ht="27">
      <c r="B17" s="58"/>
      <c r="C17" s="1350" t="s">
        <v>1864</v>
      </c>
      <c r="D17" s="352"/>
      <c r="E17" s="435" t="s">
        <v>86</v>
      </c>
      <c r="F17" s="1957" t="s">
        <v>3236</v>
      </c>
      <c r="G17" s="1957"/>
      <c r="H17" s="1957"/>
      <c r="I17" s="1957"/>
      <c r="J17" s="1957"/>
      <c r="K17" s="1958"/>
      <c r="L17" s="58"/>
      <c r="M17" s="37"/>
      <c r="N17" s="225"/>
      <c r="O17" s="188"/>
      <c r="P17" s="168"/>
      <c r="Q17" s="168"/>
      <c r="R17" s="168"/>
      <c r="S17" s="183"/>
      <c r="T17" s="168"/>
      <c r="U17" s="168"/>
      <c r="V17" s="168"/>
      <c r="W17" s="168"/>
    </row>
    <row r="18" spans="1:28" s="3" customFormat="1" ht="20.100000000000001" customHeight="1">
      <c r="B18" s="383"/>
      <c r="C18" s="1351" t="s">
        <v>1865</v>
      </c>
      <c r="D18" s="426"/>
      <c r="E18" s="435"/>
      <c r="F18" s="405" t="s">
        <v>3237</v>
      </c>
      <c r="G18" s="406"/>
      <c r="H18" s="406"/>
      <c r="I18" s="406"/>
      <c r="J18" s="406"/>
      <c r="K18" s="1352"/>
      <c r="L18" s="384"/>
      <c r="M18" s="385"/>
      <c r="N18" s="225"/>
      <c r="O18" s="188"/>
      <c r="P18" s="168"/>
      <c r="Q18" s="168"/>
      <c r="R18" s="168"/>
      <c r="S18" s="183"/>
      <c r="T18" s="168"/>
      <c r="U18" s="168"/>
      <c r="V18" s="168"/>
      <c r="W18" s="168"/>
    </row>
    <row r="19" spans="1:28" ht="30" customHeight="1">
      <c r="B19" s="58"/>
      <c r="C19" s="1350" t="s">
        <v>1871</v>
      </c>
      <c r="D19" s="352"/>
      <c r="E19" s="435" t="s">
        <v>86</v>
      </c>
      <c r="F19" s="407"/>
      <c r="G19" s="408"/>
      <c r="H19" s="408"/>
      <c r="I19" s="408"/>
      <c r="J19" s="408"/>
      <c r="K19" s="1353"/>
      <c r="L19" s="58"/>
      <c r="N19" s="225"/>
      <c r="O19" s="188"/>
      <c r="P19" s="168"/>
      <c r="Q19" s="168"/>
      <c r="R19" s="168"/>
      <c r="S19" s="183"/>
      <c r="T19" s="168"/>
      <c r="U19" s="168"/>
      <c r="V19" s="168"/>
      <c r="W19" s="168"/>
    </row>
    <row r="20" spans="1:28" ht="30" customHeight="1">
      <c r="B20" s="58"/>
      <c r="C20" s="1354" t="s">
        <v>1866</v>
      </c>
      <c r="D20" s="352"/>
      <c r="E20" s="435" t="s">
        <v>86</v>
      </c>
      <c r="F20" s="183"/>
      <c r="G20" s="213"/>
      <c r="H20" s="213"/>
      <c r="I20" s="213"/>
      <c r="J20" s="213"/>
      <c r="K20" s="1355"/>
      <c r="L20" s="58"/>
      <c r="M20" s="58"/>
      <c r="N20" s="225"/>
      <c r="O20" s="188"/>
      <c r="P20" s="168"/>
      <c r="Q20" s="168"/>
      <c r="R20" s="168"/>
      <c r="S20" s="183"/>
      <c r="T20" s="168"/>
      <c r="U20" s="168"/>
      <c r="V20" s="168"/>
      <c r="W20" s="168"/>
    </row>
    <row r="21" spans="1:28" ht="20.100000000000001" customHeight="1">
      <c r="B21" s="5"/>
      <c r="C21" s="1351" t="s">
        <v>1867</v>
      </c>
      <c r="D21" s="445"/>
      <c r="E21" s="435"/>
      <c r="F21" s="386"/>
      <c r="G21" s="405"/>
      <c r="H21" s="405"/>
      <c r="I21" s="405"/>
      <c r="J21" s="405"/>
      <c r="K21" s="1356"/>
      <c r="L21" s="5"/>
      <c r="M21" s="5"/>
      <c r="N21" s="225"/>
      <c r="O21" s="188"/>
      <c r="P21" s="168"/>
      <c r="Q21" s="168"/>
      <c r="R21" s="168"/>
      <c r="S21" s="183"/>
      <c r="T21" s="168"/>
      <c r="U21" s="168"/>
      <c r="V21" s="168"/>
      <c r="W21" s="168"/>
    </row>
    <row r="22" spans="1:28" ht="30" customHeight="1">
      <c r="B22" s="5"/>
      <c r="C22" s="1357" t="s">
        <v>3303</v>
      </c>
      <c r="D22" s="1358"/>
      <c r="E22" s="1359"/>
      <c r="F22" s="1360"/>
      <c r="G22" s="1361"/>
      <c r="H22" s="1360"/>
      <c r="I22" s="1360"/>
      <c r="J22" s="1360"/>
      <c r="K22" s="1362"/>
      <c r="L22" s="5"/>
      <c r="M22" s="5"/>
      <c r="N22" s="225"/>
      <c r="O22" s="188"/>
      <c r="P22" s="168"/>
      <c r="Q22" s="168"/>
      <c r="R22" s="168"/>
      <c r="S22" s="183"/>
      <c r="T22" s="168"/>
      <c r="U22" s="168"/>
      <c r="V22" s="168"/>
      <c r="W22" s="168"/>
    </row>
    <row r="23" spans="1:28" ht="5.25" customHeight="1">
      <c r="B23" s="5"/>
      <c r="C23" s="354"/>
      <c r="D23" s="354"/>
      <c r="E23" s="354"/>
      <c r="F23" s="1904"/>
      <c r="G23" s="1904"/>
      <c r="H23" s="1904"/>
      <c r="I23" s="352"/>
      <c r="J23" s="352"/>
      <c r="K23" s="353"/>
      <c r="L23" s="5"/>
      <c r="O23" t="s">
        <v>2986</v>
      </c>
      <c r="S23" s="139"/>
    </row>
    <row r="24" spans="1:28" s="4" customFormat="1" ht="1.5" customHeight="1">
      <c r="B24"/>
      <c r="D24" s="64"/>
      <c r="E24" s="64"/>
      <c r="F24" s="65"/>
      <c r="G24" s="66"/>
      <c r="H24" s="202"/>
      <c r="J24" s="68"/>
      <c r="K24" s="69"/>
      <c r="N24"/>
      <c r="O24"/>
      <c r="P24"/>
      <c r="Q24"/>
      <c r="R24"/>
      <c r="S24" s="139"/>
      <c r="T24"/>
      <c r="U24"/>
      <c r="V24"/>
      <c r="W24"/>
      <c r="X24"/>
      <c r="Y24"/>
      <c r="Z24"/>
      <c r="AA24"/>
      <c r="AB24"/>
    </row>
    <row r="25" spans="1:28" s="355" customFormat="1" ht="27">
      <c r="C25" s="862" t="s">
        <v>159</v>
      </c>
      <c r="D25" s="1945" t="s">
        <v>1863</v>
      </c>
      <c r="E25" s="1955"/>
      <c r="F25" s="1946"/>
      <c r="G25" s="862" t="s">
        <v>134</v>
      </c>
      <c r="H25" s="862" t="s">
        <v>135</v>
      </c>
      <c r="I25" s="862" t="s">
        <v>90</v>
      </c>
      <c r="J25" s="862" t="s">
        <v>85</v>
      </c>
      <c r="K25" s="862" t="s">
        <v>85</v>
      </c>
      <c r="M25" s="356"/>
      <c r="N25" s="34"/>
      <c r="O25" s="34"/>
      <c r="P25"/>
      <c r="Q25"/>
      <c r="R25"/>
      <c r="S25" s="139"/>
      <c r="T25"/>
      <c r="U25"/>
      <c r="V25"/>
      <c r="W25"/>
      <c r="X25"/>
      <c r="Y25"/>
      <c r="Z25"/>
      <c r="AA25"/>
      <c r="AB25"/>
    </row>
    <row r="26" spans="1:28" s="357" customFormat="1" ht="15.75">
      <c r="C26" s="878" t="s">
        <v>1838</v>
      </c>
      <c r="D26" s="1947" t="s">
        <v>3312</v>
      </c>
      <c r="E26" s="1956"/>
      <c r="F26" s="1948"/>
      <c r="G26" s="878" t="s">
        <v>19</v>
      </c>
      <c r="H26" s="878" t="s">
        <v>67</v>
      </c>
      <c r="I26" s="878" t="s">
        <v>29</v>
      </c>
      <c r="J26" s="878" t="s">
        <v>1880</v>
      </c>
      <c r="K26" s="878" t="s">
        <v>1881</v>
      </c>
      <c r="N26"/>
      <c r="O26"/>
      <c r="P26"/>
      <c r="Q26"/>
      <c r="R26"/>
      <c r="S26" s="139"/>
      <c r="T26"/>
      <c r="U26"/>
      <c r="V26"/>
      <c r="W26"/>
      <c r="X26"/>
      <c r="Y26"/>
      <c r="Z26"/>
      <c r="AA26"/>
      <c r="AB26"/>
    </row>
    <row r="27" spans="1:28" s="357" customFormat="1" ht="30" customHeight="1">
      <c r="A27" s="423">
        <v>1</v>
      </c>
      <c r="C27" s="393" t="s">
        <v>4033</v>
      </c>
      <c r="D27" s="388" t="s">
        <v>3866</v>
      </c>
      <c r="E27" s="389"/>
      <c r="F27" s="390"/>
      <c r="G27" s="504" t="s">
        <v>4126</v>
      </c>
      <c r="H27" s="391">
        <v>1</v>
      </c>
      <c r="I27" s="398">
        <v>0.63</v>
      </c>
      <c r="J27" s="398">
        <v>0.63</v>
      </c>
      <c r="K27" s="399">
        <v>2554.02</v>
      </c>
      <c r="N27"/>
      <c r="O27"/>
      <c r="P27"/>
      <c r="Q27"/>
      <c r="R27"/>
      <c r="S27" s="139"/>
      <c r="T27"/>
      <c r="U27"/>
      <c r="V27"/>
      <c r="W27"/>
      <c r="X27"/>
      <c r="Y27"/>
      <c r="Z27"/>
      <c r="AA27"/>
      <c r="AB27"/>
    </row>
    <row r="28" spans="1:28" s="357" customFormat="1" ht="30" customHeight="1">
      <c r="A28" s="423">
        <v>2</v>
      </c>
      <c r="C28" s="393" t="s">
        <v>2528</v>
      </c>
      <c r="D28" s="388" t="s">
        <v>4541</v>
      </c>
      <c r="E28" s="389"/>
      <c r="F28" s="390"/>
      <c r="G28" s="504" t="s">
        <v>2609</v>
      </c>
      <c r="H28" s="391">
        <v>4</v>
      </c>
      <c r="I28" s="398">
        <v>4.5</v>
      </c>
      <c r="J28" s="398">
        <v>18</v>
      </c>
      <c r="K28" s="399">
        <v>72972</v>
      </c>
      <c r="N28"/>
      <c r="O28"/>
      <c r="P28"/>
      <c r="Q28"/>
      <c r="R28"/>
      <c r="S28" s="139"/>
      <c r="T28"/>
      <c r="U28"/>
      <c r="V28"/>
      <c r="W28"/>
      <c r="X28"/>
      <c r="Y28"/>
      <c r="Z28"/>
      <c r="AA28"/>
      <c r="AB28"/>
    </row>
    <row r="29" spans="1:28" s="357" customFormat="1" ht="30" customHeight="1">
      <c r="A29" s="423">
        <v>3</v>
      </c>
      <c r="C29" s="393" t="s">
        <v>4227</v>
      </c>
      <c r="D29" s="388" t="s">
        <v>4259</v>
      </c>
      <c r="E29" s="389"/>
      <c r="F29" s="390"/>
      <c r="G29" s="504" t="s">
        <v>4609</v>
      </c>
      <c r="H29" s="391">
        <v>1</v>
      </c>
      <c r="I29" s="398">
        <v>9.5</v>
      </c>
      <c r="J29" s="398">
        <v>9.5</v>
      </c>
      <c r="K29" s="399">
        <v>38513</v>
      </c>
      <c r="N29"/>
      <c r="O29"/>
      <c r="P29"/>
      <c r="Q29"/>
      <c r="R29"/>
      <c r="S29" s="139"/>
      <c r="T29"/>
      <c r="U29"/>
      <c r="V29"/>
      <c r="W29"/>
      <c r="X29"/>
      <c r="Y29"/>
      <c r="Z29"/>
      <c r="AA29"/>
      <c r="AB29"/>
    </row>
    <row r="30" spans="1:28" s="357" customFormat="1" ht="30" customHeight="1">
      <c r="A30" s="423">
        <v>4</v>
      </c>
      <c r="C30" s="393" t="s">
        <v>2568</v>
      </c>
      <c r="D30" s="388" t="s">
        <v>2563</v>
      </c>
      <c r="E30" s="389"/>
      <c r="F30" s="390"/>
      <c r="G30" s="504" t="s">
        <v>2618</v>
      </c>
      <c r="H30" s="391">
        <v>2</v>
      </c>
      <c r="I30" s="398">
        <v>8.7799999999999994</v>
      </c>
      <c r="J30" s="398">
        <v>17.559999999999999</v>
      </c>
      <c r="K30" s="399">
        <v>71188.239999999991</v>
      </c>
      <c r="N30"/>
      <c r="O30"/>
      <c r="P30"/>
      <c r="Q30"/>
      <c r="R30"/>
      <c r="S30" s="139"/>
      <c r="T30"/>
      <c r="U30"/>
      <c r="V30"/>
      <c r="W30"/>
      <c r="X30"/>
      <c r="Y30"/>
      <c r="Z30"/>
      <c r="AA30"/>
      <c r="AB30"/>
    </row>
    <row r="31" spans="1:28" s="357" customFormat="1" ht="30" hidden="1" customHeight="1">
      <c r="A31" s="423">
        <v>5</v>
      </c>
      <c r="C31" s="393"/>
      <c r="D31" s="388"/>
      <c r="E31" s="389"/>
      <c r="F31" s="390"/>
      <c r="G31" s="504"/>
      <c r="H31" s="391"/>
      <c r="I31" s="398"/>
      <c r="J31" s="398"/>
      <c r="K31" s="399"/>
      <c r="N31"/>
      <c r="O31"/>
      <c r="P31"/>
      <c r="Q31"/>
      <c r="R31"/>
      <c r="S31" s="139"/>
      <c r="T31"/>
      <c r="U31"/>
      <c r="V31"/>
      <c r="W31"/>
      <c r="X31"/>
      <c r="Y31"/>
      <c r="Z31"/>
      <c r="AA31"/>
      <c r="AB31"/>
    </row>
    <row r="32" spans="1:28" s="357" customFormat="1" ht="30" hidden="1" customHeight="1">
      <c r="A32" s="423">
        <v>6</v>
      </c>
      <c r="C32" s="393"/>
      <c r="D32" s="388"/>
      <c r="E32" s="389"/>
      <c r="F32" s="390"/>
      <c r="G32" s="504"/>
      <c r="H32" s="391"/>
      <c r="I32" s="398"/>
      <c r="J32" s="398"/>
      <c r="K32" s="399"/>
      <c r="N32"/>
      <c r="O32"/>
      <c r="P32"/>
      <c r="Q32"/>
      <c r="R32"/>
      <c r="S32" s="139"/>
      <c r="T32"/>
      <c r="U32"/>
      <c r="V32"/>
      <c r="W32"/>
      <c r="X32"/>
      <c r="Y32"/>
      <c r="Z32"/>
      <c r="AA32"/>
      <c r="AB32"/>
    </row>
    <row r="33" spans="1:28" s="357" customFormat="1" ht="30" hidden="1" customHeight="1">
      <c r="A33" s="423">
        <v>7</v>
      </c>
      <c r="C33" s="393"/>
      <c r="D33" s="388"/>
      <c r="E33" s="389"/>
      <c r="F33" s="390"/>
      <c r="G33" s="504"/>
      <c r="H33" s="391"/>
      <c r="I33" s="398"/>
      <c r="J33" s="398"/>
      <c r="K33" s="399"/>
      <c r="N33"/>
      <c r="O33"/>
      <c r="P33"/>
      <c r="Q33"/>
      <c r="R33"/>
      <c r="S33" s="139"/>
      <c r="T33"/>
      <c r="U33"/>
      <c r="V33"/>
      <c r="W33"/>
      <c r="X33"/>
      <c r="Y33"/>
      <c r="Z33"/>
      <c r="AA33"/>
      <c r="AB33"/>
    </row>
    <row r="34" spans="1:28" s="357" customFormat="1" ht="30" hidden="1" customHeight="1">
      <c r="A34" s="423">
        <v>8</v>
      </c>
      <c r="C34" s="393"/>
      <c r="D34" s="388"/>
      <c r="E34" s="389"/>
      <c r="F34" s="390"/>
      <c r="G34" s="504"/>
      <c r="H34" s="391"/>
      <c r="I34" s="398"/>
      <c r="J34" s="398"/>
      <c r="K34" s="399"/>
      <c r="N34"/>
      <c r="O34"/>
      <c r="P34"/>
      <c r="Q34"/>
      <c r="R34"/>
      <c r="S34" s="139"/>
      <c r="T34"/>
      <c r="U34"/>
      <c r="V34"/>
      <c r="W34"/>
      <c r="X34"/>
      <c r="Y34"/>
      <c r="Z34"/>
      <c r="AA34"/>
      <c r="AB34"/>
    </row>
    <row r="35" spans="1:28" s="357" customFormat="1" ht="30" hidden="1" customHeight="1">
      <c r="A35" s="423">
        <v>9</v>
      </c>
      <c r="C35" s="393"/>
      <c r="D35" s="388"/>
      <c r="E35" s="389"/>
      <c r="F35" s="390"/>
      <c r="G35" s="504"/>
      <c r="H35" s="391"/>
      <c r="I35" s="398"/>
      <c r="J35" s="398"/>
      <c r="K35" s="399"/>
      <c r="N35"/>
      <c r="O35"/>
      <c r="P35"/>
      <c r="Q35"/>
      <c r="R35"/>
      <c r="S35" s="139"/>
      <c r="T35"/>
      <c r="U35"/>
      <c r="V35"/>
      <c r="W35"/>
      <c r="X35"/>
      <c r="Y35"/>
      <c r="Z35"/>
      <c r="AA35"/>
      <c r="AB35"/>
    </row>
    <row r="36" spans="1:28" s="357" customFormat="1" ht="30" hidden="1" customHeight="1">
      <c r="A36" s="423">
        <v>10</v>
      </c>
      <c r="C36" s="393"/>
      <c r="D36" s="388"/>
      <c r="E36" s="389"/>
      <c r="F36" s="390"/>
      <c r="G36" s="504"/>
      <c r="H36" s="391"/>
      <c r="I36" s="398"/>
      <c r="J36" s="398"/>
      <c r="K36" s="399"/>
      <c r="N36" s="1815"/>
      <c r="O36"/>
      <c r="P36"/>
      <c r="Q36"/>
      <c r="R36"/>
      <c r="S36" s="139"/>
      <c r="T36"/>
      <c r="U36"/>
      <c r="V36"/>
      <c r="W36"/>
      <c r="X36"/>
      <c r="Y36"/>
      <c r="Z36"/>
      <c r="AA36"/>
      <c r="AB36"/>
    </row>
    <row r="37" spans="1:28" s="357" customFormat="1" ht="30" hidden="1" customHeight="1">
      <c r="A37" s="423">
        <v>11</v>
      </c>
      <c r="C37" s="393"/>
      <c r="D37" s="388"/>
      <c r="E37" s="389"/>
      <c r="F37" s="390"/>
      <c r="G37" s="504"/>
      <c r="H37" s="391"/>
      <c r="I37" s="398"/>
      <c r="J37" s="398"/>
      <c r="K37" s="399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</row>
    <row r="38" spans="1:28" s="357" customFormat="1" ht="30" hidden="1" customHeight="1">
      <c r="A38" s="423">
        <v>12</v>
      </c>
      <c r="C38" s="393"/>
      <c r="D38" s="388"/>
      <c r="E38" s="389"/>
      <c r="F38" s="390"/>
      <c r="G38" s="504"/>
      <c r="H38" s="391"/>
      <c r="I38" s="398"/>
      <c r="J38" s="398"/>
      <c r="K38" s="399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</row>
    <row r="39" spans="1:28" s="357" customFormat="1" ht="30" hidden="1" customHeight="1">
      <c r="A39" s="423">
        <v>13</v>
      </c>
      <c r="C39" s="393"/>
      <c r="D39" s="388"/>
      <c r="E39" s="389"/>
      <c r="F39" s="390"/>
      <c r="G39" s="504"/>
      <c r="H39" s="391"/>
      <c r="I39" s="398"/>
      <c r="J39" s="398"/>
      <c r="K39" s="39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</row>
    <row r="40" spans="1:28" s="357" customFormat="1" ht="30" hidden="1" customHeight="1">
      <c r="A40" s="423">
        <v>14</v>
      </c>
      <c r="C40" s="393"/>
      <c r="D40" s="388"/>
      <c r="E40" s="389"/>
      <c r="F40" s="390"/>
      <c r="G40" s="504"/>
      <c r="H40" s="391"/>
      <c r="I40" s="398"/>
      <c r="J40" s="398"/>
      <c r="K40" s="399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</row>
    <row r="41" spans="1:28" s="357" customFormat="1" ht="30" hidden="1" customHeight="1">
      <c r="A41" s="423">
        <v>15</v>
      </c>
      <c r="C41" s="393"/>
      <c r="D41" s="388"/>
      <c r="E41" s="389"/>
      <c r="F41" s="390"/>
      <c r="G41" s="504"/>
      <c r="H41" s="391"/>
      <c r="I41" s="398"/>
      <c r="J41" s="398"/>
      <c r="K41" s="399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</row>
    <row r="42" spans="1:28" s="357" customFormat="1" ht="30" hidden="1" customHeight="1">
      <c r="A42" s="423">
        <v>16</v>
      </c>
      <c r="C42" s="393"/>
      <c r="D42" s="388"/>
      <c r="E42" s="389"/>
      <c r="F42" s="390"/>
      <c r="G42" s="504"/>
      <c r="H42" s="391"/>
      <c r="I42" s="398"/>
      <c r="J42" s="398"/>
      <c r="K42" s="399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</row>
    <row r="43" spans="1:28" s="357" customFormat="1" ht="30" hidden="1" customHeight="1">
      <c r="A43" s="423">
        <v>17</v>
      </c>
      <c r="C43" s="393"/>
      <c r="D43" s="388"/>
      <c r="E43" s="389"/>
      <c r="F43" s="390"/>
      <c r="G43" s="504"/>
      <c r="H43" s="391"/>
      <c r="I43" s="398"/>
      <c r="J43" s="398"/>
      <c r="K43" s="399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</row>
    <row r="44" spans="1:28" s="357" customFormat="1" ht="30" hidden="1" customHeight="1">
      <c r="A44" s="423">
        <v>18</v>
      </c>
      <c r="C44" s="393"/>
      <c r="D44" s="388"/>
      <c r="E44" s="389"/>
      <c r="F44" s="390"/>
      <c r="G44" s="504"/>
      <c r="H44" s="391"/>
      <c r="I44" s="398"/>
      <c r="J44" s="398"/>
      <c r="K44" s="399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</row>
    <row r="45" spans="1:28" s="357" customFormat="1" ht="30" hidden="1" customHeight="1">
      <c r="A45" s="423">
        <v>19</v>
      </c>
      <c r="C45" s="393"/>
      <c r="D45" s="388"/>
      <c r="E45" s="389"/>
      <c r="F45" s="390"/>
      <c r="G45" s="504"/>
      <c r="H45" s="391"/>
      <c r="I45" s="398"/>
      <c r="J45" s="398"/>
      <c r="K45" s="399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</row>
    <row r="46" spans="1:28" s="357" customFormat="1" ht="30" hidden="1" customHeight="1">
      <c r="A46" s="423">
        <v>20</v>
      </c>
      <c r="C46" s="393"/>
      <c r="D46" s="388"/>
      <c r="E46" s="389"/>
      <c r="F46" s="390"/>
      <c r="G46" s="504"/>
      <c r="H46" s="391"/>
      <c r="I46" s="398"/>
      <c r="J46" s="398"/>
      <c r="K46" s="399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</row>
    <row r="47" spans="1:28" s="357" customFormat="1" ht="30" hidden="1" customHeight="1">
      <c r="A47" s="423">
        <v>21</v>
      </c>
      <c r="C47" s="393"/>
      <c r="D47" s="388"/>
      <c r="E47" s="389"/>
      <c r="F47" s="390"/>
      <c r="G47" s="504"/>
      <c r="H47" s="391"/>
      <c r="I47" s="398"/>
      <c r="J47" s="398"/>
      <c r="K47" s="399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</row>
    <row r="48" spans="1:28" s="357" customFormat="1" ht="30" hidden="1" customHeight="1">
      <c r="A48" s="423">
        <v>22</v>
      </c>
      <c r="C48" s="393"/>
      <c r="D48" s="388"/>
      <c r="E48" s="389"/>
      <c r="F48" s="390"/>
      <c r="G48" s="504"/>
      <c r="H48" s="391"/>
      <c r="I48" s="398"/>
      <c r="J48" s="398"/>
      <c r="K48" s="399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</row>
    <row r="49" spans="1:28" s="357" customFormat="1" ht="30" hidden="1" customHeight="1">
      <c r="A49" s="423">
        <v>23</v>
      </c>
      <c r="C49" s="393"/>
      <c r="D49" s="388"/>
      <c r="E49" s="389"/>
      <c r="F49" s="390"/>
      <c r="G49" s="504"/>
      <c r="H49" s="391"/>
      <c r="I49" s="398"/>
      <c r="J49" s="398"/>
      <c r="K49" s="39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</row>
    <row r="50" spans="1:28" s="357" customFormat="1" ht="30" hidden="1" customHeight="1">
      <c r="A50" s="423">
        <v>24</v>
      </c>
      <c r="C50" s="393"/>
      <c r="D50" s="388"/>
      <c r="E50" s="389"/>
      <c r="F50" s="390"/>
      <c r="G50" s="504"/>
      <c r="H50" s="391"/>
      <c r="I50" s="398"/>
      <c r="J50" s="398"/>
      <c r="K50" s="399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</row>
    <row r="51" spans="1:28" s="357" customFormat="1" ht="30" hidden="1" customHeight="1">
      <c r="A51" s="423">
        <v>25</v>
      </c>
      <c r="C51" s="393"/>
      <c r="D51" s="388"/>
      <c r="E51" s="389"/>
      <c r="F51" s="390"/>
      <c r="G51" s="504"/>
      <c r="H51" s="391"/>
      <c r="I51" s="398"/>
      <c r="J51" s="398"/>
      <c r="K51" s="399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</row>
    <row r="52" spans="1:28" s="357" customFormat="1" ht="30" hidden="1" customHeight="1">
      <c r="A52" s="423">
        <v>26</v>
      </c>
      <c r="C52" s="393"/>
      <c r="D52" s="388"/>
      <c r="E52" s="389"/>
      <c r="F52" s="390"/>
      <c r="G52" s="504"/>
      <c r="H52" s="391"/>
      <c r="I52" s="398"/>
      <c r="J52" s="398"/>
      <c r="K52" s="399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</row>
    <row r="53" spans="1:28" s="357" customFormat="1" ht="30" hidden="1" customHeight="1">
      <c r="A53" s="423">
        <v>27</v>
      </c>
      <c r="C53" s="393"/>
      <c r="D53" s="388"/>
      <c r="E53" s="389"/>
      <c r="F53" s="390"/>
      <c r="G53" s="504"/>
      <c r="H53" s="391"/>
      <c r="I53" s="398"/>
      <c r="J53" s="398"/>
      <c r="K53" s="399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</row>
    <row r="54" spans="1:28" s="357" customFormat="1" ht="30" hidden="1" customHeight="1">
      <c r="A54" s="423">
        <v>28</v>
      </c>
      <c r="C54" s="393"/>
      <c r="D54" s="388"/>
      <c r="E54" s="389"/>
      <c r="F54" s="390"/>
      <c r="G54" s="504"/>
      <c r="H54" s="391"/>
      <c r="I54" s="398"/>
      <c r="J54" s="398"/>
      <c r="K54" s="399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</row>
    <row r="55" spans="1:28" s="357" customFormat="1" ht="30" hidden="1" customHeight="1">
      <c r="A55" s="423">
        <v>29</v>
      </c>
      <c r="C55" s="393"/>
      <c r="D55" s="388"/>
      <c r="E55" s="389"/>
      <c r="F55" s="390"/>
      <c r="G55" s="504"/>
      <c r="H55" s="391"/>
      <c r="I55" s="398"/>
      <c r="J55" s="398"/>
      <c r="K55" s="399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</row>
    <row r="56" spans="1:28" s="357" customFormat="1" ht="30" hidden="1" customHeight="1">
      <c r="A56" s="423">
        <v>30</v>
      </c>
      <c r="C56" s="393"/>
      <c r="D56" s="388"/>
      <c r="E56" s="389"/>
      <c r="F56" s="390"/>
      <c r="G56" s="504"/>
      <c r="H56" s="391"/>
      <c r="I56" s="398"/>
      <c r="J56" s="398"/>
      <c r="K56" s="399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</row>
    <row r="57" spans="1:28" s="357" customFormat="1" ht="30" hidden="1" customHeight="1">
      <c r="A57" s="423">
        <v>31</v>
      </c>
      <c r="C57" s="393"/>
      <c r="D57" s="388"/>
      <c r="E57" s="389"/>
      <c r="F57" s="390"/>
      <c r="G57" s="504"/>
      <c r="H57" s="391"/>
      <c r="I57" s="398"/>
      <c r="J57" s="398"/>
      <c r="K57" s="399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</row>
    <row r="58" spans="1:28" s="357" customFormat="1" ht="30" hidden="1" customHeight="1">
      <c r="A58" s="423">
        <v>32</v>
      </c>
      <c r="C58" s="393"/>
      <c r="D58" s="388"/>
      <c r="E58" s="389"/>
      <c r="F58" s="390"/>
      <c r="G58" s="504"/>
      <c r="H58" s="391"/>
      <c r="I58" s="398"/>
      <c r="J58" s="398"/>
      <c r="K58" s="399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</row>
    <row r="59" spans="1:28" s="357" customFormat="1" ht="30" hidden="1" customHeight="1">
      <c r="A59" s="423">
        <v>33</v>
      </c>
      <c r="C59" s="393"/>
      <c r="D59" s="388"/>
      <c r="E59" s="389"/>
      <c r="F59" s="390"/>
      <c r="G59" s="504"/>
      <c r="H59" s="391"/>
      <c r="I59" s="398"/>
      <c r="J59" s="398"/>
      <c r="K59" s="39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</row>
    <row r="60" spans="1:28" s="357" customFormat="1" ht="30" hidden="1" customHeight="1">
      <c r="A60" s="423">
        <v>34</v>
      </c>
      <c r="C60" s="393"/>
      <c r="D60" s="388"/>
      <c r="E60" s="389"/>
      <c r="F60" s="390"/>
      <c r="G60" s="504"/>
      <c r="H60" s="391"/>
      <c r="I60" s="398"/>
      <c r="J60" s="398"/>
      <c r="K60" s="399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</row>
    <row r="61" spans="1:28" s="357" customFormat="1" ht="30" hidden="1" customHeight="1">
      <c r="A61" s="423">
        <v>35</v>
      </c>
      <c r="C61" s="393"/>
      <c r="D61" s="388"/>
      <c r="E61" s="389"/>
      <c r="F61" s="390"/>
      <c r="G61" s="504"/>
      <c r="H61" s="391"/>
      <c r="I61" s="398"/>
      <c r="J61" s="398"/>
      <c r="K61" s="399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</row>
    <row r="62" spans="1:28" s="357" customFormat="1" ht="30" hidden="1" customHeight="1">
      <c r="A62" s="423">
        <v>36</v>
      </c>
      <c r="C62" s="393"/>
      <c r="D62" s="388"/>
      <c r="E62" s="389"/>
      <c r="F62" s="390"/>
      <c r="G62" s="504"/>
      <c r="H62" s="391"/>
      <c r="I62" s="398"/>
      <c r="J62" s="398"/>
      <c r="K62" s="399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</row>
    <row r="63" spans="1:28" s="357" customFormat="1" ht="30" hidden="1" customHeight="1">
      <c r="A63" s="423">
        <v>37</v>
      </c>
      <c r="C63" s="393"/>
      <c r="D63" s="388"/>
      <c r="E63" s="389"/>
      <c r="F63" s="390"/>
      <c r="G63" s="504"/>
      <c r="H63" s="391"/>
      <c r="I63" s="398"/>
      <c r="J63" s="398"/>
      <c r="K63" s="399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</row>
    <row r="64" spans="1:28" s="357" customFormat="1" ht="30" hidden="1" customHeight="1">
      <c r="A64" s="423">
        <v>38</v>
      </c>
      <c r="C64" s="393"/>
      <c r="D64" s="388"/>
      <c r="E64" s="389"/>
      <c r="F64" s="390"/>
      <c r="G64" s="504"/>
      <c r="H64" s="391"/>
      <c r="I64" s="398"/>
      <c r="J64" s="398"/>
      <c r="K64" s="399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</row>
    <row r="65" spans="1:28" s="357" customFormat="1" ht="30" hidden="1" customHeight="1">
      <c r="A65" s="423">
        <v>39</v>
      </c>
      <c r="C65" s="393"/>
      <c r="D65" s="388"/>
      <c r="E65" s="389"/>
      <c r="F65" s="390"/>
      <c r="G65" s="504"/>
      <c r="H65" s="391"/>
      <c r="I65" s="398"/>
      <c r="J65" s="398"/>
      <c r="K65" s="399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</row>
    <row r="66" spans="1:28" s="357" customFormat="1" ht="30" hidden="1" customHeight="1">
      <c r="A66" s="423">
        <v>40</v>
      </c>
      <c r="C66" s="393"/>
      <c r="D66" s="388"/>
      <c r="E66" s="389"/>
      <c r="F66" s="390"/>
      <c r="G66" s="504"/>
      <c r="H66" s="391"/>
      <c r="I66" s="398"/>
      <c r="J66" s="398"/>
      <c r="K66" s="399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</row>
    <row r="67" spans="1:28" s="357" customFormat="1" ht="30" hidden="1" customHeight="1">
      <c r="A67" s="423">
        <v>41</v>
      </c>
      <c r="C67" s="393"/>
      <c r="D67" s="388"/>
      <c r="E67" s="389"/>
      <c r="F67" s="390"/>
      <c r="G67" s="504"/>
      <c r="H67" s="391"/>
      <c r="I67" s="398"/>
      <c r="J67" s="398"/>
      <c r="K67" s="399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</row>
    <row r="68" spans="1:28" s="357" customFormat="1" ht="30" hidden="1" customHeight="1">
      <c r="A68" s="423">
        <v>42</v>
      </c>
      <c r="C68" s="393"/>
      <c r="D68" s="388"/>
      <c r="E68" s="389"/>
      <c r="F68" s="390"/>
      <c r="G68" s="504"/>
      <c r="H68" s="391"/>
      <c r="I68" s="398"/>
      <c r="J68" s="398"/>
      <c r="K68" s="399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</row>
    <row r="69" spans="1:28" s="357" customFormat="1" ht="30" hidden="1" customHeight="1">
      <c r="A69" s="423">
        <v>43</v>
      </c>
      <c r="C69" s="393"/>
      <c r="D69" s="388"/>
      <c r="E69" s="389"/>
      <c r="F69" s="390"/>
      <c r="G69" s="504"/>
      <c r="H69" s="391"/>
      <c r="I69" s="398"/>
      <c r="J69" s="398"/>
      <c r="K69" s="39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</row>
    <row r="70" spans="1:28" s="357" customFormat="1" ht="30" hidden="1" customHeight="1">
      <c r="A70" s="423">
        <v>44</v>
      </c>
      <c r="C70" s="393"/>
      <c r="D70" s="388"/>
      <c r="E70" s="389"/>
      <c r="F70" s="390"/>
      <c r="G70" s="504"/>
      <c r="H70" s="391"/>
      <c r="I70" s="398"/>
      <c r="J70" s="398"/>
      <c r="K70" s="399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</row>
    <row r="71" spans="1:28" s="357" customFormat="1" ht="30" hidden="1" customHeight="1">
      <c r="A71" s="423">
        <v>45</v>
      </c>
      <c r="C71" s="393"/>
      <c r="D71" s="388"/>
      <c r="E71" s="389"/>
      <c r="F71" s="390"/>
      <c r="G71" s="504"/>
      <c r="H71" s="391"/>
      <c r="I71" s="398"/>
      <c r="J71" s="398"/>
      <c r="K71" s="399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</row>
    <row r="72" spans="1:28" s="357" customFormat="1" ht="30" hidden="1" customHeight="1">
      <c r="A72" s="423">
        <v>46</v>
      </c>
      <c r="C72" s="393"/>
      <c r="D72" s="388"/>
      <c r="E72" s="389"/>
      <c r="F72" s="390"/>
      <c r="G72" s="504"/>
      <c r="H72" s="391"/>
      <c r="I72" s="398"/>
      <c r="J72" s="398"/>
      <c r="K72" s="399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</row>
    <row r="73" spans="1:28" s="357" customFormat="1" ht="30" hidden="1" customHeight="1">
      <c r="A73" s="423">
        <v>47</v>
      </c>
      <c r="C73" s="393"/>
      <c r="D73" s="388"/>
      <c r="E73" s="389"/>
      <c r="F73" s="390"/>
      <c r="G73" s="504"/>
      <c r="H73" s="391"/>
      <c r="I73" s="398"/>
      <c r="J73" s="398"/>
      <c r="K73" s="399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</row>
    <row r="74" spans="1:28" s="357" customFormat="1" ht="30" hidden="1" customHeight="1">
      <c r="A74" s="423">
        <v>48</v>
      </c>
      <c r="C74" s="393"/>
      <c r="D74" s="388"/>
      <c r="E74" s="389"/>
      <c r="F74" s="390"/>
      <c r="G74" s="504"/>
      <c r="H74" s="391"/>
      <c r="I74" s="398"/>
      <c r="J74" s="398"/>
      <c r="K74" s="399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</row>
    <row r="75" spans="1:28" s="357" customFormat="1" ht="30" hidden="1" customHeight="1">
      <c r="A75" s="423">
        <v>49</v>
      </c>
      <c r="C75" s="393"/>
      <c r="D75" s="388"/>
      <c r="E75" s="389"/>
      <c r="F75" s="390"/>
      <c r="G75" s="504"/>
      <c r="H75" s="391"/>
      <c r="I75" s="398"/>
      <c r="J75" s="398"/>
      <c r="K75" s="399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</row>
    <row r="76" spans="1:28" s="357" customFormat="1" ht="30" hidden="1" customHeight="1">
      <c r="A76" s="423">
        <v>50</v>
      </c>
      <c r="C76" s="393"/>
      <c r="D76" s="388"/>
      <c r="E76" s="389"/>
      <c r="F76" s="390"/>
      <c r="G76" s="504"/>
      <c r="H76" s="391"/>
      <c r="I76" s="398"/>
      <c r="J76" s="398"/>
      <c r="K76" s="399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</row>
    <row r="77" spans="1:28" s="357" customFormat="1" ht="30" hidden="1" customHeight="1">
      <c r="A77" s="423">
        <v>51</v>
      </c>
      <c r="C77" s="393"/>
      <c r="D77" s="388"/>
      <c r="E77" s="389"/>
      <c r="F77" s="390"/>
      <c r="G77" s="504"/>
      <c r="H77" s="391"/>
      <c r="I77" s="398"/>
      <c r="J77" s="398"/>
      <c r="K77" s="399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</row>
    <row r="78" spans="1:28" s="357" customFormat="1" ht="30" hidden="1" customHeight="1">
      <c r="A78" s="423">
        <v>52</v>
      </c>
      <c r="C78" s="393"/>
      <c r="D78" s="388"/>
      <c r="E78" s="389"/>
      <c r="F78" s="390"/>
      <c r="G78" s="504"/>
      <c r="H78" s="391"/>
      <c r="I78" s="398"/>
      <c r="J78" s="398"/>
      <c r="K78" s="399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</row>
    <row r="79" spans="1:28" s="357" customFormat="1" ht="30" hidden="1" customHeight="1">
      <c r="A79" s="423">
        <v>53</v>
      </c>
      <c r="C79" s="393"/>
      <c r="D79" s="388"/>
      <c r="E79" s="389"/>
      <c r="F79" s="390"/>
      <c r="G79" s="504"/>
      <c r="H79" s="391"/>
      <c r="I79" s="398"/>
      <c r="J79" s="398"/>
      <c r="K79" s="39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</row>
    <row r="80" spans="1:28" s="357" customFormat="1" ht="30" hidden="1" customHeight="1">
      <c r="A80" s="423">
        <v>54</v>
      </c>
      <c r="C80" s="393"/>
      <c r="D80" s="388"/>
      <c r="E80" s="389"/>
      <c r="F80" s="390"/>
      <c r="G80" s="504"/>
      <c r="H80" s="391"/>
      <c r="I80" s="398"/>
      <c r="J80" s="398"/>
      <c r="K80" s="399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</row>
    <row r="81" spans="1:28" s="357" customFormat="1" ht="30" hidden="1" customHeight="1">
      <c r="A81" s="423">
        <v>55</v>
      </c>
      <c r="C81" s="393"/>
      <c r="D81" s="388"/>
      <c r="E81" s="389"/>
      <c r="F81" s="390"/>
      <c r="G81" s="504"/>
      <c r="H81" s="391"/>
      <c r="I81" s="398"/>
      <c r="J81" s="398"/>
      <c r="K81" s="399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</row>
    <row r="82" spans="1:28" s="357" customFormat="1" ht="30" hidden="1" customHeight="1">
      <c r="A82" s="423">
        <v>56</v>
      </c>
      <c r="C82" s="393"/>
      <c r="D82" s="388"/>
      <c r="E82" s="389"/>
      <c r="F82" s="390"/>
      <c r="G82" s="504"/>
      <c r="H82" s="391"/>
      <c r="I82" s="398"/>
      <c r="J82" s="398"/>
      <c r="K82" s="399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</row>
    <row r="83" spans="1:28" s="357" customFormat="1" ht="30" hidden="1" customHeight="1">
      <c r="A83" s="423">
        <v>57</v>
      </c>
      <c r="C83" s="393"/>
      <c r="D83" s="388"/>
      <c r="E83" s="389"/>
      <c r="F83" s="390"/>
      <c r="G83" s="504"/>
      <c r="H83" s="391"/>
      <c r="I83" s="398"/>
      <c r="J83" s="398"/>
      <c r="K83" s="399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</row>
    <row r="84" spans="1:28" s="357" customFormat="1" ht="30" hidden="1" customHeight="1">
      <c r="A84" s="423">
        <v>58</v>
      </c>
      <c r="C84" s="393"/>
      <c r="D84" s="388"/>
      <c r="E84" s="389"/>
      <c r="F84" s="390"/>
      <c r="G84" s="504"/>
      <c r="H84" s="391"/>
      <c r="I84" s="398"/>
      <c r="J84" s="398"/>
      <c r="K84" s="399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</row>
    <row r="85" spans="1:28" s="357" customFormat="1" ht="30" hidden="1" customHeight="1">
      <c r="A85" s="423">
        <v>59</v>
      </c>
      <c r="C85" s="393"/>
      <c r="D85" s="388"/>
      <c r="E85" s="389"/>
      <c r="F85" s="390"/>
      <c r="G85" s="504"/>
      <c r="H85" s="391"/>
      <c r="I85" s="398"/>
      <c r="J85" s="398"/>
      <c r="K85" s="399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</row>
    <row r="86" spans="1:28" s="357" customFormat="1" ht="30" hidden="1" customHeight="1">
      <c r="A86" s="423">
        <v>60</v>
      </c>
      <c r="C86" s="393"/>
      <c r="D86" s="388"/>
      <c r="E86" s="389"/>
      <c r="F86" s="390"/>
      <c r="G86" s="504"/>
      <c r="H86" s="391"/>
      <c r="I86" s="398"/>
      <c r="J86" s="398"/>
      <c r="K86" s="399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</row>
    <row r="87" spans="1:28" s="357" customFormat="1" ht="30" hidden="1" customHeight="1">
      <c r="A87" s="423">
        <v>61</v>
      </c>
      <c r="C87" s="393"/>
      <c r="D87" s="388"/>
      <c r="E87" s="389"/>
      <c r="F87" s="390"/>
      <c r="G87" s="504"/>
      <c r="H87" s="391"/>
      <c r="I87" s="398"/>
      <c r="J87" s="398"/>
      <c r="K87" s="399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</row>
    <row r="88" spans="1:28" s="357" customFormat="1" ht="30" hidden="1" customHeight="1">
      <c r="A88" s="423">
        <v>62</v>
      </c>
      <c r="C88" s="393"/>
      <c r="D88" s="388"/>
      <c r="E88" s="389"/>
      <c r="F88" s="390"/>
      <c r="G88" s="504"/>
      <c r="H88" s="391"/>
      <c r="I88" s="398"/>
      <c r="J88" s="398"/>
      <c r="K88" s="399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</row>
    <row r="89" spans="1:28" s="357" customFormat="1" ht="30" hidden="1" customHeight="1">
      <c r="A89" s="423">
        <v>63</v>
      </c>
      <c r="C89" s="393"/>
      <c r="D89" s="388"/>
      <c r="E89" s="389"/>
      <c r="F89" s="390"/>
      <c r="G89" s="504"/>
      <c r="H89" s="391"/>
      <c r="I89" s="398"/>
      <c r="J89" s="398"/>
      <c r="K89" s="39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</row>
    <row r="90" spans="1:28" s="357" customFormat="1" ht="30" hidden="1" customHeight="1">
      <c r="A90" s="423">
        <v>64</v>
      </c>
      <c r="C90" s="393"/>
      <c r="D90" s="388"/>
      <c r="E90" s="389"/>
      <c r="F90" s="390"/>
      <c r="G90" s="504"/>
      <c r="H90" s="391"/>
      <c r="I90" s="398"/>
      <c r="J90" s="398"/>
      <c r="K90" s="399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</row>
    <row r="91" spans="1:28" s="357" customFormat="1" ht="30" hidden="1" customHeight="1">
      <c r="A91" s="423">
        <v>65</v>
      </c>
      <c r="C91" s="393"/>
      <c r="D91" s="388"/>
      <c r="E91" s="389"/>
      <c r="F91" s="390"/>
      <c r="G91" s="504"/>
      <c r="H91" s="391"/>
      <c r="I91" s="398"/>
      <c r="J91" s="398"/>
      <c r="K91" s="399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</row>
    <row r="92" spans="1:28" s="357" customFormat="1" ht="30" hidden="1" customHeight="1">
      <c r="A92" s="423">
        <v>66</v>
      </c>
      <c r="C92" s="393"/>
      <c r="D92" s="388"/>
      <c r="E92" s="389"/>
      <c r="F92" s="390"/>
      <c r="G92" s="504"/>
      <c r="H92" s="391"/>
      <c r="I92" s="398"/>
      <c r="J92" s="398"/>
      <c r="K92" s="399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</row>
    <row r="93" spans="1:28" s="357" customFormat="1" ht="30" hidden="1" customHeight="1">
      <c r="A93" s="423">
        <v>67</v>
      </c>
      <c r="C93" s="393"/>
      <c r="D93" s="388"/>
      <c r="E93" s="389"/>
      <c r="F93" s="390"/>
      <c r="G93" s="504"/>
      <c r="H93" s="391"/>
      <c r="I93" s="398"/>
      <c r="J93" s="398"/>
      <c r="K93" s="399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</row>
    <row r="94" spans="1:28" s="357" customFormat="1" ht="30" hidden="1" customHeight="1">
      <c r="A94" s="423">
        <v>68</v>
      </c>
      <c r="C94" s="393"/>
      <c r="D94" s="388"/>
      <c r="E94" s="389"/>
      <c r="F94" s="390"/>
      <c r="G94" s="504"/>
      <c r="H94" s="391"/>
      <c r="I94" s="398"/>
      <c r="J94" s="398"/>
      <c r="K94" s="399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</row>
    <row r="95" spans="1:28" s="357" customFormat="1" ht="30" hidden="1" customHeight="1">
      <c r="A95" s="423">
        <v>69</v>
      </c>
      <c r="C95" s="393"/>
      <c r="D95" s="388"/>
      <c r="E95" s="389"/>
      <c r="F95" s="390"/>
      <c r="G95" s="504"/>
      <c r="H95" s="391"/>
      <c r="I95" s="398"/>
      <c r="J95" s="398"/>
      <c r="K95" s="399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</row>
    <row r="96" spans="1:28" s="357" customFormat="1" ht="30" hidden="1" customHeight="1">
      <c r="A96" s="423">
        <v>70</v>
      </c>
      <c r="C96" s="393"/>
      <c r="D96" s="388"/>
      <c r="E96" s="389"/>
      <c r="F96" s="390"/>
      <c r="G96" s="504"/>
      <c r="H96" s="391"/>
      <c r="I96" s="398"/>
      <c r="J96" s="398"/>
      <c r="K96" s="399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</row>
    <row r="97" spans="1:28" s="357" customFormat="1" ht="30" hidden="1" customHeight="1">
      <c r="A97" s="423">
        <v>71</v>
      </c>
      <c r="C97" s="393"/>
      <c r="D97" s="388"/>
      <c r="E97" s="389"/>
      <c r="F97" s="390"/>
      <c r="G97" s="504"/>
      <c r="H97" s="391"/>
      <c r="I97" s="398"/>
      <c r="J97" s="398"/>
      <c r="K97" s="399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</row>
    <row r="98" spans="1:28" s="357" customFormat="1" ht="30" hidden="1" customHeight="1">
      <c r="A98" s="423">
        <v>72</v>
      </c>
      <c r="C98" s="393"/>
      <c r="D98" s="388"/>
      <c r="E98" s="389"/>
      <c r="F98" s="390"/>
      <c r="G98" s="504"/>
      <c r="H98" s="391"/>
      <c r="I98" s="398"/>
      <c r="J98" s="398"/>
      <c r="K98" s="399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</row>
    <row r="99" spans="1:28" s="357" customFormat="1" ht="30" hidden="1" customHeight="1">
      <c r="A99" s="423">
        <v>73</v>
      </c>
      <c r="C99" s="393"/>
      <c r="D99" s="388"/>
      <c r="E99" s="389"/>
      <c r="F99" s="390"/>
      <c r="G99" s="504"/>
      <c r="H99" s="391"/>
      <c r="I99" s="398"/>
      <c r="J99" s="398"/>
      <c r="K99" s="3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</row>
    <row r="100" spans="1:28" s="357" customFormat="1" ht="30" hidden="1" customHeight="1">
      <c r="A100" s="423">
        <v>74</v>
      </c>
      <c r="C100" s="393"/>
      <c r="D100" s="388"/>
      <c r="E100" s="389"/>
      <c r="F100" s="390"/>
      <c r="G100" s="504"/>
      <c r="H100" s="391"/>
      <c r="I100" s="398"/>
      <c r="J100" s="398"/>
      <c r="K100" s="399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</row>
    <row r="101" spans="1:28" s="357" customFormat="1" ht="30" hidden="1" customHeight="1">
      <c r="A101" s="423">
        <v>75</v>
      </c>
      <c r="C101" s="393"/>
      <c r="D101" s="388"/>
      <c r="E101" s="389"/>
      <c r="F101" s="390"/>
      <c r="G101" s="504"/>
      <c r="H101" s="391"/>
      <c r="I101" s="398"/>
      <c r="J101" s="398"/>
      <c r="K101" s="399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</row>
    <row r="102" spans="1:28" s="357" customFormat="1" ht="30" hidden="1" customHeight="1">
      <c r="A102" s="423">
        <v>76</v>
      </c>
      <c r="C102" s="393"/>
      <c r="D102" s="388"/>
      <c r="E102" s="389"/>
      <c r="F102" s="390"/>
      <c r="G102" s="504"/>
      <c r="H102" s="391"/>
      <c r="I102" s="398"/>
      <c r="J102" s="398"/>
      <c r="K102" s="399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</row>
    <row r="103" spans="1:28" s="357" customFormat="1" ht="30" hidden="1" customHeight="1">
      <c r="A103" s="423">
        <v>77</v>
      </c>
      <c r="C103" s="393"/>
      <c r="D103" s="388"/>
      <c r="E103" s="389"/>
      <c r="F103" s="390"/>
      <c r="G103" s="504"/>
      <c r="H103" s="391"/>
      <c r="I103" s="398"/>
      <c r="J103" s="398"/>
      <c r="K103" s="399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</row>
    <row r="104" spans="1:28" s="357" customFormat="1" ht="30" hidden="1" customHeight="1">
      <c r="A104" s="423">
        <v>78</v>
      </c>
      <c r="C104" s="393"/>
      <c r="D104" s="388"/>
      <c r="E104" s="389"/>
      <c r="F104" s="390"/>
      <c r="G104" s="504"/>
      <c r="H104" s="391"/>
      <c r="I104" s="398"/>
      <c r="J104" s="398"/>
      <c r="K104" s="399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</row>
    <row r="105" spans="1:28" s="357" customFormat="1" ht="30" hidden="1" customHeight="1">
      <c r="A105" s="423">
        <v>79</v>
      </c>
      <c r="C105" s="393"/>
      <c r="D105" s="388"/>
      <c r="E105" s="389"/>
      <c r="F105" s="390"/>
      <c r="G105" s="504"/>
      <c r="H105" s="391"/>
      <c r="I105" s="398"/>
      <c r="J105" s="398"/>
      <c r="K105" s="399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</row>
    <row r="106" spans="1:28" s="357" customFormat="1" ht="30" hidden="1" customHeight="1">
      <c r="A106" s="423">
        <v>80</v>
      </c>
      <c r="C106" s="393"/>
      <c r="D106" s="388"/>
      <c r="E106" s="389"/>
      <c r="F106" s="390"/>
      <c r="G106" s="504"/>
      <c r="H106" s="391"/>
      <c r="I106" s="398"/>
      <c r="J106" s="398"/>
      <c r="K106" s="399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</row>
    <row r="107" spans="1:28" s="357" customFormat="1" ht="30" hidden="1" customHeight="1">
      <c r="A107" s="423">
        <v>81</v>
      </c>
      <c r="C107" s="393"/>
      <c r="D107" s="388"/>
      <c r="E107" s="389"/>
      <c r="F107" s="390"/>
      <c r="G107" s="504"/>
      <c r="H107" s="391"/>
      <c r="I107" s="398"/>
      <c r="J107" s="398"/>
      <c r="K107" s="399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</row>
    <row r="108" spans="1:28" s="357" customFormat="1" ht="30" hidden="1" customHeight="1">
      <c r="A108" s="423">
        <v>82</v>
      </c>
      <c r="C108" s="393"/>
      <c r="D108" s="388"/>
      <c r="E108" s="389"/>
      <c r="F108" s="390"/>
      <c r="G108" s="504"/>
      <c r="H108" s="391"/>
      <c r="I108" s="398"/>
      <c r="J108" s="398"/>
      <c r="K108" s="399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</row>
    <row r="109" spans="1:28" s="357" customFormat="1" ht="30" hidden="1" customHeight="1">
      <c r="A109" s="423">
        <v>83</v>
      </c>
      <c r="C109" s="393"/>
      <c r="D109" s="388"/>
      <c r="E109" s="389"/>
      <c r="F109" s="390"/>
      <c r="G109" s="504"/>
      <c r="H109" s="391"/>
      <c r="I109" s="398"/>
      <c r="J109" s="398"/>
      <c r="K109" s="39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</row>
    <row r="110" spans="1:28" s="357" customFormat="1" ht="30" hidden="1" customHeight="1">
      <c r="A110" s="423">
        <v>84</v>
      </c>
      <c r="C110" s="393"/>
      <c r="D110" s="388"/>
      <c r="E110" s="389"/>
      <c r="F110" s="390"/>
      <c r="G110" s="504"/>
      <c r="H110" s="391"/>
      <c r="I110" s="398"/>
      <c r="J110" s="398"/>
      <c r="K110" s="399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</row>
    <row r="111" spans="1:28" s="357" customFormat="1" ht="30" hidden="1" customHeight="1">
      <c r="A111" s="423">
        <v>85</v>
      </c>
      <c r="C111" s="393"/>
      <c r="D111" s="388"/>
      <c r="E111" s="389"/>
      <c r="F111" s="390"/>
      <c r="G111" s="504"/>
      <c r="H111" s="391"/>
      <c r="I111" s="398"/>
      <c r="J111" s="398"/>
      <c r="K111" s="399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</row>
    <row r="112" spans="1:28" s="357" customFormat="1" ht="30" hidden="1" customHeight="1">
      <c r="A112" s="423">
        <v>86</v>
      </c>
      <c r="C112" s="393"/>
      <c r="D112" s="388"/>
      <c r="E112" s="389"/>
      <c r="F112" s="390"/>
      <c r="G112" s="504"/>
      <c r="H112" s="391"/>
      <c r="I112" s="398"/>
      <c r="J112" s="398"/>
      <c r="K112" s="399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</row>
    <row r="113" spans="1:28" s="357" customFormat="1" ht="30" hidden="1" customHeight="1">
      <c r="A113" s="423">
        <v>87</v>
      </c>
      <c r="C113" s="393"/>
      <c r="D113" s="388"/>
      <c r="E113" s="389"/>
      <c r="F113" s="390"/>
      <c r="G113" s="504"/>
      <c r="H113" s="391"/>
      <c r="I113" s="398"/>
      <c r="J113" s="398"/>
      <c r="K113" s="399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</row>
    <row r="114" spans="1:28" s="357" customFormat="1" ht="30" hidden="1" customHeight="1">
      <c r="A114" s="423">
        <v>88</v>
      </c>
      <c r="C114" s="393"/>
      <c r="D114" s="388"/>
      <c r="E114" s="389"/>
      <c r="F114" s="390"/>
      <c r="G114" s="504"/>
      <c r="H114" s="391"/>
      <c r="I114" s="398"/>
      <c r="J114" s="398"/>
      <c r="K114" s="399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</row>
    <row r="115" spans="1:28" s="357" customFormat="1" ht="30" hidden="1" customHeight="1">
      <c r="A115" s="423">
        <v>89</v>
      </c>
      <c r="C115" s="393"/>
      <c r="D115" s="388"/>
      <c r="E115" s="389"/>
      <c r="F115" s="390"/>
      <c r="G115" s="504"/>
      <c r="H115" s="391"/>
      <c r="I115" s="398"/>
      <c r="J115" s="398"/>
      <c r="K115" s="399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</row>
    <row r="116" spans="1:28" s="357" customFormat="1" ht="30" hidden="1" customHeight="1">
      <c r="A116" s="423">
        <v>90</v>
      </c>
      <c r="C116" s="393"/>
      <c r="D116" s="388"/>
      <c r="E116" s="389"/>
      <c r="F116" s="390"/>
      <c r="G116" s="504"/>
      <c r="H116" s="391"/>
      <c r="I116" s="398"/>
      <c r="J116" s="398"/>
      <c r="K116" s="399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</row>
    <row r="117" spans="1:28" s="357" customFormat="1" ht="30" hidden="1" customHeight="1">
      <c r="A117" s="423">
        <v>91</v>
      </c>
      <c r="C117" s="393"/>
      <c r="D117" s="388"/>
      <c r="E117" s="389"/>
      <c r="F117" s="390"/>
      <c r="G117" s="504"/>
      <c r="H117" s="391"/>
      <c r="I117" s="398"/>
      <c r="J117" s="398"/>
      <c r="K117" s="399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</row>
    <row r="118" spans="1:28" s="357" customFormat="1" ht="30" hidden="1" customHeight="1">
      <c r="A118" s="423">
        <v>92</v>
      </c>
      <c r="C118" s="393"/>
      <c r="D118" s="388"/>
      <c r="E118" s="389"/>
      <c r="F118" s="390"/>
      <c r="G118" s="504"/>
      <c r="H118" s="391"/>
      <c r="I118" s="398"/>
      <c r="J118" s="398"/>
      <c r="K118" s="399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</row>
    <row r="119" spans="1:28" s="357" customFormat="1" ht="30" hidden="1" customHeight="1">
      <c r="A119" s="423">
        <v>93</v>
      </c>
      <c r="C119" s="393"/>
      <c r="D119" s="388"/>
      <c r="E119" s="389"/>
      <c r="F119" s="390"/>
      <c r="G119" s="504"/>
      <c r="H119" s="391"/>
      <c r="I119" s="398"/>
      <c r="J119" s="398"/>
      <c r="K119" s="39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</row>
    <row r="120" spans="1:28" s="357" customFormat="1" ht="30" hidden="1" customHeight="1">
      <c r="A120" s="423">
        <v>94</v>
      </c>
      <c r="C120" s="393"/>
      <c r="D120" s="388"/>
      <c r="E120" s="389"/>
      <c r="F120" s="390"/>
      <c r="G120" s="504"/>
      <c r="H120" s="391"/>
      <c r="I120" s="398"/>
      <c r="J120" s="398"/>
      <c r="K120" s="399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</row>
    <row r="121" spans="1:28" s="357" customFormat="1" ht="30" hidden="1" customHeight="1">
      <c r="A121" s="423">
        <v>95</v>
      </c>
      <c r="C121" s="393"/>
      <c r="D121" s="388"/>
      <c r="E121" s="389"/>
      <c r="F121" s="390"/>
      <c r="G121" s="504"/>
      <c r="H121" s="391"/>
      <c r="I121" s="398"/>
      <c r="J121" s="398"/>
      <c r="K121" s="399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</row>
    <row r="122" spans="1:28" s="357" customFormat="1" ht="30" hidden="1" customHeight="1">
      <c r="A122" s="423">
        <v>96</v>
      </c>
      <c r="C122" s="393"/>
      <c r="D122" s="388"/>
      <c r="E122" s="389"/>
      <c r="F122" s="390"/>
      <c r="G122" s="504"/>
      <c r="H122" s="391"/>
      <c r="I122" s="398"/>
      <c r="J122" s="398"/>
      <c r="K122" s="399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</row>
    <row r="123" spans="1:28" s="357" customFormat="1" ht="30" hidden="1" customHeight="1">
      <c r="A123" s="423">
        <v>97</v>
      </c>
      <c r="C123" s="393"/>
      <c r="D123" s="388"/>
      <c r="E123" s="389"/>
      <c r="F123" s="390"/>
      <c r="G123" s="504"/>
      <c r="H123" s="391"/>
      <c r="I123" s="398"/>
      <c r="J123" s="398"/>
      <c r="K123" s="399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</row>
    <row r="124" spans="1:28" s="357" customFormat="1" ht="30" hidden="1" customHeight="1">
      <c r="A124" s="423">
        <v>98</v>
      </c>
      <c r="C124" s="393"/>
      <c r="D124" s="388"/>
      <c r="E124" s="389"/>
      <c r="F124" s="390"/>
      <c r="G124" s="504"/>
      <c r="H124" s="391"/>
      <c r="I124" s="398"/>
      <c r="J124" s="398"/>
      <c r="K124" s="399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</row>
    <row r="125" spans="1:28" s="357" customFormat="1" ht="30" hidden="1" customHeight="1">
      <c r="A125" s="423">
        <v>99</v>
      </c>
      <c r="C125" s="393"/>
      <c r="D125" s="388"/>
      <c r="E125" s="389"/>
      <c r="F125" s="390"/>
      <c r="G125" s="504"/>
      <c r="H125" s="391"/>
      <c r="I125" s="398"/>
      <c r="J125" s="398"/>
      <c r="K125" s="399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</row>
    <row r="126" spans="1:28" s="357" customFormat="1" ht="30" hidden="1" customHeight="1">
      <c r="A126" s="423">
        <v>100</v>
      </c>
      <c r="C126" s="393"/>
      <c r="D126" s="388"/>
      <c r="E126" s="389"/>
      <c r="F126" s="390"/>
      <c r="G126" s="504"/>
      <c r="H126" s="391"/>
      <c r="I126" s="398"/>
      <c r="J126" s="398"/>
      <c r="K126" s="399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</row>
    <row r="127" spans="1:28" s="357" customFormat="1" ht="30" hidden="1" customHeight="1">
      <c r="A127" s="423">
        <v>101</v>
      </c>
      <c r="C127" s="393"/>
      <c r="D127" s="388"/>
      <c r="E127" s="389"/>
      <c r="F127" s="390"/>
      <c r="G127" s="504"/>
      <c r="H127" s="391"/>
      <c r="I127" s="398"/>
      <c r="J127" s="398"/>
      <c r="K127" s="399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</row>
    <row r="128" spans="1:28" s="357" customFormat="1" ht="30" hidden="1" customHeight="1">
      <c r="A128" s="423">
        <v>102</v>
      </c>
      <c r="C128" s="393"/>
      <c r="D128" s="388"/>
      <c r="E128" s="389"/>
      <c r="F128" s="390"/>
      <c r="G128" s="504"/>
      <c r="H128" s="391"/>
      <c r="I128" s="398"/>
      <c r="J128" s="398"/>
      <c r="K128" s="399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</row>
    <row r="129" spans="1:28" s="357" customFormat="1" ht="30" hidden="1" customHeight="1">
      <c r="A129" s="423">
        <v>103</v>
      </c>
      <c r="C129" s="393"/>
      <c r="D129" s="388"/>
      <c r="E129" s="389"/>
      <c r="F129" s="390"/>
      <c r="G129" s="504"/>
      <c r="H129" s="391"/>
      <c r="I129" s="398"/>
      <c r="J129" s="398"/>
      <c r="K129" s="39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</row>
    <row r="130" spans="1:28" s="357" customFormat="1" ht="30" hidden="1" customHeight="1">
      <c r="A130" s="423">
        <v>104</v>
      </c>
      <c r="C130" s="393"/>
      <c r="D130" s="388"/>
      <c r="E130" s="389"/>
      <c r="F130" s="390"/>
      <c r="G130" s="504"/>
      <c r="H130" s="391"/>
      <c r="I130" s="398"/>
      <c r="J130" s="398"/>
      <c r="K130" s="399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</row>
    <row r="131" spans="1:28" s="357" customFormat="1" ht="30" hidden="1" customHeight="1">
      <c r="A131" s="423">
        <v>105</v>
      </c>
      <c r="C131" s="393"/>
      <c r="D131" s="388"/>
      <c r="E131" s="389"/>
      <c r="F131" s="390"/>
      <c r="G131" s="504"/>
      <c r="H131" s="391"/>
      <c r="I131" s="398"/>
      <c r="J131" s="398"/>
      <c r="K131" s="399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</row>
    <row r="132" spans="1:28" s="357" customFormat="1" ht="30" hidden="1" customHeight="1">
      <c r="A132" s="423">
        <v>106</v>
      </c>
      <c r="C132" s="393"/>
      <c r="D132" s="388"/>
      <c r="E132" s="389"/>
      <c r="F132" s="390"/>
      <c r="G132" s="504"/>
      <c r="H132" s="391"/>
      <c r="I132" s="398"/>
      <c r="J132" s="398"/>
      <c r="K132" s="399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</row>
    <row r="133" spans="1:28" s="357" customFormat="1" ht="30" hidden="1" customHeight="1">
      <c r="A133" s="423">
        <v>107</v>
      </c>
      <c r="C133" s="393"/>
      <c r="D133" s="388"/>
      <c r="E133" s="389"/>
      <c r="F133" s="390"/>
      <c r="G133" s="504"/>
      <c r="H133" s="391"/>
      <c r="I133" s="398"/>
      <c r="J133" s="398"/>
      <c r="K133" s="399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</row>
    <row r="134" spans="1:28" s="357" customFormat="1" ht="30" hidden="1" customHeight="1">
      <c r="A134" s="423">
        <v>108</v>
      </c>
      <c r="C134" s="393"/>
      <c r="D134" s="388"/>
      <c r="E134" s="389"/>
      <c r="F134" s="390"/>
      <c r="G134" s="504"/>
      <c r="H134" s="391"/>
      <c r="I134" s="398"/>
      <c r="J134" s="398"/>
      <c r="K134" s="399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</row>
    <row r="135" spans="1:28" s="357" customFormat="1" ht="30" hidden="1" customHeight="1">
      <c r="A135" s="423">
        <v>109</v>
      </c>
      <c r="C135" s="393"/>
      <c r="D135" s="388"/>
      <c r="E135" s="389"/>
      <c r="F135" s="390"/>
      <c r="G135" s="504"/>
      <c r="H135" s="391"/>
      <c r="I135" s="398"/>
      <c r="J135" s="398"/>
      <c r="K135" s="399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</row>
    <row r="136" spans="1:28" s="357" customFormat="1" ht="30" hidden="1" customHeight="1">
      <c r="A136" s="423">
        <v>110</v>
      </c>
      <c r="C136" s="393"/>
      <c r="D136" s="388"/>
      <c r="E136" s="389"/>
      <c r="F136" s="390"/>
      <c r="G136" s="504"/>
      <c r="H136" s="391"/>
      <c r="I136" s="398"/>
      <c r="J136" s="398"/>
      <c r="K136" s="399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</row>
    <row r="137" spans="1:28" s="357" customFormat="1" ht="30" hidden="1" customHeight="1">
      <c r="A137" s="423">
        <v>111</v>
      </c>
      <c r="C137" s="393"/>
      <c r="D137" s="388"/>
      <c r="E137" s="389"/>
      <c r="F137" s="390"/>
      <c r="G137" s="504"/>
      <c r="H137" s="391"/>
      <c r="I137" s="398"/>
      <c r="J137" s="398"/>
      <c r="K137" s="399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</row>
    <row r="138" spans="1:28" s="357" customFormat="1" ht="30" hidden="1" customHeight="1">
      <c r="A138" s="423">
        <v>112</v>
      </c>
      <c r="C138" s="393"/>
      <c r="D138" s="388"/>
      <c r="E138" s="389"/>
      <c r="F138" s="390"/>
      <c r="G138" s="504"/>
      <c r="H138" s="391"/>
      <c r="I138" s="398"/>
      <c r="J138" s="398"/>
      <c r="K138" s="399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</row>
    <row r="139" spans="1:28" s="357" customFormat="1" ht="30" hidden="1" customHeight="1">
      <c r="A139" s="423">
        <v>113</v>
      </c>
      <c r="C139" s="393"/>
      <c r="D139" s="388"/>
      <c r="E139" s="389"/>
      <c r="F139" s="390"/>
      <c r="G139" s="504"/>
      <c r="H139" s="391"/>
      <c r="I139" s="398"/>
      <c r="J139" s="398"/>
      <c r="K139" s="39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</row>
    <row r="140" spans="1:28" s="357" customFormat="1" ht="30" hidden="1" customHeight="1">
      <c r="A140" s="423">
        <v>114</v>
      </c>
      <c r="C140" s="393"/>
      <c r="D140" s="388"/>
      <c r="E140" s="389"/>
      <c r="F140" s="390"/>
      <c r="G140" s="504"/>
      <c r="H140" s="391"/>
      <c r="I140" s="398"/>
      <c r="J140" s="398"/>
      <c r="K140" s="399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</row>
    <row r="141" spans="1:28" s="357" customFormat="1" ht="30" hidden="1" customHeight="1">
      <c r="A141" s="423">
        <v>115</v>
      </c>
      <c r="C141" s="393"/>
      <c r="D141" s="388"/>
      <c r="E141" s="389"/>
      <c r="F141" s="390"/>
      <c r="G141" s="504"/>
      <c r="H141" s="391"/>
      <c r="I141" s="398"/>
      <c r="J141" s="398"/>
      <c r="K141" s="399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</row>
    <row r="142" spans="1:28" s="357" customFormat="1" ht="30" hidden="1" customHeight="1">
      <c r="A142" s="423">
        <v>116</v>
      </c>
      <c r="C142" s="393"/>
      <c r="D142" s="388"/>
      <c r="E142" s="389"/>
      <c r="F142" s="390"/>
      <c r="G142" s="504"/>
      <c r="H142" s="391"/>
      <c r="I142" s="398"/>
      <c r="J142" s="398"/>
      <c r="K142" s="399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</row>
    <row r="143" spans="1:28" s="357" customFormat="1" ht="30" hidden="1" customHeight="1">
      <c r="A143" s="423">
        <v>117</v>
      </c>
      <c r="C143" s="393"/>
      <c r="D143" s="388"/>
      <c r="E143" s="389"/>
      <c r="F143" s="390"/>
      <c r="G143" s="504"/>
      <c r="H143" s="391"/>
      <c r="I143" s="398"/>
      <c r="J143" s="398"/>
      <c r="K143" s="399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</row>
    <row r="144" spans="1:28" ht="33.950000000000003" customHeight="1">
      <c r="C144" s="196" t="s">
        <v>1891</v>
      </c>
      <c r="D144" s="340"/>
      <c r="E144" s="420"/>
      <c r="F144" s="421">
        <v>4054</v>
      </c>
      <c r="G144" s="1970" t="s">
        <v>1888</v>
      </c>
      <c r="H144" s="1970"/>
      <c r="I144" s="1971"/>
      <c r="J144" s="400">
        <v>45.69</v>
      </c>
      <c r="K144" s="401">
        <v>185227.25999999998</v>
      </c>
      <c r="N144" s="417" t="s">
        <v>1886</v>
      </c>
      <c r="O144" s="424">
        <v>0</v>
      </c>
    </row>
    <row r="145" spans="3:28" ht="33.950000000000003" customHeight="1">
      <c r="C145" s="422" t="s">
        <v>2987</v>
      </c>
      <c r="D145" s="187"/>
      <c r="E145" s="359"/>
      <c r="F145" s="416"/>
      <c r="G145" s="1968" t="s">
        <v>1890</v>
      </c>
      <c r="H145" s="1968"/>
      <c r="I145" s="1969"/>
      <c r="J145" s="400">
        <v>0</v>
      </c>
      <c r="K145" s="401">
        <v>0</v>
      </c>
      <c r="N145" s="417" t="s">
        <v>1887</v>
      </c>
      <c r="O145" s="425">
        <v>0</v>
      </c>
    </row>
    <row r="146" spans="3:28" ht="50.25" customHeight="1">
      <c r="C146" s="1912" t="str">
        <f>SpellNumber(print_inv_grand_total)</f>
        <v>Forty Five US Dollars and Sixty Nine Cents</v>
      </c>
      <c r="D146" s="1912"/>
      <c r="E146" s="1912"/>
      <c r="F146" s="1912"/>
      <c r="G146" s="1972" t="s">
        <v>1889</v>
      </c>
      <c r="H146" s="1972"/>
      <c r="I146" s="1973"/>
      <c r="J146" s="400">
        <v>45.69</v>
      </c>
      <c r="K146" s="401">
        <v>185227.25999999998</v>
      </c>
    </row>
    <row r="147" spans="3:28" ht="8.25" customHeight="1">
      <c r="C147" s="418"/>
      <c r="D147" s="418"/>
      <c r="E147" s="418"/>
      <c r="F147" s="418"/>
      <c r="G147" s="1902"/>
      <c r="H147" s="1902"/>
      <c r="I147" s="1902"/>
      <c r="J147" s="295"/>
    </row>
    <row r="148" spans="3:28" ht="1.5" customHeight="1">
      <c r="C148" s="419"/>
      <c r="D148" s="419"/>
      <c r="E148" s="419"/>
      <c r="F148" s="419"/>
      <c r="I148" s="115"/>
      <c r="J148" s="115"/>
      <c r="K148" s="115"/>
    </row>
    <row r="149" spans="3:28" ht="25.5">
      <c r="C149" s="392" t="s">
        <v>1872</v>
      </c>
      <c r="D149" s="360"/>
      <c r="E149" s="360"/>
      <c r="F149" s="361"/>
      <c r="G149" s="362"/>
      <c r="H149" s="363"/>
      <c r="I149" s="363"/>
      <c r="J149" s="364"/>
      <c r="K149" s="365"/>
    </row>
    <row r="150" spans="3:28">
      <c r="C150" s="374" t="s">
        <v>1839</v>
      </c>
      <c r="D150" s="375" t="s">
        <v>2663</v>
      </c>
      <c r="E150" s="375"/>
      <c r="F150" s="133"/>
      <c r="J150" s="5"/>
      <c r="K150" s="366"/>
    </row>
    <row r="151" spans="3:28">
      <c r="C151" s="374" t="s">
        <v>1840</v>
      </c>
      <c r="D151" s="375" t="s">
        <v>1577</v>
      </c>
      <c r="E151" s="375"/>
      <c r="F151" s="133"/>
      <c r="J151" s="5"/>
      <c r="K151" s="366"/>
    </row>
    <row r="152" spans="3:28">
      <c r="C152" s="374" t="s">
        <v>1841</v>
      </c>
      <c r="D152" s="411" t="s">
        <v>2664</v>
      </c>
      <c r="E152" s="376"/>
      <c r="F152" s="133"/>
      <c r="J152" s="5"/>
      <c r="K152" s="366"/>
    </row>
    <row r="153" spans="3:28">
      <c r="C153" s="367"/>
      <c r="D153" s="150"/>
      <c r="E153" s="150"/>
      <c r="F153"/>
      <c r="J153" s="5"/>
      <c r="K153" s="366"/>
    </row>
    <row r="154" spans="3:28">
      <c r="C154" s="368"/>
      <c r="D154" s="369"/>
      <c r="E154" s="369"/>
      <c r="F154" s="370"/>
      <c r="G154" s="371"/>
      <c r="H154" s="370"/>
      <c r="I154" s="370"/>
      <c r="J154" s="372"/>
      <c r="K154" s="373"/>
    </row>
    <row r="155" spans="3:28" ht="33.75" customHeight="1">
      <c r="C155" s="394" t="s">
        <v>3018</v>
      </c>
      <c r="D155" s="395"/>
      <c r="E155" s="395"/>
      <c r="F155" s="395"/>
      <c r="G155" s="395"/>
      <c r="H155" s="381"/>
      <c r="I155" s="381"/>
      <c r="J155" s="381"/>
      <c r="K155" s="382"/>
    </row>
    <row r="156" spans="3:28" s="3" customFormat="1" ht="26.25" customHeight="1">
      <c r="C156" s="396" t="s">
        <v>3019</v>
      </c>
      <c r="D156" s="397"/>
      <c r="E156" s="397"/>
      <c r="F156" s="397"/>
      <c r="G156" s="397"/>
      <c r="H156" s="379"/>
      <c r="I156" s="379"/>
      <c r="J156" s="379"/>
      <c r="K156" s="380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</row>
    <row r="157" spans="3:28" ht="15">
      <c r="C157" s="9"/>
      <c r="D157" s="9"/>
      <c r="E157" s="9"/>
      <c r="F157" s="11"/>
      <c r="G157" s="358"/>
    </row>
    <row r="158" spans="3:28" ht="15">
      <c r="D158"/>
      <c r="E158"/>
      <c r="F158"/>
    </row>
    <row r="159" spans="3:28">
      <c r="C159" s="1903"/>
      <c r="D159" s="1903"/>
      <c r="E159" s="1903"/>
      <c r="F159" s="1903"/>
      <c r="G159" s="1903"/>
      <c r="H159" s="5"/>
      <c r="I159" s="1903"/>
      <c r="J159" s="1903"/>
      <c r="K159" s="1903"/>
    </row>
    <row r="160" spans="3:28">
      <c r="C160" s="5"/>
      <c r="G160" s="8"/>
      <c r="H160" s="5"/>
      <c r="I160" s="5"/>
      <c r="J160" s="5"/>
      <c r="K160" s="5"/>
    </row>
    <row r="161" spans="3:11">
      <c r="C161" s="5"/>
      <c r="G161" s="8"/>
      <c r="H161" s="5"/>
      <c r="I161" s="5"/>
      <c r="J161" s="5"/>
      <c r="K161" s="5"/>
    </row>
    <row r="162" spans="3:11">
      <c r="C162" s="5"/>
      <c r="G162" s="8"/>
      <c r="H162" s="5"/>
      <c r="I162" s="5"/>
      <c r="J162" s="5"/>
      <c r="K162" s="5"/>
    </row>
    <row r="163" spans="3:11">
      <c r="C163" s="5"/>
      <c r="G163" s="8"/>
      <c r="H163" s="5"/>
      <c r="I163" s="5"/>
      <c r="J163" s="5"/>
      <c r="K163" s="5"/>
    </row>
    <row r="164" spans="3:11">
      <c r="C164" s="5"/>
      <c r="G164" s="8"/>
      <c r="H164" s="5"/>
      <c r="I164" s="5"/>
      <c r="J164" s="5"/>
      <c r="K164" s="5"/>
    </row>
    <row r="165" spans="3:11">
      <c r="C165" s="5"/>
      <c r="G165" s="8"/>
      <c r="H165" s="5"/>
      <c r="I165" s="5"/>
      <c r="J165" s="5"/>
      <c r="K165" s="5"/>
    </row>
    <row r="166" spans="3:11">
      <c r="C166" s="5"/>
      <c r="G166" s="8"/>
      <c r="H166" s="5"/>
      <c r="I166" s="5"/>
      <c r="J166" s="5"/>
      <c r="K166" s="5"/>
    </row>
    <row r="167" spans="3:11">
      <c r="C167" s="5"/>
      <c r="G167" s="8"/>
      <c r="H167" s="5"/>
      <c r="I167" s="5"/>
      <c r="J167" s="5"/>
      <c r="K167" s="5"/>
    </row>
    <row r="168" spans="3:11">
      <c r="C168" s="5"/>
      <c r="G168" s="8"/>
      <c r="H168" s="5"/>
      <c r="I168" s="5"/>
      <c r="J168" s="5"/>
      <c r="K168" s="5"/>
    </row>
    <row r="169" spans="3:11">
      <c r="C169" s="5"/>
      <c r="G169" s="8"/>
      <c r="H169" s="5"/>
      <c r="I169" s="5"/>
      <c r="J169" s="5"/>
      <c r="K169" s="5"/>
    </row>
    <row r="170" spans="3:11">
      <c r="C170" s="5"/>
      <c r="G170" s="8"/>
      <c r="H170" s="5"/>
      <c r="I170" s="5"/>
      <c r="J170" s="5"/>
      <c r="K170" s="5"/>
    </row>
    <row r="171" spans="3:11">
      <c r="C171" s="5"/>
      <c r="G171" s="8"/>
      <c r="H171" s="5"/>
      <c r="I171" s="5"/>
      <c r="J171" s="5"/>
      <c r="K171" s="5"/>
    </row>
    <row r="172" spans="3:11">
      <c r="C172" s="5"/>
      <c r="G172" s="8"/>
      <c r="H172" s="5"/>
      <c r="I172" s="5"/>
      <c r="J172" s="5"/>
      <c r="K172" s="5"/>
    </row>
    <row r="173" spans="3:11">
      <c r="C173" s="5"/>
      <c r="G173" s="8"/>
      <c r="H173" s="5"/>
      <c r="I173" s="5"/>
      <c r="J173" s="5"/>
      <c r="K173" s="5"/>
    </row>
    <row r="174" spans="3:11">
      <c r="C174" s="5"/>
      <c r="G174" s="8"/>
      <c r="H174" s="5"/>
      <c r="I174" s="5"/>
      <c r="J174" s="5"/>
      <c r="K174" s="5"/>
    </row>
    <row r="175" spans="3:11">
      <c r="C175" s="5"/>
      <c r="G175" s="8"/>
      <c r="H175" s="5"/>
      <c r="I175" s="5"/>
      <c r="J175" s="5"/>
      <c r="K175" s="5"/>
    </row>
    <row r="176" spans="3:11">
      <c r="C176" s="5"/>
      <c r="G176" s="8"/>
      <c r="H176" s="5"/>
      <c r="I176" s="5"/>
      <c r="J176" s="5"/>
      <c r="K176" s="5"/>
    </row>
    <row r="177" spans="3:11">
      <c r="C177" s="5"/>
      <c r="G177" s="8"/>
      <c r="H177" s="5"/>
      <c r="I177" s="5"/>
      <c r="J177" s="5"/>
      <c r="K177" s="5"/>
    </row>
  </sheetData>
  <mergeCells count="16">
    <mergeCell ref="C159:G159"/>
    <mergeCell ref="I159:K159"/>
    <mergeCell ref="D26:F26"/>
    <mergeCell ref="F23:H23"/>
    <mergeCell ref="D25:F25"/>
    <mergeCell ref="G145:I145"/>
    <mergeCell ref="C146:F146"/>
    <mergeCell ref="G147:I147"/>
    <mergeCell ref="G144:I144"/>
    <mergeCell ref="G146:I146"/>
    <mergeCell ref="F17:K17"/>
    <mergeCell ref="R4:S4"/>
    <mergeCell ref="C3:K3"/>
    <mergeCell ref="C11:D11"/>
    <mergeCell ref="G10:H14"/>
    <mergeCell ref="C13:F14"/>
  </mergeCells>
  <phoneticPr fontId="36" type="noConversion"/>
  <dataValidations count="3">
    <dataValidation allowBlank="1" showInputMessage="1" showErrorMessage="1" prompt="MOI ID/ Tax ID number" sqref="F22" xr:uid="{4F29016A-28CE-4F3F-A355-3F8150910D2C}"/>
    <dataValidation allowBlank="1" showInputMessage="1" showErrorMessage="1" promptTitle="Email/Telelgram/Other" prompt="Email/Telelgram/Other" sqref="G21:J21" xr:uid="{170D46DD-712E-4822-8B56-BADFA9C424B6}"/>
    <dataValidation type="textLength" allowBlank="1" showInputMessage="1" showErrorMessage="1" errorTitle="Number not valid" error="បញ្ចូលលេខមិនត្រឹមត្រូវេ! សូមបញ្ចូលលេខប្រអប់ ត្រឹមតែមួយខ្ទង់សម្រាប់មួយប្រអប់។ _x000a_" promptTitle="Customer TAX ID " sqref="M6" xr:uid="{07DE701A-083D-451F-AFB5-3F8DE4F069E1}">
      <formula1>1</formula1>
      <formula2>1</formula2>
    </dataValidation>
  </dataValidations>
  <printOptions horizontalCentered="1"/>
  <pageMargins left="0.19685039370078741" right="0" top="0.19685039370078741" bottom="0.19685039370078741" header="0" footer="7.874015748031496E-2"/>
  <pageSetup paperSize="9" scale="73" orientation="portrait" horizontalDpi="1200" verticalDpi="1200" r:id="rId1"/>
  <headerFooter>
    <oddFooter>&amp;CPage &amp;P of &amp;N</oddFooter>
  </headerFooter>
  <drawing r:id="rId2"/>
  <legacyDrawing r:id="rId3"/>
  <controls>
    <mc:AlternateContent xmlns:mc="http://schemas.openxmlformats.org/markup-compatibility/2006">
      <mc:Choice Requires="x14">
        <control shapeId="4356101" r:id="rId4" name="TaxInvoiceComboBox">
          <controlPr defaultSize="0" autoLine="0" r:id="rId5">
            <anchor moveWithCells="1">
              <from>
                <xdr:col>16</xdr:col>
                <xdr:colOff>85725</xdr:colOff>
                <xdr:row>1</xdr:row>
                <xdr:rowOff>9525</xdr:rowOff>
              </from>
              <to>
                <xdr:col>19</xdr:col>
                <xdr:colOff>495300</xdr:colOff>
                <xdr:row>2</xdr:row>
                <xdr:rowOff>47625</xdr:rowOff>
              </to>
            </anchor>
          </controlPr>
        </control>
      </mc:Choice>
      <mc:Fallback>
        <control shapeId="4356101" r:id="rId4" name="TaxInvoiceComboBox"/>
      </mc:Fallback>
    </mc:AlternateContent>
    <mc:AlternateContent xmlns:mc="http://schemas.openxmlformats.org/markup-compatibility/2006">
      <mc:Choice Requires="x14">
        <control shapeId="4356100" r:id="rId6" name="InvoiceComboBox">
          <controlPr defaultSize="0" autoLine="0" autoPict="0" r:id="rId7">
            <anchor moveWithCells="1">
              <from>
                <xdr:col>13</xdr:col>
                <xdr:colOff>47625</xdr:colOff>
                <xdr:row>1</xdr:row>
                <xdr:rowOff>19050</xdr:rowOff>
              </from>
              <to>
                <xdr:col>15</xdr:col>
                <xdr:colOff>9525</xdr:colOff>
                <xdr:row>3</xdr:row>
                <xdr:rowOff>9525</xdr:rowOff>
              </to>
            </anchor>
          </controlPr>
        </control>
      </mc:Choice>
      <mc:Fallback>
        <control shapeId="4356100" r:id="rId6" name="InvoiceComboBox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BEF725-D0DE-4EB3-B08B-3B0A4996A37A}">
  <sheetPr codeName="Sheet47"/>
  <dimension ref="A1:BF204"/>
  <sheetViews>
    <sheetView showGridLines="0" zoomScale="80" zoomScaleNormal="80" zoomScaleSheetLayoutView="80" workbookViewId="0">
      <pane ySplit="7" topLeftCell="A8" activePane="bottomLeft" state="frozen"/>
      <selection pane="bottomLeft" activeCell="M9" sqref="M9"/>
    </sheetView>
  </sheetViews>
  <sheetFormatPr defaultColWidth="9.140625" defaultRowHeight="24.95" customHeight="1"/>
  <cols>
    <col min="1" max="1" width="1.5703125" style="892" customWidth="1"/>
    <col min="2" max="2" width="1.7109375" style="892" customWidth="1"/>
    <col min="3" max="3" width="32" style="892" customWidth="1"/>
    <col min="4" max="4" width="8.7109375" style="892" customWidth="1"/>
    <col min="5" max="5" width="31.42578125" style="892" customWidth="1"/>
    <col min="6" max="6" width="3.42578125" style="897" customWidth="1"/>
    <col min="7" max="7" width="2.28515625" style="896" hidden="1" customWidth="1"/>
    <col min="8" max="8" width="2.140625" style="897" hidden="1" customWidth="1"/>
    <col min="9" max="9" width="3.28515625" style="933" customWidth="1"/>
    <col min="10" max="10" width="9.7109375" style="882" customWidth="1"/>
    <col min="11" max="11" width="6.28515625" style="882" customWidth="1"/>
    <col min="12" max="12" width="5.85546875" style="898" customWidth="1"/>
    <col min="13" max="13" width="36.28515625" style="899" customWidth="1"/>
    <col min="14" max="14" width="10.7109375" style="900" customWidth="1"/>
    <col min="15" max="15" width="15" style="882" customWidth="1"/>
    <col min="16" max="16" width="20.7109375" style="882" customWidth="1"/>
    <col min="17" max="17" width="14.5703125" style="882" hidden="1" customWidth="1"/>
    <col min="18" max="18" width="20.7109375" style="882" hidden="1" customWidth="1"/>
    <col min="19" max="19" width="3" style="902" customWidth="1"/>
    <col min="20" max="20" width="18.28515625" style="902" customWidth="1"/>
    <col min="21" max="21" width="17.85546875" style="903" customWidth="1"/>
    <col min="22" max="22" width="3.28515625" style="904" customWidth="1"/>
    <col min="23" max="23" width="12.85546875" style="903" customWidth="1"/>
    <col min="24" max="24" width="2.85546875" style="905" customWidth="1"/>
    <col min="25" max="25" width="20.7109375" style="903" customWidth="1"/>
    <col min="26" max="26" width="12.42578125" style="903" customWidth="1"/>
    <col min="27" max="27" width="17.42578125" style="892" customWidth="1"/>
    <col min="28" max="28" width="20.85546875" style="892" customWidth="1"/>
    <col min="29" max="29" width="18.140625" style="892" customWidth="1"/>
    <col min="30" max="30" width="20.5703125" style="882" customWidth="1"/>
    <col min="31" max="32" width="17.42578125" style="892" customWidth="1"/>
    <col min="33" max="33" width="11.28515625" style="882" hidden="1" customWidth="1"/>
    <col min="34" max="34" width="20.7109375" style="892" customWidth="1"/>
    <col min="35" max="35" width="16.28515625" style="892" customWidth="1"/>
    <col min="36" max="37" width="19.140625" style="892" customWidth="1"/>
    <col min="38" max="38" width="14.5703125" style="892" bestFit="1" customWidth="1"/>
    <col min="39" max="39" width="16.42578125" style="892" bestFit="1" customWidth="1"/>
    <col min="40" max="40" width="16.28515625" style="906" hidden="1" customWidth="1"/>
    <col min="41" max="41" width="15.7109375" style="906" hidden="1" customWidth="1"/>
    <col min="42" max="42" width="15.85546875" style="907" hidden="1" customWidth="1"/>
    <col min="43" max="43" width="14.42578125" style="907" hidden="1" customWidth="1"/>
    <col min="44" max="44" width="19.85546875" style="907" hidden="1" customWidth="1"/>
    <col min="45" max="45" width="14.42578125" style="907" customWidth="1"/>
    <col min="46" max="46" width="15.42578125" style="907" hidden="1" customWidth="1"/>
    <col min="47" max="47" width="16.7109375" style="907" hidden="1" customWidth="1"/>
    <col min="48" max="48" width="11.85546875" style="907" hidden="1" customWidth="1"/>
    <col min="49" max="49" width="17.42578125" style="882" hidden="1" customWidth="1"/>
    <col min="50" max="50" width="12.85546875" style="908" customWidth="1"/>
    <col min="51" max="51" width="13.28515625" style="908" customWidth="1"/>
    <col min="52" max="52" width="10.7109375" style="908" customWidth="1"/>
    <col min="53" max="54" width="17.7109375" style="892" hidden="1" customWidth="1"/>
    <col min="55" max="55" width="18.5703125" style="892" customWidth="1"/>
    <col min="56" max="56" width="18.5703125" style="882" customWidth="1"/>
    <col min="57" max="57" width="17.85546875" style="882" customWidth="1"/>
    <col min="58" max="58" width="15.28515625" style="882" customWidth="1"/>
    <col min="59" max="61" width="9.140625" style="892"/>
    <col min="62" max="62" width="49.7109375" style="892" customWidth="1"/>
    <col min="63" max="16384" width="9.140625" style="892"/>
  </cols>
  <sheetData>
    <row r="1" spans="1:58" ht="8.25" customHeight="1" thickBot="1">
      <c r="B1" s="893"/>
      <c r="C1" s="894"/>
      <c r="D1" s="894"/>
      <c r="E1" s="894"/>
      <c r="F1" s="895"/>
      <c r="R1" s="901"/>
    </row>
    <row r="2" spans="1:58" ht="38.25">
      <c r="B2" s="1246"/>
      <c r="C2" s="1247"/>
      <c r="D2" s="1247"/>
      <c r="E2" s="1247"/>
      <c r="F2" s="1248"/>
      <c r="G2" s="909"/>
      <c r="H2" s="910"/>
      <c r="I2" s="985"/>
      <c r="J2" s="911" t="s">
        <v>1794</v>
      </c>
      <c r="K2" s="912"/>
      <c r="L2" s="912"/>
      <c r="M2" s="912"/>
      <c r="N2" s="912"/>
      <c r="O2" s="1589" t="s">
        <v>4513</v>
      </c>
      <c r="P2" s="1590">
        <f>NBC_Exchange_Rate!J11</f>
        <v>46265</v>
      </c>
      <c r="Q2" s="911"/>
      <c r="R2" s="913"/>
      <c r="S2" s="914"/>
      <c r="T2" s="1280"/>
      <c r="U2" s="915"/>
      <c r="V2" s="914"/>
      <c r="W2" s="915"/>
      <c r="X2" s="914"/>
      <c r="Y2" s="915"/>
      <c r="Z2" s="915"/>
    </row>
    <row r="3" spans="1:58" ht="8.25" customHeight="1" thickBot="1">
      <c r="B3" s="1249"/>
      <c r="C3" s="916"/>
      <c r="D3" s="916"/>
      <c r="E3" s="916"/>
      <c r="F3" s="1250"/>
      <c r="G3" s="917"/>
      <c r="H3" s="918"/>
      <c r="I3" s="986"/>
      <c r="J3" s="919"/>
      <c r="K3" s="919"/>
      <c r="L3" s="919"/>
      <c r="M3" s="919"/>
      <c r="N3" s="919"/>
      <c r="O3" s="919"/>
      <c r="P3" s="919"/>
      <c r="Q3" s="919"/>
      <c r="R3" s="920"/>
      <c r="S3" s="921"/>
      <c r="T3" s="921"/>
      <c r="U3" s="922"/>
      <c r="V3" s="921"/>
      <c r="W3" s="922"/>
      <c r="X3" s="921"/>
      <c r="Y3" s="922"/>
      <c r="Z3" s="922"/>
    </row>
    <row r="4" spans="1:58" ht="35.1" customHeight="1" thickBot="1">
      <c r="A4" s="923"/>
      <c r="B4" s="1251"/>
      <c r="C4" s="924"/>
      <c r="D4" s="924"/>
      <c r="E4" s="924"/>
      <c r="F4" s="1252"/>
      <c r="J4" s="925" t="s">
        <v>1892</v>
      </c>
      <c r="K4" s="926"/>
      <c r="L4" s="1979" t="s">
        <v>22</v>
      </c>
      <c r="M4" s="1980"/>
      <c r="N4" s="1601">
        <f>IF(quot_price_type="","",MID(quot_price_type,1,2)*1)</f>
        <v>2</v>
      </c>
      <c r="O4" s="1341" t="s">
        <v>3380</v>
      </c>
      <c r="P4" s="1342">
        <v>4047</v>
      </c>
      <c r="T4" s="927"/>
      <c r="U4" s="927"/>
      <c r="V4" s="927"/>
      <c r="AA4" s="903"/>
      <c r="AB4" s="903"/>
      <c r="AC4" s="903"/>
      <c r="AD4" s="903"/>
      <c r="AE4" s="903"/>
      <c r="AF4" s="903"/>
      <c r="AG4" s="903"/>
      <c r="AH4" s="928"/>
      <c r="AI4" s="928"/>
      <c r="AJ4" s="928"/>
      <c r="AK4" s="928"/>
      <c r="AL4" s="928"/>
      <c r="AM4" s="928"/>
      <c r="AN4" s="928"/>
      <c r="AO4" s="928"/>
      <c r="AP4" s="928"/>
      <c r="AQ4" s="928"/>
      <c r="AR4" s="928"/>
      <c r="AS4" s="928"/>
      <c r="AT4" s="928"/>
      <c r="AU4" s="928"/>
      <c r="AV4" s="928"/>
      <c r="AW4" s="928"/>
      <c r="AX4" s="928"/>
      <c r="AY4" s="928"/>
      <c r="AZ4" s="928"/>
      <c r="BD4" s="929"/>
      <c r="BE4" s="929"/>
      <c r="BF4" s="929"/>
    </row>
    <row r="5" spans="1:58" s="882" customFormat="1" ht="9" customHeight="1">
      <c r="A5" s="930"/>
      <c r="B5" s="1253"/>
      <c r="C5" s="931"/>
      <c r="D5" s="931"/>
      <c r="E5" s="931"/>
      <c r="F5" s="1254"/>
      <c r="G5" s="932"/>
      <c r="H5" s="933"/>
      <c r="I5" s="933"/>
      <c r="L5" s="898"/>
      <c r="M5" s="899"/>
      <c r="N5" s="900"/>
      <c r="R5" s="901"/>
      <c r="S5" s="902"/>
      <c r="T5" s="902"/>
      <c r="U5" s="934"/>
      <c r="V5" s="935"/>
      <c r="W5" s="934"/>
      <c r="X5" s="902"/>
      <c r="Y5" s="934"/>
      <c r="Z5" s="934"/>
      <c r="AH5" s="928"/>
      <c r="AI5" s="928"/>
      <c r="AJ5" s="928"/>
      <c r="AK5" s="928"/>
      <c r="AL5" s="928"/>
      <c r="AM5" s="928"/>
      <c r="AN5" s="906"/>
      <c r="AO5" s="906"/>
      <c r="AP5" s="906"/>
      <c r="AQ5" s="906"/>
      <c r="AR5" s="906"/>
      <c r="AS5" s="906"/>
      <c r="AT5" s="906"/>
      <c r="AU5" s="906"/>
      <c r="AV5" s="906"/>
      <c r="AW5" s="928"/>
      <c r="AX5" s="936"/>
      <c r="AY5" s="936"/>
      <c r="AZ5" s="936"/>
    </row>
    <row r="6" spans="1:58" s="907" customFormat="1" ht="28.5" customHeight="1">
      <c r="A6" s="937"/>
      <c r="B6" s="1255"/>
      <c r="C6" s="996" t="s">
        <v>1581</v>
      </c>
      <c r="D6" s="1609">
        <v>1</v>
      </c>
      <c r="E6" s="996" t="str">
        <f>IF(quot_status=-1,"Edit",IF(quot_status=1,"Issue",IF(quot_status=2,"Fullfilied",IF(quot_status=3,"Partial",1))))</f>
        <v>Issue</v>
      </c>
      <c r="F6" s="1252"/>
      <c r="G6" s="938"/>
      <c r="H6" s="939"/>
      <c r="I6" s="939"/>
      <c r="J6" s="990" t="s">
        <v>47</v>
      </c>
      <c r="K6" s="991" t="s">
        <v>660</v>
      </c>
      <c r="L6" s="991"/>
      <c r="M6" s="990" t="s">
        <v>89</v>
      </c>
      <c r="N6" s="990" t="s">
        <v>135</v>
      </c>
      <c r="O6" s="990" t="s">
        <v>1583</v>
      </c>
      <c r="P6" s="990" t="s">
        <v>1884</v>
      </c>
      <c r="Q6" s="990" t="s">
        <v>1956</v>
      </c>
      <c r="R6" s="990" t="s">
        <v>654</v>
      </c>
      <c r="S6" s="992" t="str">
        <f>"តម្លៃឯកតា"&amp;IF(quot_branch="",""," ("&amp;quot_currency_symbol&amp;")")</f>
        <v>តម្លៃឯកតា ($)</v>
      </c>
      <c r="T6" s="992"/>
      <c r="U6" s="992"/>
      <c r="V6" s="991" t="str">
        <f>"បញ្ចុះតម្លៃ"&amp;IF(quot_branch="",""," ("&amp;quot_currency_symbol&amp;")")</f>
        <v>បញ្ចុះតម្លៃ ($)</v>
      </c>
      <c r="W6" s="991"/>
      <c r="X6" s="991" t="str">
        <f>"សរុបតម្លៃ"&amp;IF(quot_branch="",""," ("&amp;quot_currency_symbol&amp;")")</f>
        <v>សរុបតម្លៃ ($)</v>
      </c>
      <c r="Y6" s="991"/>
      <c r="Z6" s="990" t="s">
        <v>64</v>
      </c>
      <c r="AA6" s="997" t="s">
        <v>1530</v>
      </c>
      <c r="AB6" s="997" t="s">
        <v>1809</v>
      </c>
      <c r="AC6" s="997" t="s">
        <v>46</v>
      </c>
      <c r="AD6" s="997" t="s">
        <v>62</v>
      </c>
      <c r="AE6" s="997" t="s">
        <v>1822</v>
      </c>
      <c r="AF6" s="997" t="s">
        <v>226</v>
      </c>
      <c r="AG6" s="997" t="s">
        <v>224</v>
      </c>
      <c r="AH6" s="997" t="s">
        <v>3332</v>
      </c>
      <c r="AI6" s="997" t="s">
        <v>1811</v>
      </c>
      <c r="AJ6" s="997" t="s">
        <v>1952</v>
      </c>
      <c r="AK6" s="997" t="s">
        <v>1952</v>
      </c>
      <c r="AL6" s="997" t="s">
        <v>1949</v>
      </c>
      <c r="AM6" s="997" t="s">
        <v>1883</v>
      </c>
      <c r="AN6" s="997" t="s">
        <v>1812</v>
      </c>
      <c r="AO6" s="997" t="s">
        <v>1813</v>
      </c>
      <c r="AP6" s="997" t="s">
        <v>1814</v>
      </c>
      <c r="AQ6" s="997" t="s">
        <v>1815</v>
      </c>
      <c r="AR6" s="997" t="s">
        <v>1817</v>
      </c>
      <c r="AS6" s="997" t="s">
        <v>4519</v>
      </c>
      <c r="AT6" s="997"/>
      <c r="AU6" s="997"/>
      <c r="AV6" s="997"/>
      <c r="AW6" s="997"/>
      <c r="AX6" s="1977" t="s">
        <v>2667</v>
      </c>
      <c r="AY6" s="1977" t="s">
        <v>2669</v>
      </c>
      <c r="AZ6" s="1977" t="s">
        <v>2668</v>
      </c>
      <c r="BA6" s="997"/>
      <c r="BB6" s="997"/>
    </row>
    <row r="7" spans="1:58" ht="19.5" customHeight="1">
      <c r="A7" s="923"/>
      <c r="B7" s="1256"/>
      <c r="C7" s="940"/>
      <c r="D7" s="940"/>
      <c r="E7" s="940"/>
      <c r="F7" s="1257"/>
      <c r="G7" s="941"/>
      <c r="I7" s="933" t="s">
        <v>1827</v>
      </c>
      <c r="J7" s="993" t="s">
        <v>9</v>
      </c>
      <c r="K7" s="994" t="s">
        <v>94</v>
      </c>
      <c r="L7" s="994"/>
      <c r="M7" s="993" t="s">
        <v>87</v>
      </c>
      <c r="N7" s="993" t="s">
        <v>67</v>
      </c>
      <c r="O7" s="993" t="s">
        <v>651</v>
      </c>
      <c r="P7" s="993" t="s">
        <v>1885</v>
      </c>
      <c r="Q7" s="993" t="s">
        <v>1955</v>
      </c>
      <c r="R7" s="993" t="s">
        <v>393</v>
      </c>
      <c r="S7" s="994" t="s">
        <v>1950</v>
      </c>
      <c r="T7" s="994"/>
      <c r="U7" s="993" t="s">
        <v>4516</v>
      </c>
      <c r="V7" s="994" t="s">
        <v>83</v>
      </c>
      <c r="W7" s="994"/>
      <c r="X7" s="995" t="s">
        <v>82</v>
      </c>
      <c r="Y7" s="995"/>
      <c r="Z7" s="993" t="s">
        <v>77</v>
      </c>
      <c r="AA7" s="999" t="s">
        <v>234</v>
      </c>
      <c r="AB7" s="998" t="s">
        <v>1818</v>
      </c>
      <c r="AC7" s="998" t="str">
        <f>"Dis Price"</f>
        <v>Dis Price</v>
      </c>
      <c r="AD7" s="998" t="s">
        <v>1954</v>
      </c>
      <c r="AE7" s="998" t="s">
        <v>68</v>
      </c>
      <c r="AF7" s="998" t="s">
        <v>29</v>
      </c>
      <c r="AG7" s="998" t="s">
        <v>637</v>
      </c>
      <c r="AH7" s="998" t="s">
        <v>656</v>
      </c>
      <c r="AI7" s="998" t="s">
        <v>657</v>
      </c>
      <c r="AJ7" s="998" t="s">
        <v>1951</v>
      </c>
      <c r="AK7" s="998" t="s">
        <v>1953</v>
      </c>
      <c r="AL7" s="998" t="s">
        <v>1948</v>
      </c>
      <c r="AM7" s="998" t="s">
        <v>1882</v>
      </c>
      <c r="AN7" s="998" t="s">
        <v>1539</v>
      </c>
      <c r="AO7" s="998" t="s">
        <v>1819</v>
      </c>
      <c r="AP7" s="998" t="s">
        <v>1820</v>
      </c>
      <c r="AQ7" s="998" t="s">
        <v>1821</v>
      </c>
      <c r="AR7" s="998" t="s">
        <v>1816</v>
      </c>
      <c r="AS7" s="998" t="s">
        <v>4516</v>
      </c>
      <c r="AT7" s="998" t="s">
        <v>1988</v>
      </c>
      <c r="AU7" s="998" t="s">
        <v>1989</v>
      </c>
      <c r="AV7" s="998" t="s">
        <v>656</v>
      </c>
      <c r="AW7" s="998" t="s">
        <v>1951</v>
      </c>
      <c r="AX7" s="1978"/>
      <c r="AY7" s="1978"/>
      <c r="AZ7" s="1978"/>
      <c r="BA7" s="998" t="s">
        <v>2156</v>
      </c>
      <c r="BB7" s="998" t="s">
        <v>2157</v>
      </c>
    </row>
    <row r="8" spans="1:58" ht="27" customHeight="1" thickBot="1">
      <c r="A8" s="923"/>
      <c r="B8" s="1258"/>
      <c r="C8" s="942" t="s">
        <v>2655</v>
      </c>
      <c r="D8" s="943"/>
      <c r="E8" s="944"/>
      <c r="F8" s="1259"/>
      <c r="G8" s="945"/>
      <c r="H8" s="946"/>
      <c r="I8" s="1610">
        <f>IF(M8="","",MID(M8,1,5)*1)</f>
        <v>1</v>
      </c>
      <c r="J8" s="1611">
        <f>IF(M8="","",1)</f>
        <v>1</v>
      </c>
      <c r="K8" s="1612" t="str">
        <f>IF(M8="","",VLOOKUP(I8,product_list,4,FALSE))</f>
        <v>DKS0001</v>
      </c>
      <c r="L8" s="1613"/>
      <c r="M8" s="883" t="s">
        <v>4514</v>
      </c>
      <c r="N8" s="884">
        <v>2</v>
      </c>
      <c r="O8" s="884"/>
      <c r="P8" s="885" t="s">
        <v>2782</v>
      </c>
      <c r="Q8" s="886"/>
      <c r="R8" s="887"/>
      <c r="S8" s="1614" t="str">
        <f t="shared" ref="S8" si="0">IF(M8="","",quot_currency_symbol)</f>
        <v>$</v>
      </c>
      <c r="T8" s="888"/>
      <c r="U8" s="1650">
        <f>IF(M8="","",ROUND(IF(T8&gt;0,T8,IF(AS8&gt;0,AS8,IF(P8=AN8,AF8,IF(P8=AO8,ROUND(AF8/AA8,T89),IF(P8=AP8,ROUND(AF8/AB8,9)))))),2))</f>
        <v>28.5</v>
      </c>
      <c r="V8" s="1615" t="str">
        <f t="shared" ref="V8" si="1">IF(W8=0,"",quot_currency_symbol)</f>
        <v/>
      </c>
      <c r="W8" s="889"/>
      <c r="X8" s="1615" t="str">
        <f t="shared" ref="X8" si="2">IF(M8="","",quot_currency_symbol)</f>
        <v>$</v>
      </c>
      <c r="Y8" s="1616">
        <f>IF(M8="","",ROUND(IF(T8&gt;0,N8*T8-W8,N8*U8-W8),2))</f>
        <v>57</v>
      </c>
      <c r="Z8" s="890"/>
      <c r="AA8" s="197" cm="1">
        <f t="array" ref="AA8">IF(M8="","",IF(P8=AN8,1,Slookup(MID(AN8,1,3)*1,UomConversion!$D$8:$J$500,5,UomConversion!$E$8:$E$500,MID(P8,1,3)*1,UomConversion!$J$8:$J$500,1)))</f>
        <v>1</v>
      </c>
      <c r="AB8" s="197">
        <f t="shared" ref="AB8:AB71" si="3">IF(AND(M8="",ISNA(VLOOKUP(I8,product_list,18,FALSE))),"",VLOOKUP(I8,product_list,18,FALSE))</f>
        <v>4</v>
      </c>
      <c r="AC8" s="197">
        <f>IF(M8="","",W8)</f>
        <v>0</v>
      </c>
      <c r="AD8" s="197">
        <f>IF(M8="","",IF(P8=AN8,AE8,IF(P8=AO8,ROUND(AE8/AA8,9),IF(P8=AP8,ROUND(AE8/AB8,9)))))</f>
        <v>27.34</v>
      </c>
      <c r="AE8" s="197">
        <f t="shared" ref="AE8" si="4">IF(M8="","",VLOOKUP(I8,product_list,14,FALSE))</f>
        <v>27.34</v>
      </c>
      <c r="AF8" s="197">
        <f t="shared" ref="AF8:AF39" si="5">IF(M8="","",VLOOKUP(I8,product_list,15,FALSE))</f>
        <v>28.5</v>
      </c>
      <c r="AG8" s="197">
        <f t="shared" ref="AG8:AG71" si="6">IF(M8="","",VLOOKUP(I8,product_list,23,FALSE))</f>
        <v>1</v>
      </c>
      <c r="AH8" s="197" t="e">
        <f>IF(I8="","",IF(ISNA(MATCH(I8,IF(quot_location_id=1,'[1]1_inventory_totals'!$C$8:$C$10000,IF(quot_location_id=2,'[1]2_inventory_totals'!$C$8:$C$10000,0)),0)),0,IF(AV8&gt;0,1,0)))</f>
        <v>#VALUE!</v>
      </c>
      <c r="AI8" s="197" t="e">
        <f>IF(M8="","",IF(quot_location_id=1,SUMIFS('[1]1_inventory_total_details'!$J$8:$J$10000,'[1]1_inventory_total_details'!$C$8:$C$10000,I8,'[1]1_inventory_total_details'!$F$8:$F$10000,quot_location_id,'[1]1_inventory_total_details'!$G$8:$G$10000,"="&amp;Q8,'[1]1_inventory_total_details'!$H$8:$H$10000,"="&amp;R8,'[1]1_inventory_total_details'!$I$8:$I$10000,"="&amp;quot_date)+SUMIFS('[1]1_inventory_total_details'!$M$8:$M$10000,'[1]1_inventory_total_details'!$C$8:$C$10000,I8,'[1]1_inventory_total_details'!$F$8:$F$10000,quot_location_id,'[1]1_inventory_total_details'!$G$8:$G$10000,"="&amp;Q8,'[1]1_inventory_total_details'!$H$8:$H$10000,"="&amp;R8,'[1]1_inventory_total_details'!$I$8:$I$10000,"="&amp;quot_date)+SUMIFS('[1]1_inventory_total_details'!$K$8:$K$10000,'[1]1_inventory_total_details'!$C$8:$C$10000,I8,'[1]1_inventory_total_details'!$F$8:$F$10000,quot_location_id,'[1]1_inventory_total_details'!$G$8:$G$10000,"="&amp;Q8,'[1]1_inventory_total_details'!$H$8:$H$10000,"="&amp;R8,'[1]1_inventory_total_details'!$I$8:$I$10000,"="&amp;quot_date)+SUMIFS('[1]1_inventory_total_details'!$L$8:$L$10000,'[1]1_inventory_total_details'!$C$8:$C$10000,I8,'[1]1_inventory_total_details'!$F$8:$F$10000,quot_location_id,'[1]1_inventory_total_details'!$G$8:$G$10000,"="&amp;Q8,'[1]1_inventory_total_details'!$H$8:$H$10000,"="&amp;R8,'[1]1_inventory_total_details'!$I$8:$I$10000,"="&amp;quot_date),SUMIFS('[1]2_inventory_total_details'!$J$8:$J$10000,'[1]2_inventory_total_details'!$C$8:$C$10000,I8,'[1]2_inventory_total_details'!$F$8:$F$10000,quot_location_id,'[1]2_inventory_total_details'!$G$8:$G$10000,"="&amp;Q8,'[1]2_inventory_total_details'!$H$8:$H$10000,"="&amp;R8,'[1]2_inventory_total_details'!$I$8:$I$10000,"="&amp;quot_date)+SUMIFS('[1]2_inventory_total_details'!$M$8:$M$10000,'[1]2_inventory_total_details'!$C$8:$C$10000,I8,'[1]2_inventory_total_details'!$F$8:$F$10000,quot_location_id,'[1]2_inventory_total_details'!$G$8:$G$10000,"="&amp;Q8,'[1]2_inventory_total_details'!$H$8:$H$10000,"="&amp;R8,'[1]2_inventory_total_details'!$I$8:$I$10000,"="&amp;quot_date)+SUMIFS('[1]2_inventory_total_details'!$K$8:$K$10000,'[1]2_inventory_total_details'!$C$8:$C$10000,I8,'[1]2_inventory_total_details'!$F$8:$F$10000,quot_location_id,'[1]2_inventory_total_details'!$G$8:$G$10000,"="&amp;Q8,'[1]2_inventory_total_details'!$H$8:$H$10000,"="&amp;R8,'[1]2_inventory_total_details'!$I$8:$I$10000,"="&amp;quot_date)+SUMIFS('[1]2_inventory_total_details'!$L$8:$L$10000,'[1]2_inventory_total_details'!$C$8:$C$10000,I8,'[1]2_inventory_total_details'!$F$8:$F$10000,quot_location_id,'[1]2_inventory_total_details'!$G$8:$G$10000,"="&amp;Q8,'[1]2_inventory_total_details'!$H$8:$H$10000,"="&amp;R8,'[1]2_inventory_total_details'!$I$8:$I$10000,"="&amp;quot_date)))</f>
        <v>#VALUE!</v>
      </c>
      <c r="AJ8" s="197">
        <f>IF(M8="","",IF(ISNA(MATCH(I8,'[1]1_group_totals'!$C$8:$C$10000)),0,IF(AW8&gt;0,1,0)))</f>
        <v>0</v>
      </c>
      <c r="AK8" s="197" t="e">
        <f>IF(M8="","",(SUMIFS('[1]1_group_total_details'!$I$8:$I$10000,'[1]1_group_total_details'!$C$8:$C$10000,I8,'[1]1_group_total_details'!$F$8:$F$10000,quot_location_group_id,'[1]1_group_total_details'!$G$8:$G$10000,quot_location_id,'[1]1_group_total_details'!$H$8:$H$10000,"="&amp;quot_date)+SUMIFS('[1]1_group_total_details'!$L$8:$L$10000,'[1]1_group_total_details'!$C$8:$C$10000,I8,'[1]1_group_total_details'!$F$8:$F$10000,quot_location_group_id,'[1]1_group_total_details'!$G$8:$G$10000,quot_location_id,'[1]1_group_total_details'!$H$8:$H$10000,"="&amp;quot_date)+SUMIFS('[1]1_group_total_details'!$N$8:$N$10000,'[1]1_group_total_details'!$C$8:$C$10000,I8,'[1]1_group_total_details'!$F$8:$F$10000,quot_location_group_id,'[1]1_group_total_details'!$G$8:$G$10000,quot_location_id,'[1]1_group_total_details'!$H$8:$H$10000,"="&amp;quot_date)+SUMIFS('[1]1_group_total_details'!$O$8:$O$10000,'[1]1_group_total_details'!$C$8:$C$10000,I8,'[1]1_group_total_details'!$F$8:$F$10000,quot_location_group_id,'[1]1_group_total_details'!$G$8:$G$10000,quot_location_id,'[1]1_group_total_details'!$H$8:$H$10000,"="&amp;quot_date))+(SUMIFS('[1]1_group_total_details'!$J$8:$J$10000,'[1]1_group_total_details'!$C$8:$C$10000,I8,'[1]1_group_total_details'!$F$8:$F$10000,quot_location_group_id,'[1]1_group_total_details'!$G$8:$G$10000,quot_location_id,'[1]1_group_total_details'!$H$8:$H$10000,"="&amp;quot_date)+SUMIFS('[1]1_group_total_details'!$K$8:$K$10000,'[1]1_group_total_details'!$C$8:$C$10000,I8,'[1]1_group_total_details'!$F$8:$F$10000,quot_location_group_id,'[1]1_group_total_details'!$G$8:$G$10000,quot_location_id,'[1]1_group_total_details'!$H$8:$H$10000,"="&amp;quot_date)+SUMIFS('[1]1_group_total_details'!$M$8:$M$10000,'[1]1_group_total_details'!$C$8:$C$10000,I8,'[1]1_group_total_details'!$F$8:$F$10000,quot_location_group_id,'[1]1_group_total_details'!$G$8:$G$10000,quot_location_id,'[1]1_group_total_details'!$H$8:$H$10000,"="&amp;quot_date)+SUMIFS('[1]1_group_total_details'!$P$8:$P$10000,'[1]1_group_total_details'!$C$8:$C$10000,I8,'[1]1_group_total_details'!$F$8:$F$10000,quot_location_group_id,'[1]1_group_total_details'!$G$8:$G$10000,quot_location_id,'[1]1_group_total_details'!$H$8:$H$10000,"="&amp;quot_date)))</f>
        <v>#VALUE!</v>
      </c>
      <c r="AL8" s="197" t="e">
        <f>IF(M8="","",(SUMIFS('[1]1_group_total_details'!$I$8:$I$10000,'[1]1_group_total_details'!$C$8:$C$10000,I8,'[1]1_group_total_details'!$F$8:$F$10000,quot_location_group_id,'[1]1_group_total_details'!$G$8:$G$10000,quot_location_id,'[1]1_group_total_details'!$H$8:$H$10000,"&lt;="&amp;quot_date)+SUMIFS('[1]1_group_total_details'!$L$8:$L$10000,'[1]1_group_total_details'!$C$8:$C$10000,I8,'[1]1_group_total_details'!$F$8:$F$10000,quot_location_group_id,'[1]1_group_total_details'!$G$8:$G$10000,1,'[1]1_group_total_details'!$H$8:$H$10000,"&lt;="&amp;quot_date)+SUMIFS('[1]1_group_total_details'!$N$8:$N$10000,'[1]1_group_total_details'!$C$8:$C$10000,I8,'[1]1_group_total_details'!$F$8:$F$10000,quot_location_group_id,'[1]1_group_total_details'!$G$8:$G$10000,quot_location_id,'[1]1_group_total_details'!$H$8:$H$10000,"&lt;="&amp;quot_date)+SUMIFS('[1]1_group_total_details'!$O$8:$O$10000,'[1]1_group_total_details'!$C$8:$C$10000,I8,'[1]1_group_total_details'!$F$8:$F$10000,quot_location_group_id,'[1]1_group_total_details'!$G$8:$G$10000,quot_location_id,'[1]1_group_total_details'!$H$8:$H$10000,"&lt;="&amp;quot_date))-(SUMIFS('[1]1_group_total_details'!$J$8:$J$10000,'[1]1_group_total_details'!$C$8:$C$10000,I8,'[1]1_group_total_details'!$F$8:$F$10000,quot_location_group_id,'[1]1_group_total_details'!$G$8:$G$10000,quot_location_id,'[1]1_group_total_details'!$H$8:$H$10000,"&lt;="&amp;quot_date)+SUMIFS('[1]1_group_total_details'!$K$8:$K$10000,'[1]1_group_total_details'!$C$8:$C$10000,I8,'[1]1_group_total_details'!$F$8:$F$10000,quot_location_group_id,'[1]1_group_total_details'!$G$8:$G$10000,quot_location_id,'[1]1_group_total_details'!$H$8:$H$10000,"&lt;="&amp;quot_date)+SUMIFS('[1]1_group_total_details'!$M$8:$M$10000,'[1]1_group_total_details'!$C$8:$C$10000,I8,'[1]1_group_total_details'!$F$8:$F$10000,quot_location_group_id,'[1]1_group_total_details'!$G$8:$G$10000,quot_location_id,'[1]1_group_total_details'!$H$8:$H$10000,"&lt;="&amp;quot_date)+SUMIFS('[1]1_group_total_details'!$P$8:$P$10000,'[1]1_group_total_details'!$C$8:$C$10000,I8,'[1]1_group_total_details'!$F$8:$F$10000,quot_location_group_id,'[1]1_group_total_details'!$G$8:$G$10000,quot_location_id,'[1]1_group_total_details'!$H$8:$H$10000,"&lt;="&amp;quot_date)))</f>
        <v>#VALUE!</v>
      </c>
      <c r="AM8" s="197" t="e">
        <f>IF(M8="","",SUMIFS('[1]1_group_totals'!$J$8:$J$10000,'[1]1_group_totals'!$C$8:$C$10000,I8,'[1]1_group_totals'!$F$8:$F$10000,quot_location_group_id,'[1]1_group_totals'!$G$8:$G$10000,quot_location_id,'[1]1_group_totals'!$H$8:$H$10000,"="&amp;Q8,'[1]1_group_totals'!$I$8:$I$10000,"="&amp;R8))</f>
        <v>#VALUE!</v>
      </c>
      <c r="AN8" s="197" t="str">
        <f t="shared" ref="AN8:AN71" si="7">IF(M8="","",VLOOKUP(I8,product_list,8,FALSE))</f>
        <v>053.Unit/4m</v>
      </c>
      <c r="AO8" s="197" t="str">
        <f>IF(OR(ISNA(MATCH(MID(AN8,1,3)*1,UomConversion!$D$8:$D$500,0)),M8=""),"",IF(AT8="","",AT8))</f>
        <v>016.m</v>
      </c>
      <c r="AP8" s="197" t="str">
        <f>IF(AND(AQ8&gt;0,COUNTIFS(UomConversion!$D$8:$D$500,MID(AN8,1,3)*1,UomConversion!$J$8:$J$500,1)&gt;1),TEXT(AQ8,"000")&amp;"."&amp;VLOOKUP(AQ8,uom_list,5,FALSE),"")</f>
        <v/>
      </c>
      <c r="AQ8" s="197">
        <f>IF(AND(AU8&gt;0,M8&lt;&gt;""),AU8,"")</f>
        <v>16</v>
      </c>
      <c r="AR8" s="197">
        <f>IF(M8="","",IF(AA8&gt;0,AB8/AA8,""))</f>
        <v>4</v>
      </c>
      <c r="AS8" s="197">
        <f>IF(M8="","",SUMIFS(ProductPrice!$N$28:$N$10020,ProductPrice!$D$28:$D$10020,I8,ProductPrice!$G$28:$G$10020,quot_branch_id,ProductPrice!$H$28:$H$10020,quot_price_type_id,ProductPrice!$I$28:$I$10020,MID(P8,1,3)*1,ProductPrice!$Q$28:$Q$10020,1))</f>
        <v>28.5</v>
      </c>
      <c r="AT8" s="197" t="str">
        <f t="shared" ref="AT8:AT71" si="8">IF(OR(ISNA(VLOOKUP(MID(AN8,1,3)*1,uom_converion_list,2,FALSE)),M8=""),"",TEXT(VLOOKUP(MID(AN8,1,3)*1,uom_converion_list,2,FALSE),"000")&amp;"."&amp;VLOOKUP(VLOOKUP(MID(AN8,1,3)*1,uom_converion_list,2,FALSE),uom_list,5,FALSE))</f>
        <v>016.m</v>
      </c>
      <c r="AU8" s="197" cm="1">
        <f t="array" ref="AU8">IF(M8="","",IF(ISNA(Slookup(MID(AN8,1,3)*1,UomConversion!$D$8:$J$500,2,UomConversion!$I$8:$I$500,1,UomConversion!$J$8:$J$500,1)),"",Slookup(MID(AN8,1,3)*1,UomConversion!$D$8:$J$500,2,UomConversion!$I$8:$I$500,1,UomConversion!$J$8:$J$500,1)))</f>
        <v>16</v>
      </c>
      <c r="AV8" s="197" t="e">
        <f t="shared" ref="AV8" si="9">IF(M8="","",IF(quot_location_id=1,BA8,IF(quot_location_id=2,BB8,0)))</f>
        <v>#VALUE!</v>
      </c>
      <c r="AW8" s="197" t="e">
        <f>IF(M8="","",(SUMIFS('[1]1_group_totals'!$K$8:$K$10000,'[1]1_group_totals'!$C$8:$C$10000,I8,'[1]1_group_totals'!$F$8:$F$10000,quot_location_group_id,'[1]1_group_totals'!$G$8:$G$10000,quot_location_id,'[1]1_group_totals'!$H$8:$H$10000,"="&amp;Q8,'[1]1_group_totals'!$I$8:$I$10000,"="&amp;R8)+SUMIFS('[1]1_group_totals'!$N$8:$N$10000,'[1]1_group_totals'!$C$8:$C$10000,I8,'[1]1_group_totals'!$F$8:$F$10000,quot_location_group_id,'[1]1_group_totals'!$G$8:$G$10000,quot_location_id,'[1]1_group_totals'!$H$8:$H$10000,"="&amp;Q8,'[1]1_group_totals'!$I$8:$I$10000,"="&amp;R8)+SUMIFS('[1]1_group_totals'!$P$8:$P$10000,'[1]1_group_totals'!$C$8:$C$10000,I8,'[1]1_group_totals'!$F$8:$F$10000,quot_location_group_id,'[1]1_group_totals'!$G$8:$G$10000,quot_location_id,'[1]1_group_totals'!$H$8:$H$10000,"="&amp;Q8,'[1]1_group_totals'!$I$8:$I$10000,"="&amp;R8)+SUMIFS('[1]1_group_totals'!$Q$8:$Q$10000,'[1]1_group_totals'!$C$8:$C$10000,I8,'[1]1_group_totals'!$F$8:$F$10000,quot_location_group_id,'[1]1_group_totals'!$G$8:$G$10000,quot_location_id,'[1]1_group_totals'!$H$8:$H$10000,"="&amp;Q8,'[1]1_group_totals'!$I$8:$I$10000,"="&amp;R8))+(SUMIFS('[1]1_group_totals'!$L$8:$L$10000,'[1]1_group_totals'!$C$8:$C$10000,I8,'[1]1_group_totals'!$F$8:$F$10000,quot_location_group_id,'[1]1_group_totals'!$G$8:$G$10000,quot_location_id,'[1]1_group_totals'!$H$8:$H$10000,"="&amp;Q8,'[1]1_group_totals'!$I$8:$I$10000,"="&amp;R8)+SUMIFS('[1]1_group_totals'!$M$8:$M$10000,'[1]1_group_totals'!$C$8:$C$10000,I8,'[1]1_group_totals'!$F$8:$F$10000,quot_location_group_id,'[1]1_group_totals'!$G$8:$G$10000,quot_location_id,'[1]1_group_totals'!$H$8:$H$10000,"="&amp;Q8,'[1]1_group_totals'!$I$8:$I$10000,"="&amp;R8)+SUMIFS('[1]1_group_totals'!$O$8:$O$10000,'[1]1_group_totals'!$C$8:$C$10000,I8,'[1]1_group_totals'!$F$8:$F$10000,quot_location_group_id,'[1]1_group_totals'!$G$8:$G$10000,quot_location_id,'[1]1_group_totals'!$H$8:$H$10000,"="&amp;Q8,'[1]1_group_totals'!$I$8:$I$10000,"="&amp;R8)+SUMIFS('[1]1_group_totals'!$R$8:$R$10000,'[1]1_group_totals'!$C$8:$C$10000,I8,'[1]1_group_totals'!$F$8:$F$10000,quot_location_group_id,'[1]1_group_totals'!$G$8:$G$10000,quot_location_id,'[1]1_group_totals'!$H$8:$H$10000,"="&amp;Q8,'[1]1_group_totals'!$I$8:$I$10000,"="&amp;R8)))</f>
        <v>#VALUE!</v>
      </c>
      <c r="AX8" s="197">
        <f>IF(M8="","",IF((N8+O8)*(AB8/AA8)&gt;0,(N8+O8)*(AB8/AA8),0))</f>
        <v>8</v>
      </c>
      <c r="AY8" s="197">
        <f>IF(M8="","",SUMIFS($AX$8:AX8,$I$8:I8,I8))</f>
        <v>8</v>
      </c>
      <c r="AZ8" s="197" t="e">
        <f>IF(M8="","",AL8-AY8)</f>
        <v>#VALUE!</v>
      </c>
      <c r="BA8" s="197" t="e">
        <f>IF(M8="","",(SUMIFS('[1]1_inventory_totals'!$I$8:$I$10000,'[1]1_inventory_totals'!$C$8:$C$10000,I8,'[1]1_inventory_totals'!$F$8:$F$10000,"="&amp;Q8,'[1]1_inventory_totals'!$G$8:$G$10000,"="&amp;R8)+SUMIFS('[1]1_inventory_totals'!$N$8:$N$10000,'[1]1_inventory_totals'!$C$8:$C$10000,I8,'[1]1_inventory_totals'!$F$8:$F$10000,"="&amp;Q8,'[1]1_inventory_totals'!$G$8:$G$10000,"="&amp;R8)+SUMIFS('[1]1_inventory_totals'!$P$8:$P$10000,'[1]1_inventory_totals'!$C$8:$C$10000,I8,'[1]1_inventory_totals'!$F$8:$F$10000,"="&amp;Q8,'[1]1_inventory_totals'!$G$8:$G$10000,"="&amp;R8)+SUMIFS('[1]1_inventory_totals'!$Q$8:$Q$10000,'[1]1_inventory_totals'!$C$8:$C$10000,I8,'[1]1_inventory_totals'!$F$8:$F$10000,"="&amp;Q8,'[1]1_inventory_totals'!$G$8:$G$10000,"="&amp;R8)+SUMIFS('[1]1_inventory_totals'!$R$8:$R$10000,'[1]1_inventory_totals'!$C$8:$C$10000,I8,'[1]1_inventory_totals'!$F$8:$F$10000,"="&amp;Q8,'[1]1_inventory_totals'!$G$8:$G$10000,"="&amp;R8))+(SUMIFS('[1]1_inventory_totals'!$J$8:$J$10000,'[1]1_inventory_totals'!$C$8:$C$10000,I8,'[1]1_inventory_totals'!$F$8:$F$10000,"="&amp;Q8,'[1]1_inventory_totals'!$G$8:$G$10000,"="&amp;R8)+SUMIFS('[1]1_inventory_totals'!$K$8:$K$10000,'[1]1_inventory_totals'!$C$8:$C$10000,I8,'[1]1_inventory_totals'!$F$8:$F$10000,"="&amp;Q8,'[1]1_inventory_totals'!$G$8:$G$10000,"="&amp;R8)+SUMIFS('[1]1_inventory_totals'!$L$8:$L$10000,'[1]1_inventory_totals'!$C$8:$C$10000,I8,'[1]1_inventory_totals'!$F$8:$F$10000,"="&amp;Q8,'[1]1_inventory_totals'!$G$8:$G$10000,"="&amp;R8)+SUMIFS('[1]1_inventory_totals'!$M$8:$M$10000,'[1]1_inventory_totals'!$C$8:$C$10000,I8,'[1]1_inventory_totals'!$F$8:$F$10000,"="&amp;Q8,'[1]1_inventory_totals'!$G$8:$G$10000,"="&amp;R8)+SUMIFS('[1]1_inventory_totals'!$O$8:$O$10000,'[1]1_inventory_totals'!$C$8:$C$10000,I8,'[1]1_inventory_totals'!$F$8:$F$10000,"="&amp;Q8,'[1]1_inventory_totals'!$G$8:$G$10000,"="&amp;R8)+SUMIFS('[1]1_inventory_totals'!$S$8:$S$10000,'[1]1_inventory_totals'!$C$8:$C$10000,I8,'[1]1_inventory_totals'!$F$8:$F$10000,"="&amp;Q8,'[1]1_inventory_totals'!$G$8:$G$10000,"="&amp;R8)))</f>
        <v>#VALUE!</v>
      </c>
      <c r="BB8" s="197" t="e">
        <f>IF(M8="","",(SUMIFS('[1]2_inventory_totals'!$I$8:$I$10000,'[1]2_inventory_totals'!$C$8:$C$10000,I8,'[1]2_inventory_totals'!$F$8:$F$10000,"="&amp;Q8,'[1]2_inventory_totals'!$G$8:$G$10000,"="&amp;R8)+SUMIFS('[1]2_inventory_totals'!$N$8:$N$10000,'[1]2_inventory_totals'!$C$8:$C$10000,I8,'[1]2_inventory_totals'!$F$8:$F$10000,"="&amp;Q8,'[1]2_inventory_totals'!$G$8:$G$10000,"="&amp;R8)+SUMIFS('[1]2_inventory_totals'!$P$8:$P$10000,'[1]2_inventory_totals'!$C$8:$C$10000,I8,'[1]2_inventory_totals'!$F$8:$F$10000,"="&amp;Q8,'[1]2_inventory_totals'!$G$8:$G$10000,"="&amp;R8)+SUMIFS('[1]2_inventory_totals'!$Q$8:$Q$10000,'[1]2_inventory_totals'!$C$8:$C$10000,I8,'[1]2_inventory_totals'!$F$8:$F$10000,"="&amp;Q8,'[1]2_inventory_totals'!$G$8:$G$10000,"="&amp;R8)+SUMIFS('[1]2_inventory_totals'!$R$8:$R$10000,'[1]2_inventory_totals'!$C$8:$C$10000,I8,'[1]2_inventory_totals'!$F$8:$F$10000,"="&amp;Q8,'[1]2_inventory_totals'!$G$8:$G$10000,"="&amp;R8))+(SUMIFS('[1]2_inventory_totals'!$J$8:$J$10000,'[1]2_inventory_totals'!$C$8:$C$10000,I8,'[1]2_inventory_totals'!$F$8:$F$10000,"="&amp;Q8,'[1]2_inventory_totals'!$G$8:$G$10000,"="&amp;R8)+SUMIFS('[1]2_inventory_totals'!$K$8:$K$10000,'[1]2_inventory_totals'!$C$8:$C$10000,I8,'[1]2_inventory_totals'!$F$8:$F$10000,"="&amp;Q8,'[1]2_inventory_totals'!$G$8:$G$10000,"="&amp;R8)+SUMIFS('[1]2_inventory_totals'!$L$8:$L$10000,'[1]2_inventory_totals'!$C$8:$C$10000,I8,'[1]2_inventory_totals'!$F$8:$F$10000,"="&amp;Q8,'[1]2_inventory_totals'!$G$8:$G$10000,"="&amp;R8)+SUMIFS('[1]2_inventory_totals'!$M$8:$M$10000,'[1]2_inventory_totals'!$C$8:$C$10000,I8,'[1]2_inventory_totals'!$F$8:$F$10000,"="&amp;Q8,'[1]2_inventory_totals'!$G$8:$G$10000,"="&amp;R8)+SUMIFS('[1]2_inventory_totals'!$O$8:$O$10000,'[1]2_inventory_totals'!$C$8:$C$10000,I8,'[1]2_inventory_totals'!$F$8:$F$10000,"="&amp;Q8,'[1]2_inventory_totals'!$G$8:$G$10000,"="&amp;R8)+SUMIFS('[1]2_inventory_totals'!$S$8:$S$10000,'[1]2_inventory_totals'!$C$8:$C$10000,I8,'[1]2_inventory_totals'!$F$8:$F$10000,"="&amp;Q8,'[1]2_inventory_totals'!$G$8:$G$10000,"="&amp;R8)))</f>
        <v>#VALUE!</v>
      </c>
    </row>
    <row r="9" spans="1:58" ht="27" customHeight="1" thickBot="1">
      <c r="A9" s="923"/>
      <c r="B9" s="1256"/>
      <c r="C9" s="1235">
        <v>46273</v>
      </c>
      <c r="D9" s="1605">
        <f>IFERROR(IF(quot_date="","",IF(AND(DAY(quot_date)&gt;0,DAY(quot_date)&lt;8),1,IF(AND(DAY(quot_date)&gt;7,DAY(quot_date)&lt;15),2,IF(AND(DAY(quot_date)&gt;14,DAY(quot_date)&lt;22),3,IF(AND(DAY(quot_date)&gt;21,DAY(quot_date)&lt;32),4,""))))),"")</f>
        <v>2</v>
      </c>
      <c r="E9" s="1596" t="e">
        <f>"Q"&amp;RIGHT(YEAR(C9),2)&amp;"-"&amp;TEXT(quot_no,"000000")</f>
        <v>#VALUE!</v>
      </c>
      <c r="F9" s="1597" t="e">
        <f>COUNTIFS([1]QuoteData!AG8:AG10002,"&gt;0")+1</f>
        <v>#VALUE!</v>
      </c>
      <c r="G9" s="941"/>
      <c r="I9" s="1610">
        <f t="shared" ref="I9:I72" si="10">IF(M9="","",MID(M9,1,5)*1)</f>
        <v>176</v>
      </c>
      <c r="J9" s="1611">
        <f>IF(M9="","",J8+1)</f>
        <v>2</v>
      </c>
      <c r="K9" s="1612" t="str">
        <f t="shared" ref="K9" si="11">IF(M9="","",VLOOKUP(I9,product_list,4,FALSE))</f>
        <v>DKS0176</v>
      </c>
      <c r="L9" s="1613"/>
      <c r="M9" s="883" t="s">
        <v>4517</v>
      </c>
      <c r="N9" s="884">
        <v>1</v>
      </c>
      <c r="O9" s="884"/>
      <c r="P9" s="885" t="s">
        <v>4518</v>
      </c>
      <c r="Q9" s="886"/>
      <c r="R9" s="887"/>
      <c r="S9" s="1614" t="str">
        <f t="shared" ref="S9" si="12">IF(M9="","",quot_currency_symbol)</f>
        <v>$</v>
      </c>
      <c r="T9" s="888"/>
      <c r="U9" s="1650">
        <f t="shared" ref="U9:U72" si="13">IF(M9="","",ROUND(IF(T9&gt;0,T9,IF(AS9&gt;0,AS9,IF(P9=AN9,AF9,IF(P9=AO9,ROUND(AF9/AA9,T90),IF(P9=AP9,ROUND(AF9/AB9,9)))))),2))</f>
        <v>4.5</v>
      </c>
      <c r="V9" s="1615" t="str">
        <f t="shared" ref="V9" si="14">IF(W9=0,"",quot_currency_symbol)</f>
        <v/>
      </c>
      <c r="W9" s="889"/>
      <c r="X9" s="1615" t="str">
        <f t="shared" ref="X9" si="15">IF(M9="","",quot_currency_symbol)</f>
        <v>$</v>
      </c>
      <c r="Y9" s="1616">
        <f t="shared" ref="Y9" si="16">IF(M9="","",ROUND(IF(T9&gt;0,N9*T9-W9,N9*U9-W9),2))</f>
        <v>4.5</v>
      </c>
      <c r="Z9" s="890"/>
      <c r="AA9" s="197" cm="1">
        <f t="array" ref="AA9">IF(M9="","",IF(P9=AN9,1,Slookup(MID(AN9,1,3)*1,UomConversion!$D$8:$J$500,5,UomConversion!$E$8:$E$500,MID(P9,1,3)*1,UomConversion!$J$8:$J$500,1)))</f>
        <v>20</v>
      </c>
      <c r="AB9" s="197">
        <f t="shared" si="3"/>
        <v>1000</v>
      </c>
      <c r="AC9" s="197">
        <f t="shared" ref="AC9:AC72" si="17">IF(M9="","",W9)</f>
        <v>0</v>
      </c>
      <c r="AD9" s="197">
        <f t="shared" ref="AD9:AD72" si="18">IF(M9="","",IF(P9=AN9,AE9,IF(P9=AO9,ROUND(AE9/AA9,9),IF(P9=AP9,ROUND(AE9/AB9,9)))))</f>
        <v>4.25</v>
      </c>
      <c r="AE9" s="197">
        <f t="shared" ref="AE9:AE72" si="19">IF(M9="","",VLOOKUP(I9,product_list,14,FALSE))</f>
        <v>85</v>
      </c>
      <c r="AF9" s="197">
        <f t="shared" si="5"/>
        <v>90</v>
      </c>
      <c r="AG9" s="197">
        <f t="shared" si="6"/>
        <v>1</v>
      </c>
      <c r="AH9" s="197" t="e">
        <f>IF(I9="","",IF(ISNA(MATCH(I9,IF(quot_location_id=1,'[1]1_inventory_totals'!$C$8:$C$10000,IF(quot_location_id=2,'[1]2_inventory_totals'!$C$8:$C$10000,0)),0)),0,IF(AV9&gt;0,1,0)))</f>
        <v>#VALUE!</v>
      </c>
      <c r="AI9" s="197" t="e">
        <f>IF(M9="","",IF(quot_location_id=1,SUMIFS('[1]1_inventory_total_details'!$J$8:$J$10000,'[1]1_inventory_total_details'!$C$8:$C$10000,I9,'[1]1_inventory_total_details'!$F$8:$F$10000,quot_location_id,'[1]1_inventory_total_details'!$G$8:$G$10000,"="&amp;Q9,'[1]1_inventory_total_details'!$H$8:$H$10000,"="&amp;R9,'[1]1_inventory_total_details'!$I$8:$I$10000,"="&amp;quot_date)+SUMIFS('[1]1_inventory_total_details'!$M$8:$M$10000,'[1]1_inventory_total_details'!$C$8:$C$10000,I9,'[1]1_inventory_total_details'!$F$8:$F$10000,quot_location_id,'[1]1_inventory_total_details'!$G$8:$G$10000,"="&amp;Q9,'[1]1_inventory_total_details'!$H$8:$H$10000,"="&amp;R9,'[1]1_inventory_total_details'!$I$8:$I$10000,"="&amp;quot_date)+SUMIFS('[1]1_inventory_total_details'!$K$8:$K$10000,'[1]1_inventory_total_details'!$C$8:$C$10000,I9,'[1]1_inventory_total_details'!$F$8:$F$10000,quot_location_id,'[1]1_inventory_total_details'!$G$8:$G$10000,"="&amp;Q9,'[1]1_inventory_total_details'!$H$8:$H$10000,"="&amp;R9,'[1]1_inventory_total_details'!$I$8:$I$10000,"="&amp;quot_date)+SUMIFS('[1]1_inventory_total_details'!$L$8:$L$10000,'[1]1_inventory_total_details'!$C$8:$C$10000,I9,'[1]1_inventory_total_details'!$F$8:$F$10000,quot_location_id,'[1]1_inventory_total_details'!$G$8:$G$10000,"="&amp;Q9,'[1]1_inventory_total_details'!$H$8:$H$10000,"="&amp;R9,'[1]1_inventory_total_details'!$I$8:$I$10000,"="&amp;quot_date),SUMIFS('[1]2_inventory_total_details'!$J$8:$J$10000,'[1]2_inventory_total_details'!$C$8:$C$10000,I9,'[1]2_inventory_total_details'!$F$8:$F$10000,quot_location_id,'[1]2_inventory_total_details'!$G$8:$G$10000,"="&amp;Q9,'[1]2_inventory_total_details'!$H$8:$H$10000,"="&amp;R9,'[1]2_inventory_total_details'!$I$8:$I$10000,"="&amp;quot_date)+SUMIFS('[1]2_inventory_total_details'!$M$8:$M$10000,'[1]2_inventory_total_details'!$C$8:$C$10000,I9,'[1]2_inventory_total_details'!$F$8:$F$10000,quot_location_id,'[1]2_inventory_total_details'!$G$8:$G$10000,"="&amp;Q9,'[1]2_inventory_total_details'!$H$8:$H$10000,"="&amp;R9,'[1]2_inventory_total_details'!$I$8:$I$10000,"="&amp;quot_date)+SUMIFS('[1]2_inventory_total_details'!$K$8:$K$10000,'[1]2_inventory_total_details'!$C$8:$C$10000,I9,'[1]2_inventory_total_details'!$F$8:$F$10000,quot_location_id,'[1]2_inventory_total_details'!$G$8:$G$10000,"="&amp;Q9,'[1]2_inventory_total_details'!$H$8:$H$10000,"="&amp;R9,'[1]2_inventory_total_details'!$I$8:$I$10000,"="&amp;quot_date)+SUMIFS('[1]2_inventory_total_details'!$L$8:$L$10000,'[1]2_inventory_total_details'!$C$8:$C$10000,I9,'[1]2_inventory_total_details'!$F$8:$F$10000,quot_location_id,'[1]2_inventory_total_details'!$G$8:$G$10000,"="&amp;Q9,'[1]2_inventory_total_details'!$H$8:$H$10000,"="&amp;R9,'[1]2_inventory_total_details'!$I$8:$I$10000,"="&amp;quot_date)))</f>
        <v>#VALUE!</v>
      </c>
      <c r="AJ9" s="197" t="e">
        <f>IF(M9="","",IF(ISNA(MATCH(I9,'[1]1_group_totals'!$C$8:$C$10000)),0,IF(AW9&gt;0,1,0)))</f>
        <v>#VALUE!</v>
      </c>
      <c r="AK9" s="197" t="e">
        <f>IF(M9="","",(SUMIFS('[1]1_group_total_details'!$I$8:$I$10000,'[1]1_group_total_details'!$C$8:$C$10000,I9,'[1]1_group_total_details'!$F$8:$F$10000,quot_location_group_id,'[1]1_group_total_details'!$G$8:$G$10000,quot_location_id,'[1]1_group_total_details'!$H$8:$H$10000,"="&amp;quot_date)+SUMIFS('[1]1_group_total_details'!$L$8:$L$10000,'[1]1_group_total_details'!$C$8:$C$10000,I9,'[1]1_group_total_details'!$F$8:$F$10000,quot_location_group_id,'[1]1_group_total_details'!$G$8:$G$10000,quot_location_id,'[1]1_group_total_details'!$H$8:$H$10000,"="&amp;quot_date)+SUMIFS('[1]1_group_total_details'!$N$8:$N$10000,'[1]1_group_total_details'!$C$8:$C$10000,I9,'[1]1_group_total_details'!$F$8:$F$10000,quot_location_group_id,'[1]1_group_total_details'!$G$8:$G$10000,quot_location_id,'[1]1_group_total_details'!$H$8:$H$10000,"="&amp;quot_date)+SUMIFS('[1]1_group_total_details'!$O$8:$O$10000,'[1]1_group_total_details'!$C$8:$C$10000,I9,'[1]1_group_total_details'!$F$8:$F$10000,quot_location_group_id,'[1]1_group_total_details'!$G$8:$G$10000,quot_location_id,'[1]1_group_total_details'!$H$8:$H$10000,"="&amp;quot_date))+(SUMIFS('[1]1_group_total_details'!$J$8:$J$10000,'[1]1_group_total_details'!$C$8:$C$10000,I9,'[1]1_group_total_details'!$F$8:$F$10000,quot_location_group_id,'[1]1_group_total_details'!$G$8:$G$10000,quot_location_id,'[1]1_group_total_details'!$H$8:$H$10000,"="&amp;quot_date)+SUMIFS('[1]1_group_total_details'!$K$8:$K$10000,'[1]1_group_total_details'!$C$8:$C$10000,I9,'[1]1_group_total_details'!$F$8:$F$10000,quot_location_group_id,'[1]1_group_total_details'!$G$8:$G$10000,quot_location_id,'[1]1_group_total_details'!$H$8:$H$10000,"="&amp;quot_date)+SUMIFS('[1]1_group_total_details'!$M$8:$M$10000,'[1]1_group_total_details'!$C$8:$C$10000,I9,'[1]1_group_total_details'!$F$8:$F$10000,quot_location_group_id,'[1]1_group_total_details'!$G$8:$G$10000,quot_location_id,'[1]1_group_total_details'!$H$8:$H$10000,"="&amp;quot_date)+SUMIFS('[1]1_group_total_details'!$P$8:$P$10000,'[1]1_group_total_details'!$C$8:$C$10000,I9,'[1]1_group_total_details'!$F$8:$F$10000,quot_location_group_id,'[1]1_group_total_details'!$G$8:$G$10000,quot_location_id,'[1]1_group_total_details'!$H$8:$H$10000,"="&amp;quot_date)))</f>
        <v>#VALUE!</v>
      </c>
      <c r="AL9" s="197" t="e">
        <f>IF(M9="","",(SUMIFS('[1]1_group_total_details'!$I$8:$I$10000,'[1]1_group_total_details'!$C$8:$C$10000,I9,'[1]1_group_total_details'!$F$8:$F$10000,quot_location_group_id,'[1]1_group_total_details'!$G$8:$G$10000,quot_location_id,'[1]1_group_total_details'!$H$8:$H$10000,"&lt;="&amp;quot_date)+SUMIFS('[1]1_group_total_details'!$L$8:$L$10000,'[1]1_group_total_details'!$C$8:$C$10000,I9,'[1]1_group_total_details'!$F$8:$F$10000,quot_location_group_id,'[1]1_group_total_details'!$G$8:$G$10000,1,'[1]1_group_total_details'!$H$8:$H$10000,"&lt;="&amp;quot_date)+SUMIFS('[1]1_group_total_details'!$N$8:$N$10000,'[1]1_group_total_details'!$C$8:$C$10000,I9,'[1]1_group_total_details'!$F$8:$F$10000,quot_location_group_id,'[1]1_group_total_details'!$G$8:$G$10000,quot_location_id,'[1]1_group_total_details'!$H$8:$H$10000,"&lt;="&amp;quot_date)+SUMIFS('[1]1_group_total_details'!$O$8:$O$10000,'[1]1_group_total_details'!$C$8:$C$10000,I9,'[1]1_group_total_details'!$F$8:$F$10000,quot_location_group_id,'[1]1_group_total_details'!$G$8:$G$10000,quot_location_id,'[1]1_group_total_details'!$H$8:$H$10000,"&lt;="&amp;quot_date))-(SUMIFS('[1]1_group_total_details'!$J$8:$J$10000,'[1]1_group_total_details'!$C$8:$C$10000,I9,'[1]1_group_total_details'!$F$8:$F$10000,quot_location_group_id,'[1]1_group_total_details'!$G$8:$G$10000,quot_location_id,'[1]1_group_total_details'!$H$8:$H$10000,"&lt;="&amp;quot_date)+SUMIFS('[1]1_group_total_details'!$K$8:$K$10000,'[1]1_group_total_details'!$C$8:$C$10000,I9,'[1]1_group_total_details'!$F$8:$F$10000,quot_location_group_id,'[1]1_group_total_details'!$G$8:$G$10000,quot_location_id,'[1]1_group_total_details'!$H$8:$H$10000,"&lt;="&amp;quot_date)+SUMIFS('[1]1_group_total_details'!$M$8:$M$10000,'[1]1_group_total_details'!$C$8:$C$10000,I9,'[1]1_group_total_details'!$F$8:$F$10000,quot_location_group_id,'[1]1_group_total_details'!$G$8:$G$10000,quot_location_id,'[1]1_group_total_details'!$H$8:$H$10000,"&lt;="&amp;quot_date)+SUMIFS('[1]1_group_total_details'!$P$8:$P$10000,'[1]1_group_total_details'!$C$8:$C$10000,I9,'[1]1_group_total_details'!$F$8:$F$10000,quot_location_group_id,'[1]1_group_total_details'!$G$8:$G$10000,quot_location_id,'[1]1_group_total_details'!$H$8:$H$10000,"&lt;="&amp;quot_date)))</f>
        <v>#VALUE!</v>
      </c>
      <c r="AM9" s="197" t="e">
        <f>IF(M9="","",SUMIFS('[1]1_group_totals'!$J$8:$J$10000,'[1]1_group_totals'!$C$8:$C$10000,I9,'[1]1_group_totals'!$F$8:$F$10000,quot_location_group_id,'[1]1_group_totals'!$G$8:$G$10000,quot_location_id,'[1]1_group_totals'!$H$8:$H$10000,"="&amp;Q9,'[1]1_group_totals'!$I$8:$I$10000,"="&amp;R9))</f>
        <v>#VALUE!</v>
      </c>
      <c r="AN9" s="197" t="str">
        <f t="shared" si="7"/>
        <v>051.Ton/20Be</v>
      </c>
      <c r="AO9" s="197" t="str">
        <f>IF(OR(ISNA(MATCH(MID(AN9,1,3)*1,UomConversion!$D$8:$D$500,0)),M9=""),"",IF(AT9="","",AT9))</f>
        <v>022.Be</v>
      </c>
      <c r="AP9" s="197" t="str">
        <f>IF(AND(AQ9&gt;0,COUNTIFS(UomConversion!$D$8:$D$500,MID(AN9,1,3)*1,UomConversion!$J$8:$J$500,1)&gt;1),TEXT(AQ9,"000")&amp;"."&amp;VLOOKUP(AQ9,uom_list,5,FALSE),"")</f>
        <v>012.kg</v>
      </c>
      <c r="AQ9" s="197">
        <f t="shared" ref="AQ9:AQ72" si="20">IF(AND(AU9&gt;0,M9&lt;&gt;""),AU9,"")</f>
        <v>12</v>
      </c>
      <c r="AR9" s="197">
        <f t="shared" ref="AR9:AR72" si="21">IF(M9="","",IF(AA9&gt;0,AB9/AA9,""))</f>
        <v>50</v>
      </c>
      <c r="AS9" s="197">
        <f>IF(M9="","",SUMIFS(ProductPrice!$N$28:$N$10020,ProductPrice!$D$28:$D$10020,I9,ProductPrice!$G$28:$G$10020,quot_branch_id,ProductPrice!$H$28:$H$10020,quot_price_type_id,ProductPrice!$I$28:$I$10020,MID(P9,1,3)*1,ProductPrice!$Q$28:$Q$10020,1))</f>
        <v>4.5</v>
      </c>
      <c r="AT9" s="197" t="str">
        <f t="shared" si="8"/>
        <v>022.Be</v>
      </c>
      <c r="AU9" s="197" cm="1">
        <f t="array" ref="AU9">IF(M9="","",IF(ISNA(Slookup(MID(AN9,1,3)*1,UomConversion!$D$8:$J$500,2,UomConversion!$I$8:$I$500,1,UomConversion!$J$8:$J$500,1)),"",Slookup(MID(AN9,1,3)*1,UomConversion!$D$8:$J$500,2,UomConversion!$I$8:$I$500,1,UomConversion!$J$8:$J$500,1)))</f>
        <v>12</v>
      </c>
      <c r="AV9" s="197" t="e">
        <f t="shared" ref="AV9" si="22">IF(M9="","",IF(quot_location_id=1,BA9,IF(quot_location_id=2,BB9,0)))</f>
        <v>#VALUE!</v>
      </c>
      <c r="AW9" s="197" t="e">
        <f>IF(M9="","",(SUMIFS('[1]1_group_totals'!$K$8:$K$10000,'[1]1_group_totals'!$C$8:$C$10000,I9,'[1]1_group_totals'!$F$8:$F$10000,quot_location_group_id,'[1]1_group_totals'!$G$8:$G$10000,quot_location_id,'[1]1_group_totals'!$H$8:$H$10000,"="&amp;Q9,'[1]1_group_totals'!$I$8:$I$10000,"="&amp;R9)+SUMIFS('[1]1_group_totals'!$N$8:$N$10000,'[1]1_group_totals'!$C$8:$C$10000,I9,'[1]1_group_totals'!$F$8:$F$10000,quot_location_group_id,'[1]1_group_totals'!$G$8:$G$10000,quot_location_id,'[1]1_group_totals'!$H$8:$H$10000,"="&amp;Q9,'[1]1_group_totals'!$I$8:$I$10000,"="&amp;R9)+SUMIFS('[1]1_group_totals'!$P$8:$P$10000,'[1]1_group_totals'!$C$8:$C$10000,I9,'[1]1_group_totals'!$F$8:$F$10000,quot_location_group_id,'[1]1_group_totals'!$G$8:$G$10000,quot_location_id,'[1]1_group_totals'!$H$8:$H$10000,"="&amp;Q9,'[1]1_group_totals'!$I$8:$I$10000,"="&amp;R9)+SUMIFS('[1]1_group_totals'!$Q$8:$Q$10000,'[1]1_group_totals'!$C$8:$C$10000,I9,'[1]1_group_totals'!$F$8:$F$10000,quot_location_group_id,'[1]1_group_totals'!$G$8:$G$10000,quot_location_id,'[1]1_group_totals'!$H$8:$H$10000,"="&amp;Q9,'[1]1_group_totals'!$I$8:$I$10000,"="&amp;R9))+(SUMIFS('[1]1_group_totals'!$L$8:$L$10000,'[1]1_group_totals'!$C$8:$C$10000,I9,'[1]1_group_totals'!$F$8:$F$10000,quot_location_group_id,'[1]1_group_totals'!$G$8:$G$10000,quot_location_id,'[1]1_group_totals'!$H$8:$H$10000,"="&amp;Q9,'[1]1_group_totals'!$I$8:$I$10000,"="&amp;R9)+SUMIFS('[1]1_group_totals'!$M$8:$M$10000,'[1]1_group_totals'!$C$8:$C$10000,I9,'[1]1_group_totals'!$F$8:$F$10000,quot_location_group_id,'[1]1_group_totals'!$G$8:$G$10000,quot_location_id,'[1]1_group_totals'!$H$8:$H$10000,"="&amp;Q9,'[1]1_group_totals'!$I$8:$I$10000,"="&amp;R9)+SUMIFS('[1]1_group_totals'!$O$8:$O$10000,'[1]1_group_totals'!$C$8:$C$10000,I9,'[1]1_group_totals'!$F$8:$F$10000,quot_location_group_id,'[1]1_group_totals'!$G$8:$G$10000,quot_location_id,'[1]1_group_totals'!$H$8:$H$10000,"="&amp;Q9,'[1]1_group_totals'!$I$8:$I$10000,"="&amp;R9)+SUMIFS('[1]1_group_totals'!$R$8:$R$10000,'[1]1_group_totals'!$C$8:$C$10000,I9,'[1]1_group_totals'!$F$8:$F$10000,quot_location_group_id,'[1]1_group_totals'!$G$8:$G$10000,quot_location_id,'[1]1_group_totals'!$H$8:$H$10000,"="&amp;Q9,'[1]1_group_totals'!$I$8:$I$10000,"="&amp;R9)))</f>
        <v>#VALUE!</v>
      </c>
      <c r="AX9" s="197">
        <f t="shared" ref="AX9:AX72" si="23">IF(M9="","",IF((N9+O9)*(AB9/AA9)&gt;0,(N9+O9)*(AB9/AA9),0))</f>
        <v>50</v>
      </c>
      <c r="AY9" s="197">
        <f>IF(M9="","",SUMIFS($AX$8:AX9,$I$8:I9,I9))</f>
        <v>50</v>
      </c>
      <c r="AZ9" s="197" t="e">
        <f t="shared" ref="AZ9:AZ72" si="24">IF(M9="","",AL9-AY9)</f>
        <v>#VALUE!</v>
      </c>
      <c r="BA9" s="197" t="e">
        <f>IF(M9="","",(SUMIFS('[1]1_inventory_totals'!$I$8:$I$10000,'[1]1_inventory_totals'!$C$8:$C$10000,I9,'[1]1_inventory_totals'!$F$8:$F$10000,"="&amp;Q9,'[1]1_inventory_totals'!$G$8:$G$10000,"="&amp;R9)+SUMIFS('[1]1_inventory_totals'!$N$8:$N$10000,'[1]1_inventory_totals'!$C$8:$C$10000,I9,'[1]1_inventory_totals'!$F$8:$F$10000,"="&amp;Q9,'[1]1_inventory_totals'!$G$8:$G$10000,"="&amp;R9)+SUMIFS('[1]1_inventory_totals'!$P$8:$P$10000,'[1]1_inventory_totals'!$C$8:$C$10000,I9,'[1]1_inventory_totals'!$F$8:$F$10000,"="&amp;Q9,'[1]1_inventory_totals'!$G$8:$G$10000,"="&amp;R9)+SUMIFS('[1]1_inventory_totals'!$Q$8:$Q$10000,'[1]1_inventory_totals'!$C$8:$C$10000,I9,'[1]1_inventory_totals'!$F$8:$F$10000,"="&amp;Q9,'[1]1_inventory_totals'!$G$8:$G$10000,"="&amp;R9)+SUMIFS('[1]1_inventory_totals'!$R$8:$R$10000,'[1]1_inventory_totals'!$C$8:$C$10000,I9,'[1]1_inventory_totals'!$F$8:$F$10000,"="&amp;Q9,'[1]1_inventory_totals'!$G$8:$G$10000,"="&amp;R9))+(SUMIFS('[1]1_inventory_totals'!$J$8:$J$10000,'[1]1_inventory_totals'!$C$8:$C$10000,I9,'[1]1_inventory_totals'!$F$8:$F$10000,"="&amp;Q9,'[1]1_inventory_totals'!$G$8:$G$10000,"="&amp;R9)+SUMIFS('[1]1_inventory_totals'!$K$8:$K$10000,'[1]1_inventory_totals'!$C$8:$C$10000,I9,'[1]1_inventory_totals'!$F$8:$F$10000,"="&amp;Q9,'[1]1_inventory_totals'!$G$8:$G$10000,"="&amp;R9)+SUMIFS('[1]1_inventory_totals'!$L$8:$L$10000,'[1]1_inventory_totals'!$C$8:$C$10000,I9,'[1]1_inventory_totals'!$F$8:$F$10000,"="&amp;Q9,'[1]1_inventory_totals'!$G$8:$G$10000,"="&amp;R9)+SUMIFS('[1]1_inventory_totals'!$M$8:$M$10000,'[1]1_inventory_totals'!$C$8:$C$10000,I9,'[1]1_inventory_totals'!$F$8:$F$10000,"="&amp;Q9,'[1]1_inventory_totals'!$G$8:$G$10000,"="&amp;R9)+SUMIFS('[1]1_inventory_totals'!$O$8:$O$10000,'[1]1_inventory_totals'!$C$8:$C$10000,I9,'[1]1_inventory_totals'!$F$8:$F$10000,"="&amp;Q9,'[1]1_inventory_totals'!$G$8:$G$10000,"="&amp;R9)+SUMIFS('[1]1_inventory_totals'!$S$8:$S$10000,'[1]1_inventory_totals'!$C$8:$C$10000,I9,'[1]1_inventory_totals'!$F$8:$F$10000,"="&amp;Q9,'[1]1_inventory_totals'!$G$8:$G$10000,"="&amp;R9)))</f>
        <v>#VALUE!</v>
      </c>
      <c r="BB9" s="197" t="e">
        <f>IF(M9="","",(SUMIFS('[1]2_inventory_totals'!$I$8:$I$10000,'[1]2_inventory_totals'!$C$8:$C$10000,I9,'[1]2_inventory_totals'!$F$8:$F$10000,"="&amp;Q9,'[1]2_inventory_totals'!$G$8:$G$10000,"="&amp;R9)+SUMIFS('[1]2_inventory_totals'!$N$8:$N$10000,'[1]2_inventory_totals'!$C$8:$C$10000,I9,'[1]2_inventory_totals'!$F$8:$F$10000,"="&amp;Q9,'[1]2_inventory_totals'!$G$8:$G$10000,"="&amp;R9)+SUMIFS('[1]2_inventory_totals'!$P$8:$P$10000,'[1]2_inventory_totals'!$C$8:$C$10000,I9,'[1]2_inventory_totals'!$F$8:$F$10000,"="&amp;Q9,'[1]2_inventory_totals'!$G$8:$G$10000,"="&amp;R9)+SUMIFS('[1]2_inventory_totals'!$Q$8:$Q$10000,'[1]2_inventory_totals'!$C$8:$C$10000,I9,'[1]2_inventory_totals'!$F$8:$F$10000,"="&amp;Q9,'[1]2_inventory_totals'!$G$8:$G$10000,"="&amp;R9)+SUMIFS('[1]2_inventory_totals'!$R$8:$R$10000,'[1]2_inventory_totals'!$C$8:$C$10000,I9,'[1]2_inventory_totals'!$F$8:$F$10000,"="&amp;Q9,'[1]2_inventory_totals'!$G$8:$G$10000,"="&amp;R9))+(SUMIFS('[1]2_inventory_totals'!$J$8:$J$10000,'[1]2_inventory_totals'!$C$8:$C$10000,I9,'[1]2_inventory_totals'!$F$8:$F$10000,"="&amp;Q9,'[1]2_inventory_totals'!$G$8:$G$10000,"="&amp;R9)+SUMIFS('[1]2_inventory_totals'!$K$8:$K$10000,'[1]2_inventory_totals'!$C$8:$C$10000,I9,'[1]2_inventory_totals'!$F$8:$F$10000,"="&amp;Q9,'[1]2_inventory_totals'!$G$8:$G$10000,"="&amp;R9)+SUMIFS('[1]2_inventory_totals'!$L$8:$L$10000,'[1]2_inventory_totals'!$C$8:$C$10000,I9,'[1]2_inventory_totals'!$F$8:$F$10000,"="&amp;Q9,'[1]2_inventory_totals'!$G$8:$G$10000,"="&amp;R9)+SUMIFS('[1]2_inventory_totals'!$M$8:$M$10000,'[1]2_inventory_totals'!$C$8:$C$10000,I9,'[1]2_inventory_totals'!$F$8:$F$10000,"="&amp;Q9,'[1]2_inventory_totals'!$G$8:$G$10000,"="&amp;R9)+SUMIFS('[1]2_inventory_totals'!$O$8:$O$10000,'[1]2_inventory_totals'!$C$8:$C$10000,I9,'[1]2_inventory_totals'!$F$8:$F$10000,"="&amp;Q9,'[1]2_inventory_totals'!$G$8:$G$10000,"="&amp;R9)+SUMIFS('[1]2_inventory_totals'!$S$8:$S$10000,'[1]2_inventory_totals'!$C$8:$C$10000,I9,'[1]2_inventory_totals'!$F$8:$F$10000,"="&amp;Q9,'[1]2_inventory_totals'!$G$8:$G$10000,"="&amp;R9)))</f>
        <v>#VALUE!</v>
      </c>
    </row>
    <row r="10" spans="1:58" ht="27" customHeight="1" thickBot="1">
      <c r="A10" s="923"/>
      <c r="B10" s="1256"/>
      <c r="C10" s="947" t="s">
        <v>2656</v>
      </c>
      <c r="D10" s="1260"/>
      <c r="E10" s="1261" t="s">
        <v>3300</v>
      </c>
      <c r="F10" s="1262"/>
      <c r="I10" s="1610" t="str">
        <f t="shared" si="10"/>
        <v/>
      </c>
      <c r="J10" s="1611" t="str">
        <f t="shared" ref="J10:J30" si="25">IF(M10="","",J9+1)</f>
        <v/>
      </c>
      <c r="K10" s="1612" t="str">
        <f>IF(M10="","",VLOOKUP(I10,product_list,4,FALSE))</f>
        <v/>
      </c>
      <c r="L10" s="1613"/>
      <c r="M10" s="883"/>
      <c r="N10" s="884"/>
      <c r="O10" s="884"/>
      <c r="P10" s="885"/>
      <c r="Q10" s="886"/>
      <c r="R10" s="887"/>
      <c r="S10" s="1614" t="str">
        <f t="shared" ref="S10" si="26">IF(M10="","",quot_currency_symbol)</f>
        <v/>
      </c>
      <c r="T10" s="888"/>
      <c r="U10" s="1650" t="str">
        <f t="shared" si="13"/>
        <v/>
      </c>
      <c r="V10" s="1615" t="str">
        <f t="shared" ref="V10" si="27">IF(W10=0,"",quot_currency_symbol)</f>
        <v/>
      </c>
      <c r="W10" s="889"/>
      <c r="X10" s="1615" t="str">
        <f t="shared" ref="X10" si="28">IF(M10="","",quot_currency_symbol)</f>
        <v/>
      </c>
      <c r="Y10" s="1616" t="str">
        <f>IF(M10="","",ROUND(IF(T10&gt;0,N10*T10-W10,N10*U10-W10),2))</f>
        <v/>
      </c>
      <c r="Z10" s="890"/>
      <c r="AA10" s="197" t="str" cm="1">
        <f t="array" ref="AA10">IF(M10="","",IF(P10=AN10,1,Slookup(MID(AN10,1,3)*1,UomConversion!$D$8:$J$500,5,UomConversion!$E$8:$E$500,MID(P10,1,3)*1,UomConversion!$J$8:$J$500,1)))</f>
        <v/>
      </c>
      <c r="AB10" s="197" t="str">
        <f t="shared" si="3"/>
        <v/>
      </c>
      <c r="AC10" s="197" t="str">
        <f t="shared" si="17"/>
        <v/>
      </c>
      <c r="AD10" s="197" t="str">
        <f t="shared" si="18"/>
        <v/>
      </c>
      <c r="AE10" s="197" t="str">
        <f t="shared" si="19"/>
        <v/>
      </c>
      <c r="AF10" s="197" t="str">
        <f t="shared" si="5"/>
        <v/>
      </c>
      <c r="AG10" s="197" t="str">
        <f t="shared" si="6"/>
        <v/>
      </c>
      <c r="AH10" s="197" t="str">
        <f>IF(I10="","",IF(ISNA(MATCH(I10,IF(quot_location_id=1,'[1]1_inventory_totals'!$C$8:$C$10000,IF(quot_location_id=2,'[1]2_inventory_totals'!$C$8:$C$10000,0)),0)),0,IF(AV10&gt;0,1,0)))</f>
        <v/>
      </c>
      <c r="AI10" s="197" t="str">
        <f>IF(M10="","",IF(quot_location_id=1,SUMIFS('[1]1_inventory_total_details'!$J$8:$J$10000,'[1]1_inventory_total_details'!$C$8:$C$10000,I10,'[1]1_inventory_total_details'!$F$8:$F$10000,quot_location_id,'[1]1_inventory_total_details'!$G$8:$G$10000,"="&amp;Q10,'[1]1_inventory_total_details'!$H$8:$H$10000,"="&amp;R10,'[1]1_inventory_total_details'!$I$8:$I$10000,"="&amp;quot_date)+SUMIFS('[1]1_inventory_total_details'!$M$8:$M$10000,'[1]1_inventory_total_details'!$C$8:$C$10000,I10,'[1]1_inventory_total_details'!$F$8:$F$10000,quot_location_id,'[1]1_inventory_total_details'!$G$8:$G$10000,"="&amp;Q10,'[1]1_inventory_total_details'!$H$8:$H$10000,"="&amp;R10,'[1]1_inventory_total_details'!$I$8:$I$10000,"="&amp;quot_date)+SUMIFS('[1]1_inventory_total_details'!$K$8:$K$10000,'[1]1_inventory_total_details'!$C$8:$C$10000,I10,'[1]1_inventory_total_details'!$F$8:$F$10000,quot_location_id,'[1]1_inventory_total_details'!$G$8:$G$10000,"="&amp;Q10,'[1]1_inventory_total_details'!$H$8:$H$10000,"="&amp;R10,'[1]1_inventory_total_details'!$I$8:$I$10000,"="&amp;quot_date)+SUMIFS('[1]1_inventory_total_details'!$L$8:$L$10000,'[1]1_inventory_total_details'!$C$8:$C$10000,I10,'[1]1_inventory_total_details'!$F$8:$F$10000,quot_location_id,'[1]1_inventory_total_details'!$G$8:$G$10000,"="&amp;Q10,'[1]1_inventory_total_details'!$H$8:$H$10000,"="&amp;R10,'[1]1_inventory_total_details'!$I$8:$I$10000,"="&amp;quot_date),SUMIFS('[1]2_inventory_total_details'!$J$8:$J$10000,'[1]2_inventory_total_details'!$C$8:$C$10000,I10,'[1]2_inventory_total_details'!$F$8:$F$10000,quot_location_id,'[1]2_inventory_total_details'!$G$8:$G$10000,"="&amp;Q10,'[1]2_inventory_total_details'!$H$8:$H$10000,"="&amp;R10,'[1]2_inventory_total_details'!$I$8:$I$10000,"="&amp;quot_date)+SUMIFS('[1]2_inventory_total_details'!$M$8:$M$10000,'[1]2_inventory_total_details'!$C$8:$C$10000,I10,'[1]2_inventory_total_details'!$F$8:$F$10000,quot_location_id,'[1]2_inventory_total_details'!$G$8:$G$10000,"="&amp;Q10,'[1]2_inventory_total_details'!$H$8:$H$10000,"="&amp;R10,'[1]2_inventory_total_details'!$I$8:$I$10000,"="&amp;quot_date)+SUMIFS('[1]2_inventory_total_details'!$K$8:$K$10000,'[1]2_inventory_total_details'!$C$8:$C$10000,I10,'[1]2_inventory_total_details'!$F$8:$F$10000,quot_location_id,'[1]2_inventory_total_details'!$G$8:$G$10000,"="&amp;Q10,'[1]2_inventory_total_details'!$H$8:$H$10000,"="&amp;R10,'[1]2_inventory_total_details'!$I$8:$I$10000,"="&amp;quot_date)+SUMIFS('[1]2_inventory_total_details'!$L$8:$L$10000,'[1]2_inventory_total_details'!$C$8:$C$10000,I10,'[1]2_inventory_total_details'!$F$8:$F$10000,quot_location_id,'[1]2_inventory_total_details'!$G$8:$G$10000,"="&amp;Q10,'[1]2_inventory_total_details'!$H$8:$H$10000,"="&amp;R10,'[1]2_inventory_total_details'!$I$8:$I$10000,"="&amp;quot_date)))</f>
        <v/>
      </c>
      <c r="AJ10" s="197" t="str">
        <f>IF(M10="","",IF(ISNA(MATCH(I10,'[1]1_group_totals'!$C$8:$C$10000)),0,IF(AW10&gt;0,1,0)))</f>
        <v/>
      </c>
      <c r="AK10" s="197" t="str">
        <f>IF(M10="","",(SUMIFS('[1]1_group_total_details'!$I$8:$I$10000,'[1]1_group_total_details'!$C$8:$C$10000,I10,'[1]1_group_total_details'!$F$8:$F$10000,quot_location_group_id,'[1]1_group_total_details'!$G$8:$G$10000,quot_location_id,'[1]1_group_total_details'!$H$8:$H$10000,"="&amp;quot_date)+SUMIFS('[1]1_group_total_details'!$L$8:$L$10000,'[1]1_group_total_details'!$C$8:$C$10000,I10,'[1]1_group_total_details'!$F$8:$F$10000,quot_location_group_id,'[1]1_group_total_details'!$G$8:$G$10000,quot_location_id,'[1]1_group_total_details'!$H$8:$H$10000,"="&amp;quot_date)+SUMIFS('[1]1_group_total_details'!$N$8:$N$10000,'[1]1_group_total_details'!$C$8:$C$10000,I10,'[1]1_group_total_details'!$F$8:$F$10000,quot_location_group_id,'[1]1_group_total_details'!$G$8:$G$10000,quot_location_id,'[1]1_group_total_details'!$H$8:$H$10000,"="&amp;quot_date)+SUMIFS('[1]1_group_total_details'!$O$8:$O$10000,'[1]1_group_total_details'!$C$8:$C$10000,I10,'[1]1_group_total_details'!$F$8:$F$10000,quot_location_group_id,'[1]1_group_total_details'!$G$8:$G$10000,quot_location_id,'[1]1_group_total_details'!$H$8:$H$10000,"="&amp;quot_date))+(SUMIFS('[1]1_group_total_details'!$J$8:$J$10000,'[1]1_group_total_details'!$C$8:$C$10000,I10,'[1]1_group_total_details'!$F$8:$F$10000,quot_location_group_id,'[1]1_group_total_details'!$G$8:$G$10000,quot_location_id,'[1]1_group_total_details'!$H$8:$H$10000,"="&amp;quot_date)+SUMIFS('[1]1_group_total_details'!$K$8:$K$10000,'[1]1_group_total_details'!$C$8:$C$10000,I10,'[1]1_group_total_details'!$F$8:$F$10000,quot_location_group_id,'[1]1_group_total_details'!$G$8:$G$10000,quot_location_id,'[1]1_group_total_details'!$H$8:$H$10000,"="&amp;quot_date)+SUMIFS('[1]1_group_total_details'!$M$8:$M$10000,'[1]1_group_total_details'!$C$8:$C$10000,I10,'[1]1_group_total_details'!$F$8:$F$10000,quot_location_group_id,'[1]1_group_total_details'!$G$8:$G$10000,quot_location_id,'[1]1_group_total_details'!$H$8:$H$10000,"="&amp;quot_date)+SUMIFS('[1]1_group_total_details'!$P$8:$P$10000,'[1]1_group_total_details'!$C$8:$C$10000,I10,'[1]1_group_total_details'!$F$8:$F$10000,quot_location_group_id,'[1]1_group_total_details'!$G$8:$G$10000,quot_location_id,'[1]1_group_total_details'!$H$8:$H$10000,"="&amp;quot_date)))</f>
        <v/>
      </c>
      <c r="AL10" s="197" t="str">
        <f>IF(M10="","",(SUMIFS('[1]1_group_total_details'!$I$8:$I$10000,'[1]1_group_total_details'!$C$8:$C$10000,I10,'[1]1_group_total_details'!$F$8:$F$10000,quot_location_group_id,'[1]1_group_total_details'!$G$8:$G$10000,quot_location_id,'[1]1_group_total_details'!$H$8:$H$10000,"&lt;="&amp;quot_date)+SUMIFS('[1]1_group_total_details'!$L$8:$L$10000,'[1]1_group_total_details'!$C$8:$C$10000,I10,'[1]1_group_total_details'!$F$8:$F$10000,quot_location_group_id,'[1]1_group_total_details'!$G$8:$G$10000,1,'[1]1_group_total_details'!$H$8:$H$10000,"&lt;="&amp;quot_date)+SUMIFS('[1]1_group_total_details'!$N$8:$N$10000,'[1]1_group_total_details'!$C$8:$C$10000,I10,'[1]1_group_total_details'!$F$8:$F$10000,quot_location_group_id,'[1]1_group_total_details'!$G$8:$G$10000,quot_location_id,'[1]1_group_total_details'!$H$8:$H$10000,"&lt;="&amp;quot_date)+SUMIFS('[1]1_group_total_details'!$O$8:$O$10000,'[1]1_group_total_details'!$C$8:$C$10000,I10,'[1]1_group_total_details'!$F$8:$F$10000,quot_location_group_id,'[1]1_group_total_details'!$G$8:$G$10000,quot_location_id,'[1]1_group_total_details'!$H$8:$H$10000,"&lt;="&amp;quot_date))-(SUMIFS('[1]1_group_total_details'!$J$8:$J$10000,'[1]1_group_total_details'!$C$8:$C$10000,I10,'[1]1_group_total_details'!$F$8:$F$10000,quot_location_group_id,'[1]1_group_total_details'!$G$8:$G$10000,quot_location_id,'[1]1_group_total_details'!$H$8:$H$10000,"&lt;="&amp;quot_date)+SUMIFS('[1]1_group_total_details'!$K$8:$K$10000,'[1]1_group_total_details'!$C$8:$C$10000,I10,'[1]1_group_total_details'!$F$8:$F$10000,quot_location_group_id,'[1]1_group_total_details'!$G$8:$G$10000,quot_location_id,'[1]1_group_total_details'!$H$8:$H$10000,"&lt;="&amp;quot_date)+SUMIFS('[1]1_group_total_details'!$M$8:$M$10000,'[1]1_group_total_details'!$C$8:$C$10000,I10,'[1]1_group_total_details'!$F$8:$F$10000,quot_location_group_id,'[1]1_group_total_details'!$G$8:$G$10000,quot_location_id,'[1]1_group_total_details'!$H$8:$H$10000,"&lt;="&amp;quot_date)+SUMIFS('[1]1_group_total_details'!$P$8:$P$10000,'[1]1_group_total_details'!$C$8:$C$10000,I10,'[1]1_group_total_details'!$F$8:$F$10000,quot_location_group_id,'[1]1_group_total_details'!$G$8:$G$10000,quot_location_id,'[1]1_group_total_details'!$H$8:$H$10000,"&lt;="&amp;quot_date)))</f>
        <v/>
      </c>
      <c r="AM10" s="197" t="str">
        <f>IF(M10="","",SUMIFS('[1]1_group_totals'!$J$8:$J$10000,'[1]1_group_totals'!$C$8:$C$10000,I10,'[1]1_group_totals'!$F$8:$F$10000,quot_location_group_id,'[1]1_group_totals'!$G$8:$G$10000,quot_location_id,'[1]1_group_totals'!$H$8:$H$10000,"="&amp;Q10,'[1]1_group_totals'!$I$8:$I$10000,"="&amp;R10))</f>
        <v/>
      </c>
      <c r="AN10" s="197" t="str">
        <f t="shared" si="7"/>
        <v/>
      </c>
      <c r="AO10" s="197" t="str">
        <f>IF(OR(ISNA(MATCH(MID(AN10,1,3)*1,UomConversion!$D$8:$D$500,0)),M10=""),"",IF(AT10="","",AT10))</f>
        <v/>
      </c>
      <c r="AP10" s="197" t="str">
        <f>IF(AND(AQ10&gt;0,COUNTIFS(UomConversion!$D$8:$D$500,MID(AN10,1,3)*1,UomConversion!$J$8:$J$500,1)&gt;1),TEXT(AQ10,"000")&amp;"."&amp;VLOOKUP(AQ10,uom_list,5,FALSE),"")</f>
        <v/>
      </c>
      <c r="AQ10" s="197" t="str">
        <f t="shared" si="20"/>
        <v/>
      </c>
      <c r="AR10" s="197" t="str">
        <f t="shared" si="21"/>
        <v/>
      </c>
      <c r="AS10" s="197" t="str">
        <f>IF(M10="","",SUMIFS(ProductPrice!$N$28:$N$10020,ProductPrice!$D$28:$D$10020,I10,ProductPrice!$G$28:$G$10020,quot_branch_id,ProductPrice!$H$28:$H$10020,quot_price_type_id,ProductPrice!$I$28:$I$10020,MID(P10,1,3)*1,ProductPrice!$Q$28:$Q$10020,1))</f>
        <v/>
      </c>
      <c r="AT10" s="197" t="str">
        <f t="shared" si="8"/>
        <v/>
      </c>
      <c r="AU10" s="197" t="str" cm="1">
        <f t="array" ref="AU10">IF(M10="","",IF(ISNA(Slookup(MID(AN10,1,3)*1,UomConversion!$D$8:$J$500,2,UomConversion!$I$8:$I$500,1,UomConversion!$J$8:$J$500,1)),"",Slookup(MID(AN10,1,3)*1,UomConversion!$D$8:$J$500,2,UomConversion!$I$8:$I$500,1,UomConversion!$J$8:$J$500,1)))</f>
        <v/>
      </c>
      <c r="AV10" s="197" t="str">
        <f t="shared" ref="AV10" si="29">IF(M10="","",IF(quot_location_id=1,BA10,IF(quot_location_id=2,BB10,0)))</f>
        <v/>
      </c>
      <c r="AW10" s="197" t="str">
        <f>IF(M10="","",(SUMIFS('[1]1_group_totals'!$K$8:$K$10000,'[1]1_group_totals'!$C$8:$C$10000,I10,'[1]1_group_totals'!$F$8:$F$10000,quot_location_group_id,'[1]1_group_totals'!$G$8:$G$10000,quot_location_id,'[1]1_group_totals'!$H$8:$H$10000,"="&amp;Q10,'[1]1_group_totals'!$I$8:$I$10000,"="&amp;R10)+SUMIFS('[1]1_group_totals'!$N$8:$N$10000,'[1]1_group_totals'!$C$8:$C$10000,I10,'[1]1_group_totals'!$F$8:$F$10000,quot_location_group_id,'[1]1_group_totals'!$G$8:$G$10000,quot_location_id,'[1]1_group_totals'!$H$8:$H$10000,"="&amp;Q10,'[1]1_group_totals'!$I$8:$I$10000,"="&amp;R10)+SUMIFS('[1]1_group_totals'!$P$8:$P$10000,'[1]1_group_totals'!$C$8:$C$10000,I10,'[1]1_group_totals'!$F$8:$F$10000,quot_location_group_id,'[1]1_group_totals'!$G$8:$G$10000,quot_location_id,'[1]1_group_totals'!$H$8:$H$10000,"="&amp;Q10,'[1]1_group_totals'!$I$8:$I$10000,"="&amp;R10)+SUMIFS('[1]1_group_totals'!$Q$8:$Q$10000,'[1]1_group_totals'!$C$8:$C$10000,I10,'[1]1_group_totals'!$F$8:$F$10000,quot_location_group_id,'[1]1_group_totals'!$G$8:$G$10000,quot_location_id,'[1]1_group_totals'!$H$8:$H$10000,"="&amp;Q10,'[1]1_group_totals'!$I$8:$I$10000,"="&amp;R10))+(SUMIFS('[1]1_group_totals'!$L$8:$L$10000,'[1]1_group_totals'!$C$8:$C$10000,I10,'[1]1_group_totals'!$F$8:$F$10000,quot_location_group_id,'[1]1_group_totals'!$G$8:$G$10000,quot_location_id,'[1]1_group_totals'!$H$8:$H$10000,"="&amp;Q10,'[1]1_group_totals'!$I$8:$I$10000,"="&amp;R10)+SUMIFS('[1]1_group_totals'!$M$8:$M$10000,'[1]1_group_totals'!$C$8:$C$10000,I10,'[1]1_group_totals'!$F$8:$F$10000,quot_location_group_id,'[1]1_group_totals'!$G$8:$G$10000,quot_location_id,'[1]1_group_totals'!$H$8:$H$10000,"="&amp;Q10,'[1]1_group_totals'!$I$8:$I$10000,"="&amp;R10)+SUMIFS('[1]1_group_totals'!$O$8:$O$10000,'[1]1_group_totals'!$C$8:$C$10000,I10,'[1]1_group_totals'!$F$8:$F$10000,quot_location_group_id,'[1]1_group_totals'!$G$8:$G$10000,quot_location_id,'[1]1_group_totals'!$H$8:$H$10000,"="&amp;Q10,'[1]1_group_totals'!$I$8:$I$10000,"="&amp;R10)+SUMIFS('[1]1_group_totals'!$R$8:$R$10000,'[1]1_group_totals'!$C$8:$C$10000,I10,'[1]1_group_totals'!$F$8:$F$10000,quot_location_group_id,'[1]1_group_totals'!$G$8:$G$10000,quot_location_id,'[1]1_group_totals'!$H$8:$H$10000,"="&amp;Q10,'[1]1_group_totals'!$I$8:$I$10000,"="&amp;R10)))</f>
        <v/>
      </c>
      <c r="AX10" s="197" t="str">
        <f t="shared" si="23"/>
        <v/>
      </c>
      <c r="AY10" s="197" t="str">
        <f>IF(M10="","",SUMIFS($AX$8:AX10,$I$8:I10,I10))</f>
        <v/>
      </c>
      <c r="AZ10" s="197" t="str">
        <f t="shared" si="24"/>
        <v/>
      </c>
      <c r="BA10" s="197" t="str">
        <f>IF(M10="","",(SUMIFS('[1]1_inventory_totals'!$I$8:$I$10000,'[1]1_inventory_totals'!$C$8:$C$10000,I10,'[1]1_inventory_totals'!$F$8:$F$10000,"="&amp;Q10,'[1]1_inventory_totals'!$G$8:$G$10000,"="&amp;R10)+SUMIFS('[1]1_inventory_totals'!$N$8:$N$10000,'[1]1_inventory_totals'!$C$8:$C$10000,I10,'[1]1_inventory_totals'!$F$8:$F$10000,"="&amp;Q10,'[1]1_inventory_totals'!$G$8:$G$10000,"="&amp;R10)+SUMIFS('[1]1_inventory_totals'!$P$8:$P$10000,'[1]1_inventory_totals'!$C$8:$C$10000,I10,'[1]1_inventory_totals'!$F$8:$F$10000,"="&amp;Q10,'[1]1_inventory_totals'!$G$8:$G$10000,"="&amp;R10)+SUMIFS('[1]1_inventory_totals'!$Q$8:$Q$10000,'[1]1_inventory_totals'!$C$8:$C$10000,I10,'[1]1_inventory_totals'!$F$8:$F$10000,"="&amp;Q10,'[1]1_inventory_totals'!$G$8:$G$10000,"="&amp;R10)+SUMIFS('[1]1_inventory_totals'!$R$8:$R$10000,'[1]1_inventory_totals'!$C$8:$C$10000,I10,'[1]1_inventory_totals'!$F$8:$F$10000,"="&amp;Q10,'[1]1_inventory_totals'!$G$8:$G$10000,"="&amp;R10))+(SUMIFS('[1]1_inventory_totals'!$J$8:$J$10000,'[1]1_inventory_totals'!$C$8:$C$10000,I10,'[1]1_inventory_totals'!$F$8:$F$10000,"="&amp;Q10,'[1]1_inventory_totals'!$G$8:$G$10000,"="&amp;R10)+SUMIFS('[1]1_inventory_totals'!$K$8:$K$10000,'[1]1_inventory_totals'!$C$8:$C$10000,I10,'[1]1_inventory_totals'!$F$8:$F$10000,"="&amp;Q10,'[1]1_inventory_totals'!$G$8:$G$10000,"="&amp;R10)+SUMIFS('[1]1_inventory_totals'!$L$8:$L$10000,'[1]1_inventory_totals'!$C$8:$C$10000,I10,'[1]1_inventory_totals'!$F$8:$F$10000,"="&amp;Q10,'[1]1_inventory_totals'!$G$8:$G$10000,"="&amp;R10)+SUMIFS('[1]1_inventory_totals'!$M$8:$M$10000,'[1]1_inventory_totals'!$C$8:$C$10000,I10,'[1]1_inventory_totals'!$F$8:$F$10000,"="&amp;Q10,'[1]1_inventory_totals'!$G$8:$G$10000,"="&amp;R10)+SUMIFS('[1]1_inventory_totals'!$O$8:$O$10000,'[1]1_inventory_totals'!$C$8:$C$10000,I10,'[1]1_inventory_totals'!$F$8:$F$10000,"="&amp;Q10,'[1]1_inventory_totals'!$G$8:$G$10000,"="&amp;R10)+SUMIFS('[1]1_inventory_totals'!$S$8:$S$10000,'[1]1_inventory_totals'!$C$8:$C$10000,I10,'[1]1_inventory_totals'!$F$8:$F$10000,"="&amp;Q10,'[1]1_inventory_totals'!$G$8:$G$10000,"="&amp;R10)))</f>
        <v/>
      </c>
      <c r="BB10" s="197" t="str">
        <f>IF(M10="","",(SUMIFS('[1]2_inventory_totals'!$I$8:$I$10000,'[1]2_inventory_totals'!$C$8:$C$10000,I10,'[1]2_inventory_totals'!$F$8:$F$10000,"="&amp;Q10,'[1]2_inventory_totals'!$G$8:$G$10000,"="&amp;R10)+SUMIFS('[1]2_inventory_totals'!$N$8:$N$10000,'[1]2_inventory_totals'!$C$8:$C$10000,I10,'[1]2_inventory_totals'!$F$8:$F$10000,"="&amp;Q10,'[1]2_inventory_totals'!$G$8:$G$10000,"="&amp;R10)+SUMIFS('[1]2_inventory_totals'!$P$8:$P$10000,'[1]2_inventory_totals'!$C$8:$C$10000,I10,'[1]2_inventory_totals'!$F$8:$F$10000,"="&amp;Q10,'[1]2_inventory_totals'!$G$8:$G$10000,"="&amp;R10)+SUMIFS('[1]2_inventory_totals'!$Q$8:$Q$10000,'[1]2_inventory_totals'!$C$8:$C$10000,I10,'[1]2_inventory_totals'!$F$8:$F$10000,"="&amp;Q10,'[1]2_inventory_totals'!$G$8:$G$10000,"="&amp;R10)+SUMIFS('[1]2_inventory_totals'!$R$8:$R$10000,'[1]2_inventory_totals'!$C$8:$C$10000,I10,'[1]2_inventory_totals'!$F$8:$F$10000,"="&amp;Q10,'[1]2_inventory_totals'!$G$8:$G$10000,"="&amp;R10))+(SUMIFS('[1]2_inventory_totals'!$J$8:$J$10000,'[1]2_inventory_totals'!$C$8:$C$10000,I10,'[1]2_inventory_totals'!$F$8:$F$10000,"="&amp;Q10,'[1]2_inventory_totals'!$G$8:$G$10000,"="&amp;R10)+SUMIFS('[1]2_inventory_totals'!$K$8:$K$10000,'[1]2_inventory_totals'!$C$8:$C$10000,I10,'[1]2_inventory_totals'!$F$8:$F$10000,"="&amp;Q10,'[1]2_inventory_totals'!$G$8:$G$10000,"="&amp;R10)+SUMIFS('[1]2_inventory_totals'!$L$8:$L$10000,'[1]2_inventory_totals'!$C$8:$C$10000,I10,'[1]2_inventory_totals'!$F$8:$F$10000,"="&amp;Q10,'[1]2_inventory_totals'!$G$8:$G$10000,"="&amp;R10)+SUMIFS('[1]2_inventory_totals'!$M$8:$M$10000,'[1]2_inventory_totals'!$C$8:$C$10000,I10,'[1]2_inventory_totals'!$F$8:$F$10000,"="&amp;Q10,'[1]2_inventory_totals'!$G$8:$G$10000,"="&amp;R10)+SUMIFS('[1]2_inventory_totals'!$O$8:$O$10000,'[1]2_inventory_totals'!$C$8:$C$10000,I10,'[1]2_inventory_totals'!$F$8:$F$10000,"="&amp;Q10,'[1]2_inventory_totals'!$G$8:$G$10000,"="&amp;R10)+SUMIFS('[1]2_inventory_totals'!$S$8:$S$10000,'[1]2_inventory_totals'!$C$8:$C$10000,I10,'[1]2_inventory_totals'!$F$8:$F$10000,"="&amp;Q10,'[1]2_inventory_totals'!$G$8:$G$10000,"="&amp;R10)))</f>
        <v/>
      </c>
    </row>
    <row r="11" spans="1:58" ht="27" customHeight="1" thickBot="1">
      <c r="A11" s="923"/>
      <c r="B11" s="1256"/>
      <c r="C11" s="1893" t="s">
        <v>3239</v>
      </c>
      <c r="D11" s="1895"/>
      <c r="E11" s="1598">
        <f>MID(quot_customer,1,4)*1</f>
        <v>1</v>
      </c>
      <c r="F11" s="1648" t="s">
        <v>3239</v>
      </c>
      <c r="G11" s="941"/>
      <c r="I11" s="1610" t="str">
        <f t="shared" si="10"/>
        <v/>
      </c>
      <c r="J11" s="1611" t="str">
        <f t="shared" si="25"/>
        <v/>
      </c>
      <c r="K11" s="1612" t="str">
        <f t="shared" ref="K11:K74" si="30">IF(M11="","",VLOOKUP(I11,product_list,4,FALSE))</f>
        <v/>
      </c>
      <c r="L11" s="1613"/>
      <c r="M11" s="883"/>
      <c r="N11" s="884"/>
      <c r="O11" s="884"/>
      <c r="P11" s="885"/>
      <c r="Q11" s="886"/>
      <c r="R11" s="887"/>
      <c r="S11" s="1614" t="str">
        <f t="shared" ref="S11" si="31">IF(M11="","",quot_currency_symbol)</f>
        <v/>
      </c>
      <c r="T11" s="888"/>
      <c r="U11" s="1650" t="str">
        <f t="shared" si="13"/>
        <v/>
      </c>
      <c r="V11" s="1615" t="str">
        <f t="shared" ref="V11" si="32">IF(W11=0,"",quot_currency_symbol)</f>
        <v/>
      </c>
      <c r="W11" s="889"/>
      <c r="X11" s="1615" t="str">
        <f t="shared" ref="X11" si="33">IF(M11="","",quot_currency_symbol)</f>
        <v/>
      </c>
      <c r="Y11" s="1616" t="str">
        <f t="shared" ref="Y11:Y74" si="34">IF(M11="","",ROUND(IF(T11&gt;0,N11*T11-W11,N11*U11-W11),2))</f>
        <v/>
      </c>
      <c r="Z11" s="890"/>
      <c r="AA11" s="197" t="str" cm="1">
        <f t="array" ref="AA11">IF(M11="","",IF(P11=AN11,1,Slookup(MID(AN11,1,3)*1,UomConversion!$D$8:$J$500,5,UomConversion!$E$8:$E$500,MID(P11,1,3)*1,UomConversion!$J$8:$J$500,1)))</f>
        <v/>
      </c>
      <c r="AB11" s="197" t="str">
        <f t="shared" si="3"/>
        <v/>
      </c>
      <c r="AC11" s="197" t="str">
        <f t="shared" si="17"/>
        <v/>
      </c>
      <c r="AD11" s="197" t="str">
        <f t="shared" si="18"/>
        <v/>
      </c>
      <c r="AE11" s="197" t="str">
        <f t="shared" si="19"/>
        <v/>
      </c>
      <c r="AF11" s="197" t="str">
        <f t="shared" si="5"/>
        <v/>
      </c>
      <c r="AG11" s="197" t="str">
        <f t="shared" si="6"/>
        <v/>
      </c>
      <c r="AH11" s="197" t="str">
        <f>IF(I11="","",IF(ISNA(MATCH(I11,IF(quot_location_id=1,'[1]1_inventory_totals'!$C$8:$C$10000,IF(quot_location_id=2,'[1]2_inventory_totals'!$C$8:$C$10000,0)),0)),0,IF(AV11&gt;0,1,0)))</f>
        <v/>
      </c>
      <c r="AI11" s="197" t="str">
        <f>IF(M11="","",IF(quot_location_id=1,SUMIFS('[1]1_inventory_total_details'!$J$8:$J$10000,'[1]1_inventory_total_details'!$C$8:$C$10000,I11,'[1]1_inventory_total_details'!$F$8:$F$10000,quot_location_id,'[1]1_inventory_total_details'!$G$8:$G$10000,"="&amp;Q11,'[1]1_inventory_total_details'!$H$8:$H$10000,"="&amp;R11,'[1]1_inventory_total_details'!$I$8:$I$10000,"="&amp;quot_date)+SUMIFS('[1]1_inventory_total_details'!$M$8:$M$10000,'[1]1_inventory_total_details'!$C$8:$C$10000,I11,'[1]1_inventory_total_details'!$F$8:$F$10000,quot_location_id,'[1]1_inventory_total_details'!$G$8:$G$10000,"="&amp;Q11,'[1]1_inventory_total_details'!$H$8:$H$10000,"="&amp;R11,'[1]1_inventory_total_details'!$I$8:$I$10000,"="&amp;quot_date)+SUMIFS('[1]1_inventory_total_details'!$K$8:$K$10000,'[1]1_inventory_total_details'!$C$8:$C$10000,I11,'[1]1_inventory_total_details'!$F$8:$F$10000,quot_location_id,'[1]1_inventory_total_details'!$G$8:$G$10000,"="&amp;Q11,'[1]1_inventory_total_details'!$H$8:$H$10000,"="&amp;R11,'[1]1_inventory_total_details'!$I$8:$I$10000,"="&amp;quot_date)+SUMIFS('[1]1_inventory_total_details'!$L$8:$L$10000,'[1]1_inventory_total_details'!$C$8:$C$10000,I11,'[1]1_inventory_total_details'!$F$8:$F$10000,quot_location_id,'[1]1_inventory_total_details'!$G$8:$G$10000,"="&amp;Q11,'[1]1_inventory_total_details'!$H$8:$H$10000,"="&amp;R11,'[1]1_inventory_total_details'!$I$8:$I$10000,"="&amp;quot_date),SUMIFS('[1]2_inventory_total_details'!$J$8:$J$10000,'[1]2_inventory_total_details'!$C$8:$C$10000,I11,'[1]2_inventory_total_details'!$F$8:$F$10000,quot_location_id,'[1]2_inventory_total_details'!$G$8:$G$10000,"="&amp;Q11,'[1]2_inventory_total_details'!$H$8:$H$10000,"="&amp;R11,'[1]2_inventory_total_details'!$I$8:$I$10000,"="&amp;quot_date)+SUMIFS('[1]2_inventory_total_details'!$M$8:$M$10000,'[1]2_inventory_total_details'!$C$8:$C$10000,I11,'[1]2_inventory_total_details'!$F$8:$F$10000,quot_location_id,'[1]2_inventory_total_details'!$G$8:$G$10000,"="&amp;Q11,'[1]2_inventory_total_details'!$H$8:$H$10000,"="&amp;R11,'[1]2_inventory_total_details'!$I$8:$I$10000,"="&amp;quot_date)+SUMIFS('[1]2_inventory_total_details'!$K$8:$K$10000,'[1]2_inventory_total_details'!$C$8:$C$10000,I11,'[1]2_inventory_total_details'!$F$8:$F$10000,quot_location_id,'[1]2_inventory_total_details'!$G$8:$G$10000,"="&amp;Q11,'[1]2_inventory_total_details'!$H$8:$H$10000,"="&amp;R11,'[1]2_inventory_total_details'!$I$8:$I$10000,"="&amp;quot_date)+SUMIFS('[1]2_inventory_total_details'!$L$8:$L$10000,'[1]2_inventory_total_details'!$C$8:$C$10000,I11,'[1]2_inventory_total_details'!$F$8:$F$10000,quot_location_id,'[1]2_inventory_total_details'!$G$8:$G$10000,"="&amp;Q11,'[1]2_inventory_total_details'!$H$8:$H$10000,"="&amp;R11,'[1]2_inventory_total_details'!$I$8:$I$10000,"="&amp;quot_date)))</f>
        <v/>
      </c>
      <c r="AJ11" s="197" t="str">
        <f>IF(M11="","",IF(ISNA(MATCH(I11,'[1]1_group_totals'!$C$8:$C$10000)),0,IF(AW11&gt;0,1,0)))</f>
        <v/>
      </c>
      <c r="AK11" s="197" t="str">
        <f>IF(M11="","",(SUMIFS('[1]1_group_total_details'!$I$8:$I$10000,'[1]1_group_total_details'!$C$8:$C$10000,I11,'[1]1_group_total_details'!$F$8:$F$10000,quot_location_group_id,'[1]1_group_total_details'!$G$8:$G$10000,quot_location_id,'[1]1_group_total_details'!$H$8:$H$10000,"="&amp;quot_date)+SUMIFS('[1]1_group_total_details'!$L$8:$L$10000,'[1]1_group_total_details'!$C$8:$C$10000,I11,'[1]1_group_total_details'!$F$8:$F$10000,quot_location_group_id,'[1]1_group_total_details'!$G$8:$G$10000,quot_location_id,'[1]1_group_total_details'!$H$8:$H$10000,"="&amp;quot_date)+SUMIFS('[1]1_group_total_details'!$N$8:$N$10000,'[1]1_group_total_details'!$C$8:$C$10000,I11,'[1]1_group_total_details'!$F$8:$F$10000,quot_location_group_id,'[1]1_group_total_details'!$G$8:$G$10000,quot_location_id,'[1]1_group_total_details'!$H$8:$H$10000,"="&amp;quot_date)+SUMIFS('[1]1_group_total_details'!$O$8:$O$10000,'[1]1_group_total_details'!$C$8:$C$10000,I11,'[1]1_group_total_details'!$F$8:$F$10000,quot_location_group_id,'[1]1_group_total_details'!$G$8:$G$10000,quot_location_id,'[1]1_group_total_details'!$H$8:$H$10000,"="&amp;quot_date))+(SUMIFS('[1]1_group_total_details'!$J$8:$J$10000,'[1]1_group_total_details'!$C$8:$C$10000,I11,'[1]1_group_total_details'!$F$8:$F$10000,quot_location_group_id,'[1]1_group_total_details'!$G$8:$G$10000,quot_location_id,'[1]1_group_total_details'!$H$8:$H$10000,"="&amp;quot_date)+SUMIFS('[1]1_group_total_details'!$K$8:$K$10000,'[1]1_group_total_details'!$C$8:$C$10000,I11,'[1]1_group_total_details'!$F$8:$F$10000,quot_location_group_id,'[1]1_group_total_details'!$G$8:$G$10000,quot_location_id,'[1]1_group_total_details'!$H$8:$H$10000,"="&amp;quot_date)+SUMIFS('[1]1_group_total_details'!$M$8:$M$10000,'[1]1_group_total_details'!$C$8:$C$10000,I11,'[1]1_group_total_details'!$F$8:$F$10000,quot_location_group_id,'[1]1_group_total_details'!$G$8:$G$10000,quot_location_id,'[1]1_group_total_details'!$H$8:$H$10000,"="&amp;quot_date)+SUMIFS('[1]1_group_total_details'!$P$8:$P$10000,'[1]1_group_total_details'!$C$8:$C$10000,I11,'[1]1_group_total_details'!$F$8:$F$10000,quot_location_group_id,'[1]1_group_total_details'!$G$8:$G$10000,quot_location_id,'[1]1_group_total_details'!$H$8:$H$10000,"="&amp;quot_date)))</f>
        <v/>
      </c>
      <c r="AL11" s="197" t="str">
        <f>IF(M11="","",(SUMIFS('[1]1_group_total_details'!$I$8:$I$10000,'[1]1_group_total_details'!$C$8:$C$10000,I11,'[1]1_group_total_details'!$F$8:$F$10000,quot_location_group_id,'[1]1_group_total_details'!$G$8:$G$10000,quot_location_id,'[1]1_group_total_details'!$H$8:$H$10000,"&lt;="&amp;quot_date)+SUMIFS('[1]1_group_total_details'!$L$8:$L$10000,'[1]1_group_total_details'!$C$8:$C$10000,I11,'[1]1_group_total_details'!$F$8:$F$10000,quot_location_group_id,'[1]1_group_total_details'!$G$8:$G$10000,1,'[1]1_group_total_details'!$H$8:$H$10000,"&lt;="&amp;quot_date)+SUMIFS('[1]1_group_total_details'!$N$8:$N$10000,'[1]1_group_total_details'!$C$8:$C$10000,I11,'[1]1_group_total_details'!$F$8:$F$10000,quot_location_group_id,'[1]1_group_total_details'!$G$8:$G$10000,quot_location_id,'[1]1_group_total_details'!$H$8:$H$10000,"&lt;="&amp;quot_date)+SUMIFS('[1]1_group_total_details'!$O$8:$O$10000,'[1]1_group_total_details'!$C$8:$C$10000,I11,'[1]1_group_total_details'!$F$8:$F$10000,quot_location_group_id,'[1]1_group_total_details'!$G$8:$G$10000,quot_location_id,'[1]1_group_total_details'!$H$8:$H$10000,"&lt;="&amp;quot_date))-(SUMIFS('[1]1_group_total_details'!$J$8:$J$10000,'[1]1_group_total_details'!$C$8:$C$10000,I11,'[1]1_group_total_details'!$F$8:$F$10000,quot_location_group_id,'[1]1_group_total_details'!$G$8:$G$10000,quot_location_id,'[1]1_group_total_details'!$H$8:$H$10000,"&lt;="&amp;quot_date)+SUMIFS('[1]1_group_total_details'!$K$8:$K$10000,'[1]1_group_total_details'!$C$8:$C$10000,I11,'[1]1_group_total_details'!$F$8:$F$10000,quot_location_group_id,'[1]1_group_total_details'!$G$8:$G$10000,quot_location_id,'[1]1_group_total_details'!$H$8:$H$10000,"&lt;="&amp;quot_date)+SUMIFS('[1]1_group_total_details'!$M$8:$M$10000,'[1]1_group_total_details'!$C$8:$C$10000,I11,'[1]1_group_total_details'!$F$8:$F$10000,quot_location_group_id,'[1]1_group_total_details'!$G$8:$G$10000,quot_location_id,'[1]1_group_total_details'!$H$8:$H$10000,"&lt;="&amp;quot_date)+SUMIFS('[1]1_group_total_details'!$P$8:$P$10000,'[1]1_group_total_details'!$C$8:$C$10000,I11,'[1]1_group_total_details'!$F$8:$F$10000,quot_location_group_id,'[1]1_group_total_details'!$G$8:$G$10000,quot_location_id,'[1]1_group_total_details'!$H$8:$H$10000,"&lt;="&amp;quot_date)))</f>
        <v/>
      </c>
      <c r="AM11" s="197" t="str">
        <f>IF(M11="","",SUMIFS('[1]1_group_totals'!$J$8:$J$10000,'[1]1_group_totals'!$C$8:$C$10000,I11,'[1]1_group_totals'!$F$8:$F$10000,quot_location_group_id,'[1]1_group_totals'!$G$8:$G$10000,quot_location_id,'[1]1_group_totals'!$H$8:$H$10000,"="&amp;Q11,'[1]1_group_totals'!$I$8:$I$10000,"="&amp;R11))</f>
        <v/>
      </c>
      <c r="AN11" s="197" t="str">
        <f t="shared" si="7"/>
        <v/>
      </c>
      <c r="AO11" s="197" t="str">
        <f>IF(OR(ISNA(MATCH(MID(AN11,1,3)*1,UomConversion!$D$8:$D$500,0)),M11=""),"",IF(AT11="","",AT11))</f>
        <v/>
      </c>
      <c r="AP11" s="197" t="str">
        <f>IF(AND(AQ11&gt;0,COUNTIFS(UomConversion!$D$8:$D$500,MID(AN11,1,3)*1,UomConversion!$J$8:$J$500,1)&gt;1),TEXT(AQ11,"000")&amp;"."&amp;VLOOKUP(AQ11,uom_list,5,FALSE),"")</f>
        <v/>
      </c>
      <c r="AQ11" s="197" t="str">
        <f t="shared" si="20"/>
        <v/>
      </c>
      <c r="AR11" s="197" t="str">
        <f t="shared" si="21"/>
        <v/>
      </c>
      <c r="AS11" s="197" t="str">
        <f>IF(M11="","",SUMIFS(ProductPrice!$N$28:$N$10020,ProductPrice!$D$28:$D$10020,I11,ProductPrice!$G$28:$G$10020,quot_branch_id,ProductPrice!$H$28:$H$10020,quot_price_type_id,ProductPrice!$I$28:$I$10020,MID(P11,1,3)*1,ProductPrice!$Q$28:$Q$10020,1))</f>
        <v/>
      </c>
      <c r="AT11" s="197" t="str">
        <f t="shared" si="8"/>
        <v/>
      </c>
      <c r="AU11" s="197" t="str" cm="1">
        <f t="array" ref="AU11">IF(M11="","",IF(ISNA(Slookup(MID(AN11,1,3)*1,UomConversion!$D$8:$J$500,2,UomConversion!$I$8:$I$500,1,UomConversion!$J$8:$J$500,1)),"",Slookup(MID(AN11,1,3)*1,UomConversion!$D$8:$J$500,2,UomConversion!$I$8:$I$500,1,UomConversion!$J$8:$J$500,1)))</f>
        <v/>
      </c>
      <c r="AV11" s="197" t="str">
        <f t="shared" ref="AV11" si="35">IF(M11="","",IF(quot_location_id=1,BA11,IF(quot_location_id=2,BB11,0)))</f>
        <v/>
      </c>
      <c r="AW11" s="197" t="str">
        <f>IF(M11="","",(SUMIFS('[1]1_group_totals'!$K$8:$K$10000,'[1]1_group_totals'!$C$8:$C$10000,I11,'[1]1_group_totals'!$F$8:$F$10000,quot_location_group_id,'[1]1_group_totals'!$G$8:$G$10000,quot_location_id,'[1]1_group_totals'!$H$8:$H$10000,"="&amp;Q11,'[1]1_group_totals'!$I$8:$I$10000,"="&amp;R11)+SUMIFS('[1]1_group_totals'!$N$8:$N$10000,'[1]1_group_totals'!$C$8:$C$10000,I11,'[1]1_group_totals'!$F$8:$F$10000,quot_location_group_id,'[1]1_group_totals'!$G$8:$G$10000,quot_location_id,'[1]1_group_totals'!$H$8:$H$10000,"="&amp;Q11,'[1]1_group_totals'!$I$8:$I$10000,"="&amp;R11)+SUMIFS('[1]1_group_totals'!$P$8:$P$10000,'[1]1_group_totals'!$C$8:$C$10000,I11,'[1]1_group_totals'!$F$8:$F$10000,quot_location_group_id,'[1]1_group_totals'!$G$8:$G$10000,quot_location_id,'[1]1_group_totals'!$H$8:$H$10000,"="&amp;Q11,'[1]1_group_totals'!$I$8:$I$10000,"="&amp;R11)+SUMIFS('[1]1_group_totals'!$Q$8:$Q$10000,'[1]1_group_totals'!$C$8:$C$10000,I11,'[1]1_group_totals'!$F$8:$F$10000,quot_location_group_id,'[1]1_group_totals'!$G$8:$G$10000,quot_location_id,'[1]1_group_totals'!$H$8:$H$10000,"="&amp;Q11,'[1]1_group_totals'!$I$8:$I$10000,"="&amp;R11))+(SUMIFS('[1]1_group_totals'!$L$8:$L$10000,'[1]1_group_totals'!$C$8:$C$10000,I11,'[1]1_group_totals'!$F$8:$F$10000,quot_location_group_id,'[1]1_group_totals'!$G$8:$G$10000,quot_location_id,'[1]1_group_totals'!$H$8:$H$10000,"="&amp;Q11,'[1]1_group_totals'!$I$8:$I$10000,"="&amp;R11)+SUMIFS('[1]1_group_totals'!$M$8:$M$10000,'[1]1_group_totals'!$C$8:$C$10000,I11,'[1]1_group_totals'!$F$8:$F$10000,quot_location_group_id,'[1]1_group_totals'!$G$8:$G$10000,quot_location_id,'[1]1_group_totals'!$H$8:$H$10000,"="&amp;Q11,'[1]1_group_totals'!$I$8:$I$10000,"="&amp;R11)+SUMIFS('[1]1_group_totals'!$O$8:$O$10000,'[1]1_group_totals'!$C$8:$C$10000,I11,'[1]1_group_totals'!$F$8:$F$10000,quot_location_group_id,'[1]1_group_totals'!$G$8:$G$10000,quot_location_id,'[1]1_group_totals'!$H$8:$H$10000,"="&amp;Q11,'[1]1_group_totals'!$I$8:$I$10000,"="&amp;R11)+SUMIFS('[1]1_group_totals'!$R$8:$R$10000,'[1]1_group_totals'!$C$8:$C$10000,I11,'[1]1_group_totals'!$F$8:$F$10000,quot_location_group_id,'[1]1_group_totals'!$G$8:$G$10000,quot_location_id,'[1]1_group_totals'!$H$8:$H$10000,"="&amp;Q11,'[1]1_group_totals'!$I$8:$I$10000,"="&amp;R11)))</f>
        <v/>
      </c>
      <c r="AX11" s="197" t="str">
        <f t="shared" si="23"/>
        <v/>
      </c>
      <c r="AY11" s="197" t="str">
        <f>IF(M11="","",SUMIFS($AX$8:AX11,$I$8:I11,I11))</f>
        <v/>
      </c>
      <c r="AZ11" s="197" t="str">
        <f t="shared" si="24"/>
        <v/>
      </c>
      <c r="BA11" s="197" t="str">
        <f>IF(M11="","",(SUMIFS('[1]1_inventory_totals'!$I$8:$I$10000,'[1]1_inventory_totals'!$C$8:$C$10000,I11,'[1]1_inventory_totals'!$F$8:$F$10000,"="&amp;Q11,'[1]1_inventory_totals'!$G$8:$G$10000,"="&amp;R11)+SUMIFS('[1]1_inventory_totals'!$N$8:$N$10000,'[1]1_inventory_totals'!$C$8:$C$10000,I11,'[1]1_inventory_totals'!$F$8:$F$10000,"="&amp;Q11,'[1]1_inventory_totals'!$G$8:$G$10000,"="&amp;R11)+SUMIFS('[1]1_inventory_totals'!$P$8:$P$10000,'[1]1_inventory_totals'!$C$8:$C$10000,I11,'[1]1_inventory_totals'!$F$8:$F$10000,"="&amp;Q11,'[1]1_inventory_totals'!$G$8:$G$10000,"="&amp;R11)+SUMIFS('[1]1_inventory_totals'!$Q$8:$Q$10000,'[1]1_inventory_totals'!$C$8:$C$10000,I11,'[1]1_inventory_totals'!$F$8:$F$10000,"="&amp;Q11,'[1]1_inventory_totals'!$G$8:$G$10000,"="&amp;R11)+SUMIFS('[1]1_inventory_totals'!$R$8:$R$10000,'[1]1_inventory_totals'!$C$8:$C$10000,I11,'[1]1_inventory_totals'!$F$8:$F$10000,"="&amp;Q11,'[1]1_inventory_totals'!$G$8:$G$10000,"="&amp;R11))+(SUMIFS('[1]1_inventory_totals'!$J$8:$J$10000,'[1]1_inventory_totals'!$C$8:$C$10000,I11,'[1]1_inventory_totals'!$F$8:$F$10000,"="&amp;Q11,'[1]1_inventory_totals'!$G$8:$G$10000,"="&amp;R11)+SUMIFS('[1]1_inventory_totals'!$K$8:$K$10000,'[1]1_inventory_totals'!$C$8:$C$10000,I11,'[1]1_inventory_totals'!$F$8:$F$10000,"="&amp;Q11,'[1]1_inventory_totals'!$G$8:$G$10000,"="&amp;R11)+SUMIFS('[1]1_inventory_totals'!$L$8:$L$10000,'[1]1_inventory_totals'!$C$8:$C$10000,I11,'[1]1_inventory_totals'!$F$8:$F$10000,"="&amp;Q11,'[1]1_inventory_totals'!$G$8:$G$10000,"="&amp;R11)+SUMIFS('[1]1_inventory_totals'!$M$8:$M$10000,'[1]1_inventory_totals'!$C$8:$C$10000,I11,'[1]1_inventory_totals'!$F$8:$F$10000,"="&amp;Q11,'[1]1_inventory_totals'!$G$8:$G$10000,"="&amp;R11)+SUMIFS('[1]1_inventory_totals'!$O$8:$O$10000,'[1]1_inventory_totals'!$C$8:$C$10000,I11,'[1]1_inventory_totals'!$F$8:$F$10000,"="&amp;Q11,'[1]1_inventory_totals'!$G$8:$G$10000,"="&amp;R11)+SUMIFS('[1]1_inventory_totals'!$S$8:$S$10000,'[1]1_inventory_totals'!$C$8:$C$10000,I11,'[1]1_inventory_totals'!$F$8:$F$10000,"="&amp;Q11,'[1]1_inventory_totals'!$G$8:$G$10000,"="&amp;R11)))</f>
        <v/>
      </c>
      <c r="BB11" s="197" t="str">
        <f>IF(M11="","",(SUMIFS('[1]2_inventory_totals'!$I$8:$I$10000,'[1]2_inventory_totals'!$C$8:$C$10000,I11,'[1]2_inventory_totals'!$F$8:$F$10000,"="&amp;Q11,'[1]2_inventory_totals'!$G$8:$G$10000,"="&amp;R11)+SUMIFS('[1]2_inventory_totals'!$N$8:$N$10000,'[1]2_inventory_totals'!$C$8:$C$10000,I11,'[1]2_inventory_totals'!$F$8:$F$10000,"="&amp;Q11,'[1]2_inventory_totals'!$G$8:$G$10000,"="&amp;R11)+SUMIFS('[1]2_inventory_totals'!$P$8:$P$10000,'[1]2_inventory_totals'!$C$8:$C$10000,I11,'[1]2_inventory_totals'!$F$8:$F$10000,"="&amp;Q11,'[1]2_inventory_totals'!$G$8:$G$10000,"="&amp;R11)+SUMIFS('[1]2_inventory_totals'!$Q$8:$Q$10000,'[1]2_inventory_totals'!$C$8:$C$10000,I11,'[1]2_inventory_totals'!$F$8:$F$10000,"="&amp;Q11,'[1]2_inventory_totals'!$G$8:$G$10000,"="&amp;R11)+SUMIFS('[1]2_inventory_totals'!$R$8:$R$10000,'[1]2_inventory_totals'!$C$8:$C$10000,I11,'[1]2_inventory_totals'!$F$8:$F$10000,"="&amp;Q11,'[1]2_inventory_totals'!$G$8:$G$10000,"="&amp;R11))+(SUMIFS('[1]2_inventory_totals'!$J$8:$J$10000,'[1]2_inventory_totals'!$C$8:$C$10000,I11,'[1]2_inventory_totals'!$F$8:$F$10000,"="&amp;Q11,'[1]2_inventory_totals'!$G$8:$G$10000,"="&amp;R11)+SUMIFS('[1]2_inventory_totals'!$K$8:$K$10000,'[1]2_inventory_totals'!$C$8:$C$10000,I11,'[1]2_inventory_totals'!$F$8:$F$10000,"="&amp;Q11,'[1]2_inventory_totals'!$G$8:$G$10000,"="&amp;R11)+SUMIFS('[1]2_inventory_totals'!$L$8:$L$10000,'[1]2_inventory_totals'!$C$8:$C$10000,I11,'[1]2_inventory_totals'!$F$8:$F$10000,"="&amp;Q11,'[1]2_inventory_totals'!$G$8:$G$10000,"="&amp;R11)+SUMIFS('[1]2_inventory_totals'!$M$8:$M$10000,'[1]2_inventory_totals'!$C$8:$C$10000,I11,'[1]2_inventory_totals'!$F$8:$F$10000,"="&amp;Q11,'[1]2_inventory_totals'!$G$8:$G$10000,"="&amp;R11)+SUMIFS('[1]2_inventory_totals'!$O$8:$O$10000,'[1]2_inventory_totals'!$C$8:$C$10000,I11,'[1]2_inventory_totals'!$F$8:$F$10000,"="&amp;Q11,'[1]2_inventory_totals'!$G$8:$G$10000,"="&amp;R11)+SUMIFS('[1]2_inventory_totals'!$S$8:$S$10000,'[1]2_inventory_totals'!$C$8:$C$10000,I11,'[1]2_inventory_totals'!$F$8:$F$10000,"="&amp;Q11,'[1]2_inventory_totals'!$G$8:$G$10000,"="&amp;R11)))</f>
        <v/>
      </c>
    </row>
    <row r="12" spans="1:58" ht="27" customHeight="1" thickBot="1">
      <c r="A12" s="923"/>
      <c r="B12" s="1256"/>
      <c r="C12" s="947" t="s">
        <v>2651</v>
      </c>
      <c r="D12" s="1260"/>
      <c r="E12" s="947" t="s">
        <v>2657</v>
      </c>
      <c r="F12" s="1262"/>
      <c r="G12" s="941"/>
      <c r="I12" s="1610" t="str">
        <f t="shared" si="10"/>
        <v/>
      </c>
      <c r="J12" s="1611" t="str">
        <f t="shared" si="25"/>
        <v/>
      </c>
      <c r="K12" s="1612" t="str">
        <f t="shared" si="30"/>
        <v/>
      </c>
      <c r="L12" s="1613"/>
      <c r="M12" s="883"/>
      <c r="N12" s="884"/>
      <c r="O12" s="884"/>
      <c r="P12" s="885"/>
      <c r="Q12" s="886"/>
      <c r="R12" s="887"/>
      <c r="S12" s="1614" t="str">
        <f t="shared" ref="S12" si="36">IF(M12="","",quot_currency_symbol)</f>
        <v/>
      </c>
      <c r="T12" s="888"/>
      <c r="U12" s="1650" t="str">
        <f t="shared" si="13"/>
        <v/>
      </c>
      <c r="V12" s="1615" t="str">
        <f t="shared" ref="V12" si="37">IF(W12=0,"",quot_currency_symbol)</f>
        <v/>
      </c>
      <c r="W12" s="889"/>
      <c r="X12" s="1615" t="str">
        <f t="shared" ref="X12" si="38">IF(M12="","",quot_currency_symbol)</f>
        <v/>
      </c>
      <c r="Y12" s="1616" t="str">
        <f t="shared" si="34"/>
        <v/>
      </c>
      <c r="Z12" s="890"/>
      <c r="AA12" s="197" t="str" cm="1">
        <f t="array" ref="AA12">IF(M12="","",IF(P12=AN12,1,Slookup(MID(AN12,1,3)*1,UomConversion!$D$8:$J$500,5,UomConversion!$E$8:$E$500,MID(P12,1,3)*1,UomConversion!$J$8:$J$500,1)))</f>
        <v/>
      </c>
      <c r="AB12" s="197" t="str">
        <f t="shared" si="3"/>
        <v/>
      </c>
      <c r="AC12" s="197" t="str">
        <f t="shared" si="17"/>
        <v/>
      </c>
      <c r="AD12" s="197" t="str">
        <f t="shared" si="18"/>
        <v/>
      </c>
      <c r="AE12" s="197" t="str">
        <f t="shared" si="19"/>
        <v/>
      </c>
      <c r="AF12" s="197" t="str">
        <f t="shared" si="5"/>
        <v/>
      </c>
      <c r="AG12" s="197" t="str">
        <f t="shared" si="6"/>
        <v/>
      </c>
      <c r="AH12" s="197" t="str">
        <f>IF(I12="","",IF(ISNA(MATCH(I12,IF(quot_location_id=1,'[1]1_inventory_totals'!$C$8:$C$10000,IF(quot_location_id=2,'[1]2_inventory_totals'!$C$8:$C$10000,0)),0)),0,IF(AV12&gt;0,1,0)))</f>
        <v/>
      </c>
      <c r="AI12" s="197" t="str">
        <f>IF(M12="","",IF(quot_location_id=1,SUMIFS('[1]1_inventory_total_details'!$J$8:$J$10000,'[1]1_inventory_total_details'!$C$8:$C$10000,I12,'[1]1_inventory_total_details'!$F$8:$F$10000,quot_location_id,'[1]1_inventory_total_details'!$G$8:$G$10000,"="&amp;Q12,'[1]1_inventory_total_details'!$H$8:$H$10000,"="&amp;R12,'[1]1_inventory_total_details'!$I$8:$I$10000,"="&amp;quot_date)+SUMIFS('[1]1_inventory_total_details'!$M$8:$M$10000,'[1]1_inventory_total_details'!$C$8:$C$10000,I12,'[1]1_inventory_total_details'!$F$8:$F$10000,quot_location_id,'[1]1_inventory_total_details'!$G$8:$G$10000,"="&amp;Q12,'[1]1_inventory_total_details'!$H$8:$H$10000,"="&amp;R12,'[1]1_inventory_total_details'!$I$8:$I$10000,"="&amp;quot_date)+SUMIFS('[1]1_inventory_total_details'!$K$8:$K$10000,'[1]1_inventory_total_details'!$C$8:$C$10000,I12,'[1]1_inventory_total_details'!$F$8:$F$10000,quot_location_id,'[1]1_inventory_total_details'!$G$8:$G$10000,"="&amp;Q12,'[1]1_inventory_total_details'!$H$8:$H$10000,"="&amp;R12,'[1]1_inventory_total_details'!$I$8:$I$10000,"="&amp;quot_date)+SUMIFS('[1]1_inventory_total_details'!$L$8:$L$10000,'[1]1_inventory_total_details'!$C$8:$C$10000,I12,'[1]1_inventory_total_details'!$F$8:$F$10000,quot_location_id,'[1]1_inventory_total_details'!$G$8:$G$10000,"="&amp;Q12,'[1]1_inventory_total_details'!$H$8:$H$10000,"="&amp;R12,'[1]1_inventory_total_details'!$I$8:$I$10000,"="&amp;quot_date),SUMIFS('[1]2_inventory_total_details'!$J$8:$J$10000,'[1]2_inventory_total_details'!$C$8:$C$10000,I12,'[1]2_inventory_total_details'!$F$8:$F$10000,quot_location_id,'[1]2_inventory_total_details'!$G$8:$G$10000,"="&amp;Q12,'[1]2_inventory_total_details'!$H$8:$H$10000,"="&amp;R12,'[1]2_inventory_total_details'!$I$8:$I$10000,"="&amp;quot_date)+SUMIFS('[1]2_inventory_total_details'!$M$8:$M$10000,'[1]2_inventory_total_details'!$C$8:$C$10000,I12,'[1]2_inventory_total_details'!$F$8:$F$10000,quot_location_id,'[1]2_inventory_total_details'!$G$8:$G$10000,"="&amp;Q12,'[1]2_inventory_total_details'!$H$8:$H$10000,"="&amp;R12,'[1]2_inventory_total_details'!$I$8:$I$10000,"="&amp;quot_date)+SUMIFS('[1]2_inventory_total_details'!$K$8:$K$10000,'[1]2_inventory_total_details'!$C$8:$C$10000,I12,'[1]2_inventory_total_details'!$F$8:$F$10000,quot_location_id,'[1]2_inventory_total_details'!$G$8:$G$10000,"="&amp;Q12,'[1]2_inventory_total_details'!$H$8:$H$10000,"="&amp;R12,'[1]2_inventory_total_details'!$I$8:$I$10000,"="&amp;quot_date)+SUMIFS('[1]2_inventory_total_details'!$L$8:$L$10000,'[1]2_inventory_total_details'!$C$8:$C$10000,I12,'[1]2_inventory_total_details'!$F$8:$F$10000,quot_location_id,'[1]2_inventory_total_details'!$G$8:$G$10000,"="&amp;Q12,'[1]2_inventory_total_details'!$H$8:$H$10000,"="&amp;R12,'[1]2_inventory_total_details'!$I$8:$I$10000,"="&amp;quot_date)))</f>
        <v/>
      </c>
      <c r="AJ12" s="197" t="str">
        <f>IF(M12="","",IF(ISNA(MATCH(I12,'[1]1_group_totals'!$C$8:$C$10000)),0,IF(AW12&gt;0,1,0)))</f>
        <v/>
      </c>
      <c r="AK12" s="197" t="str">
        <f>IF(M12="","",(SUMIFS('[1]1_group_total_details'!$I$8:$I$10000,'[1]1_group_total_details'!$C$8:$C$10000,I12,'[1]1_group_total_details'!$F$8:$F$10000,quot_location_group_id,'[1]1_group_total_details'!$G$8:$G$10000,quot_location_id,'[1]1_group_total_details'!$H$8:$H$10000,"="&amp;quot_date)+SUMIFS('[1]1_group_total_details'!$L$8:$L$10000,'[1]1_group_total_details'!$C$8:$C$10000,I12,'[1]1_group_total_details'!$F$8:$F$10000,quot_location_group_id,'[1]1_group_total_details'!$G$8:$G$10000,quot_location_id,'[1]1_group_total_details'!$H$8:$H$10000,"="&amp;quot_date)+SUMIFS('[1]1_group_total_details'!$N$8:$N$10000,'[1]1_group_total_details'!$C$8:$C$10000,I12,'[1]1_group_total_details'!$F$8:$F$10000,quot_location_group_id,'[1]1_group_total_details'!$G$8:$G$10000,quot_location_id,'[1]1_group_total_details'!$H$8:$H$10000,"="&amp;quot_date)+SUMIFS('[1]1_group_total_details'!$O$8:$O$10000,'[1]1_group_total_details'!$C$8:$C$10000,I12,'[1]1_group_total_details'!$F$8:$F$10000,quot_location_group_id,'[1]1_group_total_details'!$G$8:$G$10000,quot_location_id,'[1]1_group_total_details'!$H$8:$H$10000,"="&amp;quot_date))+(SUMIFS('[1]1_group_total_details'!$J$8:$J$10000,'[1]1_group_total_details'!$C$8:$C$10000,I12,'[1]1_group_total_details'!$F$8:$F$10000,quot_location_group_id,'[1]1_group_total_details'!$G$8:$G$10000,quot_location_id,'[1]1_group_total_details'!$H$8:$H$10000,"="&amp;quot_date)+SUMIFS('[1]1_group_total_details'!$K$8:$K$10000,'[1]1_group_total_details'!$C$8:$C$10000,I12,'[1]1_group_total_details'!$F$8:$F$10000,quot_location_group_id,'[1]1_group_total_details'!$G$8:$G$10000,quot_location_id,'[1]1_group_total_details'!$H$8:$H$10000,"="&amp;quot_date)+SUMIFS('[1]1_group_total_details'!$M$8:$M$10000,'[1]1_group_total_details'!$C$8:$C$10000,I12,'[1]1_group_total_details'!$F$8:$F$10000,quot_location_group_id,'[1]1_group_total_details'!$G$8:$G$10000,quot_location_id,'[1]1_group_total_details'!$H$8:$H$10000,"="&amp;quot_date)+SUMIFS('[1]1_group_total_details'!$P$8:$P$10000,'[1]1_group_total_details'!$C$8:$C$10000,I12,'[1]1_group_total_details'!$F$8:$F$10000,quot_location_group_id,'[1]1_group_total_details'!$G$8:$G$10000,quot_location_id,'[1]1_group_total_details'!$H$8:$H$10000,"="&amp;quot_date)))</f>
        <v/>
      </c>
      <c r="AL12" s="197" t="str">
        <f>IF(M12="","",(SUMIFS('[1]1_group_total_details'!$I$8:$I$10000,'[1]1_group_total_details'!$C$8:$C$10000,I12,'[1]1_group_total_details'!$F$8:$F$10000,quot_location_group_id,'[1]1_group_total_details'!$G$8:$G$10000,quot_location_id,'[1]1_group_total_details'!$H$8:$H$10000,"&lt;="&amp;quot_date)+SUMIFS('[1]1_group_total_details'!$L$8:$L$10000,'[1]1_group_total_details'!$C$8:$C$10000,I12,'[1]1_group_total_details'!$F$8:$F$10000,quot_location_group_id,'[1]1_group_total_details'!$G$8:$G$10000,1,'[1]1_group_total_details'!$H$8:$H$10000,"&lt;="&amp;quot_date)+SUMIFS('[1]1_group_total_details'!$N$8:$N$10000,'[1]1_group_total_details'!$C$8:$C$10000,I12,'[1]1_group_total_details'!$F$8:$F$10000,quot_location_group_id,'[1]1_group_total_details'!$G$8:$G$10000,quot_location_id,'[1]1_group_total_details'!$H$8:$H$10000,"&lt;="&amp;quot_date)+SUMIFS('[1]1_group_total_details'!$O$8:$O$10000,'[1]1_group_total_details'!$C$8:$C$10000,I12,'[1]1_group_total_details'!$F$8:$F$10000,quot_location_group_id,'[1]1_group_total_details'!$G$8:$G$10000,quot_location_id,'[1]1_group_total_details'!$H$8:$H$10000,"&lt;="&amp;quot_date))-(SUMIFS('[1]1_group_total_details'!$J$8:$J$10000,'[1]1_group_total_details'!$C$8:$C$10000,I12,'[1]1_group_total_details'!$F$8:$F$10000,quot_location_group_id,'[1]1_group_total_details'!$G$8:$G$10000,quot_location_id,'[1]1_group_total_details'!$H$8:$H$10000,"&lt;="&amp;quot_date)+SUMIFS('[1]1_group_total_details'!$K$8:$K$10000,'[1]1_group_total_details'!$C$8:$C$10000,I12,'[1]1_group_total_details'!$F$8:$F$10000,quot_location_group_id,'[1]1_group_total_details'!$G$8:$G$10000,quot_location_id,'[1]1_group_total_details'!$H$8:$H$10000,"&lt;="&amp;quot_date)+SUMIFS('[1]1_group_total_details'!$M$8:$M$10000,'[1]1_group_total_details'!$C$8:$C$10000,I12,'[1]1_group_total_details'!$F$8:$F$10000,quot_location_group_id,'[1]1_group_total_details'!$G$8:$G$10000,quot_location_id,'[1]1_group_total_details'!$H$8:$H$10000,"&lt;="&amp;quot_date)+SUMIFS('[1]1_group_total_details'!$P$8:$P$10000,'[1]1_group_total_details'!$C$8:$C$10000,I12,'[1]1_group_total_details'!$F$8:$F$10000,quot_location_group_id,'[1]1_group_total_details'!$G$8:$G$10000,quot_location_id,'[1]1_group_total_details'!$H$8:$H$10000,"&lt;="&amp;quot_date)))</f>
        <v/>
      </c>
      <c r="AM12" s="197" t="str">
        <f>IF(M12="","",SUMIFS('[1]1_group_totals'!$J$8:$J$10000,'[1]1_group_totals'!$C$8:$C$10000,I12,'[1]1_group_totals'!$F$8:$F$10000,quot_location_group_id,'[1]1_group_totals'!$G$8:$G$10000,quot_location_id,'[1]1_group_totals'!$H$8:$H$10000,"="&amp;Q12,'[1]1_group_totals'!$I$8:$I$10000,"="&amp;R12))</f>
        <v/>
      </c>
      <c r="AN12" s="197" t="str">
        <f t="shared" si="7"/>
        <v/>
      </c>
      <c r="AO12" s="197" t="str">
        <f>IF(OR(ISNA(MATCH(MID(AN12,1,3)*1,UomConversion!$D$8:$D$500,0)),M12=""),"",IF(AT12="","",AT12))</f>
        <v/>
      </c>
      <c r="AP12" s="197" t="str">
        <f>IF(AND(AQ12&gt;0,COUNTIFS(UomConversion!$D$8:$D$500,MID(AN12,1,3)*1,UomConversion!$J$8:$J$500,1)&gt;1),TEXT(AQ12,"000")&amp;"."&amp;VLOOKUP(AQ12,uom_list,5,FALSE),"")</f>
        <v/>
      </c>
      <c r="AQ12" s="197" t="str">
        <f t="shared" si="20"/>
        <v/>
      </c>
      <c r="AR12" s="197" t="str">
        <f t="shared" si="21"/>
        <v/>
      </c>
      <c r="AS12" s="197" t="str">
        <f>IF(M12="","",SUMIFS(ProductPrice!$N$28:$N$10020,ProductPrice!$D$28:$D$10020,I12,ProductPrice!$G$28:$G$10020,quot_branch_id,ProductPrice!$H$28:$H$10020,quot_price_type_id,ProductPrice!$I$28:$I$10020,MID(P12,1,3)*1,ProductPrice!$Q$28:$Q$10020,1))</f>
        <v/>
      </c>
      <c r="AT12" s="197" t="str">
        <f t="shared" si="8"/>
        <v/>
      </c>
      <c r="AU12" s="197" t="str" cm="1">
        <f t="array" ref="AU12">IF(M12="","",IF(ISNA(Slookup(MID(AN12,1,3)*1,UomConversion!$D$8:$J$500,2,UomConversion!$I$8:$I$500,1,UomConversion!$J$8:$J$500,1)),"",Slookup(MID(AN12,1,3)*1,UomConversion!$D$8:$J$500,2,UomConversion!$I$8:$I$500,1,UomConversion!$J$8:$J$500,1)))</f>
        <v/>
      </c>
      <c r="AV12" s="197" t="str">
        <f t="shared" ref="AV12" si="39">IF(M12="","",IF(quot_location_id=1,BA12,IF(quot_location_id=2,BB12,0)))</f>
        <v/>
      </c>
      <c r="AW12" s="197" t="str">
        <f>IF(M12="","",(SUMIFS('[1]1_group_totals'!$K$8:$K$10000,'[1]1_group_totals'!$C$8:$C$10000,I12,'[1]1_group_totals'!$F$8:$F$10000,quot_location_group_id,'[1]1_group_totals'!$G$8:$G$10000,quot_location_id,'[1]1_group_totals'!$H$8:$H$10000,"="&amp;Q12,'[1]1_group_totals'!$I$8:$I$10000,"="&amp;R12)+SUMIFS('[1]1_group_totals'!$N$8:$N$10000,'[1]1_group_totals'!$C$8:$C$10000,I12,'[1]1_group_totals'!$F$8:$F$10000,quot_location_group_id,'[1]1_group_totals'!$G$8:$G$10000,quot_location_id,'[1]1_group_totals'!$H$8:$H$10000,"="&amp;Q12,'[1]1_group_totals'!$I$8:$I$10000,"="&amp;R12)+SUMIFS('[1]1_group_totals'!$P$8:$P$10000,'[1]1_group_totals'!$C$8:$C$10000,I12,'[1]1_group_totals'!$F$8:$F$10000,quot_location_group_id,'[1]1_group_totals'!$G$8:$G$10000,quot_location_id,'[1]1_group_totals'!$H$8:$H$10000,"="&amp;Q12,'[1]1_group_totals'!$I$8:$I$10000,"="&amp;R12)+SUMIFS('[1]1_group_totals'!$Q$8:$Q$10000,'[1]1_group_totals'!$C$8:$C$10000,I12,'[1]1_group_totals'!$F$8:$F$10000,quot_location_group_id,'[1]1_group_totals'!$G$8:$G$10000,quot_location_id,'[1]1_group_totals'!$H$8:$H$10000,"="&amp;Q12,'[1]1_group_totals'!$I$8:$I$10000,"="&amp;R12))+(SUMIFS('[1]1_group_totals'!$L$8:$L$10000,'[1]1_group_totals'!$C$8:$C$10000,I12,'[1]1_group_totals'!$F$8:$F$10000,quot_location_group_id,'[1]1_group_totals'!$G$8:$G$10000,quot_location_id,'[1]1_group_totals'!$H$8:$H$10000,"="&amp;Q12,'[1]1_group_totals'!$I$8:$I$10000,"="&amp;R12)+SUMIFS('[1]1_group_totals'!$M$8:$M$10000,'[1]1_group_totals'!$C$8:$C$10000,I12,'[1]1_group_totals'!$F$8:$F$10000,quot_location_group_id,'[1]1_group_totals'!$G$8:$G$10000,quot_location_id,'[1]1_group_totals'!$H$8:$H$10000,"="&amp;Q12,'[1]1_group_totals'!$I$8:$I$10000,"="&amp;R12)+SUMIFS('[1]1_group_totals'!$O$8:$O$10000,'[1]1_group_totals'!$C$8:$C$10000,I12,'[1]1_group_totals'!$F$8:$F$10000,quot_location_group_id,'[1]1_group_totals'!$G$8:$G$10000,quot_location_id,'[1]1_group_totals'!$H$8:$H$10000,"="&amp;Q12,'[1]1_group_totals'!$I$8:$I$10000,"="&amp;R12)+SUMIFS('[1]1_group_totals'!$R$8:$R$10000,'[1]1_group_totals'!$C$8:$C$10000,I12,'[1]1_group_totals'!$F$8:$F$10000,quot_location_group_id,'[1]1_group_totals'!$G$8:$G$10000,quot_location_id,'[1]1_group_totals'!$H$8:$H$10000,"="&amp;Q12,'[1]1_group_totals'!$I$8:$I$10000,"="&amp;R12)))</f>
        <v/>
      </c>
      <c r="AX12" s="197" t="str">
        <f t="shared" si="23"/>
        <v/>
      </c>
      <c r="AY12" s="197" t="str">
        <f>IF(M12="","",SUMIFS($AX$8:AX12,$I$8:I12,I12))</f>
        <v/>
      </c>
      <c r="AZ12" s="197" t="str">
        <f t="shared" si="24"/>
        <v/>
      </c>
      <c r="BA12" s="197" t="str">
        <f>IF(M12="","",(SUMIFS('[1]1_inventory_totals'!$I$8:$I$10000,'[1]1_inventory_totals'!$C$8:$C$10000,I12,'[1]1_inventory_totals'!$F$8:$F$10000,"="&amp;Q12,'[1]1_inventory_totals'!$G$8:$G$10000,"="&amp;R12)+SUMIFS('[1]1_inventory_totals'!$N$8:$N$10000,'[1]1_inventory_totals'!$C$8:$C$10000,I12,'[1]1_inventory_totals'!$F$8:$F$10000,"="&amp;Q12,'[1]1_inventory_totals'!$G$8:$G$10000,"="&amp;R12)+SUMIFS('[1]1_inventory_totals'!$P$8:$P$10000,'[1]1_inventory_totals'!$C$8:$C$10000,I12,'[1]1_inventory_totals'!$F$8:$F$10000,"="&amp;Q12,'[1]1_inventory_totals'!$G$8:$G$10000,"="&amp;R12)+SUMIFS('[1]1_inventory_totals'!$Q$8:$Q$10000,'[1]1_inventory_totals'!$C$8:$C$10000,I12,'[1]1_inventory_totals'!$F$8:$F$10000,"="&amp;Q12,'[1]1_inventory_totals'!$G$8:$G$10000,"="&amp;R12)+SUMIFS('[1]1_inventory_totals'!$R$8:$R$10000,'[1]1_inventory_totals'!$C$8:$C$10000,I12,'[1]1_inventory_totals'!$F$8:$F$10000,"="&amp;Q12,'[1]1_inventory_totals'!$G$8:$G$10000,"="&amp;R12))+(SUMIFS('[1]1_inventory_totals'!$J$8:$J$10000,'[1]1_inventory_totals'!$C$8:$C$10000,I12,'[1]1_inventory_totals'!$F$8:$F$10000,"="&amp;Q12,'[1]1_inventory_totals'!$G$8:$G$10000,"="&amp;R12)+SUMIFS('[1]1_inventory_totals'!$K$8:$K$10000,'[1]1_inventory_totals'!$C$8:$C$10000,I12,'[1]1_inventory_totals'!$F$8:$F$10000,"="&amp;Q12,'[1]1_inventory_totals'!$G$8:$G$10000,"="&amp;R12)+SUMIFS('[1]1_inventory_totals'!$L$8:$L$10000,'[1]1_inventory_totals'!$C$8:$C$10000,I12,'[1]1_inventory_totals'!$F$8:$F$10000,"="&amp;Q12,'[1]1_inventory_totals'!$G$8:$G$10000,"="&amp;R12)+SUMIFS('[1]1_inventory_totals'!$M$8:$M$10000,'[1]1_inventory_totals'!$C$8:$C$10000,I12,'[1]1_inventory_totals'!$F$8:$F$10000,"="&amp;Q12,'[1]1_inventory_totals'!$G$8:$G$10000,"="&amp;R12)+SUMIFS('[1]1_inventory_totals'!$O$8:$O$10000,'[1]1_inventory_totals'!$C$8:$C$10000,I12,'[1]1_inventory_totals'!$F$8:$F$10000,"="&amp;Q12,'[1]1_inventory_totals'!$G$8:$G$10000,"="&amp;R12)+SUMIFS('[1]1_inventory_totals'!$S$8:$S$10000,'[1]1_inventory_totals'!$C$8:$C$10000,I12,'[1]1_inventory_totals'!$F$8:$F$10000,"="&amp;Q12,'[1]1_inventory_totals'!$G$8:$G$10000,"="&amp;R12)))</f>
        <v/>
      </c>
      <c r="BB12" s="197" t="str">
        <f>IF(M12="","",(SUMIFS('[1]2_inventory_totals'!$I$8:$I$10000,'[1]2_inventory_totals'!$C$8:$C$10000,I12,'[1]2_inventory_totals'!$F$8:$F$10000,"="&amp;Q12,'[1]2_inventory_totals'!$G$8:$G$10000,"="&amp;R12)+SUMIFS('[1]2_inventory_totals'!$N$8:$N$10000,'[1]2_inventory_totals'!$C$8:$C$10000,I12,'[1]2_inventory_totals'!$F$8:$F$10000,"="&amp;Q12,'[1]2_inventory_totals'!$G$8:$G$10000,"="&amp;R12)+SUMIFS('[1]2_inventory_totals'!$P$8:$P$10000,'[1]2_inventory_totals'!$C$8:$C$10000,I12,'[1]2_inventory_totals'!$F$8:$F$10000,"="&amp;Q12,'[1]2_inventory_totals'!$G$8:$G$10000,"="&amp;R12)+SUMIFS('[1]2_inventory_totals'!$Q$8:$Q$10000,'[1]2_inventory_totals'!$C$8:$C$10000,I12,'[1]2_inventory_totals'!$F$8:$F$10000,"="&amp;Q12,'[1]2_inventory_totals'!$G$8:$G$10000,"="&amp;R12)+SUMIFS('[1]2_inventory_totals'!$R$8:$R$10000,'[1]2_inventory_totals'!$C$8:$C$10000,I12,'[1]2_inventory_totals'!$F$8:$F$10000,"="&amp;Q12,'[1]2_inventory_totals'!$G$8:$G$10000,"="&amp;R12))+(SUMIFS('[1]2_inventory_totals'!$J$8:$J$10000,'[1]2_inventory_totals'!$C$8:$C$10000,I12,'[1]2_inventory_totals'!$F$8:$F$10000,"="&amp;Q12,'[1]2_inventory_totals'!$G$8:$G$10000,"="&amp;R12)+SUMIFS('[1]2_inventory_totals'!$K$8:$K$10000,'[1]2_inventory_totals'!$C$8:$C$10000,I12,'[1]2_inventory_totals'!$F$8:$F$10000,"="&amp;Q12,'[1]2_inventory_totals'!$G$8:$G$10000,"="&amp;R12)+SUMIFS('[1]2_inventory_totals'!$L$8:$L$10000,'[1]2_inventory_totals'!$C$8:$C$10000,I12,'[1]2_inventory_totals'!$F$8:$F$10000,"="&amp;Q12,'[1]2_inventory_totals'!$G$8:$G$10000,"="&amp;R12)+SUMIFS('[1]2_inventory_totals'!$M$8:$M$10000,'[1]2_inventory_totals'!$C$8:$C$10000,I12,'[1]2_inventory_totals'!$F$8:$F$10000,"="&amp;Q12,'[1]2_inventory_totals'!$G$8:$G$10000,"="&amp;R12)+SUMIFS('[1]2_inventory_totals'!$O$8:$O$10000,'[1]2_inventory_totals'!$C$8:$C$10000,I12,'[1]2_inventory_totals'!$F$8:$F$10000,"="&amp;Q12,'[1]2_inventory_totals'!$G$8:$G$10000,"="&amp;R12)+SUMIFS('[1]2_inventory_totals'!$S$8:$S$10000,'[1]2_inventory_totals'!$C$8:$C$10000,I12,'[1]2_inventory_totals'!$F$8:$F$10000,"="&amp;Q12,'[1]2_inventory_totals'!$G$8:$G$10000,"="&amp;R12)))</f>
        <v/>
      </c>
    </row>
    <row r="13" spans="1:58" ht="27" customHeight="1" thickBot="1">
      <c r="A13" s="923"/>
      <c r="B13" s="1256"/>
      <c r="C13" s="1242" t="s">
        <v>1858</v>
      </c>
      <c r="D13" s="1599">
        <f>MID(quot_branch,1,2)*1</f>
        <v>1</v>
      </c>
      <c r="E13" s="1241" t="s">
        <v>2599</v>
      </c>
      <c r="F13" s="1600">
        <f>MID(E13,1,3)*1</f>
        <v>1</v>
      </c>
      <c r="G13" s="941"/>
      <c r="I13" s="1610" t="str">
        <f t="shared" si="10"/>
        <v/>
      </c>
      <c r="J13" s="1611" t="str">
        <f t="shared" si="25"/>
        <v/>
      </c>
      <c r="K13" s="1612" t="str">
        <f t="shared" si="30"/>
        <v/>
      </c>
      <c r="L13" s="1613"/>
      <c r="M13" s="883"/>
      <c r="N13" s="884"/>
      <c r="O13" s="884"/>
      <c r="P13" s="885"/>
      <c r="Q13" s="886"/>
      <c r="R13" s="891"/>
      <c r="S13" s="1614" t="str">
        <f t="shared" ref="S13" si="40">IF(M13="","",quot_currency_symbol)</f>
        <v/>
      </c>
      <c r="T13" s="888"/>
      <c r="U13" s="1650" t="str">
        <f t="shared" si="13"/>
        <v/>
      </c>
      <c r="V13" s="1615" t="str">
        <f t="shared" ref="V13" si="41">IF(W13=0,"",quot_currency_symbol)</f>
        <v/>
      </c>
      <c r="W13" s="889"/>
      <c r="X13" s="1615" t="str">
        <f t="shared" ref="X13" si="42">IF(M13="","",quot_currency_symbol)</f>
        <v/>
      </c>
      <c r="Y13" s="1616" t="str">
        <f t="shared" si="34"/>
        <v/>
      </c>
      <c r="Z13" s="890"/>
      <c r="AA13" s="197" t="str" cm="1">
        <f t="array" ref="AA13">IF(M13="","",IF(P13=AN13,1,Slookup(MID(AN13,1,3)*1,UomConversion!$D$8:$J$500,5,UomConversion!$E$8:$E$500,MID(P13,1,3)*1,UomConversion!$J$8:$J$500,1)))</f>
        <v/>
      </c>
      <c r="AB13" s="197" t="str">
        <f t="shared" si="3"/>
        <v/>
      </c>
      <c r="AC13" s="197" t="str">
        <f t="shared" si="17"/>
        <v/>
      </c>
      <c r="AD13" s="197" t="str">
        <f t="shared" si="18"/>
        <v/>
      </c>
      <c r="AE13" s="197" t="str">
        <f t="shared" si="19"/>
        <v/>
      </c>
      <c r="AF13" s="197" t="str">
        <f t="shared" si="5"/>
        <v/>
      </c>
      <c r="AG13" s="197" t="str">
        <f t="shared" si="6"/>
        <v/>
      </c>
      <c r="AH13" s="197" t="str">
        <f>IF(I13="","",IF(ISNA(MATCH(I13,IF(quot_location_id=1,'[1]1_inventory_totals'!$C$8:$C$10000,IF(quot_location_id=2,'[1]2_inventory_totals'!$C$8:$C$10000,0)),0)),0,IF(AV13&gt;0,1,0)))</f>
        <v/>
      </c>
      <c r="AI13" s="197" t="str">
        <f>IF(M13="","",IF(quot_location_id=1,SUMIFS('[1]1_inventory_total_details'!$J$8:$J$10000,'[1]1_inventory_total_details'!$C$8:$C$10000,I13,'[1]1_inventory_total_details'!$F$8:$F$10000,quot_location_id,'[1]1_inventory_total_details'!$G$8:$G$10000,"="&amp;Q13,'[1]1_inventory_total_details'!$H$8:$H$10000,"="&amp;R13,'[1]1_inventory_total_details'!$I$8:$I$10000,"="&amp;quot_date)+SUMIFS('[1]1_inventory_total_details'!$M$8:$M$10000,'[1]1_inventory_total_details'!$C$8:$C$10000,I13,'[1]1_inventory_total_details'!$F$8:$F$10000,quot_location_id,'[1]1_inventory_total_details'!$G$8:$G$10000,"="&amp;Q13,'[1]1_inventory_total_details'!$H$8:$H$10000,"="&amp;R13,'[1]1_inventory_total_details'!$I$8:$I$10000,"="&amp;quot_date)+SUMIFS('[1]1_inventory_total_details'!$K$8:$K$10000,'[1]1_inventory_total_details'!$C$8:$C$10000,I13,'[1]1_inventory_total_details'!$F$8:$F$10000,quot_location_id,'[1]1_inventory_total_details'!$G$8:$G$10000,"="&amp;Q13,'[1]1_inventory_total_details'!$H$8:$H$10000,"="&amp;R13,'[1]1_inventory_total_details'!$I$8:$I$10000,"="&amp;quot_date)+SUMIFS('[1]1_inventory_total_details'!$L$8:$L$10000,'[1]1_inventory_total_details'!$C$8:$C$10000,I13,'[1]1_inventory_total_details'!$F$8:$F$10000,quot_location_id,'[1]1_inventory_total_details'!$G$8:$G$10000,"="&amp;Q13,'[1]1_inventory_total_details'!$H$8:$H$10000,"="&amp;R13,'[1]1_inventory_total_details'!$I$8:$I$10000,"="&amp;quot_date),SUMIFS('[1]2_inventory_total_details'!$J$8:$J$10000,'[1]2_inventory_total_details'!$C$8:$C$10000,I13,'[1]2_inventory_total_details'!$F$8:$F$10000,quot_location_id,'[1]2_inventory_total_details'!$G$8:$G$10000,"="&amp;Q13,'[1]2_inventory_total_details'!$H$8:$H$10000,"="&amp;R13,'[1]2_inventory_total_details'!$I$8:$I$10000,"="&amp;quot_date)+SUMIFS('[1]2_inventory_total_details'!$M$8:$M$10000,'[1]2_inventory_total_details'!$C$8:$C$10000,I13,'[1]2_inventory_total_details'!$F$8:$F$10000,quot_location_id,'[1]2_inventory_total_details'!$G$8:$G$10000,"="&amp;Q13,'[1]2_inventory_total_details'!$H$8:$H$10000,"="&amp;R13,'[1]2_inventory_total_details'!$I$8:$I$10000,"="&amp;quot_date)+SUMIFS('[1]2_inventory_total_details'!$K$8:$K$10000,'[1]2_inventory_total_details'!$C$8:$C$10000,I13,'[1]2_inventory_total_details'!$F$8:$F$10000,quot_location_id,'[1]2_inventory_total_details'!$G$8:$G$10000,"="&amp;Q13,'[1]2_inventory_total_details'!$H$8:$H$10000,"="&amp;R13,'[1]2_inventory_total_details'!$I$8:$I$10000,"="&amp;quot_date)+SUMIFS('[1]2_inventory_total_details'!$L$8:$L$10000,'[1]2_inventory_total_details'!$C$8:$C$10000,I13,'[1]2_inventory_total_details'!$F$8:$F$10000,quot_location_id,'[1]2_inventory_total_details'!$G$8:$G$10000,"="&amp;Q13,'[1]2_inventory_total_details'!$H$8:$H$10000,"="&amp;R13,'[1]2_inventory_total_details'!$I$8:$I$10000,"="&amp;quot_date)))</f>
        <v/>
      </c>
      <c r="AJ13" s="197" t="str">
        <f>IF(M13="","",IF(ISNA(MATCH(I13,'[1]1_group_totals'!$C$8:$C$10000)),0,IF(AW13&gt;0,1,0)))</f>
        <v/>
      </c>
      <c r="AK13" s="197" t="str">
        <f>IF(M13="","",(SUMIFS('[1]1_group_total_details'!$I$8:$I$10000,'[1]1_group_total_details'!$C$8:$C$10000,I13,'[1]1_group_total_details'!$F$8:$F$10000,quot_location_group_id,'[1]1_group_total_details'!$G$8:$G$10000,quot_location_id,'[1]1_group_total_details'!$H$8:$H$10000,"="&amp;quot_date)+SUMIFS('[1]1_group_total_details'!$L$8:$L$10000,'[1]1_group_total_details'!$C$8:$C$10000,I13,'[1]1_group_total_details'!$F$8:$F$10000,quot_location_group_id,'[1]1_group_total_details'!$G$8:$G$10000,quot_location_id,'[1]1_group_total_details'!$H$8:$H$10000,"="&amp;quot_date)+SUMIFS('[1]1_group_total_details'!$N$8:$N$10000,'[1]1_group_total_details'!$C$8:$C$10000,I13,'[1]1_group_total_details'!$F$8:$F$10000,quot_location_group_id,'[1]1_group_total_details'!$G$8:$G$10000,quot_location_id,'[1]1_group_total_details'!$H$8:$H$10000,"="&amp;quot_date)+SUMIFS('[1]1_group_total_details'!$O$8:$O$10000,'[1]1_group_total_details'!$C$8:$C$10000,I13,'[1]1_group_total_details'!$F$8:$F$10000,quot_location_group_id,'[1]1_group_total_details'!$G$8:$G$10000,quot_location_id,'[1]1_group_total_details'!$H$8:$H$10000,"="&amp;quot_date))+(SUMIFS('[1]1_group_total_details'!$J$8:$J$10000,'[1]1_group_total_details'!$C$8:$C$10000,I13,'[1]1_group_total_details'!$F$8:$F$10000,quot_location_group_id,'[1]1_group_total_details'!$G$8:$G$10000,quot_location_id,'[1]1_group_total_details'!$H$8:$H$10000,"="&amp;quot_date)+SUMIFS('[1]1_group_total_details'!$K$8:$K$10000,'[1]1_group_total_details'!$C$8:$C$10000,I13,'[1]1_group_total_details'!$F$8:$F$10000,quot_location_group_id,'[1]1_group_total_details'!$G$8:$G$10000,quot_location_id,'[1]1_group_total_details'!$H$8:$H$10000,"="&amp;quot_date)+SUMIFS('[1]1_group_total_details'!$M$8:$M$10000,'[1]1_group_total_details'!$C$8:$C$10000,I13,'[1]1_group_total_details'!$F$8:$F$10000,quot_location_group_id,'[1]1_group_total_details'!$G$8:$G$10000,quot_location_id,'[1]1_group_total_details'!$H$8:$H$10000,"="&amp;quot_date)+SUMIFS('[1]1_group_total_details'!$P$8:$P$10000,'[1]1_group_total_details'!$C$8:$C$10000,I13,'[1]1_group_total_details'!$F$8:$F$10000,quot_location_group_id,'[1]1_group_total_details'!$G$8:$G$10000,quot_location_id,'[1]1_group_total_details'!$H$8:$H$10000,"="&amp;quot_date)))</f>
        <v/>
      </c>
      <c r="AL13" s="197" t="str">
        <f>IF(M13="","",(SUMIFS('[1]1_group_total_details'!$I$8:$I$10000,'[1]1_group_total_details'!$C$8:$C$10000,I13,'[1]1_group_total_details'!$F$8:$F$10000,quot_location_group_id,'[1]1_group_total_details'!$G$8:$G$10000,quot_location_id,'[1]1_group_total_details'!$H$8:$H$10000,"&lt;="&amp;quot_date)+SUMIFS('[1]1_group_total_details'!$L$8:$L$10000,'[1]1_group_total_details'!$C$8:$C$10000,I13,'[1]1_group_total_details'!$F$8:$F$10000,quot_location_group_id,'[1]1_group_total_details'!$G$8:$G$10000,1,'[1]1_group_total_details'!$H$8:$H$10000,"&lt;="&amp;quot_date)+SUMIFS('[1]1_group_total_details'!$N$8:$N$10000,'[1]1_group_total_details'!$C$8:$C$10000,I13,'[1]1_group_total_details'!$F$8:$F$10000,quot_location_group_id,'[1]1_group_total_details'!$G$8:$G$10000,quot_location_id,'[1]1_group_total_details'!$H$8:$H$10000,"&lt;="&amp;quot_date)+SUMIFS('[1]1_group_total_details'!$O$8:$O$10000,'[1]1_group_total_details'!$C$8:$C$10000,I13,'[1]1_group_total_details'!$F$8:$F$10000,quot_location_group_id,'[1]1_group_total_details'!$G$8:$G$10000,quot_location_id,'[1]1_group_total_details'!$H$8:$H$10000,"&lt;="&amp;quot_date))-(SUMIFS('[1]1_group_total_details'!$J$8:$J$10000,'[1]1_group_total_details'!$C$8:$C$10000,I13,'[1]1_group_total_details'!$F$8:$F$10000,quot_location_group_id,'[1]1_group_total_details'!$G$8:$G$10000,quot_location_id,'[1]1_group_total_details'!$H$8:$H$10000,"&lt;="&amp;quot_date)+SUMIFS('[1]1_group_total_details'!$K$8:$K$10000,'[1]1_group_total_details'!$C$8:$C$10000,I13,'[1]1_group_total_details'!$F$8:$F$10000,quot_location_group_id,'[1]1_group_total_details'!$G$8:$G$10000,quot_location_id,'[1]1_group_total_details'!$H$8:$H$10000,"&lt;="&amp;quot_date)+SUMIFS('[1]1_group_total_details'!$M$8:$M$10000,'[1]1_group_total_details'!$C$8:$C$10000,I13,'[1]1_group_total_details'!$F$8:$F$10000,quot_location_group_id,'[1]1_group_total_details'!$G$8:$G$10000,quot_location_id,'[1]1_group_total_details'!$H$8:$H$10000,"&lt;="&amp;quot_date)+SUMIFS('[1]1_group_total_details'!$P$8:$P$10000,'[1]1_group_total_details'!$C$8:$C$10000,I13,'[1]1_group_total_details'!$F$8:$F$10000,quot_location_group_id,'[1]1_group_total_details'!$G$8:$G$10000,quot_location_id,'[1]1_group_total_details'!$H$8:$H$10000,"&lt;="&amp;quot_date)))</f>
        <v/>
      </c>
      <c r="AM13" s="197" t="str">
        <f>IF(M13="","",SUMIFS('[1]1_group_totals'!$J$8:$J$10000,'[1]1_group_totals'!$C$8:$C$10000,I13,'[1]1_group_totals'!$F$8:$F$10000,quot_location_group_id,'[1]1_group_totals'!$G$8:$G$10000,quot_location_id,'[1]1_group_totals'!$H$8:$H$10000,"="&amp;Q13,'[1]1_group_totals'!$I$8:$I$10000,"="&amp;R13))</f>
        <v/>
      </c>
      <c r="AN13" s="197" t="str">
        <f t="shared" si="7"/>
        <v/>
      </c>
      <c r="AO13" s="197" t="str">
        <f>IF(OR(ISNA(MATCH(MID(AN13,1,3)*1,UomConversion!$D$8:$D$500,0)),M13=""),"",IF(AT13="","",AT13))</f>
        <v/>
      </c>
      <c r="AP13" s="197" t="str">
        <f>IF(AND(AQ13&gt;0,COUNTIFS(UomConversion!$D$8:$D$500,MID(AN13,1,3)*1,UomConversion!$J$8:$J$500,1)&gt;1),TEXT(AQ13,"000")&amp;"."&amp;VLOOKUP(AQ13,uom_list,5,FALSE),"")</f>
        <v/>
      </c>
      <c r="AQ13" s="197" t="str">
        <f t="shared" si="20"/>
        <v/>
      </c>
      <c r="AR13" s="197" t="str">
        <f t="shared" si="21"/>
        <v/>
      </c>
      <c r="AS13" s="197" t="str">
        <f>IF(M13="","",SUMIFS(ProductPrice!$N$28:$N$10020,ProductPrice!$D$28:$D$10020,I13,ProductPrice!$G$28:$G$10020,quot_branch_id,ProductPrice!$H$28:$H$10020,quot_price_type_id,ProductPrice!$I$28:$I$10020,MID(P13,1,3)*1,ProductPrice!$Q$28:$Q$10020,1))</f>
        <v/>
      </c>
      <c r="AT13" s="197" t="str">
        <f t="shared" si="8"/>
        <v/>
      </c>
      <c r="AU13" s="197" t="str" cm="1">
        <f t="array" ref="AU13">IF(M13="","",IF(ISNA(Slookup(MID(AN13,1,3)*1,UomConversion!$D$8:$J$500,2,UomConversion!$I$8:$I$500,1,UomConversion!$J$8:$J$500,1)),"",Slookup(MID(AN13,1,3)*1,UomConversion!$D$8:$J$500,2,UomConversion!$I$8:$I$500,1,UomConversion!$J$8:$J$500,1)))</f>
        <v/>
      </c>
      <c r="AV13" s="197" t="str">
        <f t="shared" ref="AV13" si="43">IF(M13="","",IF(quot_location_id=1,BA13,IF(quot_location_id=2,BB13,0)))</f>
        <v/>
      </c>
      <c r="AW13" s="197" t="str">
        <f>IF(M13="","",(SUMIFS('[1]1_group_totals'!$K$8:$K$10000,'[1]1_group_totals'!$C$8:$C$10000,I13,'[1]1_group_totals'!$F$8:$F$10000,quot_location_group_id,'[1]1_group_totals'!$G$8:$G$10000,quot_location_id,'[1]1_group_totals'!$H$8:$H$10000,"="&amp;Q13,'[1]1_group_totals'!$I$8:$I$10000,"="&amp;R13)+SUMIFS('[1]1_group_totals'!$N$8:$N$10000,'[1]1_group_totals'!$C$8:$C$10000,I13,'[1]1_group_totals'!$F$8:$F$10000,quot_location_group_id,'[1]1_group_totals'!$G$8:$G$10000,quot_location_id,'[1]1_group_totals'!$H$8:$H$10000,"="&amp;Q13,'[1]1_group_totals'!$I$8:$I$10000,"="&amp;R13)+SUMIFS('[1]1_group_totals'!$P$8:$P$10000,'[1]1_group_totals'!$C$8:$C$10000,I13,'[1]1_group_totals'!$F$8:$F$10000,quot_location_group_id,'[1]1_group_totals'!$G$8:$G$10000,quot_location_id,'[1]1_group_totals'!$H$8:$H$10000,"="&amp;Q13,'[1]1_group_totals'!$I$8:$I$10000,"="&amp;R13)+SUMIFS('[1]1_group_totals'!$Q$8:$Q$10000,'[1]1_group_totals'!$C$8:$C$10000,I13,'[1]1_group_totals'!$F$8:$F$10000,quot_location_group_id,'[1]1_group_totals'!$G$8:$G$10000,quot_location_id,'[1]1_group_totals'!$H$8:$H$10000,"="&amp;Q13,'[1]1_group_totals'!$I$8:$I$10000,"="&amp;R13))+(SUMIFS('[1]1_group_totals'!$L$8:$L$10000,'[1]1_group_totals'!$C$8:$C$10000,I13,'[1]1_group_totals'!$F$8:$F$10000,quot_location_group_id,'[1]1_group_totals'!$G$8:$G$10000,quot_location_id,'[1]1_group_totals'!$H$8:$H$10000,"="&amp;Q13,'[1]1_group_totals'!$I$8:$I$10000,"="&amp;R13)+SUMIFS('[1]1_group_totals'!$M$8:$M$10000,'[1]1_group_totals'!$C$8:$C$10000,I13,'[1]1_group_totals'!$F$8:$F$10000,quot_location_group_id,'[1]1_group_totals'!$G$8:$G$10000,quot_location_id,'[1]1_group_totals'!$H$8:$H$10000,"="&amp;Q13,'[1]1_group_totals'!$I$8:$I$10000,"="&amp;R13)+SUMIFS('[1]1_group_totals'!$O$8:$O$10000,'[1]1_group_totals'!$C$8:$C$10000,I13,'[1]1_group_totals'!$F$8:$F$10000,quot_location_group_id,'[1]1_group_totals'!$G$8:$G$10000,quot_location_id,'[1]1_group_totals'!$H$8:$H$10000,"="&amp;Q13,'[1]1_group_totals'!$I$8:$I$10000,"="&amp;R13)+SUMIFS('[1]1_group_totals'!$R$8:$R$10000,'[1]1_group_totals'!$C$8:$C$10000,I13,'[1]1_group_totals'!$F$8:$F$10000,quot_location_group_id,'[1]1_group_totals'!$G$8:$G$10000,quot_location_id,'[1]1_group_totals'!$H$8:$H$10000,"="&amp;Q13,'[1]1_group_totals'!$I$8:$I$10000,"="&amp;R13)))</f>
        <v/>
      </c>
      <c r="AX13" s="197" t="str">
        <f t="shared" si="23"/>
        <v/>
      </c>
      <c r="AY13" s="197" t="str">
        <f>IF(M13="","",SUMIFS($AX$8:AX13,$I$8:I13,I13))</f>
        <v/>
      </c>
      <c r="AZ13" s="197" t="str">
        <f t="shared" si="24"/>
        <v/>
      </c>
      <c r="BA13" s="197" t="str">
        <f>IF(M13="","",(SUMIFS('[1]1_inventory_totals'!$I$8:$I$10000,'[1]1_inventory_totals'!$C$8:$C$10000,I13,'[1]1_inventory_totals'!$F$8:$F$10000,"="&amp;Q13,'[1]1_inventory_totals'!$G$8:$G$10000,"="&amp;R13)+SUMIFS('[1]1_inventory_totals'!$N$8:$N$10000,'[1]1_inventory_totals'!$C$8:$C$10000,I13,'[1]1_inventory_totals'!$F$8:$F$10000,"="&amp;Q13,'[1]1_inventory_totals'!$G$8:$G$10000,"="&amp;R13)+SUMIFS('[1]1_inventory_totals'!$P$8:$P$10000,'[1]1_inventory_totals'!$C$8:$C$10000,I13,'[1]1_inventory_totals'!$F$8:$F$10000,"="&amp;Q13,'[1]1_inventory_totals'!$G$8:$G$10000,"="&amp;R13)+SUMIFS('[1]1_inventory_totals'!$Q$8:$Q$10000,'[1]1_inventory_totals'!$C$8:$C$10000,I13,'[1]1_inventory_totals'!$F$8:$F$10000,"="&amp;Q13,'[1]1_inventory_totals'!$G$8:$G$10000,"="&amp;R13)+SUMIFS('[1]1_inventory_totals'!$R$8:$R$10000,'[1]1_inventory_totals'!$C$8:$C$10000,I13,'[1]1_inventory_totals'!$F$8:$F$10000,"="&amp;Q13,'[1]1_inventory_totals'!$G$8:$G$10000,"="&amp;R13))+(SUMIFS('[1]1_inventory_totals'!$J$8:$J$10000,'[1]1_inventory_totals'!$C$8:$C$10000,I13,'[1]1_inventory_totals'!$F$8:$F$10000,"="&amp;Q13,'[1]1_inventory_totals'!$G$8:$G$10000,"="&amp;R13)+SUMIFS('[1]1_inventory_totals'!$K$8:$K$10000,'[1]1_inventory_totals'!$C$8:$C$10000,I13,'[1]1_inventory_totals'!$F$8:$F$10000,"="&amp;Q13,'[1]1_inventory_totals'!$G$8:$G$10000,"="&amp;R13)+SUMIFS('[1]1_inventory_totals'!$L$8:$L$10000,'[1]1_inventory_totals'!$C$8:$C$10000,I13,'[1]1_inventory_totals'!$F$8:$F$10000,"="&amp;Q13,'[1]1_inventory_totals'!$G$8:$G$10000,"="&amp;R13)+SUMIFS('[1]1_inventory_totals'!$M$8:$M$10000,'[1]1_inventory_totals'!$C$8:$C$10000,I13,'[1]1_inventory_totals'!$F$8:$F$10000,"="&amp;Q13,'[1]1_inventory_totals'!$G$8:$G$10000,"="&amp;R13)+SUMIFS('[1]1_inventory_totals'!$O$8:$O$10000,'[1]1_inventory_totals'!$C$8:$C$10000,I13,'[1]1_inventory_totals'!$F$8:$F$10000,"="&amp;Q13,'[1]1_inventory_totals'!$G$8:$G$10000,"="&amp;R13)+SUMIFS('[1]1_inventory_totals'!$S$8:$S$10000,'[1]1_inventory_totals'!$C$8:$C$10000,I13,'[1]1_inventory_totals'!$F$8:$F$10000,"="&amp;Q13,'[1]1_inventory_totals'!$G$8:$G$10000,"="&amp;R13)))</f>
        <v/>
      </c>
      <c r="BB13" s="197" t="str">
        <f>IF(M13="","",(SUMIFS('[1]2_inventory_totals'!$I$8:$I$10000,'[1]2_inventory_totals'!$C$8:$C$10000,I13,'[1]2_inventory_totals'!$F$8:$F$10000,"="&amp;Q13,'[1]2_inventory_totals'!$G$8:$G$10000,"="&amp;R13)+SUMIFS('[1]2_inventory_totals'!$N$8:$N$10000,'[1]2_inventory_totals'!$C$8:$C$10000,I13,'[1]2_inventory_totals'!$F$8:$F$10000,"="&amp;Q13,'[1]2_inventory_totals'!$G$8:$G$10000,"="&amp;R13)+SUMIFS('[1]2_inventory_totals'!$P$8:$P$10000,'[1]2_inventory_totals'!$C$8:$C$10000,I13,'[1]2_inventory_totals'!$F$8:$F$10000,"="&amp;Q13,'[1]2_inventory_totals'!$G$8:$G$10000,"="&amp;R13)+SUMIFS('[1]2_inventory_totals'!$Q$8:$Q$10000,'[1]2_inventory_totals'!$C$8:$C$10000,I13,'[1]2_inventory_totals'!$F$8:$F$10000,"="&amp;Q13,'[1]2_inventory_totals'!$G$8:$G$10000,"="&amp;R13)+SUMIFS('[1]2_inventory_totals'!$R$8:$R$10000,'[1]2_inventory_totals'!$C$8:$C$10000,I13,'[1]2_inventory_totals'!$F$8:$F$10000,"="&amp;Q13,'[1]2_inventory_totals'!$G$8:$G$10000,"="&amp;R13))+(SUMIFS('[1]2_inventory_totals'!$J$8:$J$10000,'[1]2_inventory_totals'!$C$8:$C$10000,I13,'[1]2_inventory_totals'!$F$8:$F$10000,"="&amp;Q13,'[1]2_inventory_totals'!$G$8:$G$10000,"="&amp;R13)+SUMIFS('[1]2_inventory_totals'!$K$8:$K$10000,'[1]2_inventory_totals'!$C$8:$C$10000,I13,'[1]2_inventory_totals'!$F$8:$F$10000,"="&amp;Q13,'[1]2_inventory_totals'!$G$8:$G$10000,"="&amp;R13)+SUMIFS('[1]2_inventory_totals'!$L$8:$L$10000,'[1]2_inventory_totals'!$C$8:$C$10000,I13,'[1]2_inventory_totals'!$F$8:$F$10000,"="&amp;Q13,'[1]2_inventory_totals'!$G$8:$G$10000,"="&amp;R13)+SUMIFS('[1]2_inventory_totals'!$M$8:$M$10000,'[1]2_inventory_totals'!$C$8:$C$10000,I13,'[1]2_inventory_totals'!$F$8:$F$10000,"="&amp;Q13,'[1]2_inventory_totals'!$G$8:$G$10000,"="&amp;R13)+SUMIFS('[1]2_inventory_totals'!$O$8:$O$10000,'[1]2_inventory_totals'!$C$8:$C$10000,I13,'[1]2_inventory_totals'!$F$8:$F$10000,"="&amp;Q13,'[1]2_inventory_totals'!$G$8:$G$10000,"="&amp;R13)+SUMIFS('[1]2_inventory_totals'!$S$8:$S$10000,'[1]2_inventory_totals'!$C$8:$C$10000,I13,'[1]2_inventory_totals'!$F$8:$F$10000,"="&amp;Q13,'[1]2_inventory_totals'!$G$8:$G$10000,"="&amp;R13)))</f>
        <v/>
      </c>
    </row>
    <row r="14" spans="1:58" ht="27" customHeight="1" thickBot="1">
      <c r="A14" s="923"/>
      <c r="B14" s="1251"/>
      <c r="C14" s="947" t="s">
        <v>2659</v>
      </c>
      <c r="D14" s="1264"/>
      <c r="E14" s="947" t="s">
        <v>2658</v>
      </c>
      <c r="F14" s="1262"/>
      <c r="I14" s="1610" t="str">
        <f t="shared" si="10"/>
        <v/>
      </c>
      <c r="J14" s="1611" t="str">
        <f t="shared" si="25"/>
        <v/>
      </c>
      <c r="K14" s="1612" t="str">
        <f t="shared" si="30"/>
        <v/>
      </c>
      <c r="L14" s="1613"/>
      <c r="M14" s="883"/>
      <c r="N14" s="884"/>
      <c r="O14" s="884"/>
      <c r="P14" s="885"/>
      <c r="Q14" s="886"/>
      <c r="R14" s="891"/>
      <c r="S14" s="1614" t="str">
        <f t="shared" ref="S14" si="44">IF(M14="","",quot_currency_symbol)</f>
        <v/>
      </c>
      <c r="T14" s="888"/>
      <c r="U14" s="1650" t="str">
        <f t="shared" si="13"/>
        <v/>
      </c>
      <c r="V14" s="1615" t="str">
        <f t="shared" ref="V14" si="45">IF(W14=0,"",quot_currency_symbol)</f>
        <v/>
      </c>
      <c r="W14" s="889"/>
      <c r="X14" s="1615" t="str">
        <f t="shared" ref="X14" si="46">IF(M14="","",quot_currency_symbol)</f>
        <v/>
      </c>
      <c r="Y14" s="1616" t="str">
        <f t="shared" si="34"/>
        <v/>
      </c>
      <c r="Z14" s="890"/>
      <c r="AA14" s="197" t="str" cm="1">
        <f t="array" ref="AA14">IF(M14="","",IF(P14=AN14,1,Slookup(MID(AN14,1,3)*1,UomConversion!$D$8:$J$500,5,UomConversion!$E$8:$E$500,MID(P14,1,3)*1,UomConversion!$J$8:$J$500,1)))</f>
        <v/>
      </c>
      <c r="AB14" s="197" t="str">
        <f t="shared" si="3"/>
        <v/>
      </c>
      <c r="AC14" s="197" t="str">
        <f t="shared" si="17"/>
        <v/>
      </c>
      <c r="AD14" s="197" t="str">
        <f t="shared" si="18"/>
        <v/>
      </c>
      <c r="AE14" s="197" t="str">
        <f t="shared" si="19"/>
        <v/>
      </c>
      <c r="AF14" s="197" t="str">
        <f t="shared" si="5"/>
        <v/>
      </c>
      <c r="AG14" s="197" t="str">
        <f t="shared" si="6"/>
        <v/>
      </c>
      <c r="AH14" s="197" t="str">
        <f>IF(I14="","",IF(ISNA(MATCH(I14,IF(quot_location_id=1,'[1]1_inventory_totals'!$C$8:$C$10000,IF(quot_location_id=2,'[1]2_inventory_totals'!$C$8:$C$10000,0)),0)),0,IF(AV14&gt;0,1,0)))</f>
        <v/>
      </c>
      <c r="AI14" s="197" t="str">
        <f>IF(M14="","",IF(quot_location_id=1,SUMIFS('[1]1_inventory_total_details'!$J$8:$J$10000,'[1]1_inventory_total_details'!$C$8:$C$10000,I14,'[1]1_inventory_total_details'!$F$8:$F$10000,quot_location_id,'[1]1_inventory_total_details'!$G$8:$G$10000,"="&amp;Q14,'[1]1_inventory_total_details'!$H$8:$H$10000,"="&amp;R14,'[1]1_inventory_total_details'!$I$8:$I$10000,"="&amp;quot_date)+SUMIFS('[1]1_inventory_total_details'!$M$8:$M$10000,'[1]1_inventory_total_details'!$C$8:$C$10000,I14,'[1]1_inventory_total_details'!$F$8:$F$10000,quot_location_id,'[1]1_inventory_total_details'!$G$8:$G$10000,"="&amp;Q14,'[1]1_inventory_total_details'!$H$8:$H$10000,"="&amp;R14,'[1]1_inventory_total_details'!$I$8:$I$10000,"="&amp;quot_date)+SUMIFS('[1]1_inventory_total_details'!$K$8:$K$10000,'[1]1_inventory_total_details'!$C$8:$C$10000,I14,'[1]1_inventory_total_details'!$F$8:$F$10000,quot_location_id,'[1]1_inventory_total_details'!$G$8:$G$10000,"="&amp;Q14,'[1]1_inventory_total_details'!$H$8:$H$10000,"="&amp;R14,'[1]1_inventory_total_details'!$I$8:$I$10000,"="&amp;quot_date)+SUMIFS('[1]1_inventory_total_details'!$L$8:$L$10000,'[1]1_inventory_total_details'!$C$8:$C$10000,I14,'[1]1_inventory_total_details'!$F$8:$F$10000,quot_location_id,'[1]1_inventory_total_details'!$G$8:$G$10000,"="&amp;Q14,'[1]1_inventory_total_details'!$H$8:$H$10000,"="&amp;R14,'[1]1_inventory_total_details'!$I$8:$I$10000,"="&amp;quot_date),SUMIFS('[1]2_inventory_total_details'!$J$8:$J$10000,'[1]2_inventory_total_details'!$C$8:$C$10000,I14,'[1]2_inventory_total_details'!$F$8:$F$10000,quot_location_id,'[1]2_inventory_total_details'!$G$8:$G$10000,"="&amp;Q14,'[1]2_inventory_total_details'!$H$8:$H$10000,"="&amp;R14,'[1]2_inventory_total_details'!$I$8:$I$10000,"="&amp;quot_date)+SUMIFS('[1]2_inventory_total_details'!$M$8:$M$10000,'[1]2_inventory_total_details'!$C$8:$C$10000,I14,'[1]2_inventory_total_details'!$F$8:$F$10000,quot_location_id,'[1]2_inventory_total_details'!$G$8:$G$10000,"="&amp;Q14,'[1]2_inventory_total_details'!$H$8:$H$10000,"="&amp;R14,'[1]2_inventory_total_details'!$I$8:$I$10000,"="&amp;quot_date)+SUMIFS('[1]2_inventory_total_details'!$K$8:$K$10000,'[1]2_inventory_total_details'!$C$8:$C$10000,I14,'[1]2_inventory_total_details'!$F$8:$F$10000,quot_location_id,'[1]2_inventory_total_details'!$G$8:$G$10000,"="&amp;Q14,'[1]2_inventory_total_details'!$H$8:$H$10000,"="&amp;R14,'[1]2_inventory_total_details'!$I$8:$I$10000,"="&amp;quot_date)+SUMIFS('[1]2_inventory_total_details'!$L$8:$L$10000,'[1]2_inventory_total_details'!$C$8:$C$10000,I14,'[1]2_inventory_total_details'!$F$8:$F$10000,quot_location_id,'[1]2_inventory_total_details'!$G$8:$G$10000,"="&amp;Q14,'[1]2_inventory_total_details'!$H$8:$H$10000,"="&amp;R14,'[1]2_inventory_total_details'!$I$8:$I$10000,"="&amp;quot_date)))</f>
        <v/>
      </c>
      <c r="AJ14" s="197" t="str">
        <f>IF(M14="","",IF(ISNA(MATCH(I14,'[1]1_group_totals'!$C$8:$C$10000)),0,IF(AW14&gt;0,1,0)))</f>
        <v/>
      </c>
      <c r="AK14" s="197" t="str">
        <f>IF(M14="","",(SUMIFS('[1]1_group_total_details'!$I$8:$I$10000,'[1]1_group_total_details'!$C$8:$C$10000,I14,'[1]1_group_total_details'!$F$8:$F$10000,quot_location_group_id,'[1]1_group_total_details'!$G$8:$G$10000,quot_location_id,'[1]1_group_total_details'!$H$8:$H$10000,"="&amp;quot_date)+SUMIFS('[1]1_group_total_details'!$L$8:$L$10000,'[1]1_group_total_details'!$C$8:$C$10000,I14,'[1]1_group_total_details'!$F$8:$F$10000,quot_location_group_id,'[1]1_group_total_details'!$G$8:$G$10000,quot_location_id,'[1]1_group_total_details'!$H$8:$H$10000,"="&amp;quot_date)+SUMIFS('[1]1_group_total_details'!$N$8:$N$10000,'[1]1_group_total_details'!$C$8:$C$10000,I14,'[1]1_group_total_details'!$F$8:$F$10000,quot_location_group_id,'[1]1_group_total_details'!$G$8:$G$10000,quot_location_id,'[1]1_group_total_details'!$H$8:$H$10000,"="&amp;quot_date)+SUMIFS('[1]1_group_total_details'!$O$8:$O$10000,'[1]1_group_total_details'!$C$8:$C$10000,I14,'[1]1_group_total_details'!$F$8:$F$10000,quot_location_group_id,'[1]1_group_total_details'!$G$8:$G$10000,quot_location_id,'[1]1_group_total_details'!$H$8:$H$10000,"="&amp;quot_date))+(SUMIFS('[1]1_group_total_details'!$J$8:$J$10000,'[1]1_group_total_details'!$C$8:$C$10000,I14,'[1]1_group_total_details'!$F$8:$F$10000,quot_location_group_id,'[1]1_group_total_details'!$G$8:$G$10000,quot_location_id,'[1]1_group_total_details'!$H$8:$H$10000,"="&amp;quot_date)+SUMIFS('[1]1_group_total_details'!$K$8:$K$10000,'[1]1_group_total_details'!$C$8:$C$10000,I14,'[1]1_group_total_details'!$F$8:$F$10000,quot_location_group_id,'[1]1_group_total_details'!$G$8:$G$10000,quot_location_id,'[1]1_group_total_details'!$H$8:$H$10000,"="&amp;quot_date)+SUMIFS('[1]1_group_total_details'!$M$8:$M$10000,'[1]1_group_total_details'!$C$8:$C$10000,I14,'[1]1_group_total_details'!$F$8:$F$10000,quot_location_group_id,'[1]1_group_total_details'!$G$8:$G$10000,quot_location_id,'[1]1_group_total_details'!$H$8:$H$10000,"="&amp;quot_date)+SUMIFS('[1]1_group_total_details'!$P$8:$P$10000,'[1]1_group_total_details'!$C$8:$C$10000,I14,'[1]1_group_total_details'!$F$8:$F$10000,quot_location_group_id,'[1]1_group_total_details'!$G$8:$G$10000,quot_location_id,'[1]1_group_total_details'!$H$8:$H$10000,"="&amp;quot_date)))</f>
        <v/>
      </c>
      <c r="AL14" s="197" t="str">
        <f>IF(M14="","",(SUMIFS('[1]1_group_total_details'!$I$8:$I$10000,'[1]1_group_total_details'!$C$8:$C$10000,I14,'[1]1_group_total_details'!$F$8:$F$10000,quot_location_group_id,'[1]1_group_total_details'!$G$8:$G$10000,quot_location_id,'[1]1_group_total_details'!$H$8:$H$10000,"&lt;="&amp;quot_date)+SUMIFS('[1]1_group_total_details'!$L$8:$L$10000,'[1]1_group_total_details'!$C$8:$C$10000,I14,'[1]1_group_total_details'!$F$8:$F$10000,quot_location_group_id,'[1]1_group_total_details'!$G$8:$G$10000,1,'[1]1_group_total_details'!$H$8:$H$10000,"&lt;="&amp;quot_date)+SUMIFS('[1]1_group_total_details'!$N$8:$N$10000,'[1]1_group_total_details'!$C$8:$C$10000,I14,'[1]1_group_total_details'!$F$8:$F$10000,quot_location_group_id,'[1]1_group_total_details'!$G$8:$G$10000,quot_location_id,'[1]1_group_total_details'!$H$8:$H$10000,"&lt;="&amp;quot_date)+SUMIFS('[1]1_group_total_details'!$O$8:$O$10000,'[1]1_group_total_details'!$C$8:$C$10000,I14,'[1]1_group_total_details'!$F$8:$F$10000,quot_location_group_id,'[1]1_group_total_details'!$G$8:$G$10000,quot_location_id,'[1]1_group_total_details'!$H$8:$H$10000,"&lt;="&amp;quot_date))-(SUMIFS('[1]1_group_total_details'!$J$8:$J$10000,'[1]1_group_total_details'!$C$8:$C$10000,I14,'[1]1_group_total_details'!$F$8:$F$10000,quot_location_group_id,'[1]1_group_total_details'!$G$8:$G$10000,quot_location_id,'[1]1_group_total_details'!$H$8:$H$10000,"&lt;="&amp;quot_date)+SUMIFS('[1]1_group_total_details'!$K$8:$K$10000,'[1]1_group_total_details'!$C$8:$C$10000,I14,'[1]1_group_total_details'!$F$8:$F$10000,quot_location_group_id,'[1]1_group_total_details'!$G$8:$G$10000,quot_location_id,'[1]1_group_total_details'!$H$8:$H$10000,"&lt;="&amp;quot_date)+SUMIFS('[1]1_group_total_details'!$M$8:$M$10000,'[1]1_group_total_details'!$C$8:$C$10000,I14,'[1]1_group_total_details'!$F$8:$F$10000,quot_location_group_id,'[1]1_group_total_details'!$G$8:$G$10000,quot_location_id,'[1]1_group_total_details'!$H$8:$H$10000,"&lt;="&amp;quot_date)+SUMIFS('[1]1_group_total_details'!$P$8:$P$10000,'[1]1_group_total_details'!$C$8:$C$10000,I14,'[1]1_group_total_details'!$F$8:$F$10000,quot_location_group_id,'[1]1_group_total_details'!$G$8:$G$10000,quot_location_id,'[1]1_group_total_details'!$H$8:$H$10000,"&lt;="&amp;quot_date)))</f>
        <v/>
      </c>
      <c r="AM14" s="197" t="str">
        <f>IF(M14="","",SUMIFS('[1]1_group_totals'!$J$8:$J$10000,'[1]1_group_totals'!$C$8:$C$10000,I14,'[1]1_group_totals'!$F$8:$F$10000,quot_location_group_id,'[1]1_group_totals'!$G$8:$G$10000,quot_location_id,'[1]1_group_totals'!$H$8:$H$10000,"="&amp;Q14,'[1]1_group_totals'!$I$8:$I$10000,"="&amp;R14))</f>
        <v/>
      </c>
      <c r="AN14" s="197" t="str">
        <f t="shared" si="7"/>
        <v/>
      </c>
      <c r="AO14" s="197" t="str">
        <f>IF(OR(ISNA(MATCH(MID(AN14,1,3)*1,UomConversion!$D$8:$D$500,0)),M14=""),"",IF(AT14="","",AT14))</f>
        <v/>
      </c>
      <c r="AP14" s="197" t="str">
        <f>IF(AND(AQ14&gt;0,COUNTIFS(UomConversion!$D$8:$D$500,MID(AN14,1,3)*1,UomConversion!$J$8:$J$500,1)&gt;1),TEXT(AQ14,"000")&amp;"."&amp;VLOOKUP(AQ14,uom_list,5,FALSE),"")</f>
        <v/>
      </c>
      <c r="AQ14" s="197" t="str">
        <f t="shared" si="20"/>
        <v/>
      </c>
      <c r="AR14" s="197" t="str">
        <f t="shared" si="21"/>
        <v/>
      </c>
      <c r="AS14" s="197" t="str">
        <f>IF(M14="","",SUMIFS(ProductPrice!$N$28:$N$10020,ProductPrice!$D$28:$D$10020,I14,ProductPrice!$G$28:$G$10020,quot_branch_id,ProductPrice!$H$28:$H$10020,quot_price_type_id,ProductPrice!$I$28:$I$10020,MID(P14,1,3)*1,ProductPrice!$Q$28:$Q$10020,1))</f>
        <v/>
      </c>
      <c r="AT14" s="197" t="str">
        <f t="shared" si="8"/>
        <v/>
      </c>
      <c r="AU14" s="197" t="str" cm="1">
        <f t="array" ref="AU14">IF(M14="","",IF(ISNA(Slookup(MID(AN14,1,3)*1,UomConversion!$D$8:$J$500,2,UomConversion!$I$8:$I$500,1,UomConversion!$J$8:$J$500,1)),"",Slookup(MID(AN14,1,3)*1,UomConversion!$D$8:$J$500,2,UomConversion!$I$8:$I$500,1,UomConversion!$J$8:$J$500,1)))</f>
        <v/>
      </c>
      <c r="AV14" s="197" t="str">
        <f t="shared" ref="AV14" si="47">IF(M14="","",IF(quot_location_id=1,BA14,IF(quot_location_id=2,BB14,0)))</f>
        <v/>
      </c>
      <c r="AW14" s="197" t="str">
        <f>IF(M14="","",(SUMIFS('[1]1_group_totals'!$K$8:$K$10000,'[1]1_group_totals'!$C$8:$C$10000,I14,'[1]1_group_totals'!$F$8:$F$10000,quot_location_group_id,'[1]1_group_totals'!$G$8:$G$10000,quot_location_id,'[1]1_group_totals'!$H$8:$H$10000,"="&amp;Q14,'[1]1_group_totals'!$I$8:$I$10000,"="&amp;R14)+SUMIFS('[1]1_group_totals'!$N$8:$N$10000,'[1]1_group_totals'!$C$8:$C$10000,I14,'[1]1_group_totals'!$F$8:$F$10000,quot_location_group_id,'[1]1_group_totals'!$G$8:$G$10000,quot_location_id,'[1]1_group_totals'!$H$8:$H$10000,"="&amp;Q14,'[1]1_group_totals'!$I$8:$I$10000,"="&amp;R14)+SUMIFS('[1]1_group_totals'!$P$8:$P$10000,'[1]1_group_totals'!$C$8:$C$10000,I14,'[1]1_group_totals'!$F$8:$F$10000,quot_location_group_id,'[1]1_group_totals'!$G$8:$G$10000,quot_location_id,'[1]1_group_totals'!$H$8:$H$10000,"="&amp;Q14,'[1]1_group_totals'!$I$8:$I$10000,"="&amp;R14)+SUMIFS('[1]1_group_totals'!$Q$8:$Q$10000,'[1]1_group_totals'!$C$8:$C$10000,I14,'[1]1_group_totals'!$F$8:$F$10000,quot_location_group_id,'[1]1_group_totals'!$G$8:$G$10000,quot_location_id,'[1]1_group_totals'!$H$8:$H$10000,"="&amp;Q14,'[1]1_group_totals'!$I$8:$I$10000,"="&amp;R14))+(SUMIFS('[1]1_group_totals'!$L$8:$L$10000,'[1]1_group_totals'!$C$8:$C$10000,I14,'[1]1_group_totals'!$F$8:$F$10000,quot_location_group_id,'[1]1_group_totals'!$G$8:$G$10000,quot_location_id,'[1]1_group_totals'!$H$8:$H$10000,"="&amp;Q14,'[1]1_group_totals'!$I$8:$I$10000,"="&amp;R14)+SUMIFS('[1]1_group_totals'!$M$8:$M$10000,'[1]1_group_totals'!$C$8:$C$10000,I14,'[1]1_group_totals'!$F$8:$F$10000,quot_location_group_id,'[1]1_group_totals'!$G$8:$G$10000,quot_location_id,'[1]1_group_totals'!$H$8:$H$10000,"="&amp;Q14,'[1]1_group_totals'!$I$8:$I$10000,"="&amp;R14)+SUMIFS('[1]1_group_totals'!$O$8:$O$10000,'[1]1_group_totals'!$C$8:$C$10000,I14,'[1]1_group_totals'!$F$8:$F$10000,quot_location_group_id,'[1]1_group_totals'!$G$8:$G$10000,quot_location_id,'[1]1_group_totals'!$H$8:$H$10000,"="&amp;Q14,'[1]1_group_totals'!$I$8:$I$10000,"="&amp;R14)+SUMIFS('[1]1_group_totals'!$R$8:$R$10000,'[1]1_group_totals'!$C$8:$C$10000,I14,'[1]1_group_totals'!$F$8:$F$10000,quot_location_group_id,'[1]1_group_totals'!$G$8:$G$10000,quot_location_id,'[1]1_group_totals'!$H$8:$H$10000,"="&amp;Q14,'[1]1_group_totals'!$I$8:$I$10000,"="&amp;R14)))</f>
        <v/>
      </c>
      <c r="AX14" s="197" t="str">
        <f t="shared" si="23"/>
        <v/>
      </c>
      <c r="AY14" s="197" t="str">
        <f>IF(M14="","",SUMIFS($AX$8:AX14,$I$8:I14,I14))</f>
        <v/>
      </c>
      <c r="AZ14" s="197" t="str">
        <f t="shared" si="24"/>
        <v/>
      </c>
      <c r="BA14" s="197" t="str">
        <f>IF(M14="","",(SUMIFS('[1]1_inventory_totals'!$I$8:$I$10000,'[1]1_inventory_totals'!$C$8:$C$10000,I14,'[1]1_inventory_totals'!$F$8:$F$10000,"="&amp;Q14,'[1]1_inventory_totals'!$G$8:$G$10000,"="&amp;R14)+SUMIFS('[1]1_inventory_totals'!$N$8:$N$10000,'[1]1_inventory_totals'!$C$8:$C$10000,I14,'[1]1_inventory_totals'!$F$8:$F$10000,"="&amp;Q14,'[1]1_inventory_totals'!$G$8:$G$10000,"="&amp;R14)+SUMIFS('[1]1_inventory_totals'!$P$8:$P$10000,'[1]1_inventory_totals'!$C$8:$C$10000,I14,'[1]1_inventory_totals'!$F$8:$F$10000,"="&amp;Q14,'[1]1_inventory_totals'!$G$8:$G$10000,"="&amp;R14)+SUMIFS('[1]1_inventory_totals'!$Q$8:$Q$10000,'[1]1_inventory_totals'!$C$8:$C$10000,I14,'[1]1_inventory_totals'!$F$8:$F$10000,"="&amp;Q14,'[1]1_inventory_totals'!$G$8:$G$10000,"="&amp;R14)+SUMIFS('[1]1_inventory_totals'!$R$8:$R$10000,'[1]1_inventory_totals'!$C$8:$C$10000,I14,'[1]1_inventory_totals'!$F$8:$F$10000,"="&amp;Q14,'[1]1_inventory_totals'!$G$8:$G$10000,"="&amp;R14))+(SUMIFS('[1]1_inventory_totals'!$J$8:$J$10000,'[1]1_inventory_totals'!$C$8:$C$10000,I14,'[1]1_inventory_totals'!$F$8:$F$10000,"="&amp;Q14,'[1]1_inventory_totals'!$G$8:$G$10000,"="&amp;R14)+SUMIFS('[1]1_inventory_totals'!$K$8:$K$10000,'[1]1_inventory_totals'!$C$8:$C$10000,I14,'[1]1_inventory_totals'!$F$8:$F$10000,"="&amp;Q14,'[1]1_inventory_totals'!$G$8:$G$10000,"="&amp;R14)+SUMIFS('[1]1_inventory_totals'!$L$8:$L$10000,'[1]1_inventory_totals'!$C$8:$C$10000,I14,'[1]1_inventory_totals'!$F$8:$F$10000,"="&amp;Q14,'[1]1_inventory_totals'!$G$8:$G$10000,"="&amp;R14)+SUMIFS('[1]1_inventory_totals'!$M$8:$M$10000,'[1]1_inventory_totals'!$C$8:$C$10000,I14,'[1]1_inventory_totals'!$F$8:$F$10000,"="&amp;Q14,'[1]1_inventory_totals'!$G$8:$G$10000,"="&amp;R14)+SUMIFS('[1]1_inventory_totals'!$O$8:$O$10000,'[1]1_inventory_totals'!$C$8:$C$10000,I14,'[1]1_inventory_totals'!$F$8:$F$10000,"="&amp;Q14,'[1]1_inventory_totals'!$G$8:$G$10000,"="&amp;R14)+SUMIFS('[1]1_inventory_totals'!$S$8:$S$10000,'[1]1_inventory_totals'!$C$8:$C$10000,I14,'[1]1_inventory_totals'!$F$8:$F$10000,"="&amp;Q14,'[1]1_inventory_totals'!$G$8:$G$10000,"="&amp;R14)))</f>
        <v/>
      </c>
      <c r="BB14" s="197" t="str">
        <f>IF(M14="","",(SUMIFS('[1]2_inventory_totals'!$I$8:$I$10000,'[1]2_inventory_totals'!$C$8:$C$10000,I14,'[1]2_inventory_totals'!$F$8:$F$10000,"="&amp;Q14,'[1]2_inventory_totals'!$G$8:$G$10000,"="&amp;R14)+SUMIFS('[1]2_inventory_totals'!$N$8:$N$10000,'[1]2_inventory_totals'!$C$8:$C$10000,I14,'[1]2_inventory_totals'!$F$8:$F$10000,"="&amp;Q14,'[1]2_inventory_totals'!$G$8:$G$10000,"="&amp;R14)+SUMIFS('[1]2_inventory_totals'!$P$8:$P$10000,'[1]2_inventory_totals'!$C$8:$C$10000,I14,'[1]2_inventory_totals'!$F$8:$F$10000,"="&amp;Q14,'[1]2_inventory_totals'!$G$8:$G$10000,"="&amp;R14)+SUMIFS('[1]2_inventory_totals'!$Q$8:$Q$10000,'[1]2_inventory_totals'!$C$8:$C$10000,I14,'[1]2_inventory_totals'!$F$8:$F$10000,"="&amp;Q14,'[1]2_inventory_totals'!$G$8:$G$10000,"="&amp;R14)+SUMIFS('[1]2_inventory_totals'!$R$8:$R$10000,'[1]2_inventory_totals'!$C$8:$C$10000,I14,'[1]2_inventory_totals'!$F$8:$F$10000,"="&amp;Q14,'[1]2_inventory_totals'!$G$8:$G$10000,"="&amp;R14))+(SUMIFS('[1]2_inventory_totals'!$J$8:$J$10000,'[1]2_inventory_totals'!$C$8:$C$10000,I14,'[1]2_inventory_totals'!$F$8:$F$10000,"="&amp;Q14,'[1]2_inventory_totals'!$G$8:$G$10000,"="&amp;R14)+SUMIFS('[1]2_inventory_totals'!$K$8:$K$10000,'[1]2_inventory_totals'!$C$8:$C$10000,I14,'[1]2_inventory_totals'!$F$8:$F$10000,"="&amp;Q14,'[1]2_inventory_totals'!$G$8:$G$10000,"="&amp;R14)+SUMIFS('[1]2_inventory_totals'!$L$8:$L$10000,'[1]2_inventory_totals'!$C$8:$C$10000,I14,'[1]2_inventory_totals'!$F$8:$F$10000,"="&amp;Q14,'[1]2_inventory_totals'!$G$8:$G$10000,"="&amp;R14)+SUMIFS('[1]2_inventory_totals'!$M$8:$M$10000,'[1]2_inventory_totals'!$C$8:$C$10000,I14,'[1]2_inventory_totals'!$F$8:$F$10000,"="&amp;Q14,'[1]2_inventory_totals'!$G$8:$G$10000,"="&amp;R14)+SUMIFS('[1]2_inventory_totals'!$O$8:$O$10000,'[1]2_inventory_totals'!$C$8:$C$10000,I14,'[1]2_inventory_totals'!$F$8:$F$10000,"="&amp;Q14,'[1]2_inventory_totals'!$G$8:$G$10000,"="&amp;R14)+SUMIFS('[1]2_inventory_totals'!$S$8:$S$10000,'[1]2_inventory_totals'!$C$8:$C$10000,I14,'[1]2_inventory_totals'!$F$8:$F$10000,"="&amp;Q14,'[1]2_inventory_totals'!$G$8:$G$10000,"="&amp;R14)))</f>
        <v/>
      </c>
    </row>
    <row r="15" spans="1:58" ht="27" customHeight="1" thickBot="1">
      <c r="A15" s="923"/>
      <c r="B15" s="1256"/>
      <c r="C15" s="1284" t="s">
        <v>3434</v>
      </c>
      <c r="D15" s="1603">
        <f>MID(quot_seller,1,3)*1</f>
        <v>3</v>
      </c>
      <c r="E15" s="1242" t="s">
        <v>2599</v>
      </c>
      <c r="F15" s="1600">
        <f>MID(quot_location,1,3)*1</f>
        <v>1</v>
      </c>
      <c r="G15" s="941"/>
      <c r="I15" s="1610" t="str">
        <f t="shared" si="10"/>
        <v/>
      </c>
      <c r="J15" s="1611" t="str">
        <f t="shared" si="25"/>
        <v/>
      </c>
      <c r="K15" s="1612" t="str">
        <f t="shared" si="30"/>
        <v/>
      </c>
      <c r="L15" s="1613"/>
      <c r="M15" s="883"/>
      <c r="N15" s="1584"/>
      <c r="O15" s="884"/>
      <c r="P15" s="885"/>
      <c r="Q15" s="886"/>
      <c r="R15" s="891"/>
      <c r="S15" s="1614" t="str">
        <f t="shared" ref="S15" si="48">IF(M15="","",quot_currency_symbol)</f>
        <v/>
      </c>
      <c r="T15" s="888"/>
      <c r="U15" s="1650" t="str">
        <f t="shared" si="13"/>
        <v/>
      </c>
      <c r="V15" s="1615" t="str">
        <f t="shared" ref="V15" si="49">IF(W15=0,"",quot_currency_symbol)</f>
        <v/>
      </c>
      <c r="W15" s="889"/>
      <c r="X15" s="1615" t="str">
        <f t="shared" ref="X15" si="50">IF(M15="","",quot_currency_symbol)</f>
        <v/>
      </c>
      <c r="Y15" s="1616" t="str">
        <f t="shared" si="34"/>
        <v/>
      </c>
      <c r="Z15" s="890"/>
      <c r="AA15" s="197" t="str" cm="1">
        <f t="array" ref="AA15">IF(M15="","",IF(P15=AN15,1,Slookup(MID(AN15,1,3)*1,UomConversion!$D$8:$J$500,5,UomConversion!$E$8:$E$500,MID(P15,1,3)*1,UomConversion!$J$8:$J$500,1)))</f>
        <v/>
      </c>
      <c r="AB15" s="197" t="str">
        <f t="shared" si="3"/>
        <v/>
      </c>
      <c r="AC15" s="197" t="str">
        <f t="shared" si="17"/>
        <v/>
      </c>
      <c r="AD15" s="197" t="str">
        <f t="shared" si="18"/>
        <v/>
      </c>
      <c r="AE15" s="197" t="str">
        <f t="shared" si="19"/>
        <v/>
      </c>
      <c r="AF15" s="197" t="str">
        <f t="shared" si="5"/>
        <v/>
      </c>
      <c r="AG15" s="197" t="str">
        <f t="shared" si="6"/>
        <v/>
      </c>
      <c r="AH15" s="197" t="str">
        <f>IF(I15="","",IF(ISNA(MATCH(I15,IF(quot_location_id=1,'[1]1_inventory_totals'!$C$8:$C$10000,IF(quot_location_id=2,'[1]2_inventory_totals'!$C$8:$C$10000,0)),0)),0,IF(AV15&gt;0,1,0)))</f>
        <v/>
      </c>
      <c r="AI15" s="197" t="str">
        <f>IF(M15="","",IF(quot_location_id=1,SUMIFS('[1]1_inventory_total_details'!$J$8:$J$10000,'[1]1_inventory_total_details'!$C$8:$C$10000,I15,'[1]1_inventory_total_details'!$F$8:$F$10000,quot_location_id,'[1]1_inventory_total_details'!$G$8:$G$10000,"="&amp;Q15,'[1]1_inventory_total_details'!$H$8:$H$10000,"="&amp;R15,'[1]1_inventory_total_details'!$I$8:$I$10000,"="&amp;quot_date)+SUMIFS('[1]1_inventory_total_details'!$M$8:$M$10000,'[1]1_inventory_total_details'!$C$8:$C$10000,I15,'[1]1_inventory_total_details'!$F$8:$F$10000,quot_location_id,'[1]1_inventory_total_details'!$G$8:$G$10000,"="&amp;Q15,'[1]1_inventory_total_details'!$H$8:$H$10000,"="&amp;R15,'[1]1_inventory_total_details'!$I$8:$I$10000,"="&amp;quot_date)+SUMIFS('[1]1_inventory_total_details'!$K$8:$K$10000,'[1]1_inventory_total_details'!$C$8:$C$10000,I15,'[1]1_inventory_total_details'!$F$8:$F$10000,quot_location_id,'[1]1_inventory_total_details'!$G$8:$G$10000,"="&amp;Q15,'[1]1_inventory_total_details'!$H$8:$H$10000,"="&amp;R15,'[1]1_inventory_total_details'!$I$8:$I$10000,"="&amp;quot_date)+SUMIFS('[1]1_inventory_total_details'!$L$8:$L$10000,'[1]1_inventory_total_details'!$C$8:$C$10000,I15,'[1]1_inventory_total_details'!$F$8:$F$10000,quot_location_id,'[1]1_inventory_total_details'!$G$8:$G$10000,"="&amp;Q15,'[1]1_inventory_total_details'!$H$8:$H$10000,"="&amp;R15,'[1]1_inventory_total_details'!$I$8:$I$10000,"="&amp;quot_date),SUMIFS('[1]2_inventory_total_details'!$J$8:$J$10000,'[1]2_inventory_total_details'!$C$8:$C$10000,I15,'[1]2_inventory_total_details'!$F$8:$F$10000,quot_location_id,'[1]2_inventory_total_details'!$G$8:$G$10000,"="&amp;Q15,'[1]2_inventory_total_details'!$H$8:$H$10000,"="&amp;R15,'[1]2_inventory_total_details'!$I$8:$I$10000,"="&amp;quot_date)+SUMIFS('[1]2_inventory_total_details'!$M$8:$M$10000,'[1]2_inventory_total_details'!$C$8:$C$10000,I15,'[1]2_inventory_total_details'!$F$8:$F$10000,quot_location_id,'[1]2_inventory_total_details'!$G$8:$G$10000,"="&amp;Q15,'[1]2_inventory_total_details'!$H$8:$H$10000,"="&amp;R15,'[1]2_inventory_total_details'!$I$8:$I$10000,"="&amp;quot_date)+SUMIFS('[1]2_inventory_total_details'!$K$8:$K$10000,'[1]2_inventory_total_details'!$C$8:$C$10000,I15,'[1]2_inventory_total_details'!$F$8:$F$10000,quot_location_id,'[1]2_inventory_total_details'!$G$8:$G$10000,"="&amp;Q15,'[1]2_inventory_total_details'!$H$8:$H$10000,"="&amp;R15,'[1]2_inventory_total_details'!$I$8:$I$10000,"="&amp;quot_date)+SUMIFS('[1]2_inventory_total_details'!$L$8:$L$10000,'[1]2_inventory_total_details'!$C$8:$C$10000,I15,'[1]2_inventory_total_details'!$F$8:$F$10000,quot_location_id,'[1]2_inventory_total_details'!$G$8:$G$10000,"="&amp;Q15,'[1]2_inventory_total_details'!$H$8:$H$10000,"="&amp;R15,'[1]2_inventory_total_details'!$I$8:$I$10000,"="&amp;quot_date)))</f>
        <v/>
      </c>
      <c r="AJ15" s="197" t="str">
        <f>IF(M15="","",IF(ISNA(MATCH(I15,'[1]1_group_totals'!$C$8:$C$10000)),0,IF(AW15&gt;0,1,0)))</f>
        <v/>
      </c>
      <c r="AK15" s="197" t="str">
        <f>IF(M15="","",(SUMIFS('[1]1_group_total_details'!$I$8:$I$10000,'[1]1_group_total_details'!$C$8:$C$10000,I15,'[1]1_group_total_details'!$F$8:$F$10000,quot_location_group_id,'[1]1_group_total_details'!$G$8:$G$10000,quot_location_id,'[1]1_group_total_details'!$H$8:$H$10000,"="&amp;quot_date)+SUMIFS('[1]1_group_total_details'!$L$8:$L$10000,'[1]1_group_total_details'!$C$8:$C$10000,I15,'[1]1_group_total_details'!$F$8:$F$10000,quot_location_group_id,'[1]1_group_total_details'!$G$8:$G$10000,quot_location_id,'[1]1_group_total_details'!$H$8:$H$10000,"="&amp;quot_date)+SUMIFS('[1]1_group_total_details'!$N$8:$N$10000,'[1]1_group_total_details'!$C$8:$C$10000,I15,'[1]1_group_total_details'!$F$8:$F$10000,quot_location_group_id,'[1]1_group_total_details'!$G$8:$G$10000,quot_location_id,'[1]1_group_total_details'!$H$8:$H$10000,"="&amp;quot_date)+SUMIFS('[1]1_group_total_details'!$O$8:$O$10000,'[1]1_group_total_details'!$C$8:$C$10000,I15,'[1]1_group_total_details'!$F$8:$F$10000,quot_location_group_id,'[1]1_group_total_details'!$G$8:$G$10000,quot_location_id,'[1]1_group_total_details'!$H$8:$H$10000,"="&amp;quot_date))+(SUMIFS('[1]1_group_total_details'!$J$8:$J$10000,'[1]1_group_total_details'!$C$8:$C$10000,I15,'[1]1_group_total_details'!$F$8:$F$10000,quot_location_group_id,'[1]1_group_total_details'!$G$8:$G$10000,quot_location_id,'[1]1_group_total_details'!$H$8:$H$10000,"="&amp;quot_date)+SUMIFS('[1]1_group_total_details'!$K$8:$K$10000,'[1]1_group_total_details'!$C$8:$C$10000,I15,'[1]1_group_total_details'!$F$8:$F$10000,quot_location_group_id,'[1]1_group_total_details'!$G$8:$G$10000,quot_location_id,'[1]1_group_total_details'!$H$8:$H$10000,"="&amp;quot_date)+SUMIFS('[1]1_group_total_details'!$M$8:$M$10000,'[1]1_group_total_details'!$C$8:$C$10000,I15,'[1]1_group_total_details'!$F$8:$F$10000,quot_location_group_id,'[1]1_group_total_details'!$G$8:$G$10000,quot_location_id,'[1]1_group_total_details'!$H$8:$H$10000,"="&amp;quot_date)+SUMIFS('[1]1_group_total_details'!$P$8:$P$10000,'[1]1_group_total_details'!$C$8:$C$10000,I15,'[1]1_group_total_details'!$F$8:$F$10000,quot_location_group_id,'[1]1_group_total_details'!$G$8:$G$10000,quot_location_id,'[1]1_group_total_details'!$H$8:$H$10000,"="&amp;quot_date)))</f>
        <v/>
      </c>
      <c r="AL15" s="197" t="str">
        <f>IF(M15="","",(SUMIFS('[1]1_group_total_details'!$I$8:$I$10000,'[1]1_group_total_details'!$C$8:$C$10000,I15,'[1]1_group_total_details'!$F$8:$F$10000,quot_location_group_id,'[1]1_group_total_details'!$G$8:$G$10000,quot_location_id,'[1]1_group_total_details'!$H$8:$H$10000,"&lt;="&amp;quot_date)+SUMIFS('[1]1_group_total_details'!$L$8:$L$10000,'[1]1_group_total_details'!$C$8:$C$10000,I15,'[1]1_group_total_details'!$F$8:$F$10000,quot_location_group_id,'[1]1_group_total_details'!$G$8:$G$10000,1,'[1]1_group_total_details'!$H$8:$H$10000,"&lt;="&amp;quot_date)+SUMIFS('[1]1_group_total_details'!$N$8:$N$10000,'[1]1_group_total_details'!$C$8:$C$10000,I15,'[1]1_group_total_details'!$F$8:$F$10000,quot_location_group_id,'[1]1_group_total_details'!$G$8:$G$10000,quot_location_id,'[1]1_group_total_details'!$H$8:$H$10000,"&lt;="&amp;quot_date)+SUMIFS('[1]1_group_total_details'!$O$8:$O$10000,'[1]1_group_total_details'!$C$8:$C$10000,I15,'[1]1_group_total_details'!$F$8:$F$10000,quot_location_group_id,'[1]1_group_total_details'!$G$8:$G$10000,quot_location_id,'[1]1_group_total_details'!$H$8:$H$10000,"&lt;="&amp;quot_date))-(SUMIFS('[1]1_group_total_details'!$J$8:$J$10000,'[1]1_group_total_details'!$C$8:$C$10000,I15,'[1]1_group_total_details'!$F$8:$F$10000,quot_location_group_id,'[1]1_group_total_details'!$G$8:$G$10000,quot_location_id,'[1]1_group_total_details'!$H$8:$H$10000,"&lt;="&amp;quot_date)+SUMIFS('[1]1_group_total_details'!$K$8:$K$10000,'[1]1_group_total_details'!$C$8:$C$10000,I15,'[1]1_group_total_details'!$F$8:$F$10000,quot_location_group_id,'[1]1_group_total_details'!$G$8:$G$10000,quot_location_id,'[1]1_group_total_details'!$H$8:$H$10000,"&lt;="&amp;quot_date)+SUMIFS('[1]1_group_total_details'!$M$8:$M$10000,'[1]1_group_total_details'!$C$8:$C$10000,I15,'[1]1_group_total_details'!$F$8:$F$10000,quot_location_group_id,'[1]1_group_total_details'!$G$8:$G$10000,quot_location_id,'[1]1_group_total_details'!$H$8:$H$10000,"&lt;="&amp;quot_date)+SUMIFS('[1]1_group_total_details'!$P$8:$P$10000,'[1]1_group_total_details'!$C$8:$C$10000,I15,'[1]1_group_total_details'!$F$8:$F$10000,quot_location_group_id,'[1]1_group_total_details'!$G$8:$G$10000,quot_location_id,'[1]1_group_total_details'!$H$8:$H$10000,"&lt;="&amp;quot_date)))</f>
        <v/>
      </c>
      <c r="AM15" s="197" t="str">
        <f>IF(M15="","",SUMIFS('[1]1_group_totals'!$J$8:$J$10000,'[1]1_group_totals'!$C$8:$C$10000,I15,'[1]1_group_totals'!$F$8:$F$10000,quot_location_group_id,'[1]1_group_totals'!$G$8:$G$10000,quot_location_id,'[1]1_group_totals'!$H$8:$H$10000,"="&amp;Q15,'[1]1_group_totals'!$I$8:$I$10000,"="&amp;R15))</f>
        <v/>
      </c>
      <c r="AN15" s="197" t="str">
        <f t="shared" si="7"/>
        <v/>
      </c>
      <c r="AO15" s="197" t="str">
        <f>IF(OR(ISNA(MATCH(MID(AN15,1,3)*1,UomConversion!$D$8:$D$500,0)),M15=""),"",IF(AT15="","",AT15))</f>
        <v/>
      </c>
      <c r="AP15" s="197" t="str">
        <f>IF(AND(AQ15&gt;0,COUNTIFS(UomConversion!$D$8:$D$500,MID(AN15,1,3)*1,UomConversion!$J$8:$J$500,1)&gt;1),TEXT(AQ15,"000")&amp;"."&amp;VLOOKUP(AQ15,uom_list,5,FALSE),"")</f>
        <v/>
      </c>
      <c r="AQ15" s="197" t="str">
        <f t="shared" si="20"/>
        <v/>
      </c>
      <c r="AR15" s="197" t="str">
        <f t="shared" si="21"/>
        <v/>
      </c>
      <c r="AS15" s="197" t="str">
        <f>IF(M15="","",SUMIFS(ProductPrice!$N$28:$N$10020,ProductPrice!$D$28:$D$10020,I15,ProductPrice!$G$28:$G$10020,quot_branch_id,ProductPrice!$H$28:$H$10020,quot_price_type_id,ProductPrice!$I$28:$I$10020,MID(P15,1,3)*1,ProductPrice!$Q$28:$Q$10020,1))</f>
        <v/>
      </c>
      <c r="AT15" s="197" t="str">
        <f t="shared" si="8"/>
        <v/>
      </c>
      <c r="AU15" s="197" t="str" cm="1">
        <f t="array" ref="AU15">IF(M15="","",IF(ISNA(Slookup(MID(AN15,1,3)*1,UomConversion!$D$8:$J$500,2,UomConversion!$I$8:$I$500,1,UomConversion!$J$8:$J$500,1)),"",Slookup(MID(AN15,1,3)*1,UomConversion!$D$8:$J$500,2,UomConversion!$I$8:$I$500,1,UomConversion!$J$8:$J$500,1)))</f>
        <v/>
      </c>
      <c r="AV15" s="197" t="str">
        <f t="shared" ref="AV15" si="51">IF(M15="","",IF(quot_location_id=1,BA15,IF(quot_location_id=2,BB15,0)))</f>
        <v/>
      </c>
      <c r="AW15" s="197" t="str">
        <f>IF(M15="","",(SUMIFS('[1]1_group_totals'!$K$8:$K$10000,'[1]1_group_totals'!$C$8:$C$10000,I15,'[1]1_group_totals'!$F$8:$F$10000,quot_location_group_id,'[1]1_group_totals'!$G$8:$G$10000,quot_location_id,'[1]1_group_totals'!$H$8:$H$10000,"="&amp;Q15,'[1]1_group_totals'!$I$8:$I$10000,"="&amp;R15)+SUMIFS('[1]1_group_totals'!$N$8:$N$10000,'[1]1_group_totals'!$C$8:$C$10000,I15,'[1]1_group_totals'!$F$8:$F$10000,quot_location_group_id,'[1]1_group_totals'!$G$8:$G$10000,quot_location_id,'[1]1_group_totals'!$H$8:$H$10000,"="&amp;Q15,'[1]1_group_totals'!$I$8:$I$10000,"="&amp;R15)+SUMIFS('[1]1_group_totals'!$P$8:$P$10000,'[1]1_group_totals'!$C$8:$C$10000,I15,'[1]1_group_totals'!$F$8:$F$10000,quot_location_group_id,'[1]1_group_totals'!$G$8:$G$10000,quot_location_id,'[1]1_group_totals'!$H$8:$H$10000,"="&amp;Q15,'[1]1_group_totals'!$I$8:$I$10000,"="&amp;R15)+SUMIFS('[1]1_group_totals'!$Q$8:$Q$10000,'[1]1_group_totals'!$C$8:$C$10000,I15,'[1]1_group_totals'!$F$8:$F$10000,quot_location_group_id,'[1]1_group_totals'!$G$8:$G$10000,quot_location_id,'[1]1_group_totals'!$H$8:$H$10000,"="&amp;Q15,'[1]1_group_totals'!$I$8:$I$10000,"="&amp;R15))+(SUMIFS('[1]1_group_totals'!$L$8:$L$10000,'[1]1_group_totals'!$C$8:$C$10000,I15,'[1]1_group_totals'!$F$8:$F$10000,quot_location_group_id,'[1]1_group_totals'!$G$8:$G$10000,quot_location_id,'[1]1_group_totals'!$H$8:$H$10000,"="&amp;Q15,'[1]1_group_totals'!$I$8:$I$10000,"="&amp;R15)+SUMIFS('[1]1_group_totals'!$M$8:$M$10000,'[1]1_group_totals'!$C$8:$C$10000,I15,'[1]1_group_totals'!$F$8:$F$10000,quot_location_group_id,'[1]1_group_totals'!$G$8:$G$10000,quot_location_id,'[1]1_group_totals'!$H$8:$H$10000,"="&amp;Q15,'[1]1_group_totals'!$I$8:$I$10000,"="&amp;R15)+SUMIFS('[1]1_group_totals'!$O$8:$O$10000,'[1]1_group_totals'!$C$8:$C$10000,I15,'[1]1_group_totals'!$F$8:$F$10000,quot_location_group_id,'[1]1_group_totals'!$G$8:$G$10000,quot_location_id,'[1]1_group_totals'!$H$8:$H$10000,"="&amp;Q15,'[1]1_group_totals'!$I$8:$I$10000,"="&amp;R15)+SUMIFS('[1]1_group_totals'!$R$8:$R$10000,'[1]1_group_totals'!$C$8:$C$10000,I15,'[1]1_group_totals'!$F$8:$F$10000,quot_location_group_id,'[1]1_group_totals'!$G$8:$G$10000,quot_location_id,'[1]1_group_totals'!$H$8:$H$10000,"="&amp;Q15,'[1]1_group_totals'!$I$8:$I$10000,"="&amp;R15)))</f>
        <v/>
      </c>
      <c r="AX15" s="197" t="str">
        <f t="shared" si="23"/>
        <v/>
      </c>
      <c r="AY15" s="197" t="str">
        <f>IF(M15="","",SUMIFS($AX$8:AX15,$I$8:I15,I15))</f>
        <v/>
      </c>
      <c r="AZ15" s="197" t="str">
        <f t="shared" si="24"/>
        <v/>
      </c>
      <c r="BA15" s="197" t="str">
        <f>IF(M15="","",(SUMIFS('[1]1_inventory_totals'!$I$8:$I$10000,'[1]1_inventory_totals'!$C$8:$C$10000,I15,'[1]1_inventory_totals'!$F$8:$F$10000,"="&amp;Q15,'[1]1_inventory_totals'!$G$8:$G$10000,"="&amp;R15)+SUMIFS('[1]1_inventory_totals'!$N$8:$N$10000,'[1]1_inventory_totals'!$C$8:$C$10000,I15,'[1]1_inventory_totals'!$F$8:$F$10000,"="&amp;Q15,'[1]1_inventory_totals'!$G$8:$G$10000,"="&amp;R15)+SUMIFS('[1]1_inventory_totals'!$P$8:$P$10000,'[1]1_inventory_totals'!$C$8:$C$10000,I15,'[1]1_inventory_totals'!$F$8:$F$10000,"="&amp;Q15,'[1]1_inventory_totals'!$G$8:$G$10000,"="&amp;R15)+SUMIFS('[1]1_inventory_totals'!$Q$8:$Q$10000,'[1]1_inventory_totals'!$C$8:$C$10000,I15,'[1]1_inventory_totals'!$F$8:$F$10000,"="&amp;Q15,'[1]1_inventory_totals'!$G$8:$G$10000,"="&amp;R15)+SUMIFS('[1]1_inventory_totals'!$R$8:$R$10000,'[1]1_inventory_totals'!$C$8:$C$10000,I15,'[1]1_inventory_totals'!$F$8:$F$10000,"="&amp;Q15,'[1]1_inventory_totals'!$G$8:$G$10000,"="&amp;R15))+(SUMIFS('[1]1_inventory_totals'!$J$8:$J$10000,'[1]1_inventory_totals'!$C$8:$C$10000,I15,'[1]1_inventory_totals'!$F$8:$F$10000,"="&amp;Q15,'[1]1_inventory_totals'!$G$8:$G$10000,"="&amp;R15)+SUMIFS('[1]1_inventory_totals'!$K$8:$K$10000,'[1]1_inventory_totals'!$C$8:$C$10000,I15,'[1]1_inventory_totals'!$F$8:$F$10000,"="&amp;Q15,'[1]1_inventory_totals'!$G$8:$G$10000,"="&amp;R15)+SUMIFS('[1]1_inventory_totals'!$L$8:$L$10000,'[1]1_inventory_totals'!$C$8:$C$10000,I15,'[1]1_inventory_totals'!$F$8:$F$10000,"="&amp;Q15,'[1]1_inventory_totals'!$G$8:$G$10000,"="&amp;R15)+SUMIFS('[1]1_inventory_totals'!$M$8:$M$10000,'[1]1_inventory_totals'!$C$8:$C$10000,I15,'[1]1_inventory_totals'!$F$8:$F$10000,"="&amp;Q15,'[1]1_inventory_totals'!$G$8:$G$10000,"="&amp;R15)+SUMIFS('[1]1_inventory_totals'!$O$8:$O$10000,'[1]1_inventory_totals'!$C$8:$C$10000,I15,'[1]1_inventory_totals'!$F$8:$F$10000,"="&amp;Q15,'[1]1_inventory_totals'!$G$8:$G$10000,"="&amp;R15)+SUMIFS('[1]1_inventory_totals'!$S$8:$S$10000,'[1]1_inventory_totals'!$C$8:$C$10000,I15,'[1]1_inventory_totals'!$F$8:$F$10000,"="&amp;Q15,'[1]1_inventory_totals'!$G$8:$G$10000,"="&amp;R15)))</f>
        <v/>
      </c>
      <c r="BB15" s="197" t="str">
        <f>IF(M15="","",(SUMIFS('[1]2_inventory_totals'!$I$8:$I$10000,'[1]2_inventory_totals'!$C$8:$C$10000,I15,'[1]2_inventory_totals'!$F$8:$F$10000,"="&amp;Q15,'[1]2_inventory_totals'!$G$8:$G$10000,"="&amp;R15)+SUMIFS('[1]2_inventory_totals'!$N$8:$N$10000,'[1]2_inventory_totals'!$C$8:$C$10000,I15,'[1]2_inventory_totals'!$F$8:$F$10000,"="&amp;Q15,'[1]2_inventory_totals'!$G$8:$G$10000,"="&amp;R15)+SUMIFS('[1]2_inventory_totals'!$P$8:$P$10000,'[1]2_inventory_totals'!$C$8:$C$10000,I15,'[1]2_inventory_totals'!$F$8:$F$10000,"="&amp;Q15,'[1]2_inventory_totals'!$G$8:$G$10000,"="&amp;R15)+SUMIFS('[1]2_inventory_totals'!$Q$8:$Q$10000,'[1]2_inventory_totals'!$C$8:$C$10000,I15,'[1]2_inventory_totals'!$F$8:$F$10000,"="&amp;Q15,'[1]2_inventory_totals'!$G$8:$G$10000,"="&amp;R15)+SUMIFS('[1]2_inventory_totals'!$R$8:$R$10000,'[1]2_inventory_totals'!$C$8:$C$10000,I15,'[1]2_inventory_totals'!$F$8:$F$10000,"="&amp;Q15,'[1]2_inventory_totals'!$G$8:$G$10000,"="&amp;R15))+(SUMIFS('[1]2_inventory_totals'!$J$8:$J$10000,'[1]2_inventory_totals'!$C$8:$C$10000,I15,'[1]2_inventory_totals'!$F$8:$F$10000,"="&amp;Q15,'[1]2_inventory_totals'!$G$8:$G$10000,"="&amp;R15)+SUMIFS('[1]2_inventory_totals'!$K$8:$K$10000,'[1]2_inventory_totals'!$C$8:$C$10000,I15,'[1]2_inventory_totals'!$F$8:$F$10000,"="&amp;Q15,'[1]2_inventory_totals'!$G$8:$G$10000,"="&amp;R15)+SUMIFS('[1]2_inventory_totals'!$L$8:$L$10000,'[1]2_inventory_totals'!$C$8:$C$10000,I15,'[1]2_inventory_totals'!$F$8:$F$10000,"="&amp;Q15,'[1]2_inventory_totals'!$G$8:$G$10000,"="&amp;R15)+SUMIFS('[1]2_inventory_totals'!$M$8:$M$10000,'[1]2_inventory_totals'!$C$8:$C$10000,I15,'[1]2_inventory_totals'!$F$8:$F$10000,"="&amp;Q15,'[1]2_inventory_totals'!$G$8:$G$10000,"="&amp;R15)+SUMIFS('[1]2_inventory_totals'!$O$8:$O$10000,'[1]2_inventory_totals'!$C$8:$C$10000,I15,'[1]2_inventory_totals'!$F$8:$F$10000,"="&amp;Q15,'[1]2_inventory_totals'!$G$8:$G$10000,"="&amp;R15)+SUMIFS('[1]2_inventory_totals'!$S$8:$S$10000,'[1]2_inventory_totals'!$C$8:$C$10000,I15,'[1]2_inventory_totals'!$F$8:$F$10000,"="&amp;Q15,'[1]2_inventory_totals'!$G$8:$G$10000,"="&amp;R15)))</f>
        <v/>
      </c>
    </row>
    <row r="16" spans="1:58" ht="27" customHeight="1" thickBot="1">
      <c r="A16" s="923"/>
      <c r="B16" s="1251"/>
      <c r="C16" s="947" t="s">
        <v>1542</v>
      </c>
      <c r="D16" s="1265"/>
      <c r="E16" s="947" t="s">
        <v>3375</v>
      </c>
      <c r="F16" s="1262"/>
      <c r="I16" s="1610" t="str">
        <f t="shared" si="10"/>
        <v/>
      </c>
      <c r="J16" s="1611" t="str">
        <f t="shared" si="25"/>
        <v/>
      </c>
      <c r="K16" s="1612" t="str">
        <f t="shared" si="30"/>
        <v/>
      </c>
      <c r="L16" s="1613"/>
      <c r="M16" s="883"/>
      <c r="N16" s="884"/>
      <c r="O16" s="884"/>
      <c r="P16" s="885"/>
      <c r="Q16" s="886"/>
      <c r="R16" s="891"/>
      <c r="S16" s="1614" t="str">
        <f t="shared" ref="S16" si="52">IF(M16="","",quot_currency_symbol)</f>
        <v/>
      </c>
      <c r="T16" s="888"/>
      <c r="U16" s="1650" t="str">
        <f t="shared" si="13"/>
        <v/>
      </c>
      <c r="V16" s="1615" t="str">
        <f t="shared" ref="V16" si="53">IF(W16=0,"",quot_currency_symbol)</f>
        <v/>
      </c>
      <c r="W16" s="889"/>
      <c r="X16" s="1615" t="str">
        <f t="shared" ref="X16" si="54">IF(M16="","",quot_currency_symbol)</f>
        <v/>
      </c>
      <c r="Y16" s="1616" t="str">
        <f t="shared" si="34"/>
        <v/>
      </c>
      <c r="Z16" s="890"/>
      <c r="AA16" s="197" t="str" cm="1">
        <f t="array" ref="AA16">IF(M16="","",IF(P16=AN16,1,Slookup(MID(AN16,1,3)*1,UomConversion!$D$8:$J$500,5,UomConversion!$E$8:$E$500,MID(P16,1,3)*1,UomConversion!$J$8:$J$500,1)))</f>
        <v/>
      </c>
      <c r="AB16" s="197" t="str">
        <f t="shared" si="3"/>
        <v/>
      </c>
      <c r="AC16" s="197" t="str">
        <f t="shared" si="17"/>
        <v/>
      </c>
      <c r="AD16" s="197" t="str">
        <f t="shared" si="18"/>
        <v/>
      </c>
      <c r="AE16" s="197" t="str">
        <f t="shared" si="19"/>
        <v/>
      </c>
      <c r="AF16" s="197" t="str">
        <f t="shared" si="5"/>
        <v/>
      </c>
      <c r="AG16" s="197" t="str">
        <f t="shared" si="6"/>
        <v/>
      </c>
      <c r="AH16" s="197" t="str">
        <f>IF(I16="","",IF(ISNA(MATCH(I16,IF(quot_location_id=1,'[1]1_inventory_totals'!$C$8:$C$10000,IF(quot_location_id=2,'[1]2_inventory_totals'!$C$8:$C$10000,0)),0)),0,IF(AV16&gt;0,1,0)))</f>
        <v/>
      </c>
      <c r="AI16" s="197" t="str">
        <f>IF(M16="","",IF(quot_location_id=1,SUMIFS('[1]1_inventory_total_details'!$J$8:$J$10000,'[1]1_inventory_total_details'!$C$8:$C$10000,I16,'[1]1_inventory_total_details'!$F$8:$F$10000,quot_location_id,'[1]1_inventory_total_details'!$G$8:$G$10000,"="&amp;Q16,'[1]1_inventory_total_details'!$H$8:$H$10000,"="&amp;R16,'[1]1_inventory_total_details'!$I$8:$I$10000,"="&amp;quot_date)+SUMIFS('[1]1_inventory_total_details'!$M$8:$M$10000,'[1]1_inventory_total_details'!$C$8:$C$10000,I16,'[1]1_inventory_total_details'!$F$8:$F$10000,quot_location_id,'[1]1_inventory_total_details'!$G$8:$G$10000,"="&amp;Q16,'[1]1_inventory_total_details'!$H$8:$H$10000,"="&amp;R16,'[1]1_inventory_total_details'!$I$8:$I$10000,"="&amp;quot_date)+SUMIFS('[1]1_inventory_total_details'!$K$8:$K$10000,'[1]1_inventory_total_details'!$C$8:$C$10000,I16,'[1]1_inventory_total_details'!$F$8:$F$10000,quot_location_id,'[1]1_inventory_total_details'!$G$8:$G$10000,"="&amp;Q16,'[1]1_inventory_total_details'!$H$8:$H$10000,"="&amp;R16,'[1]1_inventory_total_details'!$I$8:$I$10000,"="&amp;quot_date)+SUMIFS('[1]1_inventory_total_details'!$L$8:$L$10000,'[1]1_inventory_total_details'!$C$8:$C$10000,I16,'[1]1_inventory_total_details'!$F$8:$F$10000,quot_location_id,'[1]1_inventory_total_details'!$G$8:$G$10000,"="&amp;Q16,'[1]1_inventory_total_details'!$H$8:$H$10000,"="&amp;R16,'[1]1_inventory_total_details'!$I$8:$I$10000,"="&amp;quot_date),SUMIFS('[1]2_inventory_total_details'!$J$8:$J$10000,'[1]2_inventory_total_details'!$C$8:$C$10000,I16,'[1]2_inventory_total_details'!$F$8:$F$10000,quot_location_id,'[1]2_inventory_total_details'!$G$8:$G$10000,"="&amp;Q16,'[1]2_inventory_total_details'!$H$8:$H$10000,"="&amp;R16,'[1]2_inventory_total_details'!$I$8:$I$10000,"="&amp;quot_date)+SUMIFS('[1]2_inventory_total_details'!$M$8:$M$10000,'[1]2_inventory_total_details'!$C$8:$C$10000,I16,'[1]2_inventory_total_details'!$F$8:$F$10000,quot_location_id,'[1]2_inventory_total_details'!$G$8:$G$10000,"="&amp;Q16,'[1]2_inventory_total_details'!$H$8:$H$10000,"="&amp;R16,'[1]2_inventory_total_details'!$I$8:$I$10000,"="&amp;quot_date)+SUMIFS('[1]2_inventory_total_details'!$K$8:$K$10000,'[1]2_inventory_total_details'!$C$8:$C$10000,I16,'[1]2_inventory_total_details'!$F$8:$F$10000,quot_location_id,'[1]2_inventory_total_details'!$G$8:$G$10000,"="&amp;Q16,'[1]2_inventory_total_details'!$H$8:$H$10000,"="&amp;R16,'[1]2_inventory_total_details'!$I$8:$I$10000,"="&amp;quot_date)+SUMIFS('[1]2_inventory_total_details'!$L$8:$L$10000,'[1]2_inventory_total_details'!$C$8:$C$10000,I16,'[1]2_inventory_total_details'!$F$8:$F$10000,quot_location_id,'[1]2_inventory_total_details'!$G$8:$G$10000,"="&amp;Q16,'[1]2_inventory_total_details'!$H$8:$H$10000,"="&amp;R16,'[1]2_inventory_total_details'!$I$8:$I$10000,"="&amp;quot_date)))</f>
        <v/>
      </c>
      <c r="AJ16" s="197" t="str">
        <f>IF(M16="","",IF(ISNA(MATCH(I16,'[1]1_group_totals'!$C$8:$C$10000)),0,IF(AW16&gt;0,1,0)))</f>
        <v/>
      </c>
      <c r="AK16" s="197" t="str">
        <f>IF(M16="","",(SUMIFS('[1]1_group_total_details'!$I$8:$I$10000,'[1]1_group_total_details'!$C$8:$C$10000,I16,'[1]1_group_total_details'!$F$8:$F$10000,quot_location_group_id,'[1]1_group_total_details'!$G$8:$G$10000,quot_location_id,'[1]1_group_total_details'!$H$8:$H$10000,"="&amp;quot_date)+SUMIFS('[1]1_group_total_details'!$L$8:$L$10000,'[1]1_group_total_details'!$C$8:$C$10000,I16,'[1]1_group_total_details'!$F$8:$F$10000,quot_location_group_id,'[1]1_group_total_details'!$G$8:$G$10000,quot_location_id,'[1]1_group_total_details'!$H$8:$H$10000,"="&amp;quot_date)+SUMIFS('[1]1_group_total_details'!$N$8:$N$10000,'[1]1_group_total_details'!$C$8:$C$10000,I16,'[1]1_group_total_details'!$F$8:$F$10000,quot_location_group_id,'[1]1_group_total_details'!$G$8:$G$10000,quot_location_id,'[1]1_group_total_details'!$H$8:$H$10000,"="&amp;quot_date)+SUMIFS('[1]1_group_total_details'!$O$8:$O$10000,'[1]1_group_total_details'!$C$8:$C$10000,I16,'[1]1_group_total_details'!$F$8:$F$10000,quot_location_group_id,'[1]1_group_total_details'!$G$8:$G$10000,quot_location_id,'[1]1_group_total_details'!$H$8:$H$10000,"="&amp;quot_date))+(SUMIFS('[1]1_group_total_details'!$J$8:$J$10000,'[1]1_group_total_details'!$C$8:$C$10000,I16,'[1]1_group_total_details'!$F$8:$F$10000,quot_location_group_id,'[1]1_group_total_details'!$G$8:$G$10000,quot_location_id,'[1]1_group_total_details'!$H$8:$H$10000,"="&amp;quot_date)+SUMIFS('[1]1_group_total_details'!$K$8:$K$10000,'[1]1_group_total_details'!$C$8:$C$10000,I16,'[1]1_group_total_details'!$F$8:$F$10000,quot_location_group_id,'[1]1_group_total_details'!$G$8:$G$10000,quot_location_id,'[1]1_group_total_details'!$H$8:$H$10000,"="&amp;quot_date)+SUMIFS('[1]1_group_total_details'!$M$8:$M$10000,'[1]1_group_total_details'!$C$8:$C$10000,I16,'[1]1_group_total_details'!$F$8:$F$10000,quot_location_group_id,'[1]1_group_total_details'!$G$8:$G$10000,quot_location_id,'[1]1_group_total_details'!$H$8:$H$10000,"="&amp;quot_date)+SUMIFS('[1]1_group_total_details'!$P$8:$P$10000,'[1]1_group_total_details'!$C$8:$C$10000,I16,'[1]1_group_total_details'!$F$8:$F$10000,quot_location_group_id,'[1]1_group_total_details'!$G$8:$G$10000,quot_location_id,'[1]1_group_total_details'!$H$8:$H$10000,"="&amp;quot_date)))</f>
        <v/>
      </c>
      <c r="AL16" s="197" t="str">
        <f>IF(M16="","",(SUMIFS('[1]1_group_total_details'!$I$8:$I$10000,'[1]1_group_total_details'!$C$8:$C$10000,I16,'[1]1_group_total_details'!$F$8:$F$10000,quot_location_group_id,'[1]1_group_total_details'!$G$8:$G$10000,quot_location_id,'[1]1_group_total_details'!$H$8:$H$10000,"&lt;="&amp;quot_date)+SUMIFS('[1]1_group_total_details'!$L$8:$L$10000,'[1]1_group_total_details'!$C$8:$C$10000,I16,'[1]1_group_total_details'!$F$8:$F$10000,quot_location_group_id,'[1]1_group_total_details'!$G$8:$G$10000,1,'[1]1_group_total_details'!$H$8:$H$10000,"&lt;="&amp;quot_date)+SUMIFS('[1]1_group_total_details'!$N$8:$N$10000,'[1]1_group_total_details'!$C$8:$C$10000,I16,'[1]1_group_total_details'!$F$8:$F$10000,quot_location_group_id,'[1]1_group_total_details'!$G$8:$G$10000,quot_location_id,'[1]1_group_total_details'!$H$8:$H$10000,"&lt;="&amp;quot_date)+SUMIFS('[1]1_group_total_details'!$O$8:$O$10000,'[1]1_group_total_details'!$C$8:$C$10000,I16,'[1]1_group_total_details'!$F$8:$F$10000,quot_location_group_id,'[1]1_group_total_details'!$G$8:$G$10000,quot_location_id,'[1]1_group_total_details'!$H$8:$H$10000,"&lt;="&amp;quot_date))-(SUMIFS('[1]1_group_total_details'!$J$8:$J$10000,'[1]1_group_total_details'!$C$8:$C$10000,I16,'[1]1_group_total_details'!$F$8:$F$10000,quot_location_group_id,'[1]1_group_total_details'!$G$8:$G$10000,quot_location_id,'[1]1_group_total_details'!$H$8:$H$10000,"&lt;="&amp;quot_date)+SUMIFS('[1]1_group_total_details'!$K$8:$K$10000,'[1]1_group_total_details'!$C$8:$C$10000,I16,'[1]1_group_total_details'!$F$8:$F$10000,quot_location_group_id,'[1]1_group_total_details'!$G$8:$G$10000,quot_location_id,'[1]1_group_total_details'!$H$8:$H$10000,"&lt;="&amp;quot_date)+SUMIFS('[1]1_group_total_details'!$M$8:$M$10000,'[1]1_group_total_details'!$C$8:$C$10000,I16,'[1]1_group_total_details'!$F$8:$F$10000,quot_location_group_id,'[1]1_group_total_details'!$G$8:$G$10000,quot_location_id,'[1]1_group_total_details'!$H$8:$H$10000,"&lt;="&amp;quot_date)+SUMIFS('[1]1_group_total_details'!$P$8:$P$10000,'[1]1_group_total_details'!$C$8:$C$10000,I16,'[1]1_group_total_details'!$F$8:$F$10000,quot_location_group_id,'[1]1_group_total_details'!$G$8:$G$10000,quot_location_id,'[1]1_group_total_details'!$H$8:$H$10000,"&lt;="&amp;quot_date)))</f>
        <v/>
      </c>
      <c r="AM16" s="197" t="str">
        <f>IF(M16="","",SUMIFS('[1]1_group_totals'!$J$8:$J$10000,'[1]1_group_totals'!$C$8:$C$10000,I16,'[1]1_group_totals'!$F$8:$F$10000,quot_location_group_id,'[1]1_group_totals'!$G$8:$G$10000,quot_location_id,'[1]1_group_totals'!$H$8:$H$10000,"="&amp;Q16,'[1]1_group_totals'!$I$8:$I$10000,"="&amp;R16))</f>
        <v/>
      </c>
      <c r="AN16" s="197" t="str">
        <f t="shared" si="7"/>
        <v/>
      </c>
      <c r="AO16" s="197" t="str">
        <f>IF(OR(ISNA(MATCH(MID(AN16,1,3)*1,UomConversion!$D$8:$D$500,0)),M16=""),"",IF(AT16="","",AT16))</f>
        <v/>
      </c>
      <c r="AP16" s="197" t="str">
        <f>IF(AND(AQ16&gt;0,COUNTIFS(UomConversion!$D$8:$D$500,MID(AN16,1,3)*1,UomConversion!$J$8:$J$500,1)&gt;1),TEXT(AQ16,"000")&amp;"."&amp;VLOOKUP(AQ16,uom_list,5,FALSE),"")</f>
        <v/>
      </c>
      <c r="AQ16" s="197" t="str">
        <f t="shared" si="20"/>
        <v/>
      </c>
      <c r="AR16" s="197" t="str">
        <f t="shared" si="21"/>
        <v/>
      </c>
      <c r="AS16" s="197" t="str">
        <f>IF(M16="","",SUMIFS(ProductPrice!$N$28:$N$10020,ProductPrice!$D$28:$D$10020,I16,ProductPrice!$G$28:$G$10020,quot_branch_id,ProductPrice!$H$28:$H$10020,quot_price_type_id,ProductPrice!$I$28:$I$10020,MID(P16,1,3)*1,ProductPrice!$Q$28:$Q$10020,1))</f>
        <v/>
      </c>
      <c r="AT16" s="197" t="str">
        <f t="shared" si="8"/>
        <v/>
      </c>
      <c r="AU16" s="197" t="str" cm="1">
        <f t="array" ref="AU16">IF(M16="","",IF(ISNA(Slookup(MID(AN16,1,3)*1,UomConversion!$D$8:$J$500,2,UomConversion!$I$8:$I$500,1,UomConversion!$J$8:$J$500,1)),"",Slookup(MID(AN16,1,3)*1,UomConversion!$D$8:$J$500,2,UomConversion!$I$8:$I$500,1,UomConversion!$J$8:$J$500,1)))</f>
        <v/>
      </c>
      <c r="AV16" s="197" t="str">
        <f t="shared" ref="AV16" si="55">IF(M16="","",IF(quot_location_id=1,BA16,IF(quot_location_id=2,BB16,0)))</f>
        <v/>
      </c>
      <c r="AW16" s="197" t="str">
        <f>IF(M16="","",(SUMIFS('[1]1_group_totals'!$K$8:$K$10000,'[1]1_group_totals'!$C$8:$C$10000,I16,'[1]1_group_totals'!$F$8:$F$10000,quot_location_group_id,'[1]1_group_totals'!$G$8:$G$10000,quot_location_id,'[1]1_group_totals'!$H$8:$H$10000,"="&amp;Q16,'[1]1_group_totals'!$I$8:$I$10000,"="&amp;R16)+SUMIFS('[1]1_group_totals'!$N$8:$N$10000,'[1]1_group_totals'!$C$8:$C$10000,I16,'[1]1_group_totals'!$F$8:$F$10000,quot_location_group_id,'[1]1_group_totals'!$G$8:$G$10000,quot_location_id,'[1]1_group_totals'!$H$8:$H$10000,"="&amp;Q16,'[1]1_group_totals'!$I$8:$I$10000,"="&amp;R16)+SUMIFS('[1]1_group_totals'!$P$8:$P$10000,'[1]1_group_totals'!$C$8:$C$10000,I16,'[1]1_group_totals'!$F$8:$F$10000,quot_location_group_id,'[1]1_group_totals'!$G$8:$G$10000,quot_location_id,'[1]1_group_totals'!$H$8:$H$10000,"="&amp;Q16,'[1]1_group_totals'!$I$8:$I$10000,"="&amp;R16)+SUMIFS('[1]1_group_totals'!$Q$8:$Q$10000,'[1]1_group_totals'!$C$8:$C$10000,I16,'[1]1_group_totals'!$F$8:$F$10000,quot_location_group_id,'[1]1_group_totals'!$G$8:$G$10000,quot_location_id,'[1]1_group_totals'!$H$8:$H$10000,"="&amp;Q16,'[1]1_group_totals'!$I$8:$I$10000,"="&amp;R16))+(SUMIFS('[1]1_group_totals'!$L$8:$L$10000,'[1]1_group_totals'!$C$8:$C$10000,I16,'[1]1_group_totals'!$F$8:$F$10000,quot_location_group_id,'[1]1_group_totals'!$G$8:$G$10000,quot_location_id,'[1]1_group_totals'!$H$8:$H$10000,"="&amp;Q16,'[1]1_group_totals'!$I$8:$I$10000,"="&amp;R16)+SUMIFS('[1]1_group_totals'!$M$8:$M$10000,'[1]1_group_totals'!$C$8:$C$10000,I16,'[1]1_group_totals'!$F$8:$F$10000,quot_location_group_id,'[1]1_group_totals'!$G$8:$G$10000,quot_location_id,'[1]1_group_totals'!$H$8:$H$10000,"="&amp;Q16,'[1]1_group_totals'!$I$8:$I$10000,"="&amp;R16)+SUMIFS('[1]1_group_totals'!$O$8:$O$10000,'[1]1_group_totals'!$C$8:$C$10000,I16,'[1]1_group_totals'!$F$8:$F$10000,quot_location_group_id,'[1]1_group_totals'!$G$8:$G$10000,quot_location_id,'[1]1_group_totals'!$H$8:$H$10000,"="&amp;Q16,'[1]1_group_totals'!$I$8:$I$10000,"="&amp;R16)+SUMIFS('[1]1_group_totals'!$R$8:$R$10000,'[1]1_group_totals'!$C$8:$C$10000,I16,'[1]1_group_totals'!$F$8:$F$10000,quot_location_group_id,'[1]1_group_totals'!$G$8:$G$10000,quot_location_id,'[1]1_group_totals'!$H$8:$H$10000,"="&amp;Q16,'[1]1_group_totals'!$I$8:$I$10000,"="&amp;R16)))</f>
        <v/>
      </c>
      <c r="AX16" s="197" t="str">
        <f t="shared" si="23"/>
        <v/>
      </c>
      <c r="AY16" s="197" t="str">
        <f>IF(M16="","",SUMIFS($AX$8:AX16,$I$8:I16,I16))</f>
        <v/>
      </c>
      <c r="AZ16" s="197" t="str">
        <f t="shared" si="24"/>
        <v/>
      </c>
      <c r="BA16" s="197" t="str">
        <f>IF(M16="","",(SUMIFS('[1]1_inventory_totals'!$I$8:$I$10000,'[1]1_inventory_totals'!$C$8:$C$10000,I16,'[1]1_inventory_totals'!$F$8:$F$10000,"="&amp;Q16,'[1]1_inventory_totals'!$G$8:$G$10000,"="&amp;R16)+SUMIFS('[1]1_inventory_totals'!$N$8:$N$10000,'[1]1_inventory_totals'!$C$8:$C$10000,I16,'[1]1_inventory_totals'!$F$8:$F$10000,"="&amp;Q16,'[1]1_inventory_totals'!$G$8:$G$10000,"="&amp;R16)+SUMIFS('[1]1_inventory_totals'!$P$8:$P$10000,'[1]1_inventory_totals'!$C$8:$C$10000,I16,'[1]1_inventory_totals'!$F$8:$F$10000,"="&amp;Q16,'[1]1_inventory_totals'!$G$8:$G$10000,"="&amp;R16)+SUMIFS('[1]1_inventory_totals'!$Q$8:$Q$10000,'[1]1_inventory_totals'!$C$8:$C$10000,I16,'[1]1_inventory_totals'!$F$8:$F$10000,"="&amp;Q16,'[1]1_inventory_totals'!$G$8:$G$10000,"="&amp;R16)+SUMIFS('[1]1_inventory_totals'!$R$8:$R$10000,'[1]1_inventory_totals'!$C$8:$C$10000,I16,'[1]1_inventory_totals'!$F$8:$F$10000,"="&amp;Q16,'[1]1_inventory_totals'!$G$8:$G$10000,"="&amp;R16))+(SUMIFS('[1]1_inventory_totals'!$J$8:$J$10000,'[1]1_inventory_totals'!$C$8:$C$10000,I16,'[1]1_inventory_totals'!$F$8:$F$10000,"="&amp;Q16,'[1]1_inventory_totals'!$G$8:$G$10000,"="&amp;R16)+SUMIFS('[1]1_inventory_totals'!$K$8:$K$10000,'[1]1_inventory_totals'!$C$8:$C$10000,I16,'[1]1_inventory_totals'!$F$8:$F$10000,"="&amp;Q16,'[1]1_inventory_totals'!$G$8:$G$10000,"="&amp;R16)+SUMIFS('[1]1_inventory_totals'!$L$8:$L$10000,'[1]1_inventory_totals'!$C$8:$C$10000,I16,'[1]1_inventory_totals'!$F$8:$F$10000,"="&amp;Q16,'[1]1_inventory_totals'!$G$8:$G$10000,"="&amp;R16)+SUMIFS('[1]1_inventory_totals'!$M$8:$M$10000,'[1]1_inventory_totals'!$C$8:$C$10000,I16,'[1]1_inventory_totals'!$F$8:$F$10000,"="&amp;Q16,'[1]1_inventory_totals'!$G$8:$G$10000,"="&amp;R16)+SUMIFS('[1]1_inventory_totals'!$O$8:$O$10000,'[1]1_inventory_totals'!$C$8:$C$10000,I16,'[1]1_inventory_totals'!$F$8:$F$10000,"="&amp;Q16,'[1]1_inventory_totals'!$G$8:$G$10000,"="&amp;R16)+SUMIFS('[1]1_inventory_totals'!$S$8:$S$10000,'[1]1_inventory_totals'!$C$8:$C$10000,I16,'[1]1_inventory_totals'!$F$8:$F$10000,"="&amp;Q16,'[1]1_inventory_totals'!$G$8:$G$10000,"="&amp;R16)))</f>
        <v/>
      </c>
      <c r="BB16" s="197" t="str">
        <f>IF(M16="","",(SUMIFS('[1]2_inventory_totals'!$I$8:$I$10000,'[1]2_inventory_totals'!$C$8:$C$10000,I16,'[1]2_inventory_totals'!$F$8:$F$10000,"="&amp;Q16,'[1]2_inventory_totals'!$G$8:$G$10000,"="&amp;R16)+SUMIFS('[1]2_inventory_totals'!$N$8:$N$10000,'[1]2_inventory_totals'!$C$8:$C$10000,I16,'[1]2_inventory_totals'!$F$8:$F$10000,"="&amp;Q16,'[1]2_inventory_totals'!$G$8:$G$10000,"="&amp;R16)+SUMIFS('[1]2_inventory_totals'!$P$8:$P$10000,'[1]2_inventory_totals'!$C$8:$C$10000,I16,'[1]2_inventory_totals'!$F$8:$F$10000,"="&amp;Q16,'[1]2_inventory_totals'!$G$8:$G$10000,"="&amp;R16)+SUMIFS('[1]2_inventory_totals'!$Q$8:$Q$10000,'[1]2_inventory_totals'!$C$8:$C$10000,I16,'[1]2_inventory_totals'!$F$8:$F$10000,"="&amp;Q16,'[1]2_inventory_totals'!$G$8:$G$10000,"="&amp;R16)+SUMIFS('[1]2_inventory_totals'!$R$8:$R$10000,'[1]2_inventory_totals'!$C$8:$C$10000,I16,'[1]2_inventory_totals'!$F$8:$F$10000,"="&amp;Q16,'[1]2_inventory_totals'!$G$8:$G$10000,"="&amp;R16))+(SUMIFS('[1]2_inventory_totals'!$J$8:$J$10000,'[1]2_inventory_totals'!$C$8:$C$10000,I16,'[1]2_inventory_totals'!$F$8:$F$10000,"="&amp;Q16,'[1]2_inventory_totals'!$G$8:$G$10000,"="&amp;R16)+SUMIFS('[1]2_inventory_totals'!$K$8:$K$10000,'[1]2_inventory_totals'!$C$8:$C$10000,I16,'[1]2_inventory_totals'!$F$8:$F$10000,"="&amp;Q16,'[1]2_inventory_totals'!$G$8:$G$10000,"="&amp;R16)+SUMIFS('[1]2_inventory_totals'!$L$8:$L$10000,'[1]2_inventory_totals'!$C$8:$C$10000,I16,'[1]2_inventory_totals'!$F$8:$F$10000,"="&amp;Q16,'[1]2_inventory_totals'!$G$8:$G$10000,"="&amp;R16)+SUMIFS('[1]2_inventory_totals'!$M$8:$M$10000,'[1]2_inventory_totals'!$C$8:$C$10000,I16,'[1]2_inventory_totals'!$F$8:$F$10000,"="&amp;Q16,'[1]2_inventory_totals'!$G$8:$G$10000,"="&amp;R16)+SUMIFS('[1]2_inventory_totals'!$O$8:$O$10000,'[1]2_inventory_totals'!$C$8:$C$10000,I16,'[1]2_inventory_totals'!$F$8:$F$10000,"="&amp;Q16,'[1]2_inventory_totals'!$G$8:$G$10000,"="&amp;R16)+SUMIFS('[1]2_inventory_totals'!$S$8:$S$10000,'[1]2_inventory_totals'!$C$8:$C$10000,I16,'[1]2_inventory_totals'!$F$8:$F$10000,"="&amp;Q16,'[1]2_inventory_totals'!$G$8:$G$10000,"="&amp;R16)))</f>
        <v/>
      </c>
    </row>
    <row r="17" spans="1:54" ht="27" customHeight="1" thickBot="1">
      <c r="A17" s="923"/>
      <c r="B17" s="1256"/>
      <c r="C17" s="1245" t="str">
        <f>IF(quot_currency_id="","",VLOOKUP(quot_currency_id,currency_list,2,FALSE))</f>
        <v>USD - US Dollar</v>
      </c>
      <c r="D17" s="1646" t="str">
        <f>IF(quot_currency_id="","",VLOOKUP(quot_currency_id,currency_list,3,FALSE))</f>
        <v>$</v>
      </c>
      <c r="E17" s="1245" t="s">
        <v>3376</v>
      </c>
      <c r="F17" s="1340">
        <f>IF(E17="","",MID(E17,1,3)*1)</f>
        <v>13</v>
      </c>
      <c r="G17" s="941"/>
      <c r="I17" s="1610" t="str">
        <f t="shared" si="10"/>
        <v/>
      </c>
      <c r="J17" s="1611" t="str">
        <f t="shared" si="25"/>
        <v/>
      </c>
      <c r="K17" s="1612" t="str">
        <f t="shared" si="30"/>
        <v/>
      </c>
      <c r="L17" s="1613"/>
      <c r="M17" s="883"/>
      <c r="N17" s="884"/>
      <c r="O17" s="884"/>
      <c r="P17" s="885"/>
      <c r="Q17" s="886"/>
      <c r="R17" s="891"/>
      <c r="S17" s="1614" t="str">
        <f t="shared" ref="S17" si="56">IF(M17="","",quot_currency_symbol)</f>
        <v/>
      </c>
      <c r="T17" s="888"/>
      <c r="U17" s="1650" t="str">
        <f t="shared" si="13"/>
        <v/>
      </c>
      <c r="V17" s="1615" t="str">
        <f t="shared" ref="V17" si="57">IF(W17=0,"",quot_currency_symbol)</f>
        <v/>
      </c>
      <c r="W17" s="889"/>
      <c r="X17" s="1615" t="str">
        <f t="shared" ref="X17" si="58">IF(M17="","",quot_currency_symbol)</f>
        <v/>
      </c>
      <c r="Y17" s="1616" t="str">
        <f t="shared" si="34"/>
        <v/>
      </c>
      <c r="Z17" s="890"/>
      <c r="AA17" s="197" t="str" cm="1">
        <f t="array" ref="AA17">IF(M17="","",IF(P17=AN17,1,Slookup(MID(AN17,1,3)*1,UomConversion!$D$8:$J$500,5,UomConversion!$E$8:$E$500,MID(P17,1,3)*1,UomConversion!$J$8:$J$500,1)))</f>
        <v/>
      </c>
      <c r="AB17" s="197" t="str">
        <f t="shared" si="3"/>
        <v/>
      </c>
      <c r="AC17" s="197" t="str">
        <f t="shared" si="17"/>
        <v/>
      </c>
      <c r="AD17" s="197" t="str">
        <f t="shared" si="18"/>
        <v/>
      </c>
      <c r="AE17" s="197" t="str">
        <f t="shared" si="19"/>
        <v/>
      </c>
      <c r="AF17" s="197" t="str">
        <f t="shared" si="5"/>
        <v/>
      </c>
      <c r="AG17" s="197" t="str">
        <f t="shared" si="6"/>
        <v/>
      </c>
      <c r="AH17" s="197" t="str">
        <f>IF(I17="","",IF(ISNA(MATCH(I17,IF(quot_location_id=1,'[1]1_inventory_totals'!$C$8:$C$10000,IF(quot_location_id=2,'[1]2_inventory_totals'!$C$8:$C$10000,0)),0)),0,IF(AV17&gt;0,1,0)))</f>
        <v/>
      </c>
      <c r="AI17" s="197" t="str">
        <f>IF(M17="","",IF(quot_location_id=1,SUMIFS('[1]1_inventory_total_details'!$J$8:$J$10000,'[1]1_inventory_total_details'!$C$8:$C$10000,I17,'[1]1_inventory_total_details'!$F$8:$F$10000,quot_location_id,'[1]1_inventory_total_details'!$G$8:$G$10000,"="&amp;Q17,'[1]1_inventory_total_details'!$H$8:$H$10000,"="&amp;R17,'[1]1_inventory_total_details'!$I$8:$I$10000,"="&amp;quot_date)+SUMIFS('[1]1_inventory_total_details'!$M$8:$M$10000,'[1]1_inventory_total_details'!$C$8:$C$10000,I17,'[1]1_inventory_total_details'!$F$8:$F$10000,quot_location_id,'[1]1_inventory_total_details'!$G$8:$G$10000,"="&amp;Q17,'[1]1_inventory_total_details'!$H$8:$H$10000,"="&amp;R17,'[1]1_inventory_total_details'!$I$8:$I$10000,"="&amp;quot_date)+SUMIFS('[1]1_inventory_total_details'!$K$8:$K$10000,'[1]1_inventory_total_details'!$C$8:$C$10000,I17,'[1]1_inventory_total_details'!$F$8:$F$10000,quot_location_id,'[1]1_inventory_total_details'!$G$8:$G$10000,"="&amp;Q17,'[1]1_inventory_total_details'!$H$8:$H$10000,"="&amp;R17,'[1]1_inventory_total_details'!$I$8:$I$10000,"="&amp;quot_date)+SUMIFS('[1]1_inventory_total_details'!$L$8:$L$10000,'[1]1_inventory_total_details'!$C$8:$C$10000,I17,'[1]1_inventory_total_details'!$F$8:$F$10000,quot_location_id,'[1]1_inventory_total_details'!$G$8:$G$10000,"="&amp;Q17,'[1]1_inventory_total_details'!$H$8:$H$10000,"="&amp;R17,'[1]1_inventory_total_details'!$I$8:$I$10000,"="&amp;quot_date),SUMIFS('[1]2_inventory_total_details'!$J$8:$J$10000,'[1]2_inventory_total_details'!$C$8:$C$10000,I17,'[1]2_inventory_total_details'!$F$8:$F$10000,quot_location_id,'[1]2_inventory_total_details'!$G$8:$G$10000,"="&amp;Q17,'[1]2_inventory_total_details'!$H$8:$H$10000,"="&amp;R17,'[1]2_inventory_total_details'!$I$8:$I$10000,"="&amp;quot_date)+SUMIFS('[1]2_inventory_total_details'!$M$8:$M$10000,'[1]2_inventory_total_details'!$C$8:$C$10000,I17,'[1]2_inventory_total_details'!$F$8:$F$10000,quot_location_id,'[1]2_inventory_total_details'!$G$8:$G$10000,"="&amp;Q17,'[1]2_inventory_total_details'!$H$8:$H$10000,"="&amp;R17,'[1]2_inventory_total_details'!$I$8:$I$10000,"="&amp;quot_date)+SUMIFS('[1]2_inventory_total_details'!$K$8:$K$10000,'[1]2_inventory_total_details'!$C$8:$C$10000,I17,'[1]2_inventory_total_details'!$F$8:$F$10000,quot_location_id,'[1]2_inventory_total_details'!$G$8:$G$10000,"="&amp;Q17,'[1]2_inventory_total_details'!$H$8:$H$10000,"="&amp;R17,'[1]2_inventory_total_details'!$I$8:$I$10000,"="&amp;quot_date)+SUMIFS('[1]2_inventory_total_details'!$L$8:$L$10000,'[1]2_inventory_total_details'!$C$8:$C$10000,I17,'[1]2_inventory_total_details'!$F$8:$F$10000,quot_location_id,'[1]2_inventory_total_details'!$G$8:$G$10000,"="&amp;Q17,'[1]2_inventory_total_details'!$H$8:$H$10000,"="&amp;R17,'[1]2_inventory_total_details'!$I$8:$I$10000,"="&amp;quot_date)))</f>
        <v/>
      </c>
      <c r="AJ17" s="197" t="str">
        <f>IF(M17="","",IF(ISNA(MATCH(I17,'[1]1_group_totals'!$C$8:$C$10000)),0,IF(AW17&gt;0,1,0)))</f>
        <v/>
      </c>
      <c r="AK17" s="197" t="str">
        <f>IF(M17="","",(SUMIFS('[1]1_group_total_details'!$I$8:$I$10000,'[1]1_group_total_details'!$C$8:$C$10000,I17,'[1]1_group_total_details'!$F$8:$F$10000,quot_location_group_id,'[1]1_group_total_details'!$G$8:$G$10000,quot_location_id,'[1]1_group_total_details'!$H$8:$H$10000,"="&amp;quot_date)+SUMIFS('[1]1_group_total_details'!$L$8:$L$10000,'[1]1_group_total_details'!$C$8:$C$10000,I17,'[1]1_group_total_details'!$F$8:$F$10000,quot_location_group_id,'[1]1_group_total_details'!$G$8:$G$10000,quot_location_id,'[1]1_group_total_details'!$H$8:$H$10000,"="&amp;quot_date)+SUMIFS('[1]1_group_total_details'!$N$8:$N$10000,'[1]1_group_total_details'!$C$8:$C$10000,I17,'[1]1_group_total_details'!$F$8:$F$10000,quot_location_group_id,'[1]1_group_total_details'!$G$8:$G$10000,quot_location_id,'[1]1_group_total_details'!$H$8:$H$10000,"="&amp;quot_date)+SUMIFS('[1]1_group_total_details'!$O$8:$O$10000,'[1]1_group_total_details'!$C$8:$C$10000,I17,'[1]1_group_total_details'!$F$8:$F$10000,quot_location_group_id,'[1]1_group_total_details'!$G$8:$G$10000,quot_location_id,'[1]1_group_total_details'!$H$8:$H$10000,"="&amp;quot_date))+(SUMIFS('[1]1_group_total_details'!$J$8:$J$10000,'[1]1_group_total_details'!$C$8:$C$10000,I17,'[1]1_group_total_details'!$F$8:$F$10000,quot_location_group_id,'[1]1_group_total_details'!$G$8:$G$10000,quot_location_id,'[1]1_group_total_details'!$H$8:$H$10000,"="&amp;quot_date)+SUMIFS('[1]1_group_total_details'!$K$8:$K$10000,'[1]1_group_total_details'!$C$8:$C$10000,I17,'[1]1_group_total_details'!$F$8:$F$10000,quot_location_group_id,'[1]1_group_total_details'!$G$8:$G$10000,quot_location_id,'[1]1_group_total_details'!$H$8:$H$10000,"="&amp;quot_date)+SUMIFS('[1]1_group_total_details'!$M$8:$M$10000,'[1]1_group_total_details'!$C$8:$C$10000,I17,'[1]1_group_total_details'!$F$8:$F$10000,quot_location_group_id,'[1]1_group_total_details'!$G$8:$G$10000,quot_location_id,'[1]1_group_total_details'!$H$8:$H$10000,"="&amp;quot_date)+SUMIFS('[1]1_group_total_details'!$P$8:$P$10000,'[1]1_group_total_details'!$C$8:$C$10000,I17,'[1]1_group_total_details'!$F$8:$F$10000,quot_location_group_id,'[1]1_group_total_details'!$G$8:$G$10000,quot_location_id,'[1]1_group_total_details'!$H$8:$H$10000,"="&amp;quot_date)))</f>
        <v/>
      </c>
      <c r="AL17" s="197" t="str">
        <f>IF(M17="","",(SUMIFS('[1]1_group_total_details'!$I$8:$I$10000,'[1]1_group_total_details'!$C$8:$C$10000,I17,'[1]1_group_total_details'!$F$8:$F$10000,quot_location_group_id,'[1]1_group_total_details'!$G$8:$G$10000,quot_location_id,'[1]1_group_total_details'!$H$8:$H$10000,"&lt;="&amp;quot_date)+SUMIFS('[1]1_group_total_details'!$L$8:$L$10000,'[1]1_group_total_details'!$C$8:$C$10000,I17,'[1]1_group_total_details'!$F$8:$F$10000,quot_location_group_id,'[1]1_group_total_details'!$G$8:$G$10000,1,'[1]1_group_total_details'!$H$8:$H$10000,"&lt;="&amp;quot_date)+SUMIFS('[1]1_group_total_details'!$N$8:$N$10000,'[1]1_group_total_details'!$C$8:$C$10000,I17,'[1]1_group_total_details'!$F$8:$F$10000,quot_location_group_id,'[1]1_group_total_details'!$G$8:$G$10000,quot_location_id,'[1]1_group_total_details'!$H$8:$H$10000,"&lt;="&amp;quot_date)+SUMIFS('[1]1_group_total_details'!$O$8:$O$10000,'[1]1_group_total_details'!$C$8:$C$10000,I17,'[1]1_group_total_details'!$F$8:$F$10000,quot_location_group_id,'[1]1_group_total_details'!$G$8:$G$10000,quot_location_id,'[1]1_group_total_details'!$H$8:$H$10000,"&lt;="&amp;quot_date))-(SUMIFS('[1]1_group_total_details'!$J$8:$J$10000,'[1]1_group_total_details'!$C$8:$C$10000,I17,'[1]1_group_total_details'!$F$8:$F$10000,quot_location_group_id,'[1]1_group_total_details'!$G$8:$G$10000,quot_location_id,'[1]1_group_total_details'!$H$8:$H$10000,"&lt;="&amp;quot_date)+SUMIFS('[1]1_group_total_details'!$K$8:$K$10000,'[1]1_group_total_details'!$C$8:$C$10000,I17,'[1]1_group_total_details'!$F$8:$F$10000,quot_location_group_id,'[1]1_group_total_details'!$G$8:$G$10000,quot_location_id,'[1]1_group_total_details'!$H$8:$H$10000,"&lt;="&amp;quot_date)+SUMIFS('[1]1_group_total_details'!$M$8:$M$10000,'[1]1_group_total_details'!$C$8:$C$10000,I17,'[1]1_group_total_details'!$F$8:$F$10000,quot_location_group_id,'[1]1_group_total_details'!$G$8:$G$10000,quot_location_id,'[1]1_group_total_details'!$H$8:$H$10000,"&lt;="&amp;quot_date)+SUMIFS('[1]1_group_total_details'!$P$8:$P$10000,'[1]1_group_total_details'!$C$8:$C$10000,I17,'[1]1_group_total_details'!$F$8:$F$10000,quot_location_group_id,'[1]1_group_total_details'!$G$8:$G$10000,quot_location_id,'[1]1_group_total_details'!$H$8:$H$10000,"&lt;="&amp;quot_date)))</f>
        <v/>
      </c>
      <c r="AM17" s="197" t="str">
        <f>IF(M17="","",SUMIFS('[1]1_group_totals'!$J$8:$J$10000,'[1]1_group_totals'!$C$8:$C$10000,I17,'[1]1_group_totals'!$F$8:$F$10000,quot_location_group_id,'[1]1_group_totals'!$G$8:$G$10000,quot_location_id,'[1]1_group_totals'!$H$8:$H$10000,"="&amp;Q17,'[1]1_group_totals'!$I$8:$I$10000,"="&amp;R17))</f>
        <v/>
      </c>
      <c r="AN17" s="197" t="str">
        <f t="shared" si="7"/>
        <v/>
      </c>
      <c r="AO17" s="197" t="str">
        <f>IF(OR(ISNA(MATCH(MID(AN17,1,3)*1,UomConversion!$D$8:$D$500,0)),M17=""),"",IF(AT17="","",AT17))</f>
        <v/>
      </c>
      <c r="AP17" s="197" t="str">
        <f>IF(AND(AQ17&gt;0,COUNTIFS(UomConversion!$D$8:$D$500,MID(AN17,1,3)*1,UomConversion!$J$8:$J$500,1)&gt;1),TEXT(AQ17,"000")&amp;"."&amp;VLOOKUP(AQ17,uom_list,5,FALSE),"")</f>
        <v/>
      </c>
      <c r="AQ17" s="197" t="str">
        <f t="shared" si="20"/>
        <v/>
      </c>
      <c r="AR17" s="197" t="str">
        <f t="shared" si="21"/>
        <v/>
      </c>
      <c r="AS17" s="197" t="str">
        <f>IF(M17="","",SUMIFS(ProductPrice!$N$28:$N$10020,ProductPrice!$D$28:$D$10020,I17,ProductPrice!$G$28:$G$10020,quot_branch_id,ProductPrice!$H$28:$H$10020,quot_price_type_id,ProductPrice!$I$28:$I$10020,MID(P17,1,3)*1,ProductPrice!$Q$28:$Q$10020,1))</f>
        <v/>
      </c>
      <c r="AT17" s="197" t="str">
        <f t="shared" si="8"/>
        <v/>
      </c>
      <c r="AU17" s="197" t="str" cm="1">
        <f t="array" ref="AU17">IF(M17="","",IF(ISNA(Slookup(MID(AN17,1,3)*1,UomConversion!$D$8:$J$500,2,UomConversion!$I$8:$I$500,1,UomConversion!$J$8:$J$500,1)),"",Slookup(MID(AN17,1,3)*1,UomConversion!$D$8:$J$500,2,UomConversion!$I$8:$I$500,1,UomConversion!$J$8:$J$500,1)))</f>
        <v/>
      </c>
      <c r="AV17" s="197" t="str">
        <f t="shared" ref="AV17" si="59">IF(M17="","",IF(quot_location_id=1,BA17,IF(quot_location_id=2,BB17,0)))</f>
        <v/>
      </c>
      <c r="AW17" s="197" t="str">
        <f>IF(M17="","",(SUMIFS('[1]1_group_totals'!$K$8:$K$10000,'[1]1_group_totals'!$C$8:$C$10000,I17,'[1]1_group_totals'!$F$8:$F$10000,quot_location_group_id,'[1]1_group_totals'!$G$8:$G$10000,quot_location_id,'[1]1_group_totals'!$H$8:$H$10000,"="&amp;Q17,'[1]1_group_totals'!$I$8:$I$10000,"="&amp;R17)+SUMIFS('[1]1_group_totals'!$N$8:$N$10000,'[1]1_group_totals'!$C$8:$C$10000,I17,'[1]1_group_totals'!$F$8:$F$10000,quot_location_group_id,'[1]1_group_totals'!$G$8:$G$10000,quot_location_id,'[1]1_group_totals'!$H$8:$H$10000,"="&amp;Q17,'[1]1_group_totals'!$I$8:$I$10000,"="&amp;R17)+SUMIFS('[1]1_group_totals'!$P$8:$P$10000,'[1]1_group_totals'!$C$8:$C$10000,I17,'[1]1_group_totals'!$F$8:$F$10000,quot_location_group_id,'[1]1_group_totals'!$G$8:$G$10000,quot_location_id,'[1]1_group_totals'!$H$8:$H$10000,"="&amp;Q17,'[1]1_group_totals'!$I$8:$I$10000,"="&amp;R17)+SUMIFS('[1]1_group_totals'!$Q$8:$Q$10000,'[1]1_group_totals'!$C$8:$C$10000,I17,'[1]1_group_totals'!$F$8:$F$10000,quot_location_group_id,'[1]1_group_totals'!$G$8:$G$10000,quot_location_id,'[1]1_group_totals'!$H$8:$H$10000,"="&amp;Q17,'[1]1_group_totals'!$I$8:$I$10000,"="&amp;R17))+(SUMIFS('[1]1_group_totals'!$L$8:$L$10000,'[1]1_group_totals'!$C$8:$C$10000,I17,'[1]1_group_totals'!$F$8:$F$10000,quot_location_group_id,'[1]1_group_totals'!$G$8:$G$10000,quot_location_id,'[1]1_group_totals'!$H$8:$H$10000,"="&amp;Q17,'[1]1_group_totals'!$I$8:$I$10000,"="&amp;R17)+SUMIFS('[1]1_group_totals'!$M$8:$M$10000,'[1]1_group_totals'!$C$8:$C$10000,I17,'[1]1_group_totals'!$F$8:$F$10000,quot_location_group_id,'[1]1_group_totals'!$G$8:$G$10000,quot_location_id,'[1]1_group_totals'!$H$8:$H$10000,"="&amp;Q17,'[1]1_group_totals'!$I$8:$I$10000,"="&amp;R17)+SUMIFS('[1]1_group_totals'!$O$8:$O$10000,'[1]1_group_totals'!$C$8:$C$10000,I17,'[1]1_group_totals'!$F$8:$F$10000,quot_location_group_id,'[1]1_group_totals'!$G$8:$G$10000,quot_location_id,'[1]1_group_totals'!$H$8:$H$10000,"="&amp;Q17,'[1]1_group_totals'!$I$8:$I$10000,"="&amp;R17)+SUMIFS('[1]1_group_totals'!$R$8:$R$10000,'[1]1_group_totals'!$C$8:$C$10000,I17,'[1]1_group_totals'!$F$8:$F$10000,quot_location_group_id,'[1]1_group_totals'!$G$8:$G$10000,quot_location_id,'[1]1_group_totals'!$H$8:$H$10000,"="&amp;Q17,'[1]1_group_totals'!$I$8:$I$10000,"="&amp;R17)))</f>
        <v/>
      </c>
      <c r="AX17" s="197" t="str">
        <f t="shared" si="23"/>
        <v/>
      </c>
      <c r="AY17" s="197" t="str">
        <f>IF(M17="","",SUMIFS($AX$8:AX17,$I$8:I17,I17))</f>
        <v/>
      </c>
      <c r="AZ17" s="197" t="str">
        <f t="shared" si="24"/>
        <v/>
      </c>
      <c r="BA17" s="197" t="str">
        <f>IF(M17="","",(SUMIFS('[1]1_inventory_totals'!$I$8:$I$10000,'[1]1_inventory_totals'!$C$8:$C$10000,I17,'[1]1_inventory_totals'!$F$8:$F$10000,"="&amp;Q17,'[1]1_inventory_totals'!$G$8:$G$10000,"="&amp;R17)+SUMIFS('[1]1_inventory_totals'!$N$8:$N$10000,'[1]1_inventory_totals'!$C$8:$C$10000,I17,'[1]1_inventory_totals'!$F$8:$F$10000,"="&amp;Q17,'[1]1_inventory_totals'!$G$8:$G$10000,"="&amp;R17)+SUMIFS('[1]1_inventory_totals'!$P$8:$P$10000,'[1]1_inventory_totals'!$C$8:$C$10000,I17,'[1]1_inventory_totals'!$F$8:$F$10000,"="&amp;Q17,'[1]1_inventory_totals'!$G$8:$G$10000,"="&amp;R17)+SUMIFS('[1]1_inventory_totals'!$Q$8:$Q$10000,'[1]1_inventory_totals'!$C$8:$C$10000,I17,'[1]1_inventory_totals'!$F$8:$F$10000,"="&amp;Q17,'[1]1_inventory_totals'!$G$8:$G$10000,"="&amp;R17)+SUMIFS('[1]1_inventory_totals'!$R$8:$R$10000,'[1]1_inventory_totals'!$C$8:$C$10000,I17,'[1]1_inventory_totals'!$F$8:$F$10000,"="&amp;Q17,'[1]1_inventory_totals'!$G$8:$G$10000,"="&amp;R17))+(SUMIFS('[1]1_inventory_totals'!$J$8:$J$10000,'[1]1_inventory_totals'!$C$8:$C$10000,I17,'[1]1_inventory_totals'!$F$8:$F$10000,"="&amp;Q17,'[1]1_inventory_totals'!$G$8:$G$10000,"="&amp;R17)+SUMIFS('[1]1_inventory_totals'!$K$8:$K$10000,'[1]1_inventory_totals'!$C$8:$C$10000,I17,'[1]1_inventory_totals'!$F$8:$F$10000,"="&amp;Q17,'[1]1_inventory_totals'!$G$8:$G$10000,"="&amp;R17)+SUMIFS('[1]1_inventory_totals'!$L$8:$L$10000,'[1]1_inventory_totals'!$C$8:$C$10000,I17,'[1]1_inventory_totals'!$F$8:$F$10000,"="&amp;Q17,'[1]1_inventory_totals'!$G$8:$G$10000,"="&amp;R17)+SUMIFS('[1]1_inventory_totals'!$M$8:$M$10000,'[1]1_inventory_totals'!$C$8:$C$10000,I17,'[1]1_inventory_totals'!$F$8:$F$10000,"="&amp;Q17,'[1]1_inventory_totals'!$G$8:$G$10000,"="&amp;R17)+SUMIFS('[1]1_inventory_totals'!$O$8:$O$10000,'[1]1_inventory_totals'!$C$8:$C$10000,I17,'[1]1_inventory_totals'!$F$8:$F$10000,"="&amp;Q17,'[1]1_inventory_totals'!$G$8:$G$10000,"="&amp;R17)+SUMIFS('[1]1_inventory_totals'!$S$8:$S$10000,'[1]1_inventory_totals'!$C$8:$C$10000,I17,'[1]1_inventory_totals'!$F$8:$F$10000,"="&amp;Q17,'[1]1_inventory_totals'!$G$8:$G$10000,"="&amp;R17)))</f>
        <v/>
      </c>
      <c r="BB17" s="197" t="str">
        <f>IF(M17="","",(SUMIFS('[1]2_inventory_totals'!$I$8:$I$10000,'[1]2_inventory_totals'!$C$8:$C$10000,I17,'[1]2_inventory_totals'!$F$8:$F$10000,"="&amp;Q17,'[1]2_inventory_totals'!$G$8:$G$10000,"="&amp;R17)+SUMIFS('[1]2_inventory_totals'!$N$8:$N$10000,'[1]2_inventory_totals'!$C$8:$C$10000,I17,'[1]2_inventory_totals'!$F$8:$F$10000,"="&amp;Q17,'[1]2_inventory_totals'!$G$8:$G$10000,"="&amp;R17)+SUMIFS('[1]2_inventory_totals'!$P$8:$P$10000,'[1]2_inventory_totals'!$C$8:$C$10000,I17,'[1]2_inventory_totals'!$F$8:$F$10000,"="&amp;Q17,'[1]2_inventory_totals'!$G$8:$G$10000,"="&amp;R17)+SUMIFS('[1]2_inventory_totals'!$Q$8:$Q$10000,'[1]2_inventory_totals'!$C$8:$C$10000,I17,'[1]2_inventory_totals'!$F$8:$F$10000,"="&amp;Q17,'[1]2_inventory_totals'!$G$8:$G$10000,"="&amp;R17)+SUMIFS('[1]2_inventory_totals'!$R$8:$R$10000,'[1]2_inventory_totals'!$C$8:$C$10000,I17,'[1]2_inventory_totals'!$F$8:$F$10000,"="&amp;Q17,'[1]2_inventory_totals'!$G$8:$G$10000,"="&amp;R17))+(SUMIFS('[1]2_inventory_totals'!$J$8:$J$10000,'[1]2_inventory_totals'!$C$8:$C$10000,I17,'[1]2_inventory_totals'!$F$8:$F$10000,"="&amp;Q17,'[1]2_inventory_totals'!$G$8:$G$10000,"="&amp;R17)+SUMIFS('[1]2_inventory_totals'!$K$8:$K$10000,'[1]2_inventory_totals'!$C$8:$C$10000,I17,'[1]2_inventory_totals'!$F$8:$F$10000,"="&amp;Q17,'[1]2_inventory_totals'!$G$8:$G$10000,"="&amp;R17)+SUMIFS('[1]2_inventory_totals'!$L$8:$L$10000,'[1]2_inventory_totals'!$C$8:$C$10000,I17,'[1]2_inventory_totals'!$F$8:$F$10000,"="&amp;Q17,'[1]2_inventory_totals'!$G$8:$G$10000,"="&amp;R17)+SUMIFS('[1]2_inventory_totals'!$M$8:$M$10000,'[1]2_inventory_totals'!$C$8:$C$10000,I17,'[1]2_inventory_totals'!$F$8:$F$10000,"="&amp;Q17,'[1]2_inventory_totals'!$G$8:$G$10000,"="&amp;R17)+SUMIFS('[1]2_inventory_totals'!$O$8:$O$10000,'[1]2_inventory_totals'!$C$8:$C$10000,I17,'[1]2_inventory_totals'!$F$8:$F$10000,"="&amp;Q17,'[1]2_inventory_totals'!$G$8:$G$10000,"="&amp;R17)+SUMIFS('[1]2_inventory_totals'!$S$8:$S$10000,'[1]2_inventory_totals'!$C$8:$C$10000,I17,'[1]2_inventory_totals'!$F$8:$F$10000,"="&amp;Q17,'[1]2_inventory_totals'!$G$8:$G$10000,"="&amp;R17)))</f>
        <v/>
      </c>
    </row>
    <row r="18" spans="1:54" ht="27" customHeight="1">
      <c r="A18" s="923"/>
      <c r="B18" s="1256"/>
      <c r="C18" s="1604">
        <f>IF(quot_branch="","",VLOOKUP(MID(quot_branch,1,2)*1,branch_list,24,FALSE))</f>
        <v>1</v>
      </c>
      <c r="D18" s="897"/>
      <c r="E18" s="924"/>
      <c r="F18" s="1257"/>
      <c r="G18" s="941"/>
      <c r="I18" s="1610" t="str">
        <f t="shared" si="10"/>
        <v/>
      </c>
      <c r="J18" s="1611" t="str">
        <f t="shared" si="25"/>
        <v/>
      </c>
      <c r="K18" s="1612" t="str">
        <f t="shared" si="30"/>
        <v/>
      </c>
      <c r="L18" s="1613"/>
      <c r="M18" s="883"/>
      <c r="N18" s="884"/>
      <c r="O18" s="884"/>
      <c r="P18" s="885"/>
      <c r="Q18" s="886"/>
      <c r="R18" s="891"/>
      <c r="S18" s="1614" t="str">
        <f t="shared" ref="S18" si="60">IF(M18="","",quot_currency_symbol)</f>
        <v/>
      </c>
      <c r="T18" s="888"/>
      <c r="U18" s="1650" t="str">
        <f t="shared" si="13"/>
        <v/>
      </c>
      <c r="V18" s="1615" t="str">
        <f t="shared" ref="V18" si="61">IF(W18=0,"",quot_currency_symbol)</f>
        <v/>
      </c>
      <c r="W18" s="889"/>
      <c r="X18" s="1615" t="str">
        <f t="shared" ref="X18" si="62">IF(M18="","",quot_currency_symbol)</f>
        <v/>
      </c>
      <c r="Y18" s="1616" t="str">
        <f t="shared" si="34"/>
        <v/>
      </c>
      <c r="Z18" s="890"/>
      <c r="AA18" s="197" t="str" cm="1">
        <f t="array" ref="AA18">IF(M18="","",IF(P18=AN18,1,Slookup(MID(AN18,1,3)*1,UomConversion!$D$8:$J$500,5,UomConversion!$E$8:$E$500,MID(P18,1,3)*1,UomConversion!$J$8:$J$500,1)))</f>
        <v/>
      </c>
      <c r="AB18" s="197" t="str">
        <f t="shared" si="3"/>
        <v/>
      </c>
      <c r="AC18" s="197" t="str">
        <f t="shared" si="17"/>
        <v/>
      </c>
      <c r="AD18" s="197" t="str">
        <f t="shared" si="18"/>
        <v/>
      </c>
      <c r="AE18" s="197" t="str">
        <f t="shared" si="19"/>
        <v/>
      </c>
      <c r="AF18" s="197" t="str">
        <f t="shared" si="5"/>
        <v/>
      </c>
      <c r="AG18" s="197" t="str">
        <f t="shared" si="6"/>
        <v/>
      </c>
      <c r="AH18" s="197" t="str">
        <f>IF(I18="","",IF(ISNA(MATCH(I18,IF(quot_location_id=1,'[1]1_inventory_totals'!$C$8:$C$10000,IF(quot_location_id=2,'[1]2_inventory_totals'!$C$8:$C$10000,0)),0)),0,IF(AV18&gt;0,1,0)))</f>
        <v/>
      </c>
      <c r="AI18" s="197" t="str">
        <f>IF(M18="","",IF(quot_location_id=1,SUMIFS('[1]1_inventory_total_details'!$J$8:$J$10000,'[1]1_inventory_total_details'!$C$8:$C$10000,I18,'[1]1_inventory_total_details'!$F$8:$F$10000,quot_location_id,'[1]1_inventory_total_details'!$G$8:$G$10000,"="&amp;Q18,'[1]1_inventory_total_details'!$H$8:$H$10000,"="&amp;R18,'[1]1_inventory_total_details'!$I$8:$I$10000,"="&amp;quot_date)+SUMIFS('[1]1_inventory_total_details'!$M$8:$M$10000,'[1]1_inventory_total_details'!$C$8:$C$10000,I18,'[1]1_inventory_total_details'!$F$8:$F$10000,quot_location_id,'[1]1_inventory_total_details'!$G$8:$G$10000,"="&amp;Q18,'[1]1_inventory_total_details'!$H$8:$H$10000,"="&amp;R18,'[1]1_inventory_total_details'!$I$8:$I$10000,"="&amp;quot_date)+SUMIFS('[1]1_inventory_total_details'!$K$8:$K$10000,'[1]1_inventory_total_details'!$C$8:$C$10000,I18,'[1]1_inventory_total_details'!$F$8:$F$10000,quot_location_id,'[1]1_inventory_total_details'!$G$8:$G$10000,"="&amp;Q18,'[1]1_inventory_total_details'!$H$8:$H$10000,"="&amp;R18,'[1]1_inventory_total_details'!$I$8:$I$10000,"="&amp;quot_date)+SUMIFS('[1]1_inventory_total_details'!$L$8:$L$10000,'[1]1_inventory_total_details'!$C$8:$C$10000,I18,'[1]1_inventory_total_details'!$F$8:$F$10000,quot_location_id,'[1]1_inventory_total_details'!$G$8:$G$10000,"="&amp;Q18,'[1]1_inventory_total_details'!$H$8:$H$10000,"="&amp;R18,'[1]1_inventory_total_details'!$I$8:$I$10000,"="&amp;quot_date),SUMIFS('[1]2_inventory_total_details'!$J$8:$J$10000,'[1]2_inventory_total_details'!$C$8:$C$10000,I18,'[1]2_inventory_total_details'!$F$8:$F$10000,quot_location_id,'[1]2_inventory_total_details'!$G$8:$G$10000,"="&amp;Q18,'[1]2_inventory_total_details'!$H$8:$H$10000,"="&amp;R18,'[1]2_inventory_total_details'!$I$8:$I$10000,"="&amp;quot_date)+SUMIFS('[1]2_inventory_total_details'!$M$8:$M$10000,'[1]2_inventory_total_details'!$C$8:$C$10000,I18,'[1]2_inventory_total_details'!$F$8:$F$10000,quot_location_id,'[1]2_inventory_total_details'!$G$8:$G$10000,"="&amp;Q18,'[1]2_inventory_total_details'!$H$8:$H$10000,"="&amp;R18,'[1]2_inventory_total_details'!$I$8:$I$10000,"="&amp;quot_date)+SUMIFS('[1]2_inventory_total_details'!$K$8:$K$10000,'[1]2_inventory_total_details'!$C$8:$C$10000,I18,'[1]2_inventory_total_details'!$F$8:$F$10000,quot_location_id,'[1]2_inventory_total_details'!$G$8:$G$10000,"="&amp;Q18,'[1]2_inventory_total_details'!$H$8:$H$10000,"="&amp;R18,'[1]2_inventory_total_details'!$I$8:$I$10000,"="&amp;quot_date)+SUMIFS('[1]2_inventory_total_details'!$L$8:$L$10000,'[1]2_inventory_total_details'!$C$8:$C$10000,I18,'[1]2_inventory_total_details'!$F$8:$F$10000,quot_location_id,'[1]2_inventory_total_details'!$G$8:$G$10000,"="&amp;Q18,'[1]2_inventory_total_details'!$H$8:$H$10000,"="&amp;R18,'[1]2_inventory_total_details'!$I$8:$I$10000,"="&amp;quot_date)))</f>
        <v/>
      </c>
      <c r="AJ18" s="197" t="str">
        <f>IF(M18="","",IF(ISNA(MATCH(I18,'[1]1_group_totals'!$C$8:$C$10000)),0,IF(AW18&gt;0,1,0)))</f>
        <v/>
      </c>
      <c r="AK18" s="197" t="str">
        <f>IF(M18="","",(SUMIFS('[1]1_group_total_details'!$I$8:$I$10000,'[1]1_group_total_details'!$C$8:$C$10000,I18,'[1]1_group_total_details'!$F$8:$F$10000,quot_location_group_id,'[1]1_group_total_details'!$G$8:$G$10000,quot_location_id,'[1]1_group_total_details'!$H$8:$H$10000,"="&amp;quot_date)+SUMIFS('[1]1_group_total_details'!$L$8:$L$10000,'[1]1_group_total_details'!$C$8:$C$10000,I18,'[1]1_group_total_details'!$F$8:$F$10000,quot_location_group_id,'[1]1_group_total_details'!$G$8:$G$10000,quot_location_id,'[1]1_group_total_details'!$H$8:$H$10000,"="&amp;quot_date)+SUMIFS('[1]1_group_total_details'!$N$8:$N$10000,'[1]1_group_total_details'!$C$8:$C$10000,I18,'[1]1_group_total_details'!$F$8:$F$10000,quot_location_group_id,'[1]1_group_total_details'!$G$8:$G$10000,quot_location_id,'[1]1_group_total_details'!$H$8:$H$10000,"="&amp;quot_date)+SUMIFS('[1]1_group_total_details'!$O$8:$O$10000,'[1]1_group_total_details'!$C$8:$C$10000,I18,'[1]1_group_total_details'!$F$8:$F$10000,quot_location_group_id,'[1]1_group_total_details'!$G$8:$G$10000,quot_location_id,'[1]1_group_total_details'!$H$8:$H$10000,"="&amp;quot_date))+(SUMIFS('[1]1_group_total_details'!$J$8:$J$10000,'[1]1_group_total_details'!$C$8:$C$10000,I18,'[1]1_group_total_details'!$F$8:$F$10000,quot_location_group_id,'[1]1_group_total_details'!$G$8:$G$10000,quot_location_id,'[1]1_group_total_details'!$H$8:$H$10000,"="&amp;quot_date)+SUMIFS('[1]1_group_total_details'!$K$8:$K$10000,'[1]1_group_total_details'!$C$8:$C$10000,I18,'[1]1_group_total_details'!$F$8:$F$10000,quot_location_group_id,'[1]1_group_total_details'!$G$8:$G$10000,quot_location_id,'[1]1_group_total_details'!$H$8:$H$10000,"="&amp;quot_date)+SUMIFS('[1]1_group_total_details'!$M$8:$M$10000,'[1]1_group_total_details'!$C$8:$C$10000,I18,'[1]1_group_total_details'!$F$8:$F$10000,quot_location_group_id,'[1]1_group_total_details'!$G$8:$G$10000,quot_location_id,'[1]1_group_total_details'!$H$8:$H$10000,"="&amp;quot_date)+SUMIFS('[1]1_group_total_details'!$P$8:$P$10000,'[1]1_group_total_details'!$C$8:$C$10000,I18,'[1]1_group_total_details'!$F$8:$F$10000,quot_location_group_id,'[1]1_group_total_details'!$G$8:$G$10000,quot_location_id,'[1]1_group_total_details'!$H$8:$H$10000,"="&amp;quot_date)))</f>
        <v/>
      </c>
      <c r="AL18" s="197" t="str">
        <f>IF(M18="","",(SUMIFS('[1]1_group_total_details'!$I$8:$I$10000,'[1]1_group_total_details'!$C$8:$C$10000,I18,'[1]1_group_total_details'!$F$8:$F$10000,quot_location_group_id,'[1]1_group_total_details'!$G$8:$G$10000,quot_location_id,'[1]1_group_total_details'!$H$8:$H$10000,"&lt;="&amp;quot_date)+SUMIFS('[1]1_group_total_details'!$L$8:$L$10000,'[1]1_group_total_details'!$C$8:$C$10000,I18,'[1]1_group_total_details'!$F$8:$F$10000,quot_location_group_id,'[1]1_group_total_details'!$G$8:$G$10000,1,'[1]1_group_total_details'!$H$8:$H$10000,"&lt;="&amp;quot_date)+SUMIFS('[1]1_group_total_details'!$N$8:$N$10000,'[1]1_group_total_details'!$C$8:$C$10000,I18,'[1]1_group_total_details'!$F$8:$F$10000,quot_location_group_id,'[1]1_group_total_details'!$G$8:$G$10000,quot_location_id,'[1]1_group_total_details'!$H$8:$H$10000,"&lt;="&amp;quot_date)+SUMIFS('[1]1_group_total_details'!$O$8:$O$10000,'[1]1_group_total_details'!$C$8:$C$10000,I18,'[1]1_group_total_details'!$F$8:$F$10000,quot_location_group_id,'[1]1_group_total_details'!$G$8:$G$10000,quot_location_id,'[1]1_group_total_details'!$H$8:$H$10000,"&lt;="&amp;quot_date))-(SUMIFS('[1]1_group_total_details'!$J$8:$J$10000,'[1]1_group_total_details'!$C$8:$C$10000,I18,'[1]1_group_total_details'!$F$8:$F$10000,quot_location_group_id,'[1]1_group_total_details'!$G$8:$G$10000,quot_location_id,'[1]1_group_total_details'!$H$8:$H$10000,"&lt;="&amp;quot_date)+SUMIFS('[1]1_group_total_details'!$K$8:$K$10000,'[1]1_group_total_details'!$C$8:$C$10000,I18,'[1]1_group_total_details'!$F$8:$F$10000,quot_location_group_id,'[1]1_group_total_details'!$G$8:$G$10000,quot_location_id,'[1]1_group_total_details'!$H$8:$H$10000,"&lt;="&amp;quot_date)+SUMIFS('[1]1_group_total_details'!$M$8:$M$10000,'[1]1_group_total_details'!$C$8:$C$10000,I18,'[1]1_group_total_details'!$F$8:$F$10000,quot_location_group_id,'[1]1_group_total_details'!$G$8:$G$10000,quot_location_id,'[1]1_group_total_details'!$H$8:$H$10000,"&lt;="&amp;quot_date)+SUMIFS('[1]1_group_total_details'!$P$8:$P$10000,'[1]1_group_total_details'!$C$8:$C$10000,I18,'[1]1_group_total_details'!$F$8:$F$10000,quot_location_group_id,'[1]1_group_total_details'!$G$8:$G$10000,quot_location_id,'[1]1_group_total_details'!$H$8:$H$10000,"&lt;="&amp;quot_date)))</f>
        <v/>
      </c>
      <c r="AM18" s="197" t="str">
        <f>IF(M18="","",SUMIFS('[1]1_group_totals'!$J$8:$J$10000,'[1]1_group_totals'!$C$8:$C$10000,I18,'[1]1_group_totals'!$F$8:$F$10000,quot_location_group_id,'[1]1_group_totals'!$G$8:$G$10000,quot_location_id,'[1]1_group_totals'!$H$8:$H$10000,"="&amp;Q18,'[1]1_group_totals'!$I$8:$I$10000,"="&amp;R18))</f>
        <v/>
      </c>
      <c r="AN18" s="197" t="str">
        <f t="shared" si="7"/>
        <v/>
      </c>
      <c r="AO18" s="197" t="str">
        <f>IF(OR(ISNA(MATCH(MID(AN18,1,3)*1,UomConversion!$D$8:$D$500,0)),M18=""),"",IF(AT18="","",AT18))</f>
        <v/>
      </c>
      <c r="AP18" s="197" t="str">
        <f>IF(AND(AQ18&gt;0,COUNTIFS(UomConversion!$D$8:$D$500,MID(AN18,1,3)*1,UomConversion!$J$8:$J$500,1)&gt;1),TEXT(AQ18,"000")&amp;"."&amp;VLOOKUP(AQ18,uom_list,5,FALSE),"")</f>
        <v/>
      </c>
      <c r="AQ18" s="197" t="str">
        <f t="shared" si="20"/>
        <v/>
      </c>
      <c r="AR18" s="197" t="str">
        <f t="shared" si="21"/>
        <v/>
      </c>
      <c r="AS18" s="197" t="str">
        <f>IF(M18="","",SUMIFS(ProductPrice!$N$28:$N$10020,ProductPrice!$D$28:$D$10020,I18,ProductPrice!$G$28:$G$10020,quot_branch_id,ProductPrice!$H$28:$H$10020,quot_price_type_id,ProductPrice!$I$28:$I$10020,MID(P18,1,3)*1,ProductPrice!$Q$28:$Q$10020,1))</f>
        <v/>
      </c>
      <c r="AT18" s="197" t="str">
        <f t="shared" si="8"/>
        <v/>
      </c>
      <c r="AU18" s="197" t="str" cm="1">
        <f t="array" ref="AU18">IF(M18="","",IF(ISNA(Slookup(MID(AN18,1,3)*1,UomConversion!$D$8:$J$500,2,UomConversion!$I$8:$I$500,1,UomConversion!$J$8:$J$500,1)),"",Slookup(MID(AN18,1,3)*1,UomConversion!$D$8:$J$500,2,UomConversion!$I$8:$I$500,1,UomConversion!$J$8:$J$500,1)))</f>
        <v/>
      </c>
      <c r="AV18" s="197" t="str">
        <f t="shared" ref="AV18" si="63">IF(M18="","",IF(quot_location_id=1,BA18,IF(quot_location_id=2,BB18,0)))</f>
        <v/>
      </c>
      <c r="AW18" s="197" t="str">
        <f>IF(M18="","",(SUMIFS('[1]1_group_totals'!$K$8:$K$10000,'[1]1_group_totals'!$C$8:$C$10000,I18,'[1]1_group_totals'!$F$8:$F$10000,quot_location_group_id,'[1]1_group_totals'!$G$8:$G$10000,quot_location_id,'[1]1_group_totals'!$H$8:$H$10000,"="&amp;Q18,'[1]1_group_totals'!$I$8:$I$10000,"="&amp;R18)+SUMIFS('[1]1_group_totals'!$N$8:$N$10000,'[1]1_group_totals'!$C$8:$C$10000,I18,'[1]1_group_totals'!$F$8:$F$10000,quot_location_group_id,'[1]1_group_totals'!$G$8:$G$10000,quot_location_id,'[1]1_group_totals'!$H$8:$H$10000,"="&amp;Q18,'[1]1_group_totals'!$I$8:$I$10000,"="&amp;R18)+SUMIFS('[1]1_group_totals'!$P$8:$P$10000,'[1]1_group_totals'!$C$8:$C$10000,I18,'[1]1_group_totals'!$F$8:$F$10000,quot_location_group_id,'[1]1_group_totals'!$G$8:$G$10000,quot_location_id,'[1]1_group_totals'!$H$8:$H$10000,"="&amp;Q18,'[1]1_group_totals'!$I$8:$I$10000,"="&amp;R18)+SUMIFS('[1]1_group_totals'!$Q$8:$Q$10000,'[1]1_group_totals'!$C$8:$C$10000,I18,'[1]1_group_totals'!$F$8:$F$10000,quot_location_group_id,'[1]1_group_totals'!$G$8:$G$10000,quot_location_id,'[1]1_group_totals'!$H$8:$H$10000,"="&amp;Q18,'[1]1_group_totals'!$I$8:$I$10000,"="&amp;R18))+(SUMIFS('[1]1_group_totals'!$L$8:$L$10000,'[1]1_group_totals'!$C$8:$C$10000,I18,'[1]1_group_totals'!$F$8:$F$10000,quot_location_group_id,'[1]1_group_totals'!$G$8:$G$10000,quot_location_id,'[1]1_group_totals'!$H$8:$H$10000,"="&amp;Q18,'[1]1_group_totals'!$I$8:$I$10000,"="&amp;R18)+SUMIFS('[1]1_group_totals'!$M$8:$M$10000,'[1]1_group_totals'!$C$8:$C$10000,I18,'[1]1_group_totals'!$F$8:$F$10000,quot_location_group_id,'[1]1_group_totals'!$G$8:$G$10000,quot_location_id,'[1]1_group_totals'!$H$8:$H$10000,"="&amp;Q18,'[1]1_group_totals'!$I$8:$I$10000,"="&amp;R18)+SUMIFS('[1]1_group_totals'!$O$8:$O$10000,'[1]1_group_totals'!$C$8:$C$10000,I18,'[1]1_group_totals'!$F$8:$F$10000,quot_location_group_id,'[1]1_group_totals'!$G$8:$G$10000,quot_location_id,'[1]1_group_totals'!$H$8:$H$10000,"="&amp;Q18,'[1]1_group_totals'!$I$8:$I$10000,"="&amp;R18)+SUMIFS('[1]1_group_totals'!$R$8:$R$10000,'[1]1_group_totals'!$C$8:$C$10000,I18,'[1]1_group_totals'!$F$8:$F$10000,quot_location_group_id,'[1]1_group_totals'!$G$8:$G$10000,quot_location_id,'[1]1_group_totals'!$H$8:$H$10000,"="&amp;Q18,'[1]1_group_totals'!$I$8:$I$10000,"="&amp;R18)))</f>
        <v/>
      </c>
      <c r="AX18" s="197" t="str">
        <f t="shared" si="23"/>
        <v/>
      </c>
      <c r="AY18" s="197" t="str">
        <f>IF(M18="","",SUMIFS($AX$8:AX18,$I$8:I18,I18))</f>
        <v/>
      </c>
      <c r="AZ18" s="197" t="str">
        <f t="shared" si="24"/>
        <v/>
      </c>
      <c r="BA18" s="197" t="str">
        <f>IF(M18="","",(SUMIFS('[1]1_inventory_totals'!$I$8:$I$10000,'[1]1_inventory_totals'!$C$8:$C$10000,I18,'[1]1_inventory_totals'!$F$8:$F$10000,"="&amp;Q18,'[1]1_inventory_totals'!$G$8:$G$10000,"="&amp;R18)+SUMIFS('[1]1_inventory_totals'!$N$8:$N$10000,'[1]1_inventory_totals'!$C$8:$C$10000,I18,'[1]1_inventory_totals'!$F$8:$F$10000,"="&amp;Q18,'[1]1_inventory_totals'!$G$8:$G$10000,"="&amp;R18)+SUMIFS('[1]1_inventory_totals'!$P$8:$P$10000,'[1]1_inventory_totals'!$C$8:$C$10000,I18,'[1]1_inventory_totals'!$F$8:$F$10000,"="&amp;Q18,'[1]1_inventory_totals'!$G$8:$G$10000,"="&amp;R18)+SUMIFS('[1]1_inventory_totals'!$Q$8:$Q$10000,'[1]1_inventory_totals'!$C$8:$C$10000,I18,'[1]1_inventory_totals'!$F$8:$F$10000,"="&amp;Q18,'[1]1_inventory_totals'!$G$8:$G$10000,"="&amp;R18)+SUMIFS('[1]1_inventory_totals'!$R$8:$R$10000,'[1]1_inventory_totals'!$C$8:$C$10000,I18,'[1]1_inventory_totals'!$F$8:$F$10000,"="&amp;Q18,'[1]1_inventory_totals'!$G$8:$G$10000,"="&amp;R18))+(SUMIFS('[1]1_inventory_totals'!$J$8:$J$10000,'[1]1_inventory_totals'!$C$8:$C$10000,I18,'[1]1_inventory_totals'!$F$8:$F$10000,"="&amp;Q18,'[1]1_inventory_totals'!$G$8:$G$10000,"="&amp;R18)+SUMIFS('[1]1_inventory_totals'!$K$8:$K$10000,'[1]1_inventory_totals'!$C$8:$C$10000,I18,'[1]1_inventory_totals'!$F$8:$F$10000,"="&amp;Q18,'[1]1_inventory_totals'!$G$8:$G$10000,"="&amp;R18)+SUMIFS('[1]1_inventory_totals'!$L$8:$L$10000,'[1]1_inventory_totals'!$C$8:$C$10000,I18,'[1]1_inventory_totals'!$F$8:$F$10000,"="&amp;Q18,'[1]1_inventory_totals'!$G$8:$G$10000,"="&amp;R18)+SUMIFS('[1]1_inventory_totals'!$M$8:$M$10000,'[1]1_inventory_totals'!$C$8:$C$10000,I18,'[1]1_inventory_totals'!$F$8:$F$10000,"="&amp;Q18,'[1]1_inventory_totals'!$G$8:$G$10000,"="&amp;R18)+SUMIFS('[1]1_inventory_totals'!$O$8:$O$10000,'[1]1_inventory_totals'!$C$8:$C$10000,I18,'[1]1_inventory_totals'!$F$8:$F$10000,"="&amp;Q18,'[1]1_inventory_totals'!$G$8:$G$10000,"="&amp;R18)+SUMIFS('[1]1_inventory_totals'!$S$8:$S$10000,'[1]1_inventory_totals'!$C$8:$C$10000,I18,'[1]1_inventory_totals'!$F$8:$F$10000,"="&amp;Q18,'[1]1_inventory_totals'!$G$8:$G$10000,"="&amp;R18)))</f>
        <v/>
      </c>
      <c r="BB18" s="197" t="str">
        <f>IF(M18="","",(SUMIFS('[1]2_inventory_totals'!$I$8:$I$10000,'[1]2_inventory_totals'!$C$8:$C$10000,I18,'[1]2_inventory_totals'!$F$8:$F$10000,"="&amp;Q18,'[1]2_inventory_totals'!$G$8:$G$10000,"="&amp;R18)+SUMIFS('[1]2_inventory_totals'!$N$8:$N$10000,'[1]2_inventory_totals'!$C$8:$C$10000,I18,'[1]2_inventory_totals'!$F$8:$F$10000,"="&amp;Q18,'[1]2_inventory_totals'!$G$8:$G$10000,"="&amp;R18)+SUMIFS('[1]2_inventory_totals'!$P$8:$P$10000,'[1]2_inventory_totals'!$C$8:$C$10000,I18,'[1]2_inventory_totals'!$F$8:$F$10000,"="&amp;Q18,'[1]2_inventory_totals'!$G$8:$G$10000,"="&amp;R18)+SUMIFS('[1]2_inventory_totals'!$Q$8:$Q$10000,'[1]2_inventory_totals'!$C$8:$C$10000,I18,'[1]2_inventory_totals'!$F$8:$F$10000,"="&amp;Q18,'[1]2_inventory_totals'!$G$8:$G$10000,"="&amp;R18)+SUMIFS('[1]2_inventory_totals'!$R$8:$R$10000,'[1]2_inventory_totals'!$C$8:$C$10000,I18,'[1]2_inventory_totals'!$F$8:$F$10000,"="&amp;Q18,'[1]2_inventory_totals'!$G$8:$G$10000,"="&amp;R18))+(SUMIFS('[1]2_inventory_totals'!$J$8:$J$10000,'[1]2_inventory_totals'!$C$8:$C$10000,I18,'[1]2_inventory_totals'!$F$8:$F$10000,"="&amp;Q18,'[1]2_inventory_totals'!$G$8:$G$10000,"="&amp;R18)+SUMIFS('[1]2_inventory_totals'!$K$8:$K$10000,'[1]2_inventory_totals'!$C$8:$C$10000,I18,'[1]2_inventory_totals'!$F$8:$F$10000,"="&amp;Q18,'[1]2_inventory_totals'!$G$8:$G$10000,"="&amp;R18)+SUMIFS('[1]2_inventory_totals'!$L$8:$L$10000,'[1]2_inventory_totals'!$C$8:$C$10000,I18,'[1]2_inventory_totals'!$F$8:$F$10000,"="&amp;Q18,'[1]2_inventory_totals'!$G$8:$G$10000,"="&amp;R18)+SUMIFS('[1]2_inventory_totals'!$M$8:$M$10000,'[1]2_inventory_totals'!$C$8:$C$10000,I18,'[1]2_inventory_totals'!$F$8:$F$10000,"="&amp;Q18,'[1]2_inventory_totals'!$G$8:$G$10000,"="&amp;R18)+SUMIFS('[1]2_inventory_totals'!$O$8:$O$10000,'[1]2_inventory_totals'!$C$8:$C$10000,I18,'[1]2_inventory_totals'!$F$8:$F$10000,"="&amp;Q18,'[1]2_inventory_totals'!$G$8:$G$10000,"="&amp;R18)+SUMIFS('[1]2_inventory_totals'!$S$8:$S$10000,'[1]2_inventory_totals'!$C$8:$C$10000,I18,'[1]2_inventory_totals'!$F$8:$F$10000,"="&amp;Q18,'[1]2_inventory_totals'!$G$8:$G$10000,"="&amp;R18)))</f>
        <v/>
      </c>
    </row>
    <row r="19" spans="1:54" ht="27" customHeight="1" thickBot="1">
      <c r="A19" s="923"/>
      <c r="B19" s="1256"/>
      <c r="C19" s="947" t="s">
        <v>3359</v>
      </c>
      <c r="D19" s="948">
        <f>VLOOKUP(13, chart_account_default_list, 5, FALSE)</f>
        <v>17</v>
      </c>
      <c r="F19" s="1262"/>
      <c r="G19" s="941"/>
      <c r="I19" s="1610" t="str">
        <f t="shared" si="10"/>
        <v/>
      </c>
      <c r="J19" s="1611" t="str">
        <f t="shared" si="25"/>
        <v/>
      </c>
      <c r="K19" s="1612" t="str">
        <f t="shared" si="30"/>
        <v/>
      </c>
      <c r="L19" s="1613"/>
      <c r="M19" s="883"/>
      <c r="N19" s="884"/>
      <c r="O19" s="884"/>
      <c r="P19" s="885"/>
      <c r="Q19" s="886"/>
      <c r="R19" s="891"/>
      <c r="S19" s="1614" t="str">
        <f t="shared" ref="S19" si="64">IF(M19="","",quot_currency_symbol)</f>
        <v/>
      </c>
      <c r="T19" s="888"/>
      <c r="U19" s="1650" t="str">
        <f t="shared" si="13"/>
        <v/>
      </c>
      <c r="V19" s="1615" t="str">
        <f t="shared" ref="V19" si="65">IF(W19=0,"",quot_currency_symbol)</f>
        <v/>
      </c>
      <c r="W19" s="889"/>
      <c r="X19" s="1615" t="str">
        <f t="shared" ref="X19" si="66">IF(M19="","",quot_currency_symbol)</f>
        <v/>
      </c>
      <c r="Y19" s="1616" t="str">
        <f t="shared" si="34"/>
        <v/>
      </c>
      <c r="Z19" s="890"/>
      <c r="AA19" s="197" t="str" cm="1">
        <f t="array" ref="AA19">IF(M19="","",IF(P19=AN19,1,Slookup(MID(AN19,1,3)*1,UomConversion!$D$8:$J$500,5,UomConversion!$E$8:$E$500,MID(P19,1,3)*1,UomConversion!$J$8:$J$500,1)))</f>
        <v/>
      </c>
      <c r="AB19" s="197" t="str">
        <f t="shared" si="3"/>
        <v/>
      </c>
      <c r="AC19" s="197" t="str">
        <f t="shared" si="17"/>
        <v/>
      </c>
      <c r="AD19" s="197" t="str">
        <f t="shared" si="18"/>
        <v/>
      </c>
      <c r="AE19" s="197" t="str">
        <f t="shared" si="19"/>
        <v/>
      </c>
      <c r="AF19" s="197" t="str">
        <f t="shared" si="5"/>
        <v/>
      </c>
      <c r="AG19" s="197" t="str">
        <f t="shared" si="6"/>
        <v/>
      </c>
      <c r="AH19" s="197" t="str">
        <f>IF(I19="","",IF(ISNA(MATCH(I19,IF(quot_location_id=1,'[1]1_inventory_totals'!$C$8:$C$10000,IF(quot_location_id=2,'[1]2_inventory_totals'!$C$8:$C$10000,0)),0)),0,IF(AV19&gt;0,1,0)))</f>
        <v/>
      </c>
      <c r="AI19" s="197" t="str">
        <f>IF(M19="","",IF(quot_location_id=1,SUMIFS('[1]1_inventory_total_details'!$J$8:$J$10000,'[1]1_inventory_total_details'!$C$8:$C$10000,I19,'[1]1_inventory_total_details'!$F$8:$F$10000,quot_location_id,'[1]1_inventory_total_details'!$G$8:$G$10000,"="&amp;Q19,'[1]1_inventory_total_details'!$H$8:$H$10000,"="&amp;R19,'[1]1_inventory_total_details'!$I$8:$I$10000,"="&amp;quot_date)+SUMIFS('[1]1_inventory_total_details'!$M$8:$M$10000,'[1]1_inventory_total_details'!$C$8:$C$10000,I19,'[1]1_inventory_total_details'!$F$8:$F$10000,quot_location_id,'[1]1_inventory_total_details'!$G$8:$G$10000,"="&amp;Q19,'[1]1_inventory_total_details'!$H$8:$H$10000,"="&amp;R19,'[1]1_inventory_total_details'!$I$8:$I$10000,"="&amp;quot_date)+SUMIFS('[1]1_inventory_total_details'!$K$8:$K$10000,'[1]1_inventory_total_details'!$C$8:$C$10000,I19,'[1]1_inventory_total_details'!$F$8:$F$10000,quot_location_id,'[1]1_inventory_total_details'!$G$8:$G$10000,"="&amp;Q19,'[1]1_inventory_total_details'!$H$8:$H$10000,"="&amp;R19,'[1]1_inventory_total_details'!$I$8:$I$10000,"="&amp;quot_date)+SUMIFS('[1]1_inventory_total_details'!$L$8:$L$10000,'[1]1_inventory_total_details'!$C$8:$C$10000,I19,'[1]1_inventory_total_details'!$F$8:$F$10000,quot_location_id,'[1]1_inventory_total_details'!$G$8:$G$10000,"="&amp;Q19,'[1]1_inventory_total_details'!$H$8:$H$10000,"="&amp;R19,'[1]1_inventory_total_details'!$I$8:$I$10000,"="&amp;quot_date),SUMIFS('[1]2_inventory_total_details'!$J$8:$J$10000,'[1]2_inventory_total_details'!$C$8:$C$10000,I19,'[1]2_inventory_total_details'!$F$8:$F$10000,quot_location_id,'[1]2_inventory_total_details'!$G$8:$G$10000,"="&amp;Q19,'[1]2_inventory_total_details'!$H$8:$H$10000,"="&amp;R19,'[1]2_inventory_total_details'!$I$8:$I$10000,"="&amp;quot_date)+SUMIFS('[1]2_inventory_total_details'!$M$8:$M$10000,'[1]2_inventory_total_details'!$C$8:$C$10000,I19,'[1]2_inventory_total_details'!$F$8:$F$10000,quot_location_id,'[1]2_inventory_total_details'!$G$8:$G$10000,"="&amp;Q19,'[1]2_inventory_total_details'!$H$8:$H$10000,"="&amp;R19,'[1]2_inventory_total_details'!$I$8:$I$10000,"="&amp;quot_date)+SUMIFS('[1]2_inventory_total_details'!$K$8:$K$10000,'[1]2_inventory_total_details'!$C$8:$C$10000,I19,'[1]2_inventory_total_details'!$F$8:$F$10000,quot_location_id,'[1]2_inventory_total_details'!$G$8:$G$10000,"="&amp;Q19,'[1]2_inventory_total_details'!$H$8:$H$10000,"="&amp;R19,'[1]2_inventory_total_details'!$I$8:$I$10000,"="&amp;quot_date)+SUMIFS('[1]2_inventory_total_details'!$L$8:$L$10000,'[1]2_inventory_total_details'!$C$8:$C$10000,I19,'[1]2_inventory_total_details'!$F$8:$F$10000,quot_location_id,'[1]2_inventory_total_details'!$G$8:$G$10000,"="&amp;Q19,'[1]2_inventory_total_details'!$H$8:$H$10000,"="&amp;R19,'[1]2_inventory_total_details'!$I$8:$I$10000,"="&amp;quot_date)))</f>
        <v/>
      </c>
      <c r="AJ19" s="197" t="str">
        <f>IF(M19="","",IF(ISNA(MATCH(I19,'[1]1_group_totals'!$C$8:$C$10000)),0,IF(AW19&gt;0,1,0)))</f>
        <v/>
      </c>
      <c r="AK19" s="197" t="str">
        <f>IF(M19="","",(SUMIFS('[1]1_group_total_details'!$I$8:$I$10000,'[1]1_group_total_details'!$C$8:$C$10000,I19,'[1]1_group_total_details'!$F$8:$F$10000,quot_location_group_id,'[1]1_group_total_details'!$G$8:$G$10000,quot_location_id,'[1]1_group_total_details'!$H$8:$H$10000,"="&amp;quot_date)+SUMIFS('[1]1_group_total_details'!$L$8:$L$10000,'[1]1_group_total_details'!$C$8:$C$10000,I19,'[1]1_group_total_details'!$F$8:$F$10000,quot_location_group_id,'[1]1_group_total_details'!$G$8:$G$10000,quot_location_id,'[1]1_group_total_details'!$H$8:$H$10000,"="&amp;quot_date)+SUMIFS('[1]1_group_total_details'!$N$8:$N$10000,'[1]1_group_total_details'!$C$8:$C$10000,I19,'[1]1_group_total_details'!$F$8:$F$10000,quot_location_group_id,'[1]1_group_total_details'!$G$8:$G$10000,quot_location_id,'[1]1_group_total_details'!$H$8:$H$10000,"="&amp;quot_date)+SUMIFS('[1]1_group_total_details'!$O$8:$O$10000,'[1]1_group_total_details'!$C$8:$C$10000,I19,'[1]1_group_total_details'!$F$8:$F$10000,quot_location_group_id,'[1]1_group_total_details'!$G$8:$G$10000,quot_location_id,'[1]1_group_total_details'!$H$8:$H$10000,"="&amp;quot_date))+(SUMIFS('[1]1_group_total_details'!$J$8:$J$10000,'[1]1_group_total_details'!$C$8:$C$10000,I19,'[1]1_group_total_details'!$F$8:$F$10000,quot_location_group_id,'[1]1_group_total_details'!$G$8:$G$10000,quot_location_id,'[1]1_group_total_details'!$H$8:$H$10000,"="&amp;quot_date)+SUMIFS('[1]1_group_total_details'!$K$8:$K$10000,'[1]1_group_total_details'!$C$8:$C$10000,I19,'[1]1_group_total_details'!$F$8:$F$10000,quot_location_group_id,'[1]1_group_total_details'!$G$8:$G$10000,quot_location_id,'[1]1_group_total_details'!$H$8:$H$10000,"="&amp;quot_date)+SUMIFS('[1]1_group_total_details'!$M$8:$M$10000,'[1]1_group_total_details'!$C$8:$C$10000,I19,'[1]1_group_total_details'!$F$8:$F$10000,quot_location_group_id,'[1]1_group_total_details'!$G$8:$G$10000,quot_location_id,'[1]1_group_total_details'!$H$8:$H$10000,"="&amp;quot_date)+SUMIFS('[1]1_group_total_details'!$P$8:$P$10000,'[1]1_group_total_details'!$C$8:$C$10000,I19,'[1]1_group_total_details'!$F$8:$F$10000,quot_location_group_id,'[1]1_group_total_details'!$G$8:$G$10000,quot_location_id,'[1]1_group_total_details'!$H$8:$H$10000,"="&amp;quot_date)))</f>
        <v/>
      </c>
      <c r="AL19" s="197" t="str">
        <f>IF(M19="","",(SUMIFS('[1]1_group_total_details'!$I$8:$I$10000,'[1]1_group_total_details'!$C$8:$C$10000,I19,'[1]1_group_total_details'!$F$8:$F$10000,quot_location_group_id,'[1]1_group_total_details'!$G$8:$G$10000,quot_location_id,'[1]1_group_total_details'!$H$8:$H$10000,"&lt;="&amp;quot_date)+SUMIFS('[1]1_group_total_details'!$L$8:$L$10000,'[1]1_group_total_details'!$C$8:$C$10000,I19,'[1]1_group_total_details'!$F$8:$F$10000,quot_location_group_id,'[1]1_group_total_details'!$G$8:$G$10000,1,'[1]1_group_total_details'!$H$8:$H$10000,"&lt;="&amp;quot_date)+SUMIFS('[1]1_group_total_details'!$N$8:$N$10000,'[1]1_group_total_details'!$C$8:$C$10000,I19,'[1]1_group_total_details'!$F$8:$F$10000,quot_location_group_id,'[1]1_group_total_details'!$G$8:$G$10000,quot_location_id,'[1]1_group_total_details'!$H$8:$H$10000,"&lt;="&amp;quot_date)+SUMIFS('[1]1_group_total_details'!$O$8:$O$10000,'[1]1_group_total_details'!$C$8:$C$10000,I19,'[1]1_group_total_details'!$F$8:$F$10000,quot_location_group_id,'[1]1_group_total_details'!$G$8:$G$10000,quot_location_id,'[1]1_group_total_details'!$H$8:$H$10000,"&lt;="&amp;quot_date))-(SUMIFS('[1]1_group_total_details'!$J$8:$J$10000,'[1]1_group_total_details'!$C$8:$C$10000,I19,'[1]1_group_total_details'!$F$8:$F$10000,quot_location_group_id,'[1]1_group_total_details'!$G$8:$G$10000,quot_location_id,'[1]1_group_total_details'!$H$8:$H$10000,"&lt;="&amp;quot_date)+SUMIFS('[1]1_group_total_details'!$K$8:$K$10000,'[1]1_group_total_details'!$C$8:$C$10000,I19,'[1]1_group_total_details'!$F$8:$F$10000,quot_location_group_id,'[1]1_group_total_details'!$G$8:$G$10000,quot_location_id,'[1]1_group_total_details'!$H$8:$H$10000,"&lt;="&amp;quot_date)+SUMIFS('[1]1_group_total_details'!$M$8:$M$10000,'[1]1_group_total_details'!$C$8:$C$10000,I19,'[1]1_group_total_details'!$F$8:$F$10000,quot_location_group_id,'[1]1_group_total_details'!$G$8:$G$10000,quot_location_id,'[1]1_group_total_details'!$H$8:$H$10000,"&lt;="&amp;quot_date)+SUMIFS('[1]1_group_total_details'!$P$8:$P$10000,'[1]1_group_total_details'!$C$8:$C$10000,I19,'[1]1_group_total_details'!$F$8:$F$10000,quot_location_group_id,'[1]1_group_total_details'!$G$8:$G$10000,quot_location_id,'[1]1_group_total_details'!$H$8:$H$10000,"&lt;="&amp;quot_date)))</f>
        <v/>
      </c>
      <c r="AM19" s="197" t="str">
        <f>IF(M19="","",SUMIFS('[1]1_group_totals'!$J$8:$J$10000,'[1]1_group_totals'!$C$8:$C$10000,I19,'[1]1_group_totals'!$F$8:$F$10000,quot_location_group_id,'[1]1_group_totals'!$G$8:$G$10000,quot_location_id,'[1]1_group_totals'!$H$8:$H$10000,"="&amp;Q19,'[1]1_group_totals'!$I$8:$I$10000,"="&amp;R19))</f>
        <v/>
      </c>
      <c r="AN19" s="197" t="str">
        <f t="shared" si="7"/>
        <v/>
      </c>
      <c r="AO19" s="197" t="str">
        <f>IF(OR(ISNA(MATCH(MID(AN19,1,3)*1,UomConversion!$D$8:$D$500,0)),M19=""),"",IF(AT19="","",AT19))</f>
        <v/>
      </c>
      <c r="AP19" s="197" t="str">
        <f>IF(AND(AQ19&gt;0,COUNTIFS(UomConversion!$D$8:$D$500,MID(AN19,1,3)*1,UomConversion!$J$8:$J$500,1)&gt;1),TEXT(AQ19,"000")&amp;"."&amp;VLOOKUP(AQ19,uom_list,5,FALSE),"")</f>
        <v/>
      </c>
      <c r="AQ19" s="197" t="str">
        <f t="shared" si="20"/>
        <v/>
      </c>
      <c r="AR19" s="197" t="str">
        <f t="shared" si="21"/>
        <v/>
      </c>
      <c r="AS19" s="197" t="str">
        <f>IF(M19="","",SUMIFS(ProductPrice!$N$28:$N$10020,ProductPrice!$D$28:$D$10020,I19,ProductPrice!$G$28:$G$10020,quot_branch_id,ProductPrice!$H$28:$H$10020,quot_price_type_id,ProductPrice!$I$28:$I$10020,MID(P19,1,3)*1,ProductPrice!$Q$28:$Q$10020,1))</f>
        <v/>
      </c>
      <c r="AT19" s="197" t="str">
        <f t="shared" si="8"/>
        <v/>
      </c>
      <c r="AU19" s="197" t="str" cm="1">
        <f t="array" ref="AU19">IF(M19="","",IF(ISNA(Slookup(MID(AN19,1,3)*1,UomConversion!$D$8:$J$500,2,UomConversion!$I$8:$I$500,1,UomConversion!$J$8:$J$500,1)),"",Slookup(MID(AN19,1,3)*1,UomConversion!$D$8:$J$500,2,UomConversion!$I$8:$I$500,1,UomConversion!$J$8:$J$500,1)))</f>
        <v/>
      </c>
      <c r="AV19" s="197" t="str">
        <f t="shared" ref="AV19" si="67">IF(M19="","",IF(quot_location_id=1,BA19,IF(quot_location_id=2,BB19,0)))</f>
        <v/>
      </c>
      <c r="AW19" s="197" t="str">
        <f>IF(M19="","",(SUMIFS('[1]1_group_totals'!$K$8:$K$10000,'[1]1_group_totals'!$C$8:$C$10000,I19,'[1]1_group_totals'!$F$8:$F$10000,quot_location_group_id,'[1]1_group_totals'!$G$8:$G$10000,quot_location_id,'[1]1_group_totals'!$H$8:$H$10000,"="&amp;Q19,'[1]1_group_totals'!$I$8:$I$10000,"="&amp;R19)+SUMIFS('[1]1_group_totals'!$N$8:$N$10000,'[1]1_group_totals'!$C$8:$C$10000,I19,'[1]1_group_totals'!$F$8:$F$10000,quot_location_group_id,'[1]1_group_totals'!$G$8:$G$10000,quot_location_id,'[1]1_group_totals'!$H$8:$H$10000,"="&amp;Q19,'[1]1_group_totals'!$I$8:$I$10000,"="&amp;R19)+SUMIFS('[1]1_group_totals'!$P$8:$P$10000,'[1]1_group_totals'!$C$8:$C$10000,I19,'[1]1_group_totals'!$F$8:$F$10000,quot_location_group_id,'[1]1_group_totals'!$G$8:$G$10000,quot_location_id,'[1]1_group_totals'!$H$8:$H$10000,"="&amp;Q19,'[1]1_group_totals'!$I$8:$I$10000,"="&amp;R19)+SUMIFS('[1]1_group_totals'!$Q$8:$Q$10000,'[1]1_group_totals'!$C$8:$C$10000,I19,'[1]1_group_totals'!$F$8:$F$10000,quot_location_group_id,'[1]1_group_totals'!$G$8:$G$10000,quot_location_id,'[1]1_group_totals'!$H$8:$H$10000,"="&amp;Q19,'[1]1_group_totals'!$I$8:$I$10000,"="&amp;R19))+(SUMIFS('[1]1_group_totals'!$L$8:$L$10000,'[1]1_group_totals'!$C$8:$C$10000,I19,'[1]1_group_totals'!$F$8:$F$10000,quot_location_group_id,'[1]1_group_totals'!$G$8:$G$10000,quot_location_id,'[1]1_group_totals'!$H$8:$H$10000,"="&amp;Q19,'[1]1_group_totals'!$I$8:$I$10000,"="&amp;R19)+SUMIFS('[1]1_group_totals'!$M$8:$M$10000,'[1]1_group_totals'!$C$8:$C$10000,I19,'[1]1_group_totals'!$F$8:$F$10000,quot_location_group_id,'[1]1_group_totals'!$G$8:$G$10000,quot_location_id,'[1]1_group_totals'!$H$8:$H$10000,"="&amp;Q19,'[1]1_group_totals'!$I$8:$I$10000,"="&amp;R19)+SUMIFS('[1]1_group_totals'!$O$8:$O$10000,'[1]1_group_totals'!$C$8:$C$10000,I19,'[1]1_group_totals'!$F$8:$F$10000,quot_location_group_id,'[1]1_group_totals'!$G$8:$G$10000,quot_location_id,'[1]1_group_totals'!$H$8:$H$10000,"="&amp;Q19,'[1]1_group_totals'!$I$8:$I$10000,"="&amp;R19)+SUMIFS('[1]1_group_totals'!$R$8:$R$10000,'[1]1_group_totals'!$C$8:$C$10000,I19,'[1]1_group_totals'!$F$8:$F$10000,quot_location_group_id,'[1]1_group_totals'!$G$8:$G$10000,quot_location_id,'[1]1_group_totals'!$H$8:$H$10000,"="&amp;Q19,'[1]1_group_totals'!$I$8:$I$10000,"="&amp;R19)))</f>
        <v/>
      </c>
      <c r="AX19" s="197" t="str">
        <f t="shared" si="23"/>
        <v/>
      </c>
      <c r="AY19" s="197" t="str">
        <f>IF(M19="","",SUMIFS($AX$8:AX19,$I$8:I19,I19))</f>
        <v/>
      </c>
      <c r="AZ19" s="197" t="str">
        <f t="shared" si="24"/>
        <v/>
      </c>
      <c r="BA19" s="197" t="str">
        <f>IF(M19="","",(SUMIFS('[1]1_inventory_totals'!$I$8:$I$10000,'[1]1_inventory_totals'!$C$8:$C$10000,I19,'[1]1_inventory_totals'!$F$8:$F$10000,"="&amp;Q19,'[1]1_inventory_totals'!$G$8:$G$10000,"="&amp;R19)+SUMIFS('[1]1_inventory_totals'!$N$8:$N$10000,'[1]1_inventory_totals'!$C$8:$C$10000,I19,'[1]1_inventory_totals'!$F$8:$F$10000,"="&amp;Q19,'[1]1_inventory_totals'!$G$8:$G$10000,"="&amp;R19)+SUMIFS('[1]1_inventory_totals'!$P$8:$P$10000,'[1]1_inventory_totals'!$C$8:$C$10000,I19,'[1]1_inventory_totals'!$F$8:$F$10000,"="&amp;Q19,'[1]1_inventory_totals'!$G$8:$G$10000,"="&amp;R19)+SUMIFS('[1]1_inventory_totals'!$Q$8:$Q$10000,'[1]1_inventory_totals'!$C$8:$C$10000,I19,'[1]1_inventory_totals'!$F$8:$F$10000,"="&amp;Q19,'[1]1_inventory_totals'!$G$8:$G$10000,"="&amp;R19)+SUMIFS('[1]1_inventory_totals'!$R$8:$R$10000,'[1]1_inventory_totals'!$C$8:$C$10000,I19,'[1]1_inventory_totals'!$F$8:$F$10000,"="&amp;Q19,'[1]1_inventory_totals'!$G$8:$G$10000,"="&amp;R19))+(SUMIFS('[1]1_inventory_totals'!$J$8:$J$10000,'[1]1_inventory_totals'!$C$8:$C$10000,I19,'[1]1_inventory_totals'!$F$8:$F$10000,"="&amp;Q19,'[1]1_inventory_totals'!$G$8:$G$10000,"="&amp;R19)+SUMIFS('[1]1_inventory_totals'!$K$8:$K$10000,'[1]1_inventory_totals'!$C$8:$C$10000,I19,'[1]1_inventory_totals'!$F$8:$F$10000,"="&amp;Q19,'[1]1_inventory_totals'!$G$8:$G$10000,"="&amp;R19)+SUMIFS('[1]1_inventory_totals'!$L$8:$L$10000,'[1]1_inventory_totals'!$C$8:$C$10000,I19,'[1]1_inventory_totals'!$F$8:$F$10000,"="&amp;Q19,'[1]1_inventory_totals'!$G$8:$G$10000,"="&amp;R19)+SUMIFS('[1]1_inventory_totals'!$M$8:$M$10000,'[1]1_inventory_totals'!$C$8:$C$10000,I19,'[1]1_inventory_totals'!$F$8:$F$10000,"="&amp;Q19,'[1]1_inventory_totals'!$G$8:$G$10000,"="&amp;R19)+SUMIFS('[1]1_inventory_totals'!$O$8:$O$10000,'[1]1_inventory_totals'!$C$8:$C$10000,I19,'[1]1_inventory_totals'!$F$8:$F$10000,"="&amp;Q19,'[1]1_inventory_totals'!$G$8:$G$10000,"="&amp;R19)+SUMIFS('[1]1_inventory_totals'!$S$8:$S$10000,'[1]1_inventory_totals'!$C$8:$C$10000,I19,'[1]1_inventory_totals'!$F$8:$F$10000,"="&amp;Q19,'[1]1_inventory_totals'!$G$8:$G$10000,"="&amp;R19)))</f>
        <v/>
      </c>
      <c r="BB19" s="197" t="str">
        <f>IF(M19="","",(SUMIFS('[1]2_inventory_totals'!$I$8:$I$10000,'[1]2_inventory_totals'!$C$8:$C$10000,I19,'[1]2_inventory_totals'!$F$8:$F$10000,"="&amp;Q19,'[1]2_inventory_totals'!$G$8:$G$10000,"="&amp;R19)+SUMIFS('[1]2_inventory_totals'!$N$8:$N$10000,'[1]2_inventory_totals'!$C$8:$C$10000,I19,'[1]2_inventory_totals'!$F$8:$F$10000,"="&amp;Q19,'[1]2_inventory_totals'!$G$8:$G$10000,"="&amp;R19)+SUMIFS('[1]2_inventory_totals'!$P$8:$P$10000,'[1]2_inventory_totals'!$C$8:$C$10000,I19,'[1]2_inventory_totals'!$F$8:$F$10000,"="&amp;Q19,'[1]2_inventory_totals'!$G$8:$G$10000,"="&amp;R19)+SUMIFS('[1]2_inventory_totals'!$Q$8:$Q$10000,'[1]2_inventory_totals'!$C$8:$C$10000,I19,'[1]2_inventory_totals'!$F$8:$F$10000,"="&amp;Q19,'[1]2_inventory_totals'!$G$8:$G$10000,"="&amp;R19)+SUMIFS('[1]2_inventory_totals'!$R$8:$R$10000,'[1]2_inventory_totals'!$C$8:$C$10000,I19,'[1]2_inventory_totals'!$F$8:$F$10000,"="&amp;Q19,'[1]2_inventory_totals'!$G$8:$G$10000,"="&amp;R19))+(SUMIFS('[1]2_inventory_totals'!$J$8:$J$10000,'[1]2_inventory_totals'!$C$8:$C$10000,I19,'[1]2_inventory_totals'!$F$8:$F$10000,"="&amp;Q19,'[1]2_inventory_totals'!$G$8:$G$10000,"="&amp;R19)+SUMIFS('[1]2_inventory_totals'!$K$8:$K$10000,'[1]2_inventory_totals'!$C$8:$C$10000,I19,'[1]2_inventory_totals'!$F$8:$F$10000,"="&amp;Q19,'[1]2_inventory_totals'!$G$8:$G$10000,"="&amp;R19)+SUMIFS('[1]2_inventory_totals'!$L$8:$L$10000,'[1]2_inventory_totals'!$C$8:$C$10000,I19,'[1]2_inventory_totals'!$F$8:$F$10000,"="&amp;Q19,'[1]2_inventory_totals'!$G$8:$G$10000,"="&amp;R19)+SUMIFS('[1]2_inventory_totals'!$M$8:$M$10000,'[1]2_inventory_totals'!$C$8:$C$10000,I19,'[1]2_inventory_totals'!$F$8:$F$10000,"="&amp;Q19,'[1]2_inventory_totals'!$G$8:$G$10000,"="&amp;R19)+SUMIFS('[1]2_inventory_totals'!$O$8:$O$10000,'[1]2_inventory_totals'!$C$8:$C$10000,I19,'[1]2_inventory_totals'!$F$8:$F$10000,"="&amp;Q19,'[1]2_inventory_totals'!$G$8:$G$10000,"="&amp;R19)+SUMIFS('[1]2_inventory_totals'!$S$8:$S$10000,'[1]2_inventory_totals'!$C$8:$C$10000,I19,'[1]2_inventory_totals'!$F$8:$F$10000,"="&amp;Q19,'[1]2_inventory_totals'!$G$8:$G$10000,"="&amp;R19)))</f>
        <v/>
      </c>
    </row>
    <row r="20" spans="1:54" ht="27" customHeight="1">
      <c r="A20" s="923"/>
      <c r="B20" s="1251"/>
      <c r="C20" s="1981" t="s">
        <v>3435</v>
      </c>
      <c r="D20" s="1982"/>
      <c r="E20" s="1983"/>
      <c r="F20" s="1252"/>
      <c r="I20" s="1610" t="str">
        <f t="shared" si="10"/>
        <v/>
      </c>
      <c r="J20" s="1611" t="str">
        <f t="shared" si="25"/>
        <v/>
      </c>
      <c r="K20" s="1612" t="str">
        <f t="shared" si="30"/>
        <v/>
      </c>
      <c r="L20" s="1613"/>
      <c r="M20" s="883"/>
      <c r="N20" s="884"/>
      <c r="O20" s="884"/>
      <c r="P20" s="885"/>
      <c r="Q20" s="886"/>
      <c r="R20" s="891"/>
      <c r="S20" s="1614" t="str">
        <f t="shared" ref="S20" si="68">IF(M20="","",quot_currency_symbol)</f>
        <v/>
      </c>
      <c r="T20" s="888"/>
      <c r="U20" s="1650" t="str">
        <f t="shared" si="13"/>
        <v/>
      </c>
      <c r="V20" s="1615" t="str">
        <f t="shared" ref="V20" si="69">IF(W20=0,"",quot_currency_symbol)</f>
        <v/>
      </c>
      <c r="W20" s="889"/>
      <c r="X20" s="1615" t="str">
        <f t="shared" ref="X20" si="70">IF(M20="","",quot_currency_symbol)</f>
        <v/>
      </c>
      <c r="Y20" s="1616" t="str">
        <f t="shared" si="34"/>
        <v/>
      </c>
      <c r="Z20" s="890"/>
      <c r="AA20" s="197" t="str" cm="1">
        <f t="array" ref="AA20">IF(M20="","",IF(P20=AN20,1,Slookup(MID(AN20,1,3)*1,UomConversion!$D$8:$J$500,5,UomConversion!$E$8:$E$500,MID(P20,1,3)*1,UomConversion!$J$8:$J$500,1)))</f>
        <v/>
      </c>
      <c r="AB20" s="197" t="str">
        <f t="shared" si="3"/>
        <v/>
      </c>
      <c r="AC20" s="197" t="str">
        <f t="shared" si="17"/>
        <v/>
      </c>
      <c r="AD20" s="197" t="str">
        <f t="shared" si="18"/>
        <v/>
      </c>
      <c r="AE20" s="197" t="str">
        <f t="shared" si="19"/>
        <v/>
      </c>
      <c r="AF20" s="197" t="str">
        <f t="shared" si="5"/>
        <v/>
      </c>
      <c r="AG20" s="197" t="str">
        <f t="shared" si="6"/>
        <v/>
      </c>
      <c r="AH20" s="197" t="str">
        <f>IF(I20="","",IF(ISNA(MATCH(I20,IF(quot_location_id=1,'[1]1_inventory_totals'!$C$8:$C$10000,IF(quot_location_id=2,'[1]2_inventory_totals'!$C$8:$C$10000,0)),0)),0,IF(AV20&gt;0,1,0)))</f>
        <v/>
      </c>
      <c r="AI20" s="197" t="str">
        <f>IF(M20="","",IF(quot_location_id=1,SUMIFS('[1]1_inventory_total_details'!$J$8:$J$10000,'[1]1_inventory_total_details'!$C$8:$C$10000,I20,'[1]1_inventory_total_details'!$F$8:$F$10000,quot_location_id,'[1]1_inventory_total_details'!$G$8:$G$10000,"="&amp;Q20,'[1]1_inventory_total_details'!$H$8:$H$10000,"="&amp;R20,'[1]1_inventory_total_details'!$I$8:$I$10000,"="&amp;quot_date)+SUMIFS('[1]1_inventory_total_details'!$M$8:$M$10000,'[1]1_inventory_total_details'!$C$8:$C$10000,I20,'[1]1_inventory_total_details'!$F$8:$F$10000,quot_location_id,'[1]1_inventory_total_details'!$G$8:$G$10000,"="&amp;Q20,'[1]1_inventory_total_details'!$H$8:$H$10000,"="&amp;R20,'[1]1_inventory_total_details'!$I$8:$I$10000,"="&amp;quot_date)+SUMIFS('[1]1_inventory_total_details'!$K$8:$K$10000,'[1]1_inventory_total_details'!$C$8:$C$10000,I20,'[1]1_inventory_total_details'!$F$8:$F$10000,quot_location_id,'[1]1_inventory_total_details'!$G$8:$G$10000,"="&amp;Q20,'[1]1_inventory_total_details'!$H$8:$H$10000,"="&amp;R20,'[1]1_inventory_total_details'!$I$8:$I$10000,"="&amp;quot_date)+SUMIFS('[1]1_inventory_total_details'!$L$8:$L$10000,'[1]1_inventory_total_details'!$C$8:$C$10000,I20,'[1]1_inventory_total_details'!$F$8:$F$10000,quot_location_id,'[1]1_inventory_total_details'!$G$8:$G$10000,"="&amp;Q20,'[1]1_inventory_total_details'!$H$8:$H$10000,"="&amp;R20,'[1]1_inventory_total_details'!$I$8:$I$10000,"="&amp;quot_date),SUMIFS('[1]2_inventory_total_details'!$J$8:$J$10000,'[1]2_inventory_total_details'!$C$8:$C$10000,I20,'[1]2_inventory_total_details'!$F$8:$F$10000,quot_location_id,'[1]2_inventory_total_details'!$G$8:$G$10000,"="&amp;Q20,'[1]2_inventory_total_details'!$H$8:$H$10000,"="&amp;R20,'[1]2_inventory_total_details'!$I$8:$I$10000,"="&amp;quot_date)+SUMIFS('[1]2_inventory_total_details'!$M$8:$M$10000,'[1]2_inventory_total_details'!$C$8:$C$10000,I20,'[1]2_inventory_total_details'!$F$8:$F$10000,quot_location_id,'[1]2_inventory_total_details'!$G$8:$G$10000,"="&amp;Q20,'[1]2_inventory_total_details'!$H$8:$H$10000,"="&amp;R20,'[1]2_inventory_total_details'!$I$8:$I$10000,"="&amp;quot_date)+SUMIFS('[1]2_inventory_total_details'!$K$8:$K$10000,'[1]2_inventory_total_details'!$C$8:$C$10000,I20,'[1]2_inventory_total_details'!$F$8:$F$10000,quot_location_id,'[1]2_inventory_total_details'!$G$8:$G$10000,"="&amp;Q20,'[1]2_inventory_total_details'!$H$8:$H$10000,"="&amp;R20,'[1]2_inventory_total_details'!$I$8:$I$10000,"="&amp;quot_date)+SUMIFS('[1]2_inventory_total_details'!$L$8:$L$10000,'[1]2_inventory_total_details'!$C$8:$C$10000,I20,'[1]2_inventory_total_details'!$F$8:$F$10000,quot_location_id,'[1]2_inventory_total_details'!$G$8:$G$10000,"="&amp;Q20,'[1]2_inventory_total_details'!$H$8:$H$10000,"="&amp;R20,'[1]2_inventory_total_details'!$I$8:$I$10000,"="&amp;quot_date)))</f>
        <v/>
      </c>
      <c r="AJ20" s="197" t="str">
        <f>IF(M20="","",IF(ISNA(MATCH(I20,'[1]1_group_totals'!$C$8:$C$10000)),0,IF(AW20&gt;0,1,0)))</f>
        <v/>
      </c>
      <c r="AK20" s="197" t="str">
        <f>IF(M20="","",(SUMIFS('[1]1_group_total_details'!$I$8:$I$10000,'[1]1_group_total_details'!$C$8:$C$10000,I20,'[1]1_group_total_details'!$F$8:$F$10000,quot_location_group_id,'[1]1_group_total_details'!$G$8:$G$10000,quot_location_id,'[1]1_group_total_details'!$H$8:$H$10000,"="&amp;quot_date)+SUMIFS('[1]1_group_total_details'!$L$8:$L$10000,'[1]1_group_total_details'!$C$8:$C$10000,I20,'[1]1_group_total_details'!$F$8:$F$10000,quot_location_group_id,'[1]1_group_total_details'!$G$8:$G$10000,quot_location_id,'[1]1_group_total_details'!$H$8:$H$10000,"="&amp;quot_date)+SUMIFS('[1]1_group_total_details'!$N$8:$N$10000,'[1]1_group_total_details'!$C$8:$C$10000,I20,'[1]1_group_total_details'!$F$8:$F$10000,quot_location_group_id,'[1]1_group_total_details'!$G$8:$G$10000,quot_location_id,'[1]1_group_total_details'!$H$8:$H$10000,"="&amp;quot_date)+SUMIFS('[1]1_group_total_details'!$O$8:$O$10000,'[1]1_group_total_details'!$C$8:$C$10000,I20,'[1]1_group_total_details'!$F$8:$F$10000,quot_location_group_id,'[1]1_group_total_details'!$G$8:$G$10000,quot_location_id,'[1]1_group_total_details'!$H$8:$H$10000,"="&amp;quot_date))+(SUMIFS('[1]1_group_total_details'!$J$8:$J$10000,'[1]1_group_total_details'!$C$8:$C$10000,I20,'[1]1_group_total_details'!$F$8:$F$10000,quot_location_group_id,'[1]1_group_total_details'!$G$8:$G$10000,quot_location_id,'[1]1_group_total_details'!$H$8:$H$10000,"="&amp;quot_date)+SUMIFS('[1]1_group_total_details'!$K$8:$K$10000,'[1]1_group_total_details'!$C$8:$C$10000,I20,'[1]1_group_total_details'!$F$8:$F$10000,quot_location_group_id,'[1]1_group_total_details'!$G$8:$G$10000,quot_location_id,'[1]1_group_total_details'!$H$8:$H$10000,"="&amp;quot_date)+SUMIFS('[1]1_group_total_details'!$M$8:$M$10000,'[1]1_group_total_details'!$C$8:$C$10000,I20,'[1]1_group_total_details'!$F$8:$F$10000,quot_location_group_id,'[1]1_group_total_details'!$G$8:$G$10000,quot_location_id,'[1]1_group_total_details'!$H$8:$H$10000,"="&amp;quot_date)+SUMIFS('[1]1_group_total_details'!$P$8:$P$10000,'[1]1_group_total_details'!$C$8:$C$10000,I20,'[1]1_group_total_details'!$F$8:$F$10000,quot_location_group_id,'[1]1_group_total_details'!$G$8:$G$10000,quot_location_id,'[1]1_group_total_details'!$H$8:$H$10000,"="&amp;quot_date)))</f>
        <v/>
      </c>
      <c r="AL20" s="197" t="str">
        <f>IF(M20="","",(SUMIFS('[1]1_group_total_details'!$I$8:$I$10000,'[1]1_group_total_details'!$C$8:$C$10000,I20,'[1]1_group_total_details'!$F$8:$F$10000,quot_location_group_id,'[1]1_group_total_details'!$G$8:$G$10000,quot_location_id,'[1]1_group_total_details'!$H$8:$H$10000,"&lt;="&amp;quot_date)+SUMIFS('[1]1_group_total_details'!$L$8:$L$10000,'[1]1_group_total_details'!$C$8:$C$10000,I20,'[1]1_group_total_details'!$F$8:$F$10000,quot_location_group_id,'[1]1_group_total_details'!$G$8:$G$10000,1,'[1]1_group_total_details'!$H$8:$H$10000,"&lt;="&amp;quot_date)+SUMIFS('[1]1_group_total_details'!$N$8:$N$10000,'[1]1_group_total_details'!$C$8:$C$10000,I20,'[1]1_group_total_details'!$F$8:$F$10000,quot_location_group_id,'[1]1_group_total_details'!$G$8:$G$10000,quot_location_id,'[1]1_group_total_details'!$H$8:$H$10000,"&lt;="&amp;quot_date)+SUMIFS('[1]1_group_total_details'!$O$8:$O$10000,'[1]1_group_total_details'!$C$8:$C$10000,I20,'[1]1_group_total_details'!$F$8:$F$10000,quot_location_group_id,'[1]1_group_total_details'!$G$8:$G$10000,quot_location_id,'[1]1_group_total_details'!$H$8:$H$10000,"&lt;="&amp;quot_date))-(SUMIFS('[1]1_group_total_details'!$J$8:$J$10000,'[1]1_group_total_details'!$C$8:$C$10000,I20,'[1]1_group_total_details'!$F$8:$F$10000,quot_location_group_id,'[1]1_group_total_details'!$G$8:$G$10000,quot_location_id,'[1]1_group_total_details'!$H$8:$H$10000,"&lt;="&amp;quot_date)+SUMIFS('[1]1_group_total_details'!$K$8:$K$10000,'[1]1_group_total_details'!$C$8:$C$10000,I20,'[1]1_group_total_details'!$F$8:$F$10000,quot_location_group_id,'[1]1_group_total_details'!$G$8:$G$10000,quot_location_id,'[1]1_group_total_details'!$H$8:$H$10000,"&lt;="&amp;quot_date)+SUMIFS('[1]1_group_total_details'!$M$8:$M$10000,'[1]1_group_total_details'!$C$8:$C$10000,I20,'[1]1_group_total_details'!$F$8:$F$10000,quot_location_group_id,'[1]1_group_total_details'!$G$8:$G$10000,quot_location_id,'[1]1_group_total_details'!$H$8:$H$10000,"&lt;="&amp;quot_date)+SUMIFS('[1]1_group_total_details'!$P$8:$P$10000,'[1]1_group_total_details'!$C$8:$C$10000,I20,'[1]1_group_total_details'!$F$8:$F$10000,quot_location_group_id,'[1]1_group_total_details'!$G$8:$G$10000,quot_location_id,'[1]1_group_total_details'!$H$8:$H$10000,"&lt;="&amp;quot_date)))</f>
        <v/>
      </c>
      <c r="AM20" s="197" t="str">
        <f>IF(M20="","",SUMIFS('[1]1_group_totals'!$J$8:$J$10000,'[1]1_group_totals'!$C$8:$C$10000,I20,'[1]1_group_totals'!$F$8:$F$10000,quot_location_group_id,'[1]1_group_totals'!$G$8:$G$10000,quot_location_id,'[1]1_group_totals'!$H$8:$H$10000,"="&amp;Q20,'[1]1_group_totals'!$I$8:$I$10000,"="&amp;R20))</f>
        <v/>
      </c>
      <c r="AN20" s="197" t="str">
        <f t="shared" si="7"/>
        <v/>
      </c>
      <c r="AO20" s="197" t="str">
        <f>IF(OR(ISNA(MATCH(MID(AN20,1,3)*1,UomConversion!$D$8:$D$500,0)),M20=""),"",IF(AT20="","",AT20))</f>
        <v/>
      </c>
      <c r="AP20" s="197" t="str">
        <f>IF(AND(AQ20&gt;0,COUNTIFS(UomConversion!$D$8:$D$500,MID(AN20,1,3)*1,UomConversion!$J$8:$J$500,1)&gt;1),TEXT(AQ20,"000")&amp;"."&amp;VLOOKUP(AQ20,uom_list,5,FALSE),"")</f>
        <v/>
      </c>
      <c r="AQ20" s="197" t="str">
        <f t="shared" si="20"/>
        <v/>
      </c>
      <c r="AR20" s="197" t="str">
        <f t="shared" si="21"/>
        <v/>
      </c>
      <c r="AS20" s="197" t="str">
        <f>IF(M20="","",SUMIFS(ProductPrice!$N$28:$N$10020,ProductPrice!$D$28:$D$10020,I20,ProductPrice!$G$28:$G$10020,quot_branch_id,ProductPrice!$H$28:$H$10020,quot_price_type_id,ProductPrice!$I$28:$I$10020,MID(P20,1,3)*1,ProductPrice!$Q$28:$Q$10020,1))</f>
        <v/>
      </c>
      <c r="AT20" s="197" t="str">
        <f t="shared" si="8"/>
        <v/>
      </c>
      <c r="AU20" s="197" t="str" cm="1">
        <f t="array" ref="AU20">IF(M20="","",IF(ISNA(Slookup(MID(AN20,1,3)*1,UomConversion!$D$8:$J$500,2,UomConversion!$I$8:$I$500,1,UomConversion!$J$8:$J$500,1)),"",Slookup(MID(AN20,1,3)*1,UomConversion!$D$8:$J$500,2,UomConversion!$I$8:$I$500,1,UomConversion!$J$8:$J$500,1)))</f>
        <v/>
      </c>
      <c r="AV20" s="197" t="str">
        <f t="shared" ref="AV20" si="71">IF(M20="","",IF(quot_location_id=1,BA20,IF(quot_location_id=2,BB20,0)))</f>
        <v/>
      </c>
      <c r="AW20" s="197" t="str">
        <f>IF(M20="","",(SUMIFS('[1]1_group_totals'!$K$8:$K$10000,'[1]1_group_totals'!$C$8:$C$10000,I20,'[1]1_group_totals'!$F$8:$F$10000,quot_location_group_id,'[1]1_group_totals'!$G$8:$G$10000,quot_location_id,'[1]1_group_totals'!$H$8:$H$10000,"="&amp;Q20,'[1]1_group_totals'!$I$8:$I$10000,"="&amp;R20)+SUMIFS('[1]1_group_totals'!$N$8:$N$10000,'[1]1_group_totals'!$C$8:$C$10000,I20,'[1]1_group_totals'!$F$8:$F$10000,quot_location_group_id,'[1]1_group_totals'!$G$8:$G$10000,quot_location_id,'[1]1_group_totals'!$H$8:$H$10000,"="&amp;Q20,'[1]1_group_totals'!$I$8:$I$10000,"="&amp;R20)+SUMIFS('[1]1_group_totals'!$P$8:$P$10000,'[1]1_group_totals'!$C$8:$C$10000,I20,'[1]1_group_totals'!$F$8:$F$10000,quot_location_group_id,'[1]1_group_totals'!$G$8:$G$10000,quot_location_id,'[1]1_group_totals'!$H$8:$H$10000,"="&amp;Q20,'[1]1_group_totals'!$I$8:$I$10000,"="&amp;R20)+SUMIFS('[1]1_group_totals'!$Q$8:$Q$10000,'[1]1_group_totals'!$C$8:$C$10000,I20,'[1]1_group_totals'!$F$8:$F$10000,quot_location_group_id,'[1]1_group_totals'!$G$8:$G$10000,quot_location_id,'[1]1_group_totals'!$H$8:$H$10000,"="&amp;Q20,'[1]1_group_totals'!$I$8:$I$10000,"="&amp;R20))+(SUMIFS('[1]1_group_totals'!$L$8:$L$10000,'[1]1_group_totals'!$C$8:$C$10000,I20,'[1]1_group_totals'!$F$8:$F$10000,quot_location_group_id,'[1]1_group_totals'!$G$8:$G$10000,quot_location_id,'[1]1_group_totals'!$H$8:$H$10000,"="&amp;Q20,'[1]1_group_totals'!$I$8:$I$10000,"="&amp;R20)+SUMIFS('[1]1_group_totals'!$M$8:$M$10000,'[1]1_group_totals'!$C$8:$C$10000,I20,'[1]1_group_totals'!$F$8:$F$10000,quot_location_group_id,'[1]1_group_totals'!$G$8:$G$10000,quot_location_id,'[1]1_group_totals'!$H$8:$H$10000,"="&amp;Q20,'[1]1_group_totals'!$I$8:$I$10000,"="&amp;R20)+SUMIFS('[1]1_group_totals'!$O$8:$O$10000,'[1]1_group_totals'!$C$8:$C$10000,I20,'[1]1_group_totals'!$F$8:$F$10000,quot_location_group_id,'[1]1_group_totals'!$G$8:$G$10000,quot_location_id,'[1]1_group_totals'!$H$8:$H$10000,"="&amp;Q20,'[1]1_group_totals'!$I$8:$I$10000,"="&amp;R20)+SUMIFS('[1]1_group_totals'!$R$8:$R$10000,'[1]1_group_totals'!$C$8:$C$10000,I20,'[1]1_group_totals'!$F$8:$F$10000,quot_location_group_id,'[1]1_group_totals'!$G$8:$G$10000,quot_location_id,'[1]1_group_totals'!$H$8:$H$10000,"="&amp;Q20,'[1]1_group_totals'!$I$8:$I$10000,"="&amp;R20)))</f>
        <v/>
      </c>
      <c r="AX20" s="197" t="str">
        <f t="shared" si="23"/>
        <v/>
      </c>
      <c r="AY20" s="197" t="str">
        <f>IF(M20="","",SUMIFS($AX$8:AX20,$I$8:I20,I20))</f>
        <v/>
      </c>
      <c r="AZ20" s="197" t="str">
        <f t="shared" si="24"/>
        <v/>
      </c>
      <c r="BA20" s="197" t="str">
        <f>IF(M20="","",(SUMIFS('[1]1_inventory_totals'!$I$8:$I$10000,'[1]1_inventory_totals'!$C$8:$C$10000,I20,'[1]1_inventory_totals'!$F$8:$F$10000,"="&amp;Q20,'[1]1_inventory_totals'!$G$8:$G$10000,"="&amp;R20)+SUMIFS('[1]1_inventory_totals'!$N$8:$N$10000,'[1]1_inventory_totals'!$C$8:$C$10000,I20,'[1]1_inventory_totals'!$F$8:$F$10000,"="&amp;Q20,'[1]1_inventory_totals'!$G$8:$G$10000,"="&amp;R20)+SUMIFS('[1]1_inventory_totals'!$P$8:$P$10000,'[1]1_inventory_totals'!$C$8:$C$10000,I20,'[1]1_inventory_totals'!$F$8:$F$10000,"="&amp;Q20,'[1]1_inventory_totals'!$G$8:$G$10000,"="&amp;R20)+SUMIFS('[1]1_inventory_totals'!$Q$8:$Q$10000,'[1]1_inventory_totals'!$C$8:$C$10000,I20,'[1]1_inventory_totals'!$F$8:$F$10000,"="&amp;Q20,'[1]1_inventory_totals'!$G$8:$G$10000,"="&amp;R20)+SUMIFS('[1]1_inventory_totals'!$R$8:$R$10000,'[1]1_inventory_totals'!$C$8:$C$10000,I20,'[1]1_inventory_totals'!$F$8:$F$10000,"="&amp;Q20,'[1]1_inventory_totals'!$G$8:$G$10000,"="&amp;R20))+(SUMIFS('[1]1_inventory_totals'!$J$8:$J$10000,'[1]1_inventory_totals'!$C$8:$C$10000,I20,'[1]1_inventory_totals'!$F$8:$F$10000,"="&amp;Q20,'[1]1_inventory_totals'!$G$8:$G$10000,"="&amp;R20)+SUMIFS('[1]1_inventory_totals'!$K$8:$K$10000,'[1]1_inventory_totals'!$C$8:$C$10000,I20,'[1]1_inventory_totals'!$F$8:$F$10000,"="&amp;Q20,'[1]1_inventory_totals'!$G$8:$G$10000,"="&amp;R20)+SUMIFS('[1]1_inventory_totals'!$L$8:$L$10000,'[1]1_inventory_totals'!$C$8:$C$10000,I20,'[1]1_inventory_totals'!$F$8:$F$10000,"="&amp;Q20,'[1]1_inventory_totals'!$G$8:$G$10000,"="&amp;R20)+SUMIFS('[1]1_inventory_totals'!$M$8:$M$10000,'[1]1_inventory_totals'!$C$8:$C$10000,I20,'[1]1_inventory_totals'!$F$8:$F$10000,"="&amp;Q20,'[1]1_inventory_totals'!$G$8:$G$10000,"="&amp;R20)+SUMIFS('[1]1_inventory_totals'!$O$8:$O$10000,'[1]1_inventory_totals'!$C$8:$C$10000,I20,'[1]1_inventory_totals'!$F$8:$F$10000,"="&amp;Q20,'[1]1_inventory_totals'!$G$8:$G$10000,"="&amp;R20)+SUMIFS('[1]1_inventory_totals'!$S$8:$S$10000,'[1]1_inventory_totals'!$C$8:$C$10000,I20,'[1]1_inventory_totals'!$F$8:$F$10000,"="&amp;Q20,'[1]1_inventory_totals'!$G$8:$G$10000,"="&amp;R20)))</f>
        <v/>
      </c>
      <c r="BB20" s="197" t="str">
        <f>IF(M20="","",(SUMIFS('[1]2_inventory_totals'!$I$8:$I$10000,'[1]2_inventory_totals'!$C$8:$C$10000,I20,'[1]2_inventory_totals'!$F$8:$F$10000,"="&amp;Q20,'[1]2_inventory_totals'!$G$8:$G$10000,"="&amp;R20)+SUMIFS('[1]2_inventory_totals'!$N$8:$N$10000,'[1]2_inventory_totals'!$C$8:$C$10000,I20,'[1]2_inventory_totals'!$F$8:$F$10000,"="&amp;Q20,'[1]2_inventory_totals'!$G$8:$G$10000,"="&amp;R20)+SUMIFS('[1]2_inventory_totals'!$P$8:$P$10000,'[1]2_inventory_totals'!$C$8:$C$10000,I20,'[1]2_inventory_totals'!$F$8:$F$10000,"="&amp;Q20,'[1]2_inventory_totals'!$G$8:$G$10000,"="&amp;R20)+SUMIFS('[1]2_inventory_totals'!$Q$8:$Q$10000,'[1]2_inventory_totals'!$C$8:$C$10000,I20,'[1]2_inventory_totals'!$F$8:$F$10000,"="&amp;Q20,'[1]2_inventory_totals'!$G$8:$G$10000,"="&amp;R20)+SUMIFS('[1]2_inventory_totals'!$R$8:$R$10000,'[1]2_inventory_totals'!$C$8:$C$10000,I20,'[1]2_inventory_totals'!$F$8:$F$10000,"="&amp;Q20,'[1]2_inventory_totals'!$G$8:$G$10000,"="&amp;R20))+(SUMIFS('[1]2_inventory_totals'!$J$8:$J$10000,'[1]2_inventory_totals'!$C$8:$C$10000,I20,'[1]2_inventory_totals'!$F$8:$F$10000,"="&amp;Q20,'[1]2_inventory_totals'!$G$8:$G$10000,"="&amp;R20)+SUMIFS('[1]2_inventory_totals'!$K$8:$K$10000,'[1]2_inventory_totals'!$C$8:$C$10000,I20,'[1]2_inventory_totals'!$F$8:$F$10000,"="&amp;Q20,'[1]2_inventory_totals'!$G$8:$G$10000,"="&amp;R20)+SUMIFS('[1]2_inventory_totals'!$L$8:$L$10000,'[1]2_inventory_totals'!$C$8:$C$10000,I20,'[1]2_inventory_totals'!$F$8:$F$10000,"="&amp;Q20,'[1]2_inventory_totals'!$G$8:$G$10000,"="&amp;R20)+SUMIFS('[1]2_inventory_totals'!$M$8:$M$10000,'[1]2_inventory_totals'!$C$8:$C$10000,I20,'[1]2_inventory_totals'!$F$8:$F$10000,"="&amp;Q20,'[1]2_inventory_totals'!$G$8:$G$10000,"="&amp;R20)+SUMIFS('[1]2_inventory_totals'!$O$8:$O$10000,'[1]2_inventory_totals'!$C$8:$C$10000,I20,'[1]2_inventory_totals'!$F$8:$F$10000,"="&amp;Q20,'[1]2_inventory_totals'!$G$8:$G$10000,"="&amp;R20)+SUMIFS('[1]2_inventory_totals'!$S$8:$S$10000,'[1]2_inventory_totals'!$C$8:$C$10000,I20,'[1]2_inventory_totals'!$F$8:$F$10000,"="&amp;Q20,'[1]2_inventory_totals'!$G$8:$G$10000,"="&amp;R20)))</f>
        <v/>
      </c>
    </row>
    <row r="21" spans="1:54" ht="27" customHeight="1" thickBot="1">
      <c r="A21" s="923"/>
      <c r="B21" s="1251"/>
      <c r="C21" s="1984"/>
      <c r="D21" s="1985"/>
      <c r="E21" s="1986"/>
      <c r="F21" s="1262"/>
      <c r="I21" s="1610" t="str">
        <f t="shared" si="10"/>
        <v/>
      </c>
      <c r="J21" s="1611" t="str">
        <f t="shared" si="25"/>
        <v/>
      </c>
      <c r="K21" s="1612" t="str">
        <f t="shared" si="30"/>
        <v/>
      </c>
      <c r="L21" s="1613"/>
      <c r="M21" s="883"/>
      <c r="N21" s="884"/>
      <c r="O21" s="884"/>
      <c r="P21" s="885"/>
      <c r="Q21" s="886"/>
      <c r="R21" s="891"/>
      <c r="S21" s="1614" t="str">
        <f t="shared" ref="S21" si="72">IF(M21="","",quot_currency_symbol)</f>
        <v/>
      </c>
      <c r="T21" s="888"/>
      <c r="U21" s="1650" t="str">
        <f t="shared" si="13"/>
        <v/>
      </c>
      <c r="V21" s="1615" t="str">
        <f t="shared" ref="V21" si="73">IF(W21=0,"",quot_currency_symbol)</f>
        <v/>
      </c>
      <c r="W21" s="889"/>
      <c r="X21" s="1615" t="str">
        <f t="shared" ref="X21" si="74">IF(M21="","",quot_currency_symbol)</f>
        <v/>
      </c>
      <c r="Y21" s="1616" t="str">
        <f t="shared" si="34"/>
        <v/>
      </c>
      <c r="Z21" s="890"/>
      <c r="AA21" s="197" t="str" cm="1">
        <f t="array" ref="AA21">IF(M21="","",IF(P21=AN21,1,Slookup(MID(AN21,1,3)*1,UomConversion!$D$8:$J$500,5,UomConversion!$E$8:$E$500,MID(P21,1,3)*1,UomConversion!$J$8:$J$500,1)))</f>
        <v/>
      </c>
      <c r="AB21" s="197" t="str">
        <f t="shared" si="3"/>
        <v/>
      </c>
      <c r="AC21" s="197" t="str">
        <f t="shared" si="17"/>
        <v/>
      </c>
      <c r="AD21" s="197" t="str">
        <f t="shared" si="18"/>
        <v/>
      </c>
      <c r="AE21" s="197" t="str">
        <f t="shared" si="19"/>
        <v/>
      </c>
      <c r="AF21" s="197" t="str">
        <f t="shared" si="5"/>
        <v/>
      </c>
      <c r="AG21" s="197" t="str">
        <f t="shared" si="6"/>
        <v/>
      </c>
      <c r="AH21" s="197" t="str">
        <f>IF(I21="","",IF(ISNA(MATCH(I21,IF(quot_location_id=1,'[1]1_inventory_totals'!$C$8:$C$10000,IF(quot_location_id=2,'[1]2_inventory_totals'!$C$8:$C$10000,0)),0)),0,IF(AV21&gt;0,1,0)))</f>
        <v/>
      </c>
      <c r="AI21" s="197" t="str">
        <f>IF(M21="","",IF(quot_location_id=1,SUMIFS('[1]1_inventory_total_details'!$J$8:$J$10000,'[1]1_inventory_total_details'!$C$8:$C$10000,I21,'[1]1_inventory_total_details'!$F$8:$F$10000,quot_location_id,'[1]1_inventory_total_details'!$G$8:$G$10000,"="&amp;Q21,'[1]1_inventory_total_details'!$H$8:$H$10000,"="&amp;R21,'[1]1_inventory_total_details'!$I$8:$I$10000,"="&amp;quot_date)+SUMIFS('[1]1_inventory_total_details'!$M$8:$M$10000,'[1]1_inventory_total_details'!$C$8:$C$10000,I21,'[1]1_inventory_total_details'!$F$8:$F$10000,quot_location_id,'[1]1_inventory_total_details'!$G$8:$G$10000,"="&amp;Q21,'[1]1_inventory_total_details'!$H$8:$H$10000,"="&amp;R21,'[1]1_inventory_total_details'!$I$8:$I$10000,"="&amp;quot_date)+SUMIFS('[1]1_inventory_total_details'!$K$8:$K$10000,'[1]1_inventory_total_details'!$C$8:$C$10000,I21,'[1]1_inventory_total_details'!$F$8:$F$10000,quot_location_id,'[1]1_inventory_total_details'!$G$8:$G$10000,"="&amp;Q21,'[1]1_inventory_total_details'!$H$8:$H$10000,"="&amp;R21,'[1]1_inventory_total_details'!$I$8:$I$10000,"="&amp;quot_date)+SUMIFS('[1]1_inventory_total_details'!$L$8:$L$10000,'[1]1_inventory_total_details'!$C$8:$C$10000,I21,'[1]1_inventory_total_details'!$F$8:$F$10000,quot_location_id,'[1]1_inventory_total_details'!$G$8:$G$10000,"="&amp;Q21,'[1]1_inventory_total_details'!$H$8:$H$10000,"="&amp;R21,'[1]1_inventory_total_details'!$I$8:$I$10000,"="&amp;quot_date),SUMIFS('[1]2_inventory_total_details'!$J$8:$J$10000,'[1]2_inventory_total_details'!$C$8:$C$10000,I21,'[1]2_inventory_total_details'!$F$8:$F$10000,quot_location_id,'[1]2_inventory_total_details'!$G$8:$G$10000,"="&amp;Q21,'[1]2_inventory_total_details'!$H$8:$H$10000,"="&amp;R21,'[1]2_inventory_total_details'!$I$8:$I$10000,"="&amp;quot_date)+SUMIFS('[1]2_inventory_total_details'!$M$8:$M$10000,'[1]2_inventory_total_details'!$C$8:$C$10000,I21,'[1]2_inventory_total_details'!$F$8:$F$10000,quot_location_id,'[1]2_inventory_total_details'!$G$8:$G$10000,"="&amp;Q21,'[1]2_inventory_total_details'!$H$8:$H$10000,"="&amp;R21,'[1]2_inventory_total_details'!$I$8:$I$10000,"="&amp;quot_date)+SUMIFS('[1]2_inventory_total_details'!$K$8:$K$10000,'[1]2_inventory_total_details'!$C$8:$C$10000,I21,'[1]2_inventory_total_details'!$F$8:$F$10000,quot_location_id,'[1]2_inventory_total_details'!$G$8:$G$10000,"="&amp;Q21,'[1]2_inventory_total_details'!$H$8:$H$10000,"="&amp;R21,'[1]2_inventory_total_details'!$I$8:$I$10000,"="&amp;quot_date)+SUMIFS('[1]2_inventory_total_details'!$L$8:$L$10000,'[1]2_inventory_total_details'!$C$8:$C$10000,I21,'[1]2_inventory_total_details'!$F$8:$F$10000,quot_location_id,'[1]2_inventory_total_details'!$G$8:$G$10000,"="&amp;Q21,'[1]2_inventory_total_details'!$H$8:$H$10000,"="&amp;R21,'[1]2_inventory_total_details'!$I$8:$I$10000,"="&amp;quot_date)))</f>
        <v/>
      </c>
      <c r="AJ21" s="197" t="str">
        <f>IF(M21="","",IF(ISNA(MATCH(I21,'[1]1_group_totals'!$C$8:$C$10000)),0,IF(AW21&gt;0,1,0)))</f>
        <v/>
      </c>
      <c r="AK21" s="197" t="str">
        <f>IF(M21="","",(SUMIFS('[1]1_group_total_details'!$I$8:$I$10000,'[1]1_group_total_details'!$C$8:$C$10000,I21,'[1]1_group_total_details'!$F$8:$F$10000,quot_location_group_id,'[1]1_group_total_details'!$G$8:$G$10000,quot_location_id,'[1]1_group_total_details'!$H$8:$H$10000,"="&amp;quot_date)+SUMIFS('[1]1_group_total_details'!$L$8:$L$10000,'[1]1_group_total_details'!$C$8:$C$10000,I21,'[1]1_group_total_details'!$F$8:$F$10000,quot_location_group_id,'[1]1_group_total_details'!$G$8:$G$10000,quot_location_id,'[1]1_group_total_details'!$H$8:$H$10000,"="&amp;quot_date)+SUMIFS('[1]1_group_total_details'!$N$8:$N$10000,'[1]1_group_total_details'!$C$8:$C$10000,I21,'[1]1_group_total_details'!$F$8:$F$10000,quot_location_group_id,'[1]1_group_total_details'!$G$8:$G$10000,quot_location_id,'[1]1_group_total_details'!$H$8:$H$10000,"="&amp;quot_date)+SUMIFS('[1]1_group_total_details'!$O$8:$O$10000,'[1]1_group_total_details'!$C$8:$C$10000,I21,'[1]1_group_total_details'!$F$8:$F$10000,quot_location_group_id,'[1]1_group_total_details'!$G$8:$G$10000,quot_location_id,'[1]1_group_total_details'!$H$8:$H$10000,"="&amp;quot_date))+(SUMIFS('[1]1_group_total_details'!$J$8:$J$10000,'[1]1_group_total_details'!$C$8:$C$10000,I21,'[1]1_group_total_details'!$F$8:$F$10000,quot_location_group_id,'[1]1_group_total_details'!$G$8:$G$10000,quot_location_id,'[1]1_group_total_details'!$H$8:$H$10000,"="&amp;quot_date)+SUMIFS('[1]1_group_total_details'!$K$8:$K$10000,'[1]1_group_total_details'!$C$8:$C$10000,I21,'[1]1_group_total_details'!$F$8:$F$10000,quot_location_group_id,'[1]1_group_total_details'!$G$8:$G$10000,quot_location_id,'[1]1_group_total_details'!$H$8:$H$10000,"="&amp;quot_date)+SUMIFS('[1]1_group_total_details'!$M$8:$M$10000,'[1]1_group_total_details'!$C$8:$C$10000,I21,'[1]1_group_total_details'!$F$8:$F$10000,quot_location_group_id,'[1]1_group_total_details'!$G$8:$G$10000,quot_location_id,'[1]1_group_total_details'!$H$8:$H$10000,"="&amp;quot_date)+SUMIFS('[1]1_group_total_details'!$P$8:$P$10000,'[1]1_group_total_details'!$C$8:$C$10000,I21,'[1]1_group_total_details'!$F$8:$F$10000,quot_location_group_id,'[1]1_group_total_details'!$G$8:$G$10000,quot_location_id,'[1]1_group_total_details'!$H$8:$H$10000,"="&amp;quot_date)))</f>
        <v/>
      </c>
      <c r="AL21" s="197" t="str">
        <f>IF(M21="","",(SUMIFS('[1]1_group_total_details'!$I$8:$I$10000,'[1]1_group_total_details'!$C$8:$C$10000,I21,'[1]1_group_total_details'!$F$8:$F$10000,quot_location_group_id,'[1]1_group_total_details'!$G$8:$G$10000,quot_location_id,'[1]1_group_total_details'!$H$8:$H$10000,"&lt;="&amp;quot_date)+SUMIFS('[1]1_group_total_details'!$L$8:$L$10000,'[1]1_group_total_details'!$C$8:$C$10000,I21,'[1]1_group_total_details'!$F$8:$F$10000,quot_location_group_id,'[1]1_group_total_details'!$G$8:$G$10000,1,'[1]1_group_total_details'!$H$8:$H$10000,"&lt;="&amp;quot_date)+SUMIFS('[1]1_group_total_details'!$N$8:$N$10000,'[1]1_group_total_details'!$C$8:$C$10000,I21,'[1]1_group_total_details'!$F$8:$F$10000,quot_location_group_id,'[1]1_group_total_details'!$G$8:$G$10000,quot_location_id,'[1]1_group_total_details'!$H$8:$H$10000,"&lt;="&amp;quot_date)+SUMIFS('[1]1_group_total_details'!$O$8:$O$10000,'[1]1_group_total_details'!$C$8:$C$10000,I21,'[1]1_group_total_details'!$F$8:$F$10000,quot_location_group_id,'[1]1_group_total_details'!$G$8:$G$10000,quot_location_id,'[1]1_group_total_details'!$H$8:$H$10000,"&lt;="&amp;quot_date))-(SUMIFS('[1]1_group_total_details'!$J$8:$J$10000,'[1]1_group_total_details'!$C$8:$C$10000,I21,'[1]1_group_total_details'!$F$8:$F$10000,quot_location_group_id,'[1]1_group_total_details'!$G$8:$G$10000,quot_location_id,'[1]1_group_total_details'!$H$8:$H$10000,"&lt;="&amp;quot_date)+SUMIFS('[1]1_group_total_details'!$K$8:$K$10000,'[1]1_group_total_details'!$C$8:$C$10000,I21,'[1]1_group_total_details'!$F$8:$F$10000,quot_location_group_id,'[1]1_group_total_details'!$G$8:$G$10000,quot_location_id,'[1]1_group_total_details'!$H$8:$H$10000,"&lt;="&amp;quot_date)+SUMIFS('[1]1_group_total_details'!$M$8:$M$10000,'[1]1_group_total_details'!$C$8:$C$10000,I21,'[1]1_group_total_details'!$F$8:$F$10000,quot_location_group_id,'[1]1_group_total_details'!$G$8:$G$10000,quot_location_id,'[1]1_group_total_details'!$H$8:$H$10000,"&lt;="&amp;quot_date)+SUMIFS('[1]1_group_total_details'!$P$8:$P$10000,'[1]1_group_total_details'!$C$8:$C$10000,I21,'[1]1_group_total_details'!$F$8:$F$10000,quot_location_group_id,'[1]1_group_total_details'!$G$8:$G$10000,quot_location_id,'[1]1_group_total_details'!$H$8:$H$10000,"&lt;="&amp;quot_date)))</f>
        <v/>
      </c>
      <c r="AM21" s="197" t="str">
        <f>IF(M21="","",SUMIFS('[1]1_group_totals'!$J$8:$J$10000,'[1]1_group_totals'!$C$8:$C$10000,I21,'[1]1_group_totals'!$F$8:$F$10000,quot_location_group_id,'[1]1_group_totals'!$G$8:$G$10000,quot_location_id,'[1]1_group_totals'!$H$8:$H$10000,"="&amp;Q21,'[1]1_group_totals'!$I$8:$I$10000,"="&amp;R21))</f>
        <v/>
      </c>
      <c r="AN21" s="197" t="str">
        <f t="shared" si="7"/>
        <v/>
      </c>
      <c r="AO21" s="197" t="str">
        <f>IF(OR(ISNA(MATCH(MID(AN21,1,3)*1,UomConversion!$D$8:$D$500,0)),M21=""),"",IF(AT21="","",AT21))</f>
        <v/>
      </c>
      <c r="AP21" s="197" t="str">
        <f>IF(AND(AQ21&gt;0,COUNTIFS(UomConversion!$D$8:$D$500,MID(AN21,1,3)*1,UomConversion!$J$8:$J$500,1)&gt;1),TEXT(AQ21,"000")&amp;"."&amp;VLOOKUP(AQ21,uom_list,5,FALSE),"")</f>
        <v/>
      </c>
      <c r="AQ21" s="197" t="str">
        <f t="shared" si="20"/>
        <v/>
      </c>
      <c r="AR21" s="197" t="str">
        <f t="shared" si="21"/>
        <v/>
      </c>
      <c r="AS21" s="197" t="str">
        <f>IF(M21="","",SUMIFS(ProductPrice!$N$28:$N$10020,ProductPrice!$D$28:$D$10020,I21,ProductPrice!$G$28:$G$10020,quot_branch_id,ProductPrice!$H$28:$H$10020,quot_price_type_id,ProductPrice!$I$28:$I$10020,MID(P21,1,3)*1,ProductPrice!$Q$28:$Q$10020,1))</f>
        <v/>
      </c>
      <c r="AT21" s="197" t="str">
        <f t="shared" si="8"/>
        <v/>
      </c>
      <c r="AU21" s="197" t="str" cm="1">
        <f t="array" ref="AU21">IF(M21="","",IF(ISNA(Slookup(MID(AN21,1,3)*1,UomConversion!$D$8:$J$500,2,UomConversion!$I$8:$I$500,1,UomConversion!$J$8:$J$500,1)),"",Slookup(MID(AN21,1,3)*1,UomConversion!$D$8:$J$500,2,UomConversion!$I$8:$I$500,1,UomConversion!$J$8:$J$500,1)))</f>
        <v/>
      </c>
      <c r="AV21" s="197" t="str">
        <f t="shared" ref="AV21" si="75">IF(M21="","",IF(quot_location_id=1,BA21,IF(quot_location_id=2,BB21,0)))</f>
        <v/>
      </c>
      <c r="AW21" s="197" t="str">
        <f>IF(M21="","",(SUMIFS('[1]1_group_totals'!$K$8:$K$10000,'[1]1_group_totals'!$C$8:$C$10000,I21,'[1]1_group_totals'!$F$8:$F$10000,quot_location_group_id,'[1]1_group_totals'!$G$8:$G$10000,quot_location_id,'[1]1_group_totals'!$H$8:$H$10000,"="&amp;Q21,'[1]1_group_totals'!$I$8:$I$10000,"="&amp;R21)+SUMIFS('[1]1_group_totals'!$N$8:$N$10000,'[1]1_group_totals'!$C$8:$C$10000,I21,'[1]1_group_totals'!$F$8:$F$10000,quot_location_group_id,'[1]1_group_totals'!$G$8:$G$10000,quot_location_id,'[1]1_group_totals'!$H$8:$H$10000,"="&amp;Q21,'[1]1_group_totals'!$I$8:$I$10000,"="&amp;R21)+SUMIFS('[1]1_group_totals'!$P$8:$P$10000,'[1]1_group_totals'!$C$8:$C$10000,I21,'[1]1_group_totals'!$F$8:$F$10000,quot_location_group_id,'[1]1_group_totals'!$G$8:$G$10000,quot_location_id,'[1]1_group_totals'!$H$8:$H$10000,"="&amp;Q21,'[1]1_group_totals'!$I$8:$I$10000,"="&amp;R21)+SUMIFS('[1]1_group_totals'!$Q$8:$Q$10000,'[1]1_group_totals'!$C$8:$C$10000,I21,'[1]1_group_totals'!$F$8:$F$10000,quot_location_group_id,'[1]1_group_totals'!$G$8:$G$10000,quot_location_id,'[1]1_group_totals'!$H$8:$H$10000,"="&amp;Q21,'[1]1_group_totals'!$I$8:$I$10000,"="&amp;R21))+(SUMIFS('[1]1_group_totals'!$L$8:$L$10000,'[1]1_group_totals'!$C$8:$C$10000,I21,'[1]1_group_totals'!$F$8:$F$10000,quot_location_group_id,'[1]1_group_totals'!$G$8:$G$10000,quot_location_id,'[1]1_group_totals'!$H$8:$H$10000,"="&amp;Q21,'[1]1_group_totals'!$I$8:$I$10000,"="&amp;R21)+SUMIFS('[1]1_group_totals'!$M$8:$M$10000,'[1]1_group_totals'!$C$8:$C$10000,I21,'[1]1_group_totals'!$F$8:$F$10000,quot_location_group_id,'[1]1_group_totals'!$G$8:$G$10000,quot_location_id,'[1]1_group_totals'!$H$8:$H$10000,"="&amp;Q21,'[1]1_group_totals'!$I$8:$I$10000,"="&amp;R21)+SUMIFS('[1]1_group_totals'!$O$8:$O$10000,'[1]1_group_totals'!$C$8:$C$10000,I21,'[1]1_group_totals'!$F$8:$F$10000,quot_location_group_id,'[1]1_group_totals'!$G$8:$G$10000,quot_location_id,'[1]1_group_totals'!$H$8:$H$10000,"="&amp;Q21,'[1]1_group_totals'!$I$8:$I$10000,"="&amp;R21)+SUMIFS('[1]1_group_totals'!$R$8:$R$10000,'[1]1_group_totals'!$C$8:$C$10000,I21,'[1]1_group_totals'!$F$8:$F$10000,quot_location_group_id,'[1]1_group_totals'!$G$8:$G$10000,quot_location_id,'[1]1_group_totals'!$H$8:$H$10000,"="&amp;Q21,'[1]1_group_totals'!$I$8:$I$10000,"="&amp;R21)))</f>
        <v/>
      </c>
      <c r="AX21" s="197" t="str">
        <f t="shared" si="23"/>
        <v/>
      </c>
      <c r="AY21" s="197" t="str">
        <f>IF(M21="","",SUMIFS($AX$8:AX21,$I$8:I21,I21))</f>
        <v/>
      </c>
      <c r="AZ21" s="197" t="str">
        <f t="shared" si="24"/>
        <v/>
      </c>
      <c r="BA21" s="197" t="str">
        <f>IF(M21="","",(SUMIFS('[1]1_inventory_totals'!$I$8:$I$10000,'[1]1_inventory_totals'!$C$8:$C$10000,I21,'[1]1_inventory_totals'!$F$8:$F$10000,"="&amp;Q21,'[1]1_inventory_totals'!$G$8:$G$10000,"="&amp;R21)+SUMIFS('[1]1_inventory_totals'!$N$8:$N$10000,'[1]1_inventory_totals'!$C$8:$C$10000,I21,'[1]1_inventory_totals'!$F$8:$F$10000,"="&amp;Q21,'[1]1_inventory_totals'!$G$8:$G$10000,"="&amp;R21)+SUMIFS('[1]1_inventory_totals'!$P$8:$P$10000,'[1]1_inventory_totals'!$C$8:$C$10000,I21,'[1]1_inventory_totals'!$F$8:$F$10000,"="&amp;Q21,'[1]1_inventory_totals'!$G$8:$G$10000,"="&amp;R21)+SUMIFS('[1]1_inventory_totals'!$Q$8:$Q$10000,'[1]1_inventory_totals'!$C$8:$C$10000,I21,'[1]1_inventory_totals'!$F$8:$F$10000,"="&amp;Q21,'[1]1_inventory_totals'!$G$8:$G$10000,"="&amp;R21)+SUMIFS('[1]1_inventory_totals'!$R$8:$R$10000,'[1]1_inventory_totals'!$C$8:$C$10000,I21,'[1]1_inventory_totals'!$F$8:$F$10000,"="&amp;Q21,'[1]1_inventory_totals'!$G$8:$G$10000,"="&amp;R21))+(SUMIFS('[1]1_inventory_totals'!$J$8:$J$10000,'[1]1_inventory_totals'!$C$8:$C$10000,I21,'[1]1_inventory_totals'!$F$8:$F$10000,"="&amp;Q21,'[1]1_inventory_totals'!$G$8:$G$10000,"="&amp;R21)+SUMIFS('[1]1_inventory_totals'!$K$8:$K$10000,'[1]1_inventory_totals'!$C$8:$C$10000,I21,'[1]1_inventory_totals'!$F$8:$F$10000,"="&amp;Q21,'[1]1_inventory_totals'!$G$8:$G$10000,"="&amp;R21)+SUMIFS('[1]1_inventory_totals'!$L$8:$L$10000,'[1]1_inventory_totals'!$C$8:$C$10000,I21,'[1]1_inventory_totals'!$F$8:$F$10000,"="&amp;Q21,'[1]1_inventory_totals'!$G$8:$G$10000,"="&amp;R21)+SUMIFS('[1]1_inventory_totals'!$M$8:$M$10000,'[1]1_inventory_totals'!$C$8:$C$10000,I21,'[1]1_inventory_totals'!$F$8:$F$10000,"="&amp;Q21,'[1]1_inventory_totals'!$G$8:$G$10000,"="&amp;R21)+SUMIFS('[1]1_inventory_totals'!$O$8:$O$10000,'[1]1_inventory_totals'!$C$8:$C$10000,I21,'[1]1_inventory_totals'!$F$8:$F$10000,"="&amp;Q21,'[1]1_inventory_totals'!$G$8:$G$10000,"="&amp;R21)+SUMIFS('[1]1_inventory_totals'!$S$8:$S$10000,'[1]1_inventory_totals'!$C$8:$C$10000,I21,'[1]1_inventory_totals'!$F$8:$F$10000,"="&amp;Q21,'[1]1_inventory_totals'!$G$8:$G$10000,"="&amp;R21)))</f>
        <v/>
      </c>
      <c r="BB21" s="197" t="str">
        <f>IF(M21="","",(SUMIFS('[1]2_inventory_totals'!$I$8:$I$10000,'[1]2_inventory_totals'!$C$8:$C$10000,I21,'[1]2_inventory_totals'!$F$8:$F$10000,"="&amp;Q21,'[1]2_inventory_totals'!$G$8:$G$10000,"="&amp;R21)+SUMIFS('[1]2_inventory_totals'!$N$8:$N$10000,'[1]2_inventory_totals'!$C$8:$C$10000,I21,'[1]2_inventory_totals'!$F$8:$F$10000,"="&amp;Q21,'[1]2_inventory_totals'!$G$8:$G$10000,"="&amp;R21)+SUMIFS('[1]2_inventory_totals'!$P$8:$P$10000,'[1]2_inventory_totals'!$C$8:$C$10000,I21,'[1]2_inventory_totals'!$F$8:$F$10000,"="&amp;Q21,'[1]2_inventory_totals'!$G$8:$G$10000,"="&amp;R21)+SUMIFS('[1]2_inventory_totals'!$Q$8:$Q$10000,'[1]2_inventory_totals'!$C$8:$C$10000,I21,'[1]2_inventory_totals'!$F$8:$F$10000,"="&amp;Q21,'[1]2_inventory_totals'!$G$8:$G$10000,"="&amp;R21)+SUMIFS('[1]2_inventory_totals'!$R$8:$R$10000,'[1]2_inventory_totals'!$C$8:$C$10000,I21,'[1]2_inventory_totals'!$F$8:$F$10000,"="&amp;Q21,'[1]2_inventory_totals'!$G$8:$G$10000,"="&amp;R21))+(SUMIFS('[1]2_inventory_totals'!$J$8:$J$10000,'[1]2_inventory_totals'!$C$8:$C$10000,I21,'[1]2_inventory_totals'!$F$8:$F$10000,"="&amp;Q21,'[1]2_inventory_totals'!$G$8:$G$10000,"="&amp;R21)+SUMIFS('[1]2_inventory_totals'!$K$8:$K$10000,'[1]2_inventory_totals'!$C$8:$C$10000,I21,'[1]2_inventory_totals'!$F$8:$F$10000,"="&amp;Q21,'[1]2_inventory_totals'!$G$8:$G$10000,"="&amp;R21)+SUMIFS('[1]2_inventory_totals'!$L$8:$L$10000,'[1]2_inventory_totals'!$C$8:$C$10000,I21,'[1]2_inventory_totals'!$F$8:$F$10000,"="&amp;Q21,'[1]2_inventory_totals'!$G$8:$G$10000,"="&amp;R21)+SUMIFS('[1]2_inventory_totals'!$M$8:$M$10000,'[1]2_inventory_totals'!$C$8:$C$10000,I21,'[1]2_inventory_totals'!$F$8:$F$10000,"="&amp;Q21,'[1]2_inventory_totals'!$G$8:$G$10000,"="&amp;R21)+SUMIFS('[1]2_inventory_totals'!$O$8:$O$10000,'[1]2_inventory_totals'!$C$8:$C$10000,I21,'[1]2_inventory_totals'!$F$8:$F$10000,"="&amp;Q21,'[1]2_inventory_totals'!$G$8:$G$10000,"="&amp;R21)+SUMIFS('[1]2_inventory_totals'!$S$8:$S$10000,'[1]2_inventory_totals'!$C$8:$C$10000,I21,'[1]2_inventory_totals'!$F$8:$F$10000,"="&amp;Q21,'[1]2_inventory_totals'!$G$8:$G$10000,"="&amp;R21)))</f>
        <v/>
      </c>
    </row>
    <row r="22" spans="1:54" ht="27" customHeight="1" thickBot="1">
      <c r="A22" s="923"/>
      <c r="B22" s="1251"/>
      <c r="C22" s="947" t="s">
        <v>104</v>
      </c>
      <c r="D22" s="950"/>
      <c r="E22" s="950"/>
      <c r="F22" s="1262"/>
      <c r="I22" s="1610" t="str">
        <f t="shared" si="10"/>
        <v/>
      </c>
      <c r="J22" s="1611" t="str">
        <f t="shared" si="25"/>
        <v/>
      </c>
      <c r="K22" s="1612" t="str">
        <f t="shared" si="30"/>
        <v/>
      </c>
      <c r="L22" s="1613"/>
      <c r="M22" s="883"/>
      <c r="N22" s="884"/>
      <c r="O22" s="884"/>
      <c r="P22" s="885"/>
      <c r="Q22" s="886"/>
      <c r="R22" s="891"/>
      <c r="S22" s="1614" t="str">
        <f t="shared" ref="S22" si="76">IF(M22="","",quot_currency_symbol)</f>
        <v/>
      </c>
      <c r="T22" s="888"/>
      <c r="U22" s="1650" t="str">
        <f t="shared" si="13"/>
        <v/>
      </c>
      <c r="V22" s="1615" t="str">
        <f t="shared" ref="V22" si="77">IF(W22=0,"",quot_currency_symbol)</f>
        <v/>
      </c>
      <c r="W22" s="889"/>
      <c r="X22" s="1615" t="str">
        <f t="shared" ref="X22" si="78">IF(M22="","",quot_currency_symbol)</f>
        <v/>
      </c>
      <c r="Y22" s="1616" t="str">
        <f t="shared" si="34"/>
        <v/>
      </c>
      <c r="Z22" s="890"/>
      <c r="AA22" s="197" t="str" cm="1">
        <f t="array" ref="AA22">IF(M22="","",IF(P22=AN22,1,Slookup(MID(AN22,1,3)*1,UomConversion!$D$8:$J$500,5,UomConversion!$E$8:$E$500,MID(P22,1,3)*1,UomConversion!$J$8:$J$500,1)))</f>
        <v/>
      </c>
      <c r="AB22" s="197" t="str">
        <f t="shared" si="3"/>
        <v/>
      </c>
      <c r="AC22" s="197" t="str">
        <f t="shared" si="17"/>
        <v/>
      </c>
      <c r="AD22" s="197" t="str">
        <f t="shared" si="18"/>
        <v/>
      </c>
      <c r="AE22" s="197" t="str">
        <f t="shared" si="19"/>
        <v/>
      </c>
      <c r="AF22" s="197" t="str">
        <f t="shared" si="5"/>
        <v/>
      </c>
      <c r="AG22" s="197" t="str">
        <f t="shared" si="6"/>
        <v/>
      </c>
      <c r="AH22" s="197" t="str">
        <f>IF(I22="","",IF(ISNA(MATCH(I22,IF(quot_location_id=1,'[1]1_inventory_totals'!$C$8:$C$10000,IF(quot_location_id=2,'[1]2_inventory_totals'!$C$8:$C$10000,0)),0)),0,IF(AV22&gt;0,1,0)))</f>
        <v/>
      </c>
      <c r="AI22" s="197" t="str">
        <f>IF(M22="","",IF(quot_location_id=1,SUMIFS('[1]1_inventory_total_details'!$J$8:$J$10000,'[1]1_inventory_total_details'!$C$8:$C$10000,I22,'[1]1_inventory_total_details'!$F$8:$F$10000,quot_location_id,'[1]1_inventory_total_details'!$G$8:$G$10000,"="&amp;Q22,'[1]1_inventory_total_details'!$H$8:$H$10000,"="&amp;R22,'[1]1_inventory_total_details'!$I$8:$I$10000,"="&amp;quot_date)+SUMIFS('[1]1_inventory_total_details'!$M$8:$M$10000,'[1]1_inventory_total_details'!$C$8:$C$10000,I22,'[1]1_inventory_total_details'!$F$8:$F$10000,quot_location_id,'[1]1_inventory_total_details'!$G$8:$G$10000,"="&amp;Q22,'[1]1_inventory_total_details'!$H$8:$H$10000,"="&amp;R22,'[1]1_inventory_total_details'!$I$8:$I$10000,"="&amp;quot_date)+SUMIFS('[1]1_inventory_total_details'!$K$8:$K$10000,'[1]1_inventory_total_details'!$C$8:$C$10000,I22,'[1]1_inventory_total_details'!$F$8:$F$10000,quot_location_id,'[1]1_inventory_total_details'!$G$8:$G$10000,"="&amp;Q22,'[1]1_inventory_total_details'!$H$8:$H$10000,"="&amp;R22,'[1]1_inventory_total_details'!$I$8:$I$10000,"="&amp;quot_date)+SUMIFS('[1]1_inventory_total_details'!$L$8:$L$10000,'[1]1_inventory_total_details'!$C$8:$C$10000,I22,'[1]1_inventory_total_details'!$F$8:$F$10000,quot_location_id,'[1]1_inventory_total_details'!$G$8:$G$10000,"="&amp;Q22,'[1]1_inventory_total_details'!$H$8:$H$10000,"="&amp;R22,'[1]1_inventory_total_details'!$I$8:$I$10000,"="&amp;quot_date),SUMIFS('[1]2_inventory_total_details'!$J$8:$J$10000,'[1]2_inventory_total_details'!$C$8:$C$10000,I22,'[1]2_inventory_total_details'!$F$8:$F$10000,quot_location_id,'[1]2_inventory_total_details'!$G$8:$G$10000,"="&amp;Q22,'[1]2_inventory_total_details'!$H$8:$H$10000,"="&amp;R22,'[1]2_inventory_total_details'!$I$8:$I$10000,"="&amp;quot_date)+SUMIFS('[1]2_inventory_total_details'!$M$8:$M$10000,'[1]2_inventory_total_details'!$C$8:$C$10000,I22,'[1]2_inventory_total_details'!$F$8:$F$10000,quot_location_id,'[1]2_inventory_total_details'!$G$8:$G$10000,"="&amp;Q22,'[1]2_inventory_total_details'!$H$8:$H$10000,"="&amp;R22,'[1]2_inventory_total_details'!$I$8:$I$10000,"="&amp;quot_date)+SUMIFS('[1]2_inventory_total_details'!$K$8:$K$10000,'[1]2_inventory_total_details'!$C$8:$C$10000,I22,'[1]2_inventory_total_details'!$F$8:$F$10000,quot_location_id,'[1]2_inventory_total_details'!$G$8:$G$10000,"="&amp;Q22,'[1]2_inventory_total_details'!$H$8:$H$10000,"="&amp;R22,'[1]2_inventory_total_details'!$I$8:$I$10000,"="&amp;quot_date)+SUMIFS('[1]2_inventory_total_details'!$L$8:$L$10000,'[1]2_inventory_total_details'!$C$8:$C$10000,I22,'[1]2_inventory_total_details'!$F$8:$F$10000,quot_location_id,'[1]2_inventory_total_details'!$G$8:$G$10000,"="&amp;Q22,'[1]2_inventory_total_details'!$H$8:$H$10000,"="&amp;R22,'[1]2_inventory_total_details'!$I$8:$I$10000,"="&amp;quot_date)))</f>
        <v/>
      </c>
      <c r="AJ22" s="197" t="str">
        <f>IF(M22="","",IF(ISNA(MATCH(I22,'[1]1_group_totals'!$C$8:$C$10000)),0,IF(AW22&gt;0,1,0)))</f>
        <v/>
      </c>
      <c r="AK22" s="197" t="str">
        <f>IF(M22="","",(SUMIFS('[1]1_group_total_details'!$I$8:$I$10000,'[1]1_group_total_details'!$C$8:$C$10000,I22,'[1]1_group_total_details'!$F$8:$F$10000,quot_location_group_id,'[1]1_group_total_details'!$G$8:$G$10000,quot_location_id,'[1]1_group_total_details'!$H$8:$H$10000,"="&amp;quot_date)+SUMIFS('[1]1_group_total_details'!$L$8:$L$10000,'[1]1_group_total_details'!$C$8:$C$10000,I22,'[1]1_group_total_details'!$F$8:$F$10000,quot_location_group_id,'[1]1_group_total_details'!$G$8:$G$10000,quot_location_id,'[1]1_group_total_details'!$H$8:$H$10000,"="&amp;quot_date)+SUMIFS('[1]1_group_total_details'!$N$8:$N$10000,'[1]1_group_total_details'!$C$8:$C$10000,I22,'[1]1_group_total_details'!$F$8:$F$10000,quot_location_group_id,'[1]1_group_total_details'!$G$8:$G$10000,quot_location_id,'[1]1_group_total_details'!$H$8:$H$10000,"="&amp;quot_date)+SUMIFS('[1]1_group_total_details'!$O$8:$O$10000,'[1]1_group_total_details'!$C$8:$C$10000,I22,'[1]1_group_total_details'!$F$8:$F$10000,quot_location_group_id,'[1]1_group_total_details'!$G$8:$G$10000,quot_location_id,'[1]1_group_total_details'!$H$8:$H$10000,"="&amp;quot_date))+(SUMIFS('[1]1_group_total_details'!$J$8:$J$10000,'[1]1_group_total_details'!$C$8:$C$10000,I22,'[1]1_group_total_details'!$F$8:$F$10000,quot_location_group_id,'[1]1_group_total_details'!$G$8:$G$10000,quot_location_id,'[1]1_group_total_details'!$H$8:$H$10000,"="&amp;quot_date)+SUMIFS('[1]1_group_total_details'!$K$8:$K$10000,'[1]1_group_total_details'!$C$8:$C$10000,I22,'[1]1_group_total_details'!$F$8:$F$10000,quot_location_group_id,'[1]1_group_total_details'!$G$8:$G$10000,quot_location_id,'[1]1_group_total_details'!$H$8:$H$10000,"="&amp;quot_date)+SUMIFS('[1]1_group_total_details'!$M$8:$M$10000,'[1]1_group_total_details'!$C$8:$C$10000,I22,'[1]1_group_total_details'!$F$8:$F$10000,quot_location_group_id,'[1]1_group_total_details'!$G$8:$G$10000,quot_location_id,'[1]1_group_total_details'!$H$8:$H$10000,"="&amp;quot_date)+SUMIFS('[1]1_group_total_details'!$P$8:$P$10000,'[1]1_group_total_details'!$C$8:$C$10000,I22,'[1]1_group_total_details'!$F$8:$F$10000,quot_location_group_id,'[1]1_group_total_details'!$G$8:$G$10000,quot_location_id,'[1]1_group_total_details'!$H$8:$H$10000,"="&amp;quot_date)))</f>
        <v/>
      </c>
      <c r="AL22" s="197" t="str">
        <f>IF(M22="","",(SUMIFS('[1]1_group_total_details'!$I$8:$I$10000,'[1]1_group_total_details'!$C$8:$C$10000,I22,'[1]1_group_total_details'!$F$8:$F$10000,quot_location_group_id,'[1]1_group_total_details'!$G$8:$G$10000,quot_location_id,'[1]1_group_total_details'!$H$8:$H$10000,"&lt;="&amp;quot_date)+SUMIFS('[1]1_group_total_details'!$L$8:$L$10000,'[1]1_group_total_details'!$C$8:$C$10000,I22,'[1]1_group_total_details'!$F$8:$F$10000,quot_location_group_id,'[1]1_group_total_details'!$G$8:$G$10000,1,'[1]1_group_total_details'!$H$8:$H$10000,"&lt;="&amp;quot_date)+SUMIFS('[1]1_group_total_details'!$N$8:$N$10000,'[1]1_group_total_details'!$C$8:$C$10000,I22,'[1]1_group_total_details'!$F$8:$F$10000,quot_location_group_id,'[1]1_group_total_details'!$G$8:$G$10000,quot_location_id,'[1]1_group_total_details'!$H$8:$H$10000,"&lt;="&amp;quot_date)+SUMIFS('[1]1_group_total_details'!$O$8:$O$10000,'[1]1_group_total_details'!$C$8:$C$10000,I22,'[1]1_group_total_details'!$F$8:$F$10000,quot_location_group_id,'[1]1_group_total_details'!$G$8:$G$10000,quot_location_id,'[1]1_group_total_details'!$H$8:$H$10000,"&lt;="&amp;quot_date))-(SUMIFS('[1]1_group_total_details'!$J$8:$J$10000,'[1]1_group_total_details'!$C$8:$C$10000,I22,'[1]1_group_total_details'!$F$8:$F$10000,quot_location_group_id,'[1]1_group_total_details'!$G$8:$G$10000,quot_location_id,'[1]1_group_total_details'!$H$8:$H$10000,"&lt;="&amp;quot_date)+SUMIFS('[1]1_group_total_details'!$K$8:$K$10000,'[1]1_group_total_details'!$C$8:$C$10000,I22,'[1]1_group_total_details'!$F$8:$F$10000,quot_location_group_id,'[1]1_group_total_details'!$G$8:$G$10000,quot_location_id,'[1]1_group_total_details'!$H$8:$H$10000,"&lt;="&amp;quot_date)+SUMIFS('[1]1_group_total_details'!$M$8:$M$10000,'[1]1_group_total_details'!$C$8:$C$10000,I22,'[1]1_group_total_details'!$F$8:$F$10000,quot_location_group_id,'[1]1_group_total_details'!$G$8:$G$10000,quot_location_id,'[1]1_group_total_details'!$H$8:$H$10000,"&lt;="&amp;quot_date)+SUMIFS('[1]1_group_total_details'!$P$8:$P$10000,'[1]1_group_total_details'!$C$8:$C$10000,I22,'[1]1_group_total_details'!$F$8:$F$10000,quot_location_group_id,'[1]1_group_total_details'!$G$8:$G$10000,quot_location_id,'[1]1_group_total_details'!$H$8:$H$10000,"&lt;="&amp;quot_date)))</f>
        <v/>
      </c>
      <c r="AM22" s="197" t="str">
        <f>IF(M22="","",SUMIFS('[1]1_group_totals'!$J$8:$J$10000,'[1]1_group_totals'!$C$8:$C$10000,I22,'[1]1_group_totals'!$F$8:$F$10000,quot_location_group_id,'[1]1_group_totals'!$G$8:$G$10000,quot_location_id,'[1]1_group_totals'!$H$8:$H$10000,"="&amp;Q22,'[1]1_group_totals'!$I$8:$I$10000,"="&amp;R22))</f>
        <v/>
      </c>
      <c r="AN22" s="197" t="str">
        <f t="shared" si="7"/>
        <v/>
      </c>
      <c r="AO22" s="197" t="str">
        <f>IF(OR(ISNA(MATCH(MID(AN22,1,3)*1,UomConversion!$D$8:$D$500,0)),M22=""),"",IF(AT22="","",AT22))</f>
        <v/>
      </c>
      <c r="AP22" s="197" t="str">
        <f>IF(AND(AQ22&gt;0,COUNTIFS(UomConversion!$D$8:$D$500,MID(AN22,1,3)*1,UomConversion!$J$8:$J$500,1)&gt;1),TEXT(AQ22,"000")&amp;"."&amp;VLOOKUP(AQ22,uom_list,5,FALSE),"")</f>
        <v/>
      </c>
      <c r="AQ22" s="197" t="str">
        <f t="shared" si="20"/>
        <v/>
      </c>
      <c r="AR22" s="197" t="str">
        <f t="shared" si="21"/>
        <v/>
      </c>
      <c r="AS22" s="197" t="str">
        <f>IF(M22="","",SUMIFS(ProductPrice!$N$28:$N$10020,ProductPrice!$D$28:$D$10020,I22,ProductPrice!$G$28:$G$10020,quot_branch_id,ProductPrice!$H$28:$H$10020,quot_price_type_id,ProductPrice!$I$28:$I$10020,MID(P22,1,3)*1,ProductPrice!$Q$28:$Q$10020,1))</f>
        <v/>
      </c>
      <c r="AT22" s="197" t="str">
        <f t="shared" si="8"/>
        <v/>
      </c>
      <c r="AU22" s="197" t="str" cm="1">
        <f t="array" ref="AU22">IF(M22="","",IF(ISNA(Slookup(MID(AN22,1,3)*1,UomConversion!$D$8:$J$500,2,UomConversion!$I$8:$I$500,1,UomConversion!$J$8:$J$500,1)),"",Slookup(MID(AN22,1,3)*1,UomConversion!$D$8:$J$500,2,UomConversion!$I$8:$I$500,1,UomConversion!$J$8:$J$500,1)))</f>
        <v/>
      </c>
      <c r="AV22" s="197" t="str">
        <f t="shared" ref="AV22" si="79">IF(M22="","",IF(quot_location_id=1,BA22,IF(quot_location_id=2,BB22,0)))</f>
        <v/>
      </c>
      <c r="AW22" s="197" t="str">
        <f>IF(M22="","",(SUMIFS('[1]1_group_totals'!$K$8:$K$10000,'[1]1_group_totals'!$C$8:$C$10000,I22,'[1]1_group_totals'!$F$8:$F$10000,quot_location_group_id,'[1]1_group_totals'!$G$8:$G$10000,quot_location_id,'[1]1_group_totals'!$H$8:$H$10000,"="&amp;Q22,'[1]1_group_totals'!$I$8:$I$10000,"="&amp;R22)+SUMIFS('[1]1_group_totals'!$N$8:$N$10000,'[1]1_group_totals'!$C$8:$C$10000,I22,'[1]1_group_totals'!$F$8:$F$10000,quot_location_group_id,'[1]1_group_totals'!$G$8:$G$10000,quot_location_id,'[1]1_group_totals'!$H$8:$H$10000,"="&amp;Q22,'[1]1_group_totals'!$I$8:$I$10000,"="&amp;R22)+SUMIFS('[1]1_group_totals'!$P$8:$P$10000,'[1]1_group_totals'!$C$8:$C$10000,I22,'[1]1_group_totals'!$F$8:$F$10000,quot_location_group_id,'[1]1_group_totals'!$G$8:$G$10000,quot_location_id,'[1]1_group_totals'!$H$8:$H$10000,"="&amp;Q22,'[1]1_group_totals'!$I$8:$I$10000,"="&amp;R22)+SUMIFS('[1]1_group_totals'!$Q$8:$Q$10000,'[1]1_group_totals'!$C$8:$C$10000,I22,'[1]1_group_totals'!$F$8:$F$10000,quot_location_group_id,'[1]1_group_totals'!$G$8:$G$10000,quot_location_id,'[1]1_group_totals'!$H$8:$H$10000,"="&amp;Q22,'[1]1_group_totals'!$I$8:$I$10000,"="&amp;R22))+(SUMIFS('[1]1_group_totals'!$L$8:$L$10000,'[1]1_group_totals'!$C$8:$C$10000,I22,'[1]1_group_totals'!$F$8:$F$10000,quot_location_group_id,'[1]1_group_totals'!$G$8:$G$10000,quot_location_id,'[1]1_group_totals'!$H$8:$H$10000,"="&amp;Q22,'[1]1_group_totals'!$I$8:$I$10000,"="&amp;R22)+SUMIFS('[1]1_group_totals'!$M$8:$M$10000,'[1]1_group_totals'!$C$8:$C$10000,I22,'[1]1_group_totals'!$F$8:$F$10000,quot_location_group_id,'[1]1_group_totals'!$G$8:$G$10000,quot_location_id,'[1]1_group_totals'!$H$8:$H$10000,"="&amp;Q22,'[1]1_group_totals'!$I$8:$I$10000,"="&amp;R22)+SUMIFS('[1]1_group_totals'!$O$8:$O$10000,'[1]1_group_totals'!$C$8:$C$10000,I22,'[1]1_group_totals'!$F$8:$F$10000,quot_location_group_id,'[1]1_group_totals'!$G$8:$G$10000,quot_location_id,'[1]1_group_totals'!$H$8:$H$10000,"="&amp;Q22,'[1]1_group_totals'!$I$8:$I$10000,"="&amp;R22)+SUMIFS('[1]1_group_totals'!$R$8:$R$10000,'[1]1_group_totals'!$C$8:$C$10000,I22,'[1]1_group_totals'!$F$8:$F$10000,quot_location_group_id,'[1]1_group_totals'!$G$8:$G$10000,quot_location_id,'[1]1_group_totals'!$H$8:$H$10000,"="&amp;Q22,'[1]1_group_totals'!$I$8:$I$10000,"="&amp;R22)))</f>
        <v/>
      </c>
      <c r="AX22" s="197" t="str">
        <f t="shared" si="23"/>
        <v/>
      </c>
      <c r="AY22" s="197" t="str">
        <f>IF(M22="","",SUMIFS($AX$8:AX22,$I$8:I22,I22))</f>
        <v/>
      </c>
      <c r="AZ22" s="197" t="str">
        <f t="shared" si="24"/>
        <v/>
      </c>
      <c r="BA22" s="197" t="str">
        <f>IF(M22="","",(SUMIFS('[1]1_inventory_totals'!$I$8:$I$10000,'[1]1_inventory_totals'!$C$8:$C$10000,I22,'[1]1_inventory_totals'!$F$8:$F$10000,"="&amp;Q22,'[1]1_inventory_totals'!$G$8:$G$10000,"="&amp;R22)+SUMIFS('[1]1_inventory_totals'!$N$8:$N$10000,'[1]1_inventory_totals'!$C$8:$C$10000,I22,'[1]1_inventory_totals'!$F$8:$F$10000,"="&amp;Q22,'[1]1_inventory_totals'!$G$8:$G$10000,"="&amp;R22)+SUMIFS('[1]1_inventory_totals'!$P$8:$P$10000,'[1]1_inventory_totals'!$C$8:$C$10000,I22,'[1]1_inventory_totals'!$F$8:$F$10000,"="&amp;Q22,'[1]1_inventory_totals'!$G$8:$G$10000,"="&amp;R22)+SUMIFS('[1]1_inventory_totals'!$Q$8:$Q$10000,'[1]1_inventory_totals'!$C$8:$C$10000,I22,'[1]1_inventory_totals'!$F$8:$F$10000,"="&amp;Q22,'[1]1_inventory_totals'!$G$8:$G$10000,"="&amp;R22)+SUMIFS('[1]1_inventory_totals'!$R$8:$R$10000,'[1]1_inventory_totals'!$C$8:$C$10000,I22,'[1]1_inventory_totals'!$F$8:$F$10000,"="&amp;Q22,'[1]1_inventory_totals'!$G$8:$G$10000,"="&amp;R22))+(SUMIFS('[1]1_inventory_totals'!$J$8:$J$10000,'[1]1_inventory_totals'!$C$8:$C$10000,I22,'[1]1_inventory_totals'!$F$8:$F$10000,"="&amp;Q22,'[1]1_inventory_totals'!$G$8:$G$10000,"="&amp;R22)+SUMIFS('[1]1_inventory_totals'!$K$8:$K$10000,'[1]1_inventory_totals'!$C$8:$C$10000,I22,'[1]1_inventory_totals'!$F$8:$F$10000,"="&amp;Q22,'[1]1_inventory_totals'!$G$8:$G$10000,"="&amp;R22)+SUMIFS('[1]1_inventory_totals'!$L$8:$L$10000,'[1]1_inventory_totals'!$C$8:$C$10000,I22,'[1]1_inventory_totals'!$F$8:$F$10000,"="&amp;Q22,'[1]1_inventory_totals'!$G$8:$G$10000,"="&amp;R22)+SUMIFS('[1]1_inventory_totals'!$M$8:$M$10000,'[1]1_inventory_totals'!$C$8:$C$10000,I22,'[1]1_inventory_totals'!$F$8:$F$10000,"="&amp;Q22,'[1]1_inventory_totals'!$G$8:$G$10000,"="&amp;R22)+SUMIFS('[1]1_inventory_totals'!$O$8:$O$10000,'[1]1_inventory_totals'!$C$8:$C$10000,I22,'[1]1_inventory_totals'!$F$8:$F$10000,"="&amp;Q22,'[1]1_inventory_totals'!$G$8:$G$10000,"="&amp;R22)+SUMIFS('[1]1_inventory_totals'!$S$8:$S$10000,'[1]1_inventory_totals'!$C$8:$C$10000,I22,'[1]1_inventory_totals'!$F$8:$F$10000,"="&amp;Q22,'[1]1_inventory_totals'!$G$8:$G$10000,"="&amp;R22)))</f>
        <v/>
      </c>
      <c r="BB22" s="197" t="str">
        <f>IF(M22="","",(SUMIFS('[1]2_inventory_totals'!$I$8:$I$10000,'[1]2_inventory_totals'!$C$8:$C$10000,I22,'[1]2_inventory_totals'!$F$8:$F$10000,"="&amp;Q22,'[1]2_inventory_totals'!$G$8:$G$10000,"="&amp;R22)+SUMIFS('[1]2_inventory_totals'!$N$8:$N$10000,'[1]2_inventory_totals'!$C$8:$C$10000,I22,'[1]2_inventory_totals'!$F$8:$F$10000,"="&amp;Q22,'[1]2_inventory_totals'!$G$8:$G$10000,"="&amp;R22)+SUMIFS('[1]2_inventory_totals'!$P$8:$P$10000,'[1]2_inventory_totals'!$C$8:$C$10000,I22,'[1]2_inventory_totals'!$F$8:$F$10000,"="&amp;Q22,'[1]2_inventory_totals'!$G$8:$G$10000,"="&amp;R22)+SUMIFS('[1]2_inventory_totals'!$Q$8:$Q$10000,'[1]2_inventory_totals'!$C$8:$C$10000,I22,'[1]2_inventory_totals'!$F$8:$F$10000,"="&amp;Q22,'[1]2_inventory_totals'!$G$8:$G$10000,"="&amp;R22)+SUMIFS('[1]2_inventory_totals'!$R$8:$R$10000,'[1]2_inventory_totals'!$C$8:$C$10000,I22,'[1]2_inventory_totals'!$F$8:$F$10000,"="&amp;Q22,'[1]2_inventory_totals'!$G$8:$G$10000,"="&amp;R22))+(SUMIFS('[1]2_inventory_totals'!$J$8:$J$10000,'[1]2_inventory_totals'!$C$8:$C$10000,I22,'[1]2_inventory_totals'!$F$8:$F$10000,"="&amp;Q22,'[1]2_inventory_totals'!$G$8:$G$10000,"="&amp;R22)+SUMIFS('[1]2_inventory_totals'!$K$8:$K$10000,'[1]2_inventory_totals'!$C$8:$C$10000,I22,'[1]2_inventory_totals'!$F$8:$F$10000,"="&amp;Q22,'[1]2_inventory_totals'!$G$8:$G$10000,"="&amp;R22)+SUMIFS('[1]2_inventory_totals'!$L$8:$L$10000,'[1]2_inventory_totals'!$C$8:$C$10000,I22,'[1]2_inventory_totals'!$F$8:$F$10000,"="&amp;Q22,'[1]2_inventory_totals'!$G$8:$G$10000,"="&amp;R22)+SUMIFS('[1]2_inventory_totals'!$M$8:$M$10000,'[1]2_inventory_totals'!$C$8:$C$10000,I22,'[1]2_inventory_totals'!$F$8:$F$10000,"="&amp;Q22,'[1]2_inventory_totals'!$G$8:$G$10000,"="&amp;R22)+SUMIFS('[1]2_inventory_totals'!$O$8:$O$10000,'[1]2_inventory_totals'!$C$8:$C$10000,I22,'[1]2_inventory_totals'!$F$8:$F$10000,"="&amp;Q22,'[1]2_inventory_totals'!$G$8:$G$10000,"="&amp;R22)+SUMIFS('[1]2_inventory_totals'!$S$8:$S$10000,'[1]2_inventory_totals'!$C$8:$C$10000,I22,'[1]2_inventory_totals'!$F$8:$F$10000,"="&amp;Q22,'[1]2_inventory_totals'!$G$8:$G$10000,"="&amp;R22)))</f>
        <v/>
      </c>
    </row>
    <row r="23" spans="1:54" ht="27" customHeight="1" thickBot="1">
      <c r="A23" s="923"/>
      <c r="B23" s="1251"/>
      <c r="C23" s="1974"/>
      <c r="D23" s="1975"/>
      <c r="E23" s="1976"/>
      <c r="F23" s="1262"/>
      <c r="I23" s="1610" t="str">
        <f t="shared" si="10"/>
        <v/>
      </c>
      <c r="J23" s="1611" t="str">
        <f t="shared" si="25"/>
        <v/>
      </c>
      <c r="K23" s="1612" t="str">
        <f t="shared" si="30"/>
        <v/>
      </c>
      <c r="L23" s="1613"/>
      <c r="M23" s="883"/>
      <c r="N23" s="884"/>
      <c r="O23" s="884"/>
      <c r="P23" s="885"/>
      <c r="Q23" s="886"/>
      <c r="R23" s="891"/>
      <c r="S23" s="1614" t="str">
        <f t="shared" ref="S23" si="80">IF(M23="","",quot_currency_symbol)</f>
        <v/>
      </c>
      <c r="T23" s="888"/>
      <c r="U23" s="1650" t="str">
        <f t="shared" si="13"/>
        <v/>
      </c>
      <c r="V23" s="1615" t="str">
        <f t="shared" ref="V23" si="81">IF(W23=0,"",quot_currency_symbol)</f>
        <v/>
      </c>
      <c r="W23" s="889"/>
      <c r="X23" s="1615" t="str">
        <f t="shared" ref="X23" si="82">IF(M23="","",quot_currency_symbol)</f>
        <v/>
      </c>
      <c r="Y23" s="1616" t="str">
        <f t="shared" si="34"/>
        <v/>
      </c>
      <c r="Z23" s="890"/>
      <c r="AA23" s="197" t="str" cm="1">
        <f t="array" ref="AA23">IF(M23="","",IF(P23=AN23,1,Slookup(MID(AN23,1,3)*1,UomConversion!$D$8:$J$500,5,UomConversion!$E$8:$E$500,MID(P23,1,3)*1,UomConversion!$J$8:$J$500,1)))</f>
        <v/>
      </c>
      <c r="AB23" s="197" t="str">
        <f t="shared" si="3"/>
        <v/>
      </c>
      <c r="AC23" s="197" t="str">
        <f t="shared" si="17"/>
        <v/>
      </c>
      <c r="AD23" s="197" t="str">
        <f t="shared" si="18"/>
        <v/>
      </c>
      <c r="AE23" s="197" t="str">
        <f t="shared" si="19"/>
        <v/>
      </c>
      <c r="AF23" s="197" t="str">
        <f t="shared" si="5"/>
        <v/>
      </c>
      <c r="AG23" s="197" t="str">
        <f t="shared" si="6"/>
        <v/>
      </c>
      <c r="AH23" s="197" t="str">
        <f>IF(I23="","",IF(ISNA(MATCH(I23,IF(quot_location_id=1,'[1]1_inventory_totals'!$C$8:$C$10000,IF(quot_location_id=2,'[1]2_inventory_totals'!$C$8:$C$10000,0)),0)),0,IF(AV23&gt;0,1,0)))</f>
        <v/>
      </c>
      <c r="AI23" s="197" t="str">
        <f>IF(M23="","",IF(quot_location_id=1,SUMIFS('[1]1_inventory_total_details'!$J$8:$J$10000,'[1]1_inventory_total_details'!$C$8:$C$10000,I23,'[1]1_inventory_total_details'!$F$8:$F$10000,quot_location_id,'[1]1_inventory_total_details'!$G$8:$G$10000,"="&amp;Q23,'[1]1_inventory_total_details'!$H$8:$H$10000,"="&amp;R23,'[1]1_inventory_total_details'!$I$8:$I$10000,"="&amp;quot_date)+SUMIFS('[1]1_inventory_total_details'!$M$8:$M$10000,'[1]1_inventory_total_details'!$C$8:$C$10000,I23,'[1]1_inventory_total_details'!$F$8:$F$10000,quot_location_id,'[1]1_inventory_total_details'!$G$8:$G$10000,"="&amp;Q23,'[1]1_inventory_total_details'!$H$8:$H$10000,"="&amp;R23,'[1]1_inventory_total_details'!$I$8:$I$10000,"="&amp;quot_date)+SUMIFS('[1]1_inventory_total_details'!$K$8:$K$10000,'[1]1_inventory_total_details'!$C$8:$C$10000,I23,'[1]1_inventory_total_details'!$F$8:$F$10000,quot_location_id,'[1]1_inventory_total_details'!$G$8:$G$10000,"="&amp;Q23,'[1]1_inventory_total_details'!$H$8:$H$10000,"="&amp;R23,'[1]1_inventory_total_details'!$I$8:$I$10000,"="&amp;quot_date)+SUMIFS('[1]1_inventory_total_details'!$L$8:$L$10000,'[1]1_inventory_total_details'!$C$8:$C$10000,I23,'[1]1_inventory_total_details'!$F$8:$F$10000,quot_location_id,'[1]1_inventory_total_details'!$G$8:$G$10000,"="&amp;Q23,'[1]1_inventory_total_details'!$H$8:$H$10000,"="&amp;R23,'[1]1_inventory_total_details'!$I$8:$I$10000,"="&amp;quot_date),SUMIFS('[1]2_inventory_total_details'!$J$8:$J$10000,'[1]2_inventory_total_details'!$C$8:$C$10000,I23,'[1]2_inventory_total_details'!$F$8:$F$10000,quot_location_id,'[1]2_inventory_total_details'!$G$8:$G$10000,"="&amp;Q23,'[1]2_inventory_total_details'!$H$8:$H$10000,"="&amp;R23,'[1]2_inventory_total_details'!$I$8:$I$10000,"="&amp;quot_date)+SUMIFS('[1]2_inventory_total_details'!$M$8:$M$10000,'[1]2_inventory_total_details'!$C$8:$C$10000,I23,'[1]2_inventory_total_details'!$F$8:$F$10000,quot_location_id,'[1]2_inventory_total_details'!$G$8:$G$10000,"="&amp;Q23,'[1]2_inventory_total_details'!$H$8:$H$10000,"="&amp;R23,'[1]2_inventory_total_details'!$I$8:$I$10000,"="&amp;quot_date)+SUMIFS('[1]2_inventory_total_details'!$K$8:$K$10000,'[1]2_inventory_total_details'!$C$8:$C$10000,I23,'[1]2_inventory_total_details'!$F$8:$F$10000,quot_location_id,'[1]2_inventory_total_details'!$G$8:$G$10000,"="&amp;Q23,'[1]2_inventory_total_details'!$H$8:$H$10000,"="&amp;R23,'[1]2_inventory_total_details'!$I$8:$I$10000,"="&amp;quot_date)+SUMIFS('[1]2_inventory_total_details'!$L$8:$L$10000,'[1]2_inventory_total_details'!$C$8:$C$10000,I23,'[1]2_inventory_total_details'!$F$8:$F$10000,quot_location_id,'[1]2_inventory_total_details'!$G$8:$G$10000,"="&amp;Q23,'[1]2_inventory_total_details'!$H$8:$H$10000,"="&amp;R23,'[1]2_inventory_total_details'!$I$8:$I$10000,"="&amp;quot_date)))</f>
        <v/>
      </c>
      <c r="AJ23" s="197" t="str">
        <f>IF(M23="","",IF(ISNA(MATCH(I23,'[1]1_group_totals'!$C$8:$C$10000)),0,IF(AW23&gt;0,1,0)))</f>
        <v/>
      </c>
      <c r="AK23" s="197" t="str">
        <f>IF(M23="","",(SUMIFS('[1]1_group_total_details'!$I$8:$I$10000,'[1]1_group_total_details'!$C$8:$C$10000,I23,'[1]1_group_total_details'!$F$8:$F$10000,quot_location_group_id,'[1]1_group_total_details'!$G$8:$G$10000,quot_location_id,'[1]1_group_total_details'!$H$8:$H$10000,"="&amp;quot_date)+SUMIFS('[1]1_group_total_details'!$L$8:$L$10000,'[1]1_group_total_details'!$C$8:$C$10000,I23,'[1]1_group_total_details'!$F$8:$F$10000,quot_location_group_id,'[1]1_group_total_details'!$G$8:$G$10000,quot_location_id,'[1]1_group_total_details'!$H$8:$H$10000,"="&amp;quot_date)+SUMIFS('[1]1_group_total_details'!$N$8:$N$10000,'[1]1_group_total_details'!$C$8:$C$10000,I23,'[1]1_group_total_details'!$F$8:$F$10000,quot_location_group_id,'[1]1_group_total_details'!$G$8:$G$10000,quot_location_id,'[1]1_group_total_details'!$H$8:$H$10000,"="&amp;quot_date)+SUMIFS('[1]1_group_total_details'!$O$8:$O$10000,'[1]1_group_total_details'!$C$8:$C$10000,I23,'[1]1_group_total_details'!$F$8:$F$10000,quot_location_group_id,'[1]1_group_total_details'!$G$8:$G$10000,quot_location_id,'[1]1_group_total_details'!$H$8:$H$10000,"="&amp;quot_date))+(SUMIFS('[1]1_group_total_details'!$J$8:$J$10000,'[1]1_group_total_details'!$C$8:$C$10000,I23,'[1]1_group_total_details'!$F$8:$F$10000,quot_location_group_id,'[1]1_group_total_details'!$G$8:$G$10000,quot_location_id,'[1]1_group_total_details'!$H$8:$H$10000,"="&amp;quot_date)+SUMIFS('[1]1_group_total_details'!$K$8:$K$10000,'[1]1_group_total_details'!$C$8:$C$10000,I23,'[1]1_group_total_details'!$F$8:$F$10000,quot_location_group_id,'[1]1_group_total_details'!$G$8:$G$10000,quot_location_id,'[1]1_group_total_details'!$H$8:$H$10000,"="&amp;quot_date)+SUMIFS('[1]1_group_total_details'!$M$8:$M$10000,'[1]1_group_total_details'!$C$8:$C$10000,I23,'[1]1_group_total_details'!$F$8:$F$10000,quot_location_group_id,'[1]1_group_total_details'!$G$8:$G$10000,quot_location_id,'[1]1_group_total_details'!$H$8:$H$10000,"="&amp;quot_date)+SUMIFS('[1]1_group_total_details'!$P$8:$P$10000,'[1]1_group_total_details'!$C$8:$C$10000,I23,'[1]1_group_total_details'!$F$8:$F$10000,quot_location_group_id,'[1]1_group_total_details'!$G$8:$G$10000,quot_location_id,'[1]1_group_total_details'!$H$8:$H$10000,"="&amp;quot_date)))</f>
        <v/>
      </c>
      <c r="AL23" s="197" t="str">
        <f>IF(M23="","",(SUMIFS('[1]1_group_total_details'!$I$8:$I$10000,'[1]1_group_total_details'!$C$8:$C$10000,I23,'[1]1_group_total_details'!$F$8:$F$10000,quot_location_group_id,'[1]1_group_total_details'!$G$8:$G$10000,quot_location_id,'[1]1_group_total_details'!$H$8:$H$10000,"&lt;="&amp;quot_date)+SUMIFS('[1]1_group_total_details'!$L$8:$L$10000,'[1]1_group_total_details'!$C$8:$C$10000,I23,'[1]1_group_total_details'!$F$8:$F$10000,quot_location_group_id,'[1]1_group_total_details'!$G$8:$G$10000,1,'[1]1_group_total_details'!$H$8:$H$10000,"&lt;="&amp;quot_date)+SUMIFS('[1]1_group_total_details'!$N$8:$N$10000,'[1]1_group_total_details'!$C$8:$C$10000,I23,'[1]1_group_total_details'!$F$8:$F$10000,quot_location_group_id,'[1]1_group_total_details'!$G$8:$G$10000,quot_location_id,'[1]1_group_total_details'!$H$8:$H$10000,"&lt;="&amp;quot_date)+SUMIFS('[1]1_group_total_details'!$O$8:$O$10000,'[1]1_group_total_details'!$C$8:$C$10000,I23,'[1]1_group_total_details'!$F$8:$F$10000,quot_location_group_id,'[1]1_group_total_details'!$G$8:$G$10000,quot_location_id,'[1]1_group_total_details'!$H$8:$H$10000,"&lt;="&amp;quot_date))-(SUMIFS('[1]1_group_total_details'!$J$8:$J$10000,'[1]1_group_total_details'!$C$8:$C$10000,I23,'[1]1_group_total_details'!$F$8:$F$10000,quot_location_group_id,'[1]1_group_total_details'!$G$8:$G$10000,quot_location_id,'[1]1_group_total_details'!$H$8:$H$10000,"&lt;="&amp;quot_date)+SUMIFS('[1]1_group_total_details'!$K$8:$K$10000,'[1]1_group_total_details'!$C$8:$C$10000,I23,'[1]1_group_total_details'!$F$8:$F$10000,quot_location_group_id,'[1]1_group_total_details'!$G$8:$G$10000,quot_location_id,'[1]1_group_total_details'!$H$8:$H$10000,"&lt;="&amp;quot_date)+SUMIFS('[1]1_group_total_details'!$M$8:$M$10000,'[1]1_group_total_details'!$C$8:$C$10000,I23,'[1]1_group_total_details'!$F$8:$F$10000,quot_location_group_id,'[1]1_group_total_details'!$G$8:$G$10000,quot_location_id,'[1]1_group_total_details'!$H$8:$H$10000,"&lt;="&amp;quot_date)+SUMIFS('[1]1_group_total_details'!$P$8:$P$10000,'[1]1_group_total_details'!$C$8:$C$10000,I23,'[1]1_group_total_details'!$F$8:$F$10000,quot_location_group_id,'[1]1_group_total_details'!$G$8:$G$10000,quot_location_id,'[1]1_group_total_details'!$H$8:$H$10000,"&lt;="&amp;quot_date)))</f>
        <v/>
      </c>
      <c r="AM23" s="197" t="str">
        <f>IF(M23="","",SUMIFS('[1]1_group_totals'!$J$8:$J$10000,'[1]1_group_totals'!$C$8:$C$10000,I23,'[1]1_group_totals'!$F$8:$F$10000,quot_location_group_id,'[1]1_group_totals'!$G$8:$G$10000,quot_location_id,'[1]1_group_totals'!$H$8:$H$10000,"="&amp;Q23,'[1]1_group_totals'!$I$8:$I$10000,"="&amp;R23))</f>
        <v/>
      </c>
      <c r="AN23" s="197" t="str">
        <f t="shared" si="7"/>
        <v/>
      </c>
      <c r="AO23" s="197" t="str">
        <f>IF(OR(ISNA(MATCH(MID(AN23,1,3)*1,UomConversion!$D$8:$D$500,0)),M23=""),"",IF(AT23="","",AT23))</f>
        <v/>
      </c>
      <c r="AP23" s="197" t="str">
        <f>IF(AND(AQ23&gt;0,COUNTIFS(UomConversion!$D$8:$D$500,MID(AN23,1,3)*1,UomConversion!$J$8:$J$500,1)&gt;1),TEXT(AQ23,"000")&amp;"."&amp;VLOOKUP(AQ23,uom_list,5,FALSE),"")</f>
        <v/>
      </c>
      <c r="AQ23" s="197" t="str">
        <f t="shared" si="20"/>
        <v/>
      </c>
      <c r="AR23" s="197" t="str">
        <f t="shared" si="21"/>
        <v/>
      </c>
      <c r="AS23" s="197" t="str">
        <f>IF(M23="","",SUMIFS(ProductPrice!$N$28:$N$10020,ProductPrice!$D$28:$D$10020,I23,ProductPrice!$G$28:$G$10020,quot_branch_id,ProductPrice!$H$28:$H$10020,quot_price_type_id,ProductPrice!$I$28:$I$10020,MID(P23,1,3)*1,ProductPrice!$Q$28:$Q$10020,1))</f>
        <v/>
      </c>
      <c r="AT23" s="197" t="str">
        <f t="shared" si="8"/>
        <v/>
      </c>
      <c r="AU23" s="197" t="str" cm="1">
        <f t="array" ref="AU23">IF(M23="","",IF(ISNA(Slookup(MID(AN23,1,3)*1,UomConversion!$D$8:$J$500,2,UomConversion!$I$8:$I$500,1,UomConversion!$J$8:$J$500,1)),"",Slookup(MID(AN23,1,3)*1,UomConversion!$D$8:$J$500,2,UomConversion!$I$8:$I$500,1,UomConversion!$J$8:$J$500,1)))</f>
        <v/>
      </c>
      <c r="AV23" s="197" t="str">
        <f t="shared" ref="AV23" si="83">IF(M23="","",IF(quot_location_id=1,BA23,IF(quot_location_id=2,BB23,0)))</f>
        <v/>
      </c>
      <c r="AW23" s="197" t="str">
        <f>IF(M23="","",(SUMIFS('[1]1_group_totals'!$K$8:$K$10000,'[1]1_group_totals'!$C$8:$C$10000,I23,'[1]1_group_totals'!$F$8:$F$10000,quot_location_group_id,'[1]1_group_totals'!$G$8:$G$10000,quot_location_id,'[1]1_group_totals'!$H$8:$H$10000,"="&amp;Q23,'[1]1_group_totals'!$I$8:$I$10000,"="&amp;R23)+SUMIFS('[1]1_group_totals'!$N$8:$N$10000,'[1]1_group_totals'!$C$8:$C$10000,I23,'[1]1_group_totals'!$F$8:$F$10000,quot_location_group_id,'[1]1_group_totals'!$G$8:$G$10000,quot_location_id,'[1]1_group_totals'!$H$8:$H$10000,"="&amp;Q23,'[1]1_group_totals'!$I$8:$I$10000,"="&amp;R23)+SUMIFS('[1]1_group_totals'!$P$8:$P$10000,'[1]1_group_totals'!$C$8:$C$10000,I23,'[1]1_group_totals'!$F$8:$F$10000,quot_location_group_id,'[1]1_group_totals'!$G$8:$G$10000,quot_location_id,'[1]1_group_totals'!$H$8:$H$10000,"="&amp;Q23,'[1]1_group_totals'!$I$8:$I$10000,"="&amp;R23)+SUMIFS('[1]1_group_totals'!$Q$8:$Q$10000,'[1]1_group_totals'!$C$8:$C$10000,I23,'[1]1_group_totals'!$F$8:$F$10000,quot_location_group_id,'[1]1_group_totals'!$G$8:$G$10000,quot_location_id,'[1]1_group_totals'!$H$8:$H$10000,"="&amp;Q23,'[1]1_group_totals'!$I$8:$I$10000,"="&amp;R23))+(SUMIFS('[1]1_group_totals'!$L$8:$L$10000,'[1]1_group_totals'!$C$8:$C$10000,I23,'[1]1_group_totals'!$F$8:$F$10000,quot_location_group_id,'[1]1_group_totals'!$G$8:$G$10000,quot_location_id,'[1]1_group_totals'!$H$8:$H$10000,"="&amp;Q23,'[1]1_group_totals'!$I$8:$I$10000,"="&amp;R23)+SUMIFS('[1]1_group_totals'!$M$8:$M$10000,'[1]1_group_totals'!$C$8:$C$10000,I23,'[1]1_group_totals'!$F$8:$F$10000,quot_location_group_id,'[1]1_group_totals'!$G$8:$G$10000,quot_location_id,'[1]1_group_totals'!$H$8:$H$10000,"="&amp;Q23,'[1]1_group_totals'!$I$8:$I$10000,"="&amp;R23)+SUMIFS('[1]1_group_totals'!$O$8:$O$10000,'[1]1_group_totals'!$C$8:$C$10000,I23,'[1]1_group_totals'!$F$8:$F$10000,quot_location_group_id,'[1]1_group_totals'!$G$8:$G$10000,quot_location_id,'[1]1_group_totals'!$H$8:$H$10000,"="&amp;Q23,'[1]1_group_totals'!$I$8:$I$10000,"="&amp;R23)+SUMIFS('[1]1_group_totals'!$R$8:$R$10000,'[1]1_group_totals'!$C$8:$C$10000,I23,'[1]1_group_totals'!$F$8:$F$10000,quot_location_group_id,'[1]1_group_totals'!$G$8:$G$10000,quot_location_id,'[1]1_group_totals'!$H$8:$H$10000,"="&amp;Q23,'[1]1_group_totals'!$I$8:$I$10000,"="&amp;R23)))</f>
        <v/>
      </c>
      <c r="AX23" s="197" t="str">
        <f t="shared" si="23"/>
        <v/>
      </c>
      <c r="AY23" s="197" t="str">
        <f>IF(M23="","",SUMIFS($AX$8:AX23,$I$8:I23,I23))</f>
        <v/>
      </c>
      <c r="AZ23" s="197" t="str">
        <f t="shared" si="24"/>
        <v/>
      </c>
      <c r="BA23" s="197" t="str">
        <f>IF(M23="","",(SUMIFS('[1]1_inventory_totals'!$I$8:$I$10000,'[1]1_inventory_totals'!$C$8:$C$10000,I23,'[1]1_inventory_totals'!$F$8:$F$10000,"="&amp;Q23,'[1]1_inventory_totals'!$G$8:$G$10000,"="&amp;R23)+SUMIFS('[1]1_inventory_totals'!$N$8:$N$10000,'[1]1_inventory_totals'!$C$8:$C$10000,I23,'[1]1_inventory_totals'!$F$8:$F$10000,"="&amp;Q23,'[1]1_inventory_totals'!$G$8:$G$10000,"="&amp;R23)+SUMIFS('[1]1_inventory_totals'!$P$8:$P$10000,'[1]1_inventory_totals'!$C$8:$C$10000,I23,'[1]1_inventory_totals'!$F$8:$F$10000,"="&amp;Q23,'[1]1_inventory_totals'!$G$8:$G$10000,"="&amp;R23)+SUMIFS('[1]1_inventory_totals'!$Q$8:$Q$10000,'[1]1_inventory_totals'!$C$8:$C$10000,I23,'[1]1_inventory_totals'!$F$8:$F$10000,"="&amp;Q23,'[1]1_inventory_totals'!$G$8:$G$10000,"="&amp;R23)+SUMIFS('[1]1_inventory_totals'!$R$8:$R$10000,'[1]1_inventory_totals'!$C$8:$C$10000,I23,'[1]1_inventory_totals'!$F$8:$F$10000,"="&amp;Q23,'[1]1_inventory_totals'!$G$8:$G$10000,"="&amp;R23))+(SUMIFS('[1]1_inventory_totals'!$J$8:$J$10000,'[1]1_inventory_totals'!$C$8:$C$10000,I23,'[1]1_inventory_totals'!$F$8:$F$10000,"="&amp;Q23,'[1]1_inventory_totals'!$G$8:$G$10000,"="&amp;R23)+SUMIFS('[1]1_inventory_totals'!$K$8:$K$10000,'[1]1_inventory_totals'!$C$8:$C$10000,I23,'[1]1_inventory_totals'!$F$8:$F$10000,"="&amp;Q23,'[1]1_inventory_totals'!$G$8:$G$10000,"="&amp;R23)+SUMIFS('[1]1_inventory_totals'!$L$8:$L$10000,'[1]1_inventory_totals'!$C$8:$C$10000,I23,'[1]1_inventory_totals'!$F$8:$F$10000,"="&amp;Q23,'[1]1_inventory_totals'!$G$8:$G$10000,"="&amp;R23)+SUMIFS('[1]1_inventory_totals'!$M$8:$M$10000,'[1]1_inventory_totals'!$C$8:$C$10000,I23,'[1]1_inventory_totals'!$F$8:$F$10000,"="&amp;Q23,'[1]1_inventory_totals'!$G$8:$G$10000,"="&amp;R23)+SUMIFS('[1]1_inventory_totals'!$O$8:$O$10000,'[1]1_inventory_totals'!$C$8:$C$10000,I23,'[1]1_inventory_totals'!$F$8:$F$10000,"="&amp;Q23,'[1]1_inventory_totals'!$G$8:$G$10000,"="&amp;R23)+SUMIFS('[1]1_inventory_totals'!$S$8:$S$10000,'[1]1_inventory_totals'!$C$8:$C$10000,I23,'[1]1_inventory_totals'!$F$8:$F$10000,"="&amp;Q23,'[1]1_inventory_totals'!$G$8:$G$10000,"="&amp;R23)))</f>
        <v/>
      </c>
      <c r="BB23" s="197" t="str">
        <f>IF(M23="","",(SUMIFS('[1]2_inventory_totals'!$I$8:$I$10000,'[1]2_inventory_totals'!$C$8:$C$10000,I23,'[1]2_inventory_totals'!$F$8:$F$10000,"="&amp;Q23,'[1]2_inventory_totals'!$G$8:$G$10000,"="&amp;R23)+SUMIFS('[1]2_inventory_totals'!$N$8:$N$10000,'[1]2_inventory_totals'!$C$8:$C$10000,I23,'[1]2_inventory_totals'!$F$8:$F$10000,"="&amp;Q23,'[1]2_inventory_totals'!$G$8:$G$10000,"="&amp;R23)+SUMIFS('[1]2_inventory_totals'!$P$8:$P$10000,'[1]2_inventory_totals'!$C$8:$C$10000,I23,'[1]2_inventory_totals'!$F$8:$F$10000,"="&amp;Q23,'[1]2_inventory_totals'!$G$8:$G$10000,"="&amp;R23)+SUMIFS('[1]2_inventory_totals'!$Q$8:$Q$10000,'[1]2_inventory_totals'!$C$8:$C$10000,I23,'[1]2_inventory_totals'!$F$8:$F$10000,"="&amp;Q23,'[1]2_inventory_totals'!$G$8:$G$10000,"="&amp;R23)+SUMIFS('[1]2_inventory_totals'!$R$8:$R$10000,'[1]2_inventory_totals'!$C$8:$C$10000,I23,'[1]2_inventory_totals'!$F$8:$F$10000,"="&amp;Q23,'[1]2_inventory_totals'!$G$8:$G$10000,"="&amp;R23))+(SUMIFS('[1]2_inventory_totals'!$J$8:$J$10000,'[1]2_inventory_totals'!$C$8:$C$10000,I23,'[1]2_inventory_totals'!$F$8:$F$10000,"="&amp;Q23,'[1]2_inventory_totals'!$G$8:$G$10000,"="&amp;R23)+SUMIFS('[1]2_inventory_totals'!$K$8:$K$10000,'[1]2_inventory_totals'!$C$8:$C$10000,I23,'[1]2_inventory_totals'!$F$8:$F$10000,"="&amp;Q23,'[1]2_inventory_totals'!$G$8:$G$10000,"="&amp;R23)+SUMIFS('[1]2_inventory_totals'!$L$8:$L$10000,'[1]2_inventory_totals'!$C$8:$C$10000,I23,'[1]2_inventory_totals'!$F$8:$F$10000,"="&amp;Q23,'[1]2_inventory_totals'!$G$8:$G$10000,"="&amp;R23)+SUMIFS('[1]2_inventory_totals'!$M$8:$M$10000,'[1]2_inventory_totals'!$C$8:$C$10000,I23,'[1]2_inventory_totals'!$F$8:$F$10000,"="&amp;Q23,'[1]2_inventory_totals'!$G$8:$G$10000,"="&amp;R23)+SUMIFS('[1]2_inventory_totals'!$O$8:$O$10000,'[1]2_inventory_totals'!$C$8:$C$10000,I23,'[1]2_inventory_totals'!$F$8:$F$10000,"="&amp;Q23,'[1]2_inventory_totals'!$G$8:$G$10000,"="&amp;R23)+SUMIFS('[1]2_inventory_totals'!$S$8:$S$10000,'[1]2_inventory_totals'!$C$8:$C$10000,I23,'[1]2_inventory_totals'!$F$8:$F$10000,"="&amp;Q23,'[1]2_inventory_totals'!$G$8:$G$10000,"="&amp;R23)))</f>
        <v/>
      </c>
    </row>
    <row r="24" spans="1:54" ht="27" customHeight="1">
      <c r="A24" s="923"/>
      <c r="B24" s="1251"/>
      <c r="C24" s="1647">
        <f>IF(OR(ISNA(VLOOKUP(MID(quot_ship_to,1,7),ship_to_list,3,FALSE)),quot_ship_to=""),C23,IF(C23="",VLOOKUP(MID(quot_ship_to,1,7),ship_to_list,3,FALSE),C23))</f>
        <v>0</v>
      </c>
      <c r="D24" s="1283"/>
      <c r="E24" s="1283"/>
      <c r="F24" s="1262"/>
      <c r="I24" s="1610" t="str">
        <f t="shared" si="10"/>
        <v/>
      </c>
      <c r="J24" s="1611" t="str">
        <f t="shared" si="25"/>
        <v/>
      </c>
      <c r="K24" s="1612" t="str">
        <f t="shared" si="30"/>
        <v/>
      </c>
      <c r="L24" s="1613"/>
      <c r="M24" s="883"/>
      <c r="N24" s="884"/>
      <c r="O24" s="884"/>
      <c r="P24" s="885"/>
      <c r="Q24" s="886"/>
      <c r="R24" s="891"/>
      <c r="S24" s="1614" t="str">
        <f t="shared" ref="S24" si="84">IF(M24="","",quot_currency_symbol)</f>
        <v/>
      </c>
      <c r="T24" s="888"/>
      <c r="U24" s="1650" t="str">
        <f t="shared" si="13"/>
        <v/>
      </c>
      <c r="V24" s="1615" t="str">
        <f t="shared" ref="V24" si="85">IF(W24=0,"",quot_currency_symbol)</f>
        <v/>
      </c>
      <c r="W24" s="889"/>
      <c r="X24" s="1615" t="str">
        <f t="shared" ref="X24" si="86">IF(M24="","",quot_currency_symbol)</f>
        <v/>
      </c>
      <c r="Y24" s="1616" t="str">
        <f t="shared" si="34"/>
        <v/>
      </c>
      <c r="Z24" s="890"/>
      <c r="AA24" s="197" t="str" cm="1">
        <f t="array" ref="AA24">IF(M24="","",IF(P24=AN24,1,Slookup(MID(AN24,1,3)*1,UomConversion!$D$8:$J$500,5,UomConversion!$E$8:$E$500,MID(P24,1,3)*1,UomConversion!$J$8:$J$500,1)))</f>
        <v/>
      </c>
      <c r="AB24" s="197" t="str">
        <f t="shared" si="3"/>
        <v/>
      </c>
      <c r="AC24" s="197" t="str">
        <f t="shared" si="17"/>
        <v/>
      </c>
      <c r="AD24" s="197" t="str">
        <f t="shared" si="18"/>
        <v/>
      </c>
      <c r="AE24" s="197" t="str">
        <f t="shared" si="19"/>
        <v/>
      </c>
      <c r="AF24" s="197" t="str">
        <f t="shared" si="5"/>
        <v/>
      </c>
      <c r="AG24" s="197" t="str">
        <f t="shared" si="6"/>
        <v/>
      </c>
      <c r="AH24" s="197" t="str">
        <f>IF(I24="","",IF(ISNA(MATCH(I24,IF(quot_location_id=1,'[1]1_inventory_totals'!$C$8:$C$10000,IF(quot_location_id=2,'[1]2_inventory_totals'!$C$8:$C$10000,0)),0)),0,IF(AV24&gt;0,1,0)))</f>
        <v/>
      </c>
      <c r="AI24" s="197" t="str">
        <f>IF(M24="","",IF(quot_location_id=1,SUMIFS('[1]1_inventory_total_details'!$J$8:$J$10000,'[1]1_inventory_total_details'!$C$8:$C$10000,I24,'[1]1_inventory_total_details'!$F$8:$F$10000,quot_location_id,'[1]1_inventory_total_details'!$G$8:$G$10000,"="&amp;Q24,'[1]1_inventory_total_details'!$H$8:$H$10000,"="&amp;R24,'[1]1_inventory_total_details'!$I$8:$I$10000,"="&amp;quot_date)+SUMIFS('[1]1_inventory_total_details'!$M$8:$M$10000,'[1]1_inventory_total_details'!$C$8:$C$10000,I24,'[1]1_inventory_total_details'!$F$8:$F$10000,quot_location_id,'[1]1_inventory_total_details'!$G$8:$G$10000,"="&amp;Q24,'[1]1_inventory_total_details'!$H$8:$H$10000,"="&amp;R24,'[1]1_inventory_total_details'!$I$8:$I$10000,"="&amp;quot_date)+SUMIFS('[1]1_inventory_total_details'!$K$8:$K$10000,'[1]1_inventory_total_details'!$C$8:$C$10000,I24,'[1]1_inventory_total_details'!$F$8:$F$10000,quot_location_id,'[1]1_inventory_total_details'!$G$8:$G$10000,"="&amp;Q24,'[1]1_inventory_total_details'!$H$8:$H$10000,"="&amp;R24,'[1]1_inventory_total_details'!$I$8:$I$10000,"="&amp;quot_date)+SUMIFS('[1]1_inventory_total_details'!$L$8:$L$10000,'[1]1_inventory_total_details'!$C$8:$C$10000,I24,'[1]1_inventory_total_details'!$F$8:$F$10000,quot_location_id,'[1]1_inventory_total_details'!$G$8:$G$10000,"="&amp;Q24,'[1]1_inventory_total_details'!$H$8:$H$10000,"="&amp;R24,'[1]1_inventory_total_details'!$I$8:$I$10000,"="&amp;quot_date),SUMIFS('[1]2_inventory_total_details'!$J$8:$J$10000,'[1]2_inventory_total_details'!$C$8:$C$10000,I24,'[1]2_inventory_total_details'!$F$8:$F$10000,quot_location_id,'[1]2_inventory_total_details'!$G$8:$G$10000,"="&amp;Q24,'[1]2_inventory_total_details'!$H$8:$H$10000,"="&amp;R24,'[1]2_inventory_total_details'!$I$8:$I$10000,"="&amp;quot_date)+SUMIFS('[1]2_inventory_total_details'!$M$8:$M$10000,'[1]2_inventory_total_details'!$C$8:$C$10000,I24,'[1]2_inventory_total_details'!$F$8:$F$10000,quot_location_id,'[1]2_inventory_total_details'!$G$8:$G$10000,"="&amp;Q24,'[1]2_inventory_total_details'!$H$8:$H$10000,"="&amp;R24,'[1]2_inventory_total_details'!$I$8:$I$10000,"="&amp;quot_date)+SUMIFS('[1]2_inventory_total_details'!$K$8:$K$10000,'[1]2_inventory_total_details'!$C$8:$C$10000,I24,'[1]2_inventory_total_details'!$F$8:$F$10000,quot_location_id,'[1]2_inventory_total_details'!$G$8:$G$10000,"="&amp;Q24,'[1]2_inventory_total_details'!$H$8:$H$10000,"="&amp;R24,'[1]2_inventory_total_details'!$I$8:$I$10000,"="&amp;quot_date)+SUMIFS('[1]2_inventory_total_details'!$L$8:$L$10000,'[1]2_inventory_total_details'!$C$8:$C$10000,I24,'[1]2_inventory_total_details'!$F$8:$F$10000,quot_location_id,'[1]2_inventory_total_details'!$G$8:$G$10000,"="&amp;Q24,'[1]2_inventory_total_details'!$H$8:$H$10000,"="&amp;R24,'[1]2_inventory_total_details'!$I$8:$I$10000,"="&amp;quot_date)))</f>
        <v/>
      </c>
      <c r="AJ24" s="197" t="str">
        <f>IF(M24="","",IF(ISNA(MATCH(I24,'[1]1_group_totals'!$C$8:$C$10000)),0,IF(AW24&gt;0,1,0)))</f>
        <v/>
      </c>
      <c r="AK24" s="197" t="str">
        <f>IF(M24="","",(SUMIFS('[1]1_group_total_details'!$I$8:$I$10000,'[1]1_group_total_details'!$C$8:$C$10000,I24,'[1]1_group_total_details'!$F$8:$F$10000,quot_location_group_id,'[1]1_group_total_details'!$G$8:$G$10000,quot_location_id,'[1]1_group_total_details'!$H$8:$H$10000,"="&amp;quot_date)+SUMIFS('[1]1_group_total_details'!$L$8:$L$10000,'[1]1_group_total_details'!$C$8:$C$10000,I24,'[1]1_group_total_details'!$F$8:$F$10000,quot_location_group_id,'[1]1_group_total_details'!$G$8:$G$10000,quot_location_id,'[1]1_group_total_details'!$H$8:$H$10000,"="&amp;quot_date)+SUMIFS('[1]1_group_total_details'!$N$8:$N$10000,'[1]1_group_total_details'!$C$8:$C$10000,I24,'[1]1_group_total_details'!$F$8:$F$10000,quot_location_group_id,'[1]1_group_total_details'!$G$8:$G$10000,quot_location_id,'[1]1_group_total_details'!$H$8:$H$10000,"="&amp;quot_date)+SUMIFS('[1]1_group_total_details'!$O$8:$O$10000,'[1]1_group_total_details'!$C$8:$C$10000,I24,'[1]1_group_total_details'!$F$8:$F$10000,quot_location_group_id,'[1]1_group_total_details'!$G$8:$G$10000,quot_location_id,'[1]1_group_total_details'!$H$8:$H$10000,"="&amp;quot_date))+(SUMIFS('[1]1_group_total_details'!$J$8:$J$10000,'[1]1_group_total_details'!$C$8:$C$10000,I24,'[1]1_group_total_details'!$F$8:$F$10000,quot_location_group_id,'[1]1_group_total_details'!$G$8:$G$10000,quot_location_id,'[1]1_group_total_details'!$H$8:$H$10000,"="&amp;quot_date)+SUMIFS('[1]1_group_total_details'!$K$8:$K$10000,'[1]1_group_total_details'!$C$8:$C$10000,I24,'[1]1_group_total_details'!$F$8:$F$10000,quot_location_group_id,'[1]1_group_total_details'!$G$8:$G$10000,quot_location_id,'[1]1_group_total_details'!$H$8:$H$10000,"="&amp;quot_date)+SUMIFS('[1]1_group_total_details'!$M$8:$M$10000,'[1]1_group_total_details'!$C$8:$C$10000,I24,'[1]1_group_total_details'!$F$8:$F$10000,quot_location_group_id,'[1]1_group_total_details'!$G$8:$G$10000,quot_location_id,'[1]1_group_total_details'!$H$8:$H$10000,"="&amp;quot_date)+SUMIFS('[1]1_group_total_details'!$P$8:$P$10000,'[1]1_group_total_details'!$C$8:$C$10000,I24,'[1]1_group_total_details'!$F$8:$F$10000,quot_location_group_id,'[1]1_group_total_details'!$G$8:$G$10000,quot_location_id,'[1]1_group_total_details'!$H$8:$H$10000,"="&amp;quot_date)))</f>
        <v/>
      </c>
      <c r="AL24" s="197" t="str">
        <f>IF(M24="","",(SUMIFS('[1]1_group_total_details'!$I$8:$I$10000,'[1]1_group_total_details'!$C$8:$C$10000,I24,'[1]1_group_total_details'!$F$8:$F$10000,quot_location_group_id,'[1]1_group_total_details'!$G$8:$G$10000,quot_location_id,'[1]1_group_total_details'!$H$8:$H$10000,"&lt;="&amp;quot_date)+SUMIFS('[1]1_group_total_details'!$L$8:$L$10000,'[1]1_group_total_details'!$C$8:$C$10000,I24,'[1]1_group_total_details'!$F$8:$F$10000,quot_location_group_id,'[1]1_group_total_details'!$G$8:$G$10000,1,'[1]1_group_total_details'!$H$8:$H$10000,"&lt;="&amp;quot_date)+SUMIFS('[1]1_group_total_details'!$N$8:$N$10000,'[1]1_group_total_details'!$C$8:$C$10000,I24,'[1]1_group_total_details'!$F$8:$F$10000,quot_location_group_id,'[1]1_group_total_details'!$G$8:$G$10000,quot_location_id,'[1]1_group_total_details'!$H$8:$H$10000,"&lt;="&amp;quot_date)+SUMIFS('[1]1_group_total_details'!$O$8:$O$10000,'[1]1_group_total_details'!$C$8:$C$10000,I24,'[1]1_group_total_details'!$F$8:$F$10000,quot_location_group_id,'[1]1_group_total_details'!$G$8:$G$10000,quot_location_id,'[1]1_group_total_details'!$H$8:$H$10000,"&lt;="&amp;quot_date))-(SUMIFS('[1]1_group_total_details'!$J$8:$J$10000,'[1]1_group_total_details'!$C$8:$C$10000,I24,'[1]1_group_total_details'!$F$8:$F$10000,quot_location_group_id,'[1]1_group_total_details'!$G$8:$G$10000,quot_location_id,'[1]1_group_total_details'!$H$8:$H$10000,"&lt;="&amp;quot_date)+SUMIFS('[1]1_group_total_details'!$K$8:$K$10000,'[1]1_group_total_details'!$C$8:$C$10000,I24,'[1]1_group_total_details'!$F$8:$F$10000,quot_location_group_id,'[1]1_group_total_details'!$G$8:$G$10000,quot_location_id,'[1]1_group_total_details'!$H$8:$H$10000,"&lt;="&amp;quot_date)+SUMIFS('[1]1_group_total_details'!$M$8:$M$10000,'[1]1_group_total_details'!$C$8:$C$10000,I24,'[1]1_group_total_details'!$F$8:$F$10000,quot_location_group_id,'[1]1_group_total_details'!$G$8:$G$10000,quot_location_id,'[1]1_group_total_details'!$H$8:$H$10000,"&lt;="&amp;quot_date)+SUMIFS('[1]1_group_total_details'!$P$8:$P$10000,'[1]1_group_total_details'!$C$8:$C$10000,I24,'[1]1_group_total_details'!$F$8:$F$10000,quot_location_group_id,'[1]1_group_total_details'!$G$8:$G$10000,quot_location_id,'[1]1_group_total_details'!$H$8:$H$10000,"&lt;="&amp;quot_date)))</f>
        <v/>
      </c>
      <c r="AM24" s="197" t="str">
        <f>IF(M24="","",SUMIFS('[1]1_group_totals'!$J$8:$J$10000,'[1]1_group_totals'!$C$8:$C$10000,I24,'[1]1_group_totals'!$F$8:$F$10000,quot_location_group_id,'[1]1_group_totals'!$G$8:$G$10000,quot_location_id,'[1]1_group_totals'!$H$8:$H$10000,"="&amp;Q24,'[1]1_group_totals'!$I$8:$I$10000,"="&amp;R24))</f>
        <v/>
      </c>
      <c r="AN24" s="197" t="str">
        <f t="shared" si="7"/>
        <v/>
      </c>
      <c r="AO24" s="197" t="str">
        <f>IF(OR(ISNA(MATCH(MID(AN24,1,3)*1,UomConversion!$D$8:$D$500,0)),M24=""),"",IF(AT24="","",AT24))</f>
        <v/>
      </c>
      <c r="AP24" s="197" t="str">
        <f>IF(AND(AQ24&gt;0,COUNTIFS(UomConversion!$D$8:$D$500,MID(AN24,1,3)*1,UomConversion!$J$8:$J$500,1)&gt;1),TEXT(AQ24,"000")&amp;"."&amp;VLOOKUP(AQ24,uom_list,5,FALSE),"")</f>
        <v/>
      </c>
      <c r="AQ24" s="197" t="str">
        <f t="shared" si="20"/>
        <v/>
      </c>
      <c r="AR24" s="197" t="str">
        <f t="shared" si="21"/>
        <v/>
      </c>
      <c r="AS24" s="197" t="str">
        <f>IF(M24="","",SUMIFS(ProductPrice!$N$28:$N$10020,ProductPrice!$D$28:$D$10020,I24,ProductPrice!$G$28:$G$10020,quot_branch_id,ProductPrice!$H$28:$H$10020,quot_price_type_id,ProductPrice!$I$28:$I$10020,MID(P24,1,3)*1,ProductPrice!$Q$28:$Q$10020,1))</f>
        <v/>
      </c>
      <c r="AT24" s="197" t="str">
        <f t="shared" si="8"/>
        <v/>
      </c>
      <c r="AU24" s="197" t="str" cm="1">
        <f t="array" ref="AU24">IF(M24="","",IF(ISNA(Slookup(MID(AN24,1,3)*1,UomConversion!$D$8:$J$500,2,UomConversion!$I$8:$I$500,1,UomConversion!$J$8:$J$500,1)),"",Slookup(MID(AN24,1,3)*1,UomConversion!$D$8:$J$500,2,UomConversion!$I$8:$I$500,1,UomConversion!$J$8:$J$500,1)))</f>
        <v/>
      </c>
      <c r="AV24" s="197" t="str">
        <f t="shared" ref="AV24" si="87">IF(M24="","",IF(quot_location_id=1,BA24,IF(quot_location_id=2,BB24,0)))</f>
        <v/>
      </c>
      <c r="AW24" s="197" t="str">
        <f>IF(M24="","",(SUMIFS('[1]1_group_totals'!$K$8:$K$10000,'[1]1_group_totals'!$C$8:$C$10000,I24,'[1]1_group_totals'!$F$8:$F$10000,quot_location_group_id,'[1]1_group_totals'!$G$8:$G$10000,quot_location_id,'[1]1_group_totals'!$H$8:$H$10000,"="&amp;Q24,'[1]1_group_totals'!$I$8:$I$10000,"="&amp;R24)+SUMIFS('[1]1_group_totals'!$N$8:$N$10000,'[1]1_group_totals'!$C$8:$C$10000,I24,'[1]1_group_totals'!$F$8:$F$10000,quot_location_group_id,'[1]1_group_totals'!$G$8:$G$10000,quot_location_id,'[1]1_group_totals'!$H$8:$H$10000,"="&amp;Q24,'[1]1_group_totals'!$I$8:$I$10000,"="&amp;R24)+SUMIFS('[1]1_group_totals'!$P$8:$P$10000,'[1]1_group_totals'!$C$8:$C$10000,I24,'[1]1_group_totals'!$F$8:$F$10000,quot_location_group_id,'[1]1_group_totals'!$G$8:$G$10000,quot_location_id,'[1]1_group_totals'!$H$8:$H$10000,"="&amp;Q24,'[1]1_group_totals'!$I$8:$I$10000,"="&amp;R24)+SUMIFS('[1]1_group_totals'!$Q$8:$Q$10000,'[1]1_group_totals'!$C$8:$C$10000,I24,'[1]1_group_totals'!$F$8:$F$10000,quot_location_group_id,'[1]1_group_totals'!$G$8:$G$10000,quot_location_id,'[1]1_group_totals'!$H$8:$H$10000,"="&amp;Q24,'[1]1_group_totals'!$I$8:$I$10000,"="&amp;R24))+(SUMIFS('[1]1_group_totals'!$L$8:$L$10000,'[1]1_group_totals'!$C$8:$C$10000,I24,'[1]1_group_totals'!$F$8:$F$10000,quot_location_group_id,'[1]1_group_totals'!$G$8:$G$10000,quot_location_id,'[1]1_group_totals'!$H$8:$H$10000,"="&amp;Q24,'[1]1_group_totals'!$I$8:$I$10000,"="&amp;R24)+SUMIFS('[1]1_group_totals'!$M$8:$M$10000,'[1]1_group_totals'!$C$8:$C$10000,I24,'[1]1_group_totals'!$F$8:$F$10000,quot_location_group_id,'[1]1_group_totals'!$G$8:$G$10000,quot_location_id,'[1]1_group_totals'!$H$8:$H$10000,"="&amp;Q24,'[1]1_group_totals'!$I$8:$I$10000,"="&amp;R24)+SUMIFS('[1]1_group_totals'!$O$8:$O$10000,'[1]1_group_totals'!$C$8:$C$10000,I24,'[1]1_group_totals'!$F$8:$F$10000,quot_location_group_id,'[1]1_group_totals'!$G$8:$G$10000,quot_location_id,'[1]1_group_totals'!$H$8:$H$10000,"="&amp;Q24,'[1]1_group_totals'!$I$8:$I$10000,"="&amp;R24)+SUMIFS('[1]1_group_totals'!$R$8:$R$10000,'[1]1_group_totals'!$C$8:$C$10000,I24,'[1]1_group_totals'!$F$8:$F$10000,quot_location_group_id,'[1]1_group_totals'!$G$8:$G$10000,quot_location_id,'[1]1_group_totals'!$H$8:$H$10000,"="&amp;Q24,'[1]1_group_totals'!$I$8:$I$10000,"="&amp;R24)))</f>
        <v/>
      </c>
      <c r="AX24" s="197" t="str">
        <f t="shared" si="23"/>
        <v/>
      </c>
      <c r="AY24" s="197" t="str">
        <f>IF(M24="","",SUMIFS($AX$8:AX24,$I$8:I24,I24))</f>
        <v/>
      </c>
      <c r="AZ24" s="197" t="str">
        <f t="shared" si="24"/>
        <v/>
      </c>
      <c r="BA24" s="197" t="str">
        <f>IF(M24="","",(SUMIFS('[1]1_inventory_totals'!$I$8:$I$10000,'[1]1_inventory_totals'!$C$8:$C$10000,I24,'[1]1_inventory_totals'!$F$8:$F$10000,"="&amp;Q24,'[1]1_inventory_totals'!$G$8:$G$10000,"="&amp;R24)+SUMIFS('[1]1_inventory_totals'!$N$8:$N$10000,'[1]1_inventory_totals'!$C$8:$C$10000,I24,'[1]1_inventory_totals'!$F$8:$F$10000,"="&amp;Q24,'[1]1_inventory_totals'!$G$8:$G$10000,"="&amp;R24)+SUMIFS('[1]1_inventory_totals'!$P$8:$P$10000,'[1]1_inventory_totals'!$C$8:$C$10000,I24,'[1]1_inventory_totals'!$F$8:$F$10000,"="&amp;Q24,'[1]1_inventory_totals'!$G$8:$G$10000,"="&amp;R24)+SUMIFS('[1]1_inventory_totals'!$Q$8:$Q$10000,'[1]1_inventory_totals'!$C$8:$C$10000,I24,'[1]1_inventory_totals'!$F$8:$F$10000,"="&amp;Q24,'[1]1_inventory_totals'!$G$8:$G$10000,"="&amp;R24)+SUMIFS('[1]1_inventory_totals'!$R$8:$R$10000,'[1]1_inventory_totals'!$C$8:$C$10000,I24,'[1]1_inventory_totals'!$F$8:$F$10000,"="&amp;Q24,'[1]1_inventory_totals'!$G$8:$G$10000,"="&amp;R24))+(SUMIFS('[1]1_inventory_totals'!$J$8:$J$10000,'[1]1_inventory_totals'!$C$8:$C$10000,I24,'[1]1_inventory_totals'!$F$8:$F$10000,"="&amp;Q24,'[1]1_inventory_totals'!$G$8:$G$10000,"="&amp;R24)+SUMIFS('[1]1_inventory_totals'!$K$8:$K$10000,'[1]1_inventory_totals'!$C$8:$C$10000,I24,'[1]1_inventory_totals'!$F$8:$F$10000,"="&amp;Q24,'[1]1_inventory_totals'!$G$8:$G$10000,"="&amp;R24)+SUMIFS('[1]1_inventory_totals'!$L$8:$L$10000,'[1]1_inventory_totals'!$C$8:$C$10000,I24,'[1]1_inventory_totals'!$F$8:$F$10000,"="&amp;Q24,'[1]1_inventory_totals'!$G$8:$G$10000,"="&amp;R24)+SUMIFS('[1]1_inventory_totals'!$M$8:$M$10000,'[1]1_inventory_totals'!$C$8:$C$10000,I24,'[1]1_inventory_totals'!$F$8:$F$10000,"="&amp;Q24,'[1]1_inventory_totals'!$G$8:$G$10000,"="&amp;R24)+SUMIFS('[1]1_inventory_totals'!$O$8:$O$10000,'[1]1_inventory_totals'!$C$8:$C$10000,I24,'[1]1_inventory_totals'!$F$8:$F$10000,"="&amp;Q24,'[1]1_inventory_totals'!$G$8:$G$10000,"="&amp;R24)+SUMIFS('[1]1_inventory_totals'!$S$8:$S$10000,'[1]1_inventory_totals'!$C$8:$C$10000,I24,'[1]1_inventory_totals'!$F$8:$F$10000,"="&amp;Q24,'[1]1_inventory_totals'!$G$8:$G$10000,"="&amp;R24)))</f>
        <v/>
      </c>
      <c r="BB24" s="197" t="str">
        <f>IF(M24="","",(SUMIFS('[1]2_inventory_totals'!$I$8:$I$10000,'[1]2_inventory_totals'!$C$8:$C$10000,I24,'[1]2_inventory_totals'!$F$8:$F$10000,"="&amp;Q24,'[1]2_inventory_totals'!$G$8:$G$10000,"="&amp;R24)+SUMIFS('[1]2_inventory_totals'!$N$8:$N$10000,'[1]2_inventory_totals'!$C$8:$C$10000,I24,'[1]2_inventory_totals'!$F$8:$F$10000,"="&amp;Q24,'[1]2_inventory_totals'!$G$8:$G$10000,"="&amp;R24)+SUMIFS('[1]2_inventory_totals'!$P$8:$P$10000,'[1]2_inventory_totals'!$C$8:$C$10000,I24,'[1]2_inventory_totals'!$F$8:$F$10000,"="&amp;Q24,'[1]2_inventory_totals'!$G$8:$G$10000,"="&amp;R24)+SUMIFS('[1]2_inventory_totals'!$Q$8:$Q$10000,'[1]2_inventory_totals'!$C$8:$C$10000,I24,'[1]2_inventory_totals'!$F$8:$F$10000,"="&amp;Q24,'[1]2_inventory_totals'!$G$8:$G$10000,"="&amp;R24)+SUMIFS('[1]2_inventory_totals'!$R$8:$R$10000,'[1]2_inventory_totals'!$C$8:$C$10000,I24,'[1]2_inventory_totals'!$F$8:$F$10000,"="&amp;Q24,'[1]2_inventory_totals'!$G$8:$G$10000,"="&amp;R24))+(SUMIFS('[1]2_inventory_totals'!$J$8:$J$10000,'[1]2_inventory_totals'!$C$8:$C$10000,I24,'[1]2_inventory_totals'!$F$8:$F$10000,"="&amp;Q24,'[1]2_inventory_totals'!$G$8:$G$10000,"="&amp;R24)+SUMIFS('[1]2_inventory_totals'!$K$8:$K$10000,'[1]2_inventory_totals'!$C$8:$C$10000,I24,'[1]2_inventory_totals'!$F$8:$F$10000,"="&amp;Q24,'[1]2_inventory_totals'!$G$8:$G$10000,"="&amp;R24)+SUMIFS('[1]2_inventory_totals'!$L$8:$L$10000,'[1]2_inventory_totals'!$C$8:$C$10000,I24,'[1]2_inventory_totals'!$F$8:$F$10000,"="&amp;Q24,'[1]2_inventory_totals'!$G$8:$G$10000,"="&amp;R24)+SUMIFS('[1]2_inventory_totals'!$M$8:$M$10000,'[1]2_inventory_totals'!$C$8:$C$10000,I24,'[1]2_inventory_totals'!$F$8:$F$10000,"="&amp;Q24,'[1]2_inventory_totals'!$G$8:$G$10000,"="&amp;R24)+SUMIFS('[1]2_inventory_totals'!$O$8:$O$10000,'[1]2_inventory_totals'!$C$8:$C$10000,I24,'[1]2_inventory_totals'!$F$8:$F$10000,"="&amp;Q24,'[1]2_inventory_totals'!$G$8:$G$10000,"="&amp;R24)+SUMIFS('[1]2_inventory_totals'!$S$8:$S$10000,'[1]2_inventory_totals'!$C$8:$C$10000,I24,'[1]2_inventory_totals'!$F$8:$F$10000,"="&amp;Q24,'[1]2_inventory_totals'!$G$8:$G$10000,"="&amp;R24)))</f>
        <v/>
      </c>
    </row>
    <row r="25" spans="1:54" ht="27" customHeight="1" thickBot="1">
      <c r="A25" s="923"/>
      <c r="B25" s="1251"/>
      <c r="C25" s="947" t="s">
        <v>3347</v>
      </c>
      <c r="D25" s="950"/>
      <c r="E25" s="950"/>
      <c r="F25" s="1262"/>
      <c r="I25" s="1610" t="str">
        <f t="shared" si="10"/>
        <v/>
      </c>
      <c r="J25" s="1611" t="str">
        <f t="shared" si="25"/>
        <v/>
      </c>
      <c r="K25" s="1612" t="str">
        <f t="shared" si="30"/>
        <v/>
      </c>
      <c r="L25" s="1613"/>
      <c r="M25" s="883"/>
      <c r="N25" s="884"/>
      <c r="O25" s="884"/>
      <c r="P25" s="885"/>
      <c r="Q25" s="886"/>
      <c r="R25" s="891"/>
      <c r="S25" s="1614" t="str">
        <f t="shared" ref="S25" si="88">IF(M25="","",quot_currency_symbol)</f>
        <v/>
      </c>
      <c r="T25" s="888"/>
      <c r="U25" s="1650" t="str">
        <f t="shared" si="13"/>
        <v/>
      </c>
      <c r="V25" s="1615" t="str">
        <f t="shared" ref="V25" si="89">IF(W25=0,"",quot_currency_symbol)</f>
        <v/>
      </c>
      <c r="W25" s="889"/>
      <c r="X25" s="1615" t="str">
        <f t="shared" ref="X25" si="90">IF(M25="","",quot_currency_symbol)</f>
        <v/>
      </c>
      <c r="Y25" s="1616" t="str">
        <f t="shared" si="34"/>
        <v/>
      </c>
      <c r="Z25" s="890"/>
      <c r="AA25" s="197" t="str" cm="1">
        <f t="array" ref="AA25">IF(M25="","",IF(P25=AN25,1,Slookup(MID(AN25,1,3)*1,UomConversion!$D$8:$J$500,5,UomConversion!$E$8:$E$500,MID(P25,1,3)*1,UomConversion!$J$8:$J$500,1)))</f>
        <v/>
      </c>
      <c r="AB25" s="197" t="str">
        <f t="shared" si="3"/>
        <v/>
      </c>
      <c r="AC25" s="197" t="str">
        <f t="shared" si="17"/>
        <v/>
      </c>
      <c r="AD25" s="197" t="str">
        <f t="shared" si="18"/>
        <v/>
      </c>
      <c r="AE25" s="197" t="str">
        <f t="shared" si="19"/>
        <v/>
      </c>
      <c r="AF25" s="197" t="str">
        <f t="shared" si="5"/>
        <v/>
      </c>
      <c r="AG25" s="197" t="str">
        <f t="shared" si="6"/>
        <v/>
      </c>
      <c r="AH25" s="197" t="str">
        <f>IF(I25="","",IF(ISNA(MATCH(I25,IF(quot_location_id=1,'[1]1_inventory_totals'!$C$8:$C$10000,IF(quot_location_id=2,'[1]2_inventory_totals'!$C$8:$C$10000,0)),0)),0,IF(AV25&gt;0,1,0)))</f>
        <v/>
      </c>
      <c r="AI25" s="197" t="str">
        <f>IF(M25="","",IF(quot_location_id=1,SUMIFS('[1]1_inventory_total_details'!$J$8:$J$10000,'[1]1_inventory_total_details'!$C$8:$C$10000,I25,'[1]1_inventory_total_details'!$F$8:$F$10000,quot_location_id,'[1]1_inventory_total_details'!$G$8:$G$10000,"="&amp;Q25,'[1]1_inventory_total_details'!$H$8:$H$10000,"="&amp;R25,'[1]1_inventory_total_details'!$I$8:$I$10000,"="&amp;quot_date)+SUMIFS('[1]1_inventory_total_details'!$M$8:$M$10000,'[1]1_inventory_total_details'!$C$8:$C$10000,I25,'[1]1_inventory_total_details'!$F$8:$F$10000,quot_location_id,'[1]1_inventory_total_details'!$G$8:$G$10000,"="&amp;Q25,'[1]1_inventory_total_details'!$H$8:$H$10000,"="&amp;R25,'[1]1_inventory_total_details'!$I$8:$I$10000,"="&amp;quot_date)+SUMIFS('[1]1_inventory_total_details'!$K$8:$K$10000,'[1]1_inventory_total_details'!$C$8:$C$10000,I25,'[1]1_inventory_total_details'!$F$8:$F$10000,quot_location_id,'[1]1_inventory_total_details'!$G$8:$G$10000,"="&amp;Q25,'[1]1_inventory_total_details'!$H$8:$H$10000,"="&amp;R25,'[1]1_inventory_total_details'!$I$8:$I$10000,"="&amp;quot_date)+SUMIFS('[1]1_inventory_total_details'!$L$8:$L$10000,'[1]1_inventory_total_details'!$C$8:$C$10000,I25,'[1]1_inventory_total_details'!$F$8:$F$10000,quot_location_id,'[1]1_inventory_total_details'!$G$8:$G$10000,"="&amp;Q25,'[1]1_inventory_total_details'!$H$8:$H$10000,"="&amp;R25,'[1]1_inventory_total_details'!$I$8:$I$10000,"="&amp;quot_date),SUMIFS('[1]2_inventory_total_details'!$J$8:$J$10000,'[1]2_inventory_total_details'!$C$8:$C$10000,I25,'[1]2_inventory_total_details'!$F$8:$F$10000,quot_location_id,'[1]2_inventory_total_details'!$G$8:$G$10000,"="&amp;Q25,'[1]2_inventory_total_details'!$H$8:$H$10000,"="&amp;R25,'[1]2_inventory_total_details'!$I$8:$I$10000,"="&amp;quot_date)+SUMIFS('[1]2_inventory_total_details'!$M$8:$M$10000,'[1]2_inventory_total_details'!$C$8:$C$10000,I25,'[1]2_inventory_total_details'!$F$8:$F$10000,quot_location_id,'[1]2_inventory_total_details'!$G$8:$G$10000,"="&amp;Q25,'[1]2_inventory_total_details'!$H$8:$H$10000,"="&amp;R25,'[1]2_inventory_total_details'!$I$8:$I$10000,"="&amp;quot_date)+SUMIFS('[1]2_inventory_total_details'!$K$8:$K$10000,'[1]2_inventory_total_details'!$C$8:$C$10000,I25,'[1]2_inventory_total_details'!$F$8:$F$10000,quot_location_id,'[1]2_inventory_total_details'!$G$8:$G$10000,"="&amp;Q25,'[1]2_inventory_total_details'!$H$8:$H$10000,"="&amp;R25,'[1]2_inventory_total_details'!$I$8:$I$10000,"="&amp;quot_date)+SUMIFS('[1]2_inventory_total_details'!$L$8:$L$10000,'[1]2_inventory_total_details'!$C$8:$C$10000,I25,'[1]2_inventory_total_details'!$F$8:$F$10000,quot_location_id,'[1]2_inventory_total_details'!$G$8:$G$10000,"="&amp;Q25,'[1]2_inventory_total_details'!$H$8:$H$10000,"="&amp;R25,'[1]2_inventory_total_details'!$I$8:$I$10000,"="&amp;quot_date)))</f>
        <v/>
      </c>
      <c r="AJ25" s="197" t="str">
        <f>IF(M25="","",IF(ISNA(MATCH(I25,'[1]1_group_totals'!$C$8:$C$10000)),0,IF(AW25&gt;0,1,0)))</f>
        <v/>
      </c>
      <c r="AK25" s="197" t="str">
        <f>IF(M25="","",(SUMIFS('[1]1_group_total_details'!$I$8:$I$10000,'[1]1_group_total_details'!$C$8:$C$10000,I25,'[1]1_group_total_details'!$F$8:$F$10000,quot_location_group_id,'[1]1_group_total_details'!$G$8:$G$10000,quot_location_id,'[1]1_group_total_details'!$H$8:$H$10000,"="&amp;quot_date)+SUMIFS('[1]1_group_total_details'!$L$8:$L$10000,'[1]1_group_total_details'!$C$8:$C$10000,I25,'[1]1_group_total_details'!$F$8:$F$10000,quot_location_group_id,'[1]1_group_total_details'!$G$8:$G$10000,quot_location_id,'[1]1_group_total_details'!$H$8:$H$10000,"="&amp;quot_date)+SUMIFS('[1]1_group_total_details'!$N$8:$N$10000,'[1]1_group_total_details'!$C$8:$C$10000,I25,'[1]1_group_total_details'!$F$8:$F$10000,quot_location_group_id,'[1]1_group_total_details'!$G$8:$G$10000,quot_location_id,'[1]1_group_total_details'!$H$8:$H$10000,"="&amp;quot_date)+SUMIFS('[1]1_group_total_details'!$O$8:$O$10000,'[1]1_group_total_details'!$C$8:$C$10000,I25,'[1]1_group_total_details'!$F$8:$F$10000,quot_location_group_id,'[1]1_group_total_details'!$G$8:$G$10000,quot_location_id,'[1]1_group_total_details'!$H$8:$H$10000,"="&amp;quot_date))+(SUMIFS('[1]1_group_total_details'!$J$8:$J$10000,'[1]1_group_total_details'!$C$8:$C$10000,I25,'[1]1_group_total_details'!$F$8:$F$10000,quot_location_group_id,'[1]1_group_total_details'!$G$8:$G$10000,quot_location_id,'[1]1_group_total_details'!$H$8:$H$10000,"="&amp;quot_date)+SUMIFS('[1]1_group_total_details'!$K$8:$K$10000,'[1]1_group_total_details'!$C$8:$C$10000,I25,'[1]1_group_total_details'!$F$8:$F$10000,quot_location_group_id,'[1]1_group_total_details'!$G$8:$G$10000,quot_location_id,'[1]1_group_total_details'!$H$8:$H$10000,"="&amp;quot_date)+SUMIFS('[1]1_group_total_details'!$M$8:$M$10000,'[1]1_group_total_details'!$C$8:$C$10000,I25,'[1]1_group_total_details'!$F$8:$F$10000,quot_location_group_id,'[1]1_group_total_details'!$G$8:$G$10000,quot_location_id,'[1]1_group_total_details'!$H$8:$H$10000,"="&amp;quot_date)+SUMIFS('[1]1_group_total_details'!$P$8:$P$10000,'[1]1_group_total_details'!$C$8:$C$10000,I25,'[1]1_group_total_details'!$F$8:$F$10000,quot_location_group_id,'[1]1_group_total_details'!$G$8:$G$10000,quot_location_id,'[1]1_group_total_details'!$H$8:$H$10000,"="&amp;quot_date)))</f>
        <v/>
      </c>
      <c r="AL25" s="197" t="str">
        <f>IF(M25="","",(SUMIFS('[1]1_group_total_details'!$I$8:$I$10000,'[1]1_group_total_details'!$C$8:$C$10000,I25,'[1]1_group_total_details'!$F$8:$F$10000,quot_location_group_id,'[1]1_group_total_details'!$G$8:$G$10000,quot_location_id,'[1]1_group_total_details'!$H$8:$H$10000,"&lt;="&amp;quot_date)+SUMIFS('[1]1_group_total_details'!$L$8:$L$10000,'[1]1_group_total_details'!$C$8:$C$10000,I25,'[1]1_group_total_details'!$F$8:$F$10000,quot_location_group_id,'[1]1_group_total_details'!$G$8:$G$10000,1,'[1]1_group_total_details'!$H$8:$H$10000,"&lt;="&amp;quot_date)+SUMIFS('[1]1_group_total_details'!$N$8:$N$10000,'[1]1_group_total_details'!$C$8:$C$10000,I25,'[1]1_group_total_details'!$F$8:$F$10000,quot_location_group_id,'[1]1_group_total_details'!$G$8:$G$10000,quot_location_id,'[1]1_group_total_details'!$H$8:$H$10000,"&lt;="&amp;quot_date)+SUMIFS('[1]1_group_total_details'!$O$8:$O$10000,'[1]1_group_total_details'!$C$8:$C$10000,I25,'[1]1_group_total_details'!$F$8:$F$10000,quot_location_group_id,'[1]1_group_total_details'!$G$8:$G$10000,quot_location_id,'[1]1_group_total_details'!$H$8:$H$10000,"&lt;="&amp;quot_date))-(SUMIFS('[1]1_group_total_details'!$J$8:$J$10000,'[1]1_group_total_details'!$C$8:$C$10000,I25,'[1]1_group_total_details'!$F$8:$F$10000,quot_location_group_id,'[1]1_group_total_details'!$G$8:$G$10000,quot_location_id,'[1]1_group_total_details'!$H$8:$H$10000,"&lt;="&amp;quot_date)+SUMIFS('[1]1_group_total_details'!$K$8:$K$10000,'[1]1_group_total_details'!$C$8:$C$10000,I25,'[1]1_group_total_details'!$F$8:$F$10000,quot_location_group_id,'[1]1_group_total_details'!$G$8:$G$10000,quot_location_id,'[1]1_group_total_details'!$H$8:$H$10000,"&lt;="&amp;quot_date)+SUMIFS('[1]1_group_total_details'!$M$8:$M$10000,'[1]1_group_total_details'!$C$8:$C$10000,I25,'[1]1_group_total_details'!$F$8:$F$10000,quot_location_group_id,'[1]1_group_total_details'!$G$8:$G$10000,quot_location_id,'[1]1_group_total_details'!$H$8:$H$10000,"&lt;="&amp;quot_date)+SUMIFS('[1]1_group_total_details'!$P$8:$P$10000,'[1]1_group_total_details'!$C$8:$C$10000,I25,'[1]1_group_total_details'!$F$8:$F$10000,quot_location_group_id,'[1]1_group_total_details'!$G$8:$G$10000,quot_location_id,'[1]1_group_total_details'!$H$8:$H$10000,"&lt;="&amp;quot_date)))</f>
        <v/>
      </c>
      <c r="AM25" s="197" t="str">
        <f>IF(M25="","",SUMIFS('[1]1_group_totals'!$J$8:$J$10000,'[1]1_group_totals'!$C$8:$C$10000,I25,'[1]1_group_totals'!$F$8:$F$10000,quot_location_group_id,'[1]1_group_totals'!$G$8:$G$10000,quot_location_id,'[1]1_group_totals'!$H$8:$H$10000,"="&amp;Q25,'[1]1_group_totals'!$I$8:$I$10000,"="&amp;R25))</f>
        <v/>
      </c>
      <c r="AN25" s="197" t="str">
        <f t="shared" si="7"/>
        <v/>
      </c>
      <c r="AO25" s="197" t="str">
        <f>IF(OR(ISNA(MATCH(MID(AN25,1,3)*1,UomConversion!$D$8:$D$500,0)),M25=""),"",IF(AT25="","",AT25))</f>
        <v/>
      </c>
      <c r="AP25" s="197" t="str">
        <f>IF(AND(AQ25&gt;0,COUNTIFS(UomConversion!$D$8:$D$500,MID(AN25,1,3)*1,UomConversion!$J$8:$J$500,1)&gt;1),TEXT(AQ25,"000")&amp;"."&amp;VLOOKUP(AQ25,uom_list,5,FALSE),"")</f>
        <v/>
      </c>
      <c r="AQ25" s="197" t="str">
        <f t="shared" si="20"/>
        <v/>
      </c>
      <c r="AR25" s="197" t="str">
        <f t="shared" si="21"/>
        <v/>
      </c>
      <c r="AS25" s="197" t="str">
        <f>IF(M25="","",SUMIFS(ProductPrice!$N$28:$N$10020,ProductPrice!$D$28:$D$10020,I25,ProductPrice!$G$28:$G$10020,quot_branch_id,ProductPrice!$H$28:$H$10020,quot_price_type_id,ProductPrice!$I$28:$I$10020,MID(P25,1,3)*1,ProductPrice!$Q$28:$Q$10020,1))</f>
        <v/>
      </c>
      <c r="AT25" s="197" t="str">
        <f t="shared" si="8"/>
        <v/>
      </c>
      <c r="AU25" s="197" t="str" cm="1">
        <f t="array" ref="AU25">IF(M25="","",IF(ISNA(Slookup(MID(AN25,1,3)*1,UomConversion!$D$8:$J$500,2,UomConversion!$I$8:$I$500,1,UomConversion!$J$8:$J$500,1)),"",Slookup(MID(AN25,1,3)*1,UomConversion!$D$8:$J$500,2,UomConversion!$I$8:$I$500,1,UomConversion!$J$8:$J$500,1)))</f>
        <v/>
      </c>
      <c r="AV25" s="197" t="str">
        <f t="shared" ref="AV25" si="91">IF(M25="","",IF(quot_location_id=1,BA25,IF(quot_location_id=2,BB25,0)))</f>
        <v/>
      </c>
      <c r="AW25" s="197" t="str">
        <f>IF(M25="","",(SUMIFS('[1]1_group_totals'!$K$8:$K$10000,'[1]1_group_totals'!$C$8:$C$10000,I25,'[1]1_group_totals'!$F$8:$F$10000,quot_location_group_id,'[1]1_group_totals'!$G$8:$G$10000,quot_location_id,'[1]1_group_totals'!$H$8:$H$10000,"="&amp;Q25,'[1]1_group_totals'!$I$8:$I$10000,"="&amp;R25)+SUMIFS('[1]1_group_totals'!$N$8:$N$10000,'[1]1_group_totals'!$C$8:$C$10000,I25,'[1]1_group_totals'!$F$8:$F$10000,quot_location_group_id,'[1]1_group_totals'!$G$8:$G$10000,quot_location_id,'[1]1_group_totals'!$H$8:$H$10000,"="&amp;Q25,'[1]1_group_totals'!$I$8:$I$10000,"="&amp;R25)+SUMIFS('[1]1_group_totals'!$P$8:$P$10000,'[1]1_group_totals'!$C$8:$C$10000,I25,'[1]1_group_totals'!$F$8:$F$10000,quot_location_group_id,'[1]1_group_totals'!$G$8:$G$10000,quot_location_id,'[1]1_group_totals'!$H$8:$H$10000,"="&amp;Q25,'[1]1_group_totals'!$I$8:$I$10000,"="&amp;R25)+SUMIFS('[1]1_group_totals'!$Q$8:$Q$10000,'[1]1_group_totals'!$C$8:$C$10000,I25,'[1]1_group_totals'!$F$8:$F$10000,quot_location_group_id,'[1]1_group_totals'!$G$8:$G$10000,quot_location_id,'[1]1_group_totals'!$H$8:$H$10000,"="&amp;Q25,'[1]1_group_totals'!$I$8:$I$10000,"="&amp;R25))+(SUMIFS('[1]1_group_totals'!$L$8:$L$10000,'[1]1_group_totals'!$C$8:$C$10000,I25,'[1]1_group_totals'!$F$8:$F$10000,quot_location_group_id,'[1]1_group_totals'!$G$8:$G$10000,quot_location_id,'[1]1_group_totals'!$H$8:$H$10000,"="&amp;Q25,'[1]1_group_totals'!$I$8:$I$10000,"="&amp;R25)+SUMIFS('[1]1_group_totals'!$M$8:$M$10000,'[1]1_group_totals'!$C$8:$C$10000,I25,'[1]1_group_totals'!$F$8:$F$10000,quot_location_group_id,'[1]1_group_totals'!$G$8:$G$10000,quot_location_id,'[1]1_group_totals'!$H$8:$H$10000,"="&amp;Q25,'[1]1_group_totals'!$I$8:$I$10000,"="&amp;R25)+SUMIFS('[1]1_group_totals'!$O$8:$O$10000,'[1]1_group_totals'!$C$8:$C$10000,I25,'[1]1_group_totals'!$F$8:$F$10000,quot_location_group_id,'[1]1_group_totals'!$G$8:$G$10000,quot_location_id,'[1]1_group_totals'!$H$8:$H$10000,"="&amp;Q25,'[1]1_group_totals'!$I$8:$I$10000,"="&amp;R25)+SUMIFS('[1]1_group_totals'!$R$8:$R$10000,'[1]1_group_totals'!$C$8:$C$10000,I25,'[1]1_group_totals'!$F$8:$F$10000,quot_location_group_id,'[1]1_group_totals'!$G$8:$G$10000,quot_location_id,'[1]1_group_totals'!$H$8:$H$10000,"="&amp;Q25,'[1]1_group_totals'!$I$8:$I$10000,"="&amp;R25)))</f>
        <v/>
      </c>
      <c r="AX25" s="197" t="str">
        <f t="shared" si="23"/>
        <v/>
      </c>
      <c r="AY25" s="197" t="str">
        <f>IF(M25="","",SUMIFS($AX$8:AX25,$I$8:I25,I25))</f>
        <v/>
      </c>
      <c r="AZ25" s="197" t="str">
        <f t="shared" si="24"/>
        <v/>
      </c>
      <c r="BA25" s="197" t="str">
        <f>IF(M25="","",(SUMIFS('[1]1_inventory_totals'!$I$8:$I$10000,'[1]1_inventory_totals'!$C$8:$C$10000,I25,'[1]1_inventory_totals'!$F$8:$F$10000,"="&amp;Q25,'[1]1_inventory_totals'!$G$8:$G$10000,"="&amp;R25)+SUMIFS('[1]1_inventory_totals'!$N$8:$N$10000,'[1]1_inventory_totals'!$C$8:$C$10000,I25,'[1]1_inventory_totals'!$F$8:$F$10000,"="&amp;Q25,'[1]1_inventory_totals'!$G$8:$G$10000,"="&amp;R25)+SUMIFS('[1]1_inventory_totals'!$P$8:$P$10000,'[1]1_inventory_totals'!$C$8:$C$10000,I25,'[1]1_inventory_totals'!$F$8:$F$10000,"="&amp;Q25,'[1]1_inventory_totals'!$G$8:$G$10000,"="&amp;R25)+SUMIFS('[1]1_inventory_totals'!$Q$8:$Q$10000,'[1]1_inventory_totals'!$C$8:$C$10000,I25,'[1]1_inventory_totals'!$F$8:$F$10000,"="&amp;Q25,'[1]1_inventory_totals'!$G$8:$G$10000,"="&amp;R25)+SUMIFS('[1]1_inventory_totals'!$R$8:$R$10000,'[1]1_inventory_totals'!$C$8:$C$10000,I25,'[1]1_inventory_totals'!$F$8:$F$10000,"="&amp;Q25,'[1]1_inventory_totals'!$G$8:$G$10000,"="&amp;R25))+(SUMIFS('[1]1_inventory_totals'!$J$8:$J$10000,'[1]1_inventory_totals'!$C$8:$C$10000,I25,'[1]1_inventory_totals'!$F$8:$F$10000,"="&amp;Q25,'[1]1_inventory_totals'!$G$8:$G$10000,"="&amp;R25)+SUMIFS('[1]1_inventory_totals'!$K$8:$K$10000,'[1]1_inventory_totals'!$C$8:$C$10000,I25,'[1]1_inventory_totals'!$F$8:$F$10000,"="&amp;Q25,'[1]1_inventory_totals'!$G$8:$G$10000,"="&amp;R25)+SUMIFS('[1]1_inventory_totals'!$L$8:$L$10000,'[1]1_inventory_totals'!$C$8:$C$10000,I25,'[1]1_inventory_totals'!$F$8:$F$10000,"="&amp;Q25,'[1]1_inventory_totals'!$G$8:$G$10000,"="&amp;R25)+SUMIFS('[1]1_inventory_totals'!$M$8:$M$10000,'[1]1_inventory_totals'!$C$8:$C$10000,I25,'[1]1_inventory_totals'!$F$8:$F$10000,"="&amp;Q25,'[1]1_inventory_totals'!$G$8:$G$10000,"="&amp;R25)+SUMIFS('[1]1_inventory_totals'!$O$8:$O$10000,'[1]1_inventory_totals'!$C$8:$C$10000,I25,'[1]1_inventory_totals'!$F$8:$F$10000,"="&amp;Q25,'[1]1_inventory_totals'!$G$8:$G$10000,"="&amp;R25)+SUMIFS('[1]1_inventory_totals'!$S$8:$S$10000,'[1]1_inventory_totals'!$C$8:$C$10000,I25,'[1]1_inventory_totals'!$F$8:$F$10000,"="&amp;Q25,'[1]1_inventory_totals'!$G$8:$G$10000,"="&amp;R25)))</f>
        <v/>
      </c>
      <c r="BB25" s="197" t="str">
        <f>IF(M25="","",(SUMIFS('[1]2_inventory_totals'!$I$8:$I$10000,'[1]2_inventory_totals'!$C$8:$C$10000,I25,'[1]2_inventory_totals'!$F$8:$F$10000,"="&amp;Q25,'[1]2_inventory_totals'!$G$8:$G$10000,"="&amp;R25)+SUMIFS('[1]2_inventory_totals'!$N$8:$N$10000,'[1]2_inventory_totals'!$C$8:$C$10000,I25,'[1]2_inventory_totals'!$F$8:$F$10000,"="&amp;Q25,'[1]2_inventory_totals'!$G$8:$G$10000,"="&amp;R25)+SUMIFS('[1]2_inventory_totals'!$P$8:$P$10000,'[1]2_inventory_totals'!$C$8:$C$10000,I25,'[1]2_inventory_totals'!$F$8:$F$10000,"="&amp;Q25,'[1]2_inventory_totals'!$G$8:$G$10000,"="&amp;R25)+SUMIFS('[1]2_inventory_totals'!$Q$8:$Q$10000,'[1]2_inventory_totals'!$C$8:$C$10000,I25,'[1]2_inventory_totals'!$F$8:$F$10000,"="&amp;Q25,'[1]2_inventory_totals'!$G$8:$G$10000,"="&amp;R25)+SUMIFS('[1]2_inventory_totals'!$R$8:$R$10000,'[1]2_inventory_totals'!$C$8:$C$10000,I25,'[1]2_inventory_totals'!$F$8:$F$10000,"="&amp;Q25,'[1]2_inventory_totals'!$G$8:$G$10000,"="&amp;R25))+(SUMIFS('[1]2_inventory_totals'!$J$8:$J$10000,'[1]2_inventory_totals'!$C$8:$C$10000,I25,'[1]2_inventory_totals'!$F$8:$F$10000,"="&amp;Q25,'[1]2_inventory_totals'!$G$8:$G$10000,"="&amp;R25)+SUMIFS('[1]2_inventory_totals'!$K$8:$K$10000,'[1]2_inventory_totals'!$C$8:$C$10000,I25,'[1]2_inventory_totals'!$F$8:$F$10000,"="&amp;Q25,'[1]2_inventory_totals'!$G$8:$G$10000,"="&amp;R25)+SUMIFS('[1]2_inventory_totals'!$L$8:$L$10000,'[1]2_inventory_totals'!$C$8:$C$10000,I25,'[1]2_inventory_totals'!$F$8:$F$10000,"="&amp;Q25,'[1]2_inventory_totals'!$G$8:$G$10000,"="&amp;R25)+SUMIFS('[1]2_inventory_totals'!$M$8:$M$10000,'[1]2_inventory_totals'!$C$8:$C$10000,I25,'[1]2_inventory_totals'!$F$8:$F$10000,"="&amp;Q25,'[1]2_inventory_totals'!$G$8:$G$10000,"="&amp;R25)+SUMIFS('[1]2_inventory_totals'!$O$8:$O$10000,'[1]2_inventory_totals'!$C$8:$C$10000,I25,'[1]2_inventory_totals'!$F$8:$F$10000,"="&amp;Q25,'[1]2_inventory_totals'!$G$8:$G$10000,"="&amp;R25)+SUMIFS('[1]2_inventory_totals'!$S$8:$S$10000,'[1]2_inventory_totals'!$C$8:$C$10000,I25,'[1]2_inventory_totals'!$F$8:$F$10000,"="&amp;Q25,'[1]2_inventory_totals'!$G$8:$G$10000,"="&amp;R25)))</f>
        <v/>
      </c>
    </row>
    <row r="26" spans="1:54" ht="27" customHeight="1">
      <c r="A26" s="923"/>
      <c r="B26" s="1251"/>
      <c r="C26" s="1882" t="s">
        <v>180</v>
      </c>
      <c r="D26" s="1883"/>
      <c r="E26" s="1884"/>
      <c r="F26" s="1262"/>
      <c r="I26" s="1610" t="str">
        <f t="shared" si="10"/>
        <v/>
      </c>
      <c r="J26" s="1611" t="str">
        <f t="shared" si="25"/>
        <v/>
      </c>
      <c r="K26" s="1612" t="str">
        <f t="shared" si="30"/>
        <v/>
      </c>
      <c r="L26" s="1613"/>
      <c r="M26" s="883"/>
      <c r="N26" s="884"/>
      <c r="O26" s="884"/>
      <c r="P26" s="885"/>
      <c r="Q26" s="886"/>
      <c r="R26" s="891"/>
      <c r="S26" s="1614" t="str">
        <f t="shared" ref="S26" si="92">IF(M26="","",quot_currency_symbol)</f>
        <v/>
      </c>
      <c r="T26" s="888"/>
      <c r="U26" s="1650" t="str">
        <f t="shared" si="13"/>
        <v/>
      </c>
      <c r="V26" s="1615" t="str">
        <f t="shared" ref="V26" si="93">IF(W26=0,"",quot_currency_symbol)</f>
        <v/>
      </c>
      <c r="W26" s="889"/>
      <c r="X26" s="1615" t="str">
        <f t="shared" ref="X26" si="94">IF(M26="","",quot_currency_symbol)</f>
        <v/>
      </c>
      <c r="Y26" s="1616" t="str">
        <f t="shared" si="34"/>
        <v/>
      </c>
      <c r="Z26" s="890"/>
      <c r="AA26" s="197" t="str" cm="1">
        <f t="array" ref="AA26">IF(M26="","",IF(P26=AN26,1,Slookup(MID(AN26,1,3)*1,UomConversion!$D$8:$J$500,5,UomConversion!$E$8:$E$500,MID(P26,1,3)*1,UomConversion!$J$8:$J$500,1)))</f>
        <v/>
      </c>
      <c r="AB26" s="197" t="str">
        <f t="shared" si="3"/>
        <v/>
      </c>
      <c r="AC26" s="197" t="str">
        <f t="shared" si="17"/>
        <v/>
      </c>
      <c r="AD26" s="197" t="str">
        <f t="shared" si="18"/>
        <v/>
      </c>
      <c r="AE26" s="197" t="str">
        <f t="shared" si="19"/>
        <v/>
      </c>
      <c r="AF26" s="197" t="str">
        <f t="shared" si="5"/>
        <v/>
      </c>
      <c r="AG26" s="197" t="str">
        <f t="shared" si="6"/>
        <v/>
      </c>
      <c r="AH26" s="197" t="str">
        <f>IF(I26="","",IF(ISNA(MATCH(I26,IF(quot_location_id=1,'[1]1_inventory_totals'!$C$8:$C$10000,IF(quot_location_id=2,'[1]2_inventory_totals'!$C$8:$C$10000,0)),0)),0,IF(AV26&gt;0,1,0)))</f>
        <v/>
      </c>
      <c r="AI26" s="197" t="str">
        <f>IF(M26="","",IF(quot_location_id=1,SUMIFS('[1]1_inventory_total_details'!$J$8:$J$10000,'[1]1_inventory_total_details'!$C$8:$C$10000,I26,'[1]1_inventory_total_details'!$F$8:$F$10000,quot_location_id,'[1]1_inventory_total_details'!$G$8:$G$10000,"="&amp;Q26,'[1]1_inventory_total_details'!$H$8:$H$10000,"="&amp;R26,'[1]1_inventory_total_details'!$I$8:$I$10000,"="&amp;quot_date)+SUMIFS('[1]1_inventory_total_details'!$M$8:$M$10000,'[1]1_inventory_total_details'!$C$8:$C$10000,I26,'[1]1_inventory_total_details'!$F$8:$F$10000,quot_location_id,'[1]1_inventory_total_details'!$G$8:$G$10000,"="&amp;Q26,'[1]1_inventory_total_details'!$H$8:$H$10000,"="&amp;R26,'[1]1_inventory_total_details'!$I$8:$I$10000,"="&amp;quot_date)+SUMIFS('[1]1_inventory_total_details'!$K$8:$K$10000,'[1]1_inventory_total_details'!$C$8:$C$10000,I26,'[1]1_inventory_total_details'!$F$8:$F$10000,quot_location_id,'[1]1_inventory_total_details'!$G$8:$G$10000,"="&amp;Q26,'[1]1_inventory_total_details'!$H$8:$H$10000,"="&amp;R26,'[1]1_inventory_total_details'!$I$8:$I$10000,"="&amp;quot_date)+SUMIFS('[1]1_inventory_total_details'!$L$8:$L$10000,'[1]1_inventory_total_details'!$C$8:$C$10000,I26,'[1]1_inventory_total_details'!$F$8:$F$10000,quot_location_id,'[1]1_inventory_total_details'!$G$8:$G$10000,"="&amp;Q26,'[1]1_inventory_total_details'!$H$8:$H$10000,"="&amp;R26,'[1]1_inventory_total_details'!$I$8:$I$10000,"="&amp;quot_date),SUMIFS('[1]2_inventory_total_details'!$J$8:$J$10000,'[1]2_inventory_total_details'!$C$8:$C$10000,I26,'[1]2_inventory_total_details'!$F$8:$F$10000,quot_location_id,'[1]2_inventory_total_details'!$G$8:$G$10000,"="&amp;Q26,'[1]2_inventory_total_details'!$H$8:$H$10000,"="&amp;R26,'[1]2_inventory_total_details'!$I$8:$I$10000,"="&amp;quot_date)+SUMIFS('[1]2_inventory_total_details'!$M$8:$M$10000,'[1]2_inventory_total_details'!$C$8:$C$10000,I26,'[1]2_inventory_total_details'!$F$8:$F$10000,quot_location_id,'[1]2_inventory_total_details'!$G$8:$G$10000,"="&amp;Q26,'[1]2_inventory_total_details'!$H$8:$H$10000,"="&amp;R26,'[1]2_inventory_total_details'!$I$8:$I$10000,"="&amp;quot_date)+SUMIFS('[1]2_inventory_total_details'!$K$8:$K$10000,'[1]2_inventory_total_details'!$C$8:$C$10000,I26,'[1]2_inventory_total_details'!$F$8:$F$10000,quot_location_id,'[1]2_inventory_total_details'!$G$8:$G$10000,"="&amp;Q26,'[1]2_inventory_total_details'!$H$8:$H$10000,"="&amp;R26,'[1]2_inventory_total_details'!$I$8:$I$10000,"="&amp;quot_date)+SUMIFS('[1]2_inventory_total_details'!$L$8:$L$10000,'[1]2_inventory_total_details'!$C$8:$C$10000,I26,'[1]2_inventory_total_details'!$F$8:$F$10000,quot_location_id,'[1]2_inventory_total_details'!$G$8:$G$10000,"="&amp;Q26,'[1]2_inventory_total_details'!$H$8:$H$10000,"="&amp;R26,'[1]2_inventory_total_details'!$I$8:$I$10000,"="&amp;quot_date)))</f>
        <v/>
      </c>
      <c r="AJ26" s="197" t="str">
        <f>IF(M26="","",IF(ISNA(MATCH(I26,'[1]1_group_totals'!$C$8:$C$10000)),0,IF(AW26&gt;0,1,0)))</f>
        <v/>
      </c>
      <c r="AK26" s="197" t="str">
        <f>IF(M26="","",(SUMIFS('[1]1_group_total_details'!$I$8:$I$10000,'[1]1_group_total_details'!$C$8:$C$10000,I26,'[1]1_group_total_details'!$F$8:$F$10000,quot_location_group_id,'[1]1_group_total_details'!$G$8:$G$10000,quot_location_id,'[1]1_group_total_details'!$H$8:$H$10000,"="&amp;quot_date)+SUMIFS('[1]1_group_total_details'!$L$8:$L$10000,'[1]1_group_total_details'!$C$8:$C$10000,I26,'[1]1_group_total_details'!$F$8:$F$10000,quot_location_group_id,'[1]1_group_total_details'!$G$8:$G$10000,quot_location_id,'[1]1_group_total_details'!$H$8:$H$10000,"="&amp;quot_date)+SUMIFS('[1]1_group_total_details'!$N$8:$N$10000,'[1]1_group_total_details'!$C$8:$C$10000,I26,'[1]1_group_total_details'!$F$8:$F$10000,quot_location_group_id,'[1]1_group_total_details'!$G$8:$G$10000,quot_location_id,'[1]1_group_total_details'!$H$8:$H$10000,"="&amp;quot_date)+SUMIFS('[1]1_group_total_details'!$O$8:$O$10000,'[1]1_group_total_details'!$C$8:$C$10000,I26,'[1]1_group_total_details'!$F$8:$F$10000,quot_location_group_id,'[1]1_group_total_details'!$G$8:$G$10000,quot_location_id,'[1]1_group_total_details'!$H$8:$H$10000,"="&amp;quot_date))+(SUMIFS('[1]1_group_total_details'!$J$8:$J$10000,'[1]1_group_total_details'!$C$8:$C$10000,I26,'[1]1_group_total_details'!$F$8:$F$10000,quot_location_group_id,'[1]1_group_total_details'!$G$8:$G$10000,quot_location_id,'[1]1_group_total_details'!$H$8:$H$10000,"="&amp;quot_date)+SUMIFS('[1]1_group_total_details'!$K$8:$K$10000,'[1]1_group_total_details'!$C$8:$C$10000,I26,'[1]1_group_total_details'!$F$8:$F$10000,quot_location_group_id,'[1]1_group_total_details'!$G$8:$G$10000,quot_location_id,'[1]1_group_total_details'!$H$8:$H$10000,"="&amp;quot_date)+SUMIFS('[1]1_group_total_details'!$M$8:$M$10000,'[1]1_group_total_details'!$C$8:$C$10000,I26,'[1]1_group_total_details'!$F$8:$F$10000,quot_location_group_id,'[1]1_group_total_details'!$G$8:$G$10000,quot_location_id,'[1]1_group_total_details'!$H$8:$H$10000,"="&amp;quot_date)+SUMIFS('[1]1_group_total_details'!$P$8:$P$10000,'[1]1_group_total_details'!$C$8:$C$10000,I26,'[1]1_group_total_details'!$F$8:$F$10000,quot_location_group_id,'[1]1_group_total_details'!$G$8:$G$10000,quot_location_id,'[1]1_group_total_details'!$H$8:$H$10000,"="&amp;quot_date)))</f>
        <v/>
      </c>
      <c r="AL26" s="197" t="str">
        <f>IF(M26="","",(SUMIFS('[1]1_group_total_details'!$I$8:$I$10000,'[1]1_group_total_details'!$C$8:$C$10000,I26,'[1]1_group_total_details'!$F$8:$F$10000,quot_location_group_id,'[1]1_group_total_details'!$G$8:$G$10000,quot_location_id,'[1]1_group_total_details'!$H$8:$H$10000,"&lt;="&amp;quot_date)+SUMIFS('[1]1_group_total_details'!$L$8:$L$10000,'[1]1_group_total_details'!$C$8:$C$10000,I26,'[1]1_group_total_details'!$F$8:$F$10000,quot_location_group_id,'[1]1_group_total_details'!$G$8:$G$10000,1,'[1]1_group_total_details'!$H$8:$H$10000,"&lt;="&amp;quot_date)+SUMIFS('[1]1_group_total_details'!$N$8:$N$10000,'[1]1_group_total_details'!$C$8:$C$10000,I26,'[1]1_group_total_details'!$F$8:$F$10000,quot_location_group_id,'[1]1_group_total_details'!$G$8:$G$10000,quot_location_id,'[1]1_group_total_details'!$H$8:$H$10000,"&lt;="&amp;quot_date)+SUMIFS('[1]1_group_total_details'!$O$8:$O$10000,'[1]1_group_total_details'!$C$8:$C$10000,I26,'[1]1_group_total_details'!$F$8:$F$10000,quot_location_group_id,'[1]1_group_total_details'!$G$8:$G$10000,quot_location_id,'[1]1_group_total_details'!$H$8:$H$10000,"&lt;="&amp;quot_date))-(SUMIFS('[1]1_group_total_details'!$J$8:$J$10000,'[1]1_group_total_details'!$C$8:$C$10000,I26,'[1]1_group_total_details'!$F$8:$F$10000,quot_location_group_id,'[1]1_group_total_details'!$G$8:$G$10000,quot_location_id,'[1]1_group_total_details'!$H$8:$H$10000,"&lt;="&amp;quot_date)+SUMIFS('[1]1_group_total_details'!$K$8:$K$10000,'[1]1_group_total_details'!$C$8:$C$10000,I26,'[1]1_group_total_details'!$F$8:$F$10000,quot_location_group_id,'[1]1_group_total_details'!$G$8:$G$10000,quot_location_id,'[1]1_group_total_details'!$H$8:$H$10000,"&lt;="&amp;quot_date)+SUMIFS('[1]1_group_total_details'!$M$8:$M$10000,'[1]1_group_total_details'!$C$8:$C$10000,I26,'[1]1_group_total_details'!$F$8:$F$10000,quot_location_group_id,'[1]1_group_total_details'!$G$8:$G$10000,quot_location_id,'[1]1_group_total_details'!$H$8:$H$10000,"&lt;="&amp;quot_date)+SUMIFS('[1]1_group_total_details'!$P$8:$P$10000,'[1]1_group_total_details'!$C$8:$C$10000,I26,'[1]1_group_total_details'!$F$8:$F$10000,quot_location_group_id,'[1]1_group_total_details'!$G$8:$G$10000,quot_location_id,'[1]1_group_total_details'!$H$8:$H$10000,"&lt;="&amp;quot_date)))</f>
        <v/>
      </c>
      <c r="AM26" s="197" t="str">
        <f>IF(M26="","",SUMIFS('[1]1_group_totals'!$J$8:$J$10000,'[1]1_group_totals'!$C$8:$C$10000,I26,'[1]1_group_totals'!$F$8:$F$10000,quot_location_group_id,'[1]1_group_totals'!$G$8:$G$10000,quot_location_id,'[1]1_group_totals'!$H$8:$H$10000,"="&amp;Q26,'[1]1_group_totals'!$I$8:$I$10000,"="&amp;R26))</f>
        <v/>
      </c>
      <c r="AN26" s="197" t="str">
        <f t="shared" si="7"/>
        <v/>
      </c>
      <c r="AO26" s="197" t="str">
        <f>IF(OR(ISNA(MATCH(MID(AN26,1,3)*1,UomConversion!$D$8:$D$500,0)),M26=""),"",IF(AT26="","",AT26))</f>
        <v/>
      </c>
      <c r="AP26" s="197" t="str">
        <f>IF(AND(AQ26&gt;0,COUNTIFS(UomConversion!$D$8:$D$500,MID(AN26,1,3)*1,UomConversion!$J$8:$J$500,1)&gt;1),TEXT(AQ26,"000")&amp;"."&amp;VLOOKUP(AQ26,uom_list,5,FALSE),"")</f>
        <v/>
      </c>
      <c r="AQ26" s="197" t="str">
        <f t="shared" si="20"/>
        <v/>
      </c>
      <c r="AR26" s="197" t="str">
        <f t="shared" si="21"/>
        <v/>
      </c>
      <c r="AS26" s="197" t="str">
        <f>IF(M26="","",SUMIFS(ProductPrice!$N$28:$N$10020,ProductPrice!$D$28:$D$10020,I26,ProductPrice!$G$28:$G$10020,quot_branch_id,ProductPrice!$H$28:$H$10020,quot_price_type_id,ProductPrice!$I$28:$I$10020,MID(P26,1,3)*1,ProductPrice!$Q$28:$Q$10020,1))</f>
        <v/>
      </c>
      <c r="AT26" s="197" t="str">
        <f t="shared" si="8"/>
        <v/>
      </c>
      <c r="AU26" s="197" t="str" cm="1">
        <f t="array" ref="AU26">IF(M26="","",IF(ISNA(Slookup(MID(AN26,1,3)*1,UomConversion!$D$8:$J$500,2,UomConversion!$I$8:$I$500,1,UomConversion!$J$8:$J$500,1)),"",Slookup(MID(AN26,1,3)*1,UomConversion!$D$8:$J$500,2,UomConversion!$I$8:$I$500,1,UomConversion!$J$8:$J$500,1)))</f>
        <v/>
      </c>
      <c r="AV26" s="197" t="str">
        <f t="shared" ref="AV26" si="95">IF(M26="","",IF(quot_location_id=1,BA26,IF(quot_location_id=2,BB26,0)))</f>
        <v/>
      </c>
      <c r="AW26" s="197" t="str">
        <f>IF(M26="","",(SUMIFS('[1]1_group_totals'!$K$8:$K$10000,'[1]1_group_totals'!$C$8:$C$10000,I26,'[1]1_group_totals'!$F$8:$F$10000,quot_location_group_id,'[1]1_group_totals'!$G$8:$G$10000,quot_location_id,'[1]1_group_totals'!$H$8:$H$10000,"="&amp;Q26,'[1]1_group_totals'!$I$8:$I$10000,"="&amp;R26)+SUMIFS('[1]1_group_totals'!$N$8:$N$10000,'[1]1_group_totals'!$C$8:$C$10000,I26,'[1]1_group_totals'!$F$8:$F$10000,quot_location_group_id,'[1]1_group_totals'!$G$8:$G$10000,quot_location_id,'[1]1_group_totals'!$H$8:$H$10000,"="&amp;Q26,'[1]1_group_totals'!$I$8:$I$10000,"="&amp;R26)+SUMIFS('[1]1_group_totals'!$P$8:$P$10000,'[1]1_group_totals'!$C$8:$C$10000,I26,'[1]1_group_totals'!$F$8:$F$10000,quot_location_group_id,'[1]1_group_totals'!$G$8:$G$10000,quot_location_id,'[1]1_group_totals'!$H$8:$H$10000,"="&amp;Q26,'[1]1_group_totals'!$I$8:$I$10000,"="&amp;R26)+SUMIFS('[1]1_group_totals'!$Q$8:$Q$10000,'[1]1_group_totals'!$C$8:$C$10000,I26,'[1]1_group_totals'!$F$8:$F$10000,quot_location_group_id,'[1]1_group_totals'!$G$8:$G$10000,quot_location_id,'[1]1_group_totals'!$H$8:$H$10000,"="&amp;Q26,'[1]1_group_totals'!$I$8:$I$10000,"="&amp;R26))+(SUMIFS('[1]1_group_totals'!$L$8:$L$10000,'[1]1_group_totals'!$C$8:$C$10000,I26,'[1]1_group_totals'!$F$8:$F$10000,quot_location_group_id,'[1]1_group_totals'!$G$8:$G$10000,quot_location_id,'[1]1_group_totals'!$H$8:$H$10000,"="&amp;Q26,'[1]1_group_totals'!$I$8:$I$10000,"="&amp;R26)+SUMIFS('[1]1_group_totals'!$M$8:$M$10000,'[1]1_group_totals'!$C$8:$C$10000,I26,'[1]1_group_totals'!$F$8:$F$10000,quot_location_group_id,'[1]1_group_totals'!$G$8:$G$10000,quot_location_id,'[1]1_group_totals'!$H$8:$H$10000,"="&amp;Q26,'[1]1_group_totals'!$I$8:$I$10000,"="&amp;R26)+SUMIFS('[1]1_group_totals'!$O$8:$O$10000,'[1]1_group_totals'!$C$8:$C$10000,I26,'[1]1_group_totals'!$F$8:$F$10000,quot_location_group_id,'[1]1_group_totals'!$G$8:$G$10000,quot_location_id,'[1]1_group_totals'!$H$8:$H$10000,"="&amp;Q26,'[1]1_group_totals'!$I$8:$I$10000,"="&amp;R26)+SUMIFS('[1]1_group_totals'!$R$8:$R$10000,'[1]1_group_totals'!$C$8:$C$10000,I26,'[1]1_group_totals'!$F$8:$F$10000,quot_location_group_id,'[1]1_group_totals'!$G$8:$G$10000,quot_location_id,'[1]1_group_totals'!$H$8:$H$10000,"="&amp;Q26,'[1]1_group_totals'!$I$8:$I$10000,"="&amp;R26)))</f>
        <v/>
      </c>
      <c r="AX26" s="197" t="str">
        <f t="shared" si="23"/>
        <v/>
      </c>
      <c r="AY26" s="197" t="str">
        <f>IF(M26="","",SUMIFS($AX$8:AX26,$I$8:I26,I26))</f>
        <v/>
      </c>
      <c r="AZ26" s="197" t="str">
        <f t="shared" si="24"/>
        <v/>
      </c>
      <c r="BA26" s="197" t="str">
        <f>IF(M26="","",(SUMIFS('[1]1_inventory_totals'!$I$8:$I$10000,'[1]1_inventory_totals'!$C$8:$C$10000,I26,'[1]1_inventory_totals'!$F$8:$F$10000,"="&amp;Q26,'[1]1_inventory_totals'!$G$8:$G$10000,"="&amp;R26)+SUMIFS('[1]1_inventory_totals'!$N$8:$N$10000,'[1]1_inventory_totals'!$C$8:$C$10000,I26,'[1]1_inventory_totals'!$F$8:$F$10000,"="&amp;Q26,'[1]1_inventory_totals'!$G$8:$G$10000,"="&amp;R26)+SUMIFS('[1]1_inventory_totals'!$P$8:$P$10000,'[1]1_inventory_totals'!$C$8:$C$10000,I26,'[1]1_inventory_totals'!$F$8:$F$10000,"="&amp;Q26,'[1]1_inventory_totals'!$G$8:$G$10000,"="&amp;R26)+SUMIFS('[1]1_inventory_totals'!$Q$8:$Q$10000,'[1]1_inventory_totals'!$C$8:$C$10000,I26,'[1]1_inventory_totals'!$F$8:$F$10000,"="&amp;Q26,'[1]1_inventory_totals'!$G$8:$G$10000,"="&amp;R26)+SUMIFS('[1]1_inventory_totals'!$R$8:$R$10000,'[1]1_inventory_totals'!$C$8:$C$10000,I26,'[1]1_inventory_totals'!$F$8:$F$10000,"="&amp;Q26,'[1]1_inventory_totals'!$G$8:$G$10000,"="&amp;R26))+(SUMIFS('[1]1_inventory_totals'!$J$8:$J$10000,'[1]1_inventory_totals'!$C$8:$C$10000,I26,'[1]1_inventory_totals'!$F$8:$F$10000,"="&amp;Q26,'[1]1_inventory_totals'!$G$8:$G$10000,"="&amp;R26)+SUMIFS('[1]1_inventory_totals'!$K$8:$K$10000,'[1]1_inventory_totals'!$C$8:$C$10000,I26,'[1]1_inventory_totals'!$F$8:$F$10000,"="&amp;Q26,'[1]1_inventory_totals'!$G$8:$G$10000,"="&amp;R26)+SUMIFS('[1]1_inventory_totals'!$L$8:$L$10000,'[1]1_inventory_totals'!$C$8:$C$10000,I26,'[1]1_inventory_totals'!$F$8:$F$10000,"="&amp;Q26,'[1]1_inventory_totals'!$G$8:$G$10000,"="&amp;R26)+SUMIFS('[1]1_inventory_totals'!$M$8:$M$10000,'[1]1_inventory_totals'!$C$8:$C$10000,I26,'[1]1_inventory_totals'!$F$8:$F$10000,"="&amp;Q26,'[1]1_inventory_totals'!$G$8:$G$10000,"="&amp;R26)+SUMIFS('[1]1_inventory_totals'!$O$8:$O$10000,'[1]1_inventory_totals'!$C$8:$C$10000,I26,'[1]1_inventory_totals'!$F$8:$F$10000,"="&amp;Q26,'[1]1_inventory_totals'!$G$8:$G$10000,"="&amp;R26)+SUMIFS('[1]1_inventory_totals'!$S$8:$S$10000,'[1]1_inventory_totals'!$C$8:$C$10000,I26,'[1]1_inventory_totals'!$F$8:$F$10000,"="&amp;Q26,'[1]1_inventory_totals'!$G$8:$G$10000,"="&amp;R26)))</f>
        <v/>
      </c>
      <c r="BB26" s="197" t="str">
        <f>IF(M26="","",(SUMIFS('[1]2_inventory_totals'!$I$8:$I$10000,'[1]2_inventory_totals'!$C$8:$C$10000,I26,'[1]2_inventory_totals'!$F$8:$F$10000,"="&amp;Q26,'[1]2_inventory_totals'!$G$8:$G$10000,"="&amp;R26)+SUMIFS('[1]2_inventory_totals'!$N$8:$N$10000,'[1]2_inventory_totals'!$C$8:$C$10000,I26,'[1]2_inventory_totals'!$F$8:$F$10000,"="&amp;Q26,'[1]2_inventory_totals'!$G$8:$G$10000,"="&amp;R26)+SUMIFS('[1]2_inventory_totals'!$P$8:$P$10000,'[1]2_inventory_totals'!$C$8:$C$10000,I26,'[1]2_inventory_totals'!$F$8:$F$10000,"="&amp;Q26,'[1]2_inventory_totals'!$G$8:$G$10000,"="&amp;R26)+SUMIFS('[1]2_inventory_totals'!$Q$8:$Q$10000,'[1]2_inventory_totals'!$C$8:$C$10000,I26,'[1]2_inventory_totals'!$F$8:$F$10000,"="&amp;Q26,'[1]2_inventory_totals'!$G$8:$G$10000,"="&amp;R26)+SUMIFS('[1]2_inventory_totals'!$R$8:$R$10000,'[1]2_inventory_totals'!$C$8:$C$10000,I26,'[1]2_inventory_totals'!$F$8:$F$10000,"="&amp;Q26,'[1]2_inventory_totals'!$G$8:$G$10000,"="&amp;R26))+(SUMIFS('[1]2_inventory_totals'!$J$8:$J$10000,'[1]2_inventory_totals'!$C$8:$C$10000,I26,'[1]2_inventory_totals'!$F$8:$F$10000,"="&amp;Q26,'[1]2_inventory_totals'!$G$8:$G$10000,"="&amp;R26)+SUMIFS('[1]2_inventory_totals'!$K$8:$K$10000,'[1]2_inventory_totals'!$C$8:$C$10000,I26,'[1]2_inventory_totals'!$F$8:$F$10000,"="&amp;Q26,'[1]2_inventory_totals'!$G$8:$G$10000,"="&amp;R26)+SUMIFS('[1]2_inventory_totals'!$L$8:$L$10000,'[1]2_inventory_totals'!$C$8:$C$10000,I26,'[1]2_inventory_totals'!$F$8:$F$10000,"="&amp;Q26,'[1]2_inventory_totals'!$G$8:$G$10000,"="&amp;R26)+SUMIFS('[1]2_inventory_totals'!$M$8:$M$10000,'[1]2_inventory_totals'!$C$8:$C$10000,I26,'[1]2_inventory_totals'!$F$8:$F$10000,"="&amp;Q26,'[1]2_inventory_totals'!$G$8:$G$10000,"="&amp;R26)+SUMIFS('[1]2_inventory_totals'!$O$8:$O$10000,'[1]2_inventory_totals'!$C$8:$C$10000,I26,'[1]2_inventory_totals'!$F$8:$F$10000,"="&amp;Q26,'[1]2_inventory_totals'!$G$8:$G$10000,"="&amp;R26)+SUMIFS('[1]2_inventory_totals'!$S$8:$S$10000,'[1]2_inventory_totals'!$C$8:$C$10000,I26,'[1]2_inventory_totals'!$F$8:$F$10000,"="&amp;Q26,'[1]2_inventory_totals'!$G$8:$G$10000,"="&amp;R26)))</f>
        <v/>
      </c>
    </row>
    <row r="27" spans="1:54" ht="27" customHeight="1">
      <c r="A27" s="923"/>
      <c r="B27" s="1251"/>
      <c r="C27" s="1885"/>
      <c r="D27" s="1886"/>
      <c r="E27" s="1887"/>
      <c r="F27" s="1262"/>
      <c r="I27" s="1610" t="str">
        <f t="shared" si="10"/>
        <v/>
      </c>
      <c r="J27" s="1611" t="str">
        <f t="shared" si="25"/>
        <v/>
      </c>
      <c r="K27" s="1612" t="str">
        <f t="shared" si="30"/>
        <v/>
      </c>
      <c r="L27" s="1613"/>
      <c r="M27" s="883"/>
      <c r="N27" s="884"/>
      <c r="O27" s="884"/>
      <c r="P27" s="885"/>
      <c r="Q27" s="886"/>
      <c r="R27" s="891"/>
      <c r="S27" s="1614" t="str">
        <f t="shared" ref="S27" si="96">IF(M27="","",quot_currency_symbol)</f>
        <v/>
      </c>
      <c r="T27" s="888"/>
      <c r="U27" s="1650" t="str">
        <f t="shared" si="13"/>
        <v/>
      </c>
      <c r="V27" s="1615" t="str">
        <f t="shared" ref="V27" si="97">IF(W27=0,"",quot_currency_symbol)</f>
        <v/>
      </c>
      <c r="W27" s="889"/>
      <c r="X27" s="1615" t="str">
        <f t="shared" ref="X27" si="98">IF(M27="","",quot_currency_symbol)</f>
        <v/>
      </c>
      <c r="Y27" s="1616" t="str">
        <f t="shared" si="34"/>
        <v/>
      </c>
      <c r="Z27" s="890"/>
      <c r="AA27" s="197" t="str" cm="1">
        <f t="array" ref="AA27">IF(M27="","",IF(P27=AN27,1,Slookup(MID(AN27,1,3)*1,UomConversion!$D$8:$J$500,5,UomConversion!$E$8:$E$500,MID(P27,1,3)*1,UomConversion!$J$8:$J$500,1)))</f>
        <v/>
      </c>
      <c r="AB27" s="197" t="str">
        <f t="shared" si="3"/>
        <v/>
      </c>
      <c r="AC27" s="197" t="str">
        <f t="shared" si="17"/>
        <v/>
      </c>
      <c r="AD27" s="197" t="str">
        <f t="shared" si="18"/>
        <v/>
      </c>
      <c r="AE27" s="197" t="str">
        <f t="shared" si="19"/>
        <v/>
      </c>
      <c r="AF27" s="197" t="str">
        <f t="shared" si="5"/>
        <v/>
      </c>
      <c r="AG27" s="197" t="str">
        <f t="shared" si="6"/>
        <v/>
      </c>
      <c r="AH27" s="197" t="str">
        <f>IF(I27="","",IF(ISNA(MATCH(I27,IF(quot_location_id=1,'[1]1_inventory_totals'!$C$8:$C$10000,IF(quot_location_id=2,'[1]2_inventory_totals'!$C$8:$C$10000,0)),0)),0,IF(AV27&gt;0,1,0)))</f>
        <v/>
      </c>
      <c r="AI27" s="197" t="str">
        <f>IF(M27="","",IF(quot_location_id=1,SUMIFS('[1]1_inventory_total_details'!$J$8:$J$10000,'[1]1_inventory_total_details'!$C$8:$C$10000,I27,'[1]1_inventory_total_details'!$F$8:$F$10000,quot_location_id,'[1]1_inventory_total_details'!$G$8:$G$10000,"="&amp;Q27,'[1]1_inventory_total_details'!$H$8:$H$10000,"="&amp;R27,'[1]1_inventory_total_details'!$I$8:$I$10000,"="&amp;quot_date)+SUMIFS('[1]1_inventory_total_details'!$M$8:$M$10000,'[1]1_inventory_total_details'!$C$8:$C$10000,I27,'[1]1_inventory_total_details'!$F$8:$F$10000,quot_location_id,'[1]1_inventory_total_details'!$G$8:$G$10000,"="&amp;Q27,'[1]1_inventory_total_details'!$H$8:$H$10000,"="&amp;R27,'[1]1_inventory_total_details'!$I$8:$I$10000,"="&amp;quot_date)+SUMIFS('[1]1_inventory_total_details'!$K$8:$K$10000,'[1]1_inventory_total_details'!$C$8:$C$10000,I27,'[1]1_inventory_total_details'!$F$8:$F$10000,quot_location_id,'[1]1_inventory_total_details'!$G$8:$G$10000,"="&amp;Q27,'[1]1_inventory_total_details'!$H$8:$H$10000,"="&amp;R27,'[1]1_inventory_total_details'!$I$8:$I$10000,"="&amp;quot_date)+SUMIFS('[1]1_inventory_total_details'!$L$8:$L$10000,'[1]1_inventory_total_details'!$C$8:$C$10000,I27,'[1]1_inventory_total_details'!$F$8:$F$10000,quot_location_id,'[1]1_inventory_total_details'!$G$8:$G$10000,"="&amp;Q27,'[1]1_inventory_total_details'!$H$8:$H$10000,"="&amp;R27,'[1]1_inventory_total_details'!$I$8:$I$10000,"="&amp;quot_date),SUMIFS('[1]2_inventory_total_details'!$J$8:$J$10000,'[1]2_inventory_total_details'!$C$8:$C$10000,I27,'[1]2_inventory_total_details'!$F$8:$F$10000,quot_location_id,'[1]2_inventory_total_details'!$G$8:$G$10000,"="&amp;Q27,'[1]2_inventory_total_details'!$H$8:$H$10000,"="&amp;R27,'[1]2_inventory_total_details'!$I$8:$I$10000,"="&amp;quot_date)+SUMIFS('[1]2_inventory_total_details'!$M$8:$M$10000,'[1]2_inventory_total_details'!$C$8:$C$10000,I27,'[1]2_inventory_total_details'!$F$8:$F$10000,quot_location_id,'[1]2_inventory_total_details'!$G$8:$G$10000,"="&amp;Q27,'[1]2_inventory_total_details'!$H$8:$H$10000,"="&amp;R27,'[1]2_inventory_total_details'!$I$8:$I$10000,"="&amp;quot_date)+SUMIFS('[1]2_inventory_total_details'!$K$8:$K$10000,'[1]2_inventory_total_details'!$C$8:$C$10000,I27,'[1]2_inventory_total_details'!$F$8:$F$10000,quot_location_id,'[1]2_inventory_total_details'!$G$8:$G$10000,"="&amp;Q27,'[1]2_inventory_total_details'!$H$8:$H$10000,"="&amp;R27,'[1]2_inventory_total_details'!$I$8:$I$10000,"="&amp;quot_date)+SUMIFS('[1]2_inventory_total_details'!$L$8:$L$10000,'[1]2_inventory_total_details'!$C$8:$C$10000,I27,'[1]2_inventory_total_details'!$F$8:$F$10000,quot_location_id,'[1]2_inventory_total_details'!$G$8:$G$10000,"="&amp;Q27,'[1]2_inventory_total_details'!$H$8:$H$10000,"="&amp;R27,'[1]2_inventory_total_details'!$I$8:$I$10000,"="&amp;quot_date)))</f>
        <v/>
      </c>
      <c r="AJ27" s="197" t="str">
        <f>IF(M27="","",IF(ISNA(MATCH(I27,'[1]1_group_totals'!$C$8:$C$10000)),0,IF(AW27&gt;0,1,0)))</f>
        <v/>
      </c>
      <c r="AK27" s="197" t="str">
        <f>IF(M27="","",(SUMIFS('[1]1_group_total_details'!$I$8:$I$10000,'[1]1_group_total_details'!$C$8:$C$10000,I27,'[1]1_group_total_details'!$F$8:$F$10000,quot_location_group_id,'[1]1_group_total_details'!$G$8:$G$10000,quot_location_id,'[1]1_group_total_details'!$H$8:$H$10000,"="&amp;quot_date)+SUMIFS('[1]1_group_total_details'!$L$8:$L$10000,'[1]1_group_total_details'!$C$8:$C$10000,I27,'[1]1_group_total_details'!$F$8:$F$10000,quot_location_group_id,'[1]1_group_total_details'!$G$8:$G$10000,quot_location_id,'[1]1_group_total_details'!$H$8:$H$10000,"="&amp;quot_date)+SUMIFS('[1]1_group_total_details'!$N$8:$N$10000,'[1]1_group_total_details'!$C$8:$C$10000,I27,'[1]1_group_total_details'!$F$8:$F$10000,quot_location_group_id,'[1]1_group_total_details'!$G$8:$G$10000,quot_location_id,'[1]1_group_total_details'!$H$8:$H$10000,"="&amp;quot_date)+SUMIFS('[1]1_group_total_details'!$O$8:$O$10000,'[1]1_group_total_details'!$C$8:$C$10000,I27,'[1]1_group_total_details'!$F$8:$F$10000,quot_location_group_id,'[1]1_group_total_details'!$G$8:$G$10000,quot_location_id,'[1]1_group_total_details'!$H$8:$H$10000,"="&amp;quot_date))+(SUMIFS('[1]1_group_total_details'!$J$8:$J$10000,'[1]1_group_total_details'!$C$8:$C$10000,I27,'[1]1_group_total_details'!$F$8:$F$10000,quot_location_group_id,'[1]1_group_total_details'!$G$8:$G$10000,quot_location_id,'[1]1_group_total_details'!$H$8:$H$10000,"="&amp;quot_date)+SUMIFS('[1]1_group_total_details'!$K$8:$K$10000,'[1]1_group_total_details'!$C$8:$C$10000,I27,'[1]1_group_total_details'!$F$8:$F$10000,quot_location_group_id,'[1]1_group_total_details'!$G$8:$G$10000,quot_location_id,'[1]1_group_total_details'!$H$8:$H$10000,"="&amp;quot_date)+SUMIFS('[1]1_group_total_details'!$M$8:$M$10000,'[1]1_group_total_details'!$C$8:$C$10000,I27,'[1]1_group_total_details'!$F$8:$F$10000,quot_location_group_id,'[1]1_group_total_details'!$G$8:$G$10000,quot_location_id,'[1]1_group_total_details'!$H$8:$H$10000,"="&amp;quot_date)+SUMIFS('[1]1_group_total_details'!$P$8:$P$10000,'[1]1_group_total_details'!$C$8:$C$10000,I27,'[1]1_group_total_details'!$F$8:$F$10000,quot_location_group_id,'[1]1_group_total_details'!$G$8:$G$10000,quot_location_id,'[1]1_group_total_details'!$H$8:$H$10000,"="&amp;quot_date)))</f>
        <v/>
      </c>
      <c r="AL27" s="197" t="str">
        <f>IF(M27="","",(SUMIFS('[1]1_group_total_details'!$I$8:$I$10000,'[1]1_group_total_details'!$C$8:$C$10000,I27,'[1]1_group_total_details'!$F$8:$F$10000,quot_location_group_id,'[1]1_group_total_details'!$G$8:$G$10000,quot_location_id,'[1]1_group_total_details'!$H$8:$H$10000,"&lt;="&amp;quot_date)+SUMIFS('[1]1_group_total_details'!$L$8:$L$10000,'[1]1_group_total_details'!$C$8:$C$10000,I27,'[1]1_group_total_details'!$F$8:$F$10000,quot_location_group_id,'[1]1_group_total_details'!$G$8:$G$10000,1,'[1]1_group_total_details'!$H$8:$H$10000,"&lt;="&amp;quot_date)+SUMIFS('[1]1_group_total_details'!$N$8:$N$10000,'[1]1_group_total_details'!$C$8:$C$10000,I27,'[1]1_group_total_details'!$F$8:$F$10000,quot_location_group_id,'[1]1_group_total_details'!$G$8:$G$10000,quot_location_id,'[1]1_group_total_details'!$H$8:$H$10000,"&lt;="&amp;quot_date)+SUMIFS('[1]1_group_total_details'!$O$8:$O$10000,'[1]1_group_total_details'!$C$8:$C$10000,I27,'[1]1_group_total_details'!$F$8:$F$10000,quot_location_group_id,'[1]1_group_total_details'!$G$8:$G$10000,quot_location_id,'[1]1_group_total_details'!$H$8:$H$10000,"&lt;="&amp;quot_date))-(SUMIFS('[1]1_group_total_details'!$J$8:$J$10000,'[1]1_group_total_details'!$C$8:$C$10000,I27,'[1]1_group_total_details'!$F$8:$F$10000,quot_location_group_id,'[1]1_group_total_details'!$G$8:$G$10000,quot_location_id,'[1]1_group_total_details'!$H$8:$H$10000,"&lt;="&amp;quot_date)+SUMIFS('[1]1_group_total_details'!$K$8:$K$10000,'[1]1_group_total_details'!$C$8:$C$10000,I27,'[1]1_group_total_details'!$F$8:$F$10000,quot_location_group_id,'[1]1_group_total_details'!$G$8:$G$10000,quot_location_id,'[1]1_group_total_details'!$H$8:$H$10000,"&lt;="&amp;quot_date)+SUMIFS('[1]1_group_total_details'!$M$8:$M$10000,'[1]1_group_total_details'!$C$8:$C$10000,I27,'[1]1_group_total_details'!$F$8:$F$10000,quot_location_group_id,'[1]1_group_total_details'!$G$8:$G$10000,quot_location_id,'[1]1_group_total_details'!$H$8:$H$10000,"&lt;="&amp;quot_date)+SUMIFS('[1]1_group_total_details'!$P$8:$P$10000,'[1]1_group_total_details'!$C$8:$C$10000,I27,'[1]1_group_total_details'!$F$8:$F$10000,quot_location_group_id,'[1]1_group_total_details'!$G$8:$G$10000,quot_location_id,'[1]1_group_total_details'!$H$8:$H$10000,"&lt;="&amp;quot_date)))</f>
        <v/>
      </c>
      <c r="AM27" s="197" t="str">
        <f>IF(M27="","",SUMIFS('[1]1_group_totals'!$J$8:$J$10000,'[1]1_group_totals'!$C$8:$C$10000,I27,'[1]1_group_totals'!$F$8:$F$10000,quot_location_group_id,'[1]1_group_totals'!$G$8:$G$10000,quot_location_id,'[1]1_group_totals'!$H$8:$H$10000,"="&amp;Q27,'[1]1_group_totals'!$I$8:$I$10000,"="&amp;R27))</f>
        <v/>
      </c>
      <c r="AN27" s="197" t="str">
        <f t="shared" si="7"/>
        <v/>
      </c>
      <c r="AO27" s="197" t="str">
        <f>IF(OR(ISNA(MATCH(MID(AN27,1,3)*1,UomConversion!$D$8:$D$500,0)),M27=""),"",IF(AT27="","",AT27))</f>
        <v/>
      </c>
      <c r="AP27" s="197" t="str">
        <f>IF(AND(AQ27&gt;0,COUNTIFS(UomConversion!$D$8:$D$500,MID(AN27,1,3)*1,UomConversion!$J$8:$J$500,1)&gt;1),TEXT(AQ27,"000")&amp;"."&amp;VLOOKUP(AQ27,uom_list,5,FALSE),"")</f>
        <v/>
      </c>
      <c r="AQ27" s="197" t="str">
        <f t="shared" si="20"/>
        <v/>
      </c>
      <c r="AR27" s="197" t="str">
        <f t="shared" si="21"/>
        <v/>
      </c>
      <c r="AS27" s="197" t="str">
        <f>IF(M27="","",SUMIFS(ProductPrice!$N$28:$N$10020,ProductPrice!$D$28:$D$10020,I27,ProductPrice!$G$28:$G$10020,quot_branch_id,ProductPrice!$H$28:$H$10020,quot_price_type_id,ProductPrice!$I$28:$I$10020,MID(P27,1,3)*1,ProductPrice!$Q$28:$Q$10020,1))</f>
        <v/>
      </c>
      <c r="AT27" s="197" t="str">
        <f t="shared" si="8"/>
        <v/>
      </c>
      <c r="AU27" s="197" t="str" cm="1">
        <f t="array" ref="AU27">IF(M27="","",IF(ISNA(Slookup(MID(AN27,1,3)*1,UomConversion!$D$8:$J$500,2,UomConversion!$I$8:$I$500,1,UomConversion!$J$8:$J$500,1)),"",Slookup(MID(AN27,1,3)*1,UomConversion!$D$8:$J$500,2,UomConversion!$I$8:$I$500,1,UomConversion!$J$8:$J$500,1)))</f>
        <v/>
      </c>
      <c r="AV27" s="197" t="str">
        <f t="shared" ref="AV27" si="99">IF(M27="","",IF(quot_location_id=1,BA27,IF(quot_location_id=2,BB27,0)))</f>
        <v/>
      </c>
      <c r="AW27" s="197" t="str">
        <f>IF(M27="","",(SUMIFS('[1]1_group_totals'!$K$8:$K$10000,'[1]1_group_totals'!$C$8:$C$10000,I27,'[1]1_group_totals'!$F$8:$F$10000,quot_location_group_id,'[1]1_group_totals'!$G$8:$G$10000,quot_location_id,'[1]1_group_totals'!$H$8:$H$10000,"="&amp;Q27,'[1]1_group_totals'!$I$8:$I$10000,"="&amp;R27)+SUMIFS('[1]1_group_totals'!$N$8:$N$10000,'[1]1_group_totals'!$C$8:$C$10000,I27,'[1]1_group_totals'!$F$8:$F$10000,quot_location_group_id,'[1]1_group_totals'!$G$8:$G$10000,quot_location_id,'[1]1_group_totals'!$H$8:$H$10000,"="&amp;Q27,'[1]1_group_totals'!$I$8:$I$10000,"="&amp;R27)+SUMIFS('[1]1_group_totals'!$P$8:$P$10000,'[1]1_group_totals'!$C$8:$C$10000,I27,'[1]1_group_totals'!$F$8:$F$10000,quot_location_group_id,'[1]1_group_totals'!$G$8:$G$10000,quot_location_id,'[1]1_group_totals'!$H$8:$H$10000,"="&amp;Q27,'[1]1_group_totals'!$I$8:$I$10000,"="&amp;R27)+SUMIFS('[1]1_group_totals'!$Q$8:$Q$10000,'[1]1_group_totals'!$C$8:$C$10000,I27,'[1]1_group_totals'!$F$8:$F$10000,quot_location_group_id,'[1]1_group_totals'!$G$8:$G$10000,quot_location_id,'[1]1_group_totals'!$H$8:$H$10000,"="&amp;Q27,'[1]1_group_totals'!$I$8:$I$10000,"="&amp;R27))+(SUMIFS('[1]1_group_totals'!$L$8:$L$10000,'[1]1_group_totals'!$C$8:$C$10000,I27,'[1]1_group_totals'!$F$8:$F$10000,quot_location_group_id,'[1]1_group_totals'!$G$8:$G$10000,quot_location_id,'[1]1_group_totals'!$H$8:$H$10000,"="&amp;Q27,'[1]1_group_totals'!$I$8:$I$10000,"="&amp;R27)+SUMIFS('[1]1_group_totals'!$M$8:$M$10000,'[1]1_group_totals'!$C$8:$C$10000,I27,'[1]1_group_totals'!$F$8:$F$10000,quot_location_group_id,'[1]1_group_totals'!$G$8:$G$10000,quot_location_id,'[1]1_group_totals'!$H$8:$H$10000,"="&amp;Q27,'[1]1_group_totals'!$I$8:$I$10000,"="&amp;R27)+SUMIFS('[1]1_group_totals'!$O$8:$O$10000,'[1]1_group_totals'!$C$8:$C$10000,I27,'[1]1_group_totals'!$F$8:$F$10000,quot_location_group_id,'[1]1_group_totals'!$G$8:$G$10000,quot_location_id,'[1]1_group_totals'!$H$8:$H$10000,"="&amp;Q27,'[1]1_group_totals'!$I$8:$I$10000,"="&amp;R27)+SUMIFS('[1]1_group_totals'!$R$8:$R$10000,'[1]1_group_totals'!$C$8:$C$10000,I27,'[1]1_group_totals'!$F$8:$F$10000,quot_location_group_id,'[1]1_group_totals'!$G$8:$G$10000,quot_location_id,'[1]1_group_totals'!$H$8:$H$10000,"="&amp;Q27,'[1]1_group_totals'!$I$8:$I$10000,"="&amp;R27)))</f>
        <v/>
      </c>
      <c r="AX27" s="197" t="str">
        <f t="shared" si="23"/>
        <v/>
      </c>
      <c r="AY27" s="197" t="str">
        <f>IF(M27="","",SUMIFS($AX$8:AX27,$I$8:I27,I27))</f>
        <v/>
      </c>
      <c r="AZ27" s="197" t="str">
        <f t="shared" si="24"/>
        <v/>
      </c>
      <c r="BA27" s="197" t="str">
        <f>IF(M27="","",(SUMIFS('[1]1_inventory_totals'!$I$8:$I$10000,'[1]1_inventory_totals'!$C$8:$C$10000,I27,'[1]1_inventory_totals'!$F$8:$F$10000,"="&amp;Q27,'[1]1_inventory_totals'!$G$8:$G$10000,"="&amp;R27)+SUMIFS('[1]1_inventory_totals'!$N$8:$N$10000,'[1]1_inventory_totals'!$C$8:$C$10000,I27,'[1]1_inventory_totals'!$F$8:$F$10000,"="&amp;Q27,'[1]1_inventory_totals'!$G$8:$G$10000,"="&amp;R27)+SUMIFS('[1]1_inventory_totals'!$P$8:$P$10000,'[1]1_inventory_totals'!$C$8:$C$10000,I27,'[1]1_inventory_totals'!$F$8:$F$10000,"="&amp;Q27,'[1]1_inventory_totals'!$G$8:$G$10000,"="&amp;R27)+SUMIFS('[1]1_inventory_totals'!$Q$8:$Q$10000,'[1]1_inventory_totals'!$C$8:$C$10000,I27,'[1]1_inventory_totals'!$F$8:$F$10000,"="&amp;Q27,'[1]1_inventory_totals'!$G$8:$G$10000,"="&amp;R27)+SUMIFS('[1]1_inventory_totals'!$R$8:$R$10000,'[1]1_inventory_totals'!$C$8:$C$10000,I27,'[1]1_inventory_totals'!$F$8:$F$10000,"="&amp;Q27,'[1]1_inventory_totals'!$G$8:$G$10000,"="&amp;R27))+(SUMIFS('[1]1_inventory_totals'!$J$8:$J$10000,'[1]1_inventory_totals'!$C$8:$C$10000,I27,'[1]1_inventory_totals'!$F$8:$F$10000,"="&amp;Q27,'[1]1_inventory_totals'!$G$8:$G$10000,"="&amp;R27)+SUMIFS('[1]1_inventory_totals'!$K$8:$K$10000,'[1]1_inventory_totals'!$C$8:$C$10000,I27,'[1]1_inventory_totals'!$F$8:$F$10000,"="&amp;Q27,'[1]1_inventory_totals'!$G$8:$G$10000,"="&amp;R27)+SUMIFS('[1]1_inventory_totals'!$L$8:$L$10000,'[1]1_inventory_totals'!$C$8:$C$10000,I27,'[1]1_inventory_totals'!$F$8:$F$10000,"="&amp;Q27,'[1]1_inventory_totals'!$G$8:$G$10000,"="&amp;R27)+SUMIFS('[1]1_inventory_totals'!$M$8:$M$10000,'[1]1_inventory_totals'!$C$8:$C$10000,I27,'[1]1_inventory_totals'!$F$8:$F$10000,"="&amp;Q27,'[1]1_inventory_totals'!$G$8:$G$10000,"="&amp;R27)+SUMIFS('[1]1_inventory_totals'!$O$8:$O$10000,'[1]1_inventory_totals'!$C$8:$C$10000,I27,'[1]1_inventory_totals'!$F$8:$F$10000,"="&amp;Q27,'[1]1_inventory_totals'!$G$8:$G$10000,"="&amp;R27)+SUMIFS('[1]1_inventory_totals'!$S$8:$S$10000,'[1]1_inventory_totals'!$C$8:$C$10000,I27,'[1]1_inventory_totals'!$F$8:$F$10000,"="&amp;Q27,'[1]1_inventory_totals'!$G$8:$G$10000,"="&amp;R27)))</f>
        <v/>
      </c>
      <c r="BB27" s="197" t="str">
        <f>IF(M27="","",(SUMIFS('[1]2_inventory_totals'!$I$8:$I$10000,'[1]2_inventory_totals'!$C$8:$C$10000,I27,'[1]2_inventory_totals'!$F$8:$F$10000,"="&amp;Q27,'[1]2_inventory_totals'!$G$8:$G$10000,"="&amp;R27)+SUMIFS('[1]2_inventory_totals'!$N$8:$N$10000,'[1]2_inventory_totals'!$C$8:$C$10000,I27,'[1]2_inventory_totals'!$F$8:$F$10000,"="&amp;Q27,'[1]2_inventory_totals'!$G$8:$G$10000,"="&amp;R27)+SUMIFS('[1]2_inventory_totals'!$P$8:$P$10000,'[1]2_inventory_totals'!$C$8:$C$10000,I27,'[1]2_inventory_totals'!$F$8:$F$10000,"="&amp;Q27,'[1]2_inventory_totals'!$G$8:$G$10000,"="&amp;R27)+SUMIFS('[1]2_inventory_totals'!$Q$8:$Q$10000,'[1]2_inventory_totals'!$C$8:$C$10000,I27,'[1]2_inventory_totals'!$F$8:$F$10000,"="&amp;Q27,'[1]2_inventory_totals'!$G$8:$G$10000,"="&amp;R27)+SUMIFS('[1]2_inventory_totals'!$R$8:$R$10000,'[1]2_inventory_totals'!$C$8:$C$10000,I27,'[1]2_inventory_totals'!$F$8:$F$10000,"="&amp;Q27,'[1]2_inventory_totals'!$G$8:$G$10000,"="&amp;R27))+(SUMIFS('[1]2_inventory_totals'!$J$8:$J$10000,'[1]2_inventory_totals'!$C$8:$C$10000,I27,'[1]2_inventory_totals'!$F$8:$F$10000,"="&amp;Q27,'[1]2_inventory_totals'!$G$8:$G$10000,"="&amp;R27)+SUMIFS('[1]2_inventory_totals'!$K$8:$K$10000,'[1]2_inventory_totals'!$C$8:$C$10000,I27,'[1]2_inventory_totals'!$F$8:$F$10000,"="&amp;Q27,'[1]2_inventory_totals'!$G$8:$G$10000,"="&amp;R27)+SUMIFS('[1]2_inventory_totals'!$L$8:$L$10000,'[1]2_inventory_totals'!$C$8:$C$10000,I27,'[1]2_inventory_totals'!$F$8:$F$10000,"="&amp;Q27,'[1]2_inventory_totals'!$G$8:$G$10000,"="&amp;R27)+SUMIFS('[1]2_inventory_totals'!$M$8:$M$10000,'[1]2_inventory_totals'!$C$8:$C$10000,I27,'[1]2_inventory_totals'!$F$8:$F$10000,"="&amp;Q27,'[1]2_inventory_totals'!$G$8:$G$10000,"="&amp;R27)+SUMIFS('[1]2_inventory_totals'!$O$8:$O$10000,'[1]2_inventory_totals'!$C$8:$C$10000,I27,'[1]2_inventory_totals'!$F$8:$F$10000,"="&amp;Q27,'[1]2_inventory_totals'!$G$8:$G$10000,"="&amp;R27)+SUMIFS('[1]2_inventory_totals'!$S$8:$S$10000,'[1]2_inventory_totals'!$C$8:$C$10000,I27,'[1]2_inventory_totals'!$F$8:$F$10000,"="&amp;Q27,'[1]2_inventory_totals'!$G$8:$G$10000,"="&amp;R27)))</f>
        <v/>
      </c>
    </row>
    <row r="28" spans="1:54" ht="27" customHeight="1" thickBot="1">
      <c r="A28" s="923"/>
      <c r="B28" s="1251"/>
      <c r="C28" s="1888"/>
      <c r="D28" s="1889"/>
      <c r="E28" s="1890"/>
      <c r="F28" s="1262"/>
      <c r="I28" s="1610" t="str">
        <f t="shared" si="10"/>
        <v/>
      </c>
      <c r="J28" s="1611" t="str">
        <f t="shared" si="25"/>
        <v/>
      </c>
      <c r="K28" s="1612" t="str">
        <f t="shared" si="30"/>
        <v/>
      </c>
      <c r="L28" s="1613"/>
      <c r="M28" s="883"/>
      <c r="N28" s="884"/>
      <c r="O28" s="884"/>
      <c r="P28" s="885"/>
      <c r="Q28" s="886"/>
      <c r="R28" s="891"/>
      <c r="S28" s="1614" t="str">
        <f t="shared" ref="S28" si="100">IF(M28="","",quot_currency_symbol)</f>
        <v/>
      </c>
      <c r="T28" s="888"/>
      <c r="U28" s="1650" t="str">
        <f t="shared" si="13"/>
        <v/>
      </c>
      <c r="V28" s="1615" t="str">
        <f t="shared" ref="V28" si="101">IF(W28=0,"",quot_currency_symbol)</f>
        <v/>
      </c>
      <c r="W28" s="889"/>
      <c r="X28" s="1615" t="str">
        <f t="shared" ref="X28" si="102">IF(M28="","",quot_currency_symbol)</f>
        <v/>
      </c>
      <c r="Y28" s="1616" t="str">
        <f t="shared" si="34"/>
        <v/>
      </c>
      <c r="Z28" s="890"/>
      <c r="AA28" s="197" t="str" cm="1">
        <f t="array" ref="AA28">IF(M28="","",IF(P28=AN28,1,Slookup(MID(AN28,1,3)*1,UomConversion!$D$8:$J$500,5,UomConversion!$E$8:$E$500,MID(P28,1,3)*1,UomConversion!$J$8:$J$500,1)))</f>
        <v/>
      </c>
      <c r="AB28" s="197" t="str">
        <f t="shared" si="3"/>
        <v/>
      </c>
      <c r="AC28" s="197" t="str">
        <f t="shared" si="17"/>
        <v/>
      </c>
      <c r="AD28" s="197" t="str">
        <f t="shared" si="18"/>
        <v/>
      </c>
      <c r="AE28" s="197" t="str">
        <f t="shared" si="19"/>
        <v/>
      </c>
      <c r="AF28" s="197" t="str">
        <f t="shared" si="5"/>
        <v/>
      </c>
      <c r="AG28" s="197" t="str">
        <f t="shared" si="6"/>
        <v/>
      </c>
      <c r="AH28" s="197" t="str">
        <f>IF(I28="","",IF(ISNA(MATCH(I28,IF(quot_location_id=1,'[1]1_inventory_totals'!$C$8:$C$10000,IF(quot_location_id=2,'[1]2_inventory_totals'!$C$8:$C$10000,0)),0)),0,IF(AV28&gt;0,1,0)))</f>
        <v/>
      </c>
      <c r="AI28" s="197" t="str">
        <f>IF(M28="","",IF(quot_location_id=1,SUMIFS('[1]1_inventory_total_details'!$J$8:$J$10000,'[1]1_inventory_total_details'!$C$8:$C$10000,I28,'[1]1_inventory_total_details'!$F$8:$F$10000,quot_location_id,'[1]1_inventory_total_details'!$G$8:$G$10000,"="&amp;Q28,'[1]1_inventory_total_details'!$H$8:$H$10000,"="&amp;R28,'[1]1_inventory_total_details'!$I$8:$I$10000,"="&amp;quot_date)+SUMIFS('[1]1_inventory_total_details'!$M$8:$M$10000,'[1]1_inventory_total_details'!$C$8:$C$10000,I28,'[1]1_inventory_total_details'!$F$8:$F$10000,quot_location_id,'[1]1_inventory_total_details'!$G$8:$G$10000,"="&amp;Q28,'[1]1_inventory_total_details'!$H$8:$H$10000,"="&amp;R28,'[1]1_inventory_total_details'!$I$8:$I$10000,"="&amp;quot_date)+SUMIFS('[1]1_inventory_total_details'!$K$8:$K$10000,'[1]1_inventory_total_details'!$C$8:$C$10000,I28,'[1]1_inventory_total_details'!$F$8:$F$10000,quot_location_id,'[1]1_inventory_total_details'!$G$8:$G$10000,"="&amp;Q28,'[1]1_inventory_total_details'!$H$8:$H$10000,"="&amp;R28,'[1]1_inventory_total_details'!$I$8:$I$10000,"="&amp;quot_date)+SUMIFS('[1]1_inventory_total_details'!$L$8:$L$10000,'[1]1_inventory_total_details'!$C$8:$C$10000,I28,'[1]1_inventory_total_details'!$F$8:$F$10000,quot_location_id,'[1]1_inventory_total_details'!$G$8:$G$10000,"="&amp;Q28,'[1]1_inventory_total_details'!$H$8:$H$10000,"="&amp;R28,'[1]1_inventory_total_details'!$I$8:$I$10000,"="&amp;quot_date),SUMIFS('[1]2_inventory_total_details'!$J$8:$J$10000,'[1]2_inventory_total_details'!$C$8:$C$10000,I28,'[1]2_inventory_total_details'!$F$8:$F$10000,quot_location_id,'[1]2_inventory_total_details'!$G$8:$G$10000,"="&amp;Q28,'[1]2_inventory_total_details'!$H$8:$H$10000,"="&amp;R28,'[1]2_inventory_total_details'!$I$8:$I$10000,"="&amp;quot_date)+SUMIFS('[1]2_inventory_total_details'!$M$8:$M$10000,'[1]2_inventory_total_details'!$C$8:$C$10000,I28,'[1]2_inventory_total_details'!$F$8:$F$10000,quot_location_id,'[1]2_inventory_total_details'!$G$8:$G$10000,"="&amp;Q28,'[1]2_inventory_total_details'!$H$8:$H$10000,"="&amp;R28,'[1]2_inventory_total_details'!$I$8:$I$10000,"="&amp;quot_date)+SUMIFS('[1]2_inventory_total_details'!$K$8:$K$10000,'[1]2_inventory_total_details'!$C$8:$C$10000,I28,'[1]2_inventory_total_details'!$F$8:$F$10000,quot_location_id,'[1]2_inventory_total_details'!$G$8:$G$10000,"="&amp;Q28,'[1]2_inventory_total_details'!$H$8:$H$10000,"="&amp;R28,'[1]2_inventory_total_details'!$I$8:$I$10000,"="&amp;quot_date)+SUMIFS('[1]2_inventory_total_details'!$L$8:$L$10000,'[1]2_inventory_total_details'!$C$8:$C$10000,I28,'[1]2_inventory_total_details'!$F$8:$F$10000,quot_location_id,'[1]2_inventory_total_details'!$G$8:$G$10000,"="&amp;Q28,'[1]2_inventory_total_details'!$H$8:$H$10000,"="&amp;R28,'[1]2_inventory_total_details'!$I$8:$I$10000,"="&amp;quot_date)))</f>
        <v/>
      </c>
      <c r="AJ28" s="197" t="str">
        <f>IF(M28="","",IF(ISNA(MATCH(I28,'[1]1_group_totals'!$C$8:$C$10000)),0,IF(AW28&gt;0,1,0)))</f>
        <v/>
      </c>
      <c r="AK28" s="197" t="str">
        <f>IF(M28="","",(SUMIFS('[1]1_group_total_details'!$I$8:$I$10000,'[1]1_group_total_details'!$C$8:$C$10000,I28,'[1]1_group_total_details'!$F$8:$F$10000,quot_location_group_id,'[1]1_group_total_details'!$G$8:$G$10000,quot_location_id,'[1]1_group_total_details'!$H$8:$H$10000,"="&amp;quot_date)+SUMIFS('[1]1_group_total_details'!$L$8:$L$10000,'[1]1_group_total_details'!$C$8:$C$10000,I28,'[1]1_group_total_details'!$F$8:$F$10000,quot_location_group_id,'[1]1_group_total_details'!$G$8:$G$10000,quot_location_id,'[1]1_group_total_details'!$H$8:$H$10000,"="&amp;quot_date)+SUMIFS('[1]1_group_total_details'!$N$8:$N$10000,'[1]1_group_total_details'!$C$8:$C$10000,I28,'[1]1_group_total_details'!$F$8:$F$10000,quot_location_group_id,'[1]1_group_total_details'!$G$8:$G$10000,quot_location_id,'[1]1_group_total_details'!$H$8:$H$10000,"="&amp;quot_date)+SUMIFS('[1]1_group_total_details'!$O$8:$O$10000,'[1]1_group_total_details'!$C$8:$C$10000,I28,'[1]1_group_total_details'!$F$8:$F$10000,quot_location_group_id,'[1]1_group_total_details'!$G$8:$G$10000,quot_location_id,'[1]1_group_total_details'!$H$8:$H$10000,"="&amp;quot_date))+(SUMIFS('[1]1_group_total_details'!$J$8:$J$10000,'[1]1_group_total_details'!$C$8:$C$10000,I28,'[1]1_group_total_details'!$F$8:$F$10000,quot_location_group_id,'[1]1_group_total_details'!$G$8:$G$10000,quot_location_id,'[1]1_group_total_details'!$H$8:$H$10000,"="&amp;quot_date)+SUMIFS('[1]1_group_total_details'!$K$8:$K$10000,'[1]1_group_total_details'!$C$8:$C$10000,I28,'[1]1_group_total_details'!$F$8:$F$10000,quot_location_group_id,'[1]1_group_total_details'!$G$8:$G$10000,quot_location_id,'[1]1_group_total_details'!$H$8:$H$10000,"="&amp;quot_date)+SUMIFS('[1]1_group_total_details'!$M$8:$M$10000,'[1]1_group_total_details'!$C$8:$C$10000,I28,'[1]1_group_total_details'!$F$8:$F$10000,quot_location_group_id,'[1]1_group_total_details'!$G$8:$G$10000,quot_location_id,'[1]1_group_total_details'!$H$8:$H$10000,"="&amp;quot_date)+SUMIFS('[1]1_group_total_details'!$P$8:$P$10000,'[1]1_group_total_details'!$C$8:$C$10000,I28,'[1]1_group_total_details'!$F$8:$F$10000,quot_location_group_id,'[1]1_group_total_details'!$G$8:$G$10000,quot_location_id,'[1]1_group_total_details'!$H$8:$H$10000,"="&amp;quot_date)))</f>
        <v/>
      </c>
      <c r="AL28" s="197" t="str">
        <f>IF(M28="","",(SUMIFS('[1]1_group_total_details'!$I$8:$I$10000,'[1]1_group_total_details'!$C$8:$C$10000,I28,'[1]1_group_total_details'!$F$8:$F$10000,quot_location_group_id,'[1]1_group_total_details'!$G$8:$G$10000,quot_location_id,'[1]1_group_total_details'!$H$8:$H$10000,"&lt;="&amp;quot_date)+SUMIFS('[1]1_group_total_details'!$L$8:$L$10000,'[1]1_group_total_details'!$C$8:$C$10000,I28,'[1]1_group_total_details'!$F$8:$F$10000,quot_location_group_id,'[1]1_group_total_details'!$G$8:$G$10000,1,'[1]1_group_total_details'!$H$8:$H$10000,"&lt;="&amp;quot_date)+SUMIFS('[1]1_group_total_details'!$N$8:$N$10000,'[1]1_group_total_details'!$C$8:$C$10000,I28,'[1]1_group_total_details'!$F$8:$F$10000,quot_location_group_id,'[1]1_group_total_details'!$G$8:$G$10000,quot_location_id,'[1]1_group_total_details'!$H$8:$H$10000,"&lt;="&amp;quot_date)+SUMIFS('[1]1_group_total_details'!$O$8:$O$10000,'[1]1_group_total_details'!$C$8:$C$10000,I28,'[1]1_group_total_details'!$F$8:$F$10000,quot_location_group_id,'[1]1_group_total_details'!$G$8:$G$10000,quot_location_id,'[1]1_group_total_details'!$H$8:$H$10000,"&lt;="&amp;quot_date))-(SUMIFS('[1]1_group_total_details'!$J$8:$J$10000,'[1]1_group_total_details'!$C$8:$C$10000,I28,'[1]1_group_total_details'!$F$8:$F$10000,quot_location_group_id,'[1]1_group_total_details'!$G$8:$G$10000,quot_location_id,'[1]1_group_total_details'!$H$8:$H$10000,"&lt;="&amp;quot_date)+SUMIFS('[1]1_group_total_details'!$K$8:$K$10000,'[1]1_group_total_details'!$C$8:$C$10000,I28,'[1]1_group_total_details'!$F$8:$F$10000,quot_location_group_id,'[1]1_group_total_details'!$G$8:$G$10000,quot_location_id,'[1]1_group_total_details'!$H$8:$H$10000,"&lt;="&amp;quot_date)+SUMIFS('[1]1_group_total_details'!$M$8:$M$10000,'[1]1_group_total_details'!$C$8:$C$10000,I28,'[1]1_group_total_details'!$F$8:$F$10000,quot_location_group_id,'[1]1_group_total_details'!$G$8:$G$10000,quot_location_id,'[1]1_group_total_details'!$H$8:$H$10000,"&lt;="&amp;quot_date)+SUMIFS('[1]1_group_total_details'!$P$8:$P$10000,'[1]1_group_total_details'!$C$8:$C$10000,I28,'[1]1_group_total_details'!$F$8:$F$10000,quot_location_group_id,'[1]1_group_total_details'!$G$8:$G$10000,quot_location_id,'[1]1_group_total_details'!$H$8:$H$10000,"&lt;="&amp;quot_date)))</f>
        <v/>
      </c>
      <c r="AM28" s="197" t="str">
        <f>IF(M28="","",SUMIFS('[1]1_group_totals'!$J$8:$J$10000,'[1]1_group_totals'!$C$8:$C$10000,I28,'[1]1_group_totals'!$F$8:$F$10000,quot_location_group_id,'[1]1_group_totals'!$G$8:$G$10000,quot_location_id,'[1]1_group_totals'!$H$8:$H$10000,"="&amp;Q28,'[1]1_group_totals'!$I$8:$I$10000,"="&amp;R28))</f>
        <v/>
      </c>
      <c r="AN28" s="197" t="str">
        <f t="shared" si="7"/>
        <v/>
      </c>
      <c r="AO28" s="197" t="str">
        <f>IF(OR(ISNA(MATCH(MID(AN28,1,3)*1,UomConversion!$D$8:$D$500,0)),M28=""),"",IF(AT28="","",AT28))</f>
        <v/>
      </c>
      <c r="AP28" s="197" t="str">
        <f>IF(AND(AQ28&gt;0,COUNTIFS(UomConversion!$D$8:$D$500,MID(AN28,1,3)*1,UomConversion!$J$8:$J$500,1)&gt;1),TEXT(AQ28,"000")&amp;"."&amp;VLOOKUP(AQ28,uom_list,5,FALSE),"")</f>
        <v/>
      </c>
      <c r="AQ28" s="197" t="str">
        <f t="shared" si="20"/>
        <v/>
      </c>
      <c r="AR28" s="197" t="str">
        <f t="shared" si="21"/>
        <v/>
      </c>
      <c r="AS28" s="197" t="str">
        <f>IF(M28="","",SUMIFS(ProductPrice!$N$28:$N$10020,ProductPrice!$D$28:$D$10020,I28,ProductPrice!$G$28:$G$10020,quot_branch_id,ProductPrice!$H$28:$H$10020,quot_price_type_id,ProductPrice!$I$28:$I$10020,MID(P28,1,3)*1,ProductPrice!$Q$28:$Q$10020,1))</f>
        <v/>
      </c>
      <c r="AT28" s="197" t="str">
        <f t="shared" si="8"/>
        <v/>
      </c>
      <c r="AU28" s="197" t="str" cm="1">
        <f t="array" ref="AU28">IF(M28="","",IF(ISNA(Slookup(MID(AN28,1,3)*1,UomConversion!$D$8:$J$500,2,UomConversion!$I$8:$I$500,1,UomConversion!$J$8:$J$500,1)),"",Slookup(MID(AN28,1,3)*1,UomConversion!$D$8:$J$500,2,UomConversion!$I$8:$I$500,1,UomConversion!$J$8:$J$500,1)))</f>
        <v/>
      </c>
      <c r="AV28" s="197" t="str">
        <f t="shared" ref="AV28" si="103">IF(M28="","",IF(quot_location_id=1,BA28,IF(quot_location_id=2,BB28,0)))</f>
        <v/>
      </c>
      <c r="AW28" s="197" t="str">
        <f>IF(M28="","",(SUMIFS('[1]1_group_totals'!$K$8:$K$10000,'[1]1_group_totals'!$C$8:$C$10000,I28,'[1]1_group_totals'!$F$8:$F$10000,quot_location_group_id,'[1]1_group_totals'!$G$8:$G$10000,quot_location_id,'[1]1_group_totals'!$H$8:$H$10000,"="&amp;Q28,'[1]1_group_totals'!$I$8:$I$10000,"="&amp;R28)+SUMIFS('[1]1_group_totals'!$N$8:$N$10000,'[1]1_group_totals'!$C$8:$C$10000,I28,'[1]1_group_totals'!$F$8:$F$10000,quot_location_group_id,'[1]1_group_totals'!$G$8:$G$10000,quot_location_id,'[1]1_group_totals'!$H$8:$H$10000,"="&amp;Q28,'[1]1_group_totals'!$I$8:$I$10000,"="&amp;R28)+SUMIFS('[1]1_group_totals'!$P$8:$P$10000,'[1]1_group_totals'!$C$8:$C$10000,I28,'[1]1_group_totals'!$F$8:$F$10000,quot_location_group_id,'[1]1_group_totals'!$G$8:$G$10000,quot_location_id,'[1]1_group_totals'!$H$8:$H$10000,"="&amp;Q28,'[1]1_group_totals'!$I$8:$I$10000,"="&amp;R28)+SUMIFS('[1]1_group_totals'!$Q$8:$Q$10000,'[1]1_group_totals'!$C$8:$C$10000,I28,'[1]1_group_totals'!$F$8:$F$10000,quot_location_group_id,'[1]1_group_totals'!$G$8:$G$10000,quot_location_id,'[1]1_group_totals'!$H$8:$H$10000,"="&amp;Q28,'[1]1_group_totals'!$I$8:$I$10000,"="&amp;R28))+(SUMIFS('[1]1_group_totals'!$L$8:$L$10000,'[1]1_group_totals'!$C$8:$C$10000,I28,'[1]1_group_totals'!$F$8:$F$10000,quot_location_group_id,'[1]1_group_totals'!$G$8:$G$10000,quot_location_id,'[1]1_group_totals'!$H$8:$H$10000,"="&amp;Q28,'[1]1_group_totals'!$I$8:$I$10000,"="&amp;R28)+SUMIFS('[1]1_group_totals'!$M$8:$M$10000,'[1]1_group_totals'!$C$8:$C$10000,I28,'[1]1_group_totals'!$F$8:$F$10000,quot_location_group_id,'[1]1_group_totals'!$G$8:$G$10000,quot_location_id,'[1]1_group_totals'!$H$8:$H$10000,"="&amp;Q28,'[1]1_group_totals'!$I$8:$I$10000,"="&amp;R28)+SUMIFS('[1]1_group_totals'!$O$8:$O$10000,'[1]1_group_totals'!$C$8:$C$10000,I28,'[1]1_group_totals'!$F$8:$F$10000,quot_location_group_id,'[1]1_group_totals'!$G$8:$G$10000,quot_location_id,'[1]1_group_totals'!$H$8:$H$10000,"="&amp;Q28,'[1]1_group_totals'!$I$8:$I$10000,"="&amp;R28)+SUMIFS('[1]1_group_totals'!$R$8:$R$10000,'[1]1_group_totals'!$C$8:$C$10000,I28,'[1]1_group_totals'!$F$8:$F$10000,quot_location_group_id,'[1]1_group_totals'!$G$8:$G$10000,quot_location_id,'[1]1_group_totals'!$H$8:$H$10000,"="&amp;Q28,'[1]1_group_totals'!$I$8:$I$10000,"="&amp;R28)))</f>
        <v/>
      </c>
      <c r="AX28" s="197" t="str">
        <f t="shared" si="23"/>
        <v/>
      </c>
      <c r="AY28" s="197" t="str">
        <f>IF(M28="","",SUMIFS($AX$8:AX28,$I$8:I28,I28))</f>
        <v/>
      </c>
      <c r="AZ28" s="197" t="str">
        <f t="shared" si="24"/>
        <v/>
      </c>
      <c r="BA28" s="197" t="str">
        <f>IF(M28="","",(SUMIFS('[1]1_inventory_totals'!$I$8:$I$10000,'[1]1_inventory_totals'!$C$8:$C$10000,I28,'[1]1_inventory_totals'!$F$8:$F$10000,"="&amp;Q28,'[1]1_inventory_totals'!$G$8:$G$10000,"="&amp;R28)+SUMIFS('[1]1_inventory_totals'!$N$8:$N$10000,'[1]1_inventory_totals'!$C$8:$C$10000,I28,'[1]1_inventory_totals'!$F$8:$F$10000,"="&amp;Q28,'[1]1_inventory_totals'!$G$8:$G$10000,"="&amp;R28)+SUMIFS('[1]1_inventory_totals'!$P$8:$P$10000,'[1]1_inventory_totals'!$C$8:$C$10000,I28,'[1]1_inventory_totals'!$F$8:$F$10000,"="&amp;Q28,'[1]1_inventory_totals'!$G$8:$G$10000,"="&amp;R28)+SUMIFS('[1]1_inventory_totals'!$Q$8:$Q$10000,'[1]1_inventory_totals'!$C$8:$C$10000,I28,'[1]1_inventory_totals'!$F$8:$F$10000,"="&amp;Q28,'[1]1_inventory_totals'!$G$8:$G$10000,"="&amp;R28)+SUMIFS('[1]1_inventory_totals'!$R$8:$R$10000,'[1]1_inventory_totals'!$C$8:$C$10000,I28,'[1]1_inventory_totals'!$F$8:$F$10000,"="&amp;Q28,'[1]1_inventory_totals'!$G$8:$G$10000,"="&amp;R28))+(SUMIFS('[1]1_inventory_totals'!$J$8:$J$10000,'[1]1_inventory_totals'!$C$8:$C$10000,I28,'[1]1_inventory_totals'!$F$8:$F$10000,"="&amp;Q28,'[1]1_inventory_totals'!$G$8:$G$10000,"="&amp;R28)+SUMIFS('[1]1_inventory_totals'!$K$8:$K$10000,'[1]1_inventory_totals'!$C$8:$C$10000,I28,'[1]1_inventory_totals'!$F$8:$F$10000,"="&amp;Q28,'[1]1_inventory_totals'!$G$8:$G$10000,"="&amp;R28)+SUMIFS('[1]1_inventory_totals'!$L$8:$L$10000,'[1]1_inventory_totals'!$C$8:$C$10000,I28,'[1]1_inventory_totals'!$F$8:$F$10000,"="&amp;Q28,'[1]1_inventory_totals'!$G$8:$G$10000,"="&amp;R28)+SUMIFS('[1]1_inventory_totals'!$M$8:$M$10000,'[1]1_inventory_totals'!$C$8:$C$10000,I28,'[1]1_inventory_totals'!$F$8:$F$10000,"="&amp;Q28,'[1]1_inventory_totals'!$G$8:$G$10000,"="&amp;R28)+SUMIFS('[1]1_inventory_totals'!$O$8:$O$10000,'[1]1_inventory_totals'!$C$8:$C$10000,I28,'[1]1_inventory_totals'!$F$8:$F$10000,"="&amp;Q28,'[1]1_inventory_totals'!$G$8:$G$10000,"="&amp;R28)+SUMIFS('[1]1_inventory_totals'!$S$8:$S$10000,'[1]1_inventory_totals'!$C$8:$C$10000,I28,'[1]1_inventory_totals'!$F$8:$F$10000,"="&amp;Q28,'[1]1_inventory_totals'!$G$8:$G$10000,"="&amp;R28)))</f>
        <v/>
      </c>
      <c r="BB28" s="197" t="str">
        <f>IF(M28="","",(SUMIFS('[1]2_inventory_totals'!$I$8:$I$10000,'[1]2_inventory_totals'!$C$8:$C$10000,I28,'[1]2_inventory_totals'!$F$8:$F$10000,"="&amp;Q28,'[1]2_inventory_totals'!$G$8:$G$10000,"="&amp;R28)+SUMIFS('[1]2_inventory_totals'!$N$8:$N$10000,'[1]2_inventory_totals'!$C$8:$C$10000,I28,'[1]2_inventory_totals'!$F$8:$F$10000,"="&amp;Q28,'[1]2_inventory_totals'!$G$8:$G$10000,"="&amp;R28)+SUMIFS('[1]2_inventory_totals'!$P$8:$P$10000,'[1]2_inventory_totals'!$C$8:$C$10000,I28,'[1]2_inventory_totals'!$F$8:$F$10000,"="&amp;Q28,'[1]2_inventory_totals'!$G$8:$G$10000,"="&amp;R28)+SUMIFS('[1]2_inventory_totals'!$Q$8:$Q$10000,'[1]2_inventory_totals'!$C$8:$C$10000,I28,'[1]2_inventory_totals'!$F$8:$F$10000,"="&amp;Q28,'[1]2_inventory_totals'!$G$8:$G$10000,"="&amp;R28)+SUMIFS('[1]2_inventory_totals'!$R$8:$R$10000,'[1]2_inventory_totals'!$C$8:$C$10000,I28,'[1]2_inventory_totals'!$F$8:$F$10000,"="&amp;Q28,'[1]2_inventory_totals'!$G$8:$G$10000,"="&amp;R28))+(SUMIFS('[1]2_inventory_totals'!$J$8:$J$10000,'[1]2_inventory_totals'!$C$8:$C$10000,I28,'[1]2_inventory_totals'!$F$8:$F$10000,"="&amp;Q28,'[1]2_inventory_totals'!$G$8:$G$10000,"="&amp;R28)+SUMIFS('[1]2_inventory_totals'!$K$8:$K$10000,'[1]2_inventory_totals'!$C$8:$C$10000,I28,'[1]2_inventory_totals'!$F$8:$F$10000,"="&amp;Q28,'[1]2_inventory_totals'!$G$8:$G$10000,"="&amp;R28)+SUMIFS('[1]2_inventory_totals'!$L$8:$L$10000,'[1]2_inventory_totals'!$C$8:$C$10000,I28,'[1]2_inventory_totals'!$F$8:$F$10000,"="&amp;Q28,'[1]2_inventory_totals'!$G$8:$G$10000,"="&amp;R28)+SUMIFS('[1]2_inventory_totals'!$M$8:$M$10000,'[1]2_inventory_totals'!$C$8:$C$10000,I28,'[1]2_inventory_totals'!$F$8:$F$10000,"="&amp;Q28,'[1]2_inventory_totals'!$G$8:$G$10000,"="&amp;R28)+SUMIFS('[1]2_inventory_totals'!$O$8:$O$10000,'[1]2_inventory_totals'!$C$8:$C$10000,I28,'[1]2_inventory_totals'!$F$8:$F$10000,"="&amp;Q28,'[1]2_inventory_totals'!$G$8:$G$10000,"="&amp;R28)+SUMIFS('[1]2_inventory_totals'!$S$8:$S$10000,'[1]2_inventory_totals'!$C$8:$C$10000,I28,'[1]2_inventory_totals'!$F$8:$F$10000,"="&amp;Q28,'[1]2_inventory_totals'!$G$8:$G$10000,"="&amp;R28)))</f>
        <v/>
      </c>
    </row>
    <row r="29" spans="1:54" ht="27" customHeight="1">
      <c r="A29" s="923"/>
      <c r="B29" s="1251"/>
      <c r="C29" s="1267"/>
      <c r="D29" s="950"/>
      <c r="E29" s="950"/>
      <c r="F29" s="1262"/>
      <c r="I29" s="1610" t="str">
        <f t="shared" si="10"/>
        <v/>
      </c>
      <c r="J29" s="1611" t="str">
        <f t="shared" si="25"/>
        <v/>
      </c>
      <c r="K29" s="1612" t="str">
        <f t="shared" si="30"/>
        <v/>
      </c>
      <c r="L29" s="1613"/>
      <c r="M29" s="883"/>
      <c r="N29" s="884"/>
      <c r="O29" s="884"/>
      <c r="P29" s="885"/>
      <c r="Q29" s="886"/>
      <c r="R29" s="891"/>
      <c r="S29" s="1614" t="str">
        <f t="shared" ref="S29" si="104">IF(M29="","",quot_currency_symbol)</f>
        <v/>
      </c>
      <c r="T29" s="888"/>
      <c r="U29" s="1650" t="str">
        <f t="shared" si="13"/>
        <v/>
      </c>
      <c r="V29" s="1615" t="str">
        <f t="shared" ref="V29" si="105">IF(W29=0,"",quot_currency_symbol)</f>
        <v/>
      </c>
      <c r="W29" s="889"/>
      <c r="X29" s="1615" t="str">
        <f t="shared" ref="X29" si="106">IF(M29="","",quot_currency_symbol)</f>
        <v/>
      </c>
      <c r="Y29" s="1616" t="str">
        <f t="shared" si="34"/>
        <v/>
      </c>
      <c r="Z29" s="890"/>
      <c r="AA29" s="197" t="str" cm="1">
        <f t="array" ref="AA29">IF(M29="","",IF(P29=AN29,1,Slookup(MID(AN29,1,3)*1,UomConversion!$D$8:$J$500,5,UomConversion!$E$8:$E$500,MID(P29,1,3)*1,UomConversion!$J$8:$J$500,1)))</f>
        <v/>
      </c>
      <c r="AB29" s="197" t="str">
        <f t="shared" si="3"/>
        <v/>
      </c>
      <c r="AC29" s="197" t="str">
        <f t="shared" si="17"/>
        <v/>
      </c>
      <c r="AD29" s="197" t="str">
        <f t="shared" si="18"/>
        <v/>
      </c>
      <c r="AE29" s="197" t="str">
        <f t="shared" si="19"/>
        <v/>
      </c>
      <c r="AF29" s="197" t="str">
        <f t="shared" si="5"/>
        <v/>
      </c>
      <c r="AG29" s="197" t="str">
        <f t="shared" si="6"/>
        <v/>
      </c>
      <c r="AH29" s="197" t="str">
        <f>IF(I29="","",IF(ISNA(MATCH(I29,IF(quot_location_id=1,'[1]1_inventory_totals'!$C$8:$C$10000,IF(quot_location_id=2,'[1]2_inventory_totals'!$C$8:$C$10000,0)),0)),0,IF(AV29&gt;0,1,0)))</f>
        <v/>
      </c>
      <c r="AI29" s="197" t="str">
        <f>IF(M29="","",IF(quot_location_id=1,SUMIFS('[1]1_inventory_total_details'!$J$8:$J$10000,'[1]1_inventory_total_details'!$C$8:$C$10000,I29,'[1]1_inventory_total_details'!$F$8:$F$10000,quot_location_id,'[1]1_inventory_total_details'!$G$8:$G$10000,"="&amp;Q29,'[1]1_inventory_total_details'!$H$8:$H$10000,"="&amp;R29,'[1]1_inventory_total_details'!$I$8:$I$10000,"="&amp;quot_date)+SUMIFS('[1]1_inventory_total_details'!$M$8:$M$10000,'[1]1_inventory_total_details'!$C$8:$C$10000,I29,'[1]1_inventory_total_details'!$F$8:$F$10000,quot_location_id,'[1]1_inventory_total_details'!$G$8:$G$10000,"="&amp;Q29,'[1]1_inventory_total_details'!$H$8:$H$10000,"="&amp;R29,'[1]1_inventory_total_details'!$I$8:$I$10000,"="&amp;quot_date)+SUMIFS('[1]1_inventory_total_details'!$K$8:$K$10000,'[1]1_inventory_total_details'!$C$8:$C$10000,I29,'[1]1_inventory_total_details'!$F$8:$F$10000,quot_location_id,'[1]1_inventory_total_details'!$G$8:$G$10000,"="&amp;Q29,'[1]1_inventory_total_details'!$H$8:$H$10000,"="&amp;R29,'[1]1_inventory_total_details'!$I$8:$I$10000,"="&amp;quot_date)+SUMIFS('[1]1_inventory_total_details'!$L$8:$L$10000,'[1]1_inventory_total_details'!$C$8:$C$10000,I29,'[1]1_inventory_total_details'!$F$8:$F$10000,quot_location_id,'[1]1_inventory_total_details'!$G$8:$G$10000,"="&amp;Q29,'[1]1_inventory_total_details'!$H$8:$H$10000,"="&amp;R29,'[1]1_inventory_total_details'!$I$8:$I$10000,"="&amp;quot_date),SUMIFS('[1]2_inventory_total_details'!$J$8:$J$10000,'[1]2_inventory_total_details'!$C$8:$C$10000,I29,'[1]2_inventory_total_details'!$F$8:$F$10000,quot_location_id,'[1]2_inventory_total_details'!$G$8:$G$10000,"="&amp;Q29,'[1]2_inventory_total_details'!$H$8:$H$10000,"="&amp;R29,'[1]2_inventory_total_details'!$I$8:$I$10000,"="&amp;quot_date)+SUMIFS('[1]2_inventory_total_details'!$M$8:$M$10000,'[1]2_inventory_total_details'!$C$8:$C$10000,I29,'[1]2_inventory_total_details'!$F$8:$F$10000,quot_location_id,'[1]2_inventory_total_details'!$G$8:$G$10000,"="&amp;Q29,'[1]2_inventory_total_details'!$H$8:$H$10000,"="&amp;R29,'[1]2_inventory_total_details'!$I$8:$I$10000,"="&amp;quot_date)+SUMIFS('[1]2_inventory_total_details'!$K$8:$K$10000,'[1]2_inventory_total_details'!$C$8:$C$10000,I29,'[1]2_inventory_total_details'!$F$8:$F$10000,quot_location_id,'[1]2_inventory_total_details'!$G$8:$G$10000,"="&amp;Q29,'[1]2_inventory_total_details'!$H$8:$H$10000,"="&amp;R29,'[1]2_inventory_total_details'!$I$8:$I$10000,"="&amp;quot_date)+SUMIFS('[1]2_inventory_total_details'!$L$8:$L$10000,'[1]2_inventory_total_details'!$C$8:$C$10000,I29,'[1]2_inventory_total_details'!$F$8:$F$10000,quot_location_id,'[1]2_inventory_total_details'!$G$8:$G$10000,"="&amp;Q29,'[1]2_inventory_total_details'!$H$8:$H$10000,"="&amp;R29,'[1]2_inventory_total_details'!$I$8:$I$10000,"="&amp;quot_date)))</f>
        <v/>
      </c>
      <c r="AJ29" s="197" t="str">
        <f>IF(M29="","",IF(ISNA(MATCH(I29,'[1]1_group_totals'!$C$8:$C$10000)),0,IF(AW29&gt;0,1,0)))</f>
        <v/>
      </c>
      <c r="AK29" s="197" t="str">
        <f>IF(M29="","",(SUMIFS('[1]1_group_total_details'!$I$8:$I$10000,'[1]1_group_total_details'!$C$8:$C$10000,I29,'[1]1_group_total_details'!$F$8:$F$10000,quot_location_group_id,'[1]1_group_total_details'!$G$8:$G$10000,quot_location_id,'[1]1_group_total_details'!$H$8:$H$10000,"="&amp;quot_date)+SUMIFS('[1]1_group_total_details'!$L$8:$L$10000,'[1]1_group_total_details'!$C$8:$C$10000,I29,'[1]1_group_total_details'!$F$8:$F$10000,quot_location_group_id,'[1]1_group_total_details'!$G$8:$G$10000,quot_location_id,'[1]1_group_total_details'!$H$8:$H$10000,"="&amp;quot_date)+SUMIFS('[1]1_group_total_details'!$N$8:$N$10000,'[1]1_group_total_details'!$C$8:$C$10000,I29,'[1]1_group_total_details'!$F$8:$F$10000,quot_location_group_id,'[1]1_group_total_details'!$G$8:$G$10000,quot_location_id,'[1]1_group_total_details'!$H$8:$H$10000,"="&amp;quot_date)+SUMIFS('[1]1_group_total_details'!$O$8:$O$10000,'[1]1_group_total_details'!$C$8:$C$10000,I29,'[1]1_group_total_details'!$F$8:$F$10000,quot_location_group_id,'[1]1_group_total_details'!$G$8:$G$10000,quot_location_id,'[1]1_group_total_details'!$H$8:$H$10000,"="&amp;quot_date))+(SUMIFS('[1]1_group_total_details'!$J$8:$J$10000,'[1]1_group_total_details'!$C$8:$C$10000,I29,'[1]1_group_total_details'!$F$8:$F$10000,quot_location_group_id,'[1]1_group_total_details'!$G$8:$G$10000,quot_location_id,'[1]1_group_total_details'!$H$8:$H$10000,"="&amp;quot_date)+SUMIFS('[1]1_group_total_details'!$K$8:$K$10000,'[1]1_group_total_details'!$C$8:$C$10000,I29,'[1]1_group_total_details'!$F$8:$F$10000,quot_location_group_id,'[1]1_group_total_details'!$G$8:$G$10000,quot_location_id,'[1]1_group_total_details'!$H$8:$H$10000,"="&amp;quot_date)+SUMIFS('[1]1_group_total_details'!$M$8:$M$10000,'[1]1_group_total_details'!$C$8:$C$10000,I29,'[1]1_group_total_details'!$F$8:$F$10000,quot_location_group_id,'[1]1_group_total_details'!$G$8:$G$10000,quot_location_id,'[1]1_group_total_details'!$H$8:$H$10000,"="&amp;quot_date)+SUMIFS('[1]1_group_total_details'!$P$8:$P$10000,'[1]1_group_total_details'!$C$8:$C$10000,I29,'[1]1_group_total_details'!$F$8:$F$10000,quot_location_group_id,'[1]1_group_total_details'!$G$8:$G$10000,quot_location_id,'[1]1_group_total_details'!$H$8:$H$10000,"="&amp;quot_date)))</f>
        <v/>
      </c>
      <c r="AL29" s="197" t="str">
        <f>IF(M29="","",(SUMIFS('[1]1_group_total_details'!$I$8:$I$10000,'[1]1_group_total_details'!$C$8:$C$10000,I29,'[1]1_group_total_details'!$F$8:$F$10000,quot_location_group_id,'[1]1_group_total_details'!$G$8:$G$10000,quot_location_id,'[1]1_group_total_details'!$H$8:$H$10000,"&lt;="&amp;quot_date)+SUMIFS('[1]1_group_total_details'!$L$8:$L$10000,'[1]1_group_total_details'!$C$8:$C$10000,I29,'[1]1_group_total_details'!$F$8:$F$10000,quot_location_group_id,'[1]1_group_total_details'!$G$8:$G$10000,1,'[1]1_group_total_details'!$H$8:$H$10000,"&lt;="&amp;quot_date)+SUMIFS('[1]1_group_total_details'!$N$8:$N$10000,'[1]1_group_total_details'!$C$8:$C$10000,I29,'[1]1_group_total_details'!$F$8:$F$10000,quot_location_group_id,'[1]1_group_total_details'!$G$8:$G$10000,quot_location_id,'[1]1_group_total_details'!$H$8:$H$10000,"&lt;="&amp;quot_date)+SUMIFS('[1]1_group_total_details'!$O$8:$O$10000,'[1]1_group_total_details'!$C$8:$C$10000,I29,'[1]1_group_total_details'!$F$8:$F$10000,quot_location_group_id,'[1]1_group_total_details'!$G$8:$G$10000,quot_location_id,'[1]1_group_total_details'!$H$8:$H$10000,"&lt;="&amp;quot_date))-(SUMIFS('[1]1_group_total_details'!$J$8:$J$10000,'[1]1_group_total_details'!$C$8:$C$10000,I29,'[1]1_group_total_details'!$F$8:$F$10000,quot_location_group_id,'[1]1_group_total_details'!$G$8:$G$10000,quot_location_id,'[1]1_group_total_details'!$H$8:$H$10000,"&lt;="&amp;quot_date)+SUMIFS('[1]1_group_total_details'!$K$8:$K$10000,'[1]1_group_total_details'!$C$8:$C$10000,I29,'[1]1_group_total_details'!$F$8:$F$10000,quot_location_group_id,'[1]1_group_total_details'!$G$8:$G$10000,quot_location_id,'[1]1_group_total_details'!$H$8:$H$10000,"&lt;="&amp;quot_date)+SUMIFS('[1]1_group_total_details'!$M$8:$M$10000,'[1]1_group_total_details'!$C$8:$C$10000,I29,'[1]1_group_total_details'!$F$8:$F$10000,quot_location_group_id,'[1]1_group_total_details'!$G$8:$G$10000,quot_location_id,'[1]1_group_total_details'!$H$8:$H$10000,"&lt;="&amp;quot_date)+SUMIFS('[1]1_group_total_details'!$P$8:$P$10000,'[1]1_group_total_details'!$C$8:$C$10000,I29,'[1]1_group_total_details'!$F$8:$F$10000,quot_location_group_id,'[1]1_group_total_details'!$G$8:$G$10000,quot_location_id,'[1]1_group_total_details'!$H$8:$H$10000,"&lt;="&amp;quot_date)))</f>
        <v/>
      </c>
      <c r="AM29" s="197" t="str">
        <f>IF(M29="","",SUMIFS('[1]1_group_totals'!$J$8:$J$10000,'[1]1_group_totals'!$C$8:$C$10000,I29,'[1]1_group_totals'!$F$8:$F$10000,quot_location_group_id,'[1]1_group_totals'!$G$8:$G$10000,quot_location_id,'[1]1_group_totals'!$H$8:$H$10000,"="&amp;Q29,'[1]1_group_totals'!$I$8:$I$10000,"="&amp;R29))</f>
        <v/>
      </c>
      <c r="AN29" s="197" t="str">
        <f t="shared" si="7"/>
        <v/>
      </c>
      <c r="AO29" s="197" t="str">
        <f>IF(OR(ISNA(MATCH(MID(AN29,1,3)*1,UomConversion!$D$8:$D$500,0)),M29=""),"",IF(AT29="","",AT29))</f>
        <v/>
      </c>
      <c r="AP29" s="197" t="str">
        <f>IF(AND(AQ29&gt;0,COUNTIFS(UomConversion!$D$8:$D$500,MID(AN29,1,3)*1,UomConversion!$J$8:$J$500,1)&gt;1),TEXT(AQ29,"000")&amp;"."&amp;VLOOKUP(AQ29,uom_list,5,FALSE),"")</f>
        <v/>
      </c>
      <c r="AQ29" s="197" t="str">
        <f t="shared" si="20"/>
        <v/>
      </c>
      <c r="AR29" s="197" t="str">
        <f t="shared" si="21"/>
        <v/>
      </c>
      <c r="AS29" s="197" t="str">
        <f>IF(M29="","",SUMIFS(ProductPrice!$N$28:$N$10020,ProductPrice!$D$28:$D$10020,I29,ProductPrice!$G$28:$G$10020,quot_branch_id,ProductPrice!$H$28:$H$10020,quot_price_type_id,ProductPrice!$I$28:$I$10020,MID(P29,1,3)*1,ProductPrice!$Q$28:$Q$10020,1))</f>
        <v/>
      </c>
      <c r="AT29" s="197" t="str">
        <f t="shared" si="8"/>
        <v/>
      </c>
      <c r="AU29" s="197" t="str" cm="1">
        <f t="array" ref="AU29">IF(M29="","",IF(ISNA(Slookup(MID(AN29,1,3)*1,UomConversion!$D$8:$J$500,2,UomConversion!$I$8:$I$500,1,UomConversion!$J$8:$J$500,1)),"",Slookup(MID(AN29,1,3)*1,UomConversion!$D$8:$J$500,2,UomConversion!$I$8:$I$500,1,UomConversion!$J$8:$J$500,1)))</f>
        <v/>
      </c>
      <c r="AV29" s="197" t="str">
        <f t="shared" ref="AV29" si="107">IF(M29="","",IF(quot_location_id=1,BA29,IF(quot_location_id=2,BB29,0)))</f>
        <v/>
      </c>
      <c r="AW29" s="197" t="str">
        <f>IF(M29="","",(SUMIFS('[1]1_group_totals'!$K$8:$K$10000,'[1]1_group_totals'!$C$8:$C$10000,I29,'[1]1_group_totals'!$F$8:$F$10000,quot_location_group_id,'[1]1_group_totals'!$G$8:$G$10000,quot_location_id,'[1]1_group_totals'!$H$8:$H$10000,"="&amp;Q29,'[1]1_group_totals'!$I$8:$I$10000,"="&amp;R29)+SUMIFS('[1]1_group_totals'!$N$8:$N$10000,'[1]1_group_totals'!$C$8:$C$10000,I29,'[1]1_group_totals'!$F$8:$F$10000,quot_location_group_id,'[1]1_group_totals'!$G$8:$G$10000,quot_location_id,'[1]1_group_totals'!$H$8:$H$10000,"="&amp;Q29,'[1]1_group_totals'!$I$8:$I$10000,"="&amp;R29)+SUMIFS('[1]1_group_totals'!$P$8:$P$10000,'[1]1_group_totals'!$C$8:$C$10000,I29,'[1]1_group_totals'!$F$8:$F$10000,quot_location_group_id,'[1]1_group_totals'!$G$8:$G$10000,quot_location_id,'[1]1_group_totals'!$H$8:$H$10000,"="&amp;Q29,'[1]1_group_totals'!$I$8:$I$10000,"="&amp;R29)+SUMIFS('[1]1_group_totals'!$Q$8:$Q$10000,'[1]1_group_totals'!$C$8:$C$10000,I29,'[1]1_group_totals'!$F$8:$F$10000,quot_location_group_id,'[1]1_group_totals'!$G$8:$G$10000,quot_location_id,'[1]1_group_totals'!$H$8:$H$10000,"="&amp;Q29,'[1]1_group_totals'!$I$8:$I$10000,"="&amp;R29))+(SUMIFS('[1]1_group_totals'!$L$8:$L$10000,'[1]1_group_totals'!$C$8:$C$10000,I29,'[1]1_group_totals'!$F$8:$F$10000,quot_location_group_id,'[1]1_group_totals'!$G$8:$G$10000,quot_location_id,'[1]1_group_totals'!$H$8:$H$10000,"="&amp;Q29,'[1]1_group_totals'!$I$8:$I$10000,"="&amp;R29)+SUMIFS('[1]1_group_totals'!$M$8:$M$10000,'[1]1_group_totals'!$C$8:$C$10000,I29,'[1]1_group_totals'!$F$8:$F$10000,quot_location_group_id,'[1]1_group_totals'!$G$8:$G$10000,quot_location_id,'[1]1_group_totals'!$H$8:$H$10000,"="&amp;Q29,'[1]1_group_totals'!$I$8:$I$10000,"="&amp;R29)+SUMIFS('[1]1_group_totals'!$O$8:$O$10000,'[1]1_group_totals'!$C$8:$C$10000,I29,'[1]1_group_totals'!$F$8:$F$10000,quot_location_group_id,'[1]1_group_totals'!$G$8:$G$10000,quot_location_id,'[1]1_group_totals'!$H$8:$H$10000,"="&amp;Q29,'[1]1_group_totals'!$I$8:$I$10000,"="&amp;R29)+SUMIFS('[1]1_group_totals'!$R$8:$R$10000,'[1]1_group_totals'!$C$8:$C$10000,I29,'[1]1_group_totals'!$F$8:$F$10000,quot_location_group_id,'[1]1_group_totals'!$G$8:$G$10000,quot_location_id,'[1]1_group_totals'!$H$8:$H$10000,"="&amp;Q29,'[1]1_group_totals'!$I$8:$I$10000,"="&amp;R29)))</f>
        <v/>
      </c>
      <c r="AX29" s="197" t="str">
        <f t="shared" si="23"/>
        <v/>
      </c>
      <c r="AY29" s="197" t="str">
        <f>IF(M29="","",SUMIFS($AX$8:AX29,$I$8:I29,I29))</f>
        <v/>
      </c>
      <c r="AZ29" s="197" t="str">
        <f t="shared" si="24"/>
        <v/>
      </c>
      <c r="BA29" s="197" t="str">
        <f>IF(M29="","",(SUMIFS('[1]1_inventory_totals'!$I$8:$I$10000,'[1]1_inventory_totals'!$C$8:$C$10000,I29,'[1]1_inventory_totals'!$F$8:$F$10000,"="&amp;Q29,'[1]1_inventory_totals'!$G$8:$G$10000,"="&amp;R29)+SUMIFS('[1]1_inventory_totals'!$N$8:$N$10000,'[1]1_inventory_totals'!$C$8:$C$10000,I29,'[1]1_inventory_totals'!$F$8:$F$10000,"="&amp;Q29,'[1]1_inventory_totals'!$G$8:$G$10000,"="&amp;R29)+SUMIFS('[1]1_inventory_totals'!$P$8:$P$10000,'[1]1_inventory_totals'!$C$8:$C$10000,I29,'[1]1_inventory_totals'!$F$8:$F$10000,"="&amp;Q29,'[1]1_inventory_totals'!$G$8:$G$10000,"="&amp;R29)+SUMIFS('[1]1_inventory_totals'!$Q$8:$Q$10000,'[1]1_inventory_totals'!$C$8:$C$10000,I29,'[1]1_inventory_totals'!$F$8:$F$10000,"="&amp;Q29,'[1]1_inventory_totals'!$G$8:$G$10000,"="&amp;R29)+SUMIFS('[1]1_inventory_totals'!$R$8:$R$10000,'[1]1_inventory_totals'!$C$8:$C$10000,I29,'[1]1_inventory_totals'!$F$8:$F$10000,"="&amp;Q29,'[1]1_inventory_totals'!$G$8:$G$10000,"="&amp;R29))+(SUMIFS('[1]1_inventory_totals'!$J$8:$J$10000,'[1]1_inventory_totals'!$C$8:$C$10000,I29,'[1]1_inventory_totals'!$F$8:$F$10000,"="&amp;Q29,'[1]1_inventory_totals'!$G$8:$G$10000,"="&amp;R29)+SUMIFS('[1]1_inventory_totals'!$K$8:$K$10000,'[1]1_inventory_totals'!$C$8:$C$10000,I29,'[1]1_inventory_totals'!$F$8:$F$10000,"="&amp;Q29,'[1]1_inventory_totals'!$G$8:$G$10000,"="&amp;R29)+SUMIFS('[1]1_inventory_totals'!$L$8:$L$10000,'[1]1_inventory_totals'!$C$8:$C$10000,I29,'[1]1_inventory_totals'!$F$8:$F$10000,"="&amp;Q29,'[1]1_inventory_totals'!$G$8:$G$10000,"="&amp;R29)+SUMIFS('[1]1_inventory_totals'!$M$8:$M$10000,'[1]1_inventory_totals'!$C$8:$C$10000,I29,'[1]1_inventory_totals'!$F$8:$F$10000,"="&amp;Q29,'[1]1_inventory_totals'!$G$8:$G$10000,"="&amp;R29)+SUMIFS('[1]1_inventory_totals'!$O$8:$O$10000,'[1]1_inventory_totals'!$C$8:$C$10000,I29,'[1]1_inventory_totals'!$F$8:$F$10000,"="&amp;Q29,'[1]1_inventory_totals'!$G$8:$G$10000,"="&amp;R29)+SUMIFS('[1]1_inventory_totals'!$S$8:$S$10000,'[1]1_inventory_totals'!$C$8:$C$10000,I29,'[1]1_inventory_totals'!$F$8:$F$10000,"="&amp;Q29,'[1]1_inventory_totals'!$G$8:$G$10000,"="&amp;R29)))</f>
        <v/>
      </c>
      <c r="BB29" s="197" t="str">
        <f>IF(M29="","",(SUMIFS('[1]2_inventory_totals'!$I$8:$I$10000,'[1]2_inventory_totals'!$C$8:$C$10000,I29,'[1]2_inventory_totals'!$F$8:$F$10000,"="&amp;Q29,'[1]2_inventory_totals'!$G$8:$G$10000,"="&amp;R29)+SUMIFS('[1]2_inventory_totals'!$N$8:$N$10000,'[1]2_inventory_totals'!$C$8:$C$10000,I29,'[1]2_inventory_totals'!$F$8:$F$10000,"="&amp;Q29,'[1]2_inventory_totals'!$G$8:$G$10000,"="&amp;R29)+SUMIFS('[1]2_inventory_totals'!$P$8:$P$10000,'[1]2_inventory_totals'!$C$8:$C$10000,I29,'[1]2_inventory_totals'!$F$8:$F$10000,"="&amp;Q29,'[1]2_inventory_totals'!$G$8:$G$10000,"="&amp;R29)+SUMIFS('[1]2_inventory_totals'!$Q$8:$Q$10000,'[1]2_inventory_totals'!$C$8:$C$10000,I29,'[1]2_inventory_totals'!$F$8:$F$10000,"="&amp;Q29,'[1]2_inventory_totals'!$G$8:$G$10000,"="&amp;R29)+SUMIFS('[1]2_inventory_totals'!$R$8:$R$10000,'[1]2_inventory_totals'!$C$8:$C$10000,I29,'[1]2_inventory_totals'!$F$8:$F$10000,"="&amp;Q29,'[1]2_inventory_totals'!$G$8:$G$10000,"="&amp;R29))+(SUMIFS('[1]2_inventory_totals'!$J$8:$J$10000,'[1]2_inventory_totals'!$C$8:$C$10000,I29,'[1]2_inventory_totals'!$F$8:$F$10000,"="&amp;Q29,'[1]2_inventory_totals'!$G$8:$G$10000,"="&amp;R29)+SUMIFS('[1]2_inventory_totals'!$K$8:$K$10000,'[1]2_inventory_totals'!$C$8:$C$10000,I29,'[1]2_inventory_totals'!$F$8:$F$10000,"="&amp;Q29,'[1]2_inventory_totals'!$G$8:$G$10000,"="&amp;R29)+SUMIFS('[1]2_inventory_totals'!$L$8:$L$10000,'[1]2_inventory_totals'!$C$8:$C$10000,I29,'[1]2_inventory_totals'!$F$8:$F$10000,"="&amp;Q29,'[1]2_inventory_totals'!$G$8:$G$10000,"="&amp;R29)+SUMIFS('[1]2_inventory_totals'!$M$8:$M$10000,'[1]2_inventory_totals'!$C$8:$C$10000,I29,'[1]2_inventory_totals'!$F$8:$F$10000,"="&amp;Q29,'[1]2_inventory_totals'!$G$8:$G$10000,"="&amp;R29)+SUMIFS('[1]2_inventory_totals'!$O$8:$O$10000,'[1]2_inventory_totals'!$C$8:$C$10000,I29,'[1]2_inventory_totals'!$F$8:$F$10000,"="&amp;Q29,'[1]2_inventory_totals'!$G$8:$G$10000,"="&amp;R29)+SUMIFS('[1]2_inventory_totals'!$S$8:$S$10000,'[1]2_inventory_totals'!$C$8:$C$10000,I29,'[1]2_inventory_totals'!$F$8:$F$10000,"="&amp;Q29,'[1]2_inventory_totals'!$G$8:$G$10000,"="&amp;R29)))</f>
        <v/>
      </c>
    </row>
    <row r="30" spans="1:54" ht="27" customHeight="1">
      <c r="A30" s="923"/>
      <c r="B30" s="1251"/>
      <c r="C30" s="950"/>
      <c r="D30" s="950"/>
      <c r="E30" s="950"/>
      <c r="F30" s="1262"/>
      <c r="I30" s="1610" t="str">
        <f t="shared" si="10"/>
        <v/>
      </c>
      <c r="J30" s="1611" t="str">
        <f t="shared" si="25"/>
        <v/>
      </c>
      <c r="K30" s="1612" t="str">
        <f t="shared" si="30"/>
        <v/>
      </c>
      <c r="L30" s="1613"/>
      <c r="M30" s="883"/>
      <c r="N30" s="884"/>
      <c r="O30" s="884"/>
      <c r="P30" s="885"/>
      <c r="Q30" s="886"/>
      <c r="R30" s="891"/>
      <c r="S30" s="1614" t="str">
        <f t="shared" ref="S30" si="108">IF(M30="","",quot_currency_symbol)</f>
        <v/>
      </c>
      <c r="T30" s="888"/>
      <c r="U30" s="1650" t="str">
        <f t="shared" si="13"/>
        <v/>
      </c>
      <c r="V30" s="1615" t="str">
        <f t="shared" ref="V30" si="109">IF(W30=0,"",quot_currency_symbol)</f>
        <v/>
      </c>
      <c r="W30" s="889"/>
      <c r="X30" s="1615" t="str">
        <f t="shared" ref="X30" si="110">IF(M30="","",quot_currency_symbol)</f>
        <v/>
      </c>
      <c r="Y30" s="1616" t="str">
        <f t="shared" si="34"/>
        <v/>
      </c>
      <c r="Z30" s="890"/>
      <c r="AA30" s="197" t="str" cm="1">
        <f t="array" ref="AA30">IF(M30="","",IF(P30=AN30,1,Slookup(MID(AN30,1,3)*1,UomConversion!$D$8:$J$500,5,UomConversion!$E$8:$E$500,MID(P30,1,3)*1,UomConversion!$J$8:$J$500,1)))</f>
        <v/>
      </c>
      <c r="AB30" s="197" t="str">
        <f t="shared" si="3"/>
        <v/>
      </c>
      <c r="AC30" s="197" t="str">
        <f t="shared" si="17"/>
        <v/>
      </c>
      <c r="AD30" s="197" t="str">
        <f t="shared" si="18"/>
        <v/>
      </c>
      <c r="AE30" s="197" t="str">
        <f t="shared" si="19"/>
        <v/>
      </c>
      <c r="AF30" s="197" t="str">
        <f t="shared" si="5"/>
        <v/>
      </c>
      <c r="AG30" s="197" t="str">
        <f t="shared" si="6"/>
        <v/>
      </c>
      <c r="AH30" s="197" t="str">
        <f>IF(I30="","",IF(ISNA(MATCH(I30,IF(quot_location_id=1,'[1]1_inventory_totals'!$C$8:$C$10000,IF(quot_location_id=2,'[1]2_inventory_totals'!$C$8:$C$10000,0)),0)),0,IF(AV30&gt;0,1,0)))</f>
        <v/>
      </c>
      <c r="AI30" s="197" t="str">
        <f>IF(M30="","",IF(quot_location_id=1,SUMIFS('[1]1_inventory_total_details'!$J$8:$J$10000,'[1]1_inventory_total_details'!$C$8:$C$10000,I30,'[1]1_inventory_total_details'!$F$8:$F$10000,quot_location_id,'[1]1_inventory_total_details'!$G$8:$G$10000,"="&amp;Q30,'[1]1_inventory_total_details'!$H$8:$H$10000,"="&amp;R30,'[1]1_inventory_total_details'!$I$8:$I$10000,"="&amp;quot_date)+SUMIFS('[1]1_inventory_total_details'!$M$8:$M$10000,'[1]1_inventory_total_details'!$C$8:$C$10000,I30,'[1]1_inventory_total_details'!$F$8:$F$10000,quot_location_id,'[1]1_inventory_total_details'!$G$8:$G$10000,"="&amp;Q30,'[1]1_inventory_total_details'!$H$8:$H$10000,"="&amp;R30,'[1]1_inventory_total_details'!$I$8:$I$10000,"="&amp;quot_date)+SUMIFS('[1]1_inventory_total_details'!$K$8:$K$10000,'[1]1_inventory_total_details'!$C$8:$C$10000,I30,'[1]1_inventory_total_details'!$F$8:$F$10000,quot_location_id,'[1]1_inventory_total_details'!$G$8:$G$10000,"="&amp;Q30,'[1]1_inventory_total_details'!$H$8:$H$10000,"="&amp;R30,'[1]1_inventory_total_details'!$I$8:$I$10000,"="&amp;quot_date)+SUMIFS('[1]1_inventory_total_details'!$L$8:$L$10000,'[1]1_inventory_total_details'!$C$8:$C$10000,I30,'[1]1_inventory_total_details'!$F$8:$F$10000,quot_location_id,'[1]1_inventory_total_details'!$G$8:$G$10000,"="&amp;Q30,'[1]1_inventory_total_details'!$H$8:$H$10000,"="&amp;R30,'[1]1_inventory_total_details'!$I$8:$I$10000,"="&amp;quot_date),SUMIFS('[1]2_inventory_total_details'!$J$8:$J$10000,'[1]2_inventory_total_details'!$C$8:$C$10000,I30,'[1]2_inventory_total_details'!$F$8:$F$10000,quot_location_id,'[1]2_inventory_total_details'!$G$8:$G$10000,"="&amp;Q30,'[1]2_inventory_total_details'!$H$8:$H$10000,"="&amp;R30,'[1]2_inventory_total_details'!$I$8:$I$10000,"="&amp;quot_date)+SUMIFS('[1]2_inventory_total_details'!$M$8:$M$10000,'[1]2_inventory_total_details'!$C$8:$C$10000,I30,'[1]2_inventory_total_details'!$F$8:$F$10000,quot_location_id,'[1]2_inventory_total_details'!$G$8:$G$10000,"="&amp;Q30,'[1]2_inventory_total_details'!$H$8:$H$10000,"="&amp;R30,'[1]2_inventory_total_details'!$I$8:$I$10000,"="&amp;quot_date)+SUMIFS('[1]2_inventory_total_details'!$K$8:$K$10000,'[1]2_inventory_total_details'!$C$8:$C$10000,I30,'[1]2_inventory_total_details'!$F$8:$F$10000,quot_location_id,'[1]2_inventory_total_details'!$G$8:$G$10000,"="&amp;Q30,'[1]2_inventory_total_details'!$H$8:$H$10000,"="&amp;R30,'[1]2_inventory_total_details'!$I$8:$I$10000,"="&amp;quot_date)+SUMIFS('[1]2_inventory_total_details'!$L$8:$L$10000,'[1]2_inventory_total_details'!$C$8:$C$10000,I30,'[1]2_inventory_total_details'!$F$8:$F$10000,quot_location_id,'[1]2_inventory_total_details'!$G$8:$G$10000,"="&amp;Q30,'[1]2_inventory_total_details'!$H$8:$H$10000,"="&amp;R30,'[1]2_inventory_total_details'!$I$8:$I$10000,"="&amp;quot_date)))</f>
        <v/>
      </c>
      <c r="AJ30" s="197" t="str">
        <f>IF(M30="","",IF(ISNA(MATCH(I30,'[1]1_group_totals'!$C$8:$C$10000)),0,IF(AW30&gt;0,1,0)))</f>
        <v/>
      </c>
      <c r="AK30" s="197" t="str">
        <f>IF(M30="","",(SUMIFS('[1]1_group_total_details'!$I$8:$I$10000,'[1]1_group_total_details'!$C$8:$C$10000,I30,'[1]1_group_total_details'!$F$8:$F$10000,quot_location_group_id,'[1]1_group_total_details'!$G$8:$G$10000,quot_location_id,'[1]1_group_total_details'!$H$8:$H$10000,"="&amp;quot_date)+SUMIFS('[1]1_group_total_details'!$L$8:$L$10000,'[1]1_group_total_details'!$C$8:$C$10000,I30,'[1]1_group_total_details'!$F$8:$F$10000,quot_location_group_id,'[1]1_group_total_details'!$G$8:$G$10000,quot_location_id,'[1]1_group_total_details'!$H$8:$H$10000,"="&amp;quot_date)+SUMIFS('[1]1_group_total_details'!$N$8:$N$10000,'[1]1_group_total_details'!$C$8:$C$10000,I30,'[1]1_group_total_details'!$F$8:$F$10000,quot_location_group_id,'[1]1_group_total_details'!$G$8:$G$10000,quot_location_id,'[1]1_group_total_details'!$H$8:$H$10000,"="&amp;quot_date)+SUMIFS('[1]1_group_total_details'!$O$8:$O$10000,'[1]1_group_total_details'!$C$8:$C$10000,I30,'[1]1_group_total_details'!$F$8:$F$10000,quot_location_group_id,'[1]1_group_total_details'!$G$8:$G$10000,quot_location_id,'[1]1_group_total_details'!$H$8:$H$10000,"="&amp;quot_date))+(SUMIFS('[1]1_group_total_details'!$J$8:$J$10000,'[1]1_group_total_details'!$C$8:$C$10000,I30,'[1]1_group_total_details'!$F$8:$F$10000,quot_location_group_id,'[1]1_group_total_details'!$G$8:$G$10000,quot_location_id,'[1]1_group_total_details'!$H$8:$H$10000,"="&amp;quot_date)+SUMIFS('[1]1_group_total_details'!$K$8:$K$10000,'[1]1_group_total_details'!$C$8:$C$10000,I30,'[1]1_group_total_details'!$F$8:$F$10000,quot_location_group_id,'[1]1_group_total_details'!$G$8:$G$10000,quot_location_id,'[1]1_group_total_details'!$H$8:$H$10000,"="&amp;quot_date)+SUMIFS('[1]1_group_total_details'!$M$8:$M$10000,'[1]1_group_total_details'!$C$8:$C$10000,I30,'[1]1_group_total_details'!$F$8:$F$10000,quot_location_group_id,'[1]1_group_total_details'!$G$8:$G$10000,quot_location_id,'[1]1_group_total_details'!$H$8:$H$10000,"="&amp;quot_date)+SUMIFS('[1]1_group_total_details'!$P$8:$P$10000,'[1]1_group_total_details'!$C$8:$C$10000,I30,'[1]1_group_total_details'!$F$8:$F$10000,quot_location_group_id,'[1]1_group_total_details'!$G$8:$G$10000,quot_location_id,'[1]1_group_total_details'!$H$8:$H$10000,"="&amp;quot_date)))</f>
        <v/>
      </c>
      <c r="AL30" s="197" t="str">
        <f>IF(M30="","",(SUMIFS('[1]1_group_total_details'!$I$8:$I$10000,'[1]1_group_total_details'!$C$8:$C$10000,I30,'[1]1_group_total_details'!$F$8:$F$10000,quot_location_group_id,'[1]1_group_total_details'!$G$8:$G$10000,quot_location_id,'[1]1_group_total_details'!$H$8:$H$10000,"&lt;="&amp;quot_date)+SUMIFS('[1]1_group_total_details'!$L$8:$L$10000,'[1]1_group_total_details'!$C$8:$C$10000,I30,'[1]1_group_total_details'!$F$8:$F$10000,quot_location_group_id,'[1]1_group_total_details'!$G$8:$G$10000,1,'[1]1_group_total_details'!$H$8:$H$10000,"&lt;="&amp;quot_date)+SUMIFS('[1]1_group_total_details'!$N$8:$N$10000,'[1]1_group_total_details'!$C$8:$C$10000,I30,'[1]1_group_total_details'!$F$8:$F$10000,quot_location_group_id,'[1]1_group_total_details'!$G$8:$G$10000,quot_location_id,'[1]1_group_total_details'!$H$8:$H$10000,"&lt;="&amp;quot_date)+SUMIFS('[1]1_group_total_details'!$O$8:$O$10000,'[1]1_group_total_details'!$C$8:$C$10000,I30,'[1]1_group_total_details'!$F$8:$F$10000,quot_location_group_id,'[1]1_group_total_details'!$G$8:$G$10000,quot_location_id,'[1]1_group_total_details'!$H$8:$H$10000,"&lt;="&amp;quot_date))-(SUMIFS('[1]1_group_total_details'!$J$8:$J$10000,'[1]1_group_total_details'!$C$8:$C$10000,I30,'[1]1_group_total_details'!$F$8:$F$10000,quot_location_group_id,'[1]1_group_total_details'!$G$8:$G$10000,quot_location_id,'[1]1_group_total_details'!$H$8:$H$10000,"&lt;="&amp;quot_date)+SUMIFS('[1]1_group_total_details'!$K$8:$K$10000,'[1]1_group_total_details'!$C$8:$C$10000,I30,'[1]1_group_total_details'!$F$8:$F$10000,quot_location_group_id,'[1]1_group_total_details'!$G$8:$G$10000,quot_location_id,'[1]1_group_total_details'!$H$8:$H$10000,"&lt;="&amp;quot_date)+SUMIFS('[1]1_group_total_details'!$M$8:$M$10000,'[1]1_group_total_details'!$C$8:$C$10000,I30,'[1]1_group_total_details'!$F$8:$F$10000,quot_location_group_id,'[1]1_group_total_details'!$G$8:$G$10000,quot_location_id,'[1]1_group_total_details'!$H$8:$H$10000,"&lt;="&amp;quot_date)+SUMIFS('[1]1_group_total_details'!$P$8:$P$10000,'[1]1_group_total_details'!$C$8:$C$10000,I30,'[1]1_group_total_details'!$F$8:$F$10000,quot_location_group_id,'[1]1_group_total_details'!$G$8:$G$10000,quot_location_id,'[1]1_group_total_details'!$H$8:$H$10000,"&lt;="&amp;quot_date)))</f>
        <v/>
      </c>
      <c r="AM30" s="197" t="str">
        <f>IF(M30="","",SUMIFS('[1]1_group_totals'!$J$8:$J$10000,'[1]1_group_totals'!$C$8:$C$10000,I30,'[1]1_group_totals'!$F$8:$F$10000,quot_location_group_id,'[1]1_group_totals'!$G$8:$G$10000,quot_location_id,'[1]1_group_totals'!$H$8:$H$10000,"="&amp;Q30,'[1]1_group_totals'!$I$8:$I$10000,"="&amp;R30))</f>
        <v/>
      </c>
      <c r="AN30" s="197" t="str">
        <f t="shared" si="7"/>
        <v/>
      </c>
      <c r="AO30" s="197" t="str">
        <f>IF(OR(ISNA(MATCH(MID(AN30,1,3)*1,UomConversion!$D$8:$D$500,0)),M30=""),"",IF(AT30="","",AT30))</f>
        <v/>
      </c>
      <c r="AP30" s="197" t="str">
        <f>IF(AND(AQ30&gt;0,COUNTIFS(UomConversion!$D$8:$D$500,MID(AN30,1,3)*1,UomConversion!$J$8:$J$500,1)&gt;1),TEXT(AQ30,"000")&amp;"."&amp;VLOOKUP(AQ30,uom_list,5,FALSE),"")</f>
        <v/>
      </c>
      <c r="AQ30" s="197" t="str">
        <f t="shared" si="20"/>
        <v/>
      </c>
      <c r="AR30" s="197" t="str">
        <f t="shared" si="21"/>
        <v/>
      </c>
      <c r="AS30" s="197" t="str">
        <f>IF(M30="","",SUMIFS(ProductPrice!$N$28:$N$10020,ProductPrice!$D$28:$D$10020,I30,ProductPrice!$G$28:$G$10020,quot_branch_id,ProductPrice!$H$28:$H$10020,quot_price_type_id,ProductPrice!$I$28:$I$10020,MID(P30,1,3)*1,ProductPrice!$Q$28:$Q$10020,1))</f>
        <v/>
      </c>
      <c r="AT30" s="197" t="str">
        <f t="shared" si="8"/>
        <v/>
      </c>
      <c r="AU30" s="197" t="str" cm="1">
        <f t="array" ref="AU30">IF(M30="","",IF(ISNA(Slookup(MID(AN30,1,3)*1,UomConversion!$D$8:$J$500,2,UomConversion!$I$8:$I$500,1,UomConversion!$J$8:$J$500,1)),"",Slookup(MID(AN30,1,3)*1,UomConversion!$D$8:$J$500,2,UomConversion!$I$8:$I$500,1,UomConversion!$J$8:$J$500,1)))</f>
        <v/>
      </c>
      <c r="AV30" s="197" t="str">
        <f t="shared" ref="AV30" si="111">IF(M30="","",IF(quot_location_id=1,BA30,IF(quot_location_id=2,BB30,0)))</f>
        <v/>
      </c>
      <c r="AW30" s="197" t="str">
        <f>IF(M30="","",(SUMIFS('[1]1_group_totals'!$K$8:$K$10000,'[1]1_group_totals'!$C$8:$C$10000,I30,'[1]1_group_totals'!$F$8:$F$10000,quot_location_group_id,'[1]1_group_totals'!$G$8:$G$10000,quot_location_id,'[1]1_group_totals'!$H$8:$H$10000,"="&amp;Q30,'[1]1_group_totals'!$I$8:$I$10000,"="&amp;R30)+SUMIFS('[1]1_group_totals'!$N$8:$N$10000,'[1]1_group_totals'!$C$8:$C$10000,I30,'[1]1_group_totals'!$F$8:$F$10000,quot_location_group_id,'[1]1_group_totals'!$G$8:$G$10000,quot_location_id,'[1]1_group_totals'!$H$8:$H$10000,"="&amp;Q30,'[1]1_group_totals'!$I$8:$I$10000,"="&amp;R30)+SUMIFS('[1]1_group_totals'!$P$8:$P$10000,'[1]1_group_totals'!$C$8:$C$10000,I30,'[1]1_group_totals'!$F$8:$F$10000,quot_location_group_id,'[1]1_group_totals'!$G$8:$G$10000,quot_location_id,'[1]1_group_totals'!$H$8:$H$10000,"="&amp;Q30,'[1]1_group_totals'!$I$8:$I$10000,"="&amp;R30)+SUMIFS('[1]1_group_totals'!$Q$8:$Q$10000,'[1]1_group_totals'!$C$8:$C$10000,I30,'[1]1_group_totals'!$F$8:$F$10000,quot_location_group_id,'[1]1_group_totals'!$G$8:$G$10000,quot_location_id,'[1]1_group_totals'!$H$8:$H$10000,"="&amp;Q30,'[1]1_group_totals'!$I$8:$I$10000,"="&amp;R30))+(SUMIFS('[1]1_group_totals'!$L$8:$L$10000,'[1]1_group_totals'!$C$8:$C$10000,I30,'[1]1_group_totals'!$F$8:$F$10000,quot_location_group_id,'[1]1_group_totals'!$G$8:$G$10000,quot_location_id,'[1]1_group_totals'!$H$8:$H$10000,"="&amp;Q30,'[1]1_group_totals'!$I$8:$I$10000,"="&amp;R30)+SUMIFS('[1]1_group_totals'!$M$8:$M$10000,'[1]1_group_totals'!$C$8:$C$10000,I30,'[1]1_group_totals'!$F$8:$F$10000,quot_location_group_id,'[1]1_group_totals'!$G$8:$G$10000,quot_location_id,'[1]1_group_totals'!$H$8:$H$10000,"="&amp;Q30,'[1]1_group_totals'!$I$8:$I$10000,"="&amp;R30)+SUMIFS('[1]1_group_totals'!$O$8:$O$10000,'[1]1_group_totals'!$C$8:$C$10000,I30,'[1]1_group_totals'!$F$8:$F$10000,quot_location_group_id,'[1]1_group_totals'!$G$8:$G$10000,quot_location_id,'[1]1_group_totals'!$H$8:$H$10000,"="&amp;Q30,'[1]1_group_totals'!$I$8:$I$10000,"="&amp;R30)+SUMIFS('[1]1_group_totals'!$R$8:$R$10000,'[1]1_group_totals'!$C$8:$C$10000,I30,'[1]1_group_totals'!$F$8:$F$10000,quot_location_group_id,'[1]1_group_totals'!$G$8:$G$10000,quot_location_id,'[1]1_group_totals'!$H$8:$H$10000,"="&amp;Q30,'[1]1_group_totals'!$I$8:$I$10000,"="&amp;R30)))</f>
        <v/>
      </c>
      <c r="AX30" s="197" t="str">
        <f t="shared" si="23"/>
        <v/>
      </c>
      <c r="AY30" s="197" t="str">
        <f>IF(M30="","",SUMIFS($AX$8:AX30,$I$8:I30,I30))</f>
        <v/>
      </c>
      <c r="AZ30" s="197" t="str">
        <f t="shared" si="24"/>
        <v/>
      </c>
      <c r="BA30" s="197" t="str">
        <f>IF(M30="","",(SUMIFS('[1]1_inventory_totals'!$I$8:$I$10000,'[1]1_inventory_totals'!$C$8:$C$10000,I30,'[1]1_inventory_totals'!$F$8:$F$10000,"="&amp;Q30,'[1]1_inventory_totals'!$G$8:$G$10000,"="&amp;R30)+SUMIFS('[1]1_inventory_totals'!$N$8:$N$10000,'[1]1_inventory_totals'!$C$8:$C$10000,I30,'[1]1_inventory_totals'!$F$8:$F$10000,"="&amp;Q30,'[1]1_inventory_totals'!$G$8:$G$10000,"="&amp;R30)+SUMIFS('[1]1_inventory_totals'!$P$8:$P$10000,'[1]1_inventory_totals'!$C$8:$C$10000,I30,'[1]1_inventory_totals'!$F$8:$F$10000,"="&amp;Q30,'[1]1_inventory_totals'!$G$8:$G$10000,"="&amp;R30)+SUMIFS('[1]1_inventory_totals'!$Q$8:$Q$10000,'[1]1_inventory_totals'!$C$8:$C$10000,I30,'[1]1_inventory_totals'!$F$8:$F$10000,"="&amp;Q30,'[1]1_inventory_totals'!$G$8:$G$10000,"="&amp;R30)+SUMIFS('[1]1_inventory_totals'!$R$8:$R$10000,'[1]1_inventory_totals'!$C$8:$C$10000,I30,'[1]1_inventory_totals'!$F$8:$F$10000,"="&amp;Q30,'[1]1_inventory_totals'!$G$8:$G$10000,"="&amp;R30))+(SUMIFS('[1]1_inventory_totals'!$J$8:$J$10000,'[1]1_inventory_totals'!$C$8:$C$10000,I30,'[1]1_inventory_totals'!$F$8:$F$10000,"="&amp;Q30,'[1]1_inventory_totals'!$G$8:$G$10000,"="&amp;R30)+SUMIFS('[1]1_inventory_totals'!$K$8:$K$10000,'[1]1_inventory_totals'!$C$8:$C$10000,I30,'[1]1_inventory_totals'!$F$8:$F$10000,"="&amp;Q30,'[1]1_inventory_totals'!$G$8:$G$10000,"="&amp;R30)+SUMIFS('[1]1_inventory_totals'!$L$8:$L$10000,'[1]1_inventory_totals'!$C$8:$C$10000,I30,'[1]1_inventory_totals'!$F$8:$F$10000,"="&amp;Q30,'[1]1_inventory_totals'!$G$8:$G$10000,"="&amp;R30)+SUMIFS('[1]1_inventory_totals'!$M$8:$M$10000,'[1]1_inventory_totals'!$C$8:$C$10000,I30,'[1]1_inventory_totals'!$F$8:$F$10000,"="&amp;Q30,'[1]1_inventory_totals'!$G$8:$G$10000,"="&amp;R30)+SUMIFS('[1]1_inventory_totals'!$O$8:$O$10000,'[1]1_inventory_totals'!$C$8:$C$10000,I30,'[1]1_inventory_totals'!$F$8:$F$10000,"="&amp;Q30,'[1]1_inventory_totals'!$G$8:$G$10000,"="&amp;R30)+SUMIFS('[1]1_inventory_totals'!$S$8:$S$10000,'[1]1_inventory_totals'!$C$8:$C$10000,I30,'[1]1_inventory_totals'!$F$8:$F$10000,"="&amp;Q30,'[1]1_inventory_totals'!$G$8:$G$10000,"="&amp;R30)))</f>
        <v/>
      </c>
      <c r="BB30" s="197" t="str">
        <f>IF(M30="","",(SUMIFS('[1]2_inventory_totals'!$I$8:$I$10000,'[1]2_inventory_totals'!$C$8:$C$10000,I30,'[1]2_inventory_totals'!$F$8:$F$10000,"="&amp;Q30,'[1]2_inventory_totals'!$G$8:$G$10000,"="&amp;R30)+SUMIFS('[1]2_inventory_totals'!$N$8:$N$10000,'[1]2_inventory_totals'!$C$8:$C$10000,I30,'[1]2_inventory_totals'!$F$8:$F$10000,"="&amp;Q30,'[1]2_inventory_totals'!$G$8:$G$10000,"="&amp;R30)+SUMIFS('[1]2_inventory_totals'!$P$8:$P$10000,'[1]2_inventory_totals'!$C$8:$C$10000,I30,'[1]2_inventory_totals'!$F$8:$F$10000,"="&amp;Q30,'[1]2_inventory_totals'!$G$8:$G$10000,"="&amp;R30)+SUMIFS('[1]2_inventory_totals'!$Q$8:$Q$10000,'[1]2_inventory_totals'!$C$8:$C$10000,I30,'[1]2_inventory_totals'!$F$8:$F$10000,"="&amp;Q30,'[1]2_inventory_totals'!$G$8:$G$10000,"="&amp;R30)+SUMIFS('[1]2_inventory_totals'!$R$8:$R$10000,'[1]2_inventory_totals'!$C$8:$C$10000,I30,'[1]2_inventory_totals'!$F$8:$F$10000,"="&amp;Q30,'[1]2_inventory_totals'!$G$8:$G$10000,"="&amp;R30))+(SUMIFS('[1]2_inventory_totals'!$J$8:$J$10000,'[1]2_inventory_totals'!$C$8:$C$10000,I30,'[1]2_inventory_totals'!$F$8:$F$10000,"="&amp;Q30,'[1]2_inventory_totals'!$G$8:$G$10000,"="&amp;R30)+SUMIFS('[1]2_inventory_totals'!$K$8:$K$10000,'[1]2_inventory_totals'!$C$8:$C$10000,I30,'[1]2_inventory_totals'!$F$8:$F$10000,"="&amp;Q30,'[1]2_inventory_totals'!$G$8:$G$10000,"="&amp;R30)+SUMIFS('[1]2_inventory_totals'!$L$8:$L$10000,'[1]2_inventory_totals'!$C$8:$C$10000,I30,'[1]2_inventory_totals'!$F$8:$F$10000,"="&amp;Q30,'[1]2_inventory_totals'!$G$8:$G$10000,"="&amp;R30)+SUMIFS('[1]2_inventory_totals'!$M$8:$M$10000,'[1]2_inventory_totals'!$C$8:$C$10000,I30,'[1]2_inventory_totals'!$F$8:$F$10000,"="&amp;Q30,'[1]2_inventory_totals'!$G$8:$G$10000,"="&amp;R30)+SUMIFS('[1]2_inventory_totals'!$O$8:$O$10000,'[1]2_inventory_totals'!$C$8:$C$10000,I30,'[1]2_inventory_totals'!$F$8:$F$10000,"="&amp;Q30,'[1]2_inventory_totals'!$G$8:$G$10000,"="&amp;R30)+SUMIFS('[1]2_inventory_totals'!$S$8:$S$10000,'[1]2_inventory_totals'!$C$8:$C$10000,I30,'[1]2_inventory_totals'!$F$8:$F$10000,"="&amp;Q30,'[1]2_inventory_totals'!$G$8:$G$10000,"="&amp;R30)))</f>
        <v/>
      </c>
    </row>
    <row r="31" spans="1:54" ht="27" customHeight="1">
      <c r="A31" s="923"/>
      <c r="B31" s="1251"/>
      <c r="C31" s="950"/>
      <c r="D31" s="950"/>
      <c r="E31" s="950"/>
      <c r="F31" s="1262"/>
      <c r="I31" s="1610" t="str">
        <f t="shared" si="10"/>
        <v/>
      </c>
      <c r="J31" s="1611" t="str">
        <f t="shared" ref="J31:J87" si="112">IF(M31="","",1)</f>
        <v/>
      </c>
      <c r="K31" s="1612" t="str">
        <f t="shared" si="30"/>
        <v/>
      </c>
      <c r="L31" s="1613"/>
      <c r="M31" s="883"/>
      <c r="N31" s="884"/>
      <c r="O31" s="884"/>
      <c r="P31" s="885"/>
      <c r="Q31" s="886"/>
      <c r="R31" s="891"/>
      <c r="S31" s="1614" t="str">
        <f t="shared" ref="S31" si="113">IF(M31="","",quot_currency_symbol)</f>
        <v/>
      </c>
      <c r="T31" s="888"/>
      <c r="U31" s="1650" t="str">
        <f t="shared" si="13"/>
        <v/>
      </c>
      <c r="V31" s="1615" t="str">
        <f t="shared" ref="V31" si="114">IF(W31=0,"",quot_currency_symbol)</f>
        <v/>
      </c>
      <c r="W31" s="889"/>
      <c r="X31" s="1615" t="str">
        <f t="shared" ref="X31" si="115">IF(M31="","",quot_currency_symbol)</f>
        <v/>
      </c>
      <c r="Y31" s="1616" t="str">
        <f t="shared" si="34"/>
        <v/>
      </c>
      <c r="Z31" s="890"/>
      <c r="AA31" s="197" t="str" cm="1">
        <f t="array" ref="AA31">IF(M31="","",IF(P31=AN31,1,Slookup(MID(AN31,1,3)*1,UomConversion!$D$8:$J$500,5,UomConversion!$E$8:$E$500,MID(P31,1,3)*1,UomConversion!$J$8:$J$500,1)))</f>
        <v/>
      </c>
      <c r="AB31" s="197" t="str">
        <f t="shared" si="3"/>
        <v/>
      </c>
      <c r="AC31" s="197" t="str">
        <f t="shared" si="17"/>
        <v/>
      </c>
      <c r="AD31" s="197" t="str">
        <f t="shared" si="18"/>
        <v/>
      </c>
      <c r="AE31" s="197" t="str">
        <f t="shared" si="19"/>
        <v/>
      </c>
      <c r="AF31" s="197" t="str">
        <f t="shared" si="5"/>
        <v/>
      </c>
      <c r="AG31" s="197" t="str">
        <f t="shared" si="6"/>
        <v/>
      </c>
      <c r="AH31" s="197" t="str">
        <f>IF(I31="","",IF(ISNA(MATCH(I31,IF(quot_location_id=1,'[1]1_inventory_totals'!$C$8:$C$10000,IF(quot_location_id=2,'[1]2_inventory_totals'!$C$8:$C$10000,0)),0)),0,IF(AV31&gt;0,1,0)))</f>
        <v/>
      </c>
      <c r="AI31" s="197" t="str">
        <f>IF(M31="","",IF(quot_location_id=1,SUMIFS('[1]1_inventory_total_details'!$J$8:$J$10000,'[1]1_inventory_total_details'!$C$8:$C$10000,I31,'[1]1_inventory_total_details'!$F$8:$F$10000,quot_location_id,'[1]1_inventory_total_details'!$G$8:$G$10000,"="&amp;Q31,'[1]1_inventory_total_details'!$H$8:$H$10000,"="&amp;R31,'[1]1_inventory_total_details'!$I$8:$I$10000,"="&amp;quot_date)+SUMIFS('[1]1_inventory_total_details'!$M$8:$M$10000,'[1]1_inventory_total_details'!$C$8:$C$10000,I31,'[1]1_inventory_total_details'!$F$8:$F$10000,quot_location_id,'[1]1_inventory_total_details'!$G$8:$G$10000,"="&amp;Q31,'[1]1_inventory_total_details'!$H$8:$H$10000,"="&amp;R31,'[1]1_inventory_total_details'!$I$8:$I$10000,"="&amp;quot_date)+SUMIFS('[1]1_inventory_total_details'!$K$8:$K$10000,'[1]1_inventory_total_details'!$C$8:$C$10000,I31,'[1]1_inventory_total_details'!$F$8:$F$10000,quot_location_id,'[1]1_inventory_total_details'!$G$8:$G$10000,"="&amp;Q31,'[1]1_inventory_total_details'!$H$8:$H$10000,"="&amp;R31,'[1]1_inventory_total_details'!$I$8:$I$10000,"="&amp;quot_date)+SUMIFS('[1]1_inventory_total_details'!$L$8:$L$10000,'[1]1_inventory_total_details'!$C$8:$C$10000,I31,'[1]1_inventory_total_details'!$F$8:$F$10000,quot_location_id,'[1]1_inventory_total_details'!$G$8:$G$10000,"="&amp;Q31,'[1]1_inventory_total_details'!$H$8:$H$10000,"="&amp;R31,'[1]1_inventory_total_details'!$I$8:$I$10000,"="&amp;quot_date),SUMIFS('[1]2_inventory_total_details'!$J$8:$J$10000,'[1]2_inventory_total_details'!$C$8:$C$10000,I31,'[1]2_inventory_total_details'!$F$8:$F$10000,quot_location_id,'[1]2_inventory_total_details'!$G$8:$G$10000,"="&amp;Q31,'[1]2_inventory_total_details'!$H$8:$H$10000,"="&amp;R31,'[1]2_inventory_total_details'!$I$8:$I$10000,"="&amp;quot_date)+SUMIFS('[1]2_inventory_total_details'!$M$8:$M$10000,'[1]2_inventory_total_details'!$C$8:$C$10000,I31,'[1]2_inventory_total_details'!$F$8:$F$10000,quot_location_id,'[1]2_inventory_total_details'!$G$8:$G$10000,"="&amp;Q31,'[1]2_inventory_total_details'!$H$8:$H$10000,"="&amp;R31,'[1]2_inventory_total_details'!$I$8:$I$10000,"="&amp;quot_date)+SUMIFS('[1]2_inventory_total_details'!$K$8:$K$10000,'[1]2_inventory_total_details'!$C$8:$C$10000,I31,'[1]2_inventory_total_details'!$F$8:$F$10000,quot_location_id,'[1]2_inventory_total_details'!$G$8:$G$10000,"="&amp;Q31,'[1]2_inventory_total_details'!$H$8:$H$10000,"="&amp;R31,'[1]2_inventory_total_details'!$I$8:$I$10000,"="&amp;quot_date)+SUMIFS('[1]2_inventory_total_details'!$L$8:$L$10000,'[1]2_inventory_total_details'!$C$8:$C$10000,I31,'[1]2_inventory_total_details'!$F$8:$F$10000,quot_location_id,'[1]2_inventory_total_details'!$G$8:$G$10000,"="&amp;Q31,'[1]2_inventory_total_details'!$H$8:$H$10000,"="&amp;R31,'[1]2_inventory_total_details'!$I$8:$I$10000,"="&amp;quot_date)))</f>
        <v/>
      </c>
      <c r="AJ31" s="197" t="str">
        <f>IF(M31="","",IF(ISNA(MATCH(I31,'[1]1_group_totals'!$C$8:$C$10000)),0,IF(AW31&gt;0,1,0)))</f>
        <v/>
      </c>
      <c r="AK31" s="197" t="str">
        <f>IF(M31="","",(SUMIFS('[1]1_group_total_details'!$I$8:$I$10000,'[1]1_group_total_details'!$C$8:$C$10000,I31,'[1]1_group_total_details'!$F$8:$F$10000,quot_location_group_id,'[1]1_group_total_details'!$G$8:$G$10000,quot_location_id,'[1]1_group_total_details'!$H$8:$H$10000,"="&amp;quot_date)+SUMIFS('[1]1_group_total_details'!$L$8:$L$10000,'[1]1_group_total_details'!$C$8:$C$10000,I31,'[1]1_group_total_details'!$F$8:$F$10000,quot_location_group_id,'[1]1_group_total_details'!$G$8:$G$10000,quot_location_id,'[1]1_group_total_details'!$H$8:$H$10000,"="&amp;quot_date)+SUMIFS('[1]1_group_total_details'!$N$8:$N$10000,'[1]1_group_total_details'!$C$8:$C$10000,I31,'[1]1_group_total_details'!$F$8:$F$10000,quot_location_group_id,'[1]1_group_total_details'!$G$8:$G$10000,quot_location_id,'[1]1_group_total_details'!$H$8:$H$10000,"="&amp;quot_date)+SUMIFS('[1]1_group_total_details'!$O$8:$O$10000,'[1]1_group_total_details'!$C$8:$C$10000,I31,'[1]1_group_total_details'!$F$8:$F$10000,quot_location_group_id,'[1]1_group_total_details'!$G$8:$G$10000,quot_location_id,'[1]1_group_total_details'!$H$8:$H$10000,"="&amp;quot_date))+(SUMIFS('[1]1_group_total_details'!$J$8:$J$10000,'[1]1_group_total_details'!$C$8:$C$10000,I31,'[1]1_group_total_details'!$F$8:$F$10000,quot_location_group_id,'[1]1_group_total_details'!$G$8:$G$10000,quot_location_id,'[1]1_group_total_details'!$H$8:$H$10000,"="&amp;quot_date)+SUMIFS('[1]1_group_total_details'!$K$8:$K$10000,'[1]1_group_total_details'!$C$8:$C$10000,I31,'[1]1_group_total_details'!$F$8:$F$10000,quot_location_group_id,'[1]1_group_total_details'!$G$8:$G$10000,quot_location_id,'[1]1_group_total_details'!$H$8:$H$10000,"="&amp;quot_date)+SUMIFS('[1]1_group_total_details'!$M$8:$M$10000,'[1]1_group_total_details'!$C$8:$C$10000,I31,'[1]1_group_total_details'!$F$8:$F$10000,quot_location_group_id,'[1]1_group_total_details'!$G$8:$G$10000,quot_location_id,'[1]1_group_total_details'!$H$8:$H$10000,"="&amp;quot_date)+SUMIFS('[1]1_group_total_details'!$P$8:$P$10000,'[1]1_group_total_details'!$C$8:$C$10000,I31,'[1]1_group_total_details'!$F$8:$F$10000,quot_location_group_id,'[1]1_group_total_details'!$G$8:$G$10000,quot_location_id,'[1]1_group_total_details'!$H$8:$H$10000,"="&amp;quot_date)))</f>
        <v/>
      </c>
      <c r="AL31" s="197" t="str">
        <f>IF(M31="","",(SUMIFS('[1]1_group_total_details'!$I$8:$I$10000,'[1]1_group_total_details'!$C$8:$C$10000,I31,'[1]1_group_total_details'!$F$8:$F$10000,quot_location_group_id,'[1]1_group_total_details'!$G$8:$G$10000,quot_location_id,'[1]1_group_total_details'!$H$8:$H$10000,"&lt;="&amp;quot_date)+SUMIFS('[1]1_group_total_details'!$L$8:$L$10000,'[1]1_group_total_details'!$C$8:$C$10000,I31,'[1]1_group_total_details'!$F$8:$F$10000,quot_location_group_id,'[1]1_group_total_details'!$G$8:$G$10000,1,'[1]1_group_total_details'!$H$8:$H$10000,"&lt;="&amp;quot_date)+SUMIFS('[1]1_group_total_details'!$N$8:$N$10000,'[1]1_group_total_details'!$C$8:$C$10000,I31,'[1]1_group_total_details'!$F$8:$F$10000,quot_location_group_id,'[1]1_group_total_details'!$G$8:$G$10000,quot_location_id,'[1]1_group_total_details'!$H$8:$H$10000,"&lt;="&amp;quot_date)+SUMIFS('[1]1_group_total_details'!$O$8:$O$10000,'[1]1_group_total_details'!$C$8:$C$10000,I31,'[1]1_group_total_details'!$F$8:$F$10000,quot_location_group_id,'[1]1_group_total_details'!$G$8:$G$10000,quot_location_id,'[1]1_group_total_details'!$H$8:$H$10000,"&lt;="&amp;quot_date))-(SUMIFS('[1]1_group_total_details'!$J$8:$J$10000,'[1]1_group_total_details'!$C$8:$C$10000,I31,'[1]1_group_total_details'!$F$8:$F$10000,quot_location_group_id,'[1]1_group_total_details'!$G$8:$G$10000,quot_location_id,'[1]1_group_total_details'!$H$8:$H$10000,"&lt;="&amp;quot_date)+SUMIFS('[1]1_group_total_details'!$K$8:$K$10000,'[1]1_group_total_details'!$C$8:$C$10000,I31,'[1]1_group_total_details'!$F$8:$F$10000,quot_location_group_id,'[1]1_group_total_details'!$G$8:$G$10000,quot_location_id,'[1]1_group_total_details'!$H$8:$H$10000,"&lt;="&amp;quot_date)+SUMIFS('[1]1_group_total_details'!$M$8:$M$10000,'[1]1_group_total_details'!$C$8:$C$10000,I31,'[1]1_group_total_details'!$F$8:$F$10000,quot_location_group_id,'[1]1_group_total_details'!$G$8:$G$10000,quot_location_id,'[1]1_group_total_details'!$H$8:$H$10000,"&lt;="&amp;quot_date)+SUMIFS('[1]1_group_total_details'!$P$8:$P$10000,'[1]1_group_total_details'!$C$8:$C$10000,I31,'[1]1_group_total_details'!$F$8:$F$10000,quot_location_group_id,'[1]1_group_total_details'!$G$8:$G$10000,quot_location_id,'[1]1_group_total_details'!$H$8:$H$10000,"&lt;="&amp;quot_date)))</f>
        <v/>
      </c>
      <c r="AM31" s="197" t="str">
        <f>IF(M31="","",SUMIFS('[1]1_group_totals'!$J$8:$J$10000,'[1]1_group_totals'!$C$8:$C$10000,I31,'[1]1_group_totals'!$F$8:$F$10000,quot_location_group_id,'[1]1_group_totals'!$G$8:$G$10000,quot_location_id,'[1]1_group_totals'!$H$8:$H$10000,"="&amp;Q31,'[1]1_group_totals'!$I$8:$I$10000,"="&amp;R31))</f>
        <v/>
      </c>
      <c r="AN31" s="197" t="str">
        <f t="shared" si="7"/>
        <v/>
      </c>
      <c r="AO31" s="197" t="str">
        <f>IF(OR(ISNA(MATCH(MID(AN31,1,3)*1,UomConversion!$D$8:$D$500,0)),M31=""),"",IF(AT31="","",AT31))</f>
        <v/>
      </c>
      <c r="AP31" s="197" t="str">
        <f>IF(AND(AQ31&gt;0,COUNTIFS(UomConversion!$D$8:$D$500,MID(AN31,1,3)*1,UomConversion!$J$8:$J$500,1)&gt;1),TEXT(AQ31,"000")&amp;"."&amp;VLOOKUP(AQ31,uom_list,5,FALSE),"")</f>
        <v/>
      </c>
      <c r="AQ31" s="197" t="str">
        <f t="shared" si="20"/>
        <v/>
      </c>
      <c r="AR31" s="197" t="str">
        <f t="shared" si="21"/>
        <v/>
      </c>
      <c r="AS31" s="197" t="str">
        <f>IF(M31="","",SUMIFS(ProductPrice!$N$28:$N$10020,ProductPrice!$D$28:$D$10020,I31,ProductPrice!$G$28:$G$10020,quot_branch_id,ProductPrice!$H$28:$H$10020,quot_price_type_id,ProductPrice!$I$28:$I$10020,MID(P31,1,3)*1,ProductPrice!$Q$28:$Q$10020,1))</f>
        <v/>
      </c>
      <c r="AT31" s="197" t="str">
        <f t="shared" si="8"/>
        <v/>
      </c>
      <c r="AU31" s="197" t="str" cm="1">
        <f t="array" ref="AU31">IF(M31="","",IF(ISNA(Slookup(MID(AN31,1,3)*1,UomConversion!$D$8:$J$500,2,UomConversion!$I$8:$I$500,1,UomConversion!$J$8:$J$500,1)),"",Slookup(MID(AN31,1,3)*1,UomConversion!$D$8:$J$500,2,UomConversion!$I$8:$I$500,1,UomConversion!$J$8:$J$500,1)))</f>
        <v/>
      </c>
      <c r="AV31" s="197" t="str">
        <f t="shared" ref="AV31" si="116">IF(M31="","",IF(quot_location_id=1,BA31,IF(quot_location_id=2,BB31,0)))</f>
        <v/>
      </c>
      <c r="AW31" s="197" t="str">
        <f>IF(M31="","",(SUMIFS('[1]1_group_totals'!$K$8:$K$10000,'[1]1_group_totals'!$C$8:$C$10000,I31,'[1]1_group_totals'!$F$8:$F$10000,quot_location_group_id,'[1]1_group_totals'!$G$8:$G$10000,quot_location_id,'[1]1_group_totals'!$H$8:$H$10000,"="&amp;Q31,'[1]1_group_totals'!$I$8:$I$10000,"="&amp;R31)+SUMIFS('[1]1_group_totals'!$N$8:$N$10000,'[1]1_group_totals'!$C$8:$C$10000,I31,'[1]1_group_totals'!$F$8:$F$10000,quot_location_group_id,'[1]1_group_totals'!$G$8:$G$10000,quot_location_id,'[1]1_group_totals'!$H$8:$H$10000,"="&amp;Q31,'[1]1_group_totals'!$I$8:$I$10000,"="&amp;R31)+SUMIFS('[1]1_group_totals'!$P$8:$P$10000,'[1]1_group_totals'!$C$8:$C$10000,I31,'[1]1_group_totals'!$F$8:$F$10000,quot_location_group_id,'[1]1_group_totals'!$G$8:$G$10000,quot_location_id,'[1]1_group_totals'!$H$8:$H$10000,"="&amp;Q31,'[1]1_group_totals'!$I$8:$I$10000,"="&amp;R31)+SUMIFS('[1]1_group_totals'!$Q$8:$Q$10000,'[1]1_group_totals'!$C$8:$C$10000,I31,'[1]1_group_totals'!$F$8:$F$10000,quot_location_group_id,'[1]1_group_totals'!$G$8:$G$10000,quot_location_id,'[1]1_group_totals'!$H$8:$H$10000,"="&amp;Q31,'[1]1_group_totals'!$I$8:$I$10000,"="&amp;R31))+(SUMIFS('[1]1_group_totals'!$L$8:$L$10000,'[1]1_group_totals'!$C$8:$C$10000,I31,'[1]1_group_totals'!$F$8:$F$10000,quot_location_group_id,'[1]1_group_totals'!$G$8:$G$10000,quot_location_id,'[1]1_group_totals'!$H$8:$H$10000,"="&amp;Q31,'[1]1_group_totals'!$I$8:$I$10000,"="&amp;R31)+SUMIFS('[1]1_group_totals'!$M$8:$M$10000,'[1]1_group_totals'!$C$8:$C$10000,I31,'[1]1_group_totals'!$F$8:$F$10000,quot_location_group_id,'[1]1_group_totals'!$G$8:$G$10000,quot_location_id,'[1]1_group_totals'!$H$8:$H$10000,"="&amp;Q31,'[1]1_group_totals'!$I$8:$I$10000,"="&amp;R31)+SUMIFS('[1]1_group_totals'!$O$8:$O$10000,'[1]1_group_totals'!$C$8:$C$10000,I31,'[1]1_group_totals'!$F$8:$F$10000,quot_location_group_id,'[1]1_group_totals'!$G$8:$G$10000,quot_location_id,'[1]1_group_totals'!$H$8:$H$10000,"="&amp;Q31,'[1]1_group_totals'!$I$8:$I$10000,"="&amp;R31)+SUMIFS('[1]1_group_totals'!$R$8:$R$10000,'[1]1_group_totals'!$C$8:$C$10000,I31,'[1]1_group_totals'!$F$8:$F$10000,quot_location_group_id,'[1]1_group_totals'!$G$8:$G$10000,quot_location_id,'[1]1_group_totals'!$H$8:$H$10000,"="&amp;Q31,'[1]1_group_totals'!$I$8:$I$10000,"="&amp;R31)))</f>
        <v/>
      </c>
      <c r="AX31" s="197" t="str">
        <f t="shared" si="23"/>
        <v/>
      </c>
      <c r="AY31" s="197" t="str">
        <f>IF(M31="","",SUMIFS($AX$8:AX31,$I$8:I31,I31))</f>
        <v/>
      </c>
      <c r="AZ31" s="197" t="str">
        <f t="shared" si="24"/>
        <v/>
      </c>
      <c r="BA31" s="197" t="str">
        <f>IF(M31="","",(SUMIFS('[1]1_inventory_totals'!$I$8:$I$10000,'[1]1_inventory_totals'!$C$8:$C$10000,I31,'[1]1_inventory_totals'!$F$8:$F$10000,"="&amp;Q31,'[1]1_inventory_totals'!$G$8:$G$10000,"="&amp;R31)+SUMIFS('[1]1_inventory_totals'!$N$8:$N$10000,'[1]1_inventory_totals'!$C$8:$C$10000,I31,'[1]1_inventory_totals'!$F$8:$F$10000,"="&amp;Q31,'[1]1_inventory_totals'!$G$8:$G$10000,"="&amp;R31)+SUMIFS('[1]1_inventory_totals'!$P$8:$P$10000,'[1]1_inventory_totals'!$C$8:$C$10000,I31,'[1]1_inventory_totals'!$F$8:$F$10000,"="&amp;Q31,'[1]1_inventory_totals'!$G$8:$G$10000,"="&amp;R31)+SUMIFS('[1]1_inventory_totals'!$Q$8:$Q$10000,'[1]1_inventory_totals'!$C$8:$C$10000,I31,'[1]1_inventory_totals'!$F$8:$F$10000,"="&amp;Q31,'[1]1_inventory_totals'!$G$8:$G$10000,"="&amp;R31)+SUMIFS('[1]1_inventory_totals'!$R$8:$R$10000,'[1]1_inventory_totals'!$C$8:$C$10000,I31,'[1]1_inventory_totals'!$F$8:$F$10000,"="&amp;Q31,'[1]1_inventory_totals'!$G$8:$G$10000,"="&amp;R31))+(SUMIFS('[1]1_inventory_totals'!$J$8:$J$10000,'[1]1_inventory_totals'!$C$8:$C$10000,I31,'[1]1_inventory_totals'!$F$8:$F$10000,"="&amp;Q31,'[1]1_inventory_totals'!$G$8:$G$10000,"="&amp;R31)+SUMIFS('[1]1_inventory_totals'!$K$8:$K$10000,'[1]1_inventory_totals'!$C$8:$C$10000,I31,'[1]1_inventory_totals'!$F$8:$F$10000,"="&amp;Q31,'[1]1_inventory_totals'!$G$8:$G$10000,"="&amp;R31)+SUMIFS('[1]1_inventory_totals'!$L$8:$L$10000,'[1]1_inventory_totals'!$C$8:$C$10000,I31,'[1]1_inventory_totals'!$F$8:$F$10000,"="&amp;Q31,'[1]1_inventory_totals'!$G$8:$G$10000,"="&amp;R31)+SUMIFS('[1]1_inventory_totals'!$M$8:$M$10000,'[1]1_inventory_totals'!$C$8:$C$10000,I31,'[1]1_inventory_totals'!$F$8:$F$10000,"="&amp;Q31,'[1]1_inventory_totals'!$G$8:$G$10000,"="&amp;R31)+SUMIFS('[1]1_inventory_totals'!$O$8:$O$10000,'[1]1_inventory_totals'!$C$8:$C$10000,I31,'[1]1_inventory_totals'!$F$8:$F$10000,"="&amp;Q31,'[1]1_inventory_totals'!$G$8:$G$10000,"="&amp;R31)+SUMIFS('[1]1_inventory_totals'!$S$8:$S$10000,'[1]1_inventory_totals'!$C$8:$C$10000,I31,'[1]1_inventory_totals'!$F$8:$F$10000,"="&amp;Q31,'[1]1_inventory_totals'!$G$8:$G$10000,"="&amp;R31)))</f>
        <v/>
      </c>
      <c r="BB31" s="197" t="str">
        <f>IF(M31="","",(SUMIFS('[1]2_inventory_totals'!$I$8:$I$10000,'[1]2_inventory_totals'!$C$8:$C$10000,I31,'[1]2_inventory_totals'!$F$8:$F$10000,"="&amp;Q31,'[1]2_inventory_totals'!$G$8:$G$10000,"="&amp;R31)+SUMIFS('[1]2_inventory_totals'!$N$8:$N$10000,'[1]2_inventory_totals'!$C$8:$C$10000,I31,'[1]2_inventory_totals'!$F$8:$F$10000,"="&amp;Q31,'[1]2_inventory_totals'!$G$8:$G$10000,"="&amp;R31)+SUMIFS('[1]2_inventory_totals'!$P$8:$P$10000,'[1]2_inventory_totals'!$C$8:$C$10000,I31,'[1]2_inventory_totals'!$F$8:$F$10000,"="&amp;Q31,'[1]2_inventory_totals'!$G$8:$G$10000,"="&amp;R31)+SUMIFS('[1]2_inventory_totals'!$Q$8:$Q$10000,'[1]2_inventory_totals'!$C$8:$C$10000,I31,'[1]2_inventory_totals'!$F$8:$F$10000,"="&amp;Q31,'[1]2_inventory_totals'!$G$8:$G$10000,"="&amp;R31)+SUMIFS('[1]2_inventory_totals'!$R$8:$R$10000,'[1]2_inventory_totals'!$C$8:$C$10000,I31,'[1]2_inventory_totals'!$F$8:$F$10000,"="&amp;Q31,'[1]2_inventory_totals'!$G$8:$G$10000,"="&amp;R31))+(SUMIFS('[1]2_inventory_totals'!$J$8:$J$10000,'[1]2_inventory_totals'!$C$8:$C$10000,I31,'[1]2_inventory_totals'!$F$8:$F$10000,"="&amp;Q31,'[1]2_inventory_totals'!$G$8:$G$10000,"="&amp;R31)+SUMIFS('[1]2_inventory_totals'!$K$8:$K$10000,'[1]2_inventory_totals'!$C$8:$C$10000,I31,'[1]2_inventory_totals'!$F$8:$F$10000,"="&amp;Q31,'[1]2_inventory_totals'!$G$8:$G$10000,"="&amp;R31)+SUMIFS('[1]2_inventory_totals'!$L$8:$L$10000,'[1]2_inventory_totals'!$C$8:$C$10000,I31,'[1]2_inventory_totals'!$F$8:$F$10000,"="&amp;Q31,'[1]2_inventory_totals'!$G$8:$G$10000,"="&amp;R31)+SUMIFS('[1]2_inventory_totals'!$M$8:$M$10000,'[1]2_inventory_totals'!$C$8:$C$10000,I31,'[1]2_inventory_totals'!$F$8:$F$10000,"="&amp;Q31,'[1]2_inventory_totals'!$G$8:$G$10000,"="&amp;R31)+SUMIFS('[1]2_inventory_totals'!$O$8:$O$10000,'[1]2_inventory_totals'!$C$8:$C$10000,I31,'[1]2_inventory_totals'!$F$8:$F$10000,"="&amp;Q31,'[1]2_inventory_totals'!$G$8:$G$10000,"="&amp;R31)+SUMIFS('[1]2_inventory_totals'!$S$8:$S$10000,'[1]2_inventory_totals'!$C$8:$C$10000,I31,'[1]2_inventory_totals'!$F$8:$F$10000,"="&amp;Q31,'[1]2_inventory_totals'!$G$8:$G$10000,"="&amp;R31)))</f>
        <v/>
      </c>
    </row>
    <row r="32" spans="1:54" ht="27" customHeight="1">
      <c r="A32" s="923"/>
      <c r="B32" s="1251"/>
      <c r="C32" s="950"/>
      <c r="D32" s="950"/>
      <c r="E32" s="950"/>
      <c r="F32" s="1262"/>
      <c r="I32" s="1610" t="str">
        <f t="shared" si="10"/>
        <v/>
      </c>
      <c r="J32" s="1611" t="str">
        <f t="shared" si="112"/>
        <v/>
      </c>
      <c r="K32" s="1612" t="str">
        <f t="shared" si="30"/>
        <v/>
      </c>
      <c r="L32" s="1613"/>
      <c r="M32" s="883"/>
      <c r="N32" s="884"/>
      <c r="O32" s="884"/>
      <c r="P32" s="885"/>
      <c r="Q32" s="886"/>
      <c r="R32" s="891"/>
      <c r="S32" s="1614" t="str">
        <f t="shared" ref="S32" si="117">IF(M32="","",quot_currency_symbol)</f>
        <v/>
      </c>
      <c r="T32" s="888"/>
      <c r="U32" s="1650" t="str">
        <f t="shared" si="13"/>
        <v/>
      </c>
      <c r="V32" s="1615" t="str">
        <f t="shared" ref="V32" si="118">IF(W32=0,"",quot_currency_symbol)</f>
        <v/>
      </c>
      <c r="W32" s="889"/>
      <c r="X32" s="1615" t="str">
        <f t="shared" ref="X32" si="119">IF(M32="","",quot_currency_symbol)</f>
        <v/>
      </c>
      <c r="Y32" s="1616" t="str">
        <f t="shared" si="34"/>
        <v/>
      </c>
      <c r="Z32" s="890"/>
      <c r="AA32" s="197" t="str" cm="1">
        <f t="array" ref="AA32">IF(M32="","",IF(P32=AN32,1,Slookup(MID(AN32,1,3)*1,UomConversion!$D$8:$J$500,5,UomConversion!$E$8:$E$500,MID(P32,1,3)*1,UomConversion!$J$8:$J$500,1)))</f>
        <v/>
      </c>
      <c r="AB32" s="197" t="str">
        <f t="shared" si="3"/>
        <v/>
      </c>
      <c r="AC32" s="197" t="str">
        <f t="shared" si="17"/>
        <v/>
      </c>
      <c r="AD32" s="197" t="str">
        <f t="shared" si="18"/>
        <v/>
      </c>
      <c r="AE32" s="197" t="str">
        <f t="shared" si="19"/>
        <v/>
      </c>
      <c r="AF32" s="197" t="str">
        <f t="shared" si="5"/>
        <v/>
      </c>
      <c r="AG32" s="197" t="str">
        <f t="shared" si="6"/>
        <v/>
      </c>
      <c r="AH32" s="197" t="str">
        <f>IF(I32="","",IF(ISNA(MATCH(I32,IF(quot_location_id=1,'[1]1_inventory_totals'!$C$8:$C$10000,IF(quot_location_id=2,'[1]2_inventory_totals'!$C$8:$C$10000,0)),0)),0,IF(AV32&gt;0,1,0)))</f>
        <v/>
      </c>
      <c r="AI32" s="197" t="str">
        <f>IF(M32="","",IF(quot_location_id=1,SUMIFS('[1]1_inventory_total_details'!$J$8:$J$10000,'[1]1_inventory_total_details'!$C$8:$C$10000,I32,'[1]1_inventory_total_details'!$F$8:$F$10000,quot_location_id,'[1]1_inventory_total_details'!$G$8:$G$10000,"="&amp;Q32,'[1]1_inventory_total_details'!$H$8:$H$10000,"="&amp;R32,'[1]1_inventory_total_details'!$I$8:$I$10000,"="&amp;quot_date)+SUMIFS('[1]1_inventory_total_details'!$M$8:$M$10000,'[1]1_inventory_total_details'!$C$8:$C$10000,I32,'[1]1_inventory_total_details'!$F$8:$F$10000,quot_location_id,'[1]1_inventory_total_details'!$G$8:$G$10000,"="&amp;Q32,'[1]1_inventory_total_details'!$H$8:$H$10000,"="&amp;R32,'[1]1_inventory_total_details'!$I$8:$I$10000,"="&amp;quot_date)+SUMIFS('[1]1_inventory_total_details'!$K$8:$K$10000,'[1]1_inventory_total_details'!$C$8:$C$10000,I32,'[1]1_inventory_total_details'!$F$8:$F$10000,quot_location_id,'[1]1_inventory_total_details'!$G$8:$G$10000,"="&amp;Q32,'[1]1_inventory_total_details'!$H$8:$H$10000,"="&amp;R32,'[1]1_inventory_total_details'!$I$8:$I$10000,"="&amp;quot_date)+SUMIFS('[1]1_inventory_total_details'!$L$8:$L$10000,'[1]1_inventory_total_details'!$C$8:$C$10000,I32,'[1]1_inventory_total_details'!$F$8:$F$10000,quot_location_id,'[1]1_inventory_total_details'!$G$8:$G$10000,"="&amp;Q32,'[1]1_inventory_total_details'!$H$8:$H$10000,"="&amp;R32,'[1]1_inventory_total_details'!$I$8:$I$10000,"="&amp;quot_date),SUMIFS('[1]2_inventory_total_details'!$J$8:$J$10000,'[1]2_inventory_total_details'!$C$8:$C$10000,I32,'[1]2_inventory_total_details'!$F$8:$F$10000,quot_location_id,'[1]2_inventory_total_details'!$G$8:$G$10000,"="&amp;Q32,'[1]2_inventory_total_details'!$H$8:$H$10000,"="&amp;R32,'[1]2_inventory_total_details'!$I$8:$I$10000,"="&amp;quot_date)+SUMIFS('[1]2_inventory_total_details'!$M$8:$M$10000,'[1]2_inventory_total_details'!$C$8:$C$10000,I32,'[1]2_inventory_total_details'!$F$8:$F$10000,quot_location_id,'[1]2_inventory_total_details'!$G$8:$G$10000,"="&amp;Q32,'[1]2_inventory_total_details'!$H$8:$H$10000,"="&amp;R32,'[1]2_inventory_total_details'!$I$8:$I$10000,"="&amp;quot_date)+SUMIFS('[1]2_inventory_total_details'!$K$8:$K$10000,'[1]2_inventory_total_details'!$C$8:$C$10000,I32,'[1]2_inventory_total_details'!$F$8:$F$10000,quot_location_id,'[1]2_inventory_total_details'!$G$8:$G$10000,"="&amp;Q32,'[1]2_inventory_total_details'!$H$8:$H$10000,"="&amp;R32,'[1]2_inventory_total_details'!$I$8:$I$10000,"="&amp;quot_date)+SUMIFS('[1]2_inventory_total_details'!$L$8:$L$10000,'[1]2_inventory_total_details'!$C$8:$C$10000,I32,'[1]2_inventory_total_details'!$F$8:$F$10000,quot_location_id,'[1]2_inventory_total_details'!$G$8:$G$10000,"="&amp;Q32,'[1]2_inventory_total_details'!$H$8:$H$10000,"="&amp;R32,'[1]2_inventory_total_details'!$I$8:$I$10000,"="&amp;quot_date)))</f>
        <v/>
      </c>
      <c r="AJ32" s="197" t="str">
        <f>IF(M32="","",IF(ISNA(MATCH(I32,'[1]1_group_totals'!$C$8:$C$10000)),0,IF(AW32&gt;0,1,0)))</f>
        <v/>
      </c>
      <c r="AK32" s="197" t="str">
        <f>IF(M32="","",(SUMIFS('[1]1_group_total_details'!$I$8:$I$10000,'[1]1_group_total_details'!$C$8:$C$10000,I32,'[1]1_group_total_details'!$F$8:$F$10000,quot_location_group_id,'[1]1_group_total_details'!$G$8:$G$10000,quot_location_id,'[1]1_group_total_details'!$H$8:$H$10000,"="&amp;quot_date)+SUMIFS('[1]1_group_total_details'!$L$8:$L$10000,'[1]1_group_total_details'!$C$8:$C$10000,I32,'[1]1_group_total_details'!$F$8:$F$10000,quot_location_group_id,'[1]1_group_total_details'!$G$8:$G$10000,quot_location_id,'[1]1_group_total_details'!$H$8:$H$10000,"="&amp;quot_date)+SUMIFS('[1]1_group_total_details'!$N$8:$N$10000,'[1]1_group_total_details'!$C$8:$C$10000,I32,'[1]1_group_total_details'!$F$8:$F$10000,quot_location_group_id,'[1]1_group_total_details'!$G$8:$G$10000,quot_location_id,'[1]1_group_total_details'!$H$8:$H$10000,"="&amp;quot_date)+SUMIFS('[1]1_group_total_details'!$O$8:$O$10000,'[1]1_group_total_details'!$C$8:$C$10000,I32,'[1]1_group_total_details'!$F$8:$F$10000,quot_location_group_id,'[1]1_group_total_details'!$G$8:$G$10000,quot_location_id,'[1]1_group_total_details'!$H$8:$H$10000,"="&amp;quot_date))+(SUMIFS('[1]1_group_total_details'!$J$8:$J$10000,'[1]1_group_total_details'!$C$8:$C$10000,I32,'[1]1_group_total_details'!$F$8:$F$10000,quot_location_group_id,'[1]1_group_total_details'!$G$8:$G$10000,quot_location_id,'[1]1_group_total_details'!$H$8:$H$10000,"="&amp;quot_date)+SUMIFS('[1]1_group_total_details'!$K$8:$K$10000,'[1]1_group_total_details'!$C$8:$C$10000,I32,'[1]1_group_total_details'!$F$8:$F$10000,quot_location_group_id,'[1]1_group_total_details'!$G$8:$G$10000,quot_location_id,'[1]1_group_total_details'!$H$8:$H$10000,"="&amp;quot_date)+SUMIFS('[1]1_group_total_details'!$M$8:$M$10000,'[1]1_group_total_details'!$C$8:$C$10000,I32,'[1]1_group_total_details'!$F$8:$F$10000,quot_location_group_id,'[1]1_group_total_details'!$G$8:$G$10000,quot_location_id,'[1]1_group_total_details'!$H$8:$H$10000,"="&amp;quot_date)+SUMIFS('[1]1_group_total_details'!$P$8:$P$10000,'[1]1_group_total_details'!$C$8:$C$10000,I32,'[1]1_group_total_details'!$F$8:$F$10000,quot_location_group_id,'[1]1_group_total_details'!$G$8:$G$10000,quot_location_id,'[1]1_group_total_details'!$H$8:$H$10000,"="&amp;quot_date)))</f>
        <v/>
      </c>
      <c r="AL32" s="197" t="str">
        <f>IF(M32="","",(SUMIFS('[1]1_group_total_details'!$I$8:$I$10000,'[1]1_group_total_details'!$C$8:$C$10000,I32,'[1]1_group_total_details'!$F$8:$F$10000,quot_location_group_id,'[1]1_group_total_details'!$G$8:$G$10000,quot_location_id,'[1]1_group_total_details'!$H$8:$H$10000,"&lt;="&amp;quot_date)+SUMIFS('[1]1_group_total_details'!$L$8:$L$10000,'[1]1_group_total_details'!$C$8:$C$10000,I32,'[1]1_group_total_details'!$F$8:$F$10000,quot_location_group_id,'[1]1_group_total_details'!$G$8:$G$10000,1,'[1]1_group_total_details'!$H$8:$H$10000,"&lt;="&amp;quot_date)+SUMIFS('[1]1_group_total_details'!$N$8:$N$10000,'[1]1_group_total_details'!$C$8:$C$10000,I32,'[1]1_group_total_details'!$F$8:$F$10000,quot_location_group_id,'[1]1_group_total_details'!$G$8:$G$10000,quot_location_id,'[1]1_group_total_details'!$H$8:$H$10000,"&lt;="&amp;quot_date)+SUMIFS('[1]1_group_total_details'!$O$8:$O$10000,'[1]1_group_total_details'!$C$8:$C$10000,I32,'[1]1_group_total_details'!$F$8:$F$10000,quot_location_group_id,'[1]1_group_total_details'!$G$8:$G$10000,quot_location_id,'[1]1_group_total_details'!$H$8:$H$10000,"&lt;="&amp;quot_date))-(SUMIFS('[1]1_group_total_details'!$J$8:$J$10000,'[1]1_group_total_details'!$C$8:$C$10000,I32,'[1]1_group_total_details'!$F$8:$F$10000,quot_location_group_id,'[1]1_group_total_details'!$G$8:$G$10000,quot_location_id,'[1]1_group_total_details'!$H$8:$H$10000,"&lt;="&amp;quot_date)+SUMIFS('[1]1_group_total_details'!$K$8:$K$10000,'[1]1_group_total_details'!$C$8:$C$10000,I32,'[1]1_group_total_details'!$F$8:$F$10000,quot_location_group_id,'[1]1_group_total_details'!$G$8:$G$10000,quot_location_id,'[1]1_group_total_details'!$H$8:$H$10000,"&lt;="&amp;quot_date)+SUMIFS('[1]1_group_total_details'!$M$8:$M$10000,'[1]1_group_total_details'!$C$8:$C$10000,I32,'[1]1_group_total_details'!$F$8:$F$10000,quot_location_group_id,'[1]1_group_total_details'!$G$8:$G$10000,quot_location_id,'[1]1_group_total_details'!$H$8:$H$10000,"&lt;="&amp;quot_date)+SUMIFS('[1]1_group_total_details'!$P$8:$P$10000,'[1]1_group_total_details'!$C$8:$C$10000,I32,'[1]1_group_total_details'!$F$8:$F$10000,quot_location_group_id,'[1]1_group_total_details'!$G$8:$G$10000,quot_location_id,'[1]1_group_total_details'!$H$8:$H$10000,"&lt;="&amp;quot_date)))</f>
        <v/>
      </c>
      <c r="AM32" s="197" t="str">
        <f>IF(M32="","",SUMIFS('[1]1_group_totals'!$J$8:$J$10000,'[1]1_group_totals'!$C$8:$C$10000,I32,'[1]1_group_totals'!$F$8:$F$10000,quot_location_group_id,'[1]1_group_totals'!$G$8:$G$10000,quot_location_id,'[1]1_group_totals'!$H$8:$H$10000,"="&amp;Q32,'[1]1_group_totals'!$I$8:$I$10000,"="&amp;R32))</f>
        <v/>
      </c>
      <c r="AN32" s="197" t="str">
        <f t="shared" si="7"/>
        <v/>
      </c>
      <c r="AO32" s="197" t="str">
        <f>IF(OR(ISNA(MATCH(MID(AN32,1,3)*1,UomConversion!$D$8:$D$500,0)),M32=""),"",IF(AT32="","",AT32))</f>
        <v/>
      </c>
      <c r="AP32" s="197" t="str">
        <f>IF(AND(AQ32&gt;0,COUNTIFS(UomConversion!$D$8:$D$500,MID(AN32,1,3)*1,UomConversion!$J$8:$J$500,1)&gt;1),TEXT(AQ32,"000")&amp;"."&amp;VLOOKUP(AQ32,uom_list,5,FALSE),"")</f>
        <v/>
      </c>
      <c r="AQ32" s="197" t="str">
        <f t="shared" si="20"/>
        <v/>
      </c>
      <c r="AR32" s="197" t="str">
        <f t="shared" si="21"/>
        <v/>
      </c>
      <c r="AS32" s="197" t="str">
        <f>IF(M32="","",SUMIFS(ProductPrice!$N$28:$N$10020,ProductPrice!$D$28:$D$10020,I32,ProductPrice!$G$28:$G$10020,quot_branch_id,ProductPrice!$H$28:$H$10020,quot_price_type_id,ProductPrice!$I$28:$I$10020,MID(P32,1,3)*1,ProductPrice!$Q$28:$Q$10020,1))</f>
        <v/>
      </c>
      <c r="AT32" s="197" t="str">
        <f t="shared" si="8"/>
        <v/>
      </c>
      <c r="AU32" s="197" t="str" cm="1">
        <f t="array" ref="AU32">IF(M32="","",IF(ISNA(Slookup(MID(AN32,1,3)*1,UomConversion!$D$8:$J$500,2,UomConversion!$I$8:$I$500,1,UomConversion!$J$8:$J$500,1)),"",Slookup(MID(AN32,1,3)*1,UomConversion!$D$8:$J$500,2,UomConversion!$I$8:$I$500,1,UomConversion!$J$8:$J$500,1)))</f>
        <v/>
      </c>
      <c r="AV32" s="197" t="str">
        <f t="shared" ref="AV32" si="120">IF(M32="","",IF(quot_location_id=1,BA32,IF(quot_location_id=2,BB32,0)))</f>
        <v/>
      </c>
      <c r="AW32" s="197" t="str">
        <f>IF(M32="","",(SUMIFS('[1]1_group_totals'!$K$8:$K$10000,'[1]1_group_totals'!$C$8:$C$10000,I32,'[1]1_group_totals'!$F$8:$F$10000,quot_location_group_id,'[1]1_group_totals'!$G$8:$G$10000,quot_location_id,'[1]1_group_totals'!$H$8:$H$10000,"="&amp;Q32,'[1]1_group_totals'!$I$8:$I$10000,"="&amp;R32)+SUMIFS('[1]1_group_totals'!$N$8:$N$10000,'[1]1_group_totals'!$C$8:$C$10000,I32,'[1]1_group_totals'!$F$8:$F$10000,quot_location_group_id,'[1]1_group_totals'!$G$8:$G$10000,quot_location_id,'[1]1_group_totals'!$H$8:$H$10000,"="&amp;Q32,'[1]1_group_totals'!$I$8:$I$10000,"="&amp;R32)+SUMIFS('[1]1_group_totals'!$P$8:$P$10000,'[1]1_group_totals'!$C$8:$C$10000,I32,'[1]1_group_totals'!$F$8:$F$10000,quot_location_group_id,'[1]1_group_totals'!$G$8:$G$10000,quot_location_id,'[1]1_group_totals'!$H$8:$H$10000,"="&amp;Q32,'[1]1_group_totals'!$I$8:$I$10000,"="&amp;R32)+SUMIFS('[1]1_group_totals'!$Q$8:$Q$10000,'[1]1_group_totals'!$C$8:$C$10000,I32,'[1]1_group_totals'!$F$8:$F$10000,quot_location_group_id,'[1]1_group_totals'!$G$8:$G$10000,quot_location_id,'[1]1_group_totals'!$H$8:$H$10000,"="&amp;Q32,'[1]1_group_totals'!$I$8:$I$10000,"="&amp;R32))+(SUMIFS('[1]1_group_totals'!$L$8:$L$10000,'[1]1_group_totals'!$C$8:$C$10000,I32,'[1]1_group_totals'!$F$8:$F$10000,quot_location_group_id,'[1]1_group_totals'!$G$8:$G$10000,quot_location_id,'[1]1_group_totals'!$H$8:$H$10000,"="&amp;Q32,'[1]1_group_totals'!$I$8:$I$10000,"="&amp;R32)+SUMIFS('[1]1_group_totals'!$M$8:$M$10000,'[1]1_group_totals'!$C$8:$C$10000,I32,'[1]1_group_totals'!$F$8:$F$10000,quot_location_group_id,'[1]1_group_totals'!$G$8:$G$10000,quot_location_id,'[1]1_group_totals'!$H$8:$H$10000,"="&amp;Q32,'[1]1_group_totals'!$I$8:$I$10000,"="&amp;R32)+SUMIFS('[1]1_group_totals'!$O$8:$O$10000,'[1]1_group_totals'!$C$8:$C$10000,I32,'[1]1_group_totals'!$F$8:$F$10000,quot_location_group_id,'[1]1_group_totals'!$G$8:$G$10000,quot_location_id,'[1]1_group_totals'!$H$8:$H$10000,"="&amp;Q32,'[1]1_group_totals'!$I$8:$I$10000,"="&amp;R32)+SUMIFS('[1]1_group_totals'!$R$8:$R$10000,'[1]1_group_totals'!$C$8:$C$10000,I32,'[1]1_group_totals'!$F$8:$F$10000,quot_location_group_id,'[1]1_group_totals'!$G$8:$G$10000,quot_location_id,'[1]1_group_totals'!$H$8:$H$10000,"="&amp;Q32,'[1]1_group_totals'!$I$8:$I$10000,"="&amp;R32)))</f>
        <v/>
      </c>
      <c r="AX32" s="197" t="str">
        <f t="shared" si="23"/>
        <v/>
      </c>
      <c r="AY32" s="197" t="str">
        <f>IF(M32="","",SUMIFS($AX$8:AX32,$I$8:I32,I32))</f>
        <v/>
      </c>
      <c r="AZ32" s="197" t="str">
        <f t="shared" si="24"/>
        <v/>
      </c>
      <c r="BA32" s="197" t="str">
        <f>IF(M32="","",(SUMIFS('[1]1_inventory_totals'!$I$8:$I$10000,'[1]1_inventory_totals'!$C$8:$C$10000,I32,'[1]1_inventory_totals'!$F$8:$F$10000,"="&amp;Q32,'[1]1_inventory_totals'!$G$8:$G$10000,"="&amp;R32)+SUMIFS('[1]1_inventory_totals'!$N$8:$N$10000,'[1]1_inventory_totals'!$C$8:$C$10000,I32,'[1]1_inventory_totals'!$F$8:$F$10000,"="&amp;Q32,'[1]1_inventory_totals'!$G$8:$G$10000,"="&amp;R32)+SUMIFS('[1]1_inventory_totals'!$P$8:$P$10000,'[1]1_inventory_totals'!$C$8:$C$10000,I32,'[1]1_inventory_totals'!$F$8:$F$10000,"="&amp;Q32,'[1]1_inventory_totals'!$G$8:$G$10000,"="&amp;R32)+SUMIFS('[1]1_inventory_totals'!$Q$8:$Q$10000,'[1]1_inventory_totals'!$C$8:$C$10000,I32,'[1]1_inventory_totals'!$F$8:$F$10000,"="&amp;Q32,'[1]1_inventory_totals'!$G$8:$G$10000,"="&amp;R32)+SUMIFS('[1]1_inventory_totals'!$R$8:$R$10000,'[1]1_inventory_totals'!$C$8:$C$10000,I32,'[1]1_inventory_totals'!$F$8:$F$10000,"="&amp;Q32,'[1]1_inventory_totals'!$G$8:$G$10000,"="&amp;R32))+(SUMIFS('[1]1_inventory_totals'!$J$8:$J$10000,'[1]1_inventory_totals'!$C$8:$C$10000,I32,'[1]1_inventory_totals'!$F$8:$F$10000,"="&amp;Q32,'[1]1_inventory_totals'!$G$8:$G$10000,"="&amp;R32)+SUMIFS('[1]1_inventory_totals'!$K$8:$K$10000,'[1]1_inventory_totals'!$C$8:$C$10000,I32,'[1]1_inventory_totals'!$F$8:$F$10000,"="&amp;Q32,'[1]1_inventory_totals'!$G$8:$G$10000,"="&amp;R32)+SUMIFS('[1]1_inventory_totals'!$L$8:$L$10000,'[1]1_inventory_totals'!$C$8:$C$10000,I32,'[1]1_inventory_totals'!$F$8:$F$10000,"="&amp;Q32,'[1]1_inventory_totals'!$G$8:$G$10000,"="&amp;R32)+SUMIFS('[1]1_inventory_totals'!$M$8:$M$10000,'[1]1_inventory_totals'!$C$8:$C$10000,I32,'[1]1_inventory_totals'!$F$8:$F$10000,"="&amp;Q32,'[1]1_inventory_totals'!$G$8:$G$10000,"="&amp;R32)+SUMIFS('[1]1_inventory_totals'!$O$8:$O$10000,'[1]1_inventory_totals'!$C$8:$C$10000,I32,'[1]1_inventory_totals'!$F$8:$F$10000,"="&amp;Q32,'[1]1_inventory_totals'!$G$8:$G$10000,"="&amp;R32)+SUMIFS('[1]1_inventory_totals'!$S$8:$S$10000,'[1]1_inventory_totals'!$C$8:$C$10000,I32,'[1]1_inventory_totals'!$F$8:$F$10000,"="&amp;Q32,'[1]1_inventory_totals'!$G$8:$G$10000,"="&amp;R32)))</f>
        <v/>
      </c>
      <c r="BB32" s="197" t="str">
        <f>IF(M32="","",(SUMIFS('[1]2_inventory_totals'!$I$8:$I$10000,'[1]2_inventory_totals'!$C$8:$C$10000,I32,'[1]2_inventory_totals'!$F$8:$F$10000,"="&amp;Q32,'[1]2_inventory_totals'!$G$8:$G$10000,"="&amp;R32)+SUMIFS('[1]2_inventory_totals'!$N$8:$N$10000,'[1]2_inventory_totals'!$C$8:$C$10000,I32,'[1]2_inventory_totals'!$F$8:$F$10000,"="&amp;Q32,'[1]2_inventory_totals'!$G$8:$G$10000,"="&amp;R32)+SUMIFS('[1]2_inventory_totals'!$P$8:$P$10000,'[1]2_inventory_totals'!$C$8:$C$10000,I32,'[1]2_inventory_totals'!$F$8:$F$10000,"="&amp;Q32,'[1]2_inventory_totals'!$G$8:$G$10000,"="&amp;R32)+SUMIFS('[1]2_inventory_totals'!$Q$8:$Q$10000,'[1]2_inventory_totals'!$C$8:$C$10000,I32,'[1]2_inventory_totals'!$F$8:$F$10000,"="&amp;Q32,'[1]2_inventory_totals'!$G$8:$G$10000,"="&amp;R32)+SUMIFS('[1]2_inventory_totals'!$R$8:$R$10000,'[1]2_inventory_totals'!$C$8:$C$10000,I32,'[1]2_inventory_totals'!$F$8:$F$10000,"="&amp;Q32,'[1]2_inventory_totals'!$G$8:$G$10000,"="&amp;R32))+(SUMIFS('[1]2_inventory_totals'!$J$8:$J$10000,'[1]2_inventory_totals'!$C$8:$C$10000,I32,'[1]2_inventory_totals'!$F$8:$F$10000,"="&amp;Q32,'[1]2_inventory_totals'!$G$8:$G$10000,"="&amp;R32)+SUMIFS('[1]2_inventory_totals'!$K$8:$K$10000,'[1]2_inventory_totals'!$C$8:$C$10000,I32,'[1]2_inventory_totals'!$F$8:$F$10000,"="&amp;Q32,'[1]2_inventory_totals'!$G$8:$G$10000,"="&amp;R32)+SUMIFS('[1]2_inventory_totals'!$L$8:$L$10000,'[1]2_inventory_totals'!$C$8:$C$10000,I32,'[1]2_inventory_totals'!$F$8:$F$10000,"="&amp;Q32,'[1]2_inventory_totals'!$G$8:$G$10000,"="&amp;R32)+SUMIFS('[1]2_inventory_totals'!$M$8:$M$10000,'[1]2_inventory_totals'!$C$8:$C$10000,I32,'[1]2_inventory_totals'!$F$8:$F$10000,"="&amp;Q32,'[1]2_inventory_totals'!$G$8:$G$10000,"="&amp;R32)+SUMIFS('[1]2_inventory_totals'!$O$8:$O$10000,'[1]2_inventory_totals'!$C$8:$C$10000,I32,'[1]2_inventory_totals'!$F$8:$F$10000,"="&amp;Q32,'[1]2_inventory_totals'!$G$8:$G$10000,"="&amp;R32)+SUMIFS('[1]2_inventory_totals'!$S$8:$S$10000,'[1]2_inventory_totals'!$C$8:$C$10000,I32,'[1]2_inventory_totals'!$F$8:$F$10000,"="&amp;Q32,'[1]2_inventory_totals'!$G$8:$G$10000,"="&amp;R32)))</f>
        <v/>
      </c>
    </row>
    <row r="33" spans="1:54" ht="27" customHeight="1">
      <c r="A33" s="923"/>
      <c r="B33" s="1251"/>
      <c r="C33" s="950"/>
      <c r="D33" s="950"/>
      <c r="E33" s="950"/>
      <c r="F33" s="1262"/>
      <c r="I33" s="1610" t="str">
        <f t="shared" si="10"/>
        <v/>
      </c>
      <c r="J33" s="1611" t="str">
        <f t="shared" si="112"/>
        <v/>
      </c>
      <c r="K33" s="1612" t="str">
        <f t="shared" si="30"/>
        <v/>
      </c>
      <c r="L33" s="1613"/>
      <c r="M33" s="883"/>
      <c r="N33" s="884"/>
      <c r="O33" s="884"/>
      <c r="P33" s="885"/>
      <c r="Q33" s="886"/>
      <c r="R33" s="891"/>
      <c r="S33" s="1614" t="str">
        <f t="shared" ref="S33" si="121">IF(M33="","",quot_currency_symbol)</f>
        <v/>
      </c>
      <c r="T33" s="888"/>
      <c r="U33" s="1650" t="str">
        <f t="shared" si="13"/>
        <v/>
      </c>
      <c r="V33" s="1615" t="str">
        <f t="shared" ref="V33" si="122">IF(W33=0,"",quot_currency_symbol)</f>
        <v/>
      </c>
      <c r="W33" s="889"/>
      <c r="X33" s="1615" t="str">
        <f t="shared" ref="X33" si="123">IF(M33="","",quot_currency_symbol)</f>
        <v/>
      </c>
      <c r="Y33" s="1616" t="str">
        <f t="shared" si="34"/>
        <v/>
      </c>
      <c r="Z33" s="890"/>
      <c r="AA33" s="197" t="str" cm="1">
        <f t="array" ref="AA33">IF(M33="","",IF(P33=AN33,1,Slookup(MID(AN33,1,3)*1,UomConversion!$D$8:$J$500,5,UomConversion!$E$8:$E$500,MID(P33,1,3)*1,UomConversion!$J$8:$J$500,1)))</f>
        <v/>
      </c>
      <c r="AB33" s="197" t="str">
        <f t="shared" si="3"/>
        <v/>
      </c>
      <c r="AC33" s="197" t="str">
        <f t="shared" si="17"/>
        <v/>
      </c>
      <c r="AD33" s="197" t="str">
        <f t="shared" si="18"/>
        <v/>
      </c>
      <c r="AE33" s="197" t="str">
        <f t="shared" si="19"/>
        <v/>
      </c>
      <c r="AF33" s="197" t="str">
        <f t="shared" si="5"/>
        <v/>
      </c>
      <c r="AG33" s="197" t="str">
        <f t="shared" si="6"/>
        <v/>
      </c>
      <c r="AH33" s="197" t="str">
        <f>IF(I33="","",IF(ISNA(MATCH(I33,IF(quot_location_id=1,'[1]1_inventory_totals'!$C$8:$C$10000,IF(quot_location_id=2,'[1]2_inventory_totals'!$C$8:$C$10000,0)),0)),0,IF(AV33&gt;0,1,0)))</f>
        <v/>
      </c>
      <c r="AI33" s="197" t="str">
        <f>IF(M33="","",IF(quot_location_id=1,SUMIFS('[1]1_inventory_total_details'!$J$8:$J$10000,'[1]1_inventory_total_details'!$C$8:$C$10000,I33,'[1]1_inventory_total_details'!$F$8:$F$10000,quot_location_id,'[1]1_inventory_total_details'!$G$8:$G$10000,"="&amp;Q33,'[1]1_inventory_total_details'!$H$8:$H$10000,"="&amp;R33,'[1]1_inventory_total_details'!$I$8:$I$10000,"="&amp;quot_date)+SUMIFS('[1]1_inventory_total_details'!$M$8:$M$10000,'[1]1_inventory_total_details'!$C$8:$C$10000,I33,'[1]1_inventory_total_details'!$F$8:$F$10000,quot_location_id,'[1]1_inventory_total_details'!$G$8:$G$10000,"="&amp;Q33,'[1]1_inventory_total_details'!$H$8:$H$10000,"="&amp;R33,'[1]1_inventory_total_details'!$I$8:$I$10000,"="&amp;quot_date)+SUMIFS('[1]1_inventory_total_details'!$K$8:$K$10000,'[1]1_inventory_total_details'!$C$8:$C$10000,I33,'[1]1_inventory_total_details'!$F$8:$F$10000,quot_location_id,'[1]1_inventory_total_details'!$G$8:$G$10000,"="&amp;Q33,'[1]1_inventory_total_details'!$H$8:$H$10000,"="&amp;R33,'[1]1_inventory_total_details'!$I$8:$I$10000,"="&amp;quot_date)+SUMIFS('[1]1_inventory_total_details'!$L$8:$L$10000,'[1]1_inventory_total_details'!$C$8:$C$10000,I33,'[1]1_inventory_total_details'!$F$8:$F$10000,quot_location_id,'[1]1_inventory_total_details'!$G$8:$G$10000,"="&amp;Q33,'[1]1_inventory_total_details'!$H$8:$H$10000,"="&amp;R33,'[1]1_inventory_total_details'!$I$8:$I$10000,"="&amp;quot_date),SUMIFS('[1]2_inventory_total_details'!$J$8:$J$10000,'[1]2_inventory_total_details'!$C$8:$C$10000,I33,'[1]2_inventory_total_details'!$F$8:$F$10000,quot_location_id,'[1]2_inventory_total_details'!$G$8:$G$10000,"="&amp;Q33,'[1]2_inventory_total_details'!$H$8:$H$10000,"="&amp;R33,'[1]2_inventory_total_details'!$I$8:$I$10000,"="&amp;quot_date)+SUMIFS('[1]2_inventory_total_details'!$M$8:$M$10000,'[1]2_inventory_total_details'!$C$8:$C$10000,I33,'[1]2_inventory_total_details'!$F$8:$F$10000,quot_location_id,'[1]2_inventory_total_details'!$G$8:$G$10000,"="&amp;Q33,'[1]2_inventory_total_details'!$H$8:$H$10000,"="&amp;R33,'[1]2_inventory_total_details'!$I$8:$I$10000,"="&amp;quot_date)+SUMIFS('[1]2_inventory_total_details'!$K$8:$K$10000,'[1]2_inventory_total_details'!$C$8:$C$10000,I33,'[1]2_inventory_total_details'!$F$8:$F$10000,quot_location_id,'[1]2_inventory_total_details'!$G$8:$G$10000,"="&amp;Q33,'[1]2_inventory_total_details'!$H$8:$H$10000,"="&amp;R33,'[1]2_inventory_total_details'!$I$8:$I$10000,"="&amp;quot_date)+SUMIFS('[1]2_inventory_total_details'!$L$8:$L$10000,'[1]2_inventory_total_details'!$C$8:$C$10000,I33,'[1]2_inventory_total_details'!$F$8:$F$10000,quot_location_id,'[1]2_inventory_total_details'!$G$8:$G$10000,"="&amp;Q33,'[1]2_inventory_total_details'!$H$8:$H$10000,"="&amp;R33,'[1]2_inventory_total_details'!$I$8:$I$10000,"="&amp;quot_date)))</f>
        <v/>
      </c>
      <c r="AJ33" s="197" t="str">
        <f>IF(M33="","",IF(ISNA(MATCH(I33,'[1]1_group_totals'!$C$8:$C$10000)),0,IF(AW33&gt;0,1,0)))</f>
        <v/>
      </c>
      <c r="AK33" s="197" t="str">
        <f>IF(M33="","",(SUMIFS('[1]1_group_total_details'!$I$8:$I$10000,'[1]1_group_total_details'!$C$8:$C$10000,I33,'[1]1_group_total_details'!$F$8:$F$10000,quot_location_group_id,'[1]1_group_total_details'!$G$8:$G$10000,quot_location_id,'[1]1_group_total_details'!$H$8:$H$10000,"="&amp;quot_date)+SUMIFS('[1]1_group_total_details'!$L$8:$L$10000,'[1]1_group_total_details'!$C$8:$C$10000,I33,'[1]1_group_total_details'!$F$8:$F$10000,quot_location_group_id,'[1]1_group_total_details'!$G$8:$G$10000,quot_location_id,'[1]1_group_total_details'!$H$8:$H$10000,"="&amp;quot_date)+SUMIFS('[1]1_group_total_details'!$N$8:$N$10000,'[1]1_group_total_details'!$C$8:$C$10000,I33,'[1]1_group_total_details'!$F$8:$F$10000,quot_location_group_id,'[1]1_group_total_details'!$G$8:$G$10000,quot_location_id,'[1]1_group_total_details'!$H$8:$H$10000,"="&amp;quot_date)+SUMIFS('[1]1_group_total_details'!$O$8:$O$10000,'[1]1_group_total_details'!$C$8:$C$10000,I33,'[1]1_group_total_details'!$F$8:$F$10000,quot_location_group_id,'[1]1_group_total_details'!$G$8:$G$10000,quot_location_id,'[1]1_group_total_details'!$H$8:$H$10000,"="&amp;quot_date))+(SUMIFS('[1]1_group_total_details'!$J$8:$J$10000,'[1]1_group_total_details'!$C$8:$C$10000,I33,'[1]1_group_total_details'!$F$8:$F$10000,quot_location_group_id,'[1]1_group_total_details'!$G$8:$G$10000,quot_location_id,'[1]1_group_total_details'!$H$8:$H$10000,"="&amp;quot_date)+SUMIFS('[1]1_group_total_details'!$K$8:$K$10000,'[1]1_group_total_details'!$C$8:$C$10000,I33,'[1]1_group_total_details'!$F$8:$F$10000,quot_location_group_id,'[1]1_group_total_details'!$G$8:$G$10000,quot_location_id,'[1]1_group_total_details'!$H$8:$H$10000,"="&amp;quot_date)+SUMIFS('[1]1_group_total_details'!$M$8:$M$10000,'[1]1_group_total_details'!$C$8:$C$10000,I33,'[1]1_group_total_details'!$F$8:$F$10000,quot_location_group_id,'[1]1_group_total_details'!$G$8:$G$10000,quot_location_id,'[1]1_group_total_details'!$H$8:$H$10000,"="&amp;quot_date)+SUMIFS('[1]1_group_total_details'!$P$8:$P$10000,'[1]1_group_total_details'!$C$8:$C$10000,I33,'[1]1_group_total_details'!$F$8:$F$10000,quot_location_group_id,'[1]1_group_total_details'!$G$8:$G$10000,quot_location_id,'[1]1_group_total_details'!$H$8:$H$10000,"="&amp;quot_date)))</f>
        <v/>
      </c>
      <c r="AL33" s="197" t="str">
        <f>IF(M33="","",(SUMIFS('[1]1_group_total_details'!$I$8:$I$10000,'[1]1_group_total_details'!$C$8:$C$10000,I33,'[1]1_group_total_details'!$F$8:$F$10000,quot_location_group_id,'[1]1_group_total_details'!$G$8:$G$10000,quot_location_id,'[1]1_group_total_details'!$H$8:$H$10000,"&lt;="&amp;quot_date)+SUMIFS('[1]1_group_total_details'!$L$8:$L$10000,'[1]1_group_total_details'!$C$8:$C$10000,I33,'[1]1_group_total_details'!$F$8:$F$10000,quot_location_group_id,'[1]1_group_total_details'!$G$8:$G$10000,1,'[1]1_group_total_details'!$H$8:$H$10000,"&lt;="&amp;quot_date)+SUMIFS('[1]1_group_total_details'!$N$8:$N$10000,'[1]1_group_total_details'!$C$8:$C$10000,I33,'[1]1_group_total_details'!$F$8:$F$10000,quot_location_group_id,'[1]1_group_total_details'!$G$8:$G$10000,quot_location_id,'[1]1_group_total_details'!$H$8:$H$10000,"&lt;="&amp;quot_date)+SUMIFS('[1]1_group_total_details'!$O$8:$O$10000,'[1]1_group_total_details'!$C$8:$C$10000,I33,'[1]1_group_total_details'!$F$8:$F$10000,quot_location_group_id,'[1]1_group_total_details'!$G$8:$G$10000,quot_location_id,'[1]1_group_total_details'!$H$8:$H$10000,"&lt;="&amp;quot_date))-(SUMIFS('[1]1_group_total_details'!$J$8:$J$10000,'[1]1_group_total_details'!$C$8:$C$10000,I33,'[1]1_group_total_details'!$F$8:$F$10000,quot_location_group_id,'[1]1_group_total_details'!$G$8:$G$10000,quot_location_id,'[1]1_group_total_details'!$H$8:$H$10000,"&lt;="&amp;quot_date)+SUMIFS('[1]1_group_total_details'!$K$8:$K$10000,'[1]1_group_total_details'!$C$8:$C$10000,I33,'[1]1_group_total_details'!$F$8:$F$10000,quot_location_group_id,'[1]1_group_total_details'!$G$8:$G$10000,quot_location_id,'[1]1_group_total_details'!$H$8:$H$10000,"&lt;="&amp;quot_date)+SUMIFS('[1]1_group_total_details'!$M$8:$M$10000,'[1]1_group_total_details'!$C$8:$C$10000,I33,'[1]1_group_total_details'!$F$8:$F$10000,quot_location_group_id,'[1]1_group_total_details'!$G$8:$G$10000,quot_location_id,'[1]1_group_total_details'!$H$8:$H$10000,"&lt;="&amp;quot_date)+SUMIFS('[1]1_group_total_details'!$P$8:$P$10000,'[1]1_group_total_details'!$C$8:$C$10000,I33,'[1]1_group_total_details'!$F$8:$F$10000,quot_location_group_id,'[1]1_group_total_details'!$G$8:$G$10000,quot_location_id,'[1]1_group_total_details'!$H$8:$H$10000,"&lt;="&amp;quot_date)))</f>
        <v/>
      </c>
      <c r="AM33" s="197" t="str">
        <f>IF(M33="","",SUMIFS('[1]1_group_totals'!$J$8:$J$10000,'[1]1_group_totals'!$C$8:$C$10000,I33,'[1]1_group_totals'!$F$8:$F$10000,quot_location_group_id,'[1]1_group_totals'!$G$8:$G$10000,quot_location_id,'[1]1_group_totals'!$H$8:$H$10000,"="&amp;Q33,'[1]1_group_totals'!$I$8:$I$10000,"="&amp;R33))</f>
        <v/>
      </c>
      <c r="AN33" s="197" t="str">
        <f t="shared" si="7"/>
        <v/>
      </c>
      <c r="AO33" s="197" t="str">
        <f>IF(OR(ISNA(MATCH(MID(AN33,1,3)*1,UomConversion!$D$8:$D$500,0)),M33=""),"",IF(AT33="","",AT33))</f>
        <v/>
      </c>
      <c r="AP33" s="197" t="str">
        <f>IF(AND(AQ33&gt;0,COUNTIFS(UomConversion!$D$8:$D$500,MID(AN33,1,3)*1,UomConversion!$J$8:$J$500,1)&gt;1),TEXT(AQ33,"000")&amp;"."&amp;VLOOKUP(AQ33,uom_list,5,FALSE),"")</f>
        <v/>
      </c>
      <c r="AQ33" s="197" t="str">
        <f t="shared" si="20"/>
        <v/>
      </c>
      <c r="AR33" s="197" t="str">
        <f t="shared" si="21"/>
        <v/>
      </c>
      <c r="AS33" s="197" t="str">
        <f>IF(M33="","",SUMIFS(ProductPrice!$N$28:$N$10020,ProductPrice!$D$28:$D$10020,I33,ProductPrice!$G$28:$G$10020,quot_branch_id,ProductPrice!$H$28:$H$10020,quot_price_type_id,ProductPrice!$I$28:$I$10020,MID(P33,1,3)*1,ProductPrice!$Q$28:$Q$10020,1))</f>
        <v/>
      </c>
      <c r="AT33" s="197" t="str">
        <f t="shared" si="8"/>
        <v/>
      </c>
      <c r="AU33" s="197" t="str" cm="1">
        <f t="array" ref="AU33">IF(M33="","",IF(ISNA(Slookup(MID(AN33,1,3)*1,UomConversion!$D$8:$J$500,2,UomConversion!$I$8:$I$500,1,UomConversion!$J$8:$J$500,1)),"",Slookup(MID(AN33,1,3)*1,UomConversion!$D$8:$J$500,2,UomConversion!$I$8:$I$500,1,UomConversion!$J$8:$J$500,1)))</f>
        <v/>
      </c>
      <c r="AV33" s="197" t="str">
        <f t="shared" ref="AV33" si="124">IF(M33="","",IF(quot_location_id=1,BA33,IF(quot_location_id=2,BB33,0)))</f>
        <v/>
      </c>
      <c r="AW33" s="197" t="str">
        <f>IF(M33="","",(SUMIFS('[1]1_group_totals'!$K$8:$K$10000,'[1]1_group_totals'!$C$8:$C$10000,I33,'[1]1_group_totals'!$F$8:$F$10000,quot_location_group_id,'[1]1_group_totals'!$G$8:$G$10000,quot_location_id,'[1]1_group_totals'!$H$8:$H$10000,"="&amp;Q33,'[1]1_group_totals'!$I$8:$I$10000,"="&amp;R33)+SUMIFS('[1]1_group_totals'!$N$8:$N$10000,'[1]1_group_totals'!$C$8:$C$10000,I33,'[1]1_group_totals'!$F$8:$F$10000,quot_location_group_id,'[1]1_group_totals'!$G$8:$G$10000,quot_location_id,'[1]1_group_totals'!$H$8:$H$10000,"="&amp;Q33,'[1]1_group_totals'!$I$8:$I$10000,"="&amp;R33)+SUMIFS('[1]1_group_totals'!$P$8:$P$10000,'[1]1_group_totals'!$C$8:$C$10000,I33,'[1]1_group_totals'!$F$8:$F$10000,quot_location_group_id,'[1]1_group_totals'!$G$8:$G$10000,quot_location_id,'[1]1_group_totals'!$H$8:$H$10000,"="&amp;Q33,'[1]1_group_totals'!$I$8:$I$10000,"="&amp;R33)+SUMIFS('[1]1_group_totals'!$Q$8:$Q$10000,'[1]1_group_totals'!$C$8:$C$10000,I33,'[1]1_group_totals'!$F$8:$F$10000,quot_location_group_id,'[1]1_group_totals'!$G$8:$G$10000,quot_location_id,'[1]1_group_totals'!$H$8:$H$10000,"="&amp;Q33,'[1]1_group_totals'!$I$8:$I$10000,"="&amp;R33))+(SUMIFS('[1]1_group_totals'!$L$8:$L$10000,'[1]1_group_totals'!$C$8:$C$10000,I33,'[1]1_group_totals'!$F$8:$F$10000,quot_location_group_id,'[1]1_group_totals'!$G$8:$G$10000,quot_location_id,'[1]1_group_totals'!$H$8:$H$10000,"="&amp;Q33,'[1]1_group_totals'!$I$8:$I$10000,"="&amp;R33)+SUMIFS('[1]1_group_totals'!$M$8:$M$10000,'[1]1_group_totals'!$C$8:$C$10000,I33,'[1]1_group_totals'!$F$8:$F$10000,quot_location_group_id,'[1]1_group_totals'!$G$8:$G$10000,quot_location_id,'[1]1_group_totals'!$H$8:$H$10000,"="&amp;Q33,'[1]1_group_totals'!$I$8:$I$10000,"="&amp;R33)+SUMIFS('[1]1_group_totals'!$O$8:$O$10000,'[1]1_group_totals'!$C$8:$C$10000,I33,'[1]1_group_totals'!$F$8:$F$10000,quot_location_group_id,'[1]1_group_totals'!$G$8:$G$10000,quot_location_id,'[1]1_group_totals'!$H$8:$H$10000,"="&amp;Q33,'[1]1_group_totals'!$I$8:$I$10000,"="&amp;R33)+SUMIFS('[1]1_group_totals'!$R$8:$R$10000,'[1]1_group_totals'!$C$8:$C$10000,I33,'[1]1_group_totals'!$F$8:$F$10000,quot_location_group_id,'[1]1_group_totals'!$G$8:$G$10000,quot_location_id,'[1]1_group_totals'!$H$8:$H$10000,"="&amp;Q33,'[1]1_group_totals'!$I$8:$I$10000,"="&amp;R33)))</f>
        <v/>
      </c>
      <c r="AX33" s="197" t="str">
        <f t="shared" si="23"/>
        <v/>
      </c>
      <c r="AY33" s="197" t="str">
        <f>IF(M33="","",SUMIFS($AX$8:AX33,$I$8:I33,I33))</f>
        <v/>
      </c>
      <c r="AZ33" s="197" t="str">
        <f t="shared" si="24"/>
        <v/>
      </c>
      <c r="BA33" s="197" t="str">
        <f>IF(M33="","",(SUMIFS('[1]1_inventory_totals'!$I$8:$I$10000,'[1]1_inventory_totals'!$C$8:$C$10000,I33,'[1]1_inventory_totals'!$F$8:$F$10000,"="&amp;Q33,'[1]1_inventory_totals'!$G$8:$G$10000,"="&amp;R33)+SUMIFS('[1]1_inventory_totals'!$N$8:$N$10000,'[1]1_inventory_totals'!$C$8:$C$10000,I33,'[1]1_inventory_totals'!$F$8:$F$10000,"="&amp;Q33,'[1]1_inventory_totals'!$G$8:$G$10000,"="&amp;R33)+SUMIFS('[1]1_inventory_totals'!$P$8:$P$10000,'[1]1_inventory_totals'!$C$8:$C$10000,I33,'[1]1_inventory_totals'!$F$8:$F$10000,"="&amp;Q33,'[1]1_inventory_totals'!$G$8:$G$10000,"="&amp;R33)+SUMIFS('[1]1_inventory_totals'!$Q$8:$Q$10000,'[1]1_inventory_totals'!$C$8:$C$10000,I33,'[1]1_inventory_totals'!$F$8:$F$10000,"="&amp;Q33,'[1]1_inventory_totals'!$G$8:$G$10000,"="&amp;R33)+SUMIFS('[1]1_inventory_totals'!$R$8:$R$10000,'[1]1_inventory_totals'!$C$8:$C$10000,I33,'[1]1_inventory_totals'!$F$8:$F$10000,"="&amp;Q33,'[1]1_inventory_totals'!$G$8:$G$10000,"="&amp;R33))+(SUMIFS('[1]1_inventory_totals'!$J$8:$J$10000,'[1]1_inventory_totals'!$C$8:$C$10000,I33,'[1]1_inventory_totals'!$F$8:$F$10000,"="&amp;Q33,'[1]1_inventory_totals'!$G$8:$G$10000,"="&amp;R33)+SUMIFS('[1]1_inventory_totals'!$K$8:$K$10000,'[1]1_inventory_totals'!$C$8:$C$10000,I33,'[1]1_inventory_totals'!$F$8:$F$10000,"="&amp;Q33,'[1]1_inventory_totals'!$G$8:$G$10000,"="&amp;R33)+SUMIFS('[1]1_inventory_totals'!$L$8:$L$10000,'[1]1_inventory_totals'!$C$8:$C$10000,I33,'[1]1_inventory_totals'!$F$8:$F$10000,"="&amp;Q33,'[1]1_inventory_totals'!$G$8:$G$10000,"="&amp;R33)+SUMIFS('[1]1_inventory_totals'!$M$8:$M$10000,'[1]1_inventory_totals'!$C$8:$C$10000,I33,'[1]1_inventory_totals'!$F$8:$F$10000,"="&amp;Q33,'[1]1_inventory_totals'!$G$8:$G$10000,"="&amp;R33)+SUMIFS('[1]1_inventory_totals'!$O$8:$O$10000,'[1]1_inventory_totals'!$C$8:$C$10000,I33,'[1]1_inventory_totals'!$F$8:$F$10000,"="&amp;Q33,'[1]1_inventory_totals'!$G$8:$G$10000,"="&amp;R33)+SUMIFS('[1]1_inventory_totals'!$S$8:$S$10000,'[1]1_inventory_totals'!$C$8:$C$10000,I33,'[1]1_inventory_totals'!$F$8:$F$10000,"="&amp;Q33,'[1]1_inventory_totals'!$G$8:$G$10000,"="&amp;R33)))</f>
        <v/>
      </c>
      <c r="BB33" s="197" t="str">
        <f>IF(M33="","",(SUMIFS('[1]2_inventory_totals'!$I$8:$I$10000,'[1]2_inventory_totals'!$C$8:$C$10000,I33,'[1]2_inventory_totals'!$F$8:$F$10000,"="&amp;Q33,'[1]2_inventory_totals'!$G$8:$G$10000,"="&amp;R33)+SUMIFS('[1]2_inventory_totals'!$N$8:$N$10000,'[1]2_inventory_totals'!$C$8:$C$10000,I33,'[1]2_inventory_totals'!$F$8:$F$10000,"="&amp;Q33,'[1]2_inventory_totals'!$G$8:$G$10000,"="&amp;R33)+SUMIFS('[1]2_inventory_totals'!$P$8:$P$10000,'[1]2_inventory_totals'!$C$8:$C$10000,I33,'[1]2_inventory_totals'!$F$8:$F$10000,"="&amp;Q33,'[1]2_inventory_totals'!$G$8:$G$10000,"="&amp;R33)+SUMIFS('[1]2_inventory_totals'!$Q$8:$Q$10000,'[1]2_inventory_totals'!$C$8:$C$10000,I33,'[1]2_inventory_totals'!$F$8:$F$10000,"="&amp;Q33,'[1]2_inventory_totals'!$G$8:$G$10000,"="&amp;R33)+SUMIFS('[1]2_inventory_totals'!$R$8:$R$10000,'[1]2_inventory_totals'!$C$8:$C$10000,I33,'[1]2_inventory_totals'!$F$8:$F$10000,"="&amp;Q33,'[1]2_inventory_totals'!$G$8:$G$10000,"="&amp;R33))+(SUMIFS('[1]2_inventory_totals'!$J$8:$J$10000,'[1]2_inventory_totals'!$C$8:$C$10000,I33,'[1]2_inventory_totals'!$F$8:$F$10000,"="&amp;Q33,'[1]2_inventory_totals'!$G$8:$G$10000,"="&amp;R33)+SUMIFS('[1]2_inventory_totals'!$K$8:$K$10000,'[1]2_inventory_totals'!$C$8:$C$10000,I33,'[1]2_inventory_totals'!$F$8:$F$10000,"="&amp;Q33,'[1]2_inventory_totals'!$G$8:$G$10000,"="&amp;R33)+SUMIFS('[1]2_inventory_totals'!$L$8:$L$10000,'[1]2_inventory_totals'!$C$8:$C$10000,I33,'[1]2_inventory_totals'!$F$8:$F$10000,"="&amp;Q33,'[1]2_inventory_totals'!$G$8:$G$10000,"="&amp;R33)+SUMIFS('[1]2_inventory_totals'!$M$8:$M$10000,'[1]2_inventory_totals'!$C$8:$C$10000,I33,'[1]2_inventory_totals'!$F$8:$F$10000,"="&amp;Q33,'[1]2_inventory_totals'!$G$8:$G$10000,"="&amp;R33)+SUMIFS('[1]2_inventory_totals'!$O$8:$O$10000,'[1]2_inventory_totals'!$C$8:$C$10000,I33,'[1]2_inventory_totals'!$F$8:$F$10000,"="&amp;Q33,'[1]2_inventory_totals'!$G$8:$G$10000,"="&amp;R33)+SUMIFS('[1]2_inventory_totals'!$S$8:$S$10000,'[1]2_inventory_totals'!$C$8:$C$10000,I33,'[1]2_inventory_totals'!$F$8:$F$10000,"="&amp;Q33,'[1]2_inventory_totals'!$G$8:$G$10000,"="&amp;R33)))</f>
        <v/>
      </c>
    </row>
    <row r="34" spans="1:54" ht="27" customHeight="1">
      <c r="A34" s="923"/>
      <c r="B34" s="1251"/>
      <c r="C34" s="950"/>
      <c r="D34" s="950"/>
      <c r="E34" s="950"/>
      <c r="F34" s="1262"/>
      <c r="I34" s="1610" t="str">
        <f t="shared" si="10"/>
        <v/>
      </c>
      <c r="J34" s="1611" t="str">
        <f t="shared" si="112"/>
        <v/>
      </c>
      <c r="K34" s="1612" t="str">
        <f t="shared" si="30"/>
        <v/>
      </c>
      <c r="L34" s="1613"/>
      <c r="M34" s="883"/>
      <c r="N34" s="884"/>
      <c r="O34" s="884"/>
      <c r="P34" s="885"/>
      <c r="Q34" s="886"/>
      <c r="R34" s="891"/>
      <c r="S34" s="1614" t="str">
        <f t="shared" ref="S34" si="125">IF(M34="","",quot_currency_symbol)</f>
        <v/>
      </c>
      <c r="T34" s="888"/>
      <c r="U34" s="1650" t="str">
        <f t="shared" si="13"/>
        <v/>
      </c>
      <c r="V34" s="1615" t="str">
        <f t="shared" ref="V34" si="126">IF(W34=0,"",quot_currency_symbol)</f>
        <v/>
      </c>
      <c r="W34" s="889"/>
      <c r="X34" s="1615" t="str">
        <f t="shared" ref="X34" si="127">IF(M34="","",quot_currency_symbol)</f>
        <v/>
      </c>
      <c r="Y34" s="1616" t="str">
        <f t="shared" si="34"/>
        <v/>
      </c>
      <c r="Z34" s="890"/>
      <c r="AA34" s="197" t="str" cm="1">
        <f t="array" ref="AA34">IF(M34="","",IF(P34=AN34,1,Slookup(MID(AN34,1,3)*1,UomConversion!$D$8:$J$500,5,UomConversion!$E$8:$E$500,MID(P34,1,3)*1,UomConversion!$J$8:$J$500,1)))</f>
        <v/>
      </c>
      <c r="AB34" s="197" t="str">
        <f t="shared" si="3"/>
        <v/>
      </c>
      <c r="AC34" s="197" t="str">
        <f t="shared" si="17"/>
        <v/>
      </c>
      <c r="AD34" s="197" t="str">
        <f t="shared" si="18"/>
        <v/>
      </c>
      <c r="AE34" s="197" t="str">
        <f t="shared" si="19"/>
        <v/>
      </c>
      <c r="AF34" s="197" t="str">
        <f t="shared" si="5"/>
        <v/>
      </c>
      <c r="AG34" s="197" t="str">
        <f t="shared" si="6"/>
        <v/>
      </c>
      <c r="AH34" s="197" t="str">
        <f>IF(I34="","",IF(ISNA(MATCH(I34,IF(quot_location_id=1,'[1]1_inventory_totals'!$C$8:$C$10000,IF(quot_location_id=2,'[1]2_inventory_totals'!$C$8:$C$10000,0)),0)),0,IF(AV34&gt;0,1,0)))</f>
        <v/>
      </c>
      <c r="AI34" s="197" t="str">
        <f>IF(M34="","",IF(quot_location_id=1,SUMIFS('[1]1_inventory_total_details'!$J$8:$J$10000,'[1]1_inventory_total_details'!$C$8:$C$10000,I34,'[1]1_inventory_total_details'!$F$8:$F$10000,quot_location_id,'[1]1_inventory_total_details'!$G$8:$G$10000,"="&amp;Q34,'[1]1_inventory_total_details'!$H$8:$H$10000,"="&amp;R34,'[1]1_inventory_total_details'!$I$8:$I$10000,"="&amp;quot_date)+SUMIFS('[1]1_inventory_total_details'!$M$8:$M$10000,'[1]1_inventory_total_details'!$C$8:$C$10000,I34,'[1]1_inventory_total_details'!$F$8:$F$10000,quot_location_id,'[1]1_inventory_total_details'!$G$8:$G$10000,"="&amp;Q34,'[1]1_inventory_total_details'!$H$8:$H$10000,"="&amp;R34,'[1]1_inventory_total_details'!$I$8:$I$10000,"="&amp;quot_date)+SUMIFS('[1]1_inventory_total_details'!$K$8:$K$10000,'[1]1_inventory_total_details'!$C$8:$C$10000,I34,'[1]1_inventory_total_details'!$F$8:$F$10000,quot_location_id,'[1]1_inventory_total_details'!$G$8:$G$10000,"="&amp;Q34,'[1]1_inventory_total_details'!$H$8:$H$10000,"="&amp;R34,'[1]1_inventory_total_details'!$I$8:$I$10000,"="&amp;quot_date)+SUMIFS('[1]1_inventory_total_details'!$L$8:$L$10000,'[1]1_inventory_total_details'!$C$8:$C$10000,I34,'[1]1_inventory_total_details'!$F$8:$F$10000,quot_location_id,'[1]1_inventory_total_details'!$G$8:$G$10000,"="&amp;Q34,'[1]1_inventory_total_details'!$H$8:$H$10000,"="&amp;R34,'[1]1_inventory_total_details'!$I$8:$I$10000,"="&amp;quot_date),SUMIFS('[1]2_inventory_total_details'!$J$8:$J$10000,'[1]2_inventory_total_details'!$C$8:$C$10000,I34,'[1]2_inventory_total_details'!$F$8:$F$10000,quot_location_id,'[1]2_inventory_total_details'!$G$8:$G$10000,"="&amp;Q34,'[1]2_inventory_total_details'!$H$8:$H$10000,"="&amp;R34,'[1]2_inventory_total_details'!$I$8:$I$10000,"="&amp;quot_date)+SUMIFS('[1]2_inventory_total_details'!$M$8:$M$10000,'[1]2_inventory_total_details'!$C$8:$C$10000,I34,'[1]2_inventory_total_details'!$F$8:$F$10000,quot_location_id,'[1]2_inventory_total_details'!$G$8:$G$10000,"="&amp;Q34,'[1]2_inventory_total_details'!$H$8:$H$10000,"="&amp;R34,'[1]2_inventory_total_details'!$I$8:$I$10000,"="&amp;quot_date)+SUMIFS('[1]2_inventory_total_details'!$K$8:$K$10000,'[1]2_inventory_total_details'!$C$8:$C$10000,I34,'[1]2_inventory_total_details'!$F$8:$F$10000,quot_location_id,'[1]2_inventory_total_details'!$G$8:$G$10000,"="&amp;Q34,'[1]2_inventory_total_details'!$H$8:$H$10000,"="&amp;R34,'[1]2_inventory_total_details'!$I$8:$I$10000,"="&amp;quot_date)+SUMIFS('[1]2_inventory_total_details'!$L$8:$L$10000,'[1]2_inventory_total_details'!$C$8:$C$10000,I34,'[1]2_inventory_total_details'!$F$8:$F$10000,quot_location_id,'[1]2_inventory_total_details'!$G$8:$G$10000,"="&amp;Q34,'[1]2_inventory_total_details'!$H$8:$H$10000,"="&amp;R34,'[1]2_inventory_total_details'!$I$8:$I$10000,"="&amp;quot_date)))</f>
        <v/>
      </c>
      <c r="AJ34" s="197" t="str">
        <f>IF(M34="","",IF(ISNA(MATCH(I34,'[1]1_group_totals'!$C$8:$C$10000)),0,IF(AW34&gt;0,1,0)))</f>
        <v/>
      </c>
      <c r="AK34" s="197" t="str">
        <f>IF(M34="","",(SUMIFS('[1]1_group_total_details'!$I$8:$I$10000,'[1]1_group_total_details'!$C$8:$C$10000,I34,'[1]1_group_total_details'!$F$8:$F$10000,quot_location_group_id,'[1]1_group_total_details'!$G$8:$G$10000,quot_location_id,'[1]1_group_total_details'!$H$8:$H$10000,"="&amp;quot_date)+SUMIFS('[1]1_group_total_details'!$L$8:$L$10000,'[1]1_group_total_details'!$C$8:$C$10000,I34,'[1]1_group_total_details'!$F$8:$F$10000,quot_location_group_id,'[1]1_group_total_details'!$G$8:$G$10000,quot_location_id,'[1]1_group_total_details'!$H$8:$H$10000,"="&amp;quot_date)+SUMIFS('[1]1_group_total_details'!$N$8:$N$10000,'[1]1_group_total_details'!$C$8:$C$10000,I34,'[1]1_group_total_details'!$F$8:$F$10000,quot_location_group_id,'[1]1_group_total_details'!$G$8:$G$10000,quot_location_id,'[1]1_group_total_details'!$H$8:$H$10000,"="&amp;quot_date)+SUMIFS('[1]1_group_total_details'!$O$8:$O$10000,'[1]1_group_total_details'!$C$8:$C$10000,I34,'[1]1_group_total_details'!$F$8:$F$10000,quot_location_group_id,'[1]1_group_total_details'!$G$8:$G$10000,quot_location_id,'[1]1_group_total_details'!$H$8:$H$10000,"="&amp;quot_date))+(SUMIFS('[1]1_group_total_details'!$J$8:$J$10000,'[1]1_group_total_details'!$C$8:$C$10000,I34,'[1]1_group_total_details'!$F$8:$F$10000,quot_location_group_id,'[1]1_group_total_details'!$G$8:$G$10000,quot_location_id,'[1]1_group_total_details'!$H$8:$H$10000,"="&amp;quot_date)+SUMIFS('[1]1_group_total_details'!$K$8:$K$10000,'[1]1_group_total_details'!$C$8:$C$10000,I34,'[1]1_group_total_details'!$F$8:$F$10000,quot_location_group_id,'[1]1_group_total_details'!$G$8:$G$10000,quot_location_id,'[1]1_group_total_details'!$H$8:$H$10000,"="&amp;quot_date)+SUMIFS('[1]1_group_total_details'!$M$8:$M$10000,'[1]1_group_total_details'!$C$8:$C$10000,I34,'[1]1_group_total_details'!$F$8:$F$10000,quot_location_group_id,'[1]1_group_total_details'!$G$8:$G$10000,quot_location_id,'[1]1_group_total_details'!$H$8:$H$10000,"="&amp;quot_date)+SUMIFS('[1]1_group_total_details'!$P$8:$P$10000,'[1]1_group_total_details'!$C$8:$C$10000,I34,'[1]1_group_total_details'!$F$8:$F$10000,quot_location_group_id,'[1]1_group_total_details'!$G$8:$G$10000,quot_location_id,'[1]1_group_total_details'!$H$8:$H$10000,"="&amp;quot_date)))</f>
        <v/>
      </c>
      <c r="AL34" s="197" t="str">
        <f>IF(M34="","",(SUMIFS('[1]1_group_total_details'!$I$8:$I$10000,'[1]1_group_total_details'!$C$8:$C$10000,I34,'[1]1_group_total_details'!$F$8:$F$10000,quot_location_group_id,'[1]1_group_total_details'!$G$8:$G$10000,quot_location_id,'[1]1_group_total_details'!$H$8:$H$10000,"&lt;="&amp;quot_date)+SUMIFS('[1]1_group_total_details'!$L$8:$L$10000,'[1]1_group_total_details'!$C$8:$C$10000,I34,'[1]1_group_total_details'!$F$8:$F$10000,quot_location_group_id,'[1]1_group_total_details'!$G$8:$G$10000,1,'[1]1_group_total_details'!$H$8:$H$10000,"&lt;="&amp;quot_date)+SUMIFS('[1]1_group_total_details'!$N$8:$N$10000,'[1]1_group_total_details'!$C$8:$C$10000,I34,'[1]1_group_total_details'!$F$8:$F$10000,quot_location_group_id,'[1]1_group_total_details'!$G$8:$G$10000,quot_location_id,'[1]1_group_total_details'!$H$8:$H$10000,"&lt;="&amp;quot_date)+SUMIFS('[1]1_group_total_details'!$O$8:$O$10000,'[1]1_group_total_details'!$C$8:$C$10000,I34,'[1]1_group_total_details'!$F$8:$F$10000,quot_location_group_id,'[1]1_group_total_details'!$G$8:$G$10000,quot_location_id,'[1]1_group_total_details'!$H$8:$H$10000,"&lt;="&amp;quot_date))-(SUMIFS('[1]1_group_total_details'!$J$8:$J$10000,'[1]1_group_total_details'!$C$8:$C$10000,I34,'[1]1_group_total_details'!$F$8:$F$10000,quot_location_group_id,'[1]1_group_total_details'!$G$8:$G$10000,quot_location_id,'[1]1_group_total_details'!$H$8:$H$10000,"&lt;="&amp;quot_date)+SUMIFS('[1]1_group_total_details'!$K$8:$K$10000,'[1]1_group_total_details'!$C$8:$C$10000,I34,'[1]1_group_total_details'!$F$8:$F$10000,quot_location_group_id,'[1]1_group_total_details'!$G$8:$G$10000,quot_location_id,'[1]1_group_total_details'!$H$8:$H$10000,"&lt;="&amp;quot_date)+SUMIFS('[1]1_group_total_details'!$M$8:$M$10000,'[1]1_group_total_details'!$C$8:$C$10000,I34,'[1]1_group_total_details'!$F$8:$F$10000,quot_location_group_id,'[1]1_group_total_details'!$G$8:$G$10000,quot_location_id,'[1]1_group_total_details'!$H$8:$H$10000,"&lt;="&amp;quot_date)+SUMIFS('[1]1_group_total_details'!$P$8:$P$10000,'[1]1_group_total_details'!$C$8:$C$10000,I34,'[1]1_group_total_details'!$F$8:$F$10000,quot_location_group_id,'[1]1_group_total_details'!$G$8:$G$10000,quot_location_id,'[1]1_group_total_details'!$H$8:$H$10000,"&lt;="&amp;quot_date)))</f>
        <v/>
      </c>
      <c r="AM34" s="197" t="str">
        <f>IF(M34="","",SUMIFS('[1]1_group_totals'!$J$8:$J$10000,'[1]1_group_totals'!$C$8:$C$10000,I34,'[1]1_group_totals'!$F$8:$F$10000,quot_location_group_id,'[1]1_group_totals'!$G$8:$G$10000,quot_location_id,'[1]1_group_totals'!$H$8:$H$10000,"="&amp;Q34,'[1]1_group_totals'!$I$8:$I$10000,"="&amp;R34))</f>
        <v/>
      </c>
      <c r="AN34" s="197" t="str">
        <f t="shared" si="7"/>
        <v/>
      </c>
      <c r="AO34" s="197" t="str">
        <f>IF(OR(ISNA(MATCH(MID(AN34,1,3)*1,UomConversion!$D$8:$D$500,0)),M34=""),"",IF(AT34="","",AT34))</f>
        <v/>
      </c>
      <c r="AP34" s="197" t="str">
        <f>IF(AND(AQ34&gt;0,COUNTIFS(UomConversion!$D$8:$D$500,MID(AN34,1,3)*1,UomConversion!$J$8:$J$500,1)&gt;1),TEXT(AQ34,"000")&amp;"."&amp;VLOOKUP(AQ34,uom_list,5,FALSE),"")</f>
        <v/>
      </c>
      <c r="AQ34" s="197" t="str">
        <f t="shared" si="20"/>
        <v/>
      </c>
      <c r="AR34" s="197" t="str">
        <f t="shared" si="21"/>
        <v/>
      </c>
      <c r="AS34" s="197" t="str">
        <f>IF(M34="","",SUMIFS(ProductPrice!$N$28:$N$10020,ProductPrice!$D$28:$D$10020,I34,ProductPrice!$G$28:$G$10020,quot_branch_id,ProductPrice!$H$28:$H$10020,quot_price_type_id,ProductPrice!$I$28:$I$10020,MID(P34,1,3)*1,ProductPrice!$Q$28:$Q$10020,1))</f>
        <v/>
      </c>
      <c r="AT34" s="197" t="str">
        <f t="shared" si="8"/>
        <v/>
      </c>
      <c r="AU34" s="197" t="str" cm="1">
        <f t="array" ref="AU34">IF(M34="","",IF(ISNA(Slookup(MID(AN34,1,3)*1,UomConversion!$D$8:$J$500,2,UomConversion!$I$8:$I$500,1,UomConversion!$J$8:$J$500,1)),"",Slookup(MID(AN34,1,3)*1,UomConversion!$D$8:$J$500,2,UomConversion!$I$8:$I$500,1,UomConversion!$J$8:$J$500,1)))</f>
        <v/>
      </c>
      <c r="AV34" s="197" t="str">
        <f t="shared" ref="AV34" si="128">IF(M34="","",IF(quot_location_id=1,BA34,IF(quot_location_id=2,BB34,0)))</f>
        <v/>
      </c>
      <c r="AW34" s="197" t="str">
        <f>IF(M34="","",(SUMIFS('[1]1_group_totals'!$K$8:$K$10000,'[1]1_group_totals'!$C$8:$C$10000,I34,'[1]1_group_totals'!$F$8:$F$10000,quot_location_group_id,'[1]1_group_totals'!$G$8:$G$10000,quot_location_id,'[1]1_group_totals'!$H$8:$H$10000,"="&amp;Q34,'[1]1_group_totals'!$I$8:$I$10000,"="&amp;R34)+SUMIFS('[1]1_group_totals'!$N$8:$N$10000,'[1]1_group_totals'!$C$8:$C$10000,I34,'[1]1_group_totals'!$F$8:$F$10000,quot_location_group_id,'[1]1_group_totals'!$G$8:$G$10000,quot_location_id,'[1]1_group_totals'!$H$8:$H$10000,"="&amp;Q34,'[1]1_group_totals'!$I$8:$I$10000,"="&amp;R34)+SUMIFS('[1]1_group_totals'!$P$8:$P$10000,'[1]1_group_totals'!$C$8:$C$10000,I34,'[1]1_group_totals'!$F$8:$F$10000,quot_location_group_id,'[1]1_group_totals'!$G$8:$G$10000,quot_location_id,'[1]1_group_totals'!$H$8:$H$10000,"="&amp;Q34,'[1]1_group_totals'!$I$8:$I$10000,"="&amp;R34)+SUMIFS('[1]1_group_totals'!$Q$8:$Q$10000,'[1]1_group_totals'!$C$8:$C$10000,I34,'[1]1_group_totals'!$F$8:$F$10000,quot_location_group_id,'[1]1_group_totals'!$G$8:$G$10000,quot_location_id,'[1]1_group_totals'!$H$8:$H$10000,"="&amp;Q34,'[1]1_group_totals'!$I$8:$I$10000,"="&amp;R34))+(SUMIFS('[1]1_group_totals'!$L$8:$L$10000,'[1]1_group_totals'!$C$8:$C$10000,I34,'[1]1_group_totals'!$F$8:$F$10000,quot_location_group_id,'[1]1_group_totals'!$G$8:$G$10000,quot_location_id,'[1]1_group_totals'!$H$8:$H$10000,"="&amp;Q34,'[1]1_group_totals'!$I$8:$I$10000,"="&amp;R34)+SUMIFS('[1]1_group_totals'!$M$8:$M$10000,'[1]1_group_totals'!$C$8:$C$10000,I34,'[1]1_group_totals'!$F$8:$F$10000,quot_location_group_id,'[1]1_group_totals'!$G$8:$G$10000,quot_location_id,'[1]1_group_totals'!$H$8:$H$10000,"="&amp;Q34,'[1]1_group_totals'!$I$8:$I$10000,"="&amp;R34)+SUMIFS('[1]1_group_totals'!$O$8:$O$10000,'[1]1_group_totals'!$C$8:$C$10000,I34,'[1]1_group_totals'!$F$8:$F$10000,quot_location_group_id,'[1]1_group_totals'!$G$8:$G$10000,quot_location_id,'[1]1_group_totals'!$H$8:$H$10000,"="&amp;Q34,'[1]1_group_totals'!$I$8:$I$10000,"="&amp;R34)+SUMIFS('[1]1_group_totals'!$R$8:$R$10000,'[1]1_group_totals'!$C$8:$C$10000,I34,'[1]1_group_totals'!$F$8:$F$10000,quot_location_group_id,'[1]1_group_totals'!$G$8:$G$10000,quot_location_id,'[1]1_group_totals'!$H$8:$H$10000,"="&amp;Q34,'[1]1_group_totals'!$I$8:$I$10000,"="&amp;R34)))</f>
        <v/>
      </c>
      <c r="AX34" s="197" t="str">
        <f t="shared" si="23"/>
        <v/>
      </c>
      <c r="AY34" s="197" t="str">
        <f>IF(M34="","",SUMIFS($AX$8:AX34,$I$8:I34,I34))</f>
        <v/>
      </c>
      <c r="AZ34" s="197" t="str">
        <f t="shared" si="24"/>
        <v/>
      </c>
      <c r="BA34" s="197" t="str">
        <f>IF(M34="","",(SUMIFS('[1]1_inventory_totals'!$I$8:$I$10000,'[1]1_inventory_totals'!$C$8:$C$10000,I34,'[1]1_inventory_totals'!$F$8:$F$10000,"="&amp;Q34,'[1]1_inventory_totals'!$G$8:$G$10000,"="&amp;R34)+SUMIFS('[1]1_inventory_totals'!$N$8:$N$10000,'[1]1_inventory_totals'!$C$8:$C$10000,I34,'[1]1_inventory_totals'!$F$8:$F$10000,"="&amp;Q34,'[1]1_inventory_totals'!$G$8:$G$10000,"="&amp;R34)+SUMIFS('[1]1_inventory_totals'!$P$8:$P$10000,'[1]1_inventory_totals'!$C$8:$C$10000,I34,'[1]1_inventory_totals'!$F$8:$F$10000,"="&amp;Q34,'[1]1_inventory_totals'!$G$8:$G$10000,"="&amp;R34)+SUMIFS('[1]1_inventory_totals'!$Q$8:$Q$10000,'[1]1_inventory_totals'!$C$8:$C$10000,I34,'[1]1_inventory_totals'!$F$8:$F$10000,"="&amp;Q34,'[1]1_inventory_totals'!$G$8:$G$10000,"="&amp;R34)+SUMIFS('[1]1_inventory_totals'!$R$8:$R$10000,'[1]1_inventory_totals'!$C$8:$C$10000,I34,'[1]1_inventory_totals'!$F$8:$F$10000,"="&amp;Q34,'[1]1_inventory_totals'!$G$8:$G$10000,"="&amp;R34))+(SUMIFS('[1]1_inventory_totals'!$J$8:$J$10000,'[1]1_inventory_totals'!$C$8:$C$10000,I34,'[1]1_inventory_totals'!$F$8:$F$10000,"="&amp;Q34,'[1]1_inventory_totals'!$G$8:$G$10000,"="&amp;R34)+SUMIFS('[1]1_inventory_totals'!$K$8:$K$10000,'[1]1_inventory_totals'!$C$8:$C$10000,I34,'[1]1_inventory_totals'!$F$8:$F$10000,"="&amp;Q34,'[1]1_inventory_totals'!$G$8:$G$10000,"="&amp;R34)+SUMIFS('[1]1_inventory_totals'!$L$8:$L$10000,'[1]1_inventory_totals'!$C$8:$C$10000,I34,'[1]1_inventory_totals'!$F$8:$F$10000,"="&amp;Q34,'[1]1_inventory_totals'!$G$8:$G$10000,"="&amp;R34)+SUMIFS('[1]1_inventory_totals'!$M$8:$M$10000,'[1]1_inventory_totals'!$C$8:$C$10000,I34,'[1]1_inventory_totals'!$F$8:$F$10000,"="&amp;Q34,'[1]1_inventory_totals'!$G$8:$G$10000,"="&amp;R34)+SUMIFS('[1]1_inventory_totals'!$O$8:$O$10000,'[1]1_inventory_totals'!$C$8:$C$10000,I34,'[1]1_inventory_totals'!$F$8:$F$10000,"="&amp;Q34,'[1]1_inventory_totals'!$G$8:$G$10000,"="&amp;R34)+SUMIFS('[1]1_inventory_totals'!$S$8:$S$10000,'[1]1_inventory_totals'!$C$8:$C$10000,I34,'[1]1_inventory_totals'!$F$8:$F$10000,"="&amp;Q34,'[1]1_inventory_totals'!$G$8:$G$10000,"="&amp;R34)))</f>
        <v/>
      </c>
      <c r="BB34" s="197" t="str">
        <f>IF(M34="","",(SUMIFS('[1]2_inventory_totals'!$I$8:$I$10000,'[1]2_inventory_totals'!$C$8:$C$10000,I34,'[1]2_inventory_totals'!$F$8:$F$10000,"="&amp;Q34,'[1]2_inventory_totals'!$G$8:$G$10000,"="&amp;R34)+SUMIFS('[1]2_inventory_totals'!$N$8:$N$10000,'[1]2_inventory_totals'!$C$8:$C$10000,I34,'[1]2_inventory_totals'!$F$8:$F$10000,"="&amp;Q34,'[1]2_inventory_totals'!$G$8:$G$10000,"="&amp;R34)+SUMIFS('[1]2_inventory_totals'!$P$8:$P$10000,'[1]2_inventory_totals'!$C$8:$C$10000,I34,'[1]2_inventory_totals'!$F$8:$F$10000,"="&amp;Q34,'[1]2_inventory_totals'!$G$8:$G$10000,"="&amp;R34)+SUMIFS('[1]2_inventory_totals'!$Q$8:$Q$10000,'[1]2_inventory_totals'!$C$8:$C$10000,I34,'[1]2_inventory_totals'!$F$8:$F$10000,"="&amp;Q34,'[1]2_inventory_totals'!$G$8:$G$10000,"="&amp;R34)+SUMIFS('[1]2_inventory_totals'!$R$8:$R$10000,'[1]2_inventory_totals'!$C$8:$C$10000,I34,'[1]2_inventory_totals'!$F$8:$F$10000,"="&amp;Q34,'[1]2_inventory_totals'!$G$8:$G$10000,"="&amp;R34))+(SUMIFS('[1]2_inventory_totals'!$J$8:$J$10000,'[1]2_inventory_totals'!$C$8:$C$10000,I34,'[1]2_inventory_totals'!$F$8:$F$10000,"="&amp;Q34,'[1]2_inventory_totals'!$G$8:$G$10000,"="&amp;R34)+SUMIFS('[1]2_inventory_totals'!$K$8:$K$10000,'[1]2_inventory_totals'!$C$8:$C$10000,I34,'[1]2_inventory_totals'!$F$8:$F$10000,"="&amp;Q34,'[1]2_inventory_totals'!$G$8:$G$10000,"="&amp;R34)+SUMIFS('[1]2_inventory_totals'!$L$8:$L$10000,'[1]2_inventory_totals'!$C$8:$C$10000,I34,'[1]2_inventory_totals'!$F$8:$F$10000,"="&amp;Q34,'[1]2_inventory_totals'!$G$8:$G$10000,"="&amp;R34)+SUMIFS('[1]2_inventory_totals'!$M$8:$M$10000,'[1]2_inventory_totals'!$C$8:$C$10000,I34,'[1]2_inventory_totals'!$F$8:$F$10000,"="&amp;Q34,'[1]2_inventory_totals'!$G$8:$G$10000,"="&amp;R34)+SUMIFS('[1]2_inventory_totals'!$O$8:$O$10000,'[1]2_inventory_totals'!$C$8:$C$10000,I34,'[1]2_inventory_totals'!$F$8:$F$10000,"="&amp;Q34,'[1]2_inventory_totals'!$G$8:$G$10000,"="&amp;R34)+SUMIFS('[1]2_inventory_totals'!$S$8:$S$10000,'[1]2_inventory_totals'!$C$8:$C$10000,I34,'[1]2_inventory_totals'!$F$8:$F$10000,"="&amp;Q34,'[1]2_inventory_totals'!$G$8:$G$10000,"="&amp;R34)))</f>
        <v/>
      </c>
    </row>
    <row r="35" spans="1:54" ht="27" customHeight="1">
      <c r="A35" s="923"/>
      <c r="B35" s="1251"/>
      <c r="C35" s="1268"/>
      <c r="D35" s="950"/>
      <c r="E35" s="950"/>
      <c r="F35" s="1262"/>
      <c r="I35" s="1610" t="str">
        <f t="shared" si="10"/>
        <v/>
      </c>
      <c r="J35" s="1611" t="str">
        <f t="shared" si="112"/>
        <v/>
      </c>
      <c r="K35" s="1612" t="str">
        <f t="shared" si="30"/>
        <v/>
      </c>
      <c r="L35" s="1613"/>
      <c r="M35" s="883"/>
      <c r="N35" s="884"/>
      <c r="O35" s="884"/>
      <c r="P35" s="885"/>
      <c r="Q35" s="886"/>
      <c r="R35" s="891"/>
      <c r="S35" s="1614" t="str">
        <f t="shared" ref="S35" si="129">IF(M35="","",quot_currency_symbol)</f>
        <v/>
      </c>
      <c r="T35" s="888"/>
      <c r="U35" s="1650" t="str">
        <f t="shared" si="13"/>
        <v/>
      </c>
      <c r="V35" s="1615" t="str">
        <f t="shared" ref="V35" si="130">IF(W35=0,"",quot_currency_symbol)</f>
        <v/>
      </c>
      <c r="W35" s="889"/>
      <c r="X35" s="1615" t="str">
        <f t="shared" ref="X35" si="131">IF(M35="","",quot_currency_symbol)</f>
        <v/>
      </c>
      <c r="Y35" s="1616" t="str">
        <f t="shared" si="34"/>
        <v/>
      </c>
      <c r="Z35" s="890"/>
      <c r="AA35" s="197" t="str" cm="1">
        <f t="array" ref="AA35">IF(M35="","",IF(P35=AN35,1,Slookup(MID(AN35,1,3)*1,UomConversion!$D$8:$J$500,5,UomConversion!$E$8:$E$500,MID(P35,1,3)*1,UomConversion!$J$8:$J$500,1)))</f>
        <v/>
      </c>
      <c r="AB35" s="197" t="str">
        <f t="shared" si="3"/>
        <v/>
      </c>
      <c r="AC35" s="197" t="str">
        <f t="shared" si="17"/>
        <v/>
      </c>
      <c r="AD35" s="197" t="str">
        <f t="shared" si="18"/>
        <v/>
      </c>
      <c r="AE35" s="197" t="str">
        <f t="shared" si="19"/>
        <v/>
      </c>
      <c r="AF35" s="197" t="str">
        <f t="shared" si="5"/>
        <v/>
      </c>
      <c r="AG35" s="197" t="str">
        <f t="shared" si="6"/>
        <v/>
      </c>
      <c r="AH35" s="197" t="str">
        <f>IF(I35="","",IF(ISNA(MATCH(I35,IF(quot_location_id=1,'[1]1_inventory_totals'!$C$8:$C$10000,IF(quot_location_id=2,'[1]2_inventory_totals'!$C$8:$C$10000,0)),0)),0,IF(AV35&gt;0,1,0)))</f>
        <v/>
      </c>
      <c r="AI35" s="197" t="str">
        <f>IF(M35="","",IF(quot_location_id=1,SUMIFS('[1]1_inventory_total_details'!$J$8:$J$10000,'[1]1_inventory_total_details'!$C$8:$C$10000,I35,'[1]1_inventory_total_details'!$F$8:$F$10000,quot_location_id,'[1]1_inventory_total_details'!$G$8:$G$10000,"="&amp;Q35,'[1]1_inventory_total_details'!$H$8:$H$10000,"="&amp;R35,'[1]1_inventory_total_details'!$I$8:$I$10000,"="&amp;quot_date)+SUMIFS('[1]1_inventory_total_details'!$M$8:$M$10000,'[1]1_inventory_total_details'!$C$8:$C$10000,I35,'[1]1_inventory_total_details'!$F$8:$F$10000,quot_location_id,'[1]1_inventory_total_details'!$G$8:$G$10000,"="&amp;Q35,'[1]1_inventory_total_details'!$H$8:$H$10000,"="&amp;R35,'[1]1_inventory_total_details'!$I$8:$I$10000,"="&amp;quot_date)+SUMIFS('[1]1_inventory_total_details'!$K$8:$K$10000,'[1]1_inventory_total_details'!$C$8:$C$10000,I35,'[1]1_inventory_total_details'!$F$8:$F$10000,quot_location_id,'[1]1_inventory_total_details'!$G$8:$G$10000,"="&amp;Q35,'[1]1_inventory_total_details'!$H$8:$H$10000,"="&amp;R35,'[1]1_inventory_total_details'!$I$8:$I$10000,"="&amp;quot_date)+SUMIFS('[1]1_inventory_total_details'!$L$8:$L$10000,'[1]1_inventory_total_details'!$C$8:$C$10000,I35,'[1]1_inventory_total_details'!$F$8:$F$10000,quot_location_id,'[1]1_inventory_total_details'!$G$8:$G$10000,"="&amp;Q35,'[1]1_inventory_total_details'!$H$8:$H$10000,"="&amp;R35,'[1]1_inventory_total_details'!$I$8:$I$10000,"="&amp;quot_date),SUMIFS('[1]2_inventory_total_details'!$J$8:$J$10000,'[1]2_inventory_total_details'!$C$8:$C$10000,I35,'[1]2_inventory_total_details'!$F$8:$F$10000,quot_location_id,'[1]2_inventory_total_details'!$G$8:$G$10000,"="&amp;Q35,'[1]2_inventory_total_details'!$H$8:$H$10000,"="&amp;R35,'[1]2_inventory_total_details'!$I$8:$I$10000,"="&amp;quot_date)+SUMIFS('[1]2_inventory_total_details'!$M$8:$M$10000,'[1]2_inventory_total_details'!$C$8:$C$10000,I35,'[1]2_inventory_total_details'!$F$8:$F$10000,quot_location_id,'[1]2_inventory_total_details'!$G$8:$G$10000,"="&amp;Q35,'[1]2_inventory_total_details'!$H$8:$H$10000,"="&amp;R35,'[1]2_inventory_total_details'!$I$8:$I$10000,"="&amp;quot_date)+SUMIFS('[1]2_inventory_total_details'!$K$8:$K$10000,'[1]2_inventory_total_details'!$C$8:$C$10000,I35,'[1]2_inventory_total_details'!$F$8:$F$10000,quot_location_id,'[1]2_inventory_total_details'!$G$8:$G$10000,"="&amp;Q35,'[1]2_inventory_total_details'!$H$8:$H$10000,"="&amp;R35,'[1]2_inventory_total_details'!$I$8:$I$10000,"="&amp;quot_date)+SUMIFS('[1]2_inventory_total_details'!$L$8:$L$10000,'[1]2_inventory_total_details'!$C$8:$C$10000,I35,'[1]2_inventory_total_details'!$F$8:$F$10000,quot_location_id,'[1]2_inventory_total_details'!$G$8:$G$10000,"="&amp;Q35,'[1]2_inventory_total_details'!$H$8:$H$10000,"="&amp;R35,'[1]2_inventory_total_details'!$I$8:$I$10000,"="&amp;quot_date)))</f>
        <v/>
      </c>
      <c r="AJ35" s="197" t="str">
        <f>IF(M35="","",IF(ISNA(MATCH(I35,'[1]1_group_totals'!$C$8:$C$10000)),0,IF(AW35&gt;0,1,0)))</f>
        <v/>
      </c>
      <c r="AK35" s="197" t="str">
        <f>IF(M35="","",(SUMIFS('[1]1_group_total_details'!$I$8:$I$10000,'[1]1_group_total_details'!$C$8:$C$10000,I35,'[1]1_group_total_details'!$F$8:$F$10000,quot_location_group_id,'[1]1_group_total_details'!$G$8:$G$10000,quot_location_id,'[1]1_group_total_details'!$H$8:$H$10000,"="&amp;quot_date)+SUMIFS('[1]1_group_total_details'!$L$8:$L$10000,'[1]1_group_total_details'!$C$8:$C$10000,I35,'[1]1_group_total_details'!$F$8:$F$10000,quot_location_group_id,'[1]1_group_total_details'!$G$8:$G$10000,quot_location_id,'[1]1_group_total_details'!$H$8:$H$10000,"="&amp;quot_date)+SUMIFS('[1]1_group_total_details'!$N$8:$N$10000,'[1]1_group_total_details'!$C$8:$C$10000,I35,'[1]1_group_total_details'!$F$8:$F$10000,quot_location_group_id,'[1]1_group_total_details'!$G$8:$G$10000,quot_location_id,'[1]1_group_total_details'!$H$8:$H$10000,"="&amp;quot_date)+SUMIFS('[1]1_group_total_details'!$O$8:$O$10000,'[1]1_group_total_details'!$C$8:$C$10000,I35,'[1]1_group_total_details'!$F$8:$F$10000,quot_location_group_id,'[1]1_group_total_details'!$G$8:$G$10000,quot_location_id,'[1]1_group_total_details'!$H$8:$H$10000,"="&amp;quot_date))+(SUMIFS('[1]1_group_total_details'!$J$8:$J$10000,'[1]1_group_total_details'!$C$8:$C$10000,I35,'[1]1_group_total_details'!$F$8:$F$10000,quot_location_group_id,'[1]1_group_total_details'!$G$8:$G$10000,quot_location_id,'[1]1_group_total_details'!$H$8:$H$10000,"="&amp;quot_date)+SUMIFS('[1]1_group_total_details'!$K$8:$K$10000,'[1]1_group_total_details'!$C$8:$C$10000,I35,'[1]1_group_total_details'!$F$8:$F$10000,quot_location_group_id,'[1]1_group_total_details'!$G$8:$G$10000,quot_location_id,'[1]1_group_total_details'!$H$8:$H$10000,"="&amp;quot_date)+SUMIFS('[1]1_group_total_details'!$M$8:$M$10000,'[1]1_group_total_details'!$C$8:$C$10000,I35,'[1]1_group_total_details'!$F$8:$F$10000,quot_location_group_id,'[1]1_group_total_details'!$G$8:$G$10000,quot_location_id,'[1]1_group_total_details'!$H$8:$H$10000,"="&amp;quot_date)+SUMIFS('[1]1_group_total_details'!$P$8:$P$10000,'[1]1_group_total_details'!$C$8:$C$10000,I35,'[1]1_group_total_details'!$F$8:$F$10000,quot_location_group_id,'[1]1_group_total_details'!$G$8:$G$10000,quot_location_id,'[1]1_group_total_details'!$H$8:$H$10000,"="&amp;quot_date)))</f>
        <v/>
      </c>
      <c r="AL35" s="197" t="str">
        <f>IF(M35="","",(SUMIFS('[1]1_group_total_details'!$I$8:$I$10000,'[1]1_group_total_details'!$C$8:$C$10000,I35,'[1]1_group_total_details'!$F$8:$F$10000,quot_location_group_id,'[1]1_group_total_details'!$G$8:$G$10000,quot_location_id,'[1]1_group_total_details'!$H$8:$H$10000,"&lt;="&amp;quot_date)+SUMIFS('[1]1_group_total_details'!$L$8:$L$10000,'[1]1_group_total_details'!$C$8:$C$10000,I35,'[1]1_group_total_details'!$F$8:$F$10000,quot_location_group_id,'[1]1_group_total_details'!$G$8:$G$10000,1,'[1]1_group_total_details'!$H$8:$H$10000,"&lt;="&amp;quot_date)+SUMIFS('[1]1_group_total_details'!$N$8:$N$10000,'[1]1_group_total_details'!$C$8:$C$10000,I35,'[1]1_group_total_details'!$F$8:$F$10000,quot_location_group_id,'[1]1_group_total_details'!$G$8:$G$10000,quot_location_id,'[1]1_group_total_details'!$H$8:$H$10000,"&lt;="&amp;quot_date)+SUMIFS('[1]1_group_total_details'!$O$8:$O$10000,'[1]1_group_total_details'!$C$8:$C$10000,I35,'[1]1_group_total_details'!$F$8:$F$10000,quot_location_group_id,'[1]1_group_total_details'!$G$8:$G$10000,quot_location_id,'[1]1_group_total_details'!$H$8:$H$10000,"&lt;="&amp;quot_date))-(SUMIFS('[1]1_group_total_details'!$J$8:$J$10000,'[1]1_group_total_details'!$C$8:$C$10000,I35,'[1]1_group_total_details'!$F$8:$F$10000,quot_location_group_id,'[1]1_group_total_details'!$G$8:$G$10000,quot_location_id,'[1]1_group_total_details'!$H$8:$H$10000,"&lt;="&amp;quot_date)+SUMIFS('[1]1_group_total_details'!$K$8:$K$10000,'[1]1_group_total_details'!$C$8:$C$10000,I35,'[1]1_group_total_details'!$F$8:$F$10000,quot_location_group_id,'[1]1_group_total_details'!$G$8:$G$10000,quot_location_id,'[1]1_group_total_details'!$H$8:$H$10000,"&lt;="&amp;quot_date)+SUMIFS('[1]1_group_total_details'!$M$8:$M$10000,'[1]1_group_total_details'!$C$8:$C$10000,I35,'[1]1_group_total_details'!$F$8:$F$10000,quot_location_group_id,'[1]1_group_total_details'!$G$8:$G$10000,quot_location_id,'[1]1_group_total_details'!$H$8:$H$10000,"&lt;="&amp;quot_date)+SUMIFS('[1]1_group_total_details'!$P$8:$P$10000,'[1]1_group_total_details'!$C$8:$C$10000,I35,'[1]1_group_total_details'!$F$8:$F$10000,quot_location_group_id,'[1]1_group_total_details'!$G$8:$G$10000,quot_location_id,'[1]1_group_total_details'!$H$8:$H$10000,"&lt;="&amp;quot_date)))</f>
        <v/>
      </c>
      <c r="AM35" s="197" t="str">
        <f>IF(M35="","",SUMIFS('[1]1_group_totals'!$J$8:$J$10000,'[1]1_group_totals'!$C$8:$C$10000,I35,'[1]1_group_totals'!$F$8:$F$10000,quot_location_group_id,'[1]1_group_totals'!$G$8:$G$10000,quot_location_id,'[1]1_group_totals'!$H$8:$H$10000,"="&amp;Q35,'[1]1_group_totals'!$I$8:$I$10000,"="&amp;R35))</f>
        <v/>
      </c>
      <c r="AN35" s="197" t="str">
        <f t="shared" si="7"/>
        <v/>
      </c>
      <c r="AO35" s="197" t="str">
        <f>IF(OR(ISNA(MATCH(MID(AN35,1,3)*1,UomConversion!$D$8:$D$500,0)),M35=""),"",IF(AT35="","",AT35))</f>
        <v/>
      </c>
      <c r="AP35" s="197" t="str">
        <f>IF(AND(AQ35&gt;0,COUNTIFS(UomConversion!$D$8:$D$500,MID(AN35,1,3)*1,UomConversion!$J$8:$J$500,1)&gt;1),TEXT(AQ35,"000")&amp;"."&amp;VLOOKUP(AQ35,uom_list,5,FALSE),"")</f>
        <v/>
      </c>
      <c r="AQ35" s="197" t="str">
        <f t="shared" si="20"/>
        <v/>
      </c>
      <c r="AR35" s="197" t="str">
        <f t="shared" si="21"/>
        <v/>
      </c>
      <c r="AS35" s="197" t="str">
        <f>IF(M35="","",SUMIFS(ProductPrice!$N$28:$N$10020,ProductPrice!$D$28:$D$10020,I35,ProductPrice!$G$28:$G$10020,quot_branch_id,ProductPrice!$H$28:$H$10020,quot_price_type_id,ProductPrice!$I$28:$I$10020,MID(P35,1,3)*1,ProductPrice!$Q$28:$Q$10020,1))</f>
        <v/>
      </c>
      <c r="AT35" s="197" t="str">
        <f t="shared" si="8"/>
        <v/>
      </c>
      <c r="AU35" s="197" t="str" cm="1">
        <f t="array" ref="AU35">IF(M35="","",IF(ISNA(Slookup(MID(AN35,1,3)*1,UomConversion!$D$8:$J$500,2,UomConversion!$I$8:$I$500,1,UomConversion!$J$8:$J$500,1)),"",Slookup(MID(AN35,1,3)*1,UomConversion!$D$8:$J$500,2,UomConversion!$I$8:$I$500,1,UomConversion!$J$8:$J$500,1)))</f>
        <v/>
      </c>
      <c r="AV35" s="197" t="str">
        <f t="shared" ref="AV35" si="132">IF(M35="","",IF(quot_location_id=1,BA35,IF(quot_location_id=2,BB35,0)))</f>
        <v/>
      </c>
      <c r="AW35" s="197" t="str">
        <f>IF(M35="","",(SUMIFS('[1]1_group_totals'!$K$8:$K$10000,'[1]1_group_totals'!$C$8:$C$10000,I35,'[1]1_group_totals'!$F$8:$F$10000,quot_location_group_id,'[1]1_group_totals'!$G$8:$G$10000,quot_location_id,'[1]1_group_totals'!$H$8:$H$10000,"="&amp;Q35,'[1]1_group_totals'!$I$8:$I$10000,"="&amp;R35)+SUMIFS('[1]1_group_totals'!$N$8:$N$10000,'[1]1_group_totals'!$C$8:$C$10000,I35,'[1]1_group_totals'!$F$8:$F$10000,quot_location_group_id,'[1]1_group_totals'!$G$8:$G$10000,quot_location_id,'[1]1_group_totals'!$H$8:$H$10000,"="&amp;Q35,'[1]1_group_totals'!$I$8:$I$10000,"="&amp;R35)+SUMIFS('[1]1_group_totals'!$P$8:$P$10000,'[1]1_group_totals'!$C$8:$C$10000,I35,'[1]1_group_totals'!$F$8:$F$10000,quot_location_group_id,'[1]1_group_totals'!$G$8:$G$10000,quot_location_id,'[1]1_group_totals'!$H$8:$H$10000,"="&amp;Q35,'[1]1_group_totals'!$I$8:$I$10000,"="&amp;R35)+SUMIFS('[1]1_group_totals'!$Q$8:$Q$10000,'[1]1_group_totals'!$C$8:$C$10000,I35,'[1]1_group_totals'!$F$8:$F$10000,quot_location_group_id,'[1]1_group_totals'!$G$8:$G$10000,quot_location_id,'[1]1_group_totals'!$H$8:$H$10000,"="&amp;Q35,'[1]1_group_totals'!$I$8:$I$10000,"="&amp;R35))+(SUMIFS('[1]1_group_totals'!$L$8:$L$10000,'[1]1_group_totals'!$C$8:$C$10000,I35,'[1]1_group_totals'!$F$8:$F$10000,quot_location_group_id,'[1]1_group_totals'!$G$8:$G$10000,quot_location_id,'[1]1_group_totals'!$H$8:$H$10000,"="&amp;Q35,'[1]1_group_totals'!$I$8:$I$10000,"="&amp;R35)+SUMIFS('[1]1_group_totals'!$M$8:$M$10000,'[1]1_group_totals'!$C$8:$C$10000,I35,'[1]1_group_totals'!$F$8:$F$10000,quot_location_group_id,'[1]1_group_totals'!$G$8:$G$10000,quot_location_id,'[1]1_group_totals'!$H$8:$H$10000,"="&amp;Q35,'[1]1_group_totals'!$I$8:$I$10000,"="&amp;R35)+SUMIFS('[1]1_group_totals'!$O$8:$O$10000,'[1]1_group_totals'!$C$8:$C$10000,I35,'[1]1_group_totals'!$F$8:$F$10000,quot_location_group_id,'[1]1_group_totals'!$G$8:$G$10000,quot_location_id,'[1]1_group_totals'!$H$8:$H$10000,"="&amp;Q35,'[1]1_group_totals'!$I$8:$I$10000,"="&amp;R35)+SUMIFS('[1]1_group_totals'!$R$8:$R$10000,'[1]1_group_totals'!$C$8:$C$10000,I35,'[1]1_group_totals'!$F$8:$F$10000,quot_location_group_id,'[1]1_group_totals'!$G$8:$G$10000,quot_location_id,'[1]1_group_totals'!$H$8:$H$10000,"="&amp;Q35,'[1]1_group_totals'!$I$8:$I$10000,"="&amp;R35)))</f>
        <v/>
      </c>
      <c r="AX35" s="197" t="str">
        <f t="shared" si="23"/>
        <v/>
      </c>
      <c r="AY35" s="197" t="str">
        <f>IF(M35="","",SUMIFS($AX$8:AX35,$I$8:I35,I35))</f>
        <v/>
      </c>
      <c r="AZ35" s="197" t="str">
        <f t="shared" si="24"/>
        <v/>
      </c>
      <c r="BA35" s="197" t="str">
        <f>IF(M35="","",(SUMIFS('[1]1_inventory_totals'!$I$8:$I$10000,'[1]1_inventory_totals'!$C$8:$C$10000,I35,'[1]1_inventory_totals'!$F$8:$F$10000,"="&amp;Q35,'[1]1_inventory_totals'!$G$8:$G$10000,"="&amp;R35)+SUMIFS('[1]1_inventory_totals'!$N$8:$N$10000,'[1]1_inventory_totals'!$C$8:$C$10000,I35,'[1]1_inventory_totals'!$F$8:$F$10000,"="&amp;Q35,'[1]1_inventory_totals'!$G$8:$G$10000,"="&amp;R35)+SUMIFS('[1]1_inventory_totals'!$P$8:$P$10000,'[1]1_inventory_totals'!$C$8:$C$10000,I35,'[1]1_inventory_totals'!$F$8:$F$10000,"="&amp;Q35,'[1]1_inventory_totals'!$G$8:$G$10000,"="&amp;R35)+SUMIFS('[1]1_inventory_totals'!$Q$8:$Q$10000,'[1]1_inventory_totals'!$C$8:$C$10000,I35,'[1]1_inventory_totals'!$F$8:$F$10000,"="&amp;Q35,'[1]1_inventory_totals'!$G$8:$G$10000,"="&amp;R35)+SUMIFS('[1]1_inventory_totals'!$R$8:$R$10000,'[1]1_inventory_totals'!$C$8:$C$10000,I35,'[1]1_inventory_totals'!$F$8:$F$10000,"="&amp;Q35,'[1]1_inventory_totals'!$G$8:$G$10000,"="&amp;R35))+(SUMIFS('[1]1_inventory_totals'!$J$8:$J$10000,'[1]1_inventory_totals'!$C$8:$C$10000,I35,'[1]1_inventory_totals'!$F$8:$F$10000,"="&amp;Q35,'[1]1_inventory_totals'!$G$8:$G$10000,"="&amp;R35)+SUMIFS('[1]1_inventory_totals'!$K$8:$K$10000,'[1]1_inventory_totals'!$C$8:$C$10000,I35,'[1]1_inventory_totals'!$F$8:$F$10000,"="&amp;Q35,'[1]1_inventory_totals'!$G$8:$G$10000,"="&amp;R35)+SUMIFS('[1]1_inventory_totals'!$L$8:$L$10000,'[1]1_inventory_totals'!$C$8:$C$10000,I35,'[1]1_inventory_totals'!$F$8:$F$10000,"="&amp;Q35,'[1]1_inventory_totals'!$G$8:$G$10000,"="&amp;R35)+SUMIFS('[1]1_inventory_totals'!$M$8:$M$10000,'[1]1_inventory_totals'!$C$8:$C$10000,I35,'[1]1_inventory_totals'!$F$8:$F$10000,"="&amp;Q35,'[1]1_inventory_totals'!$G$8:$G$10000,"="&amp;R35)+SUMIFS('[1]1_inventory_totals'!$O$8:$O$10000,'[1]1_inventory_totals'!$C$8:$C$10000,I35,'[1]1_inventory_totals'!$F$8:$F$10000,"="&amp;Q35,'[1]1_inventory_totals'!$G$8:$G$10000,"="&amp;R35)+SUMIFS('[1]1_inventory_totals'!$S$8:$S$10000,'[1]1_inventory_totals'!$C$8:$C$10000,I35,'[1]1_inventory_totals'!$F$8:$F$10000,"="&amp;Q35,'[1]1_inventory_totals'!$G$8:$G$10000,"="&amp;R35)))</f>
        <v/>
      </c>
      <c r="BB35" s="197" t="str">
        <f>IF(M35="","",(SUMIFS('[1]2_inventory_totals'!$I$8:$I$10000,'[1]2_inventory_totals'!$C$8:$C$10000,I35,'[1]2_inventory_totals'!$F$8:$F$10000,"="&amp;Q35,'[1]2_inventory_totals'!$G$8:$G$10000,"="&amp;R35)+SUMIFS('[1]2_inventory_totals'!$N$8:$N$10000,'[1]2_inventory_totals'!$C$8:$C$10000,I35,'[1]2_inventory_totals'!$F$8:$F$10000,"="&amp;Q35,'[1]2_inventory_totals'!$G$8:$G$10000,"="&amp;R35)+SUMIFS('[1]2_inventory_totals'!$P$8:$P$10000,'[1]2_inventory_totals'!$C$8:$C$10000,I35,'[1]2_inventory_totals'!$F$8:$F$10000,"="&amp;Q35,'[1]2_inventory_totals'!$G$8:$G$10000,"="&amp;R35)+SUMIFS('[1]2_inventory_totals'!$Q$8:$Q$10000,'[1]2_inventory_totals'!$C$8:$C$10000,I35,'[1]2_inventory_totals'!$F$8:$F$10000,"="&amp;Q35,'[1]2_inventory_totals'!$G$8:$G$10000,"="&amp;R35)+SUMIFS('[1]2_inventory_totals'!$R$8:$R$10000,'[1]2_inventory_totals'!$C$8:$C$10000,I35,'[1]2_inventory_totals'!$F$8:$F$10000,"="&amp;Q35,'[1]2_inventory_totals'!$G$8:$G$10000,"="&amp;R35))+(SUMIFS('[1]2_inventory_totals'!$J$8:$J$10000,'[1]2_inventory_totals'!$C$8:$C$10000,I35,'[1]2_inventory_totals'!$F$8:$F$10000,"="&amp;Q35,'[1]2_inventory_totals'!$G$8:$G$10000,"="&amp;R35)+SUMIFS('[1]2_inventory_totals'!$K$8:$K$10000,'[1]2_inventory_totals'!$C$8:$C$10000,I35,'[1]2_inventory_totals'!$F$8:$F$10000,"="&amp;Q35,'[1]2_inventory_totals'!$G$8:$G$10000,"="&amp;R35)+SUMIFS('[1]2_inventory_totals'!$L$8:$L$10000,'[1]2_inventory_totals'!$C$8:$C$10000,I35,'[1]2_inventory_totals'!$F$8:$F$10000,"="&amp;Q35,'[1]2_inventory_totals'!$G$8:$G$10000,"="&amp;R35)+SUMIFS('[1]2_inventory_totals'!$M$8:$M$10000,'[1]2_inventory_totals'!$C$8:$C$10000,I35,'[1]2_inventory_totals'!$F$8:$F$10000,"="&amp;Q35,'[1]2_inventory_totals'!$G$8:$G$10000,"="&amp;R35)+SUMIFS('[1]2_inventory_totals'!$O$8:$O$10000,'[1]2_inventory_totals'!$C$8:$C$10000,I35,'[1]2_inventory_totals'!$F$8:$F$10000,"="&amp;Q35,'[1]2_inventory_totals'!$G$8:$G$10000,"="&amp;R35)+SUMIFS('[1]2_inventory_totals'!$S$8:$S$10000,'[1]2_inventory_totals'!$C$8:$C$10000,I35,'[1]2_inventory_totals'!$F$8:$F$10000,"="&amp;Q35,'[1]2_inventory_totals'!$G$8:$G$10000,"="&amp;R35)))</f>
        <v/>
      </c>
    </row>
    <row r="36" spans="1:54" ht="27" customHeight="1">
      <c r="A36" s="923"/>
      <c r="B36" s="1251"/>
      <c r="C36" s="1268"/>
      <c r="D36" s="950"/>
      <c r="E36" s="950"/>
      <c r="F36" s="1262"/>
      <c r="I36" s="1610" t="str">
        <f t="shared" si="10"/>
        <v/>
      </c>
      <c r="J36" s="1611" t="str">
        <f t="shared" si="112"/>
        <v/>
      </c>
      <c r="K36" s="1612" t="str">
        <f t="shared" si="30"/>
        <v/>
      </c>
      <c r="L36" s="1613"/>
      <c r="M36" s="883"/>
      <c r="N36" s="884"/>
      <c r="O36" s="884"/>
      <c r="P36" s="885"/>
      <c r="Q36" s="886"/>
      <c r="R36" s="891"/>
      <c r="S36" s="1614" t="str">
        <f t="shared" ref="S36" si="133">IF(M36="","",quot_currency_symbol)</f>
        <v/>
      </c>
      <c r="T36" s="888"/>
      <c r="U36" s="1650" t="str">
        <f t="shared" si="13"/>
        <v/>
      </c>
      <c r="V36" s="1615" t="str">
        <f t="shared" ref="V36" si="134">IF(W36=0,"",quot_currency_symbol)</f>
        <v/>
      </c>
      <c r="W36" s="889"/>
      <c r="X36" s="1615" t="str">
        <f t="shared" ref="X36" si="135">IF(M36="","",quot_currency_symbol)</f>
        <v/>
      </c>
      <c r="Y36" s="1616" t="str">
        <f t="shared" si="34"/>
        <v/>
      </c>
      <c r="Z36" s="890"/>
      <c r="AA36" s="197" t="str" cm="1">
        <f t="array" ref="AA36">IF(M36="","",IF(P36=AN36,1,Slookup(MID(AN36,1,3)*1,UomConversion!$D$8:$J$500,5,UomConversion!$E$8:$E$500,MID(P36,1,3)*1,UomConversion!$J$8:$J$500,1)))</f>
        <v/>
      </c>
      <c r="AB36" s="197" t="str">
        <f t="shared" si="3"/>
        <v/>
      </c>
      <c r="AC36" s="197" t="str">
        <f t="shared" si="17"/>
        <v/>
      </c>
      <c r="AD36" s="197" t="str">
        <f t="shared" si="18"/>
        <v/>
      </c>
      <c r="AE36" s="197" t="str">
        <f t="shared" si="19"/>
        <v/>
      </c>
      <c r="AF36" s="197" t="str">
        <f t="shared" si="5"/>
        <v/>
      </c>
      <c r="AG36" s="197" t="str">
        <f t="shared" si="6"/>
        <v/>
      </c>
      <c r="AH36" s="197" t="str">
        <f>IF(I36="","",IF(ISNA(MATCH(I36,IF(quot_location_id=1,'[1]1_inventory_totals'!$C$8:$C$10000,IF(quot_location_id=2,'[1]2_inventory_totals'!$C$8:$C$10000,0)),0)),0,IF(AV36&gt;0,1,0)))</f>
        <v/>
      </c>
      <c r="AI36" s="197" t="str">
        <f>IF(M36="","",IF(quot_location_id=1,SUMIFS('[1]1_inventory_total_details'!$J$8:$J$10000,'[1]1_inventory_total_details'!$C$8:$C$10000,I36,'[1]1_inventory_total_details'!$F$8:$F$10000,quot_location_id,'[1]1_inventory_total_details'!$G$8:$G$10000,"="&amp;Q36,'[1]1_inventory_total_details'!$H$8:$H$10000,"="&amp;R36,'[1]1_inventory_total_details'!$I$8:$I$10000,"="&amp;quot_date)+SUMIFS('[1]1_inventory_total_details'!$M$8:$M$10000,'[1]1_inventory_total_details'!$C$8:$C$10000,I36,'[1]1_inventory_total_details'!$F$8:$F$10000,quot_location_id,'[1]1_inventory_total_details'!$G$8:$G$10000,"="&amp;Q36,'[1]1_inventory_total_details'!$H$8:$H$10000,"="&amp;R36,'[1]1_inventory_total_details'!$I$8:$I$10000,"="&amp;quot_date)+SUMIFS('[1]1_inventory_total_details'!$K$8:$K$10000,'[1]1_inventory_total_details'!$C$8:$C$10000,I36,'[1]1_inventory_total_details'!$F$8:$F$10000,quot_location_id,'[1]1_inventory_total_details'!$G$8:$G$10000,"="&amp;Q36,'[1]1_inventory_total_details'!$H$8:$H$10000,"="&amp;R36,'[1]1_inventory_total_details'!$I$8:$I$10000,"="&amp;quot_date)+SUMIFS('[1]1_inventory_total_details'!$L$8:$L$10000,'[1]1_inventory_total_details'!$C$8:$C$10000,I36,'[1]1_inventory_total_details'!$F$8:$F$10000,quot_location_id,'[1]1_inventory_total_details'!$G$8:$G$10000,"="&amp;Q36,'[1]1_inventory_total_details'!$H$8:$H$10000,"="&amp;R36,'[1]1_inventory_total_details'!$I$8:$I$10000,"="&amp;quot_date),SUMIFS('[1]2_inventory_total_details'!$J$8:$J$10000,'[1]2_inventory_total_details'!$C$8:$C$10000,I36,'[1]2_inventory_total_details'!$F$8:$F$10000,quot_location_id,'[1]2_inventory_total_details'!$G$8:$G$10000,"="&amp;Q36,'[1]2_inventory_total_details'!$H$8:$H$10000,"="&amp;R36,'[1]2_inventory_total_details'!$I$8:$I$10000,"="&amp;quot_date)+SUMIFS('[1]2_inventory_total_details'!$M$8:$M$10000,'[1]2_inventory_total_details'!$C$8:$C$10000,I36,'[1]2_inventory_total_details'!$F$8:$F$10000,quot_location_id,'[1]2_inventory_total_details'!$G$8:$G$10000,"="&amp;Q36,'[1]2_inventory_total_details'!$H$8:$H$10000,"="&amp;R36,'[1]2_inventory_total_details'!$I$8:$I$10000,"="&amp;quot_date)+SUMIFS('[1]2_inventory_total_details'!$K$8:$K$10000,'[1]2_inventory_total_details'!$C$8:$C$10000,I36,'[1]2_inventory_total_details'!$F$8:$F$10000,quot_location_id,'[1]2_inventory_total_details'!$G$8:$G$10000,"="&amp;Q36,'[1]2_inventory_total_details'!$H$8:$H$10000,"="&amp;R36,'[1]2_inventory_total_details'!$I$8:$I$10000,"="&amp;quot_date)+SUMIFS('[1]2_inventory_total_details'!$L$8:$L$10000,'[1]2_inventory_total_details'!$C$8:$C$10000,I36,'[1]2_inventory_total_details'!$F$8:$F$10000,quot_location_id,'[1]2_inventory_total_details'!$G$8:$G$10000,"="&amp;Q36,'[1]2_inventory_total_details'!$H$8:$H$10000,"="&amp;R36,'[1]2_inventory_total_details'!$I$8:$I$10000,"="&amp;quot_date)))</f>
        <v/>
      </c>
      <c r="AJ36" s="197" t="str">
        <f>IF(M36="","",IF(ISNA(MATCH(I36,'[1]1_group_totals'!$C$8:$C$10000)),0,IF(AW36&gt;0,1,0)))</f>
        <v/>
      </c>
      <c r="AK36" s="197" t="str">
        <f>IF(M36="","",(SUMIFS('[1]1_group_total_details'!$I$8:$I$10000,'[1]1_group_total_details'!$C$8:$C$10000,I36,'[1]1_group_total_details'!$F$8:$F$10000,quot_location_group_id,'[1]1_group_total_details'!$G$8:$G$10000,quot_location_id,'[1]1_group_total_details'!$H$8:$H$10000,"="&amp;quot_date)+SUMIFS('[1]1_group_total_details'!$L$8:$L$10000,'[1]1_group_total_details'!$C$8:$C$10000,I36,'[1]1_group_total_details'!$F$8:$F$10000,quot_location_group_id,'[1]1_group_total_details'!$G$8:$G$10000,quot_location_id,'[1]1_group_total_details'!$H$8:$H$10000,"="&amp;quot_date)+SUMIFS('[1]1_group_total_details'!$N$8:$N$10000,'[1]1_group_total_details'!$C$8:$C$10000,I36,'[1]1_group_total_details'!$F$8:$F$10000,quot_location_group_id,'[1]1_group_total_details'!$G$8:$G$10000,quot_location_id,'[1]1_group_total_details'!$H$8:$H$10000,"="&amp;quot_date)+SUMIFS('[1]1_group_total_details'!$O$8:$O$10000,'[1]1_group_total_details'!$C$8:$C$10000,I36,'[1]1_group_total_details'!$F$8:$F$10000,quot_location_group_id,'[1]1_group_total_details'!$G$8:$G$10000,quot_location_id,'[1]1_group_total_details'!$H$8:$H$10000,"="&amp;quot_date))+(SUMIFS('[1]1_group_total_details'!$J$8:$J$10000,'[1]1_group_total_details'!$C$8:$C$10000,I36,'[1]1_group_total_details'!$F$8:$F$10000,quot_location_group_id,'[1]1_group_total_details'!$G$8:$G$10000,quot_location_id,'[1]1_group_total_details'!$H$8:$H$10000,"="&amp;quot_date)+SUMIFS('[1]1_group_total_details'!$K$8:$K$10000,'[1]1_group_total_details'!$C$8:$C$10000,I36,'[1]1_group_total_details'!$F$8:$F$10000,quot_location_group_id,'[1]1_group_total_details'!$G$8:$G$10000,quot_location_id,'[1]1_group_total_details'!$H$8:$H$10000,"="&amp;quot_date)+SUMIFS('[1]1_group_total_details'!$M$8:$M$10000,'[1]1_group_total_details'!$C$8:$C$10000,I36,'[1]1_group_total_details'!$F$8:$F$10000,quot_location_group_id,'[1]1_group_total_details'!$G$8:$G$10000,quot_location_id,'[1]1_group_total_details'!$H$8:$H$10000,"="&amp;quot_date)+SUMIFS('[1]1_group_total_details'!$P$8:$P$10000,'[1]1_group_total_details'!$C$8:$C$10000,I36,'[1]1_group_total_details'!$F$8:$F$10000,quot_location_group_id,'[1]1_group_total_details'!$G$8:$G$10000,quot_location_id,'[1]1_group_total_details'!$H$8:$H$10000,"="&amp;quot_date)))</f>
        <v/>
      </c>
      <c r="AL36" s="197" t="str">
        <f>IF(M36="","",(SUMIFS('[1]1_group_total_details'!$I$8:$I$10000,'[1]1_group_total_details'!$C$8:$C$10000,I36,'[1]1_group_total_details'!$F$8:$F$10000,quot_location_group_id,'[1]1_group_total_details'!$G$8:$G$10000,quot_location_id,'[1]1_group_total_details'!$H$8:$H$10000,"&lt;="&amp;quot_date)+SUMIFS('[1]1_group_total_details'!$L$8:$L$10000,'[1]1_group_total_details'!$C$8:$C$10000,I36,'[1]1_group_total_details'!$F$8:$F$10000,quot_location_group_id,'[1]1_group_total_details'!$G$8:$G$10000,1,'[1]1_group_total_details'!$H$8:$H$10000,"&lt;="&amp;quot_date)+SUMIFS('[1]1_group_total_details'!$N$8:$N$10000,'[1]1_group_total_details'!$C$8:$C$10000,I36,'[1]1_group_total_details'!$F$8:$F$10000,quot_location_group_id,'[1]1_group_total_details'!$G$8:$G$10000,quot_location_id,'[1]1_group_total_details'!$H$8:$H$10000,"&lt;="&amp;quot_date)+SUMIFS('[1]1_group_total_details'!$O$8:$O$10000,'[1]1_group_total_details'!$C$8:$C$10000,I36,'[1]1_group_total_details'!$F$8:$F$10000,quot_location_group_id,'[1]1_group_total_details'!$G$8:$G$10000,quot_location_id,'[1]1_group_total_details'!$H$8:$H$10000,"&lt;="&amp;quot_date))-(SUMIFS('[1]1_group_total_details'!$J$8:$J$10000,'[1]1_group_total_details'!$C$8:$C$10000,I36,'[1]1_group_total_details'!$F$8:$F$10000,quot_location_group_id,'[1]1_group_total_details'!$G$8:$G$10000,quot_location_id,'[1]1_group_total_details'!$H$8:$H$10000,"&lt;="&amp;quot_date)+SUMIFS('[1]1_group_total_details'!$K$8:$K$10000,'[1]1_group_total_details'!$C$8:$C$10000,I36,'[1]1_group_total_details'!$F$8:$F$10000,quot_location_group_id,'[1]1_group_total_details'!$G$8:$G$10000,quot_location_id,'[1]1_group_total_details'!$H$8:$H$10000,"&lt;="&amp;quot_date)+SUMIFS('[1]1_group_total_details'!$M$8:$M$10000,'[1]1_group_total_details'!$C$8:$C$10000,I36,'[1]1_group_total_details'!$F$8:$F$10000,quot_location_group_id,'[1]1_group_total_details'!$G$8:$G$10000,quot_location_id,'[1]1_group_total_details'!$H$8:$H$10000,"&lt;="&amp;quot_date)+SUMIFS('[1]1_group_total_details'!$P$8:$P$10000,'[1]1_group_total_details'!$C$8:$C$10000,I36,'[1]1_group_total_details'!$F$8:$F$10000,quot_location_group_id,'[1]1_group_total_details'!$G$8:$G$10000,quot_location_id,'[1]1_group_total_details'!$H$8:$H$10000,"&lt;="&amp;quot_date)))</f>
        <v/>
      </c>
      <c r="AM36" s="197" t="str">
        <f>IF(M36="","",SUMIFS('[1]1_group_totals'!$J$8:$J$10000,'[1]1_group_totals'!$C$8:$C$10000,I36,'[1]1_group_totals'!$F$8:$F$10000,quot_location_group_id,'[1]1_group_totals'!$G$8:$G$10000,quot_location_id,'[1]1_group_totals'!$H$8:$H$10000,"="&amp;Q36,'[1]1_group_totals'!$I$8:$I$10000,"="&amp;R36))</f>
        <v/>
      </c>
      <c r="AN36" s="197" t="str">
        <f t="shared" si="7"/>
        <v/>
      </c>
      <c r="AO36" s="197" t="str">
        <f>IF(OR(ISNA(MATCH(MID(AN36,1,3)*1,UomConversion!$D$8:$D$500,0)),M36=""),"",IF(AT36="","",AT36))</f>
        <v/>
      </c>
      <c r="AP36" s="197" t="str">
        <f>IF(AND(AQ36&gt;0,COUNTIFS(UomConversion!$D$8:$D$500,MID(AN36,1,3)*1,UomConversion!$J$8:$J$500,1)&gt;1),TEXT(AQ36,"000")&amp;"."&amp;VLOOKUP(AQ36,uom_list,5,FALSE),"")</f>
        <v/>
      </c>
      <c r="AQ36" s="197" t="str">
        <f t="shared" si="20"/>
        <v/>
      </c>
      <c r="AR36" s="197" t="str">
        <f t="shared" si="21"/>
        <v/>
      </c>
      <c r="AS36" s="197" t="str">
        <f>IF(M36="","",SUMIFS(ProductPrice!$N$28:$N$10020,ProductPrice!$D$28:$D$10020,I36,ProductPrice!$G$28:$G$10020,quot_branch_id,ProductPrice!$H$28:$H$10020,quot_price_type_id,ProductPrice!$I$28:$I$10020,MID(P36,1,3)*1,ProductPrice!$Q$28:$Q$10020,1))</f>
        <v/>
      </c>
      <c r="AT36" s="197" t="str">
        <f t="shared" si="8"/>
        <v/>
      </c>
      <c r="AU36" s="197" t="str" cm="1">
        <f t="array" ref="AU36">IF(M36="","",IF(ISNA(Slookup(MID(AN36,1,3)*1,UomConversion!$D$8:$J$500,2,UomConversion!$I$8:$I$500,1,UomConversion!$J$8:$J$500,1)),"",Slookup(MID(AN36,1,3)*1,UomConversion!$D$8:$J$500,2,UomConversion!$I$8:$I$500,1,UomConversion!$J$8:$J$500,1)))</f>
        <v/>
      </c>
      <c r="AV36" s="197" t="str">
        <f t="shared" ref="AV36" si="136">IF(M36="","",IF(quot_location_id=1,BA36,IF(quot_location_id=2,BB36,0)))</f>
        <v/>
      </c>
      <c r="AW36" s="197" t="str">
        <f>IF(M36="","",(SUMIFS('[1]1_group_totals'!$K$8:$K$10000,'[1]1_group_totals'!$C$8:$C$10000,I36,'[1]1_group_totals'!$F$8:$F$10000,quot_location_group_id,'[1]1_group_totals'!$G$8:$G$10000,quot_location_id,'[1]1_group_totals'!$H$8:$H$10000,"="&amp;Q36,'[1]1_group_totals'!$I$8:$I$10000,"="&amp;R36)+SUMIFS('[1]1_group_totals'!$N$8:$N$10000,'[1]1_group_totals'!$C$8:$C$10000,I36,'[1]1_group_totals'!$F$8:$F$10000,quot_location_group_id,'[1]1_group_totals'!$G$8:$G$10000,quot_location_id,'[1]1_group_totals'!$H$8:$H$10000,"="&amp;Q36,'[1]1_group_totals'!$I$8:$I$10000,"="&amp;R36)+SUMIFS('[1]1_group_totals'!$P$8:$P$10000,'[1]1_group_totals'!$C$8:$C$10000,I36,'[1]1_group_totals'!$F$8:$F$10000,quot_location_group_id,'[1]1_group_totals'!$G$8:$G$10000,quot_location_id,'[1]1_group_totals'!$H$8:$H$10000,"="&amp;Q36,'[1]1_group_totals'!$I$8:$I$10000,"="&amp;R36)+SUMIFS('[1]1_group_totals'!$Q$8:$Q$10000,'[1]1_group_totals'!$C$8:$C$10000,I36,'[1]1_group_totals'!$F$8:$F$10000,quot_location_group_id,'[1]1_group_totals'!$G$8:$G$10000,quot_location_id,'[1]1_group_totals'!$H$8:$H$10000,"="&amp;Q36,'[1]1_group_totals'!$I$8:$I$10000,"="&amp;R36))+(SUMIFS('[1]1_group_totals'!$L$8:$L$10000,'[1]1_group_totals'!$C$8:$C$10000,I36,'[1]1_group_totals'!$F$8:$F$10000,quot_location_group_id,'[1]1_group_totals'!$G$8:$G$10000,quot_location_id,'[1]1_group_totals'!$H$8:$H$10000,"="&amp;Q36,'[1]1_group_totals'!$I$8:$I$10000,"="&amp;R36)+SUMIFS('[1]1_group_totals'!$M$8:$M$10000,'[1]1_group_totals'!$C$8:$C$10000,I36,'[1]1_group_totals'!$F$8:$F$10000,quot_location_group_id,'[1]1_group_totals'!$G$8:$G$10000,quot_location_id,'[1]1_group_totals'!$H$8:$H$10000,"="&amp;Q36,'[1]1_group_totals'!$I$8:$I$10000,"="&amp;R36)+SUMIFS('[1]1_group_totals'!$O$8:$O$10000,'[1]1_group_totals'!$C$8:$C$10000,I36,'[1]1_group_totals'!$F$8:$F$10000,quot_location_group_id,'[1]1_group_totals'!$G$8:$G$10000,quot_location_id,'[1]1_group_totals'!$H$8:$H$10000,"="&amp;Q36,'[1]1_group_totals'!$I$8:$I$10000,"="&amp;R36)+SUMIFS('[1]1_group_totals'!$R$8:$R$10000,'[1]1_group_totals'!$C$8:$C$10000,I36,'[1]1_group_totals'!$F$8:$F$10000,quot_location_group_id,'[1]1_group_totals'!$G$8:$G$10000,quot_location_id,'[1]1_group_totals'!$H$8:$H$10000,"="&amp;Q36,'[1]1_group_totals'!$I$8:$I$10000,"="&amp;R36)))</f>
        <v/>
      </c>
      <c r="AX36" s="197" t="str">
        <f t="shared" si="23"/>
        <v/>
      </c>
      <c r="AY36" s="197" t="str">
        <f>IF(M36="","",SUMIFS($AX$8:AX36,$I$8:I36,I36))</f>
        <v/>
      </c>
      <c r="AZ36" s="197" t="str">
        <f t="shared" si="24"/>
        <v/>
      </c>
      <c r="BA36" s="197" t="str">
        <f>IF(M36="","",(SUMIFS('[1]1_inventory_totals'!$I$8:$I$10000,'[1]1_inventory_totals'!$C$8:$C$10000,I36,'[1]1_inventory_totals'!$F$8:$F$10000,"="&amp;Q36,'[1]1_inventory_totals'!$G$8:$G$10000,"="&amp;R36)+SUMIFS('[1]1_inventory_totals'!$N$8:$N$10000,'[1]1_inventory_totals'!$C$8:$C$10000,I36,'[1]1_inventory_totals'!$F$8:$F$10000,"="&amp;Q36,'[1]1_inventory_totals'!$G$8:$G$10000,"="&amp;R36)+SUMIFS('[1]1_inventory_totals'!$P$8:$P$10000,'[1]1_inventory_totals'!$C$8:$C$10000,I36,'[1]1_inventory_totals'!$F$8:$F$10000,"="&amp;Q36,'[1]1_inventory_totals'!$G$8:$G$10000,"="&amp;R36)+SUMIFS('[1]1_inventory_totals'!$Q$8:$Q$10000,'[1]1_inventory_totals'!$C$8:$C$10000,I36,'[1]1_inventory_totals'!$F$8:$F$10000,"="&amp;Q36,'[1]1_inventory_totals'!$G$8:$G$10000,"="&amp;R36)+SUMIFS('[1]1_inventory_totals'!$R$8:$R$10000,'[1]1_inventory_totals'!$C$8:$C$10000,I36,'[1]1_inventory_totals'!$F$8:$F$10000,"="&amp;Q36,'[1]1_inventory_totals'!$G$8:$G$10000,"="&amp;R36))+(SUMIFS('[1]1_inventory_totals'!$J$8:$J$10000,'[1]1_inventory_totals'!$C$8:$C$10000,I36,'[1]1_inventory_totals'!$F$8:$F$10000,"="&amp;Q36,'[1]1_inventory_totals'!$G$8:$G$10000,"="&amp;R36)+SUMIFS('[1]1_inventory_totals'!$K$8:$K$10000,'[1]1_inventory_totals'!$C$8:$C$10000,I36,'[1]1_inventory_totals'!$F$8:$F$10000,"="&amp;Q36,'[1]1_inventory_totals'!$G$8:$G$10000,"="&amp;R36)+SUMIFS('[1]1_inventory_totals'!$L$8:$L$10000,'[1]1_inventory_totals'!$C$8:$C$10000,I36,'[1]1_inventory_totals'!$F$8:$F$10000,"="&amp;Q36,'[1]1_inventory_totals'!$G$8:$G$10000,"="&amp;R36)+SUMIFS('[1]1_inventory_totals'!$M$8:$M$10000,'[1]1_inventory_totals'!$C$8:$C$10000,I36,'[1]1_inventory_totals'!$F$8:$F$10000,"="&amp;Q36,'[1]1_inventory_totals'!$G$8:$G$10000,"="&amp;R36)+SUMIFS('[1]1_inventory_totals'!$O$8:$O$10000,'[1]1_inventory_totals'!$C$8:$C$10000,I36,'[1]1_inventory_totals'!$F$8:$F$10000,"="&amp;Q36,'[1]1_inventory_totals'!$G$8:$G$10000,"="&amp;R36)+SUMIFS('[1]1_inventory_totals'!$S$8:$S$10000,'[1]1_inventory_totals'!$C$8:$C$10000,I36,'[1]1_inventory_totals'!$F$8:$F$10000,"="&amp;Q36,'[1]1_inventory_totals'!$G$8:$G$10000,"="&amp;R36)))</f>
        <v/>
      </c>
      <c r="BB36" s="197" t="str">
        <f>IF(M36="","",(SUMIFS('[1]2_inventory_totals'!$I$8:$I$10000,'[1]2_inventory_totals'!$C$8:$C$10000,I36,'[1]2_inventory_totals'!$F$8:$F$10000,"="&amp;Q36,'[1]2_inventory_totals'!$G$8:$G$10000,"="&amp;R36)+SUMIFS('[1]2_inventory_totals'!$N$8:$N$10000,'[1]2_inventory_totals'!$C$8:$C$10000,I36,'[1]2_inventory_totals'!$F$8:$F$10000,"="&amp;Q36,'[1]2_inventory_totals'!$G$8:$G$10000,"="&amp;R36)+SUMIFS('[1]2_inventory_totals'!$P$8:$P$10000,'[1]2_inventory_totals'!$C$8:$C$10000,I36,'[1]2_inventory_totals'!$F$8:$F$10000,"="&amp;Q36,'[1]2_inventory_totals'!$G$8:$G$10000,"="&amp;R36)+SUMIFS('[1]2_inventory_totals'!$Q$8:$Q$10000,'[1]2_inventory_totals'!$C$8:$C$10000,I36,'[1]2_inventory_totals'!$F$8:$F$10000,"="&amp;Q36,'[1]2_inventory_totals'!$G$8:$G$10000,"="&amp;R36)+SUMIFS('[1]2_inventory_totals'!$R$8:$R$10000,'[1]2_inventory_totals'!$C$8:$C$10000,I36,'[1]2_inventory_totals'!$F$8:$F$10000,"="&amp;Q36,'[1]2_inventory_totals'!$G$8:$G$10000,"="&amp;R36))+(SUMIFS('[1]2_inventory_totals'!$J$8:$J$10000,'[1]2_inventory_totals'!$C$8:$C$10000,I36,'[1]2_inventory_totals'!$F$8:$F$10000,"="&amp;Q36,'[1]2_inventory_totals'!$G$8:$G$10000,"="&amp;R36)+SUMIFS('[1]2_inventory_totals'!$K$8:$K$10000,'[1]2_inventory_totals'!$C$8:$C$10000,I36,'[1]2_inventory_totals'!$F$8:$F$10000,"="&amp;Q36,'[1]2_inventory_totals'!$G$8:$G$10000,"="&amp;R36)+SUMIFS('[1]2_inventory_totals'!$L$8:$L$10000,'[1]2_inventory_totals'!$C$8:$C$10000,I36,'[1]2_inventory_totals'!$F$8:$F$10000,"="&amp;Q36,'[1]2_inventory_totals'!$G$8:$G$10000,"="&amp;R36)+SUMIFS('[1]2_inventory_totals'!$M$8:$M$10000,'[1]2_inventory_totals'!$C$8:$C$10000,I36,'[1]2_inventory_totals'!$F$8:$F$10000,"="&amp;Q36,'[1]2_inventory_totals'!$G$8:$G$10000,"="&amp;R36)+SUMIFS('[1]2_inventory_totals'!$O$8:$O$10000,'[1]2_inventory_totals'!$C$8:$C$10000,I36,'[1]2_inventory_totals'!$F$8:$F$10000,"="&amp;Q36,'[1]2_inventory_totals'!$G$8:$G$10000,"="&amp;R36)+SUMIFS('[1]2_inventory_totals'!$S$8:$S$10000,'[1]2_inventory_totals'!$C$8:$C$10000,I36,'[1]2_inventory_totals'!$F$8:$F$10000,"="&amp;Q36,'[1]2_inventory_totals'!$G$8:$G$10000,"="&amp;R36)))</f>
        <v/>
      </c>
    </row>
    <row r="37" spans="1:54" ht="27" customHeight="1">
      <c r="A37" s="923"/>
      <c r="B37" s="1251"/>
      <c r="C37" s="1268"/>
      <c r="D37" s="950"/>
      <c r="E37" s="950"/>
      <c r="F37" s="1262"/>
      <c r="I37" s="1610" t="str">
        <f t="shared" si="10"/>
        <v/>
      </c>
      <c r="J37" s="1611" t="str">
        <f t="shared" si="112"/>
        <v/>
      </c>
      <c r="K37" s="1612" t="str">
        <f t="shared" si="30"/>
        <v/>
      </c>
      <c r="L37" s="1613"/>
      <c r="M37" s="883"/>
      <c r="N37" s="884"/>
      <c r="O37" s="884"/>
      <c r="P37" s="885"/>
      <c r="Q37" s="886"/>
      <c r="R37" s="891"/>
      <c r="S37" s="1614" t="str">
        <f t="shared" ref="S37" si="137">IF(M37="","",quot_currency_symbol)</f>
        <v/>
      </c>
      <c r="T37" s="888"/>
      <c r="U37" s="1650" t="str">
        <f t="shared" si="13"/>
        <v/>
      </c>
      <c r="V37" s="1615" t="str">
        <f t="shared" ref="V37" si="138">IF(W37=0,"",quot_currency_symbol)</f>
        <v/>
      </c>
      <c r="W37" s="889"/>
      <c r="X37" s="1615" t="str">
        <f t="shared" ref="X37" si="139">IF(M37="","",quot_currency_symbol)</f>
        <v/>
      </c>
      <c r="Y37" s="1616" t="str">
        <f t="shared" si="34"/>
        <v/>
      </c>
      <c r="Z37" s="890"/>
      <c r="AA37" s="197" t="str" cm="1">
        <f t="array" ref="AA37">IF(M37="","",IF(P37=AN37,1,Slookup(MID(AN37,1,3)*1,UomConversion!$D$8:$J$500,5,UomConversion!$E$8:$E$500,MID(P37,1,3)*1,UomConversion!$J$8:$J$500,1)))</f>
        <v/>
      </c>
      <c r="AB37" s="197" t="str">
        <f t="shared" si="3"/>
        <v/>
      </c>
      <c r="AC37" s="197" t="str">
        <f t="shared" si="17"/>
        <v/>
      </c>
      <c r="AD37" s="197" t="str">
        <f t="shared" si="18"/>
        <v/>
      </c>
      <c r="AE37" s="197" t="str">
        <f t="shared" si="19"/>
        <v/>
      </c>
      <c r="AF37" s="197" t="str">
        <f t="shared" si="5"/>
        <v/>
      </c>
      <c r="AG37" s="197" t="str">
        <f t="shared" si="6"/>
        <v/>
      </c>
      <c r="AH37" s="197" t="str">
        <f>IF(I37="","",IF(ISNA(MATCH(I37,IF(quot_location_id=1,'[1]1_inventory_totals'!$C$8:$C$10000,IF(quot_location_id=2,'[1]2_inventory_totals'!$C$8:$C$10000,0)),0)),0,IF(AV37&gt;0,1,0)))</f>
        <v/>
      </c>
      <c r="AI37" s="197" t="str">
        <f>IF(M37="","",IF(quot_location_id=1,SUMIFS('[1]1_inventory_total_details'!$J$8:$J$10000,'[1]1_inventory_total_details'!$C$8:$C$10000,I37,'[1]1_inventory_total_details'!$F$8:$F$10000,quot_location_id,'[1]1_inventory_total_details'!$G$8:$G$10000,"="&amp;Q37,'[1]1_inventory_total_details'!$H$8:$H$10000,"="&amp;R37,'[1]1_inventory_total_details'!$I$8:$I$10000,"="&amp;quot_date)+SUMIFS('[1]1_inventory_total_details'!$M$8:$M$10000,'[1]1_inventory_total_details'!$C$8:$C$10000,I37,'[1]1_inventory_total_details'!$F$8:$F$10000,quot_location_id,'[1]1_inventory_total_details'!$G$8:$G$10000,"="&amp;Q37,'[1]1_inventory_total_details'!$H$8:$H$10000,"="&amp;R37,'[1]1_inventory_total_details'!$I$8:$I$10000,"="&amp;quot_date)+SUMIFS('[1]1_inventory_total_details'!$K$8:$K$10000,'[1]1_inventory_total_details'!$C$8:$C$10000,I37,'[1]1_inventory_total_details'!$F$8:$F$10000,quot_location_id,'[1]1_inventory_total_details'!$G$8:$G$10000,"="&amp;Q37,'[1]1_inventory_total_details'!$H$8:$H$10000,"="&amp;R37,'[1]1_inventory_total_details'!$I$8:$I$10000,"="&amp;quot_date)+SUMIFS('[1]1_inventory_total_details'!$L$8:$L$10000,'[1]1_inventory_total_details'!$C$8:$C$10000,I37,'[1]1_inventory_total_details'!$F$8:$F$10000,quot_location_id,'[1]1_inventory_total_details'!$G$8:$G$10000,"="&amp;Q37,'[1]1_inventory_total_details'!$H$8:$H$10000,"="&amp;R37,'[1]1_inventory_total_details'!$I$8:$I$10000,"="&amp;quot_date),SUMIFS('[1]2_inventory_total_details'!$J$8:$J$10000,'[1]2_inventory_total_details'!$C$8:$C$10000,I37,'[1]2_inventory_total_details'!$F$8:$F$10000,quot_location_id,'[1]2_inventory_total_details'!$G$8:$G$10000,"="&amp;Q37,'[1]2_inventory_total_details'!$H$8:$H$10000,"="&amp;R37,'[1]2_inventory_total_details'!$I$8:$I$10000,"="&amp;quot_date)+SUMIFS('[1]2_inventory_total_details'!$M$8:$M$10000,'[1]2_inventory_total_details'!$C$8:$C$10000,I37,'[1]2_inventory_total_details'!$F$8:$F$10000,quot_location_id,'[1]2_inventory_total_details'!$G$8:$G$10000,"="&amp;Q37,'[1]2_inventory_total_details'!$H$8:$H$10000,"="&amp;R37,'[1]2_inventory_total_details'!$I$8:$I$10000,"="&amp;quot_date)+SUMIFS('[1]2_inventory_total_details'!$K$8:$K$10000,'[1]2_inventory_total_details'!$C$8:$C$10000,I37,'[1]2_inventory_total_details'!$F$8:$F$10000,quot_location_id,'[1]2_inventory_total_details'!$G$8:$G$10000,"="&amp;Q37,'[1]2_inventory_total_details'!$H$8:$H$10000,"="&amp;R37,'[1]2_inventory_total_details'!$I$8:$I$10000,"="&amp;quot_date)+SUMIFS('[1]2_inventory_total_details'!$L$8:$L$10000,'[1]2_inventory_total_details'!$C$8:$C$10000,I37,'[1]2_inventory_total_details'!$F$8:$F$10000,quot_location_id,'[1]2_inventory_total_details'!$G$8:$G$10000,"="&amp;Q37,'[1]2_inventory_total_details'!$H$8:$H$10000,"="&amp;R37,'[1]2_inventory_total_details'!$I$8:$I$10000,"="&amp;quot_date)))</f>
        <v/>
      </c>
      <c r="AJ37" s="197" t="str">
        <f>IF(M37="","",IF(ISNA(MATCH(I37,'[1]1_group_totals'!$C$8:$C$10000)),0,IF(AW37&gt;0,1,0)))</f>
        <v/>
      </c>
      <c r="AK37" s="197" t="str">
        <f>IF(M37="","",(SUMIFS('[1]1_group_total_details'!$I$8:$I$10000,'[1]1_group_total_details'!$C$8:$C$10000,I37,'[1]1_group_total_details'!$F$8:$F$10000,quot_location_group_id,'[1]1_group_total_details'!$G$8:$G$10000,quot_location_id,'[1]1_group_total_details'!$H$8:$H$10000,"="&amp;quot_date)+SUMIFS('[1]1_group_total_details'!$L$8:$L$10000,'[1]1_group_total_details'!$C$8:$C$10000,I37,'[1]1_group_total_details'!$F$8:$F$10000,quot_location_group_id,'[1]1_group_total_details'!$G$8:$G$10000,quot_location_id,'[1]1_group_total_details'!$H$8:$H$10000,"="&amp;quot_date)+SUMIFS('[1]1_group_total_details'!$N$8:$N$10000,'[1]1_group_total_details'!$C$8:$C$10000,I37,'[1]1_group_total_details'!$F$8:$F$10000,quot_location_group_id,'[1]1_group_total_details'!$G$8:$G$10000,quot_location_id,'[1]1_group_total_details'!$H$8:$H$10000,"="&amp;quot_date)+SUMIFS('[1]1_group_total_details'!$O$8:$O$10000,'[1]1_group_total_details'!$C$8:$C$10000,I37,'[1]1_group_total_details'!$F$8:$F$10000,quot_location_group_id,'[1]1_group_total_details'!$G$8:$G$10000,quot_location_id,'[1]1_group_total_details'!$H$8:$H$10000,"="&amp;quot_date))+(SUMIFS('[1]1_group_total_details'!$J$8:$J$10000,'[1]1_group_total_details'!$C$8:$C$10000,I37,'[1]1_group_total_details'!$F$8:$F$10000,quot_location_group_id,'[1]1_group_total_details'!$G$8:$G$10000,quot_location_id,'[1]1_group_total_details'!$H$8:$H$10000,"="&amp;quot_date)+SUMIFS('[1]1_group_total_details'!$K$8:$K$10000,'[1]1_group_total_details'!$C$8:$C$10000,I37,'[1]1_group_total_details'!$F$8:$F$10000,quot_location_group_id,'[1]1_group_total_details'!$G$8:$G$10000,quot_location_id,'[1]1_group_total_details'!$H$8:$H$10000,"="&amp;quot_date)+SUMIFS('[1]1_group_total_details'!$M$8:$M$10000,'[1]1_group_total_details'!$C$8:$C$10000,I37,'[1]1_group_total_details'!$F$8:$F$10000,quot_location_group_id,'[1]1_group_total_details'!$G$8:$G$10000,quot_location_id,'[1]1_group_total_details'!$H$8:$H$10000,"="&amp;quot_date)+SUMIFS('[1]1_group_total_details'!$P$8:$P$10000,'[1]1_group_total_details'!$C$8:$C$10000,I37,'[1]1_group_total_details'!$F$8:$F$10000,quot_location_group_id,'[1]1_group_total_details'!$G$8:$G$10000,quot_location_id,'[1]1_group_total_details'!$H$8:$H$10000,"="&amp;quot_date)))</f>
        <v/>
      </c>
      <c r="AL37" s="197" t="str">
        <f>IF(M37="","",(SUMIFS('[1]1_group_total_details'!$I$8:$I$10000,'[1]1_group_total_details'!$C$8:$C$10000,I37,'[1]1_group_total_details'!$F$8:$F$10000,quot_location_group_id,'[1]1_group_total_details'!$G$8:$G$10000,quot_location_id,'[1]1_group_total_details'!$H$8:$H$10000,"&lt;="&amp;quot_date)+SUMIFS('[1]1_group_total_details'!$L$8:$L$10000,'[1]1_group_total_details'!$C$8:$C$10000,I37,'[1]1_group_total_details'!$F$8:$F$10000,quot_location_group_id,'[1]1_group_total_details'!$G$8:$G$10000,1,'[1]1_group_total_details'!$H$8:$H$10000,"&lt;="&amp;quot_date)+SUMIFS('[1]1_group_total_details'!$N$8:$N$10000,'[1]1_group_total_details'!$C$8:$C$10000,I37,'[1]1_group_total_details'!$F$8:$F$10000,quot_location_group_id,'[1]1_group_total_details'!$G$8:$G$10000,quot_location_id,'[1]1_group_total_details'!$H$8:$H$10000,"&lt;="&amp;quot_date)+SUMIFS('[1]1_group_total_details'!$O$8:$O$10000,'[1]1_group_total_details'!$C$8:$C$10000,I37,'[1]1_group_total_details'!$F$8:$F$10000,quot_location_group_id,'[1]1_group_total_details'!$G$8:$G$10000,quot_location_id,'[1]1_group_total_details'!$H$8:$H$10000,"&lt;="&amp;quot_date))-(SUMIFS('[1]1_group_total_details'!$J$8:$J$10000,'[1]1_group_total_details'!$C$8:$C$10000,I37,'[1]1_group_total_details'!$F$8:$F$10000,quot_location_group_id,'[1]1_group_total_details'!$G$8:$G$10000,quot_location_id,'[1]1_group_total_details'!$H$8:$H$10000,"&lt;="&amp;quot_date)+SUMIFS('[1]1_group_total_details'!$K$8:$K$10000,'[1]1_group_total_details'!$C$8:$C$10000,I37,'[1]1_group_total_details'!$F$8:$F$10000,quot_location_group_id,'[1]1_group_total_details'!$G$8:$G$10000,quot_location_id,'[1]1_group_total_details'!$H$8:$H$10000,"&lt;="&amp;quot_date)+SUMIFS('[1]1_group_total_details'!$M$8:$M$10000,'[1]1_group_total_details'!$C$8:$C$10000,I37,'[1]1_group_total_details'!$F$8:$F$10000,quot_location_group_id,'[1]1_group_total_details'!$G$8:$G$10000,quot_location_id,'[1]1_group_total_details'!$H$8:$H$10000,"&lt;="&amp;quot_date)+SUMIFS('[1]1_group_total_details'!$P$8:$P$10000,'[1]1_group_total_details'!$C$8:$C$10000,I37,'[1]1_group_total_details'!$F$8:$F$10000,quot_location_group_id,'[1]1_group_total_details'!$G$8:$G$10000,quot_location_id,'[1]1_group_total_details'!$H$8:$H$10000,"&lt;="&amp;quot_date)))</f>
        <v/>
      </c>
      <c r="AM37" s="197" t="str">
        <f>IF(M37="","",SUMIFS('[1]1_group_totals'!$J$8:$J$10000,'[1]1_group_totals'!$C$8:$C$10000,I37,'[1]1_group_totals'!$F$8:$F$10000,quot_location_group_id,'[1]1_group_totals'!$G$8:$G$10000,quot_location_id,'[1]1_group_totals'!$H$8:$H$10000,"="&amp;Q37,'[1]1_group_totals'!$I$8:$I$10000,"="&amp;R37))</f>
        <v/>
      </c>
      <c r="AN37" s="197" t="str">
        <f t="shared" si="7"/>
        <v/>
      </c>
      <c r="AO37" s="197" t="str">
        <f>IF(OR(ISNA(MATCH(MID(AN37,1,3)*1,UomConversion!$D$8:$D$500,0)),M37=""),"",IF(AT37="","",AT37))</f>
        <v/>
      </c>
      <c r="AP37" s="197" t="str">
        <f>IF(AND(AQ37&gt;0,COUNTIFS(UomConversion!$D$8:$D$500,MID(AN37,1,3)*1,UomConversion!$J$8:$J$500,1)&gt;1),TEXT(AQ37,"000")&amp;"."&amp;VLOOKUP(AQ37,uom_list,5,FALSE),"")</f>
        <v/>
      </c>
      <c r="AQ37" s="197" t="str">
        <f t="shared" si="20"/>
        <v/>
      </c>
      <c r="AR37" s="197" t="str">
        <f t="shared" si="21"/>
        <v/>
      </c>
      <c r="AS37" s="197" t="str">
        <f>IF(M37="","",SUMIFS(ProductPrice!$N$28:$N$10020,ProductPrice!$D$28:$D$10020,I37,ProductPrice!$G$28:$G$10020,quot_branch_id,ProductPrice!$H$28:$H$10020,quot_price_type_id,ProductPrice!$I$28:$I$10020,MID(P37,1,3)*1,ProductPrice!$Q$28:$Q$10020,1))</f>
        <v/>
      </c>
      <c r="AT37" s="197" t="str">
        <f t="shared" si="8"/>
        <v/>
      </c>
      <c r="AU37" s="197" t="str" cm="1">
        <f t="array" ref="AU37">IF(M37="","",IF(ISNA(Slookup(MID(AN37,1,3)*1,UomConversion!$D$8:$J$500,2,UomConversion!$I$8:$I$500,1,UomConversion!$J$8:$J$500,1)),"",Slookup(MID(AN37,1,3)*1,UomConversion!$D$8:$J$500,2,UomConversion!$I$8:$I$500,1,UomConversion!$J$8:$J$500,1)))</f>
        <v/>
      </c>
      <c r="AV37" s="197" t="str">
        <f t="shared" ref="AV37" si="140">IF(M37="","",IF(quot_location_id=1,BA37,IF(quot_location_id=2,BB37,0)))</f>
        <v/>
      </c>
      <c r="AW37" s="197" t="str">
        <f>IF(M37="","",(SUMIFS('[1]1_group_totals'!$K$8:$K$10000,'[1]1_group_totals'!$C$8:$C$10000,I37,'[1]1_group_totals'!$F$8:$F$10000,quot_location_group_id,'[1]1_group_totals'!$G$8:$G$10000,quot_location_id,'[1]1_group_totals'!$H$8:$H$10000,"="&amp;Q37,'[1]1_group_totals'!$I$8:$I$10000,"="&amp;R37)+SUMIFS('[1]1_group_totals'!$N$8:$N$10000,'[1]1_group_totals'!$C$8:$C$10000,I37,'[1]1_group_totals'!$F$8:$F$10000,quot_location_group_id,'[1]1_group_totals'!$G$8:$G$10000,quot_location_id,'[1]1_group_totals'!$H$8:$H$10000,"="&amp;Q37,'[1]1_group_totals'!$I$8:$I$10000,"="&amp;R37)+SUMIFS('[1]1_group_totals'!$P$8:$P$10000,'[1]1_group_totals'!$C$8:$C$10000,I37,'[1]1_group_totals'!$F$8:$F$10000,quot_location_group_id,'[1]1_group_totals'!$G$8:$G$10000,quot_location_id,'[1]1_group_totals'!$H$8:$H$10000,"="&amp;Q37,'[1]1_group_totals'!$I$8:$I$10000,"="&amp;R37)+SUMIFS('[1]1_group_totals'!$Q$8:$Q$10000,'[1]1_group_totals'!$C$8:$C$10000,I37,'[1]1_group_totals'!$F$8:$F$10000,quot_location_group_id,'[1]1_group_totals'!$G$8:$G$10000,quot_location_id,'[1]1_group_totals'!$H$8:$H$10000,"="&amp;Q37,'[1]1_group_totals'!$I$8:$I$10000,"="&amp;R37))+(SUMIFS('[1]1_group_totals'!$L$8:$L$10000,'[1]1_group_totals'!$C$8:$C$10000,I37,'[1]1_group_totals'!$F$8:$F$10000,quot_location_group_id,'[1]1_group_totals'!$G$8:$G$10000,quot_location_id,'[1]1_group_totals'!$H$8:$H$10000,"="&amp;Q37,'[1]1_group_totals'!$I$8:$I$10000,"="&amp;R37)+SUMIFS('[1]1_group_totals'!$M$8:$M$10000,'[1]1_group_totals'!$C$8:$C$10000,I37,'[1]1_group_totals'!$F$8:$F$10000,quot_location_group_id,'[1]1_group_totals'!$G$8:$G$10000,quot_location_id,'[1]1_group_totals'!$H$8:$H$10000,"="&amp;Q37,'[1]1_group_totals'!$I$8:$I$10000,"="&amp;R37)+SUMIFS('[1]1_group_totals'!$O$8:$O$10000,'[1]1_group_totals'!$C$8:$C$10000,I37,'[1]1_group_totals'!$F$8:$F$10000,quot_location_group_id,'[1]1_group_totals'!$G$8:$G$10000,quot_location_id,'[1]1_group_totals'!$H$8:$H$10000,"="&amp;Q37,'[1]1_group_totals'!$I$8:$I$10000,"="&amp;R37)+SUMIFS('[1]1_group_totals'!$R$8:$R$10000,'[1]1_group_totals'!$C$8:$C$10000,I37,'[1]1_group_totals'!$F$8:$F$10000,quot_location_group_id,'[1]1_group_totals'!$G$8:$G$10000,quot_location_id,'[1]1_group_totals'!$H$8:$H$10000,"="&amp;Q37,'[1]1_group_totals'!$I$8:$I$10000,"="&amp;R37)))</f>
        <v/>
      </c>
      <c r="AX37" s="197" t="str">
        <f t="shared" si="23"/>
        <v/>
      </c>
      <c r="AY37" s="197" t="str">
        <f>IF(M37="","",SUMIFS($AX$8:AX37,$I$8:I37,I37))</f>
        <v/>
      </c>
      <c r="AZ37" s="197" t="str">
        <f t="shared" si="24"/>
        <v/>
      </c>
      <c r="BA37" s="197" t="str">
        <f>IF(M37="","",(SUMIFS('[1]1_inventory_totals'!$I$8:$I$10000,'[1]1_inventory_totals'!$C$8:$C$10000,I37,'[1]1_inventory_totals'!$F$8:$F$10000,"="&amp;Q37,'[1]1_inventory_totals'!$G$8:$G$10000,"="&amp;R37)+SUMIFS('[1]1_inventory_totals'!$N$8:$N$10000,'[1]1_inventory_totals'!$C$8:$C$10000,I37,'[1]1_inventory_totals'!$F$8:$F$10000,"="&amp;Q37,'[1]1_inventory_totals'!$G$8:$G$10000,"="&amp;R37)+SUMIFS('[1]1_inventory_totals'!$P$8:$P$10000,'[1]1_inventory_totals'!$C$8:$C$10000,I37,'[1]1_inventory_totals'!$F$8:$F$10000,"="&amp;Q37,'[1]1_inventory_totals'!$G$8:$G$10000,"="&amp;R37)+SUMIFS('[1]1_inventory_totals'!$Q$8:$Q$10000,'[1]1_inventory_totals'!$C$8:$C$10000,I37,'[1]1_inventory_totals'!$F$8:$F$10000,"="&amp;Q37,'[1]1_inventory_totals'!$G$8:$G$10000,"="&amp;R37)+SUMIFS('[1]1_inventory_totals'!$R$8:$R$10000,'[1]1_inventory_totals'!$C$8:$C$10000,I37,'[1]1_inventory_totals'!$F$8:$F$10000,"="&amp;Q37,'[1]1_inventory_totals'!$G$8:$G$10000,"="&amp;R37))+(SUMIFS('[1]1_inventory_totals'!$J$8:$J$10000,'[1]1_inventory_totals'!$C$8:$C$10000,I37,'[1]1_inventory_totals'!$F$8:$F$10000,"="&amp;Q37,'[1]1_inventory_totals'!$G$8:$G$10000,"="&amp;R37)+SUMIFS('[1]1_inventory_totals'!$K$8:$K$10000,'[1]1_inventory_totals'!$C$8:$C$10000,I37,'[1]1_inventory_totals'!$F$8:$F$10000,"="&amp;Q37,'[1]1_inventory_totals'!$G$8:$G$10000,"="&amp;R37)+SUMIFS('[1]1_inventory_totals'!$L$8:$L$10000,'[1]1_inventory_totals'!$C$8:$C$10000,I37,'[1]1_inventory_totals'!$F$8:$F$10000,"="&amp;Q37,'[1]1_inventory_totals'!$G$8:$G$10000,"="&amp;R37)+SUMIFS('[1]1_inventory_totals'!$M$8:$M$10000,'[1]1_inventory_totals'!$C$8:$C$10000,I37,'[1]1_inventory_totals'!$F$8:$F$10000,"="&amp;Q37,'[1]1_inventory_totals'!$G$8:$G$10000,"="&amp;R37)+SUMIFS('[1]1_inventory_totals'!$O$8:$O$10000,'[1]1_inventory_totals'!$C$8:$C$10000,I37,'[1]1_inventory_totals'!$F$8:$F$10000,"="&amp;Q37,'[1]1_inventory_totals'!$G$8:$G$10000,"="&amp;R37)+SUMIFS('[1]1_inventory_totals'!$S$8:$S$10000,'[1]1_inventory_totals'!$C$8:$C$10000,I37,'[1]1_inventory_totals'!$F$8:$F$10000,"="&amp;Q37,'[1]1_inventory_totals'!$G$8:$G$10000,"="&amp;R37)))</f>
        <v/>
      </c>
      <c r="BB37" s="197" t="str">
        <f>IF(M37="","",(SUMIFS('[1]2_inventory_totals'!$I$8:$I$10000,'[1]2_inventory_totals'!$C$8:$C$10000,I37,'[1]2_inventory_totals'!$F$8:$F$10000,"="&amp;Q37,'[1]2_inventory_totals'!$G$8:$G$10000,"="&amp;R37)+SUMIFS('[1]2_inventory_totals'!$N$8:$N$10000,'[1]2_inventory_totals'!$C$8:$C$10000,I37,'[1]2_inventory_totals'!$F$8:$F$10000,"="&amp;Q37,'[1]2_inventory_totals'!$G$8:$G$10000,"="&amp;R37)+SUMIFS('[1]2_inventory_totals'!$P$8:$P$10000,'[1]2_inventory_totals'!$C$8:$C$10000,I37,'[1]2_inventory_totals'!$F$8:$F$10000,"="&amp;Q37,'[1]2_inventory_totals'!$G$8:$G$10000,"="&amp;R37)+SUMIFS('[1]2_inventory_totals'!$Q$8:$Q$10000,'[1]2_inventory_totals'!$C$8:$C$10000,I37,'[1]2_inventory_totals'!$F$8:$F$10000,"="&amp;Q37,'[1]2_inventory_totals'!$G$8:$G$10000,"="&amp;R37)+SUMIFS('[1]2_inventory_totals'!$R$8:$R$10000,'[1]2_inventory_totals'!$C$8:$C$10000,I37,'[1]2_inventory_totals'!$F$8:$F$10000,"="&amp;Q37,'[1]2_inventory_totals'!$G$8:$G$10000,"="&amp;R37))+(SUMIFS('[1]2_inventory_totals'!$J$8:$J$10000,'[1]2_inventory_totals'!$C$8:$C$10000,I37,'[1]2_inventory_totals'!$F$8:$F$10000,"="&amp;Q37,'[1]2_inventory_totals'!$G$8:$G$10000,"="&amp;R37)+SUMIFS('[1]2_inventory_totals'!$K$8:$K$10000,'[1]2_inventory_totals'!$C$8:$C$10000,I37,'[1]2_inventory_totals'!$F$8:$F$10000,"="&amp;Q37,'[1]2_inventory_totals'!$G$8:$G$10000,"="&amp;R37)+SUMIFS('[1]2_inventory_totals'!$L$8:$L$10000,'[1]2_inventory_totals'!$C$8:$C$10000,I37,'[1]2_inventory_totals'!$F$8:$F$10000,"="&amp;Q37,'[1]2_inventory_totals'!$G$8:$G$10000,"="&amp;R37)+SUMIFS('[1]2_inventory_totals'!$M$8:$M$10000,'[1]2_inventory_totals'!$C$8:$C$10000,I37,'[1]2_inventory_totals'!$F$8:$F$10000,"="&amp;Q37,'[1]2_inventory_totals'!$G$8:$G$10000,"="&amp;R37)+SUMIFS('[1]2_inventory_totals'!$O$8:$O$10000,'[1]2_inventory_totals'!$C$8:$C$10000,I37,'[1]2_inventory_totals'!$F$8:$F$10000,"="&amp;Q37,'[1]2_inventory_totals'!$G$8:$G$10000,"="&amp;R37)+SUMIFS('[1]2_inventory_totals'!$S$8:$S$10000,'[1]2_inventory_totals'!$C$8:$C$10000,I37,'[1]2_inventory_totals'!$F$8:$F$10000,"="&amp;Q37,'[1]2_inventory_totals'!$G$8:$G$10000,"="&amp;R37)))</f>
        <v/>
      </c>
    </row>
    <row r="38" spans="1:54" ht="27" customHeight="1">
      <c r="A38" s="923"/>
      <c r="B38" s="1251"/>
      <c r="C38" s="1268"/>
      <c r="D38" s="950"/>
      <c r="E38" s="950"/>
      <c r="F38" s="1262"/>
      <c r="I38" s="1610" t="str">
        <f t="shared" si="10"/>
        <v/>
      </c>
      <c r="J38" s="1611" t="str">
        <f t="shared" si="112"/>
        <v/>
      </c>
      <c r="K38" s="1612" t="str">
        <f t="shared" si="30"/>
        <v/>
      </c>
      <c r="L38" s="1613"/>
      <c r="M38" s="883"/>
      <c r="N38" s="884"/>
      <c r="O38" s="884"/>
      <c r="P38" s="885"/>
      <c r="Q38" s="886"/>
      <c r="R38" s="891"/>
      <c r="S38" s="1614" t="str">
        <f t="shared" ref="S38" si="141">IF(M38="","",quot_currency_symbol)</f>
        <v/>
      </c>
      <c r="T38" s="888"/>
      <c r="U38" s="1650" t="str">
        <f t="shared" si="13"/>
        <v/>
      </c>
      <c r="V38" s="1615" t="str">
        <f t="shared" ref="V38" si="142">IF(W38=0,"",quot_currency_symbol)</f>
        <v/>
      </c>
      <c r="W38" s="889"/>
      <c r="X38" s="1615" t="str">
        <f t="shared" ref="X38" si="143">IF(M38="","",quot_currency_symbol)</f>
        <v/>
      </c>
      <c r="Y38" s="1616" t="str">
        <f t="shared" si="34"/>
        <v/>
      </c>
      <c r="Z38" s="890"/>
      <c r="AA38" s="197" t="str" cm="1">
        <f t="array" ref="AA38">IF(M38="","",IF(P38=AN38,1,Slookup(MID(AN38,1,3)*1,UomConversion!$D$8:$J$500,5,UomConversion!$E$8:$E$500,MID(P38,1,3)*1,UomConversion!$J$8:$J$500,1)))</f>
        <v/>
      </c>
      <c r="AB38" s="197" t="str">
        <f t="shared" si="3"/>
        <v/>
      </c>
      <c r="AC38" s="197" t="str">
        <f t="shared" si="17"/>
        <v/>
      </c>
      <c r="AD38" s="197" t="str">
        <f t="shared" si="18"/>
        <v/>
      </c>
      <c r="AE38" s="197" t="str">
        <f t="shared" si="19"/>
        <v/>
      </c>
      <c r="AF38" s="197" t="str">
        <f t="shared" si="5"/>
        <v/>
      </c>
      <c r="AG38" s="197" t="str">
        <f t="shared" si="6"/>
        <v/>
      </c>
      <c r="AH38" s="197" t="str">
        <f>IF(I38="","",IF(ISNA(MATCH(I38,IF(quot_location_id=1,'[1]1_inventory_totals'!$C$8:$C$10000,IF(quot_location_id=2,'[1]2_inventory_totals'!$C$8:$C$10000,0)),0)),0,IF(AV38&gt;0,1,0)))</f>
        <v/>
      </c>
      <c r="AI38" s="197" t="str">
        <f>IF(M38="","",IF(quot_location_id=1,SUMIFS('[1]1_inventory_total_details'!$J$8:$J$10000,'[1]1_inventory_total_details'!$C$8:$C$10000,I38,'[1]1_inventory_total_details'!$F$8:$F$10000,quot_location_id,'[1]1_inventory_total_details'!$G$8:$G$10000,"="&amp;Q38,'[1]1_inventory_total_details'!$H$8:$H$10000,"="&amp;R38,'[1]1_inventory_total_details'!$I$8:$I$10000,"="&amp;quot_date)+SUMIFS('[1]1_inventory_total_details'!$M$8:$M$10000,'[1]1_inventory_total_details'!$C$8:$C$10000,I38,'[1]1_inventory_total_details'!$F$8:$F$10000,quot_location_id,'[1]1_inventory_total_details'!$G$8:$G$10000,"="&amp;Q38,'[1]1_inventory_total_details'!$H$8:$H$10000,"="&amp;R38,'[1]1_inventory_total_details'!$I$8:$I$10000,"="&amp;quot_date)+SUMIFS('[1]1_inventory_total_details'!$K$8:$K$10000,'[1]1_inventory_total_details'!$C$8:$C$10000,I38,'[1]1_inventory_total_details'!$F$8:$F$10000,quot_location_id,'[1]1_inventory_total_details'!$G$8:$G$10000,"="&amp;Q38,'[1]1_inventory_total_details'!$H$8:$H$10000,"="&amp;R38,'[1]1_inventory_total_details'!$I$8:$I$10000,"="&amp;quot_date)+SUMIFS('[1]1_inventory_total_details'!$L$8:$L$10000,'[1]1_inventory_total_details'!$C$8:$C$10000,I38,'[1]1_inventory_total_details'!$F$8:$F$10000,quot_location_id,'[1]1_inventory_total_details'!$G$8:$G$10000,"="&amp;Q38,'[1]1_inventory_total_details'!$H$8:$H$10000,"="&amp;R38,'[1]1_inventory_total_details'!$I$8:$I$10000,"="&amp;quot_date),SUMIFS('[1]2_inventory_total_details'!$J$8:$J$10000,'[1]2_inventory_total_details'!$C$8:$C$10000,I38,'[1]2_inventory_total_details'!$F$8:$F$10000,quot_location_id,'[1]2_inventory_total_details'!$G$8:$G$10000,"="&amp;Q38,'[1]2_inventory_total_details'!$H$8:$H$10000,"="&amp;R38,'[1]2_inventory_total_details'!$I$8:$I$10000,"="&amp;quot_date)+SUMIFS('[1]2_inventory_total_details'!$M$8:$M$10000,'[1]2_inventory_total_details'!$C$8:$C$10000,I38,'[1]2_inventory_total_details'!$F$8:$F$10000,quot_location_id,'[1]2_inventory_total_details'!$G$8:$G$10000,"="&amp;Q38,'[1]2_inventory_total_details'!$H$8:$H$10000,"="&amp;R38,'[1]2_inventory_total_details'!$I$8:$I$10000,"="&amp;quot_date)+SUMIFS('[1]2_inventory_total_details'!$K$8:$K$10000,'[1]2_inventory_total_details'!$C$8:$C$10000,I38,'[1]2_inventory_total_details'!$F$8:$F$10000,quot_location_id,'[1]2_inventory_total_details'!$G$8:$G$10000,"="&amp;Q38,'[1]2_inventory_total_details'!$H$8:$H$10000,"="&amp;R38,'[1]2_inventory_total_details'!$I$8:$I$10000,"="&amp;quot_date)+SUMIFS('[1]2_inventory_total_details'!$L$8:$L$10000,'[1]2_inventory_total_details'!$C$8:$C$10000,I38,'[1]2_inventory_total_details'!$F$8:$F$10000,quot_location_id,'[1]2_inventory_total_details'!$G$8:$G$10000,"="&amp;Q38,'[1]2_inventory_total_details'!$H$8:$H$10000,"="&amp;R38,'[1]2_inventory_total_details'!$I$8:$I$10000,"="&amp;quot_date)))</f>
        <v/>
      </c>
      <c r="AJ38" s="197" t="str">
        <f>IF(M38="","",IF(ISNA(MATCH(I38,'[1]1_group_totals'!$C$8:$C$10000)),0,IF(AW38&gt;0,1,0)))</f>
        <v/>
      </c>
      <c r="AK38" s="197" t="str">
        <f>IF(M38="","",(SUMIFS('[1]1_group_total_details'!$I$8:$I$10000,'[1]1_group_total_details'!$C$8:$C$10000,I38,'[1]1_group_total_details'!$F$8:$F$10000,quot_location_group_id,'[1]1_group_total_details'!$G$8:$G$10000,quot_location_id,'[1]1_group_total_details'!$H$8:$H$10000,"="&amp;quot_date)+SUMIFS('[1]1_group_total_details'!$L$8:$L$10000,'[1]1_group_total_details'!$C$8:$C$10000,I38,'[1]1_group_total_details'!$F$8:$F$10000,quot_location_group_id,'[1]1_group_total_details'!$G$8:$G$10000,quot_location_id,'[1]1_group_total_details'!$H$8:$H$10000,"="&amp;quot_date)+SUMIFS('[1]1_group_total_details'!$N$8:$N$10000,'[1]1_group_total_details'!$C$8:$C$10000,I38,'[1]1_group_total_details'!$F$8:$F$10000,quot_location_group_id,'[1]1_group_total_details'!$G$8:$G$10000,quot_location_id,'[1]1_group_total_details'!$H$8:$H$10000,"="&amp;quot_date)+SUMIFS('[1]1_group_total_details'!$O$8:$O$10000,'[1]1_group_total_details'!$C$8:$C$10000,I38,'[1]1_group_total_details'!$F$8:$F$10000,quot_location_group_id,'[1]1_group_total_details'!$G$8:$G$10000,quot_location_id,'[1]1_group_total_details'!$H$8:$H$10000,"="&amp;quot_date))+(SUMIFS('[1]1_group_total_details'!$J$8:$J$10000,'[1]1_group_total_details'!$C$8:$C$10000,I38,'[1]1_group_total_details'!$F$8:$F$10000,quot_location_group_id,'[1]1_group_total_details'!$G$8:$G$10000,quot_location_id,'[1]1_group_total_details'!$H$8:$H$10000,"="&amp;quot_date)+SUMIFS('[1]1_group_total_details'!$K$8:$K$10000,'[1]1_group_total_details'!$C$8:$C$10000,I38,'[1]1_group_total_details'!$F$8:$F$10000,quot_location_group_id,'[1]1_group_total_details'!$G$8:$G$10000,quot_location_id,'[1]1_group_total_details'!$H$8:$H$10000,"="&amp;quot_date)+SUMIFS('[1]1_group_total_details'!$M$8:$M$10000,'[1]1_group_total_details'!$C$8:$C$10000,I38,'[1]1_group_total_details'!$F$8:$F$10000,quot_location_group_id,'[1]1_group_total_details'!$G$8:$G$10000,quot_location_id,'[1]1_group_total_details'!$H$8:$H$10000,"="&amp;quot_date)+SUMIFS('[1]1_group_total_details'!$P$8:$P$10000,'[1]1_group_total_details'!$C$8:$C$10000,I38,'[1]1_group_total_details'!$F$8:$F$10000,quot_location_group_id,'[1]1_group_total_details'!$G$8:$G$10000,quot_location_id,'[1]1_group_total_details'!$H$8:$H$10000,"="&amp;quot_date)))</f>
        <v/>
      </c>
      <c r="AL38" s="197" t="str">
        <f>IF(M38="","",(SUMIFS('[1]1_group_total_details'!$I$8:$I$10000,'[1]1_group_total_details'!$C$8:$C$10000,I38,'[1]1_group_total_details'!$F$8:$F$10000,quot_location_group_id,'[1]1_group_total_details'!$G$8:$G$10000,quot_location_id,'[1]1_group_total_details'!$H$8:$H$10000,"&lt;="&amp;quot_date)+SUMIFS('[1]1_group_total_details'!$L$8:$L$10000,'[1]1_group_total_details'!$C$8:$C$10000,I38,'[1]1_group_total_details'!$F$8:$F$10000,quot_location_group_id,'[1]1_group_total_details'!$G$8:$G$10000,1,'[1]1_group_total_details'!$H$8:$H$10000,"&lt;="&amp;quot_date)+SUMIFS('[1]1_group_total_details'!$N$8:$N$10000,'[1]1_group_total_details'!$C$8:$C$10000,I38,'[1]1_group_total_details'!$F$8:$F$10000,quot_location_group_id,'[1]1_group_total_details'!$G$8:$G$10000,quot_location_id,'[1]1_group_total_details'!$H$8:$H$10000,"&lt;="&amp;quot_date)+SUMIFS('[1]1_group_total_details'!$O$8:$O$10000,'[1]1_group_total_details'!$C$8:$C$10000,I38,'[1]1_group_total_details'!$F$8:$F$10000,quot_location_group_id,'[1]1_group_total_details'!$G$8:$G$10000,quot_location_id,'[1]1_group_total_details'!$H$8:$H$10000,"&lt;="&amp;quot_date))-(SUMIFS('[1]1_group_total_details'!$J$8:$J$10000,'[1]1_group_total_details'!$C$8:$C$10000,I38,'[1]1_group_total_details'!$F$8:$F$10000,quot_location_group_id,'[1]1_group_total_details'!$G$8:$G$10000,quot_location_id,'[1]1_group_total_details'!$H$8:$H$10000,"&lt;="&amp;quot_date)+SUMIFS('[1]1_group_total_details'!$K$8:$K$10000,'[1]1_group_total_details'!$C$8:$C$10000,I38,'[1]1_group_total_details'!$F$8:$F$10000,quot_location_group_id,'[1]1_group_total_details'!$G$8:$G$10000,quot_location_id,'[1]1_group_total_details'!$H$8:$H$10000,"&lt;="&amp;quot_date)+SUMIFS('[1]1_group_total_details'!$M$8:$M$10000,'[1]1_group_total_details'!$C$8:$C$10000,I38,'[1]1_group_total_details'!$F$8:$F$10000,quot_location_group_id,'[1]1_group_total_details'!$G$8:$G$10000,quot_location_id,'[1]1_group_total_details'!$H$8:$H$10000,"&lt;="&amp;quot_date)+SUMIFS('[1]1_group_total_details'!$P$8:$P$10000,'[1]1_group_total_details'!$C$8:$C$10000,I38,'[1]1_group_total_details'!$F$8:$F$10000,quot_location_group_id,'[1]1_group_total_details'!$G$8:$G$10000,quot_location_id,'[1]1_group_total_details'!$H$8:$H$10000,"&lt;="&amp;quot_date)))</f>
        <v/>
      </c>
      <c r="AM38" s="197" t="str">
        <f>IF(M38="","",SUMIFS('[1]1_group_totals'!$J$8:$J$10000,'[1]1_group_totals'!$C$8:$C$10000,I38,'[1]1_group_totals'!$F$8:$F$10000,quot_location_group_id,'[1]1_group_totals'!$G$8:$G$10000,quot_location_id,'[1]1_group_totals'!$H$8:$H$10000,"="&amp;Q38,'[1]1_group_totals'!$I$8:$I$10000,"="&amp;R38))</f>
        <v/>
      </c>
      <c r="AN38" s="197" t="str">
        <f t="shared" si="7"/>
        <v/>
      </c>
      <c r="AO38" s="197" t="str">
        <f>IF(OR(ISNA(MATCH(MID(AN38,1,3)*1,UomConversion!$D$8:$D$500,0)),M38=""),"",IF(AT38="","",AT38))</f>
        <v/>
      </c>
      <c r="AP38" s="197" t="str">
        <f>IF(AND(AQ38&gt;0,COUNTIFS(UomConversion!$D$8:$D$500,MID(AN38,1,3)*1,UomConversion!$J$8:$J$500,1)&gt;1),TEXT(AQ38,"000")&amp;"."&amp;VLOOKUP(AQ38,uom_list,5,FALSE),"")</f>
        <v/>
      </c>
      <c r="AQ38" s="197" t="str">
        <f t="shared" si="20"/>
        <v/>
      </c>
      <c r="AR38" s="197" t="str">
        <f t="shared" si="21"/>
        <v/>
      </c>
      <c r="AS38" s="197" t="str">
        <f>IF(M38="","",SUMIFS(ProductPrice!$N$28:$N$10020,ProductPrice!$D$28:$D$10020,I38,ProductPrice!$G$28:$G$10020,quot_branch_id,ProductPrice!$H$28:$H$10020,quot_price_type_id,ProductPrice!$I$28:$I$10020,MID(P38,1,3)*1,ProductPrice!$Q$28:$Q$10020,1))</f>
        <v/>
      </c>
      <c r="AT38" s="197" t="str">
        <f t="shared" si="8"/>
        <v/>
      </c>
      <c r="AU38" s="197" t="str" cm="1">
        <f t="array" ref="AU38">IF(M38="","",IF(ISNA(Slookup(MID(AN38,1,3)*1,UomConversion!$D$8:$J$500,2,UomConversion!$I$8:$I$500,1,UomConversion!$J$8:$J$500,1)),"",Slookup(MID(AN38,1,3)*1,UomConversion!$D$8:$J$500,2,UomConversion!$I$8:$I$500,1,UomConversion!$J$8:$J$500,1)))</f>
        <v/>
      </c>
      <c r="AV38" s="197" t="str">
        <f t="shared" ref="AV38" si="144">IF(M38="","",IF(quot_location_id=1,BA38,IF(quot_location_id=2,BB38,0)))</f>
        <v/>
      </c>
      <c r="AW38" s="197" t="str">
        <f>IF(M38="","",(SUMIFS('[1]1_group_totals'!$K$8:$K$10000,'[1]1_group_totals'!$C$8:$C$10000,I38,'[1]1_group_totals'!$F$8:$F$10000,quot_location_group_id,'[1]1_group_totals'!$G$8:$G$10000,quot_location_id,'[1]1_group_totals'!$H$8:$H$10000,"="&amp;Q38,'[1]1_group_totals'!$I$8:$I$10000,"="&amp;R38)+SUMIFS('[1]1_group_totals'!$N$8:$N$10000,'[1]1_group_totals'!$C$8:$C$10000,I38,'[1]1_group_totals'!$F$8:$F$10000,quot_location_group_id,'[1]1_group_totals'!$G$8:$G$10000,quot_location_id,'[1]1_group_totals'!$H$8:$H$10000,"="&amp;Q38,'[1]1_group_totals'!$I$8:$I$10000,"="&amp;R38)+SUMIFS('[1]1_group_totals'!$P$8:$P$10000,'[1]1_group_totals'!$C$8:$C$10000,I38,'[1]1_group_totals'!$F$8:$F$10000,quot_location_group_id,'[1]1_group_totals'!$G$8:$G$10000,quot_location_id,'[1]1_group_totals'!$H$8:$H$10000,"="&amp;Q38,'[1]1_group_totals'!$I$8:$I$10000,"="&amp;R38)+SUMIFS('[1]1_group_totals'!$Q$8:$Q$10000,'[1]1_group_totals'!$C$8:$C$10000,I38,'[1]1_group_totals'!$F$8:$F$10000,quot_location_group_id,'[1]1_group_totals'!$G$8:$G$10000,quot_location_id,'[1]1_group_totals'!$H$8:$H$10000,"="&amp;Q38,'[1]1_group_totals'!$I$8:$I$10000,"="&amp;R38))+(SUMIFS('[1]1_group_totals'!$L$8:$L$10000,'[1]1_group_totals'!$C$8:$C$10000,I38,'[1]1_group_totals'!$F$8:$F$10000,quot_location_group_id,'[1]1_group_totals'!$G$8:$G$10000,quot_location_id,'[1]1_group_totals'!$H$8:$H$10000,"="&amp;Q38,'[1]1_group_totals'!$I$8:$I$10000,"="&amp;R38)+SUMIFS('[1]1_group_totals'!$M$8:$M$10000,'[1]1_group_totals'!$C$8:$C$10000,I38,'[1]1_group_totals'!$F$8:$F$10000,quot_location_group_id,'[1]1_group_totals'!$G$8:$G$10000,quot_location_id,'[1]1_group_totals'!$H$8:$H$10000,"="&amp;Q38,'[1]1_group_totals'!$I$8:$I$10000,"="&amp;R38)+SUMIFS('[1]1_group_totals'!$O$8:$O$10000,'[1]1_group_totals'!$C$8:$C$10000,I38,'[1]1_group_totals'!$F$8:$F$10000,quot_location_group_id,'[1]1_group_totals'!$G$8:$G$10000,quot_location_id,'[1]1_group_totals'!$H$8:$H$10000,"="&amp;Q38,'[1]1_group_totals'!$I$8:$I$10000,"="&amp;R38)+SUMIFS('[1]1_group_totals'!$R$8:$R$10000,'[1]1_group_totals'!$C$8:$C$10000,I38,'[1]1_group_totals'!$F$8:$F$10000,quot_location_group_id,'[1]1_group_totals'!$G$8:$G$10000,quot_location_id,'[1]1_group_totals'!$H$8:$H$10000,"="&amp;Q38,'[1]1_group_totals'!$I$8:$I$10000,"="&amp;R38)))</f>
        <v/>
      </c>
      <c r="AX38" s="197" t="str">
        <f t="shared" si="23"/>
        <v/>
      </c>
      <c r="AY38" s="197" t="str">
        <f>IF(M38="","",SUMIFS($AX$8:AX38,$I$8:I38,I38))</f>
        <v/>
      </c>
      <c r="AZ38" s="197" t="str">
        <f t="shared" si="24"/>
        <v/>
      </c>
      <c r="BA38" s="197" t="str">
        <f>IF(M38="","",(SUMIFS('[1]1_inventory_totals'!$I$8:$I$10000,'[1]1_inventory_totals'!$C$8:$C$10000,I38,'[1]1_inventory_totals'!$F$8:$F$10000,"="&amp;Q38,'[1]1_inventory_totals'!$G$8:$G$10000,"="&amp;R38)+SUMIFS('[1]1_inventory_totals'!$N$8:$N$10000,'[1]1_inventory_totals'!$C$8:$C$10000,I38,'[1]1_inventory_totals'!$F$8:$F$10000,"="&amp;Q38,'[1]1_inventory_totals'!$G$8:$G$10000,"="&amp;R38)+SUMIFS('[1]1_inventory_totals'!$P$8:$P$10000,'[1]1_inventory_totals'!$C$8:$C$10000,I38,'[1]1_inventory_totals'!$F$8:$F$10000,"="&amp;Q38,'[1]1_inventory_totals'!$G$8:$G$10000,"="&amp;R38)+SUMIFS('[1]1_inventory_totals'!$Q$8:$Q$10000,'[1]1_inventory_totals'!$C$8:$C$10000,I38,'[1]1_inventory_totals'!$F$8:$F$10000,"="&amp;Q38,'[1]1_inventory_totals'!$G$8:$G$10000,"="&amp;R38)+SUMIFS('[1]1_inventory_totals'!$R$8:$R$10000,'[1]1_inventory_totals'!$C$8:$C$10000,I38,'[1]1_inventory_totals'!$F$8:$F$10000,"="&amp;Q38,'[1]1_inventory_totals'!$G$8:$G$10000,"="&amp;R38))+(SUMIFS('[1]1_inventory_totals'!$J$8:$J$10000,'[1]1_inventory_totals'!$C$8:$C$10000,I38,'[1]1_inventory_totals'!$F$8:$F$10000,"="&amp;Q38,'[1]1_inventory_totals'!$G$8:$G$10000,"="&amp;R38)+SUMIFS('[1]1_inventory_totals'!$K$8:$K$10000,'[1]1_inventory_totals'!$C$8:$C$10000,I38,'[1]1_inventory_totals'!$F$8:$F$10000,"="&amp;Q38,'[1]1_inventory_totals'!$G$8:$G$10000,"="&amp;R38)+SUMIFS('[1]1_inventory_totals'!$L$8:$L$10000,'[1]1_inventory_totals'!$C$8:$C$10000,I38,'[1]1_inventory_totals'!$F$8:$F$10000,"="&amp;Q38,'[1]1_inventory_totals'!$G$8:$G$10000,"="&amp;R38)+SUMIFS('[1]1_inventory_totals'!$M$8:$M$10000,'[1]1_inventory_totals'!$C$8:$C$10000,I38,'[1]1_inventory_totals'!$F$8:$F$10000,"="&amp;Q38,'[1]1_inventory_totals'!$G$8:$G$10000,"="&amp;R38)+SUMIFS('[1]1_inventory_totals'!$O$8:$O$10000,'[1]1_inventory_totals'!$C$8:$C$10000,I38,'[1]1_inventory_totals'!$F$8:$F$10000,"="&amp;Q38,'[1]1_inventory_totals'!$G$8:$G$10000,"="&amp;R38)+SUMIFS('[1]1_inventory_totals'!$S$8:$S$10000,'[1]1_inventory_totals'!$C$8:$C$10000,I38,'[1]1_inventory_totals'!$F$8:$F$10000,"="&amp;Q38,'[1]1_inventory_totals'!$G$8:$G$10000,"="&amp;R38)))</f>
        <v/>
      </c>
      <c r="BB38" s="197" t="str">
        <f>IF(M38="","",(SUMIFS('[1]2_inventory_totals'!$I$8:$I$10000,'[1]2_inventory_totals'!$C$8:$C$10000,I38,'[1]2_inventory_totals'!$F$8:$F$10000,"="&amp;Q38,'[1]2_inventory_totals'!$G$8:$G$10000,"="&amp;R38)+SUMIFS('[1]2_inventory_totals'!$N$8:$N$10000,'[1]2_inventory_totals'!$C$8:$C$10000,I38,'[1]2_inventory_totals'!$F$8:$F$10000,"="&amp;Q38,'[1]2_inventory_totals'!$G$8:$G$10000,"="&amp;R38)+SUMIFS('[1]2_inventory_totals'!$P$8:$P$10000,'[1]2_inventory_totals'!$C$8:$C$10000,I38,'[1]2_inventory_totals'!$F$8:$F$10000,"="&amp;Q38,'[1]2_inventory_totals'!$G$8:$G$10000,"="&amp;R38)+SUMIFS('[1]2_inventory_totals'!$Q$8:$Q$10000,'[1]2_inventory_totals'!$C$8:$C$10000,I38,'[1]2_inventory_totals'!$F$8:$F$10000,"="&amp;Q38,'[1]2_inventory_totals'!$G$8:$G$10000,"="&amp;R38)+SUMIFS('[1]2_inventory_totals'!$R$8:$R$10000,'[1]2_inventory_totals'!$C$8:$C$10000,I38,'[1]2_inventory_totals'!$F$8:$F$10000,"="&amp;Q38,'[1]2_inventory_totals'!$G$8:$G$10000,"="&amp;R38))+(SUMIFS('[1]2_inventory_totals'!$J$8:$J$10000,'[1]2_inventory_totals'!$C$8:$C$10000,I38,'[1]2_inventory_totals'!$F$8:$F$10000,"="&amp;Q38,'[1]2_inventory_totals'!$G$8:$G$10000,"="&amp;R38)+SUMIFS('[1]2_inventory_totals'!$K$8:$K$10000,'[1]2_inventory_totals'!$C$8:$C$10000,I38,'[1]2_inventory_totals'!$F$8:$F$10000,"="&amp;Q38,'[1]2_inventory_totals'!$G$8:$G$10000,"="&amp;R38)+SUMIFS('[1]2_inventory_totals'!$L$8:$L$10000,'[1]2_inventory_totals'!$C$8:$C$10000,I38,'[1]2_inventory_totals'!$F$8:$F$10000,"="&amp;Q38,'[1]2_inventory_totals'!$G$8:$G$10000,"="&amp;R38)+SUMIFS('[1]2_inventory_totals'!$M$8:$M$10000,'[1]2_inventory_totals'!$C$8:$C$10000,I38,'[1]2_inventory_totals'!$F$8:$F$10000,"="&amp;Q38,'[1]2_inventory_totals'!$G$8:$G$10000,"="&amp;R38)+SUMIFS('[1]2_inventory_totals'!$O$8:$O$10000,'[1]2_inventory_totals'!$C$8:$C$10000,I38,'[1]2_inventory_totals'!$F$8:$F$10000,"="&amp;Q38,'[1]2_inventory_totals'!$G$8:$G$10000,"="&amp;R38)+SUMIFS('[1]2_inventory_totals'!$S$8:$S$10000,'[1]2_inventory_totals'!$C$8:$C$10000,I38,'[1]2_inventory_totals'!$F$8:$F$10000,"="&amp;Q38,'[1]2_inventory_totals'!$G$8:$G$10000,"="&amp;R38)))</f>
        <v/>
      </c>
    </row>
    <row r="39" spans="1:54" ht="27" customHeight="1">
      <c r="A39" s="923"/>
      <c r="B39" s="1251"/>
      <c r="C39" s="1268"/>
      <c r="D39" s="950"/>
      <c r="E39" s="950"/>
      <c r="F39" s="1262"/>
      <c r="I39" s="1610" t="str">
        <f t="shared" si="10"/>
        <v/>
      </c>
      <c r="J39" s="1611" t="str">
        <f t="shared" si="112"/>
        <v/>
      </c>
      <c r="K39" s="1612" t="str">
        <f t="shared" si="30"/>
        <v/>
      </c>
      <c r="L39" s="1613"/>
      <c r="M39" s="883"/>
      <c r="N39" s="884"/>
      <c r="O39" s="884"/>
      <c r="P39" s="885"/>
      <c r="Q39" s="886"/>
      <c r="R39" s="891"/>
      <c r="S39" s="1614" t="str">
        <f t="shared" ref="S39" si="145">IF(M39="","",quot_currency_symbol)</f>
        <v/>
      </c>
      <c r="T39" s="888"/>
      <c r="U39" s="1650" t="str">
        <f t="shared" si="13"/>
        <v/>
      </c>
      <c r="V39" s="1615" t="str">
        <f t="shared" ref="V39" si="146">IF(W39=0,"",quot_currency_symbol)</f>
        <v/>
      </c>
      <c r="W39" s="889"/>
      <c r="X39" s="1615" t="str">
        <f t="shared" ref="X39" si="147">IF(M39="","",quot_currency_symbol)</f>
        <v/>
      </c>
      <c r="Y39" s="1616" t="str">
        <f t="shared" si="34"/>
        <v/>
      </c>
      <c r="Z39" s="890"/>
      <c r="AA39" s="197" t="str" cm="1">
        <f t="array" ref="AA39">IF(M39="","",IF(P39=AN39,1,Slookup(MID(AN39,1,3)*1,UomConversion!$D$8:$J$500,5,UomConversion!$E$8:$E$500,MID(P39,1,3)*1,UomConversion!$J$8:$J$500,1)))</f>
        <v/>
      </c>
      <c r="AB39" s="197" t="str">
        <f t="shared" si="3"/>
        <v/>
      </c>
      <c r="AC39" s="197" t="str">
        <f t="shared" si="17"/>
        <v/>
      </c>
      <c r="AD39" s="197" t="str">
        <f t="shared" si="18"/>
        <v/>
      </c>
      <c r="AE39" s="197" t="str">
        <f t="shared" si="19"/>
        <v/>
      </c>
      <c r="AF39" s="197" t="str">
        <f t="shared" si="5"/>
        <v/>
      </c>
      <c r="AG39" s="197" t="str">
        <f t="shared" si="6"/>
        <v/>
      </c>
      <c r="AH39" s="197" t="str">
        <f>IF(I39="","",IF(ISNA(MATCH(I39,IF(quot_location_id=1,'[1]1_inventory_totals'!$C$8:$C$10000,IF(quot_location_id=2,'[1]2_inventory_totals'!$C$8:$C$10000,0)),0)),0,IF(AV39&gt;0,1,0)))</f>
        <v/>
      </c>
      <c r="AI39" s="197" t="str">
        <f>IF(M39="","",IF(quot_location_id=1,SUMIFS('[1]1_inventory_total_details'!$J$8:$J$10000,'[1]1_inventory_total_details'!$C$8:$C$10000,I39,'[1]1_inventory_total_details'!$F$8:$F$10000,quot_location_id,'[1]1_inventory_total_details'!$G$8:$G$10000,"="&amp;Q39,'[1]1_inventory_total_details'!$H$8:$H$10000,"="&amp;R39,'[1]1_inventory_total_details'!$I$8:$I$10000,"="&amp;quot_date)+SUMIFS('[1]1_inventory_total_details'!$M$8:$M$10000,'[1]1_inventory_total_details'!$C$8:$C$10000,I39,'[1]1_inventory_total_details'!$F$8:$F$10000,quot_location_id,'[1]1_inventory_total_details'!$G$8:$G$10000,"="&amp;Q39,'[1]1_inventory_total_details'!$H$8:$H$10000,"="&amp;R39,'[1]1_inventory_total_details'!$I$8:$I$10000,"="&amp;quot_date)+SUMIFS('[1]1_inventory_total_details'!$K$8:$K$10000,'[1]1_inventory_total_details'!$C$8:$C$10000,I39,'[1]1_inventory_total_details'!$F$8:$F$10000,quot_location_id,'[1]1_inventory_total_details'!$G$8:$G$10000,"="&amp;Q39,'[1]1_inventory_total_details'!$H$8:$H$10000,"="&amp;R39,'[1]1_inventory_total_details'!$I$8:$I$10000,"="&amp;quot_date)+SUMIFS('[1]1_inventory_total_details'!$L$8:$L$10000,'[1]1_inventory_total_details'!$C$8:$C$10000,I39,'[1]1_inventory_total_details'!$F$8:$F$10000,quot_location_id,'[1]1_inventory_total_details'!$G$8:$G$10000,"="&amp;Q39,'[1]1_inventory_total_details'!$H$8:$H$10000,"="&amp;R39,'[1]1_inventory_total_details'!$I$8:$I$10000,"="&amp;quot_date),SUMIFS('[1]2_inventory_total_details'!$J$8:$J$10000,'[1]2_inventory_total_details'!$C$8:$C$10000,I39,'[1]2_inventory_total_details'!$F$8:$F$10000,quot_location_id,'[1]2_inventory_total_details'!$G$8:$G$10000,"="&amp;Q39,'[1]2_inventory_total_details'!$H$8:$H$10000,"="&amp;R39,'[1]2_inventory_total_details'!$I$8:$I$10000,"="&amp;quot_date)+SUMIFS('[1]2_inventory_total_details'!$M$8:$M$10000,'[1]2_inventory_total_details'!$C$8:$C$10000,I39,'[1]2_inventory_total_details'!$F$8:$F$10000,quot_location_id,'[1]2_inventory_total_details'!$G$8:$G$10000,"="&amp;Q39,'[1]2_inventory_total_details'!$H$8:$H$10000,"="&amp;R39,'[1]2_inventory_total_details'!$I$8:$I$10000,"="&amp;quot_date)+SUMIFS('[1]2_inventory_total_details'!$K$8:$K$10000,'[1]2_inventory_total_details'!$C$8:$C$10000,I39,'[1]2_inventory_total_details'!$F$8:$F$10000,quot_location_id,'[1]2_inventory_total_details'!$G$8:$G$10000,"="&amp;Q39,'[1]2_inventory_total_details'!$H$8:$H$10000,"="&amp;R39,'[1]2_inventory_total_details'!$I$8:$I$10000,"="&amp;quot_date)+SUMIFS('[1]2_inventory_total_details'!$L$8:$L$10000,'[1]2_inventory_total_details'!$C$8:$C$10000,I39,'[1]2_inventory_total_details'!$F$8:$F$10000,quot_location_id,'[1]2_inventory_total_details'!$G$8:$G$10000,"="&amp;Q39,'[1]2_inventory_total_details'!$H$8:$H$10000,"="&amp;R39,'[1]2_inventory_total_details'!$I$8:$I$10000,"="&amp;quot_date)))</f>
        <v/>
      </c>
      <c r="AJ39" s="197" t="str">
        <f>IF(M39="","",IF(ISNA(MATCH(I39,'[1]1_group_totals'!$C$8:$C$10000)),0,IF(AW39&gt;0,1,0)))</f>
        <v/>
      </c>
      <c r="AK39" s="197" t="str">
        <f>IF(M39="","",(SUMIFS('[1]1_group_total_details'!$I$8:$I$10000,'[1]1_group_total_details'!$C$8:$C$10000,I39,'[1]1_group_total_details'!$F$8:$F$10000,quot_location_group_id,'[1]1_group_total_details'!$G$8:$G$10000,quot_location_id,'[1]1_group_total_details'!$H$8:$H$10000,"="&amp;quot_date)+SUMIFS('[1]1_group_total_details'!$L$8:$L$10000,'[1]1_group_total_details'!$C$8:$C$10000,I39,'[1]1_group_total_details'!$F$8:$F$10000,quot_location_group_id,'[1]1_group_total_details'!$G$8:$G$10000,quot_location_id,'[1]1_group_total_details'!$H$8:$H$10000,"="&amp;quot_date)+SUMIFS('[1]1_group_total_details'!$N$8:$N$10000,'[1]1_group_total_details'!$C$8:$C$10000,I39,'[1]1_group_total_details'!$F$8:$F$10000,quot_location_group_id,'[1]1_group_total_details'!$G$8:$G$10000,quot_location_id,'[1]1_group_total_details'!$H$8:$H$10000,"="&amp;quot_date)+SUMIFS('[1]1_group_total_details'!$O$8:$O$10000,'[1]1_group_total_details'!$C$8:$C$10000,I39,'[1]1_group_total_details'!$F$8:$F$10000,quot_location_group_id,'[1]1_group_total_details'!$G$8:$G$10000,quot_location_id,'[1]1_group_total_details'!$H$8:$H$10000,"="&amp;quot_date))+(SUMIFS('[1]1_group_total_details'!$J$8:$J$10000,'[1]1_group_total_details'!$C$8:$C$10000,I39,'[1]1_group_total_details'!$F$8:$F$10000,quot_location_group_id,'[1]1_group_total_details'!$G$8:$G$10000,quot_location_id,'[1]1_group_total_details'!$H$8:$H$10000,"="&amp;quot_date)+SUMIFS('[1]1_group_total_details'!$K$8:$K$10000,'[1]1_group_total_details'!$C$8:$C$10000,I39,'[1]1_group_total_details'!$F$8:$F$10000,quot_location_group_id,'[1]1_group_total_details'!$G$8:$G$10000,quot_location_id,'[1]1_group_total_details'!$H$8:$H$10000,"="&amp;quot_date)+SUMIFS('[1]1_group_total_details'!$M$8:$M$10000,'[1]1_group_total_details'!$C$8:$C$10000,I39,'[1]1_group_total_details'!$F$8:$F$10000,quot_location_group_id,'[1]1_group_total_details'!$G$8:$G$10000,quot_location_id,'[1]1_group_total_details'!$H$8:$H$10000,"="&amp;quot_date)+SUMIFS('[1]1_group_total_details'!$P$8:$P$10000,'[1]1_group_total_details'!$C$8:$C$10000,I39,'[1]1_group_total_details'!$F$8:$F$10000,quot_location_group_id,'[1]1_group_total_details'!$G$8:$G$10000,quot_location_id,'[1]1_group_total_details'!$H$8:$H$10000,"="&amp;quot_date)))</f>
        <v/>
      </c>
      <c r="AL39" s="197" t="str">
        <f>IF(M39="","",(SUMIFS('[1]1_group_total_details'!$I$8:$I$10000,'[1]1_group_total_details'!$C$8:$C$10000,I39,'[1]1_group_total_details'!$F$8:$F$10000,quot_location_group_id,'[1]1_group_total_details'!$G$8:$G$10000,quot_location_id,'[1]1_group_total_details'!$H$8:$H$10000,"&lt;="&amp;quot_date)+SUMIFS('[1]1_group_total_details'!$L$8:$L$10000,'[1]1_group_total_details'!$C$8:$C$10000,I39,'[1]1_group_total_details'!$F$8:$F$10000,quot_location_group_id,'[1]1_group_total_details'!$G$8:$G$10000,1,'[1]1_group_total_details'!$H$8:$H$10000,"&lt;="&amp;quot_date)+SUMIFS('[1]1_group_total_details'!$N$8:$N$10000,'[1]1_group_total_details'!$C$8:$C$10000,I39,'[1]1_group_total_details'!$F$8:$F$10000,quot_location_group_id,'[1]1_group_total_details'!$G$8:$G$10000,quot_location_id,'[1]1_group_total_details'!$H$8:$H$10000,"&lt;="&amp;quot_date)+SUMIFS('[1]1_group_total_details'!$O$8:$O$10000,'[1]1_group_total_details'!$C$8:$C$10000,I39,'[1]1_group_total_details'!$F$8:$F$10000,quot_location_group_id,'[1]1_group_total_details'!$G$8:$G$10000,quot_location_id,'[1]1_group_total_details'!$H$8:$H$10000,"&lt;="&amp;quot_date))-(SUMIFS('[1]1_group_total_details'!$J$8:$J$10000,'[1]1_group_total_details'!$C$8:$C$10000,I39,'[1]1_group_total_details'!$F$8:$F$10000,quot_location_group_id,'[1]1_group_total_details'!$G$8:$G$10000,quot_location_id,'[1]1_group_total_details'!$H$8:$H$10000,"&lt;="&amp;quot_date)+SUMIFS('[1]1_group_total_details'!$K$8:$K$10000,'[1]1_group_total_details'!$C$8:$C$10000,I39,'[1]1_group_total_details'!$F$8:$F$10000,quot_location_group_id,'[1]1_group_total_details'!$G$8:$G$10000,quot_location_id,'[1]1_group_total_details'!$H$8:$H$10000,"&lt;="&amp;quot_date)+SUMIFS('[1]1_group_total_details'!$M$8:$M$10000,'[1]1_group_total_details'!$C$8:$C$10000,I39,'[1]1_group_total_details'!$F$8:$F$10000,quot_location_group_id,'[1]1_group_total_details'!$G$8:$G$10000,quot_location_id,'[1]1_group_total_details'!$H$8:$H$10000,"&lt;="&amp;quot_date)+SUMIFS('[1]1_group_total_details'!$P$8:$P$10000,'[1]1_group_total_details'!$C$8:$C$10000,I39,'[1]1_group_total_details'!$F$8:$F$10000,quot_location_group_id,'[1]1_group_total_details'!$G$8:$G$10000,quot_location_id,'[1]1_group_total_details'!$H$8:$H$10000,"&lt;="&amp;quot_date)))</f>
        <v/>
      </c>
      <c r="AM39" s="197" t="str">
        <f>IF(M39="","",SUMIFS('[1]1_group_totals'!$J$8:$J$10000,'[1]1_group_totals'!$C$8:$C$10000,I39,'[1]1_group_totals'!$F$8:$F$10000,quot_location_group_id,'[1]1_group_totals'!$G$8:$G$10000,quot_location_id,'[1]1_group_totals'!$H$8:$H$10000,"="&amp;Q39,'[1]1_group_totals'!$I$8:$I$10000,"="&amp;R39))</f>
        <v/>
      </c>
      <c r="AN39" s="197" t="str">
        <f t="shared" si="7"/>
        <v/>
      </c>
      <c r="AO39" s="197" t="str">
        <f>IF(OR(ISNA(MATCH(MID(AN39,1,3)*1,UomConversion!$D$8:$D$500,0)),M39=""),"",IF(AT39="","",AT39))</f>
        <v/>
      </c>
      <c r="AP39" s="197" t="str">
        <f>IF(AND(AQ39&gt;0,COUNTIFS(UomConversion!$D$8:$D$500,MID(AN39,1,3)*1,UomConversion!$J$8:$J$500,1)&gt;1),TEXT(AQ39,"000")&amp;"."&amp;VLOOKUP(AQ39,uom_list,5,FALSE),"")</f>
        <v/>
      </c>
      <c r="AQ39" s="197" t="str">
        <f t="shared" si="20"/>
        <v/>
      </c>
      <c r="AR39" s="197" t="str">
        <f t="shared" si="21"/>
        <v/>
      </c>
      <c r="AS39" s="197" t="str">
        <f>IF(M39="","",SUMIFS(ProductPrice!$N$28:$N$10020,ProductPrice!$D$28:$D$10020,I39,ProductPrice!$G$28:$G$10020,quot_branch_id,ProductPrice!$H$28:$H$10020,quot_price_type_id,ProductPrice!$I$28:$I$10020,MID(P39,1,3)*1,ProductPrice!$Q$28:$Q$10020,1))</f>
        <v/>
      </c>
      <c r="AT39" s="197" t="str">
        <f t="shared" si="8"/>
        <v/>
      </c>
      <c r="AU39" s="197" t="str" cm="1">
        <f t="array" ref="AU39">IF(M39="","",IF(ISNA(Slookup(MID(AN39,1,3)*1,UomConversion!$D$8:$J$500,2,UomConversion!$I$8:$I$500,1,UomConversion!$J$8:$J$500,1)),"",Slookup(MID(AN39,1,3)*1,UomConversion!$D$8:$J$500,2,UomConversion!$I$8:$I$500,1,UomConversion!$J$8:$J$500,1)))</f>
        <v/>
      </c>
      <c r="AV39" s="197" t="str">
        <f t="shared" ref="AV39" si="148">IF(M39="","",IF(quot_location_id=1,BA39,IF(quot_location_id=2,BB39,0)))</f>
        <v/>
      </c>
      <c r="AW39" s="197" t="str">
        <f>IF(M39="","",(SUMIFS('[1]1_group_totals'!$K$8:$K$10000,'[1]1_group_totals'!$C$8:$C$10000,I39,'[1]1_group_totals'!$F$8:$F$10000,quot_location_group_id,'[1]1_group_totals'!$G$8:$G$10000,quot_location_id,'[1]1_group_totals'!$H$8:$H$10000,"="&amp;Q39,'[1]1_group_totals'!$I$8:$I$10000,"="&amp;R39)+SUMIFS('[1]1_group_totals'!$N$8:$N$10000,'[1]1_group_totals'!$C$8:$C$10000,I39,'[1]1_group_totals'!$F$8:$F$10000,quot_location_group_id,'[1]1_group_totals'!$G$8:$G$10000,quot_location_id,'[1]1_group_totals'!$H$8:$H$10000,"="&amp;Q39,'[1]1_group_totals'!$I$8:$I$10000,"="&amp;R39)+SUMIFS('[1]1_group_totals'!$P$8:$P$10000,'[1]1_group_totals'!$C$8:$C$10000,I39,'[1]1_group_totals'!$F$8:$F$10000,quot_location_group_id,'[1]1_group_totals'!$G$8:$G$10000,quot_location_id,'[1]1_group_totals'!$H$8:$H$10000,"="&amp;Q39,'[1]1_group_totals'!$I$8:$I$10000,"="&amp;R39)+SUMIFS('[1]1_group_totals'!$Q$8:$Q$10000,'[1]1_group_totals'!$C$8:$C$10000,I39,'[1]1_group_totals'!$F$8:$F$10000,quot_location_group_id,'[1]1_group_totals'!$G$8:$G$10000,quot_location_id,'[1]1_group_totals'!$H$8:$H$10000,"="&amp;Q39,'[1]1_group_totals'!$I$8:$I$10000,"="&amp;R39))+(SUMIFS('[1]1_group_totals'!$L$8:$L$10000,'[1]1_group_totals'!$C$8:$C$10000,I39,'[1]1_group_totals'!$F$8:$F$10000,quot_location_group_id,'[1]1_group_totals'!$G$8:$G$10000,quot_location_id,'[1]1_group_totals'!$H$8:$H$10000,"="&amp;Q39,'[1]1_group_totals'!$I$8:$I$10000,"="&amp;R39)+SUMIFS('[1]1_group_totals'!$M$8:$M$10000,'[1]1_group_totals'!$C$8:$C$10000,I39,'[1]1_group_totals'!$F$8:$F$10000,quot_location_group_id,'[1]1_group_totals'!$G$8:$G$10000,quot_location_id,'[1]1_group_totals'!$H$8:$H$10000,"="&amp;Q39,'[1]1_group_totals'!$I$8:$I$10000,"="&amp;R39)+SUMIFS('[1]1_group_totals'!$O$8:$O$10000,'[1]1_group_totals'!$C$8:$C$10000,I39,'[1]1_group_totals'!$F$8:$F$10000,quot_location_group_id,'[1]1_group_totals'!$G$8:$G$10000,quot_location_id,'[1]1_group_totals'!$H$8:$H$10000,"="&amp;Q39,'[1]1_group_totals'!$I$8:$I$10000,"="&amp;R39)+SUMIFS('[1]1_group_totals'!$R$8:$R$10000,'[1]1_group_totals'!$C$8:$C$10000,I39,'[1]1_group_totals'!$F$8:$F$10000,quot_location_group_id,'[1]1_group_totals'!$G$8:$G$10000,quot_location_id,'[1]1_group_totals'!$H$8:$H$10000,"="&amp;Q39,'[1]1_group_totals'!$I$8:$I$10000,"="&amp;R39)))</f>
        <v/>
      </c>
      <c r="AX39" s="197" t="str">
        <f t="shared" si="23"/>
        <v/>
      </c>
      <c r="AY39" s="197" t="str">
        <f>IF(M39="","",SUMIFS($AX$8:AX39,$I$8:I39,I39))</f>
        <v/>
      </c>
      <c r="AZ39" s="197" t="str">
        <f t="shared" si="24"/>
        <v/>
      </c>
      <c r="BA39" s="197" t="str">
        <f>IF(M39="","",(SUMIFS('[1]1_inventory_totals'!$I$8:$I$10000,'[1]1_inventory_totals'!$C$8:$C$10000,I39,'[1]1_inventory_totals'!$F$8:$F$10000,"="&amp;Q39,'[1]1_inventory_totals'!$G$8:$G$10000,"="&amp;R39)+SUMIFS('[1]1_inventory_totals'!$N$8:$N$10000,'[1]1_inventory_totals'!$C$8:$C$10000,I39,'[1]1_inventory_totals'!$F$8:$F$10000,"="&amp;Q39,'[1]1_inventory_totals'!$G$8:$G$10000,"="&amp;R39)+SUMIFS('[1]1_inventory_totals'!$P$8:$P$10000,'[1]1_inventory_totals'!$C$8:$C$10000,I39,'[1]1_inventory_totals'!$F$8:$F$10000,"="&amp;Q39,'[1]1_inventory_totals'!$G$8:$G$10000,"="&amp;R39)+SUMIFS('[1]1_inventory_totals'!$Q$8:$Q$10000,'[1]1_inventory_totals'!$C$8:$C$10000,I39,'[1]1_inventory_totals'!$F$8:$F$10000,"="&amp;Q39,'[1]1_inventory_totals'!$G$8:$G$10000,"="&amp;R39)+SUMIFS('[1]1_inventory_totals'!$R$8:$R$10000,'[1]1_inventory_totals'!$C$8:$C$10000,I39,'[1]1_inventory_totals'!$F$8:$F$10000,"="&amp;Q39,'[1]1_inventory_totals'!$G$8:$G$10000,"="&amp;R39))+(SUMIFS('[1]1_inventory_totals'!$J$8:$J$10000,'[1]1_inventory_totals'!$C$8:$C$10000,I39,'[1]1_inventory_totals'!$F$8:$F$10000,"="&amp;Q39,'[1]1_inventory_totals'!$G$8:$G$10000,"="&amp;R39)+SUMIFS('[1]1_inventory_totals'!$K$8:$K$10000,'[1]1_inventory_totals'!$C$8:$C$10000,I39,'[1]1_inventory_totals'!$F$8:$F$10000,"="&amp;Q39,'[1]1_inventory_totals'!$G$8:$G$10000,"="&amp;R39)+SUMIFS('[1]1_inventory_totals'!$L$8:$L$10000,'[1]1_inventory_totals'!$C$8:$C$10000,I39,'[1]1_inventory_totals'!$F$8:$F$10000,"="&amp;Q39,'[1]1_inventory_totals'!$G$8:$G$10000,"="&amp;R39)+SUMIFS('[1]1_inventory_totals'!$M$8:$M$10000,'[1]1_inventory_totals'!$C$8:$C$10000,I39,'[1]1_inventory_totals'!$F$8:$F$10000,"="&amp;Q39,'[1]1_inventory_totals'!$G$8:$G$10000,"="&amp;R39)+SUMIFS('[1]1_inventory_totals'!$O$8:$O$10000,'[1]1_inventory_totals'!$C$8:$C$10000,I39,'[1]1_inventory_totals'!$F$8:$F$10000,"="&amp;Q39,'[1]1_inventory_totals'!$G$8:$G$10000,"="&amp;R39)+SUMIFS('[1]1_inventory_totals'!$S$8:$S$10000,'[1]1_inventory_totals'!$C$8:$C$10000,I39,'[1]1_inventory_totals'!$F$8:$F$10000,"="&amp;Q39,'[1]1_inventory_totals'!$G$8:$G$10000,"="&amp;R39)))</f>
        <v/>
      </c>
      <c r="BB39" s="197" t="str">
        <f>IF(M39="","",(SUMIFS('[1]2_inventory_totals'!$I$8:$I$10000,'[1]2_inventory_totals'!$C$8:$C$10000,I39,'[1]2_inventory_totals'!$F$8:$F$10000,"="&amp;Q39,'[1]2_inventory_totals'!$G$8:$G$10000,"="&amp;R39)+SUMIFS('[1]2_inventory_totals'!$N$8:$N$10000,'[1]2_inventory_totals'!$C$8:$C$10000,I39,'[1]2_inventory_totals'!$F$8:$F$10000,"="&amp;Q39,'[1]2_inventory_totals'!$G$8:$G$10000,"="&amp;R39)+SUMIFS('[1]2_inventory_totals'!$P$8:$P$10000,'[1]2_inventory_totals'!$C$8:$C$10000,I39,'[1]2_inventory_totals'!$F$8:$F$10000,"="&amp;Q39,'[1]2_inventory_totals'!$G$8:$G$10000,"="&amp;R39)+SUMIFS('[1]2_inventory_totals'!$Q$8:$Q$10000,'[1]2_inventory_totals'!$C$8:$C$10000,I39,'[1]2_inventory_totals'!$F$8:$F$10000,"="&amp;Q39,'[1]2_inventory_totals'!$G$8:$G$10000,"="&amp;R39)+SUMIFS('[1]2_inventory_totals'!$R$8:$R$10000,'[1]2_inventory_totals'!$C$8:$C$10000,I39,'[1]2_inventory_totals'!$F$8:$F$10000,"="&amp;Q39,'[1]2_inventory_totals'!$G$8:$G$10000,"="&amp;R39))+(SUMIFS('[1]2_inventory_totals'!$J$8:$J$10000,'[1]2_inventory_totals'!$C$8:$C$10000,I39,'[1]2_inventory_totals'!$F$8:$F$10000,"="&amp;Q39,'[1]2_inventory_totals'!$G$8:$G$10000,"="&amp;R39)+SUMIFS('[1]2_inventory_totals'!$K$8:$K$10000,'[1]2_inventory_totals'!$C$8:$C$10000,I39,'[1]2_inventory_totals'!$F$8:$F$10000,"="&amp;Q39,'[1]2_inventory_totals'!$G$8:$G$10000,"="&amp;R39)+SUMIFS('[1]2_inventory_totals'!$L$8:$L$10000,'[1]2_inventory_totals'!$C$8:$C$10000,I39,'[1]2_inventory_totals'!$F$8:$F$10000,"="&amp;Q39,'[1]2_inventory_totals'!$G$8:$G$10000,"="&amp;R39)+SUMIFS('[1]2_inventory_totals'!$M$8:$M$10000,'[1]2_inventory_totals'!$C$8:$C$10000,I39,'[1]2_inventory_totals'!$F$8:$F$10000,"="&amp;Q39,'[1]2_inventory_totals'!$G$8:$G$10000,"="&amp;R39)+SUMIFS('[1]2_inventory_totals'!$O$8:$O$10000,'[1]2_inventory_totals'!$C$8:$C$10000,I39,'[1]2_inventory_totals'!$F$8:$F$10000,"="&amp;Q39,'[1]2_inventory_totals'!$G$8:$G$10000,"="&amp;R39)+SUMIFS('[1]2_inventory_totals'!$S$8:$S$10000,'[1]2_inventory_totals'!$C$8:$C$10000,I39,'[1]2_inventory_totals'!$F$8:$F$10000,"="&amp;Q39,'[1]2_inventory_totals'!$G$8:$G$10000,"="&amp;R39)))</f>
        <v/>
      </c>
    </row>
    <row r="40" spans="1:54" ht="27" customHeight="1">
      <c r="A40" s="923"/>
      <c r="B40" s="1251"/>
      <c r="C40" s="1268"/>
      <c r="D40" s="950"/>
      <c r="E40" s="950"/>
      <c r="F40" s="1262"/>
      <c r="I40" s="1610" t="str">
        <f t="shared" si="10"/>
        <v/>
      </c>
      <c r="J40" s="1611" t="str">
        <f t="shared" si="112"/>
        <v/>
      </c>
      <c r="K40" s="1612" t="str">
        <f t="shared" si="30"/>
        <v/>
      </c>
      <c r="L40" s="1613"/>
      <c r="M40" s="883"/>
      <c r="N40" s="884"/>
      <c r="O40" s="884"/>
      <c r="P40" s="885"/>
      <c r="Q40" s="886"/>
      <c r="R40" s="891"/>
      <c r="S40" s="1614" t="str">
        <f t="shared" ref="S40" si="149">IF(M40="","",quot_currency_symbol)</f>
        <v/>
      </c>
      <c r="T40" s="888"/>
      <c r="U40" s="1650" t="str">
        <f t="shared" si="13"/>
        <v/>
      </c>
      <c r="V40" s="1615" t="str">
        <f t="shared" ref="V40" si="150">IF(W40=0,"",quot_currency_symbol)</f>
        <v/>
      </c>
      <c r="W40" s="889"/>
      <c r="X40" s="1615" t="str">
        <f t="shared" ref="X40" si="151">IF(M40="","",quot_currency_symbol)</f>
        <v/>
      </c>
      <c r="Y40" s="1616" t="str">
        <f t="shared" si="34"/>
        <v/>
      </c>
      <c r="Z40" s="890"/>
      <c r="AA40" s="197" t="str" cm="1">
        <f t="array" ref="AA40">IF(M40="","",IF(P40=AN40,1,Slookup(MID(AN40,1,3)*1,UomConversion!$D$8:$J$500,5,UomConversion!$E$8:$E$500,MID(P40,1,3)*1,UomConversion!$J$8:$J$500,1)))</f>
        <v/>
      </c>
      <c r="AB40" s="197" t="str">
        <f t="shared" si="3"/>
        <v/>
      </c>
      <c r="AC40" s="197" t="str">
        <f t="shared" si="17"/>
        <v/>
      </c>
      <c r="AD40" s="197" t="str">
        <f t="shared" si="18"/>
        <v/>
      </c>
      <c r="AE40" s="197" t="str">
        <f t="shared" si="19"/>
        <v/>
      </c>
      <c r="AF40" s="197" t="str">
        <f t="shared" ref="AF40:AF71" si="152">IF(M40="","",VLOOKUP(I40,product_list,15,FALSE))</f>
        <v/>
      </c>
      <c r="AG40" s="197" t="str">
        <f t="shared" si="6"/>
        <v/>
      </c>
      <c r="AH40" s="197" t="str">
        <f>IF(I40="","",IF(ISNA(MATCH(I40,IF(quot_location_id=1,'[1]1_inventory_totals'!$C$8:$C$10000,IF(quot_location_id=2,'[1]2_inventory_totals'!$C$8:$C$10000,0)),0)),0,IF(AV40&gt;0,1,0)))</f>
        <v/>
      </c>
      <c r="AI40" s="197" t="str">
        <f>IF(M40="","",IF(quot_location_id=1,SUMIFS('[1]1_inventory_total_details'!$J$8:$J$10000,'[1]1_inventory_total_details'!$C$8:$C$10000,I40,'[1]1_inventory_total_details'!$F$8:$F$10000,quot_location_id,'[1]1_inventory_total_details'!$G$8:$G$10000,"="&amp;Q40,'[1]1_inventory_total_details'!$H$8:$H$10000,"="&amp;R40,'[1]1_inventory_total_details'!$I$8:$I$10000,"="&amp;quot_date)+SUMIFS('[1]1_inventory_total_details'!$M$8:$M$10000,'[1]1_inventory_total_details'!$C$8:$C$10000,I40,'[1]1_inventory_total_details'!$F$8:$F$10000,quot_location_id,'[1]1_inventory_total_details'!$G$8:$G$10000,"="&amp;Q40,'[1]1_inventory_total_details'!$H$8:$H$10000,"="&amp;R40,'[1]1_inventory_total_details'!$I$8:$I$10000,"="&amp;quot_date)+SUMIFS('[1]1_inventory_total_details'!$K$8:$K$10000,'[1]1_inventory_total_details'!$C$8:$C$10000,I40,'[1]1_inventory_total_details'!$F$8:$F$10000,quot_location_id,'[1]1_inventory_total_details'!$G$8:$G$10000,"="&amp;Q40,'[1]1_inventory_total_details'!$H$8:$H$10000,"="&amp;R40,'[1]1_inventory_total_details'!$I$8:$I$10000,"="&amp;quot_date)+SUMIFS('[1]1_inventory_total_details'!$L$8:$L$10000,'[1]1_inventory_total_details'!$C$8:$C$10000,I40,'[1]1_inventory_total_details'!$F$8:$F$10000,quot_location_id,'[1]1_inventory_total_details'!$G$8:$G$10000,"="&amp;Q40,'[1]1_inventory_total_details'!$H$8:$H$10000,"="&amp;R40,'[1]1_inventory_total_details'!$I$8:$I$10000,"="&amp;quot_date),SUMIFS('[1]2_inventory_total_details'!$J$8:$J$10000,'[1]2_inventory_total_details'!$C$8:$C$10000,I40,'[1]2_inventory_total_details'!$F$8:$F$10000,quot_location_id,'[1]2_inventory_total_details'!$G$8:$G$10000,"="&amp;Q40,'[1]2_inventory_total_details'!$H$8:$H$10000,"="&amp;R40,'[1]2_inventory_total_details'!$I$8:$I$10000,"="&amp;quot_date)+SUMIFS('[1]2_inventory_total_details'!$M$8:$M$10000,'[1]2_inventory_total_details'!$C$8:$C$10000,I40,'[1]2_inventory_total_details'!$F$8:$F$10000,quot_location_id,'[1]2_inventory_total_details'!$G$8:$G$10000,"="&amp;Q40,'[1]2_inventory_total_details'!$H$8:$H$10000,"="&amp;R40,'[1]2_inventory_total_details'!$I$8:$I$10000,"="&amp;quot_date)+SUMIFS('[1]2_inventory_total_details'!$K$8:$K$10000,'[1]2_inventory_total_details'!$C$8:$C$10000,I40,'[1]2_inventory_total_details'!$F$8:$F$10000,quot_location_id,'[1]2_inventory_total_details'!$G$8:$G$10000,"="&amp;Q40,'[1]2_inventory_total_details'!$H$8:$H$10000,"="&amp;R40,'[1]2_inventory_total_details'!$I$8:$I$10000,"="&amp;quot_date)+SUMIFS('[1]2_inventory_total_details'!$L$8:$L$10000,'[1]2_inventory_total_details'!$C$8:$C$10000,I40,'[1]2_inventory_total_details'!$F$8:$F$10000,quot_location_id,'[1]2_inventory_total_details'!$G$8:$G$10000,"="&amp;Q40,'[1]2_inventory_total_details'!$H$8:$H$10000,"="&amp;R40,'[1]2_inventory_total_details'!$I$8:$I$10000,"="&amp;quot_date)))</f>
        <v/>
      </c>
      <c r="AJ40" s="197" t="str">
        <f>IF(M40="","",IF(ISNA(MATCH(I40,'[1]1_group_totals'!$C$8:$C$10000)),0,IF(AW40&gt;0,1,0)))</f>
        <v/>
      </c>
      <c r="AK40" s="197" t="str">
        <f>IF(M40="","",(SUMIFS('[1]1_group_total_details'!$I$8:$I$10000,'[1]1_group_total_details'!$C$8:$C$10000,I40,'[1]1_group_total_details'!$F$8:$F$10000,quot_location_group_id,'[1]1_group_total_details'!$G$8:$G$10000,quot_location_id,'[1]1_group_total_details'!$H$8:$H$10000,"="&amp;quot_date)+SUMIFS('[1]1_group_total_details'!$L$8:$L$10000,'[1]1_group_total_details'!$C$8:$C$10000,I40,'[1]1_group_total_details'!$F$8:$F$10000,quot_location_group_id,'[1]1_group_total_details'!$G$8:$G$10000,quot_location_id,'[1]1_group_total_details'!$H$8:$H$10000,"="&amp;quot_date)+SUMIFS('[1]1_group_total_details'!$N$8:$N$10000,'[1]1_group_total_details'!$C$8:$C$10000,I40,'[1]1_group_total_details'!$F$8:$F$10000,quot_location_group_id,'[1]1_group_total_details'!$G$8:$G$10000,quot_location_id,'[1]1_group_total_details'!$H$8:$H$10000,"="&amp;quot_date)+SUMIFS('[1]1_group_total_details'!$O$8:$O$10000,'[1]1_group_total_details'!$C$8:$C$10000,I40,'[1]1_group_total_details'!$F$8:$F$10000,quot_location_group_id,'[1]1_group_total_details'!$G$8:$G$10000,quot_location_id,'[1]1_group_total_details'!$H$8:$H$10000,"="&amp;quot_date))+(SUMIFS('[1]1_group_total_details'!$J$8:$J$10000,'[1]1_group_total_details'!$C$8:$C$10000,I40,'[1]1_group_total_details'!$F$8:$F$10000,quot_location_group_id,'[1]1_group_total_details'!$G$8:$G$10000,quot_location_id,'[1]1_group_total_details'!$H$8:$H$10000,"="&amp;quot_date)+SUMIFS('[1]1_group_total_details'!$K$8:$K$10000,'[1]1_group_total_details'!$C$8:$C$10000,I40,'[1]1_group_total_details'!$F$8:$F$10000,quot_location_group_id,'[1]1_group_total_details'!$G$8:$G$10000,quot_location_id,'[1]1_group_total_details'!$H$8:$H$10000,"="&amp;quot_date)+SUMIFS('[1]1_group_total_details'!$M$8:$M$10000,'[1]1_group_total_details'!$C$8:$C$10000,I40,'[1]1_group_total_details'!$F$8:$F$10000,quot_location_group_id,'[1]1_group_total_details'!$G$8:$G$10000,quot_location_id,'[1]1_group_total_details'!$H$8:$H$10000,"="&amp;quot_date)+SUMIFS('[1]1_group_total_details'!$P$8:$P$10000,'[1]1_group_total_details'!$C$8:$C$10000,I40,'[1]1_group_total_details'!$F$8:$F$10000,quot_location_group_id,'[1]1_group_total_details'!$G$8:$G$10000,quot_location_id,'[1]1_group_total_details'!$H$8:$H$10000,"="&amp;quot_date)))</f>
        <v/>
      </c>
      <c r="AL40" s="197" t="str">
        <f>IF(M40="","",(SUMIFS('[1]1_group_total_details'!$I$8:$I$10000,'[1]1_group_total_details'!$C$8:$C$10000,I40,'[1]1_group_total_details'!$F$8:$F$10000,quot_location_group_id,'[1]1_group_total_details'!$G$8:$G$10000,quot_location_id,'[1]1_group_total_details'!$H$8:$H$10000,"&lt;="&amp;quot_date)+SUMIFS('[1]1_group_total_details'!$L$8:$L$10000,'[1]1_group_total_details'!$C$8:$C$10000,I40,'[1]1_group_total_details'!$F$8:$F$10000,quot_location_group_id,'[1]1_group_total_details'!$G$8:$G$10000,1,'[1]1_group_total_details'!$H$8:$H$10000,"&lt;="&amp;quot_date)+SUMIFS('[1]1_group_total_details'!$N$8:$N$10000,'[1]1_group_total_details'!$C$8:$C$10000,I40,'[1]1_group_total_details'!$F$8:$F$10000,quot_location_group_id,'[1]1_group_total_details'!$G$8:$G$10000,quot_location_id,'[1]1_group_total_details'!$H$8:$H$10000,"&lt;="&amp;quot_date)+SUMIFS('[1]1_group_total_details'!$O$8:$O$10000,'[1]1_group_total_details'!$C$8:$C$10000,I40,'[1]1_group_total_details'!$F$8:$F$10000,quot_location_group_id,'[1]1_group_total_details'!$G$8:$G$10000,quot_location_id,'[1]1_group_total_details'!$H$8:$H$10000,"&lt;="&amp;quot_date))-(SUMIFS('[1]1_group_total_details'!$J$8:$J$10000,'[1]1_group_total_details'!$C$8:$C$10000,I40,'[1]1_group_total_details'!$F$8:$F$10000,quot_location_group_id,'[1]1_group_total_details'!$G$8:$G$10000,quot_location_id,'[1]1_group_total_details'!$H$8:$H$10000,"&lt;="&amp;quot_date)+SUMIFS('[1]1_group_total_details'!$K$8:$K$10000,'[1]1_group_total_details'!$C$8:$C$10000,I40,'[1]1_group_total_details'!$F$8:$F$10000,quot_location_group_id,'[1]1_group_total_details'!$G$8:$G$10000,quot_location_id,'[1]1_group_total_details'!$H$8:$H$10000,"&lt;="&amp;quot_date)+SUMIFS('[1]1_group_total_details'!$M$8:$M$10000,'[1]1_group_total_details'!$C$8:$C$10000,I40,'[1]1_group_total_details'!$F$8:$F$10000,quot_location_group_id,'[1]1_group_total_details'!$G$8:$G$10000,quot_location_id,'[1]1_group_total_details'!$H$8:$H$10000,"&lt;="&amp;quot_date)+SUMIFS('[1]1_group_total_details'!$P$8:$P$10000,'[1]1_group_total_details'!$C$8:$C$10000,I40,'[1]1_group_total_details'!$F$8:$F$10000,quot_location_group_id,'[1]1_group_total_details'!$G$8:$G$10000,quot_location_id,'[1]1_group_total_details'!$H$8:$H$10000,"&lt;="&amp;quot_date)))</f>
        <v/>
      </c>
      <c r="AM40" s="197" t="str">
        <f>IF(M40="","",SUMIFS('[1]1_group_totals'!$J$8:$J$10000,'[1]1_group_totals'!$C$8:$C$10000,I40,'[1]1_group_totals'!$F$8:$F$10000,quot_location_group_id,'[1]1_group_totals'!$G$8:$G$10000,quot_location_id,'[1]1_group_totals'!$H$8:$H$10000,"="&amp;Q40,'[1]1_group_totals'!$I$8:$I$10000,"="&amp;R40))</f>
        <v/>
      </c>
      <c r="AN40" s="197" t="str">
        <f t="shared" si="7"/>
        <v/>
      </c>
      <c r="AO40" s="197" t="str">
        <f>IF(OR(ISNA(MATCH(MID(AN40,1,3)*1,UomConversion!$D$8:$D$500,0)),M40=""),"",IF(AT40="","",AT40))</f>
        <v/>
      </c>
      <c r="AP40" s="197" t="str">
        <f>IF(AND(AQ40&gt;0,COUNTIFS(UomConversion!$D$8:$D$500,MID(AN40,1,3)*1,UomConversion!$J$8:$J$500,1)&gt;1),TEXT(AQ40,"000")&amp;"."&amp;VLOOKUP(AQ40,uom_list,5,FALSE),"")</f>
        <v/>
      </c>
      <c r="AQ40" s="197" t="str">
        <f t="shared" si="20"/>
        <v/>
      </c>
      <c r="AR40" s="197" t="str">
        <f t="shared" si="21"/>
        <v/>
      </c>
      <c r="AS40" s="197" t="str">
        <f>IF(M40="","",SUMIFS(ProductPrice!$N$28:$N$10020,ProductPrice!$D$28:$D$10020,I40,ProductPrice!$G$28:$G$10020,quot_branch_id,ProductPrice!$H$28:$H$10020,quot_price_type_id,ProductPrice!$I$28:$I$10020,MID(P40,1,3)*1,ProductPrice!$Q$28:$Q$10020,1))</f>
        <v/>
      </c>
      <c r="AT40" s="197" t="str">
        <f t="shared" si="8"/>
        <v/>
      </c>
      <c r="AU40" s="197" t="str" cm="1">
        <f t="array" ref="AU40">IF(M40="","",IF(ISNA(Slookup(MID(AN40,1,3)*1,UomConversion!$D$8:$J$500,2,UomConversion!$I$8:$I$500,1,UomConversion!$J$8:$J$500,1)),"",Slookup(MID(AN40,1,3)*1,UomConversion!$D$8:$J$500,2,UomConversion!$I$8:$I$500,1,UomConversion!$J$8:$J$500,1)))</f>
        <v/>
      </c>
      <c r="AV40" s="197" t="str">
        <f t="shared" ref="AV40" si="153">IF(M40="","",IF(quot_location_id=1,BA40,IF(quot_location_id=2,BB40,0)))</f>
        <v/>
      </c>
      <c r="AW40" s="197" t="str">
        <f>IF(M40="","",(SUMIFS('[1]1_group_totals'!$K$8:$K$10000,'[1]1_group_totals'!$C$8:$C$10000,I40,'[1]1_group_totals'!$F$8:$F$10000,quot_location_group_id,'[1]1_group_totals'!$G$8:$G$10000,quot_location_id,'[1]1_group_totals'!$H$8:$H$10000,"="&amp;Q40,'[1]1_group_totals'!$I$8:$I$10000,"="&amp;R40)+SUMIFS('[1]1_group_totals'!$N$8:$N$10000,'[1]1_group_totals'!$C$8:$C$10000,I40,'[1]1_group_totals'!$F$8:$F$10000,quot_location_group_id,'[1]1_group_totals'!$G$8:$G$10000,quot_location_id,'[1]1_group_totals'!$H$8:$H$10000,"="&amp;Q40,'[1]1_group_totals'!$I$8:$I$10000,"="&amp;R40)+SUMIFS('[1]1_group_totals'!$P$8:$P$10000,'[1]1_group_totals'!$C$8:$C$10000,I40,'[1]1_group_totals'!$F$8:$F$10000,quot_location_group_id,'[1]1_group_totals'!$G$8:$G$10000,quot_location_id,'[1]1_group_totals'!$H$8:$H$10000,"="&amp;Q40,'[1]1_group_totals'!$I$8:$I$10000,"="&amp;R40)+SUMIFS('[1]1_group_totals'!$Q$8:$Q$10000,'[1]1_group_totals'!$C$8:$C$10000,I40,'[1]1_group_totals'!$F$8:$F$10000,quot_location_group_id,'[1]1_group_totals'!$G$8:$G$10000,quot_location_id,'[1]1_group_totals'!$H$8:$H$10000,"="&amp;Q40,'[1]1_group_totals'!$I$8:$I$10000,"="&amp;R40))+(SUMIFS('[1]1_group_totals'!$L$8:$L$10000,'[1]1_group_totals'!$C$8:$C$10000,I40,'[1]1_group_totals'!$F$8:$F$10000,quot_location_group_id,'[1]1_group_totals'!$G$8:$G$10000,quot_location_id,'[1]1_group_totals'!$H$8:$H$10000,"="&amp;Q40,'[1]1_group_totals'!$I$8:$I$10000,"="&amp;R40)+SUMIFS('[1]1_group_totals'!$M$8:$M$10000,'[1]1_group_totals'!$C$8:$C$10000,I40,'[1]1_group_totals'!$F$8:$F$10000,quot_location_group_id,'[1]1_group_totals'!$G$8:$G$10000,quot_location_id,'[1]1_group_totals'!$H$8:$H$10000,"="&amp;Q40,'[1]1_group_totals'!$I$8:$I$10000,"="&amp;R40)+SUMIFS('[1]1_group_totals'!$O$8:$O$10000,'[1]1_group_totals'!$C$8:$C$10000,I40,'[1]1_group_totals'!$F$8:$F$10000,quot_location_group_id,'[1]1_group_totals'!$G$8:$G$10000,quot_location_id,'[1]1_group_totals'!$H$8:$H$10000,"="&amp;Q40,'[1]1_group_totals'!$I$8:$I$10000,"="&amp;R40)+SUMIFS('[1]1_group_totals'!$R$8:$R$10000,'[1]1_group_totals'!$C$8:$C$10000,I40,'[1]1_group_totals'!$F$8:$F$10000,quot_location_group_id,'[1]1_group_totals'!$G$8:$G$10000,quot_location_id,'[1]1_group_totals'!$H$8:$H$10000,"="&amp;Q40,'[1]1_group_totals'!$I$8:$I$10000,"="&amp;R40)))</f>
        <v/>
      </c>
      <c r="AX40" s="197" t="str">
        <f t="shared" si="23"/>
        <v/>
      </c>
      <c r="AY40" s="197" t="str">
        <f>IF(M40="","",SUMIFS($AX$8:AX40,$I$8:I40,I40))</f>
        <v/>
      </c>
      <c r="AZ40" s="197" t="str">
        <f t="shared" si="24"/>
        <v/>
      </c>
      <c r="BA40" s="197" t="str">
        <f>IF(M40="","",(SUMIFS('[1]1_inventory_totals'!$I$8:$I$10000,'[1]1_inventory_totals'!$C$8:$C$10000,I40,'[1]1_inventory_totals'!$F$8:$F$10000,"="&amp;Q40,'[1]1_inventory_totals'!$G$8:$G$10000,"="&amp;R40)+SUMIFS('[1]1_inventory_totals'!$N$8:$N$10000,'[1]1_inventory_totals'!$C$8:$C$10000,I40,'[1]1_inventory_totals'!$F$8:$F$10000,"="&amp;Q40,'[1]1_inventory_totals'!$G$8:$G$10000,"="&amp;R40)+SUMIFS('[1]1_inventory_totals'!$P$8:$P$10000,'[1]1_inventory_totals'!$C$8:$C$10000,I40,'[1]1_inventory_totals'!$F$8:$F$10000,"="&amp;Q40,'[1]1_inventory_totals'!$G$8:$G$10000,"="&amp;R40)+SUMIFS('[1]1_inventory_totals'!$Q$8:$Q$10000,'[1]1_inventory_totals'!$C$8:$C$10000,I40,'[1]1_inventory_totals'!$F$8:$F$10000,"="&amp;Q40,'[1]1_inventory_totals'!$G$8:$G$10000,"="&amp;R40)+SUMIFS('[1]1_inventory_totals'!$R$8:$R$10000,'[1]1_inventory_totals'!$C$8:$C$10000,I40,'[1]1_inventory_totals'!$F$8:$F$10000,"="&amp;Q40,'[1]1_inventory_totals'!$G$8:$G$10000,"="&amp;R40))+(SUMIFS('[1]1_inventory_totals'!$J$8:$J$10000,'[1]1_inventory_totals'!$C$8:$C$10000,I40,'[1]1_inventory_totals'!$F$8:$F$10000,"="&amp;Q40,'[1]1_inventory_totals'!$G$8:$G$10000,"="&amp;R40)+SUMIFS('[1]1_inventory_totals'!$K$8:$K$10000,'[1]1_inventory_totals'!$C$8:$C$10000,I40,'[1]1_inventory_totals'!$F$8:$F$10000,"="&amp;Q40,'[1]1_inventory_totals'!$G$8:$G$10000,"="&amp;R40)+SUMIFS('[1]1_inventory_totals'!$L$8:$L$10000,'[1]1_inventory_totals'!$C$8:$C$10000,I40,'[1]1_inventory_totals'!$F$8:$F$10000,"="&amp;Q40,'[1]1_inventory_totals'!$G$8:$G$10000,"="&amp;R40)+SUMIFS('[1]1_inventory_totals'!$M$8:$M$10000,'[1]1_inventory_totals'!$C$8:$C$10000,I40,'[1]1_inventory_totals'!$F$8:$F$10000,"="&amp;Q40,'[1]1_inventory_totals'!$G$8:$G$10000,"="&amp;R40)+SUMIFS('[1]1_inventory_totals'!$O$8:$O$10000,'[1]1_inventory_totals'!$C$8:$C$10000,I40,'[1]1_inventory_totals'!$F$8:$F$10000,"="&amp;Q40,'[1]1_inventory_totals'!$G$8:$G$10000,"="&amp;R40)+SUMIFS('[1]1_inventory_totals'!$S$8:$S$10000,'[1]1_inventory_totals'!$C$8:$C$10000,I40,'[1]1_inventory_totals'!$F$8:$F$10000,"="&amp;Q40,'[1]1_inventory_totals'!$G$8:$G$10000,"="&amp;R40)))</f>
        <v/>
      </c>
      <c r="BB40" s="197" t="str">
        <f>IF(M40="","",(SUMIFS('[1]2_inventory_totals'!$I$8:$I$10000,'[1]2_inventory_totals'!$C$8:$C$10000,I40,'[1]2_inventory_totals'!$F$8:$F$10000,"="&amp;Q40,'[1]2_inventory_totals'!$G$8:$G$10000,"="&amp;R40)+SUMIFS('[1]2_inventory_totals'!$N$8:$N$10000,'[1]2_inventory_totals'!$C$8:$C$10000,I40,'[1]2_inventory_totals'!$F$8:$F$10000,"="&amp;Q40,'[1]2_inventory_totals'!$G$8:$G$10000,"="&amp;R40)+SUMIFS('[1]2_inventory_totals'!$P$8:$P$10000,'[1]2_inventory_totals'!$C$8:$C$10000,I40,'[1]2_inventory_totals'!$F$8:$F$10000,"="&amp;Q40,'[1]2_inventory_totals'!$G$8:$G$10000,"="&amp;R40)+SUMIFS('[1]2_inventory_totals'!$Q$8:$Q$10000,'[1]2_inventory_totals'!$C$8:$C$10000,I40,'[1]2_inventory_totals'!$F$8:$F$10000,"="&amp;Q40,'[1]2_inventory_totals'!$G$8:$G$10000,"="&amp;R40)+SUMIFS('[1]2_inventory_totals'!$R$8:$R$10000,'[1]2_inventory_totals'!$C$8:$C$10000,I40,'[1]2_inventory_totals'!$F$8:$F$10000,"="&amp;Q40,'[1]2_inventory_totals'!$G$8:$G$10000,"="&amp;R40))+(SUMIFS('[1]2_inventory_totals'!$J$8:$J$10000,'[1]2_inventory_totals'!$C$8:$C$10000,I40,'[1]2_inventory_totals'!$F$8:$F$10000,"="&amp;Q40,'[1]2_inventory_totals'!$G$8:$G$10000,"="&amp;R40)+SUMIFS('[1]2_inventory_totals'!$K$8:$K$10000,'[1]2_inventory_totals'!$C$8:$C$10000,I40,'[1]2_inventory_totals'!$F$8:$F$10000,"="&amp;Q40,'[1]2_inventory_totals'!$G$8:$G$10000,"="&amp;R40)+SUMIFS('[1]2_inventory_totals'!$L$8:$L$10000,'[1]2_inventory_totals'!$C$8:$C$10000,I40,'[1]2_inventory_totals'!$F$8:$F$10000,"="&amp;Q40,'[1]2_inventory_totals'!$G$8:$G$10000,"="&amp;R40)+SUMIFS('[1]2_inventory_totals'!$M$8:$M$10000,'[1]2_inventory_totals'!$C$8:$C$10000,I40,'[1]2_inventory_totals'!$F$8:$F$10000,"="&amp;Q40,'[1]2_inventory_totals'!$G$8:$G$10000,"="&amp;R40)+SUMIFS('[1]2_inventory_totals'!$O$8:$O$10000,'[1]2_inventory_totals'!$C$8:$C$10000,I40,'[1]2_inventory_totals'!$F$8:$F$10000,"="&amp;Q40,'[1]2_inventory_totals'!$G$8:$G$10000,"="&amp;R40)+SUMIFS('[1]2_inventory_totals'!$S$8:$S$10000,'[1]2_inventory_totals'!$C$8:$C$10000,I40,'[1]2_inventory_totals'!$F$8:$F$10000,"="&amp;Q40,'[1]2_inventory_totals'!$G$8:$G$10000,"="&amp;R40)))</f>
        <v/>
      </c>
    </row>
    <row r="41" spans="1:54" ht="27" hidden="1" customHeight="1">
      <c r="A41" s="923"/>
      <c r="B41" s="1251"/>
      <c r="C41" s="1268"/>
      <c r="D41" s="950"/>
      <c r="E41" s="950"/>
      <c r="F41" s="1262"/>
      <c r="I41" s="1610" t="str">
        <f t="shared" si="10"/>
        <v/>
      </c>
      <c r="J41" s="1611" t="str">
        <f t="shared" si="112"/>
        <v/>
      </c>
      <c r="K41" s="1612" t="str">
        <f t="shared" si="30"/>
        <v/>
      </c>
      <c r="L41" s="1613"/>
      <c r="M41" s="883"/>
      <c r="N41" s="884"/>
      <c r="O41" s="884"/>
      <c r="P41" s="885"/>
      <c r="Q41" s="886"/>
      <c r="R41" s="891"/>
      <c r="S41" s="1614" t="str">
        <f t="shared" ref="S41" si="154">IF(M41="","",quot_currency_symbol)</f>
        <v/>
      </c>
      <c r="T41" s="888"/>
      <c r="U41" s="1650" t="str">
        <f t="shared" si="13"/>
        <v/>
      </c>
      <c r="V41" s="1615" t="str">
        <f t="shared" ref="V41" si="155">IF(W41=0,"",quot_currency_symbol)</f>
        <v/>
      </c>
      <c r="W41" s="889"/>
      <c r="X41" s="1615" t="str">
        <f t="shared" ref="X41" si="156">IF(M41="","",quot_currency_symbol)</f>
        <v/>
      </c>
      <c r="Y41" s="1616" t="str">
        <f t="shared" si="34"/>
        <v/>
      </c>
      <c r="Z41" s="890"/>
      <c r="AA41" s="197" t="str" cm="1">
        <f t="array" ref="AA41">IF(M41="","",IF(P41=AN41,1,Slookup(MID(AN41,1,3)*1,UomConversion!$D$8:$J$500,5,UomConversion!$E$8:$E$500,MID(P41,1,3)*1,UomConversion!$J$8:$J$500,1)))</f>
        <v/>
      </c>
      <c r="AB41" s="197" t="str">
        <f t="shared" si="3"/>
        <v/>
      </c>
      <c r="AC41" s="197" t="str">
        <f t="shared" si="17"/>
        <v/>
      </c>
      <c r="AD41" s="197" t="str">
        <f t="shared" si="18"/>
        <v/>
      </c>
      <c r="AE41" s="197" t="str">
        <f t="shared" si="19"/>
        <v/>
      </c>
      <c r="AF41" s="197" t="str">
        <f t="shared" si="152"/>
        <v/>
      </c>
      <c r="AG41" s="197" t="str">
        <f t="shared" si="6"/>
        <v/>
      </c>
      <c r="AH41" s="197" t="str">
        <f>IF(I41="","",IF(ISNA(MATCH(I41,IF(quot_location_id=1,'[1]1_inventory_totals'!$C$8:$C$10000,IF(quot_location_id=2,'[1]2_inventory_totals'!$C$8:$C$10000,0)),0)),0,IF(AV41&gt;0,1,0)))</f>
        <v/>
      </c>
      <c r="AI41" s="197" t="str">
        <f>IF(M41="","",IF(quot_location_id=1,SUMIFS('[1]1_inventory_total_details'!$J$8:$J$10000,'[1]1_inventory_total_details'!$C$8:$C$10000,I41,'[1]1_inventory_total_details'!$F$8:$F$10000,quot_location_id,'[1]1_inventory_total_details'!$G$8:$G$10000,"="&amp;Q41,'[1]1_inventory_total_details'!$H$8:$H$10000,"="&amp;R41,'[1]1_inventory_total_details'!$I$8:$I$10000,"="&amp;quot_date)+SUMIFS('[1]1_inventory_total_details'!$M$8:$M$10000,'[1]1_inventory_total_details'!$C$8:$C$10000,I41,'[1]1_inventory_total_details'!$F$8:$F$10000,quot_location_id,'[1]1_inventory_total_details'!$G$8:$G$10000,"="&amp;Q41,'[1]1_inventory_total_details'!$H$8:$H$10000,"="&amp;R41,'[1]1_inventory_total_details'!$I$8:$I$10000,"="&amp;quot_date)+SUMIFS('[1]1_inventory_total_details'!$K$8:$K$10000,'[1]1_inventory_total_details'!$C$8:$C$10000,I41,'[1]1_inventory_total_details'!$F$8:$F$10000,quot_location_id,'[1]1_inventory_total_details'!$G$8:$G$10000,"="&amp;Q41,'[1]1_inventory_total_details'!$H$8:$H$10000,"="&amp;R41,'[1]1_inventory_total_details'!$I$8:$I$10000,"="&amp;quot_date)+SUMIFS('[1]1_inventory_total_details'!$L$8:$L$10000,'[1]1_inventory_total_details'!$C$8:$C$10000,I41,'[1]1_inventory_total_details'!$F$8:$F$10000,quot_location_id,'[1]1_inventory_total_details'!$G$8:$G$10000,"="&amp;Q41,'[1]1_inventory_total_details'!$H$8:$H$10000,"="&amp;R41,'[1]1_inventory_total_details'!$I$8:$I$10000,"="&amp;quot_date),SUMIFS('[1]2_inventory_total_details'!$J$8:$J$10000,'[1]2_inventory_total_details'!$C$8:$C$10000,I41,'[1]2_inventory_total_details'!$F$8:$F$10000,quot_location_id,'[1]2_inventory_total_details'!$G$8:$G$10000,"="&amp;Q41,'[1]2_inventory_total_details'!$H$8:$H$10000,"="&amp;R41,'[1]2_inventory_total_details'!$I$8:$I$10000,"="&amp;quot_date)+SUMIFS('[1]2_inventory_total_details'!$M$8:$M$10000,'[1]2_inventory_total_details'!$C$8:$C$10000,I41,'[1]2_inventory_total_details'!$F$8:$F$10000,quot_location_id,'[1]2_inventory_total_details'!$G$8:$G$10000,"="&amp;Q41,'[1]2_inventory_total_details'!$H$8:$H$10000,"="&amp;R41,'[1]2_inventory_total_details'!$I$8:$I$10000,"="&amp;quot_date)+SUMIFS('[1]2_inventory_total_details'!$K$8:$K$10000,'[1]2_inventory_total_details'!$C$8:$C$10000,I41,'[1]2_inventory_total_details'!$F$8:$F$10000,quot_location_id,'[1]2_inventory_total_details'!$G$8:$G$10000,"="&amp;Q41,'[1]2_inventory_total_details'!$H$8:$H$10000,"="&amp;R41,'[1]2_inventory_total_details'!$I$8:$I$10000,"="&amp;quot_date)+SUMIFS('[1]2_inventory_total_details'!$L$8:$L$10000,'[1]2_inventory_total_details'!$C$8:$C$10000,I41,'[1]2_inventory_total_details'!$F$8:$F$10000,quot_location_id,'[1]2_inventory_total_details'!$G$8:$G$10000,"="&amp;Q41,'[1]2_inventory_total_details'!$H$8:$H$10000,"="&amp;R41,'[1]2_inventory_total_details'!$I$8:$I$10000,"="&amp;quot_date)))</f>
        <v/>
      </c>
      <c r="AJ41" s="197" t="str">
        <f>IF(M41="","",IF(ISNA(MATCH(I41,'[1]1_group_totals'!$C$8:$C$10000)),0,IF(AW41&gt;0,1,0)))</f>
        <v/>
      </c>
      <c r="AK41" s="197" t="str">
        <f>IF(M41="","",(SUMIFS('[1]1_group_total_details'!$I$8:$I$10000,'[1]1_group_total_details'!$C$8:$C$10000,I41,'[1]1_group_total_details'!$F$8:$F$10000,quot_location_group_id,'[1]1_group_total_details'!$G$8:$G$10000,quot_location_id,'[1]1_group_total_details'!$H$8:$H$10000,"="&amp;quot_date)+SUMIFS('[1]1_group_total_details'!$L$8:$L$10000,'[1]1_group_total_details'!$C$8:$C$10000,I41,'[1]1_group_total_details'!$F$8:$F$10000,quot_location_group_id,'[1]1_group_total_details'!$G$8:$G$10000,quot_location_id,'[1]1_group_total_details'!$H$8:$H$10000,"="&amp;quot_date)+SUMIFS('[1]1_group_total_details'!$N$8:$N$10000,'[1]1_group_total_details'!$C$8:$C$10000,I41,'[1]1_group_total_details'!$F$8:$F$10000,quot_location_group_id,'[1]1_group_total_details'!$G$8:$G$10000,quot_location_id,'[1]1_group_total_details'!$H$8:$H$10000,"="&amp;quot_date)+SUMIFS('[1]1_group_total_details'!$O$8:$O$10000,'[1]1_group_total_details'!$C$8:$C$10000,I41,'[1]1_group_total_details'!$F$8:$F$10000,quot_location_group_id,'[1]1_group_total_details'!$G$8:$G$10000,quot_location_id,'[1]1_group_total_details'!$H$8:$H$10000,"="&amp;quot_date))+(SUMIFS('[1]1_group_total_details'!$J$8:$J$10000,'[1]1_group_total_details'!$C$8:$C$10000,I41,'[1]1_group_total_details'!$F$8:$F$10000,quot_location_group_id,'[1]1_group_total_details'!$G$8:$G$10000,quot_location_id,'[1]1_group_total_details'!$H$8:$H$10000,"="&amp;quot_date)+SUMIFS('[1]1_group_total_details'!$K$8:$K$10000,'[1]1_group_total_details'!$C$8:$C$10000,I41,'[1]1_group_total_details'!$F$8:$F$10000,quot_location_group_id,'[1]1_group_total_details'!$G$8:$G$10000,quot_location_id,'[1]1_group_total_details'!$H$8:$H$10000,"="&amp;quot_date)+SUMIFS('[1]1_group_total_details'!$M$8:$M$10000,'[1]1_group_total_details'!$C$8:$C$10000,I41,'[1]1_group_total_details'!$F$8:$F$10000,quot_location_group_id,'[1]1_group_total_details'!$G$8:$G$10000,quot_location_id,'[1]1_group_total_details'!$H$8:$H$10000,"="&amp;quot_date)+SUMIFS('[1]1_group_total_details'!$P$8:$P$10000,'[1]1_group_total_details'!$C$8:$C$10000,I41,'[1]1_group_total_details'!$F$8:$F$10000,quot_location_group_id,'[1]1_group_total_details'!$G$8:$G$10000,quot_location_id,'[1]1_group_total_details'!$H$8:$H$10000,"="&amp;quot_date)))</f>
        <v/>
      </c>
      <c r="AL41" s="197" t="str">
        <f>IF(M41="","",(SUMIFS('[1]1_group_total_details'!$I$8:$I$10000,'[1]1_group_total_details'!$C$8:$C$10000,I41,'[1]1_group_total_details'!$F$8:$F$10000,quot_location_group_id,'[1]1_group_total_details'!$G$8:$G$10000,quot_location_id,'[1]1_group_total_details'!$H$8:$H$10000,"&lt;="&amp;quot_date)+SUMIFS('[1]1_group_total_details'!$L$8:$L$10000,'[1]1_group_total_details'!$C$8:$C$10000,I41,'[1]1_group_total_details'!$F$8:$F$10000,quot_location_group_id,'[1]1_group_total_details'!$G$8:$G$10000,1,'[1]1_group_total_details'!$H$8:$H$10000,"&lt;="&amp;quot_date)+SUMIFS('[1]1_group_total_details'!$N$8:$N$10000,'[1]1_group_total_details'!$C$8:$C$10000,I41,'[1]1_group_total_details'!$F$8:$F$10000,quot_location_group_id,'[1]1_group_total_details'!$G$8:$G$10000,quot_location_id,'[1]1_group_total_details'!$H$8:$H$10000,"&lt;="&amp;quot_date)+SUMIFS('[1]1_group_total_details'!$O$8:$O$10000,'[1]1_group_total_details'!$C$8:$C$10000,I41,'[1]1_group_total_details'!$F$8:$F$10000,quot_location_group_id,'[1]1_group_total_details'!$G$8:$G$10000,quot_location_id,'[1]1_group_total_details'!$H$8:$H$10000,"&lt;="&amp;quot_date))-(SUMIFS('[1]1_group_total_details'!$J$8:$J$10000,'[1]1_group_total_details'!$C$8:$C$10000,I41,'[1]1_group_total_details'!$F$8:$F$10000,quot_location_group_id,'[1]1_group_total_details'!$G$8:$G$10000,quot_location_id,'[1]1_group_total_details'!$H$8:$H$10000,"&lt;="&amp;quot_date)+SUMIFS('[1]1_group_total_details'!$K$8:$K$10000,'[1]1_group_total_details'!$C$8:$C$10000,I41,'[1]1_group_total_details'!$F$8:$F$10000,quot_location_group_id,'[1]1_group_total_details'!$G$8:$G$10000,quot_location_id,'[1]1_group_total_details'!$H$8:$H$10000,"&lt;="&amp;quot_date)+SUMIFS('[1]1_group_total_details'!$M$8:$M$10000,'[1]1_group_total_details'!$C$8:$C$10000,I41,'[1]1_group_total_details'!$F$8:$F$10000,quot_location_group_id,'[1]1_group_total_details'!$G$8:$G$10000,quot_location_id,'[1]1_group_total_details'!$H$8:$H$10000,"&lt;="&amp;quot_date)+SUMIFS('[1]1_group_total_details'!$P$8:$P$10000,'[1]1_group_total_details'!$C$8:$C$10000,I41,'[1]1_group_total_details'!$F$8:$F$10000,quot_location_group_id,'[1]1_group_total_details'!$G$8:$G$10000,quot_location_id,'[1]1_group_total_details'!$H$8:$H$10000,"&lt;="&amp;quot_date)))</f>
        <v/>
      </c>
      <c r="AM41" s="197" t="str">
        <f>IF(M41="","",SUMIFS('[1]1_group_totals'!$J$8:$J$10000,'[1]1_group_totals'!$C$8:$C$10000,I41,'[1]1_group_totals'!$F$8:$F$10000,quot_location_group_id,'[1]1_group_totals'!$G$8:$G$10000,quot_location_id,'[1]1_group_totals'!$H$8:$H$10000,"="&amp;Q41,'[1]1_group_totals'!$I$8:$I$10000,"="&amp;R41))</f>
        <v/>
      </c>
      <c r="AN41" s="197" t="str">
        <f t="shared" si="7"/>
        <v/>
      </c>
      <c r="AO41" s="197" t="str">
        <f>IF(OR(ISNA(MATCH(MID(AN41,1,3)*1,UomConversion!$D$8:$D$500,0)),M41=""),"",IF(AT41="","",AT41))</f>
        <v/>
      </c>
      <c r="AP41" s="197" t="str">
        <f>IF(AND(AQ41&gt;0,COUNTIFS(UomConversion!$D$8:$D$500,MID(AN41,1,3)*1,UomConversion!$J$8:$J$500,1)&gt;1),TEXT(AQ41,"000")&amp;"."&amp;VLOOKUP(AQ41,uom_list,5,FALSE),"")</f>
        <v/>
      </c>
      <c r="AQ41" s="197" t="str">
        <f t="shared" si="20"/>
        <v/>
      </c>
      <c r="AR41" s="197" t="str">
        <f t="shared" si="21"/>
        <v/>
      </c>
      <c r="AS41" s="197" t="str">
        <f>IF(M41="","",SUMIFS(ProductPrice!$N$28:$N$10020,ProductPrice!$D$28:$D$10020,I41,ProductPrice!$G$28:$G$10020,quot_branch_id,ProductPrice!$H$28:$H$10020,quot_price_type_id,ProductPrice!$I$28:$I$10020,MID(P41,1,3)*1,ProductPrice!$Q$28:$Q$10020,1))</f>
        <v/>
      </c>
      <c r="AT41" s="197" t="str">
        <f t="shared" si="8"/>
        <v/>
      </c>
      <c r="AU41" s="197" t="str" cm="1">
        <f t="array" ref="AU41">IF(M41="","",IF(ISNA(Slookup(MID(AN41,1,3)*1,UomConversion!$D$8:$J$500,2,UomConversion!$I$8:$I$500,1,UomConversion!$J$8:$J$500,1)),"",Slookup(MID(AN41,1,3)*1,UomConversion!$D$8:$J$500,2,UomConversion!$I$8:$I$500,1,UomConversion!$J$8:$J$500,1)))</f>
        <v/>
      </c>
      <c r="AV41" s="197" t="str">
        <f t="shared" ref="AV41" si="157">IF(M41="","",IF(quot_location_id=1,BA41,IF(quot_location_id=2,BB41,0)))</f>
        <v/>
      </c>
      <c r="AW41" s="197" t="str">
        <f>IF(M41="","",(SUMIFS('[1]1_group_totals'!$K$8:$K$10000,'[1]1_group_totals'!$C$8:$C$10000,I41,'[1]1_group_totals'!$F$8:$F$10000,quot_location_group_id,'[1]1_group_totals'!$G$8:$G$10000,quot_location_id,'[1]1_group_totals'!$H$8:$H$10000,"="&amp;Q41,'[1]1_group_totals'!$I$8:$I$10000,"="&amp;R41)+SUMIFS('[1]1_group_totals'!$N$8:$N$10000,'[1]1_group_totals'!$C$8:$C$10000,I41,'[1]1_group_totals'!$F$8:$F$10000,quot_location_group_id,'[1]1_group_totals'!$G$8:$G$10000,quot_location_id,'[1]1_group_totals'!$H$8:$H$10000,"="&amp;Q41,'[1]1_group_totals'!$I$8:$I$10000,"="&amp;R41)+SUMIFS('[1]1_group_totals'!$P$8:$P$10000,'[1]1_group_totals'!$C$8:$C$10000,I41,'[1]1_group_totals'!$F$8:$F$10000,quot_location_group_id,'[1]1_group_totals'!$G$8:$G$10000,quot_location_id,'[1]1_group_totals'!$H$8:$H$10000,"="&amp;Q41,'[1]1_group_totals'!$I$8:$I$10000,"="&amp;R41)+SUMIFS('[1]1_group_totals'!$Q$8:$Q$10000,'[1]1_group_totals'!$C$8:$C$10000,I41,'[1]1_group_totals'!$F$8:$F$10000,quot_location_group_id,'[1]1_group_totals'!$G$8:$G$10000,quot_location_id,'[1]1_group_totals'!$H$8:$H$10000,"="&amp;Q41,'[1]1_group_totals'!$I$8:$I$10000,"="&amp;R41))+(SUMIFS('[1]1_group_totals'!$L$8:$L$10000,'[1]1_group_totals'!$C$8:$C$10000,I41,'[1]1_group_totals'!$F$8:$F$10000,quot_location_group_id,'[1]1_group_totals'!$G$8:$G$10000,quot_location_id,'[1]1_group_totals'!$H$8:$H$10000,"="&amp;Q41,'[1]1_group_totals'!$I$8:$I$10000,"="&amp;R41)+SUMIFS('[1]1_group_totals'!$M$8:$M$10000,'[1]1_group_totals'!$C$8:$C$10000,I41,'[1]1_group_totals'!$F$8:$F$10000,quot_location_group_id,'[1]1_group_totals'!$G$8:$G$10000,quot_location_id,'[1]1_group_totals'!$H$8:$H$10000,"="&amp;Q41,'[1]1_group_totals'!$I$8:$I$10000,"="&amp;R41)+SUMIFS('[1]1_group_totals'!$O$8:$O$10000,'[1]1_group_totals'!$C$8:$C$10000,I41,'[1]1_group_totals'!$F$8:$F$10000,quot_location_group_id,'[1]1_group_totals'!$G$8:$G$10000,quot_location_id,'[1]1_group_totals'!$H$8:$H$10000,"="&amp;Q41,'[1]1_group_totals'!$I$8:$I$10000,"="&amp;R41)+SUMIFS('[1]1_group_totals'!$R$8:$R$10000,'[1]1_group_totals'!$C$8:$C$10000,I41,'[1]1_group_totals'!$F$8:$F$10000,quot_location_group_id,'[1]1_group_totals'!$G$8:$G$10000,quot_location_id,'[1]1_group_totals'!$H$8:$H$10000,"="&amp;Q41,'[1]1_group_totals'!$I$8:$I$10000,"="&amp;R41)))</f>
        <v/>
      </c>
      <c r="AX41" s="197" t="str">
        <f t="shared" si="23"/>
        <v/>
      </c>
      <c r="AY41" s="197" t="str">
        <f>IF(M41="","",SUMIFS($AX$8:AX41,$I$8:I41,I41))</f>
        <v/>
      </c>
      <c r="AZ41" s="197" t="str">
        <f t="shared" si="24"/>
        <v/>
      </c>
      <c r="BA41" s="197" t="str">
        <f>IF(M41="","",(SUMIFS('[1]1_inventory_totals'!$I$8:$I$10000,'[1]1_inventory_totals'!$C$8:$C$10000,I41,'[1]1_inventory_totals'!$F$8:$F$10000,"="&amp;Q41,'[1]1_inventory_totals'!$G$8:$G$10000,"="&amp;R41)+SUMIFS('[1]1_inventory_totals'!$N$8:$N$10000,'[1]1_inventory_totals'!$C$8:$C$10000,I41,'[1]1_inventory_totals'!$F$8:$F$10000,"="&amp;Q41,'[1]1_inventory_totals'!$G$8:$G$10000,"="&amp;R41)+SUMIFS('[1]1_inventory_totals'!$P$8:$P$10000,'[1]1_inventory_totals'!$C$8:$C$10000,I41,'[1]1_inventory_totals'!$F$8:$F$10000,"="&amp;Q41,'[1]1_inventory_totals'!$G$8:$G$10000,"="&amp;R41)+SUMIFS('[1]1_inventory_totals'!$Q$8:$Q$10000,'[1]1_inventory_totals'!$C$8:$C$10000,I41,'[1]1_inventory_totals'!$F$8:$F$10000,"="&amp;Q41,'[1]1_inventory_totals'!$G$8:$G$10000,"="&amp;R41)+SUMIFS('[1]1_inventory_totals'!$R$8:$R$10000,'[1]1_inventory_totals'!$C$8:$C$10000,I41,'[1]1_inventory_totals'!$F$8:$F$10000,"="&amp;Q41,'[1]1_inventory_totals'!$G$8:$G$10000,"="&amp;R41))+(SUMIFS('[1]1_inventory_totals'!$J$8:$J$10000,'[1]1_inventory_totals'!$C$8:$C$10000,I41,'[1]1_inventory_totals'!$F$8:$F$10000,"="&amp;Q41,'[1]1_inventory_totals'!$G$8:$G$10000,"="&amp;R41)+SUMIFS('[1]1_inventory_totals'!$K$8:$K$10000,'[1]1_inventory_totals'!$C$8:$C$10000,I41,'[1]1_inventory_totals'!$F$8:$F$10000,"="&amp;Q41,'[1]1_inventory_totals'!$G$8:$G$10000,"="&amp;R41)+SUMIFS('[1]1_inventory_totals'!$L$8:$L$10000,'[1]1_inventory_totals'!$C$8:$C$10000,I41,'[1]1_inventory_totals'!$F$8:$F$10000,"="&amp;Q41,'[1]1_inventory_totals'!$G$8:$G$10000,"="&amp;R41)+SUMIFS('[1]1_inventory_totals'!$M$8:$M$10000,'[1]1_inventory_totals'!$C$8:$C$10000,I41,'[1]1_inventory_totals'!$F$8:$F$10000,"="&amp;Q41,'[1]1_inventory_totals'!$G$8:$G$10000,"="&amp;R41)+SUMIFS('[1]1_inventory_totals'!$O$8:$O$10000,'[1]1_inventory_totals'!$C$8:$C$10000,I41,'[1]1_inventory_totals'!$F$8:$F$10000,"="&amp;Q41,'[1]1_inventory_totals'!$G$8:$G$10000,"="&amp;R41)+SUMIFS('[1]1_inventory_totals'!$S$8:$S$10000,'[1]1_inventory_totals'!$C$8:$C$10000,I41,'[1]1_inventory_totals'!$F$8:$F$10000,"="&amp;Q41,'[1]1_inventory_totals'!$G$8:$G$10000,"="&amp;R41)))</f>
        <v/>
      </c>
      <c r="BB41" s="197" t="str">
        <f>IF(M41="","",(SUMIFS('[1]2_inventory_totals'!$I$8:$I$10000,'[1]2_inventory_totals'!$C$8:$C$10000,I41,'[1]2_inventory_totals'!$F$8:$F$10000,"="&amp;Q41,'[1]2_inventory_totals'!$G$8:$G$10000,"="&amp;R41)+SUMIFS('[1]2_inventory_totals'!$N$8:$N$10000,'[1]2_inventory_totals'!$C$8:$C$10000,I41,'[1]2_inventory_totals'!$F$8:$F$10000,"="&amp;Q41,'[1]2_inventory_totals'!$G$8:$G$10000,"="&amp;R41)+SUMIFS('[1]2_inventory_totals'!$P$8:$P$10000,'[1]2_inventory_totals'!$C$8:$C$10000,I41,'[1]2_inventory_totals'!$F$8:$F$10000,"="&amp;Q41,'[1]2_inventory_totals'!$G$8:$G$10000,"="&amp;R41)+SUMIFS('[1]2_inventory_totals'!$Q$8:$Q$10000,'[1]2_inventory_totals'!$C$8:$C$10000,I41,'[1]2_inventory_totals'!$F$8:$F$10000,"="&amp;Q41,'[1]2_inventory_totals'!$G$8:$G$10000,"="&amp;R41)+SUMIFS('[1]2_inventory_totals'!$R$8:$R$10000,'[1]2_inventory_totals'!$C$8:$C$10000,I41,'[1]2_inventory_totals'!$F$8:$F$10000,"="&amp;Q41,'[1]2_inventory_totals'!$G$8:$G$10000,"="&amp;R41))+(SUMIFS('[1]2_inventory_totals'!$J$8:$J$10000,'[1]2_inventory_totals'!$C$8:$C$10000,I41,'[1]2_inventory_totals'!$F$8:$F$10000,"="&amp;Q41,'[1]2_inventory_totals'!$G$8:$G$10000,"="&amp;R41)+SUMIFS('[1]2_inventory_totals'!$K$8:$K$10000,'[1]2_inventory_totals'!$C$8:$C$10000,I41,'[1]2_inventory_totals'!$F$8:$F$10000,"="&amp;Q41,'[1]2_inventory_totals'!$G$8:$G$10000,"="&amp;R41)+SUMIFS('[1]2_inventory_totals'!$L$8:$L$10000,'[1]2_inventory_totals'!$C$8:$C$10000,I41,'[1]2_inventory_totals'!$F$8:$F$10000,"="&amp;Q41,'[1]2_inventory_totals'!$G$8:$G$10000,"="&amp;R41)+SUMIFS('[1]2_inventory_totals'!$M$8:$M$10000,'[1]2_inventory_totals'!$C$8:$C$10000,I41,'[1]2_inventory_totals'!$F$8:$F$10000,"="&amp;Q41,'[1]2_inventory_totals'!$G$8:$G$10000,"="&amp;R41)+SUMIFS('[1]2_inventory_totals'!$O$8:$O$10000,'[1]2_inventory_totals'!$C$8:$C$10000,I41,'[1]2_inventory_totals'!$F$8:$F$10000,"="&amp;Q41,'[1]2_inventory_totals'!$G$8:$G$10000,"="&amp;R41)+SUMIFS('[1]2_inventory_totals'!$S$8:$S$10000,'[1]2_inventory_totals'!$C$8:$C$10000,I41,'[1]2_inventory_totals'!$F$8:$F$10000,"="&amp;Q41,'[1]2_inventory_totals'!$G$8:$G$10000,"="&amp;R41)))</f>
        <v/>
      </c>
    </row>
    <row r="42" spans="1:54" ht="27" hidden="1" customHeight="1">
      <c r="A42" s="923"/>
      <c r="B42" s="1251"/>
      <c r="C42" s="1268"/>
      <c r="D42" s="950"/>
      <c r="E42" s="950"/>
      <c r="F42" s="1262"/>
      <c r="I42" s="1610" t="str">
        <f t="shared" si="10"/>
        <v/>
      </c>
      <c r="J42" s="1611" t="str">
        <f t="shared" si="112"/>
        <v/>
      </c>
      <c r="K42" s="1612" t="str">
        <f t="shared" si="30"/>
        <v/>
      </c>
      <c r="L42" s="1613"/>
      <c r="M42" s="883"/>
      <c r="N42" s="884"/>
      <c r="O42" s="884"/>
      <c r="P42" s="885"/>
      <c r="Q42" s="886"/>
      <c r="R42" s="891"/>
      <c r="S42" s="1614" t="str">
        <f t="shared" ref="S42" si="158">IF(M42="","",quot_currency_symbol)</f>
        <v/>
      </c>
      <c r="T42" s="888"/>
      <c r="U42" s="1650" t="str">
        <f t="shared" si="13"/>
        <v/>
      </c>
      <c r="V42" s="1615" t="str">
        <f t="shared" ref="V42" si="159">IF(W42=0,"",quot_currency_symbol)</f>
        <v/>
      </c>
      <c r="W42" s="889"/>
      <c r="X42" s="1615" t="str">
        <f t="shared" ref="X42" si="160">IF(M42="","",quot_currency_symbol)</f>
        <v/>
      </c>
      <c r="Y42" s="1616" t="str">
        <f t="shared" si="34"/>
        <v/>
      </c>
      <c r="Z42" s="890"/>
      <c r="AA42" s="197" t="str" cm="1">
        <f t="array" ref="AA42">IF(M42="","",IF(P42=AN42,1,Slookup(MID(AN42,1,3)*1,UomConversion!$D$8:$J$500,5,UomConversion!$E$8:$E$500,MID(P42,1,3)*1,UomConversion!$J$8:$J$500,1)))</f>
        <v/>
      </c>
      <c r="AB42" s="197" t="str">
        <f t="shared" si="3"/>
        <v/>
      </c>
      <c r="AC42" s="197" t="str">
        <f t="shared" si="17"/>
        <v/>
      </c>
      <c r="AD42" s="197" t="str">
        <f t="shared" si="18"/>
        <v/>
      </c>
      <c r="AE42" s="197" t="str">
        <f t="shared" si="19"/>
        <v/>
      </c>
      <c r="AF42" s="197" t="str">
        <f t="shared" si="152"/>
        <v/>
      </c>
      <c r="AG42" s="197" t="str">
        <f t="shared" si="6"/>
        <v/>
      </c>
      <c r="AH42" s="197" t="str">
        <f>IF(I42="","",IF(ISNA(MATCH(I42,IF(quot_location_id=1,'[1]1_inventory_totals'!$C$8:$C$10000,IF(quot_location_id=2,'[1]2_inventory_totals'!$C$8:$C$10000,0)),0)),0,IF(AV42&gt;0,1,0)))</f>
        <v/>
      </c>
      <c r="AI42" s="197" t="str">
        <f>IF(M42="","",IF(quot_location_id=1,SUMIFS('[1]1_inventory_total_details'!$J$8:$J$10000,'[1]1_inventory_total_details'!$C$8:$C$10000,I42,'[1]1_inventory_total_details'!$F$8:$F$10000,quot_location_id,'[1]1_inventory_total_details'!$G$8:$G$10000,"="&amp;Q42,'[1]1_inventory_total_details'!$H$8:$H$10000,"="&amp;R42,'[1]1_inventory_total_details'!$I$8:$I$10000,"="&amp;quot_date)+SUMIFS('[1]1_inventory_total_details'!$M$8:$M$10000,'[1]1_inventory_total_details'!$C$8:$C$10000,I42,'[1]1_inventory_total_details'!$F$8:$F$10000,quot_location_id,'[1]1_inventory_total_details'!$G$8:$G$10000,"="&amp;Q42,'[1]1_inventory_total_details'!$H$8:$H$10000,"="&amp;R42,'[1]1_inventory_total_details'!$I$8:$I$10000,"="&amp;quot_date)+SUMIFS('[1]1_inventory_total_details'!$K$8:$K$10000,'[1]1_inventory_total_details'!$C$8:$C$10000,I42,'[1]1_inventory_total_details'!$F$8:$F$10000,quot_location_id,'[1]1_inventory_total_details'!$G$8:$G$10000,"="&amp;Q42,'[1]1_inventory_total_details'!$H$8:$H$10000,"="&amp;R42,'[1]1_inventory_total_details'!$I$8:$I$10000,"="&amp;quot_date)+SUMIFS('[1]1_inventory_total_details'!$L$8:$L$10000,'[1]1_inventory_total_details'!$C$8:$C$10000,I42,'[1]1_inventory_total_details'!$F$8:$F$10000,quot_location_id,'[1]1_inventory_total_details'!$G$8:$G$10000,"="&amp;Q42,'[1]1_inventory_total_details'!$H$8:$H$10000,"="&amp;R42,'[1]1_inventory_total_details'!$I$8:$I$10000,"="&amp;quot_date),SUMIFS('[1]2_inventory_total_details'!$J$8:$J$10000,'[1]2_inventory_total_details'!$C$8:$C$10000,I42,'[1]2_inventory_total_details'!$F$8:$F$10000,quot_location_id,'[1]2_inventory_total_details'!$G$8:$G$10000,"="&amp;Q42,'[1]2_inventory_total_details'!$H$8:$H$10000,"="&amp;R42,'[1]2_inventory_total_details'!$I$8:$I$10000,"="&amp;quot_date)+SUMIFS('[1]2_inventory_total_details'!$M$8:$M$10000,'[1]2_inventory_total_details'!$C$8:$C$10000,I42,'[1]2_inventory_total_details'!$F$8:$F$10000,quot_location_id,'[1]2_inventory_total_details'!$G$8:$G$10000,"="&amp;Q42,'[1]2_inventory_total_details'!$H$8:$H$10000,"="&amp;R42,'[1]2_inventory_total_details'!$I$8:$I$10000,"="&amp;quot_date)+SUMIFS('[1]2_inventory_total_details'!$K$8:$K$10000,'[1]2_inventory_total_details'!$C$8:$C$10000,I42,'[1]2_inventory_total_details'!$F$8:$F$10000,quot_location_id,'[1]2_inventory_total_details'!$G$8:$G$10000,"="&amp;Q42,'[1]2_inventory_total_details'!$H$8:$H$10000,"="&amp;R42,'[1]2_inventory_total_details'!$I$8:$I$10000,"="&amp;quot_date)+SUMIFS('[1]2_inventory_total_details'!$L$8:$L$10000,'[1]2_inventory_total_details'!$C$8:$C$10000,I42,'[1]2_inventory_total_details'!$F$8:$F$10000,quot_location_id,'[1]2_inventory_total_details'!$G$8:$G$10000,"="&amp;Q42,'[1]2_inventory_total_details'!$H$8:$H$10000,"="&amp;R42,'[1]2_inventory_total_details'!$I$8:$I$10000,"="&amp;quot_date)))</f>
        <v/>
      </c>
      <c r="AJ42" s="197" t="str">
        <f>IF(M42="","",IF(ISNA(MATCH(I42,'[1]1_group_totals'!$C$8:$C$10000)),0,IF(AW42&gt;0,1,0)))</f>
        <v/>
      </c>
      <c r="AK42" s="197" t="str">
        <f>IF(M42="","",(SUMIFS('[1]1_group_total_details'!$I$8:$I$10000,'[1]1_group_total_details'!$C$8:$C$10000,I42,'[1]1_group_total_details'!$F$8:$F$10000,quot_location_group_id,'[1]1_group_total_details'!$G$8:$G$10000,quot_location_id,'[1]1_group_total_details'!$H$8:$H$10000,"="&amp;quot_date)+SUMIFS('[1]1_group_total_details'!$L$8:$L$10000,'[1]1_group_total_details'!$C$8:$C$10000,I42,'[1]1_group_total_details'!$F$8:$F$10000,quot_location_group_id,'[1]1_group_total_details'!$G$8:$G$10000,quot_location_id,'[1]1_group_total_details'!$H$8:$H$10000,"="&amp;quot_date)+SUMIFS('[1]1_group_total_details'!$N$8:$N$10000,'[1]1_group_total_details'!$C$8:$C$10000,I42,'[1]1_group_total_details'!$F$8:$F$10000,quot_location_group_id,'[1]1_group_total_details'!$G$8:$G$10000,quot_location_id,'[1]1_group_total_details'!$H$8:$H$10000,"="&amp;quot_date)+SUMIFS('[1]1_group_total_details'!$O$8:$O$10000,'[1]1_group_total_details'!$C$8:$C$10000,I42,'[1]1_group_total_details'!$F$8:$F$10000,quot_location_group_id,'[1]1_group_total_details'!$G$8:$G$10000,quot_location_id,'[1]1_group_total_details'!$H$8:$H$10000,"="&amp;quot_date))+(SUMIFS('[1]1_group_total_details'!$J$8:$J$10000,'[1]1_group_total_details'!$C$8:$C$10000,I42,'[1]1_group_total_details'!$F$8:$F$10000,quot_location_group_id,'[1]1_group_total_details'!$G$8:$G$10000,quot_location_id,'[1]1_group_total_details'!$H$8:$H$10000,"="&amp;quot_date)+SUMIFS('[1]1_group_total_details'!$K$8:$K$10000,'[1]1_group_total_details'!$C$8:$C$10000,I42,'[1]1_group_total_details'!$F$8:$F$10000,quot_location_group_id,'[1]1_group_total_details'!$G$8:$G$10000,quot_location_id,'[1]1_group_total_details'!$H$8:$H$10000,"="&amp;quot_date)+SUMIFS('[1]1_group_total_details'!$M$8:$M$10000,'[1]1_group_total_details'!$C$8:$C$10000,I42,'[1]1_group_total_details'!$F$8:$F$10000,quot_location_group_id,'[1]1_group_total_details'!$G$8:$G$10000,quot_location_id,'[1]1_group_total_details'!$H$8:$H$10000,"="&amp;quot_date)+SUMIFS('[1]1_group_total_details'!$P$8:$P$10000,'[1]1_group_total_details'!$C$8:$C$10000,I42,'[1]1_group_total_details'!$F$8:$F$10000,quot_location_group_id,'[1]1_group_total_details'!$G$8:$G$10000,quot_location_id,'[1]1_group_total_details'!$H$8:$H$10000,"="&amp;quot_date)))</f>
        <v/>
      </c>
      <c r="AL42" s="197" t="str">
        <f>IF(M42="","",(SUMIFS('[1]1_group_total_details'!$I$8:$I$10000,'[1]1_group_total_details'!$C$8:$C$10000,I42,'[1]1_group_total_details'!$F$8:$F$10000,quot_location_group_id,'[1]1_group_total_details'!$G$8:$G$10000,quot_location_id,'[1]1_group_total_details'!$H$8:$H$10000,"&lt;="&amp;quot_date)+SUMIFS('[1]1_group_total_details'!$L$8:$L$10000,'[1]1_group_total_details'!$C$8:$C$10000,I42,'[1]1_group_total_details'!$F$8:$F$10000,quot_location_group_id,'[1]1_group_total_details'!$G$8:$G$10000,1,'[1]1_group_total_details'!$H$8:$H$10000,"&lt;="&amp;quot_date)+SUMIFS('[1]1_group_total_details'!$N$8:$N$10000,'[1]1_group_total_details'!$C$8:$C$10000,I42,'[1]1_group_total_details'!$F$8:$F$10000,quot_location_group_id,'[1]1_group_total_details'!$G$8:$G$10000,quot_location_id,'[1]1_group_total_details'!$H$8:$H$10000,"&lt;="&amp;quot_date)+SUMIFS('[1]1_group_total_details'!$O$8:$O$10000,'[1]1_group_total_details'!$C$8:$C$10000,I42,'[1]1_group_total_details'!$F$8:$F$10000,quot_location_group_id,'[1]1_group_total_details'!$G$8:$G$10000,quot_location_id,'[1]1_group_total_details'!$H$8:$H$10000,"&lt;="&amp;quot_date))-(SUMIFS('[1]1_group_total_details'!$J$8:$J$10000,'[1]1_group_total_details'!$C$8:$C$10000,I42,'[1]1_group_total_details'!$F$8:$F$10000,quot_location_group_id,'[1]1_group_total_details'!$G$8:$G$10000,quot_location_id,'[1]1_group_total_details'!$H$8:$H$10000,"&lt;="&amp;quot_date)+SUMIFS('[1]1_group_total_details'!$K$8:$K$10000,'[1]1_group_total_details'!$C$8:$C$10000,I42,'[1]1_group_total_details'!$F$8:$F$10000,quot_location_group_id,'[1]1_group_total_details'!$G$8:$G$10000,quot_location_id,'[1]1_group_total_details'!$H$8:$H$10000,"&lt;="&amp;quot_date)+SUMIFS('[1]1_group_total_details'!$M$8:$M$10000,'[1]1_group_total_details'!$C$8:$C$10000,I42,'[1]1_group_total_details'!$F$8:$F$10000,quot_location_group_id,'[1]1_group_total_details'!$G$8:$G$10000,quot_location_id,'[1]1_group_total_details'!$H$8:$H$10000,"&lt;="&amp;quot_date)+SUMIFS('[1]1_group_total_details'!$P$8:$P$10000,'[1]1_group_total_details'!$C$8:$C$10000,I42,'[1]1_group_total_details'!$F$8:$F$10000,quot_location_group_id,'[1]1_group_total_details'!$G$8:$G$10000,quot_location_id,'[1]1_group_total_details'!$H$8:$H$10000,"&lt;="&amp;quot_date)))</f>
        <v/>
      </c>
      <c r="AM42" s="197" t="str">
        <f>IF(M42="","",SUMIFS('[1]1_group_totals'!$J$8:$J$10000,'[1]1_group_totals'!$C$8:$C$10000,I42,'[1]1_group_totals'!$F$8:$F$10000,quot_location_group_id,'[1]1_group_totals'!$G$8:$G$10000,quot_location_id,'[1]1_group_totals'!$H$8:$H$10000,"="&amp;Q42,'[1]1_group_totals'!$I$8:$I$10000,"="&amp;R42))</f>
        <v/>
      </c>
      <c r="AN42" s="197" t="str">
        <f t="shared" si="7"/>
        <v/>
      </c>
      <c r="AO42" s="197" t="str">
        <f>IF(OR(ISNA(MATCH(MID(AN42,1,3)*1,UomConversion!$D$8:$D$500,0)),M42=""),"",IF(AT42="","",AT42))</f>
        <v/>
      </c>
      <c r="AP42" s="197" t="str">
        <f>IF(AND(AQ42&gt;0,COUNTIFS(UomConversion!$D$8:$D$500,MID(AN42,1,3)*1,UomConversion!$J$8:$J$500,1)&gt;1),TEXT(AQ42,"000")&amp;"."&amp;VLOOKUP(AQ42,uom_list,5,FALSE),"")</f>
        <v/>
      </c>
      <c r="AQ42" s="197" t="str">
        <f t="shared" si="20"/>
        <v/>
      </c>
      <c r="AR42" s="197" t="str">
        <f t="shared" si="21"/>
        <v/>
      </c>
      <c r="AS42" s="197" t="str">
        <f>IF(M42="","",SUMIFS(ProductPrice!$N$28:$N$10020,ProductPrice!$D$28:$D$10020,I42,ProductPrice!$G$28:$G$10020,quot_branch_id,ProductPrice!$H$28:$H$10020,quot_price_type_id,ProductPrice!$I$28:$I$10020,MID(P42,1,3)*1,ProductPrice!$Q$28:$Q$10020,1))</f>
        <v/>
      </c>
      <c r="AT42" s="197" t="str">
        <f t="shared" si="8"/>
        <v/>
      </c>
      <c r="AU42" s="197" t="str" cm="1">
        <f t="array" ref="AU42">IF(M42="","",IF(ISNA(Slookup(MID(AN42,1,3)*1,UomConversion!$D$8:$J$500,2,UomConversion!$I$8:$I$500,1,UomConversion!$J$8:$J$500,1)),"",Slookup(MID(AN42,1,3)*1,UomConversion!$D$8:$J$500,2,UomConversion!$I$8:$I$500,1,UomConversion!$J$8:$J$500,1)))</f>
        <v/>
      </c>
      <c r="AV42" s="197" t="str">
        <f t="shared" ref="AV42" si="161">IF(M42="","",IF(quot_location_id=1,BA42,IF(quot_location_id=2,BB42,0)))</f>
        <v/>
      </c>
      <c r="AW42" s="197" t="str">
        <f>IF(M42="","",(SUMIFS('[1]1_group_totals'!$K$8:$K$10000,'[1]1_group_totals'!$C$8:$C$10000,I42,'[1]1_group_totals'!$F$8:$F$10000,quot_location_group_id,'[1]1_group_totals'!$G$8:$G$10000,quot_location_id,'[1]1_group_totals'!$H$8:$H$10000,"="&amp;Q42,'[1]1_group_totals'!$I$8:$I$10000,"="&amp;R42)+SUMIFS('[1]1_group_totals'!$N$8:$N$10000,'[1]1_group_totals'!$C$8:$C$10000,I42,'[1]1_group_totals'!$F$8:$F$10000,quot_location_group_id,'[1]1_group_totals'!$G$8:$G$10000,quot_location_id,'[1]1_group_totals'!$H$8:$H$10000,"="&amp;Q42,'[1]1_group_totals'!$I$8:$I$10000,"="&amp;R42)+SUMIFS('[1]1_group_totals'!$P$8:$P$10000,'[1]1_group_totals'!$C$8:$C$10000,I42,'[1]1_group_totals'!$F$8:$F$10000,quot_location_group_id,'[1]1_group_totals'!$G$8:$G$10000,quot_location_id,'[1]1_group_totals'!$H$8:$H$10000,"="&amp;Q42,'[1]1_group_totals'!$I$8:$I$10000,"="&amp;R42)+SUMIFS('[1]1_group_totals'!$Q$8:$Q$10000,'[1]1_group_totals'!$C$8:$C$10000,I42,'[1]1_group_totals'!$F$8:$F$10000,quot_location_group_id,'[1]1_group_totals'!$G$8:$G$10000,quot_location_id,'[1]1_group_totals'!$H$8:$H$10000,"="&amp;Q42,'[1]1_group_totals'!$I$8:$I$10000,"="&amp;R42))+(SUMIFS('[1]1_group_totals'!$L$8:$L$10000,'[1]1_group_totals'!$C$8:$C$10000,I42,'[1]1_group_totals'!$F$8:$F$10000,quot_location_group_id,'[1]1_group_totals'!$G$8:$G$10000,quot_location_id,'[1]1_group_totals'!$H$8:$H$10000,"="&amp;Q42,'[1]1_group_totals'!$I$8:$I$10000,"="&amp;R42)+SUMIFS('[1]1_group_totals'!$M$8:$M$10000,'[1]1_group_totals'!$C$8:$C$10000,I42,'[1]1_group_totals'!$F$8:$F$10000,quot_location_group_id,'[1]1_group_totals'!$G$8:$G$10000,quot_location_id,'[1]1_group_totals'!$H$8:$H$10000,"="&amp;Q42,'[1]1_group_totals'!$I$8:$I$10000,"="&amp;R42)+SUMIFS('[1]1_group_totals'!$O$8:$O$10000,'[1]1_group_totals'!$C$8:$C$10000,I42,'[1]1_group_totals'!$F$8:$F$10000,quot_location_group_id,'[1]1_group_totals'!$G$8:$G$10000,quot_location_id,'[1]1_group_totals'!$H$8:$H$10000,"="&amp;Q42,'[1]1_group_totals'!$I$8:$I$10000,"="&amp;R42)+SUMIFS('[1]1_group_totals'!$R$8:$R$10000,'[1]1_group_totals'!$C$8:$C$10000,I42,'[1]1_group_totals'!$F$8:$F$10000,quot_location_group_id,'[1]1_group_totals'!$G$8:$G$10000,quot_location_id,'[1]1_group_totals'!$H$8:$H$10000,"="&amp;Q42,'[1]1_group_totals'!$I$8:$I$10000,"="&amp;R42)))</f>
        <v/>
      </c>
      <c r="AX42" s="197" t="str">
        <f t="shared" si="23"/>
        <v/>
      </c>
      <c r="AY42" s="197" t="str">
        <f>IF(M42="","",SUMIFS($AX$8:AX42,$I$8:I42,I42))</f>
        <v/>
      </c>
      <c r="AZ42" s="197" t="str">
        <f t="shared" si="24"/>
        <v/>
      </c>
      <c r="BA42" s="197" t="str">
        <f>IF(M42="","",(SUMIFS('[1]1_inventory_totals'!$I$8:$I$10000,'[1]1_inventory_totals'!$C$8:$C$10000,I42,'[1]1_inventory_totals'!$F$8:$F$10000,"="&amp;Q42,'[1]1_inventory_totals'!$G$8:$G$10000,"="&amp;R42)+SUMIFS('[1]1_inventory_totals'!$N$8:$N$10000,'[1]1_inventory_totals'!$C$8:$C$10000,I42,'[1]1_inventory_totals'!$F$8:$F$10000,"="&amp;Q42,'[1]1_inventory_totals'!$G$8:$G$10000,"="&amp;R42)+SUMIFS('[1]1_inventory_totals'!$P$8:$P$10000,'[1]1_inventory_totals'!$C$8:$C$10000,I42,'[1]1_inventory_totals'!$F$8:$F$10000,"="&amp;Q42,'[1]1_inventory_totals'!$G$8:$G$10000,"="&amp;R42)+SUMIFS('[1]1_inventory_totals'!$Q$8:$Q$10000,'[1]1_inventory_totals'!$C$8:$C$10000,I42,'[1]1_inventory_totals'!$F$8:$F$10000,"="&amp;Q42,'[1]1_inventory_totals'!$G$8:$G$10000,"="&amp;R42)+SUMIFS('[1]1_inventory_totals'!$R$8:$R$10000,'[1]1_inventory_totals'!$C$8:$C$10000,I42,'[1]1_inventory_totals'!$F$8:$F$10000,"="&amp;Q42,'[1]1_inventory_totals'!$G$8:$G$10000,"="&amp;R42))+(SUMIFS('[1]1_inventory_totals'!$J$8:$J$10000,'[1]1_inventory_totals'!$C$8:$C$10000,I42,'[1]1_inventory_totals'!$F$8:$F$10000,"="&amp;Q42,'[1]1_inventory_totals'!$G$8:$G$10000,"="&amp;R42)+SUMIFS('[1]1_inventory_totals'!$K$8:$K$10000,'[1]1_inventory_totals'!$C$8:$C$10000,I42,'[1]1_inventory_totals'!$F$8:$F$10000,"="&amp;Q42,'[1]1_inventory_totals'!$G$8:$G$10000,"="&amp;R42)+SUMIFS('[1]1_inventory_totals'!$L$8:$L$10000,'[1]1_inventory_totals'!$C$8:$C$10000,I42,'[1]1_inventory_totals'!$F$8:$F$10000,"="&amp;Q42,'[1]1_inventory_totals'!$G$8:$G$10000,"="&amp;R42)+SUMIFS('[1]1_inventory_totals'!$M$8:$M$10000,'[1]1_inventory_totals'!$C$8:$C$10000,I42,'[1]1_inventory_totals'!$F$8:$F$10000,"="&amp;Q42,'[1]1_inventory_totals'!$G$8:$G$10000,"="&amp;R42)+SUMIFS('[1]1_inventory_totals'!$O$8:$O$10000,'[1]1_inventory_totals'!$C$8:$C$10000,I42,'[1]1_inventory_totals'!$F$8:$F$10000,"="&amp;Q42,'[1]1_inventory_totals'!$G$8:$G$10000,"="&amp;R42)+SUMIFS('[1]1_inventory_totals'!$S$8:$S$10000,'[1]1_inventory_totals'!$C$8:$C$10000,I42,'[1]1_inventory_totals'!$F$8:$F$10000,"="&amp;Q42,'[1]1_inventory_totals'!$G$8:$G$10000,"="&amp;R42)))</f>
        <v/>
      </c>
      <c r="BB42" s="197" t="str">
        <f>IF(M42="","",(SUMIFS('[1]2_inventory_totals'!$I$8:$I$10000,'[1]2_inventory_totals'!$C$8:$C$10000,I42,'[1]2_inventory_totals'!$F$8:$F$10000,"="&amp;Q42,'[1]2_inventory_totals'!$G$8:$G$10000,"="&amp;R42)+SUMIFS('[1]2_inventory_totals'!$N$8:$N$10000,'[1]2_inventory_totals'!$C$8:$C$10000,I42,'[1]2_inventory_totals'!$F$8:$F$10000,"="&amp;Q42,'[1]2_inventory_totals'!$G$8:$G$10000,"="&amp;R42)+SUMIFS('[1]2_inventory_totals'!$P$8:$P$10000,'[1]2_inventory_totals'!$C$8:$C$10000,I42,'[1]2_inventory_totals'!$F$8:$F$10000,"="&amp;Q42,'[1]2_inventory_totals'!$G$8:$G$10000,"="&amp;R42)+SUMIFS('[1]2_inventory_totals'!$Q$8:$Q$10000,'[1]2_inventory_totals'!$C$8:$C$10000,I42,'[1]2_inventory_totals'!$F$8:$F$10000,"="&amp;Q42,'[1]2_inventory_totals'!$G$8:$G$10000,"="&amp;R42)+SUMIFS('[1]2_inventory_totals'!$R$8:$R$10000,'[1]2_inventory_totals'!$C$8:$C$10000,I42,'[1]2_inventory_totals'!$F$8:$F$10000,"="&amp;Q42,'[1]2_inventory_totals'!$G$8:$G$10000,"="&amp;R42))+(SUMIFS('[1]2_inventory_totals'!$J$8:$J$10000,'[1]2_inventory_totals'!$C$8:$C$10000,I42,'[1]2_inventory_totals'!$F$8:$F$10000,"="&amp;Q42,'[1]2_inventory_totals'!$G$8:$G$10000,"="&amp;R42)+SUMIFS('[1]2_inventory_totals'!$K$8:$K$10000,'[1]2_inventory_totals'!$C$8:$C$10000,I42,'[1]2_inventory_totals'!$F$8:$F$10000,"="&amp;Q42,'[1]2_inventory_totals'!$G$8:$G$10000,"="&amp;R42)+SUMIFS('[1]2_inventory_totals'!$L$8:$L$10000,'[1]2_inventory_totals'!$C$8:$C$10000,I42,'[1]2_inventory_totals'!$F$8:$F$10000,"="&amp;Q42,'[1]2_inventory_totals'!$G$8:$G$10000,"="&amp;R42)+SUMIFS('[1]2_inventory_totals'!$M$8:$M$10000,'[1]2_inventory_totals'!$C$8:$C$10000,I42,'[1]2_inventory_totals'!$F$8:$F$10000,"="&amp;Q42,'[1]2_inventory_totals'!$G$8:$G$10000,"="&amp;R42)+SUMIFS('[1]2_inventory_totals'!$O$8:$O$10000,'[1]2_inventory_totals'!$C$8:$C$10000,I42,'[1]2_inventory_totals'!$F$8:$F$10000,"="&amp;Q42,'[1]2_inventory_totals'!$G$8:$G$10000,"="&amp;R42)+SUMIFS('[1]2_inventory_totals'!$S$8:$S$10000,'[1]2_inventory_totals'!$C$8:$C$10000,I42,'[1]2_inventory_totals'!$F$8:$F$10000,"="&amp;Q42,'[1]2_inventory_totals'!$G$8:$G$10000,"="&amp;R42)))</f>
        <v/>
      </c>
    </row>
    <row r="43" spans="1:54" ht="27" hidden="1" customHeight="1">
      <c r="A43" s="923"/>
      <c r="B43" s="1251"/>
      <c r="C43" s="1268"/>
      <c r="D43" s="950"/>
      <c r="E43" s="950"/>
      <c r="F43" s="1262"/>
      <c r="I43" s="1610" t="str">
        <f t="shared" si="10"/>
        <v/>
      </c>
      <c r="J43" s="1611" t="str">
        <f t="shared" si="112"/>
        <v/>
      </c>
      <c r="K43" s="1612" t="str">
        <f t="shared" si="30"/>
        <v/>
      </c>
      <c r="L43" s="1613"/>
      <c r="M43" s="883"/>
      <c r="N43" s="884"/>
      <c r="O43" s="884"/>
      <c r="P43" s="885"/>
      <c r="Q43" s="886"/>
      <c r="R43" s="891"/>
      <c r="S43" s="1614" t="str">
        <f t="shared" ref="S43" si="162">IF(M43="","",quot_currency_symbol)</f>
        <v/>
      </c>
      <c r="T43" s="888"/>
      <c r="U43" s="1650" t="str">
        <f t="shared" si="13"/>
        <v/>
      </c>
      <c r="V43" s="1615" t="str">
        <f t="shared" ref="V43" si="163">IF(W43=0,"",quot_currency_symbol)</f>
        <v/>
      </c>
      <c r="W43" s="889"/>
      <c r="X43" s="1615" t="str">
        <f t="shared" ref="X43" si="164">IF(M43="","",quot_currency_symbol)</f>
        <v/>
      </c>
      <c r="Y43" s="1616" t="str">
        <f t="shared" si="34"/>
        <v/>
      </c>
      <c r="Z43" s="890"/>
      <c r="AA43" s="197" t="str" cm="1">
        <f t="array" ref="AA43">IF(M43="","",IF(P43=AN43,1,Slookup(MID(AN43,1,3)*1,UomConversion!$D$8:$J$500,5,UomConversion!$E$8:$E$500,MID(P43,1,3)*1,UomConversion!$J$8:$J$500,1)))</f>
        <v/>
      </c>
      <c r="AB43" s="197" t="str">
        <f t="shared" si="3"/>
        <v/>
      </c>
      <c r="AC43" s="197" t="str">
        <f t="shared" si="17"/>
        <v/>
      </c>
      <c r="AD43" s="197" t="str">
        <f t="shared" si="18"/>
        <v/>
      </c>
      <c r="AE43" s="197" t="str">
        <f t="shared" si="19"/>
        <v/>
      </c>
      <c r="AF43" s="197" t="str">
        <f t="shared" si="152"/>
        <v/>
      </c>
      <c r="AG43" s="197" t="str">
        <f t="shared" si="6"/>
        <v/>
      </c>
      <c r="AH43" s="197" t="str">
        <f>IF(I43="","",IF(ISNA(MATCH(I43,IF(quot_location_id=1,'[1]1_inventory_totals'!$C$8:$C$10000,IF(quot_location_id=2,'[1]2_inventory_totals'!$C$8:$C$10000,0)),0)),0,IF(AV43&gt;0,1,0)))</f>
        <v/>
      </c>
      <c r="AI43" s="197" t="str">
        <f>IF(M43="","",IF(quot_location_id=1,SUMIFS('[1]1_inventory_total_details'!$J$8:$J$10000,'[1]1_inventory_total_details'!$C$8:$C$10000,I43,'[1]1_inventory_total_details'!$F$8:$F$10000,quot_location_id,'[1]1_inventory_total_details'!$G$8:$G$10000,"="&amp;Q43,'[1]1_inventory_total_details'!$H$8:$H$10000,"="&amp;R43,'[1]1_inventory_total_details'!$I$8:$I$10000,"="&amp;quot_date)+SUMIFS('[1]1_inventory_total_details'!$M$8:$M$10000,'[1]1_inventory_total_details'!$C$8:$C$10000,I43,'[1]1_inventory_total_details'!$F$8:$F$10000,quot_location_id,'[1]1_inventory_total_details'!$G$8:$G$10000,"="&amp;Q43,'[1]1_inventory_total_details'!$H$8:$H$10000,"="&amp;R43,'[1]1_inventory_total_details'!$I$8:$I$10000,"="&amp;quot_date)+SUMIFS('[1]1_inventory_total_details'!$K$8:$K$10000,'[1]1_inventory_total_details'!$C$8:$C$10000,I43,'[1]1_inventory_total_details'!$F$8:$F$10000,quot_location_id,'[1]1_inventory_total_details'!$G$8:$G$10000,"="&amp;Q43,'[1]1_inventory_total_details'!$H$8:$H$10000,"="&amp;R43,'[1]1_inventory_total_details'!$I$8:$I$10000,"="&amp;quot_date)+SUMIFS('[1]1_inventory_total_details'!$L$8:$L$10000,'[1]1_inventory_total_details'!$C$8:$C$10000,I43,'[1]1_inventory_total_details'!$F$8:$F$10000,quot_location_id,'[1]1_inventory_total_details'!$G$8:$G$10000,"="&amp;Q43,'[1]1_inventory_total_details'!$H$8:$H$10000,"="&amp;R43,'[1]1_inventory_total_details'!$I$8:$I$10000,"="&amp;quot_date),SUMIFS('[1]2_inventory_total_details'!$J$8:$J$10000,'[1]2_inventory_total_details'!$C$8:$C$10000,I43,'[1]2_inventory_total_details'!$F$8:$F$10000,quot_location_id,'[1]2_inventory_total_details'!$G$8:$G$10000,"="&amp;Q43,'[1]2_inventory_total_details'!$H$8:$H$10000,"="&amp;R43,'[1]2_inventory_total_details'!$I$8:$I$10000,"="&amp;quot_date)+SUMIFS('[1]2_inventory_total_details'!$M$8:$M$10000,'[1]2_inventory_total_details'!$C$8:$C$10000,I43,'[1]2_inventory_total_details'!$F$8:$F$10000,quot_location_id,'[1]2_inventory_total_details'!$G$8:$G$10000,"="&amp;Q43,'[1]2_inventory_total_details'!$H$8:$H$10000,"="&amp;R43,'[1]2_inventory_total_details'!$I$8:$I$10000,"="&amp;quot_date)+SUMIFS('[1]2_inventory_total_details'!$K$8:$K$10000,'[1]2_inventory_total_details'!$C$8:$C$10000,I43,'[1]2_inventory_total_details'!$F$8:$F$10000,quot_location_id,'[1]2_inventory_total_details'!$G$8:$G$10000,"="&amp;Q43,'[1]2_inventory_total_details'!$H$8:$H$10000,"="&amp;R43,'[1]2_inventory_total_details'!$I$8:$I$10000,"="&amp;quot_date)+SUMIFS('[1]2_inventory_total_details'!$L$8:$L$10000,'[1]2_inventory_total_details'!$C$8:$C$10000,I43,'[1]2_inventory_total_details'!$F$8:$F$10000,quot_location_id,'[1]2_inventory_total_details'!$G$8:$G$10000,"="&amp;Q43,'[1]2_inventory_total_details'!$H$8:$H$10000,"="&amp;R43,'[1]2_inventory_total_details'!$I$8:$I$10000,"="&amp;quot_date)))</f>
        <v/>
      </c>
      <c r="AJ43" s="197" t="str">
        <f>IF(M43="","",IF(ISNA(MATCH(I43,'[1]1_group_totals'!$C$8:$C$10000)),0,IF(AW43&gt;0,1,0)))</f>
        <v/>
      </c>
      <c r="AK43" s="197" t="str">
        <f>IF(M43="","",(SUMIFS('[1]1_group_total_details'!$I$8:$I$10000,'[1]1_group_total_details'!$C$8:$C$10000,I43,'[1]1_group_total_details'!$F$8:$F$10000,quot_location_group_id,'[1]1_group_total_details'!$G$8:$G$10000,quot_location_id,'[1]1_group_total_details'!$H$8:$H$10000,"="&amp;quot_date)+SUMIFS('[1]1_group_total_details'!$L$8:$L$10000,'[1]1_group_total_details'!$C$8:$C$10000,I43,'[1]1_group_total_details'!$F$8:$F$10000,quot_location_group_id,'[1]1_group_total_details'!$G$8:$G$10000,quot_location_id,'[1]1_group_total_details'!$H$8:$H$10000,"="&amp;quot_date)+SUMIFS('[1]1_group_total_details'!$N$8:$N$10000,'[1]1_group_total_details'!$C$8:$C$10000,I43,'[1]1_group_total_details'!$F$8:$F$10000,quot_location_group_id,'[1]1_group_total_details'!$G$8:$G$10000,quot_location_id,'[1]1_group_total_details'!$H$8:$H$10000,"="&amp;quot_date)+SUMIFS('[1]1_group_total_details'!$O$8:$O$10000,'[1]1_group_total_details'!$C$8:$C$10000,I43,'[1]1_group_total_details'!$F$8:$F$10000,quot_location_group_id,'[1]1_group_total_details'!$G$8:$G$10000,quot_location_id,'[1]1_group_total_details'!$H$8:$H$10000,"="&amp;quot_date))+(SUMIFS('[1]1_group_total_details'!$J$8:$J$10000,'[1]1_group_total_details'!$C$8:$C$10000,I43,'[1]1_group_total_details'!$F$8:$F$10000,quot_location_group_id,'[1]1_group_total_details'!$G$8:$G$10000,quot_location_id,'[1]1_group_total_details'!$H$8:$H$10000,"="&amp;quot_date)+SUMIFS('[1]1_group_total_details'!$K$8:$K$10000,'[1]1_group_total_details'!$C$8:$C$10000,I43,'[1]1_group_total_details'!$F$8:$F$10000,quot_location_group_id,'[1]1_group_total_details'!$G$8:$G$10000,quot_location_id,'[1]1_group_total_details'!$H$8:$H$10000,"="&amp;quot_date)+SUMIFS('[1]1_group_total_details'!$M$8:$M$10000,'[1]1_group_total_details'!$C$8:$C$10000,I43,'[1]1_group_total_details'!$F$8:$F$10000,quot_location_group_id,'[1]1_group_total_details'!$G$8:$G$10000,quot_location_id,'[1]1_group_total_details'!$H$8:$H$10000,"="&amp;quot_date)+SUMIFS('[1]1_group_total_details'!$P$8:$P$10000,'[1]1_group_total_details'!$C$8:$C$10000,I43,'[1]1_group_total_details'!$F$8:$F$10000,quot_location_group_id,'[1]1_group_total_details'!$G$8:$G$10000,quot_location_id,'[1]1_group_total_details'!$H$8:$H$10000,"="&amp;quot_date)))</f>
        <v/>
      </c>
      <c r="AL43" s="197" t="str">
        <f>IF(M43="","",(SUMIFS('[1]1_group_total_details'!$I$8:$I$10000,'[1]1_group_total_details'!$C$8:$C$10000,I43,'[1]1_group_total_details'!$F$8:$F$10000,quot_location_group_id,'[1]1_group_total_details'!$G$8:$G$10000,quot_location_id,'[1]1_group_total_details'!$H$8:$H$10000,"&lt;="&amp;quot_date)+SUMIFS('[1]1_group_total_details'!$L$8:$L$10000,'[1]1_group_total_details'!$C$8:$C$10000,I43,'[1]1_group_total_details'!$F$8:$F$10000,quot_location_group_id,'[1]1_group_total_details'!$G$8:$G$10000,1,'[1]1_group_total_details'!$H$8:$H$10000,"&lt;="&amp;quot_date)+SUMIFS('[1]1_group_total_details'!$N$8:$N$10000,'[1]1_group_total_details'!$C$8:$C$10000,I43,'[1]1_group_total_details'!$F$8:$F$10000,quot_location_group_id,'[1]1_group_total_details'!$G$8:$G$10000,quot_location_id,'[1]1_group_total_details'!$H$8:$H$10000,"&lt;="&amp;quot_date)+SUMIFS('[1]1_group_total_details'!$O$8:$O$10000,'[1]1_group_total_details'!$C$8:$C$10000,I43,'[1]1_group_total_details'!$F$8:$F$10000,quot_location_group_id,'[1]1_group_total_details'!$G$8:$G$10000,quot_location_id,'[1]1_group_total_details'!$H$8:$H$10000,"&lt;="&amp;quot_date))-(SUMIFS('[1]1_group_total_details'!$J$8:$J$10000,'[1]1_group_total_details'!$C$8:$C$10000,I43,'[1]1_group_total_details'!$F$8:$F$10000,quot_location_group_id,'[1]1_group_total_details'!$G$8:$G$10000,quot_location_id,'[1]1_group_total_details'!$H$8:$H$10000,"&lt;="&amp;quot_date)+SUMIFS('[1]1_group_total_details'!$K$8:$K$10000,'[1]1_group_total_details'!$C$8:$C$10000,I43,'[1]1_group_total_details'!$F$8:$F$10000,quot_location_group_id,'[1]1_group_total_details'!$G$8:$G$10000,quot_location_id,'[1]1_group_total_details'!$H$8:$H$10000,"&lt;="&amp;quot_date)+SUMIFS('[1]1_group_total_details'!$M$8:$M$10000,'[1]1_group_total_details'!$C$8:$C$10000,I43,'[1]1_group_total_details'!$F$8:$F$10000,quot_location_group_id,'[1]1_group_total_details'!$G$8:$G$10000,quot_location_id,'[1]1_group_total_details'!$H$8:$H$10000,"&lt;="&amp;quot_date)+SUMIFS('[1]1_group_total_details'!$P$8:$P$10000,'[1]1_group_total_details'!$C$8:$C$10000,I43,'[1]1_group_total_details'!$F$8:$F$10000,quot_location_group_id,'[1]1_group_total_details'!$G$8:$G$10000,quot_location_id,'[1]1_group_total_details'!$H$8:$H$10000,"&lt;="&amp;quot_date)))</f>
        <v/>
      </c>
      <c r="AM43" s="197" t="str">
        <f>IF(M43="","",SUMIFS('[1]1_group_totals'!$J$8:$J$10000,'[1]1_group_totals'!$C$8:$C$10000,I43,'[1]1_group_totals'!$F$8:$F$10000,quot_location_group_id,'[1]1_group_totals'!$G$8:$G$10000,quot_location_id,'[1]1_group_totals'!$H$8:$H$10000,"="&amp;Q43,'[1]1_group_totals'!$I$8:$I$10000,"="&amp;R43))</f>
        <v/>
      </c>
      <c r="AN43" s="197" t="str">
        <f t="shared" si="7"/>
        <v/>
      </c>
      <c r="AO43" s="197" t="str">
        <f>IF(OR(ISNA(MATCH(MID(AN43,1,3)*1,UomConversion!$D$8:$D$500,0)),M43=""),"",IF(AT43="","",AT43))</f>
        <v/>
      </c>
      <c r="AP43" s="197" t="str">
        <f>IF(AND(AQ43&gt;0,COUNTIFS(UomConversion!$D$8:$D$500,MID(AN43,1,3)*1,UomConversion!$J$8:$J$500,1)&gt;1),TEXT(AQ43,"000")&amp;"."&amp;VLOOKUP(AQ43,uom_list,5,FALSE),"")</f>
        <v/>
      </c>
      <c r="AQ43" s="197" t="str">
        <f t="shared" si="20"/>
        <v/>
      </c>
      <c r="AR43" s="197" t="str">
        <f t="shared" si="21"/>
        <v/>
      </c>
      <c r="AS43" s="197" t="str">
        <f>IF(M43="","",SUMIFS(ProductPrice!$N$28:$N$10020,ProductPrice!$D$28:$D$10020,I43,ProductPrice!$G$28:$G$10020,quot_branch_id,ProductPrice!$H$28:$H$10020,quot_price_type_id,ProductPrice!$I$28:$I$10020,MID(P43,1,3)*1,ProductPrice!$Q$28:$Q$10020,1))</f>
        <v/>
      </c>
      <c r="AT43" s="197" t="str">
        <f t="shared" si="8"/>
        <v/>
      </c>
      <c r="AU43" s="197" t="str" cm="1">
        <f t="array" ref="AU43">IF(M43="","",IF(ISNA(Slookup(MID(AN43,1,3)*1,UomConversion!$D$8:$J$500,2,UomConversion!$I$8:$I$500,1,UomConversion!$J$8:$J$500,1)),"",Slookup(MID(AN43,1,3)*1,UomConversion!$D$8:$J$500,2,UomConversion!$I$8:$I$500,1,UomConversion!$J$8:$J$500,1)))</f>
        <v/>
      </c>
      <c r="AV43" s="197" t="str">
        <f t="shared" ref="AV43" si="165">IF(M43="","",IF(quot_location_id=1,BA43,IF(quot_location_id=2,BB43,0)))</f>
        <v/>
      </c>
      <c r="AW43" s="197" t="str">
        <f>IF(M43="","",(SUMIFS('[1]1_group_totals'!$K$8:$K$10000,'[1]1_group_totals'!$C$8:$C$10000,I43,'[1]1_group_totals'!$F$8:$F$10000,quot_location_group_id,'[1]1_group_totals'!$G$8:$G$10000,quot_location_id,'[1]1_group_totals'!$H$8:$H$10000,"="&amp;Q43,'[1]1_group_totals'!$I$8:$I$10000,"="&amp;R43)+SUMIFS('[1]1_group_totals'!$N$8:$N$10000,'[1]1_group_totals'!$C$8:$C$10000,I43,'[1]1_group_totals'!$F$8:$F$10000,quot_location_group_id,'[1]1_group_totals'!$G$8:$G$10000,quot_location_id,'[1]1_group_totals'!$H$8:$H$10000,"="&amp;Q43,'[1]1_group_totals'!$I$8:$I$10000,"="&amp;R43)+SUMIFS('[1]1_group_totals'!$P$8:$P$10000,'[1]1_group_totals'!$C$8:$C$10000,I43,'[1]1_group_totals'!$F$8:$F$10000,quot_location_group_id,'[1]1_group_totals'!$G$8:$G$10000,quot_location_id,'[1]1_group_totals'!$H$8:$H$10000,"="&amp;Q43,'[1]1_group_totals'!$I$8:$I$10000,"="&amp;R43)+SUMIFS('[1]1_group_totals'!$Q$8:$Q$10000,'[1]1_group_totals'!$C$8:$C$10000,I43,'[1]1_group_totals'!$F$8:$F$10000,quot_location_group_id,'[1]1_group_totals'!$G$8:$G$10000,quot_location_id,'[1]1_group_totals'!$H$8:$H$10000,"="&amp;Q43,'[1]1_group_totals'!$I$8:$I$10000,"="&amp;R43))+(SUMIFS('[1]1_group_totals'!$L$8:$L$10000,'[1]1_group_totals'!$C$8:$C$10000,I43,'[1]1_group_totals'!$F$8:$F$10000,quot_location_group_id,'[1]1_group_totals'!$G$8:$G$10000,quot_location_id,'[1]1_group_totals'!$H$8:$H$10000,"="&amp;Q43,'[1]1_group_totals'!$I$8:$I$10000,"="&amp;R43)+SUMIFS('[1]1_group_totals'!$M$8:$M$10000,'[1]1_group_totals'!$C$8:$C$10000,I43,'[1]1_group_totals'!$F$8:$F$10000,quot_location_group_id,'[1]1_group_totals'!$G$8:$G$10000,quot_location_id,'[1]1_group_totals'!$H$8:$H$10000,"="&amp;Q43,'[1]1_group_totals'!$I$8:$I$10000,"="&amp;R43)+SUMIFS('[1]1_group_totals'!$O$8:$O$10000,'[1]1_group_totals'!$C$8:$C$10000,I43,'[1]1_group_totals'!$F$8:$F$10000,quot_location_group_id,'[1]1_group_totals'!$G$8:$G$10000,quot_location_id,'[1]1_group_totals'!$H$8:$H$10000,"="&amp;Q43,'[1]1_group_totals'!$I$8:$I$10000,"="&amp;R43)+SUMIFS('[1]1_group_totals'!$R$8:$R$10000,'[1]1_group_totals'!$C$8:$C$10000,I43,'[1]1_group_totals'!$F$8:$F$10000,quot_location_group_id,'[1]1_group_totals'!$G$8:$G$10000,quot_location_id,'[1]1_group_totals'!$H$8:$H$10000,"="&amp;Q43,'[1]1_group_totals'!$I$8:$I$10000,"="&amp;R43)))</f>
        <v/>
      </c>
      <c r="AX43" s="197" t="str">
        <f t="shared" si="23"/>
        <v/>
      </c>
      <c r="AY43" s="197" t="str">
        <f>IF(M43="","",SUMIFS($AX$8:AX43,$I$8:I43,I43))</f>
        <v/>
      </c>
      <c r="AZ43" s="197" t="str">
        <f t="shared" si="24"/>
        <v/>
      </c>
      <c r="BA43" s="197" t="str">
        <f>IF(M43="","",(SUMIFS('[1]1_inventory_totals'!$I$8:$I$10000,'[1]1_inventory_totals'!$C$8:$C$10000,I43,'[1]1_inventory_totals'!$F$8:$F$10000,"="&amp;Q43,'[1]1_inventory_totals'!$G$8:$G$10000,"="&amp;R43)+SUMIFS('[1]1_inventory_totals'!$N$8:$N$10000,'[1]1_inventory_totals'!$C$8:$C$10000,I43,'[1]1_inventory_totals'!$F$8:$F$10000,"="&amp;Q43,'[1]1_inventory_totals'!$G$8:$G$10000,"="&amp;R43)+SUMIFS('[1]1_inventory_totals'!$P$8:$P$10000,'[1]1_inventory_totals'!$C$8:$C$10000,I43,'[1]1_inventory_totals'!$F$8:$F$10000,"="&amp;Q43,'[1]1_inventory_totals'!$G$8:$G$10000,"="&amp;R43)+SUMIFS('[1]1_inventory_totals'!$Q$8:$Q$10000,'[1]1_inventory_totals'!$C$8:$C$10000,I43,'[1]1_inventory_totals'!$F$8:$F$10000,"="&amp;Q43,'[1]1_inventory_totals'!$G$8:$G$10000,"="&amp;R43)+SUMIFS('[1]1_inventory_totals'!$R$8:$R$10000,'[1]1_inventory_totals'!$C$8:$C$10000,I43,'[1]1_inventory_totals'!$F$8:$F$10000,"="&amp;Q43,'[1]1_inventory_totals'!$G$8:$G$10000,"="&amp;R43))+(SUMIFS('[1]1_inventory_totals'!$J$8:$J$10000,'[1]1_inventory_totals'!$C$8:$C$10000,I43,'[1]1_inventory_totals'!$F$8:$F$10000,"="&amp;Q43,'[1]1_inventory_totals'!$G$8:$G$10000,"="&amp;R43)+SUMIFS('[1]1_inventory_totals'!$K$8:$K$10000,'[1]1_inventory_totals'!$C$8:$C$10000,I43,'[1]1_inventory_totals'!$F$8:$F$10000,"="&amp;Q43,'[1]1_inventory_totals'!$G$8:$G$10000,"="&amp;R43)+SUMIFS('[1]1_inventory_totals'!$L$8:$L$10000,'[1]1_inventory_totals'!$C$8:$C$10000,I43,'[1]1_inventory_totals'!$F$8:$F$10000,"="&amp;Q43,'[1]1_inventory_totals'!$G$8:$G$10000,"="&amp;R43)+SUMIFS('[1]1_inventory_totals'!$M$8:$M$10000,'[1]1_inventory_totals'!$C$8:$C$10000,I43,'[1]1_inventory_totals'!$F$8:$F$10000,"="&amp;Q43,'[1]1_inventory_totals'!$G$8:$G$10000,"="&amp;R43)+SUMIFS('[1]1_inventory_totals'!$O$8:$O$10000,'[1]1_inventory_totals'!$C$8:$C$10000,I43,'[1]1_inventory_totals'!$F$8:$F$10000,"="&amp;Q43,'[1]1_inventory_totals'!$G$8:$G$10000,"="&amp;R43)+SUMIFS('[1]1_inventory_totals'!$S$8:$S$10000,'[1]1_inventory_totals'!$C$8:$C$10000,I43,'[1]1_inventory_totals'!$F$8:$F$10000,"="&amp;Q43,'[1]1_inventory_totals'!$G$8:$G$10000,"="&amp;R43)))</f>
        <v/>
      </c>
      <c r="BB43" s="197" t="str">
        <f>IF(M43="","",(SUMIFS('[1]2_inventory_totals'!$I$8:$I$10000,'[1]2_inventory_totals'!$C$8:$C$10000,I43,'[1]2_inventory_totals'!$F$8:$F$10000,"="&amp;Q43,'[1]2_inventory_totals'!$G$8:$G$10000,"="&amp;R43)+SUMIFS('[1]2_inventory_totals'!$N$8:$N$10000,'[1]2_inventory_totals'!$C$8:$C$10000,I43,'[1]2_inventory_totals'!$F$8:$F$10000,"="&amp;Q43,'[1]2_inventory_totals'!$G$8:$G$10000,"="&amp;R43)+SUMIFS('[1]2_inventory_totals'!$P$8:$P$10000,'[1]2_inventory_totals'!$C$8:$C$10000,I43,'[1]2_inventory_totals'!$F$8:$F$10000,"="&amp;Q43,'[1]2_inventory_totals'!$G$8:$G$10000,"="&amp;R43)+SUMIFS('[1]2_inventory_totals'!$Q$8:$Q$10000,'[1]2_inventory_totals'!$C$8:$C$10000,I43,'[1]2_inventory_totals'!$F$8:$F$10000,"="&amp;Q43,'[1]2_inventory_totals'!$G$8:$G$10000,"="&amp;R43)+SUMIFS('[1]2_inventory_totals'!$R$8:$R$10000,'[1]2_inventory_totals'!$C$8:$C$10000,I43,'[1]2_inventory_totals'!$F$8:$F$10000,"="&amp;Q43,'[1]2_inventory_totals'!$G$8:$G$10000,"="&amp;R43))+(SUMIFS('[1]2_inventory_totals'!$J$8:$J$10000,'[1]2_inventory_totals'!$C$8:$C$10000,I43,'[1]2_inventory_totals'!$F$8:$F$10000,"="&amp;Q43,'[1]2_inventory_totals'!$G$8:$G$10000,"="&amp;R43)+SUMIFS('[1]2_inventory_totals'!$K$8:$K$10000,'[1]2_inventory_totals'!$C$8:$C$10000,I43,'[1]2_inventory_totals'!$F$8:$F$10000,"="&amp;Q43,'[1]2_inventory_totals'!$G$8:$G$10000,"="&amp;R43)+SUMIFS('[1]2_inventory_totals'!$L$8:$L$10000,'[1]2_inventory_totals'!$C$8:$C$10000,I43,'[1]2_inventory_totals'!$F$8:$F$10000,"="&amp;Q43,'[1]2_inventory_totals'!$G$8:$G$10000,"="&amp;R43)+SUMIFS('[1]2_inventory_totals'!$M$8:$M$10000,'[1]2_inventory_totals'!$C$8:$C$10000,I43,'[1]2_inventory_totals'!$F$8:$F$10000,"="&amp;Q43,'[1]2_inventory_totals'!$G$8:$G$10000,"="&amp;R43)+SUMIFS('[1]2_inventory_totals'!$O$8:$O$10000,'[1]2_inventory_totals'!$C$8:$C$10000,I43,'[1]2_inventory_totals'!$F$8:$F$10000,"="&amp;Q43,'[1]2_inventory_totals'!$G$8:$G$10000,"="&amp;R43)+SUMIFS('[1]2_inventory_totals'!$S$8:$S$10000,'[1]2_inventory_totals'!$C$8:$C$10000,I43,'[1]2_inventory_totals'!$F$8:$F$10000,"="&amp;Q43,'[1]2_inventory_totals'!$G$8:$G$10000,"="&amp;R43)))</f>
        <v/>
      </c>
    </row>
    <row r="44" spans="1:54" ht="27" hidden="1" customHeight="1">
      <c r="A44" s="923"/>
      <c r="B44" s="1251"/>
      <c r="C44" s="1268"/>
      <c r="D44" s="950"/>
      <c r="E44" s="950"/>
      <c r="F44" s="1262"/>
      <c r="I44" s="1610" t="str">
        <f t="shared" si="10"/>
        <v/>
      </c>
      <c r="J44" s="1611" t="str">
        <f t="shared" si="112"/>
        <v/>
      </c>
      <c r="K44" s="1612" t="str">
        <f t="shared" si="30"/>
        <v/>
      </c>
      <c r="L44" s="1613"/>
      <c r="M44" s="883"/>
      <c r="N44" s="884"/>
      <c r="O44" s="884"/>
      <c r="P44" s="885"/>
      <c r="Q44" s="886"/>
      <c r="R44" s="891"/>
      <c r="S44" s="1614" t="str">
        <f t="shared" ref="S44" si="166">IF(M44="","",quot_currency_symbol)</f>
        <v/>
      </c>
      <c r="T44" s="888"/>
      <c r="U44" s="1650" t="str">
        <f t="shared" si="13"/>
        <v/>
      </c>
      <c r="V44" s="1615" t="str">
        <f t="shared" ref="V44" si="167">IF(W44=0,"",quot_currency_symbol)</f>
        <v/>
      </c>
      <c r="W44" s="889"/>
      <c r="X44" s="1615" t="str">
        <f t="shared" ref="X44" si="168">IF(M44="","",quot_currency_symbol)</f>
        <v/>
      </c>
      <c r="Y44" s="1616" t="str">
        <f t="shared" si="34"/>
        <v/>
      </c>
      <c r="Z44" s="890"/>
      <c r="AA44" s="197" t="str" cm="1">
        <f t="array" ref="AA44">IF(M44="","",IF(P44=AN44,1,Slookup(MID(AN44,1,3)*1,UomConversion!$D$8:$J$500,5,UomConversion!$E$8:$E$500,MID(P44,1,3)*1,UomConversion!$J$8:$J$500,1)))</f>
        <v/>
      </c>
      <c r="AB44" s="197" t="str">
        <f t="shared" si="3"/>
        <v/>
      </c>
      <c r="AC44" s="197" t="str">
        <f t="shared" si="17"/>
        <v/>
      </c>
      <c r="AD44" s="197" t="str">
        <f t="shared" si="18"/>
        <v/>
      </c>
      <c r="AE44" s="197" t="str">
        <f t="shared" si="19"/>
        <v/>
      </c>
      <c r="AF44" s="197" t="str">
        <f t="shared" si="152"/>
        <v/>
      </c>
      <c r="AG44" s="197" t="str">
        <f t="shared" si="6"/>
        <v/>
      </c>
      <c r="AH44" s="197" t="str">
        <f>IF(I44="","",IF(ISNA(MATCH(I44,IF(quot_location_id=1,'[1]1_inventory_totals'!$C$8:$C$10000,IF(quot_location_id=2,'[1]2_inventory_totals'!$C$8:$C$10000,0)),0)),0,IF(AV44&gt;0,1,0)))</f>
        <v/>
      </c>
      <c r="AI44" s="197" t="str">
        <f>IF(M44="","",IF(quot_location_id=1,SUMIFS('[1]1_inventory_total_details'!$J$8:$J$10000,'[1]1_inventory_total_details'!$C$8:$C$10000,I44,'[1]1_inventory_total_details'!$F$8:$F$10000,quot_location_id,'[1]1_inventory_total_details'!$G$8:$G$10000,"="&amp;Q44,'[1]1_inventory_total_details'!$H$8:$H$10000,"="&amp;R44,'[1]1_inventory_total_details'!$I$8:$I$10000,"="&amp;quot_date)+SUMIFS('[1]1_inventory_total_details'!$M$8:$M$10000,'[1]1_inventory_total_details'!$C$8:$C$10000,I44,'[1]1_inventory_total_details'!$F$8:$F$10000,quot_location_id,'[1]1_inventory_total_details'!$G$8:$G$10000,"="&amp;Q44,'[1]1_inventory_total_details'!$H$8:$H$10000,"="&amp;R44,'[1]1_inventory_total_details'!$I$8:$I$10000,"="&amp;quot_date)+SUMIFS('[1]1_inventory_total_details'!$K$8:$K$10000,'[1]1_inventory_total_details'!$C$8:$C$10000,I44,'[1]1_inventory_total_details'!$F$8:$F$10000,quot_location_id,'[1]1_inventory_total_details'!$G$8:$G$10000,"="&amp;Q44,'[1]1_inventory_total_details'!$H$8:$H$10000,"="&amp;R44,'[1]1_inventory_total_details'!$I$8:$I$10000,"="&amp;quot_date)+SUMIFS('[1]1_inventory_total_details'!$L$8:$L$10000,'[1]1_inventory_total_details'!$C$8:$C$10000,I44,'[1]1_inventory_total_details'!$F$8:$F$10000,quot_location_id,'[1]1_inventory_total_details'!$G$8:$G$10000,"="&amp;Q44,'[1]1_inventory_total_details'!$H$8:$H$10000,"="&amp;R44,'[1]1_inventory_total_details'!$I$8:$I$10000,"="&amp;quot_date),SUMIFS('[1]2_inventory_total_details'!$J$8:$J$10000,'[1]2_inventory_total_details'!$C$8:$C$10000,I44,'[1]2_inventory_total_details'!$F$8:$F$10000,quot_location_id,'[1]2_inventory_total_details'!$G$8:$G$10000,"="&amp;Q44,'[1]2_inventory_total_details'!$H$8:$H$10000,"="&amp;R44,'[1]2_inventory_total_details'!$I$8:$I$10000,"="&amp;quot_date)+SUMIFS('[1]2_inventory_total_details'!$M$8:$M$10000,'[1]2_inventory_total_details'!$C$8:$C$10000,I44,'[1]2_inventory_total_details'!$F$8:$F$10000,quot_location_id,'[1]2_inventory_total_details'!$G$8:$G$10000,"="&amp;Q44,'[1]2_inventory_total_details'!$H$8:$H$10000,"="&amp;R44,'[1]2_inventory_total_details'!$I$8:$I$10000,"="&amp;quot_date)+SUMIFS('[1]2_inventory_total_details'!$K$8:$K$10000,'[1]2_inventory_total_details'!$C$8:$C$10000,I44,'[1]2_inventory_total_details'!$F$8:$F$10000,quot_location_id,'[1]2_inventory_total_details'!$G$8:$G$10000,"="&amp;Q44,'[1]2_inventory_total_details'!$H$8:$H$10000,"="&amp;R44,'[1]2_inventory_total_details'!$I$8:$I$10000,"="&amp;quot_date)+SUMIFS('[1]2_inventory_total_details'!$L$8:$L$10000,'[1]2_inventory_total_details'!$C$8:$C$10000,I44,'[1]2_inventory_total_details'!$F$8:$F$10000,quot_location_id,'[1]2_inventory_total_details'!$G$8:$G$10000,"="&amp;Q44,'[1]2_inventory_total_details'!$H$8:$H$10000,"="&amp;R44,'[1]2_inventory_total_details'!$I$8:$I$10000,"="&amp;quot_date)))</f>
        <v/>
      </c>
      <c r="AJ44" s="197" t="str">
        <f>IF(M44="","",IF(ISNA(MATCH(I44,'[1]1_group_totals'!$C$8:$C$10000)),0,IF(AW44&gt;0,1,0)))</f>
        <v/>
      </c>
      <c r="AK44" s="197" t="str">
        <f>IF(M44="","",(SUMIFS('[1]1_group_total_details'!$I$8:$I$10000,'[1]1_group_total_details'!$C$8:$C$10000,I44,'[1]1_group_total_details'!$F$8:$F$10000,quot_location_group_id,'[1]1_group_total_details'!$G$8:$G$10000,quot_location_id,'[1]1_group_total_details'!$H$8:$H$10000,"="&amp;quot_date)+SUMIFS('[1]1_group_total_details'!$L$8:$L$10000,'[1]1_group_total_details'!$C$8:$C$10000,I44,'[1]1_group_total_details'!$F$8:$F$10000,quot_location_group_id,'[1]1_group_total_details'!$G$8:$G$10000,quot_location_id,'[1]1_group_total_details'!$H$8:$H$10000,"="&amp;quot_date)+SUMIFS('[1]1_group_total_details'!$N$8:$N$10000,'[1]1_group_total_details'!$C$8:$C$10000,I44,'[1]1_group_total_details'!$F$8:$F$10000,quot_location_group_id,'[1]1_group_total_details'!$G$8:$G$10000,quot_location_id,'[1]1_group_total_details'!$H$8:$H$10000,"="&amp;quot_date)+SUMIFS('[1]1_group_total_details'!$O$8:$O$10000,'[1]1_group_total_details'!$C$8:$C$10000,I44,'[1]1_group_total_details'!$F$8:$F$10000,quot_location_group_id,'[1]1_group_total_details'!$G$8:$G$10000,quot_location_id,'[1]1_group_total_details'!$H$8:$H$10000,"="&amp;quot_date))+(SUMIFS('[1]1_group_total_details'!$J$8:$J$10000,'[1]1_group_total_details'!$C$8:$C$10000,I44,'[1]1_group_total_details'!$F$8:$F$10000,quot_location_group_id,'[1]1_group_total_details'!$G$8:$G$10000,quot_location_id,'[1]1_group_total_details'!$H$8:$H$10000,"="&amp;quot_date)+SUMIFS('[1]1_group_total_details'!$K$8:$K$10000,'[1]1_group_total_details'!$C$8:$C$10000,I44,'[1]1_group_total_details'!$F$8:$F$10000,quot_location_group_id,'[1]1_group_total_details'!$G$8:$G$10000,quot_location_id,'[1]1_group_total_details'!$H$8:$H$10000,"="&amp;quot_date)+SUMIFS('[1]1_group_total_details'!$M$8:$M$10000,'[1]1_group_total_details'!$C$8:$C$10000,I44,'[1]1_group_total_details'!$F$8:$F$10000,quot_location_group_id,'[1]1_group_total_details'!$G$8:$G$10000,quot_location_id,'[1]1_group_total_details'!$H$8:$H$10000,"="&amp;quot_date)+SUMIFS('[1]1_group_total_details'!$P$8:$P$10000,'[1]1_group_total_details'!$C$8:$C$10000,I44,'[1]1_group_total_details'!$F$8:$F$10000,quot_location_group_id,'[1]1_group_total_details'!$G$8:$G$10000,quot_location_id,'[1]1_group_total_details'!$H$8:$H$10000,"="&amp;quot_date)))</f>
        <v/>
      </c>
      <c r="AL44" s="197" t="str">
        <f>IF(M44="","",(SUMIFS('[1]1_group_total_details'!$I$8:$I$10000,'[1]1_group_total_details'!$C$8:$C$10000,I44,'[1]1_group_total_details'!$F$8:$F$10000,quot_location_group_id,'[1]1_group_total_details'!$G$8:$G$10000,quot_location_id,'[1]1_group_total_details'!$H$8:$H$10000,"&lt;="&amp;quot_date)+SUMIFS('[1]1_group_total_details'!$L$8:$L$10000,'[1]1_group_total_details'!$C$8:$C$10000,I44,'[1]1_group_total_details'!$F$8:$F$10000,quot_location_group_id,'[1]1_group_total_details'!$G$8:$G$10000,1,'[1]1_group_total_details'!$H$8:$H$10000,"&lt;="&amp;quot_date)+SUMIFS('[1]1_group_total_details'!$N$8:$N$10000,'[1]1_group_total_details'!$C$8:$C$10000,I44,'[1]1_group_total_details'!$F$8:$F$10000,quot_location_group_id,'[1]1_group_total_details'!$G$8:$G$10000,quot_location_id,'[1]1_group_total_details'!$H$8:$H$10000,"&lt;="&amp;quot_date)+SUMIFS('[1]1_group_total_details'!$O$8:$O$10000,'[1]1_group_total_details'!$C$8:$C$10000,I44,'[1]1_group_total_details'!$F$8:$F$10000,quot_location_group_id,'[1]1_group_total_details'!$G$8:$G$10000,quot_location_id,'[1]1_group_total_details'!$H$8:$H$10000,"&lt;="&amp;quot_date))-(SUMIFS('[1]1_group_total_details'!$J$8:$J$10000,'[1]1_group_total_details'!$C$8:$C$10000,I44,'[1]1_group_total_details'!$F$8:$F$10000,quot_location_group_id,'[1]1_group_total_details'!$G$8:$G$10000,quot_location_id,'[1]1_group_total_details'!$H$8:$H$10000,"&lt;="&amp;quot_date)+SUMIFS('[1]1_group_total_details'!$K$8:$K$10000,'[1]1_group_total_details'!$C$8:$C$10000,I44,'[1]1_group_total_details'!$F$8:$F$10000,quot_location_group_id,'[1]1_group_total_details'!$G$8:$G$10000,quot_location_id,'[1]1_group_total_details'!$H$8:$H$10000,"&lt;="&amp;quot_date)+SUMIFS('[1]1_group_total_details'!$M$8:$M$10000,'[1]1_group_total_details'!$C$8:$C$10000,I44,'[1]1_group_total_details'!$F$8:$F$10000,quot_location_group_id,'[1]1_group_total_details'!$G$8:$G$10000,quot_location_id,'[1]1_group_total_details'!$H$8:$H$10000,"&lt;="&amp;quot_date)+SUMIFS('[1]1_group_total_details'!$P$8:$P$10000,'[1]1_group_total_details'!$C$8:$C$10000,I44,'[1]1_group_total_details'!$F$8:$F$10000,quot_location_group_id,'[1]1_group_total_details'!$G$8:$G$10000,quot_location_id,'[1]1_group_total_details'!$H$8:$H$10000,"&lt;="&amp;quot_date)))</f>
        <v/>
      </c>
      <c r="AM44" s="197" t="str">
        <f>IF(M44="","",SUMIFS('[1]1_group_totals'!$J$8:$J$10000,'[1]1_group_totals'!$C$8:$C$10000,I44,'[1]1_group_totals'!$F$8:$F$10000,quot_location_group_id,'[1]1_group_totals'!$G$8:$G$10000,quot_location_id,'[1]1_group_totals'!$H$8:$H$10000,"="&amp;Q44,'[1]1_group_totals'!$I$8:$I$10000,"="&amp;R44))</f>
        <v/>
      </c>
      <c r="AN44" s="197" t="str">
        <f t="shared" si="7"/>
        <v/>
      </c>
      <c r="AO44" s="197" t="str">
        <f>IF(OR(ISNA(MATCH(MID(AN44,1,3)*1,UomConversion!$D$8:$D$500,0)),M44=""),"",IF(AT44="","",AT44))</f>
        <v/>
      </c>
      <c r="AP44" s="197" t="str">
        <f>IF(AND(AQ44&gt;0,COUNTIFS(UomConversion!$D$8:$D$500,MID(AN44,1,3)*1,UomConversion!$J$8:$J$500,1)&gt;1),TEXT(AQ44,"000")&amp;"."&amp;VLOOKUP(AQ44,uom_list,5,FALSE),"")</f>
        <v/>
      </c>
      <c r="AQ44" s="197" t="str">
        <f t="shared" si="20"/>
        <v/>
      </c>
      <c r="AR44" s="197" t="str">
        <f t="shared" si="21"/>
        <v/>
      </c>
      <c r="AS44" s="197" t="str">
        <f>IF(M44="","",SUMIFS(ProductPrice!$N$28:$N$10020,ProductPrice!$D$28:$D$10020,I44,ProductPrice!$G$28:$G$10020,quot_branch_id,ProductPrice!$H$28:$H$10020,quot_price_type_id,ProductPrice!$I$28:$I$10020,MID(P44,1,3)*1,ProductPrice!$Q$28:$Q$10020,1))</f>
        <v/>
      </c>
      <c r="AT44" s="197" t="str">
        <f t="shared" si="8"/>
        <v/>
      </c>
      <c r="AU44" s="197" t="str" cm="1">
        <f t="array" ref="AU44">IF(M44="","",IF(ISNA(Slookup(MID(AN44,1,3)*1,UomConversion!$D$8:$J$500,2,UomConversion!$I$8:$I$500,1,UomConversion!$J$8:$J$500,1)),"",Slookup(MID(AN44,1,3)*1,UomConversion!$D$8:$J$500,2,UomConversion!$I$8:$I$500,1,UomConversion!$J$8:$J$500,1)))</f>
        <v/>
      </c>
      <c r="AV44" s="197" t="str">
        <f t="shared" ref="AV44" si="169">IF(M44="","",IF(quot_location_id=1,BA44,IF(quot_location_id=2,BB44,0)))</f>
        <v/>
      </c>
      <c r="AW44" s="197" t="str">
        <f>IF(M44="","",(SUMIFS('[1]1_group_totals'!$K$8:$K$10000,'[1]1_group_totals'!$C$8:$C$10000,I44,'[1]1_group_totals'!$F$8:$F$10000,quot_location_group_id,'[1]1_group_totals'!$G$8:$G$10000,quot_location_id,'[1]1_group_totals'!$H$8:$H$10000,"="&amp;Q44,'[1]1_group_totals'!$I$8:$I$10000,"="&amp;R44)+SUMIFS('[1]1_group_totals'!$N$8:$N$10000,'[1]1_group_totals'!$C$8:$C$10000,I44,'[1]1_group_totals'!$F$8:$F$10000,quot_location_group_id,'[1]1_group_totals'!$G$8:$G$10000,quot_location_id,'[1]1_group_totals'!$H$8:$H$10000,"="&amp;Q44,'[1]1_group_totals'!$I$8:$I$10000,"="&amp;R44)+SUMIFS('[1]1_group_totals'!$P$8:$P$10000,'[1]1_group_totals'!$C$8:$C$10000,I44,'[1]1_group_totals'!$F$8:$F$10000,quot_location_group_id,'[1]1_group_totals'!$G$8:$G$10000,quot_location_id,'[1]1_group_totals'!$H$8:$H$10000,"="&amp;Q44,'[1]1_group_totals'!$I$8:$I$10000,"="&amp;R44)+SUMIFS('[1]1_group_totals'!$Q$8:$Q$10000,'[1]1_group_totals'!$C$8:$C$10000,I44,'[1]1_group_totals'!$F$8:$F$10000,quot_location_group_id,'[1]1_group_totals'!$G$8:$G$10000,quot_location_id,'[1]1_group_totals'!$H$8:$H$10000,"="&amp;Q44,'[1]1_group_totals'!$I$8:$I$10000,"="&amp;R44))+(SUMIFS('[1]1_group_totals'!$L$8:$L$10000,'[1]1_group_totals'!$C$8:$C$10000,I44,'[1]1_group_totals'!$F$8:$F$10000,quot_location_group_id,'[1]1_group_totals'!$G$8:$G$10000,quot_location_id,'[1]1_group_totals'!$H$8:$H$10000,"="&amp;Q44,'[1]1_group_totals'!$I$8:$I$10000,"="&amp;R44)+SUMIFS('[1]1_group_totals'!$M$8:$M$10000,'[1]1_group_totals'!$C$8:$C$10000,I44,'[1]1_group_totals'!$F$8:$F$10000,quot_location_group_id,'[1]1_group_totals'!$G$8:$G$10000,quot_location_id,'[1]1_group_totals'!$H$8:$H$10000,"="&amp;Q44,'[1]1_group_totals'!$I$8:$I$10000,"="&amp;R44)+SUMIFS('[1]1_group_totals'!$O$8:$O$10000,'[1]1_group_totals'!$C$8:$C$10000,I44,'[1]1_group_totals'!$F$8:$F$10000,quot_location_group_id,'[1]1_group_totals'!$G$8:$G$10000,quot_location_id,'[1]1_group_totals'!$H$8:$H$10000,"="&amp;Q44,'[1]1_group_totals'!$I$8:$I$10000,"="&amp;R44)+SUMIFS('[1]1_group_totals'!$R$8:$R$10000,'[1]1_group_totals'!$C$8:$C$10000,I44,'[1]1_group_totals'!$F$8:$F$10000,quot_location_group_id,'[1]1_group_totals'!$G$8:$G$10000,quot_location_id,'[1]1_group_totals'!$H$8:$H$10000,"="&amp;Q44,'[1]1_group_totals'!$I$8:$I$10000,"="&amp;R44)))</f>
        <v/>
      </c>
      <c r="AX44" s="197" t="str">
        <f t="shared" si="23"/>
        <v/>
      </c>
      <c r="AY44" s="197" t="str">
        <f>IF(M44="","",SUMIFS($AX$8:AX44,$I$8:I44,I44))</f>
        <v/>
      </c>
      <c r="AZ44" s="197" t="str">
        <f t="shared" si="24"/>
        <v/>
      </c>
      <c r="BA44" s="197" t="str">
        <f>IF(M44="","",(SUMIFS('[1]1_inventory_totals'!$I$8:$I$10000,'[1]1_inventory_totals'!$C$8:$C$10000,I44,'[1]1_inventory_totals'!$F$8:$F$10000,"="&amp;Q44,'[1]1_inventory_totals'!$G$8:$G$10000,"="&amp;R44)+SUMIFS('[1]1_inventory_totals'!$N$8:$N$10000,'[1]1_inventory_totals'!$C$8:$C$10000,I44,'[1]1_inventory_totals'!$F$8:$F$10000,"="&amp;Q44,'[1]1_inventory_totals'!$G$8:$G$10000,"="&amp;R44)+SUMIFS('[1]1_inventory_totals'!$P$8:$P$10000,'[1]1_inventory_totals'!$C$8:$C$10000,I44,'[1]1_inventory_totals'!$F$8:$F$10000,"="&amp;Q44,'[1]1_inventory_totals'!$G$8:$G$10000,"="&amp;R44)+SUMIFS('[1]1_inventory_totals'!$Q$8:$Q$10000,'[1]1_inventory_totals'!$C$8:$C$10000,I44,'[1]1_inventory_totals'!$F$8:$F$10000,"="&amp;Q44,'[1]1_inventory_totals'!$G$8:$G$10000,"="&amp;R44)+SUMIFS('[1]1_inventory_totals'!$R$8:$R$10000,'[1]1_inventory_totals'!$C$8:$C$10000,I44,'[1]1_inventory_totals'!$F$8:$F$10000,"="&amp;Q44,'[1]1_inventory_totals'!$G$8:$G$10000,"="&amp;R44))+(SUMIFS('[1]1_inventory_totals'!$J$8:$J$10000,'[1]1_inventory_totals'!$C$8:$C$10000,I44,'[1]1_inventory_totals'!$F$8:$F$10000,"="&amp;Q44,'[1]1_inventory_totals'!$G$8:$G$10000,"="&amp;R44)+SUMIFS('[1]1_inventory_totals'!$K$8:$K$10000,'[1]1_inventory_totals'!$C$8:$C$10000,I44,'[1]1_inventory_totals'!$F$8:$F$10000,"="&amp;Q44,'[1]1_inventory_totals'!$G$8:$G$10000,"="&amp;R44)+SUMIFS('[1]1_inventory_totals'!$L$8:$L$10000,'[1]1_inventory_totals'!$C$8:$C$10000,I44,'[1]1_inventory_totals'!$F$8:$F$10000,"="&amp;Q44,'[1]1_inventory_totals'!$G$8:$G$10000,"="&amp;R44)+SUMIFS('[1]1_inventory_totals'!$M$8:$M$10000,'[1]1_inventory_totals'!$C$8:$C$10000,I44,'[1]1_inventory_totals'!$F$8:$F$10000,"="&amp;Q44,'[1]1_inventory_totals'!$G$8:$G$10000,"="&amp;R44)+SUMIFS('[1]1_inventory_totals'!$O$8:$O$10000,'[1]1_inventory_totals'!$C$8:$C$10000,I44,'[1]1_inventory_totals'!$F$8:$F$10000,"="&amp;Q44,'[1]1_inventory_totals'!$G$8:$G$10000,"="&amp;R44)+SUMIFS('[1]1_inventory_totals'!$S$8:$S$10000,'[1]1_inventory_totals'!$C$8:$C$10000,I44,'[1]1_inventory_totals'!$F$8:$F$10000,"="&amp;Q44,'[1]1_inventory_totals'!$G$8:$G$10000,"="&amp;R44)))</f>
        <v/>
      </c>
      <c r="BB44" s="197" t="str">
        <f>IF(M44="","",(SUMIFS('[1]2_inventory_totals'!$I$8:$I$10000,'[1]2_inventory_totals'!$C$8:$C$10000,I44,'[1]2_inventory_totals'!$F$8:$F$10000,"="&amp;Q44,'[1]2_inventory_totals'!$G$8:$G$10000,"="&amp;R44)+SUMIFS('[1]2_inventory_totals'!$N$8:$N$10000,'[1]2_inventory_totals'!$C$8:$C$10000,I44,'[1]2_inventory_totals'!$F$8:$F$10000,"="&amp;Q44,'[1]2_inventory_totals'!$G$8:$G$10000,"="&amp;R44)+SUMIFS('[1]2_inventory_totals'!$P$8:$P$10000,'[1]2_inventory_totals'!$C$8:$C$10000,I44,'[1]2_inventory_totals'!$F$8:$F$10000,"="&amp;Q44,'[1]2_inventory_totals'!$G$8:$G$10000,"="&amp;R44)+SUMIFS('[1]2_inventory_totals'!$Q$8:$Q$10000,'[1]2_inventory_totals'!$C$8:$C$10000,I44,'[1]2_inventory_totals'!$F$8:$F$10000,"="&amp;Q44,'[1]2_inventory_totals'!$G$8:$G$10000,"="&amp;R44)+SUMIFS('[1]2_inventory_totals'!$R$8:$R$10000,'[1]2_inventory_totals'!$C$8:$C$10000,I44,'[1]2_inventory_totals'!$F$8:$F$10000,"="&amp;Q44,'[1]2_inventory_totals'!$G$8:$G$10000,"="&amp;R44))+(SUMIFS('[1]2_inventory_totals'!$J$8:$J$10000,'[1]2_inventory_totals'!$C$8:$C$10000,I44,'[1]2_inventory_totals'!$F$8:$F$10000,"="&amp;Q44,'[1]2_inventory_totals'!$G$8:$G$10000,"="&amp;R44)+SUMIFS('[1]2_inventory_totals'!$K$8:$K$10000,'[1]2_inventory_totals'!$C$8:$C$10000,I44,'[1]2_inventory_totals'!$F$8:$F$10000,"="&amp;Q44,'[1]2_inventory_totals'!$G$8:$G$10000,"="&amp;R44)+SUMIFS('[1]2_inventory_totals'!$L$8:$L$10000,'[1]2_inventory_totals'!$C$8:$C$10000,I44,'[1]2_inventory_totals'!$F$8:$F$10000,"="&amp;Q44,'[1]2_inventory_totals'!$G$8:$G$10000,"="&amp;R44)+SUMIFS('[1]2_inventory_totals'!$M$8:$M$10000,'[1]2_inventory_totals'!$C$8:$C$10000,I44,'[1]2_inventory_totals'!$F$8:$F$10000,"="&amp;Q44,'[1]2_inventory_totals'!$G$8:$G$10000,"="&amp;R44)+SUMIFS('[1]2_inventory_totals'!$O$8:$O$10000,'[1]2_inventory_totals'!$C$8:$C$10000,I44,'[1]2_inventory_totals'!$F$8:$F$10000,"="&amp;Q44,'[1]2_inventory_totals'!$G$8:$G$10000,"="&amp;R44)+SUMIFS('[1]2_inventory_totals'!$S$8:$S$10000,'[1]2_inventory_totals'!$C$8:$C$10000,I44,'[1]2_inventory_totals'!$F$8:$F$10000,"="&amp;Q44,'[1]2_inventory_totals'!$G$8:$G$10000,"="&amp;R44)))</f>
        <v/>
      </c>
    </row>
    <row r="45" spans="1:54" ht="27" hidden="1" customHeight="1">
      <c r="A45" s="923"/>
      <c r="B45" s="1251"/>
      <c r="C45" s="1268"/>
      <c r="D45" s="950"/>
      <c r="E45" s="950"/>
      <c r="F45" s="1262"/>
      <c r="I45" s="1610" t="str">
        <f t="shared" si="10"/>
        <v/>
      </c>
      <c r="J45" s="1611" t="str">
        <f t="shared" si="112"/>
        <v/>
      </c>
      <c r="K45" s="1612" t="str">
        <f t="shared" si="30"/>
        <v/>
      </c>
      <c r="L45" s="1613"/>
      <c r="M45" s="883"/>
      <c r="N45" s="884"/>
      <c r="O45" s="884"/>
      <c r="P45" s="885"/>
      <c r="Q45" s="886"/>
      <c r="R45" s="891"/>
      <c r="S45" s="1614" t="str">
        <f t="shared" ref="S45" si="170">IF(M45="","",quot_currency_symbol)</f>
        <v/>
      </c>
      <c r="T45" s="888"/>
      <c r="U45" s="1650" t="str">
        <f t="shared" si="13"/>
        <v/>
      </c>
      <c r="V45" s="1615" t="str">
        <f t="shared" ref="V45" si="171">IF(W45=0,"",quot_currency_symbol)</f>
        <v/>
      </c>
      <c r="W45" s="889"/>
      <c r="X45" s="1615" t="str">
        <f t="shared" ref="X45" si="172">IF(M45="","",quot_currency_symbol)</f>
        <v/>
      </c>
      <c r="Y45" s="1616" t="str">
        <f t="shared" si="34"/>
        <v/>
      </c>
      <c r="Z45" s="890"/>
      <c r="AA45" s="197" t="str" cm="1">
        <f t="array" ref="AA45">IF(M45="","",IF(P45=AN45,1,Slookup(MID(AN45,1,3)*1,UomConversion!$D$8:$J$500,5,UomConversion!$E$8:$E$500,MID(P45,1,3)*1,UomConversion!$J$8:$J$500,1)))</f>
        <v/>
      </c>
      <c r="AB45" s="197" t="str">
        <f t="shared" si="3"/>
        <v/>
      </c>
      <c r="AC45" s="197" t="str">
        <f t="shared" si="17"/>
        <v/>
      </c>
      <c r="AD45" s="197" t="str">
        <f t="shared" si="18"/>
        <v/>
      </c>
      <c r="AE45" s="197" t="str">
        <f t="shared" si="19"/>
        <v/>
      </c>
      <c r="AF45" s="197" t="str">
        <f t="shared" si="152"/>
        <v/>
      </c>
      <c r="AG45" s="197" t="str">
        <f t="shared" si="6"/>
        <v/>
      </c>
      <c r="AH45" s="197" t="str">
        <f>IF(I45="","",IF(ISNA(MATCH(I45,IF(quot_location_id=1,'[1]1_inventory_totals'!$C$8:$C$10000,IF(quot_location_id=2,'[1]2_inventory_totals'!$C$8:$C$10000,0)),0)),0,IF(AV45&gt;0,1,0)))</f>
        <v/>
      </c>
      <c r="AI45" s="197" t="str">
        <f>IF(M45="","",IF(quot_location_id=1,SUMIFS('[1]1_inventory_total_details'!$J$8:$J$10000,'[1]1_inventory_total_details'!$C$8:$C$10000,I45,'[1]1_inventory_total_details'!$F$8:$F$10000,quot_location_id,'[1]1_inventory_total_details'!$G$8:$G$10000,"="&amp;Q45,'[1]1_inventory_total_details'!$H$8:$H$10000,"="&amp;R45,'[1]1_inventory_total_details'!$I$8:$I$10000,"="&amp;quot_date)+SUMIFS('[1]1_inventory_total_details'!$M$8:$M$10000,'[1]1_inventory_total_details'!$C$8:$C$10000,I45,'[1]1_inventory_total_details'!$F$8:$F$10000,quot_location_id,'[1]1_inventory_total_details'!$G$8:$G$10000,"="&amp;Q45,'[1]1_inventory_total_details'!$H$8:$H$10000,"="&amp;R45,'[1]1_inventory_total_details'!$I$8:$I$10000,"="&amp;quot_date)+SUMIFS('[1]1_inventory_total_details'!$K$8:$K$10000,'[1]1_inventory_total_details'!$C$8:$C$10000,I45,'[1]1_inventory_total_details'!$F$8:$F$10000,quot_location_id,'[1]1_inventory_total_details'!$G$8:$G$10000,"="&amp;Q45,'[1]1_inventory_total_details'!$H$8:$H$10000,"="&amp;R45,'[1]1_inventory_total_details'!$I$8:$I$10000,"="&amp;quot_date)+SUMIFS('[1]1_inventory_total_details'!$L$8:$L$10000,'[1]1_inventory_total_details'!$C$8:$C$10000,I45,'[1]1_inventory_total_details'!$F$8:$F$10000,quot_location_id,'[1]1_inventory_total_details'!$G$8:$G$10000,"="&amp;Q45,'[1]1_inventory_total_details'!$H$8:$H$10000,"="&amp;R45,'[1]1_inventory_total_details'!$I$8:$I$10000,"="&amp;quot_date),SUMIFS('[1]2_inventory_total_details'!$J$8:$J$10000,'[1]2_inventory_total_details'!$C$8:$C$10000,I45,'[1]2_inventory_total_details'!$F$8:$F$10000,quot_location_id,'[1]2_inventory_total_details'!$G$8:$G$10000,"="&amp;Q45,'[1]2_inventory_total_details'!$H$8:$H$10000,"="&amp;R45,'[1]2_inventory_total_details'!$I$8:$I$10000,"="&amp;quot_date)+SUMIFS('[1]2_inventory_total_details'!$M$8:$M$10000,'[1]2_inventory_total_details'!$C$8:$C$10000,I45,'[1]2_inventory_total_details'!$F$8:$F$10000,quot_location_id,'[1]2_inventory_total_details'!$G$8:$G$10000,"="&amp;Q45,'[1]2_inventory_total_details'!$H$8:$H$10000,"="&amp;R45,'[1]2_inventory_total_details'!$I$8:$I$10000,"="&amp;quot_date)+SUMIFS('[1]2_inventory_total_details'!$K$8:$K$10000,'[1]2_inventory_total_details'!$C$8:$C$10000,I45,'[1]2_inventory_total_details'!$F$8:$F$10000,quot_location_id,'[1]2_inventory_total_details'!$G$8:$G$10000,"="&amp;Q45,'[1]2_inventory_total_details'!$H$8:$H$10000,"="&amp;R45,'[1]2_inventory_total_details'!$I$8:$I$10000,"="&amp;quot_date)+SUMIFS('[1]2_inventory_total_details'!$L$8:$L$10000,'[1]2_inventory_total_details'!$C$8:$C$10000,I45,'[1]2_inventory_total_details'!$F$8:$F$10000,quot_location_id,'[1]2_inventory_total_details'!$G$8:$G$10000,"="&amp;Q45,'[1]2_inventory_total_details'!$H$8:$H$10000,"="&amp;R45,'[1]2_inventory_total_details'!$I$8:$I$10000,"="&amp;quot_date)))</f>
        <v/>
      </c>
      <c r="AJ45" s="197" t="str">
        <f>IF(M45="","",IF(ISNA(MATCH(I45,'[1]1_group_totals'!$C$8:$C$10000)),0,IF(AW45&gt;0,1,0)))</f>
        <v/>
      </c>
      <c r="AK45" s="197" t="str">
        <f>IF(M45="","",(SUMIFS('[1]1_group_total_details'!$I$8:$I$10000,'[1]1_group_total_details'!$C$8:$C$10000,I45,'[1]1_group_total_details'!$F$8:$F$10000,quot_location_group_id,'[1]1_group_total_details'!$G$8:$G$10000,quot_location_id,'[1]1_group_total_details'!$H$8:$H$10000,"="&amp;quot_date)+SUMIFS('[1]1_group_total_details'!$L$8:$L$10000,'[1]1_group_total_details'!$C$8:$C$10000,I45,'[1]1_group_total_details'!$F$8:$F$10000,quot_location_group_id,'[1]1_group_total_details'!$G$8:$G$10000,quot_location_id,'[1]1_group_total_details'!$H$8:$H$10000,"="&amp;quot_date)+SUMIFS('[1]1_group_total_details'!$N$8:$N$10000,'[1]1_group_total_details'!$C$8:$C$10000,I45,'[1]1_group_total_details'!$F$8:$F$10000,quot_location_group_id,'[1]1_group_total_details'!$G$8:$G$10000,quot_location_id,'[1]1_group_total_details'!$H$8:$H$10000,"="&amp;quot_date)+SUMIFS('[1]1_group_total_details'!$O$8:$O$10000,'[1]1_group_total_details'!$C$8:$C$10000,I45,'[1]1_group_total_details'!$F$8:$F$10000,quot_location_group_id,'[1]1_group_total_details'!$G$8:$G$10000,quot_location_id,'[1]1_group_total_details'!$H$8:$H$10000,"="&amp;quot_date))+(SUMIFS('[1]1_group_total_details'!$J$8:$J$10000,'[1]1_group_total_details'!$C$8:$C$10000,I45,'[1]1_group_total_details'!$F$8:$F$10000,quot_location_group_id,'[1]1_group_total_details'!$G$8:$G$10000,quot_location_id,'[1]1_group_total_details'!$H$8:$H$10000,"="&amp;quot_date)+SUMIFS('[1]1_group_total_details'!$K$8:$K$10000,'[1]1_group_total_details'!$C$8:$C$10000,I45,'[1]1_group_total_details'!$F$8:$F$10000,quot_location_group_id,'[1]1_group_total_details'!$G$8:$G$10000,quot_location_id,'[1]1_group_total_details'!$H$8:$H$10000,"="&amp;quot_date)+SUMIFS('[1]1_group_total_details'!$M$8:$M$10000,'[1]1_group_total_details'!$C$8:$C$10000,I45,'[1]1_group_total_details'!$F$8:$F$10000,quot_location_group_id,'[1]1_group_total_details'!$G$8:$G$10000,quot_location_id,'[1]1_group_total_details'!$H$8:$H$10000,"="&amp;quot_date)+SUMIFS('[1]1_group_total_details'!$P$8:$P$10000,'[1]1_group_total_details'!$C$8:$C$10000,I45,'[1]1_group_total_details'!$F$8:$F$10000,quot_location_group_id,'[1]1_group_total_details'!$G$8:$G$10000,quot_location_id,'[1]1_group_total_details'!$H$8:$H$10000,"="&amp;quot_date)))</f>
        <v/>
      </c>
      <c r="AL45" s="197" t="str">
        <f>IF(M45="","",(SUMIFS('[1]1_group_total_details'!$I$8:$I$10000,'[1]1_group_total_details'!$C$8:$C$10000,I45,'[1]1_group_total_details'!$F$8:$F$10000,quot_location_group_id,'[1]1_group_total_details'!$G$8:$G$10000,quot_location_id,'[1]1_group_total_details'!$H$8:$H$10000,"&lt;="&amp;quot_date)+SUMIFS('[1]1_group_total_details'!$L$8:$L$10000,'[1]1_group_total_details'!$C$8:$C$10000,I45,'[1]1_group_total_details'!$F$8:$F$10000,quot_location_group_id,'[1]1_group_total_details'!$G$8:$G$10000,1,'[1]1_group_total_details'!$H$8:$H$10000,"&lt;="&amp;quot_date)+SUMIFS('[1]1_group_total_details'!$N$8:$N$10000,'[1]1_group_total_details'!$C$8:$C$10000,I45,'[1]1_group_total_details'!$F$8:$F$10000,quot_location_group_id,'[1]1_group_total_details'!$G$8:$G$10000,quot_location_id,'[1]1_group_total_details'!$H$8:$H$10000,"&lt;="&amp;quot_date)+SUMIFS('[1]1_group_total_details'!$O$8:$O$10000,'[1]1_group_total_details'!$C$8:$C$10000,I45,'[1]1_group_total_details'!$F$8:$F$10000,quot_location_group_id,'[1]1_group_total_details'!$G$8:$G$10000,quot_location_id,'[1]1_group_total_details'!$H$8:$H$10000,"&lt;="&amp;quot_date))-(SUMIFS('[1]1_group_total_details'!$J$8:$J$10000,'[1]1_group_total_details'!$C$8:$C$10000,I45,'[1]1_group_total_details'!$F$8:$F$10000,quot_location_group_id,'[1]1_group_total_details'!$G$8:$G$10000,quot_location_id,'[1]1_group_total_details'!$H$8:$H$10000,"&lt;="&amp;quot_date)+SUMIFS('[1]1_group_total_details'!$K$8:$K$10000,'[1]1_group_total_details'!$C$8:$C$10000,I45,'[1]1_group_total_details'!$F$8:$F$10000,quot_location_group_id,'[1]1_group_total_details'!$G$8:$G$10000,quot_location_id,'[1]1_group_total_details'!$H$8:$H$10000,"&lt;="&amp;quot_date)+SUMIFS('[1]1_group_total_details'!$M$8:$M$10000,'[1]1_group_total_details'!$C$8:$C$10000,I45,'[1]1_group_total_details'!$F$8:$F$10000,quot_location_group_id,'[1]1_group_total_details'!$G$8:$G$10000,quot_location_id,'[1]1_group_total_details'!$H$8:$H$10000,"&lt;="&amp;quot_date)+SUMIFS('[1]1_group_total_details'!$P$8:$P$10000,'[1]1_group_total_details'!$C$8:$C$10000,I45,'[1]1_group_total_details'!$F$8:$F$10000,quot_location_group_id,'[1]1_group_total_details'!$G$8:$G$10000,quot_location_id,'[1]1_group_total_details'!$H$8:$H$10000,"&lt;="&amp;quot_date)))</f>
        <v/>
      </c>
      <c r="AM45" s="197" t="str">
        <f>IF(M45="","",SUMIFS('[1]1_group_totals'!$J$8:$J$10000,'[1]1_group_totals'!$C$8:$C$10000,I45,'[1]1_group_totals'!$F$8:$F$10000,quot_location_group_id,'[1]1_group_totals'!$G$8:$G$10000,quot_location_id,'[1]1_group_totals'!$H$8:$H$10000,"="&amp;Q45,'[1]1_group_totals'!$I$8:$I$10000,"="&amp;R45))</f>
        <v/>
      </c>
      <c r="AN45" s="197" t="str">
        <f t="shared" si="7"/>
        <v/>
      </c>
      <c r="AO45" s="197" t="str">
        <f>IF(OR(ISNA(MATCH(MID(AN45,1,3)*1,UomConversion!$D$8:$D$500,0)),M45=""),"",IF(AT45="","",AT45))</f>
        <v/>
      </c>
      <c r="AP45" s="197" t="str">
        <f>IF(AND(AQ45&gt;0,COUNTIFS(UomConversion!$D$8:$D$500,MID(AN45,1,3)*1,UomConversion!$J$8:$J$500,1)&gt;1),TEXT(AQ45,"000")&amp;"."&amp;VLOOKUP(AQ45,uom_list,5,FALSE),"")</f>
        <v/>
      </c>
      <c r="AQ45" s="197" t="str">
        <f t="shared" si="20"/>
        <v/>
      </c>
      <c r="AR45" s="197" t="str">
        <f t="shared" si="21"/>
        <v/>
      </c>
      <c r="AS45" s="197" t="str">
        <f>IF(M45="","",SUMIFS(ProductPrice!$N$28:$N$10020,ProductPrice!$D$28:$D$10020,I45,ProductPrice!$G$28:$G$10020,quot_branch_id,ProductPrice!$H$28:$H$10020,quot_price_type_id,ProductPrice!$I$28:$I$10020,MID(P45,1,3)*1,ProductPrice!$Q$28:$Q$10020,1))</f>
        <v/>
      </c>
      <c r="AT45" s="197" t="str">
        <f t="shared" si="8"/>
        <v/>
      </c>
      <c r="AU45" s="197" t="str" cm="1">
        <f t="array" ref="AU45">IF(M45="","",IF(ISNA(Slookup(MID(AN45,1,3)*1,UomConversion!$D$8:$J$500,2,UomConversion!$I$8:$I$500,1,UomConversion!$J$8:$J$500,1)),"",Slookup(MID(AN45,1,3)*1,UomConversion!$D$8:$J$500,2,UomConversion!$I$8:$I$500,1,UomConversion!$J$8:$J$500,1)))</f>
        <v/>
      </c>
      <c r="AV45" s="197" t="str">
        <f t="shared" ref="AV45" si="173">IF(M45="","",IF(quot_location_id=1,BA45,IF(quot_location_id=2,BB45,0)))</f>
        <v/>
      </c>
      <c r="AW45" s="197" t="str">
        <f>IF(M45="","",(SUMIFS('[1]1_group_totals'!$K$8:$K$10000,'[1]1_group_totals'!$C$8:$C$10000,I45,'[1]1_group_totals'!$F$8:$F$10000,quot_location_group_id,'[1]1_group_totals'!$G$8:$G$10000,quot_location_id,'[1]1_group_totals'!$H$8:$H$10000,"="&amp;Q45,'[1]1_group_totals'!$I$8:$I$10000,"="&amp;R45)+SUMIFS('[1]1_group_totals'!$N$8:$N$10000,'[1]1_group_totals'!$C$8:$C$10000,I45,'[1]1_group_totals'!$F$8:$F$10000,quot_location_group_id,'[1]1_group_totals'!$G$8:$G$10000,quot_location_id,'[1]1_group_totals'!$H$8:$H$10000,"="&amp;Q45,'[1]1_group_totals'!$I$8:$I$10000,"="&amp;R45)+SUMIFS('[1]1_group_totals'!$P$8:$P$10000,'[1]1_group_totals'!$C$8:$C$10000,I45,'[1]1_group_totals'!$F$8:$F$10000,quot_location_group_id,'[1]1_group_totals'!$G$8:$G$10000,quot_location_id,'[1]1_group_totals'!$H$8:$H$10000,"="&amp;Q45,'[1]1_group_totals'!$I$8:$I$10000,"="&amp;R45)+SUMIFS('[1]1_group_totals'!$Q$8:$Q$10000,'[1]1_group_totals'!$C$8:$C$10000,I45,'[1]1_group_totals'!$F$8:$F$10000,quot_location_group_id,'[1]1_group_totals'!$G$8:$G$10000,quot_location_id,'[1]1_group_totals'!$H$8:$H$10000,"="&amp;Q45,'[1]1_group_totals'!$I$8:$I$10000,"="&amp;R45))+(SUMIFS('[1]1_group_totals'!$L$8:$L$10000,'[1]1_group_totals'!$C$8:$C$10000,I45,'[1]1_group_totals'!$F$8:$F$10000,quot_location_group_id,'[1]1_group_totals'!$G$8:$G$10000,quot_location_id,'[1]1_group_totals'!$H$8:$H$10000,"="&amp;Q45,'[1]1_group_totals'!$I$8:$I$10000,"="&amp;R45)+SUMIFS('[1]1_group_totals'!$M$8:$M$10000,'[1]1_group_totals'!$C$8:$C$10000,I45,'[1]1_group_totals'!$F$8:$F$10000,quot_location_group_id,'[1]1_group_totals'!$G$8:$G$10000,quot_location_id,'[1]1_group_totals'!$H$8:$H$10000,"="&amp;Q45,'[1]1_group_totals'!$I$8:$I$10000,"="&amp;R45)+SUMIFS('[1]1_group_totals'!$O$8:$O$10000,'[1]1_group_totals'!$C$8:$C$10000,I45,'[1]1_group_totals'!$F$8:$F$10000,quot_location_group_id,'[1]1_group_totals'!$G$8:$G$10000,quot_location_id,'[1]1_group_totals'!$H$8:$H$10000,"="&amp;Q45,'[1]1_group_totals'!$I$8:$I$10000,"="&amp;R45)+SUMIFS('[1]1_group_totals'!$R$8:$R$10000,'[1]1_group_totals'!$C$8:$C$10000,I45,'[1]1_group_totals'!$F$8:$F$10000,quot_location_group_id,'[1]1_group_totals'!$G$8:$G$10000,quot_location_id,'[1]1_group_totals'!$H$8:$H$10000,"="&amp;Q45,'[1]1_group_totals'!$I$8:$I$10000,"="&amp;R45)))</f>
        <v/>
      </c>
      <c r="AX45" s="197" t="str">
        <f t="shared" si="23"/>
        <v/>
      </c>
      <c r="AY45" s="197" t="str">
        <f>IF(M45="","",SUMIFS($AX$8:AX45,$I$8:I45,I45))</f>
        <v/>
      </c>
      <c r="AZ45" s="197" t="str">
        <f t="shared" si="24"/>
        <v/>
      </c>
      <c r="BA45" s="197" t="str">
        <f>IF(M45="","",(SUMIFS('[1]1_inventory_totals'!$I$8:$I$10000,'[1]1_inventory_totals'!$C$8:$C$10000,I45,'[1]1_inventory_totals'!$F$8:$F$10000,"="&amp;Q45,'[1]1_inventory_totals'!$G$8:$G$10000,"="&amp;R45)+SUMIFS('[1]1_inventory_totals'!$N$8:$N$10000,'[1]1_inventory_totals'!$C$8:$C$10000,I45,'[1]1_inventory_totals'!$F$8:$F$10000,"="&amp;Q45,'[1]1_inventory_totals'!$G$8:$G$10000,"="&amp;R45)+SUMIFS('[1]1_inventory_totals'!$P$8:$P$10000,'[1]1_inventory_totals'!$C$8:$C$10000,I45,'[1]1_inventory_totals'!$F$8:$F$10000,"="&amp;Q45,'[1]1_inventory_totals'!$G$8:$G$10000,"="&amp;R45)+SUMIFS('[1]1_inventory_totals'!$Q$8:$Q$10000,'[1]1_inventory_totals'!$C$8:$C$10000,I45,'[1]1_inventory_totals'!$F$8:$F$10000,"="&amp;Q45,'[1]1_inventory_totals'!$G$8:$G$10000,"="&amp;R45)+SUMIFS('[1]1_inventory_totals'!$R$8:$R$10000,'[1]1_inventory_totals'!$C$8:$C$10000,I45,'[1]1_inventory_totals'!$F$8:$F$10000,"="&amp;Q45,'[1]1_inventory_totals'!$G$8:$G$10000,"="&amp;R45))+(SUMIFS('[1]1_inventory_totals'!$J$8:$J$10000,'[1]1_inventory_totals'!$C$8:$C$10000,I45,'[1]1_inventory_totals'!$F$8:$F$10000,"="&amp;Q45,'[1]1_inventory_totals'!$G$8:$G$10000,"="&amp;R45)+SUMIFS('[1]1_inventory_totals'!$K$8:$K$10000,'[1]1_inventory_totals'!$C$8:$C$10000,I45,'[1]1_inventory_totals'!$F$8:$F$10000,"="&amp;Q45,'[1]1_inventory_totals'!$G$8:$G$10000,"="&amp;R45)+SUMIFS('[1]1_inventory_totals'!$L$8:$L$10000,'[1]1_inventory_totals'!$C$8:$C$10000,I45,'[1]1_inventory_totals'!$F$8:$F$10000,"="&amp;Q45,'[1]1_inventory_totals'!$G$8:$G$10000,"="&amp;R45)+SUMIFS('[1]1_inventory_totals'!$M$8:$M$10000,'[1]1_inventory_totals'!$C$8:$C$10000,I45,'[1]1_inventory_totals'!$F$8:$F$10000,"="&amp;Q45,'[1]1_inventory_totals'!$G$8:$G$10000,"="&amp;R45)+SUMIFS('[1]1_inventory_totals'!$O$8:$O$10000,'[1]1_inventory_totals'!$C$8:$C$10000,I45,'[1]1_inventory_totals'!$F$8:$F$10000,"="&amp;Q45,'[1]1_inventory_totals'!$G$8:$G$10000,"="&amp;R45)+SUMIFS('[1]1_inventory_totals'!$S$8:$S$10000,'[1]1_inventory_totals'!$C$8:$C$10000,I45,'[1]1_inventory_totals'!$F$8:$F$10000,"="&amp;Q45,'[1]1_inventory_totals'!$G$8:$G$10000,"="&amp;R45)))</f>
        <v/>
      </c>
      <c r="BB45" s="197" t="str">
        <f>IF(M45="","",(SUMIFS('[1]2_inventory_totals'!$I$8:$I$10000,'[1]2_inventory_totals'!$C$8:$C$10000,I45,'[1]2_inventory_totals'!$F$8:$F$10000,"="&amp;Q45,'[1]2_inventory_totals'!$G$8:$G$10000,"="&amp;R45)+SUMIFS('[1]2_inventory_totals'!$N$8:$N$10000,'[1]2_inventory_totals'!$C$8:$C$10000,I45,'[1]2_inventory_totals'!$F$8:$F$10000,"="&amp;Q45,'[1]2_inventory_totals'!$G$8:$G$10000,"="&amp;R45)+SUMIFS('[1]2_inventory_totals'!$P$8:$P$10000,'[1]2_inventory_totals'!$C$8:$C$10000,I45,'[1]2_inventory_totals'!$F$8:$F$10000,"="&amp;Q45,'[1]2_inventory_totals'!$G$8:$G$10000,"="&amp;R45)+SUMIFS('[1]2_inventory_totals'!$Q$8:$Q$10000,'[1]2_inventory_totals'!$C$8:$C$10000,I45,'[1]2_inventory_totals'!$F$8:$F$10000,"="&amp;Q45,'[1]2_inventory_totals'!$G$8:$G$10000,"="&amp;R45)+SUMIFS('[1]2_inventory_totals'!$R$8:$R$10000,'[1]2_inventory_totals'!$C$8:$C$10000,I45,'[1]2_inventory_totals'!$F$8:$F$10000,"="&amp;Q45,'[1]2_inventory_totals'!$G$8:$G$10000,"="&amp;R45))+(SUMIFS('[1]2_inventory_totals'!$J$8:$J$10000,'[1]2_inventory_totals'!$C$8:$C$10000,I45,'[1]2_inventory_totals'!$F$8:$F$10000,"="&amp;Q45,'[1]2_inventory_totals'!$G$8:$G$10000,"="&amp;R45)+SUMIFS('[1]2_inventory_totals'!$K$8:$K$10000,'[1]2_inventory_totals'!$C$8:$C$10000,I45,'[1]2_inventory_totals'!$F$8:$F$10000,"="&amp;Q45,'[1]2_inventory_totals'!$G$8:$G$10000,"="&amp;R45)+SUMIFS('[1]2_inventory_totals'!$L$8:$L$10000,'[1]2_inventory_totals'!$C$8:$C$10000,I45,'[1]2_inventory_totals'!$F$8:$F$10000,"="&amp;Q45,'[1]2_inventory_totals'!$G$8:$G$10000,"="&amp;R45)+SUMIFS('[1]2_inventory_totals'!$M$8:$M$10000,'[1]2_inventory_totals'!$C$8:$C$10000,I45,'[1]2_inventory_totals'!$F$8:$F$10000,"="&amp;Q45,'[1]2_inventory_totals'!$G$8:$G$10000,"="&amp;R45)+SUMIFS('[1]2_inventory_totals'!$O$8:$O$10000,'[1]2_inventory_totals'!$C$8:$C$10000,I45,'[1]2_inventory_totals'!$F$8:$F$10000,"="&amp;Q45,'[1]2_inventory_totals'!$G$8:$G$10000,"="&amp;R45)+SUMIFS('[1]2_inventory_totals'!$S$8:$S$10000,'[1]2_inventory_totals'!$C$8:$C$10000,I45,'[1]2_inventory_totals'!$F$8:$F$10000,"="&amp;Q45,'[1]2_inventory_totals'!$G$8:$G$10000,"="&amp;R45)))</f>
        <v/>
      </c>
    </row>
    <row r="46" spans="1:54" ht="27" hidden="1" customHeight="1">
      <c r="A46" s="923"/>
      <c r="B46" s="1251"/>
      <c r="C46" s="1268"/>
      <c r="D46" s="950"/>
      <c r="E46" s="950"/>
      <c r="F46" s="1262"/>
      <c r="I46" s="1610" t="str">
        <f t="shared" si="10"/>
        <v/>
      </c>
      <c r="J46" s="1611" t="str">
        <f t="shared" si="112"/>
        <v/>
      </c>
      <c r="K46" s="1612" t="str">
        <f t="shared" si="30"/>
        <v/>
      </c>
      <c r="L46" s="1613"/>
      <c r="M46" s="883"/>
      <c r="N46" s="884"/>
      <c r="O46" s="884"/>
      <c r="P46" s="885"/>
      <c r="Q46" s="886"/>
      <c r="R46" s="891"/>
      <c r="S46" s="1614" t="str">
        <f t="shared" ref="S46" si="174">IF(M46="","",quot_currency_symbol)</f>
        <v/>
      </c>
      <c r="T46" s="888"/>
      <c r="U46" s="1650" t="str">
        <f t="shared" si="13"/>
        <v/>
      </c>
      <c r="V46" s="1615" t="str">
        <f t="shared" ref="V46" si="175">IF(W46=0,"",quot_currency_symbol)</f>
        <v/>
      </c>
      <c r="W46" s="889"/>
      <c r="X46" s="1615" t="str">
        <f t="shared" ref="X46" si="176">IF(M46="","",quot_currency_symbol)</f>
        <v/>
      </c>
      <c r="Y46" s="1616" t="str">
        <f t="shared" si="34"/>
        <v/>
      </c>
      <c r="Z46" s="890"/>
      <c r="AA46" s="197" t="str" cm="1">
        <f t="array" ref="AA46">IF(M46="","",IF(P46=AN46,1,Slookup(MID(AN46,1,3)*1,UomConversion!$D$8:$J$500,5,UomConversion!$E$8:$E$500,MID(P46,1,3)*1,UomConversion!$J$8:$J$500,1)))</f>
        <v/>
      </c>
      <c r="AB46" s="197" t="str">
        <f t="shared" si="3"/>
        <v/>
      </c>
      <c r="AC46" s="197" t="str">
        <f t="shared" si="17"/>
        <v/>
      </c>
      <c r="AD46" s="197" t="str">
        <f t="shared" si="18"/>
        <v/>
      </c>
      <c r="AE46" s="197" t="str">
        <f t="shared" si="19"/>
        <v/>
      </c>
      <c r="AF46" s="197" t="str">
        <f t="shared" si="152"/>
        <v/>
      </c>
      <c r="AG46" s="197" t="str">
        <f t="shared" si="6"/>
        <v/>
      </c>
      <c r="AH46" s="197" t="str">
        <f>IF(I46="","",IF(ISNA(MATCH(I46,IF(quot_location_id=1,'[1]1_inventory_totals'!$C$8:$C$10000,IF(quot_location_id=2,'[1]2_inventory_totals'!$C$8:$C$10000,0)),0)),0,IF(AV46&gt;0,1,0)))</f>
        <v/>
      </c>
      <c r="AI46" s="197" t="str">
        <f>IF(M46="","",IF(quot_location_id=1,SUMIFS('[1]1_inventory_total_details'!$J$8:$J$10000,'[1]1_inventory_total_details'!$C$8:$C$10000,I46,'[1]1_inventory_total_details'!$F$8:$F$10000,quot_location_id,'[1]1_inventory_total_details'!$G$8:$G$10000,"="&amp;Q46,'[1]1_inventory_total_details'!$H$8:$H$10000,"="&amp;R46,'[1]1_inventory_total_details'!$I$8:$I$10000,"="&amp;quot_date)+SUMIFS('[1]1_inventory_total_details'!$M$8:$M$10000,'[1]1_inventory_total_details'!$C$8:$C$10000,I46,'[1]1_inventory_total_details'!$F$8:$F$10000,quot_location_id,'[1]1_inventory_total_details'!$G$8:$G$10000,"="&amp;Q46,'[1]1_inventory_total_details'!$H$8:$H$10000,"="&amp;R46,'[1]1_inventory_total_details'!$I$8:$I$10000,"="&amp;quot_date)+SUMIFS('[1]1_inventory_total_details'!$K$8:$K$10000,'[1]1_inventory_total_details'!$C$8:$C$10000,I46,'[1]1_inventory_total_details'!$F$8:$F$10000,quot_location_id,'[1]1_inventory_total_details'!$G$8:$G$10000,"="&amp;Q46,'[1]1_inventory_total_details'!$H$8:$H$10000,"="&amp;R46,'[1]1_inventory_total_details'!$I$8:$I$10000,"="&amp;quot_date)+SUMIFS('[1]1_inventory_total_details'!$L$8:$L$10000,'[1]1_inventory_total_details'!$C$8:$C$10000,I46,'[1]1_inventory_total_details'!$F$8:$F$10000,quot_location_id,'[1]1_inventory_total_details'!$G$8:$G$10000,"="&amp;Q46,'[1]1_inventory_total_details'!$H$8:$H$10000,"="&amp;R46,'[1]1_inventory_total_details'!$I$8:$I$10000,"="&amp;quot_date),SUMIFS('[1]2_inventory_total_details'!$J$8:$J$10000,'[1]2_inventory_total_details'!$C$8:$C$10000,I46,'[1]2_inventory_total_details'!$F$8:$F$10000,quot_location_id,'[1]2_inventory_total_details'!$G$8:$G$10000,"="&amp;Q46,'[1]2_inventory_total_details'!$H$8:$H$10000,"="&amp;R46,'[1]2_inventory_total_details'!$I$8:$I$10000,"="&amp;quot_date)+SUMIFS('[1]2_inventory_total_details'!$M$8:$M$10000,'[1]2_inventory_total_details'!$C$8:$C$10000,I46,'[1]2_inventory_total_details'!$F$8:$F$10000,quot_location_id,'[1]2_inventory_total_details'!$G$8:$G$10000,"="&amp;Q46,'[1]2_inventory_total_details'!$H$8:$H$10000,"="&amp;R46,'[1]2_inventory_total_details'!$I$8:$I$10000,"="&amp;quot_date)+SUMIFS('[1]2_inventory_total_details'!$K$8:$K$10000,'[1]2_inventory_total_details'!$C$8:$C$10000,I46,'[1]2_inventory_total_details'!$F$8:$F$10000,quot_location_id,'[1]2_inventory_total_details'!$G$8:$G$10000,"="&amp;Q46,'[1]2_inventory_total_details'!$H$8:$H$10000,"="&amp;R46,'[1]2_inventory_total_details'!$I$8:$I$10000,"="&amp;quot_date)+SUMIFS('[1]2_inventory_total_details'!$L$8:$L$10000,'[1]2_inventory_total_details'!$C$8:$C$10000,I46,'[1]2_inventory_total_details'!$F$8:$F$10000,quot_location_id,'[1]2_inventory_total_details'!$G$8:$G$10000,"="&amp;Q46,'[1]2_inventory_total_details'!$H$8:$H$10000,"="&amp;R46,'[1]2_inventory_total_details'!$I$8:$I$10000,"="&amp;quot_date)))</f>
        <v/>
      </c>
      <c r="AJ46" s="197" t="str">
        <f>IF(M46="","",IF(ISNA(MATCH(I46,'[1]1_group_totals'!$C$8:$C$10000)),0,IF(AW46&gt;0,1,0)))</f>
        <v/>
      </c>
      <c r="AK46" s="197" t="str">
        <f>IF(M46="","",(SUMIFS('[1]1_group_total_details'!$I$8:$I$10000,'[1]1_group_total_details'!$C$8:$C$10000,I46,'[1]1_group_total_details'!$F$8:$F$10000,quot_location_group_id,'[1]1_group_total_details'!$G$8:$G$10000,quot_location_id,'[1]1_group_total_details'!$H$8:$H$10000,"="&amp;quot_date)+SUMIFS('[1]1_group_total_details'!$L$8:$L$10000,'[1]1_group_total_details'!$C$8:$C$10000,I46,'[1]1_group_total_details'!$F$8:$F$10000,quot_location_group_id,'[1]1_group_total_details'!$G$8:$G$10000,quot_location_id,'[1]1_group_total_details'!$H$8:$H$10000,"="&amp;quot_date)+SUMIFS('[1]1_group_total_details'!$N$8:$N$10000,'[1]1_group_total_details'!$C$8:$C$10000,I46,'[1]1_group_total_details'!$F$8:$F$10000,quot_location_group_id,'[1]1_group_total_details'!$G$8:$G$10000,quot_location_id,'[1]1_group_total_details'!$H$8:$H$10000,"="&amp;quot_date)+SUMIFS('[1]1_group_total_details'!$O$8:$O$10000,'[1]1_group_total_details'!$C$8:$C$10000,I46,'[1]1_group_total_details'!$F$8:$F$10000,quot_location_group_id,'[1]1_group_total_details'!$G$8:$G$10000,quot_location_id,'[1]1_group_total_details'!$H$8:$H$10000,"="&amp;quot_date))+(SUMIFS('[1]1_group_total_details'!$J$8:$J$10000,'[1]1_group_total_details'!$C$8:$C$10000,I46,'[1]1_group_total_details'!$F$8:$F$10000,quot_location_group_id,'[1]1_group_total_details'!$G$8:$G$10000,quot_location_id,'[1]1_group_total_details'!$H$8:$H$10000,"="&amp;quot_date)+SUMIFS('[1]1_group_total_details'!$K$8:$K$10000,'[1]1_group_total_details'!$C$8:$C$10000,I46,'[1]1_group_total_details'!$F$8:$F$10000,quot_location_group_id,'[1]1_group_total_details'!$G$8:$G$10000,quot_location_id,'[1]1_group_total_details'!$H$8:$H$10000,"="&amp;quot_date)+SUMIFS('[1]1_group_total_details'!$M$8:$M$10000,'[1]1_group_total_details'!$C$8:$C$10000,I46,'[1]1_group_total_details'!$F$8:$F$10000,quot_location_group_id,'[1]1_group_total_details'!$G$8:$G$10000,quot_location_id,'[1]1_group_total_details'!$H$8:$H$10000,"="&amp;quot_date)+SUMIFS('[1]1_group_total_details'!$P$8:$P$10000,'[1]1_group_total_details'!$C$8:$C$10000,I46,'[1]1_group_total_details'!$F$8:$F$10000,quot_location_group_id,'[1]1_group_total_details'!$G$8:$G$10000,quot_location_id,'[1]1_group_total_details'!$H$8:$H$10000,"="&amp;quot_date)))</f>
        <v/>
      </c>
      <c r="AL46" s="197" t="str">
        <f>IF(M46="","",(SUMIFS('[1]1_group_total_details'!$I$8:$I$10000,'[1]1_group_total_details'!$C$8:$C$10000,I46,'[1]1_group_total_details'!$F$8:$F$10000,quot_location_group_id,'[1]1_group_total_details'!$G$8:$G$10000,quot_location_id,'[1]1_group_total_details'!$H$8:$H$10000,"&lt;="&amp;quot_date)+SUMIFS('[1]1_group_total_details'!$L$8:$L$10000,'[1]1_group_total_details'!$C$8:$C$10000,I46,'[1]1_group_total_details'!$F$8:$F$10000,quot_location_group_id,'[1]1_group_total_details'!$G$8:$G$10000,1,'[1]1_group_total_details'!$H$8:$H$10000,"&lt;="&amp;quot_date)+SUMIFS('[1]1_group_total_details'!$N$8:$N$10000,'[1]1_group_total_details'!$C$8:$C$10000,I46,'[1]1_group_total_details'!$F$8:$F$10000,quot_location_group_id,'[1]1_group_total_details'!$G$8:$G$10000,quot_location_id,'[1]1_group_total_details'!$H$8:$H$10000,"&lt;="&amp;quot_date)+SUMIFS('[1]1_group_total_details'!$O$8:$O$10000,'[1]1_group_total_details'!$C$8:$C$10000,I46,'[1]1_group_total_details'!$F$8:$F$10000,quot_location_group_id,'[1]1_group_total_details'!$G$8:$G$10000,quot_location_id,'[1]1_group_total_details'!$H$8:$H$10000,"&lt;="&amp;quot_date))-(SUMIFS('[1]1_group_total_details'!$J$8:$J$10000,'[1]1_group_total_details'!$C$8:$C$10000,I46,'[1]1_group_total_details'!$F$8:$F$10000,quot_location_group_id,'[1]1_group_total_details'!$G$8:$G$10000,quot_location_id,'[1]1_group_total_details'!$H$8:$H$10000,"&lt;="&amp;quot_date)+SUMIFS('[1]1_group_total_details'!$K$8:$K$10000,'[1]1_group_total_details'!$C$8:$C$10000,I46,'[1]1_group_total_details'!$F$8:$F$10000,quot_location_group_id,'[1]1_group_total_details'!$G$8:$G$10000,quot_location_id,'[1]1_group_total_details'!$H$8:$H$10000,"&lt;="&amp;quot_date)+SUMIFS('[1]1_group_total_details'!$M$8:$M$10000,'[1]1_group_total_details'!$C$8:$C$10000,I46,'[1]1_group_total_details'!$F$8:$F$10000,quot_location_group_id,'[1]1_group_total_details'!$G$8:$G$10000,quot_location_id,'[1]1_group_total_details'!$H$8:$H$10000,"&lt;="&amp;quot_date)+SUMIFS('[1]1_group_total_details'!$P$8:$P$10000,'[1]1_group_total_details'!$C$8:$C$10000,I46,'[1]1_group_total_details'!$F$8:$F$10000,quot_location_group_id,'[1]1_group_total_details'!$G$8:$G$10000,quot_location_id,'[1]1_group_total_details'!$H$8:$H$10000,"&lt;="&amp;quot_date)))</f>
        <v/>
      </c>
      <c r="AM46" s="197" t="str">
        <f>IF(M46="","",SUMIFS('[1]1_group_totals'!$J$8:$J$10000,'[1]1_group_totals'!$C$8:$C$10000,I46,'[1]1_group_totals'!$F$8:$F$10000,quot_location_group_id,'[1]1_group_totals'!$G$8:$G$10000,quot_location_id,'[1]1_group_totals'!$H$8:$H$10000,"="&amp;Q46,'[1]1_group_totals'!$I$8:$I$10000,"="&amp;R46))</f>
        <v/>
      </c>
      <c r="AN46" s="197" t="str">
        <f t="shared" si="7"/>
        <v/>
      </c>
      <c r="AO46" s="197" t="str">
        <f>IF(OR(ISNA(MATCH(MID(AN46,1,3)*1,UomConversion!$D$8:$D$500,0)),M46=""),"",IF(AT46="","",AT46))</f>
        <v/>
      </c>
      <c r="AP46" s="197" t="str">
        <f>IF(AND(AQ46&gt;0,COUNTIFS(UomConversion!$D$8:$D$500,MID(AN46,1,3)*1,UomConversion!$J$8:$J$500,1)&gt;1),TEXT(AQ46,"000")&amp;"."&amp;VLOOKUP(AQ46,uom_list,5,FALSE),"")</f>
        <v/>
      </c>
      <c r="AQ46" s="197" t="str">
        <f t="shared" si="20"/>
        <v/>
      </c>
      <c r="AR46" s="197" t="str">
        <f t="shared" si="21"/>
        <v/>
      </c>
      <c r="AS46" s="197" t="str">
        <f>IF(M46="","",SUMIFS(ProductPrice!$N$28:$N$10020,ProductPrice!$D$28:$D$10020,I46,ProductPrice!$G$28:$G$10020,quot_branch_id,ProductPrice!$H$28:$H$10020,quot_price_type_id,ProductPrice!$I$28:$I$10020,MID(P46,1,3)*1,ProductPrice!$Q$28:$Q$10020,1))</f>
        <v/>
      </c>
      <c r="AT46" s="197" t="str">
        <f t="shared" si="8"/>
        <v/>
      </c>
      <c r="AU46" s="197" t="str" cm="1">
        <f t="array" ref="AU46">IF(M46="","",IF(ISNA(Slookup(MID(AN46,1,3)*1,UomConversion!$D$8:$J$500,2,UomConversion!$I$8:$I$500,1,UomConversion!$J$8:$J$500,1)),"",Slookup(MID(AN46,1,3)*1,UomConversion!$D$8:$J$500,2,UomConversion!$I$8:$I$500,1,UomConversion!$J$8:$J$500,1)))</f>
        <v/>
      </c>
      <c r="AV46" s="197" t="str">
        <f t="shared" ref="AV46" si="177">IF(M46="","",IF(quot_location_id=1,BA46,IF(quot_location_id=2,BB46,0)))</f>
        <v/>
      </c>
      <c r="AW46" s="197" t="str">
        <f>IF(M46="","",(SUMIFS('[1]1_group_totals'!$K$8:$K$10000,'[1]1_group_totals'!$C$8:$C$10000,I46,'[1]1_group_totals'!$F$8:$F$10000,quot_location_group_id,'[1]1_group_totals'!$G$8:$G$10000,quot_location_id,'[1]1_group_totals'!$H$8:$H$10000,"="&amp;Q46,'[1]1_group_totals'!$I$8:$I$10000,"="&amp;R46)+SUMIFS('[1]1_group_totals'!$N$8:$N$10000,'[1]1_group_totals'!$C$8:$C$10000,I46,'[1]1_group_totals'!$F$8:$F$10000,quot_location_group_id,'[1]1_group_totals'!$G$8:$G$10000,quot_location_id,'[1]1_group_totals'!$H$8:$H$10000,"="&amp;Q46,'[1]1_group_totals'!$I$8:$I$10000,"="&amp;R46)+SUMIFS('[1]1_group_totals'!$P$8:$P$10000,'[1]1_group_totals'!$C$8:$C$10000,I46,'[1]1_group_totals'!$F$8:$F$10000,quot_location_group_id,'[1]1_group_totals'!$G$8:$G$10000,quot_location_id,'[1]1_group_totals'!$H$8:$H$10000,"="&amp;Q46,'[1]1_group_totals'!$I$8:$I$10000,"="&amp;R46)+SUMIFS('[1]1_group_totals'!$Q$8:$Q$10000,'[1]1_group_totals'!$C$8:$C$10000,I46,'[1]1_group_totals'!$F$8:$F$10000,quot_location_group_id,'[1]1_group_totals'!$G$8:$G$10000,quot_location_id,'[1]1_group_totals'!$H$8:$H$10000,"="&amp;Q46,'[1]1_group_totals'!$I$8:$I$10000,"="&amp;R46))+(SUMIFS('[1]1_group_totals'!$L$8:$L$10000,'[1]1_group_totals'!$C$8:$C$10000,I46,'[1]1_group_totals'!$F$8:$F$10000,quot_location_group_id,'[1]1_group_totals'!$G$8:$G$10000,quot_location_id,'[1]1_group_totals'!$H$8:$H$10000,"="&amp;Q46,'[1]1_group_totals'!$I$8:$I$10000,"="&amp;R46)+SUMIFS('[1]1_group_totals'!$M$8:$M$10000,'[1]1_group_totals'!$C$8:$C$10000,I46,'[1]1_group_totals'!$F$8:$F$10000,quot_location_group_id,'[1]1_group_totals'!$G$8:$G$10000,quot_location_id,'[1]1_group_totals'!$H$8:$H$10000,"="&amp;Q46,'[1]1_group_totals'!$I$8:$I$10000,"="&amp;R46)+SUMIFS('[1]1_group_totals'!$O$8:$O$10000,'[1]1_group_totals'!$C$8:$C$10000,I46,'[1]1_group_totals'!$F$8:$F$10000,quot_location_group_id,'[1]1_group_totals'!$G$8:$G$10000,quot_location_id,'[1]1_group_totals'!$H$8:$H$10000,"="&amp;Q46,'[1]1_group_totals'!$I$8:$I$10000,"="&amp;R46)+SUMIFS('[1]1_group_totals'!$R$8:$R$10000,'[1]1_group_totals'!$C$8:$C$10000,I46,'[1]1_group_totals'!$F$8:$F$10000,quot_location_group_id,'[1]1_group_totals'!$G$8:$G$10000,quot_location_id,'[1]1_group_totals'!$H$8:$H$10000,"="&amp;Q46,'[1]1_group_totals'!$I$8:$I$10000,"="&amp;R46)))</f>
        <v/>
      </c>
      <c r="AX46" s="197" t="str">
        <f t="shared" si="23"/>
        <v/>
      </c>
      <c r="AY46" s="197" t="str">
        <f>IF(M46="","",SUMIFS($AX$8:AX46,$I$8:I46,I46))</f>
        <v/>
      </c>
      <c r="AZ46" s="197" t="str">
        <f t="shared" si="24"/>
        <v/>
      </c>
      <c r="BA46" s="197" t="str">
        <f>IF(M46="","",(SUMIFS('[1]1_inventory_totals'!$I$8:$I$10000,'[1]1_inventory_totals'!$C$8:$C$10000,I46,'[1]1_inventory_totals'!$F$8:$F$10000,"="&amp;Q46,'[1]1_inventory_totals'!$G$8:$G$10000,"="&amp;R46)+SUMIFS('[1]1_inventory_totals'!$N$8:$N$10000,'[1]1_inventory_totals'!$C$8:$C$10000,I46,'[1]1_inventory_totals'!$F$8:$F$10000,"="&amp;Q46,'[1]1_inventory_totals'!$G$8:$G$10000,"="&amp;R46)+SUMIFS('[1]1_inventory_totals'!$P$8:$P$10000,'[1]1_inventory_totals'!$C$8:$C$10000,I46,'[1]1_inventory_totals'!$F$8:$F$10000,"="&amp;Q46,'[1]1_inventory_totals'!$G$8:$G$10000,"="&amp;R46)+SUMIFS('[1]1_inventory_totals'!$Q$8:$Q$10000,'[1]1_inventory_totals'!$C$8:$C$10000,I46,'[1]1_inventory_totals'!$F$8:$F$10000,"="&amp;Q46,'[1]1_inventory_totals'!$G$8:$G$10000,"="&amp;R46)+SUMIFS('[1]1_inventory_totals'!$R$8:$R$10000,'[1]1_inventory_totals'!$C$8:$C$10000,I46,'[1]1_inventory_totals'!$F$8:$F$10000,"="&amp;Q46,'[1]1_inventory_totals'!$G$8:$G$10000,"="&amp;R46))+(SUMIFS('[1]1_inventory_totals'!$J$8:$J$10000,'[1]1_inventory_totals'!$C$8:$C$10000,I46,'[1]1_inventory_totals'!$F$8:$F$10000,"="&amp;Q46,'[1]1_inventory_totals'!$G$8:$G$10000,"="&amp;R46)+SUMIFS('[1]1_inventory_totals'!$K$8:$K$10000,'[1]1_inventory_totals'!$C$8:$C$10000,I46,'[1]1_inventory_totals'!$F$8:$F$10000,"="&amp;Q46,'[1]1_inventory_totals'!$G$8:$G$10000,"="&amp;R46)+SUMIFS('[1]1_inventory_totals'!$L$8:$L$10000,'[1]1_inventory_totals'!$C$8:$C$10000,I46,'[1]1_inventory_totals'!$F$8:$F$10000,"="&amp;Q46,'[1]1_inventory_totals'!$G$8:$G$10000,"="&amp;R46)+SUMIFS('[1]1_inventory_totals'!$M$8:$M$10000,'[1]1_inventory_totals'!$C$8:$C$10000,I46,'[1]1_inventory_totals'!$F$8:$F$10000,"="&amp;Q46,'[1]1_inventory_totals'!$G$8:$G$10000,"="&amp;R46)+SUMIFS('[1]1_inventory_totals'!$O$8:$O$10000,'[1]1_inventory_totals'!$C$8:$C$10000,I46,'[1]1_inventory_totals'!$F$8:$F$10000,"="&amp;Q46,'[1]1_inventory_totals'!$G$8:$G$10000,"="&amp;R46)+SUMIFS('[1]1_inventory_totals'!$S$8:$S$10000,'[1]1_inventory_totals'!$C$8:$C$10000,I46,'[1]1_inventory_totals'!$F$8:$F$10000,"="&amp;Q46,'[1]1_inventory_totals'!$G$8:$G$10000,"="&amp;R46)))</f>
        <v/>
      </c>
      <c r="BB46" s="197" t="str">
        <f>IF(M46="","",(SUMIFS('[1]2_inventory_totals'!$I$8:$I$10000,'[1]2_inventory_totals'!$C$8:$C$10000,I46,'[1]2_inventory_totals'!$F$8:$F$10000,"="&amp;Q46,'[1]2_inventory_totals'!$G$8:$G$10000,"="&amp;R46)+SUMIFS('[1]2_inventory_totals'!$N$8:$N$10000,'[1]2_inventory_totals'!$C$8:$C$10000,I46,'[1]2_inventory_totals'!$F$8:$F$10000,"="&amp;Q46,'[1]2_inventory_totals'!$G$8:$G$10000,"="&amp;R46)+SUMIFS('[1]2_inventory_totals'!$P$8:$P$10000,'[1]2_inventory_totals'!$C$8:$C$10000,I46,'[1]2_inventory_totals'!$F$8:$F$10000,"="&amp;Q46,'[1]2_inventory_totals'!$G$8:$G$10000,"="&amp;R46)+SUMIFS('[1]2_inventory_totals'!$Q$8:$Q$10000,'[1]2_inventory_totals'!$C$8:$C$10000,I46,'[1]2_inventory_totals'!$F$8:$F$10000,"="&amp;Q46,'[1]2_inventory_totals'!$G$8:$G$10000,"="&amp;R46)+SUMIFS('[1]2_inventory_totals'!$R$8:$R$10000,'[1]2_inventory_totals'!$C$8:$C$10000,I46,'[1]2_inventory_totals'!$F$8:$F$10000,"="&amp;Q46,'[1]2_inventory_totals'!$G$8:$G$10000,"="&amp;R46))+(SUMIFS('[1]2_inventory_totals'!$J$8:$J$10000,'[1]2_inventory_totals'!$C$8:$C$10000,I46,'[1]2_inventory_totals'!$F$8:$F$10000,"="&amp;Q46,'[1]2_inventory_totals'!$G$8:$G$10000,"="&amp;R46)+SUMIFS('[1]2_inventory_totals'!$K$8:$K$10000,'[1]2_inventory_totals'!$C$8:$C$10000,I46,'[1]2_inventory_totals'!$F$8:$F$10000,"="&amp;Q46,'[1]2_inventory_totals'!$G$8:$G$10000,"="&amp;R46)+SUMIFS('[1]2_inventory_totals'!$L$8:$L$10000,'[1]2_inventory_totals'!$C$8:$C$10000,I46,'[1]2_inventory_totals'!$F$8:$F$10000,"="&amp;Q46,'[1]2_inventory_totals'!$G$8:$G$10000,"="&amp;R46)+SUMIFS('[1]2_inventory_totals'!$M$8:$M$10000,'[1]2_inventory_totals'!$C$8:$C$10000,I46,'[1]2_inventory_totals'!$F$8:$F$10000,"="&amp;Q46,'[1]2_inventory_totals'!$G$8:$G$10000,"="&amp;R46)+SUMIFS('[1]2_inventory_totals'!$O$8:$O$10000,'[1]2_inventory_totals'!$C$8:$C$10000,I46,'[1]2_inventory_totals'!$F$8:$F$10000,"="&amp;Q46,'[1]2_inventory_totals'!$G$8:$G$10000,"="&amp;R46)+SUMIFS('[1]2_inventory_totals'!$S$8:$S$10000,'[1]2_inventory_totals'!$C$8:$C$10000,I46,'[1]2_inventory_totals'!$F$8:$F$10000,"="&amp;Q46,'[1]2_inventory_totals'!$G$8:$G$10000,"="&amp;R46)))</f>
        <v/>
      </c>
    </row>
    <row r="47" spans="1:54" ht="27" hidden="1" customHeight="1">
      <c r="A47" s="923"/>
      <c r="B47" s="1251"/>
      <c r="C47" s="1268"/>
      <c r="D47" s="950"/>
      <c r="E47" s="950"/>
      <c r="F47" s="1262"/>
      <c r="I47" s="1610" t="str">
        <f t="shared" si="10"/>
        <v/>
      </c>
      <c r="J47" s="1611" t="str">
        <f t="shared" si="112"/>
        <v/>
      </c>
      <c r="K47" s="1612" t="str">
        <f t="shared" si="30"/>
        <v/>
      </c>
      <c r="L47" s="1613"/>
      <c r="M47" s="883"/>
      <c r="N47" s="884"/>
      <c r="O47" s="884"/>
      <c r="P47" s="885"/>
      <c r="Q47" s="886"/>
      <c r="R47" s="891"/>
      <c r="S47" s="1614" t="str">
        <f t="shared" ref="S47" si="178">IF(M47="","",quot_currency_symbol)</f>
        <v/>
      </c>
      <c r="T47" s="888"/>
      <c r="U47" s="1650" t="str">
        <f t="shared" si="13"/>
        <v/>
      </c>
      <c r="V47" s="1615" t="str">
        <f t="shared" ref="V47" si="179">IF(W47=0,"",quot_currency_symbol)</f>
        <v/>
      </c>
      <c r="W47" s="889"/>
      <c r="X47" s="1615" t="str">
        <f t="shared" ref="X47" si="180">IF(M47="","",quot_currency_symbol)</f>
        <v/>
      </c>
      <c r="Y47" s="1616" t="str">
        <f t="shared" si="34"/>
        <v/>
      </c>
      <c r="Z47" s="890"/>
      <c r="AA47" s="197" t="str" cm="1">
        <f t="array" ref="AA47">IF(M47="","",IF(P47=AN47,1,Slookup(MID(AN47,1,3)*1,UomConversion!$D$8:$J$500,5,UomConversion!$E$8:$E$500,MID(P47,1,3)*1,UomConversion!$J$8:$J$500,1)))</f>
        <v/>
      </c>
      <c r="AB47" s="197" t="str">
        <f t="shared" si="3"/>
        <v/>
      </c>
      <c r="AC47" s="197" t="str">
        <f t="shared" si="17"/>
        <v/>
      </c>
      <c r="AD47" s="197" t="str">
        <f t="shared" si="18"/>
        <v/>
      </c>
      <c r="AE47" s="197" t="str">
        <f t="shared" si="19"/>
        <v/>
      </c>
      <c r="AF47" s="197" t="str">
        <f t="shared" si="152"/>
        <v/>
      </c>
      <c r="AG47" s="197" t="str">
        <f t="shared" si="6"/>
        <v/>
      </c>
      <c r="AH47" s="197" t="str">
        <f>IF(I47="","",IF(ISNA(MATCH(I47,IF(quot_location_id=1,'[1]1_inventory_totals'!$C$8:$C$10000,IF(quot_location_id=2,'[1]2_inventory_totals'!$C$8:$C$10000,0)),0)),0,IF(AV47&gt;0,1,0)))</f>
        <v/>
      </c>
      <c r="AI47" s="197" t="str">
        <f>IF(M47="","",IF(quot_location_id=1,SUMIFS('[1]1_inventory_total_details'!$J$8:$J$10000,'[1]1_inventory_total_details'!$C$8:$C$10000,I47,'[1]1_inventory_total_details'!$F$8:$F$10000,quot_location_id,'[1]1_inventory_total_details'!$G$8:$G$10000,"="&amp;Q47,'[1]1_inventory_total_details'!$H$8:$H$10000,"="&amp;R47,'[1]1_inventory_total_details'!$I$8:$I$10000,"="&amp;quot_date)+SUMIFS('[1]1_inventory_total_details'!$M$8:$M$10000,'[1]1_inventory_total_details'!$C$8:$C$10000,I47,'[1]1_inventory_total_details'!$F$8:$F$10000,quot_location_id,'[1]1_inventory_total_details'!$G$8:$G$10000,"="&amp;Q47,'[1]1_inventory_total_details'!$H$8:$H$10000,"="&amp;R47,'[1]1_inventory_total_details'!$I$8:$I$10000,"="&amp;quot_date)+SUMIFS('[1]1_inventory_total_details'!$K$8:$K$10000,'[1]1_inventory_total_details'!$C$8:$C$10000,I47,'[1]1_inventory_total_details'!$F$8:$F$10000,quot_location_id,'[1]1_inventory_total_details'!$G$8:$G$10000,"="&amp;Q47,'[1]1_inventory_total_details'!$H$8:$H$10000,"="&amp;R47,'[1]1_inventory_total_details'!$I$8:$I$10000,"="&amp;quot_date)+SUMIFS('[1]1_inventory_total_details'!$L$8:$L$10000,'[1]1_inventory_total_details'!$C$8:$C$10000,I47,'[1]1_inventory_total_details'!$F$8:$F$10000,quot_location_id,'[1]1_inventory_total_details'!$G$8:$G$10000,"="&amp;Q47,'[1]1_inventory_total_details'!$H$8:$H$10000,"="&amp;R47,'[1]1_inventory_total_details'!$I$8:$I$10000,"="&amp;quot_date),SUMIFS('[1]2_inventory_total_details'!$J$8:$J$10000,'[1]2_inventory_total_details'!$C$8:$C$10000,I47,'[1]2_inventory_total_details'!$F$8:$F$10000,quot_location_id,'[1]2_inventory_total_details'!$G$8:$G$10000,"="&amp;Q47,'[1]2_inventory_total_details'!$H$8:$H$10000,"="&amp;R47,'[1]2_inventory_total_details'!$I$8:$I$10000,"="&amp;quot_date)+SUMIFS('[1]2_inventory_total_details'!$M$8:$M$10000,'[1]2_inventory_total_details'!$C$8:$C$10000,I47,'[1]2_inventory_total_details'!$F$8:$F$10000,quot_location_id,'[1]2_inventory_total_details'!$G$8:$G$10000,"="&amp;Q47,'[1]2_inventory_total_details'!$H$8:$H$10000,"="&amp;R47,'[1]2_inventory_total_details'!$I$8:$I$10000,"="&amp;quot_date)+SUMIFS('[1]2_inventory_total_details'!$K$8:$K$10000,'[1]2_inventory_total_details'!$C$8:$C$10000,I47,'[1]2_inventory_total_details'!$F$8:$F$10000,quot_location_id,'[1]2_inventory_total_details'!$G$8:$G$10000,"="&amp;Q47,'[1]2_inventory_total_details'!$H$8:$H$10000,"="&amp;R47,'[1]2_inventory_total_details'!$I$8:$I$10000,"="&amp;quot_date)+SUMIFS('[1]2_inventory_total_details'!$L$8:$L$10000,'[1]2_inventory_total_details'!$C$8:$C$10000,I47,'[1]2_inventory_total_details'!$F$8:$F$10000,quot_location_id,'[1]2_inventory_total_details'!$G$8:$G$10000,"="&amp;Q47,'[1]2_inventory_total_details'!$H$8:$H$10000,"="&amp;R47,'[1]2_inventory_total_details'!$I$8:$I$10000,"="&amp;quot_date)))</f>
        <v/>
      </c>
      <c r="AJ47" s="197" t="str">
        <f>IF(M47="","",IF(ISNA(MATCH(I47,'[1]1_group_totals'!$C$8:$C$10000)),0,IF(AW47&gt;0,1,0)))</f>
        <v/>
      </c>
      <c r="AK47" s="197" t="str">
        <f>IF(M47="","",(SUMIFS('[1]1_group_total_details'!$I$8:$I$10000,'[1]1_group_total_details'!$C$8:$C$10000,I47,'[1]1_group_total_details'!$F$8:$F$10000,quot_location_group_id,'[1]1_group_total_details'!$G$8:$G$10000,quot_location_id,'[1]1_group_total_details'!$H$8:$H$10000,"="&amp;quot_date)+SUMIFS('[1]1_group_total_details'!$L$8:$L$10000,'[1]1_group_total_details'!$C$8:$C$10000,I47,'[1]1_group_total_details'!$F$8:$F$10000,quot_location_group_id,'[1]1_group_total_details'!$G$8:$G$10000,quot_location_id,'[1]1_group_total_details'!$H$8:$H$10000,"="&amp;quot_date)+SUMIFS('[1]1_group_total_details'!$N$8:$N$10000,'[1]1_group_total_details'!$C$8:$C$10000,I47,'[1]1_group_total_details'!$F$8:$F$10000,quot_location_group_id,'[1]1_group_total_details'!$G$8:$G$10000,quot_location_id,'[1]1_group_total_details'!$H$8:$H$10000,"="&amp;quot_date)+SUMIFS('[1]1_group_total_details'!$O$8:$O$10000,'[1]1_group_total_details'!$C$8:$C$10000,I47,'[1]1_group_total_details'!$F$8:$F$10000,quot_location_group_id,'[1]1_group_total_details'!$G$8:$G$10000,quot_location_id,'[1]1_group_total_details'!$H$8:$H$10000,"="&amp;quot_date))+(SUMIFS('[1]1_group_total_details'!$J$8:$J$10000,'[1]1_group_total_details'!$C$8:$C$10000,I47,'[1]1_group_total_details'!$F$8:$F$10000,quot_location_group_id,'[1]1_group_total_details'!$G$8:$G$10000,quot_location_id,'[1]1_group_total_details'!$H$8:$H$10000,"="&amp;quot_date)+SUMIFS('[1]1_group_total_details'!$K$8:$K$10000,'[1]1_group_total_details'!$C$8:$C$10000,I47,'[1]1_group_total_details'!$F$8:$F$10000,quot_location_group_id,'[1]1_group_total_details'!$G$8:$G$10000,quot_location_id,'[1]1_group_total_details'!$H$8:$H$10000,"="&amp;quot_date)+SUMIFS('[1]1_group_total_details'!$M$8:$M$10000,'[1]1_group_total_details'!$C$8:$C$10000,I47,'[1]1_group_total_details'!$F$8:$F$10000,quot_location_group_id,'[1]1_group_total_details'!$G$8:$G$10000,quot_location_id,'[1]1_group_total_details'!$H$8:$H$10000,"="&amp;quot_date)+SUMIFS('[1]1_group_total_details'!$P$8:$P$10000,'[1]1_group_total_details'!$C$8:$C$10000,I47,'[1]1_group_total_details'!$F$8:$F$10000,quot_location_group_id,'[1]1_group_total_details'!$G$8:$G$10000,quot_location_id,'[1]1_group_total_details'!$H$8:$H$10000,"="&amp;quot_date)))</f>
        <v/>
      </c>
      <c r="AL47" s="197" t="str">
        <f>IF(M47="","",(SUMIFS('[1]1_group_total_details'!$I$8:$I$10000,'[1]1_group_total_details'!$C$8:$C$10000,I47,'[1]1_group_total_details'!$F$8:$F$10000,quot_location_group_id,'[1]1_group_total_details'!$G$8:$G$10000,quot_location_id,'[1]1_group_total_details'!$H$8:$H$10000,"&lt;="&amp;quot_date)+SUMIFS('[1]1_group_total_details'!$L$8:$L$10000,'[1]1_group_total_details'!$C$8:$C$10000,I47,'[1]1_group_total_details'!$F$8:$F$10000,quot_location_group_id,'[1]1_group_total_details'!$G$8:$G$10000,1,'[1]1_group_total_details'!$H$8:$H$10000,"&lt;="&amp;quot_date)+SUMIFS('[1]1_group_total_details'!$N$8:$N$10000,'[1]1_group_total_details'!$C$8:$C$10000,I47,'[1]1_group_total_details'!$F$8:$F$10000,quot_location_group_id,'[1]1_group_total_details'!$G$8:$G$10000,quot_location_id,'[1]1_group_total_details'!$H$8:$H$10000,"&lt;="&amp;quot_date)+SUMIFS('[1]1_group_total_details'!$O$8:$O$10000,'[1]1_group_total_details'!$C$8:$C$10000,I47,'[1]1_group_total_details'!$F$8:$F$10000,quot_location_group_id,'[1]1_group_total_details'!$G$8:$G$10000,quot_location_id,'[1]1_group_total_details'!$H$8:$H$10000,"&lt;="&amp;quot_date))-(SUMIFS('[1]1_group_total_details'!$J$8:$J$10000,'[1]1_group_total_details'!$C$8:$C$10000,I47,'[1]1_group_total_details'!$F$8:$F$10000,quot_location_group_id,'[1]1_group_total_details'!$G$8:$G$10000,quot_location_id,'[1]1_group_total_details'!$H$8:$H$10000,"&lt;="&amp;quot_date)+SUMIFS('[1]1_group_total_details'!$K$8:$K$10000,'[1]1_group_total_details'!$C$8:$C$10000,I47,'[1]1_group_total_details'!$F$8:$F$10000,quot_location_group_id,'[1]1_group_total_details'!$G$8:$G$10000,quot_location_id,'[1]1_group_total_details'!$H$8:$H$10000,"&lt;="&amp;quot_date)+SUMIFS('[1]1_group_total_details'!$M$8:$M$10000,'[1]1_group_total_details'!$C$8:$C$10000,I47,'[1]1_group_total_details'!$F$8:$F$10000,quot_location_group_id,'[1]1_group_total_details'!$G$8:$G$10000,quot_location_id,'[1]1_group_total_details'!$H$8:$H$10000,"&lt;="&amp;quot_date)+SUMIFS('[1]1_group_total_details'!$P$8:$P$10000,'[1]1_group_total_details'!$C$8:$C$10000,I47,'[1]1_group_total_details'!$F$8:$F$10000,quot_location_group_id,'[1]1_group_total_details'!$G$8:$G$10000,quot_location_id,'[1]1_group_total_details'!$H$8:$H$10000,"&lt;="&amp;quot_date)))</f>
        <v/>
      </c>
      <c r="AM47" s="197" t="str">
        <f>IF(M47="","",SUMIFS('[1]1_group_totals'!$J$8:$J$10000,'[1]1_group_totals'!$C$8:$C$10000,I47,'[1]1_group_totals'!$F$8:$F$10000,quot_location_group_id,'[1]1_group_totals'!$G$8:$G$10000,quot_location_id,'[1]1_group_totals'!$H$8:$H$10000,"="&amp;Q47,'[1]1_group_totals'!$I$8:$I$10000,"="&amp;R47))</f>
        <v/>
      </c>
      <c r="AN47" s="197" t="str">
        <f t="shared" si="7"/>
        <v/>
      </c>
      <c r="AO47" s="197" t="str">
        <f>IF(OR(ISNA(MATCH(MID(AN47,1,3)*1,UomConversion!$D$8:$D$500,0)),M47=""),"",IF(AT47="","",AT47))</f>
        <v/>
      </c>
      <c r="AP47" s="197" t="str">
        <f>IF(AND(AQ47&gt;0,COUNTIFS(UomConversion!$D$8:$D$500,MID(AN47,1,3)*1,UomConversion!$J$8:$J$500,1)&gt;1),TEXT(AQ47,"000")&amp;"."&amp;VLOOKUP(AQ47,uom_list,5,FALSE),"")</f>
        <v/>
      </c>
      <c r="AQ47" s="197" t="str">
        <f t="shared" si="20"/>
        <v/>
      </c>
      <c r="AR47" s="197" t="str">
        <f t="shared" si="21"/>
        <v/>
      </c>
      <c r="AS47" s="197" t="str">
        <f>IF(M47="","",SUMIFS(ProductPrice!$N$28:$N$10020,ProductPrice!$D$28:$D$10020,I47,ProductPrice!$G$28:$G$10020,quot_branch_id,ProductPrice!$H$28:$H$10020,quot_price_type_id,ProductPrice!$I$28:$I$10020,MID(P47,1,3)*1,ProductPrice!$Q$28:$Q$10020,1))</f>
        <v/>
      </c>
      <c r="AT47" s="197" t="str">
        <f t="shared" si="8"/>
        <v/>
      </c>
      <c r="AU47" s="197" t="str" cm="1">
        <f t="array" ref="AU47">IF(M47="","",IF(ISNA(Slookup(MID(AN47,1,3)*1,UomConversion!$D$8:$J$500,2,UomConversion!$I$8:$I$500,1,UomConversion!$J$8:$J$500,1)),"",Slookup(MID(AN47,1,3)*1,UomConversion!$D$8:$J$500,2,UomConversion!$I$8:$I$500,1,UomConversion!$J$8:$J$500,1)))</f>
        <v/>
      </c>
      <c r="AV47" s="197" t="str">
        <f t="shared" ref="AV47" si="181">IF(M47="","",IF(quot_location_id=1,BA47,IF(quot_location_id=2,BB47,0)))</f>
        <v/>
      </c>
      <c r="AW47" s="197" t="str">
        <f>IF(M47="","",(SUMIFS('[1]1_group_totals'!$K$8:$K$10000,'[1]1_group_totals'!$C$8:$C$10000,I47,'[1]1_group_totals'!$F$8:$F$10000,quot_location_group_id,'[1]1_group_totals'!$G$8:$G$10000,quot_location_id,'[1]1_group_totals'!$H$8:$H$10000,"="&amp;Q47,'[1]1_group_totals'!$I$8:$I$10000,"="&amp;R47)+SUMIFS('[1]1_group_totals'!$N$8:$N$10000,'[1]1_group_totals'!$C$8:$C$10000,I47,'[1]1_group_totals'!$F$8:$F$10000,quot_location_group_id,'[1]1_group_totals'!$G$8:$G$10000,quot_location_id,'[1]1_group_totals'!$H$8:$H$10000,"="&amp;Q47,'[1]1_group_totals'!$I$8:$I$10000,"="&amp;R47)+SUMIFS('[1]1_group_totals'!$P$8:$P$10000,'[1]1_group_totals'!$C$8:$C$10000,I47,'[1]1_group_totals'!$F$8:$F$10000,quot_location_group_id,'[1]1_group_totals'!$G$8:$G$10000,quot_location_id,'[1]1_group_totals'!$H$8:$H$10000,"="&amp;Q47,'[1]1_group_totals'!$I$8:$I$10000,"="&amp;R47)+SUMIFS('[1]1_group_totals'!$Q$8:$Q$10000,'[1]1_group_totals'!$C$8:$C$10000,I47,'[1]1_group_totals'!$F$8:$F$10000,quot_location_group_id,'[1]1_group_totals'!$G$8:$G$10000,quot_location_id,'[1]1_group_totals'!$H$8:$H$10000,"="&amp;Q47,'[1]1_group_totals'!$I$8:$I$10000,"="&amp;R47))+(SUMIFS('[1]1_group_totals'!$L$8:$L$10000,'[1]1_group_totals'!$C$8:$C$10000,I47,'[1]1_group_totals'!$F$8:$F$10000,quot_location_group_id,'[1]1_group_totals'!$G$8:$G$10000,quot_location_id,'[1]1_group_totals'!$H$8:$H$10000,"="&amp;Q47,'[1]1_group_totals'!$I$8:$I$10000,"="&amp;R47)+SUMIFS('[1]1_group_totals'!$M$8:$M$10000,'[1]1_group_totals'!$C$8:$C$10000,I47,'[1]1_group_totals'!$F$8:$F$10000,quot_location_group_id,'[1]1_group_totals'!$G$8:$G$10000,quot_location_id,'[1]1_group_totals'!$H$8:$H$10000,"="&amp;Q47,'[1]1_group_totals'!$I$8:$I$10000,"="&amp;R47)+SUMIFS('[1]1_group_totals'!$O$8:$O$10000,'[1]1_group_totals'!$C$8:$C$10000,I47,'[1]1_group_totals'!$F$8:$F$10000,quot_location_group_id,'[1]1_group_totals'!$G$8:$G$10000,quot_location_id,'[1]1_group_totals'!$H$8:$H$10000,"="&amp;Q47,'[1]1_group_totals'!$I$8:$I$10000,"="&amp;R47)+SUMIFS('[1]1_group_totals'!$R$8:$R$10000,'[1]1_group_totals'!$C$8:$C$10000,I47,'[1]1_group_totals'!$F$8:$F$10000,quot_location_group_id,'[1]1_group_totals'!$G$8:$G$10000,quot_location_id,'[1]1_group_totals'!$H$8:$H$10000,"="&amp;Q47,'[1]1_group_totals'!$I$8:$I$10000,"="&amp;R47)))</f>
        <v/>
      </c>
      <c r="AX47" s="197" t="str">
        <f t="shared" si="23"/>
        <v/>
      </c>
      <c r="AY47" s="197" t="str">
        <f>IF(M47="","",SUMIFS($AX$8:AX47,$I$8:I47,I47))</f>
        <v/>
      </c>
      <c r="AZ47" s="197" t="str">
        <f t="shared" si="24"/>
        <v/>
      </c>
      <c r="BA47" s="197" t="str">
        <f>IF(M47="","",(SUMIFS('[1]1_inventory_totals'!$I$8:$I$10000,'[1]1_inventory_totals'!$C$8:$C$10000,I47,'[1]1_inventory_totals'!$F$8:$F$10000,"="&amp;Q47,'[1]1_inventory_totals'!$G$8:$G$10000,"="&amp;R47)+SUMIFS('[1]1_inventory_totals'!$N$8:$N$10000,'[1]1_inventory_totals'!$C$8:$C$10000,I47,'[1]1_inventory_totals'!$F$8:$F$10000,"="&amp;Q47,'[1]1_inventory_totals'!$G$8:$G$10000,"="&amp;R47)+SUMIFS('[1]1_inventory_totals'!$P$8:$P$10000,'[1]1_inventory_totals'!$C$8:$C$10000,I47,'[1]1_inventory_totals'!$F$8:$F$10000,"="&amp;Q47,'[1]1_inventory_totals'!$G$8:$G$10000,"="&amp;R47)+SUMIFS('[1]1_inventory_totals'!$Q$8:$Q$10000,'[1]1_inventory_totals'!$C$8:$C$10000,I47,'[1]1_inventory_totals'!$F$8:$F$10000,"="&amp;Q47,'[1]1_inventory_totals'!$G$8:$G$10000,"="&amp;R47)+SUMIFS('[1]1_inventory_totals'!$R$8:$R$10000,'[1]1_inventory_totals'!$C$8:$C$10000,I47,'[1]1_inventory_totals'!$F$8:$F$10000,"="&amp;Q47,'[1]1_inventory_totals'!$G$8:$G$10000,"="&amp;R47))+(SUMIFS('[1]1_inventory_totals'!$J$8:$J$10000,'[1]1_inventory_totals'!$C$8:$C$10000,I47,'[1]1_inventory_totals'!$F$8:$F$10000,"="&amp;Q47,'[1]1_inventory_totals'!$G$8:$G$10000,"="&amp;R47)+SUMIFS('[1]1_inventory_totals'!$K$8:$K$10000,'[1]1_inventory_totals'!$C$8:$C$10000,I47,'[1]1_inventory_totals'!$F$8:$F$10000,"="&amp;Q47,'[1]1_inventory_totals'!$G$8:$G$10000,"="&amp;R47)+SUMIFS('[1]1_inventory_totals'!$L$8:$L$10000,'[1]1_inventory_totals'!$C$8:$C$10000,I47,'[1]1_inventory_totals'!$F$8:$F$10000,"="&amp;Q47,'[1]1_inventory_totals'!$G$8:$G$10000,"="&amp;R47)+SUMIFS('[1]1_inventory_totals'!$M$8:$M$10000,'[1]1_inventory_totals'!$C$8:$C$10000,I47,'[1]1_inventory_totals'!$F$8:$F$10000,"="&amp;Q47,'[1]1_inventory_totals'!$G$8:$G$10000,"="&amp;R47)+SUMIFS('[1]1_inventory_totals'!$O$8:$O$10000,'[1]1_inventory_totals'!$C$8:$C$10000,I47,'[1]1_inventory_totals'!$F$8:$F$10000,"="&amp;Q47,'[1]1_inventory_totals'!$G$8:$G$10000,"="&amp;R47)+SUMIFS('[1]1_inventory_totals'!$S$8:$S$10000,'[1]1_inventory_totals'!$C$8:$C$10000,I47,'[1]1_inventory_totals'!$F$8:$F$10000,"="&amp;Q47,'[1]1_inventory_totals'!$G$8:$G$10000,"="&amp;R47)))</f>
        <v/>
      </c>
      <c r="BB47" s="197" t="str">
        <f>IF(M47="","",(SUMIFS('[1]2_inventory_totals'!$I$8:$I$10000,'[1]2_inventory_totals'!$C$8:$C$10000,I47,'[1]2_inventory_totals'!$F$8:$F$10000,"="&amp;Q47,'[1]2_inventory_totals'!$G$8:$G$10000,"="&amp;R47)+SUMIFS('[1]2_inventory_totals'!$N$8:$N$10000,'[1]2_inventory_totals'!$C$8:$C$10000,I47,'[1]2_inventory_totals'!$F$8:$F$10000,"="&amp;Q47,'[1]2_inventory_totals'!$G$8:$G$10000,"="&amp;R47)+SUMIFS('[1]2_inventory_totals'!$P$8:$P$10000,'[1]2_inventory_totals'!$C$8:$C$10000,I47,'[1]2_inventory_totals'!$F$8:$F$10000,"="&amp;Q47,'[1]2_inventory_totals'!$G$8:$G$10000,"="&amp;R47)+SUMIFS('[1]2_inventory_totals'!$Q$8:$Q$10000,'[1]2_inventory_totals'!$C$8:$C$10000,I47,'[1]2_inventory_totals'!$F$8:$F$10000,"="&amp;Q47,'[1]2_inventory_totals'!$G$8:$G$10000,"="&amp;R47)+SUMIFS('[1]2_inventory_totals'!$R$8:$R$10000,'[1]2_inventory_totals'!$C$8:$C$10000,I47,'[1]2_inventory_totals'!$F$8:$F$10000,"="&amp;Q47,'[1]2_inventory_totals'!$G$8:$G$10000,"="&amp;R47))+(SUMIFS('[1]2_inventory_totals'!$J$8:$J$10000,'[1]2_inventory_totals'!$C$8:$C$10000,I47,'[1]2_inventory_totals'!$F$8:$F$10000,"="&amp;Q47,'[1]2_inventory_totals'!$G$8:$G$10000,"="&amp;R47)+SUMIFS('[1]2_inventory_totals'!$K$8:$K$10000,'[1]2_inventory_totals'!$C$8:$C$10000,I47,'[1]2_inventory_totals'!$F$8:$F$10000,"="&amp;Q47,'[1]2_inventory_totals'!$G$8:$G$10000,"="&amp;R47)+SUMIFS('[1]2_inventory_totals'!$L$8:$L$10000,'[1]2_inventory_totals'!$C$8:$C$10000,I47,'[1]2_inventory_totals'!$F$8:$F$10000,"="&amp;Q47,'[1]2_inventory_totals'!$G$8:$G$10000,"="&amp;R47)+SUMIFS('[1]2_inventory_totals'!$M$8:$M$10000,'[1]2_inventory_totals'!$C$8:$C$10000,I47,'[1]2_inventory_totals'!$F$8:$F$10000,"="&amp;Q47,'[1]2_inventory_totals'!$G$8:$G$10000,"="&amp;R47)+SUMIFS('[1]2_inventory_totals'!$O$8:$O$10000,'[1]2_inventory_totals'!$C$8:$C$10000,I47,'[1]2_inventory_totals'!$F$8:$F$10000,"="&amp;Q47,'[1]2_inventory_totals'!$G$8:$G$10000,"="&amp;R47)+SUMIFS('[1]2_inventory_totals'!$S$8:$S$10000,'[1]2_inventory_totals'!$C$8:$C$10000,I47,'[1]2_inventory_totals'!$F$8:$F$10000,"="&amp;Q47,'[1]2_inventory_totals'!$G$8:$G$10000,"="&amp;R47)))</f>
        <v/>
      </c>
    </row>
    <row r="48" spans="1:54" ht="27" hidden="1" customHeight="1">
      <c r="A48" s="923"/>
      <c r="B48" s="1251"/>
      <c r="C48" s="1268"/>
      <c r="D48" s="950"/>
      <c r="E48" s="950"/>
      <c r="F48" s="1262"/>
      <c r="I48" s="1610" t="str">
        <f t="shared" si="10"/>
        <v/>
      </c>
      <c r="J48" s="1611" t="str">
        <f t="shared" si="112"/>
        <v/>
      </c>
      <c r="K48" s="1612" t="str">
        <f t="shared" si="30"/>
        <v/>
      </c>
      <c r="L48" s="1613"/>
      <c r="M48" s="883"/>
      <c r="N48" s="884"/>
      <c r="O48" s="884"/>
      <c r="P48" s="885"/>
      <c r="Q48" s="886"/>
      <c r="R48" s="891"/>
      <c r="S48" s="1614" t="str">
        <f t="shared" ref="S48" si="182">IF(M48="","",quot_currency_symbol)</f>
        <v/>
      </c>
      <c r="T48" s="888"/>
      <c r="U48" s="1650" t="str">
        <f t="shared" si="13"/>
        <v/>
      </c>
      <c r="V48" s="1615" t="str">
        <f t="shared" ref="V48" si="183">IF(W48=0,"",quot_currency_symbol)</f>
        <v/>
      </c>
      <c r="W48" s="889"/>
      <c r="X48" s="1615" t="str">
        <f t="shared" ref="X48" si="184">IF(M48="","",quot_currency_symbol)</f>
        <v/>
      </c>
      <c r="Y48" s="1616" t="str">
        <f t="shared" si="34"/>
        <v/>
      </c>
      <c r="Z48" s="890"/>
      <c r="AA48" s="197" t="str" cm="1">
        <f t="array" ref="AA48">IF(M48="","",IF(P48=AN48,1,Slookup(MID(AN48,1,3)*1,UomConversion!$D$8:$J$500,5,UomConversion!$E$8:$E$500,MID(P48,1,3)*1,UomConversion!$J$8:$J$500,1)))</f>
        <v/>
      </c>
      <c r="AB48" s="197" t="str">
        <f t="shared" si="3"/>
        <v/>
      </c>
      <c r="AC48" s="197" t="str">
        <f t="shared" si="17"/>
        <v/>
      </c>
      <c r="AD48" s="197" t="str">
        <f t="shared" si="18"/>
        <v/>
      </c>
      <c r="AE48" s="197" t="str">
        <f t="shared" si="19"/>
        <v/>
      </c>
      <c r="AF48" s="197" t="str">
        <f t="shared" si="152"/>
        <v/>
      </c>
      <c r="AG48" s="197" t="str">
        <f t="shared" si="6"/>
        <v/>
      </c>
      <c r="AH48" s="197" t="str">
        <f>IF(I48="","",IF(ISNA(MATCH(I48,IF(quot_location_id=1,'[1]1_inventory_totals'!$C$8:$C$10000,IF(quot_location_id=2,'[1]2_inventory_totals'!$C$8:$C$10000,0)),0)),0,IF(AV48&gt;0,1,0)))</f>
        <v/>
      </c>
      <c r="AI48" s="197" t="str">
        <f>IF(M48="","",IF(quot_location_id=1,SUMIFS('[1]1_inventory_total_details'!$J$8:$J$10000,'[1]1_inventory_total_details'!$C$8:$C$10000,I48,'[1]1_inventory_total_details'!$F$8:$F$10000,quot_location_id,'[1]1_inventory_total_details'!$G$8:$G$10000,"="&amp;Q48,'[1]1_inventory_total_details'!$H$8:$H$10000,"="&amp;R48,'[1]1_inventory_total_details'!$I$8:$I$10000,"="&amp;quot_date)+SUMIFS('[1]1_inventory_total_details'!$M$8:$M$10000,'[1]1_inventory_total_details'!$C$8:$C$10000,I48,'[1]1_inventory_total_details'!$F$8:$F$10000,quot_location_id,'[1]1_inventory_total_details'!$G$8:$G$10000,"="&amp;Q48,'[1]1_inventory_total_details'!$H$8:$H$10000,"="&amp;R48,'[1]1_inventory_total_details'!$I$8:$I$10000,"="&amp;quot_date)+SUMIFS('[1]1_inventory_total_details'!$K$8:$K$10000,'[1]1_inventory_total_details'!$C$8:$C$10000,I48,'[1]1_inventory_total_details'!$F$8:$F$10000,quot_location_id,'[1]1_inventory_total_details'!$G$8:$G$10000,"="&amp;Q48,'[1]1_inventory_total_details'!$H$8:$H$10000,"="&amp;R48,'[1]1_inventory_total_details'!$I$8:$I$10000,"="&amp;quot_date)+SUMIFS('[1]1_inventory_total_details'!$L$8:$L$10000,'[1]1_inventory_total_details'!$C$8:$C$10000,I48,'[1]1_inventory_total_details'!$F$8:$F$10000,quot_location_id,'[1]1_inventory_total_details'!$G$8:$G$10000,"="&amp;Q48,'[1]1_inventory_total_details'!$H$8:$H$10000,"="&amp;R48,'[1]1_inventory_total_details'!$I$8:$I$10000,"="&amp;quot_date),SUMIFS('[1]2_inventory_total_details'!$J$8:$J$10000,'[1]2_inventory_total_details'!$C$8:$C$10000,I48,'[1]2_inventory_total_details'!$F$8:$F$10000,quot_location_id,'[1]2_inventory_total_details'!$G$8:$G$10000,"="&amp;Q48,'[1]2_inventory_total_details'!$H$8:$H$10000,"="&amp;R48,'[1]2_inventory_total_details'!$I$8:$I$10000,"="&amp;quot_date)+SUMIFS('[1]2_inventory_total_details'!$M$8:$M$10000,'[1]2_inventory_total_details'!$C$8:$C$10000,I48,'[1]2_inventory_total_details'!$F$8:$F$10000,quot_location_id,'[1]2_inventory_total_details'!$G$8:$G$10000,"="&amp;Q48,'[1]2_inventory_total_details'!$H$8:$H$10000,"="&amp;R48,'[1]2_inventory_total_details'!$I$8:$I$10000,"="&amp;quot_date)+SUMIFS('[1]2_inventory_total_details'!$K$8:$K$10000,'[1]2_inventory_total_details'!$C$8:$C$10000,I48,'[1]2_inventory_total_details'!$F$8:$F$10000,quot_location_id,'[1]2_inventory_total_details'!$G$8:$G$10000,"="&amp;Q48,'[1]2_inventory_total_details'!$H$8:$H$10000,"="&amp;R48,'[1]2_inventory_total_details'!$I$8:$I$10000,"="&amp;quot_date)+SUMIFS('[1]2_inventory_total_details'!$L$8:$L$10000,'[1]2_inventory_total_details'!$C$8:$C$10000,I48,'[1]2_inventory_total_details'!$F$8:$F$10000,quot_location_id,'[1]2_inventory_total_details'!$G$8:$G$10000,"="&amp;Q48,'[1]2_inventory_total_details'!$H$8:$H$10000,"="&amp;R48,'[1]2_inventory_total_details'!$I$8:$I$10000,"="&amp;quot_date)))</f>
        <v/>
      </c>
      <c r="AJ48" s="197" t="str">
        <f>IF(M48="","",IF(ISNA(MATCH(I48,'[1]1_group_totals'!$C$8:$C$10000)),0,IF(AW48&gt;0,1,0)))</f>
        <v/>
      </c>
      <c r="AK48" s="197" t="str">
        <f>IF(M48="","",(SUMIFS('[1]1_group_total_details'!$I$8:$I$10000,'[1]1_group_total_details'!$C$8:$C$10000,I48,'[1]1_group_total_details'!$F$8:$F$10000,quot_location_group_id,'[1]1_group_total_details'!$G$8:$G$10000,quot_location_id,'[1]1_group_total_details'!$H$8:$H$10000,"="&amp;quot_date)+SUMIFS('[1]1_group_total_details'!$L$8:$L$10000,'[1]1_group_total_details'!$C$8:$C$10000,I48,'[1]1_group_total_details'!$F$8:$F$10000,quot_location_group_id,'[1]1_group_total_details'!$G$8:$G$10000,quot_location_id,'[1]1_group_total_details'!$H$8:$H$10000,"="&amp;quot_date)+SUMIFS('[1]1_group_total_details'!$N$8:$N$10000,'[1]1_group_total_details'!$C$8:$C$10000,I48,'[1]1_group_total_details'!$F$8:$F$10000,quot_location_group_id,'[1]1_group_total_details'!$G$8:$G$10000,quot_location_id,'[1]1_group_total_details'!$H$8:$H$10000,"="&amp;quot_date)+SUMIFS('[1]1_group_total_details'!$O$8:$O$10000,'[1]1_group_total_details'!$C$8:$C$10000,I48,'[1]1_group_total_details'!$F$8:$F$10000,quot_location_group_id,'[1]1_group_total_details'!$G$8:$G$10000,quot_location_id,'[1]1_group_total_details'!$H$8:$H$10000,"="&amp;quot_date))+(SUMIFS('[1]1_group_total_details'!$J$8:$J$10000,'[1]1_group_total_details'!$C$8:$C$10000,I48,'[1]1_group_total_details'!$F$8:$F$10000,quot_location_group_id,'[1]1_group_total_details'!$G$8:$G$10000,quot_location_id,'[1]1_group_total_details'!$H$8:$H$10000,"="&amp;quot_date)+SUMIFS('[1]1_group_total_details'!$K$8:$K$10000,'[1]1_group_total_details'!$C$8:$C$10000,I48,'[1]1_group_total_details'!$F$8:$F$10000,quot_location_group_id,'[1]1_group_total_details'!$G$8:$G$10000,quot_location_id,'[1]1_group_total_details'!$H$8:$H$10000,"="&amp;quot_date)+SUMIFS('[1]1_group_total_details'!$M$8:$M$10000,'[1]1_group_total_details'!$C$8:$C$10000,I48,'[1]1_group_total_details'!$F$8:$F$10000,quot_location_group_id,'[1]1_group_total_details'!$G$8:$G$10000,quot_location_id,'[1]1_group_total_details'!$H$8:$H$10000,"="&amp;quot_date)+SUMIFS('[1]1_group_total_details'!$P$8:$P$10000,'[1]1_group_total_details'!$C$8:$C$10000,I48,'[1]1_group_total_details'!$F$8:$F$10000,quot_location_group_id,'[1]1_group_total_details'!$G$8:$G$10000,quot_location_id,'[1]1_group_total_details'!$H$8:$H$10000,"="&amp;quot_date)))</f>
        <v/>
      </c>
      <c r="AL48" s="197" t="str">
        <f>IF(M48="","",(SUMIFS('[1]1_group_total_details'!$I$8:$I$10000,'[1]1_group_total_details'!$C$8:$C$10000,I48,'[1]1_group_total_details'!$F$8:$F$10000,quot_location_group_id,'[1]1_group_total_details'!$G$8:$G$10000,quot_location_id,'[1]1_group_total_details'!$H$8:$H$10000,"&lt;="&amp;quot_date)+SUMIFS('[1]1_group_total_details'!$L$8:$L$10000,'[1]1_group_total_details'!$C$8:$C$10000,I48,'[1]1_group_total_details'!$F$8:$F$10000,quot_location_group_id,'[1]1_group_total_details'!$G$8:$G$10000,1,'[1]1_group_total_details'!$H$8:$H$10000,"&lt;="&amp;quot_date)+SUMIFS('[1]1_group_total_details'!$N$8:$N$10000,'[1]1_group_total_details'!$C$8:$C$10000,I48,'[1]1_group_total_details'!$F$8:$F$10000,quot_location_group_id,'[1]1_group_total_details'!$G$8:$G$10000,quot_location_id,'[1]1_group_total_details'!$H$8:$H$10000,"&lt;="&amp;quot_date)+SUMIFS('[1]1_group_total_details'!$O$8:$O$10000,'[1]1_group_total_details'!$C$8:$C$10000,I48,'[1]1_group_total_details'!$F$8:$F$10000,quot_location_group_id,'[1]1_group_total_details'!$G$8:$G$10000,quot_location_id,'[1]1_group_total_details'!$H$8:$H$10000,"&lt;="&amp;quot_date))-(SUMIFS('[1]1_group_total_details'!$J$8:$J$10000,'[1]1_group_total_details'!$C$8:$C$10000,I48,'[1]1_group_total_details'!$F$8:$F$10000,quot_location_group_id,'[1]1_group_total_details'!$G$8:$G$10000,quot_location_id,'[1]1_group_total_details'!$H$8:$H$10000,"&lt;="&amp;quot_date)+SUMIFS('[1]1_group_total_details'!$K$8:$K$10000,'[1]1_group_total_details'!$C$8:$C$10000,I48,'[1]1_group_total_details'!$F$8:$F$10000,quot_location_group_id,'[1]1_group_total_details'!$G$8:$G$10000,quot_location_id,'[1]1_group_total_details'!$H$8:$H$10000,"&lt;="&amp;quot_date)+SUMIFS('[1]1_group_total_details'!$M$8:$M$10000,'[1]1_group_total_details'!$C$8:$C$10000,I48,'[1]1_group_total_details'!$F$8:$F$10000,quot_location_group_id,'[1]1_group_total_details'!$G$8:$G$10000,quot_location_id,'[1]1_group_total_details'!$H$8:$H$10000,"&lt;="&amp;quot_date)+SUMIFS('[1]1_group_total_details'!$P$8:$P$10000,'[1]1_group_total_details'!$C$8:$C$10000,I48,'[1]1_group_total_details'!$F$8:$F$10000,quot_location_group_id,'[1]1_group_total_details'!$G$8:$G$10000,quot_location_id,'[1]1_group_total_details'!$H$8:$H$10000,"&lt;="&amp;quot_date)))</f>
        <v/>
      </c>
      <c r="AM48" s="197" t="str">
        <f>IF(M48="","",SUMIFS('[1]1_group_totals'!$J$8:$J$10000,'[1]1_group_totals'!$C$8:$C$10000,I48,'[1]1_group_totals'!$F$8:$F$10000,quot_location_group_id,'[1]1_group_totals'!$G$8:$G$10000,quot_location_id,'[1]1_group_totals'!$H$8:$H$10000,"="&amp;Q48,'[1]1_group_totals'!$I$8:$I$10000,"="&amp;R48))</f>
        <v/>
      </c>
      <c r="AN48" s="197" t="str">
        <f t="shared" si="7"/>
        <v/>
      </c>
      <c r="AO48" s="197" t="str">
        <f>IF(OR(ISNA(MATCH(MID(AN48,1,3)*1,UomConversion!$D$8:$D$500,0)),M48=""),"",IF(AT48="","",AT48))</f>
        <v/>
      </c>
      <c r="AP48" s="197" t="str">
        <f>IF(AND(AQ48&gt;0,COUNTIFS(UomConversion!$D$8:$D$500,MID(AN48,1,3)*1,UomConversion!$J$8:$J$500,1)&gt;1),TEXT(AQ48,"000")&amp;"."&amp;VLOOKUP(AQ48,uom_list,5,FALSE),"")</f>
        <v/>
      </c>
      <c r="AQ48" s="197" t="str">
        <f t="shared" si="20"/>
        <v/>
      </c>
      <c r="AR48" s="197" t="str">
        <f t="shared" si="21"/>
        <v/>
      </c>
      <c r="AS48" s="197" t="str">
        <f>IF(M48="","",SUMIFS(ProductPrice!$N$28:$N$10020,ProductPrice!$D$28:$D$10020,I48,ProductPrice!$G$28:$G$10020,quot_branch_id,ProductPrice!$H$28:$H$10020,quot_price_type_id,ProductPrice!$I$28:$I$10020,MID(P48,1,3)*1,ProductPrice!$Q$28:$Q$10020,1))</f>
        <v/>
      </c>
      <c r="AT48" s="197" t="str">
        <f t="shared" si="8"/>
        <v/>
      </c>
      <c r="AU48" s="197" t="str" cm="1">
        <f t="array" ref="AU48">IF(M48="","",IF(ISNA(Slookup(MID(AN48,1,3)*1,UomConversion!$D$8:$J$500,2,UomConversion!$I$8:$I$500,1,UomConversion!$J$8:$J$500,1)),"",Slookup(MID(AN48,1,3)*1,UomConversion!$D$8:$J$500,2,UomConversion!$I$8:$I$500,1,UomConversion!$J$8:$J$500,1)))</f>
        <v/>
      </c>
      <c r="AV48" s="197" t="str">
        <f t="shared" ref="AV48" si="185">IF(M48="","",IF(quot_location_id=1,BA48,IF(quot_location_id=2,BB48,0)))</f>
        <v/>
      </c>
      <c r="AW48" s="197" t="str">
        <f>IF(M48="","",(SUMIFS('[1]1_group_totals'!$K$8:$K$10000,'[1]1_group_totals'!$C$8:$C$10000,I48,'[1]1_group_totals'!$F$8:$F$10000,quot_location_group_id,'[1]1_group_totals'!$G$8:$G$10000,quot_location_id,'[1]1_group_totals'!$H$8:$H$10000,"="&amp;Q48,'[1]1_group_totals'!$I$8:$I$10000,"="&amp;R48)+SUMIFS('[1]1_group_totals'!$N$8:$N$10000,'[1]1_group_totals'!$C$8:$C$10000,I48,'[1]1_group_totals'!$F$8:$F$10000,quot_location_group_id,'[1]1_group_totals'!$G$8:$G$10000,quot_location_id,'[1]1_group_totals'!$H$8:$H$10000,"="&amp;Q48,'[1]1_group_totals'!$I$8:$I$10000,"="&amp;R48)+SUMIFS('[1]1_group_totals'!$P$8:$P$10000,'[1]1_group_totals'!$C$8:$C$10000,I48,'[1]1_group_totals'!$F$8:$F$10000,quot_location_group_id,'[1]1_group_totals'!$G$8:$G$10000,quot_location_id,'[1]1_group_totals'!$H$8:$H$10000,"="&amp;Q48,'[1]1_group_totals'!$I$8:$I$10000,"="&amp;R48)+SUMIFS('[1]1_group_totals'!$Q$8:$Q$10000,'[1]1_group_totals'!$C$8:$C$10000,I48,'[1]1_group_totals'!$F$8:$F$10000,quot_location_group_id,'[1]1_group_totals'!$G$8:$G$10000,quot_location_id,'[1]1_group_totals'!$H$8:$H$10000,"="&amp;Q48,'[1]1_group_totals'!$I$8:$I$10000,"="&amp;R48))+(SUMIFS('[1]1_group_totals'!$L$8:$L$10000,'[1]1_group_totals'!$C$8:$C$10000,I48,'[1]1_group_totals'!$F$8:$F$10000,quot_location_group_id,'[1]1_group_totals'!$G$8:$G$10000,quot_location_id,'[1]1_group_totals'!$H$8:$H$10000,"="&amp;Q48,'[1]1_group_totals'!$I$8:$I$10000,"="&amp;R48)+SUMIFS('[1]1_group_totals'!$M$8:$M$10000,'[1]1_group_totals'!$C$8:$C$10000,I48,'[1]1_group_totals'!$F$8:$F$10000,quot_location_group_id,'[1]1_group_totals'!$G$8:$G$10000,quot_location_id,'[1]1_group_totals'!$H$8:$H$10000,"="&amp;Q48,'[1]1_group_totals'!$I$8:$I$10000,"="&amp;R48)+SUMIFS('[1]1_group_totals'!$O$8:$O$10000,'[1]1_group_totals'!$C$8:$C$10000,I48,'[1]1_group_totals'!$F$8:$F$10000,quot_location_group_id,'[1]1_group_totals'!$G$8:$G$10000,quot_location_id,'[1]1_group_totals'!$H$8:$H$10000,"="&amp;Q48,'[1]1_group_totals'!$I$8:$I$10000,"="&amp;R48)+SUMIFS('[1]1_group_totals'!$R$8:$R$10000,'[1]1_group_totals'!$C$8:$C$10000,I48,'[1]1_group_totals'!$F$8:$F$10000,quot_location_group_id,'[1]1_group_totals'!$G$8:$G$10000,quot_location_id,'[1]1_group_totals'!$H$8:$H$10000,"="&amp;Q48,'[1]1_group_totals'!$I$8:$I$10000,"="&amp;R48)))</f>
        <v/>
      </c>
      <c r="AX48" s="197" t="str">
        <f t="shared" si="23"/>
        <v/>
      </c>
      <c r="AY48" s="197" t="str">
        <f>IF(M48="","",SUMIFS($AX$8:AX48,$I$8:I48,I48))</f>
        <v/>
      </c>
      <c r="AZ48" s="197" t="str">
        <f t="shared" si="24"/>
        <v/>
      </c>
      <c r="BA48" s="197" t="str">
        <f>IF(M48="","",(SUMIFS('[1]1_inventory_totals'!$I$8:$I$10000,'[1]1_inventory_totals'!$C$8:$C$10000,I48,'[1]1_inventory_totals'!$F$8:$F$10000,"="&amp;Q48,'[1]1_inventory_totals'!$G$8:$G$10000,"="&amp;R48)+SUMIFS('[1]1_inventory_totals'!$N$8:$N$10000,'[1]1_inventory_totals'!$C$8:$C$10000,I48,'[1]1_inventory_totals'!$F$8:$F$10000,"="&amp;Q48,'[1]1_inventory_totals'!$G$8:$G$10000,"="&amp;R48)+SUMIFS('[1]1_inventory_totals'!$P$8:$P$10000,'[1]1_inventory_totals'!$C$8:$C$10000,I48,'[1]1_inventory_totals'!$F$8:$F$10000,"="&amp;Q48,'[1]1_inventory_totals'!$G$8:$G$10000,"="&amp;R48)+SUMIFS('[1]1_inventory_totals'!$Q$8:$Q$10000,'[1]1_inventory_totals'!$C$8:$C$10000,I48,'[1]1_inventory_totals'!$F$8:$F$10000,"="&amp;Q48,'[1]1_inventory_totals'!$G$8:$G$10000,"="&amp;R48)+SUMIFS('[1]1_inventory_totals'!$R$8:$R$10000,'[1]1_inventory_totals'!$C$8:$C$10000,I48,'[1]1_inventory_totals'!$F$8:$F$10000,"="&amp;Q48,'[1]1_inventory_totals'!$G$8:$G$10000,"="&amp;R48))+(SUMIFS('[1]1_inventory_totals'!$J$8:$J$10000,'[1]1_inventory_totals'!$C$8:$C$10000,I48,'[1]1_inventory_totals'!$F$8:$F$10000,"="&amp;Q48,'[1]1_inventory_totals'!$G$8:$G$10000,"="&amp;R48)+SUMIFS('[1]1_inventory_totals'!$K$8:$K$10000,'[1]1_inventory_totals'!$C$8:$C$10000,I48,'[1]1_inventory_totals'!$F$8:$F$10000,"="&amp;Q48,'[1]1_inventory_totals'!$G$8:$G$10000,"="&amp;R48)+SUMIFS('[1]1_inventory_totals'!$L$8:$L$10000,'[1]1_inventory_totals'!$C$8:$C$10000,I48,'[1]1_inventory_totals'!$F$8:$F$10000,"="&amp;Q48,'[1]1_inventory_totals'!$G$8:$G$10000,"="&amp;R48)+SUMIFS('[1]1_inventory_totals'!$M$8:$M$10000,'[1]1_inventory_totals'!$C$8:$C$10000,I48,'[1]1_inventory_totals'!$F$8:$F$10000,"="&amp;Q48,'[1]1_inventory_totals'!$G$8:$G$10000,"="&amp;R48)+SUMIFS('[1]1_inventory_totals'!$O$8:$O$10000,'[1]1_inventory_totals'!$C$8:$C$10000,I48,'[1]1_inventory_totals'!$F$8:$F$10000,"="&amp;Q48,'[1]1_inventory_totals'!$G$8:$G$10000,"="&amp;R48)+SUMIFS('[1]1_inventory_totals'!$S$8:$S$10000,'[1]1_inventory_totals'!$C$8:$C$10000,I48,'[1]1_inventory_totals'!$F$8:$F$10000,"="&amp;Q48,'[1]1_inventory_totals'!$G$8:$G$10000,"="&amp;R48)))</f>
        <v/>
      </c>
      <c r="BB48" s="197" t="str">
        <f>IF(M48="","",(SUMIFS('[1]2_inventory_totals'!$I$8:$I$10000,'[1]2_inventory_totals'!$C$8:$C$10000,I48,'[1]2_inventory_totals'!$F$8:$F$10000,"="&amp;Q48,'[1]2_inventory_totals'!$G$8:$G$10000,"="&amp;R48)+SUMIFS('[1]2_inventory_totals'!$N$8:$N$10000,'[1]2_inventory_totals'!$C$8:$C$10000,I48,'[1]2_inventory_totals'!$F$8:$F$10000,"="&amp;Q48,'[1]2_inventory_totals'!$G$8:$G$10000,"="&amp;R48)+SUMIFS('[1]2_inventory_totals'!$P$8:$P$10000,'[1]2_inventory_totals'!$C$8:$C$10000,I48,'[1]2_inventory_totals'!$F$8:$F$10000,"="&amp;Q48,'[1]2_inventory_totals'!$G$8:$G$10000,"="&amp;R48)+SUMIFS('[1]2_inventory_totals'!$Q$8:$Q$10000,'[1]2_inventory_totals'!$C$8:$C$10000,I48,'[1]2_inventory_totals'!$F$8:$F$10000,"="&amp;Q48,'[1]2_inventory_totals'!$G$8:$G$10000,"="&amp;R48)+SUMIFS('[1]2_inventory_totals'!$R$8:$R$10000,'[1]2_inventory_totals'!$C$8:$C$10000,I48,'[1]2_inventory_totals'!$F$8:$F$10000,"="&amp;Q48,'[1]2_inventory_totals'!$G$8:$G$10000,"="&amp;R48))+(SUMIFS('[1]2_inventory_totals'!$J$8:$J$10000,'[1]2_inventory_totals'!$C$8:$C$10000,I48,'[1]2_inventory_totals'!$F$8:$F$10000,"="&amp;Q48,'[1]2_inventory_totals'!$G$8:$G$10000,"="&amp;R48)+SUMIFS('[1]2_inventory_totals'!$K$8:$K$10000,'[1]2_inventory_totals'!$C$8:$C$10000,I48,'[1]2_inventory_totals'!$F$8:$F$10000,"="&amp;Q48,'[1]2_inventory_totals'!$G$8:$G$10000,"="&amp;R48)+SUMIFS('[1]2_inventory_totals'!$L$8:$L$10000,'[1]2_inventory_totals'!$C$8:$C$10000,I48,'[1]2_inventory_totals'!$F$8:$F$10000,"="&amp;Q48,'[1]2_inventory_totals'!$G$8:$G$10000,"="&amp;R48)+SUMIFS('[1]2_inventory_totals'!$M$8:$M$10000,'[1]2_inventory_totals'!$C$8:$C$10000,I48,'[1]2_inventory_totals'!$F$8:$F$10000,"="&amp;Q48,'[1]2_inventory_totals'!$G$8:$G$10000,"="&amp;R48)+SUMIFS('[1]2_inventory_totals'!$O$8:$O$10000,'[1]2_inventory_totals'!$C$8:$C$10000,I48,'[1]2_inventory_totals'!$F$8:$F$10000,"="&amp;Q48,'[1]2_inventory_totals'!$G$8:$G$10000,"="&amp;R48)+SUMIFS('[1]2_inventory_totals'!$S$8:$S$10000,'[1]2_inventory_totals'!$C$8:$C$10000,I48,'[1]2_inventory_totals'!$F$8:$F$10000,"="&amp;Q48,'[1]2_inventory_totals'!$G$8:$G$10000,"="&amp;R48)))</f>
        <v/>
      </c>
    </row>
    <row r="49" spans="1:54" ht="27" hidden="1" customHeight="1">
      <c r="A49" s="923"/>
      <c r="B49" s="1251"/>
      <c r="C49" s="1268"/>
      <c r="D49" s="950"/>
      <c r="E49" s="950"/>
      <c r="F49" s="1262"/>
      <c r="I49" s="1610" t="str">
        <f t="shared" si="10"/>
        <v/>
      </c>
      <c r="J49" s="1611" t="str">
        <f t="shared" si="112"/>
        <v/>
      </c>
      <c r="K49" s="1612" t="str">
        <f t="shared" si="30"/>
        <v/>
      </c>
      <c r="L49" s="1613"/>
      <c r="M49" s="883"/>
      <c r="N49" s="884"/>
      <c r="O49" s="884"/>
      <c r="P49" s="885"/>
      <c r="Q49" s="886"/>
      <c r="R49" s="891"/>
      <c r="S49" s="1614" t="str">
        <f t="shared" ref="S49" si="186">IF(M49="","",quot_currency_symbol)</f>
        <v/>
      </c>
      <c r="T49" s="888"/>
      <c r="U49" s="1650" t="str">
        <f t="shared" si="13"/>
        <v/>
      </c>
      <c r="V49" s="1615" t="str">
        <f t="shared" ref="V49" si="187">IF(W49=0,"",quot_currency_symbol)</f>
        <v/>
      </c>
      <c r="W49" s="889"/>
      <c r="X49" s="1615" t="str">
        <f t="shared" ref="X49" si="188">IF(M49="","",quot_currency_symbol)</f>
        <v/>
      </c>
      <c r="Y49" s="1616" t="str">
        <f t="shared" si="34"/>
        <v/>
      </c>
      <c r="Z49" s="890"/>
      <c r="AA49" s="197" t="str" cm="1">
        <f t="array" ref="AA49">IF(M49="","",IF(P49=AN49,1,Slookup(MID(AN49,1,3)*1,UomConversion!$D$8:$J$500,5,UomConversion!$E$8:$E$500,MID(P49,1,3)*1,UomConversion!$J$8:$J$500,1)))</f>
        <v/>
      </c>
      <c r="AB49" s="197" t="str">
        <f t="shared" si="3"/>
        <v/>
      </c>
      <c r="AC49" s="197" t="str">
        <f t="shared" si="17"/>
        <v/>
      </c>
      <c r="AD49" s="197" t="str">
        <f t="shared" si="18"/>
        <v/>
      </c>
      <c r="AE49" s="197" t="str">
        <f t="shared" si="19"/>
        <v/>
      </c>
      <c r="AF49" s="197" t="str">
        <f t="shared" si="152"/>
        <v/>
      </c>
      <c r="AG49" s="197" t="str">
        <f t="shared" si="6"/>
        <v/>
      </c>
      <c r="AH49" s="197" t="str">
        <f>IF(I49="","",IF(ISNA(MATCH(I49,IF(quot_location_id=1,'[1]1_inventory_totals'!$C$8:$C$10000,IF(quot_location_id=2,'[1]2_inventory_totals'!$C$8:$C$10000,0)),0)),0,IF(AV49&gt;0,1,0)))</f>
        <v/>
      </c>
      <c r="AI49" s="197" t="str">
        <f>IF(M49="","",IF(quot_location_id=1,SUMIFS('[1]1_inventory_total_details'!$J$8:$J$10000,'[1]1_inventory_total_details'!$C$8:$C$10000,I49,'[1]1_inventory_total_details'!$F$8:$F$10000,quot_location_id,'[1]1_inventory_total_details'!$G$8:$G$10000,"="&amp;Q49,'[1]1_inventory_total_details'!$H$8:$H$10000,"="&amp;R49,'[1]1_inventory_total_details'!$I$8:$I$10000,"="&amp;quot_date)+SUMIFS('[1]1_inventory_total_details'!$M$8:$M$10000,'[1]1_inventory_total_details'!$C$8:$C$10000,I49,'[1]1_inventory_total_details'!$F$8:$F$10000,quot_location_id,'[1]1_inventory_total_details'!$G$8:$G$10000,"="&amp;Q49,'[1]1_inventory_total_details'!$H$8:$H$10000,"="&amp;R49,'[1]1_inventory_total_details'!$I$8:$I$10000,"="&amp;quot_date)+SUMIFS('[1]1_inventory_total_details'!$K$8:$K$10000,'[1]1_inventory_total_details'!$C$8:$C$10000,I49,'[1]1_inventory_total_details'!$F$8:$F$10000,quot_location_id,'[1]1_inventory_total_details'!$G$8:$G$10000,"="&amp;Q49,'[1]1_inventory_total_details'!$H$8:$H$10000,"="&amp;R49,'[1]1_inventory_total_details'!$I$8:$I$10000,"="&amp;quot_date)+SUMIFS('[1]1_inventory_total_details'!$L$8:$L$10000,'[1]1_inventory_total_details'!$C$8:$C$10000,I49,'[1]1_inventory_total_details'!$F$8:$F$10000,quot_location_id,'[1]1_inventory_total_details'!$G$8:$G$10000,"="&amp;Q49,'[1]1_inventory_total_details'!$H$8:$H$10000,"="&amp;R49,'[1]1_inventory_total_details'!$I$8:$I$10000,"="&amp;quot_date),SUMIFS('[1]2_inventory_total_details'!$J$8:$J$10000,'[1]2_inventory_total_details'!$C$8:$C$10000,I49,'[1]2_inventory_total_details'!$F$8:$F$10000,quot_location_id,'[1]2_inventory_total_details'!$G$8:$G$10000,"="&amp;Q49,'[1]2_inventory_total_details'!$H$8:$H$10000,"="&amp;R49,'[1]2_inventory_total_details'!$I$8:$I$10000,"="&amp;quot_date)+SUMIFS('[1]2_inventory_total_details'!$M$8:$M$10000,'[1]2_inventory_total_details'!$C$8:$C$10000,I49,'[1]2_inventory_total_details'!$F$8:$F$10000,quot_location_id,'[1]2_inventory_total_details'!$G$8:$G$10000,"="&amp;Q49,'[1]2_inventory_total_details'!$H$8:$H$10000,"="&amp;R49,'[1]2_inventory_total_details'!$I$8:$I$10000,"="&amp;quot_date)+SUMIFS('[1]2_inventory_total_details'!$K$8:$K$10000,'[1]2_inventory_total_details'!$C$8:$C$10000,I49,'[1]2_inventory_total_details'!$F$8:$F$10000,quot_location_id,'[1]2_inventory_total_details'!$G$8:$G$10000,"="&amp;Q49,'[1]2_inventory_total_details'!$H$8:$H$10000,"="&amp;R49,'[1]2_inventory_total_details'!$I$8:$I$10000,"="&amp;quot_date)+SUMIFS('[1]2_inventory_total_details'!$L$8:$L$10000,'[1]2_inventory_total_details'!$C$8:$C$10000,I49,'[1]2_inventory_total_details'!$F$8:$F$10000,quot_location_id,'[1]2_inventory_total_details'!$G$8:$G$10000,"="&amp;Q49,'[1]2_inventory_total_details'!$H$8:$H$10000,"="&amp;R49,'[1]2_inventory_total_details'!$I$8:$I$10000,"="&amp;quot_date)))</f>
        <v/>
      </c>
      <c r="AJ49" s="197" t="str">
        <f>IF(M49="","",IF(ISNA(MATCH(I49,'[1]1_group_totals'!$C$8:$C$10000)),0,IF(AW49&gt;0,1,0)))</f>
        <v/>
      </c>
      <c r="AK49" s="197" t="str">
        <f>IF(M49="","",(SUMIFS('[1]1_group_total_details'!$I$8:$I$10000,'[1]1_group_total_details'!$C$8:$C$10000,I49,'[1]1_group_total_details'!$F$8:$F$10000,quot_location_group_id,'[1]1_group_total_details'!$G$8:$G$10000,quot_location_id,'[1]1_group_total_details'!$H$8:$H$10000,"="&amp;quot_date)+SUMIFS('[1]1_group_total_details'!$L$8:$L$10000,'[1]1_group_total_details'!$C$8:$C$10000,I49,'[1]1_group_total_details'!$F$8:$F$10000,quot_location_group_id,'[1]1_group_total_details'!$G$8:$G$10000,quot_location_id,'[1]1_group_total_details'!$H$8:$H$10000,"="&amp;quot_date)+SUMIFS('[1]1_group_total_details'!$N$8:$N$10000,'[1]1_group_total_details'!$C$8:$C$10000,I49,'[1]1_group_total_details'!$F$8:$F$10000,quot_location_group_id,'[1]1_group_total_details'!$G$8:$G$10000,quot_location_id,'[1]1_group_total_details'!$H$8:$H$10000,"="&amp;quot_date)+SUMIFS('[1]1_group_total_details'!$O$8:$O$10000,'[1]1_group_total_details'!$C$8:$C$10000,I49,'[1]1_group_total_details'!$F$8:$F$10000,quot_location_group_id,'[1]1_group_total_details'!$G$8:$G$10000,quot_location_id,'[1]1_group_total_details'!$H$8:$H$10000,"="&amp;quot_date))+(SUMIFS('[1]1_group_total_details'!$J$8:$J$10000,'[1]1_group_total_details'!$C$8:$C$10000,I49,'[1]1_group_total_details'!$F$8:$F$10000,quot_location_group_id,'[1]1_group_total_details'!$G$8:$G$10000,quot_location_id,'[1]1_group_total_details'!$H$8:$H$10000,"="&amp;quot_date)+SUMIFS('[1]1_group_total_details'!$K$8:$K$10000,'[1]1_group_total_details'!$C$8:$C$10000,I49,'[1]1_group_total_details'!$F$8:$F$10000,quot_location_group_id,'[1]1_group_total_details'!$G$8:$G$10000,quot_location_id,'[1]1_group_total_details'!$H$8:$H$10000,"="&amp;quot_date)+SUMIFS('[1]1_group_total_details'!$M$8:$M$10000,'[1]1_group_total_details'!$C$8:$C$10000,I49,'[1]1_group_total_details'!$F$8:$F$10000,quot_location_group_id,'[1]1_group_total_details'!$G$8:$G$10000,quot_location_id,'[1]1_group_total_details'!$H$8:$H$10000,"="&amp;quot_date)+SUMIFS('[1]1_group_total_details'!$P$8:$P$10000,'[1]1_group_total_details'!$C$8:$C$10000,I49,'[1]1_group_total_details'!$F$8:$F$10000,quot_location_group_id,'[1]1_group_total_details'!$G$8:$G$10000,quot_location_id,'[1]1_group_total_details'!$H$8:$H$10000,"="&amp;quot_date)))</f>
        <v/>
      </c>
      <c r="AL49" s="197" t="str">
        <f>IF(M49="","",(SUMIFS('[1]1_group_total_details'!$I$8:$I$10000,'[1]1_group_total_details'!$C$8:$C$10000,I49,'[1]1_group_total_details'!$F$8:$F$10000,quot_location_group_id,'[1]1_group_total_details'!$G$8:$G$10000,quot_location_id,'[1]1_group_total_details'!$H$8:$H$10000,"&lt;="&amp;quot_date)+SUMIFS('[1]1_group_total_details'!$L$8:$L$10000,'[1]1_group_total_details'!$C$8:$C$10000,I49,'[1]1_group_total_details'!$F$8:$F$10000,quot_location_group_id,'[1]1_group_total_details'!$G$8:$G$10000,1,'[1]1_group_total_details'!$H$8:$H$10000,"&lt;="&amp;quot_date)+SUMIFS('[1]1_group_total_details'!$N$8:$N$10000,'[1]1_group_total_details'!$C$8:$C$10000,I49,'[1]1_group_total_details'!$F$8:$F$10000,quot_location_group_id,'[1]1_group_total_details'!$G$8:$G$10000,quot_location_id,'[1]1_group_total_details'!$H$8:$H$10000,"&lt;="&amp;quot_date)+SUMIFS('[1]1_group_total_details'!$O$8:$O$10000,'[1]1_group_total_details'!$C$8:$C$10000,I49,'[1]1_group_total_details'!$F$8:$F$10000,quot_location_group_id,'[1]1_group_total_details'!$G$8:$G$10000,quot_location_id,'[1]1_group_total_details'!$H$8:$H$10000,"&lt;="&amp;quot_date))-(SUMIFS('[1]1_group_total_details'!$J$8:$J$10000,'[1]1_group_total_details'!$C$8:$C$10000,I49,'[1]1_group_total_details'!$F$8:$F$10000,quot_location_group_id,'[1]1_group_total_details'!$G$8:$G$10000,quot_location_id,'[1]1_group_total_details'!$H$8:$H$10000,"&lt;="&amp;quot_date)+SUMIFS('[1]1_group_total_details'!$K$8:$K$10000,'[1]1_group_total_details'!$C$8:$C$10000,I49,'[1]1_group_total_details'!$F$8:$F$10000,quot_location_group_id,'[1]1_group_total_details'!$G$8:$G$10000,quot_location_id,'[1]1_group_total_details'!$H$8:$H$10000,"&lt;="&amp;quot_date)+SUMIFS('[1]1_group_total_details'!$M$8:$M$10000,'[1]1_group_total_details'!$C$8:$C$10000,I49,'[1]1_group_total_details'!$F$8:$F$10000,quot_location_group_id,'[1]1_group_total_details'!$G$8:$G$10000,quot_location_id,'[1]1_group_total_details'!$H$8:$H$10000,"&lt;="&amp;quot_date)+SUMIFS('[1]1_group_total_details'!$P$8:$P$10000,'[1]1_group_total_details'!$C$8:$C$10000,I49,'[1]1_group_total_details'!$F$8:$F$10000,quot_location_group_id,'[1]1_group_total_details'!$G$8:$G$10000,quot_location_id,'[1]1_group_total_details'!$H$8:$H$10000,"&lt;="&amp;quot_date)))</f>
        <v/>
      </c>
      <c r="AM49" s="197" t="str">
        <f>IF(M49="","",SUMIFS('[1]1_group_totals'!$J$8:$J$10000,'[1]1_group_totals'!$C$8:$C$10000,I49,'[1]1_group_totals'!$F$8:$F$10000,quot_location_group_id,'[1]1_group_totals'!$G$8:$G$10000,quot_location_id,'[1]1_group_totals'!$H$8:$H$10000,"="&amp;Q49,'[1]1_group_totals'!$I$8:$I$10000,"="&amp;R49))</f>
        <v/>
      </c>
      <c r="AN49" s="197" t="str">
        <f t="shared" si="7"/>
        <v/>
      </c>
      <c r="AO49" s="197" t="str">
        <f>IF(OR(ISNA(MATCH(MID(AN49,1,3)*1,UomConversion!$D$8:$D$500,0)),M49=""),"",IF(AT49="","",AT49))</f>
        <v/>
      </c>
      <c r="AP49" s="197" t="str">
        <f>IF(AND(AQ49&gt;0,COUNTIFS(UomConversion!$D$8:$D$500,MID(AN49,1,3)*1,UomConversion!$J$8:$J$500,1)&gt;1),TEXT(AQ49,"000")&amp;"."&amp;VLOOKUP(AQ49,uom_list,5,FALSE),"")</f>
        <v/>
      </c>
      <c r="AQ49" s="197" t="str">
        <f t="shared" si="20"/>
        <v/>
      </c>
      <c r="AR49" s="197" t="str">
        <f t="shared" si="21"/>
        <v/>
      </c>
      <c r="AS49" s="197" t="str">
        <f>IF(M49="","",SUMIFS(ProductPrice!$N$28:$N$10020,ProductPrice!$D$28:$D$10020,I49,ProductPrice!$G$28:$G$10020,quot_branch_id,ProductPrice!$H$28:$H$10020,quot_price_type_id,ProductPrice!$I$28:$I$10020,MID(P49,1,3)*1,ProductPrice!$Q$28:$Q$10020,1))</f>
        <v/>
      </c>
      <c r="AT49" s="197" t="str">
        <f t="shared" si="8"/>
        <v/>
      </c>
      <c r="AU49" s="197" t="str" cm="1">
        <f t="array" ref="AU49">IF(M49="","",IF(ISNA(Slookup(MID(AN49,1,3)*1,UomConversion!$D$8:$J$500,2,UomConversion!$I$8:$I$500,1,UomConversion!$J$8:$J$500,1)),"",Slookup(MID(AN49,1,3)*1,UomConversion!$D$8:$J$500,2,UomConversion!$I$8:$I$500,1,UomConversion!$J$8:$J$500,1)))</f>
        <v/>
      </c>
      <c r="AV49" s="197" t="str">
        <f t="shared" ref="AV49" si="189">IF(M49="","",IF(quot_location_id=1,BA49,IF(quot_location_id=2,BB49,0)))</f>
        <v/>
      </c>
      <c r="AW49" s="197" t="str">
        <f>IF(M49="","",(SUMIFS('[1]1_group_totals'!$K$8:$K$10000,'[1]1_group_totals'!$C$8:$C$10000,I49,'[1]1_group_totals'!$F$8:$F$10000,quot_location_group_id,'[1]1_group_totals'!$G$8:$G$10000,quot_location_id,'[1]1_group_totals'!$H$8:$H$10000,"="&amp;Q49,'[1]1_group_totals'!$I$8:$I$10000,"="&amp;R49)+SUMIFS('[1]1_group_totals'!$N$8:$N$10000,'[1]1_group_totals'!$C$8:$C$10000,I49,'[1]1_group_totals'!$F$8:$F$10000,quot_location_group_id,'[1]1_group_totals'!$G$8:$G$10000,quot_location_id,'[1]1_group_totals'!$H$8:$H$10000,"="&amp;Q49,'[1]1_group_totals'!$I$8:$I$10000,"="&amp;R49)+SUMIFS('[1]1_group_totals'!$P$8:$P$10000,'[1]1_group_totals'!$C$8:$C$10000,I49,'[1]1_group_totals'!$F$8:$F$10000,quot_location_group_id,'[1]1_group_totals'!$G$8:$G$10000,quot_location_id,'[1]1_group_totals'!$H$8:$H$10000,"="&amp;Q49,'[1]1_group_totals'!$I$8:$I$10000,"="&amp;R49)+SUMIFS('[1]1_group_totals'!$Q$8:$Q$10000,'[1]1_group_totals'!$C$8:$C$10000,I49,'[1]1_group_totals'!$F$8:$F$10000,quot_location_group_id,'[1]1_group_totals'!$G$8:$G$10000,quot_location_id,'[1]1_group_totals'!$H$8:$H$10000,"="&amp;Q49,'[1]1_group_totals'!$I$8:$I$10000,"="&amp;R49))+(SUMIFS('[1]1_group_totals'!$L$8:$L$10000,'[1]1_group_totals'!$C$8:$C$10000,I49,'[1]1_group_totals'!$F$8:$F$10000,quot_location_group_id,'[1]1_group_totals'!$G$8:$G$10000,quot_location_id,'[1]1_group_totals'!$H$8:$H$10000,"="&amp;Q49,'[1]1_group_totals'!$I$8:$I$10000,"="&amp;R49)+SUMIFS('[1]1_group_totals'!$M$8:$M$10000,'[1]1_group_totals'!$C$8:$C$10000,I49,'[1]1_group_totals'!$F$8:$F$10000,quot_location_group_id,'[1]1_group_totals'!$G$8:$G$10000,quot_location_id,'[1]1_group_totals'!$H$8:$H$10000,"="&amp;Q49,'[1]1_group_totals'!$I$8:$I$10000,"="&amp;R49)+SUMIFS('[1]1_group_totals'!$O$8:$O$10000,'[1]1_group_totals'!$C$8:$C$10000,I49,'[1]1_group_totals'!$F$8:$F$10000,quot_location_group_id,'[1]1_group_totals'!$G$8:$G$10000,quot_location_id,'[1]1_group_totals'!$H$8:$H$10000,"="&amp;Q49,'[1]1_group_totals'!$I$8:$I$10000,"="&amp;R49)+SUMIFS('[1]1_group_totals'!$R$8:$R$10000,'[1]1_group_totals'!$C$8:$C$10000,I49,'[1]1_group_totals'!$F$8:$F$10000,quot_location_group_id,'[1]1_group_totals'!$G$8:$G$10000,quot_location_id,'[1]1_group_totals'!$H$8:$H$10000,"="&amp;Q49,'[1]1_group_totals'!$I$8:$I$10000,"="&amp;R49)))</f>
        <v/>
      </c>
      <c r="AX49" s="197" t="str">
        <f t="shared" si="23"/>
        <v/>
      </c>
      <c r="AY49" s="197" t="str">
        <f>IF(M49="","",SUMIFS($AX$8:AX49,$I$8:I49,I49))</f>
        <v/>
      </c>
      <c r="AZ49" s="197" t="str">
        <f t="shared" si="24"/>
        <v/>
      </c>
      <c r="BA49" s="197" t="str">
        <f>IF(M49="","",(SUMIFS('[1]1_inventory_totals'!$I$8:$I$10000,'[1]1_inventory_totals'!$C$8:$C$10000,I49,'[1]1_inventory_totals'!$F$8:$F$10000,"="&amp;Q49,'[1]1_inventory_totals'!$G$8:$G$10000,"="&amp;R49)+SUMIFS('[1]1_inventory_totals'!$N$8:$N$10000,'[1]1_inventory_totals'!$C$8:$C$10000,I49,'[1]1_inventory_totals'!$F$8:$F$10000,"="&amp;Q49,'[1]1_inventory_totals'!$G$8:$G$10000,"="&amp;R49)+SUMIFS('[1]1_inventory_totals'!$P$8:$P$10000,'[1]1_inventory_totals'!$C$8:$C$10000,I49,'[1]1_inventory_totals'!$F$8:$F$10000,"="&amp;Q49,'[1]1_inventory_totals'!$G$8:$G$10000,"="&amp;R49)+SUMIFS('[1]1_inventory_totals'!$Q$8:$Q$10000,'[1]1_inventory_totals'!$C$8:$C$10000,I49,'[1]1_inventory_totals'!$F$8:$F$10000,"="&amp;Q49,'[1]1_inventory_totals'!$G$8:$G$10000,"="&amp;R49)+SUMIFS('[1]1_inventory_totals'!$R$8:$R$10000,'[1]1_inventory_totals'!$C$8:$C$10000,I49,'[1]1_inventory_totals'!$F$8:$F$10000,"="&amp;Q49,'[1]1_inventory_totals'!$G$8:$G$10000,"="&amp;R49))+(SUMIFS('[1]1_inventory_totals'!$J$8:$J$10000,'[1]1_inventory_totals'!$C$8:$C$10000,I49,'[1]1_inventory_totals'!$F$8:$F$10000,"="&amp;Q49,'[1]1_inventory_totals'!$G$8:$G$10000,"="&amp;R49)+SUMIFS('[1]1_inventory_totals'!$K$8:$K$10000,'[1]1_inventory_totals'!$C$8:$C$10000,I49,'[1]1_inventory_totals'!$F$8:$F$10000,"="&amp;Q49,'[1]1_inventory_totals'!$G$8:$G$10000,"="&amp;R49)+SUMIFS('[1]1_inventory_totals'!$L$8:$L$10000,'[1]1_inventory_totals'!$C$8:$C$10000,I49,'[1]1_inventory_totals'!$F$8:$F$10000,"="&amp;Q49,'[1]1_inventory_totals'!$G$8:$G$10000,"="&amp;R49)+SUMIFS('[1]1_inventory_totals'!$M$8:$M$10000,'[1]1_inventory_totals'!$C$8:$C$10000,I49,'[1]1_inventory_totals'!$F$8:$F$10000,"="&amp;Q49,'[1]1_inventory_totals'!$G$8:$G$10000,"="&amp;R49)+SUMIFS('[1]1_inventory_totals'!$O$8:$O$10000,'[1]1_inventory_totals'!$C$8:$C$10000,I49,'[1]1_inventory_totals'!$F$8:$F$10000,"="&amp;Q49,'[1]1_inventory_totals'!$G$8:$G$10000,"="&amp;R49)+SUMIFS('[1]1_inventory_totals'!$S$8:$S$10000,'[1]1_inventory_totals'!$C$8:$C$10000,I49,'[1]1_inventory_totals'!$F$8:$F$10000,"="&amp;Q49,'[1]1_inventory_totals'!$G$8:$G$10000,"="&amp;R49)))</f>
        <v/>
      </c>
      <c r="BB49" s="197" t="str">
        <f>IF(M49="","",(SUMIFS('[1]2_inventory_totals'!$I$8:$I$10000,'[1]2_inventory_totals'!$C$8:$C$10000,I49,'[1]2_inventory_totals'!$F$8:$F$10000,"="&amp;Q49,'[1]2_inventory_totals'!$G$8:$G$10000,"="&amp;R49)+SUMIFS('[1]2_inventory_totals'!$N$8:$N$10000,'[1]2_inventory_totals'!$C$8:$C$10000,I49,'[1]2_inventory_totals'!$F$8:$F$10000,"="&amp;Q49,'[1]2_inventory_totals'!$G$8:$G$10000,"="&amp;R49)+SUMIFS('[1]2_inventory_totals'!$P$8:$P$10000,'[1]2_inventory_totals'!$C$8:$C$10000,I49,'[1]2_inventory_totals'!$F$8:$F$10000,"="&amp;Q49,'[1]2_inventory_totals'!$G$8:$G$10000,"="&amp;R49)+SUMIFS('[1]2_inventory_totals'!$Q$8:$Q$10000,'[1]2_inventory_totals'!$C$8:$C$10000,I49,'[1]2_inventory_totals'!$F$8:$F$10000,"="&amp;Q49,'[1]2_inventory_totals'!$G$8:$G$10000,"="&amp;R49)+SUMIFS('[1]2_inventory_totals'!$R$8:$R$10000,'[1]2_inventory_totals'!$C$8:$C$10000,I49,'[1]2_inventory_totals'!$F$8:$F$10000,"="&amp;Q49,'[1]2_inventory_totals'!$G$8:$G$10000,"="&amp;R49))+(SUMIFS('[1]2_inventory_totals'!$J$8:$J$10000,'[1]2_inventory_totals'!$C$8:$C$10000,I49,'[1]2_inventory_totals'!$F$8:$F$10000,"="&amp;Q49,'[1]2_inventory_totals'!$G$8:$G$10000,"="&amp;R49)+SUMIFS('[1]2_inventory_totals'!$K$8:$K$10000,'[1]2_inventory_totals'!$C$8:$C$10000,I49,'[1]2_inventory_totals'!$F$8:$F$10000,"="&amp;Q49,'[1]2_inventory_totals'!$G$8:$G$10000,"="&amp;R49)+SUMIFS('[1]2_inventory_totals'!$L$8:$L$10000,'[1]2_inventory_totals'!$C$8:$C$10000,I49,'[1]2_inventory_totals'!$F$8:$F$10000,"="&amp;Q49,'[1]2_inventory_totals'!$G$8:$G$10000,"="&amp;R49)+SUMIFS('[1]2_inventory_totals'!$M$8:$M$10000,'[1]2_inventory_totals'!$C$8:$C$10000,I49,'[1]2_inventory_totals'!$F$8:$F$10000,"="&amp;Q49,'[1]2_inventory_totals'!$G$8:$G$10000,"="&amp;R49)+SUMIFS('[1]2_inventory_totals'!$O$8:$O$10000,'[1]2_inventory_totals'!$C$8:$C$10000,I49,'[1]2_inventory_totals'!$F$8:$F$10000,"="&amp;Q49,'[1]2_inventory_totals'!$G$8:$G$10000,"="&amp;R49)+SUMIFS('[1]2_inventory_totals'!$S$8:$S$10000,'[1]2_inventory_totals'!$C$8:$C$10000,I49,'[1]2_inventory_totals'!$F$8:$F$10000,"="&amp;Q49,'[1]2_inventory_totals'!$G$8:$G$10000,"="&amp;R49)))</f>
        <v/>
      </c>
    </row>
    <row r="50" spans="1:54" ht="27" hidden="1" customHeight="1">
      <c r="A50" s="923"/>
      <c r="B50" s="1251"/>
      <c r="C50" s="1268"/>
      <c r="D50" s="950"/>
      <c r="E50" s="950"/>
      <c r="F50" s="1262"/>
      <c r="I50" s="1610" t="str">
        <f t="shared" si="10"/>
        <v/>
      </c>
      <c r="J50" s="1611" t="str">
        <f t="shared" si="112"/>
        <v/>
      </c>
      <c r="K50" s="1612" t="str">
        <f t="shared" si="30"/>
        <v/>
      </c>
      <c r="L50" s="1613"/>
      <c r="M50" s="883"/>
      <c r="N50" s="884"/>
      <c r="O50" s="884"/>
      <c r="P50" s="885"/>
      <c r="Q50" s="886"/>
      <c r="R50" s="891"/>
      <c r="S50" s="1614" t="str">
        <f t="shared" ref="S50" si="190">IF(M50="","",quot_currency_symbol)</f>
        <v/>
      </c>
      <c r="T50" s="888"/>
      <c r="U50" s="1650" t="str">
        <f t="shared" si="13"/>
        <v/>
      </c>
      <c r="V50" s="1615" t="str">
        <f t="shared" ref="V50" si="191">IF(W50=0,"",quot_currency_symbol)</f>
        <v/>
      </c>
      <c r="W50" s="889"/>
      <c r="X50" s="1615" t="str">
        <f t="shared" ref="X50" si="192">IF(M50="","",quot_currency_symbol)</f>
        <v/>
      </c>
      <c r="Y50" s="1616" t="str">
        <f t="shared" si="34"/>
        <v/>
      </c>
      <c r="Z50" s="890"/>
      <c r="AA50" s="197" t="str" cm="1">
        <f t="array" ref="AA50">IF(M50="","",IF(P50=AN50,1,Slookup(MID(AN50,1,3)*1,UomConversion!$D$8:$J$500,5,UomConversion!$E$8:$E$500,MID(P50,1,3)*1,UomConversion!$J$8:$J$500,1)))</f>
        <v/>
      </c>
      <c r="AB50" s="197" t="str">
        <f t="shared" si="3"/>
        <v/>
      </c>
      <c r="AC50" s="197" t="str">
        <f t="shared" si="17"/>
        <v/>
      </c>
      <c r="AD50" s="197" t="str">
        <f t="shared" si="18"/>
        <v/>
      </c>
      <c r="AE50" s="197" t="str">
        <f t="shared" si="19"/>
        <v/>
      </c>
      <c r="AF50" s="197" t="str">
        <f t="shared" si="152"/>
        <v/>
      </c>
      <c r="AG50" s="197" t="str">
        <f t="shared" si="6"/>
        <v/>
      </c>
      <c r="AH50" s="197" t="str">
        <f>IF(I50="","",IF(ISNA(MATCH(I50,IF(quot_location_id=1,'[1]1_inventory_totals'!$C$8:$C$10000,IF(quot_location_id=2,'[1]2_inventory_totals'!$C$8:$C$10000,0)),0)),0,IF(AV50&gt;0,1,0)))</f>
        <v/>
      </c>
      <c r="AI50" s="197" t="str">
        <f>IF(M50="","",IF(quot_location_id=1,SUMIFS('[1]1_inventory_total_details'!$J$8:$J$10000,'[1]1_inventory_total_details'!$C$8:$C$10000,I50,'[1]1_inventory_total_details'!$F$8:$F$10000,quot_location_id,'[1]1_inventory_total_details'!$G$8:$G$10000,"="&amp;Q50,'[1]1_inventory_total_details'!$H$8:$H$10000,"="&amp;R50,'[1]1_inventory_total_details'!$I$8:$I$10000,"="&amp;quot_date)+SUMIFS('[1]1_inventory_total_details'!$M$8:$M$10000,'[1]1_inventory_total_details'!$C$8:$C$10000,I50,'[1]1_inventory_total_details'!$F$8:$F$10000,quot_location_id,'[1]1_inventory_total_details'!$G$8:$G$10000,"="&amp;Q50,'[1]1_inventory_total_details'!$H$8:$H$10000,"="&amp;R50,'[1]1_inventory_total_details'!$I$8:$I$10000,"="&amp;quot_date)+SUMIFS('[1]1_inventory_total_details'!$K$8:$K$10000,'[1]1_inventory_total_details'!$C$8:$C$10000,I50,'[1]1_inventory_total_details'!$F$8:$F$10000,quot_location_id,'[1]1_inventory_total_details'!$G$8:$G$10000,"="&amp;Q50,'[1]1_inventory_total_details'!$H$8:$H$10000,"="&amp;R50,'[1]1_inventory_total_details'!$I$8:$I$10000,"="&amp;quot_date)+SUMIFS('[1]1_inventory_total_details'!$L$8:$L$10000,'[1]1_inventory_total_details'!$C$8:$C$10000,I50,'[1]1_inventory_total_details'!$F$8:$F$10000,quot_location_id,'[1]1_inventory_total_details'!$G$8:$G$10000,"="&amp;Q50,'[1]1_inventory_total_details'!$H$8:$H$10000,"="&amp;R50,'[1]1_inventory_total_details'!$I$8:$I$10000,"="&amp;quot_date),SUMIFS('[1]2_inventory_total_details'!$J$8:$J$10000,'[1]2_inventory_total_details'!$C$8:$C$10000,I50,'[1]2_inventory_total_details'!$F$8:$F$10000,quot_location_id,'[1]2_inventory_total_details'!$G$8:$G$10000,"="&amp;Q50,'[1]2_inventory_total_details'!$H$8:$H$10000,"="&amp;R50,'[1]2_inventory_total_details'!$I$8:$I$10000,"="&amp;quot_date)+SUMIFS('[1]2_inventory_total_details'!$M$8:$M$10000,'[1]2_inventory_total_details'!$C$8:$C$10000,I50,'[1]2_inventory_total_details'!$F$8:$F$10000,quot_location_id,'[1]2_inventory_total_details'!$G$8:$G$10000,"="&amp;Q50,'[1]2_inventory_total_details'!$H$8:$H$10000,"="&amp;R50,'[1]2_inventory_total_details'!$I$8:$I$10000,"="&amp;quot_date)+SUMIFS('[1]2_inventory_total_details'!$K$8:$K$10000,'[1]2_inventory_total_details'!$C$8:$C$10000,I50,'[1]2_inventory_total_details'!$F$8:$F$10000,quot_location_id,'[1]2_inventory_total_details'!$G$8:$G$10000,"="&amp;Q50,'[1]2_inventory_total_details'!$H$8:$H$10000,"="&amp;R50,'[1]2_inventory_total_details'!$I$8:$I$10000,"="&amp;quot_date)+SUMIFS('[1]2_inventory_total_details'!$L$8:$L$10000,'[1]2_inventory_total_details'!$C$8:$C$10000,I50,'[1]2_inventory_total_details'!$F$8:$F$10000,quot_location_id,'[1]2_inventory_total_details'!$G$8:$G$10000,"="&amp;Q50,'[1]2_inventory_total_details'!$H$8:$H$10000,"="&amp;R50,'[1]2_inventory_total_details'!$I$8:$I$10000,"="&amp;quot_date)))</f>
        <v/>
      </c>
      <c r="AJ50" s="197" t="str">
        <f>IF(M50="","",IF(ISNA(MATCH(I50,'[1]1_group_totals'!$C$8:$C$10000)),0,IF(AW50&gt;0,1,0)))</f>
        <v/>
      </c>
      <c r="AK50" s="197" t="str">
        <f>IF(M50="","",(SUMIFS('[1]1_group_total_details'!$I$8:$I$10000,'[1]1_group_total_details'!$C$8:$C$10000,I50,'[1]1_group_total_details'!$F$8:$F$10000,quot_location_group_id,'[1]1_group_total_details'!$G$8:$G$10000,quot_location_id,'[1]1_group_total_details'!$H$8:$H$10000,"="&amp;quot_date)+SUMIFS('[1]1_group_total_details'!$L$8:$L$10000,'[1]1_group_total_details'!$C$8:$C$10000,I50,'[1]1_group_total_details'!$F$8:$F$10000,quot_location_group_id,'[1]1_group_total_details'!$G$8:$G$10000,quot_location_id,'[1]1_group_total_details'!$H$8:$H$10000,"="&amp;quot_date)+SUMIFS('[1]1_group_total_details'!$N$8:$N$10000,'[1]1_group_total_details'!$C$8:$C$10000,I50,'[1]1_group_total_details'!$F$8:$F$10000,quot_location_group_id,'[1]1_group_total_details'!$G$8:$G$10000,quot_location_id,'[1]1_group_total_details'!$H$8:$H$10000,"="&amp;quot_date)+SUMIFS('[1]1_group_total_details'!$O$8:$O$10000,'[1]1_group_total_details'!$C$8:$C$10000,I50,'[1]1_group_total_details'!$F$8:$F$10000,quot_location_group_id,'[1]1_group_total_details'!$G$8:$G$10000,quot_location_id,'[1]1_group_total_details'!$H$8:$H$10000,"="&amp;quot_date))+(SUMIFS('[1]1_group_total_details'!$J$8:$J$10000,'[1]1_group_total_details'!$C$8:$C$10000,I50,'[1]1_group_total_details'!$F$8:$F$10000,quot_location_group_id,'[1]1_group_total_details'!$G$8:$G$10000,quot_location_id,'[1]1_group_total_details'!$H$8:$H$10000,"="&amp;quot_date)+SUMIFS('[1]1_group_total_details'!$K$8:$K$10000,'[1]1_group_total_details'!$C$8:$C$10000,I50,'[1]1_group_total_details'!$F$8:$F$10000,quot_location_group_id,'[1]1_group_total_details'!$G$8:$G$10000,quot_location_id,'[1]1_group_total_details'!$H$8:$H$10000,"="&amp;quot_date)+SUMIFS('[1]1_group_total_details'!$M$8:$M$10000,'[1]1_group_total_details'!$C$8:$C$10000,I50,'[1]1_group_total_details'!$F$8:$F$10000,quot_location_group_id,'[1]1_group_total_details'!$G$8:$G$10000,quot_location_id,'[1]1_group_total_details'!$H$8:$H$10000,"="&amp;quot_date)+SUMIFS('[1]1_group_total_details'!$P$8:$P$10000,'[1]1_group_total_details'!$C$8:$C$10000,I50,'[1]1_group_total_details'!$F$8:$F$10000,quot_location_group_id,'[1]1_group_total_details'!$G$8:$G$10000,quot_location_id,'[1]1_group_total_details'!$H$8:$H$10000,"="&amp;quot_date)))</f>
        <v/>
      </c>
      <c r="AL50" s="197" t="str">
        <f>IF(M50="","",(SUMIFS('[1]1_group_total_details'!$I$8:$I$10000,'[1]1_group_total_details'!$C$8:$C$10000,I50,'[1]1_group_total_details'!$F$8:$F$10000,quot_location_group_id,'[1]1_group_total_details'!$G$8:$G$10000,quot_location_id,'[1]1_group_total_details'!$H$8:$H$10000,"&lt;="&amp;quot_date)+SUMIFS('[1]1_group_total_details'!$L$8:$L$10000,'[1]1_group_total_details'!$C$8:$C$10000,I50,'[1]1_group_total_details'!$F$8:$F$10000,quot_location_group_id,'[1]1_group_total_details'!$G$8:$G$10000,1,'[1]1_group_total_details'!$H$8:$H$10000,"&lt;="&amp;quot_date)+SUMIFS('[1]1_group_total_details'!$N$8:$N$10000,'[1]1_group_total_details'!$C$8:$C$10000,I50,'[1]1_group_total_details'!$F$8:$F$10000,quot_location_group_id,'[1]1_group_total_details'!$G$8:$G$10000,quot_location_id,'[1]1_group_total_details'!$H$8:$H$10000,"&lt;="&amp;quot_date)+SUMIFS('[1]1_group_total_details'!$O$8:$O$10000,'[1]1_group_total_details'!$C$8:$C$10000,I50,'[1]1_group_total_details'!$F$8:$F$10000,quot_location_group_id,'[1]1_group_total_details'!$G$8:$G$10000,quot_location_id,'[1]1_group_total_details'!$H$8:$H$10000,"&lt;="&amp;quot_date))-(SUMIFS('[1]1_group_total_details'!$J$8:$J$10000,'[1]1_group_total_details'!$C$8:$C$10000,I50,'[1]1_group_total_details'!$F$8:$F$10000,quot_location_group_id,'[1]1_group_total_details'!$G$8:$G$10000,quot_location_id,'[1]1_group_total_details'!$H$8:$H$10000,"&lt;="&amp;quot_date)+SUMIFS('[1]1_group_total_details'!$K$8:$K$10000,'[1]1_group_total_details'!$C$8:$C$10000,I50,'[1]1_group_total_details'!$F$8:$F$10000,quot_location_group_id,'[1]1_group_total_details'!$G$8:$G$10000,quot_location_id,'[1]1_group_total_details'!$H$8:$H$10000,"&lt;="&amp;quot_date)+SUMIFS('[1]1_group_total_details'!$M$8:$M$10000,'[1]1_group_total_details'!$C$8:$C$10000,I50,'[1]1_group_total_details'!$F$8:$F$10000,quot_location_group_id,'[1]1_group_total_details'!$G$8:$G$10000,quot_location_id,'[1]1_group_total_details'!$H$8:$H$10000,"&lt;="&amp;quot_date)+SUMIFS('[1]1_group_total_details'!$P$8:$P$10000,'[1]1_group_total_details'!$C$8:$C$10000,I50,'[1]1_group_total_details'!$F$8:$F$10000,quot_location_group_id,'[1]1_group_total_details'!$G$8:$G$10000,quot_location_id,'[1]1_group_total_details'!$H$8:$H$10000,"&lt;="&amp;quot_date)))</f>
        <v/>
      </c>
      <c r="AM50" s="197" t="str">
        <f>IF(M50="","",SUMIFS('[1]1_group_totals'!$J$8:$J$10000,'[1]1_group_totals'!$C$8:$C$10000,I50,'[1]1_group_totals'!$F$8:$F$10000,quot_location_group_id,'[1]1_group_totals'!$G$8:$G$10000,quot_location_id,'[1]1_group_totals'!$H$8:$H$10000,"="&amp;Q50,'[1]1_group_totals'!$I$8:$I$10000,"="&amp;R50))</f>
        <v/>
      </c>
      <c r="AN50" s="197" t="str">
        <f t="shared" si="7"/>
        <v/>
      </c>
      <c r="AO50" s="197" t="str">
        <f>IF(OR(ISNA(MATCH(MID(AN50,1,3)*1,UomConversion!$D$8:$D$500,0)),M50=""),"",IF(AT50="","",AT50))</f>
        <v/>
      </c>
      <c r="AP50" s="197" t="str">
        <f>IF(AND(AQ50&gt;0,COUNTIFS(UomConversion!$D$8:$D$500,MID(AN50,1,3)*1,UomConversion!$J$8:$J$500,1)&gt;1),TEXT(AQ50,"000")&amp;"."&amp;VLOOKUP(AQ50,uom_list,5,FALSE),"")</f>
        <v/>
      </c>
      <c r="AQ50" s="197" t="str">
        <f t="shared" si="20"/>
        <v/>
      </c>
      <c r="AR50" s="197" t="str">
        <f t="shared" si="21"/>
        <v/>
      </c>
      <c r="AS50" s="197" t="str">
        <f>IF(M50="","",SUMIFS(ProductPrice!$N$28:$N$10020,ProductPrice!$D$28:$D$10020,I50,ProductPrice!$G$28:$G$10020,quot_branch_id,ProductPrice!$H$28:$H$10020,quot_price_type_id,ProductPrice!$I$28:$I$10020,MID(P50,1,3)*1,ProductPrice!$Q$28:$Q$10020,1))</f>
        <v/>
      </c>
      <c r="AT50" s="197" t="str">
        <f t="shared" si="8"/>
        <v/>
      </c>
      <c r="AU50" s="197" t="str" cm="1">
        <f t="array" ref="AU50">IF(M50="","",IF(ISNA(Slookup(MID(AN50,1,3)*1,UomConversion!$D$8:$J$500,2,UomConversion!$I$8:$I$500,1,UomConversion!$J$8:$J$500,1)),"",Slookup(MID(AN50,1,3)*1,UomConversion!$D$8:$J$500,2,UomConversion!$I$8:$I$500,1,UomConversion!$J$8:$J$500,1)))</f>
        <v/>
      </c>
      <c r="AV50" s="197" t="str">
        <f t="shared" ref="AV50" si="193">IF(M50="","",IF(quot_location_id=1,BA50,IF(quot_location_id=2,BB50,0)))</f>
        <v/>
      </c>
      <c r="AW50" s="197" t="str">
        <f>IF(M50="","",(SUMIFS('[1]1_group_totals'!$K$8:$K$10000,'[1]1_group_totals'!$C$8:$C$10000,I50,'[1]1_group_totals'!$F$8:$F$10000,quot_location_group_id,'[1]1_group_totals'!$G$8:$G$10000,quot_location_id,'[1]1_group_totals'!$H$8:$H$10000,"="&amp;Q50,'[1]1_group_totals'!$I$8:$I$10000,"="&amp;R50)+SUMIFS('[1]1_group_totals'!$N$8:$N$10000,'[1]1_group_totals'!$C$8:$C$10000,I50,'[1]1_group_totals'!$F$8:$F$10000,quot_location_group_id,'[1]1_group_totals'!$G$8:$G$10000,quot_location_id,'[1]1_group_totals'!$H$8:$H$10000,"="&amp;Q50,'[1]1_group_totals'!$I$8:$I$10000,"="&amp;R50)+SUMIFS('[1]1_group_totals'!$P$8:$P$10000,'[1]1_group_totals'!$C$8:$C$10000,I50,'[1]1_group_totals'!$F$8:$F$10000,quot_location_group_id,'[1]1_group_totals'!$G$8:$G$10000,quot_location_id,'[1]1_group_totals'!$H$8:$H$10000,"="&amp;Q50,'[1]1_group_totals'!$I$8:$I$10000,"="&amp;R50)+SUMIFS('[1]1_group_totals'!$Q$8:$Q$10000,'[1]1_group_totals'!$C$8:$C$10000,I50,'[1]1_group_totals'!$F$8:$F$10000,quot_location_group_id,'[1]1_group_totals'!$G$8:$G$10000,quot_location_id,'[1]1_group_totals'!$H$8:$H$10000,"="&amp;Q50,'[1]1_group_totals'!$I$8:$I$10000,"="&amp;R50))+(SUMIFS('[1]1_group_totals'!$L$8:$L$10000,'[1]1_group_totals'!$C$8:$C$10000,I50,'[1]1_group_totals'!$F$8:$F$10000,quot_location_group_id,'[1]1_group_totals'!$G$8:$G$10000,quot_location_id,'[1]1_group_totals'!$H$8:$H$10000,"="&amp;Q50,'[1]1_group_totals'!$I$8:$I$10000,"="&amp;R50)+SUMIFS('[1]1_group_totals'!$M$8:$M$10000,'[1]1_group_totals'!$C$8:$C$10000,I50,'[1]1_group_totals'!$F$8:$F$10000,quot_location_group_id,'[1]1_group_totals'!$G$8:$G$10000,quot_location_id,'[1]1_group_totals'!$H$8:$H$10000,"="&amp;Q50,'[1]1_group_totals'!$I$8:$I$10000,"="&amp;R50)+SUMIFS('[1]1_group_totals'!$O$8:$O$10000,'[1]1_group_totals'!$C$8:$C$10000,I50,'[1]1_group_totals'!$F$8:$F$10000,quot_location_group_id,'[1]1_group_totals'!$G$8:$G$10000,quot_location_id,'[1]1_group_totals'!$H$8:$H$10000,"="&amp;Q50,'[1]1_group_totals'!$I$8:$I$10000,"="&amp;R50)+SUMIFS('[1]1_group_totals'!$R$8:$R$10000,'[1]1_group_totals'!$C$8:$C$10000,I50,'[1]1_group_totals'!$F$8:$F$10000,quot_location_group_id,'[1]1_group_totals'!$G$8:$G$10000,quot_location_id,'[1]1_group_totals'!$H$8:$H$10000,"="&amp;Q50,'[1]1_group_totals'!$I$8:$I$10000,"="&amp;R50)))</f>
        <v/>
      </c>
      <c r="AX50" s="197" t="str">
        <f t="shared" si="23"/>
        <v/>
      </c>
      <c r="AY50" s="197" t="str">
        <f>IF(M50="","",SUMIFS($AX$8:AX50,$I$8:I50,I50))</f>
        <v/>
      </c>
      <c r="AZ50" s="197" t="str">
        <f t="shared" si="24"/>
        <v/>
      </c>
      <c r="BA50" s="197" t="str">
        <f>IF(M50="","",(SUMIFS('[1]1_inventory_totals'!$I$8:$I$10000,'[1]1_inventory_totals'!$C$8:$C$10000,I50,'[1]1_inventory_totals'!$F$8:$F$10000,"="&amp;Q50,'[1]1_inventory_totals'!$G$8:$G$10000,"="&amp;R50)+SUMIFS('[1]1_inventory_totals'!$N$8:$N$10000,'[1]1_inventory_totals'!$C$8:$C$10000,I50,'[1]1_inventory_totals'!$F$8:$F$10000,"="&amp;Q50,'[1]1_inventory_totals'!$G$8:$G$10000,"="&amp;R50)+SUMIFS('[1]1_inventory_totals'!$P$8:$P$10000,'[1]1_inventory_totals'!$C$8:$C$10000,I50,'[1]1_inventory_totals'!$F$8:$F$10000,"="&amp;Q50,'[1]1_inventory_totals'!$G$8:$G$10000,"="&amp;R50)+SUMIFS('[1]1_inventory_totals'!$Q$8:$Q$10000,'[1]1_inventory_totals'!$C$8:$C$10000,I50,'[1]1_inventory_totals'!$F$8:$F$10000,"="&amp;Q50,'[1]1_inventory_totals'!$G$8:$G$10000,"="&amp;R50)+SUMIFS('[1]1_inventory_totals'!$R$8:$R$10000,'[1]1_inventory_totals'!$C$8:$C$10000,I50,'[1]1_inventory_totals'!$F$8:$F$10000,"="&amp;Q50,'[1]1_inventory_totals'!$G$8:$G$10000,"="&amp;R50))+(SUMIFS('[1]1_inventory_totals'!$J$8:$J$10000,'[1]1_inventory_totals'!$C$8:$C$10000,I50,'[1]1_inventory_totals'!$F$8:$F$10000,"="&amp;Q50,'[1]1_inventory_totals'!$G$8:$G$10000,"="&amp;R50)+SUMIFS('[1]1_inventory_totals'!$K$8:$K$10000,'[1]1_inventory_totals'!$C$8:$C$10000,I50,'[1]1_inventory_totals'!$F$8:$F$10000,"="&amp;Q50,'[1]1_inventory_totals'!$G$8:$G$10000,"="&amp;R50)+SUMIFS('[1]1_inventory_totals'!$L$8:$L$10000,'[1]1_inventory_totals'!$C$8:$C$10000,I50,'[1]1_inventory_totals'!$F$8:$F$10000,"="&amp;Q50,'[1]1_inventory_totals'!$G$8:$G$10000,"="&amp;R50)+SUMIFS('[1]1_inventory_totals'!$M$8:$M$10000,'[1]1_inventory_totals'!$C$8:$C$10000,I50,'[1]1_inventory_totals'!$F$8:$F$10000,"="&amp;Q50,'[1]1_inventory_totals'!$G$8:$G$10000,"="&amp;R50)+SUMIFS('[1]1_inventory_totals'!$O$8:$O$10000,'[1]1_inventory_totals'!$C$8:$C$10000,I50,'[1]1_inventory_totals'!$F$8:$F$10000,"="&amp;Q50,'[1]1_inventory_totals'!$G$8:$G$10000,"="&amp;R50)+SUMIFS('[1]1_inventory_totals'!$S$8:$S$10000,'[1]1_inventory_totals'!$C$8:$C$10000,I50,'[1]1_inventory_totals'!$F$8:$F$10000,"="&amp;Q50,'[1]1_inventory_totals'!$G$8:$G$10000,"="&amp;R50)))</f>
        <v/>
      </c>
      <c r="BB50" s="197" t="str">
        <f>IF(M50="","",(SUMIFS('[1]2_inventory_totals'!$I$8:$I$10000,'[1]2_inventory_totals'!$C$8:$C$10000,I50,'[1]2_inventory_totals'!$F$8:$F$10000,"="&amp;Q50,'[1]2_inventory_totals'!$G$8:$G$10000,"="&amp;R50)+SUMIFS('[1]2_inventory_totals'!$N$8:$N$10000,'[1]2_inventory_totals'!$C$8:$C$10000,I50,'[1]2_inventory_totals'!$F$8:$F$10000,"="&amp;Q50,'[1]2_inventory_totals'!$G$8:$G$10000,"="&amp;R50)+SUMIFS('[1]2_inventory_totals'!$P$8:$P$10000,'[1]2_inventory_totals'!$C$8:$C$10000,I50,'[1]2_inventory_totals'!$F$8:$F$10000,"="&amp;Q50,'[1]2_inventory_totals'!$G$8:$G$10000,"="&amp;R50)+SUMIFS('[1]2_inventory_totals'!$Q$8:$Q$10000,'[1]2_inventory_totals'!$C$8:$C$10000,I50,'[1]2_inventory_totals'!$F$8:$F$10000,"="&amp;Q50,'[1]2_inventory_totals'!$G$8:$G$10000,"="&amp;R50)+SUMIFS('[1]2_inventory_totals'!$R$8:$R$10000,'[1]2_inventory_totals'!$C$8:$C$10000,I50,'[1]2_inventory_totals'!$F$8:$F$10000,"="&amp;Q50,'[1]2_inventory_totals'!$G$8:$G$10000,"="&amp;R50))+(SUMIFS('[1]2_inventory_totals'!$J$8:$J$10000,'[1]2_inventory_totals'!$C$8:$C$10000,I50,'[1]2_inventory_totals'!$F$8:$F$10000,"="&amp;Q50,'[1]2_inventory_totals'!$G$8:$G$10000,"="&amp;R50)+SUMIFS('[1]2_inventory_totals'!$K$8:$K$10000,'[1]2_inventory_totals'!$C$8:$C$10000,I50,'[1]2_inventory_totals'!$F$8:$F$10000,"="&amp;Q50,'[1]2_inventory_totals'!$G$8:$G$10000,"="&amp;R50)+SUMIFS('[1]2_inventory_totals'!$L$8:$L$10000,'[1]2_inventory_totals'!$C$8:$C$10000,I50,'[1]2_inventory_totals'!$F$8:$F$10000,"="&amp;Q50,'[1]2_inventory_totals'!$G$8:$G$10000,"="&amp;R50)+SUMIFS('[1]2_inventory_totals'!$M$8:$M$10000,'[1]2_inventory_totals'!$C$8:$C$10000,I50,'[1]2_inventory_totals'!$F$8:$F$10000,"="&amp;Q50,'[1]2_inventory_totals'!$G$8:$G$10000,"="&amp;R50)+SUMIFS('[1]2_inventory_totals'!$O$8:$O$10000,'[1]2_inventory_totals'!$C$8:$C$10000,I50,'[1]2_inventory_totals'!$F$8:$F$10000,"="&amp;Q50,'[1]2_inventory_totals'!$G$8:$G$10000,"="&amp;R50)+SUMIFS('[1]2_inventory_totals'!$S$8:$S$10000,'[1]2_inventory_totals'!$C$8:$C$10000,I50,'[1]2_inventory_totals'!$F$8:$F$10000,"="&amp;Q50,'[1]2_inventory_totals'!$G$8:$G$10000,"="&amp;R50)))</f>
        <v/>
      </c>
    </row>
    <row r="51" spans="1:54" ht="27" hidden="1" customHeight="1">
      <c r="A51" s="923"/>
      <c r="B51" s="1251"/>
      <c r="C51" s="1268"/>
      <c r="D51" s="950"/>
      <c r="E51" s="950"/>
      <c r="F51" s="1262"/>
      <c r="I51" s="1610" t="str">
        <f t="shared" si="10"/>
        <v/>
      </c>
      <c r="J51" s="1611" t="str">
        <f t="shared" si="112"/>
        <v/>
      </c>
      <c r="K51" s="1612" t="str">
        <f t="shared" si="30"/>
        <v/>
      </c>
      <c r="L51" s="1613"/>
      <c r="M51" s="883"/>
      <c r="N51" s="884"/>
      <c r="O51" s="884"/>
      <c r="P51" s="885"/>
      <c r="Q51" s="886"/>
      <c r="R51" s="891"/>
      <c r="S51" s="1614" t="str">
        <f t="shared" ref="S51" si="194">IF(M51="","",quot_currency_symbol)</f>
        <v/>
      </c>
      <c r="T51" s="888"/>
      <c r="U51" s="1650" t="str">
        <f t="shared" si="13"/>
        <v/>
      </c>
      <c r="V51" s="1615" t="str">
        <f t="shared" ref="V51" si="195">IF(W51=0,"",quot_currency_symbol)</f>
        <v/>
      </c>
      <c r="W51" s="889"/>
      <c r="X51" s="1615" t="str">
        <f t="shared" ref="X51" si="196">IF(M51="","",quot_currency_symbol)</f>
        <v/>
      </c>
      <c r="Y51" s="1616" t="str">
        <f t="shared" si="34"/>
        <v/>
      </c>
      <c r="Z51" s="890"/>
      <c r="AA51" s="197" t="str" cm="1">
        <f t="array" ref="AA51">IF(M51="","",IF(P51=AN51,1,Slookup(MID(AN51,1,3)*1,UomConversion!$D$8:$J$500,5,UomConversion!$E$8:$E$500,MID(P51,1,3)*1,UomConversion!$J$8:$J$500,1)))</f>
        <v/>
      </c>
      <c r="AB51" s="197" t="str">
        <f t="shared" si="3"/>
        <v/>
      </c>
      <c r="AC51" s="197" t="str">
        <f t="shared" si="17"/>
        <v/>
      </c>
      <c r="AD51" s="197" t="str">
        <f t="shared" si="18"/>
        <v/>
      </c>
      <c r="AE51" s="197" t="str">
        <f t="shared" si="19"/>
        <v/>
      </c>
      <c r="AF51" s="197" t="str">
        <f t="shared" si="152"/>
        <v/>
      </c>
      <c r="AG51" s="197" t="str">
        <f t="shared" si="6"/>
        <v/>
      </c>
      <c r="AH51" s="197" t="str">
        <f>IF(I51="","",IF(ISNA(MATCH(I51,IF(quot_location_id=1,'[1]1_inventory_totals'!$C$8:$C$10000,IF(quot_location_id=2,'[1]2_inventory_totals'!$C$8:$C$10000,0)),0)),0,IF(AV51&gt;0,1,0)))</f>
        <v/>
      </c>
      <c r="AI51" s="197" t="str">
        <f>IF(M51="","",IF(quot_location_id=1,SUMIFS('[1]1_inventory_total_details'!$J$8:$J$10000,'[1]1_inventory_total_details'!$C$8:$C$10000,I51,'[1]1_inventory_total_details'!$F$8:$F$10000,quot_location_id,'[1]1_inventory_total_details'!$G$8:$G$10000,"="&amp;Q51,'[1]1_inventory_total_details'!$H$8:$H$10000,"="&amp;R51,'[1]1_inventory_total_details'!$I$8:$I$10000,"="&amp;quot_date)+SUMIFS('[1]1_inventory_total_details'!$M$8:$M$10000,'[1]1_inventory_total_details'!$C$8:$C$10000,I51,'[1]1_inventory_total_details'!$F$8:$F$10000,quot_location_id,'[1]1_inventory_total_details'!$G$8:$G$10000,"="&amp;Q51,'[1]1_inventory_total_details'!$H$8:$H$10000,"="&amp;R51,'[1]1_inventory_total_details'!$I$8:$I$10000,"="&amp;quot_date)+SUMIFS('[1]1_inventory_total_details'!$K$8:$K$10000,'[1]1_inventory_total_details'!$C$8:$C$10000,I51,'[1]1_inventory_total_details'!$F$8:$F$10000,quot_location_id,'[1]1_inventory_total_details'!$G$8:$G$10000,"="&amp;Q51,'[1]1_inventory_total_details'!$H$8:$H$10000,"="&amp;R51,'[1]1_inventory_total_details'!$I$8:$I$10000,"="&amp;quot_date)+SUMIFS('[1]1_inventory_total_details'!$L$8:$L$10000,'[1]1_inventory_total_details'!$C$8:$C$10000,I51,'[1]1_inventory_total_details'!$F$8:$F$10000,quot_location_id,'[1]1_inventory_total_details'!$G$8:$G$10000,"="&amp;Q51,'[1]1_inventory_total_details'!$H$8:$H$10000,"="&amp;R51,'[1]1_inventory_total_details'!$I$8:$I$10000,"="&amp;quot_date),SUMIFS('[1]2_inventory_total_details'!$J$8:$J$10000,'[1]2_inventory_total_details'!$C$8:$C$10000,I51,'[1]2_inventory_total_details'!$F$8:$F$10000,quot_location_id,'[1]2_inventory_total_details'!$G$8:$G$10000,"="&amp;Q51,'[1]2_inventory_total_details'!$H$8:$H$10000,"="&amp;R51,'[1]2_inventory_total_details'!$I$8:$I$10000,"="&amp;quot_date)+SUMIFS('[1]2_inventory_total_details'!$M$8:$M$10000,'[1]2_inventory_total_details'!$C$8:$C$10000,I51,'[1]2_inventory_total_details'!$F$8:$F$10000,quot_location_id,'[1]2_inventory_total_details'!$G$8:$G$10000,"="&amp;Q51,'[1]2_inventory_total_details'!$H$8:$H$10000,"="&amp;R51,'[1]2_inventory_total_details'!$I$8:$I$10000,"="&amp;quot_date)+SUMIFS('[1]2_inventory_total_details'!$K$8:$K$10000,'[1]2_inventory_total_details'!$C$8:$C$10000,I51,'[1]2_inventory_total_details'!$F$8:$F$10000,quot_location_id,'[1]2_inventory_total_details'!$G$8:$G$10000,"="&amp;Q51,'[1]2_inventory_total_details'!$H$8:$H$10000,"="&amp;R51,'[1]2_inventory_total_details'!$I$8:$I$10000,"="&amp;quot_date)+SUMIFS('[1]2_inventory_total_details'!$L$8:$L$10000,'[1]2_inventory_total_details'!$C$8:$C$10000,I51,'[1]2_inventory_total_details'!$F$8:$F$10000,quot_location_id,'[1]2_inventory_total_details'!$G$8:$G$10000,"="&amp;Q51,'[1]2_inventory_total_details'!$H$8:$H$10000,"="&amp;R51,'[1]2_inventory_total_details'!$I$8:$I$10000,"="&amp;quot_date)))</f>
        <v/>
      </c>
      <c r="AJ51" s="197" t="str">
        <f>IF(M51="","",IF(ISNA(MATCH(I51,'[1]1_group_totals'!$C$8:$C$10000)),0,IF(AW51&gt;0,1,0)))</f>
        <v/>
      </c>
      <c r="AK51" s="197" t="str">
        <f>IF(M51="","",(SUMIFS('[1]1_group_total_details'!$I$8:$I$10000,'[1]1_group_total_details'!$C$8:$C$10000,I51,'[1]1_group_total_details'!$F$8:$F$10000,quot_location_group_id,'[1]1_group_total_details'!$G$8:$G$10000,quot_location_id,'[1]1_group_total_details'!$H$8:$H$10000,"="&amp;quot_date)+SUMIFS('[1]1_group_total_details'!$L$8:$L$10000,'[1]1_group_total_details'!$C$8:$C$10000,I51,'[1]1_group_total_details'!$F$8:$F$10000,quot_location_group_id,'[1]1_group_total_details'!$G$8:$G$10000,quot_location_id,'[1]1_group_total_details'!$H$8:$H$10000,"="&amp;quot_date)+SUMIFS('[1]1_group_total_details'!$N$8:$N$10000,'[1]1_group_total_details'!$C$8:$C$10000,I51,'[1]1_group_total_details'!$F$8:$F$10000,quot_location_group_id,'[1]1_group_total_details'!$G$8:$G$10000,quot_location_id,'[1]1_group_total_details'!$H$8:$H$10000,"="&amp;quot_date)+SUMIFS('[1]1_group_total_details'!$O$8:$O$10000,'[1]1_group_total_details'!$C$8:$C$10000,I51,'[1]1_group_total_details'!$F$8:$F$10000,quot_location_group_id,'[1]1_group_total_details'!$G$8:$G$10000,quot_location_id,'[1]1_group_total_details'!$H$8:$H$10000,"="&amp;quot_date))+(SUMIFS('[1]1_group_total_details'!$J$8:$J$10000,'[1]1_group_total_details'!$C$8:$C$10000,I51,'[1]1_group_total_details'!$F$8:$F$10000,quot_location_group_id,'[1]1_group_total_details'!$G$8:$G$10000,quot_location_id,'[1]1_group_total_details'!$H$8:$H$10000,"="&amp;quot_date)+SUMIFS('[1]1_group_total_details'!$K$8:$K$10000,'[1]1_group_total_details'!$C$8:$C$10000,I51,'[1]1_group_total_details'!$F$8:$F$10000,quot_location_group_id,'[1]1_group_total_details'!$G$8:$G$10000,quot_location_id,'[1]1_group_total_details'!$H$8:$H$10000,"="&amp;quot_date)+SUMIFS('[1]1_group_total_details'!$M$8:$M$10000,'[1]1_group_total_details'!$C$8:$C$10000,I51,'[1]1_group_total_details'!$F$8:$F$10000,quot_location_group_id,'[1]1_group_total_details'!$G$8:$G$10000,quot_location_id,'[1]1_group_total_details'!$H$8:$H$10000,"="&amp;quot_date)+SUMIFS('[1]1_group_total_details'!$P$8:$P$10000,'[1]1_group_total_details'!$C$8:$C$10000,I51,'[1]1_group_total_details'!$F$8:$F$10000,quot_location_group_id,'[1]1_group_total_details'!$G$8:$G$10000,quot_location_id,'[1]1_group_total_details'!$H$8:$H$10000,"="&amp;quot_date)))</f>
        <v/>
      </c>
      <c r="AL51" s="197" t="str">
        <f>IF(M51="","",(SUMIFS('[1]1_group_total_details'!$I$8:$I$10000,'[1]1_group_total_details'!$C$8:$C$10000,I51,'[1]1_group_total_details'!$F$8:$F$10000,quot_location_group_id,'[1]1_group_total_details'!$G$8:$G$10000,quot_location_id,'[1]1_group_total_details'!$H$8:$H$10000,"&lt;="&amp;quot_date)+SUMIFS('[1]1_group_total_details'!$L$8:$L$10000,'[1]1_group_total_details'!$C$8:$C$10000,I51,'[1]1_group_total_details'!$F$8:$F$10000,quot_location_group_id,'[1]1_group_total_details'!$G$8:$G$10000,1,'[1]1_group_total_details'!$H$8:$H$10000,"&lt;="&amp;quot_date)+SUMIFS('[1]1_group_total_details'!$N$8:$N$10000,'[1]1_group_total_details'!$C$8:$C$10000,I51,'[1]1_group_total_details'!$F$8:$F$10000,quot_location_group_id,'[1]1_group_total_details'!$G$8:$G$10000,quot_location_id,'[1]1_group_total_details'!$H$8:$H$10000,"&lt;="&amp;quot_date)+SUMIFS('[1]1_group_total_details'!$O$8:$O$10000,'[1]1_group_total_details'!$C$8:$C$10000,I51,'[1]1_group_total_details'!$F$8:$F$10000,quot_location_group_id,'[1]1_group_total_details'!$G$8:$G$10000,quot_location_id,'[1]1_group_total_details'!$H$8:$H$10000,"&lt;="&amp;quot_date))-(SUMIFS('[1]1_group_total_details'!$J$8:$J$10000,'[1]1_group_total_details'!$C$8:$C$10000,I51,'[1]1_group_total_details'!$F$8:$F$10000,quot_location_group_id,'[1]1_group_total_details'!$G$8:$G$10000,quot_location_id,'[1]1_group_total_details'!$H$8:$H$10000,"&lt;="&amp;quot_date)+SUMIFS('[1]1_group_total_details'!$K$8:$K$10000,'[1]1_group_total_details'!$C$8:$C$10000,I51,'[1]1_group_total_details'!$F$8:$F$10000,quot_location_group_id,'[1]1_group_total_details'!$G$8:$G$10000,quot_location_id,'[1]1_group_total_details'!$H$8:$H$10000,"&lt;="&amp;quot_date)+SUMIFS('[1]1_group_total_details'!$M$8:$M$10000,'[1]1_group_total_details'!$C$8:$C$10000,I51,'[1]1_group_total_details'!$F$8:$F$10000,quot_location_group_id,'[1]1_group_total_details'!$G$8:$G$10000,quot_location_id,'[1]1_group_total_details'!$H$8:$H$10000,"&lt;="&amp;quot_date)+SUMIFS('[1]1_group_total_details'!$P$8:$P$10000,'[1]1_group_total_details'!$C$8:$C$10000,I51,'[1]1_group_total_details'!$F$8:$F$10000,quot_location_group_id,'[1]1_group_total_details'!$G$8:$G$10000,quot_location_id,'[1]1_group_total_details'!$H$8:$H$10000,"&lt;="&amp;quot_date)))</f>
        <v/>
      </c>
      <c r="AM51" s="197" t="str">
        <f>IF(M51="","",SUMIFS('[1]1_group_totals'!$J$8:$J$10000,'[1]1_group_totals'!$C$8:$C$10000,I51,'[1]1_group_totals'!$F$8:$F$10000,quot_location_group_id,'[1]1_group_totals'!$G$8:$G$10000,quot_location_id,'[1]1_group_totals'!$H$8:$H$10000,"="&amp;Q51,'[1]1_group_totals'!$I$8:$I$10000,"="&amp;R51))</f>
        <v/>
      </c>
      <c r="AN51" s="197" t="str">
        <f t="shared" si="7"/>
        <v/>
      </c>
      <c r="AO51" s="197" t="str">
        <f>IF(OR(ISNA(MATCH(MID(AN51,1,3)*1,UomConversion!$D$8:$D$500,0)),M51=""),"",IF(AT51="","",AT51))</f>
        <v/>
      </c>
      <c r="AP51" s="197" t="str">
        <f>IF(AND(AQ51&gt;0,COUNTIFS(UomConversion!$D$8:$D$500,MID(AN51,1,3)*1,UomConversion!$J$8:$J$500,1)&gt;1),TEXT(AQ51,"000")&amp;"."&amp;VLOOKUP(AQ51,uom_list,5,FALSE),"")</f>
        <v/>
      </c>
      <c r="AQ51" s="197" t="str">
        <f t="shared" si="20"/>
        <v/>
      </c>
      <c r="AR51" s="197" t="str">
        <f t="shared" si="21"/>
        <v/>
      </c>
      <c r="AS51" s="197" t="str">
        <f>IF(M51="","",SUMIFS(ProductPrice!$N$28:$N$10020,ProductPrice!$D$28:$D$10020,I51,ProductPrice!$G$28:$G$10020,quot_branch_id,ProductPrice!$H$28:$H$10020,quot_price_type_id,ProductPrice!$I$28:$I$10020,MID(P51,1,3)*1,ProductPrice!$Q$28:$Q$10020,1))</f>
        <v/>
      </c>
      <c r="AT51" s="197" t="str">
        <f t="shared" si="8"/>
        <v/>
      </c>
      <c r="AU51" s="197" t="str" cm="1">
        <f t="array" ref="AU51">IF(M51="","",IF(ISNA(Slookup(MID(AN51,1,3)*1,UomConversion!$D$8:$J$500,2,UomConversion!$I$8:$I$500,1,UomConversion!$J$8:$J$500,1)),"",Slookup(MID(AN51,1,3)*1,UomConversion!$D$8:$J$500,2,UomConversion!$I$8:$I$500,1,UomConversion!$J$8:$J$500,1)))</f>
        <v/>
      </c>
      <c r="AV51" s="197" t="str">
        <f t="shared" ref="AV51" si="197">IF(M51="","",IF(quot_location_id=1,BA51,IF(quot_location_id=2,BB51,0)))</f>
        <v/>
      </c>
      <c r="AW51" s="197" t="str">
        <f>IF(M51="","",(SUMIFS('[1]1_group_totals'!$K$8:$K$10000,'[1]1_group_totals'!$C$8:$C$10000,I51,'[1]1_group_totals'!$F$8:$F$10000,quot_location_group_id,'[1]1_group_totals'!$G$8:$G$10000,quot_location_id,'[1]1_group_totals'!$H$8:$H$10000,"="&amp;Q51,'[1]1_group_totals'!$I$8:$I$10000,"="&amp;R51)+SUMIFS('[1]1_group_totals'!$N$8:$N$10000,'[1]1_group_totals'!$C$8:$C$10000,I51,'[1]1_group_totals'!$F$8:$F$10000,quot_location_group_id,'[1]1_group_totals'!$G$8:$G$10000,quot_location_id,'[1]1_group_totals'!$H$8:$H$10000,"="&amp;Q51,'[1]1_group_totals'!$I$8:$I$10000,"="&amp;R51)+SUMIFS('[1]1_group_totals'!$P$8:$P$10000,'[1]1_group_totals'!$C$8:$C$10000,I51,'[1]1_group_totals'!$F$8:$F$10000,quot_location_group_id,'[1]1_group_totals'!$G$8:$G$10000,quot_location_id,'[1]1_group_totals'!$H$8:$H$10000,"="&amp;Q51,'[1]1_group_totals'!$I$8:$I$10000,"="&amp;R51)+SUMIFS('[1]1_group_totals'!$Q$8:$Q$10000,'[1]1_group_totals'!$C$8:$C$10000,I51,'[1]1_group_totals'!$F$8:$F$10000,quot_location_group_id,'[1]1_group_totals'!$G$8:$G$10000,quot_location_id,'[1]1_group_totals'!$H$8:$H$10000,"="&amp;Q51,'[1]1_group_totals'!$I$8:$I$10000,"="&amp;R51))+(SUMIFS('[1]1_group_totals'!$L$8:$L$10000,'[1]1_group_totals'!$C$8:$C$10000,I51,'[1]1_group_totals'!$F$8:$F$10000,quot_location_group_id,'[1]1_group_totals'!$G$8:$G$10000,quot_location_id,'[1]1_group_totals'!$H$8:$H$10000,"="&amp;Q51,'[1]1_group_totals'!$I$8:$I$10000,"="&amp;R51)+SUMIFS('[1]1_group_totals'!$M$8:$M$10000,'[1]1_group_totals'!$C$8:$C$10000,I51,'[1]1_group_totals'!$F$8:$F$10000,quot_location_group_id,'[1]1_group_totals'!$G$8:$G$10000,quot_location_id,'[1]1_group_totals'!$H$8:$H$10000,"="&amp;Q51,'[1]1_group_totals'!$I$8:$I$10000,"="&amp;R51)+SUMIFS('[1]1_group_totals'!$O$8:$O$10000,'[1]1_group_totals'!$C$8:$C$10000,I51,'[1]1_group_totals'!$F$8:$F$10000,quot_location_group_id,'[1]1_group_totals'!$G$8:$G$10000,quot_location_id,'[1]1_group_totals'!$H$8:$H$10000,"="&amp;Q51,'[1]1_group_totals'!$I$8:$I$10000,"="&amp;R51)+SUMIFS('[1]1_group_totals'!$R$8:$R$10000,'[1]1_group_totals'!$C$8:$C$10000,I51,'[1]1_group_totals'!$F$8:$F$10000,quot_location_group_id,'[1]1_group_totals'!$G$8:$G$10000,quot_location_id,'[1]1_group_totals'!$H$8:$H$10000,"="&amp;Q51,'[1]1_group_totals'!$I$8:$I$10000,"="&amp;R51)))</f>
        <v/>
      </c>
      <c r="AX51" s="197" t="str">
        <f t="shared" si="23"/>
        <v/>
      </c>
      <c r="AY51" s="197" t="str">
        <f>IF(M51="","",SUMIFS($AX$8:AX51,$I$8:I51,I51))</f>
        <v/>
      </c>
      <c r="AZ51" s="197" t="str">
        <f t="shared" si="24"/>
        <v/>
      </c>
      <c r="BA51" s="197" t="str">
        <f>IF(M51="","",(SUMIFS('[1]1_inventory_totals'!$I$8:$I$10000,'[1]1_inventory_totals'!$C$8:$C$10000,I51,'[1]1_inventory_totals'!$F$8:$F$10000,"="&amp;Q51,'[1]1_inventory_totals'!$G$8:$G$10000,"="&amp;R51)+SUMIFS('[1]1_inventory_totals'!$N$8:$N$10000,'[1]1_inventory_totals'!$C$8:$C$10000,I51,'[1]1_inventory_totals'!$F$8:$F$10000,"="&amp;Q51,'[1]1_inventory_totals'!$G$8:$G$10000,"="&amp;R51)+SUMIFS('[1]1_inventory_totals'!$P$8:$P$10000,'[1]1_inventory_totals'!$C$8:$C$10000,I51,'[1]1_inventory_totals'!$F$8:$F$10000,"="&amp;Q51,'[1]1_inventory_totals'!$G$8:$G$10000,"="&amp;R51)+SUMIFS('[1]1_inventory_totals'!$Q$8:$Q$10000,'[1]1_inventory_totals'!$C$8:$C$10000,I51,'[1]1_inventory_totals'!$F$8:$F$10000,"="&amp;Q51,'[1]1_inventory_totals'!$G$8:$G$10000,"="&amp;R51)+SUMIFS('[1]1_inventory_totals'!$R$8:$R$10000,'[1]1_inventory_totals'!$C$8:$C$10000,I51,'[1]1_inventory_totals'!$F$8:$F$10000,"="&amp;Q51,'[1]1_inventory_totals'!$G$8:$G$10000,"="&amp;R51))+(SUMIFS('[1]1_inventory_totals'!$J$8:$J$10000,'[1]1_inventory_totals'!$C$8:$C$10000,I51,'[1]1_inventory_totals'!$F$8:$F$10000,"="&amp;Q51,'[1]1_inventory_totals'!$G$8:$G$10000,"="&amp;R51)+SUMIFS('[1]1_inventory_totals'!$K$8:$K$10000,'[1]1_inventory_totals'!$C$8:$C$10000,I51,'[1]1_inventory_totals'!$F$8:$F$10000,"="&amp;Q51,'[1]1_inventory_totals'!$G$8:$G$10000,"="&amp;R51)+SUMIFS('[1]1_inventory_totals'!$L$8:$L$10000,'[1]1_inventory_totals'!$C$8:$C$10000,I51,'[1]1_inventory_totals'!$F$8:$F$10000,"="&amp;Q51,'[1]1_inventory_totals'!$G$8:$G$10000,"="&amp;R51)+SUMIFS('[1]1_inventory_totals'!$M$8:$M$10000,'[1]1_inventory_totals'!$C$8:$C$10000,I51,'[1]1_inventory_totals'!$F$8:$F$10000,"="&amp;Q51,'[1]1_inventory_totals'!$G$8:$G$10000,"="&amp;R51)+SUMIFS('[1]1_inventory_totals'!$O$8:$O$10000,'[1]1_inventory_totals'!$C$8:$C$10000,I51,'[1]1_inventory_totals'!$F$8:$F$10000,"="&amp;Q51,'[1]1_inventory_totals'!$G$8:$G$10000,"="&amp;R51)+SUMIFS('[1]1_inventory_totals'!$S$8:$S$10000,'[1]1_inventory_totals'!$C$8:$C$10000,I51,'[1]1_inventory_totals'!$F$8:$F$10000,"="&amp;Q51,'[1]1_inventory_totals'!$G$8:$G$10000,"="&amp;R51)))</f>
        <v/>
      </c>
      <c r="BB51" s="197" t="str">
        <f>IF(M51="","",(SUMIFS('[1]2_inventory_totals'!$I$8:$I$10000,'[1]2_inventory_totals'!$C$8:$C$10000,I51,'[1]2_inventory_totals'!$F$8:$F$10000,"="&amp;Q51,'[1]2_inventory_totals'!$G$8:$G$10000,"="&amp;R51)+SUMIFS('[1]2_inventory_totals'!$N$8:$N$10000,'[1]2_inventory_totals'!$C$8:$C$10000,I51,'[1]2_inventory_totals'!$F$8:$F$10000,"="&amp;Q51,'[1]2_inventory_totals'!$G$8:$G$10000,"="&amp;R51)+SUMIFS('[1]2_inventory_totals'!$P$8:$P$10000,'[1]2_inventory_totals'!$C$8:$C$10000,I51,'[1]2_inventory_totals'!$F$8:$F$10000,"="&amp;Q51,'[1]2_inventory_totals'!$G$8:$G$10000,"="&amp;R51)+SUMIFS('[1]2_inventory_totals'!$Q$8:$Q$10000,'[1]2_inventory_totals'!$C$8:$C$10000,I51,'[1]2_inventory_totals'!$F$8:$F$10000,"="&amp;Q51,'[1]2_inventory_totals'!$G$8:$G$10000,"="&amp;R51)+SUMIFS('[1]2_inventory_totals'!$R$8:$R$10000,'[1]2_inventory_totals'!$C$8:$C$10000,I51,'[1]2_inventory_totals'!$F$8:$F$10000,"="&amp;Q51,'[1]2_inventory_totals'!$G$8:$G$10000,"="&amp;R51))+(SUMIFS('[1]2_inventory_totals'!$J$8:$J$10000,'[1]2_inventory_totals'!$C$8:$C$10000,I51,'[1]2_inventory_totals'!$F$8:$F$10000,"="&amp;Q51,'[1]2_inventory_totals'!$G$8:$G$10000,"="&amp;R51)+SUMIFS('[1]2_inventory_totals'!$K$8:$K$10000,'[1]2_inventory_totals'!$C$8:$C$10000,I51,'[1]2_inventory_totals'!$F$8:$F$10000,"="&amp;Q51,'[1]2_inventory_totals'!$G$8:$G$10000,"="&amp;R51)+SUMIFS('[1]2_inventory_totals'!$L$8:$L$10000,'[1]2_inventory_totals'!$C$8:$C$10000,I51,'[1]2_inventory_totals'!$F$8:$F$10000,"="&amp;Q51,'[1]2_inventory_totals'!$G$8:$G$10000,"="&amp;R51)+SUMIFS('[1]2_inventory_totals'!$M$8:$M$10000,'[1]2_inventory_totals'!$C$8:$C$10000,I51,'[1]2_inventory_totals'!$F$8:$F$10000,"="&amp;Q51,'[1]2_inventory_totals'!$G$8:$G$10000,"="&amp;R51)+SUMIFS('[1]2_inventory_totals'!$O$8:$O$10000,'[1]2_inventory_totals'!$C$8:$C$10000,I51,'[1]2_inventory_totals'!$F$8:$F$10000,"="&amp;Q51,'[1]2_inventory_totals'!$G$8:$G$10000,"="&amp;R51)+SUMIFS('[1]2_inventory_totals'!$S$8:$S$10000,'[1]2_inventory_totals'!$C$8:$C$10000,I51,'[1]2_inventory_totals'!$F$8:$F$10000,"="&amp;Q51,'[1]2_inventory_totals'!$G$8:$G$10000,"="&amp;R51)))</f>
        <v/>
      </c>
    </row>
    <row r="52" spans="1:54" ht="27" hidden="1" customHeight="1">
      <c r="A52" s="923"/>
      <c r="B52" s="1251"/>
      <c r="C52" s="1268"/>
      <c r="D52" s="950"/>
      <c r="E52" s="950"/>
      <c r="F52" s="1262"/>
      <c r="I52" s="1610" t="str">
        <f t="shared" si="10"/>
        <v/>
      </c>
      <c r="J52" s="1611" t="str">
        <f t="shared" si="112"/>
        <v/>
      </c>
      <c r="K52" s="1612" t="str">
        <f t="shared" si="30"/>
        <v/>
      </c>
      <c r="L52" s="1613"/>
      <c r="M52" s="883"/>
      <c r="N52" s="884"/>
      <c r="O52" s="884"/>
      <c r="P52" s="885"/>
      <c r="Q52" s="886"/>
      <c r="R52" s="891"/>
      <c r="S52" s="1614" t="str">
        <f t="shared" ref="S52" si="198">IF(M52="","",quot_currency_symbol)</f>
        <v/>
      </c>
      <c r="T52" s="888"/>
      <c r="U52" s="1650" t="str">
        <f t="shared" si="13"/>
        <v/>
      </c>
      <c r="V52" s="1615" t="str">
        <f t="shared" ref="V52" si="199">IF(W52=0,"",quot_currency_symbol)</f>
        <v/>
      </c>
      <c r="W52" s="889"/>
      <c r="X52" s="1615" t="str">
        <f t="shared" ref="X52" si="200">IF(M52="","",quot_currency_symbol)</f>
        <v/>
      </c>
      <c r="Y52" s="1616" t="str">
        <f t="shared" si="34"/>
        <v/>
      </c>
      <c r="Z52" s="890"/>
      <c r="AA52" s="197" t="str" cm="1">
        <f t="array" ref="AA52">IF(M52="","",IF(P52=AN52,1,Slookup(MID(AN52,1,3)*1,UomConversion!$D$8:$J$500,5,UomConversion!$E$8:$E$500,MID(P52,1,3)*1,UomConversion!$J$8:$J$500,1)))</f>
        <v/>
      </c>
      <c r="AB52" s="197" t="str">
        <f t="shared" si="3"/>
        <v/>
      </c>
      <c r="AC52" s="197" t="str">
        <f t="shared" si="17"/>
        <v/>
      </c>
      <c r="AD52" s="197" t="str">
        <f t="shared" si="18"/>
        <v/>
      </c>
      <c r="AE52" s="197" t="str">
        <f t="shared" si="19"/>
        <v/>
      </c>
      <c r="AF52" s="197" t="str">
        <f t="shared" si="152"/>
        <v/>
      </c>
      <c r="AG52" s="197" t="str">
        <f t="shared" si="6"/>
        <v/>
      </c>
      <c r="AH52" s="197" t="str">
        <f>IF(I52="","",IF(ISNA(MATCH(I52,IF(quot_location_id=1,'[1]1_inventory_totals'!$C$8:$C$10000,IF(quot_location_id=2,'[1]2_inventory_totals'!$C$8:$C$10000,0)),0)),0,IF(AV52&gt;0,1,0)))</f>
        <v/>
      </c>
      <c r="AI52" s="197" t="str">
        <f>IF(M52="","",IF(quot_location_id=1,SUMIFS('[1]1_inventory_total_details'!$J$8:$J$10000,'[1]1_inventory_total_details'!$C$8:$C$10000,I52,'[1]1_inventory_total_details'!$F$8:$F$10000,quot_location_id,'[1]1_inventory_total_details'!$G$8:$G$10000,"="&amp;Q52,'[1]1_inventory_total_details'!$H$8:$H$10000,"="&amp;R52,'[1]1_inventory_total_details'!$I$8:$I$10000,"="&amp;quot_date)+SUMIFS('[1]1_inventory_total_details'!$M$8:$M$10000,'[1]1_inventory_total_details'!$C$8:$C$10000,I52,'[1]1_inventory_total_details'!$F$8:$F$10000,quot_location_id,'[1]1_inventory_total_details'!$G$8:$G$10000,"="&amp;Q52,'[1]1_inventory_total_details'!$H$8:$H$10000,"="&amp;R52,'[1]1_inventory_total_details'!$I$8:$I$10000,"="&amp;quot_date)+SUMIFS('[1]1_inventory_total_details'!$K$8:$K$10000,'[1]1_inventory_total_details'!$C$8:$C$10000,I52,'[1]1_inventory_total_details'!$F$8:$F$10000,quot_location_id,'[1]1_inventory_total_details'!$G$8:$G$10000,"="&amp;Q52,'[1]1_inventory_total_details'!$H$8:$H$10000,"="&amp;R52,'[1]1_inventory_total_details'!$I$8:$I$10000,"="&amp;quot_date)+SUMIFS('[1]1_inventory_total_details'!$L$8:$L$10000,'[1]1_inventory_total_details'!$C$8:$C$10000,I52,'[1]1_inventory_total_details'!$F$8:$F$10000,quot_location_id,'[1]1_inventory_total_details'!$G$8:$G$10000,"="&amp;Q52,'[1]1_inventory_total_details'!$H$8:$H$10000,"="&amp;R52,'[1]1_inventory_total_details'!$I$8:$I$10000,"="&amp;quot_date),SUMIFS('[1]2_inventory_total_details'!$J$8:$J$10000,'[1]2_inventory_total_details'!$C$8:$C$10000,I52,'[1]2_inventory_total_details'!$F$8:$F$10000,quot_location_id,'[1]2_inventory_total_details'!$G$8:$G$10000,"="&amp;Q52,'[1]2_inventory_total_details'!$H$8:$H$10000,"="&amp;R52,'[1]2_inventory_total_details'!$I$8:$I$10000,"="&amp;quot_date)+SUMIFS('[1]2_inventory_total_details'!$M$8:$M$10000,'[1]2_inventory_total_details'!$C$8:$C$10000,I52,'[1]2_inventory_total_details'!$F$8:$F$10000,quot_location_id,'[1]2_inventory_total_details'!$G$8:$G$10000,"="&amp;Q52,'[1]2_inventory_total_details'!$H$8:$H$10000,"="&amp;R52,'[1]2_inventory_total_details'!$I$8:$I$10000,"="&amp;quot_date)+SUMIFS('[1]2_inventory_total_details'!$K$8:$K$10000,'[1]2_inventory_total_details'!$C$8:$C$10000,I52,'[1]2_inventory_total_details'!$F$8:$F$10000,quot_location_id,'[1]2_inventory_total_details'!$G$8:$G$10000,"="&amp;Q52,'[1]2_inventory_total_details'!$H$8:$H$10000,"="&amp;R52,'[1]2_inventory_total_details'!$I$8:$I$10000,"="&amp;quot_date)+SUMIFS('[1]2_inventory_total_details'!$L$8:$L$10000,'[1]2_inventory_total_details'!$C$8:$C$10000,I52,'[1]2_inventory_total_details'!$F$8:$F$10000,quot_location_id,'[1]2_inventory_total_details'!$G$8:$G$10000,"="&amp;Q52,'[1]2_inventory_total_details'!$H$8:$H$10000,"="&amp;R52,'[1]2_inventory_total_details'!$I$8:$I$10000,"="&amp;quot_date)))</f>
        <v/>
      </c>
      <c r="AJ52" s="197" t="str">
        <f>IF(M52="","",IF(ISNA(MATCH(I52,'[1]1_group_totals'!$C$8:$C$10000)),0,IF(AW52&gt;0,1,0)))</f>
        <v/>
      </c>
      <c r="AK52" s="197" t="str">
        <f>IF(M52="","",(SUMIFS('[1]1_group_total_details'!$I$8:$I$10000,'[1]1_group_total_details'!$C$8:$C$10000,I52,'[1]1_group_total_details'!$F$8:$F$10000,quot_location_group_id,'[1]1_group_total_details'!$G$8:$G$10000,quot_location_id,'[1]1_group_total_details'!$H$8:$H$10000,"="&amp;quot_date)+SUMIFS('[1]1_group_total_details'!$L$8:$L$10000,'[1]1_group_total_details'!$C$8:$C$10000,I52,'[1]1_group_total_details'!$F$8:$F$10000,quot_location_group_id,'[1]1_group_total_details'!$G$8:$G$10000,quot_location_id,'[1]1_group_total_details'!$H$8:$H$10000,"="&amp;quot_date)+SUMIFS('[1]1_group_total_details'!$N$8:$N$10000,'[1]1_group_total_details'!$C$8:$C$10000,I52,'[1]1_group_total_details'!$F$8:$F$10000,quot_location_group_id,'[1]1_group_total_details'!$G$8:$G$10000,quot_location_id,'[1]1_group_total_details'!$H$8:$H$10000,"="&amp;quot_date)+SUMIFS('[1]1_group_total_details'!$O$8:$O$10000,'[1]1_group_total_details'!$C$8:$C$10000,I52,'[1]1_group_total_details'!$F$8:$F$10000,quot_location_group_id,'[1]1_group_total_details'!$G$8:$G$10000,quot_location_id,'[1]1_group_total_details'!$H$8:$H$10000,"="&amp;quot_date))+(SUMIFS('[1]1_group_total_details'!$J$8:$J$10000,'[1]1_group_total_details'!$C$8:$C$10000,I52,'[1]1_group_total_details'!$F$8:$F$10000,quot_location_group_id,'[1]1_group_total_details'!$G$8:$G$10000,quot_location_id,'[1]1_group_total_details'!$H$8:$H$10000,"="&amp;quot_date)+SUMIFS('[1]1_group_total_details'!$K$8:$K$10000,'[1]1_group_total_details'!$C$8:$C$10000,I52,'[1]1_group_total_details'!$F$8:$F$10000,quot_location_group_id,'[1]1_group_total_details'!$G$8:$G$10000,quot_location_id,'[1]1_group_total_details'!$H$8:$H$10000,"="&amp;quot_date)+SUMIFS('[1]1_group_total_details'!$M$8:$M$10000,'[1]1_group_total_details'!$C$8:$C$10000,I52,'[1]1_group_total_details'!$F$8:$F$10000,quot_location_group_id,'[1]1_group_total_details'!$G$8:$G$10000,quot_location_id,'[1]1_group_total_details'!$H$8:$H$10000,"="&amp;quot_date)+SUMIFS('[1]1_group_total_details'!$P$8:$P$10000,'[1]1_group_total_details'!$C$8:$C$10000,I52,'[1]1_group_total_details'!$F$8:$F$10000,quot_location_group_id,'[1]1_group_total_details'!$G$8:$G$10000,quot_location_id,'[1]1_group_total_details'!$H$8:$H$10000,"="&amp;quot_date)))</f>
        <v/>
      </c>
      <c r="AL52" s="197" t="str">
        <f>IF(M52="","",(SUMIFS('[1]1_group_total_details'!$I$8:$I$10000,'[1]1_group_total_details'!$C$8:$C$10000,I52,'[1]1_group_total_details'!$F$8:$F$10000,quot_location_group_id,'[1]1_group_total_details'!$G$8:$G$10000,quot_location_id,'[1]1_group_total_details'!$H$8:$H$10000,"&lt;="&amp;quot_date)+SUMIFS('[1]1_group_total_details'!$L$8:$L$10000,'[1]1_group_total_details'!$C$8:$C$10000,I52,'[1]1_group_total_details'!$F$8:$F$10000,quot_location_group_id,'[1]1_group_total_details'!$G$8:$G$10000,1,'[1]1_group_total_details'!$H$8:$H$10000,"&lt;="&amp;quot_date)+SUMIFS('[1]1_group_total_details'!$N$8:$N$10000,'[1]1_group_total_details'!$C$8:$C$10000,I52,'[1]1_group_total_details'!$F$8:$F$10000,quot_location_group_id,'[1]1_group_total_details'!$G$8:$G$10000,quot_location_id,'[1]1_group_total_details'!$H$8:$H$10000,"&lt;="&amp;quot_date)+SUMIFS('[1]1_group_total_details'!$O$8:$O$10000,'[1]1_group_total_details'!$C$8:$C$10000,I52,'[1]1_group_total_details'!$F$8:$F$10000,quot_location_group_id,'[1]1_group_total_details'!$G$8:$G$10000,quot_location_id,'[1]1_group_total_details'!$H$8:$H$10000,"&lt;="&amp;quot_date))-(SUMIFS('[1]1_group_total_details'!$J$8:$J$10000,'[1]1_group_total_details'!$C$8:$C$10000,I52,'[1]1_group_total_details'!$F$8:$F$10000,quot_location_group_id,'[1]1_group_total_details'!$G$8:$G$10000,quot_location_id,'[1]1_group_total_details'!$H$8:$H$10000,"&lt;="&amp;quot_date)+SUMIFS('[1]1_group_total_details'!$K$8:$K$10000,'[1]1_group_total_details'!$C$8:$C$10000,I52,'[1]1_group_total_details'!$F$8:$F$10000,quot_location_group_id,'[1]1_group_total_details'!$G$8:$G$10000,quot_location_id,'[1]1_group_total_details'!$H$8:$H$10000,"&lt;="&amp;quot_date)+SUMIFS('[1]1_group_total_details'!$M$8:$M$10000,'[1]1_group_total_details'!$C$8:$C$10000,I52,'[1]1_group_total_details'!$F$8:$F$10000,quot_location_group_id,'[1]1_group_total_details'!$G$8:$G$10000,quot_location_id,'[1]1_group_total_details'!$H$8:$H$10000,"&lt;="&amp;quot_date)+SUMIFS('[1]1_group_total_details'!$P$8:$P$10000,'[1]1_group_total_details'!$C$8:$C$10000,I52,'[1]1_group_total_details'!$F$8:$F$10000,quot_location_group_id,'[1]1_group_total_details'!$G$8:$G$10000,quot_location_id,'[1]1_group_total_details'!$H$8:$H$10000,"&lt;="&amp;quot_date)))</f>
        <v/>
      </c>
      <c r="AM52" s="197" t="str">
        <f>IF(M52="","",SUMIFS('[1]1_group_totals'!$J$8:$J$10000,'[1]1_group_totals'!$C$8:$C$10000,I52,'[1]1_group_totals'!$F$8:$F$10000,quot_location_group_id,'[1]1_group_totals'!$G$8:$G$10000,quot_location_id,'[1]1_group_totals'!$H$8:$H$10000,"="&amp;Q52,'[1]1_group_totals'!$I$8:$I$10000,"="&amp;R52))</f>
        <v/>
      </c>
      <c r="AN52" s="197" t="str">
        <f t="shared" si="7"/>
        <v/>
      </c>
      <c r="AO52" s="197" t="str">
        <f>IF(OR(ISNA(MATCH(MID(AN52,1,3)*1,UomConversion!$D$8:$D$500,0)),M52=""),"",IF(AT52="","",AT52))</f>
        <v/>
      </c>
      <c r="AP52" s="197" t="str">
        <f>IF(AND(AQ52&gt;0,COUNTIFS(UomConversion!$D$8:$D$500,MID(AN52,1,3)*1,UomConversion!$J$8:$J$500,1)&gt;1),TEXT(AQ52,"000")&amp;"."&amp;VLOOKUP(AQ52,uom_list,5,FALSE),"")</f>
        <v/>
      </c>
      <c r="AQ52" s="197" t="str">
        <f t="shared" si="20"/>
        <v/>
      </c>
      <c r="AR52" s="197" t="str">
        <f t="shared" si="21"/>
        <v/>
      </c>
      <c r="AS52" s="197" t="str">
        <f>IF(M52="","",SUMIFS(ProductPrice!$N$28:$N$10020,ProductPrice!$D$28:$D$10020,I52,ProductPrice!$G$28:$G$10020,quot_branch_id,ProductPrice!$H$28:$H$10020,quot_price_type_id,ProductPrice!$I$28:$I$10020,MID(P52,1,3)*1,ProductPrice!$Q$28:$Q$10020,1))</f>
        <v/>
      </c>
      <c r="AT52" s="197" t="str">
        <f t="shared" si="8"/>
        <v/>
      </c>
      <c r="AU52" s="197" t="str" cm="1">
        <f t="array" ref="AU52">IF(M52="","",IF(ISNA(Slookup(MID(AN52,1,3)*1,UomConversion!$D$8:$J$500,2,UomConversion!$I$8:$I$500,1,UomConversion!$J$8:$J$500,1)),"",Slookup(MID(AN52,1,3)*1,UomConversion!$D$8:$J$500,2,UomConversion!$I$8:$I$500,1,UomConversion!$J$8:$J$500,1)))</f>
        <v/>
      </c>
      <c r="AV52" s="197" t="str">
        <f t="shared" ref="AV52" si="201">IF(M52="","",IF(quot_location_id=1,BA52,IF(quot_location_id=2,BB52,0)))</f>
        <v/>
      </c>
      <c r="AW52" s="197" t="str">
        <f>IF(M52="","",(SUMIFS('[1]1_group_totals'!$K$8:$K$10000,'[1]1_group_totals'!$C$8:$C$10000,I52,'[1]1_group_totals'!$F$8:$F$10000,quot_location_group_id,'[1]1_group_totals'!$G$8:$G$10000,quot_location_id,'[1]1_group_totals'!$H$8:$H$10000,"="&amp;Q52,'[1]1_group_totals'!$I$8:$I$10000,"="&amp;R52)+SUMIFS('[1]1_group_totals'!$N$8:$N$10000,'[1]1_group_totals'!$C$8:$C$10000,I52,'[1]1_group_totals'!$F$8:$F$10000,quot_location_group_id,'[1]1_group_totals'!$G$8:$G$10000,quot_location_id,'[1]1_group_totals'!$H$8:$H$10000,"="&amp;Q52,'[1]1_group_totals'!$I$8:$I$10000,"="&amp;R52)+SUMIFS('[1]1_group_totals'!$P$8:$P$10000,'[1]1_group_totals'!$C$8:$C$10000,I52,'[1]1_group_totals'!$F$8:$F$10000,quot_location_group_id,'[1]1_group_totals'!$G$8:$G$10000,quot_location_id,'[1]1_group_totals'!$H$8:$H$10000,"="&amp;Q52,'[1]1_group_totals'!$I$8:$I$10000,"="&amp;R52)+SUMIFS('[1]1_group_totals'!$Q$8:$Q$10000,'[1]1_group_totals'!$C$8:$C$10000,I52,'[1]1_group_totals'!$F$8:$F$10000,quot_location_group_id,'[1]1_group_totals'!$G$8:$G$10000,quot_location_id,'[1]1_group_totals'!$H$8:$H$10000,"="&amp;Q52,'[1]1_group_totals'!$I$8:$I$10000,"="&amp;R52))+(SUMIFS('[1]1_group_totals'!$L$8:$L$10000,'[1]1_group_totals'!$C$8:$C$10000,I52,'[1]1_group_totals'!$F$8:$F$10000,quot_location_group_id,'[1]1_group_totals'!$G$8:$G$10000,quot_location_id,'[1]1_group_totals'!$H$8:$H$10000,"="&amp;Q52,'[1]1_group_totals'!$I$8:$I$10000,"="&amp;R52)+SUMIFS('[1]1_group_totals'!$M$8:$M$10000,'[1]1_group_totals'!$C$8:$C$10000,I52,'[1]1_group_totals'!$F$8:$F$10000,quot_location_group_id,'[1]1_group_totals'!$G$8:$G$10000,quot_location_id,'[1]1_group_totals'!$H$8:$H$10000,"="&amp;Q52,'[1]1_group_totals'!$I$8:$I$10000,"="&amp;R52)+SUMIFS('[1]1_group_totals'!$O$8:$O$10000,'[1]1_group_totals'!$C$8:$C$10000,I52,'[1]1_group_totals'!$F$8:$F$10000,quot_location_group_id,'[1]1_group_totals'!$G$8:$G$10000,quot_location_id,'[1]1_group_totals'!$H$8:$H$10000,"="&amp;Q52,'[1]1_group_totals'!$I$8:$I$10000,"="&amp;R52)+SUMIFS('[1]1_group_totals'!$R$8:$R$10000,'[1]1_group_totals'!$C$8:$C$10000,I52,'[1]1_group_totals'!$F$8:$F$10000,quot_location_group_id,'[1]1_group_totals'!$G$8:$G$10000,quot_location_id,'[1]1_group_totals'!$H$8:$H$10000,"="&amp;Q52,'[1]1_group_totals'!$I$8:$I$10000,"="&amp;R52)))</f>
        <v/>
      </c>
      <c r="AX52" s="197" t="str">
        <f t="shared" si="23"/>
        <v/>
      </c>
      <c r="AY52" s="197" t="str">
        <f>IF(M52="","",SUMIFS($AX$8:AX52,$I$8:I52,I52))</f>
        <v/>
      </c>
      <c r="AZ52" s="197" t="str">
        <f t="shared" si="24"/>
        <v/>
      </c>
      <c r="BA52" s="197" t="str">
        <f>IF(M52="","",(SUMIFS('[1]1_inventory_totals'!$I$8:$I$10000,'[1]1_inventory_totals'!$C$8:$C$10000,I52,'[1]1_inventory_totals'!$F$8:$F$10000,"="&amp;Q52,'[1]1_inventory_totals'!$G$8:$G$10000,"="&amp;R52)+SUMIFS('[1]1_inventory_totals'!$N$8:$N$10000,'[1]1_inventory_totals'!$C$8:$C$10000,I52,'[1]1_inventory_totals'!$F$8:$F$10000,"="&amp;Q52,'[1]1_inventory_totals'!$G$8:$G$10000,"="&amp;R52)+SUMIFS('[1]1_inventory_totals'!$P$8:$P$10000,'[1]1_inventory_totals'!$C$8:$C$10000,I52,'[1]1_inventory_totals'!$F$8:$F$10000,"="&amp;Q52,'[1]1_inventory_totals'!$G$8:$G$10000,"="&amp;R52)+SUMIFS('[1]1_inventory_totals'!$Q$8:$Q$10000,'[1]1_inventory_totals'!$C$8:$C$10000,I52,'[1]1_inventory_totals'!$F$8:$F$10000,"="&amp;Q52,'[1]1_inventory_totals'!$G$8:$G$10000,"="&amp;R52)+SUMIFS('[1]1_inventory_totals'!$R$8:$R$10000,'[1]1_inventory_totals'!$C$8:$C$10000,I52,'[1]1_inventory_totals'!$F$8:$F$10000,"="&amp;Q52,'[1]1_inventory_totals'!$G$8:$G$10000,"="&amp;R52))+(SUMIFS('[1]1_inventory_totals'!$J$8:$J$10000,'[1]1_inventory_totals'!$C$8:$C$10000,I52,'[1]1_inventory_totals'!$F$8:$F$10000,"="&amp;Q52,'[1]1_inventory_totals'!$G$8:$G$10000,"="&amp;R52)+SUMIFS('[1]1_inventory_totals'!$K$8:$K$10000,'[1]1_inventory_totals'!$C$8:$C$10000,I52,'[1]1_inventory_totals'!$F$8:$F$10000,"="&amp;Q52,'[1]1_inventory_totals'!$G$8:$G$10000,"="&amp;R52)+SUMIFS('[1]1_inventory_totals'!$L$8:$L$10000,'[1]1_inventory_totals'!$C$8:$C$10000,I52,'[1]1_inventory_totals'!$F$8:$F$10000,"="&amp;Q52,'[1]1_inventory_totals'!$G$8:$G$10000,"="&amp;R52)+SUMIFS('[1]1_inventory_totals'!$M$8:$M$10000,'[1]1_inventory_totals'!$C$8:$C$10000,I52,'[1]1_inventory_totals'!$F$8:$F$10000,"="&amp;Q52,'[1]1_inventory_totals'!$G$8:$G$10000,"="&amp;R52)+SUMIFS('[1]1_inventory_totals'!$O$8:$O$10000,'[1]1_inventory_totals'!$C$8:$C$10000,I52,'[1]1_inventory_totals'!$F$8:$F$10000,"="&amp;Q52,'[1]1_inventory_totals'!$G$8:$G$10000,"="&amp;R52)+SUMIFS('[1]1_inventory_totals'!$S$8:$S$10000,'[1]1_inventory_totals'!$C$8:$C$10000,I52,'[1]1_inventory_totals'!$F$8:$F$10000,"="&amp;Q52,'[1]1_inventory_totals'!$G$8:$G$10000,"="&amp;R52)))</f>
        <v/>
      </c>
      <c r="BB52" s="197" t="str">
        <f>IF(M52="","",(SUMIFS('[1]2_inventory_totals'!$I$8:$I$10000,'[1]2_inventory_totals'!$C$8:$C$10000,I52,'[1]2_inventory_totals'!$F$8:$F$10000,"="&amp;Q52,'[1]2_inventory_totals'!$G$8:$G$10000,"="&amp;R52)+SUMIFS('[1]2_inventory_totals'!$N$8:$N$10000,'[1]2_inventory_totals'!$C$8:$C$10000,I52,'[1]2_inventory_totals'!$F$8:$F$10000,"="&amp;Q52,'[1]2_inventory_totals'!$G$8:$G$10000,"="&amp;R52)+SUMIFS('[1]2_inventory_totals'!$P$8:$P$10000,'[1]2_inventory_totals'!$C$8:$C$10000,I52,'[1]2_inventory_totals'!$F$8:$F$10000,"="&amp;Q52,'[1]2_inventory_totals'!$G$8:$G$10000,"="&amp;R52)+SUMIFS('[1]2_inventory_totals'!$Q$8:$Q$10000,'[1]2_inventory_totals'!$C$8:$C$10000,I52,'[1]2_inventory_totals'!$F$8:$F$10000,"="&amp;Q52,'[1]2_inventory_totals'!$G$8:$G$10000,"="&amp;R52)+SUMIFS('[1]2_inventory_totals'!$R$8:$R$10000,'[1]2_inventory_totals'!$C$8:$C$10000,I52,'[1]2_inventory_totals'!$F$8:$F$10000,"="&amp;Q52,'[1]2_inventory_totals'!$G$8:$G$10000,"="&amp;R52))+(SUMIFS('[1]2_inventory_totals'!$J$8:$J$10000,'[1]2_inventory_totals'!$C$8:$C$10000,I52,'[1]2_inventory_totals'!$F$8:$F$10000,"="&amp;Q52,'[1]2_inventory_totals'!$G$8:$G$10000,"="&amp;R52)+SUMIFS('[1]2_inventory_totals'!$K$8:$K$10000,'[1]2_inventory_totals'!$C$8:$C$10000,I52,'[1]2_inventory_totals'!$F$8:$F$10000,"="&amp;Q52,'[1]2_inventory_totals'!$G$8:$G$10000,"="&amp;R52)+SUMIFS('[1]2_inventory_totals'!$L$8:$L$10000,'[1]2_inventory_totals'!$C$8:$C$10000,I52,'[1]2_inventory_totals'!$F$8:$F$10000,"="&amp;Q52,'[1]2_inventory_totals'!$G$8:$G$10000,"="&amp;R52)+SUMIFS('[1]2_inventory_totals'!$M$8:$M$10000,'[1]2_inventory_totals'!$C$8:$C$10000,I52,'[1]2_inventory_totals'!$F$8:$F$10000,"="&amp;Q52,'[1]2_inventory_totals'!$G$8:$G$10000,"="&amp;R52)+SUMIFS('[1]2_inventory_totals'!$O$8:$O$10000,'[1]2_inventory_totals'!$C$8:$C$10000,I52,'[1]2_inventory_totals'!$F$8:$F$10000,"="&amp;Q52,'[1]2_inventory_totals'!$G$8:$G$10000,"="&amp;R52)+SUMIFS('[1]2_inventory_totals'!$S$8:$S$10000,'[1]2_inventory_totals'!$C$8:$C$10000,I52,'[1]2_inventory_totals'!$F$8:$F$10000,"="&amp;Q52,'[1]2_inventory_totals'!$G$8:$G$10000,"="&amp;R52)))</f>
        <v/>
      </c>
    </row>
    <row r="53" spans="1:54" ht="27" hidden="1" customHeight="1">
      <c r="A53" s="923"/>
      <c r="B53" s="1256"/>
      <c r="C53" s="1268"/>
      <c r="D53" s="950"/>
      <c r="E53" s="950"/>
      <c r="F53" s="1257"/>
      <c r="G53" s="941"/>
      <c r="H53" s="951"/>
      <c r="I53" s="1610" t="str">
        <f t="shared" si="10"/>
        <v/>
      </c>
      <c r="J53" s="1611" t="str">
        <f t="shared" si="112"/>
        <v/>
      </c>
      <c r="K53" s="1612" t="str">
        <f t="shared" si="30"/>
        <v/>
      </c>
      <c r="L53" s="1613"/>
      <c r="M53" s="883"/>
      <c r="N53" s="884"/>
      <c r="O53" s="884"/>
      <c r="P53" s="885"/>
      <c r="Q53" s="886"/>
      <c r="R53" s="891"/>
      <c r="S53" s="1614" t="str">
        <f t="shared" ref="S53" si="202">IF(M53="","",quot_currency_symbol)</f>
        <v/>
      </c>
      <c r="T53" s="888"/>
      <c r="U53" s="1650" t="str">
        <f t="shared" si="13"/>
        <v/>
      </c>
      <c r="V53" s="1615" t="str">
        <f t="shared" ref="V53" si="203">IF(W53=0,"",quot_currency_symbol)</f>
        <v/>
      </c>
      <c r="W53" s="889"/>
      <c r="X53" s="1615" t="str">
        <f t="shared" ref="X53" si="204">IF(M53="","",quot_currency_symbol)</f>
        <v/>
      </c>
      <c r="Y53" s="1616" t="str">
        <f t="shared" si="34"/>
        <v/>
      </c>
      <c r="Z53" s="890"/>
      <c r="AA53" s="197" t="str" cm="1">
        <f t="array" ref="AA53">IF(M53="","",IF(P53=AN53,1,Slookup(MID(AN53,1,3)*1,UomConversion!$D$8:$J$500,5,UomConversion!$E$8:$E$500,MID(P53,1,3)*1,UomConversion!$J$8:$J$500,1)))</f>
        <v/>
      </c>
      <c r="AB53" s="197" t="str">
        <f t="shared" si="3"/>
        <v/>
      </c>
      <c r="AC53" s="197" t="str">
        <f t="shared" si="17"/>
        <v/>
      </c>
      <c r="AD53" s="197" t="str">
        <f t="shared" si="18"/>
        <v/>
      </c>
      <c r="AE53" s="197" t="str">
        <f t="shared" si="19"/>
        <v/>
      </c>
      <c r="AF53" s="197" t="str">
        <f t="shared" si="152"/>
        <v/>
      </c>
      <c r="AG53" s="197" t="str">
        <f t="shared" si="6"/>
        <v/>
      </c>
      <c r="AH53" s="197" t="str">
        <f>IF(I53="","",IF(ISNA(MATCH(I53,IF(quot_location_id=1,'[1]1_inventory_totals'!$C$8:$C$10000,IF(quot_location_id=2,'[1]2_inventory_totals'!$C$8:$C$10000,0)),0)),0,IF(AV53&gt;0,1,0)))</f>
        <v/>
      </c>
      <c r="AI53" s="197" t="str">
        <f>IF(M53="","",IF(quot_location_id=1,SUMIFS('[1]1_inventory_total_details'!$J$8:$J$10000,'[1]1_inventory_total_details'!$C$8:$C$10000,I53,'[1]1_inventory_total_details'!$F$8:$F$10000,quot_location_id,'[1]1_inventory_total_details'!$G$8:$G$10000,"="&amp;Q53,'[1]1_inventory_total_details'!$H$8:$H$10000,"="&amp;R53,'[1]1_inventory_total_details'!$I$8:$I$10000,"="&amp;quot_date)+SUMIFS('[1]1_inventory_total_details'!$M$8:$M$10000,'[1]1_inventory_total_details'!$C$8:$C$10000,I53,'[1]1_inventory_total_details'!$F$8:$F$10000,quot_location_id,'[1]1_inventory_total_details'!$G$8:$G$10000,"="&amp;Q53,'[1]1_inventory_total_details'!$H$8:$H$10000,"="&amp;R53,'[1]1_inventory_total_details'!$I$8:$I$10000,"="&amp;quot_date)+SUMIFS('[1]1_inventory_total_details'!$K$8:$K$10000,'[1]1_inventory_total_details'!$C$8:$C$10000,I53,'[1]1_inventory_total_details'!$F$8:$F$10000,quot_location_id,'[1]1_inventory_total_details'!$G$8:$G$10000,"="&amp;Q53,'[1]1_inventory_total_details'!$H$8:$H$10000,"="&amp;R53,'[1]1_inventory_total_details'!$I$8:$I$10000,"="&amp;quot_date)+SUMIFS('[1]1_inventory_total_details'!$L$8:$L$10000,'[1]1_inventory_total_details'!$C$8:$C$10000,I53,'[1]1_inventory_total_details'!$F$8:$F$10000,quot_location_id,'[1]1_inventory_total_details'!$G$8:$G$10000,"="&amp;Q53,'[1]1_inventory_total_details'!$H$8:$H$10000,"="&amp;R53,'[1]1_inventory_total_details'!$I$8:$I$10000,"="&amp;quot_date),SUMIFS('[1]2_inventory_total_details'!$J$8:$J$10000,'[1]2_inventory_total_details'!$C$8:$C$10000,I53,'[1]2_inventory_total_details'!$F$8:$F$10000,quot_location_id,'[1]2_inventory_total_details'!$G$8:$G$10000,"="&amp;Q53,'[1]2_inventory_total_details'!$H$8:$H$10000,"="&amp;R53,'[1]2_inventory_total_details'!$I$8:$I$10000,"="&amp;quot_date)+SUMIFS('[1]2_inventory_total_details'!$M$8:$M$10000,'[1]2_inventory_total_details'!$C$8:$C$10000,I53,'[1]2_inventory_total_details'!$F$8:$F$10000,quot_location_id,'[1]2_inventory_total_details'!$G$8:$G$10000,"="&amp;Q53,'[1]2_inventory_total_details'!$H$8:$H$10000,"="&amp;R53,'[1]2_inventory_total_details'!$I$8:$I$10000,"="&amp;quot_date)+SUMIFS('[1]2_inventory_total_details'!$K$8:$K$10000,'[1]2_inventory_total_details'!$C$8:$C$10000,I53,'[1]2_inventory_total_details'!$F$8:$F$10000,quot_location_id,'[1]2_inventory_total_details'!$G$8:$G$10000,"="&amp;Q53,'[1]2_inventory_total_details'!$H$8:$H$10000,"="&amp;R53,'[1]2_inventory_total_details'!$I$8:$I$10000,"="&amp;quot_date)+SUMIFS('[1]2_inventory_total_details'!$L$8:$L$10000,'[1]2_inventory_total_details'!$C$8:$C$10000,I53,'[1]2_inventory_total_details'!$F$8:$F$10000,quot_location_id,'[1]2_inventory_total_details'!$G$8:$G$10000,"="&amp;Q53,'[1]2_inventory_total_details'!$H$8:$H$10000,"="&amp;R53,'[1]2_inventory_total_details'!$I$8:$I$10000,"="&amp;quot_date)))</f>
        <v/>
      </c>
      <c r="AJ53" s="197" t="str">
        <f>IF(M53="","",IF(ISNA(MATCH(I53,'[1]1_group_totals'!$C$8:$C$10000)),0,IF(AW53&gt;0,1,0)))</f>
        <v/>
      </c>
      <c r="AK53" s="197" t="str">
        <f>IF(M53="","",(SUMIFS('[1]1_group_total_details'!$I$8:$I$10000,'[1]1_group_total_details'!$C$8:$C$10000,I53,'[1]1_group_total_details'!$F$8:$F$10000,quot_location_group_id,'[1]1_group_total_details'!$G$8:$G$10000,quot_location_id,'[1]1_group_total_details'!$H$8:$H$10000,"="&amp;quot_date)+SUMIFS('[1]1_group_total_details'!$L$8:$L$10000,'[1]1_group_total_details'!$C$8:$C$10000,I53,'[1]1_group_total_details'!$F$8:$F$10000,quot_location_group_id,'[1]1_group_total_details'!$G$8:$G$10000,quot_location_id,'[1]1_group_total_details'!$H$8:$H$10000,"="&amp;quot_date)+SUMIFS('[1]1_group_total_details'!$N$8:$N$10000,'[1]1_group_total_details'!$C$8:$C$10000,I53,'[1]1_group_total_details'!$F$8:$F$10000,quot_location_group_id,'[1]1_group_total_details'!$G$8:$G$10000,quot_location_id,'[1]1_group_total_details'!$H$8:$H$10000,"="&amp;quot_date)+SUMIFS('[1]1_group_total_details'!$O$8:$O$10000,'[1]1_group_total_details'!$C$8:$C$10000,I53,'[1]1_group_total_details'!$F$8:$F$10000,quot_location_group_id,'[1]1_group_total_details'!$G$8:$G$10000,quot_location_id,'[1]1_group_total_details'!$H$8:$H$10000,"="&amp;quot_date))+(SUMIFS('[1]1_group_total_details'!$J$8:$J$10000,'[1]1_group_total_details'!$C$8:$C$10000,I53,'[1]1_group_total_details'!$F$8:$F$10000,quot_location_group_id,'[1]1_group_total_details'!$G$8:$G$10000,quot_location_id,'[1]1_group_total_details'!$H$8:$H$10000,"="&amp;quot_date)+SUMIFS('[1]1_group_total_details'!$K$8:$K$10000,'[1]1_group_total_details'!$C$8:$C$10000,I53,'[1]1_group_total_details'!$F$8:$F$10000,quot_location_group_id,'[1]1_group_total_details'!$G$8:$G$10000,quot_location_id,'[1]1_group_total_details'!$H$8:$H$10000,"="&amp;quot_date)+SUMIFS('[1]1_group_total_details'!$M$8:$M$10000,'[1]1_group_total_details'!$C$8:$C$10000,I53,'[1]1_group_total_details'!$F$8:$F$10000,quot_location_group_id,'[1]1_group_total_details'!$G$8:$G$10000,quot_location_id,'[1]1_group_total_details'!$H$8:$H$10000,"="&amp;quot_date)+SUMIFS('[1]1_group_total_details'!$P$8:$P$10000,'[1]1_group_total_details'!$C$8:$C$10000,I53,'[1]1_group_total_details'!$F$8:$F$10000,quot_location_group_id,'[1]1_group_total_details'!$G$8:$G$10000,quot_location_id,'[1]1_group_total_details'!$H$8:$H$10000,"="&amp;quot_date)))</f>
        <v/>
      </c>
      <c r="AL53" s="197" t="str">
        <f>IF(M53="","",(SUMIFS('[1]1_group_total_details'!$I$8:$I$10000,'[1]1_group_total_details'!$C$8:$C$10000,I53,'[1]1_group_total_details'!$F$8:$F$10000,quot_location_group_id,'[1]1_group_total_details'!$G$8:$G$10000,quot_location_id,'[1]1_group_total_details'!$H$8:$H$10000,"&lt;="&amp;quot_date)+SUMIFS('[1]1_group_total_details'!$L$8:$L$10000,'[1]1_group_total_details'!$C$8:$C$10000,I53,'[1]1_group_total_details'!$F$8:$F$10000,quot_location_group_id,'[1]1_group_total_details'!$G$8:$G$10000,1,'[1]1_group_total_details'!$H$8:$H$10000,"&lt;="&amp;quot_date)+SUMIFS('[1]1_group_total_details'!$N$8:$N$10000,'[1]1_group_total_details'!$C$8:$C$10000,I53,'[1]1_group_total_details'!$F$8:$F$10000,quot_location_group_id,'[1]1_group_total_details'!$G$8:$G$10000,quot_location_id,'[1]1_group_total_details'!$H$8:$H$10000,"&lt;="&amp;quot_date)+SUMIFS('[1]1_group_total_details'!$O$8:$O$10000,'[1]1_group_total_details'!$C$8:$C$10000,I53,'[1]1_group_total_details'!$F$8:$F$10000,quot_location_group_id,'[1]1_group_total_details'!$G$8:$G$10000,quot_location_id,'[1]1_group_total_details'!$H$8:$H$10000,"&lt;="&amp;quot_date))-(SUMIFS('[1]1_group_total_details'!$J$8:$J$10000,'[1]1_group_total_details'!$C$8:$C$10000,I53,'[1]1_group_total_details'!$F$8:$F$10000,quot_location_group_id,'[1]1_group_total_details'!$G$8:$G$10000,quot_location_id,'[1]1_group_total_details'!$H$8:$H$10000,"&lt;="&amp;quot_date)+SUMIFS('[1]1_group_total_details'!$K$8:$K$10000,'[1]1_group_total_details'!$C$8:$C$10000,I53,'[1]1_group_total_details'!$F$8:$F$10000,quot_location_group_id,'[1]1_group_total_details'!$G$8:$G$10000,quot_location_id,'[1]1_group_total_details'!$H$8:$H$10000,"&lt;="&amp;quot_date)+SUMIFS('[1]1_group_total_details'!$M$8:$M$10000,'[1]1_group_total_details'!$C$8:$C$10000,I53,'[1]1_group_total_details'!$F$8:$F$10000,quot_location_group_id,'[1]1_group_total_details'!$G$8:$G$10000,quot_location_id,'[1]1_group_total_details'!$H$8:$H$10000,"&lt;="&amp;quot_date)+SUMIFS('[1]1_group_total_details'!$P$8:$P$10000,'[1]1_group_total_details'!$C$8:$C$10000,I53,'[1]1_group_total_details'!$F$8:$F$10000,quot_location_group_id,'[1]1_group_total_details'!$G$8:$G$10000,quot_location_id,'[1]1_group_total_details'!$H$8:$H$10000,"&lt;="&amp;quot_date)))</f>
        <v/>
      </c>
      <c r="AM53" s="197" t="str">
        <f>IF(M53="","",SUMIFS('[1]1_group_totals'!$J$8:$J$10000,'[1]1_group_totals'!$C$8:$C$10000,I53,'[1]1_group_totals'!$F$8:$F$10000,quot_location_group_id,'[1]1_group_totals'!$G$8:$G$10000,quot_location_id,'[1]1_group_totals'!$H$8:$H$10000,"="&amp;Q53,'[1]1_group_totals'!$I$8:$I$10000,"="&amp;R53))</f>
        <v/>
      </c>
      <c r="AN53" s="197" t="str">
        <f t="shared" si="7"/>
        <v/>
      </c>
      <c r="AO53" s="197" t="str">
        <f>IF(OR(ISNA(MATCH(MID(AN53,1,3)*1,UomConversion!$D$8:$D$500,0)),M53=""),"",IF(AT53="","",AT53))</f>
        <v/>
      </c>
      <c r="AP53" s="197" t="str">
        <f>IF(AND(AQ53&gt;0,COUNTIFS(UomConversion!$D$8:$D$500,MID(AN53,1,3)*1,UomConversion!$J$8:$J$500,1)&gt;1),TEXT(AQ53,"000")&amp;"."&amp;VLOOKUP(AQ53,uom_list,5,FALSE),"")</f>
        <v/>
      </c>
      <c r="AQ53" s="197" t="str">
        <f t="shared" si="20"/>
        <v/>
      </c>
      <c r="AR53" s="197" t="str">
        <f t="shared" si="21"/>
        <v/>
      </c>
      <c r="AS53" s="197" t="str">
        <f>IF(M53="","",SUMIFS(ProductPrice!$N$28:$N$10020,ProductPrice!$D$28:$D$10020,I53,ProductPrice!$G$28:$G$10020,quot_branch_id,ProductPrice!$H$28:$H$10020,quot_price_type_id,ProductPrice!$I$28:$I$10020,MID(P53,1,3)*1,ProductPrice!$Q$28:$Q$10020,1))</f>
        <v/>
      </c>
      <c r="AT53" s="197" t="str">
        <f t="shared" si="8"/>
        <v/>
      </c>
      <c r="AU53" s="197" t="str" cm="1">
        <f t="array" ref="AU53">IF(M53="","",IF(ISNA(Slookup(MID(AN53,1,3)*1,UomConversion!$D$8:$J$500,2,UomConversion!$I$8:$I$500,1,UomConversion!$J$8:$J$500,1)),"",Slookup(MID(AN53,1,3)*1,UomConversion!$D$8:$J$500,2,UomConversion!$I$8:$I$500,1,UomConversion!$J$8:$J$500,1)))</f>
        <v/>
      </c>
      <c r="AV53" s="197" t="str">
        <f t="shared" ref="AV53" si="205">IF(M53="","",IF(quot_location_id=1,BA53,IF(quot_location_id=2,BB53,0)))</f>
        <v/>
      </c>
      <c r="AW53" s="197" t="str">
        <f>IF(M53="","",(SUMIFS('[1]1_group_totals'!$K$8:$K$10000,'[1]1_group_totals'!$C$8:$C$10000,I53,'[1]1_group_totals'!$F$8:$F$10000,quot_location_group_id,'[1]1_group_totals'!$G$8:$G$10000,quot_location_id,'[1]1_group_totals'!$H$8:$H$10000,"="&amp;Q53,'[1]1_group_totals'!$I$8:$I$10000,"="&amp;R53)+SUMIFS('[1]1_group_totals'!$N$8:$N$10000,'[1]1_group_totals'!$C$8:$C$10000,I53,'[1]1_group_totals'!$F$8:$F$10000,quot_location_group_id,'[1]1_group_totals'!$G$8:$G$10000,quot_location_id,'[1]1_group_totals'!$H$8:$H$10000,"="&amp;Q53,'[1]1_group_totals'!$I$8:$I$10000,"="&amp;R53)+SUMIFS('[1]1_group_totals'!$P$8:$P$10000,'[1]1_group_totals'!$C$8:$C$10000,I53,'[1]1_group_totals'!$F$8:$F$10000,quot_location_group_id,'[1]1_group_totals'!$G$8:$G$10000,quot_location_id,'[1]1_group_totals'!$H$8:$H$10000,"="&amp;Q53,'[1]1_group_totals'!$I$8:$I$10000,"="&amp;R53)+SUMIFS('[1]1_group_totals'!$Q$8:$Q$10000,'[1]1_group_totals'!$C$8:$C$10000,I53,'[1]1_group_totals'!$F$8:$F$10000,quot_location_group_id,'[1]1_group_totals'!$G$8:$G$10000,quot_location_id,'[1]1_group_totals'!$H$8:$H$10000,"="&amp;Q53,'[1]1_group_totals'!$I$8:$I$10000,"="&amp;R53))+(SUMIFS('[1]1_group_totals'!$L$8:$L$10000,'[1]1_group_totals'!$C$8:$C$10000,I53,'[1]1_group_totals'!$F$8:$F$10000,quot_location_group_id,'[1]1_group_totals'!$G$8:$G$10000,quot_location_id,'[1]1_group_totals'!$H$8:$H$10000,"="&amp;Q53,'[1]1_group_totals'!$I$8:$I$10000,"="&amp;R53)+SUMIFS('[1]1_group_totals'!$M$8:$M$10000,'[1]1_group_totals'!$C$8:$C$10000,I53,'[1]1_group_totals'!$F$8:$F$10000,quot_location_group_id,'[1]1_group_totals'!$G$8:$G$10000,quot_location_id,'[1]1_group_totals'!$H$8:$H$10000,"="&amp;Q53,'[1]1_group_totals'!$I$8:$I$10000,"="&amp;R53)+SUMIFS('[1]1_group_totals'!$O$8:$O$10000,'[1]1_group_totals'!$C$8:$C$10000,I53,'[1]1_group_totals'!$F$8:$F$10000,quot_location_group_id,'[1]1_group_totals'!$G$8:$G$10000,quot_location_id,'[1]1_group_totals'!$H$8:$H$10000,"="&amp;Q53,'[1]1_group_totals'!$I$8:$I$10000,"="&amp;R53)+SUMIFS('[1]1_group_totals'!$R$8:$R$10000,'[1]1_group_totals'!$C$8:$C$10000,I53,'[1]1_group_totals'!$F$8:$F$10000,quot_location_group_id,'[1]1_group_totals'!$G$8:$G$10000,quot_location_id,'[1]1_group_totals'!$H$8:$H$10000,"="&amp;Q53,'[1]1_group_totals'!$I$8:$I$10000,"="&amp;R53)))</f>
        <v/>
      </c>
      <c r="AX53" s="197" t="str">
        <f t="shared" si="23"/>
        <v/>
      </c>
      <c r="AY53" s="197" t="str">
        <f>IF(M53="","",SUMIFS($AX$8:AX53,$I$8:I53,I53))</f>
        <v/>
      </c>
      <c r="AZ53" s="197" t="str">
        <f t="shared" si="24"/>
        <v/>
      </c>
      <c r="BA53" s="197" t="str">
        <f>IF(M53="","",(SUMIFS('[1]1_inventory_totals'!$I$8:$I$10000,'[1]1_inventory_totals'!$C$8:$C$10000,I53,'[1]1_inventory_totals'!$F$8:$F$10000,"="&amp;Q53,'[1]1_inventory_totals'!$G$8:$G$10000,"="&amp;R53)+SUMIFS('[1]1_inventory_totals'!$N$8:$N$10000,'[1]1_inventory_totals'!$C$8:$C$10000,I53,'[1]1_inventory_totals'!$F$8:$F$10000,"="&amp;Q53,'[1]1_inventory_totals'!$G$8:$G$10000,"="&amp;R53)+SUMIFS('[1]1_inventory_totals'!$P$8:$P$10000,'[1]1_inventory_totals'!$C$8:$C$10000,I53,'[1]1_inventory_totals'!$F$8:$F$10000,"="&amp;Q53,'[1]1_inventory_totals'!$G$8:$G$10000,"="&amp;R53)+SUMIFS('[1]1_inventory_totals'!$Q$8:$Q$10000,'[1]1_inventory_totals'!$C$8:$C$10000,I53,'[1]1_inventory_totals'!$F$8:$F$10000,"="&amp;Q53,'[1]1_inventory_totals'!$G$8:$G$10000,"="&amp;R53)+SUMIFS('[1]1_inventory_totals'!$R$8:$R$10000,'[1]1_inventory_totals'!$C$8:$C$10000,I53,'[1]1_inventory_totals'!$F$8:$F$10000,"="&amp;Q53,'[1]1_inventory_totals'!$G$8:$G$10000,"="&amp;R53))+(SUMIFS('[1]1_inventory_totals'!$J$8:$J$10000,'[1]1_inventory_totals'!$C$8:$C$10000,I53,'[1]1_inventory_totals'!$F$8:$F$10000,"="&amp;Q53,'[1]1_inventory_totals'!$G$8:$G$10000,"="&amp;R53)+SUMIFS('[1]1_inventory_totals'!$K$8:$K$10000,'[1]1_inventory_totals'!$C$8:$C$10000,I53,'[1]1_inventory_totals'!$F$8:$F$10000,"="&amp;Q53,'[1]1_inventory_totals'!$G$8:$G$10000,"="&amp;R53)+SUMIFS('[1]1_inventory_totals'!$L$8:$L$10000,'[1]1_inventory_totals'!$C$8:$C$10000,I53,'[1]1_inventory_totals'!$F$8:$F$10000,"="&amp;Q53,'[1]1_inventory_totals'!$G$8:$G$10000,"="&amp;R53)+SUMIFS('[1]1_inventory_totals'!$M$8:$M$10000,'[1]1_inventory_totals'!$C$8:$C$10000,I53,'[1]1_inventory_totals'!$F$8:$F$10000,"="&amp;Q53,'[1]1_inventory_totals'!$G$8:$G$10000,"="&amp;R53)+SUMIFS('[1]1_inventory_totals'!$O$8:$O$10000,'[1]1_inventory_totals'!$C$8:$C$10000,I53,'[1]1_inventory_totals'!$F$8:$F$10000,"="&amp;Q53,'[1]1_inventory_totals'!$G$8:$G$10000,"="&amp;R53)+SUMIFS('[1]1_inventory_totals'!$S$8:$S$10000,'[1]1_inventory_totals'!$C$8:$C$10000,I53,'[1]1_inventory_totals'!$F$8:$F$10000,"="&amp;Q53,'[1]1_inventory_totals'!$G$8:$G$10000,"="&amp;R53)))</f>
        <v/>
      </c>
      <c r="BB53" s="197" t="str">
        <f>IF(M53="","",(SUMIFS('[1]2_inventory_totals'!$I$8:$I$10000,'[1]2_inventory_totals'!$C$8:$C$10000,I53,'[1]2_inventory_totals'!$F$8:$F$10000,"="&amp;Q53,'[1]2_inventory_totals'!$G$8:$G$10000,"="&amp;R53)+SUMIFS('[1]2_inventory_totals'!$N$8:$N$10000,'[1]2_inventory_totals'!$C$8:$C$10000,I53,'[1]2_inventory_totals'!$F$8:$F$10000,"="&amp;Q53,'[1]2_inventory_totals'!$G$8:$G$10000,"="&amp;R53)+SUMIFS('[1]2_inventory_totals'!$P$8:$P$10000,'[1]2_inventory_totals'!$C$8:$C$10000,I53,'[1]2_inventory_totals'!$F$8:$F$10000,"="&amp;Q53,'[1]2_inventory_totals'!$G$8:$G$10000,"="&amp;R53)+SUMIFS('[1]2_inventory_totals'!$Q$8:$Q$10000,'[1]2_inventory_totals'!$C$8:$C$10000,I53,'[1]2_inventory_totals'!$F$8:$F$10000,"="&amp;Q53,'[1]2_inventory_totals'!$G$8:$G$10000,"="&amp;R53)+SUMIFS('[1]2_inventory_totals'!$R$8:$R$10000,'[1]2_inventory_totals'!$C$8:$C$10000,I53,'[1]2_inventory_totals'!$F$8:$F$10000,"="&amp;Q53,'[1]2_inventory_totals'!$G$8:$G$10000,"="&amp;R53))+(SUMIFS('[1]2_inventory_totals'!$J$8:$J$10000,'[1]2_inventory_totals'!$C$8:$C$10000,I53,'[1]2_inventory_totals'!$F$8:$F$10000,"="&amp;Q53,'[1]2_inventory_totals'!$G$8:$G$10000,"="&amp;R53)+SUMIFS('[1]2_inventory_totals'!$K$8:$K$10000,'[1]2_inventory_totals'!$C$8:$C$10000,I53,'[1]2_inventory_totals'!$F$8:$F$10000,"="&amp;Q53,'[1]2_inventory_totals'!$G$8:$G$10000,"="&amp;R53)+SUMIFS('[1]2_inventory_totals'!$L$8:$L$10000,'[1]2_inventory_totals'!$C$8:$C$10000,I53,'[1]2_inventory_totals'!$F$8:$F$10000,"="&amp;Q53,'[1]2_inventory_totals'!$G$8:$G$10000,"="&amp;R53)+SUMIFS('[1]2_inventory_totals'!$M$8:$M$10000,'[1]2_inventory_totals'!$C$8:$C$10000,I53,'[1]2_inventory_totals'!$F$8:$F$10000,"="&amp;Q53,'[1]2_inventory_totals'!$G$8:$G$10000,"="&amp;R53)+SUMIFS('[1]2_inventory_totals'!$O$8:$O$10000,'[1]2_inventory_totals'!$C$8:$C$10000,I53,'[1]2_inventory_totals'!$F$8:$F$10000,"="&amp;Q53,'[1]2_inventory_totals'!$G$8:$G$10000,"="&amp;R53)+SUMIFS('[1]2_inventory_totals'!$S$8:$S$10000,'[1]2_inventory_totals'!$C$8:$C$10000,I53,'[1]2_inventory_totals'!$F$8:$F$10000,"="&amp;Q53,'[1]2_inventory_totals'!$G$8:$G$10000,"="&amp;R53)))</f>
        <v/>
      </c>
    </row>
    <row r="54" spans="1:54" ht="27" hidden="1" customHeight="1">
      <c r="A54" s="923"/>
      <c r="B54" s="1256"/>
      <c r="C54" s="1268"/>
      <c r="D54" s="950"/>
      <c r="E54" s="950"/>
      <c r="F54" s="1257"/>
      <c r="G54" s="941"/>
      <c r="H54" s="951"/>
      <c r="I54" s="1610" t="str">
        <f t="shared" si="10"/>
        <v/>
      </c>
      <c r="J54" s="1611" t="str">
        <f t="shared" si="112"/>
        <v/>
      </c>
      <c r="K54" s="1612" t="str">
        <f t="shared" si="30"/>
        <v/>
      </c>
      <c r="L54" s="1613"/>
      <c r="M54" s="883"/>
      <c r="N54" s="884"/>
      <c r="O54" s="884"/>
      <c r="P54" s="885"/>
      <c r="Q54" s="886"/>
      <c r="R54" s="891"/>
      <c r="S54" s="1614" t="str">
        <f t="shared" ref="S54" si="206">IF(M54="","",quot_currency_symbol)</f>
        <v/>
      </c>
      <c r="T54" s="888"/>
      <c r="U54" s="1650" t="str">
        <f t="shared" si="13"/>
        <v/>
      </c>
      <c r="V54" s="1615" t="str">
        <f t="shared" ref="V54" si="207">IF(W54=0,"",quot_currency_symbol)</f>
        <v/>
      </c>
      <c r="W54" s="889"/>
      <c r="X54" s="1615" t="str">
        <f t="shared" ref="X54" si="208">IF(M54="","",quot_currency_symbol)</f>
        <v/>
      </c>
      <c r="Y54" s="1616" t="str">
        <f t="shared" si="34"/>
        <v/>
      </c>
      <c r="Z54" s="890"/>
      <c r="AA54" s="197" t="str" cm="1">
        <f t="array" ref="AA54">IF(M54="","",IF(P54=AN54,1,Slookup(MID(AN54,1,3)*1,UomConversion!$D$8:$J$500,5,UomConversion!$E$8:$E$500,MID(P54,1,3)*1,UomConversion!$J$8:$J$500,1)))</f>
        <v/>
      </c>
      <c r="AB54" s="197" t="str">
        <f t="shared" si="3"/>
        <v/>
      </c>
      <c r="AC54" s="197" t="str">
        <f t="shared" si="17"/>
        <v/>
      </c>
      <c r="AD54" s="197" t="str">
        <f t="shared" si="18"/>
        <v/>
      </c>
      <c r="AE54" s="197" t="str">
        <f t="shared" si="19"/>
        <v/>
      </c>
      <c r="AF54" s="197" t="str">
        <f t="shared" si="152"/>
        <v/>
      </c>
      <c r="AG54" s="197" t="str">
        <f t="shared" si="6"/>
        <v/>
      </c>
      <c r="AH54" s="197" t="str">
        <f>IF(I54="","",IF(ISNA(MATCH(I54,IF(quot_location_id=1,'[1]1_inventory_totals'!$C$8:$C$10000,IF(quot_location_id=2,'[1]2_inventory_totals'!$C$8:$C$10000,0)),0)),0,IF(AV54&gt;0,1,0)))</f>
        <v/>
      </c>
      <c r="AI54" s="197" t="str">
        <f>IF(M54="","",IF(quot_location_id=1,SUMIFS('[1]1_inventory_total_details'!$J$8:$J$10000,'[1]1_inventory_total_details'!$C$8:$C$10000,I54,'[1]1_inventory_total_details'!$F$8:$F$10000,quot_location_id,'[1]1_inventory_total_details'!$G$8:$G$10000,"="&amp;Q54,'[1]1_inventory_total_details'!$H$8:$H$10000,"="&amp;R54,'[1]1_inventory_total_details'!$I$8:$I$10000,"="&amp;quot_date)+SUMIFS('[1]1_inventory_total_details'!$M$8:$M$10000,'[1]1_inventory_total_details'!$C$8:$C$10000,I54,'[1]1_inventory_total_details'!$F$8:$F$10000,quot_location_id,'[1]1_inventory_total_details'!$G$8:$G$10000,"="&amp;Q54,'[1]1_inventory_total_details'!$H$8:$H$10000,"="&amp;R54,'[1]1_inventory_total_details'!$I$8:$I$10000,"="&amp;quot_date)+SUMIFS('[1]1_inventory_total_details'!$K$8:$K$10000,'[1]1_inventory_total_details'!$C$8:$C$10000,I54,'[1]1_inventory_total_details'!$F$8:$F$10000,quot_location_id,'[1]1_inventory_total_details'!$G$8:$G$10000,"="&amp;Q54,'[1]1_inventory_total_details'!$H$8:$H$10000,"="&amp;R54,'[1]1_inventory_total_details'!$I$8:$I$10000,"="&amp;quot_date)+SUMIFS('[1]1_inventory_total_details'!$L$8:$L$10000,'[1]1_inventory_total_details'!$C$8:$C$10000,I54,'[1]1_inventory_total_details'!$F$8:$F$10000,quot_location_id,'[1]1_inventory_total_details'!$G$8:$G$10000,"="&amp;Q54,'[1]1_inventory_total_details'!$H$8:$H$10000,"="&amp;R54,'[1]1_inventory_total_details'!$I$8:$I$10000,"="&amp;quot_date),SUMIFS('[1]2_inventory_total_details'!$J$8:$J$10000,'[1]2_inventory_total_details'!$C$8:$C$10000,I54,'[1]2_inventory_total_details'!$F$8:$F$10000,quot_location_id,'[1]2_inventory_total_details'!$G$8:$G$10000,"="&amp;Q54,'[1]2_inventory_total_details'!$H$8:$H$10000,"="&amp;R54,'[1]2_inventory_total_details'!$I$8:$I$10000,"="&amp;quot_date)+SUMIFS('[1]2_inventory_total_details'!$M$8:$M$10000,'[1]2_inventory_total_details'!$C$8:$C$10000,I54,'[1]2_inventory_total_details'!$F$8:$F$10000,quot_location_id,'[1]2_inventory_total_details'!$G$8:$G$10000,"="&amp;Q54,'[1]2_inventory_total_details'!$H$8:$H$10000,"="&amp;R54,'[1]2_inventory_total_details'!$I$8:$I$10000,"="&amp;quot_date)+SUMIFS('[1]2_inventory_total_details'!$K$8:$K$10000,'[1]2_inventory_total_details'!$C$8:$C$10000,I54,'[1]2_inventory_total_details'!$F$8:$F$10000,quot_location_id,'[1]2_inventory_total_details'!$G$8:$G$10000,"="&amp;Q54,'[1]2_inventory_total_details'!$H$8:$H$10000,"="&amp;R54,'[1]2_inventory_total_details'!$I$8:$I$10000,"="&amp;quot_date)+SUMIFS('[1]2_inventory_total_details'!$L$8:$L$10000,'[1]2_inventory_total_details'!$C$8:$C$10000,I54,'[1]2_inventory_total_details'!$F$8:$F$10000,quot_location_id,'[1]2_inventory_total_details'!$G$8:$G$10000,"="&amp;Q54,'[1]2_inventory_total_details'!$H$8:$H$10000,"="&amp;R54,'[1]2_inventory_total_details'!$I$8:$I$10000,"="&amp;quot_date)))</f>
        <v/>
      </c>
      <c r="AJ54" s="197" t="str">
        <f>IF(M54="","",IF(ISNA(MATCH(I54,'[1]1_group_totals'!$C$8:$C$10000)),0,IF(AW54&gt;0,1,0)))</f>
        <v/>
      </c>
      <c r="AK54" s="197" t="str">
        <f>IF(M54="","",(SUMIFS('[1]1_group_total_details'!$I$8:$I$10000,'[1]1_group_total_details'!$C$8:$C$10000,I54,'[1]1_group_total_details'!$F$8:$F$10000,quot_location_group_id,'[1]1_group_total_details'!$G$8:$G$10000,quot_location_id,'[1]1_group_total_details'!$H$8:$H$10000,"="&amp;quot_date)+SUMIFS('[1]1_group_total_details'!$L$8:$L$10000,'[1]1_group_total_details'!$C$8:$C$10000,I54,'[1]1_group_total_details'!$F$8:$F$10000,quot_location_group_id,'[1]1_group_total_details'!$G$8:$G$10000,quot_location_id,'[1]1_group_total_details'!$H$8:$H$10000,"="&amp;quot_date)+SUMIFS('[1]1_group_total_details'!$N$8:$N$10000,'[1]1_group_total_details'!$C$8:$C$10000,I54,'[1]1_group_total_details'!$F$8:$F$10000,quot_location_group_id,'[1]1_group_total_details'!$G$8:$G$10000,quot_location_id,'[1]1_group_total_details'!$H$8:$H$10000,"="&amp;quot_date)+SUMIFS('[1]1_group_total_details'!$O$8:$O$10000,'[1]1_group_total_details'!$C$8:$C$10000,I54,'[1]1_group_total_details'!$F$8:$F$10000,quot_location_group_id,'[1]1_group_total_details'!$G$8:$G$10000,quot_location_id,'[1]1_group_total_details'!$H$8:$H$10000,"="&amp;quot_date))+(SUMIFS('[1]1_group_total_details'!$J$8:$J$10000,'[1]1_group_total_details'!$C$8:$C$10000,I54,'[1]1_group_total_details'!$F$8:$F$10000,quot_location_group_id,'[1]1_group_total_details'!$G$8:$G$10000,quot_location_id,'[1]1_group_total_details'!$H$8:$H$10000,"="&amp;quot_date)+SUMIFS('[1]1_group_total_details'!$K$8:$K$10000,'[1]1_group_total_details'!$C$8:$C$10000,I54,'[1]1_group_total_details'!$F$8:$F$10000,quot_location_group_id,'[1]1_group_total_details'!$G$8:$G$10000,quot_location_id,'[1]1_group_total_details'!$H$8:$H$10000,"="&amp;quot_date)+SUMIFS('[1]1_group_total_details'!$M$8:$M$10000,'[1]1_group_total_details'!$C$8:$C$10000,I54,'[1]1_group_total_details'!$F$8:$F$10000,quot_location_group_id,'[1]1_group_total_details'!$G$8:$G$10000,quot_location_id,'[1]1_group_total_details'!$H$8:$H$10000,"="&amp;quot_date)+SUMIFS('[1]1_group_total_details'!$P$8:$P$10000,'[1]1_group_total_details'!$C$8:$C$10000,I54,'[1]1_group_total_details'!$F$8:$F$10000,quot_location_group_id,'[1]1_group_total_details'!$G$8:$G$10000,quot_location_id,'[1]1_group_total_details'!$H$8:$H$10000,"="&amp;quot_date)))</f>
        <v/>
      </c>
      <c r="AL54" s="197" t="str">
        <f>IF(M54="","",(SUMIFS('[1]1_group_total_details'!$I$8:$I$10000,'[1]1_group_total_details'!$C$8:$C$10000,I54,'[1]1_group_total_details'!$F$8:$F$10000,quot_location_group_id,'[1]1_group_total_details'!$G$8:$G$10000,quot_location_id,'[1]1_group_total_details'!$H$8:$H$10000,"&lt;="&amp;quot_date)+SUMIFS('[1]1_group_total_details'!$L$8:$L$10000,'[1]1_group_total_details'!$C$8:$C$10000,I54,'[1]1_group_total_details'!$F$8:$F$10000,quot_location_group_id,'[1]1_group_total_details'!$G$8:$G$10000,1,'[1]1_group_total_details'!$H$8:$H$10000,"&lt;="&amp;quot_date)+SUMIFS('[1]1_group_total_details'!$N$8:$N$10000,'[1]1_group_total_details'!$C$8:$C$10000,I54,'[1]1_group_total_details'!$F$8:$F$10000,quot_location_group_id,'[1]1_group_total_details'!$G$8:$G$10000,quot_location_id,'[1]1_group_total_details'!$H$8:$H$10000,"&lt;="&amp;quot_date)+SUMIFS('[1]1_group_total_details'!$O$8:$O$10000,'[1]1_group_total_details'!$C$8:$C$10000,I54,'[1]1_group_total_details'!$F$8:$F$10000,quot_location_group_id,'[1]1_group_total_details'!$G$8:$G$10000,quot_location_id,'[1]1_group_total_details'!$H$8:$H$10000,"&lt;="&amp;quot_date))-(SUMIFS('[1]1_group_total_details'!$J$8:$J$10000,'[1]1_group_total_details'!$C$8:$C$10000,I54,'[1]1_group_total_details'!$F$8:$F$10000,quot_location_group_id,'[1]1_group_total_details'!$G$8:$G$10000,quot_location_id,'[1]1_group_total_details'!$H$8:$H$10000,"&lt;="&amp;quot_date)+SUMIFS('[1]1_group_total_details'!$K$8:$K$10000,'[1]1_group_total_details'!$C$8:$C$10000,I54,'[1]1_group_total_details'!$F$8:$F$10000,quot_location_group_id,'[1]1_group_total_details'!$G$8:$G$10000,quot_location_id,'[1]1_group_total_details'!$H$8:$H$10000,"&lt;="&amp;quot_date)+SUMIFS('[1]1_group_total_details'!$M$8:$M$10000,'[1]1_group_total_details'!$C$8:$C$10000,I54,'[1]1_group_total_details'!$F$8:$F$10000,quot_location_group_id,'[1]1_group_total_details'!$G$8:$G$10000,quot_location_id,'[1]1_group_total_details'!$H$8:$H$10000,"&lt;="&amp;quot_date)+SUMIFS('[1]1_group_total_details'!$P$8:$P$10000,'[1]1_group_total_details'!$C$8:$C$10000,I54,'[1]1_group_total_details'!$F$8:$F$10000,quot_location_group_id,'[1]1_group_total_details'!$G$8:$G$10000,quot_location_id,'[1]1_group_total_details'!$H$8:$H$10000,"&lt;="&amp;quot_date)))</f>
        <v/>
      </c>
      <c r="AM54" s="197" t="str">
        <f>IF(M54="","",SUMIFS('[1]1_group_totals'!$J$8:$J$10000,'[1]1_group_totals'!$C$8:$C$10000,I54,'[1]1_group_totals'!$F$8:$F$10000,quot_location_group_id,'[1]1_group_totals'!$G$8:$G$10000,quot_location_id,'[1]1_group_totals'!$H$8:$H$10000,"="&amp;Q54,'[1]1_group_totals'!$I$8:$I$10000,"="&amp;R54))</f>
        <v/>
      </c>
      <c r="AN54" s="197" t="str">
        <f t="shared" si="7"/>
        <v/>
      </c>
      <c r="AO54" s="197" t="str">
        <f>IF(OR(ISNA(MATCH(MID(AN54,1,3)*1,UomConversion!$D$8:$D$500,0)),M54=""),"",IF(AT54="","",AT54))</f>
        <v/>
      </c>
      <c r="AP54" s="197" t="str">
        <f>IF(AND(AQ54&gt;0,COUNTIFS(UomConversion!$D$8:$D$500,MID(AN54,1,3)*1,UomConversion!$J$8:$J$500,1)&gt;1),TEXT(AQ54,"000")&amp;"."&amp;VLOOKUP(AQ54,uom_list,5,FALSE),"")</f>
        <v/>
      </c>
      <c r="AQ54" s="197" t="str">
        <f t="shared" si="20"/>
        <v/>
      </c>
      <c r="AR54" s="197" t="str">
        <f t="shared" si="21"/>
        <v/>
      </c>
      <c r="AS54" s="197" t="str">
        <f>IF(M54="","",SUMIFS(ProductPrice!$N$28:$N$10020,ProductPrice!$D$28:$D$10020,I54,ProductPrice!$G$28:$G$10020,quot_branch_id,ProductPrice!$H$28:$H$10020,quot_price_type_id,ProductPrice!$I$28:$I$10020,MID(P54,1,3)*1,ProductPrice!$Q$28:$Q$10020,1))</f>
        <v/>
      </c>
      <c r="AT54" s="197" t="str">
        <f t="shared" si="8"/>
        <v/>
      </c>
      <c r="AU54" s="197" t="str" cm="1">
        <f t="array" ref="AU54">IF(M54="","",IF(ISNA(Slookup(MID(AN54,1,3)*1,UomConversion!$D$8:$J$500,2,UomConversion!$I$8:$I$500,1,UomConversion!$J$8:$J$500,1)),"",Slookup(MID(AN54,1,3)*1,UomConversion!$D$8:$J$500,2,UomConversion!$I$8:$I$500,1,UomConversion!$J$8:$J$500,1)))</f>
        <v/>
      </c>
      <c r="AV54" s="197" t="str">
        <f t="shared" ref="AV54" si="209">IF(M54="","",IF(quot_location_id=1,BA54,IF(quot_location_id=2,BB54,0)))</f>
        <v/>
      </c>
      <c r="AW54" s="197" t="str">
        <f>IF(M54="","",(SUMIFS('[1]1_group_totals'!$K$8:$K$10000,'[1]1_group_totals'!$C$8:$C$10000,I54,'[1]1_group_totals'!$F$8:$F$10000,quot_location_group_id,'[1]1_group_totals'!$G$8:$G$10000,quot_location_id,'[1]1_group_totals'!$H$8:$H$10000,"="&amp;Q54,'[1]1_group_totals'!$I$8:$I$10000,"="&amp;R54)+SUMIFS('[1]1_group_totals'!$N$8:$N$10000,'[1]1_group_totals'!$C$8:$C$10000,I54,'[1]1_group_totals'!$F$8:$F$10000,quot_location_group_id,'[1]1_group_totals'!$G$8:$G$10000,quot_location_id,'[1]1_group_totals'!$H$8:$H$10000,"="&amp;Q54,'[1]1_group_totals'!$I$8:$I$10000,"="&amp;R54)+SUMIFS('[1]1_group_totals'!$P$8:$P$10000,'[1]1_group_totals'!$C$8:$C$10000,I54,'[1]1_group_totals'!$F$8:$F$10000,quot_location_group_id,'[1]1_group_totals'!$G$8:$G$10000,quot_location_id,'[1]1_group_totals'!$H$8:$H$10000,"="&amp;Q54,'[1]1_group_totals'!$I$8:$I$10000,"="&amp;R54)+SUMIFS('[1]1_group_totals'!$Q$8:$Q$10000,'[1]1_group_totals'!$C$8:$C$10000,I54,'[1]1_group_totals'!$F$8:$F$10000,quot_location_group_id,'[1]1_group_totals'!$G$8:$G$10000,quot_location_id,'[1]1_group_totals'!$H$8:$H$10000,"="&amp;Q54,'[1]1_group_totals'!$I$8:$I$10000,"="&amp;R54))+(SUMIFS('[1]1_group_totals'!$L$8:$L$10000,'[1]1_group_totals'!$C$8:$C$10000,I54,'[1]1_group_totals'!$F$8:$F$10000,quot_location_group_id,'[1]1_group_totals'!$G$8:$G$10000,quot_location_id,'[1]1_group_totals'!$H$8:$H$10000,"="&amp;Q54,'[1]1_group_totals'!$I$8:$I$10000,"="&amp;R54)+SUMIFS('[1]1_group_totals'!$M$8:$M$10000,'[1]1_group_totals'!$C$8:$C$10000,I54,'[1]1_group_totals'!$F$8:$F$10000,quot_location_group_id,'[1]1_group_totals'!$G$8:$G$10000,quot_location_id,'[1]1_group_totals'!$H$8:$H$10000,"="&amp;Q54,'[1]1_group_totals'!$I$8:$I$10000,"="&amp;R54)+SUMIFS('[1]1_group_totals'!$O$8:$O$10000,'[1]1_group_totals'!$C$8:$C$10000,I54,'[1]1_group_totals'!$F$8:$F$10000,quot_location_group_id,'[1]1_group_totals'!$G$8:$G$10000,quot_location_id,'[1]1_group_totals'!$H$8:$H$10000,"="&amp;Q54,'[1]1_group_totals'!$I$8:$I$10000,"="&amp;R54)+SUMIFS('[1]1_group_totals'!$R$8:$R$10000,'[1]1_group_totals'!$C$8:$C$10000,I54,'[1]1_group_totals'!$F$8:$F$10000,quot_location_group_id,'[1]1_group_totals'!$G$8:$G$10000,quot_location_id,'[1]1_group_totals'!$H$8:$H$10000,"="&amp;Q54,'[1]1_group_totals'!$I$8:$I$10000,"="&amp;R54)))</f>
        <v/>
      </c>
      <c r="AX54" s="197" t="str">
        <f t="shared" si="23"/>
        <v/>
      </c>
      <c r="AY54" s="197" t="str">
        <f>IF(M54="","",SUMIFS($AX$8:AX54,$I$8:I54,I54))</f>
        <v/>
      </c>
      <c r="AZ54" s="197" t="str">
        <f t="shared" si="24"/>
        <v/>
      </c>
      <c r="BA54" s="197" t="str">
        <f>IF(M54="","",(SUMIFS('[1]1_inventory_totals'!$I$8:$I$10000,'[1]1_inventory_totals'!$C$8:$C$10000,I54,'[1]1_inventory_totals'!$F$8:$F$10000,"="&amp;Q54,'[1]1_inventory_totals'!$G$8:$G$10000,"="&amp;R54)+SUMIFS('[1]1_inventory_totals'!$N$8:$N$10000,'[1]1_inventory_totals'!$C$8:$C$10000,I54,'[1]1_inventory_totals'!$F$8:$F$10000,"="&amp;Q54,'[1]1_inventory_totals'!$G$8:$G$10000,"="&amp;R54)+SUMIFS('[1]1_inventory_totals'!$P$8:$P$10000,'[1]1_inventory_totals'!$C$8:$C$10000,I54,'[1]1_inventory_totals'!$F$8:$F$10000,"="&amp;Q54,'[1]1_inventory_totals'!$G$8:$G$10000,"="&amp;R54)+SUMIFS('[1]1_inventory_totals'!$Q$8:$Q$10000,'[1]1_inventory_totals'!$C$8:$C$10000,I54,'[1]1_inventory_totals'!$F$8:$F$10000,"="&amp;Q54,'[1]1_inventory_totals'!$G$8:$G$10000,"="&amp;R54)+SUMIFS('[1]1_inventory_totals'!$R$8:$R$10000,'[1]1_inventory_totals'!$C$8:$C$10000,I54,'[1]1_inventory_totals'!$F$8:$F$10000,"="&amp;Q54,'[1]1_inventory_totals'!$G$8:$G$10000,"="&amp;R54))+(SUMIFS('[1]1_inventory_totals'!$J$8:$J$10000,'[1]1_inventory_totals'!$C$8:$C$10000,I54,'[1]1_inventory_totals'!$F$8:$F$10000,"="&amp;Q54,'[1]1_inventory_totals'!$G$8:$G$10000,"="&amp;R54)+SUMIFS('[1]1_inventory_totals'!$K$8:$K$10000,'[1]1_inventory_totals'!$C$8:$C$10000,I54,'[1]1_inventory_totals'!$F$8:$F$10000,"="&amp;Q54,'[1]1_inventory_totals'!$G$8:$G$10000,"="&amp;R54)+SUMIFS('[1]1_inventory_totals'!$L$8:$L$10000,'[1]1_inventory_totals'!$C$8:$C$10000,I54,'[1]1_inventory_totals'!$F$8:$F$10000,"="&amp;Q54,'[1]1_inventory_totals'!$G$8:$G$10000,"="&amp;R54)+SUMIFS('[1]1_inventory_totals'!$M$8:$M$10000,'[1]1_inventory_totals'!$C$8:$C$10000,I54,'[1]1_inventory_totals'!$F$8:$F$10000,"="&amp;Q54,'[1]1_inventory_totals'!$G$8:$G$10000,"="&amp;R54)+SUMIFS('[1]1_inventory_totals'!$O$8:$O$10000,'[1]1_inventory_totals'!$C$8:$C$10000,I54,'[1]1_inventory_totals'!$F$8:$F$10000,"="&amp;Q54,'[1]1_inventory_totals'!$G$8:$G$10000,"="&amp;R54)+SUMIFS('[1]1_inventory_totals'!$S$8:$S$10000,'[1]1_inventory_totals'!$C$8:$C$10000,I54,'[1]1_inventory_totals'!$F$8:$F$10000,"="&amp;Q54,'[1]1_inventory_totals'!$G$8:$G$10000,"="&amp;R54)))</f>
        <v/>
      </c>
      <c r="BB54" s="197" t="str">
        <f>IF(M54="","",(SUMIFS('[1]2_inventory_totals'!$I$8:$I$10000,'[1]2_inventory_totals'!$C$8:$C$10000,I54,'[1]2_inventory_totals'!$F$8:$F$10000,"="&amp;Q54,'[1]2_inventory_totals'!$G$8:$G$10000,"="&amp;R54)+SUMIFS('[1]2_inventory_totals'!$N$8:$N$10000,'[1]2_inventory_totals'!$C$8:$C$10000,I54,'[1]2_inventory_totals'!$F$8:$F$10000,"="&amp;Q54,'[1]2_inventory_totals'!$G$8:$G$10000,"="&amp;R54)+SUMIFS('[1]2_inventory_totals'!$P$8:$P$10000,'[1]2_inventory_totals'!$C$8:$C$10000,I54,'[1]2_inventory_totals'!$F$8:$F$10000,"="&amp;Q54,'[1]2_inventory_totals'!$G$8:$G$10000,"="&amp;R54)+SUMIFS('[1]2_inventory_totals'!$Q$8:$Q$10000,'[1]2_inventory_totals'!$C$8:$C$10000,I54,'[1]2_inventory_totals'!$F$8:$F$10000,"="&amp;Q54,'[1]2_inventory_totals'!$G$8:$G$10000,"="&amp;R54)+SUMIFS('[1]2_inventory_totals'!$R$8:$R$10000,'[1]2_inventory_totals'!$C$8:$C$10000,I54,'[1]2_inventory_totals'!$F$8:$F$10000,"="&amp;Q54,'[1]2_inventory_totals'!$G$8:$G$10000,"="&amp;R54))+(SUMIFS('[1]2_inventory_totals'!$J$8:$J$10000,'[1]2_inventory_totals'!$C$8:$C$10000,I54,'[1]2_inventory_totals'!$F$8:$F$10000,"="&amp;Q54,'[1]2_inventory_totals'!$G$8:$G$10000,"="&amp;R54)+SUMIFS('[1]2_inventory_totals'!$K$8:$K$10000,'[1]2_inventory_totals'!$C$8:$C$10000,I54,'[1]2_inventory_totals'!$F$8:$F$10000,"="&amp;Q54,'[1]2_inventory_totals'!$G$8:$G$10000,"="&amp;R54)+SUMIFS('[1]2_inventory_totals'!$L$8:$L$10000,'[1]2_inventory_totals'!$C$8:$C$10000,I54,'[1]2_inventory_totals'!$F$8:$F$10000,"="&amp;Q54,'[1]2_inventory_totals'!$G$8:$G$10000,"="&amp;R54)+SUMIFS('[1]2_inventory_totals'!$M$8:$M$10000,'[1]2_inventory_totals'!$C$8:$C$10000,I54,'[1]2_inventory_totals'!$F$8:$F$10000,"="&amp;Q54,'[1]2_inventory_totals'!$G$8:$G$10000,"="&amp;R54)+SUMIFS('[1]2_inventory_totals'!$O$8:$O$10000,'[1]2_inventory_totals'!$C$8:$C$10000,I54,'[1]2_inventory_totals'!$F$8:$F$10000,"="&amp;Q54,'[1]2_inventory_totals'!$G$8:$G$10000,"="&amp;R54)+SUMIFS('[1]2_inventory_totals'!$S$8:$S$10000,'[1]2_inventory_totals'!$C$8:$C$10000,I54,'[1]2_inventory_totals'!$F$8:$F$10000,"="&amp;Q54,'[1]2_inventory_totals'!$G$8:$G$10000,"="&amp;R54)))</f>
        <v/>
      </c>
    </row>
    <row r="55" spans="1:54" ht="27" hidden="1" customHeight="1">
      <c r="A55" s="923"/>
      <c r="B55" s="1256"/>
      <c r="C55" s="1268"/>
      <c r="D55" s="950"/>
      <c r="E55" s="950"/>
      <c r="F55" s="1257"/>
      <c r="G55" s="941"/>
      <c r="H55" s="951"/>
      <c r="I55" s="1610" t="str">
        <f t="shared" si="10"/>
        <v/>
      </c>
      <c r="J55" s="1611" t="str">
        <f t="shared" si="112"/>
        <v/>
      </c>
      <c r="K55" s="1612" t="str">
        <f t="shared" si="30"/>
        <v/>
      </c>
      <c r="L55" s="1613"/>
      <c r="M55" s="883"/>
      <c r="N55" s="884"/>
      <c r="O55" s="884"/>
      <c r="P55" s="885"/>
      <c r="Q55" s="886"/>
      <c r="R55" s="891"/>
      <c r="S55" s="1614" t="str">
        <f t="shared" ref="S55" si="210">IF(M55="","",quot_currency_symbol)</f>
        <v/>
      </c>
      <c r="T55" s="888"/>
      <c r="U55" s="1650" t="str">
        <f t="shared" si="13"/>
        <v/>
      </c>
      <c r="V55" s="1615" t="str">
        <f t="shared" ref="V55" si="211">IF(W55=0,"",quot_currency_symbol)</f>
        <v/>
      </c>
      <c r="W55" s="889"/>
      <c r="X55" s="1615" t="str">
        <f t="shared" ref="X55" si="212">IF(M55="","",quot_currency_symbol)</f>
        <v/>
      </c>
      <c r="Y55" s="1616" t="str">
        <f t="shared" si="34"/>
        <v/>
      </c>
      <c r="Z55" s="890"/>
      <c r="AA55" s="197" t="str" cm="1">
        <f t="array" ref="AA55">IF(M55="","",IF(P55=AN55,1,Slookup(MID(AN55,1,3)*1,UomConversion!$D$8:$J$500,5,UomConversion!$E$8:$E$500,MID(P55,1,3)*1,UomConversion!$J$8:$J$500,1)))</f>
        <v/>
      </c>
      <c r="AB55" s="197" t="str">
        <f t="shared" si="3"/>
        <v/>
      </c>
      <c r="AC55" s="197" t="str">
        <f t="shared" si="17"/>
        <v/>
      </c>
      <c r="AD55" s="197" t="str">
        <f t="shared" si="18"/>
        <v/>
      </c>
      <c r="AE55" s="197" t="str">
        <f t="shared" si="19"/>
        <v/>
      </c>
      <c r="AF55" s="197" t="str">
        <f t="shared" si="152"/>
        <v/>
      </c>
      <c r="AG55" s="197" t="str">
        <f t="shared" si="6"/>
        <v/>
      </c>
      <c r="AH55" s="197" t="str">
        <f>IF(I55="","",IF(ISNA(MATCH(I55,IF(quot_location_id=1,'[1]1_inventory_totals'!$C$8:$C$10000,IF(quot_location_id=2,'[1]2_inventory_totals'!$C$8:$C$10000,0)),0)),0,IF(AV55&gt;0,1,0)))</f>
        <v/>
      </c>
      <c r="AI55" s="197" t="str">
        <f>IF(M55="","",IF(quot_location_id=1,SUMIFS('[1]1_inventory_total_details'!$J$8:$J$10000,'[1]1_inventory_total_details'!$C$8:$C$10000,I55,'[1]1_inventory_total_details'!$F$8:$F$10000,quot_location_id,'[1]1_inventory_total_details'!$G$8:$G$10000,"="&amp;Q55,'[1]1_inventory_total_details'!$H$8:$H$10000,"="&amp;R55,'[1]1_inventory_total_details'!$I$8:$I$10000,"="&amp;quot_date)+SUMIFS('[1]1_inventory_total_details'!$M$8:$M$10000,'[1]1_inventory_total_details'!$C$8:$C$10000,I55,'[1]1_inventory_total_details'!$F$8:$F$10000,quot_location_id,'[1]1_inventory_total_details'!$G$8:$G$10000,"="&amp;Q55,'[1]1_inventory_total_details'!$H$8:$H$10000,"="&amp;R55,'[1]1_inventory_total_details'!$I$8:$I$10000,"="&amp;quot_date)+SUMIFS('[1]1_inventory_total_details'!$K$8:$K$10000,'[1]1_inventory_total_details'!$C$8:$C$10000,I55,'[1]1_inventory_total_details'!$F$8:$F$10000,quot_location_id,'[1]1_inventory_total_details'!$G$8:$G$10000,"="&amp;Q55,'[1]1_inventory_total_details'!$H$8:$H$10000,"="&amp;R55,'[1]1_inventory_total_details'!$I$8:$I$10000,"="&amp;quot_date)+SUMIFS('[1]1_inventory_total_details'!$L$8:$L$10000,'[1]1_inventory_total_details'!$C$8:$C$10000,I55,'[1]1_inventory_total_details'!$F$8:$F$10000,quot_location_id,'[1]1_inventory_total_details'!$G$8:$G$10000,"="&amp;Q55,'[1]1_inventory_total_details'!$H$8:$H$10000,"="&amp;R55,'[1]1_inventory_total_details'!$I$8:$I$10000,"="&amp;quot_date),SUMIFS('[1]2_inventory_total_details'!$J$8:$J$10000,'[1]2_inventory_total_details'!$C$8:$C$10000,I55,'[1]2_inventory_total_details'!$F$8:$F$10000,quot_location_id,'[1]2_inventory_total_details'!$G$8:$G$10000,"="&amp;Q55,'[1]2_inventory_total_details'!$H$8:$H$10000,"="&amp;R55,'[1]2_inventory_total_details'!$I$8:$I$10000,"="&amp;quot_date)+SUMIFS('[1]2_inventory_total_details'!$M$8:$M$10000,'[1]2_inventory_total_details'!$C$8:$C$10000,I55,'[1]2_inventory_total_details'!$F$8:$F$10000,quot_location_id,'[1]2_inventory_total_details'!$G$8:$G$10000,"="&amp;Q55,'[1]2_inventory_total_details'!$H$8:$H$10000,"="&amp;R55,'[1]2_inventory_total_details'!$I$8:$I$10000,"="&amp;quot_date)+SUMIFS('[1]2_inventory_total_details'!$K$8:$K$10000,'[1]2_inventory_total_details'!$C$8:$C$10000,I55,'[1]2_inventory_total_details'!$F$8:$F$10000,quot_location_id,'[1]2_inventory_total_details'!$G$8:$G$10000,"="&amp;Q55,'[1]2_inventory_total_details'!$H$8:$H$10000,"="&amp;R55,'[1]2_inventory_total_details'!$I$8:$I$10000,"="&amp;quot_date)+SUMIFS('[1]2_inventory_total_details'!$L$8:$L$10000,'[1]2_inventory_total_details'!$C$8:$C$10000,I55,'[1]2_inventory_total_details'!$F$8:$F$10000,quot_location_id,'[1]2_inventory_total_details'!$G$8:$G$10000,"="&amp;Q55,'[1]2_inventory_total_details'!$H$8:$H$10000,"="&amp;R55,'[1]2_inventory_total_details'!$I$8:$I$10000,"="&amp;quot_date)))</f>
        <v/>
      </c>
      <c r="AJ55" s="197" t="str">
        <f>IF(M55="","",IF(ISNA(MATCH(I55,'[1]1_group_totals'!$C$8:$C$10000)),0,IF(AW55&gt;0,1,0)))</f>
        <v/>
      </c>
      <c r="AK55" s="197" t="str">
        <f>IF(M55="","",(SUMIFS('[1]1_group_total_details'!$I$8:$I$10000,'[1]1_group_total_details'!$C$8:$C$10000,I55,'[1]1_group_total_details'!$F$8:$F$10000,quot_location_group_id,'[1]1_group_total_details'!$G$8:$G$10000,quot_location_id,'[1]1_group_total_details'!$H$8:$H$10000,"="&amp;quot_date)+SUMIFS('[1]1_group_total_details'!$L$8:$L$10000,'[1]1_group_total_details'!$C$8:$C$10000,I55,'[1]1_group_total_details'!$F$8:$F$10000,quot_location_group_id,'[1]1_group_total_details'!$G$8:$G$10000,quot_location_id,'[1]1_group_total_details'!$H$8:$H$10000,"="&amp;quot_date)+SUMIFS('[1]1_group_total_details'!$N$8:$N$10000,'[1]1_group_total_details'!$C$8:$C$10000,I55,'[1]1_group_total_details'!$F$8:$F$10000,quot_location_group_id,'[1]1_group_total_details'!$G$8:$G$10000,quot_location_id,'[1]1_group_total_details'!$H$8:$H$10000,"="&amp;quot_date)+SUMIFS('[1]1_group_total_details'!$O$8:$O$10000,'[1]1_group_total_details'!$C$8:$C$10000,I55,'[1]1_group_total_details'!$F$8:$F$10000,quot_location_group_id,'[1]1_group_total_details'!$G$8:$G$10000,quot_location_id,'[1]1_group_total_details'!$H$8:$H$10000,"="&amp;quot_date))+(SUMIFS('[1]1_group_total_details'!$J$8:$J$10000,'[1]1_group_total_details'!$C$8:$C$10000,I55,'[1]1_group_total_details'!$F$8:$F$10000,quot_location_group_id,'[1]1_group_total_details'!$G$8:$G$10000,quot_location_id,'[1]1_group_total_details'!$H$8:$H$10000,"="&amp;quot_date)+SUMIFS('[1]1_group_total_details'!$K$8:$K$10000,'[1]1_group_total_details'!$C$8:$C$10000,I55,'[1]1_group_total_details'!$F$8:$F$10000,quot_location_group_id,'[1]1_group_total_details'!$G$8:$G$10000,quot_location_id,'[1]1_group_total_details'!$H$8:$H$10000,"="&amp;quot_date)+SUMIFS('[1]1_group_total_details'!$M$8:$M$10000,'[1]1_group_total_details'!$C$8:$C$10000,I55,'[1]1_group_total_details'!$F$8:$F$10000,quot_location_group_id,'[1]1_group_total_details'!$G$8:$G$10000,quot_location_id,'[1]1_group_total_details'!$H$8:$H$10000,"="&amp;quot_date)+SUMIFS('[1]1_group_total_details'!$P$8:$P$10000,'[1]1_group_total_details'!$C$8:$C$10000,I55,'[1]1_group_total_details'!$F$8:$F$10000,quot_location_group_id,'[1]1_group_total_details'!$G$8:$G$10000,quot_location_id,'[1]1_group_total_details'!$H$8:$H$10000,"="&amp;quot_date)))</f>
        <v/>
      </c>
      <c r="AL55" s="197" t="str">
        <f>IF(M55="","",(SUMIFS('[1]1_group_total_details'!$I$8:$I$10000,'[1]1_group_total_details'!$C$8:$C$10000,I55,'[1]1_group_total_details'!$F$8:$F$10000,quot_location_group_id,'[1]1_group_total_details'!$G$8:$G$10000,quot_location_id,'[1]1_group_total_details'!$H$8:$H$10000,"&lt;="&amp;quot_date)+SUMIFS('[1]1_group_total_details'!$L$8:$L$10000,'[1]1_group_total_details'!$C$8:$C$10000,I55,'[1]1_group_total_details'!$F$8:$F$10000,quot_location_group_id,'[1]1_group_total_details'!$G$8:$G$10000,1,'[1]1_group_total_details'!$H$8:$H$10000,"&lt;="&amp;quot_date)+SUMIFS('[1]1_group_total_details'!$N$8:$N$10000,'[1]1_group_total_details'!$C$8:$C$10000,I55,'[1]1_group_total_details'!$F$8:$F$10000,quot_location_group_id,'[1]1_group_total_details'!$G$8:$G$10000,quot_location_id,'[1]1_group_total_details'!$H$8:$H$10000,"&lt;="&amp;quot_date)+SUMIFS('[1]1_group_total_details'!$O$8:$O$10000,'[1]1_group_total_details'!$C$8:$C$10000,I55,'[1]1_group_total_details'!$F$8:$F$10000,quot_location_group_id,'[1]1_group_total_details'!$G$8:$G$10000,quot_location_id,'[1]1_group_total_details'!$H$8:$H$10000,"&lt;="&amp;quot_date))-(SUMIFS('[1]1_group_total_details'!$J$8:$J$10000,'[1]1_group_total_details'!$C$8:$C$10000,I55,'[1]1_group_total_details'!$F$8:$F$10000,quot_location_group_id,'[1]1_group_total_details'!$G$8:$G$10000,quot_location_id,'[1]1_group_total_details'!$H$8:$H$10000,"&lt;="&amp;quot_date)+SUMIFS('[1]1_group_total_details'!$K$8:$K$10000,'[1]1_group_total_details'!$C$8:$C$10000,I55,'[1]1_group_total_details'!$F$8:$F$10000,quot_location_group_id,'[1]1_group_total_details'!$G$8:$G$10000,quot_location_id,'[1]1_group_total_details'!$H$8:$H$10000,"&lt;="&amp;quot_date)+SUMIFS('[1]1_group_total_details'!$M$8:$M$10000,'[1]1_group_total_details'!$C$8:$C$10000,I55,'[1]1_group_total_details'!$F$8:$F$10000,quot_location_group_id,'[1]1_group_total_details'!$G$8:$G$10000,quot_location_id,'[1]1_group_total_details'!$H$8:$H$10000,"&lt;="&amp;quot_date)+SUMIFS('[1]1_group_total_details'!$P$8:$P$10000,'[1]1_group_total_details'!$C$8:$C$10000,I55,'[1]1_group_total_details'!$F$8:$F$10000,quot_location_group_id,'[1]1_group_total_details'!$G$8:$G$10000,quot_location_id,'[1]1_group_total_details'!$H$8:$H$10000,"&lt;="&amp;quot_date)))</f>
        <v/>
      </c>
      <c r="AM55" s="197" t="str">
        <f>IF(M55="","",SUMIFS('[1]1_group_totals'!$J$8:$J$10000,'[1]1_group_totals'!$C$8:$C$10000,I55,'[1]1_group_totals'!$F$8:$F$10000,quot_location_group_id,'[1]1_group_totals'!$G$8:$G$10000,quot_location_id,'[1]1_group_totals'!$H$8:$H$10000,"="&amp;Q55,'[1]1_group_totals'!$I$8:$I$10000,"="&amp;R55))</f>
        <v/>
      </c>
      <c r="AN55" s="197" t="str">
        <f t="shared" si="7"/>
        <v/>
      </c>
      <c r="AO55" s="197" t="str">
        <f>IF(OR(ISNA(MATCH(MID(AN55,1,3)*1,UomConversion!$D$8:$D$500,0)),M55=""),"",IF(AT55="","",AT55))</f>
        <v/>
      </c>
      <c r="AP55" s="197" t="str">
        <f>IF(AND(AQ55&gt;0,COUNTIFS(UomConversion!$D$8:$D$500,MID(AN55,1,3)*1,UomConversion!$J$8:$J$500,1)&gt;1),TEXT(AQ55,"000")&amp;"."&amp;VLOOKUP(AQ55,uom_list,5,FALSE),"")</f>
        <v/>
      </c>
      <c r="AQ55" s="197" t="str">
        <f t="shared" si="20"/>
        <v/>
      </c>
      <c r="AR55" s="197" t="str">
        <f t="shared" si="21"/>
        <v/>
      </c>
      <c r="AS55" s="197" t="str">
        <f>IF(M55="","",SUMIFS(ProductPrice!$N$28:$N$10020,ProductPrice!$D$28:$D$10020,I55,ProductPrice!$G$28:$G$10020,quot_branch_id,ProductPrice!$H$28:$H$10020,quot_price_type_id,ProductPrice!$I$28:$I$10020,MID(P55,1,3)*1,ProductPrice!$Q$28:$Q$10020,1))</f>
        <v/>
      </c>
      <c r="AT55" s="197" t="str">
        <f t="shared" si="8"/>
        <v/>
      </c>
      <c r="AU55" s="197" t="str" cm="1">
        <f t="array" ref="AU55">IF(M55="","",IF(ISNA(Slookup(MID(AN55,1,3)*1,UomConversion!$D$8:$J$500,2,UomConversion!$I$8:$I$500,1,UomConversion!$J$8:$J$500,1)),"",Slookup(MID(AN55,1,3)*1,UomConversion!$D$8:$J$500,2,UomConversion!$I$8:$I$500,1,UomConversion!$J$8:$J$500,1)))</f>
        <v/>
      </c>
      <c r="AV55" s="197" t="str">
        <f t="shared" ref="AV55" si="213">IF(M55="","",IF(quot_location_id=1,BA55,IF(quot_location_id=2,BB55,0)))</f>
        <v/>
      </c>
      <c r="AW55" s="197" t="str">
        <f>IF(M55="","",(SUMIFS('[1]1_group_totals'!$K$8:$K$10000,'[1]1_group_totals'!$C$8:$C$10000,I55,'[1]1_group_totals'!$F$8:$F$10000,quot_location_group_id,'[1]1_group_totals'!$G$8:$G$10000,quot_location_id,'[1]1_group_totals'!$H$8:$H$10000,"="&amp;Q55,'[1]1_group_totals'!$I$8:$I$10000,"="&amp;R55)+SUMIFS('[1]1_group_totals'!$N$8:$N$10000,'[1]1_group_totals'!$C$8:$C$10000,I55,'[1]1_group_totals'!$F$8:$F$10000,quot_location_group_id,'[1]1_group_totals'!$G$8:$G$10000,quot_location_id,'[1]1_group_totals'!$H$8:$H$10000,"="&amp;Q55,'[1]1_group_totals'!$I$8:$I$10000,"="&amp;R55)+SUMIFS('[1]1_group_totals'!$P$8:$P$10000,'[1]1_group_totals'!$C$8:$C$10000,I55,'[1]1_group_totals'!$F$8:$F$10000,quot_location_group_id,'[1]1_group_totals'!$G$8:$G$10000,quot_location_id,'[1]1_group_totals'!$H$8:$H$10000,"="&amp;Q55,'[1]1_group_totals'!$I$8:$I$10000,"="&amp;R55)+SUMIFS('[1]1_group_totals'!$Q$8:$Q$10000,'[1]1_group_totals'!$C$8:$C$10000,I55,'[1]1_group_totals'!$F$8:$F$10000,quot_location_group_id,'[1]1_group_totals'!$G$8:$G$10000,quot_location_id,'[1]1_group_totals'!$H$8:$H$10000,"="&amp;Q55,'[1]1_group_totals'!$I$8:$I$10000,"="&amp;R55))+(SUMIFS('[1]1_group_totals'!$L$8:$L$10000,'[1]1_group_totals'!$C$8:$C$10000,I55,'[1]1_group_totals'!$F$8:$F$10000,quot_location_group_id,'[1]1_group_totals'!$G$8:$G$10000,quot_location_id,'[1]1_group_totals'!$H$8:$H$10000,"="&amp;Q55,'[1]1_group_totals'!$I$8:$I$10000,"="&amp;R55)+SUMIFS('[1]1_group_totals'!$M$8:$M$10000,'[1]1_group_totals'!$C$8:$C$10000,I55,'[1]1_group_totals'!$F$8:$F$10000,quot_location_group_id,'[1]1_group_totals'!$G$8:$G$10000,quot_location_id,'[1]1_group_totals'!$H$8:$H$10000,"="&amp;Q55,'[1]1_group_totals'!$I$8:$I$10000,"="&amp;R55)+SUMIFS('[1]1_group_totals'!$O$8:$O$10000,'[1]1_group_totals'!$C$8:$C$10000,I55,'[1]1_group_totals'!$F$8:$F$10000,quot_location_group_id,'[1]1_group_totals'!$G$8:$G$10000,quot_location_id,'[1]1_group_totals'!$H$8:$H$10000,"="&amp;Q55,'[1]1_group_totals'!$I$8:$I$10000,"="&amp;R55)+SUMIFS('[1]1_group_totals'!$R$8:$R$10000,'[1]1_group_totals'!$C$8:$C$10000,I55,'[1]1_group_totals'!$F$8:$F$10000,quot_location_group_id,'[1]1_group_totals'!$G$8:$G$10000,quot_location_id,'[1]1_group_totals'!$H$8:$H$10000,"="&amp;Q55,'[1]1_group_totals'!$I$8:$I$10000,"="&amp;R55)))</f>
        <v/>
      </c>
      <c r="AX55" s="197" t="str">
        <f t="shared" si="23"/>
        <v/>
      </c>
      <c r="AY55" s="197" t="str">
        <f>IF(M55="","",SUMIFS($AX$8:AX55,$I$8:I55,I55))</f>
        <v/>
      </c>
      <c r="AZ55" s="197" t="str">
        <f t="shared" si="24"/>
        <v/>
      </c>
      <c r="BA55" s="197" t="str">
        <f>IF(M55="","",(SUMIFS('[1]1_inventory_totals'!$I$8:$I$10000,'[1]1_inventory_totals'!$C$8:$C$10000,I55,'[1]1_inventory_totals'!$F$8:$F$10000,"="&amp;Q55,'[1]1_inventory_totals'!$G$8:$G$10000,"="&amp;R55)+SUMIFS('[1]1_inventory_totals'!$N$8:$N$10000,'[1]1_inventory_totals'!$C$8:$C$10000,I55,'[1]1_inventory_totals'!$F$8:$F$10000,"="&amp;Q55,'[1]1_inventory_totals'!$G$8:$G$10000,"="&amp;R55)+SUMIFS('[1]1_inventory_totals'!$P$8:$P$10000,'[1]1_inventory_totals'!$C$8:$C$10000,I55,'[1]1_inventory_totals'!$F$8:$F$10000,"="&amp;Q55,'[1]1_inventory_totals'!$G$8:$G$10000,"="&amp;R55)+SUMIFS('[1]1_inventory_totals'!$Q$8:$Q$10000,'[1]1_inventory_totals'!$C$8:$C$10000,I55,'[1]1_inventory_totals'!$F$8:$F$10000,"="&amp;Q55,'[1]1_inventory_totals'!$G$8:$G$10000,"="&amp;R55)+SUMIFS('[1]1_inventory_totals'!$R$8:$R$10000,'[1]1_inventory_totals'!$C$8:$C$10000,I55,'[1]1_inventory_totals'!$F$8:$F$10000,"="&amp;Q55,'[1]1_inventory_totals'!$G$8:$G$10000,"="&amp;R55))+(SUMIFS('[1]1_inventory_totals'!$J$8:$J$10000,'[1]1_inventory_totals'!$C$8:$C$10000,I55,'[1]1_inventory_totals'!$F$8:$F$10000,"="&amp;Q55,'[1]1_inventory_totals'!$G$8:$G$10000,"="&amp;R55)+SUMIFS('[1]1_inventory_totals'!$K$8:$K$10000,'[1]1_inventory_totals'!$C$8:$C$10000,I55,'[1]1_inventory_totals'!$F$8:$F$10000,"="&amp;Q55,'[1]1_inventory_totals'!$G$8:$G$10000,"="&amp;R55)+SUMIFS('[1]1_inventory_totals'!$L$8:$L$10000,'[1]1_inventory_totals'!$C$8:$C$10000,I55,'[1]1_inventory_totals'!$F$8:$F$10000,"="&amp;Q55,'[1]1_inventory_totals'!$G$8:$G$10000,"="&amp;R55)+SUMIFS('[1]1_inventory_totals'!$M$8:$M$10000,'[1]1_inventory_totals'!$C$8:$C$10000,I55,'[1]1_inventory_totals'!$F$8:$F$10000,"="&amp;Q55,'[1]1_inventory_totals'!$G$8:$G$10000,"="&amp;R55)+SUMIFS('[1]1_inventory_totals'!$O$8:$O$10000,'[1]1_inventory_totals'!$C$8:$C$10000,I55,'[1]1_inventory_totals'!$F$8:$F$10000,"="&amp;Q55,'[1]1_inventory_totals'!$G$8:$G$10000,"="&amp;R55)+SUMIFS('[1]1_inventory_totals'!$S$8:$S$10000,'[1]1_inventory_totals'!$C$8:$C$10000,I55,'[1]1_inventory_totals'!$F$8:$F$10000,"="&amp;Q55,'[1]1_inventory_totals'!$G$8:$G$10000,"="&amp;R55)))</f>
        <v/>
      </c>
      <c r="BB55" s="197" t="str">
        <f>IF(M55="","",(SUMIFS('[1]2_inventory_totals'!$I$8:$I$10000,'[1]2_inventory_totals'!$C$8:$C$10000,I55,'[1]2_inventory_totals'!$F$8:$F$10000,"="&amp;Q55,'[1]2_inventory_totals'!$G$8:$G$10000,"="&amp;R55)+SUMIFS('[1]2_inventory_totals'!$N$8:$N$10000,'[1]2_inventory_totals'!$C$8:$C$10000,I55,'[1]2_inventory_totals'!$F$8:$F$10000,"="&amp;Q55,'[1]2_inventory_totals'!$G$8:$G$10000,"="&amp;R55)+SUMIFS('[1]2_inventory_totals'!$P$8:$P$10000,'[1]2_inventory_totals'!$C$8:$C$10000,I55,'[1]2_inventory_totals'!$F$8:$F$10000,"="&amp;Q55,'[1]2_inventory_totals'!$G$8:$G$10000,"="&amp;R55)+SUMIFS('[1]2_inventory_totals'!$Q$8:$Q$10000,'[1]2_inventory_totals'!$C$8:$C$10000,I55,'[1]2_inventory_totals'!$F$8:$F$10000,"="&amp;Q55,'[1]2_inventory_totals'!$G$8:$G$10000,"="&amp;R55)+SUMIFS('[1]2_inventory_totals'!$R$8:$R$10000,'[1]2_inventory_totals'!$C$8:$C$10000,I55,'[1]2_inventory_totals'!$F$8:$F$10000,"="&amp;Q55,'[1]2_inventory_totals'!$G$8:$G$10000,"="&amp;R55))+(SUMIFS('[1]2_inventory_totals'!$J$8:$J$10000,'[1]2_inventory_totals'!$C$8:$C$10000,I55,'[1]2_inventory_totals'!$F$8:$F$10000,"="&amp;Q55,'[1]2_inventory_totals'!$G$8:$G$10000,"="&amp;R55)+SUMIFS('[1]2_inventory_totals'!$K$8:$K$10000,'[1]2_inventory_totals'!$C$8:$C$10000,I55,'[1]2_inventory_totals'!$F$8:$F$10000,"="&amp;Q55,'[1]2_inventory_totals'!$G$8:$G$10000,"="&amp;R55)+SUMIFS('[1]2_inventory_totals'!$L$8:$L$10000,'[1]2_inventory_totals'!$C$8:$C$10000,I55,'[1]2_inventory_totals'!$F$8:$F$10000,"="&amp;Q55,'[1]2_inventory_totals'!$G$8:$G$10000,"="&amp;R55)+SUMIFS('[1]2_inventory_totals'!$M$8:$M$10000,'[1]2_inventory_totals'!$C$8:$C$10000,I55,'[1]2_inventory_totals'!$F$8:$F$10000,"="&amp;Q55,'[1]2_inventory_totals'!$G$8:$G$10000,"="&amp;R55)+SUMIFS('[1]2_inventory_totals'!$O$8:$O$10000,'[1]2_inventory_totals'!$C$8:$C$10000,I55,'[1]2_inventory_totals'!$F$8:$F$10000,"="&amp;Q55,'[1]2_inventory_totals'!$G$8:$G$10000,"="&amp;R55)+SUMIFS('[1]2_inventory_totals'!$S$8:$S$10000,'[1]2_inventory_totals'!$C$8:$C$10000,I55,'[1]2_inventory_totals'!$F$8:$F$10000,"="&amp;Q55,'[1]2_inventory_totals'!$G$8:$G$10000,"="&amp;R55)))</f>
        <v/>
      </c>
    </row>
    <row r="56" spans="1:54" ht="27" hidden="1" customHeight="1">
      <c r="A56" s="923"/>
      <c r="B56" s="1256"/>
      <c r="C56" s="1268"/>
      <c r="D56" s="950"/>
      <c r="E56" s="950"/>
      <c r="F56" s="1257"/>
      <c r="G56" s="941"/>
      <c r="H56" s="951"/>
      <c r="I56" s="1610" t="str">
        <f t="shared" si="10"/>
        <v/>
      </c>
      <c r="J56" s="1611" t="str">
        <f t="shared" si="112"/>
        <v/>
      </c>
      <c r="K56" s="1612" t="str">
        <f t="shared" si="30"/>
        <v/>
      </c>
      <c r="L56" s="1613"/>
      <c r="M56" s="883"/>
      <c r="N56" s="884"/>
      <c r="O56" s="884"/>
      <c r="P56" s="885"/>
      <c r="Q56" s="886"/>
      <c r="R56" s="891"/>
      <c r="S56" s="1614" t="str">
        <f t="shared" ref="S56" si="214">IF(M56="","",quot_currency_symbol)</f>
        <v/>
      </c>
      <c r="T56" s="888"/>
      <c r="U56" s="1650" t="str">
        <f t="shared" si="13"/>
        <v/>
      </c>
      <c r="V56" s="1615" t="str">
        <f t="shared" ref="V56" si="215">IF(W56=0,"",quot_currency_symbol)</f>
        <v/>
      </c>
      <c r="W56" s="889"/>
      <c r="X56" s="1615" t="str">
        <f t="shared" ref="X56" si="216">IF(M56="","",quot_currency_symbol)</f>
        <v/>
      </c>
      <c r="Y56" s="1616" t="str">
        <f t="shared" si="34"/>
        <v/>
      </c>
      <c r="Z56" s="890"/>
      <c r="AA56" s="197" t="str" cm="1">
        <f t="array" ref="AA56">IF(M56="","",IF(P56=AN56,1,Slookup(MID(AN56,1,3)*1,UomConversion!$D$8:$J$500,5,UomConversion!$E$8:$E$500,MID(P56,1,3)*1,UomConversion!$J$8:$J$500,1)))</f>
        <v/>
      </c>
      <c r="AB56" s="197" t="str">
        <f t="shared" si="3"/>
        <v/>
      </c>
      <c r="AC56" s="197" t="str">
        <f t="shared" si="17"/>
        <v/>
      </c>
      <c r="AD56" s="197" t="str">
        <f t="shared" si="18"/>
        <v/>
      </c>
      <c r="AE56" s="197" t="str">
        <f t="shared" si="19"/>
        <v/>
      </c>
      <c r="AF56" s="197" t="str">
        <f t="shared" si="152"/>
        <v/>
      </c>
      <c r="AG56" s="197" t="str">
        <f t="shared" si="6"/>
        <v/>
      </c>
      <c r="AH56" s="197" t="str">
        <f>IF(I56="","",IF(ISNA(MATCH(I56,IF(quot_location_id=1,'[1]1_inventory_totals'!$C$8:$C$10000,IF(quot_location_id=2,'[1]2_inventory_totals'!$C$8:$C$10000,0)),0)),0,IF(AV56&gt;0,1,0)))</f>
        <v/>
      </c>
      <c r="AI56" s="197" t="str">
        <f>IF(M56="","",IF(quot_location_id=1,SUMIFS('[1]1_inventory_total_details'!$J$8:$J$10000,'[1]1_inventory_total_details'!$C$8:$C$10000,I56,'[1]1_inventory_total_details'!$F$8:$F$10000,quot_location_id,'[1]1_inventory_total_details'!$G$8:$G$10000,"="&amp;Q56,'[1]1_inventory_total_details'!$H$8:$H$10000,"="&amp;R56,'[1]1_inventory_total_details'!$I$8:$I$10000,"="&amp;quot_date)+SUMIFS('[1]1_inventory_total_details'!$M$8:$M$10000,'[1]1_inventory_total_details'!$C$8:$C$10000,I56,'[1]1_inventory_total_details'!$F$8:$F$10000,quot_location_id,'[1]1_inventory_total_details'!$G$8:$G$10000,"="&amp;Q56,'[1]1_inventory_total_details'!$H$8:$H$10000,"="&amp;R56,'[1]1_inventory_total_details'!$I$8:$I$10000,"="&amp;quot_date)+SUMIFS('[1]1_inventory_total_details'!$K$8:$K$10000,'[1]1_inventory_total_details'!$C$8:$C$10000,I56,'[1]1_inventory_total_details'!$F$8:$F$10000,quot_location_id,'[1]1_inventory_total_details'!$G$8:$G$10000,"="&amp;Q56,'[1]1_inventory_total_details'!$H$8:$H$10000,"="&amp;R56,'[1]1_inventory_total_details'!$I$8:$I$10000,"="&amp;quot_date)+SUMIFS('[1]1_inventory_total_details'!$L$8:$L$10000,'[1]1_inventory_total_details'!$C$8:$C$10000,I56,'[1]1_inventory_total_details'!$F$8:$F$10000,quot_location_id,'[1]1_inventory_total_details'!$G$8:$G$10000,"="&amp;Q56,'[1]1_inventory_total_details'!$H$8:$H$10000,"="&amp;R56,'[1]1_inventory_total_details'!$I$8:$I$10000,"="&amp;quot_date),SUMIFS('[1]2_inventory_total_details'!$J$8:$J$10000,'[1]2_inventory_total_details'!$C$8:$C$10000,I56,'[1]2_inventory_total_details'!$F$8:$F$10000,quot_location_id,'[1]2_inventory_total_details'!$G$8:$G$10000,"="&amp;Q56,'[1]2_inventory_total_details'!$H$8:$H$10000,"="&amp;R56,'[1]2_inventory_total_details'!$I$8:$I$10000,"="&amp;quot_date)+SUMIFS('[1]2_inventory_total_details'!$M$8:$M$10000,'[1]2_inventory_total_details'!$C$8:$C$10000,I56,'[1]2_inventory_total_details'!$F$8:$F$10000,quot_location_id,'[1]2_inventory_total_details'!$G$8:$G$10000,"="&amp;Q56,'[1]2_inventory_total_details'!$H$8:$H$10000,"="&amp;R56,'[1]2_inventory_total_details'!$I$8:$I$10000,"="&amp;quot_date)+SUMIFS('[1]2_inventory_total_details'!$K$8:$K$10000,'[1]2_inventory_total_details'!$C$8:$C$10000,I56,'[1]2_inventory_total_details'!$F$8:$F$10000,quot_location_id,'[1]2_inventory_total_details'!$G$8:$G$10000,"="&amp;Q56,'[1]2_inventory_total_details'!$H$8:$H$10000,"="&amp;R56,'[1]2_inventory_total_details'!$I$8:$I$10000,"="&amp;quot_date)+SUMIFS('[1]2_inventory_total_details'!$L$8:$L$10000,'[1]2_inventory_total_details'!$C$8:$C$10000,I56,'[1]2_inventory_total_details'!$F$8:$F$10000,quot_location_id,'[1]2_inventory_total_details'!$G$8:$G$10000,"="&amp;Q56,'[1]2_inventory_total_details'!$H$8:$H$10000,"="&amp;R56,'[1]2_inventory_total_details'!$I$8:$I$10000,"="&amp;quot_date)))</f>
        <v/>
      </c>
      <c r="AJ56" s="197" t="str">
        <f>IF(M56="","",IF(ISNA(MATCH(I56,'[1]1_group_totals'!$C$8:$C$10000)),0,IF(AW56&gt;0,1,0)))</f>
        <v/>
      </c>
      <c r="AK56" s="197" t="str">
        <f>IF(M56="","",(SUMIFS('[1]1_group_total_details'!$I$8:$I$10000,'[1]1_group_total_details'!$C$8:$C$10000,I56,'[1]1_group_total_details'!$F$8:$F$10000,quot_location_group_id,'[1]1_group_total_details'!$G$8:$G$10000,quot_location_id,'[1]1_group_total_details'!$H$8:$H$10000,"="&amp;quot_date)+SUMIFS('[1]1_group_total_details'!$L$8:$L$10000,'[1]1_group_total_details'!$C$8:$C$10000,I56,'[1]1_group_total_details'!$F$8:$F$10000,quot_location_group_id,'[1]1_group_total_details'!$G$8:$G$10000,quot_location_id,'[1]1_group_total_details'!$H$8:$H$10000,"="&amp;quot_date)+SUMIFS('[1]1_group_total_details'!$N$8:$N$10000,'[1]1_group_total_details'!$C$8:$C$10000,I56,'[1]1_group_total_details'!$F$8:$F$10000,quot_location_group_id,'[1]1_group_total_details'!$G$8:$G$10000,quot_location_id,'[1]1_group_total_details'!$H$8:$H$10000,"="&amp;quot_date)+SUMIFS('[1]1_group_total_details'!$O$8:$O$10000,'[1]1_group_total_details'!$C$8:$C$10000,I56,'[1]1_group_total_details'!$F$8:$F$10000,quot_location_group_id,'[1]1_group_total_details'!$G$8:$G$10000,quot_location_id,'[1]1_group_total_details'!$H$8:$H$10000,"="&amp;quot_date))+(SUMIFS('[1]1_group_total_details'!$J$8:$J$10000,'[1]1_group_total_details'!$C$8:$C$10000,I56,'[1]1_group_total_details'!$F$8:$F$10000,quot_location_group_id,'[1]1_group_total_details'!$G$8:$G$10000,quot_location_id,'[1]1_group_total_details'!$H$8:$H$10000,"="&amp;quot_date)+SUMIFS('[1]1_group_total_details'!$K$8:$K$10000,'[1]1_group_total_details'!$C$8:$C$10000,I56,'[1]1_group_total_details'!$F$8:$F$10000,quot_location_group_id,'[1]1_group_total_details'!$G$8:$G$10000,quot_location_id,'[1]1_group_total_details'!$H$8:$H$10000,"="&amp;quot_date)+SUMIFS('[1]1_group_total_details'!$M$8:$M$10000,'[1]1_group_total_details'!$C$8:$C$10000,I56,'[1]1_group_total_details'!$F$8:$F$10000,quot_location_group_id,'[1]1_group_total_details'!$G$8:$G$10000,quot_location_id,'[1]1_group_total_details'!$H$8:$H$10000,"="&amp;quot_date)+SUMIFS('[1]1_group_total_details'!$P$8:$P$10000,'[1]1_group_total_details'!$C$8:$C$10000,I56,'[1]1_group_total_details'!$F$8:$F$10000,quot_location_group_id,'[1]1_group_total_details'!$G$8:$G$10000,quot_location_id,'[1]1_group_total_details'!$H$8:$H$10000,"="&amp;quot_date)))</f>
        <v/>
      </c>
      <c r="AL56" s="197" t="str">
        <f>IF(M56="","",(SUMIFS('[1]1_group_total_details'!$I$8:$I$10000,'[1]1_group_total_details'!$C$8:$C$10000,I56,'[1]1_group_total_details'!$F$8:$F$10000,quot_location_group_id,'[1]1_group_total_details'!$G$8:$G$10000,quot_location_id,'[1]1_group_total_details'!$H$8:$H$10000,"&lt;="&amp;quot_date)+SUMIFS('[1]1_group_total_details'!$L$8:$L$10000,'[1]1_group_total_details'!$C$8:$C$10000,I56,'[1]1_group_total_details'!$F$8:$F$10000,quot_location_group_id,'[1]1_group_total_details'!$G$8:$G$10000,1,'[1]1_group_total_details'!$H$8:$H$10000,"&lt;="&amp;quot_date)+SUMIFS('[1]1_group_total_details'!$N$8:$N$10000,'[1]1_group_total_details'!$C$8:$C$10000,I56,'[1]1_group_total_details'!$F$8:$F$10000,quot_location_group_id,'[1]1_group_total_details'!$G$8:$G$10000,quot_location_id,'[1]1_group_total_details'!$H$8:$H$10000,"&lt;="&amp;quot_date)+SUMIFS('[1]1_group_total_details'!$O$8:$O$10000,'[1]1_group_total_details'!$C$8:$C$10000,I56,'[1]1_group_total_details'!$F$8:$F$10000,quot_location_group_id,'[1]1_group_total_details'!$G$8:$G$10000,quot_location_id,'[1]1_group_total_details'!$H$8:$H$10000,"&lt;="&amp;quot_date))-(SUMIFS('[1]1_group_total_details'!$J$8:$J$10000,'[1]1_group_total_details'!$C$8:$C$10000,I56,'[1]1_group_total_details'!$F$8:$F$10000,quot_location_group_id,'[1]1_group_total_details'!$G$8:$G$10000,quot_location_id,'[1]1_group_total_details'!$H$8:$H$10000,"&lt;="&amp;quot_date)+SUMIFS('[1]1_group_total_details'!$K$8:$K$10000,'[1]1_group_total_details'!$C$8:$C$10000,I56,'[1]1_group_total_details'!$F$8:$F$10000,quot_location_group_id,'[1]1_group_total_details'!$G$8:$G$10000,quot_location_id,'[1]1_group_total_details'!$H$8:$H$10000,"&lt;="&amp;quot_date)+SUMIFS('[1]1_group_total_details'!$M$8:$M$10000,'[1]1_group_total_details'!$C$8:$C$10000,I56,'[1]1_group_total_details'!$F$8:$F$10000,quot_location_group_id,'[1]1_group_total_details'!$G$8:$G$10000,quot_location_id,'[1]1_group_total_details'!$H$8:$H$10000,"&lt;="&amp;quot_date)+SUMIFS('[1]1_group_total_details'!$P$8:$P$10000,'[1]1_group_total_details'!$C$8:$C$10000,I56,'[1]1_group_total_details'!$F$8:$F$10000,quot_location_group_id,'[1]1_group_total_details'!$G$8:$G$10000,quot_location_id,'[1]1_group_total_details'!$H$8:$H$10000,"&lt;="&amp;quot_date)))</f>
        <v/>
      </c>
      <c r="AM56" s="197" t="str">
        <f>IF(M56="","",SUMIFS('[1]1_group_totals'!$J$8:$J$10000,'[1]1_group_totals'!$C$8:$C$10000,I56,'[1]1_group_totals'!$F$8:$F$10000,quot_location_group_id,'[1]1_group_totals'!$G$8:$G$10000,quot_location_id,'[1]1_group_totals'!$H$8:$H$10000,"="&amp;Q56,'[1]1_group_totals'!$I$8:$I$10000,"="&amp;R56))</f>
        <v/>
      </c>
      <c r="AN56" s="197" t="str">
        <f t="shared" si="7"/>
        <v/>
      </c>
      <c r="AO56" s="197" t="str">
        <f>IF(OR(ISNA(MATCH(MID(AN56,1,3)*1,UomConversion!$D$8:$D$500,0)),M56=""),"",IF(AT56="","",AT56))</f>
        <v/>
      </c>
      <c r="AP56" s="197" t="str">
        <f>IF(AND(AQ56&gt;0,COUNTIFS(UomConversion!$D$8:$D$500,MID(AN56,1,3)*1,UomConversion!$J$8:$J$500,1)&gt;1),TEXT(AQ56,"000")&amp;"."&amp;VLOOKUP(AQ56,uom_list,5,FALSE),"")</f>
        <v/>
      </c>
      <c r="AQ56" s="197" t="str">
        <f t="shared" si="20"/>
        <v/>
      </c>
      <c r="AR56" s="197" t="str">
        <f t="shared" si="21"/>
        <v/>
      </c>
      <c r="AS56" s="197" t="str">
        <f>IF(M56="","",SUMIFS(ProductPrice!$N$28:$N$10020,ProductPrice!$D$28:$D$10020,I56,ProductPrice!$G$28:$G$10020,quot_branch_id,ProductPrice!$H$28:$H$10020,quot_price_type_id,ProductPrice!$I$28:$I$10020,MID(P56,1,3)*1,ProductPrice!$Q$28:$Q$10020,1))</f>
        <v/>
      </c>
      <c r="AT56" s="197" t="str">
        <f t="shared" si="8"/>
        <v/>
      </c>
      <c r="AU56" s="197" t="str" cm="1">
        <f t="array" ref="AU56">IF(M56="","",IF(ISNA(Slookup(MID(AN56,1,3)*1,UomConversion!$D$8:$J$500,2,UomConversion!$I$8:$I$500,1,UomConversion!$J$8:$J$500,1)),"",Slookup(MID(AN56,1,3)*1,UomConversion!$D$8:$J$500,2,UomConversion!$I$8:$I$500,1,UomConversion!$J$8:$J$500,1)))</f>
        <v/>
      </c>
      <c r="AV56" s="197" t="str">
        <f t="shared" ref="AV56" si="217">IF(M56="","",IF(quot_location_id=1,BA56,IF(quot_location_id=2,BB56,0)))</f>
        <v/>
      </c>
      <c r="AW56" s="197" t="str">
        <f>IF(M56="","",(SUMIFS('[1]1_group_totals'!$K$8:$K$10000,'[1]1_group_totals'!$C$8:$C$10000,I56,'[1]1_group_totals'!$F$8:$F$10000,quot_location_group_id,'[1]1_group_totals'!$G$8:$G$10000,quot_location_id,'[1]1_group_totals'!$H$8:$H$10000,"="&amp;Q56,'[1]1_group_totals'!$I$8:$I$10000,"="&amp;R56)+SUMIFS('[1]1_group_totals'!$N$8:$N$10000,'[1]1_group_totals'!$C$8:$C$10000,I56,'[1]1_group_totals'!$F$8:$F$10000,quot_location_group_id,'[1]1_group_totals'!$G$8:$G$10000,quot_location_id,'[1]1_group_totals'!$H$8:$H$10000,"="&amp;Q56,'[1]1_group_totals'!$I$8:$I$10000,"="&amp;R56)+SUMIFS('[1]1_group_totals'!$P$8:$P$10000,'[1]1_group_totals'!$C$8:$C$10000,I56,'[1]1_group_totals'!$F$8:$F$10000,quot_location_group_id,'[1]1_group_totals'!$G$8:$G$10000,quot_location_id,'[1]1_group_totals'!$H$8:$H$10000,"="&amp;Q56,'[1]1_group_totals'!$I$8:$I$10000,"="&amp;R56)+SUMIFS('[1]1_group_totals'!$Q$8:$Q$10000,'[1]1_group_totals'!$C$8:$C$10000,I56,'[1]1_group_totals'!$F$8:$F$10000,quot_location_group_id,'[1]1_group_totals'!$G$8:$G$10000,quot_location_id,'[1]1_group_totals'!$H$8:$H$10000,"="&amp;Q56,'[1]1_group_totals'!$I$8:$I$10000,"="&amp;R56))+(SUMIFS('[1]1_group_totals'!$L$8:$L$10000,'[1]1_group_totals'!$C$8:$C$10000,I56,'[1]1_group_totals'!$F$8:$F$10000,quot_location_group_id,'[1]1_group_totals'!$G$8:$G$10000,quot_location_id,'[1]1_group_totals'!$H$8:$H$10000,"="&amp;Q56,'[1]1_group_totals'!$I$8:$I$10000,"="&amp;R56)+SUMIFS('[1]1_group_totals'!$M$8:$M$10000,'[1]1_group_totals'!$C$8:$C$10000,I56,'[1]1_group_totals'!$F$8:$F$10000,quot_location_group_id,'[1]1_group_totals'!$G$8:$G$10000,quot_location_id,'[1]1_group_totals'!$H$8:$H$10000,"="&amp;Q56,'[1]1_group_totals'!$I$8:$I$10000,"="&amp;R56)+SUMIFS('[1]1_group_totals'!$O$8:$O$10000,'[1]1_group_totals'!$C$8:$C$10000,I56,'[1]1_group_totals'!$F$8:$F$10000,quot_location_group_id,'[1]1_group_totals'!$G$8:$G$10000,quot_location_id,'[1]1_group_totals'!$H$8:$H$10000,"="&amp;Q56,'[1]1_group_totals'!$I$8:$I$10000,"="&amp;R56)+SUMIFS('[1]1_group_totals'!$R$8:$R$10000,'[1]1_group_totals'!$C$8:$C$10000,I56,'[1]1_group_totals'!$F$8:$F$10000,quot_location_group_id,'[1]1_group_totals'!$G$8:$G$10000,quot_location_id,'[1]1_group_totals'!$H$8:$H$10000,"="&amp;Q56,'[1]1_group_totals'!$I$8:$I$10000,"="&amp;R56)))</f>
        <v/>
      </c>
      <c r="AX56" s="197" t="str">
        <f t="shared" si="23"/>
        <v/>
      </c>
      <c r="AY56" s="197" t="str">
        <f>IF(M56="","",SUMIFS($AX$8:AX56,$I$8:I56,I56))</f>
        <v/>
      </c>
      <c r="AZ56" s="197" t="str">
        <f t="shared" si="24"/>
        <v/>
      </c>
      <c r="BA56" s="197" t="str">
        <f>IF(M56="","",(SUMIFS('[1]1_inventory_totals'!$I$8:$I$10000,'[1]1_inventory_totals'!$C$8:$C$10000,I56,'[1]1_inventory_totals'!$F$8:$F$10000,"="&amp;Q56,'[1]1_inventory_totals'!$G$8:$G$10000,"="&amp;R56)+SUMIFS('[1]1_inventory_totals'!$N$8:$N$10000,'[1]1_inventory_totals'!$C$8:$C$10000,I56,'[1]1_inventory_totals'!$F$8:$F$10000,"="&amp;Q56,'[1]1_inventory_totals'!$G$8:$G$10000,"="&amp;R56)+SUMIFS('[1]1_inventory_totals'!$P$8:$P$10000,'[1]1_inventory_totals'!$C$8:$C$10000,I56,'[1]1_inventory_totals'!$F$8:$F$10000,"="&amp;Q56,'[1]1_inventory_totals'!$G$8:$G$10000,"="&amp;R56)+SUMIFS('[1]1_inventory_totals'!$Q$8:$Q$10000,'[1]1_inventory_totals'!$C$8:$C$10000,I56,'[1]1_inventory_totals'!$F$8:$F$10000,"="&amp;Q56,'[1]1_inventory_totals'!$G$8:$G$10000,"="&amp;R56)+SUMIFS('[1]1_inventory_totals'!$R$8:$R$10000,'[1]1_inventory_totals'!$C$8:$C$10000,I56,'[1]1_inventory_totals'!$F$8:$F$10000,"="&amp;Q56,'[1]1_inventory_totals'!$G$8:$G$10000,"="&amp;R56))+(SUMIFS('[1]1_inventory_totals'!$J$8:$J$10000,'[1]1_inventory_totals'!$C$8:$C$10000,I56,'[1]1_inventory_totals'!$F$8:$F$10000,"="&amp;Q56,'[1]1_inventory_totals'!$G$8:$G$10000,"="&amp;R56)+SUMIFS('[1]1_inventory_totals'!$K$8:$K$10000,'[1]1_inventory_totals'!$C$8:$C$10000,I56,'[1]1_inventory_totals'!$F$8:$F$10000,"="&amp;Q56,'[1]1_inventory_totals'!$G$8:$G$10000,"="&amp;R56)+SUMIFS('[1]1_inventory_totals'!$L$8:$L$10000,'[1]1_inventory_totals'!$C$8:$C$10000,I56,'[1]1_inventory_totals'!$F$8:$F$10000,"="&amp;Q56,'[1]1_inventory_totals'!$G$8:$G$10000,"="&amp;R56)+SUMIFS('[1]1_inventory_totals'!$M$8:$M$10000,'[1]1_inventory_totals'!$C$8:$C$10000,I56,'[1]1_inventory_totals'!$F$8:$F$10000,"="&amp;Q56,'[1]1_inventory_totals'!$G$8:$G$10000,"="&amp;R56)+SUMIFS('[1]1_inventory_totals'!$O$8:$O$10000,'[1]1_inventory_totals'!$C$8:$C$10000,I56,'[1]1_inventory_totals'!$F$8:$F$10000,"="&amp;Q56,'[1]1_inventory_totals'!$G$8:$G$10000,"="&amp;R56)+SUMIFS('[1]1_inventory_totals'!$S$8:$S$10000,'[1]1_inventory_totals'!$C$8:$C$10000,I56,'[1]1_inventory_totals'!$F$8:$F$10000,"="&amp;Q56,'[1]1_inventory_totals'!$G$8:$G$10000,"="&amp;R56)))</f>
        <v/>
      </c>
      <c r="BB56" s="197" t="str">
        <f>IF(M56="","",(SUMIFS('[1]2_inventory_totals'!$I$8:$I$10000,'[1]2_inventory_totals'!$C$8:$C$10000,I56,'[1]2_inventory_totals'!$F$8:$F$10000,"="&amp;Q56,'[1]2_inventory_totals'!$G$8:$G$10000,"="&amp;R56)+SUMIFS('[1]2_inventory_totals'!$N$8:$N$10000,'[1]2_inventory_totals'!$C$8:$C$10000,I56,'[1]2_inventory_totals'!$F$8:$F$10000,"="&amp;Q56,'[1]2_inventory_totals'!$G$8:$G$10000,"="&amp;R56)+SUMIFS('[1]2_inventory_totals'!$P$8:$P$10000,'[1]2_inventory_totals'!$C$8:$C$10000,I56,'[1]2_inventory_totals'!$F$8:$F$10000,"="&amp;Q56,'[1]2_inventory_totals'!$G$8:$G$10000,"="&amp;R56)+SUMIFS('[1]2_inventory_totals'!$Q$8:$Q$10000,'[1]2_inventory_totals'!$C$8:$C$10000,I56,'[1]2_inventory_totals'!$F$8:$F$10000,"="&amp;Q56,'[1]2_inventory_totals'!$G$8:$G$10000,"="&amp;R56)+SUMIFS('[1]2_inventory_totals'!$R$8:$R$10000,'[1]2_inventory_totals'!$C$8:$C$10000,I56,'[1]2_inventory_totals'!$F$8:$F$10000,"="&amp;Q56,'[1]2_inventory_totals'!$G$8:$G$10000,"="&amp;R56))+(SUMIFS('[1]2_inventory_totals'!$J$8:$J$10000,'[1]2_inventory_totals'!$C$8:$C$10000,I56,'[1]2_inventory_totals'!$F$8:$F$10000,"="&amp;Q56,'[1]2_inventory_totals'!$G$8:$G$10000,"="&amp;R56)+SUMIFS('[1]2_inventory_totals'!$K$8:$K$10000,'[1]2_inventory_totals'!$C$8:$C$10000,I56,'[1]2_inventory_totals'!$F$8:$F$10000,"="&amp;Q56,'[1]2_inventory_totals'!$G$8:$G$10000,"="&amp;R56)+SUMIFS('[1]2_inventory_totals'!$L$8:$L$10000,'[1]2_inventory_totals'!$C$8:$C$10000,I56,'[1]2_inventory_totals'!$F$8:$F$10000,"="&amp;Q56,'[1]2_inventory_totals'!$G$8:$G$10000,"="&amp;R56)+SUMIFS('[1]2_inventory_totals'!$M$8:$M$10000,'[1]2_inventory_totals'!$C$8:$C$10000,I56,'[1]2_inventory_totals'!$F$8:$F$10000,"="&amp;Q56,'[1]2_inventory_totals'!$G$8:$G$10000,"="&amp;R56)+SUMIFS('[1]2_inventory_totals'!$O$8:$O$10000,'[1]2_inventory_totals'!$C$8:$C$10000,I56,'[1]2_inventory_totals'!$F$8:$F$10000,"="&amp;Q56,'[1]2_inventory_totals'!$G$8:$G$10000,"="&amp;R56)+SUMIFS('[1]2_inventory_totals'!$S$8:$S$10000,'[1]2_inventory_totals'!$C$8:$C$10000,I56,'[1]2_inventory_totals'!$F$8:$F$10000,"="&amp;Q56,'[1]2_inventory_totals'!$G$8:$G$10000,"="&amp;R56)))</f>
        <v/>
      </c>
    </row>
    <row r="57" spans="1:54" ht="27" hidden="1" customHeight="1">
      <c r="A57" s="923"/>
      <c r="B57" s="1256"/>
      <c r="C57" s="950"/>
      <c r="D57" s="950"/>
      <c r="E57" s="950"/>
      <c r="F57" s="1257"/>
      <c r="G57" s="941"/>
      <c r="H57" s="951"/>
      <c r="I57" s="1610" t="str">
        <f t="shared" si="10"/>
        <v/>
      </c>
      <c r="J57" s="1611" t="str">
        <f t="shared" si="112"/>
        <v/>
      </c>
      <c r="K57" s="1612" t="str">
        <f t="shared" si="30"/>
        <v/>
      </c>
      <c r="L57" s="1613"/>
      <c r="M57" s="883"/>
      <c r="N57" s="884"/>
      <c r="O57" s="884"/>
      <c r="P57" s="885"/>
      <c r="Q57" s="886"/>
      <c r="R57" s="891"/>
      <c r="S57" s="1614" t="str">
        <f t="shared" ref="S57" si="218">IF(M57="","",quot_currency_symbol)</f>
        <v/>
      </c>
      <c r="T57" s="888"/>
      <c r="U57" s="1650" t="str">
        <f t="shared" si="13"/>
        <v/>
      </c>
      <c r="V57" s="1615" t="str">
        <f t="shared" ref="V57" si="219">IF(W57=0,"",quot_currency_symbol)</f>
        <v/>
      </c>
      <c r="W57" s="889"/>
      <c r="X57" s="1615" t="str">
        <f t="shared" ref="X57" si="220">IF(M57="","",quot_currency_symbol)</f>
        <v/>
      </c>
      <c r="Y57" s="1616" t="str">
        <f t="shared" si="34"/>
        <v/>
      </c>
      <c r="Z57" s="890"/>
      <c r="AA57" s="197" t="str" cm="1">
        <f t="array" ref="AA57">IF(M57="","",IF(P57=AN57,1,Slookup(MID(AN57,1,3)*1,UomConversion!$D$8:$J$500,5,UomConversion!$E$8:$E$500,MID(P57,1,3)*1,UomConversion!$J$8:$J$500,1)))</f>
        <v/>
      </c>
      <c r="AB57" s="197" t="str">
        <f t="shared" si="3"/>
        <v/>
      </c>
      <c r="AC57" s="197" t="str">
        <f t="shared" si="17"/>
        <v/>
      </c>
      <c r="AD57" s="197" t="str">
        <f t="shared" si="18"/>
        <v/>
      </c>
      <c r="AE57" s="197" t="str">
        <f t="shared" si="19"/>
        <v/>
      </c>
      <c r="AF57" s="197" t="str">
        <f t="shared" si="152"/>
        <v/>
      </c>
      <c r="AG57" s="197" t="str">
        <f t="shared" si="6"/>
        <v/>
      </c>
      <c r="AH57" s="197" t="str">
        <f>IF(I57="","",IF(ISNA(MATCH(I57,IF(quot_location_id=1,'[1]1_inventory_totals'!$C$8:$C$10000,IF(quot_location_id=2,'[1]2_inventory_totals'!$C$8:$C$10000,0)),0)),0,IF(AV57&gt;0,1,0)))</f>
        <v/>
      </c>
      <c r="AI57" s="197" t="str">
        <f>IF(M57="","",IF(quot_location_id=1,SUMIFS('[1]1_inventory_total_details'!$J$8:$J$10000,'[1]1_inventory_total_details'!$C$8:$C$10000,I57,'[1]1_inventory_total_details'!$F$8:$F$10000,quot_location_id,'[1]1_inventory_total_details'!$G$8:$G$10000,"="&amp;Q57,'[1]1_inventory_total_details'!$H$8:$H$10000,"="&amp;R57,'[1]1_inventory_total_details'!$I$8:$I$10000,"="&amp;quot_date)+SUMIFS('[1]1_inventory_total_details'!$M$8:$M$10000,'[1]1_inventory_total_details'!$C$8:$C$10000,I57,'[1]1_inventory_total_details'!$F$8:$F$10000,quot_location_id,'[1]1_inventory_total_details'!$G$8:$G$10000,"="&amp;Q57,'[1]1_inventory_total_details'!$H$8:$H$10000,"="&amp;R57,'[1]1_inventory_total_details'!$I$8:$I$10000,"="&amp;quot_date)+SUMIFS('[1]1_inventory_total_details'!$K$8:$K$10000,'[1]1_inventory_total_details'!$C$8:$C$10000,I57,'[1]1_inventory_total_details'!$F$8:$F$10000,quot_location_id,'[1]1_inventory_total_details'!$G$8:$G$10000,"="&amp;Q57,'[1]1_inventory_total_details'!$H$8:$H$10000,"="&amp;R57,'[1]1_inventory_total_details'!$I$8:$I$10000,"="&amp;quot_date)+SUMIFS('[1]1_inventory_total_details'!$L$8:$L$10000,'[1]1_inventory_total_details'!$C$8:$C$10000,I57,'[1]1_inventory_total_details'!$F$8:$F$10000,quot_location_id,'[1]1_inventory_total_details'!$G$8:$G$10000,"="&amp;Q57,'[1]1_inventory_total_details'!$H$8:$H$10000,"="&amp;R57,'[1]1_inventory_total_details'!$I$8:$I$10000,"="&amp;quot_date),SUMIFS('[1]2_inventory_total_details'!$J$8:$J$10000,'[1]2_inventory_total_details'!$C$8:$C$10000,I57,'[1]2_inventory_total_details'!$F$8:$F$10000,quot_location_id,'[1]2_inventory_total_details'!$G$8:$G$10000,"="&amp;Q57,'[1]2_inventory_total_details'!$H$8:$H$10000,"="&amp;R57,'[1]2_inventory_total_details'!$I$8:$I$10000,"="&amp;quot_date)+SUMIFS('[1]2_inventory_total_details'!$M$8:$M$10000,'[1]2_inventory_total_details'!$C$8:$C$10000,I57,'[1]2_inventory_total_details'!$F$8:$F$10000,quot_location_id,'[1]2_inventory_total_details'!$G$8:$G$10000,"="&amp;Q57,'[1]2_inventory_total_details'!$H$8:$H$10000,"="&amp;R57,'[1]2_inventory_total_details'!$I$8:$I$10000,"="&amp;quot_date)+SUMIFS('[1]2_inventory_total_details'!$K$8:$K$10000,'[1]2_inventory_total_details'!$C$8:$C$10000,I57,'[1]2_inventory_total_details'!$F$8:$F$10000,quot_location_id,'[1]2_inventory_total_details'!$G$8:$G$10000,"="&amp;Q57,'[1]2_inventory_total_details'!$H$8:$H$10000,"="&amp;R57,'[1]2_inventory_total_details'!$I$8:$I$10000,"="&amp;quot_date)+SUMIFS('[1]2_inventory_total_details'!$L$8:$L$10000,'[1]2_inventory_total_details'!$C$8:$C$10000,I57,'[1]2_inventory_total_details'!$F$8:$F$10000,quot_location_id,'[1]2_inventory_total_details'!$G$8:$G$10000,"="&amp;Q57,'[1]2_inventory_total_details'!$H$8:$H$10000,"="&amp;R57,'[1]2_inventory_total_details'!$I$8:$I$10000,"="&amp;quot_date)))</f>
        <v/>
      </c>
      <c r="AJ57" s="197" t="str">
        <f>IF(M57="","",IF(ISNA(MATCH(I57,'[1]1_group_totals'!$C$8:$C$10000)),0,IF(AW57&gt;0,1,0)))</f>
        <v/>
      </c>
      <c r="AK57" s="197" t="str">
        <f>IF(M57="","",(SUMIFS('[1]1_group_total_details'!$I$8:$I$10000,'[1]1_group_total_details'!$C$8:$C$10000,I57,'[1]1_group_total_details'!$F$8:$F$10000,quot_location_group_id,'[1]1_group_total_details'!$G$8:$G$10000,quot_location_id,'[1]1_group_total_details'!$H$8:$H$10000,"="&amp;quot_date)+SUMIFS('[1]1_group_total_details'!$L$8:$L$10000,'[1]1_group_total_details'!$C$8:$C$10000,I57,'[1]1_group_total_details'!$F$8:$F$10000,quot_location_group_id,'[1]1_group_total_details'!$G$8:$G$10000,quot_location_id,'[1]1_group_total_details'!$H$8:$H$10000,"="&amp;quot_date)+SUMIFS('[1]1_group_total_details'!$N$8:$N$10000,'[1]1_group_total_details'!$C$8:$C$10000,I57,'[1]1_group_total_details'!$F$8:$F$10000,quot_location_group_id,'[1]1_group_total_details'!$G$8:$G$10000,quot_location_id,'[1]1_group_total_details'!$H$8:$H$10000,"="&amp;quot_date)+SUMIFS('[1]1_group_total_details'!$O$8:$O$10000,'[1]1_group_total_details'!$C$8:$C$10000,I57,'[1]1_group_total_details'!$F$8:$F$10000,quot_location_group_id,'[1]1_group_total_details'!$G$8:$G$10000,quot_location_id,'[1]1_group_total_details'!$H$8:$H$10000,"="&amp;quot_date))+(SUMIFS('[1]1_group_total_details'!$J$8:$J$10000,'[1]1_group_total_details'!$C$8:$C$10000,I57,'[1]1_group_total_details'!$F$8:$F$10000,quot_location_group_id,'[1]1_group_total_details'!$G$8:$G$10000,quot_location_id,'[1]1_group_total_details'!$H$8:$H$10000,"="&amp;quot_date)+SUMIFS('[1]1_group_total_details'!$K$8:$K$10000,'[1]1_group_total_details'!$C$8:$C$10000,I57,'[1]1_group_total_details'!$F$8:$F$10000,quot_location_group_id,'[1]1_group_total_details'!$G$8:$G$10000,quot_location_id,'[1]1_group_total_details'!$H$8:$H$10000,"="&amp;quot_date)+SUMIFS('[1]1_group_total_details'!$M$8:$M$10000,'[1]1_group_total_details'!$C$8:$C$10000,I57,'[1]1_group_total_details'!$F$8:$F$10000,quot_location_group_id,'[1]1_group_total_details'!$G$8:$G$10000,quot_location_id,'[1]1_group_total_details'!$H$8:$H$10000,"="&amp;quot_date)+SUMIFS('[1]1_group_total_details'!$P$8:$P$10000,'[1]1_group_total_details'!$C$8:$C$10000,I57,'[1]1_group_total_details'!$F$8:$F$10000,quot_location_group_id,'[1]1_group_total_details'!$G$8:$G$10000,quot_location_id,'[1]1_group_total_details'!$H$8:$H$10000,"="&amp;quot_date)))</f>
        <v/>
      </c>
      <c r="AL57" s="197" t="str">
        <f>IF(M57="","",(SUMIFS('[1]1_group_total_details'!$I$8:$I$10000,'[1]1_group_total_details'!$C$8:$C$10000,I57,'[1]1_group_total_details'!$F$8:$F$10000,quot_location_group_id,'[1]1_group_total_details'!$G$8:$G$10000,quot_location_id,'[1]1_group_total_details'!$H$8:$H$10000,"&lt;="&amp;quot_date)+SUMIFS('[1]1_group_total_details'!$L$8:$L$10000,'[1]1_group_total_details'!$C$8:$C$10000,I57,'[1]1_group_total_details'!$F$8:$F$10000,quot_location_group_id,'[1]1_group_total_details'!$G$8:$G$10000,1,'[1]1_group_total_details'!$H$8:$H$10000,"&lt;="&amp;quot_date)+SUMIFS('[1]1_group_total_details'!$N$8:$N$10000,'[1]1_group_total_details'!$C$8:$C$10000,I57,'[1]1_group_total_details'!$F$8:$F$10000,quot_location_group_id,'[1]1_group_total_details'!$G$8:$G$10000,quot_location_id,'[1]1_group_total_details'!$H$8:$H$10000,"&lt;="&amp;quot_date)+SUMIFS('[1]1_group_total_details'!$O$8:$O$10000,'[1]1_group_total_details'!$C$8:$C$10000,I57,'[1]1_group_total_details'!$F$8:$F$10000,quot_location_group_id,'[1]1_group_total_details'!$G$8:$G$10000,quot_location_id,'[1]1_group_total_details'!$H$8:$H$10000,"&lt;="&amp;quot_date))-(SUMIFS('[1]1_group_total_details'!$J$8:$J$10000,'[1]1_group_total_details'!$C$8:$C$10000,I57,'[1]1_group_total_details'!$F$8:$F$10000,quot_location_group_id,'[1]1_group_total_details'!$G$8:$G$10000,quot_location_id,'[1]1_group_total_details'!$H$8:$H$10000,"&lt;="&amp;quot_date)+SUMIFS('[1]1_group_total_details'!$K$8:$K$10000,'[1]1_group_total_details'!$C$8:$C$10000,I57,'[1]1_group_total_details'!$F$8:$F$10000,quot_location_group_id,'[1]1_group_total_details'!$G$8:$G$10000,quot_location_id,'[1]1_group_total_details'!$H$8:$H$10000,"&lt;="&amp;quot_date)+SUMIFS('[1]1_group_total_details'!$M$8:$M$10000,'[1]1_group_total_details'!$C$8:$C$10000,I57,'[1]1_group_total_details'!$F$8:$F$10000,quot_location_group_id,'[1]1_group_total_details'!$G$8:$G$10000,quot_location_id,'[1]1_group_total_details'!$H$8:$H$10000,"&lt;="&amp;quot_date)+SUMIFS('[1]1_group_total_details'!$P$8:$P$10000,'[1]1_group_total_details'!$C$8:$C$10000,I57,'[1]1_group_total_details'!$F$8:$F$10000,quot_location_group_id,'[1]1_group_total_details'!$G$8:$G$10000,quot_location_id,'[1]1_group_total_details'!$H$8:$H$10000,"&lt;="&amp;quot_date)))</f>
        <v/>
      </c>
      <c r="AM57" s="197" t="str">
        <f>IF(M57="","",SUMIFS('[1]1_group_totals'!$J$8:$J$10000,'[1]1_group_totals'!$C$8:$C$10000,I57,'[1]1_group_totals'!$F$8:$F$10000,quot_location_group_id,'[1]1_group_totals'!$G$8:$G$10000,quot_location_id,'[1]1_group_totals'!$H$8:$H$10000,"="&amp;Q57,'[1]1_group_totals'!$I$8:$I$10000,"="&amp;R57))</f>
        <v/>
      </c>
      <c r="AN57" s="197" t="str">
        <f t="shared" si="7"/>
        <v/>
      </c>
      <c r="AO57" s="197" t="str">
        <f>IF(OR(ISNA(MATCH(MID(AN57,1,3)*1,UomConversion!$D$8:$D$500,0)),M57=""),"",IF(AT57="","",AT57))</f>
        <v/>
      </c>
      <c r="AP57" s="197" t="str">
        <f>IF(AND(AQ57&gt;0,COUNTIFS(UomConversion!$D$8:$D$500,MID(AN57,1,3)*1,UomConversion!$J$8:$J$500,1)&gt;1),TEXT(AQ57,"000")&amp;"."&amp;VLOOKUP(AQ57,uom_list,5,FALSE),"")</f>
        <v/>
      </c>
      <c r="AQ57" s="197" t="str">
        <f t="shared" si="20"/>
        <v/>
      </c>
      <c r="AR57" s="197" t="str">
        <f t="shared" si="21"/>
        <v/>
      </c>
      <c r="AS57" s="197" t="str">
        <f>IF(M57="","",SUMIFS(ProductPrice!$N$28:$N$10020,ProductPrice!$D$28:$D$10020,I57,ProductPrice!$G$28:$G$10020,quot_branch_id,ProductPrice!$H$28:$H$10020,quot_price_type_id,ProductPrice!$I$28:$I$10020,MID(P57,1,3)*1,ProductPrice!$Q$28:$Q$10020,1))</f>
        <v/>
      </c>
      <c r="AT57" s="197" t="str">
        <f t="shared" si="8"/>
        <v/>
      </c>
      <c r="AU57" s="197" t="str" cm="1">
        <f t="array" ref="AU57">IF(M57="","",IF(ISNA(Slookup(MID(AN57,1,3)*1,UomConversion!$D$8:$J$500,2,UomConversion!$I$8:$I$500,1,UomConversion!$J$8:$J$500,1)),"",Slookup(MID(AN57,1,3)*1,UomConversion!$D$8:$J$500,2,UomConversion!$I$8:$I$500,1,UomConversion!$J$8:$J$500,1)))</f>
        <v/>
      </c>
      <c r="AV57" s="197" t="str">
        <f t="shared" ref="AV57" si="221">IF(M57="","",IF(quot_location_id=1,BA57,IF(quot_location_id=2,BB57,0)))</f>
        <v/>
      </c>
      <c r="AW57" s="197" t="str">
        <f>IF(M57="","",(SUMIFS('[1]1_group_totals'!$K$8:$K$10000,'[1]1_group_totals'!$C$8:$C$10000,I57,'[1]1_group_totals'!$F$8:$F$10000,quot_location_group_id,'[1]1_group_totals'!$G$8:$G$10000,quot_location_id,'[1]1_group_totals'!$H$8:$H$10000,"="&amp;Q57,'[1]1_group_totals'!$I$8:$I$10000,"="&amp;R57)+SUMIFS('[1]1_group_totals'!$N$8:$N$10000,'[1]1_group_totals'!$C$8:$C$10000,I57,'[1]1_group_totals'!$F$8:$F$10000,quot_location_group_id,'[1]1_group_totals'!$G$8:$G$10000,quot_location_id,'[1]1_group_totals'!$H$8:$H$10000,"="&amp;Q57,'[1]1_group_totals'!$I$8:$I$10000,"="&amp;R57)+SUMIFS('[1]1_group_totals'!$P$8:$P$10000,'[1]1_group_totals'!$C$8:$C$10000,I57,'[1]1_group_totals'!$F$8:$F$10000,quot_location_group_id,'[1]1_group_totals'!$G$8:$G$10000,quot_location_id,'[1]1_group_totals'!$H$8:$H$10000,"="&amp;Q57,'[1]1_group_totals'!$I$8:$I$10000,"="&amp;R57)+SUMIFS('[1]1_group_totals'!$Q$8:$Q$10000,'[1]1_group_totals'!$C$8:$C$10000,I57,'[1]1_group_totals'!$F$8:$F$10000,quot_location_group_id,'[1]1_group_totals'!$G$8:$G$10000,quot_location_id,'[1]1_group_totals'!$H$8:$H$10000,"="&amp;Q57,'[1]1_group_totals'!$I$8:$I$10000,"="&amp;R57))+(SUMIFS('[1]1_group_totals'!$L$8:$L$10000,'[1]1_group_totals'!$C$8:$C$10000,I57,'[1]1_group_totals'!$F$8:$F$10000,quot_location_group_id,'[1]1_group_totals'!$G$8:$G$10000,quot_location_id,'[1]1_group_totals'!$H$8:$H$10000,"="&amp;Q57,'[1]1_group_totals'!$I$8:$I$10000,"="&amp;R57)+SUMIFS('[1]1_group_totals'!$M$8:$M$10000,'[1]1_group_totals'!$C$8:$C$10000,I57,'[1]1_group_totals'!$F$8:$F$10000,quot_location_group_id,'[1]1_group_totals'!$G$8:$G$10000,quot_location_id,'[1]1_group_totals'!$H$8:$H$10000,"="&amp;Q57,'[1]1_group_totals'!$I$8:$I$10000,"="&amp;R57)+SUMIFS('[1]1_group_totals'!$O$8:$O$10000,'[1]1_group_totals'!$C$8:$C$10000,I57,'[1]1_group_totals'!$F$8:$F$10000,quot_location_group_id,'[1]1_group_totals'!$G$8:$G$10000,quot_location_id,'[1]1_group_totals'!$H$8:$H$10000,"="&amp;Q57,'[1]1_group_totals'!$I$8:$I$10000,"="&amp;R57)+SUMIFS('[1]1_group_totals'!$R$8:$R$10000,'[1]1_group_totals'!$C$8:$C$10000,I57,'[1]1_group_totals'!$F$8:$F$10000,quot_location_group_id,'[1]1_group_totals'!$G$8:$G$10000,quot_location_id,'[1]1_group_totals'!$H$8:$H$10000,"="&amp;Q57,'[1]1_group_totals'!$I$8:$I$10000,"="&amp;R57)))</f>
        <v/>
      </c>
      <c r="AX57" s="197" t="str">
        <f t="shared" si="23"/>
        <v/>
      </c>
      <c r="AY57" s="197" t="str">
        <f>IF(M57="","",SUMIFS($AX$8:AX57,$I$8:I57,I57))</f>
        <v/>
      </c>
      <c r="AZ57" s="197" t="str">
        <f t="shared" si="24"/>
        <v/>
      </c>
      <c r="BA57" s="197" t="str">
        <f>IF(M57="","",(SUMIFS('[1]1_inventory_totals'!$I$8:$I$10000,'[1]1_inventory_totals'!$C$8:$C$10000,I57,'[1]1_inventory_totals'!$F$8:$F$10000,"="&amp;Q57,'[1]1_inventory_totals'!$G$8:$G$10000,"="&amp;R57)+SUMIFS('[1]1_inventory_totals'!$N$8:$N$10000,'[1]1_inventory_totals'!$C$8:$C$10000,I57,'[1]1_inventory_totals'!$F$8:$F$10000,"="&amp;Q57,'[1]1_inventory_totals'!$G$8:$G$10000,"="&amp;R57)+SUMIFS('[1]1_inventory_totals'!$P$8:$P$10000,'[1]1_inventory_totals'!$C$8:$C$10000,I57,'[1]1_inventory_totals'!$F$8:$F$10000,"="&amp;Q57,'[1]1_inventory_totals'!$G$8:$G$10000,"="&amp;R57)+SUMIFS('[1]1_inventory_totals'!$Q$8:$Q$10000,'[1]1_inventory_totals'!$C$8:$C$10000,I57,'[1]1_inventory_totals'!$F$8:$F$10000,"="&amp;Q57,'[1]1_inventory_totals'!$G$8:$G$10000,"="&amp;R57)+SUMIFS('[1]1_inventory_totals'!$R$8:$R$10000,'[1]1_inventory_totals'!$C$8:$C$10000,I57,'[1]1_inventory_totals'!$F$8:$F$10000,"="&amp;Q57,'[1]1_inventory_totals'!$G$8:$G$10000,"="&amp;R57))+(SUMIFS('[1]1_inventory_totals'!$J$8:$J$10000,'[1]1_inventory_totals'!$C$8:$C$10000,I57,'[1]1_inventory_totals'!$F$8:$F$10000,"="&amp;Q57,'[1]1_inventory_totals'!$G$8:$G$10000,"="&amp;R57)+SUMIFS('[1]1_inventory_totals'!$K$8:$K$10000,'[1]1_inventory_totals'!$C$8:$C$10000,I57,'[1]1_inventory_totals'!$F$8:$F$10000,"="&amp;Q57,'[1]1_inventory_totals'!$G$8:$G$10000,"="&amp;R57)+SUMIFS('[1]1_inventory_totals'!$L$8:$L$10000,'[1]1_inventory_totals'!$C$8:$C$10000,I57,'[1]1_inventory_totals'!$F$8:$F$10000,"="&amp;Q57,'[1]1_inventory_totals'!$G$8:$G$10000,"="&amp;R57)+SUMIFS('[1]1_inventory_totals'!$M$8:$M$10000,'[1]1_inventory_totals'!$C$8:$C$10000,I57,'[1]1_inventory_totals'!$F$8:$F$10000,"="&amp;Q57,'[1]1_inventory_totals'!$G$8:$G$10000,"="&amp;R57)+SUMIFS('[1]1_inventory_totals'!$O$8:$O$10000,'[1]1_inventory_totals'!$C$8:$C$10000,I57,'[1]1_inventory_totals'!$F$8:$F$10000,"="&amp;Q57,'[1]1_inventory_totals'!$G$8:$G$10000,"="&amp;R57)+SUMIFS('[1]1_inventory_totals'!$S$8:$S$10000,'[1]1_inventory_totals'!$C$8:$C$10000,I57,'[1]1_inventory_totals'!$F$8:$F$10000,"="&amp;Q57,'[1]1_inventory_totals'!$G$8:$G$10000,"="&amp;R57)))</f>
        <v/>
      </c>
      <c r="BB57" s="197" t="str">
        <f>IF(M57="","",(SUMIFS('[1]2_inventory_totals'!$I$8:$I$10000,'[1]2_inventory_totals'!$C$8:$C$10000,I57,'[1]2_inventory_totals'!$F$8:$F$10000,"="&amp;Q57,'[1]2_inventory_totals'!$G$8:$G$10000,"="&amp;R57)+SUMIFS('[1]2_inventory_totals'!$N$8:$N$10000,'[1]2_inventory_totals'!$C$8:$C$10000,I57,'[1]2_inventory_totals'!$F$8:$F$10000,"="&amp;Q57,'[1]2_inventory_totals'!$G$8:$G$10000,"="&amp;R57)+SUMIFS('[1]2_inventory_totals'!$P$8:$P$10000,'[1]2_inventory_totals'!$C$8:$C$10000,I57,'[1]2_inventory_totals'!$F$8:$F$10000,"="&amp;Q57,'[1]2_inventory_totals'!$G$8:$G$10000,"="&amp;R57)+SUMIFS('[1]2_inventory_totals'!$Q$8:$Q$10000,'[1]2_inventory_totals'!$C$8:$C$10000,I57,'[1]2_inventory_totals'!$F$8:$F$10000,"="&amp;Q57,'[1]2_inventory_totals'!$G$8:$G$10000,"="&amp;R57)+SUMIFS('[1]2_inventory_totals'!$R$8:$R$10000,'[1]2_inventory_totals'!$C$8:$C$10000,I57,'[1]2_inventory_totals'!$F$8:$F$10000,"="&amp;Q57,'[1]2_inventory_totals'!$G$8:$G$10000,"="&amp;R57))+(SUMIFS('[1]2_inventory_totals'!$J$8:$J$10000,'[1]2_inventory_totals'!$C$8:$C$10000,I57,'[1]2_inventory_totals'!$F$8:$F$10000,"="&amp;Q57,'[1]2_inventory_totals'!$G$8:$G$10000,"="&amp;R57)+SUMIFS('[1]2_inventory_totals'!$K$8:$K$10000,'[1]2_inventory_totals'!$C$8:$C$10000,I57,'[1]2_inventory_totals'!$F$8:$F$10000,"="&amp;Q57,'[1]2_inventory_totals'!$G$8:$G$10000,"="&amp;R57)+SUMIFS('[1]2_inventory_totals'!$L$8:$L$10000,'[1]2_inventory_totals'!$C$8:$C$10000,I57,'[1]2_inventory_totals'!$F$8:$F$10000,"="&amp;Q57,'[1]2_inventory_totals'!$G$8:$G$10000,"="&amp;R57)+SUMIFS('[1]2_inventory_totals'!$M$8:$M$10000,'[1]2_inventory_totals'!$C$8:$C$10000,I57,'[1]2_inventory_totals'!$F$8:$F$10000,"="&amp;Q57,'[1]2_inventory_totals'!$G$8:$G$10000,"="&amp;R57)+SUMIFS('[1]2_inventory_totals'!$O$8:$O$10000,'[1]2_inventory_totals'!$C$8:$C$10000,I57,'[1]2_inventory_totals'!$F$8:$F$10000,"="&amp;Q57,'[1]2_inventory_totals'!$G$8:$G$10000,"="&amp;R57)+SUMIFS('[1]2_inventory_totals'!$S$8:$S$10000,'[1]2_inventory_totals'!$C$8:$C$10000,I57,'[1]2_inventory_totals'!$F$8:$F$10000,"="&amp;Q57,'[1]2_inventory_totals'!$G$8:$G$10000,"="&amp;R57)))</f>
        <v/>
      </c>
    </row>
    <row r="58" spans="1:54" ht="27" hidden="1" customHeight="1">
      <c r="A58" s="923"/>
      <c r="B58" s="1256"/>
      <c r="C58" s="950"/>
      <c r="D58" s="950"/>
      <c r="E58" s="950"/>
      <c r="F58" s="1257"/>
      <c r="G58" s="941"/>
      <c r="H58" s="951"/>
      <c r="I58" s="1610" t="str">
        <f t="shared" si="10"/>
        <v/>
      </c>
      <c r="J58" s="1611" t="str">
        <f t="shared" si="112"/>
        <v/>
      </c>
      <c r="K58" s="1612" t="str">
        <f t="shared" si="30"/>
        <v/>
      </c>
      <c r="L58" s="1613"/>
      <c r="M58" s="883"/>
      <c r="N58" s="884"/>
      <c r="O58" s="884"/>
      <c r="P58" s="885"/>
      <c r="Q58" s="886"/>
      <c r="R58" s="891"/>
      <c r="S58" s="1614" t="str">
        <f t="shared" ref="S58" si="222">IF(M58="","",quot_currency_symbol)</f>
        <v/>
      </c>
      <c r="T58" s="888"/>
      <c r="U58" s="1650" t="str">
        <f t="shared" si="13"/>
        <v/>
      </c>
      <c r="V58" s="1615" t="str">
        <f t="shared" ref="V58" si="223">IF(W58=0,"",quot_currency_symbol)</f>
        <v/>
      </c>
      <c r="W58" s="889"/>
      <c r="X58" s="1615" t="str">
        <f t="shared" ref="X58" si="224">IF(M58="","",quot_currency_symbol)</f>
        <v/>
      </c>
      <c r="Y58" s="1616" t="str">
        <f t="shared" si="34"/>
        <v/>
      </c>
      <c r="Z58" s="890"/>
      <c r="AA58" s="197" t="str" cm="1">
        <f t="array" ref="AA58">IF(M58="","",IF(P58=AN58,1,Slookup(MID(AN58,1,3)*1,UomConversion!$D$8:$J$500,5,UomConversion!$E$8:$E$500,MID(P58,1,3)*1,UomConversion!$J$8:$J$500,1)))</f>
        <v/>
      </c>
      <c r="AB58" s="197" t="str">
        <f t="shared" si="3"/>
        <v/>
      </c>
      <c r="AC58" s="197" t="str">
        <f t="shared" si="17"/>
        <v/>
      </c>
      <c r="AD58" s="197" t="str">
        <f t="shared" si="18"/>
        <v/>
      </c>
      <c r="AE58" s="197" t="str">
        <f t="shared" si="19"/>
        <v/>
      </c>
      <c r="AF58" s="197" t="str">
        <f t="shared" si="152"/>
        <v/>
      </c>
      <c r="AG58" s="197" t="str">
        <f t="shared" si="6"/>
        <v/>
      </c>
      <c r="AH58" s="197" t="str">
        <f>IF(I58="","",IF(ISNA(MATCH(I58,IF(quot_location_id=1,'[1]1_inventory_totals'!$C$8:$C$10000,IF(quot_location_id=2,'[1]2_inventory_totals'!$C$8:$C$10000,0)),0)),0,IF(AV58&gt;0,1,0)))</f>
        <v/>
      </c>
      <c r="AI58" s="197" t="str">
        <f>IF(M58="","",IF(quot_location_id=1,SUMIFS('[1]1_inventory_total_details'!$J$8:$J$10000,'[1]1_inventory_total_details'!$C$8:$C$10000,I58,'[1]1_inventory_total_details'!$F$8:$F$10000,quot_location_id,'[1]1_inventory_total_details'!$G$8:$G$10000,"="&amp;Q58,'[1]1_inventory_total_details'!$H$8:$H$10000,"="&amp;R58,'[1]1_inventory_total_details'!$I$8:$I$10000,"="&amp;quot_date)+SUMIFS('[1]1_inventory_total_details'!$M$8:$M$10000,'[1]1_inventory_total_details'!$C$8:$C$10000,I58,'[1]1_inventory_total_details'!$F$8:$F$10000,quot_location_id,'[1]1_inventory_total_details'!$G$8:$G$10000,"="&amp;Q58,'[1]1_inventory_total_details'!$H$8:$H$10000,"="&amp;R58,'[1]1_inventory_total_details'!$I$8:$I$10000,"="&amp;quot_date)+SUMIFS('[1]1_inventory_total_details'!$K$8:$K$10000,'[1]1_inventory_total_details'!$C$8:$C$10000,I58,'[1]1_inventory_total_details'!$F$8:$F$10000,quot_location_id,'[1]1_inventory_total_details'!$G$8:$G$10000,"="&amp;Q58,'[1]1_inventory_total_details'!$H$8:$H$10000,"="&amp;R58,'[1]1_inventory_total_details'!$I$8:$I$10000,"="&amp;quot_date)+SUMIFS('[1]1_inventory_total_details'!$L$8:$L$10000,'[1]1_inventory_total_details'!$C$8:$C$10000,I58,'[1]1_inventory_total_details'!$F$8:$F$10000,quot_location_id,'[1]1_inventory_total_details'!$G$8:$G$10000,"="&amp;Q58,'[1]1_inventory_total_details'!$H$8:$H$10000,"="&amp;R58,'[1]1_inventory_total_details'!$I$8:$I$10000,"="&amp;quot_date),SUMIFS('[1]2_inventory_total_details'!$J$8:$J$10000,'[1]2_inventory_total_details'!$C$8:$C$10000,I58,'[1]2_inventory_total_details'!$F$8:$F$10000,quot_location_id,'[1]2_inventory_total_details'!$G$8:$G$10000,"="&amp;Q58,'[1]2_inventory_total_details'!$H$8:$H$10000,"="&amp;R58,'[1]2_inventory_total_details'!$I$8:$I$10000,"="&amp;quot_date)+SUMIFS('[1]2_inventory_total_details'!$M$8:$M$10000,'[1]2_inventory_total_details'!$C$8:$C$10000,I58,'[1]2_inventory_total_details'!$F$8:$F$10000,quot_location_id,'[1]2_inventory_total_details'!$G$8:$G$10000,"="&amp;Q58,'[1]2_inventory_total_details'!$H$8:$H$10000,"="&amp;R58,'[1]2_inventory_total_details'!$I$8:$I$10000,"="&amp;quot_date)+SUMIFS('[1]2_inventory_total_details'!$K$8:$K$10000,'[1]2_inventory_total_details'!$C$8:$C$10000,I58,'[1]2_inventory_total_details'!$F$8:$F$10000,quot_location_id,'[1]2_inventory_total_details'!$G$8:$G$10000,"="&amp;Q58,'[1]2_inventory_total_details'!$H$8:$H$10000,"="&amp;R58,'[1]2_inventory_total_details'!$I$8:$I$10000,"="&amp;quot_date)+SUMIFS('[1]2_inventory_total_details'!$L$8:$L$10000,'[1]2_inventory_total_details'!$C$8:$C$10000,I58,'[1]2_inventory_total_details'!$F$8:$F$10000,quot_location_id,'[1]2_inventory_total_details'!$G$8:$G$10000,"="&amp;Q58,'[1]2_inventory_total_details'!$H$8:$H$10000,"="&amp;R58,'[1]2_inventory_total_details'!$I$8:$I$10000,"="&amp;quot_date)))</f>
        <v/>
      </c>
      <c r="AJ58" s="197" t="str">
        <f>IF(M58="","",IF(ISNA(MATCH(I58,'[1]1_group_totals'!$C$8:$C$10000)),0,IF(AW58&gt;0,1,0)))</f>
        <v/>
      </c>
      <c r="AK58" s="197" t="str">
        <f>IF(M58="","",(SUMIFS('[1]1_group_total_details'!$I$8:$I$10000,'[1]1_group_total_details'!$C$8:$C$10000,I58,'[1]1_group_total_details'!$F$8:$F$10000,quot_location_group_id,'[1]1_group_total_details'!$G$8:$G$10000,quot_location_id,'[1]1_group_total_details'!$H$8:$H$10000,"="&amp;quot_date)+SUMIFS('[1]1_group_total_details'!$L$8:$L$10000,'[1]1_group_total_details'!$C$8:$C$10000,I58,'[1]1_group_total_details'!$F$8:$F$10000,quot_location_group_id,'[1]1_group_total_details'!$G$8:$G$10000,quot_location_id,'[1]1_group_total_details'!$H$8:$H$10000,"="&amp;quot_date)+SUMIFS('[1]1_group_total_details'!$N$8:$N$10000,'[1]1_group_total_details'!$C$8:$C$10000,I58,'[1]1_group_total_details'!$F$8:$F$10000,quot_location_group_id,'[1]1_group_total_details'!$G$8:$G$10000,quot_location_id,'[1]1_group_total_details'!$H$8:$H$10000,"="&amp;quot_date)+SUMIFS('[1]1_group_total_details'!$O$8:$O$10000,'[1]1_group_total_details'!$C$8:$C$10000,I58,'[1]1_group_total_details'!$F$8:$F$10000,quot_location_group_id,'[1]1_group_total_details'!$G$8:$G$10000,quot_location_id,'[1]1_group_total_details'!$H$8:$H$10000,"="&amp;quot_date))+(SUMIFS('[1]1_group_total_details'!$J$8:$J$10000,'[1]1_group_total_details'!$C$8:$C$10000,I58,'[1]1_group_total_details'!$F$8:$F$10000,quot_location_group_id,'[1]1_group_total_details'!$G$8:$G$10000,quot_location_id,'[1]1_group_total_details'!$H$8:$H$10000,"="&amp;quot_date)+SUMIFS('[1]1_group_total_details'!$K$8:$K$10000,'[1]1_group_total_details'!$C$8:$C$10000,I58,'[1]1_group_total_details'!$F$8:$F$10000,quot_location_group_id,'[1]1_group_total_details'!$G$8:$G$10000,quot_location_id,'[1]1_group_total_details'!$H$8:$H$10000,"="&amp;quot_date)+SUMIFS('[1]1_group_total_details'!$M$8:$M$10000,'[1]1_group_total_details'!$C$8:$C$10000,I58,'[1]1_group_total_details'!$F$8:$F$10000,quot_location_group_id,'[1]1_group_total_details'!$G$8:$G$10000,quot_location_id,'[1]1_group_total_details'!$H$8:$H$10000,"="&amp;quot_date)+SUMIFS('[1]1_group_total_details'!$P$8:$P$10000,'[1]1_group_total_details'!$C$8:$C$10000,I58,'[1]1_group_total_details'!$F$8:$F$10000,quot_location_group_id,'[1]1_group_total_details'!$G$8:$G$10000,quot_location_id,'[1]1_group_total_details'!$H$8:$H$10000,"="&amp;quot_date)))</f>
        <v/>
      </c>
      <c r="AL58" s="197" t="str">
        <f>IF(M58="","",(SUMIFS('[1]1_group_total_details'!$I$8:$I$10000,'[1]1_group_total_details'!$C$8:$C$10000,I58,'[1]1_group_total_details'!$F$8:$F$10000,quot_location_group_id,'[1]1_group_total_details'!$G$8:$G$10000,quot_location_id,'[1]1_group_total_details'!$H$8:$H$10000,"&lt;="&amp;quot_date)+SUMIFS('[1]1_group_total_details'!$L$8:$L$10000,'[1]1_group_total_details'!$C$8:$C$10000,I58,'[1]1_group_total_details'!$F$8:$F$10000,quot_location_group_id,'[1]1_group_total_details'!$G$8:$G$10000,1,'[1]1_group_total_details'!$H$8:$H$10000,"&lt;="&amp;quot_date)+SUMIFS('[1]1_group_total_details'!$N$8:$N$10000,'[1]1_group_total_details'!$C$8:$C$10000,I58,'[1]1_group_total_details'!$F$8:$F$10000,quot_location_group_id,'[1]1_group_total_details'!$G$8:$G$10000,quot_location_id,'[1]1_group_total_details'!$H$8:$H$10000,"&lt;="&amp;quot_date)+SUMIFS('[1]1_group_total_details'!$O$8:$O$10000,'[1]1_group_total_details'!$C$8:$C$10000,I58,'[1]1_group_total_details'!$F$8:$F$10000,quot_location_group_id,'[1]1_group_total_details'!$G$8:$G$10000,quot_location_id,'[1]1_group_total_details'!$H$8:$H$10000,"&lt;="&amp;quot_date))-(SUMIFS('[1]1_group_total_details'!$J$8:$J$10000,'[1]1_group_total_details'!$C$8:$C$10000,I58,'[1]1_group_total_details'!$F$8:$F$10000,quot_location_group_id,'[1]1_group_total_details'!$G$8:$G$10000,quot_location_id,'[1]1_group_total_details'!$H$8:$H$10000,"&lt;="&amp;quot_date)+SUMIFS('[1]1_group_total_details'!$K$8:$K$10000,'[1]1_group_total_details'!$C$8:$C$10000,I58,'[1]1_group_total_details'!$F$8:$F$10000,quot_location_group_id,'[1]1_group_total_details'!$G$8:$G$10000,quot_location_id,'[1]1_group_total_details'!$H$8:$H$10000,"&lt;="&amp;quot_date)+SUMIFS('[1]1_group_total_details'!$M$8:$M$10000,'[1]1_group_total_details'!$C$8:$C$10000,I58,'[1]1_group_total_details'!$F$8:$F$10000,quot_location_group_id,'[1]1_group_total_details'!$G$8:$G$10000,quot_location_id,'[1]1_group_total_details'!$H$8:$H$10000,"&lt;="&amp;quot_date)+SUMIFS('[1]1_group_total_details'!$P$8:$P$10000,'[1]1_group_total_details'!$C$8:$C$10000,I58,'[1]1_group_total_details'!$F$8:$F$10000,quot_location_group_id,'[1]1_group_total_details'!$G$8:$G$10000,quot_location_id,'[1]1_group_total_details'!$H$8:$H$10000,"&lt;="&amp;quot_date)))</f>
        <v/>
      </c>
      <c r="AM58" s="197" t="str">
        <f>IF(M58="","",SUMIFS('[1]1_group_totals'!$J$8:$J$10000,'[1]1_group_totals'!$C$8:$C$10000,I58,'[1]1_group_totals'!$F$8:$F$10000,quot_location_group_id,'[1]1_group_totals'!$G$8:$G$10000,quot_location_id,'[1]1_group_totals'!$H$8:$H$10000,"="&amp;Q58,'[1]1_group_totals'!$I$8:$I$10000,"="&amp;R58))</f>
        <v/>
      </c>
      <c r="AN58" s="197" t="str">
        <f t="shared" si="7"/>
        <v/>
      </c>
      <c r="AO58" s="197" t="str">
        <f>IF(OR(ISNA(MATCH(MID(AN58,1,3)*1,UomConversion!$D$8:$D$500,0)),M58=""),"",IF(AT58="","",AT58))</f>
        <v/>
      </c>
      <c r="AP58" s="197" t="str">
        <f>IF(AND(AQ58&gt;0,COUNTIFS(UomConversion!$D$8:$D$500,MID(AN58,1,3)*1,UomConversion!$J$8:$J$500,1)&gt;1),TEXT(AQ58,"000")&amp;"."&amp;VLOOKUP(AQ58,uom_list,5,FALSE),"")</f>
        <v/>
      </c>
      <c r="AQ58" s="197" t="str">
        <f t="shared" si="20"/>
        <v/>
      </c>
      <c r="AR58" s="197" t="str">
        <f t="shared" si="21"/>
        <v/>
      </c>
      <c r="AS58" s="197" t="str">
        <f>IF(M58="","",SUMIFS(ProductPrice!$N$28:$N$10020,ProductPrice!$D$28:$D$10020,I58,ProductPrice!$G$28:$G$10020,quot_branch_id,ProductPrice!$H$28:$H$10020,quot_price_type_id,ProductPrice!$I$28:$I$10020,MID(P58,1,3)*1,ProductPrice!$Q$28:$Q$10020,1))</f>
        <v/>
      </c>
      <c r="AT58" s="197" t="str">
        <f t="shared" si="8"/>
        <v/>
      </c>
      <c r="AU58" s="197" t="str" cm="1">
        <f t="array" ref="AU58">IF(M58="","",IF(ISNA(Slookup(MID(AN58,1,3)*1,UomConversion!$D$8:$J$500,2,UomConversion!$I$8:$I$500,1,UomConversion!$J$8:$J$500,1)),"",Slookup(MID(AN58,1,3)*1,UomConversion!$D$8:$J$500,2,UomConversion!$I$8:$I$500,1,UomConversion!$J$8:$J$500,1)))</f>
        <v/>
      </c>
      <c r="AV58" s="197" t="str">
        <f t="shared" ref="AV58" si="225">IF(M58="","",IF(quot_location_id=1,BA58,IF(quot_location_id=2,BB58,0)))</f>
        <v/>
      </c>
      <c r="AW58" s="197" t="str">
        <f>IF(M58="","",(SUMIFS('[1]1_group_totals'!$K$8:$K$10000,'[1]1_group_totals'!$C$8:$C$10000,I58,'[1]1_group_totals'!$F$8:$F$10000,quot_location_group_id,'[1]1_group_totals'!$G$8:$G$10000,quot_location_id,'[1]1_group_totals'!$H$8:$H$10000,"="&amp;Q58,'[1]1_group_totals'!$I$8:$I$10000,"="&amp;R58)+SUMIFS('[1]1_group_totals'!$N$8:$N$10000,'[1]1_group_totals'!$C$8:$C$10000,I58,'[1]1_group_totals'!$F$8:$F$10000,quot_location_group_id,'[1]1_group_totals'!$G$8:$G$10000,quot_location_id,'[1]1_group_totals'!$H$8:$H$10000,"="&amp;Q58,'[1]1_group_totals'!$I$8:$I$10000,"="&amp;R58)+SUMIFS('[1]1_group_totals'!$P$8:$P$10000,'[1]1_group_totals'!$C$8:$C$10000,I58,'[1]1_group_totals'!$F$8:$F$10000,quot_location_group_id,'[1]1_group_totals'!$G$8:$G$10000,quot_location_id,'[1]1_group_totals'!$H$8:$H$10000,"="&amp;Q58,'[1]1_group_totals'!$I$8:$I$10000,"="&amp;R58)+SUMIFS('[1]1_group_totals'!$Q$8:$Q$10000,'[1]1_group_totals'!$C$8:$C$10000,I58,'[1]1_group_totals'!$F$8:$F$10000,quot_location_group_id,'[1]1_group_totals'!$G$8:$G$10000,quot_location_id,'[1]1_group_totals'!$H$8:$H$10000,"="&amp;Q58,'[1]1_group_totals'!$I$8:$I$10000,"="&amp;R58))+(SUMIFS('[1]1_group_totals'!$L$8:$L$10000,'[1]1_group_totals'!$C$8:$C$10000,I58,'[1]1_group_totals'!$F$8:$F$10000,quot_location_group_id,'[1]1_group_totals'!$G$8:$G$10000,quot_location_id,'[1]1_group_totals'!$H$8:$H$10000,"="&amp;Q58,'[1]1_group_totals'!$I$8:$I$10000,"="&amp;R58)+SUMIFS('[1]1_group_totals'!$M$8:$M$10000,'[1]1_group_totals'!$C$8:$C$10000,I58,'[1]1_group_totals'!$F$8:$F$10000,quot_location_group_id,'[1]1_group_totals'!$G$8:$G$10000,quot_location_id,'[1]1_group_totals'!$H$8:$H$10000,"="&amp;Q58,'[1]1_group_totals'!$I$8:$I$10000,"="&amp;R58)+SUMIFS('[1]1_group_totals'!$O$8:$O$10000,'[1]1_group_totals'!$C$8:$C$10000,I58,'[1]1_group_totals'!$F$8:$F$10000,quot_location_group_id,'[1]1_group_totals'!$G$8:$G$10000,quot_location_id,'[1]1_group_totals'!$H$8:$H$10000,"="&amp;Q58,'[1]1_group_totals'!$I$8:$I$10000,"="&amp;R58)+SUMIFS('[1]1_group_totals'!$R$8:$R$10000,'[1]1_group_totals'!$C$8:$C$10000,I58,'[1]1_group_totals'!$F$8:$F$10000,quot_location_group_id,'[1]1_group_totals'!$G$8:$G$10000,quot_location_id,'[1]1_group_totals'!$H$8:$H$10000,"="&amp;Q58,'[1]1_group_totals'!$I$8:$I$10000,"="&amp;R58)))</f>
        <v/>
      </c>
      <c r="AX58" s="197" t="str">
        <f t="shared" si="23"/>
        <v/>
      </c>
      <c r="AY58" s="197" t="str">
        <f>IF(M58="","",SUMIFS($AX$8:AX58,$I$8:I58,I58))</f>
        <v/>
      </c>
      <c r="AZ58" s="197" t="str">
        <f t="shared" si="24"/>
        <v/>
      </c>
      <c r="BA58" s="197" t="str">
        <f>IF(M58="","",(SUMIFS('[1]1_inventory_totals'!$I$8:$I$10000,'[1]1_inventory_totals'!$C$8:$C$10000,I58,'[1]1_inventory_totals'!$F$8:$F$10000,"="&amp;Q58,'[1]1_inventory_totals'!$G$8:$G$10000,"="&amp;R58)+SUMIFS('[1]1_inventory_totals'!$N$8:$N$10000,'[1]1_inventory_totals'!$C$8:$C$10000,I58,'[1]1_inventory_totals'!$F$8:$F$10000,"="&amp;Q58,'[1]1_inventory_totals'!$G$8:$G$10000,"="&amp;R58)+SUMIFS('[1]1_inventory_totals'!$P$8:$P$10000,'[1]1_inventory_totals'!$C$8:$C$10000,I58,'[1]1_inventory_totals'!$F$8:$F$10000,"="&amp;Q58,'[1]1_inventory_totals'!$G$8:$G$10000,"="&amp;R58)+SUMIFS('[1]1_inventory_totals'!$Q$8:$Q$10000,'[1]1_inventory_totals'!$C$8:$C$10000,I58,'[1]1_inventory_totals'!$F$8:$F$10000,"="&amp;Q58,'[1]1_inventory_totals'!$G$8:$G$10000,"="&amp;R58)+SUMIFS('[1]1_inventory_totals'!$R$8:$R$10000,'[1]1_inventory_totals'!$C$8:$C$10000,I58,'[1]1_inventory_totals'!$F$8:$F$10000,"="&amp;Q58,'[1]1_inventory_totals'!$G$8:$G$10000,"="&amp;R58))+(SUMIFS('[1]1_inventory_totals'!$J$8:$J$10000,'[1]1_inventory_totals'!$C$8:$C$10000,I58,'[1]1_inventory_totals'!$F$8:$F$10000,"="&amp;Q58,'[1]1_inventory_totals'!$G$8:$G$10000,"="&amp;R58)+SUMIFS('[1]1_inventory_totals'!$K$8:$K$10000,'[1]1_inventory_totals'!$C$8:$C$10000,I58,'[1]1_inventory_totals'!$F$8:$F$10000,"="&amp;Q58,'[1]1_inventory_totals'!$G$8:$G$10000,"="&amp;R58)+SUMIFS('[1]1_inventory_totals'!$L$8:$L$10000,'[1]1_inventory_totals'!$C$8:$C$10000,I58,'[1]1_inventory_totals'!$F$8:$F$10000,"="&amp;Q58,'[1]1_inventory_totals'!$G$8:$G$10000,"="&amp;R58)+SUMIFS('[1]1_inventory_totals'!$M$8:$M$10000,'[1]1_inventory_totals'!$C$8:$C$10000,I58,'[1]1_inventory_totals'!$F$8:$F$10000,"="&amp;Q58,'[1]1_inventory_totals'!$G$8:$G$10000,"="&amp;R58)+SUMIFS('[1]1_inventory_totals'!$O$8:$O$10000,'[1]1_inventory_totals'!$C$8:$C$10000,I58,'[1]1_inventory_totals'!$F$8:$F$10000,"="&amp;Q58,'[1]1_inventory_totals'!$G$8:$G$10000,"="&amp;R58)+SUMIFS('[1]1_inventory_totals'!$S$8:$S$10000,'[1]1_inventory_totals'!$C$8:$C$10000,I58,'[1]1_inventory_totals'!$F$8:$F$10000,"="&amp;Q58,'[1]1_inventory_totals'!$G$8:$G$10000,"="&amp;R58)))</f>
        <v/>
      </c>
      <c r="BB58" s="197" t="str">
        <f>IF(M58="","",(SUMIFS('[1]2_inventory_totals'!$I$8:$I$10000,'[1]2_inventory_totals'!$C$8:$C$10000,I58,'[1]2_inventory_totals'!$F$8:$F$10000,"="&amp;Q58,'[1]2_inventory_totals'!$G$8:$G$10000,"="&amp;R58)+SUMIFS('[1]2_inventory_totals'!$N$8:$N$10000,'[1]2_inventory_totals'!$C$8:$C$10000,I58,'[1]2_inventory_totals'!$F$8:$F$10000,"="&amp;Q58,'[1]2_inventory_totals'!$G$8:$G$10000,"="&amp;R58)+SUMIFS('[1]2_inventory_totals'!$P$8:$P$10000,'[1]2_inventory_totals'!$C$8:$C$10000,I58,'[1]2_inventory_totals'!$F$8:$F$10000,"="&amp;Q58,'[1]2_inventory_totals'!$G$8:$G$10000,"="&amp;R58)+SUMIFS('[1]2_inventory_totals'!$Q$8:$Q$10000,'[1]2_inventory_totals'!$C$8:$C$10000,I58,'[1]2_inventory_totals'!$F$8:$F$10000,"="&amp;Q58,'[1]2_inventory_totals'!$G$8:$G$10000,"="&amp;R58)+SUMIFS('[1]2_inventory_totals'!$R$8:$R$10000,'[1]2_inventory_totals'!$C$8:$C$10000,I58,'[1]2_inventory_totals'!$F$8:$F$10000,"="&amp;Q58,'[1]2_inventory_totals'!$G$8:$G$10000,"="&amp;R58))+(SUMIFS('[1]2_inventory_totals'!$J$8:$J$10000,'[1]2_inventory_totals'!$C$8:$C$10000,I58,'[1]2_inventory_totals'!$F$8:$F$10000,"="&amp;Q58,'[1]2_inventory_totals'!$G$8:$G$10000,"="&amp;R58)+SUMIFS('[1]2_inventory_totals'!$K$8:$K$10000,'[1]2_inventory_totals'!$C$8:$C$10000,I58,'[1]2_inventory_totals'!$F$8:$F$10000,"="&amp;Q58,'[1]2_inventory_totals'!$G$8:$G$10000,"="&amp;R58)+SUMIFS('[1]2_inventory_totals'!$L$8:$L$10000,'[1]2_inventory_totals'!$C$8:$C$10000,I58,'[1]2_inventory_totals'!$F$8:$F$10000,"="&amp;Q58,'[1]2_inventory_totals'!$G$8:$G$10000,"="&amp;R58)+SUMIFS('[1]2_inventory_totals'!$M$8:$M$10000,'[1]2_inventory_totals'!$C$8:$C$10000,I58,'[1]2_inventory_totals'!$F$8:$F$10000,"="&amp;Q58,'[1]2_inventory_totals'!$G$8:$G$10000,"="&amp;R58)+SUMIFS('[1]2_inventory_totals'!$O$8:$O$10000,'[1]2_inventory_totals'!$C$8:$C$10000,I58,'[1]2_inventory_totals'!$F$8:$F$10000,"="&amp;Q58,'[1]2_inventory_totals'!$G$8:$G$10000,"="&amp;R58)+SUMIFS('[1]2_inventory_totals'!$S$8:$S$10000,'[1]2_inventory_totals'!$C$8:$C$10000,I58,'[1]2_inventory_totals'!$F$8:$F$10000,"="&amp;Q58,'[1]2_inventory_totals'!$G$8:$G$10000,"="&amp;R58)))</f>
        <v/>
      </c>
    </row>
    <row r="59" spans="1:54" ht="27" hidden="1" customHeight="1">
      <c r="A59" s="923"/>
      <c r="B59" s="1256"/>
      <c r="C59" s="950"/>
      <c r="D59" s="950"/>
      <c r="E59" s="950"/>
      <c r="F59" s="1257"/>
      <c r="G59" s="941"/>
      <c r="H59" s="951"/>
      <c r="I59" s="1610" t="str">
        <f t="shared" si="10"/>
        <v/>
      </c>
      <c r="J59" s="1611" t="str">
        <f t="shared" si="112"/>
        <v/>
      </c>
      <c r="K59" s="1612" t="str">
        <f t="shared" si="30"/>
        <v/>
      </c>
      <c r="L59" s="1613"/>
      <c r="M59" s="883"/>
      <c r="N59" s="884"/>
      <c r="O59" s="884"/>
      <c r="P59" s="885"/>
      <c r="Q59" s="886"/>
      <c r="R59" s="891"/>
      <c r="S59" s="1614" t="str">
        <f t="shared" ref="S59" si="226">IF(M59="","",quot_currency_symbol)</f>
        <v/>
      </c>
      <c r="T59" s="888"/>
      <c r="U59" s="1650" t="str">
        <f t="shared" si="13"/>
        <v/>
      </c>
      <c r="V59" s="1615" t="str">
        <f t="shared" ref="V59" si="227">IF(W59=0,"",quot_currency_symbol)</f>
        <v/>
      </c>
      <c r="W59" s="889"/>
      <c r="X59" s="1615" t="str">
        <f t="shared" ref="X59" si="228">IF(M59="","",quot_currency_symbol)</f>
        <v/>
      </c>
      <c r="Y59" s="1616" t="str">
        <f t="shared" si="34"/>
        <v/>
      </c>
      <c r="Z59" s="890"/>
      <c r="AA59" s="197" t="str" cm="1">
        <f t="array" ref="AA59">IF(M59="","",IF(P59=AN59,1,Slookup(MID(AN59,1,3)*1,UomConversion!$D$8:$J$500,5,UomConversion!$E$8:$E$500,MID(P59,1,3)*1,UomConversion!$J$8:$J$500,1)))</f>
        <v/>
      </c>
      <c r="AB59" s="197" t="str">
        <f t="shared" si="3"/>
        <v/>
      </c>
      <c r="AC59" s="197" t="str">
        <f t="shared" si="17"/>
        <v/>
      </c>
      <c r="AD59" s="197" t="str">
        <f t="shared" si="18"/>
        <v/>
      </c>
      <c r="AE59" s="197" t="str">
        <f t="shared" si="19"/>
        <v/>
      </c>
      <c r="AF59" s="197" t="str">
        <f t="shared" si="152"/>
        <v/>
      </c>
      <c r="AG59" s="197" t="str">
        <f t="shared" si="6"/>
        <v/>
      </c>
      <c r="AH59" s="197" t="str">
        <f>IF(I59="","",IF(ISNA(MATCH(I59,IF(quot_location_id=1,'[1]1_inventory_totals'!$C$8:$C$10000,IF(quot_location_id=2,'[1]2_inventory_totals'!$C$8:$C$10000,0)),0)),0,IF(AV59&gt;0,1,0)))</f>
        <v/>
      </c>
      <c r="AI59" s="197" t="str">
        <f>IF(M59="","",IF(quot_location_id=1,SUMIFS('[1]1_inventory_total_details'!$J$8:$J$10000,'[1]1_inventory_total_details'!$C$8:$C$10000,I59,'[1]1_inventory_total_details'!$F$8:$F$10000,quot_location_id,'[1]1_inventory_total_details'!$G$8:$G$10000,"="&amp;Q59,'[1]1_inventory_total_details'!$H$8:$H$10000,"="&amp;R59,'[1]1_inventory_total_details'!$I$8:$I$10000,"="&amp;quot_date)+SUMIFS('[1]1_inventory_total_details'!$M$8:$M$10000,'[1]1_inventory_total_details'!$C$8:$C$10000,I59,'[1]1_inventory_total_details'!$F$8:$F$10000,quot_location_id,'[1]1_inventory_total_details'!$G$8:$G$10000,"="&amp;Q59,'[1]1_inventory_total_details'!$H$8:$H$10000,"="&amp;R59,'[1]1_inventory_total_details'!$I$8:$I$10000,"="&amp;quot_date)+SUMIFS('[1]1_inventory_total_details'!$K$8:$K$10000,'[1]1_inventory_total_details'!$C$8:$C$10000,I59,'[1]1_inventory_total_details'!$F$8:$F$10000,quot_location_id,'[1]1_inventory_total_details'!$G$8:$G$10000,"="&amp;Q59,'[1]1_inventory_total_details'!$H$8:$H$10000,"="&amp;R59,'[1]1_inventory_total_details'!$I$8:$I$10000,"="&amp;quot_date)+SUMIFS('[1]1_inventory_total_details'!$L$8:$L$10000,'[1]1_inventory_total_details'!$C$8:$C$10000,I59,'[1]1_inventory_total_details'!$F$8:$F$10000,quot_location_id,'[1]1_inventory_total_details'!$G$8:$G$10000,"="&amp;Q59,'[1]1_inventory_total_details'!$H$8:$H$10000,"="&amp;R59,'[1]1_inventory_total_details'!$I$8:$I$10000,"="&amp;quot_date),SUMIFS('[1]2_inventory_total_details'!$J$8:$J$10000,'[1]2_inventory_total_details'!$C$8:$C$10000,I59,'[1]2_inventory_total_details'!$F$8:$F$10000,quot_location_id,'[1]2_inventory_total_details'!$G$8:$G$10000,"="&amp;Q59,'[1]2_inventory_total_details'!$H$8:$H$10000,"="&amp;R59,'[1]2_inventory_total_details'!$I$8:$I$10000,"="&amp;quot_date)+SUMIFS('[1]2_inventory_total_details'!$M$8:$M$10000,'[1]2_inventory_total_details'!$C$8:$C$10000,I59,'[1]2_inventory_total_details'!$F$8:$F$10000,quot_location_id,'[1]2_inventory_total_details'!$G$8:$G$10000,"="&amp;Q59,'[1]2_inventory_total_details'!$H$8:$H$10000,"="&amp;R59,'[1]2_inventory_total_details'!$I$8:$I$10000,"="&amp;quot_date)+SUMIFS('[1]2_inventory_total_details'!$K$8:$K$10000,'[1]2_inventory_total_details'!$C$8:$C$10000,I59,'[1]2_inventory_total_details'!$F$8:$F$10000,quot_location_id,'[1]2_inventory_total_details'!$G$8:$G$10000,"="&amp;Q59,'[1]2_inventory_total_details'!$H$8:$H$10000,"="&amp;R59,'[1]2_inventory_total_details'!$I$8:$I$10000,"="&amp;quot_date)+SUMIFS('[1]2_inventory_total_details'!$L$8:$L$10000,'[1]2_inventory_total_details'!$C$8:$C$10000,I59,'[1]2_inventory_total_details'!$F$8:$F$10000,quot_location_id,'[1]2_inventory_total_details'!$G$8:$G$10000,"="&amp;Q59,'[1]2_inventory_total_details'!$H$8:$H$10000,"="&amp;R59,'[1]2_inventory_total_details'!$I$8:$I$10000,"="&amp;quot_date)))</f>
        <v/>
      </c>
      <c r="AJ59" s="197" t="str">
        <f>IF(M59="","",IF(ISNA(MATCH(I59,'[1]1_group_totals'!$C$8:$C$10000)),0,IF(AW59&gt;0,1,0)))</f>
        <v/>
      </c>
      <c r="AK59" s="197" t="str">
        <f>IF(M59="","",(SUMIFS('[1]1_group_total_details'!$I$8:$I$10000,'[1]1_group_total_details'!$C$8:$C$10000,I59,'[1]1_group_total_details'!$F$8:$F$10000,quot_location_group_id,'[1]1_group_total_details'!$G$8:$G$10000,quot_location_id,'[1]1_group_total_details'!$H$8:$H$10000,"="&amp;quot_date)+SUMIFS('[1]1_group_total_details'!$L$8:$L$10000,'[1]1_group_total_details'!$C$8:$C$10000,I59,'[1]1_group_total_details'!$F$8:$F$10000,quot_location_group_id,'[1]1_group_total_details'!$G$8:$G$10000,quot_location_id,'[1]1_group_total_details'!$H$8:$H$10000,"="&amp;quot_date)+SUMIFS('[1]1_group_total_details'!$N$8:$N$10000,'[1]1_group_total_details'!$C$8:$C$10000,I59,'[1]1_group_total_details'!$F$8:$F$10000,quot_location_group_id,'[1]1_group_total_details'!$G$8:$G$10000,quot_location_id,'[1]1_group_total_details'!$H$8:$H$10000,"="&amp;quot_date)+SUMIFS('[1]1_group_total_details'!$O$8:$O$10000,'[1]1_group_total_details'!$C$8:$C$10000,I59,'[1]1_group_total_details'!$F$8:$F$10000,quot_location_group_id,'[1]1_group_total_details'!$G$8:$G$10000,quot_location_id,'[1]1_group_total_details'!$H$8:$H$10000,"="&amp;quot_date))+(SUMIFS('[1]1_group_total_details'!$J$8:$J$10000,'[1]1_group_total_details'!$C$8:$C$10000,I59,'[1]1_group_total_details'!$F$8:$F$10000,quot_location_group_id,'[1]1_group_total_details'!$G$8:$G$10000,quot_location_id,'[1]1_group_total_details'!$H$8:$H$10000,"="&amp;quot_date)+SUMIFS('[1]1_group_total_details'!$K$8:$K$10000,'[1]1_group_total_details'!$C$8:$C$10000,I59,'[1]1_group_total_details'!$F$8:$F$10000,quot_location_group_id,'[1]1_group_total_details'!$G$8:$G$10000,quot_location_id,'[1]1_group_total_details'!$H$8:$H$10000,"="&amp;quot_date)+SUMIFS('[1]1_group_total_details'!$M$8:$M$10000,'[1]1_group_total_details'!$C$8:$C$10000,I59,'[1]1_group_total_details'!$F$8:$F$10000,quot_location_group_id,'[1]1_group_total_details'!$G$8:$G$10000,quot_location_id,'[1]1_group_total_details'!$H$8:$H$10000,"="&amp;quot_date)+SUMIFS('[1]1_group_total_details'!$P$8:$P$10000,'[1]1_group_total_details'!$C$8:$C$10000,I59,'[1]1_group_total_details'!$F$8:$F$10000,quot_location_group_id,'[1]1_group_total_details'!$G$8:$G$10000,quot_location_id,'[1]1_group_total_details'!$H$8:$H$10000,"="&amp;quot_date)))</f>
        <v/>
      </c>
      <c r="AL59" s="197" t="str">
        <f>IF(M59="","",(SUMIFS('[1]1_group_total_details'!$I$8:$I$10000,'[1]1_group_total_details'!$C$8:$C$10000,I59,'[1]1_group_total_details'!$F$8:$F$10000,quot_location_group_id,'[1]1_group_total_details'!$G$8:$G$10000,quot_location_id,'[1]1_group_total_details'!$H$8:$H$10000,"&lt;="&amp;quot_date)+SUMIFS('[1]1_group_total_details'!$L$8:$L$10000,'[1]1_group_total_details'!$C$8:$C$10000,I59,'[1]1_group_total_details'!$F$8:$F$10000,quot_location_group_id,'[1]1_group_total_details'!$G$8:$G$10000,1,'[1]1_group_total_details'!$H$8:$H$10000,"&lt;="&amp;quot_date)+SUMIFS('[1]1_group_total_details'!$N$8:$N$10000,'[1]1_group_total_details'!$C$8:$C$10000,I59,'[1]1_group_total_details'!$F$8:$F$10000,quot_location_group_id,'[1]1_group_total_details'!$G$8:$G$10000,quot_location_id,'[1]1_group_total_details'!$H$8:$H$10000,"&lt;="&amp;quot_date)+SUMIFS('[1]1_group_total_details'!$O$8:$O$10000,'[1]1_group_total_details'!$C$8:$C$10000,I59,'[1]1_group_total_details'!$F$8:$F$10000,quot_location_group_id,'[1]1_group_total_details'!$G$8:$G$10000,quot_location_id,'[1]1_group_total_details'!$H$8:$H$10000,"&lt;="&amp;quot_date))-(SUMIFS('[1]1_group_total_details'!$J$8:$J$10000,'[1]1_group_total_details'!$C$8:$C$10000,I59,'[1]1_group_total_details'!$F$8:$F$10000,quot_location_group_id,'[1]1_group_total_details'!$G$8:$G$10000,quot_location_id,'[1]1_group_total_details'!$H$8:$H$10000,"&lt;="&amp;quot_date)+SUMIFS('[1]1_group_total_details'!$K$8:$K$10000,'[1]1_group_total_details'!$C$8:$C$10000,I59,'[1]1_group_total_details'!$F$8:$F$10000,quot_location_group_id,'[1]1_group_total_details'!$G$8:$G$10000,quot_location_id,'[1]1_group_total_details'!$H$8:$H$10000,"&lt;="&amp;quot_date)+SUMIFS('[1]1_group_total_details'!$M$8:$M$10000,'[1]1_group_total_details'!$C$8:$C$10000,I59,'[1]1_group_total_details'!$F$8:$F$10000,quot_location_group_id,'[1]1_group_total_details'!$G$8:$G$10000,quot_location_id,'[1]1_group_total_details'!$H$8:$H$10000,"&lt;="&amp;quot_date)+SUMIFS('[1]1_group_total_details'!$P$8:$P$10000,'[1]1_group_total_details'!$C$8:$C$10000,I59,'[1]1_group_total_details'!$F$8:$F$10000,quot_location_group_id,'[1]1_group_total_details'!$G$8:$G$10000,quot_location_id,'[1]1_group_total_details'!$H$8:$H$10000,"&lt;="&amp;quot_date)))</f>
        <v/>
      </c>
      <c r="AM59" s="197" t="str">
        <f>IF(M59="","",SUMIFS('[1]1_group_totals'!$J$8:$J$10000,'[1]1_group_totals'!$C$8:$C$10000,I59,'[1]1_group_totals'!$F$8:$F$10000,quot_location_group_id,'[1]1_group_totals'!$G$8:$G$10000,quot_location_id,'[1]1_group_totals'!$H$8:$H$10000,"="&amp;Q59,'[1]1_group_totals'!$I$8:$I$10000,"="&amp;R59))</f>
        <v/>
      </c>
      <c r="AN59" s="197" t="str">
        <f t="shared" si="7"/>
        <v/>
      </c>
      <c r="AO59" s="197" t="str">
        <f>IF(OR(ISNA(MATCH(MID(AN59,1,3)*1,UomConversion!$D$8:$D$500,0)),M59=""),"",IF(AT59="","",AT59))</f>
        <v/>
      </c>
      <c r="AP59" s="197" t="str">
        <f>IF(AND(AQ59&gt;0,COUNTIFS(UomConversion!$D$8:$D$500,MID(AN59,1,3)*1,UomConversion!$J$8:$J$500,1)&gt;1),TEXT(AQ59,"000")&amp;"."&amp;VLOOKUP(AQ59,uom_list,5,FALSE),"")</f>
        <v/>
      </c>
      <c r="AQ59" s="197" t="str">
        <f t="shared" si="20"/>
        <v/>
      </c>
      <c r="AR59" s="197" t="str">
        <f t="shared" si="21"/>
        <v/>
      </c>
      <c r="AS59" s="197" t="str">
        <f>IF(M59="","",SUMIFS(ProductPrice!$N$28:$N$10020,ProductPrice!$D$28:$D$10020,I59,ProductPrice!$G$28:$G$10020,quot_branch_id,ProductPrice!$H$28:$H$10020,quot_price_type_id,ProductPrice!$I$28:$I$10020,MID(P59,1,3)*1,ProductPrice!$Q$28:$Q$10020,1))</f>
        <v/>
      </c>
      <c r="AT59" s="197" t="str">
        <f t="shared" si="8"/>
        <v/>
      </c>
      <c r="AU59" s="197" t="str" cm="1">
        <f t="array" ref="AU59">IF(M59="","",IF(ISNA(Slookup(MID(AN59,1,3)*1,UomConversion!$D$8:$J$500,2,UomConversion!$I$8:$I$500,1,UomConversion!$J$8:$J$500,1)),"",Slookup(MID(AN59,1,3)*1,UomConversion!$D$8:$J$500,2,UomConversion!$I$8:$I$500,1,UomConversion!$J$8:$J$500,1)))</f>
        <v/>
      </c>
      <c r="AV59" s="197" t="str">
        <f t="shared" ref="AV59" si="229">IF(M59="","",IF(quot_location_id=1,BA59,IF(quot_location_id=2,BB59,0)))</f>
        <v/>
      </c>
      <c r="AW59" s="197" t="str">
        <f>IF(M59="","",(SUMIFS('[1]1_group_totals'!$K$8:$K$10000,'[1]1_group_totals'!$C$8:$C$10000,I59,'[1]1_group_totals'!$F$8:$F$10000,quot_location_group_id,'[1]1_group_totals'!$G$8:$G$10000,quot_location_id,'[1]1_group_totals'!$H$8:$H$10000,"="&amp;Q59,'[1]1_group_totals'!$I$8:$I$10000,"="&amp;R59)+SUMIFS('[1]1_group_totals'!$N$8:$N$10000,'[1]1_group_totals'!$C$8:$C$10000,I59,'[1]1_group_totals'!$F$8:$F$10000,quot_location_group_id,'[1]1_group_totals'!$G$8:$G$10000,quot_location_id,'[1]1_group_totals'!$H$8:$H$10000,"="&amp;Q59,'[1]1_group_totals'!$I$8:$I$10000,"="&amp;R59)+SUMIFS('[1]1_group_totals'!$P$8:$P$10000,'[1]1_group_totals'!$C$8:$C$10000,I59,'[1]1_group_totals'!$F$8:$F$10000,quot_location_group_id,'[1]1_group_totals'!$G$8:$G$10000,quot_location_id,'[1]1_group_totals'!$H$8:$H$10000,"="&amp;Q59,'[1]1_group_totals'!$I$8:$I$10000,"="&amp;R59)+SUMIFS('[1]1_group_totals'!$Q$8:$Q$10000,'[1]1_group_totals'!$C$8:$C$10000,I59,'[1]1_group_totals'!$F$8:$F$10000,quot_location_group_id,'[1]1_group_totals'!$G$8:$G$10000,quot_location_id,'[1]1_group_totals'!$H$8:$H$10000,"="&amp;Q59,'[1]1_group_totals'!$I$8:$I$10000,"="&amp;R59))+(SUMIFS('[1]1_group_totals'!$L$8:$L$10000,'[1]1_group_totals'!$C$8:$C$10000,I59,'[1]1_group_totals'!$F$8:$F$10000,quot_location_group_id,'[1]1_group_totals'!$G$8:$G$10000,quot_location_id,'[1]1_group_totals'!$H$8:$H$10000,"="&amp;Q59,'[1]1_group_totals'!$I$8:$I$10000,"="&amp;R59)+SUMIFS('[1]1_group_totals'!$M$8:$M$10000,'[1]1_group_totals'!$C$8:$C$10000,I59,'[1]1_group_totals'!$F$8:$F$10000,quot_location_group_id,'[1]1_group_totals'!$G$8:$G$10000,quot_location_id,'[1]1_group_totals'!$H$8:$H$10000,"="&amp;Q59,'[1]1_group_totals'!$I$8:$I$10000,"="&amp;R59)+SUMIFS('[1]1_group_totals'!$O$8:$O$10000,'[1]1_group_totals'!$C$8:$C$10000,I59,'[1]1_group_totals'!$F$8:$F$10000,quot_location_group_id,'[1]1_group_totals'!$G$8:$G$10000,quot_location_id,'[1]1_group_totals'!$H$8:$H$10000,"="&amp;Q59,'[1]1_group_totals'!$I$8:$I$10000,"="&amp;R59)+SUMIFS('[1]1_group_totals'!$R$8:$R$10000,'[1]1_group_totals'!$C$8:$C$10000,I59,'[1]1_group_totals'!$F$8:$F$10000,quot_location_group_id,'[1]1_group_totals'!$G$8:$G$10000,quot_location_id,'[1]1_group_totals'!$H$8:$H$10000,"="&amp;Q59,'[1]1_group_totals'!$I$8:$I$10000,"="&amp;R59)))</f>
        <v/>
      </c>
      <c r="AX59" s="197" t="str">
        <f t="shared" si="23"/>
        <v/>
      </c>
      <c r="AY59" s="197" t="str">
        <f>IF(M59="","",SUMIFS($AX$8:AX59,$I$8:I59,I59))</f>
        <v/>
      </c>
      <c r="AZ59" s="197" t="str">
        <f t="shared" si="24"/>
        <v/>
      </c>
      <c r="BA59" s="197" t="str">
        <f>IF(M59="","",(SUMIFS('[1]1_inventory_totals'!$I$8:$I$10000,'[1]1_inventory_totals'!$C$8:$C$10000,I59,'[1]1_inventory_totals'!$F$8:$F$10000,"="&amp;Q59,'[1]1_inventory_totals'!$G$8:$G$10000,"="&amp;R59)+SUMIFS('[1]1_inventory_totals'!$N$8:$N$10000,'[1]1_inventory_totals'!$C$8:$C$10000,I59,'[1]1_inventory_totals'!$F$8:$F$10000,"="&amp;Q59,'[1]1_inventory_totals'!$G$8:$G$10000,"="&amp;R59)+SUMIFS('[1]1_inventory_totals'!$P$8:$P$10000,'[1]1_inventory_totals'!$C$8:$C$10000,I59,'[1]1_inventory_totals'!$F$8:$F$10000,"="&amp;Q59,'[1]1_inventory_totals'!$G$8:$G$10000,"="&amp;R59)+SUMIFS('[1]1_inventory_totals'!$Q$8:$Q$10000,'[1]1_inventory_totals'!$C$8:$C$10000,I59,'[1]1_inventory_totals'!$F$8:$F$10000,"="&amp;Q59,'[1]1_inventory_totals'!$G$8:$G$10000,"="&amp;R59)+SUMIFS('[1]1_inventory_totals'!$R$8:$R$10000,'[1]1_inventory_totals'!$C$8:$C$10000,I59,'[1]1_inventory_totals'!$F$8:$F$10000,"="&amp;Q59,'[1]1_inventory_totals'!$G$8:$G$10000,"="&amp;R59))+(SUMIFS('[1]1_inventory_totals'!$J$8:$J$10000,'[1]1_inventory_totals'!$C$8:$C$10000,I59,'[1]1_inventory_totals'!$F$8:$F$10000,"="&amp;Q59,'[1]1_inventory_totals'!$G$8:$G$10000,"="&amp;R59)+SUMIFS('[1]1_inventory_totals'!$K$8:$K$10000,'[1]1_inventory_totals'!$C$8:$C$10000,I59,'[1]1_inventory_totals'!$F$8:$F$10000,"="&amp;Q59,'[1]1_inventory_totals'!$G$8:$G$10000,"="&amp;R59)+SUMIFS('[1]1_inventory_totals'!$L$8:$L$10000,'[1]1_inventory_totals'!$C$8:$C$10000,I59,'[1]1_inventory_totals'!$F$8:$F$10000,"="&amp;Q59,'[1]1_inventory_totals'!$G$8:$G$10000,"="&amp;R59)+SUMIFS('[1]1_inventory_totals'!$M$8:$M$10000,'[1]1_inventory_totals'!$C$8:$C$10000,I59,'[1]1_inventory_totals'!$F$8:$F$10000,"="&amp;Q59,'[1]1_inventory_totals'!$G$8:$G$10000,"="&amp;R59)+SUMIFS('[1]1_inventory_totals'!$O$8:$O$10000,'[1]1_inventory_totals'!$C$8:$C$10000,I59,'[1]1_inventory_totals'!$F$8:$F$10000,"="&amp;Q59,'[1]1_inventory_totals'!$G$8:$G$10000,"="&amp;R59)+SUMIFS('[1]1_inventory_totals'!$S$8:$S$10000,'[1]1_inventory_totals'!$C$8:$C$10000,I59,'[1]1_inventory_totals'!$F$8:$F$10000,"="&amp;Q59,'[1]1_inventory_totals'!$G$8:$G$10000,"="&amp;R59)))</f>
        <v/>
      </c>
      <c r="BB59" s="197" t="str">
        <f>IF(M59="","",(SUMIFS('[1]2_inventory_totals'!$I$8:$I$10000,'[1]2_inventory_totals'!$C$8:$C$10000,I59,'[1]2_inventory_totals'!$F$8:$F$10000,"="&amp;Q59,'[1]2_inventory_totals'!$G$8:$G$10000,"="&amp;R59)+SUMIFS('[1]2_inventory_totals'!$N$8:$N$10000,'[1]2_inventory_totals'!$C$8:$C$10000,I59,'[1]2_inventory_totals'!$F$8:$F$10000,"="&amp;Q59,'[1]2_inventory_totals'!$G$8:$G$10000,"="&amp;R59)+SUMIFS('[1]2_inventory_totals'!$P$8:$P$10000,'[1]2_inventory_totals'!$C$8:$C$10000,I59,'[1]2_inventory_totals'!$F$8:$F$10000,"="&amp;Q59,'[1]2_inventory_totals'!$G$8:$G$10000,"="&amp;R59)+SUMIFS('[1]2_inventory_totals'!$Q$8:$Q$10000,'[1]2_inventory_totals'!$C$8:$C$10000,I59,'[1]2_inventory_totals'!$F$8:$F$10000,"="&amp;Q59,'[1]2_inventory_totals'!$G$8:$G$10000,"="&amp;R59)+SUMIFS('[1]2_inventory_totals'!$R$8:$R$10000,'[1]2_inventory_totals'!$C$8:$C$10000,I59,'[1]2_inventory_totals'!$F$8:$F$10000,"="&amp;Q59,'[1]2_inventory_totals'!$G$8:$G$10000,"="&amp;R59))+(SUMIFS('[1]2_inventory_totals'!$J$8:$J$10000,'[1]2_inventory_totals'!$C$8:$C$10000,I59,'[1]2_inventory_totals'!$F$8:$F$10000,"="&amp;Q59,'[1]2_inventory_totals'!$G$8:$G$10000,"="&amp;R59)+SUMIFS('[1]2_inventory_totals'!$K$8:$K$10000,'[1]2_inventory_totals'!$C$8:$C$10000,I59,'[1]2_inventory_totals'!$F$8:$F$10000,"="&amp;Q59,'[1]2_inventory_totals'!$G$8:$G$10000,"="&amp;R59)+SUMIFS('[1]2_inventory_totals'!$L$8:$L$10000,'[1]2_inventory_totals'!$C$8:$C$10000,I59,'[1]2_inventory_totals'!$F$8:$F$10000,"="&amp;Q59,'[1]2_inventory_totals'!$G$8:$G$10000,"="&amp;R59)+SUMIFS('[1]2_inventory_totals'!$M$8:$M$10000,'[1]2_inventory_totals'!$C$8:$C$10000,I59,'[1]2_inventory_totals'!$F$8:$F$10000,"="&amp;Q59,'[1]2_inventory_totals'!$G$8:$G$10000,"="&amp;R59)+SUMIFS('[1]2_inventory_totals'!$O$8:$O$10000,'[1]2_inventory_totals'!$C$8:$C$10000,I59,'[1]2_inventory_totals'!$F$8:$F$10000,"="&amp;Q59,'[1]2_inventory_totals'!$G$8:$G$10000,"="&amp;R59)+SUMIFS('[1]2_inventory_totals'!$S$8:$S$10000,'[1]2_inventory_totals'!$C$8:$C$10000,I59,'[1]2_inventory_totals'!$F$8:$F$10000,"="&amp;Q59,'[1]2_inventory_totals'!$G$8:$G$10000,"="&amp;R59)))</f>
        <v/>
      </c>
    </row>
    <row r="60" spans="1:54" ht="27" hidden="1" customHeight="1">
      <c r="A60" s="923"/>
      <c r="B60" s="1256"/>
      <c r="C60" s="950"/>
      <c r="D60" s="950"/>
      <c r="E60" s="950"/>
      <c r="F60" s="1257"/>
      <c r="G60" s="941"/>
      <c r="H60" s="951"/>
      <c r="I60" s="1610" t="str">
        <f t="shared" si="10"/>
        <v/>
      </c>
      <c r="J60" s="1611" t="str">
        <f t="shared" si="112"/>
        <v/>
      </c>
      <c r="K60" s="1612" t="str">
        <f t="shared" si="30"/>
        <v/>
      </c>
      <c r="L60" s="1613"/>
      <c r="M60" s="883"/>
      <c r="N60" s="884"/>
      <c r="O60" s="884"/>
      <c r="P60" s="885"/>
      <c r="Q60" s="886"/>
      <c r="R60" s="891"/>
      <c r="S60" s="1614" t="str">
        <f t="shared" ref="S60" si="230">IF(M60="","",quot_currency_symbol)</f>
        <v/>
      </c>
      <c r="T60" s="888"/>
      <c r="U60" s="1650" t="str">
        <f t="shared" si="13"/>
        <v/>
      </c>
      <c r="V60" s="1615" t="str">
        <f t="shared" ref="V60" si="231">IF(W60=0,"",quot_currency_symbol)</f>
        <v/>
      </c>
      <c r="W60" s="889"/>
      <c r="X60" s="1615" t="str">
        <f t="shared" ref="X60" si="232">IF(M60="","",quot_currency_symbol)</f>
        <v/>
      </c>
      <c r="Y60" s="1616" t="str">
        <f t="shared" si="34"/>
        <v/>
      </c>
      <c r="Z60" s="890"/>
      <c r="AA60" s="197" t="str" cm="1">
        <f t="array" ref="AA60">IF(M60="","",IF(P60=AN60,1,Slookup(MID(AN60,1,3)*1,UomConversion!$D$8:$J$500,5,UomConversion!$E$8:$E$500,MID(P60,1,3)*1,UomConversion!$J$8:$J$500,1)))</f>
        <v/>
      </c>
      <c r="AB60" s="197" t="str">
        <f t="shared" si="3"/>
        <v/>
      </c>
      <c r="AC60" s="197" t="str">
        <f t="shared" si="17"/>
        <v/>
      </c>
      <c r="AD60" s="197" t="str">
        <f t="shared" si="18"/>
        <v/>
      </c>
      <c r="AE60" s="197" t="str">
        <f t="shared" si="19"/>
        <v/>
      </c>
      <c r="AF60" s="197" t="str">
        <f t="shared" si="152"/>
        <v/>
      </c>
      <c r="AG60" s="197" t="str">
        <f t="shared" si="6"/>
        <v/>
      </c>
      <c r="AH60" s="197" t="str">
        <f>IF(I60="","",IF(ISNA(MATCH(I60,IF(quot_location_id=1,'[1]1_inventory_totals'!$C$8:$C$10000,IF(quot_location_id=2,'[1]2_inventory_totals'!$C$8:$C$10000,0)),0)),0,IF(AV60&gt;0,1,0)))</f>
        <v/>
      </c>
      <c r="AI60" s="197" t="str">
        <f>IF(M60="","",IF(quot_location_id=1,SUMIFS('[1]1_inventory_total_details'!$J$8:$J$10000,'[1]1_inventory_total_details'!$C$8:$C$10000,I60,'[1]1_inventory_total_details'!$F$8:$F$10000,quot_location_id,'[1]1_inventory_total_details'!$G$8:$G$10000,"="&amp;Q60,'[1]1_inventory_total_details'!$H$8:$H$10000,"="&amp;R60,'[1]1_inventory_total_details'!$I$8:$I$10000,"="&amp;quot_date)+SUMIFS('[1]1_inventory_total_details'!$M$8:$M$10000,'[1]1_inventory_total_details'!$C$8:$C$10000,I60,'[1]1_inventory_total_details'!$F$8:$F$10000,quot_location_id,'[1]1_inventory_total_details'!$G$8:$G$10000,"="&amp;Q60,'[1]1_inventory_total_details'!$H$8:$H$10000,"="&amp;R60,'[1]1_inventory_total_details'!$I$8:$I$10000,"="&amp;quot_date)+SUMIFS('[1]1_inventory_total_details'!$K$8:$K$10000,'[1]1_inventory_total_details'!$C$8:$C$10000,I60,'[1]1_inventory_total_details'!$F$8:$F$10000,quot_location_id,'[1]1_inventory_total_details'!$G$8:$G$10000,"="&amp;Q60,'[1]1_inventory_total_details'!$H$8:$H$10000,"="&amp;R60,'[1]1_inventory_total_details'!$I$8:$I$10000,"="&amp;quot_date)+SUMIFS('[1]1_inventory_total_details'!$L$8:$L$10000,'[1]1_inventory_total_details'!$C$8:$C$10000,I60,'[1]1_inventory_total_details'!$F$8:$F$10000,quot_location_id,'[1]1_inventory_total_details'!$G$8:$G$10000,"="&amp;Q60,'[1]1_inventory_total_details'!$H$8:$H$10000,"="&amp;R60,'[1]1_inventory_total_details'!$I$8:$I$10000,"="&amp;quot_date),SUMIFS('[1]2_inventory_total_details'!$J$8:$J$10000,'[1]2_inventory_total_details'!$C$8:$C$10000,I60,'[1]2_inventory_total_details'!$F$8:$F$10000,quot_location_id,'[1]2_inventory_total_details'!$G$8:$G$10000,"="&amp;Q60,'[1]2_inventory_total_details'!$H$8:$H$10000,"="&amp;R60,'[1]2_inventory_total_details'!$I$8:$I$10000,"="&amp;quot_date)+SUMIFS('[1]2_inventory_total_details'!$M$8:$M$10000,'[1]2_inventory_total_details'!$C$8:$C$10000,I60,'[1]2_inventory_total_details'!$F$8:$F$10000,quot_location_id,'[1]2_inventory_total_details'!$G$8:$G$10000,"="&amp;Q60,'[1]2_inventory_total_details'!$H$8:$H$10000,"="&amp;R60,'[1]2_inventory_total_details'!$I$8:$I$10000,"="&amp;quot_date)+SUMIFS('[1]2_inventory_total_details'!$K$8:$K$10000,'[1]2_inventory_total_details'!$C$8:$C$10000,I60,'[1]2_inventory_total_details'!$F$8:$F$10000,quot_location_id,'[1]2_inventory_total_details'!$G$8:$G$10000,"="&amp;Q60,'[1]2_inventory_total_details'!$H$8:$H$10000,"="&amp;R60,'[1]2_inventory_total_details'!$I$8:$I$10000,"="&amp;quot_date)+SUMIFS('[1]2_inventory_total_details'!$L$8:$L$10000,'[1]2_inventory_total_details'!$C$8:$C$10000,I60,'[1]2_inventory_total_details'!$F$8:$F$10000,quot_location_id,'[1]2_inventory_total_details'!$G$8:$G$10000,"="&amp;Q60,'[1]2_inventory_total_details'!$H$8:$H$10000,"="&amp;R60,'[1]2_inventory_total_details'!$I$8:$I$10000,"="&amp;quot_date)))</f>
        <v/>
      </c>
      <c r="AJ60" s="197" t="str">
        <f>IF(M60="","",IF(ISNA(MATCH(I60,'[1]1_group_totals'!$C$8:$C$10000)),0,IF(AW60&gt;0,1,0)))</f>
        <v/>
      </c>
      <c r="AK60" s="197" t="str">
        <f>IF(M60="","",(SUMIFS('[1]1_group_total_details'!$I$8:$I$10000,'[1]1_group_total_details'!$C$8:$C$10000,I60,'[1]1_group_total_details'!$F$8:$F$10000,quot_location_group_id,'[1]1_group_total_details'!$G$8:$G$10000,quot_location_id,'[1]1_group_total_details'!$H$8:$H$10000,"="&amp;quot_date)+SUMIFS('[1]1_group_total_details'!$L$8:$L$10000,'[1]1_group_total_details'!$C$8:$C$10000,I60,'[1]1_group_total_details'!$F$8:$F$10000,quot_location_group_id,'[1]1_group_total_details'!$G$8:$G$10000,quot_location_id,'[1]1_group_total_details'!$H$8:$H$10000,"="&amp;quot_date)+SUMIFS('[1]1_group_total_details'!$N$8:$N$10000,'[1]1_group_total_details'!$C$8:$C$10000,I60,'[1]1_group_total_details'!$F$8:$F$10000,quot_location_group_id,'[1]1_group_total_details'!$G$8:$G$10000,quot_location_id,'[1]1_group_total_details'!$H$8:$H$10000,"="&amp;quot_date)+SUMIFS('[1]1_group_total_details'!$O$8:$O$10000,'[1]1_group_total_details'!$C$8:$C$10000,I60,'[1]1_group_total_details'!$F$8:$F$10000,quot_location_group_id,'[1]1_group_total_details'!$G$8:$G$10000,quot_location_id,'[1]1_group_total_details'!$H$8:$H$10000,"="&amp;quot_date))+(SUMIFS('[1]1_group_total_details'!$J$8:$J$10000,'[1]1_group_total_details'!$C$8:$C$10000,I60,'[1]1_group_total_details'!$F$8:$F$10000,quot_location_group_id,'[1]1_group_total_details'!$G$8:$G$10000,quot_location_id,'[1]1_group_total_details'!$H$8:$H$10000,"="&amp;quot_date)+SUMIFS('[1]1_group_total_details'!$K$8:$K$10000,'[1]1_group_total_details'!$C$8:$C$10000,I60,'[1]1_group_total_details'!$F$8:$F$10000,quot_location_group_id,'[1]1_group_total_details'!$G$8:$G$10000,quot_location_id,'[1]1_group_total_details'!$H$8:$H$10000,"="&amp;quot_date)+SUMIFS('[1]1_group_total_details'!$M$8:$M$10000,'[1]1_group_total_details'!$C$8:$C$10000,I60,'[1]1_group_total_details'!$F$8:$F$10000,quot_location_group_id,'[1]1_group_total_details'!$G$8:$G$10000,quot_location_id,'[1]1_group_total_details'!$H$8:$H$10000,"="&amp;quot_date)+SUMIFS('[1]1_group_total_details'!$P$8:$P$10000,'[1]1_group_total_details'!$C$8:$C$10000,I60,'[1]1_group_total_details'!$F$8:$F$10000,quot_location_group_id,'[1]1_group_total_details'!$G$8:$G$10000,quot_location_id,'[1]1_group_total_details'!$H$8:$H$10000,"="&amp;quot_date)))</f>
        <v/>
      </c>
      <c r="AL60" s="197" t="str">
        <f>IF(M60="","",(SUMIFS('[1]1_group_total_details'!$I$8:$I$10000,'[1]1_group_total_details'!$C$8:$C$10000,I60,'[1]1_group_total_details'!$F$8:$F$10000,quot_location_group_id,'[1]1_group_total_details'!$G$8:$G$10000,quot_location_id,'[1]1_group_total_details'!$H$8:$H$10000,"&lt;="&amp;quot_date)+SUMIFS('[1]1_group_total_details'!$L$8:$L$10000,'[1]1_group_total_details'!$C$8:$C$10000,I60,'[1]1_group_total_details'!$F$8:$F$10000,quot_location_group_id,'[1]1_group_total_details'!$G$8:$G$10000,1,'[1]1_group_total_details'!$H$8:$H$10000,"&lt;="&amp;quot_date)+SUMIFS('[1]1_group_total_details'!$N$8:$N$10000,'[1]1_group_total_details'!$C$8:$C$10000,I60,'[1]1_group_total_details'!$F$8:$F$10000,quot_location_group_id,'[1]1_group_total_details'!$G$8:$G$10000,quot_location_id,'[1]1_group_total_details'!$H$8:$H$10000,"&lt;="&amp;quot_date)+SUMIFS('[1]1_group_total_details'!$O$8:$O$10000,'[1]1_group_total_details'!$C$8:$C$10000,I60,'[1]1_group_total_details'!$F$8:$F$10000,quot_location_group_id,'[1]1_group_total_details'!$G$8:$G$10000,quot_location_id,'[1]1_group_total_details'!$H$8:$H$10000,"&lt;="&amp;quot_date))-(SUMIFS('[1]1_group_total_details'!$J$8:$J$10000,'[1]1_group_total_details'!$C$8:$C$10000,I60,'[1]1_group_total_details'!$F$8:$F$10000,quot_location_group_id,'[1]1_group_total_details'!$G$8:$G$10000,quot_location_id,'[1]1_group_total_details'!$H$8:$H$10000,"&lt;="&amp;quot_date)+SUMIFS('[1]1_group_total_details'!$K$8:$K$10000,'[1]1_group_total_details'!$C$8:$C$10000,I60,'[1]1_group_total_details'!$F$8:$F$10000,quot_location_group_id,'[1]1_group_total_details'!$G$8:$G$10000,quot_location_id,'[1]1_group_total_details'!$H$8:$H$10000,"&lt;="&amp;quot_date)+SUMIFS('[1]1_group_total_details'!$M$8:$M$10000,'[1]1_group_total_details'!$C$8:$C$10000,I60,'[1]1_group_total_details'!$F$8:$F$10000,quot_location_group_id,'[1]1_group_total_details'!$G$8:$G$10000,quot_location_id,'[1]1_group_total_details'!$H$8:$H$10000,"&lt;="&amp;quot_date)+SUMIFS('[1]1_group_total_details'!$P$8:$P$10000,'[1]1_group_total_details'!$C$8:$C$10000,I60,'[1]1_group_total_details'!$F$8:$F$10000,quot_location_group_id,'[1]1_group_total_details'!$G$8:$G$10000,quot_location_id,'[1]1_group_total_details'!$H$8:$H$10000,"&lt;="&amp;quot_date)))</f>
        <v/>
      </c>
      <c r="AM60" s="197" t="str">
        <f>IF(M60="","",SUMIFS('[1]1_group_totals'!$J$8:$J$10000,'[1]1_group_totals'!$C$8:$C$10000,I60,'[1]1_group_totals'!$F$8:$F$10000,quot_location_group_id,'[1]1_group_totals'!$G$8:$G$10000,quot_location_id,'[1]1_group_totals'!$H$8:$H$10000,"="&amp;Q60,'[1]1_group_totals'!$I$8:$I$10000,"="&amp;R60))</f>
        <v/>
      </c>
      <c r="AN60" s="197" t="str">
        <f t="shared" si="7"/>
        <v/>
      </c>
      <c r="AO60" s="197" t="str">
        <f>IF(OR(ISNA(MATCH(MID(AN60,1,3)*1,UomConversion!$D$8:$D$500,0)),M60=""),"",IF(AT60="","",AT60))</f>
        <v/>
      </c>
      <c r="AP60" s="197" t="str">
        <f>IF(AND(AQ60&gt;0,COUNTIFS(UomConversion!$D$8:$D$500,MID(AN60,1,3)*1,UomConversion!$J$8:$J$500,1)&gt;1),TEXT(AQ60,"000")&amp;"."&amp;VLOOKUP(AQ60,uom_list,5,FALSE),"")</f>
        <v/>
      </c>
      <c r="AQ60" s="197" t="str">
        <f t="shared" si="20"/>
        <v/>
      </c>
      <c r="AR60" s="197" t="str">
        <f t="shared" si="21"/>
        <v/>
      </c>
      <c r="AS60" s="197" t="str">
        <f>IF(M60="","",SUMIFS(ProductPrice!$N$28:$N$10020,ProductPrice!$D$28:$D$10020,I60,ProductPrice!$G$28:$G$10020,quot_branch_id,ProductPrice!$H$28:$H$10020,quot_price_type_id,ProductPrice!$I$28:$I$10020,MID(P60,1,3)*1,ProductPrice!$Q$28:$Q$10020,1))</f>
        <v/>
      </c>
      <c r="AT60" s="197" t="str">
        <f t="shared" si="8"/>
        <v/>
      </c>
      <c r="AU60" s="197" t="str" cm="1">
        <f t="array" ref="AU60">IF(M60="","",IF(ISNA(Slookup(MID(AN60,1,3)*1,UomConversion!$D$8:$J$500,2,UomConversion!$I$8:$I$500,1,UomConversion!$J$8:$J$500,1)),"",Slookup(MID(AN60,1,3)*1,UomConversion!$D$8:$J$500,2,UomConversion!$I$8:$I$500,1,UomConversion!$J$8:$J$500,1)))</f>
        <v/>
      </c>
      <c r="AV60" s="197" t="str">
        <f t="shared" ref="AV60" si="233">IF(M60="","",IF(quot_location_id=1,BA60,IF(quot_location_id=2,BB60,0)))</f>
        <v/>
      </c>
      <c r="AW60" s="197" t="str">
        <f>IF(M60="","",(SUMIFS('[1]1_group_totals'!$K$8:$K$10000,'[1]1_group_totals'!$C$8:$C$10000,I60,'[1]1_group_totals'!$F$8:$F$10000,quot_location_group_id,'[1]1_group_totals'!$G$8:$G$10000,quot_location_id,'[1]1_group_totals'!$H$8:$H$10000,"="&amp;Q60,'[1]1_group_totals'!$I$8:$I$10000,"="&amp;R60)+SUMIFS('[1]1_group_totals'!$N$8:$N$10000,'[1]1_group_totals'!$C$8:$C$10000,I60,'[1]1_group_totals'!$F$8:$F$10000,quot_location_group_id,'[1]1_group_totals'!$G$8:$G$10000,quot_location_id,'[1]1_group_totals'!$H$8:$H$10000,"="&amp;Q60,'[1]1_group_totals'!$I$8:$I$10000,"="&amp;R60)+SUMIFS('[1]1_group_totals'!$P$8:$P$10000,'[1]1_group_totals'!$C$8:$C$10000,I60,'[1]1_group_totals'!$F$8:$F$10000,quot_location_group_id,'[1]1_group_totals'!$G$8:$G$10000,quot_location_id,'[1]1_group_totals'!$H$8:$H$10000,"="&amp;Q60,'[1]1_group_totals'!$I$8:$I$10000,"="&amp;R60)+SUMIFS('[1]1_group_totals'!$Q$8:$Q$10000,'[1]1_group_totals'!$C$8:$C$10000,I60,'[1]1_group_totals'!$F$8:$F$10000,quot_location_group_id,'[1]1_group_totals'!$G$8:$G$10000,quot_location_id,'[1]1_group_totals'!$H$8:$H$10000,"="&amp;Q60,'[1]1_group_totals'!$I$8:$I$10000,"="&amp;R60))+(SUMIFS('[1]1_group_totals'!$L$8:$L$10000,'[1]1_group_totals'!$C$8:$C$10000,I60,'[1]1_group_totals'!$F$8:$F$10000,quot_location_group_id,'[1]1_group_totals'!$G$8:$G$10000,quot_location_id,'[1]1_group_totals'!$H$8:$H$10000,"="&amp;Q60,'[1]1_group_totals'!$I$8:$I$10000,"="&amp;R60)+SUMIFS('[1]1_group_totals'!$M$8:$M$10000,'[1]1_group_totals'!$C$8:$C$10000,I60,'[1]1_group_totals'!$F$8:$F$10000,quot_location_group_id,'[1]1_group_totals'!$G$8:$G$10000,quot_location_id,'[1]1_group_totals'!$H$8:$H$10000,"="&amp;Q60,'[1]1_group_totals'!$I$8:$I$10000,"="&amp;R60)+SUMIFS('[1]1_group_totals'!$O$8:$O$10000,'[1]1_group_totals'!$C$8:$C$10000,I60,'[1]1_group_totals'!$F$8:$F$10000,quot_location_group_id,'[1]1_group_totals'!$G$8:$G$10000,quot_location_id,'[1]1_group_totals'!$H$8:$H$10000,"="&amp;Q60,'[1]1_group_totals'!$I$8:$I$10000,"="&amp;R60)+SUMIFS('[1]1_group_totals'!$R$8:$R$10000,'[1]1_group_totals'!$C$8:$C$10000,I60,'[1]1_group_totals'!$F$8:$F$10000,quot_location_group_id,'[1]1_group_totals'!$G$8:$G$10000,quot_location_id,'[1]1_group_totals'!$H$8:$H$10000,"="&amp;Q60,'[1]1_group_totals'!$I$8:$I$10000,"="&amp;R60)))</f>
        <v/>
      </c>
      <c r="AX60" s="197" t="str">
        <f t="shared" si="23"/>
        <v/>
      </c>
      <c r="AY60" s="197" t="str">
        <f>IF(M60="","",SUMIFS($AX$8:AX60,$I$8:I60,I60))</f>
        <v/>
      </c>
      <c r="AZ60" s="197" t="str">
        <f t="shared" si="24"/>
        <v/>
      </c>
      <c r="BA60" s="197" t="str">
        <f>IF(M60="","",(SUMIFS('[1]1_inventory_totals'!$I$8:$I$10000,'[1]1_inventory_totals'!$C$8:$C$10000,I60,'[1]1_inventory_totals'!$F$8:$F$10000,"="&amp;Q60,'[1]1_inventory_totals'!$G$8:$G$10000,"="&amp;R60)+SUMIFS('[1]1_inventory_totals'!$N$8:$N$10000,'[1]1_inventory_totals'!$C$8:$C$10000,I60,'[1]1_inventory_totals'!$F$8:$F$10000,"="&amp;Q60,'[1]1_inventory_totals'!$G$8:$G$10000,"="&amp;R60)+SUMIFS('[1]1_inventory_totals'!$P$8:$P$10000,'[1]1_inventory_totals'!$C$8:$C$10000,I60,'[1]1_inventory_totals'!$F$8:$F$10000,"="&amp;Q60,'[1]1_inventory_totals'!$G$8:$G$10000,"="&amp;R60)+SUMIFS('[1]1_inventory_totals'!$Q$8:$Q$10000,'[1]1_inventory_totals'!$C$8:$C$10000,I60,'[1]1_inventory_totals'!$F$8:$F$10000,"="&amp;Q60,'[1]1_inventory_totals'!$G$8:$G$10000,"="&amp;R60)+SUMIFS('[1]1_inventory_totals'!$R$8:$R$10000,'[1]1_inventory_totals'!$C$8:$C$10000,I60,'[1]1_inventory_totals'!$F$8:$F$10000,"="&amp;Q60,'[1]1_inventory_totals'!$G$8:$G$10000,"="&amp;R60))+(SUMIFS('[1]1_inventory_totals'!$J$8:$J$10000,'[1]1_inventory_totals'!$C$8:$C$10000,I60,'[1]1_inventory_totals'!$F$8:$F$10000,"="&amp;Q60,'[1]1_inventory_totals'!$G$8:$G$10000,"="&amp;R60)+SUMIFS('[1]1_inventory_totals'!$K$8:$K$10000,'[1]1_inventory_totals'!$C$8:$C$10000,I60,'[1]1_inventory_totals'!$F$8:$F$10000,"="&amp;Q60,'[1]1_inventory_totals'!$G$8:$G$10000,"="&amp;R60)+SUMIFS('[1]1_inventory_totals'!$L$8:$L$10000,'[1]1_inventory_totals'!$C$8:$C$10000,I60,'[1]1_inventory_totals'!$F$8:$F$10000,"="&amp;Q60,'[1]1_inventory_totals'!$G$8:$G$10000,"="&amp;R60)+SUMIFS('[1]1_inventory_totals'!$M$8:$M$10000,'[1]1_inventory_totals'!$C$8:$C$10000,I60,'[1]1_inventory_totals'!$F$8:$F$10000,"="&amp;Q60,'[1]1_inventory_totals'!$G$8:$G$10000,"="&amp;R60)+SUMIFS('[1]1_inventory_totals'!$O$8:$O$10000,'[1]1_inventory_totals'!$C$8:$C$10000,I60,'[1]1_inventory_totals'!$F$8:$F$10000,"="&amp;Q60,'[1]1_inventory_totals'!$G$8:$G$10000,"="&amp;R60)+SUMIFS('[1]1_inventory_totals'!$S$8:$S$10000,'[1]1_inventory_totals'!$C$8:$C$10000,I60,'[1]1_inventory_totals'!$F$8:$F$10000,"="&amp;Q60,'[1]1_inventory_totals'!$G$8:$G$10000,"="&amp;R60)))</f>
        <v/>
      </c>
      <c r="BB60" s="197" t="str">
        <f>IF(M60="","",(SUMIFS('[1]2_inventory_totals'!$I$8:$I$10000,'[1]2_inventory_totals'!$C$8:$C$10000,I60,'[1]2_inventory_totals'!$F$8:$F$10000,"="&amp;Q60,'[1]2_inventory_totals'!$G$8:$G$10000,"="&amp;R60)+SUMIFS('[1]2_inventory_totals'!$N$8:$N$10000,'[1]2_inventory_totals'!$C$8:$C$10000,I60,'[1]2_inventory_totals'!$F$8:$F$10000,"="&amp;Q60,'[1]2_inventory_totals'!$G$8:$G$10000,"="&amp;R60)+SUMIFS('[1]2_inventory_totals'!$P$8:$P$10000,'[1]2_inventory_totals'!$C$8:$C$10000,I60,'[1]2_inventory_totals'!$F$8:$F$10000,"="&amp;Q60,'[1]2_inventory_totals'!$G$8:$G$10000,"="&amp;R60)+SUMIFS('[1]2_inventory_totals'!$Q$8:$Q$10000,'[1]2_inventory_totals'!$C$8:$C$10000,I60,'[1]2_inventory_totals'!$F$8:$F$10000,"="&amp;Q60,'[1]2_inventory_totals'!$G$8:$G$10000,"="&amp;R60)+SUMIFS('[1]2_inventory_totals'!$R$8:$R$10000,'[1]2_inventory_totals'!$C$8:$C$10000,I60,'[1]2_inventory_totals'!$F$8:$F$10000,"="&amp;Q60,'[1]2_inventory_totals'!$G$8:$G$10000,"="&amp;R60))+(SUMIFS('[1]2_inventory_totals'!$J$8:$J$10000,'[1]2_inventory_totals'!$C$8:$C$10000,I60,'[1]2_inventory_totals'!$F$8:$F$10000,"="&amp;Q60,'[1]2_inventory_totals'!$G$8:$G$10000,"="&amp;R60)+SUMIFS('[1]2_inventory_totals'!$K$8:$K$10000,'[1]2_inventory_totals'!$C$8:$C$10000,I60,'[1]2_inventory_totals'!$F$8:$F$10000,"="&amp;Q60,'[1]2_inventory_totals'!$G$8:$G$10000,"="&amp;R60)+SUMIFS('[1]2_inventory_totals'!$L$8:$L$10000,'[1]2_inventory_totals'!$C$8:$C$10000,I60,'[1]2_inventory_totals'!$F$8:$F$10000,"="&amp;Q60,'[1]2_inventory_totals'!$G$8:$G$10000,"="&amp;R60)+SUMIFS('[1]2_inventory_totals'!$M$8:$M$10000,'[1]2_inventory_totals'!$C$8:$C$10000,I60,'[1]2_inventory_totals'!$F$8:$F$10000,"="&amp;Q60,'[1]2_inventory_totals'!$G$8:$G$10000,"="&amp;R60)+SUMIFS('[1]2_inventory_totals'!$O$8:$O$10000,'[1]2_inventory_totals'!$C$8:$C$10000,I60,'[1]2_inventory_totals'!$F$8:$F$10000,"="&amp;Q60,'[1]2_inventory_totals'!$G$8:$G$10000,"="&amp;R60)+SUMIFS('[1]2_inventory_totals'!$S$8:$S$10000,'[1]2_inventory_totals'!$C$8:$C$10000,I60,'[1]2_inventory_totals'!$F$8:$F$10000,"="&amp;Q60,'[1]2_inventory_totals'!$G$8:$G$10000,"="&amp;R60)))</f>
        <v/>
      </c>
    </row>
    <row r="61" spans="1:54" ht="27" hidden="1" customHeight="1">
      <c r="A61" s="923"/>
      <c r="B61" s="1256"/>
      <c r="C61" s="950"/>
      <c r="D61" s="950"/>
      <c r="E61" s="950"/>
      <c r="F61" s="1257"/>
      <c r="G61" s="941"/>
      <c r="H61" s="951"/>
      <c r="I61" s="1610" t="str">
        <f t="shared" si="10"/>
        <v/>
      </c>
      <c r="J61" s="1611" t="str">
        <f t="shared" si="112"/>
        <v/>
      </c>
      <c r="K61" s="1612" t="str">
        <f t="shared" si="30"/>
        <v/>
      </c>
      <c r="L61" s="1613"/>
      <c r="M61" s="883"/>
      <c r="N61" s="884"/>
      <c r="O61" s="884"/>
      <c r="P61" s="885"/>
      <c r="Q61" s="886"/>
      <c r="R61" s="891"/>
      <c r="S61" s="1614" t="str">
        <f t="shared" ref="S61" si="234">IF(M61="","",quot_currency_symbol)</f>
        <v/>
      </c>
      <c r="T61" s="888"/>
      <c r="U61" s="1650" t="str">
        <f t="shared" si="13"/>
        <v/>
      </c>
      <c r="V61" s="1615" t="str">
        <f t="shared" ref="V61" si="235">IF(W61=0,"",quot_currency_symbol)</f>
        <v/>
      </c>
      <c r="W61" s="889"/>
      <c r="X61" s="1615" t="str">
        <f t="shared" ref="X61" si="236">IF(M61="","",quot_currency_symbol)</f>
        <v/>
      </c>
      <c r="Y61" s="1616" t="str">
        <f t="shared" si="34"/>
        <v/>
      </c>
      <c r="Z61" s="890"/>
      <c r="AA61" s="197" t="str" cm="1">
        <f t="array" ref="AA61">IF(M61="","",IF(P61=AN61,1,Slookup(MID(AN61,1,3)*1,UomConversion!$D$8:$J$500,5,UomConversion!$E$8:$E$500,MID(P61,1,3)*1,UomConversion!$J$8:$J$500,1)))</f>
        <v/>
      </c>
      <c r="AB61" s="197" t="str">
        <f t="shared" si="3"/>
        <v/>
      </c>
      <c r="AC61" s="197" t="str">
        <f t="shared" si="17"/>
        <v/>
      </c>
      <c r="AD61" s="197" t="str">
        <f t="shared" si="18"/>
        <v/>
      </c>
      <c r="AE61" s="197" t="str">
        <f t="shared" si="19"/>
        <v/>
      </c>
      <c r="AF61" s="197" t="str">
        <f t="shared" si="152"/>
        <v/>
      </c>
      <c r="AG61" s="197" t="str">
        <f t="shared" si="6"/>
        <v/>
      </c>
      <c r="AH61" s="197" t="str">
        <f>IF(I61="","",IF(ISNA(MATCH(I61,IF(quot_location_id=1,'[1]1_inventory_totals'!$C$8:$C$10000,IF(quot_location_id=2,'[1]2_inventory_totals'!$C$8:$C$10000,0)),0)),0,IF(AV61&gt;0,1,0)))</f>
        <v/>
      </c>
      <c r="AI61" s="197" t="str">
        <f>IF(M61="","",IF(quot_location_id=1,SUMIFS('[1]1_inventory_total_details'!$J$8:$J$10000,'[1]1_inventory_total_details'!$C$8:$C$10000,I61,'[1]1_inventory_total_details'!$F$8:$F$10000,quot_location_id,'[1]1_inventory_total_details'!$G$8:$G$10000,"="&amp;Q61,'[1]1_inventory_total_details'!$H$8:$H$10000,"="&amp;R61,'[1]1_inventory_total_details'!$I$8:$I$10000,"="&amp;quot_date)+SUMIFS('[1]1_inventory_total_details'!$M$8:$M$10000,'[1]1_inventory_total_details'!$C$8:$C$10000,I61,'[1]1_inventory_total_details'!$F$8:$F$10000,quot_location_id,'[1]1_inventory_total_details'!$G$8:$G$10000,"="&amp;Q61,'[1]1_inventory_total_details'!$H$8:$H$10000,"="&amp;R61,'[1]1_inventory_total_details'!$I$8:$I$10000,"="&amp;quot_date)+SUMIFS('[1]1_inventory_total_details'!$K$8:$K$10000,'[1]1_inventory_total_details'!$C$8:$C$10000,I61,'[1]1_inventory_total_details'!$F$8:$F$10000,quot_location_id,'[1]1_inventory_total_details'!$G$8:$G$10000,"="&amp;Q61,'[1]1_inventory_total_details'!$H$8:$H$10000,"="&amp;R61,'[1]1_inventory_total_details'!$I$8:$I$10000,"="&amp;quot_date)+SUMIFS('[1]1_inventory_total_details'!$L$8:$L$10000,'[1]1_inventory_total_details'!$C$8:$C$10000,I61,'[1]1_inventory_total_details'!$F$8:$F$10000,quot_location_id,'[1]1_inventory_total_details'!$G$8:$G$10000,"="&amp;Q61,'[1]1_inventory_total_details'!$H$8:$H$10000,"="&amp;R61,'[1]1_inventory_total_details'!$I$8:$I$10000,"="&amp;quot_date),SUMIFS('[1]2_inventory_total_details'!$J$8:$J$10000,'[1]2_inventory_total_details'!$C$8:$C$10000,I61,'[1]2_inventory_total_details'!$F$8:$F$10000,quot_location_id,'[1]2_inventory_total_details'!$G$8:$G$10000,"="&amp;Q61,'[1]2_inventory_total_details'!$H$8:$H$10000,"="&amp;R61,'[1]2_inventory_total_details'!$I$8:$I$10000,"="&amp;quot_date)+SUMIFS('[1]2_inventory_total_details'!$M$8:$M$10000,'[1]2_inventory_total_details'!$C$8:$C$10000,I61,'[1]2_inventory_total_details'!$F$8:$F$10000,quot_location_id,'[1]2_inventory_total_details'!$G$8:$G$10000,"="&amp;Q61,'[1]2_inventory_total_details'!$H$8:$H$10000,"="&amp;R61,'[1]2_inventory_total_details'!$I$8:$I$10000,"="&amp;quot_date)+SUMIFS('[1]2_inventory_total_details'!$K$8:$K$10000,'[1]2_inventory_total_details'!$C$8:$C$10000,I61,'[1]2_inventory_total_details'!$F$8:$F$10000,quot_location_id,'[1]2_inventory_total_details'!$G$8:$G$10000,"="&amp;Q61,'[1]2_inventory_total_details'!$H$8:$H$10000,"="&amp;R61,'[1]2_inventory_total_details'!$I$8:$I$10000,"="&amp;quot_date)+SUMIFS('[1]2_inventory_total_details'!$L$8:$L$10000,'[1]2_inventory_total_details'!$C$8:$C$10000,I61,'[1]2_inventory_total_details'!$F$8:$F$10000,quot_location_id,'[1]2_inventory_total_details'!$G$8:$G$10000,"="&amp;Q61,'[1]2_inventory_total_details'!$H$8:$H$10000,"="&amp;R61,'[1]2_inventory_total_details'!$I$8:$I$10000,"="&amp;quot_date)))</f>
        <v/>
      </c>
      <c r="AJ61" s="197" t="str">
        <f>IF(M61="","",IF(ISNA(MATCH(I61,'[1]1_group_totals'!$C$8:$C$10000)),0,IF(AW61&gt;0,1,0)))</f>
        <v/>
      </c>
      <c r="AK61" s="197" t="str">
        <f>IF(M61="","",(SUMIFS('[1]1_group_total_details'!$I$8:$I$10000,'[1]1_group_total_details'!$C$8:$C$10000,I61,'[1]1_group_total_details'!$F$8:$F$10000,quot_location_group_id,'[1]1_group_total_details'!$G$8:$G$10000,quot_location_id,'[1]1_group_total_details'!$H$8:$H$10000,"="&amp;quot_date)+SUMIFS('[1]1_group_total_details'!$L$8:$L$10000,'[1]1_group_total_details'!$C$8:$C$10000,I61,'[1]1_group_total_details'!$F$8:$F$10000,quot_location_group_id,'[1]1_group_total_details'!$G$8:$G$10000,quot_location_id,'[1]1_group_total_details'!$H$8:$H$10000,"="&amp;quot_date)+SUMIFS('[1]1_group_total_details'!$N$8:$N$10000,'[1]1_group_total_details'!$C$8:$C$10000,I61,'[1]1_group_total_details'!$F$8:$F$10000,quot_location_group_id,'[1]1_group_total_details'!$G$8:$G$10000,quot_location_id,'[1]1_group_total_details'!$H$8:$H$10000,"="&amp;quot_date)+SUMIFS('[1]1_group_total_details'!$O$8:$O$10000,'[1]1_group_total_details'!$C$8:$C$10000,I61,'[1]1_group_total_details'!$F$8:$F$10000,quot_location_group_id,'[1]1_group_total_details'!$G$8:$G$10000,quot_location_id,'[1]1_group_total_details'!$H$8:$H$10000,"="&amp;quot_date))+(SUMIFS('[1]1_group_total_details'!$J$8:$J$10000,'[1]1_group_total_details'!$C$8:$C$10000,I61,'[1]1_group_total_details'!$F$8:$F$10000,quot_location_group_id,'[1]1_group_total_details'!$G$8:$G$10000,quot_location_id,'[1]1_group_total_details'!$H$8:$H$10000,"="&amp;quot_date)+SUMIFS('[1]1_group_total_details'!$K$8:$K$10000,'[1]1_group_total_details'!$C$8:$C$10000,I61,'[1]1_group_total_details'!$F$8:$F$10000,quot_location_group_id,'[1]1_group_total_details'!$G$8:$G$10000,quot_location_id,'[1]1_group_total_details'!$H$8:$H$10000,"="&amp;quot_date)+SUMIFS('[1]1_group_total_details'!$M$8:$M$10000,'[1]1_group_total_details'!$C$8:$C$10000,I61,'[1]1_group_total_details'!$F$8:$F$10000,quot_location_group_id,'[1]1_group_total_details'!$G$8:$G$10000,quot_location_id,'[1]1_group_total_details'!$H$8:$H$10000,"="&amp;quot_date)+SUMIFS('[1]1_group_total_details'!$P$8:$P$10000,'[1]1_group_total_details'!$C$8:$C$10000,I61,'[1]1_group_total_details'!$F$8:$F$10000,quot_location_group_id,'[1]1_group_total_details'!$G$8:$G$10000,quot_location_id,'[1]1_group_total_details'!$H$8:$H$10000,"="&amp;quot_date)))</f>
        <v/>
      </c>
      <c r="AL61" s="197" t="str">
        <f>IF(M61="","",(SUMIFS('[1]1_group_total_details'!$I$8:$I$10000,'[1]1_group_total_details'!$C$8:$C$10000,I61,'[1]1_group_total_details'!$F$8:$F$10000,quot_location_group_id,'[1]1_group_total_details'!$G$8:$G$10000,quot_location_id,'[1]1_group_total_details'!$H$8:$H$10000,"&lt;="&amp;quot_date)+SUMIFS('[1]1_group_total_details'!$L$8:$L$10000,'[1]1_group_total_details'!$C$8:$C$10000,I61,'[1]1_group_total_details'!$F$8:$F$10000,quot_location_group_id,'[1]1_group_total_details'!$G$8:$G$10000,1,'[1]1_group_total_details'!$H$8:$H$10000,"&lt;="&amp;quot_date)+SUMIFS('[1]1_group_total_details'!$N$8:$N$10000,'[1]1_group_total_details'!$C$8:$C$10000,I61,'[1]1_group_total_details'!$F$8:$F$10000,quot_location_group_id,'[1]1_group_total_details'!$G$8:$G$10000,quot_location_id,'[1]1_group_total_details'!$H$8:$H$10000,"&lt;="&amp;quot_date)+SUMIFS('[1]1_group_total_details'!$O$8:$O$10000,'[1]1_group_total_details'!$C$8:$C$10000,I61,'[1]1_group_total_details'!$F$8:$F$10000,quot_location_group_id,'[1]1_group_total_details'!$G$8:$G$10000,quot_location_id,'[1]1_group_total_details'!$H$8:$H$10000,"&lt;="&amp;quot_date))-(SUMIFS('[1]1_group_total_details'!$J$8:$J$10000,'[1]1_group_total_details'!$C$8:$C$10000,I61,'[1]1_group_total_details'!$F$8:$F$10000,quot_location_group_id,'[1]1_group_total_details'!$G$8:$G$10000,quot_location_id,'[1]1_group_total_details'!$H$8:$H$10000,"&lt;="&amp;quot_date)+SUMIFS('[1]1_group_total_details'!$K$8:$K$10000,'[1]1_group_total_details'!$C$8:$C$10000,I61,'[1]1_group_total_details'!$F$8:$F$10000,quot_location_group_id,'[1]1_group_total_details'!$G$8:$G$10000,quot_location_id,'[1]1_group_total_details'!$H$8:$H$10000,"&lt;="&amp;quot_date)+SUMIFS('[1]1_group_total_details'!$M$8:$M$10000,'[1]1_group_total_details'!$C$8:$C$10000,I61,'[1]1_group_total_details'!$F$8:$F$10000,quot_location_group_id,'[1]1_group_total_details'!$G$8:$G$10000,quot_location_id,'[1]1_group_total_details'!$H$8:$H$10000,"&lt;="&amp;quot_date)+SUMIFS('[1]1_group_total_details'!$P$8:$P$10000,'[1]1_group_total_details'!$C$8:$C$10000,I61,'[1]1_group_total_details'!$F$8:$F$10000,quot_location_group_id,'[1]1_group_total_details'!$G$8:$G$10000,quot_location_id,'[1]1_group_total_details'!$H$8:$H$10000,"&lt;="&amp;quot_date)))</f>
        <v/>
      </c>
      <c r="AM61" s="197" t="str">
        <f>IF(M61="","",SUMIFS('[1]1_group_totals'!$J$8:$J$10000,'[1]1_group_totals'!$C$8:$C$10000,I61,'[1]1_group_totals'!$F$8:$F$10000,quot_location_group_id,'[1]1_group_totals'!$G$8:$G$10000,quot_location_id,'[1]1_group_totals'!$H$8:$H$10000,"="&amp;Q61,'[1]1_group_totals'!$I$8:$I$10000,"="&amp;R61))</f>
        <v/>
      </c>
      <c r="AN61" s="197" t="str">
        <f t="shared" si="7"/>
        <v/>
      </c>
      <c r="AO61" s="197" t="str">
        <f>IF(OR(ISNA(MATCH(MID(AN61,1,3)*1,UomConversion!$D$8:$D$500,0)),M61=""),"",IF(AT61="","",AT61))</f>
        <v/>
      </c>
      <c r="AP61" s="197" t="str">
        <f>IF(AND(AQ61&gt;0,COUNTIFS(UomConversion!$D$8:$D$500,MID(AN61,1,3)*1,UomConversion!$J$8:$J$500,1)&gt;1),TEXT(AQ61,"000")&amp;"."&amp;VLOOKUP(AQ61,uom_list,5,FALSE),"")</f>
        <v/>
      </c>
      <c r="AQ61" s="197" t="str">
        <f t="shared" si="20"/>
        <v/>
      </c>
      <c r="AR61" s="197" t="str">
        <f t="shared" si="21"/>
        <v/>
      </c>
      <c r="AS61" s="197" t="str">
        <f>IF(M61="","",SUMIFS(ProductPrice!$N$28:$N$10020,ProductPrice!$D$28:$D$10020,I61,ProductPrice!$G$28:$G$10020,quot_branch_id,ProductPrice!$H$28:$H$10020,quot_price_type_id,ProductPrice!$I$28:$I$10020,MID(P61,1,3)*1,ProductPrice!$Q$28:$Q$10020,1))</f>
        <v/>
      </c>
      <c r="AT61" s="197" t="str">
        <f t="shared" si="8"/>
        <v/>
      </c>
      <c r="AU61" s="197" t="str" cm="1">
        <f t="array" ref="AU61">IF(M61="","",IF(ISNA(Slookup(MID(AN61,1,3)*1,UomConversion!$D$8:$J$500,2,UomConversion!$I$8:$I$500,1,UomConversion!$J$8:$J$500,1)),"",Slookup(MID(AN61,1,3)*1,UomConversion!$D$8:$J$500,2,UomConversion!$I$8:$I$500,1,UomConversion!$J$8:$J$500,1)))</f>
        <v/>
      </c>
      <c r="AV61" s="197" t="str">
        <f t="shared" ref="AV61" si="237">IF(M61="","",IF(quot_location_id=1,BA61,IF(quot_location_id=2,BB61,0)))</f>
        <v/>
      </c>
      <c r="AW61" s="197" t="str">
        <f>IF(M61="","",(SUMIFS('[1]1_group_totals'!$K$8:$K$10000,'[1]1_group_totals'!$C$8:$C$10000,I61,'[1]1_group_totals'!$F$8:$F$10000,quot_location_group_id,'[1]1_group_totals'!$G$8:$G$10000,quot_location_id,'[1]1_group_totals'!$H$8:$H$10000,"="&amp;Q61,'[1]1_group_totals'!$I$8:$I$10000,"="&amp;R61)+SUMIFS('[1]1_group_totals'!$N$8:$N$10000,'[1]1_group_totals'!$C$8:$C$10000,I61,'[1]1_group_totals'!$F$8:$F$10000,quot_location_group_id,'[1]1_group_totals'!$G$8:$G$10000,quot_location_id,'[1]1_group_totals'!$H$8:$H$10000,"="&amp;Q61,'[1]1_group_totals'!$I$8:$I$10000,"="&amp;R61)+SUMIFS('[1]1_group_totals'!$P$8:$P$10000,'[1]1_group_totals'!$C$8:$C$10000,I61,'[1]1_group_totals'!$F$8:$F$10000,quot_location_group_id,'[1]1_group_totals'!$G$8:$G$10000,quot_location_id,'[1]1_group_totals'!$H$8:$H$10000,"="&amp;Q61,'[1]1_group_totals'!$I$8:$I$10000,"="&amp;R61)+SUMIFS('[1]1_group_totals'!$Q$8:$Q$10000,'[1]1_group_totals'!$C$8:$C$10000,I61,'[1]1_group_totals'!$F$8:$F$10000,quot_location_group_id,'[1]1_group_totals'!$G$8:$G$10000,quot_location_id,'[1]1_group_totals'!$H$8:$H$10000,"="&amp;Q61,'[1]1_group_totals'!$I$8:$I$10000,"="&amp;R61))+(SUMIFS('[1]1_group_totals'!$L$8:$L$10000,'[1]1_group_totals'!$C$8:$C$10000,I61,'[1]1_group_totals'!$F$8:$F$10000,quot_location_group_id,'[1]1_group_totals'!$G$8:$G$10000,quot_location_id,'[1]1_group_totals'!$H$8:$H$10000,"="&amp;Q61,'[1]1_group_totals'!$I$8:$I$10000,"="&amp;R61)+SUMIFS('[1]1_group_totals'!$M$8:$M$10000,'[1]1_group_totals'!$C$8:$C$10000,I61,'[1]1_group_totals'!$F$8:$F$10000,quot_location_group_id,'[1]1_group_totals'!$G$8:$G$10000,quot_location_id,'[1]1_group_totals'!$H$8:$H$10000,"="&amp;Q61,'[1]1_group_totals'!$I$8:$I$10000,"="&amp;R61)+SUMIFS('[1]1_group_totals'!$O$8:$O$10000,'[1]1_group_totals'!$C$8:$C$10000,I61,'[1]1_group_totals'!$F$8:$F$10000,quot_location_group_id,'[1]1_group_totals'!$G$8:$G$10000,quot_location_id,'[1]1_group_totals'!$H$8:$H$10000,"="&amp;Q61,'[1]1_group_totals'!$I$8:$I$10000,"="&amp;R61)+SUMIFS('[1]1_group_totals'!$R$8:$R$10000,'[1]1_group_totals'!$C$8:$C$10000,I61,'[1]1_group_totals'!$F$8:$F$10000,quot_location_group_id,'[1]1_group_totals'!$G$8:$G$10000,quot_location_id,'[1]1_group_totals'!$H$8:$H$10000,"="&amp;Q61,'[1]1_group_totals'!$I$8:$I$10000,"="&amp;R61)))</f>
        <v/>
      </c>
      <c r="AX61" s="197" t="str">
        <f t="shared" si="23"/>
        <v/>
      </c>
      <c r="AY61" s="197" t="str">
        <f>IF(M61="","",SUMIFS($AX$8:AX61,$I$8:I61,I61))</f>
        <v/>
      </c>
      <c r="AZ61" s="197" t="str">
        <f t="shared" si="24"/>
        <v/>
      </c>
      <c r="BA61" s="197" t="str">
        <f>IF(M61="","",(SUMIFS('[1]1_inventory_totals'!$I$8:$I$10000,'[1]1_inventory_totals'!$C$8:$C$10000,I61,'[1]1_inventory_totals'!$F$8:$F$10000,"="&amp;Q61,'[1]1_inventory_totals'!$G$8:$G$10000,"="&amp;R61)+SUMIFS('[1]1_inventory_totals'!$N$8:$N$10000,'[1]1_inventory_totals'!$C$8:$C$10000,I61,'[1]1_inventory_totals'!$F$8:$F$10000,"="&amp;Q61,'[1]1_inventory_totals'!$G$8:$G$10000,"="&amp;R61)+SUMIFS('[1]1_inventory_totals'!$P$8:$P$10000,'[1]1_inventory_totals'!$C$8:$C$10000,I61,'[1]1_inventory_totals'!$F$8:$F$10000,"="&amp;Q61,'[1]1_inventory_totals'!$G$8:$G$10000,"="&amp;R61)+SUMIFS('[1]1_inventory_totals'!$Q$8:$Q$10000,'[1]1_inventory_totals'!$C$8:$C$10000,I61,'[1]1_inventory_totals'!$F$8:$F$10000,"="&amp;Q61,'[1]1_inventory_totals'!$G$8:$G$10000,"="&amp;R61)+SUMIFS('[1]1_inventory_totals'!$R$8:$R$10000,'[1]1_inventory_totals'!$C$8:$C$10000,I61,'[1]1_inventory_totals'!$F$8:$F$10000,"="&amp;Q61,'[1]1_inventory_totals'!$G$8:$G$10000,"="&amp;R61))+(SUMIFS('[1]1_inventory_totals'!$J$8:$J$10000,'[1]1_inventory_totals'!$C$8:$C$10000,I61,'[1]1_inventory_totals'!$F$8:$F$10000,"="&amp;Q61,'[1]1_inventory_totals'!$G$8:$G$10000,"="&amp;R61)+SUMIFS('[1]1_inventory_totals'!$K$8:$K$10000,'[1]1_inventory_totals'!$C$8:$C$10000,I61,'[1]1_inventory_totals'!$F$8:$F$10000,"="&amp;Q61,'[1]1_inventory_totals'!$G$8:$G$10000,"="&amp;R61)+SUMIFS('[1]1_inventory_totals'!$L$8:$L$10000,'[1]1_inventory_totals'!$C$8:$C$10000,I61,'[1]1_inventory_totals'!$F$8:$F$10000,"="&amp;Q61,'[1]1_inventory_totals'!$G$8:$G$10000,"="&amp;R61)+SUMIFS('[1]1_inventory_totals'!$M$8:$M$10000,'[1]1_inventory_totals'!$C$8:$C$10000,I61,'[1]1_inventory_totals'!$F$8:$F$10000,"="&amp;Q61,'[1]1_inventory_totals'!$G$8:$G$10000,"="&amp;R61)+SUMIFS('[1]1_inventory_totals'!$O$8:$O$10000,'[1]1_inventory_totals'!$C$8:$C$10000,I61,'[1]1_inventory_totals'!$F$8:$F$10000,"="&amp;Q61,'[1]1_inventory_totals'!$G$8:$G$10000,"="&amp;R61)+SUMIFS('[1]1_inventory_totals'!$S$8:$S$10000,'[1]1_inventory_totals'!$C$8:$C$10000,I61,'[1]1_inventory_totals'!$F$8:$F$10000,"="&amp;Q61,'[1]1_inventory_totals'!$G$8:$G$10000,"="&amp;R61)))</f>
        <v/>
      </c>
      <c r="BB61" s="197" t="str">
        <f>IF(M61="","",(SUMIFS('[1]2_inventory_totals'!$I$8:$I$10000,'[1]2_inventory_totals'!$C$8:$C$10000,I61,'[1]2_inventory_totals'!$F$8:$F$10000,"="&amp;Q61,'[1]2_inventory_totals'!$G$8:$G$10000,"="&amp;R61)+SUMIFS('[1]2_inventory_totals'!$N$8:$N$10000,'[1]2_inventory_totals'!$C$8:$C$10000,I61,'[1]2_inventory_totals'!$F$8:$F$10000,"="&amp;Q61,'[1]2_inventory_totals'!$G$8:$G$10000,"="&amp;R61)+SUMIFS('[1]2_inventory_totals'!$P$8:$P$10000,'[1]2_inventory_totals'!$C$8:$C$10000,I61,'[1]2_inventory_totals'!$F$8:$F$10000,"="&amp;Q61,'[1]2_inventory_totals'!$G$8:$G$10000,"="&amp;R61)+SUMIFS('[1]2_inventory_totals'!$Q$8:$Q$10000,'[1]2_inventory_totals'!$C$8:$C$10000,I61,'[1]2_inventory_totals'!$F$8:$F$10000,"="&amp;Q61,'[1]2_inventory_totals'!$G$8:$G$10000,"="&amp;R61)+SUMIFS('[1]2_inventory_totals'!$R$8:$R$10000,'[1]2_inventory_totals'!$C$8:$C$10000,I61,'[1]2_inventory_totals'!$F$8:$F$10000,"="&amp;Q61,'[1]2_inventory_totals'!$G$8:$G$10000,"="&amp;R61))+(SUMIFS('[1]2_inventory_totals'!$J$8:$J$10000,'[1]2_inventory_totals'!$C$8:$C$10000,I61,'[1]2_inventory_totals'!$F$8:$F$10000,"="&amp;Q61,'[1]2_inventory_totals'!$G$8:$G$10000,"="&amp;R61)+SUMIFS('[1]2_inventory_totals'!$K$8:$K$10000,'[1]2_inventory_totals'!$C$8:$C$10000,I61,'[1]2_inventory_totals'!$F$8:$F$10000,"="&amp;Q61,'[1]2_inventory_totals'!$G$8:$G$10000,"="&amp;R61)+SUMIFS('[1]2_inventory_totals'!$L$8:$L$10000,'[1]2_inventory_totals'!$C$8:$C$10000,I61,'[1]2_inventory_totals'!$F$8:$F$10000,"="&amp;Q61,'[1]2_inventory_totals'!$G$8:$G$10000,"="&amp;R61)+SUMIFS('[1]2_inventory_totals'!$M$8:$M$10000,'[1]2_inventory_totals'!$C$8:$C$10000,I61,'[1]2_inventory_totals'!$F$8:$F$10000,"="&amp;Q61,'[1]2_inventory_totals'!$G$8:$G$10000,"="&amp;R61)+SUMIFS('[1]2_inventory_totals'!$O$8:$O$10000,'[1]2_inventory_totals'!$C$8:$C$10000,I61,'[1]2_inventory_totals'!$F$8:$F$10000,"="&amp;Q61,'[1]2_inventory_totals'!$G$8:$G$10000,"="&amp;R61)+SUMIFS('[1]2_inventory_totals'!$S$8:$S$10000,'[1]2_inventory_totals'!$C$8:$C$10000,I61,'[1]2_inventory_totals'!$F$8:$F$10000,"="&amp;Q61,'[1]2_inventory_totals'!$G$8:$G$10000,"="&amp;R61)))</f>
        <v/>
      </c>
    </row>
    <row r="62" spans="1:54" ht="27" hidden="1" customHeight="1">
      <c r="A62" s="923"/>
      <c r="B62" s="1256"/>
      <c r="C62" s="950"/>
      <c r="D62" s="950"/>
      <c r="E62" s="950"/>
      <c r="F62" s="1257"/>
      <c r="G62" s="941"/>
      <c r="H62" s="951"/>
      <c r="I62" s="1610" t="str">
        <f t="shared" si="10"/>
        <v/>
      </c>
      <c r="J62" s="1611" t="str">
        <f t="shared" si="112"/>
        <v/>
      </c>
      <c r="K62" s="1612" t="str">
        <f t="shared" si="30"/>
        <v/>
      </c>
      <c r="L62" s="1613"/>
      <c r="M62" s="883"/>
      <c r="N62" s="884"/>
      <c r="O62" s="884"/>
      <c r="P62" s="885"/>
      <c r="Q62" s="886"/>
      <c r="R62" s="891"/>
      <c r="S62" s="1614" t="str">
        <f t="shared" ref="S62" si="238">IF(M62="","",quot_currency_symbol)</f>
        <v/>
      </c>
      <c r="T62" s="888"/>
      <c r="U62" s="1650" t="str">
        <f t="shared" si="13"/>
        <v/>
      </c>
      <c r="V62" s="1615" t="str">
        <f t="shared" ref="V62" si="239">IF(W62=0,"",quot_currency_symbol)</f>
        <v/>
      </c>
      <c r="W62" s="889"/>
      <c r="X62" s="1615" t="str">
        <f t="shared" ref="X62" si="240">IF(M62="","",quot_currency_symbol)</f>
        <v/>
      </c>
      <c r="Y62" s="1616" t="str">
        <f t="shared" si="34"/>
        <v/>
      </c>
      <c r="Z62" s="890"/>
      <c r="AA62" s="197" t="str" cm="1">
        <f t="array" ref="AA62">IF(M62="","",IF(P62=AN62,1,Slookup(MID(AN62,1,3)*1,UomConversion!$D$8:$J$500,5,UomConversion!$E$8:$E$500,MID(P62,1,3)*1,UomConversion!$J$8:$J$500,1)))</f>
        <v/>
      </c>
      <c r="AB62" s="197" t="str">
        <f t="shared" si="3"/>
        <v/>
      </c>
      <c r="AC62" s="197" t="str">
        <f t="shared" si="17"/>
        <v/>
      </c>
      <c r="AD62" s="197" t="str">
        <f t="shared" si="18"/>
        <v/>
      </c>
      <c r="AE62" s="197" t="str">
        <f t="shared" si="19"/>
        <v/>
      </c>
      <c r="AF62" s="197" t="str">
        <f t="shared" si="152"/>
        <v/>
      </c>
      <c r="AG62" s="197" t="str">
        <f t="shared" si="6"/>
        <v/>
      </c>
      <c r="AH62" s="197" t="str">
        <f>IF(I62="","",IF(ISNA(MATCH(I62,IF(quot_location_id=1,'[1]1_inventory_totals'!$C$8:$C$10000,IF(quot_location_id=2,'[1]2_inventory_totals'!$C$8:$C$10000,0)),0)),0,IF(AV62&gt;0,1,0)))</f>
        <v/>
      </c>
      <c r="AI62" s="197" t="str">
        <f>IF(M62="","",IF(quot_location_id=1,SUMIFS('[1]1_inventory_total_details'!$J$8:$J$10000,'[1]1_inventory_total_details'!$C$8:$C$10000,I62,'[1]1_inventory_total_details'!$F$8:$F$10000,quot_location_id,'[1]1_inventory_total_details'!$G$8:$G$10000,"="&amp;Q62,'[1]1_inventory_total_details'!$H$8:$H$10000,"="&amp;R62,'[1]1_inventory_total_details'!$I$8:$I$10000,"="&amp;quot_date)+SUMIFS('[1]1_inventory_total_details'!$M$8:$M$10000,'[1]1_inventory_total_details'!$C$8:$C$10000,I62,'[1]1_inventory_total_details'!$F$8:$F$10000,quot_location_id,'[1]1_inventory_total_details'!$G$8:$G$10000,"="&amp;Q62,'[1]1_inventory_total_details'!$H$8:$H$10000,"="&amp;R62,'[1]1_inventory_total_details'!$I$8:$I$10000,"="&amp;quot_date)+SUMIFS('[1]1_inventory_total_details'!$K$8:$K$10000,'[1]1_inventory_total_details'!$C$8:$C$10000,I62,'[1]1_inventory_total_details'!$F$8:$F$10000,quot_location_id,'[1]1_inventory_total_details'!$G$8:$G$10000,"="&amp;Q62,'[1]1_inventory_total_details'!$H$8:$H$10000,"="&amp;R62,'[1]1_inventory_total_details'!$I$8:$I$10000,"="&amp;quot_date)+SUMIFS('[1]1_inventory_total_details'!$L$8:$L$10000,'[1]1_inventory_total_details'!$C$8:$C$10000,I62,'[1]1_inventory_total_details'!$F$8:$F$10000,quot_location_id,'[1]1_inventory_total_details'!$G$8:$G$10000,"="&amp;Q62,'[1]1_inventory_total_details'!$H$8:$H$10000,"="&amp;R62,'[1]1_inventory_total_details'!$I$8:$I$10000,"="&amp;quot_date),SUMIFS('[1]2_inventory_total_details'!$J$8:$J$10000,'[1]2_inventory_total_details'!$C$8:$C$10000,I62,'[1]2_inventory_total_details'!$F$8:$F$10000,quot_location_id,'[1]2_inventory_total_details'!$G$8:$G$10000,"="&amp;Q62,'[1]2_inventory_total_details'!$H$8:$H$10000,"="&amp;R62,'[1]2_inventory_total_details'!$I$8:$I$10000,"="&amp;quot_date)+SUMIFS('[1]2_inventory_total_details'!$M$8:$M$10000,'[1]2_inventory_total_details'!$C$8:$C$10000,I62,'[1]2_inventory_total_details'!$F$8:$F$10000,quot_location_id,'[1]2_inventory_total_details'!$G$8:$G$10000,"="&amp;Q62,'[1]2_inventory_total_details'!$H$8:$H$10000,"="&amp;R62,'[1]2_inventory_total_details'!$I$8:$I$10000,"="&amp;quot_date)+SUMIFS('[1]2_inventory_total_details'!$K$8:$K$10000,'[1]2_inventory_total_details'!$C$8:$C$10000,I62,'[1]2_inventory_total_details'!$F$8:$F$10000,quot_location_id,'[1]2_inventory_total_details'!$G$8:$G$10000,"="&amp;Q62,'[1]2_inventory_total_details'!$H$8:$H$10000,"="&amp;R62,'[1]2_inventory_total_details'!$I$8:$I$10000,"="&amp;quot_date)+SUMIFS('[1]2_inventory_total_details'!$L$8:$L$10000,'[1]2_inventory_total_details'!$C$8:$C$10000,I62,'[1]2_inventory_total_details'!$F$8:$F$10000,quot_location_id,'[1]2_inventory_total_details'!$G$8:$G$10000,"="&amp;Q62,'[1]2_inventory_total_details'!$H$8:$H$10000,"="&amp;R62,'[1]2_inventory_total_details'!$I$8:$I$10000,"="&amp;quot_date)))</f>
        <v/>
      </c>
      <c r="AJ62" s="197" t="str">
        <f>IF(M62="","",IF(ISNA(MATCH(I62,'[1]1_group_totals'!$C$8:$C$10000)),0,IF(AW62&gt;0,1,0)))</f>
        <v/>
      </c>
      <c r="AK62" s="197" t="str">
        <f>IF(M62="","",(SUMIFS('[1]1_group_total_details'!$I$8:$I$10000,'[1]1_group_total_details'!$C$8:$C$10000,I62,'[1]1_group_total_details'!$F$8:$F$10000,quot_location_group_id,'[1]1_group_total_details'!$G$8:$G$10000,quot_location_id,'[1]1_group_total_details'!$H$8:$H$10000,"="&amp;quot_date)+SUMIFS('[1]1_group_total_details'!$L$8:$L$10000,'[1]1_group_total_details'!$C$8:$C$10000,I62,'[1]1_group_total_details'!$F$8:$F$10000,quot_location_group_id,'[1]1_group_total_details'!$G$8:$G$10000,quot_location_id,'[1]1_group_total_details'!$H$8:$H$10000,"="&amp;quot_date)+SUMIFS('[1]1_group_total_details'!$N$8:$N$10000,'[1]1_group_total_details'!$C$8:$C$10000,I62,'[1]1_group_total_details'!$F$8:$F$10000,quot_location_group_id,'[1]1_group_total_details'!$G$8:$G$10000,quot_location_id,'[1]1_group_total_details'!$H$8:$H$10000,"="&amp;quot_date)+SUMIFS('[1]1_group_total_details'!$O$8:$O$10000,'[1]1_group_total_details'!$C$8:$C$10000,I62,'[1]1_group_total_details'!$F$8:$F$10000,quot_location_group_id,'[1]1_group_total_details'!$G$8:$G$10000,quot_location_id,'[1]1_group_total_details'!$H$8:$H$10000,"="&amp;quot_date))+(SUMIFS('[1]1_group_total_details'!$J$8:$J$10000,'[1]1_group_total_details'!$C$8:$C$10000,I62,'[1]1_group_total_details'!$F$8:$F$10000,quot_location_group_id,'[1]1_group_total_details'!$G$8:$G$10000,quot_location_id,'[1]1_group_total_details'!$H$8:$H$10000,"="&amp;quot_date)+SUMIFS('[1]1_group_total_details'!$K$8:$K$10000,'[1]1_group_total_details'!$C$8:$C$10000,I62,'[1]1_group_total_details'!$F$8:$F$10000,quot_location_group_id,'[1]1_group_total_details'!$G$8:$G$10000,quot_location_id,'[1]1_group_total_details'!$H$8:$H$10000,"="&amp;quot_date)+SUMIFS('[1]1_group_total_details'!$M$8:$M$10000,'[1]1_group_total_details'!$C$8:$C$10000,I62,'[1]1_group_total_details'!$F$8:$F$10000,quot_location_group_id,'[1]1_group_total_details'!$G$8:$G$10000,quot_location_id,'[1]1_group_total_details'!$H$8:$H$10000,"="&amp;quot_date)+SUMIFS('[1]1_group_total_details'!$P$8:$P$10000,'[1]1_group_total_details'!$C$8:$C$10000,I62,'[1]1_group_total_details'!$F$8:$F$10000,quot_location_group_id,'[1]1_group_total_details'!$G$8:$G$10000,quot_location_id,'[1]1_group_total_details'!$H$8:$H$10000,"="&amp;quot_date)))</f>
        <v/>
      </c>
      <c r="AL62" s="197" t="str">
        <f>IF(M62="","",(SUMIFS('[1]1_group_total_details'!$I$8:$I$10000,'[1]1_group_total_details'!$C$8:$C$10000,I62,'[1]1_group_total_details'!$F$8:$F$10000,quot_location_group_id,'[1]1_group_total_details'!$G$8:$G$10000,quot_location_id,'[1]1_group_total_details'!$H$8:$H$10000,"&lt;="&amp;quot_date)+SUMIFS('[1]1_group_total_details'!$L$8:$L$10000,'[1]1_group_total_details'!$C$8:$C$10000,I62,'[1]1_group_total_details'!$F$8:$F$10000,quot_location_group_id,'[1]1_group_total_details'!$G$8:$G$10000,1,'[1]1_group_total_details'!$H$8:$H$10000,"&lt;="&amp;quot_date)+SUMIFS('[1]1_group_total_details'!$N$8:$N$10000,'[1]1_group_total_details'!$C$8:$C$10000,I62,'[1]1_group_total_details'!$F$8:$F$10000,quot_location_group_id,'[1]1_group_total_details'!$G$8:$G$10000,quot_location_id,'[1]1_group_total_details'!$H$8:$H$10000,"&lt;="&amp;quot_date)+SUMIFS('[1]1_group_total_details'!$O$8:$O$10000,'[1]1_group_total_details'!$C$8:$C$10000,I62,'[1]1_group_total_details'!$F$8:$F$10000,quot_location_group_id,'[1]1_group_total_details'!$G$8:$G$10000,quot_location_id,'[1]1_group_total_details'!$H$8:$H$10000,"&lt;="&amp;quot_date))-(SUMIFS('[1]1_group_total_details'!$J$8:$J$10000,'[1]1_group_total_details'!$C$8:$C$10000,I62,'[1]1_group_total_details'!$F$8:$F$10000,quot_location_group_id,'[1]1_group_total_details'!$G$8:$G$10000,quot_location_id,'[1]1_group_total_details'!$H$8:$H$10000,"&lt;="&amp;quot_date)+SUMIFS('[1]1_group_total_details'!$K$8:$K$10000,'[1]1_group_total_details'!$C$8:$C$10000,I62,'[1]1_group_total_details'!$F$8:$F$10000,quot_location_group_id,'[1]1_group_total_details'!$G$8:$G$10000,quot_location_id,'[1]1_group_total_details'!$H$8:$H$10000,"&lt;="&amp;quot_date)+SUMIFS('[1]1_group_total_details'!$M$8:$M$10000,'[1]1_group_total_details'!$C$8:$C$10000,I62,'[1]1_group_total_details'!$F$8:$F$10000,quot_location_group_id,'[1]1_group_total_details'!$G$8:$G$10000,quot_location_id,'[1]1_group_total_details'!$H$8:$H$10000,"&lt;="&amp;quot_date)+SUMIFS('[1]1_group_total_details'!$P$8:$P$10000,'[1]1_group_total_details'!$C$8:$C$10000,I62,'[1]1_group_total_details'!$F$8:$F$10000,quot_location_group_id,'[1]1_group_total_details'!$G$8:$G$10000,quot_location_id,'[1]1_group_total_details'!$H$8:$H$10000,"&lt;="&amp;quot_date)))</f>
        <v/>
      </c>
      <c r="AM62" s="197" t="str">
        <f>IF(M62="","",SUMIFS('[1]1_group_totals'!$J$8:$J$10000,'[1]1_group_totals'!$C$8:$C$10000,I62,'[1]1_group_totals'!$F$8:$F$10000,quot_location_group_id,'[1]1_group_totals'!$G$8:$G$10000,quot_location_id,'[1]1_group_totals'!$H$8:$H$10000,"="&amp;Q62,'[1]1_group_totals'!$I$8:$I$10000,"="&amp;R62))</f>
        <v/>
      </c>
      <c r="AN62" s="197" t="str">
        <f t="shared" si="7"/>
        <v/>
      </c>
      <c r="AO62" s="197" t="str">
        <f>IF(OR(ISNA(MATCH(MID(AN62,1,3)*1,UomConversion!$D$8:$D$500,0)),M62=""),"",IF(AT62="","",AT62))</f>
        <v/>
      </c>
      <c r="AP62" s="197" t="str">
        <f>IF(AND(AQ62&gt;0,COUNTIFS(UomConversion!$D$8:$D$500,MID(AN62,1,3)*1,UomConversion!$J$8:$J$500,1)&gt;1),TEXT(AQ62,"000")&amp;"."&amp;VLOOKUP(AQ62,uom_list,5,FALSE),"")</f>
        <v/>
      </c>
      <c r="AQ62" s="197" t="str">
        <f t="shared" si="20"/>
        <v/>
      </c>
      <c r="AR62" s="197" t="str">
        <f t="shared" si="21"/>
        <v/>
      </c>
      <c r="AS62" s="197" t="str">
        <f>IF(M62="","",SUMIFS(ProductPrice!$N$28:$N$10020,ProductPrice!$D$28:$D$10020,I62,ProductPrice!$G$28:$G$10020,quot_branch_id,ProductPrice!$H$28:$H$10020,quot_price_type_id,ProductPrice!$I$28:$I$10020,MID(P62,1,3)*1,ProductPrice!$Q$28:$Q$10020,1))</f>
        <v/>
      </c>
      <c r="AT62" s="197" t="str">
        <f t="shared" si="8"/>
        <v/>
      </c>
      <c r="AU62" s="197" t="str" cm="1">
        <f t="array" ref="AU62">IF(M62="","",IF(ISNA(Slookup(MID(AN62,1,3)*1,UomConversion!$D$8:$J$500,2,UomConversion!$I$8:$I$500,1,UomConversion!$J$8:$J$500,1)),"",Slookup(MID(AN62,1,3)*1,UomConversion!$D$8:$J$500,2,UomConversion!$I$8:$I$500,1,UomConversion!$J$8:$J$500,1)))</f>
        <v/>
      </c>
      <c r="AV62" s="197" t="str">
        <f t="shared" ref="AV62" si="241">IF(M62="","",IF(quot_location_id=1,BA62,IF(quot_location_id=2,BB62,0)))</f>
        <v/>
      </c>
      <c r="AW62" s="197" t="str">
        <f>IF(M62="","",(SUMIFS('[1]1_group_totals'!$K$8:$K$10000,'[1]1_group_totals'!$C$8:$C$10000,I62,'[1]1_group_totals'!$F$8:$F$10000,quot_location_group_id,'[1]1_group_totals'!$G$8:$G$10000,quot_location_id,'[1]1_group_totals'!$H$8:$H$10000,"="&amp;Q62,'[1]1_group_totals'!$I$8:$I$10000,"="&amp;R62)+SUMIFS('[1]1_group_totals'!$N$8:$N$10000,'[1]1_group_totals'!$C$8:$C$10000,I62,'[1]1_group_totals'!$F$8:$F$10000,quot_location_group_id,'[1]1_group_totals'!$G$8:$G$10000,quot_location_id,'[1]1_group_totals'!$H$8:$H$10000,"="&amp;Q62,'[1]1_group_totals'!$I$8:$I$10000,"="&amp;R62)+SUMIFS('[1]1_group_totals'!$P$8:$P$10000,'[1]1_group_totals'!$C$8:$C$10000,I62,'[1]1_group_totals'!$F$8:$F$10000,quot_location_group_id,'[1]1_group_totals'!$G$8:$G$10000,quot_location_id,'[1]1_group_totals'!$H$8:$H$10000,"="&amp;Q62,'[1]1_group_totals'!$I$8:$I$10000,"="&amp;R62)+SUMIFS('[1]1_group_totals'!$Q$8:$Q$10000,'[1]1_group_totals'!$C$8:$C$10000,I62,'[1]1_group_totals'!$F$8:$F$10000,quot_location_group_id,'[1]1_group_totals'!$G$8:$G$10000,quot_location_id,'[1]1_group_totals'!$H$8:$H$10000,"="&amp;Q62,'[1]1_group_totals'!$I$8:$I$10000,"="&amp;R62))+(SUMIFS('[1]1_group_totals'!$L$8:$L$10000,'[1]1_group_totals'!$C$8:$C$10000,I62,'[1]1_group_totals'!$F$8:$F$10000,quot_location_group_id,'[1]1_group_totals'!$G$8:$G$10000,quot_location_id,'[1]1_group_totals'!$H$8:$H$10000,"="&amp;Q62,'[1]1_group_totals'!$I$8:$I$10000,"="&amp;R62)+SUMIFS('[1]1_group_totals'!$M$8:$M$10000,'[1]1_group_totals'!$C$8:$C$10000,I62,'[1]1_group_totals'!$F$8:$F$10000,quot_location_group_id,'[1]1_group_totals'!$G$8:$G$10000,quot_location_id,'[1]1_group_totals'!$H$8:$H$10000,"="&amp;Q62,'[1]1_group_totals'!$I$8:$I$10000,"="&amp;R62)+SUMIFS('[1]1_group_totals'!$O$8:$O$10000,'[1]1_group_totals'!$C$8:$C$10000,I62,'[1]1_group_totals'!$F$8:$F$10000,quot_location_group_id,'[1]1_group_totals'!$G$8:$G$10000,quot_location_id,'[1]1_group_totals'!$H$8:$H$10000,"="&amp;Q62,'[1]1_group_totals'!$I$8:$I$10000,"="&amp;R62)+SUMIFS('[1]1_group_totals'!$R$8:$R$10000,'[1]1_group_totals'!$C$8:$C$10000,I62,'[1]1_group_totals'!$F$8:$F$10000,quot_location_group_id,'[1]1_group_totals'!$G$8:$G$10000,quot_location_id,'[1]1_group_totals'!$H$8:$H$10000,"="&amp;Q62,'[1]1_group_totals'!$I$8:$I$10000,"="&amp;R62)))</f>
        <v/>
      </c>
      <c r="AX62" s="197" t="str">
        <f t="shared" si="23"/>
        <v/>
      </c>
      <c r="AY62" s="197" t="str">
        <f>IF(M62="","",SUMIFS($AX$8:AX62,$I$8:I62,I62))</f>
        <v/>
      </c>
      <c r="AZ62" s="197" t="str">
        <f t="shared" si="24"/>
        <v/>
      </c>
      <c r="BA62" s="197" t="str">
        <f>IF(M62="","",(SUMIFS('[1]1_inventory_totals'!$I$8:$I$10000,'[1]1_inventory_totals'!$C$8:$C$10000,I62,'[1]1_inventory_totals'!$F$8:$F$10000,"="&amp;Q62,'[1]1_inventory_totals'!$G$8:$G$10000,"="&amp;R62)+SUMIFS('[1]1_inventory_totals'!$N$8:$N$10000,'[1]1_inventory_totals'!$C$8:$C$10000,I62,'[1]1_inventory_totals'!$F$8:$F$10000,"="&amp;Q62,'[1]1_inventory_totals'!$G$8:$G$10000,"="&amp;R62)+SUMIFS('[1]1_inventory_totals'!$P$8:$P$10000,'[1]1_inventory_totals'!$C$8:$C$10000,I62,'[1]1_inventory_totals'!$F$8:$F$10000,"="&amp;Q62,'[1]1_inventory_totals'!$G$8:$G$10000,"="&amp;R62)+SUMIFS('[1]1_inventory_totals'!$Q$8:$Q$10000,'[1]1_inventory_totals'!$C$8:$C$10000,I62,'[1]1_inventory_totals'!$F$8:$F$10000,"="&amp;Q62,'[1]1_inventory_totals'!$G$8:$G$10000,"="&amp;R62)+SUMIFS('[1]1_inventory_totals'!$R$8:$R$10000,'[1]1_inventory_totals'!$C$8:$C$10000,I62,'[1]1_inventory_totals'!$F$8:$F$10000,"="&amp;Q62,'[1]1_inventory_totals'!$G$8:$G$10000,"="&amp;R62))+(SUMIFS('[1]1_inventory_totals'!$J$8:$J$10000,'[1]1_inventory_totals'!$C$8:$C$10000,I62,'[1]1_inventory_totals'!$F$8:$F$10000,"="&amp;Q62,'[1]1_inventory_totals'!$G$8:$G$10000,"="&amp;R62)+SUMIFS('[1]1_inventory_totals'!$K$8:$K$10000,'[1]1_inventory_totals'!$C$8:$C$10000,I62,'[1]1_inventory_totals'!$F$8:$F$10000,"="&amp;Q62,'[1]1_inventory_totals'!$G$8:$G$10000,"="&amp;R62)+SUMIFS('[1]1_inventory_totals'!$L$8:$L$10000,'[1]1_inventory_totals'!$C$8:$C$10000,I62,'[1]1_inventory_totals'!$F$8:$F$10000,"="&amp;Q62,'[1]1_inventory_totals'!$G$8:$G$10000,"="&amp;R62)+SUMIFS('[1]1_inventory_totals'!$M$8:$M$10000,'[1]1_inventory_totals'!$C$8:$C$10000,I62,'[1]1_inventory_totals'!$F$8:$F$10000,"="&amp;Q62,'[1]1_inventory_totals'!$G$8:$G$10000,"="&amp;R62)+SUMIFS('[1]1_inventory_totals'!$O$8:$O$10000,'[1]1_inventory_totals'!$C$8:$C$10000,I62,'[1]1_inventory_totals'!$F$8:$F$10000,"="&amp;Q62,'[1]1_inventory_totals'!$G$8:$G$10000,"="&amp;R62)+SUMIFS('[1]1_inventory_totals'!$S$8:$S$10000,'[1]1_inventory_totals'!$C$8:$C$10000,I62,'[1]1_inventory_totals'!$F$8:$F$10000,"="&amp;Q62,'[1]1_inventory_totals'!$G$8:$G$10000,"="&amp;R62)))</f>
        <v/>
      </c>
      <c r="BB62" s="197" t="str">
        <f>IF(M62="","",(SUMIFS('[1]2_inventory_totals'!$I$8:$I$10000,'[1]2_inventory_totals'!$C$8:$C$10000,I62,'[1]2_inventory_totals'!$F$8:$F$10000,"="&amp;Q62,'[1]2_inventory_totals'!$G$8:$G$10000,"="&amp;R62)+SUMIFS('[1]2_inventory_totals'!$N$8:$N$10000,'[1]2_inventory_totals'!$C$8:$C$10000,I62,'[1]2_inventory_totals'!$F$8:$F$10000,"="&amp;Q62,'[1]2_inventory_totals'!$G$8:$G$10000,"="&amp;R62)+SUMIFS('[1]2_inventory_totals'!$P$8:$P$10000,'[1]2_inventory_totals'!$C$8:$C$10000,I62,'[1]2_inventory_totals'!$F$8:$F$10000,"="&amp;Q62,'[1]2_inventory_totals'!$G$8:$G$10000,"="&amp;R62)+SUMIFS('[1]2_inventory_totals'!$Q$8:$Q$10000,'[1]2_inventory_totals'!$C$8:$C$10000,I62,'[1]2_inventory_totals'!$F$8:$F$10000,"="&amp;Q62,'[1]2_inventory_totals'!$G$8:$G$10000,"="&amp;R62)+SUMIFS('[1]2_inventory_totals'!$R$8:$R$10000,'[1]2_inventory_totals'!$C$8:$C$10000,I62,'[1]2_inventory_totals'!$F$8:$F$10000,"="&amp;Q62,'[1]2_inventory_totals'!$G$8:$G$10000,"="&amp;R62))+(SUMIFS('[1]2_inventory_totals'!$J$8:$J$10000,'[1]2_inventory_totals'!$C$8:$C$10000,I62,'[1]2_inventory_totals'!$F$8:$F$10000,"="&amp;Q62,'[1]2_inventory_totals'!$G$8:$G$10000,"="&amp;R62)+SUMIFS('[1]2_inventory_totals'!$K$8:$K$10000,'[1]2_inventory_totals'!$C$8:$C$10000,I62,'[1]2_inventory_totals'!$F$8:$F$10000,"="&amp;Q62,'[1]2_inventory_totals'!$G$8:$G$10000,"="&amp;R62)+SUMIFS('[1]2_inventory_totals'!$L$8:$L$10000,'[1]2_inventory_totals'!$C$8:$C$10000,I62,'[1]2_inventory_totals'!$F$8:$F$10000,"="&amp;Q62,'[1]2_inventory_totals'!$G$8:$G$10000,"="&amp;R62)+SUMIFS('[1]2_inventory_totals'!$M$8:$M$10000,'[1]2_inventory_totals'!$C$8:$C$10000,I62,'[1]2_inventory_totals'!$F$8:$F$10000,"="&amp;Q62,'[1]2_inventory_totals'!$G$8:$G$10000,"="&amp;R62)+SUMIFS('[1]2_inventory_totals'!$O$8:$O$10000,'[1]2_inventory_totals'!$C$8:$C$10000,I62,'[1]2_inventory_totals'!$F$8:$F$10000,"="&amp;Q62,'[1]2_inventory_totals'!$G$8:$G$10000,"="&amp;R62)+SUMIFS('[1]2_inventory_totals'!$S$8:$S$10000,'[1]2_inventory_totals'!$C$8:$C$10000,I62,'[1]2_inventory_totals'!$F$8:$F$10000,"="&amp;Q62,'[1]2_inventory_totals'!$G$8:$G$10000,"="&amp;R62)))</f>
        <v/>
      </c>
    </row>
    <row r="63" spans="1:54" ht="27" hidden="1" customHeight="1">
      <c r="A63" s="923"/>
      <c r="B63" s="1256"/>
      <c r="C63" s="950"/>
      <c r="D63" s="950"/>
      <c r="E63" s="950"/>
      <c r="F63" s="1257"/>
      <c r="G63" s="941"/>
      <c r="H63" s="951"/>
      <c r="I63" s="1610" t="str">
        <f t="shared" si="10"/>
        <v/>
      </c>
      <c r="J63" s="1611" t="str">
        <f t="shared" si="112"/>
        <v/>
      </c>
      <c r="K63" s="1612" t="str">
        <f t="shared" si="30"/>
        <v/>
      </c>
      <c r="L63" s="1613"/>
      <c r="M63" s="883"/>
      <c r="N63" s="884"/>
      <c r="O63" s="884"/>
      <c r="P63" s="885"/>
      <c r="Q63" s="886"/>
      <c r="R63" s="891"/>
      <c r="S63" s="1614" t="str">
        <f t="shared" ref="S63" si="242">IF(M63="","",quot_currency_symbol)</f>
        <v/>
      </c>
      <c r="T63" s="888"/>
      <c r="U63" s="1650" t="str">
        <f t="shared" si="13"/>
        <v/>
      </c>
      <c r="V63" s="1615" t="str">
        <f t="shared" ref="V63" si="243">IF(W63=0,"",quot_currency_symbol)</f>
        <v/>
      </c>
      <c r="W63" s="889"/>
      <c r="X63" s="1615" t="str">
        <f t="shared" ref="X63" si="244">IF(M63="","",quot_currency_symbol)</f>
        <v/>
      </c>
      <c r="Y63" s="1616" t="str">
        <f t="shared" si="34"/>
        <v/>
      </c>
      <c r="Z63" s="890"/>
      <c r="AA63" s="197" t="str" cm="1">
        <f t="array" ref="AA63">IF(M63="","",IF(P63=AN63,1,Slookup(MID(AN63,1,3)*1,UomConversion!$D$8:$J$500,5,UomConversion!$E$8:$E$500,MID(P63,1,3)*1,UomConversion!$J$8:$J$500,1)))</f>
        <v/>
      </c>
      <c r="AB63" s="197" t="str">
        <f t="shared" si="3"/>
        <v/>
      </c>
      <c r="AC63" s="197" t="str">
        <f t="shared" si="17"/>
        <v/>
      </c>
      <c r="AD63" s="197" t="str">
        <f t="shared" si="18"/>
        <v/>
      </c>
      <c r="AE63" s="197" t="str">
        <f t="shared" si="19"/>
        <v/>
      </c>
      <c r="AF63" s="197" t="str">
        <f t="shared" si="152"/>
        <v/>
      </c>
      <c r="AG63" s="197" t="str">
        <f t="shared" si="6"/>
        <v/>
      </c>
      <c r="AH63" s="197" t="str">
        <f>IF(I63="","",IF(ISNA(MATCH(I63,IF(quot_location_id=1,'[1]1_inventory_totals'!$C$8:$C$10000,IF(quot_location_id=2,'[1]2_inventory_totals'!$C$8:$C$10000,0)),0)),0,IF(AV63&gt;0,1,0)))</f>
        <v/>
      </c>
      <c r="AI63" s="197" t="str">
        <f>IF(M63="","",IF(quot_location_id=1,SUMIFS('[1]1_inventory_total_details'!$J$8:$J$10000,'[1]1_inventory_total_details'!$C$8:$C$10000,I63,'[1]1_inventory_total_details'!$F$8:$F$10000,quot_location_id,'[1]1_inventory_total_details'!$G$8:$G$10000,"="&amp;Q63,'[1]1_inventory_total_details'!$H$8:$H$10000,"="&amp;R63,'[1]1_inventory_total_details'!$I$8:$I$10000,"="&amp;quot_date)+SUMIFS('[1]1_inventory_total_details'!$M$8:$M$10000,'[1]1_inventory_total_details'!$C$8:$C$10000,I63,'[1]1_inventory_total_details'!$F$8:$F$10000,quot_location_id,'[1]1_inventory_total_details'!$G$8:$G$10000,"="&amp;Q63,'[1]1_inventory_total_details'!$H$8:$H$10000,"="&amp;R63,'[1]1_inventory_total_details'!$I$8:$I$10000,"="&amp;quot_date)+SUMIFS('[1]1_inventory_total_details'!$K$8:$K$10000,'[1]1_inventory_total_details'!$C$8:$C$10000,I63,'[1]1_inventory_total_details'!$F$8:$F$10000,quot_location_id,'[1]1_inventory_total_details'!$G$8:$G$10000,"="&amp;Q63,'[1]1_inventory_total_details'!$H$8:$H$10000,"="&amp;R63,'[1]1_inventory_total_details'!$I$8:$I$10000,"="&amp;quot_date)+SUMIFS('[1]1_inventory_total_details'!$L$8:$L$10000,'[1]1_inventory_total_details'!$C$8:$C$10000,I63,'[1]1_inventory_total_details'!$F$8:$F$10000,quot_location_id,'[1]1_inventory_total_details'!$G$8:$G$10000,"="&amp;Q63,'[1]1_inventory_total_details'!$H$8:$H$10000,"="&amp;R63,'[1]1_inventory_total_details'!$I$8:$I$10000,"="&amp;quot_date),SUMIFS('[1]2_inventory_total_details'!$J$8:$J$10000,'[1]2_inventory_total_details'!$C$8:$C$10000,I63,'[1]2_inventory_total_details'!$F$8:$F$10000,quot_location_id,'[1]2_inventory_total_details'!$G$8:$G$10000,"="&amp;Q63,'[1]2_inventory_total_details'!$H$8:$H$10000,"="&amp;R63,'[1]2_inventory_total_details'!$I$8:$I$10000,"="&amp;quot_date)+SUMIFS('[1]2_inventory_total_details'!$M$8:$M$10000,'[1]2_inventory_total_details'!$C$8:$C$10000,I63,'[1]2_inventory_total_details'!$F$8:$F$10000,quot_location_id,'[1]2_inventory_total_details'!$G$8:$G$10000,"="&amp;Q63,'[1]2_inventory_total_details'!$H$8:$H$10000,"="&amp;R63,'[1]2_inventory_total_details'!$I$8:$I$10000,"="&amp;quot_date)+SUMIFS('[1]2_inventory_total_details'!$K$8:$K$10000,'[1]2_inventory_total_details'!$C$8:$C$10000,I63,'[1]2_inventory_total_details'!$F$8:$F$10000,quot_location_id,'[1]2_inventory_total_details'!$G$8:$G$10000,"="&amp;Q63,'[1]2_inventory_total_details'!$H$8:$H$10000,"="&amp;R63,'[1]2_inventory_total_details'!$I$8:$I$10000,"="&amp;quot_date)+SUMIFS('[1]2_inventory_total_details'!$L$8:$L$10000,'[1]2_inventory_total_details'!$C$8:$C$10000,I63,'[1]2_inventory_total_details'!$F$8:$F$10000,quot_location_id,'[1]2_inventory_total_details'!$G$8:$G$10000,"="&amp;Q63,'[1]2_inventory_total_details'!$H$8:$H$10000,"="&amp;R63,'[1]2_inventory_total_details'!$I$8:$I$10000,"="&amp;quot_date)))</f>
        <v/>
      </c>
      <c r="AJ63" s="197" t="str">
        <f>IF(M63="","",IF(ISNA(MATCH(I63,'[1]1_group_totals'!$C$8:$C$10000)),0,IF(AW63&gt;0,1,0)))</f>
        <v/>
      </c>
      <c r="AK63" s="197" t="str">
        <f>IF(M63="","",(SUMIFS('[1]1_group_total_details'!$I$8:$I$10000,'[1]1_group_total_details'!$C$8:$C$10000,I63,'[1]1_group_total_details'!$F$8:$F$10000,quot_location_group_id,'[1]1_group_total_details'!$G$8:$G$10000,quot_location_id,'[1]1_group_total_details'!$H$8:$H$10000,"="&amp;quot_date)+SUMIFS('[1]1_group_total_details'!$L$8:$L$10000,'[1]1_group_total_details'!$C$8:$C$10000,I63,'[1]1_group_total_details'!$F$8:$F$10000,quot_location_group_id,'[1]1_group_total_details'!$G$8:$G$10000,quot_location_id,'[1]1_group_total_details'!$H$8:$H$10000,"="&amp;quot_date)+SUMIFS('[1]1_group_total_details'!$N$8:$N$10000,'[1]1_group_total_details'!$C$8:$C$10000,I63,'[1]1_group_total_details'!$F$8:$F$10000,quot_location_group_id,'[1]1_group_total_details'!$G$8:$G$10000,quot_location_id,'[1]1_group_total_details'!$H$8:$H$10000,"="&amp;quot_date)+SUMIFS('[1]1_group_total_details'!$O$8:$O$10000,'[1]1_group_total_details'!$C$8:$C$10000,I63,'[1]1_group_total_details'!$F$8:$F$10000,quot_location_group_id,'[1]1_group_total_details'!$G$8:$G$10000,quot_location_id,'[1]1_group_total_details'!$H$8:$H$10000,"="&amp;quot_date))+(SUMIFS('[1]1_group_total_details'!$J$8:$J$10000,'[1]1_group_total_details'!$C$8:$C$10000,I63,'[1]1_group_total_details'!$F$8:$F$10000,quot_location_group_id,'[1]1_group_total_details'!$G$8:$G$10000,quot_location_id,'[1]1_group_total_details'!$H$8:$H$10000,"="&amp;quot_date)+SUMIFS('[1]1_group_total_details'!$K$8:$K$10000,'[1]1_group_total_details'!$C$8:$C$10000,I63,'[1]1_group_total_details'!$F$8:$F$10000,quot_location_group_id,'[1]1_group_total_details'!$G$8:$G$10000,quot_location_id,'[1]1_group_total_details'!$H$8:$H$10000,"="&amp;quot_date)+SUMIFS('[1]1_group_total_details'!$M$8:$M$10000,'[1]1_group_total_details'!$C$8:$C$10000,I63,'[1]1_group_total_details'!$F$8:$F$10000,quot_location_group_id,'[1]1_group_total_details'!$G$8:$G$10000,quot_location_id,'[1]1_group_total_details'!$H$8:$H$10000,"="&amp;quot_date)+SUMIFS('[1]1_group_total_details'!$P$8:$P$10000,'[1]1_group_total_details'!$C$8:$C$10000,I63,'[1]1_group_total_details'!$F$8:$F$10000,quot_location_group_id,'[1]1_group_total_details'!$G$8:$G$10000,quot_location_id,'[1]1_group_total_details'!$H$8:$H$10000,"="&amp;quot_date)))</f>
        <v/>
      </c>
      <c r="AL63" s="197" t="str">
        <f>IF(M63="","",(SUMIFS('[1]1_group_total_details'!$I$8:$I$10000,'[1]1_group_total_details'!$C$8:$C$10000,I63,'[1]1_group_total_details'!$F$8:$F$10000,quot_location_group_id,'[1]1_group_total_details'!$G$8:$G$10000,quot_location_id,'[1]1_group_total_details'!$H$8:$H$10000,"&lt;="&amp;quot_date)+SUMIFS('[1]1_group_total_details'!$L$8:$L$10000,'[1]1_group_total_details'!$C$8:$C$10000,I63,'[1]1_group_total_details'!$F$8:$F$10000,quot_location_group_id,'[1]1_group_total_details'!$G$8:$G$10000,1,'[1]1_group_total_details'!$H$8:$H$10000,"&lt;="&amp;quot_date)+SUMIFS('[1]1_group_total_details'!$N$8:$N$10000,'[1]1_group_total_details'!$C$8:$C$10000,I63,'[1]1_group_total_details'!$F$8:$F$10000,quot_location_group_id,'[1]1_group_total_details'!$G$8:$G$10000,quot_location_id,'[1]1_group_total_details'!$H$8:$H$10000,"&lt;="&amp;quot_date)+SUMIFS('[1]1_group_total_details'!$O$8:$O$10000,'[1]1_group_total_details'!$C$8:$C$10000,I63,'[1]1_group_total_details'!$F$8:$F$10000,quot_location_group_id,'[1]1_group_total_details'!$G$8:$G$10000,quot_location_id,'[1]1_group_total_details'!$H$8:$H$10000,"&lt;="&amp;quot_date))-(SUMIFS('[1]1_group_total_details'!$J$8:$J$10000,'[1]1_group_total_details'!$C$8:$C$10000,I63,'[1]1_group_total_details'!$F$8:$F$10000,quot_location_group_id,'[1]1_group_total_details'!$G$8:$G$10000,quot_location_id,'[1]1_group_total_details'!$H$8:$H$10000,"&lt;="&amp;quot_date)+SUMIFS('[1]1_group_total_details'!$K$8:$K$10000,'[1]1_group_total_details'!$C$8:$C$10000,I63,'[1]1_group_total_details'!$F$8:$F$10000,quot_location_group_id,'[1]1_group_total_details'!$G$8:$G$10000,quot_location_id,'[1]1_group_total_details'!$H$8:$H$10000,"&lt;="&amp;quot_date)+SUMIFS('[1]1_group_total_details'!$M$8:$M$10000,'[1]1_group_total_details'!$C$8:$C$10000,I63,'[1]1_group_total_details'!$F$8:$F$10000,quot_location_group_id,'[1]1_group_total_details'!$G$8:$G$10000,quot_location_id,'[1]1_group_total_details'!$H$8:$H$10000,"&lt;="&amp;quot_date)+SUMIFS('[1]1_group_total_details'!$P$8:$P$10000,'[1]1_group_total_details'!$C$8:$C$10000,I63,'[1]1_group_total_details'!$F$8:$F$10000,quot_location_group_id,'[1]1_group_total_details'!$G$8:$G$10000,quot_location_id,'[1]1_group_total_details'!$H$8:$H$10000,"&lt;="&amp;quot_date)))</f>
        <v/>
      </c>
      <c r="AM63" s="197" t="str">
        <f>IF(M63="","",SUMIFS('[1]1_group_totals'!$J$8:$J$10000,'[1]1_group_totals'!$C$8:$C$10000,I63,'[1]1_group_totals'!$F$8:$F$10000,quot_location_group_id,'[1]1_group_totals'!$G$8:$G$10000,quot_location_id,'[1]1_group_totals'!$H$8:$H$10000,"="&amp;Q63,'[1]1_group_totals'!$I$8:$I$10000,"="&amp;R63))</f>
        <v/>
      </c>
      <c r="AN63" s="197" t="str">
        <f t="shared" si="7"/>
        <v/>
      </c>
      <c r="AO63" s="197" t="str">
        <f>IF(OR(ISNA(MATCH(MID(AN63,1,3)*1,UomConversion!$D$8:$D$500,0)),M63=""),"",IF(AT63="","",AT63))</f>
        <v/>
      </c>
      <c r="AP63" s="197" t="str">
        <f>IF(AND(AQ63&gt;0,COUNTIFS(UomConversion!$D$8:$D$500,MID(AN63,1,3)*1,UomConversion!$J$8:$J$500,1)&gt;1),TEXT(AQ63,"000")&amp;"."&amp;VLOOKUP(AQ63,uom_list,5,FALSE),"")</f>
        <v/>
      </c>
      <c r="AQ63" s="197" t="str">
        <f t="shared" si="20"/>
        <v/>
      </c>
      <c r="AR63" s="197" t="str">
        <f t="shared" si="21"/>
        <v/>
      </c>
      <c r="AS63" s="197" t="str">
        <f>IF(M63="","",SUMIFS(ProductPrice!$N$28:$N$10020,ProductPrice!$D$28:$D$10020,I63,ProductPrice!$G$28:$G$10020,quot_branch_id,ProductPrice!$H$28:$H$10020,quot_price_type_id,ProductPrice!$I$28:$I$10020,MID(P63,1,3)*1,ProductPrice!$Q$28:$Q$10020,1))</f>
        <v/>
      </c>
      <c r="AT63" s="197" t="str">
        <f t="shared" si="8"/>
        <v/>
      </c>
      <c r="AU63" s="197" t="str" cm="1">
        <f t="array" ref="AU63">IF(M63="","",IF(ISNA(Slookup(MID(AN63,1,3)*1,UomConversion!$D$8:$J$500,2,UomConversion!$I$8:$I$500,1,UomConversion!$J$8:$J$500,1)),"",Slookup(MID(AN63,1,3)*1,UomConversion!$D$8:$J$500,2,UomConversion!$I$8:$I$500,1,UomConversion!$J$8:$J$500,1)))</f>
        <v/>
      </c>
      <c r="AV63" s="197" t="str">
        <f t="shared" ref="AV63" si="245">IF(M63="","",IF(quot_location_id=1,BA63,IF(quot_location_id=2,BB63,0)))</f>
        <v/>
      </c>
      <c r="AW63" s="197" t="str">
        <f>IF(M63="","",(SUMIFS('[1]1_group_totals'!$K$8:$K$10000,'[1]1_group_totals'!$C$8:$C$10000,I63,'[1]1_group_totals'!$F$8:$F$10000,quot_location_group_id,'[1]1_group_totals'!$G$8:$G$10000,quot_location_id,'[1]1_group_totals'!$H$8:$H$10000,"="&amp;Q63,'[1]1_group_totals'!$I$8:$I$10000,"="&amp;R63)+SUMIFS('[1]1_group_totals'!$N$8:$N$10000,'[1]1_group_totals'!$C$8:$C$10000,I63,'[1]1_group_totals'!$F$8:$F$10000,quot_location_group_id,'[1]1_group_totals'!$G$8:$G$10000,quot_location_id,'[1]1_group_totals'!$H$8:$H$10000,"="&amp;Q63,'[1]1_group_totals'!$I$8:$I$10000,"="&amp;R63)+SUMIFS('[1]1_group_totals'!$P$8:$P$10000,'[1]1_group_totals'!$C$8:$C$10000,I63,'[1]1_group_totals'!$F$8:$F$10000,quot_location_group_id,'[1]1_group_totals'!$G$8:$G$10000,quot_location_id,'[1]1_group_totals'!$H$8:$H$10000,"="&amp;Q63,'[1]1_group_totals'!$I$8:$I$10000,"="&amp;R63)+SUMIFS('[1]1_group_totals'!$Q$8:$Q$10000,'[1]1_group_totals'!$C$8:$C$10000,I63,'[1]1_group_totals'!$F$8:$F$10000,quot_location_group_id,'[1]1_group_totals'!$G$8:$G$10000,quot_location_id,'[1]1_group_totals'!$H$8:$H$10000,"="&amp;Q63,'[1]1_group_totals'!$I$8:$I$10000,"="&amp;R63))+(SUMIFS('[1]1_group_totals'!$L$8:$L$10000,'[1]1_group_totals'!$C$8:$C$10000,I63,'[1]1_group_totals'!$F$8:$F$10000,quot_location_group_id,'[1]1_group_totals'!$G$8:$G$10000,quot_location_id,'[1]1_group_totals'!$H$8:$H$10000,"="&amp;Q63,'[1]1_group_totals'!$I$8:$I$10000,"="&amp;R63)+SUMIFS('[1]1_group_totals'!$M$8:$M$10000,'[1]1_group_totals'!$C$8:$C$10000,I63,'[1]1_group_totals'!$F$8:$F$10000,quot_location_group_id,'[1]1_group_totals'!$G$8:$G$10000,quot_location_id,'[1]1_group_totals'!$H$8:$H$10000,"="&amp;Q63,'[1]1_group_totals'!$I$8:$I$10000,"="&amp;R63)+SUMIFS('[1]1_group_totals'!$O$8:$O$10000,'[1]1_group_totals'!$C$8:$C$10000,I63,'[1]1_group_totals'!$F$8:$F$10000,quot_location_group_id,'[1]1_group_totals'!$G$8:$G$10000,quot_location_id,'[1]1_group_totals'!$H$8:$H$10000,"="&amp;Q63,'[1]1_group_totals'!$I$8:$I$10000,"="&amp;R63)+SUMIFS('[1]1_group_totals'!$R$8:$R$10000,'[1]1_group_totals'!$C$8:$C$10000,I63,'[1]1_group_totals'!$F$8:$F$10000,quot_location_group_id,'[1]1_group_totals'!$G$8:$G$10000,quot_location_id,'[1]1_group_totals'!$H$8:$H$10000,"="&amp;Q63,'[1]1_group_totals'!$I$8:$I$10000,"="&amp;R63)))</f>
        <v/>
      </c>
      <c r="AX63" s="197" t="str">
        <f t="shared" si="23"/>
        <v/>
      </c>
      <c r="AY63" s="197" t="str">
        <f>IF(M63="","",SUMIFS($AX$8:AX63,$I$8:I63,I63))</f>
        <v/>
      </c>
      <c r="AZ63" s="197" t="str">
        <f t="shared" si="24"/>
        <v/>
      </c>
      <c r="BA63" s="197" t="str">
        <f>IF(M63="","",(SUMIFS('[1]1_inventory_totals'!$I$8:$I$10000,'[1]1_inventory_totals'!$C$8:$C$10000,I63,'[1]1_inventory_totals'!$F$8:$F$10000,"="&amp;Q63,'[1]1_inventory_totals'!$G$8:$G$10000,"="&amp;R63)+SUMIFS('[1]1_inventory_totals'!$N$8:$N$10000,'[1]1_inventory_totals'!$C$8:$C$10000,I63,'[1]1_inventory_totals'!$F$8:$F$10000,"="&amp;Q63,'[1]1_inventory_totals'!$G$8:$G$10000,"="&amp;R63)+SUMIFS('[1]1_inventory_totals'!$P$8:$P$10000,'[1]1_inventory_totals'!$C$8:$C$10000,I63,'[1]1_inventory_totals'!$F$8:$F$10000,"="&amp;Q63,'[1]1_inventory_totals'!$G$8:$G$10000,"="&amp;R63)+SUMIFS('[1]1_inventory_totals'!$Q$8:$Q$10000,'[1]1_inventory_totals'!$C$8:$C$10000,I63,'[1]1_inventory_totals'!$F$8:$F$10000,"="&amp;Q63,'[1]1_inventory_totals'!$G$8:$G$10000,"="&amp;R63)+SUMIFS('[1]1_inventory_totals'!$R$8:$R$10000,'[1]1_inventory_totals'!$C$8:$C$10000,I63,'[1]1_inventory_totals'!$F$8:$F$10000,"="&amp;Q63,'[1]1_inventory_totals'!$G$8:$G$10000,"="&amp;R63))+(SUMIFS('[1]1_inventory_totals'!$J$8:$J$10000,'[1]1_inventory_totals'!$C$8:$C$10000,I63,'[1]1_inventory_totals'!$F$8:$F$10000,"="&amp;Q63,'[1]1_inventory_totals'!$G$8:$G$10000,"="&amp;R63)+SUMIFS('[1]1_inventory_totals'!$K$8:$K$10000,'[1]1_inventory_totals'!$C$8:$C$10000,I63,'[1]1_inventory_totals'!$F$8:$F$10000,"="&amp;Q63,'[1]1_inventory_totals'!$G$8:$G$10000,"="&amp;R63)+SUMIFS('[1]1_inventory_totals'!$L$8:$L$10000,'[1]1_inventory_totals'!$C$8:$C$10000,I63,'[1]1_inventory_totals'!$F$8:$F$10000,"="&amp;Q63,'[1]1_inventory_totals'!$G$8:$G$10000,"="&amp;R63)+SUMIFS('[1]1_inventory_totals'!$M$8:$M$10000,'[1]1_inventory_totals'!$C$8:$C$10000,I63,'[1]1_inventory_totals'!$F$8:$F$10000,"="&amp;Q63,'[1]1_inventory_totals'!$G$8:$G$10000,"="&amp;R63)+SUMIFS('[1]1_inventory_totals'!$O$8:$O$10000,'[1]1_inventory_totals'!$C$8:$C$10000,I63,'[1]1_inventory_totals'!$F$8:$F$10000,"="&amp;Q63,'[1]1_inventory_totals'!$G$8:$G$10000,"="&amp;R63)+SUMIFS('[1]1_inventory_totals'!$S$8:$S$10000,'[1]1_inventory_totals'!$C$8:$C$10000,I63,'[1]1_inventory_totals'!$F$8:$F$10000,"="&amp;Q63,'[1]1_inventory_totals'!$G$8:$G$10000,"="&amp;R63)))</f>
        <v/>
      </c>
      <c r="BB63" s="197" t="str">
        <f>IF(M63="","",(SUMIFS('[1]2_inventory_totals'!$I$8:$I$10000,'[1]2_inventory_totals'!$C$8:$C$10000,I63,'[1]2_inventory_totals'!$F$8:$F$10000,"="&amp;Q63,'[1]2_inventory_totals'!$G$8:$G$10000,"="&amp;R63)+SUMIFS('[1]2_inventory_totals'!$N$8:$N$10000,'[1]2_inventory_totals'!$C$8:$C$10000,I63,'[1]2_inventory_totals'!$F$8:$F$10000,"="&amp;Q63,'[1]2_inventory_totals'!$G$8:$G$10000,"="&amp;R63)+SUMIFS('[1]2_inventory_totals'!$P$8:$P$10000,'[1]2_inventory_totals'!$C$8:$C$10000,I63,'[1]2_inventory_totals'!$F$8:$F$10000,"="&amp;Q63,'[1]2_inventory_totals'!$G$8:$G$10000,"="&amp;R63)+SUMIFS('[1]2_inventory_totals'!$Q$8:$Q$10000,'[1]2_inventory_totals'!$C$8:$C$10000,I63,'[1]2_inventory_totals'!$F$8:$F$10000,"="&amp;Q63,'[1]2_inventory_totals'!$G$8:$G$10000,"="&amp;R63)+SUMIFS('[1]2_inventory_totals'!$R$8:$R$10000,'[1]2_inventory_totals'!$C$8:$C$10000,I63,'[1]2_inventory_totals'!$F$8:$F$10000,"="&amp;Q63,'[1]2_inventory_totals'!$G$8:$G$10000,"="&amp;R63))+(SUMIFS('[1]2_inventory_totals'!$J$8:$J$10000,'[1]2_inventory_totals'!$C$8:$C$10000,I63,'[1]2_inventory_totals'!$F$8:$F$10000,"="&amp;Q63,'[1]2_inventory_totals'!$G$8:$G$10000,"="&amp;R63)+SUMIFS('[1]2_inventory_totals'!$K$8:$K$10000,'[1]2_inventory_totals'!$C$8:$C$10000,I63,'[1]2_inventory_totals'!$F$8:$F$10000,"="&amp;Q63,'[1]2_inventory_totals'!$G$8:$G$10000,"="&amp;R63)+SUMIFS('[1]2_inventory_totals'!$L$8:$L$10000,'[1]2_inventory_totals'!$C$8:$C$10000,I63,'[1]2_inventory_totals'!$F$8:$F$10000,"="&amp;Q63,'[1]2_inventory_totals'!$G$8:$G$10000,"="&amp;R63)+SUMIFS('[1]2_inventory_totals'!$M$8:$M$10000,'[1]2_inventory_totals'!$C$8:$C$10000,I63,'[1]2_inventory_totals'!$F$8:$F$10000,"="&amp;Q63,'[1]2_inventory_totals'!$G$8:$G$10000,"="&amp;R63)+SUMIFS('[1]2_inventory_totals'!$O$8:$O$10000,'[1]2_inventory_totals'!$C$8:$C$10000,I63,'[1]2_inventory_totals'!$F$8:$F$10000,"="&amp;Q63,'[1]2_inventory_totals'!$G$8:$G$10000,"="&amp;R63)+SUMIFS('[1]2_inventory_totals'!$S$8:$S$10000,'[1]2_inventory_totals'!$C$8:$C$10000,I63,'[1]2_inventory_totals'!$F$8:$F$10000,"="&amp;Q63,'[1]2_inventory_totals'!$G$8:$G$10000,"="&amp;R63)))</f>
        <v/>
      </c>
    </row>
    <row r="64" spans="1:54" ht="27" hidden="1" customHeight="1">
      <c r="A64" s="923"/>
      <c r="B64" s="1256"/>
      <c r="C64" s="950"/>
      <c r="D64" s="950"/>
      <c r="E64" s="950"/>
      <c r="F64" s="1257"/>
      <c r="G64" s="941"/>
      <c r="H64" s="951"/>
      <c r="I64" s="1610" t="str">
        <f t="shared" si="10"/>
        <v/>
      </c>
      <c r="J64" s="1611" t="str">
        <f t="shared" si="112"/>
        <v/>
      </c>
      <c r="K64" s="1612" t="str">
        <f t="shared" si="30"/>
        <v/>
      </c>
      <c r="L64" s="1613"/>
      <c r="M64" s="883"/>
      <c r="N64" s="884"/>
      <c r="O64" s="884"/>
      <c r="P64" s="885"/>
      <c r="Q64" s="886"/>
      <c r="R64" s="891"/>
      <c r="S64" s="1614" t="str">
        <f t="shared" ref="S64" si="246">IF(M64="","",quot_currency_symbol)</f>
        <v/>
      </c>
      <c r="T64" s="888"/>
      <c r="U64" s="1650" t="str">
        <f t="shared" si="13"/>
        <v/>
      </c>
      <c r="V64" s="1615" t="str">
        <f t="shared" ref="V64" si="247">IF(W64=0,"",quot_currency_symbol)</f>
        <v/>
      </c>
      <c r="W64" s="889"/>
      <c r="X64" s="1615" t="str">
        <f t="shared" ref="X64" si="248">IF(M64="","",quot_currency_symbol)</f>
        <v/>
      </c>
      <c r="Y64" s="1616" t="str">
        <f t="shared" si="34"/>
        <v/>
      </c>
      <c r="Z64" s="890"/>
      <c r="AA64" s="197" t="str" cm="1">
        <f t="array" ref="AA64">IF(M64="","",IF(P64=AN64,1,Slookup(MID(AN64,1,3)*1,UomConversion!$D$8:$J$500,5,UomConversion!$E$8:$E$500,MID(P64,1,3)*1,UomConversion!$J$8:$J$500,1)))</f>
        <v/>
      </c>
      <c r="AB64" s="197" t="str">
        <f t="shared" si="3"/>
        <v/>
      </c>
      <c r="AC64" s="197" t="str">
        <f t="shared" si="17"/>
        <v/>
      </c>
      <c r="AD64" s="197" t="str">
        <f t="shared" si="18"/>
        <v/>
      </c>
      <c r="AE64" s="197" t="str">
        <f t="shared" si="19"/>
        <v/>
      </c>
      <c r="AF64" s="197" t="str">
        <f t="shared" si="152"/>
        <v/>
      </c>
      <c r="AG64" s="197" t="str">
        <f t="shared" si="6"/>
        <v/>
      </c>
      <c r="AH64" s="197" t="str">
        <f>IF(I64="","",IF(ISNA(MATCH(I64,IF(quot_location_id=1,'[1]1_inventory_totals'!$C$8:$C$10000,IF(quot_location_id=2,'[1]2_inventory_totals'!$C$8:$C$10000,0)),0)),0,IF(AV64&gt;0,1,0)))</f>
        <v/>
      </c>
      <c r="AI64" s="197" t="str">
        <f>IF(M64="","",IF(quot_location_id=1,SUMIFS('[1]1_inventory_total_details'!$J$8:$J$10000,'[1]1_inventory_total_details'!$C$8:$C$10000,I64,'[1]1_inventory_total_details'!$F$8:$F$10000,quot_location_id,'[1]1_inventory_total_details'!$G$8:$G$10000,"="&amp;Q64,'[1]1_inventory_total_details'!$H$8:$H$10000,"="&amp;R64,'[1]1_inventory_total_details'!$I$8:$I$10000,"="&amp;quot_date)+SUMIFS('[1]1_inventory_total_details'!$M$8:$M$10000,'[1]1_inventory_total_details'!$C$8:$C$10000,I64,'[1]1_inventory_total_details'!$F$8:$F$10000,quot_location_id,'[1]1_inventory_total_details'!$G$8:$G$10000,"="&amp;Q64,'[1]1_inventory_total_details'!$H$8:$H$10000,"="&amp;R64,'[1]1_inventory_total_details'!$I$8:$I$10000,"="&amp;quot_date)+SUMIFS('[1]1_inventory_total_details'!$K$8:$K$10000,'[1]1_inventory_total_details'!$C$8:$C$10000,I64,'[1]1_inventory_total_details'!$F$8:$F$10000,quot_location_id,'[1]1_inventory_total_details'!$G$8:$G$10000,"="&amp;Q64,'[1]1_inventory_total_details'!$H$8:$H$10000,"="&amp;R64,'[1]1_inventory_total_details'!$I$8:$I$10000,"="&amp;quot_date)+SUMIFS('[1]1_inventory_total_details'!$L$8:$L$10000,'[1]1_inventory_total_details'!$C$8:$C$10000,I64,'[1]1_inventory_total_details'!$F$8:$F$10000,quot_location_id,'[1]1_inventory_total_details'!$G$8:$G$10000,"="&amp;Q64,'[1]1_inventory_total_details'!$H$8:$H$10000,"="&amp;R64,'[1]1_inventory_total_details'!$I$8:$I$10000,"="&amp;quot_date),SUMIFS('[1]2_inventory_total_details'!$J$8:$J$10000,'[1]2_inventory_total_details'!$C$8:$C$10000,I64,'[1]2_inventory_total_details'!$F$8:$F$10000,quot_location_id,'[1]2_inventory_total_details'!$G$8:$G$10000,"="&amp;Q64,'[1]2_inventory_total_details'!$H$8:$H$10000,"="&amp;R64,'[1]2_inventory_total_details'!$I$8:$I$10000,"="&amp;quot_date)+SUMIFS('[1]2_inventory_total_details'!$M$8:$M$10000,'[1]2_inventory_total_details'!$C$8:$C$10000,I64,'[1]2_inventory_total_details'!$F$8:$F$10000,quot_location_id,'[1]2_inventory_total_details'!$G$8:$G$10000,"="&amp;Q64,'[1]2_inventory_total_details'!$H$8:$H$10000,"="&amp;R64,'[1]2_inventory_total_details'!$I$8:$I$10000,"="&amp;quot_date)+SUMIFS('[1]2_inventory_total_details'!$K$8:$K$10000,'[1]2_inventory_total_details'!$C$8:$C$10000,I64,'[1]2_inventory_total_details'!$F$8:$F$10000,quot_location_id,'[1]2_inventory_total_details'!$G$8:$G$10000,"="&amp;Q64,'[1]2_inventory_total_details'!$H$8:$H$10000,"="&amp;R64,'[1]2_inventory_total_details'!$I$8:$I$10000,"="&amp;quot_date)+SUMIFS('[1]2_inventory_total_details'!$L$8:$L$10000,'[1]2_inventory_total_details'!$C$8:$C$10000,I64,'[1]2_inventory_total_details'!$F$8:$F$10000,quot_location_id,'[1]2_inventory_total_details'!$G$8:$G$10000,"="&amp;Q64,'[1]2_inventory_total_details'!$H$8:$H$10000,"="&amp;R64,'[1]2_inventory_total_details'!$I$8:$I$10000,"="&amp;quot_date)))</f>
        <v/>
      </c>
      <c r="AJ64" s="197" t="str">
        <f>IF(M64="","",IF(ISNA(MATCH(I64,'[1]1_group_totals'!$C$8:$C$10000)),0,IF(AW64&gt;0,1,0)))</f>
        <v/>
      </c>
      <c r="AK64" s="197" t="str">
        <f>IF(M64="","",(SUMIFS('[1]1_group_total_details'!$I$8:$I$10000,'[1]1_group_total_details'!$C$8:$C$10000,I64,'[1]1_group_total_details'!$F$8:$F$10000,quot_location_group_id,'[1]1_group_total_details'!$G$8:$G$10000,quot_location_id,'[1]1_group_total_details'!$H$8:$H$10000,"="&amp;quot_date)+SUMIFS('[1]1_group_total_details'!$L$8:$L$10000,'[1]1_group_total_details'!$C$8:$C$10000,I64,'[1]1_group_total_details'!$F$8:$F$10000,quot_location_group_id,'[1]1_group_total_details'!$G$8:$G$10000,quot_location_id,'[1]1_group_total_details'!$H$8:$H$10000,"="&amp;quot_date)+SUMIFS('[1]1_group_total_details'!$N$8:$N$10000,'[1]1_group_total_details'!$C$8:$C$10000,I64,'[1]1_group_total_details'!$F$8:$F$10000,quot_location_group_id,'[1]1_group_total_details'!$G$8:$G$10000,quot_location_id,'[1]1_group_total_details'!$H$8:$H$10000,"="&amp;quot_date)+SUMIFS('[1]1_group_total_details'!$O$8:$O$10000,'[1]1_group_total_details'!$C$8:$C$10000,I64,'[1]1_group_total_details'!$F$8:$F$10000,quot_location_group_id,'[1]1_group_total_details'!$G$8:$G$10000,quot_location_id,'[1]1_group_total_details'!$H$8:$H$10000,"="&amp;quot_date))+(SUMIFS('[1]1_group_total_details'!$J$8:$J$10000,'[1]1_group_total_details'!$C$8:$C$10000,I64,'[1]1_group_total_details'!$F$8:$F$10000,quot_location_group_id,'[1]1_group_total_details'!$G$8:$G$10000,quot_location_id,'[1]1_group_total_details'!$H$8:$H$10000,"="&amp;quot_date)+SUMIFS('[1]1_group_total_details'!$K$8:$K$10000,'[1]1_group_total_details'!$C$8:$C$10000,I64,'[1]1_group_total_details'!$F$8:$F$10000,quot_location_group_id,'[1]1_group_total_details'!$G$8:$G$10000,quot_location_id,'[1]1_group_total_details'!$H$8:$H$10000,"="&amp;quot_date)+SUMIFS('[1]1_group_total_details'!$M$8:$M$10000,'[1]1_group_total_details'!$C$8:$C$10000,I64,'[1]1_group_total_details'!$F$8:$F$10000,quot_location_group_id,'[1]1_group_total_details'!$G$8:$G$10000,quot_location_id,'[1]1_group_total_details'!$H$8:$H$10000,"="&amp;quot_date)+SUMIFS('[1]1_group_total_details'!$P$8:$P$10000,'[1]1_group_total_details'!$C$8:$C$10000,I64,'[1]1_group_total_details'!$F$8:$F$10000,quot_location_group_id,'[1]1_group_total_details'!$G$8:$G$10000,quot_location_id,'[1]1_group_total_details'!$H$8:$H$10000,"="&amp;quot_date)))</f>
        <v/>
      </c>
      <c r="AL64" s="197" t="str">
        <f>IF(M64="","",(SUMIFS('[1]1_group_total_details'!$I$8:$I$10000,'[1]1_group_total_details'!$C$8:$C$10000,I64,'[1]1_group_total_details'!$F$8:$F$10000,quot_location_group_id,'[1]1_group_total_details'!$G$8:$G$10000,quot_location_id,'[1]1_group_total_details'!$H$8:$H$10000,"&lt;="&amp;quot_date)+SUMIFS('[1]1_group_total_details'!$L$8:$L$10000,'[1]1_group_total_details'!$C$8:$C$10000,I64,'[1]1_group_total_details'!$F$8:$F$10000,quot_location_group_id,'[1]1_group_total_details'!$G$8:$G$10000,1,'[1]1_group_total_details'!$H$8:$H$10000,"&lt;="&amp;quot_date)+SUMIFS('[1]1_group_total_details'!$N$8:$N$10000,'[1]1_group_total_details'!$C$8:$C$10000,I64,'[1]1_group_total_details'!$F$8:$F$10000,quot_location_group_id,'[1]1_group_total_details'!$G$8:$G$10000,quot_location_id,'[1]1_group_total_details'!$H$8:$H$10000,"&lt;="&amp;quot_date)+SUMIFS('[1]1_group_total_details'!$O$8:$O$10000,'[1]1_group_total_details'!$C$8:$C$10000,I64,'[1]1_group_total_details'!$F$8:$F$10000,quot_location_group_id,'[1]1_group_total_details'!$G$8:$G$10000,quot_location_id,'[1]1_group_total_details'!$H$8:$H$10000,"&lt;="&amp;quot_date))-(SUMIFS('[1]1_group_total_details'!$J$8:$J$10000,'[1]1_group_total_details'!$C$8:$C$10000,I64,'[1]1_group_total_details'!$F$8:$F$10000,quot_location_group_id,'[1]1_group_total_details'!$G$8:$G$10000,quot_location_id,'[1]1_group_total_details'!$H$8:$H$10000,"&lt;="&amp;quot_date)+SUMIFS('[1]1_group_total_details'!$K$8:$K$10000,'[1]1_group_total_details'!$C$8:$C$10000,I64,'[1]1_group_total_details'!$F$8:$F$10000,quot_location_group_id,'[1]1_group_total_details'!$G$8:$G$10000,quot_location_id,'[1]1_group_total_details'!$H$8:$H$10000,"&lt;="&amp;quot_date)+SUMIFS('[1]1_group_total_details'!$M$8:$M$10000,'[1]1_group_total_details'!$C$8:$C$10000,I64,'[1]1_group_total_details'!$F$8:$F$10000,quot_location_group_id,'[1]1_group_total_details'!$G$8:$G$10000,quot_location_id,'[1]1_group_total_details'!$H$8:$H$10000,"&lt;="&amp;quot_date)+SUMIFS('[1]1_group_total_details'!$P$8:$P$10000,'[1]1_group_total_details'!$C$8:$C$10000,I64,'[1]1_group_total_details'!$F$8:$F$10000,quot_location_group_id,'[1]1_group_total_details'!$G$8:$G$10000,quot_location_id,'[1]1_group_total_details'!$H$8:$H$10000,"&lt;="&amp;quot_date)))</f>
        <v/>
      </c>
      <c r="AM64" s="197" t="str">
        <f>IF(M64="","",SUMIFS('[1]1_group_totals'!$J$8:$J$10000,'[1]1_group_totals'!$C$8:$C$10000,I64,'[1]1_group_totals'!$F$8:$F$10000,quot_location_group_id,'[1]1_group_totals'!$G$8:$G$10000,quot_location_id,'[1]1_group_totals'!$H$8:$H$10000,"="&amp;Q64,'[1]1_group_totals'!$I$8:$I$10000,"="&amp;R64))</f>
        <v/>
      </c>
      <c r="AN64" s="197" t="str">
        <f t="shared" si="7"/>
        <v/>
      </c>
      <c r="AO64" s="197" t="str">
        <f>IF(OR(ISNA(MATCH(MID(AN64,1,3)*1,UomConversion!$D$8:$D$500,0)),M64=""),"",IF(AT64="","",AT64))</f>
        <v/>
      </c>
      <c r="AP64" s="197" t="str">
        <f>IF(AND(AQ64&gt;0,COUNTIFS(UomConversion!$D$8:$D$500,MID(AN64,1,3)*1,UomConversion!$J$8:$J$500,1)&gt;1),TEXT(AQ64,"000")&amp;"."&amp;VLOOKUP(AQ64,uom_list,5,FALSE),"")</f>
        <v/>
      </c>
      <c r="AQ64" s="197" t="str">
        <f t="shared" si="20"/>
        <v/>
      </c>
      <c r="AR64" s="197" t="str">
        <f t="shared" si="21"/>
        <v/>
      </c>
      <c r="AS64" s="197" t="str">
        <f>IF(M64="","",SUMIFS(ProductPrice!$N$28:$N$10020,ProductPrice!$D$28:$D$10020,I64,ProductPrice!$G$28:$G$10020,quot_branch_id,ProductPrice!$H$28:$H$10020,quot_price_type_id,ProductPrice!$I$28:$I$10020,MID(P64,1,3)*1,ProductPrice!$Q$28:$Q$10020,1))</f>
        <v/>
      </c>
      <c r="AT64" s="197" t="str">
        <f t="shared" si="8"/>
        <v/>
      </c>
      <c r="AU64" s="197" t="str" cm="1">
        <f t="array" ref="AU64">IF(M64="","",IF(ISNA(Slookup(MID(AN64,1,3)*1,UomConversion!$D$8:$J$500,2,UomConversion!$I$8:$I$500,1,UomConversion!$J$8:$J$500,1)),"",Slookup(MID(AN64,1,3)*1,UomConversion!$D$8:$J$500,2,UomConversion!$I$8:$I$500,1,UomConversion!$J$8:$J$500,1)))</f>
        <v/>
      </c>
      <c r="AV64" s="197" t="str">
        <f t="shared" ref="AV64" si="249">IF(M64="","",IF(quot_location_id=1,BA64,IF(quot_location_id=2,BB64,0)))</f>
        <v/>
      </c>
      <c r="AW64" s="197" t="str">
        <f>IF(M64="","",(SUMIFS('[1]1_group_totals'!$K$8:$K$10000,'[1]1_group_totals'!$C$8:$C$10000,I64,'[1]1_group_totals'!$F$8:$F$10000,quot_location_group_id,'[1]1_group_totals'!$G$8:$G$10000,quot_location_id,'[1]1_group_totals'!$H$8:$H$10000,"="&amp;Q64,'[1]1_group_totals'!$I$8:$I$10000,"="&amp;R64)+SUMIFS('[1]1_group_totals'!$N$8:$N$10000,'[1]1_group_totals'!$C$8:$C$10000,I64,'[1]1_group_totals'!$F$8:$F$10000,quot_location_group_id,'[1]1_group_totals'!$G$8:$G$10000,quot_location_id,'[1]1_group_totals'!$H$8:$H$10000,"="&amp;Q64,'[1]1_group_totals'!$I$8:$I$10000,"="&amp;R64)+SUMIFS('[1]1_group_totals'!$P$8:$P$10000,'[1]1_group_totals'!$C$8:$C$10000,I64,'[1]1_group_totals'!$F$8:$F$10000,quot_location_group_id,'[1]1_group_totals'!$G$8:$G$10000,quot_location_id,'[1]1_group_totals'!$H$8:$H$10000,"="&amp;Q64,'[1]1_group_totals'!$I$8:$I$10000,"="&amp;R64)+SUMIFS('[1]1_group_totals'!$Q$8:$Q$10000,'[1]1_group_totals'!$C$8:$C$10000,I64,'[1]1_group_totals'!$F$8:$F$10000,quot_location_group_id,'[1]1_group_totals'!$G$8:$G$10000,quot_location_id,'[1]1_group_totals'!$H$8:$H$10000,"="&amp;Q64,'[1]1_group_totals'!$I$8:$I$10000,"="&amp;R64))+(SUMIFS('[1]1_group_totals'!$L$8:$L$10000,'[1]1_group_totals'!$C$8:$C$10000,I64,'[1]1_group_totals'!$F$8:$F$10000,quot_location_group_id,'[1]1_group_totals'!$G$8:$G$10000,quot_location_id,'[1]1_group_totals'!$H$8:$H$10000,"="&amp;Q64,'[1]1_group_totals'!$I$8:$I$10000,"="&amp;R64)+SUMIFS('[1]1_group_totals'!$M$8:$M$10000,'[1]1_group_totals'!$C$8:$C$10000,I64,'[1]1_group_totals'!$F$8:$F$10000,quot_location_group_id,'[1]1_group_totals'!$G$8:$G$10000,quot_location_id,'[1]1_group_totals'!$H$8:$H$10000,"="&amp;Q64,'[1]1_group_totals'!$I$8:$I$10000,"="&amp;R64)+SUMIFS('[1]1_group_totals'!$O$8:$O$10000,'[1]1_group_totals'!$C$8:$C$10000,I64,'[1]1_group_totals'!$F$8:$F$10000,quot_location_group_id,'[1]1_group_totals'!$G$8:$G$10000,quot_location_id,'[1]1_group_totals'!$H$8:$H$10000,"="&amp;Q64,'[1]1_group_totals'!$I$8:$I$10000,"="&amp;R64)+SUMIFS('[1]1_group_totals'!$R$8:$R$10000,'[1]1_group_totals'!$C$8:$C$10000,I64,'[1]1_group_totals'!$F$8:$F$10000,quot_location_group_id,'[1]1_group_totals'!$G$8:$G$10000,quot_location_id,'[1]1_group_totals'!$H$8:$H$10000,"="&amp;Q64,'[1]1_group_totals'!$I$8:$I$10000,"="&amp;R64)))</f>
        <v/>
      </c>
      <c r="AX64" s="197" t="str">
        <f t="shared" si="23"/>
        <v/>
      </c>
      <c r="AY64" s="197" t="str">
        <f>IF(M64="","",SUMIFS($AX$8:AX64,$I$8:I64,I64))</f>
        <v/>
      </c>
      <c r="AZ64" s="197" t="str">
        <f t="shared" si="24"/>
        <v/>
      </c>
      <c r="BA64" s="197" t="str">
        <f>IF(M64="","",(SUMIFS('[1]1_inventory_totals'!$I$8:$I$10000,'[1]1_inventory_totals'!$C$8:$C$10000,I64,'[1]1_inventory_totals'!$F$8:$F$10000,"="&amp;Q64,'[1]1_inventory_totals'!$G$8:$G$10000,"="&amp;R64)+SUMIFS('[1]1_inventory_totals'!$N$8:$N$10000,'[1]1_inventory_totals'!$C$8:$C$10000,I64,'[1]1_inventory_totals'!$F$8:$F$10000,"="&amp;Q64,'[1]1_inventory_totals'!$G$8:$G$10000,"="&amp;R64)+SUMIFS('[1]1_inventory_totals'!$P$8:$P$10000,'[1]1_inventory_totals'!$C$8:$C$10000,I64,'[1]1_inventory_totals'!$F$8:$F$10000,"="&amp;Q64,'[1]1_inventory_totals'!$G$8:$G$10000,"="&amp;R64)+SUMIFS('[1]1_inventory_totals'!$Q$8:$Q$10000,'[1]1_inventory_totals'!$C$8:$C$10000,I64,'[1]1_inventory_totals'!$F$8:$F$10000,"="&amp;Q64,'[1]1_inventory_totals'!$G$8:$G$10000,"="&amp;R64)+SUMIFS('[1]1_inventory_totals'!$R$8:$R$10000,'[1]1_inventory_totals'!$C$8:$C$10000,I64,'[1]1_inventory_totals'!$F$8:$F$10000,"="&amp;Q64,'[1]1_inventory_totals'!$G$8:$G$10000,"="&amp;R64))+(SUMIFS('[1]1_inventory_totals'!$J$8:$J$10000,'[1]1_inventory_totals'!$C$8:$C$10000,I64,'[1]1_inventory_totals'!$F$8:$F$10000,"="&amp;Q64,'[1]1_inventory_totals'!$G$8:$G$10000,"="&amp;R64)+SUMIFS('[1]1_inventory_totals'!$K$8:$K$10000,'[1]1_inventory_totals'!$C$8:$C$10000,I64,'[1]1_inventory_totals'!$F$8:$F$10000,"="&amp;Q64,'[1]1_inventory_totals'!$G$8:$G$10000,"="&amp;R64)+SUMIFS('[1]1_inventory_totals'!$L$8:$L$10000,'[1]1_inventory_totals'!$C$8:$C$10000,I64,'[1]1_inventory_totals'!$F$8:$F$10000,"="&amp;Q64,'[1]1_inventory_totals'!$G$8:$G$10000,"="&amp;R64)+SUMIFS('[1]1_inventory_totals'!$M$8:$M$10000,'[1]1_inventory_totals'!$C$8:$C$10000,I64,'[1]1_inventory_totals'!$F$8:$F$10000,"="&amp;Q64,'[1]1_inventory_totals'!$G$8:$G$10000,"="&amp;R64)+SUMIFS('[1]1_inventory_totals'!$O$8:$O$10000,'[1]1_inventory_totals'!$C$8:$C$10000,I64,'[1]1_inventory_totals'!$F$8:$F$10000,"="&amp;Q64,'[1]1_inventory_totals'!$G$8:$G$10000,"="&amp;R64)+SUMIFS('[1]1_inventory_totals'!$S$8:$S$10000,'[1]1_inventory_totals'!$C$8:$C$10000,I64,'[1]1_inventory_totals'!$F$8:$F$10000,"="&amp;Q64,'[1]1_inventory_totals'!$G$8:$G$10000,"="&amp;R64)))</f>
        <v/>
      </c>
      <c r="BB64" s="197" t="str">
        <f>IF(M64="","",(SUMIFS('[1]2_inventory_totals'!$I$8:$I$10000,'[1]2_inventory_totals'!$C$8:$C$10000,I64,'[1]2_inventory_totals'!$F$8:$F$10000,"="&amp;Q64,'[1]2_inventory_totals'!$G$8:$G$10000,"="&amp;R64)+SUMIFS('[1]2_inventory_totals'!$N$8:$N$10000,'[1]2_inventory_totals'!$C$8:$C$10000,I64,'[1]2_inventory_totals'!$F$8:$F$10000,"="&amp;Q64,'[1]2_inventory_totals'!$G$8:$G$10000,"="&amp;R64)+SUMIFS('[1]2_inventory_totals'!$P$8:$P$10000,'[1]2_inventory_totals'!$C$8:$C$10000,I64,'[1]2_inventory_totals'!$F$8:$F$10000,"="&amp;Q64,'[1]2_inventory_totals'!$G$8:$G$10000,"="&amp;R64)+SUMIFS('[1]2_inventory_totals'!$Q$8:$Q$10000,'[1]2_inventory_totals'!$C$8:$C$10000,I64,'[1]2_inventory_totals'!$F$8:$F$10000,"="&amp;Q64,'[1]2_inventory_totals'!$G$8:$G$10000,"="&amp;R64)+SUMIFS('[1]2_inventory_totals'!$R$8:$R$10000,'[1]2_inventory_totals'!$C$8:$C$10000,I64,'[1]2_inventory_totals'!$F$8:$F$10000,"="&amp;Q64,'[1]2_inventory_totals'!$G$8:$G$10000,"="&amp;R64))+(SUMIFS('[1]2_inventory_totals'!$J$8:$J$10000,'[1]2_inventory_totals'!$C$8:$C$10000,I64,'[1]2_inventory_totals'!$F$8:$F$10000,"="&amp;Q64,'[1]2_inventory_totals'!$G$8:$G$10000,"="&amp;R64)+SUMIFS('[1]2_inventory_totals'!$K$8:$K$10000,'[1]2_inventory_totals'!$C$8:$C$10000,I64,'[1]2_inventory_totals'!$F$8:$F$10000,"="&amp;Q64,'[1]2_inventory_totals'!$G$8:$G$10000,"="&amp;R64)+SUMIFS('[1]2_inventory_totals'!$L$8:$L$10000,'[1]2_inventory_totals'!$C$8:$C$10000,I64,'[1]2_inventory_totals'!$F$8:$F$10000,"="&amp;Q64,'[1]2_inventory_totals'!$G$8:$G$10000,"="&amp;R64)+SUMIFS('[1]2_inventory_totals'!$M$8:$M$10000,'[1]2_inventory_totals'!$C$8:$C$10000,I64,'[1]2_inventory_totals'!$F$8:$F$10000,"="&amp;Q64,'[1]2_inventory_totals'!$G$8:$G$10000,"="&amp;R64)+SUMIFS('[1]2_inventory_totals'!$O$8:$O$10000,'[1]2_inventory_totals'!$C$8:$C$10000,I64,'[1]2_inventory_totals'!$F$8:$F$10000,"="&amp;Q64,'[1]2_inventory_totals'!$G$8:$G$10000,"="&amp;R64)+SUMIFS('[1]2_inventory_totals'!$S$8:$S$10000,'[1]2_inventory_totals'!$C$8:$C$10000,I64,'[1]2_inventory_totals'!$F$8:$F$10000,"="&amp;Q64,'[1]2_inventory_totals'!$G$8:$G$10000,"="&amp;R64)))</f>
        <v/>
      </c>
    </row>
    <row r="65" spans="1:54" ht="27" hidden="1" customHeight="1">
      <c r="A65" s="923"/>
      <c r="B65" s="1256"/>
      <c r="C65" s="950"/>
      <c r="D65" s="950"/>
      <c r="E65" s="950"/>
      <c r="F65" s="1257"/>
      <c r="G65" s="941"/>
      <c r="H65" s="951"/>
      <c r="I65" s="1610" t="str">
        <f t="shared" si="10"/>
        <v/>
      </c>
      <c r="J65" s="1611" t="str">
        <f t="shared" si="112"/>
        <v/>
      </c>
      <c r="K65" s="1612" t="str">
        <f t="shared" si="30"/>
        <v/>
      </c>
      <c r="L65" s="1613"/>
      <c r="M65" s="883"/>
      <c r="N65" s="884"/>
      <c r="O65" s="884"/>
      <c r="P65" s="885"/>
      <c r="Q65" s="886"/>
      <c r="R65" s="891"/>
      <c r="S65" s="1614" t="str">
        <f t="shared" ref="S65" si="250">IF(M65="","",quot_currency_symbol)</f>
        <v/>
      </c>
      <c r="T65" s="888"/>
      <c r="U65" s="1650" t="str">
        <f t="shared" si="13"/>
        <v/>
      </c>
      <c r="V65" s="1615" t="str">
        <f t="shared" ref="V65" si="251">IF(W65=0,"",quot_currency_symbol)</f>
        <v/>
      </c>
      <c r="W65" s="889"/>
      <c r="X65" s="1615" t="str">
        <f t="shared" ref="X65" si="252">IF(M65="","",quot_currency_symbol)</f>
        <v/>
      </c>
      <c r="Y65" s="1616" t="str">
        <f t="shared" si="34"/>
        <v/>
      </c>
      <c r="Z65" s="890"/>
      <c r="AA65" s="197" t="str" cm="1">
        <f t="array" ref="AA65">IF(M65="","",IF(P65=AN65,1,Slookup(MID(AN65,1,3)*1,UomConversion!$D$8:$J$500,5,UomConversion!$E$8:$E$500,MID(P65,1,3)*1,UomConversion!$J$8:$J$500,1)))</f>
        <v/>
      </c>
      <c r="AB65" s="197" t="str">
        <f t="shared" si="3"/>
        <v/>
      </c>
      <c r="AC65" s="197" t="str">
        <f t="shared" si="17"/>
        <v/>
      </c>
      <c r="AD65" s="197" t="str">
        <f t="shared" si="18"/>
        <v/>
      </c>
      <c r="AE65" s="197" t="str">
        <f t="shared" si="19"/>
        <v/>
      </c>
      <c r="AF65" s="197" t="str">
        <f t="shared" si="152"/>
        <v/>
      </c>
      <c r="AG65" s="197" t="str">
        <f t="shared" si="6"/>
        <v/>
      </c>
      <c r="AH65" s="197" t="str">
        <f>IF(I65="","",IF(ISNA(MATCH(I65,IF(quot_location_id=1,'[1]1_inventory_totals'!$C$8:$C$10000,IF(quot_location_id=2,'[1]2_inventory_totals'!$C$8:$C$10000,0)),0)),0,IF(AV65&gt;0,1,0)))</f>
        <v/>
      </c>
      <c r="AI65" s="197" t="str">
        <f>IF(M65="","",IF(quot_location_id=1,SUMIFS('[1]1_inventory_total_details'!$J$8:$J$10000,'[1]1_inventory_total_details'!$C$8:$C$10000,I65,'[1]1_inventory_total_details'!$F$8:$F$10000,quot_location_id,'[1]1_inventory_total_details'!$G$8:$G$10000,"="&amp;Q65,'[1]1_inventory_total_details'!$H$8:$H$10000,"="&amp;R65,'[1]1_inventory_total_details'!$I$8:$I$10000,"="&amp;quot_date)+SUMIFS('[1]1_inventory_total_details'!$M$8:$M$10000,'[1]1_inventory_total_details'!$C$8:$C$10000,I65,'[1]1_inventory_total_details'!$F$8:$F$10000,quot_location_id,'[1]1_inventory_total_details'!$G$8:$G$10000,"="&amp;Q65,'[1]1_inventory_total_details'!$H$8:$H$10000,"="&amp;R65,'[1]1_inventory_total_details'!$I$8:$I$10000,"="&amp;quot_date)+SUMIFS('[1]1_inventory_total_details'!$K$8:$K$10000,'[1]1_inventory_total_details'!$C$8:$C$10000,I65,'[1]1_inventory_total_details'!$F$8:$F$10000,quot_location_id,'[1]1_inventory_total_details'!$G$8:$G$10000,"="&amp;Q65,'[1]1_inventory_total_details'!$H$8:$H$10000,"="&amp;R65,'[1]1_inventory_total_details'!$I$8:$I$10000,"="&amp;quot_date)+SUMIFS('[1]1_inventory_total_details'!$L$8:$L$10000,'[1]1_inventory_total_details'!$C$8:$C$10000,I65,'[1]1_inventory_total_details'!$F$8:$F$10000,quot_location_id,'[1]1_inventory_total_details'!$G$8:$G$10000,"="&amp;Q65,'[1]1_inventory_total_details'!$H$8:$H$10000,"="&amp;R65,'[1]1_inventory_total_details'!$I$8:$I$10000,"="&amp;quot_date),SUMIFS('[1]2_inventory_total_details'!$J$8:$J$10000,'[1]2_inventory_total_details'!$C$8:$C$10000,I65,'[1]2_inventory_total_details'!$F$8:$F$10000,quot_location_id,'[1]2_inventory_total_details'!$G$8:$G$10000,"="&amp;Q65,'[1]2_inventory_total_details'!$H$8:$H$10000,"="&amp;R65,'[1]2_inventory_total_details'!$I$8:$I$10000,"="&amp;quot_date)+SUMIFS('[1]2_inventory_total_details'!$M$8:$M$10000,'[1]2_inventory_total_details'!$C$8:$C$10000,I65,'[1]2_inventory_total_details'!$F$8:$F$10000,quot_location_id,'[1]2_inventory_total_details'!$G$8:$G$10000,"="&amp;Q65,'[1]2_inventory_total_details'!$H$8:$H$10000,"="&amp;R65,'[1]2_inventory_total_details'!$I$8:$I$10000,"="&amp;quot_date)+SUMIFS('[1]2_inventory_total_details'!$K$8:$K$10000,'[1]2_inventory_total_details'!$C$8:$C$10000,I65,'[1]2_inventory_total_details'!$F$8:$F$10000,quot_location_id,'[1]2_inventory_total_details'!$G$8:$G$10000,"="&amp;Q65,'[1]2_inventory_total_details'!$H$8:$H$10000,"="&amp;R65,'[1]2_inventory_total_details'!$I$8:$I$10000,"="&amp;quot_date)+SUMIFS('[1]2_inventory_total_details'!$L$8:$L$10000,'[1]2_inventory_total_details'!$C$8:$C$10000,I65,'[1]2_inventory_total_details'!$F$8:$F$10000,quot_location_id,'[1]2_inventory_total_details'!$G$8:$G$10000,"="&amp;Q65,'[1]2_inventory_total_details'!$H$8:$H$10000,"="&amp;R65,'[1]2_inventory_total_details'!$I$8:$I$10000,"="&amp;quot_date)))</f>
        <v/>
      </c>
      <c r="AJ65" s="197" t="str">
        <f>IF(M65="","",IF(ISNA(MATCH(I65,'[1]1_group_totals'!$C$8:$C$10000)),0,IF(AW65&gt;0,1,0)))</f>
        <v/>
      </c>
      <c r="AK65" s="197" t="str">
        <f>IF(M65="","",(SUMIFS('[1]1_group_total_details'!$I$8:$I$10000,'[1]1_group_total_details'!$C$8:$C$10000,I65,'[1]1_group_total_details'!$F$8:$F$10000,quot_location_group_id,'[1]1_group_total_details'!$G$8:$G$10000,quot_location_id,'[1]1_group_total_details'!$H$8:$H$10000,"="&amp;quot_date)+SUMIFS('[1]1_group_total_details'!$L$8:$L$10000,'[1]1_group_total_details'!$C$8:$C$10000,I65,'[1]1_group_total_details'!$F$8:$F$10000,quot_location_group_id,'[1]1_group_total_details'!$G$8:$G$10000,quot_location_id,'[1]1_group_total_details'!$H$8:$H$10000,"="&amp;quot_date)+SUMIFS('[1]1_group_total_details'!$N$8:$N$10000,'[1]1_group_total_details'!$C$8:$C$10000,I65,'[1]1_group_total_details'!$F$8:$F$10000,quot_location_group_id,'[1]1_group_total_details'!$G$8:$G$10000,quot_location_id,'[1]1_group_total_details'!$H$8:$H$10000,"="&amp;quot_date)+SUMIFS('[1]1_group_total_details'!$O$8:$O$10000,'[1]1_group_total_details'!$C$8:$C$10000,I65,'[1]1_group_total_details'!$F$8:$F$10000,quot_location_group_id,'[1]1_group_total_details'!$G$8:$G$10000,quot_location_id,'[1]1_group_total_details'!$H$8:$H$10000,"="&amp;quot_date))+(SUMIFS('[1]1_group_total_details'!$J$8:$J$10000,'[1]1_group_total_details'!$C$8:$C$10000,I65,'[1]1_group_total_details'!$F$8:$F$10000,quot_location_group_id,'[1]1_group_total_details'!$G$8:$G$10000,quot_location_id,'[1]1_group_total_details'!$H$8:$H$10000,"="&amp;quot_date)+SUMIFS('[1]1_group_total_details'!$K$8:$K$10000,'[1]1_group_total_details'!$C$8:$C$10000,I65,'[1]1_group_total_details'!$F$8:$F$10000,quot_location_group_id,'[1]1_group_total_details'!$G$8:$G$10000,quot_location_id,'[1]1_group_total_details'!$H$8:$H$10000,"="&amp;quot_date)+SUMIFS('[1]1_group_total_details'!$M$8:$M$10000,'[1]1_group_total_details'!$C$8:$C$10000,I65,'[1]1_group_total_details'!$F$8:$F$10000,quot_location_group_id,'[1]1_group_total_details'!$G$8:$G$10000,quot_location_id,'[1]1_group_total_details'!$H$8:$H$10000,"="&amp;quot_date)+SUMIFS('[1]1_group_total_details'!$P$8:$P$10000,'[1]1_group_total_details'!$C$8:$C$10000,I65,'[1]1_group_total_details'!$F$8:$F$10000,quot_location_group_id,'[1]1_group_total_details'!$G$8:$G$10000,quot_location_id,'[1]1_group_total_details'!$H$8:$H$10000,"="&amp;quot_date)))</f>
        <v/>
      </c>
      <c r="AL65" s="197" t="str">
        <f>IF(M65="","",(SUMIFS('[1]1_group_total_details'!$I$8:$I$10000,'[1]1_group_total_details'!$C$8:$C$10000,I65,'[1]1_group_total_details'!$F$8:$F$10000,quot_location_group_id,'[1]1_group_total_details'!$G$8:$G$10000,quot_location_id,'[1]1_group_total_details'!$H$8:$H$10000,"&lt;="&amp;quot_date)+SUMIFS('[1]1_group_total_details'!$L$8:$L$10000,'[1]1_group_total_details'!$C$8:$C$10000,I65,'[1]1_group_total_details'!$F$8:$F$10000,quot_location_group_id,'[1]1_group_total_details'!$G$8:$G$10000,1,'[1]1_group_total_details'!$H$8:$H$10000,"&lt;="&amp;quot_date)+SUMIFS('[1]1_group_total_details'!$N$8:$N$10000,'[1]1_group_total_details'!$C$8:$C$10000,I65,'[1]1_group_total_details'!$F$8:$F$10000,quot_location_group_id,'[1]1_group_total_details'!$G$8:$G$10000,quot_location_id,'[1]1_group_total_details'!$H$8:$H$10000,"&lt;="&amp;quot_date)+SUMIFS('[1]1_group_total_details'!$O$8:$O$10000,'[1]1_group_total_details'!$C$8:$C$10000,I65,'[1]1_group_total_details'!$F$8:$F$10000,quot_location_group_id,'[1]1_group_total_details'!$G$8:$G$10000,quot_location_id,'[1]1_group_total_details'!$H$8:$H$10000,"&lt;="&amp;quot_date))-(SUMIFS('[1]1_group_total_details'!$J$8:$J$10000,'[1]1_group_total_details'!$C$8:$C$10000,I65,'[1]1_group_total_details'!$F$8:$F$10000,quot_location_group_id,'[1]1_group_total_details'!$G$8:$G$10000,quot_location_id,'[1]1_group_total_details'!$H$8:$H$10000,"&lt;="&amp;quot_date)+SUMIFS('[1]1_group_total_details'!$K$8:$K$10000,'[1]1_group_total_details'!$C$8:$C$10000,I65,'[1]1_group_total_details'!$F$8:$F$10000,quot_location_group_id,'[1]1_group_total_details'!$G$8:$G$10000,quot_location_id,'[1]1_group_total_details'!$H$8:$H$10000,"&lt;="&amp;quot_date)+SUMIFS('[1]1_group_total_details'!$M$8:$M$10000,'[1]1_group_total_details'!$C$8:$C$10000,I65,'[1]1_group_total_details'!$F$8:$F$10000,quot_location_group_id,'[1]1_group_total_details'!$G$8:$G$10000,quot_location_id,'[1]1_group_total_details'!$H$8:$H$10000,"&lt;="&amp;quot_date)+SUMIFS('[1]1_group_total_details'!$P$8:$P$10000,'[1]1_group_total_details'!$C$8:$C$10000,I65,'[1]1_group_total_details'!$F$8:$F$10000,quot_location_group_id,'[1]1_group_total_details'!$G$8:$G$10000,quot_location_id,'[1]1_group_total_details'!$H$8:$H$10000,"&lt;="&amp;quot_date)))</f>
        <v/>
      </c>
      <c r="AM65" s="197" t="str">
        <f>IF(M65="","",SUMIFS('[1]1_group_totals'!$J$8:$J$10000,'[1]1_group_totals'!$C$8:$C$10000,I65,'[1]1_group_totals'!$F$8:$F$10000,quot_location_group_id,'[1]1_group_totals'!$G$8:$G$10000,quot_location_id,'[1]1_group_totals'!$H$8:$H$10000,"="&amp;Q65,'[1]1_group_totals'!$I$8:$I$10000,"="&amp;R65))</f>
        <v/>
      </c>
      <c r="AN65" s="197" t="str">
        <f t="shared" si="7"/>
        <v/>
      </c>
      <c r="AO65" s="197" t="str">
        <f>IF(OR(ISNA(MATCH(MID(AN65,1,3)*1,UomConversion!$D$8:$D$500,0)),M65=""),"",IF(AT65="","",AT65))</f>
        <v/>
      </c>
      <c r="AP65" s="197" t="str">
        <f>IF(AND(AQ65&gt;0,COUNTIFS(UomConversion!$D$8:$D$500,MID(AN65,1,3)*1,UomConversion!$J$8:$J$500,1)&gt;1),TEXT(AQ65,"000")&amp;"."&amp;VLOOKUP(AQ65,uom_list,5,FALSE),"")</f>
        <v/>
      </c>
      <c r="AQ65" s="197" t="str">
        <f t="shared" si="20"/>
        <v/>
      </c>
      <c r="AR65" s="197" t="str">
        <f t="shared" si="21"/>
        <v/>
      </c>
      <c r="AS65" s="197" t="str">
        <f>IF(M65="","",SUMIFS(ProductPrice!$N$28:$N$10020,ProductPrice!$D$28:$D$10020,I65,ProductPrice!$G$28:$G$10020,quot_branch_id,ProductPrice!$H$28:$H$10020,quot_price_type_id,ProductPrice!$I$28:$I$10020,MID(P65,1,3)*1,ProductPrice!$Q$28:$Q$10020,1))</f>
        <v/>
      </c>
      <c r="AT65" s="197" t="str">
        <f t="shared" si="8"/>
        <v/>
      </c>
      <c r="AU65" s="197" t="str" cm="1">
        <f t="array" ref="AU65">IF(M65="","",IF(ISNA(Slookup(MID(AN65,1,3)*1,UomConversion!$D$8:$J$500,2,UomConversion!$I$8:$I$500,1,UomConversion!$J$8:$J$500,1)),"",Slookup(MID(AN65,1,3)*1,UomConversion!$D$8:$J$500,2,UomConversion!$I$8:$I$500,1,UomConversion!$J$8:$J$500,1)))</f>
        <v/>
      </c>
      <c r="AV65" s="197" t="str">
        <f t="shared" ref="AV65" si="253">IF(M65="","",IF(quot_location_id=1,BA65,IF(quot_location_id=2,BB65,0)))</f>
        <v/>
      </c>
      <c r="AW65" s="197" t="str">
        <f>IF(M65="","",(SUMIFS('[1]1_group_totals'!$K$8:$K$10000,'[1]1_group_totals'!$C$8:$C$10000,I65,'[1]1_group_totals'!$F$8:$F$10000,quot_location_group_id,'[1]1_group_totals'!$G$8:$G$10000,quot_location_id,'[1]1_group_totals'!$H$8:$H$10000,"="&amp;Q65,'[1]1_group_totals'!$I$8:$I$10000,"="&amp;R65)+SUMIFS('[1]1_group_totals'!$N$8:$N$10000,'[1]1_group_totals'!$C$8:$C$10000,I65,'[1]1_group_totals'!$F$8:$F$10000,quot_location_group_id,'[1]1_group_totals'!$G$8:$G$10000,quot_location_id,'[1]1_group_totals'!$H$8:$H$10000,"="&amp;Q65,'[1]1_group_totals'!$I$8:$I$10000,"="&amp;R65)+SUMIFS('[1]1_group_totals'!$P$8:$P$10000,'[1]1_group_totals'!$C$8:$C$10000,I65,'[1]1_group_totals'!$F$8:$F$10000,quot_location_group_id,'[1]1_group_totals'!$G$8:$G$10000,quot_location_id,'[1]1_group_totals'!$H$8:$H$10000,"="&amp;Q65,'[1]1_group_totals'!$I$8:$I$10000,"="&amp;R65)+SUMIFS('[1]1_group_totals'!$Q$8:$Q$10000,'[1]1_group_totals'!$C$8:$C$10000,I65,'[1]1_group_totals'!$F$8:$F$10000,quot_location_group_id,'[1]1_group_totals'!$G$8:$G$10000,quot_location_id,'[1]1_group_totals'!$H$8:$H$10000,"="&amp;Q65,'[1]1_group_totals'!$I$8:$I$10000,"="&amp;R65))+(SUMIFS('[1]1_group_totals'!$L$8:$L$10000,'[1]1_group_totals'!$C$8:$C$10000,I65,'[1]1_group_totals'!$F$8:$F$10000,quot_location_group_id,'[1]1_group_totals'!$G$8:$G$10000,quot_location_id,'[1]1_group_totals'!$H$8:$H$10000,"="&amp;Q65,'[1]1_group_totals'!$I$8:$I$10000,"="&amp;R65)+SUMIFS('[1]1_group_totals'!$M$8:$M$10000,'[1]1_group_totals'!$C$8:$C$10000,I65,'[1]1_group_totals'!$F$8:$F$10000,quot_location_group_id,'[1]1_group_totals'!$G$8:$G$10000,quot_location_id,'[1]1_group_totals'!$H$8:$H$10000,"="&amp;Q65,'[1]1_group_totals'!$I$8:$I$10000,"="&amp;R65)+SUMIFS('[1]1_group_totals'!$O$8:$O$10000,'[1]1_group_totals'!$C$8:$C$10000,I65,'[1]1_group_totals'!$F$8:$F$10000,quot_location_group_id,'[1]1_group_totals'!$G$8:$G$10000,quot_location_id,'[1]1_group_totals'!$H$8:$H$10000,"="&amp;Q65,'[1]1_group_totals'!$I$8:$I$10000,"="&amp;R65)+SUMIFS('[1]1_group_totals'!$R$8:$R$10000,'[1]1_group_totals'!$C$8:$C$10000,I65,'[1]1_group_totals'!$F$8:$F$10000,quot_location_group_id,'[1]1_group_totals'!$G$8:$G$10000,quot_location_id,'[1]1_group_totals'!$H$8:$H$10000,"="&amp;Q65,'[1]1_group_totals'!$I$8:$I$10000,"="&amp;R65)))</f>
        <v/>
      </c>
      <c r="AX65" s="197" t="str">
        <f t="shared" si="23"/>
        <v/>
      </c>
      <c r="AY65" s="197" t="str">
        <f>IF(M65="","",SUMIFS($AX$8:AX65,$I$8:I65,I65))</f>
        <v/>
      </c>
      <c r="AZ65" s="197" t="str">
        <f t="shared" si="24"/>
        <v/>
      </c>
      <c r="BA65" s="197" t="str">
        <f>IF(M65="","",(SUMIFS('[1]1_inventory_totals'!$I$8:$I$10000,'[1]1_inventory_totals'!$C$8:$C$10000,I65,'[1]1_inventory_totals'!$F$8:$F$10000,"="&amp;Q65,'[1]1_inventory_totals'!$G$8:$G$10000,"="&amp;R65)+SUMIFS('[1]1_inventory_totals'!$N$8:$N$10000,'[1]1_inventory_totals'!$C$8:$C$10000,I65,'[1]1_inventory_totals'!$F$8:$F$10000,"="&amp;Q65,'[1]1_inventory_totals'!$G$8:$G$10000,"="&amp;R65)+SUMIFS('[1]1_inventory_totals'!$P$8:$P$10000,'[1]1_inventory_totals'!$C$8:$C$10000,I65,'[1]1_inventory_totals'!$F$8:$F$10000,"="&amp;Q65,'[1]1_inventory_totals'!$G$8:$G$10000,"="&amp;R65)+SUMIFS('[1]1_inventory_totals'!$Q$8:$Q$10000,'[1]1_inventory_totals'!$C$8:$C$10000,I65,'[1]1_inventory_totals'!$F$8:$F$10000,"="&amp;Q65,'[1]1_inventory_totals'!$G$8:$G$10000,"="&amp;R65)+SUMIFS('[1]1_inventory_totals'!$R$8:$R$10000,'[1]1_inventory_totals'!$C$8:$C$10000,I65,'[1]1_inventory_totals'!$F$8:$F$10000,"="&amp;Q65,'[1]1_inventory_totals'!$G$8:$G$10000,"="&amp;R65))+(SUMIFS('[1]1_inventory_totals'!$J$8:$J$10000,'[1]1_inventory_totals'!$C$8:$C$10000,I65,'[1]1_inventory_totals'!$F$8:$F$10000,"="&amp;Q65,'[1]1_inventory_totals'!$G$8:$G$10000,"="&amp;R65)+SUMIFS('[1]1_inventory_totals'!$K$8:$K$10000,'[1]1_inventory_totals'!$C$8:$C$10000,I65,'[1]1_inventory_totals'!$F$8:$F$10000,"="&amp;Q65,'[1]1_inventory_totals'!$G$8:$G$10000,"="&amp;R65)+SUMIFS('[1]1_inventory_totals'!$L$8:$L$10000,'[1]1_inventory_totals'!$C$8:$C$10000,I65,'[1]1_inventory_totals'!$F$8:$F$10000,"="&amp;Q65,'[1]1_inventory_totals'!$G$8:$G$10000,"="&amp;R65)+SUMIFS('[1]1_inventory_totals'!$M$8:$M$10000,'[1]1_inventory_totals'!$C$8:$C$10000,I65,'[1]1_inventory_totals'!$F$8:$F$10000,"="&amp;Q65,'[1]1_inventory_totals'!$G$8:$G$10000,"="&amp;R65)+SUMIFS('[1]1_inventory_totals'!$O$8:$O$10000,'[1]1_inventory_totals'!$C$8:$C$10000,I65,'[1]1_inventory_totals'!$F$8:$F$10000,"="&amp;Q65,'[1]1_inventory_totals'!$G$8:$G$10000,"="&amp;R65)+SUMIFS('[1]1_inventory_totals'!$S$8:$S$10000,'[1]1_inventory_totals'!$C$8:$C$10000,I65,'[1]1_inventory_totals'!$F$8:$F$10000,"="&amp;Q65,'[1]1_inventory_totals'!$G$8:$G$10000,"="&amp;R65)))</f>
        <v/>
      </c>
      <c r="BB65" s="197" t="str">
        <f>IF(M65="","",(SUMIFS('[1]2_inventory_totals'!$I$8:$I$10000,'[1]2_inventory_totals'!$C$8:$C$10000,I65,'[1]2_inventory_totals'!$F$8:$F$10000,"="&amp;Q65,'[1]2_inventory_totals'!$G$8:$G$10000,"="&amp;R65)+SUMIFS('[1]2_inventory_totals'!$N$8:$N$10000,'[1]2_inventory_totals'!$C$8:$C$10000,I65,'[1]2_inventory_totals'!$F$8:$F$10000,"="&amp;Q65,'[1]2_inventory_totals'!$G$8:$G$10000,"="&amp;R65)+SUMIFS('[1]2_inventory_totals'!$P$8:$P$10000,'[1]2_inventory_totals'!$C$8:$C$10000,I65,'[1]2_inventory_totals'!$F$8:$F$10000,"="&amp;Q65,'[1]2_inventory_totals'!$G$8:$G$10000,"="&amp;R65)+SUMIFS('[1]2_inventory_totals'!$Q$8:$Q$10000,'[1]2_inventory_totals'!$C$8:$C$10000,I65,'[1]2_inventory_totals'!$F$8:$F$10000,"="&amp;Q65,'[1]2_inventory_totals'!$G$8:$G$10000,"="&amp;R65)+SUMIFS('[1]2_inventory_totals'!$R$8:$R$10000,'[1]2_inventory_totals'!$C$8:$C$10000,I65,'[1]2_inventory_totals'!$F$8:$F$10000,"="&amp;Q65,'[1]2_inventory_totals'!$G$8:$G$10000,"="&amp;R65))+(SUMIFS('[1]2_inventory_totals'!$J$8:$J$10000,'[1]2_inventory_totals'!$C$8:$C$10000,I65,'[1]2_inventory_totals'!$F$8:$F$10000,"="&amp;Q65,'[1]2_inventory_totals'!$G$8:$G$10000,"="&amp;R65)+SUMIFS('[1]2_inventory_totals'!$K$8:$K$10000,'[1]2_inventory_totals'!$C$8:$C$10000,I65,'[1]2_inventory_totals'!$F$8:$F$10000,"="&amp;Q65,'[1]2_inventory_totals'!$G$8:$G$10000,"="&amp;R65)+SUMIFS('[1]2_inventory_totals'!$L$8:$L$10000,'[1]2_inventory_totals'!$C$8:$C$10000,I65,'[1]2_inventory_totals'!$F$8:$F$10000,"="&amp;Q65,'[1]2_inventory_totals'!$G$8:$G$10000,"="&amp;R65)+SUMIFS('[1]2_inventory_totals'!$M$8:$M$10000,'[1]2_inventory_totals'!$C$8:$C$10000,I65,'[1]2_inventory_totals'!$F$8:$F$10000,"="&amp;Q65,'[1]2_inventory_totals'!$G$8:$G$10000,"="&amp;R65)+SUMIFS('[1]2_inventory_totals'!$O$8:$O$10000,'[1]2_inventory_totals'!$C$8:$C$10000,I65,'[1]2_inventory_totals'!$F$8:$F$10000,"="&amp;Q65,'[1]2_inventory_totals'!$G$8:$G$10000,"="&amp;R65)+SUMIFS('[1]2_inventory_totals'!$S$8:$S$10000,'[1]2_inventory_totals'!$C$8:$C$10000,I65,'[1]2_inventory_totals'!$F$8:$F$10000,"="&amp;Q65,'[1]2_inventory_totals'!$G$8:$G$10000,"="&amp;R65)))</f>
        <v/>
      </c>
    </row>
    <row r="66" spans="1:54" ht="27" hidden="1" customHeight="1">
      <c r="A66" s="923"/>
      <c r="B66" s="1256"/>
      <c r="C66" s="950"/>
      <c r="D66" s="950"/>
      <c r="E66" s="950"/>
      <c r="F66" s="1257"/>
      <c r="G66" s="941"/>
      <c r="H66" s="951"/>
      <c r="I66" s="1610" t="str">
        <f t="shared" si="10"/>
        <v/>
      </c>
      <c r="J66" s="1611" t="str">
        <f t="shared" si="112"/>
        <v/>
      </c>
      <c r="K66" s="1612" t="str">
        <f t="shared" si="30"/>
        <v/>
      </c>
      <c r="L66" s="1613"/>
      <c r="M66" s="883"/>
      <c r="N66" s="884"/>
      <c r="O66" s="884"/>
      <c r="P66" s="885"/>
      <c r="Q66" s="886"/>
      <c r="R66" s="891"/>
      <c r="S66" s="1614" t="str">
        <f t="shared" ref="S66" si="254">IF(M66="","",quot_currency_symbol)</f>
        <v/>
      </c>
      <c r="T66" s="888"/>
      <c r="U66" s="1650" t="str">
        <f t="shared" si="13"/>
        <v/>
      </c>
      <c r="V66" s="1615" t="str">
        <f t="shared" ref="V66" si="255">IF(W66=0,"",quot_currency_symbol)</f>
        <v/>
      </c>
      <c r="W66" s="889"/>
      <c r="X66" s="1615" t="str">
        <f t="shared" ref="X66" si="256">IF(M66="","",quot_currency_symbol)</f>
        <v/>
      </c>
      <c r="Y66" s="1616" t="str">
        <f t="shared" si="34"/>
        <v/>
      </c>
      <c r="Z66" s="890"/>
      <c r="AA66" s="197" t="str" cm="1">
        <f t="array" ref="AA66">IF(M66="","",IF(P66=AN66,1,Slookup(MID(AN66,1,3)*1,UomConversion!$D$8:$J$500,5,UomConversion!$E$8:$E$500,MID(P66,1,3)*1,UomConversion!$J$8:$J$500,1)))</f>
        <v/>
      </c>
      <c r="AB66" s="197" t="str">
        <f t="shared" si="3"/>
        <v/>
      </c>
      <c r="AC66" s="197" t="str">
        <f t="shared" si="17"/>
        <v/>
      </c>
      <c r="AD66" s="197" t="str">
        <f t="shared" si="18"/>
        <v/>
      </c>
      <c r="AE66" s="197" t="str">
        <f t="shared" si="19"/>
        <v/>
      </c>
      <c r="AF66" s="197" t="str">
        <f t="shared" si="152"/>
        <v/>
      </c>
      <c r="AG66" s="197" t="str">
        <f t="shared" si="6"/>
        <v/>
      </c>
      <c r="AH66" s="197" t="str">
        <f>IF(I66="","",IF(ISNA(MATCH(I66,IF(quot_location_id=1,'[1]1_inventory_totals'!$C$8:$C$10000,IF(quot_location_id=2,'[1]2_inventory_totals'!$C$8:$C$10000,0)),0)),0,IF(AV66&gt;0,1,0)))</f>
        <v/>
      </c>
      <c r="AI66" s="197" t="str">
        <f>IF(M66="","",IF(quot_location_id=1,SUMIFS('[1]1_inventory_total_details'!$J$8:$J$10000,'[1]1_inventory_total_details'!$C$8:$C$10000,I66,'[1]1_inventory_total_details'!$F$8:$F$10000,quot_location_id,'[1]1_inventory_total_details'!$G$8:$G$10000,"="&amp;Q66,'[1]1_inventory_total_details'!$H$8:$H$10000,"="&amp;R66,'[1]1_inventory_total_details'!$I$8:$I$10000,"="&amp;quot_date)+SUMIFS('[1]1_inventory_total_details'!$M$8:$M$10000,'[1]1_inventory_total_details'!$C$8:$C$10000,I66,'[1]1_inventory_total_details'!$F$8:$F$10000,quot_location_id,'[1]1_inventory_total_details'!$G$8:$G$10000,"="&amp;Q66,'[1]1_inventory_total_details'!$H$8:$H$10000,"="&amp;R66,'[1]1_inventory_total_details'!$I$8:$I$10000,"="&amp;quot_date)+SUMIFS('[1]1_inventory_total_details'!$K$8:$K$10000,'[1]1_inventory_total_details'!$C$8:$C$10000,I66,'[1]1_inventory_total_details'!$F$8:$F$10000,quot_location_id,'[1]1_inventory_total_details'!$G$8:$G$10000,"="&amp;Q66,'[1]1_inventory_total_details'!$H$8:$H$10000,"="&amp;R66,'[1]1_inventory_total_details'!$I$8:$I$10000,"="&amp;quot_date)+SUMIFS('[1]1_inventory_total_details'!$L$8:$L$10000,'[1]1_inventory_total_details'!$C$8:$C$10000,I66,'[1]1_inventory_total_details'!$F$8:$F$10000,quot_location_id,'[1]1_inventory_total_details'!$G$8:$G$10000,"="&amp;Q66,'[1]1_inventory_total_details'!$H$8:$H$10000,"="&amp;R66,'[1]1_inventory_total_details'!$I$8:$I$10000,"="&amp;quot_date),SUMIFS('[1]2_inventory_total_details'!$J$8:$J$10000,'[1]2_inventory_total_details'!$C$8:$C$10000,I66,'[1]2_inventory_total_details'!$F$8:$F$10000,quot_location_id,'[1]2_inventory_total_details'!$G$8:$G$10000,"="&amp;Q66,'[1]2_inventory_total_details'!$H$8:$H$10000,"="&amp;R66,'[1]2_inventory_total_details'!$I$8:$I$10000,"="&amp;quot_date)+SUMIFS('[1]2_inventory_total_details'!$M$8:$M$10000,'[1]2_inventory_total_details'!$C$8:$C$10000,I66,'[1]2_inventory_total_details'!$F$8:$F$10000,quot_location_id,'[1]2_inventory_total_details'!$G$8:$G$10000,"="&amp;Q66,'[1]2_inventory_total_details'!$H$8:$H$10000,"="&amp;R66,'[1]2_inventory_total_details'!$I$8:$I$10000,"="&amp;quot_date)+SUMIFS('[1]2_inventory_total_details'!$K$8:$K$10000,'[1]2_inventory_total_details'!$C$8:$C$10000,I66,'[1]2_inventory_total_details'!$F$8:$F$10000,quot_location_id,'[1]2_inventory_total_details'!$G$8:$G$10000,"="&amp;Q66,'[1]2_inventory_total_details'!$H$8:$H$10000,"="&amp;R66,'[1]2_inventory_total_details'!$I$8:$I$10000,"="&amp;quot_date)+SUMIFS('[1]2_inventory_total_details'!$L$8:$L$10000,'[1]2_inventory_total_details'!$C$8:$C$10000,I66,'[1]2_inventory_total_details'!$F$8:$F$10000,quot_location_id,'[1]2_inventory_total_details'!$G$8:$G$10000,"="&amp;Q66,'[1]2_inventory_total_details'!$H$8:$H$10000,"="&amp;R66,'[1]2_inventory_total_details'!$I$8:$I$10000,"="&amp;quot_date)))</f>
        <v/>
      </c>
      <c r="AJ66" s="197" t="str">
        <f>IF(M66="","",IF(ISNA(MATCH(I66,'[1]1_group_totals'!$C$8:$C$10000)),0,IF(AW66&gt;0,1,0)))</f>
        <v/>
      </c>
      <c r="AK66" s="197" t="str">
        <f>IF(M66="","",(SUMIFS('[1]1_group_total_details'!$I$8:$I$10000,'[1]1_group_total_details'!$C$8:$C$10000,I66,'[1]1_group_total_details'!$F$8:$F$10000,quot_location_group_id,'[1]1_group_total_details'!$G$8:$G$10000,quot_location_id,'[1]1_group_total_details'!$H$8:$H$10000,"="&amp;quot_date)+SUMIFS('[1]1_group_total_details'!$L$8:$L$10000,'[1]1_group_total_details'!$C$8:$C$10000,I66,'[1]1_group_total_details'!$F$8:$F$10000,quot_location_group_id,'[1]1_group_total_details'!$G$8:$G$10000,quot_location_id,'[1]1_group_total_details'!$H$8:$H$10000,"="&amp;quot_date)+SUMIFS('[1]1_group_total_details'!$N$8:$N$10000,'[1]1_group_total_details'!$C$8:$C$10000,I66,'[1]1_group_total_details'!$F$8:$F$10000,quot_location_group_id,'[1]1_group_total_details'!$G$8:$G$10000,quot_location_id,'[1]1_group_total_details'!$H$8:$H$10000,"="&amp;quot_date)+SUMIFS('[1]1_group_total_details'!$O$8:$O$10000,'[1]1_group_total_details'!$C$8:$C$10000,I66,'[1]1_group_total_details'!$F$8:$F$10000,quot_location_group_id,'[1]1_group_total_details'!$G$8:$G$10000,quot_location_id,'[1]1_group_total_details'!$H$8:$H$10000,"="&amp;quot_date))+(SUMIFS('[1]1_group_total_details'!$J$8:$J$10000,'[1]1_group_total_details'!$C$8:$C$10000,I66,'[1]1_group_total_details'!$F$8:$F$10000,quot_location_group_id,'[1]1_group_total_details'!$G$8:$G$10000,quot_location_id,'[1]1_group_total_details'!$H$8:$H$10000,"="&amp;quot_date)+SUMIFS('[1]1_group_total_details'!$K$8:$K$10000,'[1]1_group_total_details'!$C$8:$C$10000,I66,'[1]1_group_total_details'!$F$8:$F$10000,quot_location_group_id,'[1]1_group_total_details'!$G$8:$G$10000,quot_location_id,'[1]1_group_total_details'!$H$8:$H$10000,"="&amp;quot_date)+SUMIFS('[1]1_group_total_details'!$M$8:$M$10000,'[1]1_group_total_details'!$C$8:$C$10000,I66,'[1]1_group_total_details'!$F$8:$F$10000,quot_location_group_id,'[1]1_group_total_details'!$G$8:$G$10000,quot_location_id,'[1]1_group_total_details'!$H$8:$H$10000,"="&amp;quot_date)+SUMIFS('[1]1_group_total_details'!$P$8:$P$10000,'[1]1_group_total_details'!$C$8:$C$10000,I66,'[1]1_group_total_details'!$F$8:$F$10000,quot_location_group_id,'[1]1_group_total_details'!$G$8:$G$10000,quot_location_id,'[1]1_group_total_details'!$H$8:$H$10000,"="&amp;quot_date)))</f>
        <v/>
      </c>
      <c r="AL66" s="197" t="str">
        <f>IF(M66="","",(SUMIFS('[1]1_group_total_details'!$I$8:$I$10000,'[1]1_group_total_details'!$C$8:$C$10000,I66,'[1]1_group_total_details'!$F$8:$F$10000,quot_location_group_id,'[1]1_group_total_details'!$G$8:$G$10000,quot_location_id,'[1]1_group_total_details'!$H$8:$H$10000,"&lt;="&amp;quot_date)+SUMIFS('[1]1_group_total_details'!$L$8:$L$10000,'[1]1_group_total_details'!$C$8:$C$10000,I66,'[1]1_group_total_details'!$F$8:$F$10000,quot_location_group_id,'[1]1_group_total_details'!$G$8:$G$10000,1,'[1]1_group_total_details'!$H$8:$H$10000,"&lt;="&amp;quot_date)+SUMIFS('[1]1_group_total_details'!$N$8:$N$10000,'[1]1_group_total_details'!$C$8:$C$10000,I66,'[1]1_group_total_details'!$F$8:$F$10000,quot_location_group_id,'[1]1_group_total_details'!$G$8:$G$10000,quot_location_id,'[1]1_group_total_details'!$H$8:$H$10000,"&lt;="&amp;quot_date)+SUMIFS('[1]1_group_total_details'!$O$8:$O$10000,'[1]1_group_total_details'!$C$8:$C$10000,I66,'[1]1_group_total_details'!$F$8:$F$10000,quot_location_group_id,'[1]1_group_total_details'!$G$8:$G$10000,quot_location_id,'[1]1_group_total_details'!$H$8:$H$10000,"&lt;="&amp;quot_date))-(SUMIFS('[1]1_group_total_details'!$J$8:$J$10000,'[1]1_group_total_details'!$C$8:$C$10000,I66,'[1]1_group_total_details'!$F$8:$F$10000,quot_location_group_id,'[1]1_group_total_details'!$G$8:$G$10000,quot_location_id,'[1]1_group_total_details'!$H$8:$H$10000,"&lt;="&amp;quot_date)+SUMIFS('[1]1_group_total_details'!$K$8:$K$10000,'[1]1_group_total_details'!$C$8:$C$10000,I66,'[1]1_group_total_details'!$F$8:$F$10000,quot_location_group_id,'[1]1_group_total_details'!$G$8:$G$10000,quot_location_id,'[1]1_group_total_details'!$H$8:$H$10000,"&lt;="&amp;quot_date)+SUMIFS('[1]1_group_total_details'!$M$8:$M$10000,'[1]1_group_total_details'!$C$8:$C$10000,I66,'[1]1_group_total_details'!$F$8:$F$10000,quot_location_group_id,'[1]1_group_total_details'!$G$8:$G$10000,quot_location_id,'[1]1_group_total_details'!$H$8:$H$10000,"&lt;="&amp;quot_date)+SUMIFS('[1]1_group_total_details'!$P$8:$P$10000,'[1]1_group_total_details'!$C$8:$C$10000,I66,'[1]1_group_total_details'!$F$8:$F$10000,quot_location_group_id,'[1]1_group_total_details'!$G$8:$G$10000,quot_location_id,'[1]1_group_total_details'!$H$8:$H$10000,"&lt;="&amp;quot_date)))</f>
        <v/>
      </c>
      <c r="AM66" s="197" t="str">
        <f>IF(M66="","",SUMIFS('[1]1_group_totals'!$J$8:$J$10000,'[1]1_group_totals'!$C$8:$C$10000,I66,'[1]1_group_totals'!$F$8:$F$10000,quot_location_group_id,'[1]1_group_totals'!$G$8:$G$10000,quot_location_id,'[1]1_group_totals'!$H$8:$H$10000,"="&amp;Q66,'[1]1_group_totals'!$I$8:$I$10000,"="&amp;R66))</f>
        <v/>
      </c>
      <c r="AN66" s="197" t="str">
        <f t="shared" si="7"/>
        <v/>
      </c>
      <c r="AO66" s="197" t="str">
        <f>IF(OR(ISNA(MATCH(MID(AN66,1,3)*1,UomConversion!$D$8:$D$500,0)),M66=""),"",IF(AT66="","",AT66))</f>
        <v/>
      </c>
      <c r="AP66" s="197" t="str">
        <f>IF(AND(AQ66&gt;0,COUNTIFS(UomConversion!$D$8:$D$500,MID(AN66,1,3)*1,UomConversion!$J$8:$J$500,1)&gt;1),TEXT(AQ66,"000")&amp;"."&amp;VLOOKUP(AQ66,uom_list,5,FALSE),"")</f>
        <v/>
      </c>
      <c r="AQ66" s="197" t="str">
        <f t="shared" si="20"/>
        <v/>
      </c>
      <c r="AR66" s="197" t="str">
        <f t="shared" si="21"/>
        <v/>
      </c>
      <c r="AS66" s="197" t="str">
        <f>IF(M66="","",SUMIFS(ProductPrice!$N$28:$N$10020,ProductPrice!$D$28:$D$10020,I66,ProductPrice!$G$28:$G$10020,quot_branch_id,ProductPrice!$H$28:$H$10020,quot_price_type_id,ProductPrice!$I$28:$I$10020,MID(P66,1,3)*1,ProductPrice!$Q$28:$Q$10020,1))</f>
        <v/>
      </c>
      <c r="AT66" s="197" t="str">
        <f t="shared" si="8"/>
        <v/>
      </c>
      <c r="AU66" s="197" t="str" cm="1">
        <f t="array" ref="AU66">IF(M66="","",IF(ISNA(Slookup(MID(AN66,1,3)*1,UomConversion!$D$8:$J$500,2,UomConversion!$I$8:$I$500,1,UomConversion!$J$8:$J$500,1)),"",Slookup(MID(AN66,1,3)*1,UomConversion!$D$8:$J$500,2,UomConversion!$I$8:$I$500,1,UomConversion!$J$8:$J$500,1)))</f>
        <v/>
      </c>
      <c r="AV66" s="197" t="str">
        <f t="shared" ref="AV66" si="257">IF(M66="","",IF(quot_location_id=1,BA66,IF(quot_location_id=2,BB66,0)))</f>
        <v/>
      </c>
      <c r="AW66" s="197" t="str">
        <f>IF(M66="","",(SUMIFS('[1]1_group_totals'!$K$8:$K$10000,'[1]1_group_totals'!$C$8:$C$10000,I66,'[1]1_group_totals'!$F$8:$F$10000,quot_location_group_id,'[1]1_group_totals'!$G$8:$G$10000,quot_location_id,'[1]1_group_totals'!$H$8:$H$10000,"="&amp;Q66,'[1]1_group_totals'!$I$8:$I$10000,"="&amp;R66)+SUMIFS('[1]1_group_totals'!$N$8:$N$10000,'[1]1_group_totals'!$C$8:$C$10000,I66,'[1]1_group_totals'!$F$8:$F$10000,quot_location_group_id,'[1]1_group_totals'!$G$8:$G$10000,quot_location_id,'[1]1_group_totals'!$H$8:$H$10000,"="&amp;Q66,'[1]1_group_totals'!$I$8:$I$10000,"="&amp;R66)+SUMIFS('[1]1_group_totals'!$P$8:$P$10000,'[1]1_group_totals'!$C$8:$C$10000,I66,'[1]1_group_totals'!$F$8:$F$10000,quot_location_group_id,'[1]1_group_totals'!$G$8:$G$10000,quot_location_id,'[1]1_group_totals'!$H$8:$H$10000,"="&amp;Q66,'[1]1_group_totals'!$I$8:$I$10000,"="&amp;R66)+SUMIFS('[1]1_group_totals'!$Q$8:$Q$10000,'[1]1_group_totals'!$C$8:$C$10000,I66,'[1]1_group_totals'!$F$8:$F$10000,quot_location_group_id,'[1]1_group_totals'!$G$8:$G$10000,quot_location_id,'[1]1_group_totals'!$H$8:$H$10000,"="&amp;Q66,'[1]1_group_totals'!$I$8:$I$10000,"="&amp;R66))+(SUMIFS('[1]1_group_totals'!$L$8:$L$10000,'[1]1_group_totals'!$C$8:$C$10000,I66,'[1]1_group_totals'!$F$8:$F$10000,quot_location_group_id,'[1]1_group_totals'!$G$8:$G$10000,quot_location_id,'[1]1_group_totals'!$H$8:$H$10000,"="&amp;Q66,'[1]1_group_totals'!$I$8:$I$10000,"="&amp;R66)+SUMIFS('[1]1_group_totals'!$M$8:$M$10000,'[1]1_group_totals'!$C$8:$C$10000,I66,'[1]1_group_totals'!$F$8:$F$10000,quot_location_group_id,'[1]1_group_totals'!$G$8:$G$10000,quot_location_id,'[1]1_group_totals'!$H$8:$H$10000,"="&amp;Q66,'[1]1_group_totals'!$I$8:$I$10000,"="&amp;R66)+SUMIFS('[1]1_group_totals'!$O$8:$O$10000,'[1]1_group_totals'!$C$8:$C$10000,I66,'[1]1_group_totals'!$F$8:$F$10000,quot_location_group_id,'[1]1_group_totals'!$G$8:$G$10000,quot_location_id,'[1]1_group_totals'!$H$8:$H$10000,"="&amp;Q66,'[1]1_group_totals'!$I$8:$I$10000,"="&amp;R66)+SUMIFS('[1]1_group_totals'!$R$8:$R$10000,'[1]1_group_totals'!$C$8:$C$10000,I66,'[1]1_group_totals'!$F$8:$F$10000,quot_location_group_id,'[1]1_group_totals'!$G$8:$G$10000,quot_location_id,'[1]1_group_totals'!$H$8:$H$10000,"="&amp;Q66,'[1]1_group_totals'!$I$8:$I$10000,"="&amp;R66)))</f>
        <v/>
      </c>
      <c r="AX66" s="197" t="str">
        <f t="shared" si="23"/>
        <v/>
      </c>
      <c r="AY66" s="197" t="str">
        <f>IF(M66="","",SUMIFS($AX$8:AX66,$I$8:I66,I66))</f>
        <v/>
      </c>
      <c r="AZ66" s="197" t="str">
        <f t="shared" si="24"/>
        <v/>
      </c>
      <c r="BA66" s="197" t="str">
        <f>IF(M66="","",(SUMIFS('[1]1_inventory_totals'!$I$8:$I$10000,'[1]1_inventory_totals'!$C$8:$C$10000,I66,'[1]1_inventory_totals'!$F$8:$F$10000,"="&amp;Q66,'[1]1_inventory_totals'!$G$8:$G$10000,"="&amp;R66)+SUMIFS('[1]1_inventory_totals'!$N$8:$N$10000,'[1]1_inventory_totals'!$C$8:$C$10000,I66,'[1]1_inventory_totals'!$F$8:$F$10000,"="&amp;Q66,'[1]1_inventory_totals'!$G$8:$G$10000,"="&amp;R66)+SUMIFS('[1]1_inventory_totals'!$P$8:$P$10000,'[1]1_inventory_totals'!$C$8:$C$10000,I66,'[1]1_inventory_totals'!$F$8:$F$10000,"="&amp;Q66,'[1]1_inventory_totals'!$G$8:$G$10000,"="&amp;R66)+SUMIFS('[1]1_inventory_totals'!$Q$8:$Q$10000,'[1]1_inventory_totals'!$C$8:$C$10000,I66,'[1]1_inventory_totals'!$F$8:$F$10000,"="&amp;Q66,'[1]1_inventory_totals'!$G$8:$G$10000,"="&amp;R66)+SUMIFS('[1]1_inventory_totals'!$R$8:$R$10000,'[1]1_inventory_totals'!$C$8:$C$10000,I66,'[1]1_inventory_totals'!$F$8:$F$10000,"="&amp;Q66,'[1]1_inventory_totals'!$G$8:$G$10000,"="&amp;R66))+(SUMIFS('[1]1_inventory_totals'!$J$8:$J$10000,'[1]1_inventory_totals'!$C$8:$C$10000,I66,'[1]1_inventory_totals'!$F$8:$F$10000,"="&amp;Q66,'[1]1_inventory_totals'!$G$8:$G$10000,"="&amp;R66)+SUMIFS('[1]1_inventory_totals'!$K$8:$K$10000,'[1]1_inventory_totals'!$C$8:$C$10000,I66,'[1]1_inventory_totals'!$F$8:$F$10000,"="&amp;Q66,'[1]1_inventory_totals'!$G$8:$G$10000,"="&amp;R66)+SUMIFS('[1]1_inventory_totals'!$L$8:$L$10000,'[1]1_inventory_totals'!$C$8:$C$10000,I66,'[1]1_inventory_totals'!$F$8:$F$10000,"="&amp;Q66,'[1]1_inventory_totals'!$G$8:$G$10000,"="&amp;R66)+SUMIFS('[1]1_inventory_totals'!$M$8:$M$10000,'[1]1_inventory_totals'!$C$8:$C$10000,I66,'[1]1_inventory_totals'!$F$8:$F$10000,"="&amp;Q66,'[1]1_inventory_totals'!$G$8:$G$10000,"="&amp;R66)+SUMIFS('[1]1_inventory_totals'!$O$8:$O$10000,'[1]1_inventory_totals'!$C$8:$C$10000,I66,'[1]1_inventory_totals'!$F$8:$F$10000,"="&amp;Q66,'[1]1_inventory_totals'!$G$8:$G$10000,"="&amp;R66)+SUMIFS('[1]1_inventory_totals'!$S$8:$S$10000,'[1]1_inventory_totals'!$C$8:$C$10000,I66,'[1]1_inventory_totals'!$F$8:$F$10000,"="&amp;Q66,'[1]1_inventory_totals'!$G$8:$G$10000,"="&amp;R66)))</f>
        <v/>
      </c>
      <c r="BB66" s="197" t="str">
        <f>IF(M66="","",(SUMIFS('[1]2_inventory_totals'!$I$8:$I$10000,'[1]2_inventory_totals'!$C$8:$C$10000,I66,'[1]2_inventory_totals'!$F$8:$F$10000,"="&amp;Q66,'[1]2_inventory_totals'!$G$8:$G$10000,"="&amp;R66)+SUMIFS('[1]2_inventory_totals'!$N$8:$N$10000,'[1]2_inventory_totals'!$C$8:$C$10000,I66,'[1]2_inventory_totals'!$F$8:$F$10000,"="&amp;Q66,'[1]2_inventory_totals'!$G$8:$G$10000,"="&amp;R66)+SUMIFS('[1]2_inventory_totals'!$P$8:$P$10000,'[1]2_inventory_totals'!$C$8:$C$10000,I66,'[1]2_inventory_totals'!$F$8:$F$10000,"="&amp;Q66,'[1]2_inventory_totals'!$G$8:$G$10000,"="&amp;R66)+SUMIFS('[1]2_inventory_totals'!$Q$8:$Q$10000,'[1]2_inventory_totals'!$C$8:$C$10000,I66,'[1]2_inventory_totals'!$F$8:$F$10000,"="&amp;Q66,'[1]2_inventory_totals'!$G$8:$G$10000,"="&amp;R66)+SUMIFS('[1]2_inventory_totals'!$R$8:$R$10000,'[1]2_inventory_totals'!$C$8:$C$10000,I66,'[1]2_inventory_totals'!$F$8:$F$10000,"="&amp;Q66,'[1]2_inventory_totals'!$G$8:$G$10000,"="&amp;R66))+(SUMIFS('[1]2_inventory_totals'!$J$8:$J$10000,'[1]2_inventory_totals'!$C$8:$C$10000,I66,'[1]2_inventory_totals'!$F$8:$F$10000,"="&amp;Q66,'[1]2_inventory_totals'!$G$8:$G$10000,"="&amp;R66)+SUMIFS('[1]2_inventory_totals'!$K$8:$K$10000,'[1]2_inventory_totals'!$C$8:$C$10000,I66,'[1]2_inventory_totals'!$F$8:$F$10000,"="&amp;Q66,'[1]2_inventory_totals'!$G$8:$G$10000,"="&amp;R66)+SUMIFS('[1]2_inventory_totals'!$L$8:$L$10000,'[1]2_inventory_totals'!$C$8:$C$10000,I66,'[1]2_inventory_totals'!$F$8:$F$10000,"="&amp;Q66,'[1]2_inventory_totals'!$G$8:$G$10000,"="&amp;R66)+SUMIFS('[1]2_inventory_totals'!$M$8:$M$10000,'[1]2_inventory_totals'!$C$8:$C$10000,I66,'[1]2_inventory_totals'!$F$8:$F$10000,"="&amp;Q66,'[1]2_inventory_totals'!$G$8:$G$10000,"="&amp;R66)+SUMIFS('[1]2_inventory_totals'!$O$8:$O$10000,'[1]2_inventory_totals'!$C$8:$C$10000,I66,'[1]2_inventory_totals'!$F$8:$F$10000,"="&amp;Q66,'[1]2_inventory_totals'!$G$8:$G$10000,"="&amp;R66)+SUMIFS('[1]2_inventory_totals'!$S$8:$S$10000,'[1]2_inventory_totals'!$C$8:$C$10000,I66,'[1]2_inventory_totals'!$F$8:$F$10000,"="&amp;Q66,'[1]2_inventory_totals'!$G$8:$G$10000,"="&amp;R66)))</f>
        <v/>
      </c>
    </row>
    <row r="67" spans="1:54" ht="27" hidden="1" customHeight="1">
      <c r="A67" s="923"/>
      <c r="B67" s="1256"/>
      <c r="C67" s="950"/>
      <c r="D67" s="950"/>
      <c r="E67" s="950"/>
      <c r="F67" s="1257"/>
      <c r="G67" s="941"/>
      <c r="H67" s="951"/>
      <c r="I67" s="1610" t="str">
        <f t="shared" si="10"/>
        <v/>
      </c>
      <c r="J67" s="1611" t="str">
        <f t="shared" si="112"/>
        <v/>
      </c>
      <c r="K67" s="1612" t="str">
        <f t="shared" si="30"/>
        <v/>
      </c>
      <c r="L67" s="1613"/>
      <c r="M67" s="883"/>
      <c r="N67" s="884"/>
      <c r="O67" s="884"/>
      <c r="P67" s="885"/>
      <c r="Q67" s="886"/>
      <c r="R67" s="891"/>
      <c r="S67" s="1614" t="str">
        <f t="shared" ref="S67" si="258">IF(M67="","",quot_currency_symbol)</f>
        <v/>
      </c>
      <c r="T67" s="888"/>
      <c r="U67" s="1650" t="str">
        <f t="shared" si="13"/>
        <v/>
      </c>
      <c r="V67" s="1615" t="str">
        <f t="shared" ref="V67" si="259">IF(W67=0,"",quot_currency_symbol)</f>
        <v/>
      </c>
      <c r="W67" s="889"/>
      <c r="X67" s="1615" t="str">
        <f t="shared" ref="X67" si="260">IF(M67="","",quot_currency_symbol)</f>
        <v/>
      </c>
      <c r="Y67" s="1616" t="str">
        <f t="shared" si="34"/>
        <v/>
      </c>
      <c r="Z67" s="890"/>
      <c r="AA67" s="197" t="str" cm="1">
        <f t="array" ref="AA67">IF(M67="","",IF(P67=AN67,1,Slookup(MID(AN67,1,3)*1,UomConversion!$D$8:$J$500,5,UomConversion!$E$8:$E$500,MID(P67,1,3)*1,UomConversion!$J$8:$J$500,1)))</f>
        <v/>
      </c>
      <c r="AB67" s="197" t="str">
        <f t="shared" si="3"/>
        <v/>
      </c>
      <c r="AC67" s="197" t="str">
        <f t="shared" si="17"/>
        <v/>
      </c>
      <c r="AD67" s="197" t="str">
        <f t="shared" si="18"/>
        <v/>
      </c>
      <c r="AE67" s="197" t="str">
        <f t="shared" si="19"/>
        <v/>
      </c>
      <c r="AF67" s="197" t="str">
        <f t="shared" si="152"/>
        <v/>
      </c>
      <c r="AG67" s="197" t="str">
        <f t="shared" si="6"/>
        <v/>
      </c>
      <c r="AH67" s="197" t="str">
        <f>IF(I67="","",IF(ISNA(MATCH(I67,IF(quot_location_id=1,'[1]1_inventory_totals'!$C$8:$C$10000,IF(quot_location_id=2,'[1]2_inventory_totals'!$C$8:$C$10000,0)),0)),0,IF(AV67&gt;0,1,0)))</f>
        <v/>
      </c>
      <c r="AI67" s="197" t="str">
        <f>IF(M67="","",IF(quot_location_id=1,SUMIFS('[1]1_inventory_total_details'!$J$8:$J$10000,'[1]1_inventory_total_details'!$C$8:$C$10000,I67,'[1]1_inventory_total_details'!$F$8:$F$10000,quot_location_id,'[1]1_inventory_total_details'!$G$8:$G$10000,"="&amp;Q67,'[1]1_inventory_total_details'!$H$8:$H$10000,"="&amp;R67,'[1]1_inventory_total_details'!$I$8:$I$10000,"="&amp;quot_date)+SUMIFS('[1]1_inventory_total_details'!$M$8:$M$10000,'[1]1_inventory_total_details'!$C$8:$C$10000,I67,'[1]1_inventory_total_details'!$F$8:$F$10000,quot_location_id,'[1]1_inventory_total_details'!$G$8:$G$10000,"="&amp;Q67,'[1]1_inventory_total_details'!$H$8:$H$10000,"="&amp;R67,'[1]1_inventory_total_details'!$I$8:$I$10000,"="&amp;quot_date)+SUMIFS('[1]1_inventory_total_details'!$K$8:$K$10000,'[1]1_inventory_total_details'!$C$8:$C$10000,I67,'[1]1_inventory_total_details'!$F$8:$F$10000,quot_location_id,'[1]1_inventory_total_details'!$G$8:$G$10000,"="&amp;Q67,'[1]1_inventory_total_details'!$H$8:$H$10000,"="&amp;R67,'[1]1_inventory_total_details'!$I$8:$I$10000,"="&amp;quot_date)+SUMIFS('[1]1_inventory_total_details'!$L$8:$L$10000,'[1]1_inventory_total_details'!$C$8:$C$10000,I67,'[1]1_inventory_total_details'!$F$8:$F$10000,quot_location_id,'[1]1_inventory_total_details'!$G$8:$G$10000,"="&amp;Q67,'[1]1_inventory_total_details'!$H$8:$H$10000,"="&amp;R67,'[1]1_inventory_total_details'!$I$8:$I$10000,"="&amp;quot_date),SUMIFS('[1]2_inventory_total_details'!$J$8:$J$10000,'[1]2_inventory_total_details'!$C$8:$C$10000,I67,'[1]2_inventory_total_details'!$F$8:$F$10000,quot_location_id,'[1]2_inventory_total_details'!$G$8:$G$10000,"="&amp;Q67,'[1]2_inventory_total_details'!$H$8:$H$10000,"="&amp;R67,'[1]2_inventory_total_details'!$I$8:$I$10000,"="&amp;quot_date)+SUMIFS('[1]2_inventory_total_details'!$M$8:$M$10000,'[1]2_inventory_total_details'!$C$8:$C$10000,I67,'[1]2_inventory_total_details'!$F$8:$F$10000,quot_location_id,'[1]2_inventory_total_details'!$G$8:$G$10000,"="&amp;Q67,'[1]2_inventory_total_details'!$H$8:$H$10000,"="&amp;R67,'[1]2_inventory_total_details'!$I$8:$I$10000,"="&amp;quot_date)+SUMIFS('[1]2_inventory_total_details'!$K$8:$K$10000,'[1]2_inventory_total_details'!$C$8:$C$10000,I67,'[1]2_inventory_total_details'!$F$8:$F$10000,quot_location_id,'[1]2_inventory_total_details'!$G$8:$G$10000,"="&amp;Q67,'[1]2_inventory_total_details'!$H$8:$H$10000,"="&amp;R67,'[1]2_inventory_total_details'!$I$8:$I$10000,"="&amp;quot_date)+SUMIFS('[1]2_inventory_total_details'!$L$8:$L$10000,'[1]2_inventory_total_details'!$C$8:$C$10000,I67,'[1]2_inventory_total_details'!$F$8:$F$10000,quot_location_id,'[1]2_inventory_total_details'!$G$8:$G$10000,"="&amp;Q67,'[1]2_inventory_total_details'!$H$8:$H$10000,"="&amp;R67,'[1]2_inventory_total_details'!$I$8:$I$10000,"="&amp;quot_date)))</f>
        <v/>
      </c>
      <c r="AJ67" s="197" t="str">
        <f>IF(M67="","",IF(ISNA(MATCH(I67,'[1]1_group_totals'!$C$8:$C$10000)),0,IF(AW67&gt;0,1,0)))</f>
        <v/>
      </c>
      <c r="AK67" s="197" t="str">
        <f>IF(M67="","",(SUMIFS('[1]1_group_total_details'!$I$8:$I$10000,'[1]1_group_total_details'!$C$8:$C$10000,I67,'[1]1_group_total_details'!$F$8:$F$10000,quot_location_group_id,'[1]1_group_total_details'!$G$8:$G$10000,quot_location_id,'[1]1_group_total_details'!$H$8:$H$10000,"="&amp;quot_date)+SUMIFS('[1]1_group_total_details'!$L$8:$L$10000,'[1]1_group_total_details'!$C$8:$C$10000,I67,'[1]1_group_total_details'!$F$8:$F$10000,quot_location_group_id,'[1]1_group_total_details'!$G$8:$G$10000,quot_location_id,'[1]1_group_total_details'!$H$8:$H$10000,"="&amp;quot_date)+SUMIFS('[1]1_group_total_details'!$N$8:$N$10000,'[1]1_group_total_details'!$C$8:$C$10000,I67,'[1]1_group_total_details'!$F$8:$F$10000,quot_location_group_id,'[1]1_group_total_details'!$G$8:$G$10000,quot_location_id,'[1]1_group_total_details'!$H$8:$H$10000,"="&amp;quot_date)+SUMIFS('[1]1_group_total_details'!$O$8:$O$10000,'[1]1_group_total_details'!$C$8:$C$10000,I67,'[1]1_group_total_details'!$F$8:$F$10000,quot_location_group_id,'[1]1_group_total_details'!$G$8:$G$10000,quot_location_id,'[1]1_group_total_details'!$H$8:$H$10000,"="&amp;quot_date))+(SUMIFS('[1]1_group_total_details'!$J$8:$J$10000,'[1]1_group_total_details'!$C$8:$C$10000,I67,'[1]1_group_total_details'!$F$8:$F$10000,quot_location_group_id,'[1]1_group_total_details'!$G$8:$G$10000,quot_location_id,'[1]1_group_total_details'!$H$8:$H$10000,"="&amp;quot_date)+SUMIFS('[1]1_group_total_details'!$K$8:$K$10000,'[1]1_group_total_details'!$C$8:$C$10000,I67,'[1]1_group_total_details'!$F$8:$F$10000,quot_location_group_id,'[1]1_group_total_details'!$G$8:$G$10000,quot_location_id,'[1]1_group_total_details'!$H$8:$H$10000,"="&amp;quot_date)+SUMIFS('[1]1_group_total_details'!$M$8:$M$10000,'[1]1_group_total_details'!$C$8:$C$10000,I67,'[1]1_group_total_details'!$F$8:$F$10000,quot_location_group_id,'[1]1_group_total_details'!$G$8:$G$10000,quot_location_id,'[1]1_group_total_details'!$H$8:$H$10000,"="&amp;quot_date)+SUMIFS('[1]1_group_total_details'!$P$8:$P$10000,'[1]1_group_total_details'!$C$8:$C$10000,I67,'[1]1_group_total_details'!$F$8:$F$10000,quot_location_group_id,'[1]1_group_total_details'!$G$8:$G$10000,quot_location_id,'[1]1_group_total_details'!$H$8:$H$10000,"="&amp;quot_date)))</f>
        <v/>
      </c>
      <c r="AL67" s="197" t="str">
        <f>IF(M67="","",(SUMIFS('[1]1_group_total_details'!$I$8:$I$10000,'[1]1_group_total_details'!$C$8:$C$10000,I67,'[1]1_group_total_details'!$F$8:$F$10000,quot_location_group_id,'[1]1_group_total_details'!$G$8:$G$10000,quot_location_id,'[1]1_group_total_details'!$H$8:$H$10000,"&lt;="&amp;quot_date)+SUMIFS('[1]1_group_total_details'!$L$8:$L$10000,'[1]1_group_total_details'!$C$8:$C$10000,I67,'[1]1_group_total_details'!$F$8:$F$10000,quot_location_group_id,'[1]1_group_total_details'!$G$8:$G$10000,1,'[1]1_group_total_details'!$H$8:$H$10000,"&lt;="&amp;quot_date)+SUMIFS('[1]1_group_total_details'!$N$8:$N$10000,'[1]1_group_total_details'!$C$8:$C$10000,I67,'[1]1_group_total_details'!$F$8:$F$10000,quot_location_group_id,'[1]1_group_total_details'!$G$8:$G$10000,quot_location_id,'[1]1_group_total_details'!$H$8:$H$10000,"&lt;="&amp;quot_date)+SUMIFS('[1]1_group_total_details'!$O$8:$O$10000,'[1]1_group_total_details'!$C$8:$C$10000,I67,'[1]1_group_total_details'!$F$8:$F$10000,quot_location_group_id,'[1]1_group_total_details'!$G$8:$G$10000,quot_location_id,'[1]1_group_total_details'!$H$8:$H$10000,"&lt;="&amp;quot_date))-(SUMIFS('[1]1_group_total_details'!$J$8:$J$10000,'[1]1_group_total_details'!$C$8:$C$10000,I67,'[1]1_group_total_details'!$F$8:$F$10000,quot_location_group_id,'[1]1_group_total_details'!$G$8:$G$10000,quot_location_id,'[1]1_group_total_details'!$H$8:$H$10000,"&lt;="&amp;quot_date)+SUMIFS('[1]1_group_total_details'!$K$8:$K$10000,'[1]1_group_total_details'!$C$8:$C$10000,I67,'[1]1_group_total_details'!$F$8:$F$10000,quot_location_group_id,'[1]1_group_total_details'!$G$8:$G$10000,quot_location_id,'[1]1_group_total_details'!$H$8:$H$10000,"&lt;="&amp;quot_date)+SUMIFS('[1]1_group_total_details'!$M$8:$M$10000,'[1]1_group_total_details'!$C$8:$C$10000,I67,'[1]1_group_total_details'!$F$8:$F$10000,quot_location_group_id,'[1]1_group_total_details'!$G$8:$G$10000,quot_location_id,'[1]1_group_total_details'!$H$8:$H$10000,"&lt;="&amp;quot_date)+SUMIFS('[1]1_group_total_details'!$P$8:$P$10000,'[1]1_group_total_details'!$C$8:$C$10000,I67,'[1]1_group_total_details'!$F$8:$F$10000,quot_location_group_id,'[1]1_group_total_details'!$G$8:$G$10000,quot_location_id,'[1]1_group_total_details'!$H$8:$H$10000,"&lt;="&amp;quot_date)))</f>
        <v/>
      </c>
      <c r="AM67" s="197" t="str">
        <f>IF(M67="","",SUMIFS('[1]1_group_totals'!$J$8:$J$10000,'[1]1_group_totals'!$C$8:$C$10000,I67,'[1]1_group_totals'!$F$8:$F$10000,quot_location_group_id,'[1]1_group_totals'!$G$8:$G$10000,quot_location_id,'[1]1_group_totals'!$H$8:$H$10000,"="&amp;Q67,'[1]1_group_totals'!$I$8:$I$10000,"="&amp;R67))</f>
        <v/>
      </c>
      <c r="AN67" s="197" t="str">
        <f t="shared" si="7"/>
        <v/>
      </c>
      <c r="AO67" s="197" t="str">
        <f>IF(OR(ISNA(MATCH(MID(AN67,1,3)*1,UomConversion!$D$8:$D$500,0)),M67=""),"",IF(AT67="","",AT67))</f>
        <v/>
      </c>
      <c r="AP67" s="197" t="str">
        <f>IF(AND(AQ67&gt;0,COUNTIFS(UomConversion!$D$8:$D$500,MID(AN67,1,3)*1,UomConversion!$J$8:$J$500,1)&gt;1),TEXT(AQ67,"000")&amp;"."&amp;VLOOKUP(AQ67,uom_list,5,FALSE),"")</f>
        <v/>
      </c>
      <c r="AQ67" s="197" t="str">
        <f t="shared" si="20"/>
        <v/>
      </c>
      <c r="AR67" s="197" t="str">
        <f t="shared" si="21"/>
        <v/>
      </c>
      <c r="AS67" s="197" t="str">
        <f>IF(M67="","",SUMIFS(ProductPrice!$N$28:$N$10020,ProductPrice!$D$28:$D$10020,I67,ProductPrice!$G$28:$G$10020,quot_branch_id,ProductPrice!$H$28:$H$10020,quot_price_type_id,ProductPrice!$I$28:$I$10020,MID(P67,1,3)*1,ProductPrice!$Q$28:$Q$10020,1))</f>
        <v/>
      </c>
      <c r="AT67" s="197" t="str">
        <f t="shared" si="8"/>
        <v/>
      </c>
      <c r="AU67" s="197" t="str" cm="1">
        <f t="array" ref="AU67">IF(M67="","",IF(ISNA(Slookup(MID(AN67,1,3)*1,UomConversion!$D$8:$J$500,2,UomConversion!$I$8:$I$500,1,UomConversion!$J$8:$J$500,1)),"",Slookup(MID(AN67,1,3)*1,UomConversion!$D$8:$J$500,2,UomConversion!$I$8:$I$500,1,UomConversion!$J$8:$J$500,1)))</f>
        <v/>
      </c>
      <c r="AV67" s="197" t="str">
        <f t="shared" ref="AV67" si="261">IF(M67="","",IF(quot_location_id=1,BA67,IF(quot_location_id=2,BB67,0)))</f>
        <v/>
      </c>
      <c r="AW67" s="197" t="str">
        <f>IF(M67="","",(SUMIFS('[1]1_group_totals'!$K$8:$K$10000,'[1]1_group_totals'!$C$8:$C$10000,I67,'[1]1_group_totals'!$F$8:$F$10000,quot_location_group_id,'[1]1_group_totals'!$G$8:$G$10000,quot_location_id,'[1]1_group_totals'!$H$8:$H$10000,"="&amp;Q67,'[1]1_group_totals'!$I$8:$I$10000,"="&amp;R67)+SUMIFS('[1]1_group_totals'!$N$8:$N$10000,'[1]1_group_totals'!$C$8:$C$10000,I67,'[1]1_group_totals'!$F$8:$F$10000,quot_location_group_id,'[1]1_group_totals'!$G$8:$G$10000,quot_location_id,'[1]1_group_totals'!$H$8:$H$10000,"="&amp;Q67,'[1]1_group_totals'!$I$8:$I$10000,"="&amp;R67)+SUMIFS('[1]1_group_totals'!$P$8:$P$10000,'[1]1_group_totals'!$C$8:$C$10000,I67,'[1]1_group_totals'!$F$8:$F$10000,quot_location_group_id,'[1]1_group_totals'!$G$8:$G$10000,quot_location_id,'[1]1_group_totals'!$H$8:$H$10000,"="&amp;Q67,'[1]1_group_totals'!$I$8:$I$10000,"="&amp;R67)+SUMIFS('[1]1_group_totals'!$Q$8:$Q$10000,'[1]1_group_totals'!$C$8:$C$10000,I67,'[1]1_group_totals'!$F$8:$F$10000,quot_location_group_id,'[1]1_group_totals'!$G$8:$G$10000,quot_location_id,'[1]1_group_totals'!$H$8:$H$10000,"="&amp;Q67,'[1]1_group_totals'!$I$8:$I$10000,"="&amp;R67))+(SUMIFS('[1]1_group_totals'!$L$8:$L$10000,'[1]1_group_totals'!$C$8:$C$10000,I67,'[1]1_group_totals'!$F$8:$F$10000,quot_location_group_id,'[1]1_group_totals'!$G$8:$G$10000,quot_location_id,'[1]1_group_totals'!$H$8:$H$10000,"="&amp;Q67,'[1]1_group_totals'!$I$8:$I$10000,"="&amp;R67)+SUMIFS('[1]1_group_totals'!$M$8:$M$10000,'[1]1_group_totals'!$C$8:$C$10000,I67,'[1]1_group_totals'!$F$8:$F$10000,quot_location_group_id,'[1]1_group_totals'!$G$8:$G$10000,quot_location_id,'[1]1_group_totals'!$H$8:$H$10000,"="&amp;Q67,'[1]1_group_totals'!$I$8:$I$10000,"="&amp;R67)+SUMIFS('[1]1_group_totals'!$O$8:$O$10000,'[1]1_group_totals'!$C$8:$C$10000,I67,'[1]1_group_totals'!$F$8:$F$10000,quot_location_group_id,'[1]1_group_totals'!$G$8:$G$10000,quot_location_id,'[1]1_group_totals'!$H$8:$H$10000,"="&amp;Q67,'[1]1_group_totals'!$I$8:$I$10000,"="&amp;R67)+SUMIFS('[1]1_group_totals'!$R$8:$R$10000,'[1]1_group_totals'!$C$8:$C$10000,I67,'[1]1_group_totals'!$F$8:$F$10000,quot_location_group_id,'[1]1_group_totals'!$G$8:$G$10000,quot_location_id,'[1]1_group_totals'!$H$8:$H$10000,"="&amp;Q67,'[1]1_group_totals'!$I$8:$I$10000,"="&amp;R67)))</f>
        <v/>
      </c>
      <c r="AX67" s="197" t="str">
        <f t="shared" si="23"/>
        <v/>
      </c>
      <c r="AY67" s="197" t="str">
        <f>IF(M67="","",SUMIFS($AX$8:AX67,$I$8:I67,I67))</f>
        <v/>
      </c>
      <c r="AZ67" s="197" t="str">
        <f t="shared" si="24"/>
        <v/>
      </c>
      <c r="BA67" s="197" t="str">
        <f>IF(M67="","",(SUMIFS('[1]1_inventory_totals'!$I$8:$I$10000,'[1]1_inventory_totals'!$C$8:$C$10000,I67,'[1]1_inventory_totals'!$F$8:$F$10000,"="&amp;Q67,'[1]1_inventory_totals'!$G$8:$G$10000,"="&amp;R67)+SUMIFS('[1]1_inventory_totals'!$N$8:$N$10000,'[1]1_inventory_totals'!$C$8:$C$10000,I67,'[1]1_inventory_totals'!$F$8:$F$10000,"="&amp;Q67,'[1]1_inventory_totals'!$G$8:$G$10000,"="&amp;R67)+SUMIFS('[1]1_inventory_totals'!$P$8:$P$10000,'[1]1_inventory_totals'!$C$8:$C$10000,I67,'[1]1_inventory_totals'!$F$8:$F$10000,"="&amp;Q67,'[1]1_inventory_totals'!$G$8:$G$10000,"="&amp;R67)+SUMIFS('[1]1_inventory_totals'!$Q$8:$Q$10000,'[1]1_inventory_totals'!$C$8:$C$10000,I67,'[1]1_inventory_totals'!$F$8:$F$10000,"="&amp;Q67,'[1]1_inventory_totals'!$G$8:$G$10000,"="&amp;R67)+SUMIFS('[1]1_inventory_totals'!$R$8:$R$10000,'[1]1_inventory_totals'!$C$8:$C$10000,I67,'[1]1_inventory_totals'!$F$8:$F$10000,"="&amp;Q67,'[1]1_inventory_totals'!$G$8:$G$10000,"="&amp;R67))+(SUMIFS('[1]1_inventory_totals'!$J$8:$J$10000,'[1]1_inventory_totals'!$C$8:$C$10000,I67,'[1]1_inventory_totals'!$F$8:$F$10000,"="&amp;Q67,'[1]1_inventory_totals'!$G$8:$G$10000,"="&amp;R67)+SUMIFS('[1]1_inventory_totals'!$K$8:$K$10000,'[1]1_inventory_totals'!$C$8:$C$10000,I67,'[1]1_inventory_totals'!$F$8:$F$10000,"="&amp;Q67,'[1]1_inventory_totals'!$G$8:$G$10000,"="&amp;R67)+SUMIFS('[1]1_inventory_totals'!$L$8:$L$10000,'[1]1_inventory_totals'!$C$8:$C$10000,I67,'[1]1_inventory_totals'!$F$8:$F$10000,"="&amp;Q67,'[1]1_inventory_totals'!$G$8:$G$10000,"="&amp;R67)+SUMIFS('[1]1_inventory_totals'!$M$8:$M$10000,'[1]1_inventory_totals'!$C$8:$C$10000,I67,'[1]1_inventory_totals'!$F$8:$F$10000,"="&amp;Q67,'[1]1_inventory_totals'!$G$8:$G$10000,"="&amp;R67)+SUMIFS('[1]1_inventory_totals'!$O$8:$O$10000,'[1]1_inventory_totals'!$C$8:$C$10000,I67,'[1]1_inventory_totals'!$F$8:$F$10000,"="&amp;Q67,'[1]1_inventory_totals'!$G$8:$G$10000,"="&amp;R67)+SUMIFS('[1]1_inventory_totals'!$S$8:$S$10000,'[1]1_inventory_totals'!$C$8:$C$10000,I67,'[1]1_inventory_totals'!$F$8:$F$10000,"="&amp;Q67,'[1]1_inventory_totals'!$G$8:$G$10000,"="&amp;R67)))</f>
        <v/>
      </c>
      <c r="BB67" s="197" t="str">
        <f>IF(M67="","",(SUMIFS('[1]2_inventory_totals'!$I$8:$I$10000,'[1]2_inventory_totals'!$C$8:$C$10000,I67,'[1]2_inventory_totals'!$F$8:$F$10000,"="&amp;Q67,'[1]2_inventory_totals'!$G$8:$G$10000,"="&amp;R67)+SUMIFS('[1]2_inventory_totals'!$N$8:$N$10000,'[1]2_inventory_totals'!$C$8:$C$10000,I67,'[1]2_inventory_totals'!$F$8:$F$10000,"="&amp;Q67,'[1]2_inventory_totals'!$G$8:$G$10000,"="&amp;R67)+SUMIFS('[1]2_inventory_totals'!$P$8:$P$10000,'[1]2_inventory_totals'!$C$8:$C$10000,I67,'[1]2_inventory_totals'!$F$8:$F$10000,"="&amp;Q67,'[1]2_inventory_totals'!$G$8:$G$10000,"="&amp;R67)+SUMIFS('[1]2_inventory_totals'!$Q$8:$Q$10000,'[1]2_inventory_totals'!$C$8:$C$10000,I67,'[1]2_inventory_totals'!$F$8:$F$10000,"="&amp;Q67,'[1]2_inventory_totals'!$G$8:$G$10000,"="&amp;R67)+SUMIFS('[1]2_inventory_totals'!$R$8:$R$10000,'[1]2_inventory_totals'!$C$8:$C$10000,I67,'[1]2_inventory_totals'!$F$8:$F$10000,"="&amp;Q67,'[1]2_inventory_totals'!$G$8:$G$10000,"="&amp;R67))+(SUMIFS('[1]2_inventory_totals'!$J$8:$J$10000,'[1]2_inventory_totals'!$C$8:$C$10000,I67,'[1]2_inventory_totals'!$F$8:$F$10000,"="&amp;Q67,'[1]2_inventory_totals'!$G$8:$G$10000,"="&amp;R67)+SUMIFS('[1]2_inventory_totals'!$K$8:$K$10000,'[1]2_inventory_totals'!$C$8:$C$10000,I67,'[1]2_inventory_totals'!$F$8:$F$10000,"="&amp;Q67,'[1]2_inventory_totals'!$G$8:$G$10000,"="&amp;R67)+SUMIFS('[1]2_inventory_totals'!$L$8:$L$10000,'[1]2_inventory_totals'!$C$8:$C$10000,I67,'[1]2_inventory_totals'!$F$8:$F$10000,"="&amp;Q67,'[1]2_inventory_totals'!$G$8:$G$10000,"="&amp;R67)+SUMIFS('[1]2_inventory_totals'!$M$8:$M$10000,'[1]2_inventory_totals'!$C$8:$C$10000,I67,'[1]2_inventory_totals'!$F$8:$F$10000,"="&amp;Q67,'[1]2_inventory_totals'!$G$8:$G$10000,"="&amp;R67)+SUMIFS('[1]2_inventory_totals'!$O$8:$O$10000,'[1]2_inventory_totals'!$C$8:$C$10000,I67,'[1]2_inventory_totals'!$F$8:$F$10000,"="&amp;Q67,'[1]2_inventory_totals'!$G$8:$G$10000,"="&amp;R67)+SUMIFS('[1]2_inventory_totals'!$S$8:$S$10000,'[1]2_inventory_totals'!$C$8:$C$10000,I67,'[1]2_inventory_totals'!$F$8:$F$10000,"="&amp;Q67,'[1]2_inventory_totals'!$G$8:$G$10000,"="&amp;R67)))</f>
        <v/>
      </c>
    </row>
    <row r="68" spans="1:54" ht="27" hidden="1" customHeight="1">
      <c r="A68" s="923"/>
      <c r="B68" s="1256"/>
      <c r="C68" s="950"/>
      <c r="D68" s="950"/>
      <c r="E68" s="950"/>
      <c r="F68" s="1257"/>
      <c r="G68" s="941"/>
      <c r="H68" s="951"/>
      <c r="I68" s="1610" t="str">
        <f t="shared" si="10"/>
        <v/>
      </c>
      <c r="J68" s="1611" t="str">
        <f t="shared" si="112"/>
        <v/>
      </c>
      <c r="K68" s="1612" t="str">
        <f t="shared" si="30"/>
        <v/>
      </c>
      <c r="L68" s="1613"/>
      <c r="M68" s="883"/>
      <c r="N68" s="884"/>
      <c r="O68" s="884"/>
      <c r="P68" s="885"/>
      <c r="Q68" s="886"/>
      <c r="R68" s="891"/>
      <c r="S68" s="1614" t="str">
        <f t="shared" ref="S68" si="262">IF(M68="","",quot_currency_symbol)</f>
        <v/>
      </c>
      <c r="T68" s="888"/>
      <c r="U68" s="1650" t="str">
        <f t="shared" si="13"/>
        <v/>
      </c>
      <c r="V68" s="1615" t="str">
        <f t="shared" ref="V68" si="263">IF(W68=0,"",quot_currency_symbol)</f>
        <v/>
      </c>
      <c r="W68" s="889"/>
      <c r="X68" s="1615" t="str">
        <f t="shared" ref="X68" si="264">IF(M68="","",quot_currency_symbol)</f>
        <v/>
      </c>
      <c r="Y68" s="1616" t="str">
        <f t="shared" si="34"/>
        <v/>
      </c>
      <c r="Z68" s="890"/>
      <c r="AA68" s="197" t="str" cm="1">
        <f t="array" ref="AA68">IF(M68="","",IF(P68=AN68,1,Slookup(MID(AN68,1,3)*1,UomConversion!$D$8:$J$500,5,UomConversion!$E$8:$E$500,MID(P68,1,3)*1,UomConversion!$J$8:$J$500,1)))</f>
        <v/>
      </c>
      <c r="AB68" s="197" t="str">
        <f t="shared" si="3"/>
        <v/>
      </c>
      <c r="AC68" s="197" t="str">
        <f t="shared" si="17"/>
        <v/>
      </c>
      <c r="AD68" s="197" t="str">
        <f t="shared" si="18"/>
        <v/>
      </c>
      <c r="AE68" s="197" t="str">
        <f t="shared" si="19"/>
        <v/>
      </c>
      <c r="AF68" s="197" t="str">
        <f t="shared" si="152"/>
        <v/>
      </c>
      <c r="AG68" s="197" t="str">
        <f t="shared" si="6"/>
        <v/>
      </c>
      <c r="AH68" s="197" t="str">
        <f>IF(I68="","",IF(ISNA(MATCH(I68,IF(quot_location_id=1,'[1]1_inventory_totals'!$C$8:$C$10000,IF(quot_location_id=2,'[1]2_inventory_totals'!$C$8:$C$10000,0)),0)),0,IF(AV68&gt;0,1,0)))</f>
        <v/>
      </c>
      <c r="AI68" s="197" t="str">
        <f>IF(M68="","",IF(quot_location_id=1,SUMIFS('[1]1_inventory_total_details'!$J$8:$J$10000,'[1]1_inventory_total_details'!$C$8:$C$10000,I68,'[1]1_inventory_total_details'!$F$8:$F$10000,quot_location_id,'[1]1_inventory_total_details'!$G$8:$G$10000,"="&amp;Q68,'[1]1_inventory_total_details'!$H$8:$H$10000,"="&amp;R68,'[1]1_inventory_total_details'!$I$8:$I$10000,"="&amp;quot_date)+SUMIFS('[1]1_inventory_total_details'!$M$8:$M$10000,'[1]1_inventory_total_details'!$C$8:$C$10000,I68,'[1]1_inventory_total_details'!$F$8:$F$10000,quot_location_id,'[1]1_inventory_total_details'!$G$8:$G$10000,"="&amp;Q68,'[1]1_inventory_total_details'!$H$8:$H$10000,"="&amp;R68,'[1]1_inventory_total_details'!$I$8:$I$10000,"="&amp;quot_date)+SUMIFS('[1]1_inventory_total_details'!$K$8:$K$10000,'[1]1_inventory_total_details'!$C$8:$C$10000,I68,'[1]1_inventory_total_details'!$F$8:$F$10000,quot_location_id,'[1]1_inventory_total_details'!$G$8:$G$10000,"="&amp;Q68,'[1]1_inventory_total_details'!$H$8:$H$10000,"="&amp;R68,'[1]1_inventory_total_details'!$I$8:$I$10000,"="&amp;quot_date)+SUMIFS('[1]1_inventory_total_details'!$L$8:$L$10000,'[1]1_inventory_total_details'!$C$8:$C$10000,I68,'[1]1_inventory_total_details'!$F$8:$F$10000,quot_location_id,'[1]1_inventory_total_details'!$G$8:$G$10000,"="&amp;Q68,'[1]1_inventory_total_details'!$H$8:$H$10000,"="&amp;R68,'[1]1_inventory_total_details'!$I$8:$I$10000,"="&amp;quot_date),SUMIFS('[1]2_inventory_total_details'!$J$8:$J$10000,'[1]2_inventory_total_details'!$C$8:$C$10000,I68,'[1]2_inventory_total_details'!$F$8:$F$10000,quot_location_id,'[1]2_inventory_total_details'!$G$8:$G$10000,"="&amp;Q68,'[1]2_inventory_total_details'!$H$8:$H$10000,"="&amp;R68,'[1]2_inventory_total_details'!$I$8:$I$10000,"="&amp;quot_date)+SUMIFS('[1]2_inventory_total_details'!$M$8:$M$10000,'[1]2_inventory_total_details'!$C$8:$C$10000,I68,'[1]2_inventory_total_details'!$F$8:$F$10000,quot_location_id,'[1]2_inventory_total_details'!$G$8:$G$10000,"="&amp;Q68,'[1]2_inventory_total_details'!$H$8:$H$10000,"="&amp;R68,'[1]2_inventory_total_details'!$I$8:$I$10000,"="&amp;quot_date)+SUMIFS('[1]2_inventory_total_details'!$K$8:$K$10000,'[1]2_inventory_total_details'!$C$8:$C$10000,I68,'[1]2_inventory_total_details'!$F$8:$F$10000,quot_location_id,'[1]2_inventory_total_details'!$G$8:$G$10000,"="&amp;Q68,'[1]2_inventory_total_details'!$H$8:$H$10000,"="&amp;R68,'[1]2_inventory_total_details'!$I$8:$I$10000,"="&amp;quot_date)+SUMIFS('[1]2_inventory_total_details'!$L$8:$L$10000,'[1]2_inventory_total_details'!$C$8:$C$10000,I68,'[1]2_inventory_total_details'!$F$8:$F$10000,quot_location_id,'[1]2_inventory_total_details'!$G$8:$G$10000,"="&amp;Q68,'[1]2_inventory_total_details'!$H$8:$H$10000,"="&amp;R68,'[1]2_inventory_total_details'!$I$8:$I$10000,"="&amp;quot_date)))</f>
        <v/>
      </c>
      <c r="AJ68" s="197" t="str">
        <f>IF(M68="","",IF(ISNA(MATCH(I68,'[1]1_group_totals'!$C$8:$C$10000)),0,IF(AW68&gt;0,1,0)))</f>
        <v/>
      </c>
      <c r="AK68" s="197" t="str">
        <f>IF(M68="","",(SUMIFS('[1]1_group_total_details'!$I$8:$I$10000,'[1]1_group_total_details'!$C$8:$C$10000,I68,'[1]1_group_total_details'!$F$8:$F$10000,quot_location_group_id,'[1]1_group_total_details'!$G$8:$G$10000,quot_location_id,'[1]1_group_total_details'!$H$8:$H$10000,"="&amp;quot_date)+SUMIFS('[1]1_group_total_details'!$L$8:$L$10000,'[1]1_group_total_details'!$C$8:$C$10000,I68,'[1]1_group_total_details'!$F$8:$F$10000,quot_location_group_id,'[1]1_group_total_details'!$G$8:$G$10000,quot_location_id,'[1]1_group_total_details'!$H$8:$H$10000,"="&amp;quot_date)+SUMIFS('[1]1_group_total_details'!$N$8:$N$10000,'[1]1_group_total_details'!$C$8:$C$10000,I68,'[1]1_group_total_details'!$F$8:$F$10000,quot_location_group_id,'[1]1_group_total_details'!$G$8:$G$10000,quot_location_id,'[1]1_group_total_details'!$H$8:$H$10000,"="&amp;quot_date)+SUMIFS('[1]1_group_total_details'!$O$8:$O$10000,'[1]1_group_total_details'!$C$8:$C$10000,I68,'[1]1_group_total_details'!$F$8:$F$10000,quot_location_group_id,'[1]1_group_total_details'!$G$8:$G$10000,quot_location_id,'[1]1_group_total_details'!$H$8:$H$10000,"="&amp;quot_date))+(SUMIFS('[1]1_group_total_details'!$J$8:$J$10000,'[1]1_group_total_details'!$C$8:$C$10000,I68,'[1]1_group_total_details'!$F$8:$F$10000,quot_location_group_id,'[1]1_group_total_details'!$G$8:$G$10000,quot_location_id,'[1]1_group_total_details'!$H$8:$H$10000,"="&amp;quot_date)+SUMIFS('[1]1_group_total_details'!$K$8:$K$10000,'[1]1_group_total_details'!$C$8:$C$10000,I68,'[1]1_group_total_details'!$F$8:$F$10000,quot_location_group_id,'[1]1_group_total_details'!$G$8:$G$10000,quot_location_id,'[1]1_group_total_details'!$H$8:$H$10000,"="&amp;quot_date)+SUMIFS('[1]1_group_total_details'!$M$8:$M$10000,'[1]1_group_total_details'!$C$8:$C$10000,I68,'[1]1_group_total_details'!$F$8:$F$10000,quot_location_group_id,'[1]1_group_total_details'!$G$8:$G$10000,quot_location_id,'[1]1_group_total_details'!$H$8:$H$10000,"="&amp;quot_date)+SUMIFS('[1]1_group_total_details'!$P$8:$P$10000,'[1]1_group_total_details'!$C$8:$C$10000,I68,'[1]1_group_total_details'!$F$8:$F$10000,quot_location_group_id,'[1]1_group_total_details'!$G$8:$G$10000,quot_location_id,'[1]1_group_total_details'!$H$8:$H$10000,"="&amp;quot_date)))</f>
        <v/>
      </c>
      <c r="AL68" s="197" t="str">
        <f>IF(M68="","",(SUMIFS('[1]1_group_total_details'!$I$8:$I$10000,'[1]1_group_total_details'!$C$8:$C$10000,I68,'[1]1_group_total_details'!$F$8:$F$10000,quot_location_group_id,'[1]1_group_total_details'!$G$8:$G$10000,quot_location_id,'[1]1_group_total_details'!$H$8:$H$10000,"&lt;="&amp;quot_date)+SUMIFS('[1]1_group_total_details'!$L$8:$L$10000,'[1]1_group_total_details'!$C$8:$C$10000,I68,'[1]1_group_total_details'!$F$8:$F$10000,quot_location_group_id,'[1]1_group_total_details'!$G$8:$G$10000,1,'[1]1_group_total_details'!$H$8:$H$10000,"&lt;="&amp;quot_date)+SUMIFS('[1]1_group_total_details'!$N$8:$N$10000,'[1]1_group_total_details'!$C$8:$C$10000,I68,'[1]1_group_total_details'!$F$8:$F$10000,quot_location_group_id,'[1]1_group_total_details'!$G$8:$G$10000,quot_location_id,'[1]1_group_total_details'!$H$8:$H$10000,"&lt;="&amp;quot_date)+SUMIFS('[1]1_group_total_details'!$O$8:$O$10000,'[1]1_group_total_details'!$C$8:$C$10000,I68,'[1]1_group_total_details'!$F$8:$F$10000,quot_location_group_id,'[1]1_group_total_details'!$G$8:$G$10000,quot_location_id,'[1]1_group_total_details'!$H$8:$H$10000,"&lt;="&amp;quot_date))-(SUMIFS('[1]1_group_total_details'!$J$8:$J$10000,'[1]1_group_total_details'!$C$8:$C$10000,I68,'[1]1_group_total_details'!$F$8:$F$10000,quot_location_group_id,'[1]1_group_total_details'!$G$8:$G$10000,quot_location_id,'[1]1_group_total_details'!$H$8:$H$10000,"&lt;="&amp;quot_date)+SUMIFS('[1]1_group_total_details'!$K$8:$K$10000,'[1]1_group_total_details'!$C$8:$C$10000,I68,'[1]1_group_total_details'!$F$8:$F$10000,quot_location_group_id,'[1]1_group_total_details'!$G$8:$G$10000,quot_location_id,'[1]1_group_total_details'!$H$8:$H$10000,"&lt;="&amp;quot_date)+SUMIFS('[1]1_group_total_details'!$M$8:$M$10000,'[1]1_group_total_details'!$C$8:$C$10000,I68,'[1]1_group_total_details'!$F$8:$F$10000,quot_location_group_id,'[1]1_group_total_details'!$G$8:$G$10000,quot_location_id,'[1]1_group_total_details'!$H$8:$H$10000,"&lt;="&amp;quot_date)+SUMIFS('[1]1_group_total_details'!$P$8:$P$10000,'[1]1_group_total_details'!$C$8:$C$10000,I68,'[1]1_group_total_details'!$F$8:$F$10000,quot_location_group_id,'[1]1_group_total_details'!$G$8:$G$10000,quot_location_id,'[1]1_group_total_details'!$H$8:$H$10000,"&lt;="&amp;quot_date)))</f>
        <v/>
      </c>
      <c r="AM68" s="197" t="str">
        <f>IF(M68="","",SUMIFS('[1]1_group_totals'!$J$8:$J$10000,'[1]1_group_totals'!$C$8:$C$10000,I68,'[1]1_group_totals'!$F$8:$F$10000,quot_location_group_id,'[1]1_group_totals'!$G$8:$G$10000,quot_location_id,'[1]1_group_totals'!$H$8:$H$10000,"="&amp;Q68,'[1]1_group_totals'!$I$8:$I$10000,"="&amp;R68))</f>
        <v/>
      </c>
      <c r="AN68" s="197" t="str">
        <f t="shared" si="7"/>
        <v/>
      </c>
      <c r="AO68" s="197" t="str">
        <f>IF(OR(ISNA(MATCH(MID(AN68,1,3)*1,UomConversion!$D$8:$D$500,0)),M68=""),"",IF(AT68="","",AT68))</f>
        <v/>
      </c>
      <c r="AP68" s="197" t="str">
        <f>IF(AND(AQ68&gt;0,COUNTIFS(UomConversion!$D$8:$D$500,MID(AN68,1,3)*1,UomConversion!$J$8:$J$500,1)&gt;1),TEXT(AQ68,"000")&amp;"."&amp;VLOOKUP(AQ68,uom_list,5,FALSE),"")</f>
        <v/>
      </c>
      <c r="AQ68" s="197" t="str">
        <f t="shared" si="20"/>
        <v/>
      </c>
      <c r="AR68" s="197" t="str">
        <f t="shared" si="21"/>
        <v/>
      </c>
      <c r="AS68" s="197" t="str">
        <f>IF(M68="","",SUMIFS(ProductPrice!$N$28:$N$10020,ProductPrice!$D$28:$D$10020,I68,ProductPrice!$G$28:$G$10020,quot_branch_id,ProductPrice!$H$28:$H$10020,quot_price_type_id,ProductPrice!$I$28:$I$10020,MID(P68,1,3)*1,ProductPrice!$Q$28:$Q$10020,1))</f>
        <v/>
      </c>
      <c r="AT68" s="197" t="str">
        <f t="shared" si="8"/>
        <v/>
      </c>
      <c r="AU68" s="197" t="str" cm="1">
        <f t="array" ref="AU68">IF(M68="","",IF(ISNA(Slookup(MID(AN68,1,3)*1,UomConversion!$D$8:$J$500,2,UomConversion!$I$8:$I$500,1,UomConversion!$J$8:$J$500,1)),"",Slookup(MID(AN68,1,3)*1,UomConversion!$D$8:$J$500,2,UomConversion!$I$8:$I$500,1,UomConversion!$J$8:$J$500,1)))</f>
        <v/>
      </c>
      <c r="AV68" s="197" t="str">
        <f t="shared" ref="AV68" si="265">IF(M68="","",IF(quot_location_id=1,BA68,IF(quot_location_id=2,BB68,0)))</f>
        <v/>
      </c>
      <c r="AW68" s="197" t="str">
        <f>IF(M68="","",(SUMIFS('[1]1_group_totals'!$K$8:$K$10000,'[1]1_group_totals'!$C$8:$C$10000,I68,'[1]1_group_totals'!$F$8:$F$10000,quot_location_group_id,'[1]1_group_totals'!$G$8:$G$10000,quot_location_id,'[1]1_group_totals'!$H$8:$H$10000,"="&amp;Q68,'[1]1_group_totals'!$I$8:$I$10000,"="&amp;R68)+SUMIFS('[1]1_group_totals'!$N$8:$N$10000,'[1]1_group_totals'!$C$8:$C$10000,I68,'[1]1_group_totals'!$F$8:$F$10000,quot_location_group_id,'[1]1_group_totals'!$G$8:$G$10000,quot_location_id,'[1]1_group_totals'!$H$8:$H$10000,"="&amp;Q68,'[1]1_group_totals'!$I$8:$I$10000,"="&amp;R68)+SUMIFS('[1]1_group_totals'!$P$8:$P$10000,'[1]1_group_totals'!$C$8:$C$10000,I68,'[1]1_group_totals'!$F$8:$F$10000,quot_location_group_id,'[1]1_group_totals'!$G$8:$G$10000,quot_location_id,'[1]1_group_totals'!$H$8:$H$10000,"="&amp;Q68,'[1]1_group_totals'!$I$8:$I$10000,"="&amp;R68)+SUMIFS('[1]1_group_totals'!$Q$8:$Q$10000,'[1]1_group_totals'!$C$8:$C$10000,I68,'[1]1_group_totals'!$F$8:$F$10000,quot_location_group_id,'[1]1_group_totals'!$G$8:$G$10000,quot_location_id,'[1]1_group_totals'!$H$8:$H$10000,"="&amp;Q68,'[1]1_group_totals'!$I$8:$I$10000,"="&amp;R68))+(SUMIFS('[1]1_group_totals'!$L$8:$L$10000,'[1]1_group_totals'!$C$8:$C$10000,I68,'[1]1_group_totals'!$F$8:$F$10000,quot_location_group_id,'[1]1_group_totals'!$G$8:$G$10000,quot_location_id,'[1]1_group_totals'!$H$8:$H$10000,"="&amp;Q68,'[1]1_group_totals'!$I$8:$I$10000,"="&amp;R68)+SUMIFS('[1]1_group_totals'!$M$8:$M$10000,'[1]1_group_totals'!$C$8:$C$10000,I68,'[1]1_group_totals'!$F$8:$F$10000,quot_location_group_id,'[1]1_group_totals'!$G$8:$G$10000,quot_location_id,'[1]1_group_totals'!$H$8:$H$10000,"="&amp;Q68,'[1]1_group_totals'!$I$8:$I$10000,"="&amp;R68)+SUMIFS('[1]1_group_totals'!$O$8:$O$10000,'[1]1_group_totals'!$C$8:$C$10000,I68,'[1]1_group_totals'!$F$8:$F$10000,quot_location_group_id,'[1]1_group_totals'!$G$8:$G$10000,quot_location_id,'[1]1_group_totals'!$H$8:$H$10000,"="&amp;Q68,'[1]1_group_totals'!$I$8:$I$10000,"="&amp;R68)+SUMIFS('[1]1_group_totals'!$R$8:$R$10000,'[1]1_group_totals'!$C$8:$C$10000,I68,'[1]1_group_totals'!$F$8:$F$10000,quot_location_group_id,'[1]1_group_totals'!$G$8:$G$10000,quot_location_id,'[1]1_group_totals'!$H$8:$H$10000,"="&amp;Q68,'[1]1_group_totals'!$I$8:$I$10000,"="&amp;R68)))</f>
        <v/>
      </c>
      <c r="AX68" s="197" t="str">
        <f t="shared" si="23"/>
        <v/>
      </c>
      <c r="AY68" s="197" t="str">
        <f>IF(M68="","",SUMIFS($AX$8:AX68,$I$8:I68,I68))</f>
        <v/>
      </c>
      <c r="AZ68" s="197" t="str">
        <f t="shared" si="24"/>
        <v/>
      </c>
      <c r="BA68" s="197" t="str">
        <f>IF(M68="","",(SUMIFS('[1]1_inventory_totals'!$I$8:$I$10000,'[1]1_inventory_totals'!$C$8:$C$10000,I68,'[1]1_inventory_totals'!$F$8:$F$10000,"="&amp;Q68,'[1]1_inventory_totals'!$G$8:$G$10000,"="&amp;R68)+SUMIFS('[1]1_inventory_totals'!$N$8:$N$10000,'[1]1_inventory_totals'!$C$8:$C$10000,I68,'[1]1_inventory_totals'!$F$8:$F$10000,"="&amp;Q68,'[1]1_inventory_totals'!$G$8:$G$10000,"="&amp;R68)+SUMIFS('[1]1_inventory_totals'!$P$8:$P$10000,'[1]1_inventory_totals'!$C$8:$C$10000,I68,'[1]1_inventory_totals'!$F$8:$F$10000,"="&amp;Q68,'[1]1_inventory_totals'!$G$8:$G$10000,"="&amp;R68)+SUMIFS('[1]1_inventory_totals'!$Q$8:$Q$10000,'[1]1_inventory_totals'!$C$8:$C$10000,I68,'[1]1_inventory_totals'!$F$8:$F$10000,"="&amp;Q68,'[1]1_inventory_totals'!$G$8:$G$10000,"="&amp;R68)+SUMIFS('[1]1_inventory_totals'!$R$8:$R$10000,'[1]1_inventory_totals'!$C$8:$C$10000,I68,'[1]1_inventory_totals'!$F$8:$F$10000,"="&amp;Q68,'[1]1_inventory_totals'!$G$8:$G$10000,"="&amp;R68))+(SUMIFS('[1]1_inventory_totals'!$J$8:$J$10000,'[1]1_inventory_totals'!$C$8:$C$10000,I68,'[1]1_inventory_totals'!$F$8:$F$10000,"="&amp;Q68,'[1]1_inventory_totals'!$G$8:$G$10000,"="&amp;R68)+SUMIFS('[1]1_inventory_totals'!$K$8:$K$10000,'[1]1_inventory_totals'!$C$8:$C$10000,I68,'[1]1_inventory_totals'!$F$8:$F$10000,"="&amp;Q68,'[1]1_inventory_totals'!$G$8:$G$10000,"="&amp;R68)+SUMIFS('[1]1_inventory_totals'!$L$8:$L$10000,'[1]1_inventory_totals'!$C$8:$C$10000,I68,'[1]1_inventory_totals'!$F$8:$F$10000,"="&amp;Q68,'[1]1_inventory_totals'!$G$8:$G$10000,"="&amp;R68)+SUMIFS('[1]1_inventory_totals'!$M$8:$M$10000,'[1]1_inventory_totals'!$C$8:$C$10000,I68,'[1]1_inventory_totals'!$F$8:$F$10000,"="&amp;Q68,'[1]1_inventory_totals'!$G$8:$G$10000,"="&amp;R68)+SUMIFS('[1]1_inventory_totals'!$O$8:$O$10000,'[1]1_inventory_totals'!$C$8:$C$10000,I68,'[1]1_inventory_totals'!$F$8:$F$10000,"="&amp;Q68,'[1]1_inventory_totals'!$G$8:$G$10000,"="&amp;R68)+SUMIFS('[1]1_inventory_totals'!$S$8:$S$10000,'[1]1_inventory_totals'!$C$8:$C$10000,I68,'[1]1_inventory_totals'!$F$8:$F$10000,"="&amp;Q68,'[1]1_inventory_totals'!$G$8:$G$10000,"="&amp;R68)))</f>
        <v/>
      </c>
      <c r="BB68" s="197" t="str">
        <f>IF(M68="","",(SUMIFS('[1]2_inventory_totals'!$I$8:$I$10000,'[1]2_inventory_totals'!$C$8:$C$10000,I68,'[1]2_inventory_totals'!$F$8:$F$10000,"="&amp;Q68,'[1]2_inventory_totals'!$G$8:$G$10000,"="&amp;R68)+SUMIFS('[1]2_inventory_totals'!$N$8:$N$10000,'[1]2_inventory_totals'!$C$8:$C$10000,I68,'[1]2_inventory_totals'!$F$8:$F$10000,"="&amp;Q68,'[1]2_inventory_totals'!$G$8:$G$10000,"="&amp;R68)+SUMIFS('[1]2_inventory_totals'!$P$8:$P$10000,'[1]2_inventory_totals'!$C$8:$C$10000,I68,'[1]2_inventory_totals'!$F$8:$F$10000,"="&amp;Q68,'[1]2_inventory_totals'!$G$8:$G$10000,"="&amp;R68)+SUMIFS('[1]2_inventory_totals'!$Q$8:$Q$10000,'[1]2_inventory_totals'!$C$8:$C$10000,I68,'[1]2_inventory_totals'!$F$8:$F$10000,"="&amp;Q68,'[1]2_inventory_totals'!$G$8:$G$10000,"="&amp;R68)+SUMIFS('[1]2_inventory_totals'!$R$8:$R$10000,'[1]2_inventory_totals'!$C$8:$C$10000,I68,'[1]2_inventory_totals'!$F$8:$F$10000,"="&amp;Q68,'[1]2_inventory_totals'!$G$8:$G$10000,"="&amp;R68))+(SUMIFS('[1]2_inventory_totals'!$J$8:$J$10000,'[1]2_inventory_totals'!$C$8:$C$10000,I68,'[1]2_inventory_totals'!$F$8:$F$10000,"="&amp;Q68,'[1]2_inventory_totals'!$G$8:$G$10000,"="&amp;R68)+SUMIFS('[1]2_inventory_totals'!$K$8:$K$10000,'[1]2_inventory_totals'!$C$8:$C$10000,I68,'[1]2_inventory_totals'!$F$8:$F$10000,"="&amp;Q68,'[1]2_inventory_totals'!$G$8:$G$10000,"="&amp;R68)+SUMIFS('[1]2_inventory_totals'!$L$8:$L$10000,'[1]2_inventory_totals'!$C$8:$C$10000,I68,'[1]2_inventory_totals'!$F$8:$F$10000,"="&amp;Q68,'[1]2_inventory_totals'!$G$8:$G$10000,"="&amp;R68)+SUMIFS('[1]2_inventory_totals'!$M$8:$M$10000,'[1]2_inventory_totals'!$C$8:$C$10000,I68,'[1]2_inventory_totals'!$F$8:$F$10000,"="&amp;Q68,'[1]2_inventory_totals'!$G$8:$G$10000,"="&amp;R68)+SUMIFS('[1]2_inventory_totals'!$O$8:$O$10000,'[1]2_inventory_totals'!$C$8:$C$10000,I68,'[1]2_inventory_totals'!$F$8:$F$10000,"="&amp;Q68,'[1]2_inventory_totals'!$G$8:$G$10000,"="&amp;R68)+SUMIFS('[1]2_inventory_totals'!$S$8:$S$10000,'[1]2_inventory_totals'!$C$8:$C$10000,I68,'[1]2_inventory_totals'!$F$8:$F$10000,"="&amp;Q68,'[1]2_inventory_totals'!$G$8:$G$10000,"="&amp;R68)))</f>
        <v/>
      </c>
    </row>
    <row r="69" spans="1:54" ht="27" hidden="1" customHeight="1">
      <c r="A69" s="923"/>
      <c r="B69" s="1256"/>
      <c r="C69" s="950"/>
      <c r="D69" s="950"/>
      <c r="E69" s="950"/>
      <c r="F69" s="1257"/>
      <c r="G69" s="941"/>
      <c r="H69" s="951"/>
      <c r="I69" s="1610" t="str">
        <f t="shared" si="10"/>
        <v/>
      </c>
      <c r="J69" s="1611" t="str">
        <f t="shared" si="112"/>
        <v/>
      </c>
      <c r="K69" s="1612" t="str">
        <f t="shared" si="30"/>
        <v/>
      </c>
      <c r="L69" s="1613"/>
      <c r="M69" s="883"/>
      <c r="N69" s="884"/>
      <c r="O69" s="884"/>
      <c r="P69" s="885"/>
      <c r="Q69" s="886"/>
      <c r="R69" s="891"/>
      <c r="S69" s="1614" t="str">
        <f t="shared" ref="S69" si="266">IF(M69="","",quot_currency_symbol)</f>
        <v/>
      </c>
      <c r="T69" s="888"/>
      <c r="U69" s="1650" t="str">
        <f t="shared" si="13"/>
        <v/>
      </c>
      <c r="V69" s="1615" t="str">
        <f t="shared" ref="V69" si="267">IF(W69=0,"",quot_currency_symbol)</f>
        <v/>
      </c>
      <c r="W69" s="889"/>
      <c r="X69" s="1615" t="str">
        <f t="shared" ref="X69" si="268">IF(M69="","",quot_currency_symbol)</f>
        <v/>
      </c>
      <c r="Y69" s="1616" t="str">
        <f t="shared" si="34"/>
        <v/>
      </c>
      <c r="Z69" s="890"/>
      <c r="AA69" s="197" t="str" cm="1">
        <f t="array" ref="AA69">IF(M69="","",IF(P69=AN69,1,Slookup(MID(AN69,1,3)*1,UomConversion!$D$8:$J$500,5,UomConversion!$E$8:$E$500,MID(P69,1,3)*1,UomConversion!$J$8:$J$500,1)))</f>
        <v/>
      </c>
      <c r="AB69" s="197" t="str">
        <f t="shared" si="3"/>
        <v/>
      </c>
      <c r="AC69" s="197" t="str">
        <f t="shared" si="17"/>
        <v/>
      </c>
      <c r="AD69" s="197" t="str">
        <f t="shared" si="18"/>
        <v/>
      </c>
      <c r="AE69" s="197" t="str">
        <f t="shared" si="19"/>
        <v/>
      </c>
      <c r="AF69" s="197" t="str">
        <f t="shared" si="152"/>
        <v/>
      </c>
      <c r="AG69" s="197" t="str">
        <f t="shared" si="6"/>
        <v/>
      </c>
      <c r="AH69" s="197" t="str">
        <f>IF(I69="","",IF(ISNA(MATCH(I69,IF(quot_location_id=1,'[1]1_inventory_totals'!$C$8:$C$10000,IF(quot_location_id=2,'[1]2_inventory_totals'!$C$8:$C$10000,0)),0)),0,IF(AV69&gt;0,1,0)))</f>
        <v/>
      </c>
      <c r="AI69" s="197" t="str">
        <f>IF(M69="","",IF(quot_location_id=1,SUMIFS('[1]1_inventory_total_details'!$J$8:$J$10000,'[1]1_inventory_total_details'!$C$8:$C$10000,I69,'[1]1_inventory_total_details'!$F$8:$F$10000,quot_location_id,'[1]1_inventory_total_details'!$G$8:$G$10000,"="&amp;Q69,'[1]1_inventory_total_details'!$H$8:$H$10000,"="&amp;R69,'[1]1_inventory_total_details'!$I$8:$I$10000,"="&amp;quot_date)+SUMIFS('[1]1_inventory_total_details'!$M$8:$M$10000,'[1]1_inventory_total_details'!$C$8:$C$10000,I69,'[1]1_inventory_total_details'!$F$8:$F$10000,quot_location_id,'[1]1_inventory_total_details'!$G$8:$G$10000,"="&amp;Q69,'[1]1_inventory_total_details'!$H$8:$H$10000,"="&amp;R69,'[1]1_inventory_total_details'!$I$8:$I$10000,"="&amp;quot_date)+SUMIFS('[1]1_inventory_total_details'!$K$8:$K$10000,'[1]1_inventory_total_details'!$C$8:$C$10000,I69,'[1]1_inventory_total_details'!$F$8:$F$10000,quot_location_id,'[1]1_inventory_total_details'!$G$8:$G$10000,"="&amp;Q69,'[1]1_inventory_total_details'!$H$8:$H$10000,"="&amp;R69,'[1]1_inventory_total_details'!$I$8:$I$10000,"="&amp;quot_date)+SUMIFS('[1]1_inventory_total_details'!$L$8:$L$10000,'[1]1_inventory_total_details'!$C$8:$C$10000,I69,'[1]1_inventory_total_details'!$F$8:$F$10000,quot_location_id,'[1]1_inventory_total_details'!$G$8:$G$10000,"="&amp;Q69,'[1]1_inventory_total_details'!$H$8:$H$10000,"="&amp;R69,'[1]1_inventory_total_details'!$I$8:$I$10000,"="&amp;quot_date),SUMIFS('[1]2_inventory_total_details'!$J$8:$J$10000,'[1]2_inventory_total_details'!$C$8:$C$10000,I69,'[1]2_inventory_total_details'!$F$8:$F$10000,quot_location_id,'[1]2_inventory_total_details'!$G$8:$G$10000,"="&amp;Q69,'[1]2_inventory_total_details'!$H$8:$H$10000,"="&amp;R69,'[1]2_inventory_total_details'!$I$8:$I$10000,"="&amp;quot_date)+SUMIFS('[1]2_inventory_total_details'!$M$8:$M$10000,'[1]2_inventory_total_details'!$C$8:$C$10000,I69,'[1]2_inventory_total_details'!$F$8:$F$10000,quot_location_id,'[1]2_inventory_total_details'!$G$8:$G$10000,"="&amp;Q69,'[1]2_inventory_total_details'!$H$8:$H$10000,"="&amp;R69,'[1]2_inventory_total_details'!$I$8:$I$10000,"="&amp;quot_date)+SUMIFS('[1]2_inventory_total_details'!$K$8:$K$10000,'[1]2_inventory_total_details'!$C$8:$C$10000,I69,'[1]2_inventory_total_details'!$F$8:$F$10000,quot_location_id,'[1]2_inventory_total_details'!$G$8:$G$10000,"="&amp;Q69,'[1]2_inventory_total_details'!$H$8:$H$10000,"="&amp;R69,'[1]2_inventory_total_details'!$I$8:$I$10000,"="&amp;quot_date)+SUMIFS('[1]2_inventory_total_details'!$L$8:$L$10000,'[1]2_inventory_total_details'!$C$8:$C$10000,I69,'[1]2_inventory_total_details'!$F$8:$F$10000,quot_location_id,'[1]2_inventory_total_details'!$G$8:$G$10000,"="&amp;Q69,'[1]2_inventory_total_details'!$H$8:$H$10000,"="&amp;R69,'[1]2_inventory_total_details'!$I$8:$I$10000,"="&amp;quot_date)))</f>
        <v/>
      </c>
      <c r="AJ69" s="197" t="str">
        <f>IF(M69="","",IF(ISNA(MATCH(I69,'[1]1_group_totals'!$C$8:$C$10000)),0,IF(AW69&gt;0,1,0)))</f>
        <v/>
      </c>
      <c r="AK69" s="197" t="str">
        <f>IF(M69="","",(SUMIFS('[1]1_group_total_details'!$I$8:$I$10000,'[1]1_group_total_details'!$C$8:$C$10000,I69,'[1]1_group_total_details'!$F$8:$F$10000,quot_location_group_id,'[1]1_group_total_details'!$G$8:$G$10000,quot_location_id,'[1]1_group_total_details'!$H$8:$H$10000,"="&amp;quot_date)+SUMIFS('[1]1_group_total_details'!$L$8:$L$10000,'[1]1_group_total_details'!$C$8:$C$10000,I69,'[1]1_group_total_details'!$F$8:$F$10000,quot_location_group_id,'[1]1_group_total_details'!$G$8:$G$10000,quot_location_id,'[1]1_group_total_details'!$H$8:$H$10000,"="&amp;quot_date)+SUMIFS('[1]1_group_total_details'!$N$8:$N$10000,'[1]1_group_total_details'!$C$8:$C$10000,I69,'[1]1_group_total_details'!$F$8:$F$10000,quot_location_group_id,'[1]1_group_total_details'!$G$8:$G$10000,quot_location_id,'[1]1_group_total_details'!$H$8:$H$10000,"="&amp;quot_date)+SUMIFS('[1]1_group_total_details'!$O$8:$O$10000,'[1]1_group_total_details'!$C$8:$C$10000,I69,'[1]1_group_total_details'!$F$8:$F$10000,quot_location_group_id,'[1]1_group_total_details'!$G$8:$G$10000,quot_location_id,'[1]1_group_total_details'!$H$8:$H$10000,"="&amp;quot_date))+(SUMIFS('[1]1_group_total_details'!$J$8:$J$10000,'[1]1_group_total_details'!$C$8:$C$10000,I69,'[1]1_group_total_details'!$F$8:$F$10000,quot_location_group_id,'[1]1_group_total_details'!$G$8:$G$10000,quot_location_id,'[1]1_group_total_details'!$H$8:$H$10000,"="&amp;quot_date)+SUMIFS('[1]1_group_total_details'!$K$8:$K$10000,'[1]1_group_total_details'!$C$8:$C$10000,I69,'[1]1_group_total_details'!$F$8:$F$10000,quot_location_group_id,'[1]1_group_total_details'!$G$8:$G$10000,quot_location_id,'[1]1_group_total_details'!$H$8:$H$10000,"="&amp;quot_date)+SUMIFS('[1]1_group_total_details'!$M$8:$M$10000,'[1]1_group_total_details'!$C$8:$C$10000,I69,'[1]1_group_total_details'!$F$8:$F$10000,quot_location_group_id,'[1]1_group_total_details'!$G$8:$G$10000,quot_location_id,'[1]1_group_total_details'!$H$8:$H$10000,"="&amp;quot_date)+SUMIFS('[1]1_group_total_details'!$P$8:$P$10000,'[1]1_group_total_details'!$C$8:$C$10000,I69,'[1]1_group_total_details'!$F$8:$F$10000,quot_location_group_id,'[1]1_group_total_details'!$G$8:$G$10000,quot_location_id,'[1]1_group_total_details'!$H$8:$H$10000,"="&amp;quot_date)))</f>
        <v/>
      </c>
      <c r="AL69" s="197" t="str">
        <f>IF(M69="","",(SUMIFS('[1]1_group_total_details'!$I$8:$I$10000,'[1]1_group_total_details'!$C$8:$C$10000,I69,'[1]1_group_total_details'!$F$8:$F$10000,quot_location_group_id,'[1]1_group_total_details'!$G$8:$G$10000,quot_location_id,'[1]1_group_total_details'!$H$8:$H$10000,"&lt;="&amp;quot_date)+SUMIFS('[1]1_group_total_details'!$L$8:$L$10000,'[1]1_group_total_details'!$C$8:$C$10000,I69,'[1]1_group_total_details'!$F$8:$F$10000,quot_location_group_id,'[1]1_group_total_details'!$G$8:$G$10000,1,'[1]1_group_total_details'!$H$8:$H$10000,"&lt;="&amp;quot_date)+SUMIFS('[1]1_group_total_details'!$N$8:$N$10000,'[1]1_group_total_details'!$C$8:$C$10000,I69,'[1]1_group_total_details'!$F$8:$F$10000,quot_location_group_id,'[1]1_group_total_details'!$G$8:$G$10000,quot_location_id,'[1]1_group_total_details'!$H$8:$H$10000,"&lt;="&amp;quot_date)+SUMIFS('[1]1_group_total_details'!$O$8:$O$10000,'[1]1_group_total_details'!$C$8:$C$10000,I69,'[1]1_group_total_details'!$F$8:$F$10000,quot_location_group_id,'[1]1_group_total_details'!$G$8:$G$10000,quot_location_id,'[1]1_group_total_details'!$H$8:$H$10000,"&lt;="&amp;quot_date))-(SUMIFS('[1]1_group_total_details'!$J$8:$J$10000,'[1]1_group_total_details'!$C$8:$C$10000,I69,'[1]1_group_total_details'!$F$8:$F$10000,quot_location_group_id,'[1]1_group_total_details'!$G$8:$G$10000,quot_location_id,'[1]1_group_total_details'!$H$8:$H$10000,"&lt;="&amp;quot_date)+SUMIFS('[1]1_group_total_details'!$K$8:$K$10000,'[1]1_group_total_details'!$C$8:$C$10000,I69,'[1]1_group_total_details'!$F$8:$F$10000,quot_location_group_id,'[1]1_group_total_details'!$G$8:$G$10000,quot_location_id,'[1]1_group_total_details'!$H$8:$H$10000,"&lt;="&amp;quot_date)+SUMIFS('[1]1_group_total_details'!$M$8:$M$10000,'[1]1_group_total_details'!$C$8:$C$10000,I69,'[1]1_group_total_details'!$F$8:$F$10000,quot_location_group_id,'[1]1_group_total_details'!$G$8:$G$10000,quot_location_id,'[1]1_group_total_details'!$H$8:$H$10000,"&lt;="&amp;quot_date)+SUMIFS('[1]1_group_total_details'!$P$8:$P$10000,'[1]1_group_total_details'!$C$8:$C$10000,I69,'[1]1_group_total_details'!$F$8:$F$10000,quot_location_group_id,'[1]1_group_total_details'!$G$8:$G$10000,quot_location_id,'[1]1_group_total_details'!$H$8:$H$10000,"&lt;="&amp;quot_date)))</f>
        <v/>
      </c>
      <c r="AM69" s="197" t="str">
        <f>IF(M69="","",SUMIFS('[1]1_group_totals'!$J$8:$J$10000,'[1]1_group_totals'!$C$8:$C$10000,I69,'[1]1_group_totals'!$F$8:$F$10000,quot_location_group_id,'[1]1_group_totals'!$G$8:$G$10000,quot_location_id,'[1]1_group_totals'!$H$8:$H$10000,"="&amp;Q69,'[1]1_group_totals'!$I$8:$I$10000,"="&amp;R69))</f>
        <v/>
      </c>
      <c r="AN69" s="197" t="str">
        <f t="shared" si="7"/>
        <v/>
      </c>
      <c r="AO69" s="197" t="str">
        <f>IF(OR(ISNA(MATCH(MID(AN69,1,3)*1,UomConversion!$D$8:$D$500,0)),M69=""),"",IF(AT69="","",AT69))</f>
        <v/>
      </c>
      <c r="AP69" s="197" t="str">
        <f>IF(AND(AQ69&gt;0,COUNTIFS(UomConversion!$D$8:$D$500,MID(AN69,1,3)*1,UomConversion!$J$8:$J$500,1)&gt;1),TEXT(AQ69,"000")&amp;"."&amp;VLOOKUP(AQ69,uom_list,5,FALSE),"")</f>
        <v/>
      </c>
      <c r="AQ69" s="197" t="str">
        <f t="shared" si="20"/>
        <v/>
      </c>
      <c r="AR69" s="197" t="str">
        <f t="shared" si="21"/>
        <v/>
      </c>
      <c r="AS69" s="197" t="str">
        <f>IF(M69="","",SUMIFS(ProductPrice!$N$28:$N$10020,ProductPrice!$D$28:$D$10020,I69,ProductPrice!$G$28:$G$10020,quot_branch_id,ProductPrice!$H$28:$H$10020,quot_price_type_id,ProductPrice!$I$28:$I$10020,MID(P69,1,3)*1,ProductPrice!$Q$28:$Q$10020,1))</f>
        <v/>
      </c>
      <c r="AT69" s="197" t="str">
        <f t="shared" si="8"/>
        <v/>
      </c>
      <c r="AU69" s="197" t="str" cm="1">
        <f t="array" ref="AU69">IF(M69="","",IF(ISNA(Slookup(MID(AN69,1,3)*1,UomConversion!$D$8:$J$500,2,UomConversion!$I$8:$I$500,1,UomConversion!$J$8:$J$500,1)),"",Slookup(MID(AN69,1,3)*1,UomConversion!$D$8:$J$500,2,UomConversion!$I$8:$I$500,1,UomConversion!$J$8:$J$500,1)))</f>
        <v/>
      </c>
      <c r="AV69" s="197" t="str">
        <f t="shared" ref="AV69" si="269">IF(M69="","",IF(quot_location_id=1,BA69,IF(quot_location_id=2,BB69,0)))</f>
        <v/>
      </c>
      <c r="AW69" s="197" t="str">
        <f>IF(M69="","",(SUMIFS('[1]1_group_totals'!$K$8:$K$10000,'[1]1_group_totals'!$C$8:$C$10000,I69,'[1]1_group_totals'!$F$8:$F$10000,quot_location_group_id,'[1]1_group_totals'!$G$8:$G$10000,quot_location_id,'[1]1_group_totals'!$H$8:$H$10000,"="&amp;Q69,'[1]1_group_totals'!$I$8:$I$10000,"="&amp;R69)+SUMIFS('[1]1_group_totals'!$N$8:$N$10000,'[1]1_group_totals'!$C$8:$C$10000,I69,'[1]1_group_totals'!$F$8:$F$10000,quot_location_group_id,'[1]1_group_totals'!$G$8:$G$10000,quot_location_id,'[1]1_group_totals'!$H$8:$H$10000,"="&amp;Q69,'[1]1_group_totals'!$I$8:$I$10000,"="&amp;R69)+SUMIFS('[1]1_group_totals'!$P$8:$P$10000,'[1]1_group_totals'!$C$8:$C$10000,I69,'[1]1_group_totals'!$F$8:$F$10000,quot_location_group_id,'[1]1_group_totals'!$G$8:$G$10000,quot_location_id,'[1]1_group_totals'!$H$8:$H$10000,"="&amp;Q69,'[1]1_group_totals'!$I$8:$I$10000,"="&amp;R69)+SUMIFS('[1]1_group_totals'!$Q$8:$Q$10000,'[1]1_group_totals'!$C$8:$C$10000,I69,'[1]1_group_totals'!$F$8:$F$10000,quot_location_group_id,'[1]1_group_totals'!$G$8:$G$10000,quot_location_id,'[1]1_group_totals'!$H$8:$H$10000,"="&amp;Q69,'[1]1_group_totals'!$I$8:$I$10000,"="&amp;R69))+(SUMIFS('[1]1_group_totals'!$L$8:$L$10000,'[1]1_group_totals'!$C$8:$C$10000,I69,'[1]1_group_totals'!$F$8:$F$10000,quot_location_group_id,'[1]1_group_totals'!$G$8:$G$10000,quot_location_id,'[1]1_group_totals'!$H$8:$H$10000,"="&amp;Q69,'[1]1_group_totals'!$I$8:$I$10000,"="&amp;R69)+SUMIFS('[1]1_group_totals'!$M$8:$M$10000,'[1]1_group_totals'!$C$8:$C$10000,I69,'[1]1_group_totals'!$F$8:$F$10000,quot_location_group_id,'[1]1_group_totals'!$G$8:$G$10000,quot_location_id,'[1]1_group_totals'!$H$8:$H$10000,"="&amp;Q69,'[1]1_group_totals'!$I$8:$I$10000,"="&amp;R69)+SUMIFS('[1]1_group_totals'!$O$8:$O$10000,'[1]1_group_totals'!$C$8:$C$10000,I69,'[1]1_group_totals'!$F$8:$F$10000,quot_location_group_id,'[1]1_group_totals'!$G$8:$G$10000,quot_location_id,'[1]1_group_totals'!$H$8:$H$10000,"="&amp;Q69,'[1]1_group_totals'!$I$8:$I$10000,"="&amp;R69)+SUMIFS('[1]1_group_totals'!$R$8:$R$10000,'[1]1_group_totals'!$C$8:$C$10000,I69,'[1]1_group_totals'!$F$8:$F$10000,quot_location_group_id,'[1]1_group_totals'!$G$8:$G$10000,quot_location_id,'[1]1_group_totals'!$H$8:$H$10000,"="&amp;Q69,'[1]1_group_totals'!$I$8:$I$10000,"="&amp;R69)))</f>
        <v/>
      </c>
      <c r="AX69" s="197" t="str">
        <f t="shared" si="23"/>
        <v/>
      </c>
      <c r="AY69" s="197" t="str">
        <f>IF(M69="","",SUMIFS($AX$8:AX69,$I$8:I69,I69))</f>
        <v/>
      </c>
      <c r="AZ69" s="197" t="str">
        <f t="shared" si="24"/>
        <v/>
      </c>
      <c r="BA69" s="197" t="str">
        <f>IF(M69="","",(SUMIFS('[1]1_inventory_totals'!$I$8:$I$10000,'[1]1_inventory_totals'!$C$8:$C$10000,I69,'[1]1_inventory_totals'!$F$8:$F$10000,"="&amp;Q69,'[1]1_inventory_totals'!$G$8:$G$10000,"="&amp;R69)+SUMIFS('[1]1_inventory_totals'!$N$8:$N$10000,'[1]1_inventory_totals'!$C$8:$C$10000,I69,'[1]1_inventory_totals'!$F$8:$F$10000,"="&amp;Q69,'[1]1_inventory_totals'!$G$8:$G$10000,"="&amp;R69)+SUMIFS('[1]1_inventory_totals'!$P$8:$P$10000,'[1]1_inventory_totals'!$C$8:$C$10000,I69,'[1]1_inventory_totals'!$F$8:$F$10000,"="&amp;Q69,'[1]1_inventory_totals'!$G$8:$G$10000,"="&amp;R69)+SUMIFS('[1]1_inventory_totals'!$Q$8:$Q$10000,'[1]1_inventory_totals'!$C$8:$C$10000,I69,'[1]1_inventory_totals'!$F$8:$F$10000,"="&amp;Q69,'[1]1_inventory_totals'!$G$8:$G$10000,"="&amp;R69)+SUMIFS('[1]1_inventory_totals'!$R$8:$R$10000,'[1]1_inventory_totals'!$C$8:$C$10000,I69,'[1]1_inventory_totals'!$F$8:$F$10000,"="&amp;Q69,'[1]1_inventory_totals'!$G$8:$G$10000,"="&amp;R69))+(SUMIFS('[1]1_inventory_totals'!$J$8:$J$10000,'[1]1_inventory_totals'!$C$8:$C$10000,I69,'[1]1_inventory_totals'!$F$8:$F$10000,"="&amp;Q69,'[1]1_inventory_totals'!$G$8:$G$10000,"="&amp;R69)+SUMIFS('[1]1_inventory_totals'!$K$8:$K$10000,'[1]1_inventory_totals'!$C$8:$C$10000,I69,'[1]1_inventory_totals'!$F$8:$F$10000,"="&amp;Q69,'[1]1_inventory_totals'!$G$8:$G$10000,"="&amp;R69)+SUMIFS('[1]1_inventory_totals'!$L$8:$L$10000,'[1]1_inventory_totals'!$C$8:$C$10000,I69,'[1]1_inventory_totals'!$F$8:$F$10000,"="&amp;Q69,'[1]1_inventory_totals'!$G$8:$G$10000,"="&amp;R69)+SUMIFS('[1]1_inventory_totals'!$M$8:$M$10000,'[1]1_inventory_totals'!$C$8:$C$10000,I69,'[1]1_inventory_totals'!$F$8:$F$10000,"="&amp;Q69,'[1]1_inventory_totals'!$G$8:$G$10000,"="&amp;R69)+SUMIFS('[1]1_inventory_totals'!$O$8:$O$10000,'[1]1_inventory_totals'!$C$8:$C$10000,I69,'[1]1_inventory_totals'!$F$8:$F$10000,"="&amp;Q69,'[1]1_inventory_totals'!$G$8:$G$10000,"="&amp;R69)+SUMIFS('[1]1_inventory_totals'!$S$8:$S$10000,'[1]1_inventory_totals'!$C$8:$C$10000,I69,'[1]1_inventory_totals'!$F$8:$F$10000,"="&amp;Q69,'[1]1_inventory_totals'!$G$8:$G$10000,"="&amp;R69)))</f>
        <v/>
      </c>
      <c r="BB69" s="197" t="str">
        <f>IF(M69="","",(SUMIFS('[1]2_inventory_totals'!$I$8:$I$10000,'[1]2_inventory_totals'!$C$8:$C$10000,I69,'[1]2_inventory_totals'!$F$8:$F$10000,"="&amp;Q69,'[1]2_inventory_totals'!$G$8:$G$10000,"="&amp;R69)+SUMIFS('[1]2_inventory_totals'!$N$8:$N$10000,'[1]2_inventory_totals'!$C$8:$C$10000,I69,'[1]2_inventory_totals'!$F$8:$F$10000,"="&amp;Q69,'[1]2_inventory_totals'!$G$8:$G$10000,"="&amp;R69)+SUMIFS('[1]2_inventory_totals'!$P$8:$P$10000,'[1]2_inventory_totals'!$C$8:$C$10000,I69,'[1]2_inventory_totals'!$F$8:$F$10000,"="&amp;Q69,'[1]2_inventory_totals'!$G$8:$G$10000,"="&amp;R69)+SUMIFS('[1]2_inventory_totals'!$Q$8:$Q$10000,'[1]2_inventory_totals'!$C$8:$C$10000,I69,'[1]2_inventory_totals'!$F$8:$F$10000,"="&amp;Q69,'[1]2_inventory_totals'!$G$8:$G$10000,"="&amp;R69)+SUMIFS('[1]2_inventory_totals'!$R$8:$R$10000,'[1]2_inventory_totals'!$C$8:$C$10000,I69,'[1]2_inventory_totals'!$F$8:$F$10000,"="&amp;Q69,'[1]2_inventory_totals'!$G$8:$G$10000,"="&amp;R69))+(SUMIFS('[1]2_inventory_totals'!$J$8:$J$10000,'[1]2_inventory_totals'!$C$8:$C$10000,I69,'[1]2_inventory_totals'!$F$8:$F$10000,"="&amp;Q69,'[1]2_inventory_totals'!$G$8:$G$10000,"="&amp;R69)+SUMIFS('[1]2_inventory_totals'!$K$8:$K$10000,'[1]2_inventory_totals'!$C$8:$C$10000,I69,'[1]2_inventory_totals'!$F$8:$F$10000,"="&amp;Q69,'[1]2_inventory_totals'!$G$8:$G$10000,"="&amp;R69)+SUMIFS('[1]2_inventory_totals'!$L$8:$L$10000,'[1]2_inventory_totals'!$C$8:$C$10000,I69,'[1]2_inventory_totals'!$F$8:$F$10000,"="&amp;Q69,'[1]2_inventory_totals'!$G$8:$G$10000,"="&amp;R69)+SUMIFS('[1]2_inventory_totals'!$M$8:$M$10000,'[1]2_inventory_totals'!$C$8:$C$10000,I69,'[1]2_inventory_totals'!$F$8:$F$10000,"="&amp;Q69,'[1]2_inventory_totals'!$G$8:$G$10000,"="&amp;R69)+SUMIFS('[1]2_inventory_totals'!$O$8:$O$10000,'[1]2_inventory_totals'!$C$8:$C$10000,I69,'[1]2_inventory_totals'!$F$8:$F$10000,"="&amp;Q69,'[1]2_inventory_totals'!$G$8:$G$10000,"="&amp;R69)+SUMIFS('[1]2_inventory_totals'!$S$8:$S$10000,'[1]2_inventory_totals'!$C$8:$C$10000,I69,'[1]2_inventory_totals'!$F$8:$F$10000,"="&amp;Q69,'[1]2_inventory_totals'!$G$8:$G$10000,"="&amp;R69)))</f>
        <v/>
      </c>
    </row>
    <row r="70" spans="1:54" ht="27" hidden="1" customHeight="1">
      <c r="A70" s="923"/>
      <c r="B70" s="1256"/>
      <c r="C70" s="950"/>
      <c r="D70" s="950"/>
      <c r="E70" s="950"/>
      <c r="F70" s="1257"/>
      <c r="G70" s="941"/>
      <c r="H70" s="951"/>
      <c r="I70" s="1610" t="str">
        <f t="shared" si="10"/>
        <v/>
      </c>
      <c r="J70" s="1611" t="str">
        <f t="shared" si="112"/>
        <v/>
      </c>
      <c r="K70" s="1612" t="str">
        <f t="shared" si="30"/>
        <v/>
      </c>
      <c r="L70" s="1613"/>
      <c r="M70" s="883"/>
      <c r="N70" s="884"/>
      <c r="O70" s="884"/>
      <c r="P70" s="885"/>
      <c r="Q70" s="886"/>
      <c r="R70" s="891"/>
      <c r="S70" s="1614" t="str">
        <f t="shared" ref="S70" si="270">IF(M70="","",quot_currency_symbol)</f>
        <v/>
      </c>
      <c r="T70" s="888"/>
      <c r="U70" s="1650" t="str">
        <f t="shared" si="13"/>
        <v/>
      </c>
      <c r="V70" s="1615" t="str">
        <f t="shared" ref="V70" si="271">IF(W70=0,"",quot_currency_symbol)</f>
        <v/>
      </c>
      <c r="W70" s="889"/>
      <c r="X70" s="1615" t="str">
        <f t="shared" ref="X70" si="272">IF(M70="","",quot_currency_symbol)</f>
        <v/>
      </c>
      <c r="Y70" s="1616" t="str">
        <f t="shared" si="34"/>
        <v/>
      </c>
      <c r="Z70" s="890"/>
      <c r="AA70" s="197" t="str" cm="1">
        <f t="array" ref="AA70">IF(M70="","",IF(P70=AN70,1,Slookup(MID(AN70,1,3)*1,UomConversion!$D$8:$J$500,5,UomConversion!$E$8:$E$500,MID(P70,1,3)*1,UomConversion!$J$8:$J$500,1)))</f>
        <v/>
      </c>
      <c r="AB70" s="197" t="str">
        <f t="shared" si="3"/>
        <v/>
      </c>
      <c r="AC70" s="197" t="str">
        <f t="shared" si="17"/>
        <v/>
      </c>
      <c r="AD70" s="197" t="str">
        <f t="shared" si="18"/>
        <v/>
      </c>
      <c r="AE70" s="197" t="str">
        <f t="shared" si="19"/>
        <v/>
      </c>
      <c r="AF70" s="197" t="str">
        <f t="shared" si="152"/>
        <v/>
      </c>
      <c r="AG70" s="197" t="str">
        <f t="shared" si="6"/>
        <v/>
      </c>
      <c r="AH70" s="197" t="str">
        <f>IF(I70="","",IF(ISNA(MATCH(I70,IF(quot_location_id=1,'[1]1_inventory_totals'!$C$8:$C$10000,IF(quot_location_id=2,'[1]2_inventory_totals'!$C$8:$C$10000,0)),0)),0,IF(AV70&gt;0,1,0)))</f>
        <v/>
      </c>
      <c r="AI70" s="197" t="str">
        <f>IF(M70="","",IF(quot_location_id=1,SUMIFS('[1]1_inventory_total_details'!$J$8:$J$10000,'[1]1_inventory_total_details'!$C$8:$C$10000,I70,'[1]1_inventory_total_details'!$F$8:$F$10000,quot_location_id,'[1]1_inventory_total_details'!$G$8:$G$10000,"="&amp;Q70,'[1]1_inventory_total_details'!$H$8:$H$10000,"="&amp;R70,'[1]1_inventory_total_details'!$I$8:$I$10000,"="&amp;quot_date)+SUMIFS('[1]1_inventory_total_details'!$M$8:$M$10000,'[1]1_inventory_total_details'!$C$8:$C$10000,I70,'[1]1_inventory_total_details'!$F$8:$F$10000,quot_location_id,'[1]1_inventory_total_details'!$G$8:$G$10000,"="&amp;Q70,'[1]1_inventory_total_details'!$H$8:$H$10000,"="&amp;R70,'[1]1_inventory_total_details'!$I$8:$I$10000,"="&amp;quot_date)+SUMIFS('[1]1_inventory_total_details'!$K$8:$K$10000,'[1]1_inventory_total_details'!$C$8:$C$10000,I70,'[1]1_inventory_total_details'!$F$8:$F$10000,quot_location_id,'[1]1_inventory_total_details'!$G$8:$G$10000,"="&amp;Q70,'[1]1_inventory_total_details'!$H$8:$H$10000,"="&amp;R70,'[1]1_inventory_total_details'!$I$8:$I$10000,"="&amp;quot_date)+SUMIFS('[1]1_inventory_total_details'!$L$8:$L$10000,'[1]1_inventory_total_details'!$C$8:$C$10000,I70,'[1]1_inventory_total_details'!$F$8:$F$10000,quot_location_id,'[1]1_inventory_total_details'!$G$8:$G$10000,"="&amp;Q70,'[1]1_inventory_total_details'!$H$8:$H$10000,"="&amp;R70,'[1]1_inventory_total_details'!$I$8:$I$10000,"="&amp;quot_date),SUMIFS('[1]2_inventory_total_details'!$J$8:$J$10000,'[1]2_inventory_total_details'!$C$8:$C$10000,I70,'[1]2_inventory_total_details'!$F$8:$F$10000,quot_location_id,'[1]2_inventory_total_details'!$G$8:$G$10000,"="&amp;Q70,'[1]2_inventory_total_details'!$H$8:$H$10000,"="&amp;R70,'[1]2_inventory_total_details'!$I$8:$I$10000,"="&amp;quot_date)+SUMIFS('[1]2_inventory_total_details'!$M$8:$M$10000,'[1]2_inventory_total_details'!$C$8:$C$10000,I70,'[1]2_inventory_total_details'!$F$8:$F$10000,quot_location_id,'[1]2_inventory_total_details'!$G$8:$G$10000,"="&amp;Q70,'[1]2_inventory_total_details'!$H$8:$H$10000,"="&amp;R70,'[1]2_inventory_total_details'!$I$8:$I$10000,"="&amp;quot_date)+SUMIFS('[1]2_inventory_total_details'!$K$8:$K$10000,'[1]2_inventory_total_details'!$C$8:$C$10000,I70,'[1]2_inventory_total_details'!$F$8:$F$10000,quot_location_id,'[1]2_inventory_total_details'!$G$8:$G$10000,"="&amp;Q70,'[1]2_inventory_total_details'!$H$8:$H$10000,"="&amp;R70,'[1]2_inventory_total_details'!$I$8:$I$10000,"="&amp;quot_date)+SUMIFS('[1]2_inventory_total_details'!$L$8:$L$10000,'[1]2_inventory_total_details'!$C$8:$C$10000,I70,'[1]2_inventory_total_details'!$F$8:$F$10000,quot_location_id,'[1]2_inventory_total_details'!$G$8:$G$10000,"="&amp;Q70,'[1]2_inventory_total_details'!$H$8:$H$10000,"="&amp;R70,'[1]2_inventory_total_details'!$I$8:$I$10000,"="&amp;quot_date)))</f>
        <v/>
      </c>
      <c r="AJ70" s="197" t="str">
        <f>IF(M70="","",IF(ISNA(MATCH(I70,'[1]1_group_totals'!$C$8:$C$10000)),0,IF(AW70&gt;0,1,0)))</f>
        <v/>
      </c>
      <c r="AK70" s="197" t="str">
        <f>IF(M70="","",(SUMIFS('[1]1_group_total_details'!$I$8:$I$10000,'[1]1_group_total_details'!$C$8:$C$10000,I70,'[1]1_group_total_details'!$F$8:$F$10000,quot_location_group_id,'[1]1_group_total_details'!$G$8:$G$10000,quot_location_id,'[1]1_group_total_details'!$H$8:$H$10000,"="&amp;quot_date)+SUMIFS('[1]1_group_total_details'!$L$8:$L$10000,'[1]1_group_total_details'!$C$8:$C$10000,I70,'[1]1_group_total_details'!$F$8:$F$10000,quot_location_group_id,'[1]1_group_total_details'!$G$8:$G$10000,quot_location_id,'[1]1_group_total_details'!$H$8:$H$10000,"="&amp;quot_date)+SUMIFS('[1]1_group_total_details'!$N$8:$N$10000,'[1]1_group_total_details'!$C$8:$C$10000,I70,'[1]1_group_total_details'!$F$8:$F$10000,quot_location_group_id,'[1]1_group_total_details'!$G$8:$G$10000,quot_location_id,'[1]1_group_total_details'!$H$8:$H$10000,"="&amp;quot_date)+SUMIFS('[1]1_group_total_details'!$O$8:$O$10000,'[1]1_group_total_details'!$C$8:$C$10000,I70,'[1]1_group_total_details'!$F$8:$F$10000,quot_location_group_id,'[1]1_group_total_details'!$G$8:$G$10000,quot_location_id,'[1]1_group_total_details'!$H$8:$H$10000,"="&amp;quot_date))+(SUMIFS('[1]1_group_total_details'!$J$8:$J$10000,'[1]1_group_total_details'!$C$8:$C$10000,I70,'[1]1_group_total_details'!$F$8:$F$10000,quot_location_group_id,'[1]1_group_total_details'!$G$8:$G$10000,quot_location_id,'[1]1_group_total_details'!$H$8:$H$10000,"="&amp;quot_date)+SUMIFS('[1]1_group_total_details'!$K$8:$K$10000,'[1]1_group_total_details'!$C$8:$C$10000,I70,'[1]1_group_total_details'!$F$8:$F$10000,quot_location_group_id,'[1]1_group_total_details'!$G$8:$G$10000,quot_location_id,'[1]1_group_total_details'!$H$8:$H$10000,"="&amp;quot_date)+SUMIFS('[1]1_group_total_details'!$M$8:$M$10000,'[1]1_group_total_details'!$C$8:$C$10000,I70,'[1]1_group_total_details'!$F$8:$F$10000,quot_location_group_id,'[1]1_group_total_details'!$G$8:$G$10000,quot_location_id,'[1]1_group_total_details'!$H$8:$H$10000,"="&amp;quot_date)+SUMIFS('[1]1_group_total_details'!$P$8:$P$10000,'[1]1_group_total_details'!$C$8:$C$10000,I70,'[1]1_group_total_details'!$F$8:$F$10000,quot_location_group_id,'[1]1_group_total_details'!$G$8:$G$10000,quot_location_id,'[1]1_group_total_details'!$H$8:$H$10000,"="&amp;quot_date)))</f>
        <v/>
      </c>
      <c r="AL70" s="197" t="str">
        <f>IF(M70="","",(SUMIFS('[1]1_group_total_details'!$I$8:$I$10000,'[1]1_group_total_details'!$C$8:$C$10000,I70,'[1]1_group_total_details'!$F$8:$F$10000,quot_location_group_id,'[1]1_group_total_details'!$G$8:$G$10000,quot_location_id,'[1]1_group_total_details'!$H$8:$H$10000,"&lt;="&amp;quot_date)+SUMIFS('[1]1_group_total_details'!$L$8:$L$10000,'[1]1_group_total_details'!$C$8:$C$10000,I70,'[1]1_group_total_details'!$F$8:$F$10000,quot_location_group_id,'[1]1_group_total_details'!$G$8:$G$10000,1,'[1]1_group_total_details'!$H$8:$H$10000,"&lt;="&amp;quot_date)+SUMIFS('[1]1_group_total_details'!$N$8:$N$10000,'[1]1_group_total_details'!$C$8:$C$10000,I70,'[1]1_group_total_details'!$F$8:$F$10000,quot_location_group_id,'[1]1_group_total_details'!$G$8:$G$10000,quot_location_id,'[1]1_group_total_details'!$H$8:$H$10000,"&lt;="&amp;quot_date)+SUMIFS('[1]1_group_total_details'!$O$8:$O$10000,'[1]1_group_total_details'!$C$8:$C$10000,I70,'[1]1_group_total_details'!$F$8:$F$10000,quot_location_group_id,'[1]1_group_total_details'!$G$8:$G$10000,quot_location_id,'[1]1_group_total_details'!$H$8:$H$10000,"&lt;="&amp;quot_date))-(SUMIFS('[1]1_group_total_details'!$J$8:$J$10000,'[1]1_group_total_details'!$C$8:$C$10000,I70,'[1]1_group_total_details'!$F$8:$F$10000,quot_location_group_id,'[1]1_group_total_details'!$G$8:$G$10000,quot_location_id,'[1]1_group_total_details'!$H$8:$H$10000,"&lt;="&amp;quot_date)+SUMIFS('[1]1_group_total_details'!$K$8:$K$10000,'[1]1_group_total_details'!$C$8:$C$10000,I70,'[1]1_group_total_details'!$F$8:$F$10000,quot_location_group_id,'[1]1_group_total_details'!$G$8:$G$10000,quot_location_id,'[1]1_group_total_details'!$H$8:$H$10000,"&lt;="&amp;quot_date)+SUMIFS('[1]1_group_total_details'!$M$8:$M$10000,'[1]1_group_total_details'!$C$8:$C$10000,I70,'[1]1_group_total_details'!$F$8:$F$10000,quot_location_group_id,'[1]1_group_total_details'!$G$8:$G$10000,quot_location_id,'[1]1_group_total_details'!$H$8:$H$10000,"&lt;="&amp;quot_date)+SUMIFS('[1]1_group_total_details'!$P$8:$P$10000,'[1]1_group_total_details'!$C$8:$C$10000,I70,'[1]1_group_total_details'!$F$8:$F$10000,quot_location_group_id,'[1]1_group_total_details'!$G$8:$G$10000,quot_location_id,'[1]1_group_total_details'!$H$8:$H$10000,"&lt;="&amp;quot_date)))</f>
        <v/>
      </c>
      <c r="AM70" s="197" t="str">
        <f>IF(M70="","",SUMIFS('[1]1_group_totals'!$J$8:$J$10000,'[1]1_group_totals'!$C$8:$C$10000,I70,'[1]1_group_totals'!$F$8:$F$10000,quot_location_group_id,'[1]1_group_totals'!$G$8:$G$10000,quot_location_id,'[1]1_group_totals'!$H$8:$H$10000,"="&amp;Q70,'[1]1_group_totals'!$I$8:$I$10000,"="&amp;R70))</f>
        <v/>
      </c>
      <c r="AN70" s="197" t="str">
        <f t="shared" si="7"/>
        <v/>
      </c>
      <c r="AO70" s="197" t="str">
        <f>IF(OR(ISNA(MATCH(MID(AN70,1,3)*1,UomConversion!$D$8:$D$500,0)),M70=""),"",IF(AT70="","",AT70))</f>
        <v/>
      </c>
      <c r="AP70" s="197" t="str">
        <f>IF(AND(AQ70&gt;0,COUNTIFS(UomConversion!$D$8:$D$500,MID(AN70,1,3)*1,UomConversion!$J$8:$J$500,1)&gt;1),TEXT(AQ70,"000")&amp;"."&amp;VLOOKUP(AQ70,uom_list,5,FALSE),"")</f>
        <v/>
      </c>
      <c r="AQ70" s="197" t="str">
        <f t="shared" si="20"/>
        <v/>
      </c>
      <c r="AR70" s="197" t="str">
        <f t="shared" si="21"/>
        <v/>
      </c>
      <c r="AS70" s="197" t="str">
        <f>IF(M70="","",SUMIFS(ProductPrice!$N$28:$N$10020,ProductPrice!$D$28:$D$10020,I70,ProductPrice!$G$28:$G$10020,quot_branch_id,ProductPrice!$H$28:$H$10020,quot_price_type_id,ProductPrice!$I$28:$I$10020,MID(P70,1,3)*1,ProductPrice!$Q$28:$Q$10020,1))</f>
        <v/>
      </c>
      <c r="AT70" s="197" t="str">
        <f t="shared" si="8"/>
        <v/>
      </c>
      <c r="AU70" s="197" t="str" cm="1">
        <f t="array" ref="AU70">IF(M70="","",IF(ISNA(Slookup(MID(AN70,1,3)*1,UomConversion!$D$8:$J$500,2,UomConversion!$I$8:$I$500,1,UomConversion!$J$8:$J$500,1)),"",Slookup(MID(AN70,1,3)*1,UomConversion!$D$8:$J$500,2,UomConversion!$I$8:$I$500,1,UomConversion!$J$8:$J$500,1)))</f>
        <v/>
      </c>
      <c r="AV70" s="197" t="str">
        <f t="shared" ref="AV70" si="273">IF(M70="","",IF(quot_location_id=1,BA70,IF(quot_location_id=2,BB70,0)))</f>
        <v/>
      </c>
      <c r="AW70" s="197" t="str">
        <f>IF(M70="","",(SUMIFS('[1]1_group_totals'!$K$8:$K$10000,'[1]1_group_totals'!$C$8:$C$10000,I70,'[1]1_group_totals'!$F$8:$F$10000,quot_location_group_id,'[1]1_group_totals'!$G$8:$G$10000,quot_location_id,'[1]1_group_totals'!$H$8:$H$10000,"="&amp;Q70,'[1]1_group_totals'!$I$8:$I$10000,"="&amp;R70)+SUMIFS('[1]1_group_totals'!$N$8:$N$10000,'[1]1_group_totals'!$C$8:$C$10000,I70,'[1]1_group_totals'!$F$8:$F$10000,quot_location_group_id,'[1]1_group_totals'!$G$8:$G$10000,quot_location_id,'[1]1_group_totals'!$H$8:$H$10000,"="&amp;Q70,'[1]1_group_totals'!$I$8:$I$10000,"="&amp;R70)+SUMIFS('[1]1_group_totals'!$P$8:$P$10000,'[1]1_group_totals'!$C$8:$C$10000,I70,'[1]1_group_totals'!$F$8:$F$10000,quot_location_group_id,'[1]1_group_totals'!$G$8:$G$10000,quot_location_id,'[1]1_group_totals'!$H$8:$H$10000,"="&amp;Q70,'[1]1_group_totals'!$I$8:$I$10000,"="&amp;R70)+SUMIFS('[1]1_group_totals'!$Q$8:$Q$10000,'[1]1_group_totals'!$C$8:$C$10000,I70,'[1]1_group_totals'!$F$8:$F$10000,quot_location_group_id,'[1]1_group_totals'!$G$8:$G$10000,quot_location_id,'[1]1_group_totals'!$H$8:$H$10000,"="&amp;Q70,'[1]1_group_totals'!$I$8:$I$10000,"="&amp;R70))+(SUMIFS('[1]1_group_totals'!$L$8:$L$10000,'[1]1_group_totals'!$C$8:$C$10000,I70,'[1]1_group_totals'!$F$8:$F$10000,quot_location_group_id,'[1]1_group_totals'!$G$8:$G$10000,quot_location_id,'[1]1_group_totals'!$H$8:$H$10000,"="&amp;Q70,'[1]1_group_totals'!$I$8:$I$10000,"="&amp;R70)+SUMIFS('[1]1_group_totals'!$M$8:$M$10000,'[1]1_group_totals'!$C$8:$C$10000,I70,'[1]1_group_totals'!$F$8:$F$10000,quot_location_group_id,'[1]1_group_totals'!$G$8:$G$10000,quot_location_id,'[1]1_group_totals'!$H$8:$H$10000,"="&amp;Q70,'[1]1_group_totals'!$I$8:$I$10000,"="&amp;R70)+SUMIFS('[1]1_group_totals'!$O$8:$O$10000,'[1]1_group_totals'!$C$8:$C$10000,I70,'[1]1_group_totals'!$F$8:$F$10000,quot_location_group_id,'[1]1_group_totals'!$G$8:$G$10000,quot_location_id,'[1]1_group_totals'!$H$8:$H$10000,"="&amp;Q70,'[1]1_group_totals'!$I$8:$I$10000,"="&amp;R70)+SUMIFS('[1]1_group_totals'!$R$8:$R$10000,'[1]1_group_totals'!$C$8:$C$10000,I70,'[1]1_group_totals'!$F$8:$F$10000,quot_location_group_id,'[1]1_group_totals'!$G$8:$G$10000,quot_location_id,'[1]1_group_totals'!$H$8:$H$10000,"="&amp;Q70,'[1]1_group_totals'!$I$8:$I$10000,"="&amp;R70)))</f>
        <v/>
      </c>
      <c r="AX70" s="197" t="str">
        <f t="shared" si="23"/>
        <v/>
      </c>
      <c r="AY70" s="197" t="str">
        <f>IF(M70="","",SUMIFS($AX$8:AX70,$I$8:I70,I70))</f>
        <v/>
      </c>
      <c r="AZ70" s="197" t="str">
        <f t="shared" si="24"/>
        <v/>
      </c>
      <c r="BA70" s="197" t="str">
        <f>IF(M70="","",(SUMIFS('[1]1_inventory_totals'!$I$8:$I$10000,'[1]1_inventory_totals'!$C$8:$C$10000,I70,'[1]1_inventory_totals'!$F$8:$F$10000,"="&amp;Q70,'[1]1_inventory_totals'!$G$8:$G$10000,"="&amp;R70)+SUMIFS('[1]1_inventory_totals'!$N$8:$N$10000,'[1]1_inventory_totals'!$C$8:$C$10000,I70,'[1]1_inventory_totals'!$F$8:$F$10000,"="&amp;Q70,'[1]1_inventory_totals'!$G$8:$G$10000,"="&amp;R70)+SUMIFS('[1]1_inventory_totals'!$P$8:$P$10000,'[1]1_inventory_totals'!$C$8:$C$10000,I70,'[1]1_inventory_totals'!$F$8:$F$10000,"="&amp;Q70,'[1]1_inventory_totals'!$G$8:$G$10000,"="&amp;R70)+SUMIFS('[1]1_inventory_totals'!$Q$8:$Q$10000,'[1]1_inventory_totals'!$C$8:$C$10000,I70,'[1]1_inventory_totals'!$F$8:$F$10000,"="&amp;Q70,'[1]1_inventory_totals'!$G$8:$G$10000,"="&amp;R70)+SUMIFS('[1]1_inventory_totals'!$R$8:$R$10000,'[1]1_inventory_totals'!$C$8:$C$10000,I70,'[1]1_inventory_totals'!$F$8:$F$10000,"="&amp;Q70,'[1]1_inventory_totals'!$G$8:$G$10000,"="&amp;R70))+(SUMIFS('[1]1_inventory_totals'!$J$8:$J$10000,'[1]1_inventory_totals'!$C$8:$C$10000,I70,'[1]1_inventory_totals'!$F$8:$F$10000,"="&amp;Q70,'[1]1_inventory_totals'!$G$8:$G$10000,"="&amp;R70)+SUMIFS('[1]1_inventory_totals'!$K$8:$K$10000,'[1]1_inventory_totals'!$C$8:$C$10000,I70,'[1]1_inventory_totals'!$F$8:$F$10000,"="&amp;Q70,'[1]1_inventory_totals'!$G$8:$G$10000,"="&amp;R70)+SUMIFS('[1]1_inventory_totals'!$L$8:$L$10000,'[1]1_inventory_totals'!$C$8:$C$10000,I70,'[1]1_inventory_totals'!$F$8:$F$10000,"="&amp;Q70,'[1]1_inventory_totals'!$G$8:$G$10000,"="&amp;R70)+SUMIFS('[1]1_inventory_totals'!$M$8:$M$10000,'[1]1_inventory_totals'!$C$8:$C$10000,I70,'[1]1_inventory_totals'!$F$8:$F$10000,"="&amp;Q70,'[1]1_inventory_totals'!$G$8:$G$10000,"="&amp;R70)+SUMIFS('[1]1_inventory_totals'!$O$8:$O$10000,'[1]1_inventory_totals'!$C$8:$C$10000,I70,'[1]1_inventory_totals'!$F$8:$F$10000,"="&amp;Q70,'[1]1_inventory_totals'!$G$8:$G$10000,"="&amp;R70)+SUMIFS('[1]1_inventory_totals'!$S$8:$S$10000,'[1]1_inventory_totals'!$C$8:$C$10000,I70,'[1]1_inventory_totals'!$F$8:$F$10000,"="&amp;Q70,'[1]1_inventory_totals'!$G$8:$G$10000,"="&amp;R70)))</f>
        <v/>
      </c>
      <c r="BB70" s="197" t="str">
        <f>IF(M70="","",(SUMIFS('[1]2_inventory_totals'!$I$8:$I$10000,'[1]2_inventory_totals'!$C$8:$C$10000,I70,'[1]2_inventory_totals'!$F$8:$F$10000,"="&amp;Q70,'[1]2_inventory_totals'!$G$8:$G$10000,"="&amp;R70)+SUMIFS('[1]2_inventory_totals'!$N$8:$N$10000,'[1]2_inventory_totals'!$C$8:$C$10000,I70,'[1]2_inventory_totals'!$F$8:$F$10000,"="&amp;Q70,'[1]2_inventory_totals'!$G$8:$G$10000,"="&amp;R70)+SUMIFS('[1]2_inventory_totals'!$P$8:$P$10000,'[1]2_inventory_totals'!$C$8:$C$10000,I70,'[1]2_inventory_totals'!$F$8:$F$10000,"="&amp;Q70,'[1]2_inventory_totals'!$G$8:$G$10000,"="&amp;R70)+SUMIFS('[1]2_inventory_totals'!$Q$8:$Q$10000,'[1]2_inventory_totals'!$C$8:$C$10000,I70,'[1]2_inventory_totals'!$F$8:$F$10000,"="&amp;Q70,'[1]2_inventory_totals'!$G$8:$G$10000,"="&amp;R70)+SUMIFS('[1]2_inventory_totals'!$R$8:$R$10000,'[1]2_inventory_totals'!$C$8:$C$10000,I70,'[1]2_inventory_totals'!$F$8:$F$10000,"="&amp;Q70,'[1]2_inventory_totals'!$G$8:$G$10000,"="&amp;R70))+(SUMIFS('[1]2_inventory_totals'!$J$8:$J$10000,'[1]2_inventory_totals'!$C$8:$C$10000,I70,'[1]2_inventory_totals'!$F$8:$F$10000,"="&amp;Q70,'[1]2_inventory_totals'!$G$8:$G$10000,"="&amp;R70)+SUMIFS('[1]2_inventory_totals'!$K$8:$K$10000,'[1]2_inventory_totals'!$C$8:$C$10000,I70,'[1]2_inventory_totals'!$F$8:$F$10000,"="&amp;Q70,'[1]2_inventory_totals'!$G$8:$G$10000,"="&amp;R70)+SUMIFS('[1]2_inventory_totals'!$L$8:$L$10000,'[1]2_inventory_totals'!$C$8:$C$10000,I70,'[1]2_inventory_totals'!$F$8:$F$10000,"="&amp;Q70,'[1]2_inventory_totals'!$G$8:$G$10000,"="&amp;R70)+SUMIFS('[1]2_inventory_totals'!$M$8:$M$10000,'[1]2_inventory_totals'!$C$8:$C$10000,I70,'[1]2_inventory_totals'!$F$8:$F$10000,"="&amp;Q70,'[1]2_inventory_totals'!$G$8:$G$10000,"="&amp;R70)+SUMIFS('[1]2_inventory_totals'!$O$8:$O$10000,'[1]2_inventory_totals'!$C$8:$C$10000,I70,'[1]2_inventory_totals'!$F$8:$F$10000,"="&amp;Q70,'[1]2_inventory_totals'!$G$8:$G$10000,"="&amp;R70)+SUMIFS('[1]2_inventory_totals'!$S$8:$S$10000,'[1]2_inventory_totals'!$C$8:$C$10000,I70,'[1]2_inventory_totals'!$F$8:$F$10000,"="&amp;Q70,'[1]2_inventory_totals'!$G$8:$G$10000,"="&amp;R70)))</f>
        <v/>
      </c>
    </row>
    <row r="71" spans="1:54" ht="27" hidden="1" customHeight="1">
      <c r="A71" s="923"/>
      <c r="B71" s="1256"/>
      <c r="C71" s="950"/>
      <c r="D71" s="950"/>
      <c r="E71" s="950"/>
      <c r="F71" s="1257"/>
      <c r="G71" s="941"/>
      <c r="H71" s="951"/>
      <c r="I71" s="1610" t="str">
        <f t="shared" si="10"/>
        <v/>
      </c>
      <c r="J71" s="1611" t="str">
        <f t="shared" si="112"/>
        <v/>
      </c>
      <c r="K71" s="1612" t="str">
        <f t="shared" si="30"/>
        <v/>
      </c>
      <c r="L71" s="1613"/>
      <c r="M71" s="883"/>
      <c r="N71" s="884"/>
      <c r="O71" s="884"/>
      <c r="P71" s="885"/>
      <c r="Q71" s="886"/>
      <c r="R71" s="891"/>
      <c r="S71" s="1614" t="str">
        <f t="shared" ref="S71" si="274">IF(M71="","",quot_currency_symbol)</f>
        <v/>
      </c>
      <c r="T71" s="888"/>
      <c r="U71" s="1650" t="str">
        <f t="shared" si="13"/>
        <v/>
      </c>
      <c r="V71" s="1615" t="str">
        <f t="shared" ref="V71" si="275">IF(W71=0,"",quot_currency_symbol)</f>
        <v/>
      </c>
      <c r="W71" s="889"/>
      <c r="X71" s="1615" t="str">
        <f t="shared" ref="X71" si="276">IF(M71="","",quot_currency_symbol)</f>
        <v/>
      </c>
      <c r="Y71" s="1616" t="str">
        <f t="shared" si="34"/>
        <v/>
      </c>
      <c r="Z71" s="890"/>
      <c r="AA71" s="197" t="str" cm="1">
        <f t="array" ref="AA71">IF(M71="","",IF(P71=AN71,1,Slookup(MID(AN71,1,3)*1,UomConversion!$D$8:$J$500,5,UomConversion!$E$8:$E$500,MID(P71,1,3)*1,UomConversion!$J$8:$J$500,1)))</f>
        <v/>
      </c>
      <c r="AB71" s="197" t="str">
        <f t="shared" si="3"/>
        <v/>
      </c>
      <c r="AC71" s="197" t="str">
        <f t="shared" si="17"/>
        <v/>
      </c>
      <c r="AD71" s="197" t="str">
        <f t="shared" si="18"/>
        <v/>
      </c>
      <c r="AE71" s="197" t="str">
        <f t="shared" si="19"/>
        <v/>
      </c>
      <c r="AF71" s="197" t="str">
        <f t="shared" si="152"/>
        <v/>
      </c>
      <c r="AG71" s="197" t="str">
        <f t="shared" si="6"/>
        <v/>
      </c>
      <c r="AH71" s="197" t="str">
        <f>IF(I71="","",IF(ISNA(MATCH(I71,IF(quot_location_id=1,'[1]1_inventory_totals'!$C$8:$C$10000,IF(quot_location_id=2,'[1]2_inventory_totals'!$C$8:$C$10000,0)),0)),0,IF(AV71&gt;0,1,0)))</f>
        <v/>
      </c>
      <c r="AI71" s="197" t="str">
        <f>IF(M71="","",IF(quot_location_id=1,SUMIFS('[1]1_inventory_total_details'!$J$8:$J$10000,'[1]1_inventory_total_details'!$C$8:$C$10000,I71,'[1]1_inventory_total_details'!$F$8:$F$10000,quot_location_id,'[1]1_inventory_total_details'!$G$8:$G$10000,"="&amp;Q71,'[1]1_inventory_total_details'!$H$8:$H$10000,"="&amp;R71,'[1]1_inventory_total_details'!$I$8:$I$10000,"="&amp;quot_date)+SUMIFS('[1]1_inventory_total_details'!$M$8:$M$10000,'[1]1_inventory_total_details'!$C$8:$C$10000,I71,'[1]1_inventory_total_details'!$F$8:$F$10000,quot_location_id,'[1]1_inventory_total_details'!$G$8:$G$10000,"="&amp;Q71,'[1]1_inventory_total_details'!$H$8:$H$10000,"="&amp;R71,'[1]1_inventory_total_details'!$I$8:$I$10000,"="&amp;quot_date)+SUMIFS('[1]1_inventory_total_details'!$K$8:$K$10000,'[1]1_inventory_total_details'!$C$8:$C$10000,I71,'[1]1_inventory_total_details'!$F$8:$F$10000,quot_location_id,'[1]1_inventory_total_details'!$G$8:$G$10000,"="&amp;Q71,'[1]1_inventory_total_details'!$H$8:$H$10000,"="&amp;R71,'[1]1_inventory_total_details'!$I$8:$I$10000,"="&amp;quot_date)+SUMIFS('[1]1_inventory_total_details'!$L$8:$L$10000,'[1]1_inventory_total_details'!$C$8:$C$10000,I71,'[1]1_inventory_total_details'!$F$8:$F$10000,quot_location_id,'[1]1_inventory_total_details'!$G$8:$G$10000,"="&amp;Q71,'[1]1_inventory_total_details'!$H$8:$H$10000,"="&amp;R71,'[1]1_inventory_total_details'!$I$8:$I$10000,"="&amp;quot_date),SUMIFS('[1]2_inventory_total_details'!$J$8:$J$10000,'[1]2_inventory_total_details'!$C$8:$C$10000,I71,'[1]2_inventory_total_details'!$F$8:$F$10000,quot_location_id,'[1]2_inventory_total_details'!$G$8:$G$10000,"="&amp;Q71,'[1]2_inventory_total_details'!$H$8:$H$10000,"="&amp;R71,'[1]2_inventory_total_details'!$I$8:$I$10000,"="&amp;quot_date)+SUMIFS('[1]2_inventory_total_details'!$M$8:$M$10000,'[1]2_inventory_total_details'!$C$8:$C$10000,I71,'[1]2_inventory_total_details'!$F$8:$F$10000,quot_location_id,'[1]2_inventory_total_details'!$G$8:$G$10000,"="&amp;Q71,'[1]2_inventory_total_details'!$H$8:$H$10000,"="&amp;R71,'[1]2_inventory_total_details'!$I$8:$I$10000,"="&amp;quot_date)+SUMIFS('[1]2_inventory_total_details'!$K$8:$K$10000,'[1]2_inventory_total_details'!$C$8:$C$10000,I71,'[1]2_inventory_total_details'!$F$8:$F$10000,quot_location_id,'[1]2_inventory_total_details'!$G$8:$G$10000,"="&amp;Q71,'[1]2_inventory_total_details'!$H$8:$H$10000,"="&amp;R71,'[1]2_inventory_total_details'!$I$8:$I$10000,"="&amp;quot_date)+SUMIFS('[1]2_inventory_total_details'!$L$8:$L$10000,'[1]2_inventory_total_details'!$C$8:$C$10000,I71,'[1]2_inventory_total_details'!$F$8:$F$10000,quot_location_id,'[1]2_inventory_total_details'!$G$8:$G$10000,"="&amp;Q71,'[1]2_inventory_total_details'!$H$8:$H$10000,"="&amp;R71,'[1]2_inventory_total_details'!$I$8:$I$10000,"="&amp;quot_date)))</f>
        <v/>
      </c>
      <c r="AJ71" s="197" t="str">
        <f>IF(M71="","",IF(ISNA(MATCH(I71,'[1]1_group_totals'!$C$8:$C$10000)),0,IF(AW71&gt;0,1,0)))</f>
        <v/>
      </c>
      <c r="AK71" s="197" t="str">
        <f>IF(M71="","",(SUMIFS('[1]1_group_total_details'!$I$8:$I$10000,'[1]1_group_total_details'!$C$8:$C$10000,I71,'[1]1_group_total_details'!$F$8:$F$10000,quot_location_group_id,'[1]1_group_total_details'!$G$8:$G$10000,quot_location_id,'[1]1_group_total_details'!$H$8:$H$10000,"="&amp;quot_date)+SUMIFS('[1]1_group_total_details'!$L$8:$L$10000,'[1]1_group_total_details'!$C$8:$C$10000,I71,'[1]1_group_total_details'!$F$8:$F$10000,quot_location_group_id,'[1]1_group_total_details'!$G$8:$G$10000,quot_location_id,'[1]1_group_total_details'!$H$8:$H$10000,"="&amp;quot_date)+SUMIFS('[1]1_group_total_details'!$N$8:$N$10000,'[1]1_group_total_details'!$C$8:$C$10000,I71,'[1]1_group_total_details'!$F$8:$F$10000,quot_location_group_id,'[1]1_group_total_details'!$G$8:$G$10000,quot_location_id,'[1]1_group_total_details'!$H$8:$H$10000,"="&amp;quot_date)+SUMIFS('[1]1_group_total_details'!$O$8:$O$10000,'[1]1_group_total_details'!$C$8:$C$10000,I71,'[1]1_group_total_details'!$F$8:$F$10000,quot_location_group_id,'[1]1_group_total_details'!$G$8:$G$10000,quot_location_id,'[1]1_group_total_details'!$H$8:$H$10000,"="&amp;quot_date))+(SUMIFS('[1]1_group_total_details'!$J$8:$J$10000,'[1]1_group_total_details'!$C$8:$C$10000,I71,'[1]1_group_total_details'!$F$8:$F$10000,quot_location_group_id,'[1]1_group_total_details'!$G$8:$G$10000,quot_location_id,'[1]1_group_total_details'!$H$8:$H$10000,"="&amp;quot_date)+SUMIFS('[1]1_group_total_details'!$K$8:$K$10000,'[1]1_group_total_details'!$C$8:$C$10000,I71,'[1]1_group_total_details'!$F$8:$F$10000,quot_location_group_id,'[1]1_group_total_details'!$G$8:$G$10000,quot_location_id,'[1]1_group_total_details'!$H$8:$H$10000,"="&amp;quot_date)+SUMIFS('[1]1_group_total_details'!$M$8:$M$10000,'[1]1_group_total_details'!$C$8:$C$10000,I71,'[1]1_group_total_details'!$F$8:$F$10000,quot_location_group_id,'[1]1_group_total_details'!$G$8:$G$10000,quot_location_id,'[1]1_group_total_details'!$H$8:$H$10000,"="&amp;quot_date)+SUMIFS('[1]1_group_total_details'!$P$8:$P$10000,'[1]1_group_total_details'!$C$8:$C$10000,I71,'[1]1_group_total_details'!$F$8:$F$10000,quot_location_group_id,'[1]1_group_total_details'!$G$8:$G$10000,quot_location_id,'[1]1_group_total_details'!$H$8:$H$10000,"="&amp;quot_date)))</f>
        <v/>
      </c>
      <c r="AL71" s="197" t="str">
        <f>IF(M71="","",(SUMIFS('[1]1_group_total_details'!$I$8:$I$10000,'[1]1_group_total_details'!$C$8:$C$10000,I71,'[1]1_group_total_details'!$F$8:$F$10000,quot_location_group_id,'[1]1_group_total_details'!$G$8:$G$10000,quot_location_id,'[1]1_group_total_details'!$H$8:$H$10000,"&lt;="&amp;quot_date)+SUMIFS('[1]1_group_total_details'!$L$8:$L$10000,'[1]1_group_total_details'!$C$8:$C$10000,I71,'[1]1_group_total_details'!$F$8:$F$10000,quot_location_group_id,'[1]1_group_total_details'!$G$8:$G$10000,1,'[1]1_group_total_details'!$H$8:$H$10000,"&lt;="&amp;quot_date)+SUMIFS('[1]1_group_total_details'!$N$8:$N$10000,'[1]1_group_total_details'!$C$8:$C$10000,I71,'[1]1_group_total_details'!$F$8:$F$10000,quot_location_group_id,'[1]1_group_total_details'!$G$8:$G$10000,quot_location_id,'[1]1_group_total_details'!$H$8:$H$10000,"&lt;="&amp;quot_date)+SUMIFS('[1]1_group_total_details'!$O$8:$O$10000,'[1]1_group_total_details'!$C$8:$C$10000,I71,'[1]1_group_total_details'!$F$8:$F$10000,quot_location_group_id,'[1]1_group_total_details'!$G$8:$G$10000,quot_location_id,'[1]1_group_total_details'!$H$8:$H$10000,"&lt;="&amp;quot_date))-(SUMIFS('[1]1_group_total_details'!$J$8:$J$10000,'[1]1_group_total_details'!$C$8:$C$10000,I71,'[1]1_group_total_details'!$F$8:$F$10000,quot_location_group_id,'[1]1_group_total_details'!$G$8:$G$10000,quot_location_id,'[1]1_group_total_details'!$H$8:$H$10000,"&lt;="&amp;quot_date)+SUMIFS('[1]1_group_total_details'!$K$8:$K$10000,'[1]1_group_total_details'!$C$8:$C$10000,I71,'[1]1_group_total_details'!$F$8:$F$10000,quot_location_group_id,'[1]1_group_total_details'!$G$8:$G$10000,quot_location_id,'[1]1_group_total_details'!$H$8:$H$10000,"&lt;="&amp;quot_date)+SUMIFS('[1]1_group_total_details'!$M$8:$M$10000,'[1]1_group_total_details'!$C$8:$C$10000,I71,'[1]1_group_total_details'!$F$8:$F$10000,quot_location_group_id,'[1]1_group_total_details'!$G$8:$G$10000,quot_location_id,'[1]1_group_total_details'!$H$8:$H$10000,"&lt;="&amp;quot_date)+SUMIFS('[1]1_group_total_details'!$P$8:$P$10000,'[1]1_group_total_details'!$C$8:$C$10000,I71,'[1]1_group_total_details'!$F$8:$F$10000,quot_location_group_id,'[1]1_group_total_details'!$G$8:$G$10000,quot_location_id,'[1]1_group_total_details'!$H$8:$H$10000,"&lt;="&amp;quot_date)))</f>
        <v/>
      </c>
      <c r="AM71" s="197" t="str">
        <f>IF(M71="","",SUMIFS('[1]1_group_totals'!$J$8:$J$10000,'[1]1_group_totals'!$C$8:$C$10000,I71,'[1]1_group_totals'!$F$8:$F$10000,quot_location_group_id,'[1]1_group_totals'!$G$8:$G$10000,quot_location_id,'[1]1_group_totals'!$H$8:$H$10000,"="&amp;Q71,'[1]1_group_totals'!$I$8:$I$10000,"="&amp;R71))</f>
        <v/>
      </c>
      <c r="AN71" s="197" t="str">
        <f t="shared" si="7"/>
        <v/>
      </c>
      <c r="AO71" s="197" t="str">
        <f>IF(OR(ISNA(MATCH(MID(AN71,1,3)*1,UomConversion!$D$8:$D$500,0)),M71=""),"",IF(AT71="","",AT71))</f>
        <v/>
      </c>
      <c r="AP71" s="197" t="str">
        <f>IF(AND(AQ71&gt;0,COUNTIFS(UomConversion!$D$8:$D$500,MID(AN71,1,3)*1,UomConversion!$J$8:$J$500,1)&gt;1),TEXT(AQ71,"000")&amp;"."&amp;VLOOKUP(AQ71,uom_list,5,FALSE),"")</f>
        <v/>
      </c>
      <c r="AQ71" s="197" t="str">
        <f t="shared" si="20"/>
        <v/>
      </c>
      <c r="AR71" s="197" t="str">
        <f t="shared" si="21"/>
        <v/>
      </c>
      <c r="AS71" s="197" t="str">
        <f>IF(M71="","",SUMIFS(ProductPrice!$N$28:$N$10020,ProductPrice!$D$28:$D$10020,I71,ProductPrice!$G$28:$G$10020,quot_branch_id,ProductPrice!$H$28:$H$10020,quot_price_type_id,ProductPrice!$I$28:$I$10020,MID(P71,1,3)*1,ProductPrice!$Q$28:$Q$10020,1))</f>
        <v/>
      </c>
      <c r="AT71" s="197" t="str">
        <f t="shared" si="8"/>
        <v/>
      </c>
      <c r="AU71" s="197" t="str" cm="1">
        <f t="array" ref="AU71">IF(M71="","",IF(ISNA(Slookup(MID(AN71,1,3)*1,UomConversion!$D$8:$J$500,2,UomConversion!$I$8:$I$500,1,UomConversion!$J$8:$J$500,1)),"",Slookup(MID(AN71,1,3)*1,UomConversion!$D$8:$J$500,2,UomConversion!$I$8:$I$500,1,UomConversion!$J$8:$J$500,1)))</f>
        <v/>
      </c>
      <c r="AV71" s="197" t="str">
        <f t="shared" ref="AV71" si="277">IF(M71="","",IF(quot_location_id=1,BA71,IF(quot_location_id=2,BB71,0)))</f>
        <v/>
      </c>
      <c r="AW71" s="197" t="str">
        <f>IF(M71="","",(SUMIFS('[1]1_group_totals'!$K$8:$K$10000,'[1]1_group_totals'!$C$8:$C$10000,I71,'[1]1_group_totals'!$F$8:$F$10000,quot_location_group_id,'[1]1_group_totals'!$G$8:$G$10000,quot_location_id,'[1]1_group_totals'!$H$8:$H$10000,"="&amp;Q71,'[1]1_group_totals'!$I$8:$I$10000,"="&amp;R71)+SUMIFS('[1]1_group_totals'!$N$8:$N$10000,'[1]1_group_totals'!$C$8:$C$10000,I71,'[1]1_group_totals'!$F$8:$F$10000,quot_location_group_id,'[1]1_group_totals'!$G$8:$G$10000,quot_location_id,'[1]1_group_totals'!$H$8:$H$10000,"="&amp;Q71,'[1]1_group_totals'!$I$8:$I$10000,"="&amp;R71)+SUMIFS('[1]1_group_totals'!$P$8:$P$10000,'[1]1_group_totals'!$C$8:$C$10000,I71,'[1]1_group_totals'!$F$8:$F$10000,quot_location_group_id,'[1]1_group_totals'!$G$8:$G$10000,quot_location_id,'[1]1_group_totals'!$H$8:$H$10000,"="&amp;Q71,'[1]1_group_totals'!$I$8:$I$10000,"="&amp;R71)+SUMIFS('[1]1_group_totals'!$Q$8:$Q$10000,'[1]1_group_totals'!$C$8:$C$10000,I71,'[1]1_group_totals'!$F$8:$F$10000,quot_location_group_id,'[1]1_group_totals'!$G$8:$G$10000,quot_location_id,'[1]1_group_totals'!$H$8:$H$10000,"="&amp;Q71,'[1]1_group_totals'!$I$8:$I$10000,"="&amp;R71))+(SUMIFS('[1]1_group_totals'!$L$8:$L$10000,'[1]1_group_totals'!$C$8:$C$10000,I71,'[1]1_group_totals'!$F$8:$F$10000,quot_location_group_id,'[1]1_group_totals'!$G$8:$G$10000,quot_location_id,'[1]1_group_totals'!$H$8:$H$10000,"="&amp;Q71,'[1]1_group_totals'!$I$8:$I$10000,"="&amp;R71)+SUMIFS('[1]1_group_totals'!$M$8:$M$10000,'[1]1_group_totals'!$C$8:$C$10000,I71,'[1]1_group_totals'!$F$8:$F$10000,quot_location_group_id,'[1]1_group_totals'!$G$8:$G$10000,quot_location_id,'[1]1_group_totals'!$H$8:$H$10000,"="&amp;Q71,'[1]1_group_totals'!$I$8:$I$10000,"="&amp;R71)+SUMIFS('[1]1_group_totals'!$O$8:$O$10000,'[1]1_group_totals'!$C$8:$C$10000,I71,'[1]1_group_totals'!$F$8:$F$10000,quot_location_group_id,'[1]1_group_totals'!$G$8:$G$10000,quot_location_id,'[1]1_group_totals'!$H$8:$H$10000,"="&amp;Q71,'[1]1_group_totals'!$I$8:$I$10000,"="&amp;R71)+SUMIFS('[1]1_group_totals'!$R$8:$R$10000,'[1]1_group_totals'!$C$8:$C$10000,I71,'[1]1_group_totals'!$F$8:$F$10000,quot_location_group_id,'[1]1_group_totals'!$G$8:$G$10000,quot_location_id,'[1]1_group_totals'!$H$8:$H$10000,"="&amp;Q71,'[1]1_group_totals'!$I$8:$I$10000,"="&amp;R71)))</f>
        <v/>
      </c>
      <c r="AX71" s="197" t="str">
        <f t="shared" si="23"/>
        <v/>
      </c>
      <c r="AY71" s="197" t="str">
        <f>IF(M71="","",SUMIFS($AX$8:AX71,$I$8:I71,I71))</f>
        <v/>
      </c>
      <c r="AZ71" s="197" t="str">
        <f t="shared" si="24"/>
        <v/>
      </c>
      <c r="BA71" s="197" t="str">
        <f>IF(M71="","",(SUMIFS('[1]1_inventory_totals'!$I$8:$I$10000,'[1]1_inventory_totals'!$C$8:$C$10000,I71,'[1]1_inventory_totals'!$F$8:$F$10000,"="&amp;Q71,'[1]1_inventory_totals'!$G$8:$G$10000,"="&amp;R71)+SUMIFS('[1]1_inventory_totals'!$N$8:$N$10000,'[1]1_inventory_totals'!$C$8:$C$10000,I71,'[1]1_inventory_totals'!$F$8:$F$10000,"="&amp;Q71,'[1]1_inventory_totals'!$G$8:$G$10000,"="&amp;R71)+SUMIFS('[1]1_inventory_totals'!$P$8:$P$10000,'[1]1_inventory_totals'!$C$8:$C$10000,I71,'[1]1_inventory_totals'!$F$8:$F$10000,"="&amp;Q71,'[1]1_inventory_totals'!$G$8:$G$10000,"="&amp;R71)+SUMIFS('[1]1_inventory_totals'!$Q$8:$Q$10000,'[1]1_inventory_totals'!$C$8:$C$10000,I71,'[1]1_inventory_totals'!$F$8:$F$10000,"="&amp;Q71,'[1]1_inventory_totals'!$G$8:$G$10000,"="&amp;R71)+SUMIFS('[1]1_inventory_totals'!$R$8:$R$10000,'[1]1_inventory_totals'!$C$8:$C$10000,I71,'[1]1_inventory_totals'!$F$8:$F$10000,"="&amp;Q71,'[1]1_inventory_totals'!$G$8:$G$10000,"="&amp;R71))+(SUMIFS('[1]1_inventory_totals'!$J$8:$J$10000,'[1]1_inventory_totals'!$C$8:$C$10000,I71,'[1]1_inventory_totals'!$F$8:$F$10000,"="&amp;Q71,'[1]1_inventory_totals'!$G$8:$G$10000,"="&amp;R71)+SUMIFS('[1]1_inventory_totals'!$K$8:$K$10000,'[1]1_inventory_totals'!$C$8:$C$10000,I71,'[1]1_inventory_totals'!$F$8:$F$10000,"="&amp;Q71,'[1]1_inventory_totals'!$G$8:$G$10000,"="&amp;R71)+SUMIFS('[1]1_inventory_totals'!$L$8:$L$10000,'[1]1_inventory_totals'!$C$8:$C$10000,I71,'[1]1_inventory_totals'!$F$8:$F$10000,"="&amp;Q71,'[1]1_inventory_totals'!$G$8:$G$10000,"="&amp;R71)+SUMIFS('[1]1_inventory_totals'!$M$8:$M$10000,'[1]1_inventory_totals'!$C$8:$C$10000,I71,'[1]1_inventory_totals'!$F$8:$F$10000,"="&amp;Q71,'[1]1_inventory_totals'!$G$8:$G$10000,"="&amp;R71)+SUMIFS('[1]1_inventory_totals'!$O$8:$O$10000,'[1]1_inventory_totals'!$C$8:$C$10000,I71,'[1]1_inventory_totals'!$F$8:$F$10000,"="&amp;Q71,'[1]1_inventory_totals'!$G$8:$G$10000,"="&amp;R71)+SUMIFS('[1]1_inventory_totals'!$S$8:$S$10000,'[1]1_inventory_totals'!$C$8:$C$10000,I71,'[1]1_inventory_totals'!$F$8:$F$10000,"="&amp;Q71,'[1]1_inventory_totals'!$G$8:$G$10000,"="&amp;R71)))</f>
        <v/>
      </c>
      <c r="BB71" s="197" t="str">
        <f>IF(M71="","",(SUMIFS('[1]2_inventory_totals'!$I$8:$I$10000,'[1]2_inventory_totals'!$C$8:$C$10000,I71,'[1]2_inventory_totals'!$F$8:$F$10000,"="&amp;Q71,'[1]2_inventory_totals'!$G$8:$G$10000,"="&amp;R71)+SUMIFS('[1]2_inventory_totals'!$N$8:$N$10000,'[1]2_inventory_totals'!$C$8:$C$10000,I71,'[1]2_inventory_totals'!$F$8:$F$10000,"="&amp;Q71,'[1]2_inventory_totals'!$G$8:$G$10000,"="&amp;R71)+SUMIFS('[1]2_inventory_totals'!$P$8:$P$10000,'[1]2_inventory_totals'!$C$8:$C$10000,I71,'[1]2_inventory_totals'!$F$8:$F$10000,"="&amp;Q71,'[1]2_inventory_totals'!$G$8:$G$10000,"="&amp;R71)+SUMIFS('[1]2_inventory_totals'!$Q$8:$Q$10000,'[1]2_inventory_totals'!$C$8:$C$10000,I71,'[1]2_inventory_totals'!$F$8:$F$10000,"="&amp;Q71,'[1]2_inventory_totals'!$G$8:$G$10000,"="&amp;R71)+SUMIFS('[1]2_inventory_totals'!$R$8:$R$10000,'[1]2_inventory_totals'!$C$8:$C$10000,I71,'[1]2_inventory_totals'!$F$8:$F$10000,"="&amp;Q71,'[1]2_inventory_totals'!$G$8:$G$10000,"="&amp;R71))+(SUMIFS('[1]2_inventory_totals'!$J$8:$J$10000,'[1]2_inventory_totals'!$C$8:$C$10000,I71,'[1]2_inventory_totals'!$F$8:$F$10000,"="&amp;Q71,'[1]2_inventory_totals'!$G$8:$G$10000,"="&amp;R71)+SUMIFS('[1]2_inventory_totals'!$K$8:$K$10000,'[1]2_inventory_totals'!$C$8:$C$10000,I71,'[1]2_inventory_totals'!$F$8:$F$10000,"="&amp;Q71,'[1]2_inventory_totals'!$G$8:$G$10000,"="&amp;R71)+SUMIFS('[1]2_inventory_totals'!$L$8:$L$10000,'[1]2_inventory_totals'!$C$8:$C$10000,I71,'[1]2_inventory_totals'!$F$8:$F$10000,"="&amp;Q71,'[1]2_inventory_totals'!$G$8:$G$10000,"="&amp;R71)+SUMIFS('[1]2_inventory_totals'!$M$8:$M$10000,'[1]2_inventory_totals'!$C$8:$C$10000,I71,'[1]2_inventory_totals'!$F$8:$F$10000,"="&amp;Q71,'[1]2_inventory_totals'!$G$8:$G$10000,"="&amp;R71)+SUMIFS('[1]2_inventory_totals'!$O$8:$O$10000,'[1]2_inventory_totals'!$C$8:$C$10000,I71,'[1]2_inventory_totals'!$F$8:$F$10000,"="&amp;Q71,'[1]2_inventory_totals'!$G$8:$G$10000,"="&amp;R71)+SUMIFS('[1]2_inventory_totals'!$S$8:$S$10000,'[1]2_inventory_totals'!$C$8:$C$10000,I71,'[1]2_inventory_totals'!$F$8:$F$10000,"="&amp;Q71,'[1]2_inventory_totals'!$G$8:$G$10000,"="&amp;R71)))</f>
        <v/>
      </c>
    </row>
    <row r="72" spans="1:54" ht="27" hidden="1" customHeight="1">
      <c r="A72" s="923"/>
      <c r="B72" s="1256"/>
      <c r="C72" s="950"/>
      <c r="D72" s="950"/>
      <c r="E72" s="950"/>
      <c r="F72" s="1257"/>
      <c r="G72" s="941"/>
      <c r="H72" s="951"/>
      <c r="I72" s="1610" t="str">
        <f t="shared" si="10"/>
        <v/>
      </c>
      <c r="J72" s="1611" t="str">
        <f t="shared" si="112"/>
        <v/>
      </c>
      <c r="K72" s="1612" t="str">
        <f t="shared" si="30"/>
        <v/>
      </c>
      <c r="L72" s="1613"/>
      <c r="M72" s="883"/>
      <c r="N72" s="884"/>
      <c r="O72" s="884"/>
      <c r="P72" s="885"/>
      <c r="Q72" s="886"/>
      <c r="R72" s="891"/>
      <c r="S72" s="1614" t="str">
        <f t="shared" ref="S72" si="278">IF(M72="","",quot_currency_symbol)</f>
        <v/>
      </c>
      <c r="T72" s="888"/>
      <c r="U72" s="1650" t="str">
        <f t="shared" si="13"/>
        <v/>
      </c>
      <c r="V72" s="1615" t="str">
        <f t="shared" ref="V72" si="279">IF(W72=0,"",quot_currency_symbol)</f>
        <v/>
      </c>
      <c r="W72" s="889"/>
      <c r="X72" s="1615" t="str">
        <f t="shared" ref="X72" si="280">IF(M72="","",quot_currency_symbol)</f>
        <v/>
      </c>
      <c r="Y72" s="1616" t="str">
        <f t="shared" si="34"/>
        <v/>
      </c>
      <c r="Z72" s="890"/>
      <c r="AA72" s="197" t="str" cm="1">
        <f t="array" ref="AA72">IF(M72="","",IF(P72=AN72,1,Slookup(MID(AN72,1,3)*1,UomConversion!$D$8:$J$500,5,UomConversion!$E$8:$E$500,MID(P72,1,3)*1,UomConversion!$J$8:$J$500,1)))</f>
        <v/>
      </c>
      <c r="AB72" s="197" t="str">
        <f t="shared" ref="AB72:AB87" si="281">IF(AND(M72="",ISNA(VLOOKUP(I72,product_list,18,FALSE))),"",VLOOKUP(I72,product_list,18,FALSE))</f>
        <v/>
      </c>
      <c r="AC72" s="197" t="str">
        <f t="shared" si="17"/>
        <v/>
      </c>
      <c r="AD72" s="197" t="str">
        <f t="shared" si="18"/>
        <v/>
      </c>
      <c r="AE72" s="197" t="str">
        <f t="shared" si="19"/>
        <v/>
      </c>
      <c r="AF72" s="197" t="str">
        <f t="shared" ref="AF72:AF87" si="282">IF(M72="","",VLOOKUP(I72,product_list,15,FALSE))</f>
        <v/>
      </c>
      <c r="AG72" s="197" t="str">
        <f t="shared" ref="AG72:AG87" si="283">IF(M72="","",VLOOKUP(I72,product_list,23,FALSE))</f>
        <v/>
      </c>
      <c r="AH72" s="197" t="str">
        <f>IF(I72="","",IF(ISNA(MATCH(I72,IF(quot_location_id=1,'[1]1_inventory_totals'!$C$8:$C$10000,IF(quot_location_id=2,'[1]2_inventory_totals'!$C$8:$C$10000,0)),0)),0,IF(AV72&gt;0,1,0)))</f>
        <v/>
      </c>
      <c r="AI72" s="197" t="str">
        <f>IF(M72="","",IF(quot_location_id=1,SUMIFS('[1]1_inventory_total_details'!$J$8:$J$10000,'[1]1_inventory_total_details'!$C$8:$C$10000,I72,'[1]1_inventory_total_details'!$F$8:$F$10000,quot_location_id,'[1]1_inventory_total_details'!$G$8:$G$10000,"="&amp;Q72,'[1]1_inventory_total_details'!$H$8:$H$10000,"="&amp;R72,'[1]1_inventory_total_details'!$I$8:$I$10000,"="&amp;quot_date)+SUMIFS('[1]1_inventory_total_details'!$M$8:$M$10000,'[1]1_inventory_total_details'!$C$8:$C$10000,I72,'[1]1_inventory_total_details'!$F$8:$F$10000,quot_location_id,'[1]1_inventory_total_details'!$G$8:$G$10000,"="&amp;Q72,'[1]1_inventory_total_details'!$H$8:$H$10000,"="&amp;R72,'[1]1_inventory_total_details'!$I$8:$I$10000,"="&amp;quot_date)+SUMIFS('[1]1_inventory_total_details'!$K$8:$K$10000,'[1]1_inventory_total_details'!$C$8:$C$10000,I72,'[1]1_inventory_total_details'!$F$8:$F$10000,quot_location_id,'[1]1_inventory_total_details'!$G$8:$G$10000,"="&amp;Q72,'[1]1_inventory_total_details'!$H$8:$H$10000,"="&amp;R72,'[1]1_inventory_total_details'!$I$8:$I$10000,"="&amp;quot_date)+SUMIFS('[1]1_inventory_total_details'!$L$8:$L$10000,'[1]1_inventory_total_details'!$C$8:$C$10000,I72,'[1]1_inventory_total_details'!$F$8:$F$10000,quot_location_id,'[1]1_inventory_total_details'!$G$8:$G$10000,"="&amp;Q72,'[1]1_inventory_total_details'!$H$8:$H$10000,"="&amp;R72,'[1]1_inventory_total_details'!$I$8:$I$10000,"="&amp;quot_date),SUMIFS('[1]2_inventory_total_details'!$J$8:$J$10000,'[1]2_inventory_total_details'!$C$8:$C$10000,I72,'[1]2_inventory_total_details'!$F$8:$F$10000,quot_location_id,'[1]2_inventory_total_details'!$G$8:$G$10000,"="&amp;Q72,'[1]2_inventory_total_details'!$H$8:$H$10000,"="&amp;R72,'[1]2_inventory_total_details'!$I$8:$I$10000,"="&amp;quot_date)+SUMIFS('[1]2_inventory_total_details'!$M$8:$M$10000,'[1]2_inventory_total_details'!$C$8:$C$10000,I72,'[1]2_inventory_total_details'!$F$8:$F$10000,quot_location_id,'[1]2_inventory_total_details'!$G$8:$G$10000,"="&amp;Q72,'[1]2_inventory_total_details'!$H$8:$H$10000,"="&amp;R72,'[1]2_inventory_total_details'!$I$8:$I$10000,"="&amp;quot_date)+SUMIFS('[1]2_inventory_total_details'!$K$8:$K$10000,'[1]2_inventory_total_details'!$C$8:$C$10000,I72,'[1]2_inventory_total_details'!$F$8:$F$10000,quot_location_id,'[1]2_inventory_total_details'!$G$8:$G$10000,"="&amp;Q72,'[1]2_inventory_total_details'!$H$8:$H$10000,"="&amp;R72,'[1]2_inventory_total_details'!$I$8:$I$10000,"="&amp;quot_date)+SUMIFS('[1]2_inventory_total_details'!$L$8:$L$10000,'[1]2_inventory_total_details'!$C$8:$C$10000,I72,'[1]2_inventory_total_details'!$F$8:$F$10000,quot_location_id,'[1]2_inventory_total_details'!$G$8:$G$10000,"="&amp;Q72,'[1]2_inventory_total_details'!$H$8:$H$10000,"="&amp;R72,'[1]2_inventory_total_details'!$I$8:$I$10000,"="&amp;quot_date)))</f>
        <v/>
      </c>
      <c r="AJ72" s="197" t="str">
        <f>IF(M72="","",IF(ISNA(MATCH(I72,'[1]1_group_totals'!$C$8:$C$10000)),0,IF(AW72&gt;0,1,0)))</f>
        <v/>
      </c>
      <c r="AK72" s="197" t="str">
        <f>IF(M72="","",(SUMIFS('[1]1_group_total_details'!$I$8:$I$10000,'[1]1_group_total_details'!$C$8:$C$10000,I72,'[1]1_group_total_details'!$F$8:$F$10000,quot_location_group_id,'[1]1_group_total_details'!$G$8:$G$10000,quot_location_id,'[1]1_group_total_details'!$H$8:$H$10000,"="&amp;quot_date)+SUMIFS('[1]1_group_total_details'!$L$8:$L$10000,'[1]1_group_total_details'!$C$8:$C$10000,I72,'[1]1_group_total_details'!$F$8:$F$10000,quot_location_group_id,'[1]1_group_total_details'!$G$8:$G$10000,quot_location_id,'[1]1_group_total_details'!$H$8:$H$10000,"="&amp;quot_date)+SUMIFS('[1]1_group_total_details'!$N$8:$N$10000,'[1]1_group_total_details'!$C$8:$C$10000,I72,'[1]1_group_total_details'!$F$8:$F$10000,quot_location_group_id,'[1]1_group_total_details'!$G$8:$G$10000,quot_location_id,'[1]1_group_total_details'!$H$8:$H$10000,"="&amp;quot_date)+SUMIFS('[1]1_group_total_details'!$O$8:$O$10000,'[1]1_group_total_details'!$C$8:$C$10000,I72,'[1]1_group_total_details'!$F$8:$F$10000,quot_location_group_id,'[1]1_group_total_details'!$G$8:$G$10000,quot_location_id,'[1]1_group_total_details'!$H$8:$H$10000,"="&amp;quot_date))+(SUMIFS('[1]1_group_total_details'!$J$8:$J$10000,'[1]1_group_total_details'!$C$8:$C$10000,I72,'[1]1_group_total_details'!$F$8:$F$10000,quot_location_group_id,'[1]1_group_total_details'!$G$8:$G$10000,quot_location_id,'[1]1_group_total_details'!$H$8:$H$10000,"="&amp;quot_date)+SUMIFS('[1]1_group_total_details'!$K$8:$K$10000,'[1]1_group_total_details'!$C$8:$C$10000,I72,'[1]1_group_total_details'!$F$8:$F$10000,quot_location_group_id,'[1]1_group_total_details'!$G$8:$G$10000,quot_location_id,'[1]1_group_total_details'!$H$8:$H$10000,"="&amp;quot_date)+SUMIFS('[1]1_group_total_details'!$M$8:$M$10000,'[1]1_group_total_details'!$C$8:$C$10000,I72,'[1]1_group_total_details'!$F$8:$F$10000,quot_location_group_id,'[1]1_group_total_details'!$G$8:$G$10000,quot_location_id,'[1]1_group_total_details'!$H$8:$H$10000,"="&amp;quot_date)+SUMIFS('[1]1_group_total_details'!$P$8:$P$10000,'[1]1_group_total_details'!$C$8:$C$10000,I72,'[1]1_group_total_details'!$F$8:$F$10000,quot_location_group_id,'[1]1_group_total_details'!$G$8:$G$10000,quot_location_id,'[1]1_group_total_details'!$H$8:$H$10000,"="&amp;quot_date)))</f>
        <v/>
      </c>
      <c r="AL72" s="197" t="str">
        <f>IF(M72="","",(SUMIFS('[1]1_group_total_details'!$I$8:$I$10000,'[1]1_group_total_details'!$C$8:$C$10000,I72,'[1]1_group_total_details'!$F$8:$F$10000,quot_location_group_id,'[1]1_group_total_details'!$G$8:$G$10000,quot_location_id,'[1]1_group_total_details'!$H$8:$H$10000,"&lt;="&amp;quot_date)+SUMIFS('[1]1_group_total_details'!$L$8:$L$10000,'[1]1_group_total_details'!$C$8:$C$10000,I72,'[1]1_group_total_details'!$F$8:$F$10000,quot_location_group_id,'[1]1_group_total_details'!$G$8:$G$10000,1,'[1]1_group_total_details'!$H$8:$H$10000,"&lt;="&amp;quot_date)+SUMIFS('[1]1_group_total_details'!$N$8:$N$10000,'[1]1_group_total_details'!$C$8:$C$10000,I72,'[1]1_group_total_details'!$F$8:$F$10000,quot_location_group_id,'[1]1_group_total_details'!$G$8:$G$10000,quot_location_id,'[1]1_group_total_details'!$H$8:$H$10000,"&lt;="&amp;quot_date)+SUMIFS('[1]1_group_total_details'!$O$8:$O$10000,'[1]1_group_total_details'!$C$8:$C$10000,I72,'[1]1_group_total_details'!$F$8:$F$10000,quot_location_group_id,'[1]1_group_total_details'!$G$8:$G$10000,quot_location_id,'[1]1_group_total_details'!$H$8:$H$10000,"&lt;="&amp;quot_date))-(SUMIFS('[1]1_group_total_details'!$J$8:$J$10000,'[1]1_group_total_details'!$C$8:$C$10000,I72,'[1]1_group_total_details'!$F$8:$F$10000,quot_location_group_id,'[1]1_group_total_details'!$G$8:$G$10000,quot_location_id,'[1]1_group_total_details'!$H$8:$H$10000,"&lt;="&amp;quot_date)+SUMIFS('[1]1_group_total_details'!$K$8:$K$10000,'[1]1_group_total_details'!$C$8:$C$10000,I72,'[1]1_group_total_details'!$F$8:$F$10000,quot_location_group_id,'[1]1_group_total_details'!$G$8:$G$10000,quot_location_id,'[1]1_group_total_details'!$H$8:$H$10000,"&lt;="&amp;quot_date)+SUMIFS('[1]1_group_total_details'!$M$8:$M$10000,'[1]1_group_total_details'!$C$8:$C$10000,I72,'[1]1_group_total_details'!$F$8:$F$10000,quot_location_group_id,'[1]1_group_total_details'!$G$8:$G$10000,quot_location_id,'[1]1_group_total_details'!$H$8:$H$10000,"&lt;="&amp;quot_date)+SUMIFS('[1]1_group_total_details'!$P$8:$P$10000,'[1]1_group_total_details'!$C$8:$C$10000,I72,'[1]1_group_total_details'!$F$8:$F$10000,quot_location_group_id,'[1]1_group_total_details'!$G$8:$G$10000,quot_location_id,'[1]1_group_total_details'!$H$8:$H$10000,"&lt;="&amp;quot_date)))</f>
        <v/>
      </c>
      <c r="AM72" s="197" t="str">
        <f>IF(M72="","",SUMIFS('[1]1_group_totals'!$J$8:$J$10000,'[1]1_group_totals'!$C$8:$C$10000,I72,'[1]1_group_totals'!$F$8:$F$10000,quot_location_group_id,'[1]1_group_totals'!$G$8:$G$10000,quot_location_id,'[1]1_group_totals'!$H$8:$H$10000,"="&amp;Q72,'[1]1_group_totals'!$I$8:$I$10000,"="&amp;R72))</f>
        <v/>
      </c>
      <c r="AN72" s="197" t="str">
        <f t="shared" ref="AN72:AN87" si="284">IF(M72="","",VLOOKUP(I72,product_list,8,FALSE))</f>
        <v/>
      </c>
      <c r="AO72" s="197" t="str">
        <f>IF(OR(ISNA(MATCH(MID(AN72,1,3)*1,UomConversion!$D$8:$D$500,0)),M72=""),"",IF(AT72="","",AT72))</f>
        <v/>
      </c>
      <c r="AP72" s="197" t="str">
        <f>IF(AND(AQ72&gt;0,COUNTIFS(UomConversion!$D$8:$D$500,MID(AN72,1,3)*1,UomConversion!$J$8:$J$500,1)&gt;1),TEXT(AQ72,"000")&amp;"."&amp;VLOOKUP(AQ72,uom_list,5,FALSE),"")</f>
        <v/>
      </c>
      <c r="AQ72" s="197" t="str">
        <f t="shared" si="20"/>
        <v/>
      </c>
      <c r="AR72" s="197" t="str">
        <f t="shared" si="21"/>
        <v/>
      </c>
      <c r="AS72" s="197" t="str">
        <f>IF(M72="","",SUMIFS(ProductPrice!$N$28:$N$10020,ProductPrice!$D$28:$D$10020,I72,ProductPrice!$G$28:$G$10020,quot_branch_id,ProductPrice!$H$28:$H$10020,quot_price_type_id,ProductPrice!$I$28:$I$10020,MID(P72,1,3)*1,ProductPrice!$Q$28:$Q$10020,1))</f>
        <v/>
      </c>
      <c r="AT72" s="197" t="str">
        <f t="shared" ref="AT72:AT87" si="285">IF(OR(ISNA(VLOOKUP(MID(AN72,1,3)*1,uom_converion_list,2,FALSE)),M72=""),"",TEXT(VLOOKUP(MID(AN72,1,3)*1,uom_converion_list,2,FALSE),"000")&amp;"."&amp;VLOOKUP(VLOOKUP(MID(AN72,1,3)*1,uom_converion_list,2,FALSE),uom_list,5,FALSE))</f>
        <v/>
      </c>
      <c r="AU72" s="197" t="str" cm="1">
        <f t="array" ref="AU72">IF(M72="","",IF(ISNA(Slookup(MID(AN72,1,3)*1,UomConversion!$D$8:$J$500,2,UomConversion!$I$8:$I$500,1,UomConversion!$J$8:$J$500,1)),"",Slookup(MID(AN72,1,3)*1,UomConversion!$D$8:$J$500,2,UomConversion!$I$8:$I$500,1,UomConversion!$J$8:$J$500,1)))</f>
        <v/>
      </c>
      <c r="AV72" s="197" t="str">
        <f t="shared" ref="AV72" si="286">IF(M72="","",IF(quot_location_id=1,BA72,IF(quot_location_id=2,BB72,0)))</f>
        <v/>
      </c>
      <c r="AW72" s="197" t="str">
        <f>IF(M72="","",(SUMIFS('[1]1_group_totals'!$K$8:$K$10000,'[1]1_group_totals'!$C$8:$C$10000,I72,'[1]1_group_totals'!$F$8:$F$10000,quot_location_group_id,'[1]1_group_totals'!$G$8:$G$10000,quot_location_id,'[1]1_group_totals'!$H$8:$H$10000,"="&amp;Q72,'[1]1_group_totals'!$I$8:$I$10000,"="&amp;R72)+SUMIFS('[1]1_group_totals'!$N$8:$N$10000,'[1]1_group_totals'!$C$8:$C$10000,I72,'[1]1_group_totals'!$F$8:$F$10000,quot_location_group_id,'[1]1_group_totals'!$G$8:$G$10000,quot_location_id,'[1]1_group_totals'!$H$8:$H$10000,"="&amp;Q72,'[1]1_group_totals'!$I$8:$I$10000,"="&amp;R72)+SUMIFS('[1]1_group_totals'!$P$8:$P$10000,'[1]1_group_totals'!$C$8:$C$10000,I72,'[1]1_group_totals'!$F$8:$F$10000,quot_location_group_id,'[1]1_group_totals'!$G$8:$G$10000,quot_location_id,'[1]1_group_totals'!$H$8:$H$10000,"="&amp;Q72,'[1]1_group_totals'!$I$8:$I$10000,"="&amp;R72)+SUMIFS('[1]1_group_totals'!$Q$8:$Q$10000,'[1]1_group_totals'!$C$8:$C$10000,I72,'[1]1_group_totals'!$F$8:$F$10000,quot_location_group_id,'[1]1_group_totals'!$G$8:$G$10000,quot_location_id,'[1]1_group_totals'!$H$8:$H$10000,"="&amp;Q72,'[1]1_group_totals'!$I$8:$I$10000,"="&amp;R72))+(SUMIFS('[1]1_group_totals'!$L$8:$L$10000,'[1]1_group_totals'!$C$8:$C$10000,I72,'[1]1_group_totals'!$F$8:$F$10000,quot_location_group_id,'[1]1_group_totals'!$G$8:$G$10000,quot_location_id,'[1]1_group_totals'!$H$8:$H$10000,"="&amp;Q72,'[1]1_group_totals'!$I$8:$I$10000,"="&amp;R72)+SUMIFS('[1]1_group_totals'!$M$8:$M$10000,'[1]1_group_totals'!$C$8:$C$10000,I72,'[1]1_group_totals'!$F$8:$F$10000,quot_location_group_id,'[1]1_group_totals'!$G$8:$G$10000,quot_location_id,'[1]1_group_totals'!$H$8:$H$10000,"="&amp;Q72,'[1]1_group_totals'!$I$8:$I$10000,"="&amp;R72)+SUMIFS('[1]1_group_totals'!$O$8:$O$10000,'[1]1_group_totals'!$C$8:$C$10000,I72,'[1]1_group_totals'!$F$8:$F$10000,quot_location_group_id,'[1]1_group_totals'!$G$8:$G$10000,quot_location_id,'[1]1_group_totals'!$H$8:$H$10000,"="&amp;Q72,'[1]1_group_totals'!$I$8:$I$10000,"="&amp;R72)+SUMIFS('[1]1_group_totals'!$R$8:$R$10000,'[1]1_group_totals'!$C$8:$C$10000,I72,'[1]1_group_totals'!$F$8:$F$10000,quot_location_group_id,'[1]1_group_totals'!$G$8:$G$10000,quot_location_id,'[1]1_group_totals'!$H$8:$H$10000,"="&amp;Q72,'[1]1_group_totals'!$I$8:$I$10000,"="&amp;R72)))</f>
        <v/>
      </c>
      <c r="AX72" s="197" t="str">
        <f t="shared" si="23"/>
        <v/>
      </c>
      <c r="AY72" s="197" t="str">
        <f>IF(M72="","",SUMIFS($AX$8:AX72,$I$8:I72,I72))</f>
        <v/>
      </c>
      <c r="AZ72" s="197" t="str">
        <f t="shared" si="24"/>
        <v/>
      </c>
      <c r="BA72" s="197" t="str">
        <f>IF(M72="","",(SUMIFS('[1]1_inventory_totals'!$I$8:$I$10000,'[1]1_inventory_totals'!$C$8:$C$10000,I72,'[1]1_inventory_totals'!$F$8:$F$10000,"="&amp;Q72,'[1]1_inventory_totals'!$G$8:$G$10000,"="&amp;R72)+SUMIFS('[1]1_inventory_totals'!$N$8:$N$10000,'[1]1_inventory_totals'!$C$8:$C$10000,I72,'[1]1_inventory_totals'!$F$8:$F$10000,"="&amp;Q72,'[1]1_inventory_totals'!$G$8:$G$10000,"="&amp;R72)+SUMIFS('[1]1_inventory_totals'!$P$8:$P$10000,'[1]1_inventory_totals'!$C$8:$C$10000,I72,'[1]1_inventory_totals'!$F$8:$F$10000,"="&amp;Q72,'[1]1_inventory_totals'!$G$8:$G$10000,"="&amp;R72)+SUMIFS('[1]1_inventory_totals'!$Q$8:$Q$10000,'[1]1_inventory_totals'!$C$8:$C$10000,I72,'[1]1_inventory_totals'!$F$8:$F$10000,"="&amp;Q72,'[1]1_inventory_totals'!$G$8:$G$10000,"="&amp;R72)+SUMIFS('[1]1_inventory_totals'!$R$8:$R$10000,'[1]1_inventory_totals'!$C$8:$C$10000,I72,'[1]1_inventory_totals'!$F$8:$F$10000,"="&amp;Q72,'[1]1_inventory_totals'!$G$8:$G$10000,"="&amp;R72))+(SUMIFS('[1]1_inventory_totals'!$J$8:$J$10000,'[1]1_inventory_totals'!$C$8:$C$10000,I72,'[1]1_inventory_totals'!$F$8:$F$10000,"="&amp;Q72,'[1]1_inventory_totals'!$G$8:$G$10000,"="&amp;R72)+SUMIFS('[1]1_inventory_totals'!$K$8:$K$10000,'[1]1_inventory_totals'!$C$8:$C$10000,I72,'[1]1_inventory_totals'!$F$8:$F$10000,"="&amp;Q72,'[1]1_inventory_totals'!$G$8:$G$10000,"="&amp;R72)+SUMIFS('[1]1_inventory_totals'!$L$8:$L$10000,'[1]1_inventory_totals'!$C$8:$C$10000,I72,'[1]1_inventory_totals'!$F$8:$F$10000,"="&amp;Q72,'[1]1_inventory_totals'!$G$8:$G$10000,"="&amp;R72)+SUMIFS('[1]1_inventory_totals'!$M$8:$M$10000,'[1]1_inventory_totals'!$C$8:$C$10000,I72,'[1]1_inventory_totals'!$F$8:$F$10000,"="&amp;Q72,'[1]1_inventory_totals'!$G$8:$G$10000,"="&amp;R72)+SUMIFS('[1]1_inventory_totals'!$O$8:$O$10000,'[1]1_inventory_totals'!$C$8:$C$10000,I72,'[1]1_inventory_totals'!$F$8:$F$10000,"="&amp;Q72,'[1]1_inventory_totals'!$G$8:$G$10000,"="&amp;R72)+SUMIFS('[1]1_inventory_totals'!$S$8:$S$10000,'[1]1_inventory_totals'!$C$8:$C$10000,I72,'[1]1_inventory_totals'!$F$8:$F$10000,"="&amp;Q72,'[1]1_inventory_totals'!$G$8:$G$10000,"="&amp;R72)))</f>
        <v/>
      </c>
      <c r="BB72" s="197" t="str">
        <f>IF(M72="","",(SUMIFS('[1]2_inventory_totals'!$I$8:$I$10000,'[1]2_inventory_totals'!$C$8:$C$10000,I72,'[1]2_inventory_totals'!$F$8:$F$10000,"="&amp;Q72,'[1]2_inventory_totals'!$G$8:$G$10000,"="&amp;R72)+SUMIFS('[1]2_inventory_totals'!$N$8:$N$10000,'[1]2_inventory_totals'!$C$8:$C$10000,I72,'[1]2_inventory_totals'!$F$8:$F$10000,"="&amp;Q72,'[1]2_inventory_totals'!$G$8:$G$10000,"="&amp;R72)+SUMIFS('[1]2_inventory_totals'!$P$8:$P$10000,'[1]2_inventory_totals'!$C$8:$C$10000,I72,'[1]2_inventory_totals'!$F$8:$F$10000,"="&amp;Q72,'[1]2_inventory_totals'!$G$8:$G$10000,"="&amp;R72)+SUMIFS('[1]2_inventory_totals'!$Q$8:$Q$10000,'[1]2_inventory_totals'!$C$8:$C$10000,I72,'[1]2_inventory_totals'!$F$8:$F$10000,"="&amp;Q72,'[1]2_inventory_totals'!$G$8:$G$10000,"="&amp;R72)+SUMIFS('[1]2_inventory_totals'!$R$8:$R$10000,'[1]2_inventory_totals'!$C$8:$C$10000,I72,'[1]2_inventory_totals'!$F$8:$F$10000,"="&amp;Q72,'[1]2_inventory_totals'!$G$8:$G$10000,"="&amp;R72))+(SUMIFS('[1]2_inventory_totals'!$J$8:$J$10000,'[1]2_inventory_totals'!$C$8:$C$10000,I72,'[1]2_inventory_totals'!$F$8:$F$10000,"="&amp;Q72,'[1]2_inventory_totals'!$G$8:$G$10000,"="&amp;R72)+SUMIFS('[1]2_inventory_totals'!$K$8:$K$10000,'[1]2_inventory_totals'!$C$8:$C$10000,I72,'[1]2_inventory_totals'!$F$8:$F$10000,"="&amp;Q72,'[1]2_inventory_totals'!$G$8:$G$10000,"="&amp;R72)+SUMIFS('[1]2_inventory_totals'!$L$8:$L$10000,'[1]2_inventory_totals'!$C$8:$C$10000,I72,'[1]2_inventory_totals'!$F$8:$F$10000,"="&amp;Q72,'[1]2_inventory_totals'!$G$8:$G$10000,"="&amp;R72)+SUMIFS('[1]2_inventory_totals'!$M$8:$M$10000,'[1]2_inventory_totals'!$C$8:$C$10000,I72,'[1]2_inventory_totals'!$F$8:$F$10000,"="&amp;Q72,'[1]2_inventory_totals'!$G$8:$G$10000,"="&amp;R72)+SUMIFS('[1]2_inventory_totals'!$O$8:$O$10000,'[1]2_inventory_totals'!$C$8:$C$10000,I72,'[1]2_inventory_totals'!$F$8:$F$10000,"="&amp;Q72,'[1]2_inventory_totals'!$G$8:$G$10000,"="&amp;R72)+SUMIFS('[1]2_inventory_totals'!$S$8:$S$10000,'[1]2_inventory_totals'!$C$8:$C$10000,I72,'[1]2_inventory_totals'!$F$8:$F$10000,"="&amp;Q72,'[1]2_inventory_totals'!$G$8:$G$10000,"="&amp;R72)))</f>
        <v/>
      </c>
    </row>
    <row r="73" spans="1:54" ht="27" hidden="1" customHeight="1">
      <c r="A73" s="923"/>
      <c r="B73" s="1256"/>
      <c r="C73" s="950"/>
      <c r="D73" s="950"/>
      <c r="E73" s="950"/>
      <c r="F73" s="1257"/>
      <c r="G73" s="941"/>
      <c r="H73" s="951"/>
      <c r="I73" s="1610" t="str">
        <f t="shared" ref="I73:I87" si="287">IF(M73="","",MID(M73,1,5)*1)</f>
        <v/>
      </c>
      <c r="J73" s="1611" t="str">
        <f t="shared" si="112"/>
        <v/>
      </c>
      <c r="K73" s="1612" t="str">
        <f t="shared" si="30"/>
        <v/>
      </c>
      <c r="L73" s="1613"/>
      <c r="M73" s="883"/>
      <c r="N73" s="884"/>
      <c r="O73" s="884"/>
      <c r="P73" s="885"/>
      <c r="Q73" s="886"/>
      <c r="R73" s="891"/>
      <c r="S73" s="1614" t="str">
        <f t="shared" ref="S73" si="288">IF(M73="","",quot_currency_symbol)</f>
        <v/>
      </c>
      <c r="T73" s="888"/>
      <c r="U73" s="1650" t="str">
        <f t="shared" ref="U73:U87" si="289">IF(M73="","",ROUND(IF(T73&gt;0,T73,IF(AS73&gt;0,AS73,IF(P73=AN73,AF73,IF(P73=AO73,ROUND(AF73/AA73,T154),IF(P73=AP73,ROUND(AF73/AB73,9)))))),2))</f>
        <v/>
      </c>
      <c r="V73" s="1615" t="str">
        <f t="shared" ref="V73" si="290">IF(W73=0,"",quot_currency_symbol)</f>
        <v/>
      </c>
      <c r="W73" s="889"/>
      <c r="X73" s="1615" t="str">
        <f t="shared" ref="X73" si="291">IF(M73="","",quot_currency_symbol)</f>
        <v/>
      </c>
      <c r="Y73" s="1616" t="str">
        <f t="shared" si="34"/>
        <v/>
      </c>
      <c r="Z73" s="890"/>
      <c r="AA73" s="197" t="str" cm="1">
        <f t="array" ref="AA73">IF(M73="","",IF(P73=AN73,1,Slookup(MID(AN73,1,3)*1,UomConversion!$D$8:$J$500,5,UomConversion!$E$8:$E$500,MID(P73,1,3)*1,UomConversion!$J$8:$J$500,1)))</f>
        <v/>
      </c>
      <c r="AB73" s="197" t="str">
        <f t="shared" si="281"/>
        <v/>
      </c>
      <c r="AC73" s="197" t="str">
        <f t="shared" ref="AC73:AC87" si="292">IF(M73="","",W73)</f>
        <v/>
      </c>
      <c r="AD73" s="197" t="str">
        <f t="shared" ref="AD73:AD87" si="293">IF(M73="","",IF(P73=AN73,AE73,IF(P73=AO73,ROUND(AE73/AA73,9),IF(P73=AP73,ROUND(AE73/AB73,9)))))</f>
        <v/>
      </c>
      <c r="AE73" s="197" t="str">
        <f t="shared" ref="AE73:AE87" si="294">IF(M73="","",VLOOKUP(I73,product_list,14,FALSE))</f>
        <v/>
      </c>
      <c r="AF73" s="197" t="str">
        <f t="shared" si="282"/>
        <v/>
      </c>
      <c r="AG73" s="197" t="str">
        <f t="shared" si="283"/>
        <v/>
      </c>
      <c r="AH73" s="197" t="str">
        <f>IF(I73="","",IF(ISNA(MATCH(I73,IF(quot_location_id=1,'[1]1_inventory_totals'!$C$8:$C$10000,IF(quot_location_id=2,'[1]2_inventory_totals'!$C$8:$C$10000,0)),0)),0,IF(AV73&gt;0,1,0)))</f>
        <v/>
      </c>
      <c r="AI73" s="197" t="str">
        <f>IF(M73="","",IF(quot_location_id=1,SUMIFS('[1]1_inventory_total_details'!$J$8:$J$10000,'[1]1_inventory_total_details'!$C$8:$C$10000,I73,'[1]1_inventory_total_details'!$F$8:$F$10000,quot_location_id,'[1]1_inventory_total_details'!$G$8:$G$10000,"="&amp;Q73,'[1]1_inventory_total_details'!$H$8:$H$10000,"="&amp;R73,'[1]1_inventory_total_details'!$I$8:$I$10000,"="&amp;quot_date)+SUMIFS('[1]1_inventory_total_details'!$M$8:$M$10000,'[1]1_inventory_total_details'!$C$8:$C$10000,I73,'[1]1_inventory_total_details'!$F$8:$F$10000,quot_location_id,'[1]1_inventory_total_details'!$G$8:$G$10000,"="&amp;Q73,'[1]1_inventory_total_details'!$H$8:$H$10000,"="&amp;R73,'[1]1_inventory_total_details'!$I$8:$I$10000,"="&amp;quot_date)+SUMIFS('[1]1_inventory_total_details'!$K$8:$K$10000,'[1]1_inventory_total_details'!$C$8:$C$10000,I73,'[1]1_inventory_total_details'!$F$8:$F$10000,quot_location_id,'[1]1_inventory_total_details'!$G$8:$G$10000,"="&amp;Q73,'[1]1_inventory_total_details'!$H$8:$H$10000,"="&amp;R73,'[1]1_inventory_total_details'!$I$8:$I$10000,"="&amp;quot_date)+SUMIFS('[1]1_inventory_total_details'!$L$8:$L$10000,'[1]1_inventory_total_details'!$C$8:$C$10000,I73,'[1]1_inventory_total_details'!$F$8:$F$10000,quot_location_id,'[1]1_inventory_total_details'!$G$8:$G$10000,"="&amp;Q73,'[1]1_inventory_total_details'!$H$8:$H$10000,"="&amp;R73,'[1]1_inventory_total_details'!$I$8:$I$10000,"="&amp;quot_date),SUMIFS('[1]2_inventory_total_details'!$J$8:$J$10000,'[1]2_inventory_total_details'!$C$8:$C$10000,I73,'[1]2_inventory_total_details'!$F$8:$F$10000,quot_location_id,'[1]2_inventory_total_details'!$G$8:$G$10000,"="&amp;Q73,'[1]2_inventory_total_details'!$H$8:$H$10000,"="&amp;R73,'[1]2_inventory_total_details'!$I$8:$I$10000,"="&amp;quot_date)+SUMIFS('[1]2_inventory_total_details'!$M$8:$M$10000,'[1]2_inventory_total_details'!$C$8:$C$10000,I73,'[1]2_inventory_total_details'!$F$8:$F$10000,quot_location_id,'[1]2_inventory_total_details'!$G$8:$G$10000,"="&amp;Q73,'[1]2_inventory_total_details'!$H$8:$H$10000,"="&amp;R73,'[1]2_inventory_total_details'!$I$8:$I$10000,"="&amp;quot_date)+SUMIFS('[1]2_inventory_total_details'!$K$8:$K$10000,'[1]2_inventory_total_details'!$C$8:$C$10000,I73,'[1]2_inventory_total_details'!$F$8:$F$10000,quot_location_id,'[1]2_inventory_total_details'!$G$8:$G$10000,"="&amp;Q73,'[1]2_inventory_total_details'!$H$8:$H$10000,"="&amp;R73,'[1]2_inventory_total_details'!$I$8:$I$10000,"="&amp;quot_date)+SUMIFS('[1]2_inventory_total_details'!$L$8:$L$10000,'[1]2_inventory_total_details'!$C$8:$C$10000,I73,'[1]2_inventory_total_details'!$F$8:$F$10000,quot_location_id,'[1]2_inventory_total_details'!$G$8:$G$10000,"="&amp;Q73,'[1]2_inventory_total_details'!$H$8:$H$10000,"="&amp;R73,'[1]2_inventory_total_details'!$I$8:$I$10000,"="&amp;quot_date)))</f>
        <v/>
      </c>
      <c r="AJ73" s="197" t="str">
        <f>IF(M73="","",IF(ISNA(MATCH(I73,'[1]1_group_totals'!$C$8:$C$10000)),0,IF(AW73&gt;0,1,0)))</f>
        <v/>
      </c>
      <c r="AK73" s="197" t="str">
        <f>IF(M73="","",(SUMIFS('[1]1_group_total_details'!$I$8:$I$10000,'[1]1_group_total_details'!$C$8:$C$10000,I73,'[1]1_group_total_details'!$F$8:$F$10000,quot_location_group_id,'[1]1_group_total_details'!$G$8:$G$10000,quot_location_id,'[1]1_group_total_details'!$H$8:$H$10000,"="&amp;quot_date)+SUMIFS('[1]1_group_total_details'!$L$8:$L$10000,'[1]1_group_total_details'!$C$8:$C$10000,I73,'[1]1_group_total_details'!$F$8:$F$10000,quot_location_group_id,'[1]1_group_total_details'!$G$8:$G$10000,quot_location_id,'[1]1_group_total_details'!$H$8:$H$10000,"="&amp;quot_date)+SUMIFS('[1]1_group_total_details'!$N$8:$N$10000,'[1]1_group_total_details'!$C$8:$C$10000,I73,'[1]1_group_total_details'!$F$8:$F$10000,quot_location_group_id,'[1]1_group_total_details'!$G$8:$G$10000,quot_location_id,'[1]1_group_total_details'!$H$8:$H$10000,"="&amp;quot_date)+SUMIFS('[1]1_group_total_details'!$O$8:$O$10000,'[1]1_group_total_details'!$C$8:$C$10000,I73,'[1]1_group_total_details'!$F$8:$F$10000,quot_location_group_id,'[1]1_group_total_details'!$G$8:$G$10000,quot_location_id,'[1]1_group_total_details'!$H$8:$H$10000,"="&amp;quot_date))+(SUMIFS('[1]1_group_total_details'!$J$8:$J$10000,'[1]1_group_total_details'!$C$8:$C$10000,I73,'[1]1_group_total_details'!$F$8:$F$10000,quot_location_group_id,'[1]1_group_total_details'!$G$8:$G$10000,quot_location_id,'[1]1_group_total_details'!$H$8:$H$10000,"="&amp;quot_date)+SUMIFS('[1]1_group_total_details'!$K$8:$K$10000,'[1]1_group_total_details'!$C$8:$C$10000,I73,'[1]1_group_total_details'!$F$8:$F$10000,quot_location_group_id,'[1]1_group_total_details'!$G$8:$G$10000,quot_location_id,'[1]1_group_total_details'!$H$8:$H$10000,"="&amp;quot_date)+SUMIFS('[1]1_group_total_details'!$M$8:$M$10000,'[1]1_group_total_details'!$C$8:$C$10000,I73,'[1]1_group_total_details'!$F$8:$F$10000,quot_location_group_id,'[1]1_group_total_details'!$G$8:$G$10000,quot_location_id,'[1]1_group_total_details'!$H$8:$H$10000,"="&amp;quot_date)+SUMIFS('[1]1_group_total_details'!$P$8:$P$10000,'[1]1_group_total_details'!$C$8:$C$10000,I73,'[1]1_group_total_details'!$F$8:$F$10000,quot_location_group_id,'[1]1_group_total_details'!$G$8:$G$10000,quot_location_id,'[1]1_group_total_details'!$H$8:$H$10000,"="&amp;quot_date)))</f>
        <v/>
      </c>
      <c r="AL73" s="197" t="str">
        <f>IF(M73="","",(SUMIFS('[1]1_group_total_details'!$I$8:$I$10000,'[1]1_group_total_details'!$C$8:$C$10000,I73,'[1]1_group_total_details'!$F$8:$F$10000,quot_location_group_id,'[1]1_group_total_details'!$G$8:$G$10000,quot_location_id,'[1]1_group_total_details'!$H$8:$H$10000,"&lt;="&amp;quot_date)+SUMIFS('[1]1_group_total_details'!$L$8:$L$10000,'[1]1_group_total_details'!$C$8:$C$10000,I73,'[1]1_group_total_details'!$F$8:$F$10000,quot_location_group_id,'[1]1_group_total_details'!$G$8:$G$10000,1,'[1]1_group_total_details'!$H$8:$H$10000,"&lt;="&amp;quot_date)+SUMIFS('[1]1_group_total_details'!$N$8:$N$10000,'[1]1_group_total_details'!$C$8:$C$10000,I73,'[1]1_group_total_details'!$F$8:$F$10000,quot_location_group_id,'[1]1_group_total_details'!$G$8:$G$10000,quot_location_id,'[1]1_group_total_details'!$H$8:$H$10000,"&lt;="&amp;quot_date)+SUMIFS('[1]1_group_total_details'!$O$8:$O$10000,'[1]1_group_total_details'!$C$8:$C$10000,I73,'[1]1_group_total_details'!$F$8:$F$10000,quot_location_group_id,'[1]1_group_total_details'!$G$8:$G$10000,quot_location_id,'[1]1_group_total_details'!$H$8:$H$10000,"&lt;="&amp;quot_date))-(SUMIFS('[1]1_group_total_details'!$J$8:$J$10000,'[1]1_group_total_details'!$C$8:$C$10000,I73,'[1]1_group_total_details'!$F$8:$F$10000,quot_location_group_id,'[1]1_group_total_details'!$G$8:$G$10000,quot_location_id,'[1]1_group_total_details'!$H$8:$H$10000,"&lt;="&amp;quot_date)+SUMIFS('[1]1_group_total_details'!$K$8:$K$10000,'[1]1_group_total_details'!$C$8:$C$10000,I73,'[1]1_group_total_details'!$F$8:$F$10000,quot_location_group_id,'[1]1_group_total_details'!$G$8:$G$10000,quot_location_id,'[1]1_group_total_details'!$H$8:$H$10000,"&lt;="&amp;quot_date)+SUMIFS('[1]1_group_total_details'!$M$8:$M$10000,'[1]1_group_total_details'!$C$8:$C$10000,I73,'[1]1_group_total_details'!$F$8:$F$10000,quot_location_group_id,'[1]1_group_total_details'!$G$8:$G$10000,quot_location_id,'[1]1_group_total_details'!$H$8:$H$10000,"&lt;="&amp;quot_date)+SUMIFS('[1]1_group_total_details'!$P$8:$P$10000,'[1]1_group_total_details'!$C$8:$C$10000,I73,'[1]1_group_total_details'!$F$8:$F$10000,quot_location_group_id,'[1]1_group_total_details'!$G$8:$G$10000,quot_location_id,'[1]1_group_total_details'!$H$8:$H$10000,"&lt;="&amp;quot_date)))</f>
        <v/>
      </c>
      <c r="AM73" s="197" t="str">
        <f>IF(M73="","",SUMIFS('[1]1_group_totals'!$J$8:$J$10000,'[1]1_group_totals'!$C$8:$C$10000,I73,'[1]1_group_totals'!$F$8:$F$10000,quot_location_group_id,'[1]1_group_totals'!$G$8:$G$10000,quot_location_id,'[1]1_group_totals'!$H$8:$H$10000,"="&amp;Q73,'[1]1_group_totals'!$I$8:$I$10000,"="&amp;R73))</f>
        <v/>
      </c>
      <c r="AN73" s="197" t="str">
        <f t="shared" si="284"/>
        <v/>
      </c>
      <c r="AO73" s="197" t="str">
        <f>IF(OR(ISNA(MATCH(MID(AN73,1,3)*1,UomConversion!$D$8:$D$500,0)),M73=""),"",IF(AT73="","",AT73))</f>
        <v/>
      </c>
      <c r="AP73" s="197" t="str">
        <f>IF(AND(AQ73&gt;0,COUNTIFS(UomConversion!$D$8:$D$500,MID(AN73,1,3)*1,UomConversion!$J$8:$J$500,1)&gt;1),TEXT(AQ73,"000")&amp;"."&amp;VLOOKUP(AQ73,uom_list,5,FALSE),"")</f>
        <v/>
      </c>
      <c r="AQ73" s="197" t="str">
        <f t="shared" ref="AQ73:AQ87" si="295">IF(AND(AU73&gt;0,M73&lt;&gt;""),AU73,"")</f>
        <v/>
      </c>
      <c r="AR73" s="197" t="str">
        <f t="shared" ref="AR73:AR87" si="296">IF(M73="","",IF(AA73&gt;0,AB73/AA73,""))</f>
        <v/>
      </c>
      <c r="AS73" s="197" t="str">
        <f>IF(M73="","",SUMIFS(ProductPrice!$N$28:$N$10020,ProductPrice!$D$28:$D$10020,I73,ProductPrice!$G$28:$G$10020,quot_branch_id,ProductPrice!$H$28:$H$10020,quot_price_type_id,ProductPrice!$I$28:$I$10020,MID(P73,1,3)*1,ProductPrice!$Q$28:$Q$10020,1))</f>
        <v/>
      </c>
      <c r="AT73" s="197" t="str">
        <f t="shared" si="285"/>
        <v/>
      </c>
      <c r="AU73" s="197" t="str" cm="1">
        <f t="array" ref="AU73">IF(M73="","",IF(ISNA(Slookup(MID(AN73,1,3)*1,UomConversion!$D$8:$J$500,2,UomConversion!$I$8:$I$500,1,UomConversion!$J$8:$J$500,1)),"",Slookup(MID(AN73,1,3)*1,UomConversion!$D$8:$J$500,2,UomConversion!$I$8:$I$500,1,UomConversion!$J$8:$J$500,1)))</f>
        <v/>
      </c>
      <c r="AV73" s="197" t="str">
        <f t="shared" ref="AV73" si="297">IF(M73="","",IF(quot_location_id=1,BA73,IF(quot_location_id=2,BB73,0)))</f>
        <v/>
      </c>
      <c r="AW73" s="197" t="str">
        <f>IF(M73="","",(SUMIFS('[1]1_group_totals'!$K$8:$K$10000,'[1]1_group_totals'!$C$8:$C$10000,I73,'[1]1_group_totals'!$F$8:$F$10000,quot_location_group_id,'[1]1_group_totals'!$G$8:$G$10000,quot_location_id,'[1]1_group_totals'!$H$8:$H$10000,"="&amp;Q73,'[1]1_group_totals'!$I$8:$I$10000,"="&amp;R73)+SUMIFS('[1]1_group_totals'!$N$8:$N$10000,'[1]1_group_totals'!$C$8:$C$10000,I73,'[1]1_group_totals'!$F$8:$F$10000,quot_location_group_id,'[1]1_group_totals'!$G$8:$G$10000,quot_location_id,'[1]1_group_totals'!$H$8:$H$10000,"="&amp;Q73,'[1]1_group_totals'!$I$8:$I$10000,"="&amp;R73)+SUMIFS('[1]1_group_totals'!$P$8:$P$10000,'[1]1_group_totals'!$C$8:$C$10000,I73,'[1]1_group_totals'!$F$8:$F$10000,quot_location_group_id,'[1]1_group_totals'!$G$8:$G$10000,quot_location_id,'[1]1_group_totals'!$H$8:$H$10000,"="&amp;Q73,'[1]1_group_totals'!$I$8:$I$10000,"="&amp;R73)+SUMIFS('[1]1_group_totals'!$Q$8:$Q$10000,'[1]1_group_totals'!$C$8:$C$10000,I73,'[1]1_group_totals'!$F$8:$F$10000,quot_location_group_id,'[1]1_group_totals'!$G$8:$G$10000,quot_location_id,'[1]1_group_totals'!$H$8:$H$10000,"="&amp;Q73,'[1]1_group_totals'!$I$8:$I$10000,"="&amp;R73))+(SUMIFS('[1]1_group_totals'!$L$8:$L$10000,'[1]1_group_totals'!$C$8:$C$10000,I73,'[1]1_group_totals'!$F$8:$F$10000,quot_location_group_id,'[1]1_group_totals'!$G$8:$G$10000,quot_location_id,'[1]1_group_totals'!$H$8:$H$10000,"="&amp;Q73,'[1]1_group_totals'!$I$8:$I$10000,"="&amp;R73)+SUMIFS('[1]1_group_totals'!$M$8:$M$10000,'[1]1_group_totals'!$C$8:$C$10000,I73,'[1]1_group_totals'!$F$8:$F$10000,quot_location_group_id,'[1]1_group_totals'!$G$8:$G$10000,quot_location_id,'[1]1_group_totals'!$H$8:$H$10000,"="&amp;Q73,'[1]1_group_totals'!$I$8:$I$10000,"="&amp;R73)+SUMIFS('[1]1_group_totals'!$O$8:$O$10000,'[1]1_group_totals'!$C$8:$C$10000,I73,'[1]1_group_totals'!$F$8:$F$10000,quot_location_group_id,'[1]1_group_totals'!$G$8:$G$10000,quot_location_id,'[1]1_group_totals'!$H$8:$H$10000,"="&amp;Q73,'[1]1_group_totals'!$I$8:$I$10000,"="&amp;R73)+SUMIFS('[1]1_group_totals'!$R$8:$R$10000,'[1]1_group_totals'!$C$8:$C$10000,I73,'[1]1_group_totals'!$F$8:$F$10000,quot_location_group_id,'[1]1_group_totals'!$G$8:$G$10000,quot_location_id,'[1]1_group_totals'!$H$8:$H$10000,"="&amp;Q73,'[1]1_group_totals'!$I$8:$I$10000,"="&amp;R73)))</f>
        <v/>
      </c>
      <c r="AX73" s="197" t="str">
        <f t="shared" ref="AX73:AX87" si="298">IF(M73="","",IF((N73+O73)*(AB73/AA73)&gt;0,(N73+O73)*(AB73/AA73),0))</f>
        <v/>
      </c>
      <c r="AY73" s="197" t="str">
        <f>IF(M73="","",SUMIFS($AX$8:AX73,$I$8:I73,I73))</f>
        <v/>
      </c>
      <c r="AZ73" s="197" t="str">
        <f t="shared" ref="AZ73:AZ87" si="299">IF(M73="","",AL73-AY73)</f>
        <v/>
      </c>
      <c r="BA73" s="197" t="str">
        <f>IF(M73="","",(SUMIFS('[1]1_inventory_totals'!$I$8:$I$10000,'[1]1_inventory_totals'!$C$8:$C$10000,I73,'[1]1_inventory_totals'!$F$8:$F$10000,"="&amp;Q73,'[1]1_inventory_totals'!$G$8:$G$10000,"="&amp;R73)+SUMIFS('[1]1_inventory_totals'!$N$8:$N$10000,'[1]1_inventory_totals'!$C$8:$C$10000,I73,'[1]1_inventory_totals'!$F$8:$F$10000,"="&amp;Q73,'[1]1_inventory_totals'!$G$8:$G$10000,"="&amp;R73)+SUMIFS('[1]1_inventory_totals'!$P$8:$P$10000,'[1]1_inventory_totals'!$C$8:$C$10000,I73,'[1]1_inventory_totals'!$F$8:$F$10000,"="&amp;Q73,'[1]1_inventory_totals'!$G$8:$G$10000,"="&amp;R73)+SUMIFS('[1]1_inventory_totals'!$Q$8:$Q$10000,'[1]1_inventory_totals'!$C$8:$C$10000,I73,'[1]1_inventory_totals'!$F$8:$F$10000,"="&amp;Q73,'[1]1_inventory_totals'!$G$8:$G$10000,"="&amp;R73)+SUMIFS('[1]1_inventory_totals'!$R$8:$R$10000,'[1]1_inventory_totals'!$C$8:$C$10000,I73,'[1]1_inventory_totals'!$F$8:$F$10000,"="&amp;Q73,'[1]1_inventory_totals'!$G$8:$G$10000,"="&amp;R73))+(SUMIFS('[1]1_inventory_totals'!$J$8:$J$10000,'[1]1_inventory_totals'!$C$8:$C$10000,I73,'[1]1_inventory_totals'!$F$8:$F$10000,"="&amp;Q73,'[1]1_inventory_totals'!$G$8:$G$10000,"="&amp;R73)+SUMIFS('[1]1_inventory_totals'!$K$8:$K$10000,'[1]1_inventory_totals'!$C$8:$C$10000,I73,'[1]1_inventory_totals'!$F$8:$F$10000,"="&amp;Q73,'[1]1_inventory_totals'!$G$8:$G$10000,"="&amp;R73)+SUMIFS('[1]1_inventory_totals'!$L$8:$L$10000,'[1]1_inventory_totals'!$C$8:$C$10000,I73,'[1]1_inventory_totals'!$F$8:$F$10000,"="&amp;Q73,'[1]1_inventory_totals'!$G$8:$G$10000,"="&amp;R73)+SUMIFS('[1]1_inventory_totals'!$M$8:$M$10000,'[1]1_inventory_totals'!$C$8:$C$10000,I73,'[1]1_inventory_totals'!$F$8:$F$10000,"="&amp;Q73,'[1]1_inventory_totals'!$G$8:$G$10000,"="&amp;R73)+SUMIFS('[1]1_inventory_totals'!$O$8:$O$10000,'[1]1_inventory_totals'!$C$8:$C$10000,I73,'[1]1_inventory_totals'!$F$8:$F$10000,"="&amp;Q73,'[1]1_inventory_totals'!$G$8:$G$10000,"="&amp;R73)+SUMIFS('[1]1_inventory_totals'!$S$8:$S$10000,'[1]1_inventory_totals'!$C$8:$C$10000,I73,'[1]1_inventory_totals'!$F$8:$F$10000,"="&amp;Q73,'[1]1_inventory_totals'!$G$8:$G$10000,"="&amp;R73)))</f>
        <v/>
      </c>
      <c r="BB73" s="197" t="str">
        <f>IF(M73="","",(SUMIFS('[1]2_inventory_totals'!$I$8:$I$10000,'[1]2_inventory_totals'!$C$8:$C$10000,I73,'[1]2_inventory_totals'!$F$8:$F$10000,"="&amp;Q73,'[1]2_inventory_totals'!$G$8:$G$10000,"="&amp;R73)+SUMIFS('[1]2_inventory_totals'!$N$8:$N$10000,'[1]2_inventory_totals'!$C$8:$C$10000,I73,'[1]2_inventory_totals'!$F$8:$F$10000,"="&amp;Q73,'[1]2_inventory_totals'!$G$8:$G$10000,"="&amp;R73)+SUMIFS('[1]2_inventory_totals'!$P$8:$P$10000,'[1]2_inventory_totals'!$C$8:$C$10000,I73,'[1]2_inventory_totals'!$F$8:$F$10000,"="&amp;Q73,'[1]2_inventory_totals'!$G$8:$G$10000,"="&amp;R73)+SUMIFS('[1]2_inventory_totals'!$Q$8:$Q$10000,'[1]2_inventory_totals'!$C$8:$C$10000,I73,'[1]2_inventory_totals'!$F$8:$F$10000,"="&amp;Q73,'[1]2_inventory_totals'!$G$8:$G$10000,"="&amp;R73)+SUMIFS('[1]2_inventory_totals'!$R$8:$R$10000,'[1]2_inventory_totals'!$C$8:$C$10000,I73,'[1]2_inventory_totals'!$F$8:$F$10000,"="&amp;Q73,'[1]2_inventory_totals'!$G$8:$G$10000,"="&amp;R73))+(SUMIFS('[1]2_inventory_totals'!$J$8:$J$10000,'[1]2_inventory_totals'!$C$8:$C$10000,I73,'[1]2_inventory_totals'!$F$8:$F$10000,"="&amp;Q73,'[1]2_inventory_totals'!$G$8:$G$10000,"="&amp;R73)+SUMIFS('[1]2_inventory_totals'!$K$8:$K$10000,'[1]2_inventory_totals'!$C$8:$C$10000,I73,'[1]2_inventory_totals'!$F$8:$F$10000,"="&amp;Q73,'[1]2_inventory_totals'!$G$8:$G$10000,"="&amp;R73)+SUMIFS('[1]2_inventory_totals'!$L$8:$L$10000,'[1]2_inventory_totals'!$C$8:$C$10000,I73,'[1]2_inventory_totals'!$F$8:$F$10000,"="&amp;Q73,'[1]2_inventory_totals'!$G$8:$G$10000,"="&amp;R73)+SUMIFS('[1]2_inventory_totals'!$M$8:$M$10000,'[1]2_inventory_totals'!$C$8:$C$10000,I73,'[1]2_inventory_totals'!$F$8:$F$10000,"="&amp;Q73,'[1]2_inventory_totals'!$G$8:$G$10000,"="&amp;R73)+SUMIFS('[1]2_inventory_totals'!$O$8:$O$10000,'[1]2_inventory_totals'!$C$8:$C$10000,I73,'[1]2_inventory_totals'!$F$8:$F$10000,"="&amp;Q73,'[1]2_inventory_totals'!$G$8:$G$10000,"="&amp;R73)+SUMIFS('[1]2_inventory_totals'!$S$8:$S$10000,'[1]2_inventory_totals'!$C$8:$C$10000,I73,'[1]2_inventory_totals'!$F$8:$F$10000,"="&amp;Q73,'[1]2_inventory_totals'!$G$8:$G$10000,"="&amp;R73)))</f>
        <v/>
      </c>
    </row>
    <row r="74" spans="1:54" ht="27" hidden="1" customHeight="1">
      <c r="A74" s="923"/>
      <c r="B74" s="1256"/>
      <c r="C74" s="950"/>
      <c r="D74" s="950"/>
      <c r="E74" s="950"/>
      <c r="F74" s="1257"/>
      <c r="G74" s="941"/>
      <c r="H74" s="951"/>
      <c r="I74" s="1610" t="str">
        <f t="shared" si="287"/>
        <v/>
      </c>
      <c r="J74" s="1611" t="str">
        <f t="shared" si="112"/>
        <v/>
      </c>
      <c r="K74" s="1612" t="str">
        <f t="shared" si="30"/>
        <v/>
      </c>
      <c r="L74" s="1613"/>
      <c r="M74" s="883"/>
      <c r="N74" s="884"/>
      <c r="O74" s="884"/>
      <c r="P74" s="885"/>
      <c r="Q74" s="886"/>
      <c r="R74" s="891"/>
      <c r="S74" s="1614" t="str">
        <f t="shared" ref="S74" si="300">IF(M74="","",quot_currency_symbol)</f>
        <v/>
      </c>
      <c r="T74" s="888"/>
      <c r="U74" s="1650" t="str">
        <f t="shared" si="289"/>
        <v/>
      </c>
      <c r="V74" s="1615" t="str">
        <f t="shared" ref="V74" si="301">IF(W74=0,"",quot_currency_symbol)</f>
        <v/>
      </c>
      <c r="W74" s="889"/>
      <c r="X74" s="1615" t="str">
        <f t="shared" ref="X74" si="302">IF(M74="","",quot_currency_symbol)</f>
        <v/>
      </c>
      <c r="Y74" s="1616" t="str">
        <f t="shared" si="34"/>
        <v/>
      </c>
      <c r="Z74" s="890"/>
      <c r="AA74" s="197" t="str" cm="1">
        <f t="array" ref="AA74">IF(M74="","",IF(P74=AN74,1,Slookup(MID(AN74,1,3)*1,UomConversion!$D$8:$J$500,5,UomConversion!$E$8:$E$500,MID(P74,1,3)*1,UomConversion!$J$8:$J$500,1)))</f>
        <v/>
      </c>
      <c r="AB74" s="197" t="str">
        <f t="shared" si="281"/>
        <v/>
      </c>
      <c r="AC74" s="197" t="str">
        <f t="shared" si="292"/>
        <v/>
      </c>
      <c r="AD74" s="197" t="str">
        <f t="shared" si="293"/>
        <v/>
      </c>
      <c r="AE74" s="197" t="str">
        <f t="shared" si="294"/>
        <v/>
      </c>
      <c r="AF74" s="197" t="str">
        <f t="shared" si="282"/>
        <v/>
      </c>
      <c r="AG74" s="197" t="str">
        <f t="shared" si="283"/>
        <v/>
      </c>
      <c r="AH74" s="197" t="str">
        <f>IF(I74="","",IF(ISNA(MATCH(I74,IF(quot_location_id=1,'[1]1_inventory_totals'!$C$8:$C$10000,IF(quot_location_id=2,'[1]2_inventory_totals'!$C$8:$C$10000,0)),0)),0,IF(AV74&gt;0,1,0)))</f>
        <v/>
      </c>
      <c r="AI74" s="197" t="str">
        <f>IF(M74="","",IF(quot_location_id=1,SUMIFS('[1]1_inventory_total_details'!$J$8:$J$10000,'[1]1_inventory_total_details'!$C$8:$C$10000,I74,'[1]1_inventory_total_details'!$F$8:$F$10000,quot_location_id,'[1]1_inventory_total_details'!$G$8:$G$10000,"="&amp;Q74,'[1]1_inventory_total_details'!$H$8:$H$10000,"="&amp;R74,'[1]1_inventory_total_details'!$I$8:$I$10000,"="&amp;quot_date)+SUMIFS('[1]1_inventory_total_details'!$M$8:$M$10000,'[1]1_inventory_total_details'!$C$8:$C$10000,I74,'[1]1_inventory_total_details'!$F$8:$F$10000,quot_location_id,'[1]1_inventory_total_details'!$G$8:$G$10000,"="&amp;Q74,'[1]1_inventory_total_details'!$H$8:$H$10000,"="&amp;R74,'[1]1_inventory_total_details'!$I$8:$I$10000,"="&amp;quot_date)+SUMIFS('[1]1_inventory_total_details'!$K$8:$K$10000,'[1]1_inventory_total_details'!$C$8:$C$10000,I74,'[1]1_inventory_total_details'!$F$8:$F$10000,quot_location_id,'[1]1_inventory_total_details'!$G$8:$G$10000,"="&amp;Q74,'[1]1_inventory_total_details'!$H$8:$H$10000,"="&amp;R74,'[1]1_inventory_total_details'!$I$8:$I$10000,"="&amp;quot_date)+SUMIFS('[1]1_inventory_total_details'!$L$8:$L$10000,'[1]1_inventory_total_details'!$C$8:$C$10000,I74,'[1]1_inventory_total_details'!$F$8:$F$10000,quot_location_id,'[1]1_inventory_total_details'!$G$8:$G$10000,"="&amp;Q74,'[1]1_inventory_total_details'!$H$8:$H$10000,"="&amp;R74,'[1]1_inventory_total_details'!$I$8:$I$10000,"="&amp;quot_date),SUMIFS('[1]2_inventory_total_details'!$J$8:$J$10000,'[1]2_inventory_total_details'!$C$8:$C$10000,I74,'[1]2_inventory_total_details'!$F$8:$F$10000,quot_location_id,'[1]2_inventory_total_details'!$G$8:$G$10000,"="&amp;Q74,'[1]2_inventory_total_details'!$H$8:$H$10000,"="&amp;R74,'[1]2_inventory_total_details'!$I$8:$I$10000,"="&amp;quot_date)+SUMIFS('[1]2_inventory_total_details'!$M$8:$M$10000,'[1]2_inventory_total_details'!$C$8:$C$10000,I74,'[1]2_inventory_total_details'!$F$8:$F$10000,quot_location_id,'[1]2_inventory_total_details'!$G$8:$G$10000,"="&amp;Q74,'[1]2_inventory_total_details'!$H$8:$H$10000,"="&amp;R74,'[1]2_inventory_total_details'!$I$8:$I$10000,"="&amp;quot_date)+SUMIFS('[1]2_inventory_total_details'!$K$8:$K$10000,'[1]2_inventory_total_details'!$C$8:$C$10000,I74,'[1]2_inventory_total_details'!$F$8:$F$10000,quot_location_id,'[1]2_inventory_total_details'!$G$8:$G$10000,"="&amp;Q74,'[1]2_inventory_total_details'!$H$8:$H$10000,"="&amp;R74,'[1]2_inventory_total_details'!$I$8:$I$10000,"="&amp;quot_date)+SUMIFS('[1]2_inventory_total_details'!$L$8:$L$10000,'[1]2_inventory_total_details'!$C$8:$C$10000,I74,'[1]2_inventory_total_details'!$F$8:$F$10000,quot_location_id,'[1]2_inventory_total_details'!$G$8:$G$10000,"="&amp;Q74,'[1]2_inventory_total_details'!$H$8:$H$10000,"="&amp;R74,'[1]2_inventory_total_details'!$I$8:$I$10000,"="&amp;quot_date)))</f>
        <v/>
      </c>
      <c r="AJ74" s="197" t="str">
        <f>IF(M74="","",IF(ISNA(MATCH(I74,'[1]1_group_totals'!$C$8:$C$10000)),0,IF(AW74&gt;0,1,0)))</f>
        <v/>
      </c>
      <c r="AK74" s="197" t="str">
        <f>IF(M74="","",(SUMIFS('[1]1_group_total_details'!$I$8:$I$10000,'[1]1_group_total_details'!$C$8:$C$10000,I74,'[1]1_group_total_details'!$F$8:$F$10000,quot_location_group_id,'[1]1_group_total_details'!$G$8:$G$10000,quot_location_id,'[1]1_group_total_details'!$H$8:$H$10000,"="&amp;quot_date)+SUMIFS('[1]1_group_total_details'!$L$8:$L$10000,'[1]1_group_total_details'!$C$8:$C$10000,I74,'[1]1_group_total_details'!$F$8:$F$10000,quot_location_group_id,'[1]1_group_total_details'!$G$8:$G$10000,quot_location_id,'[1]1_group_total_details'!$H$8:$H$10000,"="&amp;quot_date)+SUMIFS('[1]1_group_total_details'!$N$8:$N$10000,'[1]1_group_total_details'!$C$8:$C$10000,I74,'[1]1_group_total_details'!$F$8:$F$10000,quot_location_group_id,'[1]1_group_total_details'!$G$8:$G$10000,quot_location_id,'[1]1_group_total_details'!$H$8:$H$10000,"="&amp;quot_date)+SUMIFS('[1]1_group_total_details'!$O$8:$O$10000,'[1]1_group_total_details'!$C$8:$C$10000,I74,'[1]1_group_total_details'!$F$8:$F$10000,quot_location_group_id,'[1]1_group_total_details'!$G$8:$G$10000,quot_location_id,'[1]1_group_total_details'!$H$8:$H$10000,"="&amp;quot_date))+(SUMIFS('[1]1_group_total_details'!$J$8:$J$10000,'[1]1_group_total_details'!$C$8:$C$10000,I74,'[1]1_group_total_details'!$F$8:$F$10000,quot_location_group_id,'[1]1_group_total_details'!$G$8:$G$10000,quot_location_id,'[1]1_group_total_details'!$H$8:$H$10000,"="&amp;quot_date)+SUMIFS('[1]1_group_total_details'!$K$8:$K$10000,'[1]1_group_total_details'!$C$8:$C$10000,I74,'[1]1_group_total_details'!$F$8:$F$10000,quot_location_group_id,'[1]1_group_total_details'!$G$8:$G$10000,quot_location_id,'[1]1_group_total_details'!$H$8:$H$10000,"="&amp;quot_date)+SUMIFS('[1]1_group_total_details'!$M$8:$M$10000,'[1]1_group_total_details'!$C$8:$C$10000,I74,'[1]1_group_total_details'!$F$8:$F$10000,quot_location_group_id,'[1]1_group_total_details'!$G$8:$G$10000,quot_location_id,'[1]1_group_total_details'!$H$8:$H$10000,"="&amp;quot_date)+SUMIFS('[1]1_group_total_details'!$P$8:$P$10000,'[1]1_group_total_details'!$C$8:$C$10000,I74,'[1]1_group_total_details'!$F$8:$F$10000,quot_location_group_id,'[1]1_group_total_details'!$G$8:$G$10000,quot_location_id,'[1]1_group_total_details'!$H$8:$H$10000,"="&amp;quot_date)))</f>
        <v/>
      </c>
      <c r="AL74" s="197" t="str">
        <f>IF(M74="","",(SUMIFS('[1]1_group_total_details'!$I$8:$I$10000,'[1]1_group_total_details'!$C$8:$C$10000,I74,'[1]1_group_total_details'!$F$8:$F$10000,quot_location_group_id,'[1]1_group_total_details'!$G$8:$G$10000,quot_location_id,'[1]1_group_total_details'!$H$8:$H$10000,"&lt;="&amp;quot_date)+SUMIFS('[1]1_group_total_details'!$L$8:$L$10000,'[1]1_group_total_details'!$C$8:$C$10000,I74,'[1]1_group_total_details'!$F$8:$F$10000,quot_location_group_id,'[1]1_group_total_details'!$G$8:$G$10000,1,'[1]1_group_total_details'!$H$8:$H$10000,"&lt;="&amp;quot_date)+SUMIFS('[1]1_group_total_details'!$N$8:$N$10000,'[1]1_group_total_details'!$C$8:$C$10000,I74,'[1]1_group_total_details'!$F$8:$F$10000,quot_location_group_id,'[1]1_group_total_details'!$G$8:$G$10000,quot_location_id,'[1]1_group_total_details'!$H$8:$H$10000,"&lt;="&amp;quot_date)+SUMIFS('[1]1_group_total_details'!$O$8:$O$10000,'[1]1_group_total_details'!$C$8:$C$10000,I74,'[1]1_group_total_details'!$F$8:$F$10000,quot_location_group_id,'[1]1_group_total_details'!$G$8:$G$10000,quot_location_id,'[1]1_group_total_details'!$H$8:$H$10000,"&lt;="&amp;quot_date))-(SUMIFS('[1]1_group_total_details'!$J$8:$J$10000,'[1]1_group_total_details'!$C$8:$C$10000,I74,'[1]1_group_total_details'!$F$8:$F$10000,quot_location_group_id,'[1]1_group_total_details'!$G$8:$G$10000,quot_location_id,'[1]1_group_total_details'!$H$8:$H$10000,"&lt;="&amp;quot_date)+SUMIFS('[1]1_group_total_details'!$K$8:$K$10000,'[1]1_group_total_details'!$C$8:$C$10000,I74,'[1]1_group_total_details'!$F$8:$F$10000,quot_location_group_id,'[1]1_group_total_details'!$G$8:$G$10000,quot_location_id,'[1]1_group_total_details'!$H$8:$H$10000,"&lt;="&amp;quot_date)+SUMIFS('[1]1_group_total_details'!$M$8:$M$10000,'[1]1_group_total_details'!$C$8:$C$10000,I74,'[1]1_group_total_details'!$F$8:$F$10000,quot_location_group_id,'[1]1_group_total_details'!$G$8:$G$10000,quot_location_id,'[1]1_group_total_details'!$H$8:$H$10000,"&lt;="&amp;quot_date)+SUMIFS('[1]1_group_total_details'!$P$8:$P$10000,'[1]1_group_total_details'!$C$8:$C$10000,I74,'[1]1_group_total_details'!$F$8:$F$10000,quot_location_group_id,'[1]1_group_total_details'!$G$8:$G$10000,quot_location_id,'[1]1_group_total_details'!$H$8:$H$10000,"&lt;="&amp;quot_date)))</f>
        <v/>
      </c>
      <c r="AM74" s="197" t="str">
        <f>IF(M74="","",SUMIFS('[1]1_group_totals'!$J$8:$J$10000,'[1]1_group_totals'!$C$8:$C$10000,I74,'[1]1_group_totals'!$F$8:$F$10000,quot_location_group_id,'[1]1_group_totals'!$G$8:$G$10000,quot_location_id,'[1]1_group_totals'!$H$8:$H$10000,"="&amp;Q74,'[1]1_group_totals'!$I$8:$I$10000,"="&amp;R74))</f>
        <v/>
      </c>
      <c r="AN74" s="197" t="str">
        <f t="shared" si="284"/>
        <v/>
      </c>
      <c r="AO74" s="197" t="str">
        <f>IF(OR(ISNA(MATCH(MID(AN74,1,3)*1,UomConversion!$D$8:$D$500,0)),M74=""),"",IF(AT74="","",AT74))</f>
        <v/>
      </c>
      <c r="AP74" s="197" t="str">
        <f>IF(AND(AQ74&gt;0,COUNTIFS(UomConversion!$D$8:$D$500,MID(AN74,1,3)*1,UomConversion!$J$8:$J$500,1)&gt;1),TEXT(AQ74,"000")&amp;"."&amp;VLOOKUP(AQ74,uom_list,5,FALSE),"")</f>
        <v/>
      </c>
      <c r="AQ74" s="197" t="str">
        <f t="shared" si="295"/>
        <v/>
      </c>
      <c r="AR74" s="197" t="str">
        <f t="shared" si="296"/>
        <v/>
      </c>
      <c r="AS74" s="197" t="str">
        <f>IF(M74="","",SUMIFS(ProductPrice!$N$28:$N$10020,ProductPrice!$D$28:$D$10020,I74,ProductPrice!$G$28:$G$10020,quot_branch_id,ProductPrice!$H$28:$H$10020,quot_price_type_id,ProductPrice!$I$28:$I$10020,MID(P74,1,3)*1,ProductPrice!$Q$28:$Q$10020,1))</f>
        <v/>
      </c>
      <c r="AT74" s="197" t="str">
        <f t="shared" si="285"/>
        <v/>
      </c>
      <c r="AU74" s="197" t="str" cm="1">
        <f t="array" ref="AU74">IF(M74="","",IF(ISNA(Slookup(MID(AN74,1,3)*1,UomConversion!$D$8:$J$500,2,UomConversion!$I$8:$I$500,1,UomConversion!$J$8:$J$500,1)),"",Slookup(MID(AN74,1,3)*1,UomConversion!$D$8:$J$500,2,UomConversion!$I$8:$I$500,1,UomConversion!$J$8:$J$500,1)))</f>
        <v/>
      </c>
      <c r="AV74" s="197" t="str">
        <f t="shared" ref="AV74" si="303">IF(M74="","",IF(quot_location_id=1,BA74,IF(quot_location_id=2,BB74,0)))</f>
        <v/>
      </c>
      <c r="AW74" s="197" t="str">
        <f>IF(M74="","",(SUMIFS('[1]1_group_totals'!$K$8:$K$10000,'[1]1_group_totals'!$C$8:$C$10000,I74,'[1]1_group_totals'!$F$8:$F$10000,quot_location_group_id,'[1]1_group_totals'!$G$8:$G$10000,quot_location_id,'[1]1_group_totals'!$H$8:$H$10000,"="&amp;Q74,'[1]1_group_totals'!$I$8:$I$10000,"="&amp;R74)+SUMIFS('[1]1_group_totals'!$N$8:$N$10000,'[1]1_group_totals'!$C$8:$C$10000,I74,'[1]1_group_totals'!$F$8:$F$10000,quot_location_group_id,'[1]1_group_totals'!$G$8:$G$10000,quot_location_id,'[1]1_group_totals'!$H$8:$H$10000,"="&amp;Q74,'[1]1_group_totals'!$I$8:$I$10000,"="&amp;R74)+SUMIFS('[1]1_group_totals'!$P$8:$P$10000,'[1]1_group_totals'!$C$8:$C$10000,I74,'[1]1_group_totals'!$F$8:$F$10000,quot_location_group_id,'[1]1_group_totals'!$G$8:$G$10000,quot_location_id,'[1]1_group_totals'!$H$8:$H$10000,"="&amp;Q74,'[1]1_group_totals'!$I$8:$I$10000,"="&amp;R74)+SUMIFS('[1]1_group_totals'!$Q$8:$Q$10000,'[1]1_group_totals'!$C$8:$C$10000,I74,'[1]1_group_totals'!$F$8:$F$10000,quot_location_group_id,'[1]1_group_totals'!$G$8:$G$10000,quot_location_id,'[1]1_group_totals'!$H$8:$H$10000,"="&amp;Q74,'[1]1_group_totals'!$I$8:$I$10000,"="&amp;R74))+(SUMIFS('[1]1_group_totals'!$L$8:$L$10000,'[1]1_group_totals'!$C$8:$C$10000,I74,'[1]1_group_totals'!$F$8:$F$10000,quot_location_group_id,'[1]1_group_totals'!$G$8:$G$10000,quot_location_id,'[1]1_group_totals'!$H$8:$H$10000,"="&amp;Q74,'[1]1_group_totals'!$I$8:$I$10000,"="&amp;R74)+SUMIFS('[1]1_group_totals'!$M$8:$M$10000,'[1]1_group_totals'!$C$8:$C$10000,I74,'[1]1_group_totals'!$F$8:$F$10000,quot_location_group_id,'[1]1_group_totals'!$G$8:$G$10000,quot_location_id,'[1]1_group_totals'!$H$8:$H$10000,"="&amp;Q74,'[1]1_group_totals'!$I$8:$I$10000,"="&amp;R74)+SUMIFS('[1]1_group_totals'!$O$8:$O$10000,'[1]1_group_totals'!$C$8:$C$10000,I74,'[1]1_group_totals'!$F$8:$F$10000,quot_location_group_id,'[1]1_group_totals'!$G$8:$G$10000,quot_location_id,'[1]1_group_totals'!$H$8:$H$10000,"="&amp;Q74,'[1]1_group_totals'!$I$8:$I$10000,"="&amp;R74)+SUMIFS('[1]1_group_totals'!$R$8:$R$10000,'[1]1_group_totals'!$C$8:$C$10000,I74,'[1]1_group_totals'!$F$8:$F$10000,quot_location_group_id,'[1]1_group_totals'!$G$8:$G$10000,quot_location_id,'[1]1_group_totals'!$H$8:$H$10000,"="&amp;Q74,'[1]1_group_totals'!$I$8:$I$10000,"="&amp;R74)))</f>
        <v/>
      </c>
      <c r="AX74" s="197" t="str">
        <f t="shared" si="298"/>
        <v/>
      </c>
      <c r="AY74" s="197" t="str">
        <f>IF(M74="","",SUMIFS($AX$8:AX74,$I$8:I74,I74))</f>
        <v/>
      </c>
      <c r="AZ74" s="197" t="str">
        <f t="shared" si="299"/>
        <v/>
      </c>
      <c r="BA74" s="197" t="str">
        <f>IF(M74="","",(SUMIFS('[1]1_inventory_totals'!$I$8:$I$10000,'[1]1_inventory_totals'!$C$8:$C$10000,I74,'[1]1_inventory_totals'!$F$8:$F$10000,"="&amp;Q74,'[1]1_inventory_totals'!$G$8:$G$10000,"="&amp;R74)+SUMIFS('[1]1_inventory_totals'!$N$8:$N$10000,'[1]1_inventory_totals'!$C$8:$C$10000,I74,'[1]1_inventory_totals'!$F$8:$F$10000,"="&amp;Q74,'[1]1_inventory_totals'!$G$8:$G$10000,"="&amp;R74)+SUMIFS('[1]1_inventory_totals'!$P$8:$P$10000,'[1]1_inventory_totals'!$C$8:$C$10000,I74,'[1]1_inventory_totals'!$F$8:$F$10000,"="&amp;Q74,'[1]1_inventory_totals'!$G$8:$G$10000,"="&amp;R74)+SUMIFS('[1]1_inventory_totals'!$Q$8:$Q$10000,'[1]1_inventory_totals'!$C$8:$C$10000,I74,'[1]1_inventory_totals'!$F$8:$F$10000,"="&amp;Q74,'[1]1_inventory_totals'!$G$8:$G$10000,"="&amp;R74)+SUMIFS('[1]1_inventory_totals'!$R$8:$R$10000,'[1]1_inventory_totals'!$C$8:$C$10000,I74,'[1]1_inventory_totals'!$F$8:$F$10000,"="&amp;Q74,'[1]1_inventory_totals'!$G$8:$G$10000,"="&amp;R74))+(SUMIFS('[1]1_inventory_totals'!$J$8:$J$10000,'[1]1_inventory_totals'!$C$8:$C$10000,I74,'[1]1_inventory_totals'!$F$8:$F$10000,"="&amp;Q74,'[1]1_inventory_totals'!$G$8:$G$10000,"="&amp;R74)+SUMIFS('[1]1_inventory_totals'!$K$8:$K$10000,'[1]1_inventory_totals'!$C$8:$C$10000,I74,'[1]1_inventory_totals'!$F$8:$F$10000,"="&amp;Q74,'[1]1_inventory_totals'!$G$8:$G$10000,"="&amp;R74)+SUMIFS('[1]1_inventory_totals'!$L$8:$L$10000,'[1]1_inventory_totals'!$C$8:$C$10000,I74,'[1]1_inventory_totals'!$F$8:$F$10000,"="&amp;Q74,'[1]1_inventory_totals'!$G$8:$G$10000,"="&amp;R74)+SUMIFS('[1]1_inventory_totals'!$M$8:$M$10000,'[1]1_inventory_totals'!$C$8:$C$10000,I74,'[1]1_inventory_totals'!$F$8:$F$10000,"="&amp;Q74,'[1]1_inventory_totals'!$G$8:$G$10000,"="&amp;R74)+SUMIFS('[1]1_inventory_totals'!$O$8:$O$10000,'[1]1_inventory_totals'!$C$8:$C$10000,I74,'[1]1_inventory_totals'!$F$8:$F$10000,"="&amp;Q74,'[1]1_inventory_totals'!$G$8:$G$10000,"="&amp;R74)+SUMIFS('[1]1_inventory_totals'!$S$8:$S$10000,'[1]1_inventory_totals'!$C$8:$C$10000,I74,'[1]1_inventory_totals'!$F$8:$F$10000,"="&amp;Q74,'[1]1_inventory_totals'!$G$8:$G$10000,"="&amp;R74)))</f>
        <v/>
      </c>
      <c r="BB74" s="197" t="str">
        <f>IF(M74="","",(SUMIFS('[1]2_inventory_totals'!$I$8:$I$10000,'[1]2_inventory_totals'!$C$8:$C$10000,I74,'[1]2_inventory_totals'!$F$8:$F$10000,"="&amp;Q74,'[1]2_inventory_totals'!$G$8:$G$10000,"="&amp;R74)+SUMIFS('[1]2_inventory_totals'!$N$8:$N$10000,'[1]2_inventory_totals'!$C$8:$C$10000,I74,'[1]2_inventory_totals'!$F$8:$F$10000,"="&amp;Q74,'[1]2_inventory_totals'!$G$8:$G$10000,"="&amp;R74)+SUMIFS('[1]2_inventory_totals'!$P$8:$P$10000,'[1]2_inventory_totals'!$C$8:$C$10000,I74,'[1]2_inventory_totals'!$F$8:$F$10000,"="&amp;Q74,'[1]2_inventory_totals'!$G$8:$G$10000,"="&amp;R74)+SUMIFS('[1]2_inventory_totals'!$Q$8:$Q$10000,'[1]2_inventory_totals'!$C$8:$C$10000,I74,'[1]2_inventory_totals'!$F$8:$F$10000,"="&amp;Q74,'[1]2_inventory_totals'!$G$8:$G$10000,"="&amp;R74)+SUMIFS('[1]2_inventory_totals'!$R$8:$R$10000,'[1]2_inventory_totals'!$C$8:$C$10000,I74,'[1]2_inventory_totals'!$F$8:$F$10000,"="&amp;Q74,'[1]2_inventory_totals'!$G$8:$G$10000,"="&amp;R74))+(SUMIFS('[1]2_inventory_totals'!$J$8:$J$10000,'[1]2_inventory_totals'!$C$8:$C$10000,I74,'[1]2_inventory_totals'!$F$8:$F$10000,"="&amp;Q74,'[1]2_inventory_totals'!$G$8:$G$10000,"="&amp;R74)+SUMIFS('[1]2_inventory_totals'!$K$8:$K$10000,'[1]2_inventory_totals'!$C$8:$C$10000,I74,'[1]2_inventory_totals'!$F$8:$F$10000,"="&amp;Q74,'[1]2_inventory_totals'!$G$8:$G$10000,"="&amp;R74)+SUMIFS('[1]2_inventory_totals'!$L$8:$L$10000,'[1]2_inventory_totals'!$C$8:$C$10000,I74,'[1]2_inventory_totals'!$F$8:$F$10000,"="&amp;Q74,'[1]2_inventory_totals'!$G$8:$G$10000,"="&amp;R74)+SUMIFS('[1]2_inventory_totals'!$M$8:$M$10000,'[1]2_inventory_totals'!$C$8:$C$10000,I74,'[1]2_inventory_totals'!$F$8:$F$10000,"="&amp;Q74,'[1]2_inventory_totals'!$G$8:$G$10000,"="&amp;R74)+SUMIFS('[1]2_inventory_totals'!$O$8:$O$10000,'[1]2_inventory_totals'!$C$8:$C$10000,I74,'[1]2_inventory_totals'!$F$8:$F$10000,"="&amp;Q74,'[1]2_inventory_totals'!$G$8:$G$10000,"="&amp;R74)+SUMIFS('[1]2_inventory_totals'!$S$8:$S$10000,'[1]2_inventory_totals'!$C$8:$C$10000,I74,'[1]2_inventory_totals'!$F$8:$F$10000,"="&amp;Q74,'[1]2_inventory_totals'!$G$8:$G$10000,"="&amp;R74)))</f>
        <v/>
      </c>
    </row>
    <row r="75" spans="1:54" ht="27" hidden="1" customHeight="1">
      <c r="A75" s="923"/>
      <c r="B75" s="1256"/>
      <c r="C75" s="950"/>
      <c r="D75" s="950"/>
      <c r="E75" s="950"/>
      <c r="F75" s="1257"/>
      <c r="G75" s="941"/>
      <c r="H75" s="951"/>
      <c r="I75" s="1610" t="str">
        <f t="shared" si="287"/>
        <v/>
      </c>
      <c r="J75" s="1611" t="str">
        <f t="shared" si="112"/>
        <v/>
      </c>
      <c r="K75" s="1612" t="str">
        <f>IF(M75="","",VLOOKUP(I75,product_list,4,FALSE))</f>
        <v/>
      </c>
      <c r="L75" s="1613"/>
      <c r="M75" s="883"/>
      <c r="N75" s="884"/>
      <c r="O75" s="884"/>
      <c r="P75" s="885"/>
      <c r="Q75" s="886"/>
      <c r="R75" s="891"/>
      <c r="S75" s="1614" t="str">
        <f t="shared" ref="S75" si="304">IF(M75="","",quot_currency_symbol)</f>
        <v/>
      </c>
      <c r="T75" s="888"/>
      <c r="U75" s="1650" t="str">
        <f t="shared" si="289"/>
        <v/>
      </c>
      <c r="V75" s="1615" t="str">
        <f t="shared" ref="V75" si="305">IF(W75=0,"",quot_currency_symbol)</f>
        <v/>
      </c>
      <c r="W75" s="889"/>
      <c r="X75" s="1615" t="str">
        <f t="shared" ref="X75" si="306">IF(M75="","",quot_currency_symbol)</f>
        <v/>
      </c>
      <c r="Y75" s="1616" t="str">
        <f t="shared" ref="Y75:Y87" si="307">IF(M75="","",ROUND(IF(T75&gt;0,N75*T75-W75,N75*U75-W75),2))</f>
        <v/>
      </c>
      <c r="Z75" s="890"/>
      <c r="AA75" s="197" t="str" cm="1">
        <f t="array" ref="AA75">IF(M75="","",IF(P75=AN75,1,Slookup(MID(AN75,1,3)*1,UomConversion!$D$8:$J$500,5,UomConversion!$E$8:$E$500,MID(P75,1,3)*1,UomConversion!$J$8:$J$500,1)))</f>
        <v/>
      </c>
      <c r="AB75" s="197" t="str">
        <f t="shared" si="281"/>
        <v/>
      </c>
      <c r="AC75" s="197" t="str">
        <f t="shared" si="292"/>
        <v/>
      </c>
      <c r="AD75" s="197" t="str">
        <f t="shared" si="293"/>
        <v/>
      </c>
      <c r="AE75" s="197" t="str">
        <f t="shared" si="294"/>
        <v/>
      </c>
      <c r="AF75" s="197" t="str">
        <f t="shared" si="282"/>
        <v/>
      </c>
      <c r="AG75" s="197" t="str">
        <f t="shared" si="283"/>
        <v/>
      </c>
      <c r="AH75" s="197" t="str">
        <f>IF(I75="","",IF(ISNA(MATCH(I75,IF(quot_location_id=1,'[1]1_inventory_totals'!$C$8:$C$10000,IF(quot_location_id=2,'[1]2_inventory_totals'!$C$8:$C$10000,0)),0)),0,IF(AV75&gt;0,1,0)))</f>
        <v/>
      </c>
      <c r="AI75" s="197" t="str">
        <f>IF(M75="","",IF(quot_location_id=1,SUMIFS('[1]1_inventory_total_details'!$J$8:$J$10000,'[1]1_inventory_total_details'!$C$8:$C$10000,I75,'[1]1_inventory_total_details'!$F$8:$F$10000,quot_location_id,'[1]1_inventory_total_details'!$G$8:$G$10000,"="&amp;Q75,'[1]1_inventory_total_details'!$H$8:$H$10000,"="&amp;R75,'[1]1_inventory_total_details'!$I$8:$I$10000,"="&amp;quot_date)+SUMIFS('[1]1_inventory_total_details'!$M$8:$M$10000,'[1]1_inventory_total_details'!$C$8:$C$10000,I75,'[1]1_inventory_total_details'!$F$8:$F$10000,quot_location_id,'[1]1_inventory_total_details'!$G$8:$G$10000,"="&amp;Q75,'[1]1_inventory_total_details'!$H$8:$H$10000,"="&amp;R75,'[1]1_inventory_total_details'!$I$8:$I$10000,"="&amp;quot_date)+SUMIFS('[1]1_inventory_total_details'!$K$8:$K$10000,'[1]1_inventory_total_details'!$C$8:$C$10000,I75,'[1]1_inventory_total_details'!$F$8:$F$10000,quot_location_id,'[1]1_inventory_total_details'!$G$8:$G$10000,"="&amp;Q75,'[1]1_inventory_total_details'!$H$8:$H$10000,"="&amp;R75,'[1]1_inventory_total_details'!$I$8:$I$10000,"="&amp;quot_date)+SUMIFS('[1]1_inventory_total_details'!$L$8:$L$10000,'[1]1_inventory_total_details'!$C$8:$C$10000,I75,'[1]1_inventory_total_details'!$F$8:$F$10000,quot_location_id,'[1]1_inventory_total_details'!$G$8:$G$10000,"="&amp;Q75,'[1]1_inventory_total_details'!$H$8:$H$10000,"="&amp;R75,'[1]1_inventory_total_details'!$I$8:$I$10000,"="&amp;quot_date),SUMIFS('[1]2_inventory_total_details'!$J$8:$J$10000,'[1]2_inventory_total_details'!$C$8:$C$10000,I75,'[1]2_inventory_total_details'!$F$8:$F$10000,quot_location_id,'[1]2_inventory_total_details'!$G$8:$G$10000,"="&amp;Q75,'[1]2_inventory_total_details'!$H$8:$H$10000,"="&amp;R75,'[1]2_inventory_total_details'!$I$8:$I$10000,"="&amp;quot_date)+SUMIFS('[1]2_inventory_total_details'!$M$8:$M$10000,'[1]2_inventory_total_details'!$C$8:$C$10000,I75,'[1]2_inventory_total_details'!$F$8:$F$10000,quot_location_id,'[1]2_inventory_total_details'!$G$8:$G$10000,"="&amp;Q75,'[1]2_inventory_total_details'!$H$8:$H$10000,"="&amp;R75,'[1]2_inventory_total_details'!$I$8:$I$10000,"="&amp;quot_date)+SUMIFS('[1]2_inventory_total_details'!$K$8:$K$10000,'[1]2_inventory_total_details'!$C$8:$C$10000,I75,'[1]2_inventory_total_details'!$F$8:$F$10000,quot_location_id,'[1]2_inventory_total_details'!$G$8:$G$10000,"="&amp;Q75,'[1]2_inventory_total_details'!$H$8:$H$10000,"="&amp;R75,'[1]2_inventory_total_details'!$I$8:$I$10000,"="&amp;quot_date)+SUMIFS('[1]2_inventory_total_details'!$L$8:$L$10000,'[1]2_inventory_total_details'!$C$8:$C$10000,I75,'[1]2_inventory_total_details'!$F$8:$F$10000,quot_location_id,'[1]2_inventory_total_details'!$G$8:$G$10000,"="&amp;Q75,'[1]2_inventory_total_details'!$H$8:$H$10000,"="&amp;R75,'[1]2_inventory_total_details'!$I$8:$I$10000,"="&amp;quot_date)))</f>
        <v/>
      </c>
      <c r="AJ75" s="197" t="str">
        <f>IF(M75="","",IF(ISNA(MATCH(I75,'[1]1_group_totals'!$C$8:$C$10000)),0,IF(AW75&gt;0,1,0)))</f>
        <v/>
      </c>
      <c r="AK75" s="197" t="str">
        <f>IF(M75="","",(SUMIFS('[1]1_group_total_details'!$I$8:$I$10000,'[1]1_group_total_details'!$C$8:$C$10000,I75,'[1]1_group_total_details'!$F$8:$F$10000,quot_location_group_id,'[1]1_group_total_details'!$G$8:$G$10000,quot_location_id,'[1]1_group_total_details'!$H$8:$H$10000,"="&amp;quot_date)+SUMIFS('[1]1_group_total_details'!$L$8:$L$10000,'[1]1_group_total_details'!$C$8:$C$10000,I75,'[1]1_group_total_details'!$F$8:$F$10000,quot_location_group_id,'[1]1_group_total_details'!$G$8:$G$10000,quot_location_id,'[1]1_group_total_details'!$H$8:$H$10000,"="&amp;quot_date)+SUMIFS('[1]1_group_total_details'!$N$8:$N$10000,'[1]1_group_total_details'!$C$8:$C$10000,I75,'[1]1_group_total_details'!$F$8:$F$10000,quot_location_group_id,'[1]1_group_total_details'!$G$8:$G$10000,quot_location_id,'[1]1_group_total_details'!$H$8:$H$10000,"="&amp;quot_date)+SUMIFS('[1]1_group_total_details'!$O$8:$O$10000,'[1]1_group_total_details'!$C$8:$C$10000,I75,'[1]1_group_total_details'!$F$8:$F$10000,quot_location_group_id,'[1]1_group_total_details'!$G$8:$G$10000,quot_location_id,'[1]1_group_total_details'!$H$8:$H$10000,"="&amp;quot_date))+(SUMIFS('[1]1_group_total_details'!$J$8:$J$10000,'[1]1_group_total_details'!$C$8:$C$10000,I75,'[1]1_group_total_details'!$F$8:$F$10000,quot_location_group_id,'[1]1_group_total_details'!$G$8:$G$10000,quot_location_id,'[1]1_group_total_details'!$H$8:$H$10000,"="&amp;quot_date)+SUMIFS('[1]1_group_total_details'!$K$8:$K$10000,'[1]1_group_total_details'!$C$8:$C$10000,I75,'[1]1_group_total_details'!$F$8:$F$10000,quot_location_group_id,'[1]1_group_total_details'!$G$8:$G$10000,quot_location_id,'[1]1_group_total_details'!$H$8:$H$10000,"="&amp;quot_date)+SUMIFS('[1]1_group_total_details'!$M$8:$M$10000,'[1]1_group_total_details'!$C$8:$C$10000,I75,'[1]1_group_total_details'!$F$8:$F$10000,quot_location_group_id,'[1]1_group_total_details'!$G$8:$G$10000,quot_location_id,'[1]1_group_total_details'!$H$8:$H$10000,"="&amp;quot_date)+SUMIFS('[1]1_group_total_details'!$P$8:$P$10000,'[1]1_group_total_details'!$C$8:$C$10000,I75,'[1]1_group_total_details'!$F$8:$F$10000,quot_location_group_id,'[1]1_group_total_details'!$G$8:$G$10000,quot_location_id,'[1]1_group_total_details'!$H$8:$H$10000,"="&amp;quot_date)))</f>
        <v/>
      </c>
      <c r="AL75" s="197" t="str">
        <f>IF(M75="","",(SUMIFS('[1]1_group_total_details'!$I$8:$I$10000,'[1]1_group_total_details'!$C$8:$C$10000,I75,'[1]1_group_total_details'!$F$8:$F$10000,quot_location_group_id,'[1]1_group_total_details'!$G$8:$G$10000,quot_location_id,'[1]1_group_total_details'!$H$8:$H$10000,"&lt;="&amp;quot_date)+SUMIFS('[1]1_group_total_details'!$L$8:$L$10000,'[1]1_group_total_details'!$C$8:$C$10000,I75,'[1]1_group_total_details'!$F$8:$F$10000,quot_location_group_id,'[1]1_group_total_details'!$G$8:$G$10000,1,'[1]1_group_total_details'!$H$8:$H$10000,"&lt;="&amp;quot_date)+SUMIFS('[1]1_group_total_details'!$N$8:$N$10000,'[1]1_group_total_details'!$C$8:$C$10000,I75,'[1]1_group_total_details'!$F$8:$F$10000,quot_location_group_id,'[1]1_group_total_details'!$G$8:$G$10000,quot_location_id,'[1]1_group_total_details'!$H$8:$H$10000,"&lt;="&amp;quot_date)+SUMIFS('[1]1_group_total_details'!$O$8:$O$10000,'[1]1_group_total_details'!$C$8:$C$10000,I75,'[1]1_group_total_details'!$F$8:$F$10000,quot_location_group_id,'[1]1_group_total_details'!$G$8:$G$10000,quot_location_id,'[1]1_group_total_details'!$H$8:$H$10000,"&lt;="&amp;quot_date))-(SUMIFS('[1]1_group_total_details'!$J$8:$J$10000,'[1]1_group_total_details'!$C$8:$C$10000,I75,'[1]1_group_total_details'!$F$8:$F$10000,quot_location_group_id,'[1]1_group_total_details'!$G$8:$G$10000,quot_location_id,'[1]1_group_total_details'!$H$8:$H$10000,"&lt;="&amp;quot_date)+SUMIFS('[1]1_group_total_details'!$K$8:$K$10000,'[1]1_group_total_details'!$C$8:$C$10000,I75,'[1]1_group_total_details'!$F$8:$F$10000,quot_location_group_id,'[1]1_group_total_details'!$G$8:$G$10000,quot_location_id,'[1]1_group_total_details'!$H$8:$H$10000,"&lt;="&amp;quot_date)+SUMIFS('[1]1_group_total_details'!$M$8:$M$10000,'[1]1_group_total_details'!$C$8:$C$10000,I75,'[1]1_group_total_details'!$F$8:$F$10000,quot_location_group_id,'[1]1_group_total_details'!$G$8:$G$10000,quot_location_id,'[1]1_group_total_details'!$H$8:$H$10000,"&lt;="&amp;quot_date)+SUMIFS('[1]1_group_total_details'!$P$8:$P$10000,'[1]1_group_total_details'!$C$8:$C$10000,I75,'[1]1_group_total_details'!$F$8:$F$10000,quot_location_group_id,'[1]1_group_total_details'!$G$8:$G$10000,quot_location_id,'[1]1_group_total_details'!$H$8:$H$10000,"&lt;="&amp;quot_date)))</f>
        <v/>
      </c>
      <c r="AM75" s="197" t="str">
        <f>IF(M75="","",SUMIFS('[1]1_group_totals'!$J$8:$J$10000,'[1]1_group_totals'!$C$8:$C$10000,I75,'[1]1_group_totals'!$F$8:$F$10000,quot_location_group_id,'[1]1_group_totals'!$G$8:$G$10000,quot_location_id,'[1]1_group_totals'!$H$8:$H$10000,"="&amp;Q75,'[1]1_group_totals'!$I$8:$I$10000,"="&amp;R75))</f>
        <v/>
      </c>
      <c r="AN75" s="197" t="str">
        <f t="shared" si="284"/>
        <v/>
      </c>
      <c r="AO75" s="197" t="str">
        <f>IF(OR(ISNA(MATCH(MID(AN75,1,3)*1,UomConversion!$D$8:$D$500,0)),M75=""),"",IF(AT75="","",AT75))</f>
        <v/>
      </c>
      <c r="AP75" s="197" t="str">
        <f>IF(AND(AQ75&gt;0,COUNTIFS(UomConversion!$D$8:$D$500,MID(AN75,1,3)*1,UomConversion!$J$8:$J$500,1)&gt;1),TEXT(AQ75,"000")&amp;"."&amp;VLOOKUP(AQ75,uom_list,5,FALSE),"")</f>
        <v/>
      </c>
      <c r="AQ75" s="197" t="str">
        <f t="shared" si="295"/>
        <v/>
      </c>
      <c r="AR75" s="197" t="str">
        <f t="shared" si="296"/>
        <v/>
      </c>
      <c r="AS75" s="197" t="str">
        <f>IF(M75="","",SUMIFS(ProductPrice!$N$28:$N$10020,ProductPrice!$D$28:$D$10020,I75,ProductPrice!$G$28:$G$10020,quot_branch_id,ProductPrice!$H$28:$H$10020,quot_price_type_id,ProductPrice!$I$28:$I$10020,MID(P75,1,3)*1,ProductPrice!$Q$28:$Q$10020,1))</f>
        <v/>
      </c>
      <c r="AT75" s="197" t="str">
        <f t="shared" si="285"/>
        <v/>
      </c>
      <c r="AU75" s="197" t="str" cm="1">
        <f t="array" ref="AU75">IF(M75="","",IF(ISNA(Slookup(MID(AN75,1,3)*1,UomConversion!$D$8:$J$500,2,UomConversion!$I$8:$I$500,1,UomConversion!$J$8:$J$500,1)),"",Slookup(MID(AN75,1,3)*1,UomConversion!$D$8:$J$500,2,UomConversion!$I$8:$I$500,1,UomConversion!$J$8:$J$500,1)))</f>
        <v/>
      </c>
      <c r="AV75" s="197" t="str">
        <f t="shared" ref="AV75" si="308">IF(M75="","",IF(quot_location_id=1,BA75,IF(quot_location_id=2,BB75,0)))</f>
        <v/>
      </c>
      <c r="AW75" s="197" t="str">
        <f>IF(M75="","",(SUMIFS('[1]1_group_totals'!$K$8:$K$10000,'[1]1_group_totals'!$C$8:$C$10000,I75,'[1]1_group_totals'!$F$8:$F$10000,quot_location_group_id,'[1]1_group_totals'!$G$8:$G$10000,quot_location_id,'[1]1_group_totals'!$H$8:$H$10000,"="&amp;Q75,'[1]1_group_totals'!$I$8:$I$10000,"="&amp;R75)+SUMIFS('[1]1_group_totals'!$N$8:$N$10000,'[1]1_group_totals'!$C$8:$C$10000,I75,'[1]1_group_totals'!$F$8:$F$10000,quot_location_group_id,'[1]1_group_totals'!$G$8:$G$10000,quot_location_id,'[1]1_group_totals'!$H$8:$H$10000,"="&amp;Q75,'[1]1_group_totals'!$I$8:$I$10000,"="&amp;R75)+SUMIFS('[1]1_group_totals'!$P$8:$P$10000,'[1]1_group_totals'!$C$8:$C$10000,I75,'[1]1_group_totals'!$F$8:$F$10000,quot_location_group_id,'[1]1_group_totals'!$G$8:$G$10000,quot_location_id,'[1]1_group_totals'!$H$8:$H$10000,"="&amp;Q75,'[1]1_group_totals'!$I$8:$I$10000,"="&amp;R75)+SUMIFS('[1]1_group_totals'!$Q$8:$Q$10000,'[1]1_group_totals'!$C$8:$C$10000,I75,'[1]1_group_totals'!$F$8:$F$10000,quot_location_group_id,'[1]1_group_totals'!$G$8:$G$10000,quot_location_id,'[1]1_group_totals'!$H$8:$H$10000,"="&amp;Q75,'[1]1_group_totals'!$I$8:$I$10000,"="&amp;R75))+(SUMIFS('[1]1_group_totals'!$L$8:$L$10000,'[1]1_group_totals'!$C$8:$C$10000,I75,'[1]1_group_totals'!$F$8:$F$10000,quot_location_group_id,'[1]1_group_totals'!$G$8:$G$10000,quot_location_id,'[1]1_group_totals'!$H$8:$H$10000,"="&amp;Q75,'[1]1_group_totals'!$I$8:$I$10000,"="&amp;R75)+SUMIFS('[1]1_group_totals'!$M$8:$M$10000,'[1]1_group_totals'!$C$8:$C$10000,I75,'[1]1_group_totals'!$F$8:$F$10000,quot_location_group_id,'[1]1_group_totals'!$G$8:$G$10000,quot_location_id,'[1]1_group_totals'!$H$8:$H$10000,"="&amp;Q75,'[1]1_group_totals'!$I$8:$I$10000,"="&amp;R75)+SUMIFS('[1]1_group_totals'!$O$8:$O$10000,'[1]1_group_totals'!$C$8:$C$10000,I75,'[1]1_group_totals'!$F$8:$F$10000,quot_location_group_id,'[1]1_group_totals'!$G$8:$G$10000,quot_location_id,'[1]1_group_totals'!$H$8:$H$10000,"="&amp;Q75,'[1]1_group_totals'!$I$8:$I$10000,"="&amp;R75)+SUMIFS('[1]1_group_totals'!$R$8:$R$10000,'[1]1_group_totals'!$C$8:$C$10000,I75,'[1]1_group_totals'!$F$8:$F$10000,quot_location_group_id,'[1]1_group_totals'!$G$8:$G$10000,quot_location_id,'[1]1_group_totals'!$H$8:$H$10000,"="&amp;Q75,'[1]1_group_totals'!$I$8:$I$10000,"="&amp;R75)))</f>
        <v/>
      </c>
      <c r="AX75" s="197" t="str">
        <f t="shared" si="298"/>
        <v/>
      </c>
      <c r="AY75" s="197" t="str">
        <f>IF(M75="","",SUMIFS($AX$8:AX75,$I$8:I75,I75))</f>
        <v/>
      </c>
      <c r="AZ75" s="197" t="str">
        <f t="shared" si="299"/>
        <v/>
      </c>
      <c r="BA75" s="197" t="str">
        <f>IF(M75="","",(SUMIFS('[1]1_inventory_totals'!$I$8:$I$10000,'[1]1_inventory_totals'!$C$8:$C$10000,I75,'[1]1_inventory_totals'!$F$8:$F$10000,"="&amp;Q75,'[1]1_inventory_totals'!$G$8:$G$10000,"="&amp;R75)+SUMIFS('[1]1_inventory_totals'!$N$8:$N$10000,'[1]1_inventory_totals'!$C$8:$C$10000,I75,'[1]1_inventory_totals'!$F$8:$F$10000,"="&amp;Q75,'[1]1_inventory_totals'!$G$8:$G$10000,"="&amp;R75)+SUMIFS('[1]1_inventory_totals'!$P$8:$P$10000,'[1]1_inventory_totals'!$C$8:$C$10000,I75,'[1]1_inventory_totals'!$F$8:$F$10000,"="&amp;Q75,'[1]1_inventory_totals'!$G$8:$G$10000,"="&amp;R75)+SUMIFS('[1]1_inventory_totals'!$Q$8:$Q$10000,'[1]1_inventory_totals'!$C$8:$C$10000,I75,'[1]1_inventory_totals'!$F$8:$F$10000,"="&amp;Q75,'[1]1_inventory_totals'!$G$8:$G$10000,"="&amp;R75)+SUMIFS('[1]1_inventory_totals'!$R$8:$R$10000,'[1]1_inventory_totals'!$C$8:$C$10000,I75,'[1]1_inventory_totals'!$F$8:$F$10000,"="&amp;Q75,'[1]1_inventory_totals'!$G$8:$G$10000,"="&amp;R75))+(SUMIFS('[1]1_inventory_totals'!$J$8:$J$10000,'[1]1_inventory_totals'!$C$8:$C$10000,I75,'[1]1_inventory_totals'!$F$8:$F$10000,"="&amp;Q75,'[1]1_inventory_totals'!$G$8:$G$10000,"="&amp;R75)+SUMIFS('[1]1_inventory_totals'!$K$8:$K$10000,'[1]1_inventory_totals'!$C$8:$C$10000,I75,'[1]1_inventory_totals'!$F$8:$F$10000,"="&amp;Q75,'[1]1_inventory_totals'!$G$8:$G$10000,"="&amp;R75)+SUMIFS('[1]1_inventory_totals'!$L$8:$L$10000,'[1]1_inventory_totals'!$C$8:$C$10000,I75,'[1]1_inventory_totals'!$F$8:$F$10000,"="&amp;Q75,'[1]1_inventory_totals'!$G$8:$G$10000,"="&amp;R75)+SUMIFS('[1]1_inventory_totals'!$M$8:$M$10000,'[1]1_inventory_totals'!$C$8:$C$10000,I75,'[1]1_inventory_totals'!$F$8:$F$10000,"="&amp;Q75,'[1]1_inventory_totals'!$G$8:$G$10000,"="&amp;R75)+SUMIFS('[1]1_inventory_totals'!$O$8:$O$10000,'[1]1_inventory_totals'!$C$8:$C$10000,I75,'[1]1_inventory_totals'!$F$8:$F$10000,"="&amp;Q75,'[1]1_inventory_totals'!$G$8:$G$10000,"="&amp;R75)+SUMIFS('[1]1_inventory_totals'!$S$8:$S$10000,'[1]1_inventory_totals'!$C$8:$C$10000,I75,'[1]1_inventory_totals'!$F$8:$F$10000,"="&amp;Q75,'[1]1_inventory_totals'!$G$8:$G$10000,"="&amp;R75)))</f>
        <v/>
      </c>
      <c r="BB75" s="197" t="str">
        <f>IF(M75="","",(SUMIFS('[1]2_inventory_totals'!$I$8:$I$10000,'[1]2_inventory_totals'!$C$8:$C$10000,I75,'[1]2_inventory_totals'!$F$8:$F$10000,"="&amp;Q75,'[1]2_inventory_totals'!$G$8:$G$10000,"="&amp;R75)+SUMIFS('[1]2_inventory_totals'!$N$8:$N$10000,'[1]2_inventory_totals'!$C$8:$C$10000,I75,'[1]2_inventory_totals'!$F$8:$F$10000,"="&amp;Q75,'[1]2_inventory_totals'!$G$8:$G$10000,"="&amp;R75)+SUMIFS('[1]2_inventory_totals'!$P$8:$P$10000,'[1]2_inventory_totals'!$C$8:$C$10000,I75,'[1]2_inventory_totals'!$F$8:$F$10000,"="&amp;Q75,'[1]2_inventory_totals'!$G$8:$G$10000,"="&amp;R75)+SUMIFS('[1]2_inventory_totals'!$Q$8:$Q$10000,'[1]2_inventory_totals'!$C$8:$C$10000,I75,'[1]2_inventory_totals'!$F$8:$F$10000,"="&amp;Q75,'[1]2_inventory_totals'!$G$8:$G$10000,"="&amp;R75)+SUMIFS('[1]2_inventory_totals'!$R$8:$R$10000,'[1]2_inventory_totals'!$C$8:$C$10000,I75,'[1]2_inventory_totals'!$F$8:$F$10000,"="&amp;Q75,'[1]2_inventory_totals'!$G$8:$G$10000,"="&amp;R75))+(SUMIFS('[1]2_inventory_totals'!$J$8:$J$10000,'[1]2_inventory_totals'!$C$8:$C$10000,I75,'[1]2_inventory_totals'!$F$8:$F$10000,"="&amp;Q75,'[1]2_inventory_totals'!$G$8:$G$10000,"="&amp;R75)+SUMIFS('[1]2_inventory_totals'!$K$8:$K$10000,'[1]2_inventory_totals'!$C$8:$C$10000,I75,'[1]2_inventory_totals'!$F$8:$F$10000,"="&amp;Q75,'[1]2_inventory_totals'!$G$8:$G$10000,"="&amp;R75)+SUMIFS('[1]2_inventory_totals'!$L$8:$L$10000,'[1]2_inventory_totals'!$C$8:$C$10000,I75,'[1]2_inventory_totals'!$F$8:$F$10000,"="&amp;Q75,'[1]2_inventory_totals'!$G$8:$G$10000,"="&amp;R75)+SUMIFS('[1]2_inventory_totals'!$M$8:$M$10000,'[1]2_inventory_totals'!$C$8:$C$10000,I75,'[1]2_inventory_totals'!$F$8:$F$10000,"="&amp;Q75,'[1]2_inventory_totals'!$G$8:$G$10000,"="&amp;R75)+SUMIFS('[1]2_inventory_totals'!$O$8:$O$10000,'[1]2_inventory_totals'!$C$8:$C$10000,I75,'[1]2_inventory_totals'!$F$8:$F$10000,"="&amp;Q75,'[1]2_inventory_totals'!$G$8:$G$10000,"="&amp;R75)+SUMIFS('[1]2_inventory_totals'!$S$8:$S$10000,'[1]2_inventory_totals'!$C$8:$C$10000,I75,'[1]2_inventory_totals'!$F$8:$F$10000,"="&amp;Q75,'[1]2_inventory_totals'!$G$8:$G$10000,"="&amp;R75)))</f>
        <v/>
      </c>
    </row>
    <row r="76" spans="1:54" ht="27" hidden="1" customHeight="1">
      <c r="A76" s="923"/>
      <c r="B76" s="1256"/>
      <c r="C76" s="950"/>
      <c r="D76" s="950"/>
      <c r="E76" s="950"/>
      <c r="F76" s="1257"/>
      <c r="G76" s="941"/>
      <c r="H76" s="951"/>
      <c r="I76" s="1610" t="str">
        <f t="shared" si="287"/>
        <v/>
      </c>
      <c r="J76" s="1611" t="str">
        <f t="shared" si="112"/>
        <v/>
      </c>
      <c r="K76" s="1612" t="str">
        <f t="shared" ref="K76:K84" si="309">IF(M76="","",VLOOKUP(I76,product_list,4,FALSE))</f>
        <v/>
      </c>
      <c r="L76" s="1613"/>
      <c r="M76" s="883"/>
      <c r="N76" s="884"/>
      <c r="O76" s="884"/>
      <c r="P76" s="885"/>
      <c r="Q76" s="886"/>
      <c r="R76" s="891"/>
      <c r="S76" s="1614" t="str">
        <f t="shared" ref="S76" si="310">IF(M76="","",quot_currency_symbol)</f>
        <v/>
      </c>
      <c r="T76" s="888"/>
      <c r="U76" s="1650" t="str">
        <f t="shared" si="289"/>
        <v/>
      </c>
      <c r="V76" s="1615" t="str">
        <f t="shared" ref="V76" si="311">IF(W76=0,"",quot_currency_symbol)</f>
        <v/>
      </c>
      <c r="W76" s="889"/>
      <c r="X76" s="1615" t="str">
        <f t="shared" ref="X76" si="312">IF(M76="","",quot_currency_symbol)</f>
        <v/>
      </c>
      <c r="Y76" s="1616" t="str">
        <f t="shared" si="307"/>
        <v/>
      </c>
      <c r="Z76" s="890"/>
      <c r="AA76" s="197" t="str" cm="1">
        <f t="array" ref="AA76">IF(M76="","",IF(P76=AN76,1,Slookup(MID(AN76,1,3)*1,UomConversion!$D$8:$J$500,5,UomConversion!$E$8:$E$500,MID(P76,1,3)*1,UomConversion!$J$8:$J$500,1)))</f>
        <v/>
      </c>
      <c r="AB76" s="197" t="str">
        <f t="shared" si="281"/>
        <v/>
      </c>
      <c r="AC76" s="197" t="str">
        <f t="shared" si="292"/>
        <v/>
      </c>
      <c r="AD76" s="197" t="str">
        <f t="shared" si="293"/>
        <v/>
      </c>
      <c r="AE76" s="197" t="str">
        <f t="shared" si="294"/>
        <v/>
      </c>
      <c r="AF76" s="197" t="str">
        <f t="shared" si="282"/>
        <v/>
      </c>
      <c r="AG76" s="197" t="str">
        <f t="shared" si="283"/>
        <v/>
      </c>
      <c r="AH76" s="197" t="str">
        <f>IF(I76="","",IF(ISNA(MATCH(I76,IF(quot_location_id=1,'[1]1_inventory_totals'!$C$8:$C$10000,IF(quot_location_id=2,'[1]2_inventory_totals'!$C$8:$C$10000,0)),0)),0,IF(AV76&gt;0,1,0)))</f>
        <v/>
      </c>
      <c r="AI76" s="197" t="str">
        <f>IF(M76="","",IF(quot_location_id=1,SUMIFS('[1]1_inventory_total_details'!$J$8:$J$10000,'[1]1_inventory_total_details'!$C$8:$C$10000,I76,'[1]1_inventory_total_details'!$F$8:$F$10000,quot_location_id,'[1]1_inventory_total_details'!$G$8:$G$10000,"="&amp;Q76,'[1]1_inventory_total_details'!$H$8:$H$10000,"="&amp;R76,'[1]1_inventory_total_details'!$I$8:$I$10000,"="&amp;quot_date)+SUMIFS('[1]1_inventory_total_details'!$M$8:$M$10000,'[1]1_inventory_total_details'!$C$8:$C$10000,I76,'[1]1_inventory_total_details'!$F$8:$F$10000,quot_location_id,'[1]1_inventory_total_details'!$G$8:$G$10000,"="&amp;Q76,'[1]1_inventory_total_details'!$H$8:$H$10000,"="&amp;R76,'[1]1_inventory_total_details'!$I$8:$I$10000,"="&amp;quot_date)+SUMIFS('[1]1_inventory_total_details'!$K$8:$K$10000,'[1]1_inventory_total_details'!$C$8:$C$10000,I76,'[1]1_inventory_total_details'!$F$8:$F$10000,quot_location_id,'[1]1_inventory_total_details'!$G$8:$G$10000,"="&amp;Q76,'[1]1_inventory_total_details'!$H$8:$H$10000,"="&amp;R76,'[1]1_inventory_total_details'!$I$8:$I$10000,"="&amp;quot_date)+SUMIFS('[1]1_inventory_total_details'!$L$8:$L$10000,'[1]1_inventory_total_details'!$C$8:$C$10000,I76,'[1]1_inventory_total_details'!$F$8:$F$10000,quot_location_id,'[1]1_inventory_total_details'!$G$8:$G$10000,"="&amp;Q76,'[1]1_inventory_total_details'!$H$8:$H$10000,"="&amp;R76,'[1]1_inventory_total_details'!$I$8:$I$10000,"="&amp;quot_date),SUMIFS('[1]2_inventory_total_details'!$J$8:$J$10000,'[1]2_inventory_total_details'!$C$8:$C$10000,I76,'[1]2_inventory_total_details'!$F$8:$F$10000,quot_location_id,'[1]2_inventory_total_details'!$G$8:$G$10000,"="&amp;Q76,'[1]2_inventory_total_details'!$H$8:$H$10000,"="&amp;R76,'[1]2_inventory_total_details'!$I$8:$I$10000,"="&amp;quot_date)+SUMIFS('[1]2_inventory_total_details'!$M$8:$M$10000,'[1]2_inventory_total_details'!$C$8:$C$10000,I76,'[1]2_inventory_total_details'!$F$8:$F$10000,quot_location_id,'[1]2_inventory_total_details'!$G$8:$G$10000,"="&amp;Q76,'[1]2_inventory_total_details'!$H$8:$H$10000,"="&amp;R76,'[1]2_inventory_total_details'!$I$8:$I$10000,"="&amp;quot_date)+SUMIFS('[1]2_inventory_total_details'!$K$8:$K$10000,'[1]2_inventory_total_details'!$C$8:$C$10000,I76,'[1]2_inventory_total_details'!$F$8:$F$10000,quot_location_id,'[1]2_inventory_total_details'!$G$8:$G$10000,"="&amp;Q76,'[1]2_inventory_total_details'!$H$8:$H$10000,"="&amp;R76,'[1]2_inventory_total_details'!$I$8:$I$10000,"="&amp;quot_date)+SUMIFS('[1]2_inventory_total_details'!$L$8:$L$10000,'[1]2_inventory_total_details'!$C$8:$C$10000,I76,'[1]2_inventory_total_details'!$F$8:$F$10000,quot_location_id,'[1]2_inventory_total_details'!$G$8:$G$10000,"="&amp;Q76,'[1]2_inventory_total_details'!$H$8:$H$10000,"="&amp;R76,'[1]2_inventory_total_details'!$I$8:$I$10000,"="&amp;quot_date)))</f>
        <v/>
      </c>
      <c r="AJ76" s="197" t="str">
        <f>IF(M76="","",IF(ISNA(MATCH(I76,'[1]1_group_totals'!$C$8:$C$10000)),0,IF(AW76&gt;0,1,0)))</f>
        <v/>
      </c>
      <c r="AK76" s="197" t="str">
        <f>IF(M76="","",(SUMIFS('[1]1_group_total_details'!$I$8:$I$10000,'[1]1_group_total_details'!$C$8:$C$10000,I76,'[1]1_group_total_details'!$F$8:$F$10000,quot_location_group_id,'[1]1_group_total_details'!$G$8:$G$10000,quot_location_id,'[1]1_group_total_details'!$H$8:$H$10000,"="&amp;quot_date)+SUMIFS('[1]1_group_total_details'!$L$8:$L$10000,'[1]1_group_total_details'!$C$8:$C$10000,I76,'[1]1_group_total_details'!$F$8:$F$10000,quot_location_group_id,'[1]1_group_total_details'!$G$8:$G$10000,quot_location_id,'[1]1_group_total_details'!$H$8:$H$10000,"="&amp;quot_date)+SUMIFS('[1]1_group_total_details'!$N$8:$N$10000,'[1]1_group_total_details'!$C$8:$C$10000,I76,'[1]1_group_total_details'!$F$8:$F$10000,quot_location_group_id,'[1]1_group_total_details'!$G$8:$G$10000,quot_location_id,'[1]1_group_total_details'!$H$8:$H$10000,"="&amp;quot_date)+SUMIFS('[1]1_group_total_details'!$O$8:$O$10000,'[1]1_group_total_details'!$C$8:$C$10000,I76,'[1]1_group_total_details'!$F$8:$F$10000,quot_location_group_id,'[1]1_group_total_details'!$G$8:$G$10000,quot_location_id,'[1]1_group_total_details'!$H$8:$H$10000,"="&amp;quot_date))+(SUMIFS('[1]1_group_total_details'!$J$8:$J$10000,'[1]1_group_total_details'!$C$8:$C$10000,I76,'[1]1_group_total_details'!$F$8:$F$10000,quot_location_group_id,'[1]1_group_total_details'!$G$8:$G$10000,quot_location_id,'[1]1_group_total_details'!$H$8:$H$10000,"="&amp;quot_date)+SUMIFS('[1]1_group_total_details'!$K$8:$K$10000,'[1]1_group_total_details'!$C$8:$C$10000,I76,'[1]1_group_total_details'!$F$8:$F$10000,quot_location_group_id,'[1]1_group_total_details'!$G$8:$G$10000,quot_location_id,'[1]1_group_total_details'!$H$8:$H$10000,"="&amp;quot_date)+SUMIFS('[1]1_group_total_details'!$M$8:$M$10000,'[1]1_group_total_details'!$C$8:$C$10000,I76,'[1]1_group_total_details'!$F$8:$F$10000,quot_location_group_id,'[1]1_group_total_details'!$G$8:$G$10000,quot_location_id,'[1]1_group_total_details'!$H$8:$H$10000,"="&amp;quot_date)+SUMIFS('[1]1_group_total_details'!$P$8:$P$10000,'[1]1_group_total_details'!$C$8:$C$10000,I76,'[1]1_group_total_details'!$F$8:$F$10000,quot_location_group_id,'[1]1_group_total_details'!$G$8:$G$10000,quot_location_id,'[1]1_group_total_details'!$H$8:$H$10000,"="&amp;quot_date)))</f>
        <v/>
      </c>
      <c r="AL76" s="197" t="str">
        <f>IF(M76="","",(SUMIFS('[1]1_group_total_details'!$I$8:$I$10000,'[1]1_group_total_details'!$C$8:$C$10000,I76,'[1]1_group_total_details'!$F$8:$F$10000,quot_location_group_id,'[1]1_group_total_details'!$G$8:$G$10000,quot_location_id,'[1]1_group_total_details'!$H$8:$H$10000,"&lt;="&amp;quot_date)+SUMIFS('[1]1_group_total_details'!$L$8:$L$10000,'[1]1_group_total_details'!$C$8:$C$10000,I76,'[1]1_group_total_details'!$F$8:$F$10000,quot_location_group_id,'[1]1_group_total_details'!$G$8:$G$10000,1,'[1]1_group_total_details'!$H$8:$H$10000,"&lt;="&amp;quot_date)+SUMIFS('[1]1_group_total_details'!$N$8:$N$10000,'[1]1_group_total_details'!$C$8:$C$10000,I76,'[1]1_group_total_details'!$F$8:$F$10000,quot_location_group_id,'[1]1_group_total_details'!$G$8:$G$10000,quot_location_id,'[1]1_group_total_details'!$H$8:$H$10000,"&lt;="&amp;quot_date)+SUMIFS('[1]1_group_total_details'!$O$8:$O$10000,'[1]1_group_total_details'!$C$8:$C$10000,I76,'[1]1_group_total_details'!$F$8:$F$10000,quot_location_group_id,'[1]1_group_total_details'!$G$8:$G$10000,quot_location_id,'[1]1_group_total_details'!$H$8:$H$10000,"&lt;="&amp;quot_date))-(SUMIFS('[1]1_group_total_details'!$J$8:$J$10000,'[1]1_group_total_details'!$C$8:$C$10000,I76,'[1]1_group_total_details'!$F$8:$F$10000,quot_location_group_id,'[1]1_group_total_details'!$G$8:$G$10000,quot_location_id,'[1]1_group_total_details'!$H$8:$H$10000,"&lt;="&amp;quot_date)+SUMIFS('[1]1_group_total_details'!$K$8:$K$10000,'[1]1_group_total_details'!$C$8:$C$10000,I76,'[1]1_group_total_details'!$F$8:$F$10000,quot_location_group_id,'[1]1_group_total_details'!$G$8:$G$10000,quot_location_id,'[1]1_group_total_details'!$H$8:$H$10000,"&lt;="&amp;quot_date)+SUMIFS('[1]1_group_total_details'!$M$8:$M$10000,'[1]1_group_total_details'!$C$8:$C$10000,I76,'[1]1_group_total_details'!$F$8:$F$10000,quot_location_group_id,'[1]1_group_total_details'!$G$8:$G$10000,quot_location_id,'[1]1_group_total_details'!$H$8:$H$10000,"&lt;="&amp;quot_date)+SUMIFS('[1]1_group_total_details'!$P$8:$P$10000,'[1]1_group_total_details'!$C$8:$C$10000,I76,'[1]1_group_total_details'!$F$8:$F$10000,quot_location_group_id,'[1]1_group_total_details'!$G$8:$G$10000,quot_location_id,'[1]1_group_total_details'!$H$8:$H$10000,"&lt;="&amp;quot_date)))</f>
        <v/>
      </c>
      <c r="AM76" s="197" t="str">
        <f>IF(M76="","",SUMIFS('[1]1_group_totals'!$J$8:$J$10000,'[1]1_group_totals'!$C$8:$C$10000,I76,'[1]1_group_totals'!$F$8:$F$10000,quot_location_group_id,'[1]1_group_totals'!$G$8:$G$10000,quot_location_id,'[1]1_group_totals'!$H$8:$H$10000,"="&amp;Q76,'[1]1_group_totals'!$I$8:$I$10000,"="&amp;R76))</f>
        <v/>
      </c>
      <c r="AN76" s="197" t="str">
        <f t="shared" si="284"/>
        <v/>
      </c>
      <c r="AO76" s="197" t="str">
        <f>IF(OR(ISNA(MATCH(MID(AN76,1,3)*1,UomConversion!$D$8:$D$500,0)),M76=""),"",IF(AT76="","",AT76))</f>
        <v/>
      </c>
      <c r="AP76" s="197" t="str">
        <f>IF(AND(AQ76&gt;0,COUNTIFS(UomConversion!$D$8:$D$500,MID(AN76,1,3)*1,UomConversion!$J$8:$J$500,1)&gt;1),TEXT(AQ76,"000")&amp;"."&amp;VLOOKUP(AQ76,uom_list,5,FALSE),"")</f>
        <v/>
      </c>
      <c r="AQ76" s="197" t="str">
        <f t="shared" si="295"/>
        <v/>
      </c>
      <c r="AR76" s="197" t="str">
        <f t="shared" si="296"/>
        <v/>
      </c>
      <c r="AS76" s="197" t="str">
        <f>IF(M76="","",SUMIFS(ProductPrice!$N$28:$N$10020,ProductPrice!$D$28:$D$10020,I76,ProductPrice!$G$28:$G$10020,quot_branch_id,ProductPrice!$H$28:$H$10020,quot_price_type_id,ProductPrice!$I$28:$I$10020,MID(P76,1,3)*1,ProductPrice!$Q$28:$Q$10020,1))</f>
        <v/>
      </c>
      <c r="AT76" s="197" t="str">
        <f t="shared" si="285"/>
        <v/>
      </c>
      <c r="AU76" s="197" t="str" cm="1">
        <f t="array" ref="AU76">IF(M76="","",IF(ISNA(Slookup(MID(AN76,1,3)*1,UomConversion!$D$8:$J$500,2,UomConversion!$I$8:$I$500,1,UomConversion!$J$8:$J$500,1)),"",Slookup(MID(AN76,1,3)*1,UomConversion!$D$8:$J$500,2,UomConversion!$I$8:$I$500,1,UomConversion!$J$8:$J$500,1)))</f>
        <v/>
      </c>
      <c r="AV76" s="197" t="str">
        <f t="shared" ref="AV76" si="313">IF(M76="","",IF(quot_location_id=1,BA76,IF(quot_location_id=2,BB76,0)))</f>
        <v/>
      </c>
      <c r="AW76" s="197" t="str">
        <f>IF(M76="","",(SUMIFS('[1]1_group_totals'!$K$8:$K$10000,'[1]1_group_totals'!$C$8:$C$10000,I76,'[1]1_group_totals'!$F$8:$F$10000,quot_location_group_id,'[1]1_group_totals'!$G$8:$G$10000,quot_location_id,'[1]1_group_totals'!$H$8:$H$10000,"="&amp;Q76,'[1]1_group_totals'!$I$8:$I$10000,"="&amp;R76)+SUMIFS('[1]1_group_totals'!$N$8:$N$10000,'[1]1_group_totals'!$C$8:$C$10000,I76,'[1]1_group_totals'!$F$8:$F$10000,quot_location_group_id,'[1]1_group_totals'!$G$8:$G$10000,quot_location_id,'[1]1_group_totals'!$H$8:$H$10000,"="&amp;Q76,'[1]1_group_totals'!$I$8:$I$10000,"="&amp;R76)+SUMIFS('[1]1_group_totals'!$P$8:$P$10000,'[1]1_group_totals'!$C$8:$C$10000,I76,'[1]1_group_totals'!$F$8:$F$10000,quot_location_group_id,'[1]1_group_totals'!$G$8:$G$10000,quot_location_id,'[1]1_group_totals'!$H$8:$H$10000,"="&amp;Q76,'[1]1_group_totals'!$I$8:$I$10000,"="&amp;R76)+SUMIFS('[1]1_group_totals'!$Q$8:$Q$10000,'[1]1_group_totals'!$C$8:$C$10000,I76,'[1]1_group_totals'!$F$8:$F$10000,quot_location_group_id,'[1]1_group_totals'!$G$8:$G$10000,quot_location_id,'[1]1_group_totals'!$H$8:$H$10000,"="&amp;Q76,'[1]1_group_totals'!$I$8:$I$10000,"="&amp;R76))+(SUMIFS('[1]1_group_totals'!$L$8:$L$10000,'[1]1_group_totals'!$C$8:$C$10000,I76,'[1]1_group_totals'!$F$8:$F$10000,quot_location_group_id,'[1]1_group_totals'!$G$8:$G$10000,quot_location_id,'[1]1_group_totals'!$H$8:$H$10000,"="&amp;Q76,'[1]1_group_totals'!$I$8:$I$10000,"="&amp;R76)+SUMIFS('[1]1_group_totals'!$M$8:$M$10000,'[1]1_group_totals'!$C$8:$C$10000,I76,'[1]1_group_totals'!$F$8:$F$10000,quot_location_group_id,'[1]1_group_totals'!$G$8:$G$10000,quot_location_id,'[1]1_group_totals'!$H$8:$H$10000,"="&amp;Q76,'[1]1_group_totals'!$I$8:$I$10000,"="&amp;R76)+SUMIFS('[1]1_group_totals'!$O$8:$O$10000,'[1]1_group_totals'!$C$8:$C$10000,I76,'[1]1_group_totals'!$F$8:$F$10000,quot_location_group_id,'[1]1_group_totals'!$G$8:$G$10000,quot_location_id,'[1]1_group_totals'!$H$8:$H$10000,"="&amp;Q76,'[1]1_group_totals'!$I$8:$I$10000,"="&amp;R76)+SUMIFS('[1]1_group_totals'!$R$8:$R$10000,'[1]1_group_totals'!$C$8:$C$10000,I76,'[1]1_group_totals'!$F$8:$F$10000,quot_location_group_id,'[1]1_group_totals'!$G$8:$G$10000,quot_location_id,'[1]1_group_totals'!$H$8:$H$10000,"="&amp;Q76,'[1]1_group_totals'!$I$8:$I$10000,"="&amp;R76)))</f>
        <v/>
      </c>
      <c r="AX76" s="197" t="str">
        <f t="shared" si="298"/>
        <v/>
      </c>
      <c r="AY76" s="197" t="str">
        <f>IF(M76="","",SUMIFS($AX$8:AX76,$I$8:I76,I76))</f>
        <v/>
      </c>
      <c r="AZ76" s="197" t="str">
        <f t="shared" si="299"/>
        <v/>
      </c>
      <c r="BA76" s="197" t="str">
        <f>IF(M76="","",(SUMIFS('[1]1_inventory_totals'!$I$8:$I$10000,'[1]1_inventory_totals'!$C$8:$C$10000,I76,'[1]1_inventory_totals'!$F$8:$F$10000,"="&amp;Q76,'[1]1_inventory_totals'!$G$8:$G$10000,"="&amp;R76)+SUMIFS('[1]1_inventory_totals'!$N$8:$N$10000,'[1]1_inventory_totals'!$C$8:$C$10000,I76,'[1]1_inventory_totals'!$F$8:$F$10000,"="&amp;Q76,'[1]1_inventory_totals'!$G$8:$G$10000,"="&amp;R76)+SUMIFS('[1]1_inventory_totals'!$P$8:$P$10000,'[1]1_inventory_totals'!$C$8:$C$10000,I76,'[1]1_inventory_totals'!$F$8:$F$10000,"="&amp;Q76,'[1]1_inventory_totals'!$G$8:$G$10000,"="&amp;R76)+SUMIFS('[1]1_inventory_totals'!$Q$8:$Q$10000,'[1]1_inventory_totals'!$C$8:$C$10000,I76,'[1]1_inventory_totals'!$F$8:$F$10000,"="&amp;Q76,'[1]1_inventory_totals'!$G$8:$G$10000,"="&amp;R76)+SUMIFS('[1]1_inventory_totals'!$R$8:$R$10000,'[1]1_inventory_totals'!$C$8:$C$10000,I76,'[1]1_inventory_totals'!$F$8:$F$10000,"="&amp;Q76,'[1]1_inventory_totals'!$G$8:$G$10000,"="&amp;R76))+(SUMIFS('[1]1_inventory_totals'!$J$8:$J$10000,'[1]1_inventory_totals'!$C$8:$C$10000,I76,'[1]1_inventory_totals'!$F$8:$F$10000,"="&amp;Q76,'[1]1_inventory_totals'!$G$8:$G$10000,"="&amp;R76)+SUMIFS('[1]1_inventory_totals'!$K$8:$K$10000,'[1]1_inventory_totals'!$C$8:$C$10000,I76,'[1]1_inventory_totals'!$F$8:$F$10000,"="&amp;Q76,'[1]1_inventory_totals'!$G$8:$G$10000,"="&amp;R76)+SUMIFS('[1]1_inventory_totals'!$L$8:$L$10000,'[1]1_inventory_totals'!$C$8:$C$10000,I76,'[1]1_inventory_totals'!$F$8:$F$10000,"="&amp;Q76,'[1]1_inventory_totals'!$G$8:$G$10000,"="&amp;R76)+SUMIFS('[1]1_inventory_totals'!$M$8:$M$10000,'[1]1_inventory_totals'!$C$8:$C$10000,I76,'[1]1_inventory_totals'!$F$8:$F$10000,"="&amp;Q76,'[1]1_inventory_totals'!$G$8:$G$10000,"="&amp;R76)+SUMIFS('[1]1_inventory_totals'!$O$8:$O$10000,'[1]1_inventory_totals'!$C$8:$C$10000,I76,'[1]1_inventory_totals'!$F$8:$F$10000,"="&amp;Q76,'[1]1_inventory_totals'!$G$8:$G$10000,"="&amp;R76)+SUMIFS('[1]1_inventory_totals'!$S$8:$S$10000,'[1]1_inventory_totals'!$C$8:$C$10000,I76,'[1]1_inventory_totals'!$F$8:$F$10000,"="&amp;Q76,'[1]1_inventory_totals'!$G$8:$G$10000,"="&amp;R76)))</f>
        <v/>
      </c>
      <c r="BB76" s="197" t="str">
        <f>IF(M76="","",(SUMIFS('[1]2_inventory_totals'!$I$8:$I$10000,'[1]2_inventory_totals'!$C$8:$C$10000,I76,'[1]2_inventory_totals'!$F$8:$F$10000,"="&amp;Q76,'[1]2_inventory_totals'!$G$8:$G$10000,"="&amp;R76)+SUMIFS('[1]2_inventory_totals'!$N$8:$N$10000,'[1]2_inventory_totals'!$C$8:$C$10000,I76,'[1]2_inventory_totals'!$F$8:$F$10000,"="&amp;Q76,'[1]2_inventory_totals'!$G$8:$G$10000,"="&amp;R76)+SUMIFS('[1]2_inventory_totals'!$P$8:$P$10000,'[1]2_inventory_totals'!$C$8:$C$10000,I76,'[1]2_inventory_totals'!$F$8:$F$10000,"="&amp;Q76,'[1]2_inventory_totals'!$G$8:$G$10000,"="&amp;R76)+SUMIFS('[1]2_inventory_totals'!$Q$8:$Q$10000,'[1]2_inventory_totals'!$C$8:$C$10000,I76,'[1]2_inventory_totals'!$F$8:$F$10000,"="&amp;Q76,'[1]2_inventory_totals'!$G$8:$G$10000,"="&amp;R76)+SUMIFS('[1]2_inventory_totals'!$R$8:$R$10000,'[1]2_inventory_totals'!$C$8:$C$10000,I76,'[1]2_inventory_totals'!$F$8:$F$10000,"="&amp;Q76,'[1]2_inventory_totals'!$G$8:$G$10000,"="&amp;R76))+(SUMIFS('[1]2_inventory_totals'!$J$8:$J$10000,'[1]2_inventory_totals'!$C$8:$C$10000,I76,'[1]2_inventory_totals'!$F$8:$F$10000,"="&amp;Q76,'[1]2_inventory_totals'!$G$8:$G$10000,"="&amp;R76)+SUMIFS('[1]2_inventory_totals'!$K$8:$K$10000,'[1]2_inventory_totals'!$C$8:$C$10000,I76,'[1]2_inventory_totals'!$F$8:$F$10000,"="&amp;Q76,'[1]2_inventory_totals'!$G$8:$G$10000,"="&amp;R76)+SUMIFS('[1]2_inventory_totals'!$L$8:$L$10000,'[1]2_inventory_totals'!$C$8:$C$10000,I76,'[1]2_inventory_totals'!$F$8:$F$10000,"="&amp;Q76,'[1]2_inventory_totals'!$G$8:$G$10000,"="&amp;R76)+SUMIFS('[1]2_inventory_totals'!$M$8:$M$10000,'[1]2_inventory_totals'!$C$8:$C$10000,I76,'[1]2_inventory_totals'!$F$8:$F$10000,"="&amp;Q76,'[1]2_inventory_totals'!$G$8:$G$10000,"="&amp;R76)+SUMIFS('[1]2_inventory_totals'!$O$8:$O$10000,'[1]2_inventory_totals'!$C$8:$C$10000,I76,'[1]2_inventory_totals'!$F$8:$F$10000,"="&amp;Q76,'[1]2_inventory_totals'!$G$8:$G$10000,"="&amp;R76)+SUMIFS('[1]2_inventory_totals'!$S$8:$S$10000,'[1]2_inventory_totals'!$C$8:$C$10000,I76,'[1]2_inventory_totals'!$F$8:$F$10000,"="&amp;Q76,'[1]2_inventory_totals'!$G$8:$G$10000,"="&amp;R76)))</f>
        <v/>
      </c>
    </row>
    <row r="77" spans="1:54" ht="27" hidden="1" customHeight="1">
      <c r="A77" s="923"/>
      <c r="B77" s="1256"/>
      <c r="C77" s="950"/>
      <c r="D77" s="950"/>
      <c r="E77" s="950"/>
      <c r="F77" s="1257"/>
      <c r="G77" s="941"/>
      <c r="H77" s="951"/>
      <c r="I77" s="1610" t="str">
        <f t="shared" si="287"/>
        <v/>
      </c>
      <c r="J77" s="1611" t="str">
        <f t="shared" si="112"/>
        <v/>
      </c>
      <c r="K77" s="1612" t="str">
        <f t="shared" si="309"/>
        <v/>
      </c>
      <c r="L77" s="1613"/>
      <c r="M77" s="883"/>
      <c r="N77" s="884"/>
      <c r="O77" s="884"/>
      <c r="P77" s="885"/>
      <c r="Q77" s="886"/>
      <c r="R77" s="891"/>
      <c r="S77" s="1614" t="str">
        <f t="shared" ref="S77" si="314">IF(M77="","",quot_currency_symbol)</f>
        <v/>
      </c>
      <c r="T77" s="888"/>
      <c r="U77" s="1650" t="str">
        <f t="shared" si="289"/>
        <v/>
      </c>
      <c r="V77" s="1615" t="str">
        <f t="shared" ref="V77" si="315">IF(W77=0,"",quot_currency_symbol)</f>
        <v/>
      </c>
      <c r="W77" s="889"/>
      <c r="X77" s="1615" t="str">
        <f t="shared" ref="X77" si="316">IF(M77="","",quot_currency_symbol)</f>
        <v/>
      </c>
      <c r="Y77" s="1616" t="str">
        <f t="shared" si="307"/>
        <v/>
      </c>
      <c r="Z77" s="890"/>
      <c r="AA77" s="197" t="str" cm="1">
        <f t="array" ref="AA77">IF(M77="","",IF(P77=AN77,1,Slookup(MID(AN77,1,3)*1,UomConversion!$D$8:$J$500,5,UomConversion!$E$8:$E$500,MID(P77,1,3)*1,UomConversion!$J$8:$J$500,1)))</f>
        <v/>
      </c>
      <c r="AB77" s="197" t="str">
        <f t="shared" si="281"/>
        <v/>
      </c>
      <c r="AC77" s="197" t="str">
        <f t="shared" si="292"/>
        <v/>
      </c>
      <c r="AD77" s="197" t="str">
        <f t="shared" si="293"/>
        <v/>
      </c>
      <c r="AE77" s="197" t="str">
        <f t="shared" si="294"/>
        <v/>
      </c>
      <c r="AF77" s="197" t="str">
        <f t="shared" si="282"/>
        <v/>
      </c>
      <c r="AG77" s="197" t="str">
        <f t="shared" si="283"/>
        <v/>
      </c>
      <c r="AH77" s="197" t="str">
        <f>IF(I77="","",IF(ISNA(MATCH(I77,IF(quot_location_id=1,'[1]1_inventory_totals'!$C$8:$C$10000,IF(quot_location_id=2,'[1]2_inventory_totals'!$C$8:$C$10000,0)),0)),0,IF(AV77&gt;0,1,0)))</f>
        <v/>
      </c>
      <c r="AI77" s="197" t="str">
        <f>IF(M77="","",IF(quot_location_id=1,SUMIFS('[1]1_inventory_total_details'!$J$8:$J$10000,'[1]1_inventory_total_details'!$C$8:$C$10000,I77,'[1]1_inventory_total_details'!$F$8:$F$10000,quot_location_id,'[1]1_inventory_total_details'!$G$8:$G$10000,"="&amp;Q77,'[1]1_inventory_total_details'!$H$8:$H$10000,"="&amp;R77,'[1]1_inventory_total_details'!$I$8:$I$10000,"="&amp;quot_date)+SUMIFS('[1]1_inventory_total_details'!$M$8:$M$10000,'[1]1_inventory_total_details'!$C$8:$C$10000,I77,'[1]1_inventory_total_details'!$F$8:$F$10000,quot_location_id,'[1]1_inventory_total_details'!$G$8:$G$10000,"="&amp;Q77,'[1]1_inventory_total_details'!$H$8:$H$10000,"="&amp;R77,'[1]1_inventory_total_details'!$I$8:$I$10000,"="&amp;quot_date)+SUMIFS('[1]1_inventory_total_details'!$K$8:$K$10000,'[1]1_inventory_total_details'!$C$8:$C$10000,I77,'[1]1_inventory_total_details'!$F$8:$F$10000,quot_location_id,'[1]1_inventory_total_details'!$G$8:$G$10000,"="&amp;Q77,'[1]1_inventory_total_details'!$H$8:$H$10000,"="&amp;R77,'[1]1_inventory_total_details'!$I$8:$I$10000,"="&amp;quot_date)+SUMIFS('[1]1_inventory_total_details'!$L$8:$L$10000,'[1]1_inventory_total_details'!$C$8:$C$10000,I77,'[1]1_inventory_total_details'!$F$8:$F$10000,quot_location_id,'[1]1_inventory_total_details'!$G$8:$G$10000,"="&amp;Q77,'[1]1_inventory_total_details'!$H$8:$H$10000,"="&amp;R77,'[1]1_inventory_total_details'!$I$8:$I$10000,"="&amp;quot_date),SUMIFS('[1]2_inventory_total_details'!$J$8:$J$10000,'[1]2_inventory_total_details'!$C$8:$C$10000,I77,'[1]2_inventory_total_details'!$F$8:$F$10000,quot_location_id,'[1]2_inventory_total_details'!$G$8:$G$10000,"="&amp;Q77,'[1]2_inventory_total_details'!$H$8:$H$10000,"="&amp;R77,'[1]2_inventory_total_details'!$I$8:$I$10000,"="&amp;quot_date)+SUMIFS('[1]2_inventory_total_details'!$M$8:$M$10000,'[1]2_inventory_total_details'!$C$8:$C$10000,I77,'[1]2_inventory_total_details'!$F$8:$F$10000,quot_location_id,'[1]2_inventory_total_details'!$G$8:$G$10000,"="&amp;Q77,'[1]2_inventory_total_details'!$H$8:$H$10000,"="&amp;R77,'[1]2_inventory_total_details'!$I$8:$I$10000,"="&amp;quot_date)+SUMIFS('[1]2_inventory_total_details'!$K$8:$K$10000,'[1]2_inventory_total_details'!$C$8:$C$10000,I77,'[1]2_inventory_total_details'!$F$8:$F$10000,quot_location_id,'[1]2_inventory_total_details'!$G$8:$G$10000,"="&amp;Q77,'[1]2_inventory_total_details'!$H$8:$H$10000,"="&amp;R77,'[1]2_inventory_total_details'!$I$8:$I$10000,"="&amp;quot_date)+SUMIFS('[1]2_inventory_total_details'!$L$8:$L$10000,'[1]2_inventory_total_details'!$C$8:$C$10000,I77,'[1]2_inventory_total_details'!$F$8:$F$10000,quot_location_id,'[1]2_inventory_total_details'!$G$8:$G$10000,"="&amp;Q77,'[1]2_inventory_total_details'!$H$8:$H$10000,"="&amp;R77,'[1]2_inventory_total_details'!$I$8:$I$10000,"="&amp;quot_date)))</f>
        <v/>
      </c>
      <c r="AJ77" s="197" t="str">
        <f>IF(M77="","",IF(ISNA(MATCH(I77,'[1]1_group_totals'!$C$8:$C$10000)),0,IF(AW77&gt;0,1,0)))</f>
        <v/>
      </c>
      <c r="AK77" s="197" t="str">
        <f>IF(M77="","",(SUMIFS('[1]1_group_total_details'!$I$8:$I$10000,'[1]1_group_total_details'!$C$8:$C$10000,I77,'[1]1_group_total_details'!$F$8:$F$10000,quot_location_group_id,'[1]1_group_total_details'!$G$8:$G$10000,quot_location_id,'[1]1_group_total_details'!$H$8:$H$10000,"="&amp;quot_date)+SUMIFS('[1]1_group_total_details'!$L$8:$L$10000,'[1]1_group_total_details'!$C$8:$C$10000,I77,'[1]1_group_total_details'!$F$8:$F$10000,quot_location_group_id,'[1]1_group_total_details'!$G$8:$G$10000,quot_location_id,'[1]1_group_total_details'!$H$8:$H$10000,"="&amp;quot_date)+SUMIFS('[1]1_group_total_details'!$N$8:$N$10000,'[1]1_group_total_details'!$C$8:$C$10000,I77,'[1]1_group_total_details'!$F$8:$F$10000,quot_location_group_id,'[1]1_group_total_details'!$G$8:$G$10000,quot_location_id,'[1]1_group_total_details'!$H$8:$H$10000,"="&amp;quot_date)+SUMIFS('[1]1_group_total_details'!$O$8:$O$10000,'[1]1_group_total_details'!$C$8:$C$10000,I77,'[1]1_group_total_details'!$F$8:$F$10000,quot_location_group_id,'[1]1_group_total_details'!$G$8:$G$10000,quot_location_id,'[1]1_group_total_details'!$H$8:$H$10000,"="&amp;quot_date))+(SUMIFS('[1]1_group_total_details'!$J$8:$J$10000,'[1]1_group_total_details'!$C$8:$C$10000,I77,'[1]1_group_total_details'!$F$8:$F$10000,quot_location_group_id,'[1]1_group_total_details'!$G$8:$G$10000,quot_location_id,'[1]1_group_total_details'!$H$8:$H$10000,"="&amp;quot_date)+SUMIFS('[1]1_group_total_details'!$K$8:$K$10000,'[1]1_group_total_details'!$C$8:$C$10000,I77,'[1]1_group_total_details'!$F$8:$F$10000,quot_location_group_id,'[1]1_group_total_details'!$G$8:$G$10000,quot_location_id,'[1]1_group_total_details'!$H$8:$H$10000,"="&amp;quot_date)+SUMIFS('[1]1_group_total_details'!$M$8:$M$10000,'[1]1_group_total_details'!$C$8:$C$10000,I77,'[1]1_group_total_details'!$F$8:$F$10000,quot_location_group_id,'[1]1_group_total_details'!$G$8:$G$10000,quot_location_id,'[1]1_group_total_details'!$H$8:$H$10000,"="&amp;quot_date)+SUMIFS('[1]1_group_total_details'!$P$8:$P$10000,'[1]1_group_total_details'!$C$8:$C$10000,I77,'[1]1_group_total_details'!$F$8:$F$10000,quot_location_group_id,'[1]1_group_total_details'!$G$8:$G$10000,quot_location_id,'[1]1_group_total_details'!$H$8:$H$10000,"="&amp;quot_date)))</f>
        <v/>
      </c>
      <c r="AL77" s="197" t="str">
        <f>IF(M77="","",(SUMIFS('[1]1_group_total_details'!$I$8:$I$10000,'[1]1_group_total_details'!$C$8:$C$10000,I77,'[1]1_group_total_details'!$F$8:$F$10000,quot_location_group_id,'[1]1_group_total_details'!$G$8:$G$10000,quot_location_id,'[1]1_group_total_details'!$H$8:$H$10000,"&lt;="&amp;quot_date)+SUMIFS('[1]1_group_total_details'!$L$8:$L$10000,'[1]1_group_total_details'!$C$8:$C$10000,I77,'[1]1_group_total_details'!$F$8:$F$10000,quot_location_group_id,'[1]1_group_total_details'!$G$8:$G$10000,1,'[1]1_group_total_details'!$H$8:$H$10000,"&lt;="&amp;quot_date)+SUMIFS('[1]1_group_total_details'!$N$8:$N$10000,'[1]1_group_total_details'!$C$8:$C$10000,I77,'[1]1_group_total_details'!$F$8:$F$10000,quot_location_group_id,'[1]1_group_total_details'!$G$8:$G$10000,quot_location_id,'[1]1_group_total_details'!$H$8:$H$10000,"&lt;="&amp;quot_date)+SUMIFS('[1]1_group_total_details'!$O$8:$O$10000,'[1]1_group_total_details'!$C$8:$C$10000,I77,'[1]1_group_total_details'!$F$8:$F$10000,quot_location_group_id,'[1]1_group_total_details'!$G$8:$G$10000,quot_location_id,'[1]1_group_total_details'!$H$8:$H$10000,"&lt;="&amp;quot_date))-(SUMIFS('[1]1_group_total_details'!$J$8:$J$10000,'[1]1_group_total_details'!$C$8:$C$10000,I77,'[1]1_group_total_details'!$F$8:$F$10000,quot_location_group_id,'[1]1_group_total_details'!$G$8:$G$10000,quot_location_id,'[1]1_group_total_details'!$H$8:$H$10000,"&lt;="&amp;quot_date)+SUMIFS('[1]1_group_total_details'!$K$8:$K$10000,'[1]1_group_total_details'!$C$8:$C$10000,I77,'[1]1_group_total_details'!$F$8:$F$10000,quot_location_group_id,'[1]1_group_total_details'!$G$8:$G$10000,quot_location_id,'[1]1_group_total_details'!$H$8:$H$10000,"&lt;="&amp;quot_date)+SUMIFS('[1]1_group_total_details'!$M$8:$M$10000,'[1]1_group_total_details'!$C$8:$C$10000,I77,'[1]1_group_total_details'!$F$8:$F$10000,quot_location_group_id,'[1]1_group_total_details'!$G$8:$G$10000,quot_location_id,'[1]1_group_total_details'!$H$8:$H$10000,"&lt;="&amp;quot_date)+SUMIFS('[1]1_group_total_details'!$P$8:$P$10000,'[1]1_group_total_details'!$C$8:$C$10000,I77,'[1]1_group_total_details'!$F$8:$F$10000,quot_location_group_id,'[1]1_group_total_details'!$G$8:$G$10000,quot_location_id,'[1]1_group_total_details'!$H$8:$H$10000,"&lt;="&amp;quot_date)))</f>
        <v/>
      </c>
      <c r="AM77" s="197" t="str">
        <f>IF(M77="","",SUMIFS('[1]1_group_totals'!$J$8:$J$10000,'[1]1_group_totals'!$C$8:$C$10000,I77,'[1]1_group_totals'!$F$8:$F$10000,quot_location_group_id,'[1]1_group_totals'!$G$8:$G$10000,quot_location_id,'[1]1_group_totals'!$H$8:$H$10000,"="&amp;Q77,'[1]1_group_totals'!$I$8:$I$10000,"="&amp;R77))</f>
        <v/>
      </c>
      <c r="AN77" s="197" t="str">
        <f t="shared" si="284"/>
        <v/>
      </c>
      <c r="AO77" s="197" t="str">
        <f>IF(OR(ISNA(MATCH(MID(AN77,1,3)*1,UomConversion!$D$8:$D$500,0)),M77=""),"",IF(AT77="","",AT77))</f>
        <v/>
      </c>
      <c r="AP77" s="197" t="str">
        <f>IF(AND(AQ77&gt;0,COUNTIFS(UomConversion!$D$8:$D$500,MID(AN77,1,3)*1,UomConversion!$J$8:$J$500,1)&gt;1),TEXT(AQ77,"000")&amp;"."&amp;VLOOKUP(AQ77,uom_list,5,FALSE),"")</f>
        <v/>
      </c>
      <c r="AQ77" s="197" t="str">
        <f t="shared" si="295"/>
        <v/>
      </c>
      <c r="AR77" s="197" t="str">
        <f t="shared" si="296"/>
        <v/>
      </c>
      <c r="AS77" s="197" t="str">
        <f>IF(M77="","",SUMIFS(ProductPrice!$N$28:$N$10020,ProductPrice!$D$28:$D$10020,I77,ProductPrice!$G$28:$G$10020,quot_branch_id,ProductPrice!$H$28:$H$10020,quot_price_type_id,ProductPrice!$I$28:$I$10020,MID(P77,1,3)*1,ProductPrice!$Q$28:$Q$10020,1))</f>
        <v/>
      </c>
      <c r="AT77" s="197" t="str">
        <f t="shared" si="285"/>
        <v/>
      </c>
      <c r="AU77" s="197" t="str" cm="1">
        <f t="array" ref="AU77">IF(M77="","",IF(ISNA(Slookup(MID(AN77,1,3)*1,UomConversion!$D$8:$J$500,2,UomConversion!$I$8:$I$500,1,UomConversion!$J$8:$J$500,1)),"",Slookup(MID(AN77,1,3)*1,UomConversion!$D$8:$J$500,2,UomConversion!$I$8:$I$500,1,UomConversion!$J$8:$J$500,1)))</f>
        <v/>
      </c>
      <c r="AV77" s="197" t="str">
        <f t="shared" ref="AV77" si="317">IF(M77="","",IF(quot_location_id=1,BA77,IF(quot_location_id=2,BB77,0)))</f>
        <v/>
      </c>
      <c r="AW77" s="197" t="str">
        <f>IF(M77="","",(SUMIFS('[1]1_group_totals'!$K$8:$K$10000,'[1]1_group_totals'!$C$8:$C$10000,I77,'[1]1_group_totals'!$F$8:$F$10000,quot_location_group_id,'[1]1_group_totals'!$G$8:$G$10000,quot_location_id,'[1]1_group_totals'!$H$8:$H$10000,"="&amp;Q77,'[1]1_group_totals'!$I$8:$I$10000,"="&amp;R77)+SUMIFS('[1]1_group_totals'!$N$8:$N$10000,'[1]1_group_totals'!$C$8:$C$10000,I77,'[1]1_group_totals'!$F$8:$F$10000,quot_location_group_id,'[1]1_group_totals'!$G$8:$G$10000,quot_location_id,'[1]1_group_totals'!$H$8:$H$10000,"="&amp;Q77,'[1]1_group_totals'!$I$8:$I$10000,"="&amp;R77)+SUMIFS('[1]1_group_totals'!$P$8:$P$10000,'[1]1_group_totals'!$C$8:$C$10000,I77,'[1]1_group_totals'!$F$8:$F$10000,quot_location_group_id,'[1]1_group_totals'!$G$8:$G$10000,quot_location_id,'[1]1_group_totals'!$H$8:$H$10000,"="&amp;Q77,'[1]1_group_totals'!$I$8:$I$10000,"="&amp;R77)+SUMIFS('[1]1_group_totals'!$Q$8:$Q$10000,'[1]1_group_totals'!$C$8:$C$10000,I77,'[1]1_group_totals'!$F$8:$F$10000,quot_location_group_id,'[1]1_group_totals'!$G$8:$G$10000,quot_location_id,'[1]1_group_totals'!$H$8:$H$10000,"="&amp;Q77,'[1]1_group_totals'!$I$8:$I$10000,"="&amp;R77))+(SUMIFS('[1]1_group_totals'!$L$8:$L$10000,'[1]1_group_totals'!$C$8:$C$10000,I77,'[1]1_group_totals'!$F$8:$F$10000,quot_location_group_id,'[1]1_group_totals'!$G$8:$G$10000,quot_location_id,'[1]1_group_totals'!$H$8:$H$10000,"="&amp;Q77,'[1]1_group_totals'!$I$8:$I$10000,"="&amp;R77)+SUMIFS('[1]1_group_totals'!$M$8:$M$10000,'[1]1_group_totals'!$C$8:$C$10000,I77,'[1]1_group_totals'!$F$8:$F$10000,quot_location_group_id,'[1]1_group_totals'!$G$8:$G$10000,quot_location_id,'[1]1_group_totals'!$H$8:$H$10000,"="&amp;Q77,'[1]1_group_totals'!$I$8:$I$10000,"="&amp;R77)+SUMIFS('[1]1_group_totals'!$O$8:$O$10000,'[1]1_group_totals'!$C$8:$C$10000,I77,'[1]1_group_totals'!$F$8:$F$10000,quot_location_group_id,'[1]1_group_totals'!$G$8:$G$10000,quot_location_id,'[1]1_group_totals'!$H$8:$H$10000,"="&amp;Q77,'[1]1_group_totals'!$I$8:$I$10000,"="&amp;R77)+SUMIFS('[1]1_group_totals'!$R$8:$R$10000,'[1]1_group_totals'!$C$8:$C$10000,I77,'[1]1_group_totals'!$F$8:$F$10000,quot_location_group_id,'[1]1_group_totals'!$G$8:$G$10000,quot_location_id,'[1]1_group_totals'!$H$8:$H$10000,"="&amp;Q77,'[1]1_group_totals'!$I$8:$I$10000,"="&amp;R77)))</f>
        <v/>
      </c>
      <c r="AX77" s="197" t="str">
        <f t="shared" si="298"/>
        <v/>
      </c>
      <c r="AY77" s="197" t="str">
        <f>IF(M77="","",SUMIFS($AX$8:AX77,$I$8:I77,I77))</f>
        <v/>
      </c>
      <c r="AZ77" s="197" t="str">
        <f t="shared" si="299"/>
        <v/>
      </c>
      <c r="BA77" s="197" t="str">
        <f>IF(M77="","",(SUMIFS('[1]1_inventory_totals'!$I$8:$I$10000,'[1]1_inventory_totals'!$C$8:$C$10000,I77,'[1]1_inventory_totals'!$F$8:$F$10000,"="&amp;Q77,'[1]1_inventory_totals'!$G$8:$G$10000,"="&amp;R77)+SUMIFS('[1]1_inventory_totals'!$N$8:$N$10000,'[1]1_inventory_totals'!$C$8:$C$10000,I77,'[1]1_inventory_totals'!$F$8:$F$10000,"="&amp;Q77,'[1]1_inventory_totals'!$G$8:$G$10000,"="&amp;R77)+SUMIFS('[1]1_inventory_totals'!$P$8:$P$10000,'[1]1_inventory_totals'!$C$8:$C$10000,I77,'[1]1_inventory_totals'!$F$8:$F$10000,"="&amp;Q77,'[1]1_inventory_totals'!$G$8:$G$10000,"="&amp;R77)+SUMIFS('[1]1_inventory_totals'!$Q$8:$Q$10000,'[1]1_inventory_totals'!$C$8:$C$10000,I77,'[1]1_inventory_totals'!$F$8:$F$10000,"="&amp;Q77,'[1]1_inventory_totals'!$G$8:$G$10000,"="&amp;R77)+SUMIFS('[1]1_inventory_totals'!$R$8:$R$10000,'[1]1_inventory_totals'!$C$8:$C$10000,I77,'[1]1_inventory_totals'!$F$8:$F$10000,"="&amp;Q77,'[1]1_inventory_totals'!$G$8:$G$10000,"="&amp;R77))+(SUMIFS('[1]1_inventory_totals'!$J$8:$J$10000,'[1]1_inventory_totals'!$C$8:$C$10000,I77,'[1]1_inventory_totals'!$F$8:$F$10000,"="&amp;Q77,'[1]1_inventory_totals'!$G$8:$G$10000,"="&amp;R77)+SUMIFS('[1]1_inventory_totals'!$K$8:$K$10000,'[1]1_inventory_totals'!$C$8:$C$10000,I77,'[1]1_inventory_totals'!$F$8:$F$10000,"="&amp;Q77,'[1]1_inventory_totals'!$G$8:$G$10000,"="&amp;R77)+SUMIFS('[1]1_inventory_totals'!$L$8:$L$10000,'[1]1_inventory_totals'!$C$8:$C$10000,I77,'[1]1_inventory_totals'!$F$8:$F$10000,"="&amp;Q77,'[1]1_inventory_totals'!$G$8:$G$10000,"="&amp;R77)+SUMIFS('[1]1_inventory_totals'!$M$8:$M$10000,'[1]1_inventory_totals'!$C$8:$C$10000,I77,'[1]1_inventory_totals'!$F$8:$F$10000,"="&amp;Q77,'[1]1_inventory_totals'!$G$8:$G$10000,"="&amp;R77)+SUMIFS('[1]1_inventory_totals'!$O$8:$O$10000,'[1]1_inventory_totals'!$C$8:$C$10000,I77,'[1]1_inventory_totals'!$F$8:$F$10000,"="&amp;Q77,'[1]1_inventory_totals'!$G$8:$G$10000,"="&amp;R77)+SUMIFS('[1]1_inventory_totals'!$S$8:$S$10000,'[1]1_inventory_totals'!$C$8:$C$10000,I77,'[1]1_inventory_totals'!$F$8:$F$10000,"="&amp;Q77,'[1]1_inventory_totals'!$G$8:$G$10000,"="&amp;R77)))</f>
        <v/>
      </c>
      <c r="BB77" s="197" t="str">
        <f>IF(M77="","",(SUMIFS('[1]2_inventory_totals'!$I$8:$I$10000,'[1]2_inventory_totals'!$C$8:$C$10000,I77,'[1]2_inventory_totals'!$F$8:$F$10000,"="&amp;Q77,'[1]2_inventory_totals'!$G$8:$G$10000,"="&amp;R77)+SUMIFS('[1]2_inventory_totals'!$N$8:$N$10000,'[1]2_inventory_totals'!$C$8:$C$10000,I77,'[1]2_inventory_totals'!$F$8:$F$10000,"="&amp;Q77,'[1]2_inventory_totals'!$G$8:$G$10000,"="&amp;R77)+SUMIFS('[1]2_inventory_totals'!$P$8:$P$10000,'[1]2_inventory_totals'!$C$8:$C$10000,I77,'[1]2_inventory_totals'!$F$8:$F$10000,"="&amp;Q77,'[1]2_inventory_totals'!$G$8:$G$10000,"="&amp;R77)+SUMIFS('[1]2_inventory_totals'!$Q$8:$Q$10000,'[1]2_inventory_totals'!$C$8:$C$10000,I77,'[1]2_inventory_totals'!$F$8:$F$10000,"="&amp;Q77,'[1]2_inventory_totals'!$G$8:$G$10000,"="&amp;R77)+SUMIFS('[1]2_inventory_totals'!$R$8:$R$10000,'[1]2_inventory_totals'!$C$8:$C$10000,I77,'[1]2_inventory_totals'!$F$8:$F$10000,"="&amp;Q77,'[1]2_inventory_totals'!$G$8:$G$10000,"="&amp;R77))+(SUMIFS('[1]2_inventory_totals'!$J$8:$J$10000,'[1]2_inventory_totals'!$C$8:$C$10000,I77,'[1]2_inventory_totals'!$F$8:$F$10000,"="&amp;Q77,'[1]2_inventory_totals'!$G$8:$G$10000,"="&amp;R77)+SUMIFS('[1]2_inventory_totals'!$K$8:$K$10000,'[1]2_inventory_totals'!$C$8:$C$10000,I77,'[1]2_inventory_totals'!$F$8:$F$10000,"="&amp;Q77,'[1]2_inventory_totals'!$G$8:$G$10000,"="&amp;R77)+SUMIFS('[1]2_inventory_totals'!$L$8:$L$10000,'[1]2_inventory_totals'!$C$8:$C$10000,I77,'[1]2_inventory_totals'!$F$8:$F$10000,"="&amp;Q77,'[1]2_inventory_totals'!$G$8:$G$10000,"="&amp;R77)+SUMIFS('[1]2_inventory_totals'!$M$8:$M$10000,'[1]2_inventory_totals'!$C$8:$C$10000,I77,'[1]2_inventory_totals'!$F$8:$F$10000,"="&amp;Q77,'[1]2_inventory_totals'!$G$8:$G$10000,"="&amp;R77)+SUMIFS('[1]2_inventory_totals'!$O$8:$O$10000,'[1]2_inventory_totals'!$C$8:$C$10000,I77,'[1]2_inventory_totals'!$F$8:$F$10000,"="&amp;Q77,'[1]2_inventory_totals'!$G$8:$G$10000,"="&amp;R77)+SUMIFS('[1]2_inventory_totals'!$S$8:$S$10000,'[1]2_inventory_totals'!$C$8:$C$10000,I77,'[1]2_inventory_totals'!$F$8:$F$10000,"="&amp;Q77,'[1]2_inventory_totals'!$G$8:$G$10000,"="&amp;R77)))</f>
        <v/>
      </c>
    </row>
    <row r="78" spans="1:54" ht="27" hidden="1" customHeight="1">
      <c r="A78" s="923"/>
      <c r="B78" s="1256"/>
      <c r="C78" s="950"/>
      <c r="D78" s="950"/>
      <c r="E78" s="950"/>
      <c r="F78" s="1257"/>
      <c r="G78" s="941"/>
      <c r="H78" s="951"/>
      <c r="I78" s="1610" t="str">
        <f t="shared" si="287"/>
        <v/>
      </c>
      <c r="J78" s="1611" t="str">
        <f t="shared" si="112"/>
        <v/>
      </c>
      <c r="K78" s="1612" t="str">
        <f t="shared" si="309"/>
        <v/>
      </c>
      <c r="L78" s="1613"/>
      <c r="M78" s="883"/>
      <c r="N78" s="884"/>
      <c r="O78" s="884"/>
      <c r="P78" s="885"/>
      <c r="Q78" s="886"/>
      <c r="R78" s="891"/>
      <c r="S78" s="1614" t="str">
        <f t="shared" ref="S78" si="318">IF(M78="","",quot_currency_symbol)</f>
        <v/>
      </c>
      <c r="T78" s="888"/>
      <c r="U78" s="1650" t="str">
        <f t="shared" si="289"/>
        <v/>
      </c>
      <c r="V78" s="1615" t="str">
        <f t="shared" ref="V78" si="319">IF(W78=0,"",quot_currency_symbol)</f>
        <v/>
      </c>
      <c r="W78" s="889"/>
      <c r="X78" s="1615" t="str">
        <f t="shared" ref="X78" si="320">IF(M78="","",quot_currency_symbol)</f>
        <v/>
      </c>
      <c r="Y78" s="1616" t="str">
        <f t="shared" si="307"/>
        <v/>
      </c>
      <c r="Z78" s="890"/>
      <c r="AA78" s="197" t="str" cm="1">
        <f t="array" ref="AA78">IF(M78="","",IF(P78=AN78,1,Slookup(MID(AN78,1,3)*1,UomConversion!$D$8:$J$500,5,UomConversion!$E$8:$E$500,MID(P78,1,3)*1,UomConversion!$J$8:$J$500,1)))</f>
        <v/>
      </c>
      <c r="AB78" s="197" t="str">
        <f t="shared" si="281"/>
        <v/>
      </c>
      <c r="AC78" s="197" t="str">
        <f t="shared" si="292"/>
        <v/>
      </c>
      <c r="AD78" s="197" t="str">
        <f t="shared" si="293"/>
        <v/>
      </c>
      <c r="AE78" s="197" t="str">
        <f t="shared" si="294"/>
        <v/>
      </c>
      <c r="AF78" s="197" t="str">
        <f t="shared" si="282"/>
        <v/>
      </c>
      <c r="AG78" s="197" t="str">
        <f t="shared" si="283"/>
        <v/>
      </c>
      <c r="AH78" s="197" t="str">
        <f>IF(I78="","",IF(ISNA(MATCH(I78,IF(quot_location_id=1,'[1]1_inventory_totals'!$C$8:$C$10000,IF(quot_location_id=2,'[1]2_inventory_totals'!$C$8:$C$10000,0)),0)),0,IF(AV78&gt;0,1,0)))</f>
        <v/>
      </c>
      <c r="AI78" s="197" t="str">
        <f>IF(M78="","",IF(quot_location_id=1,SUMIFS('[1]1_inventory_total_details'!$J$8:$J$10000,'[1]1_inventory_total_details'!$C$8:$C$10000,I78,'[1]1_inventory_total_details'!$F$8:$F$10000,quot_location_id,'[1]1_inventory_total_details'!$G$8:$G$10000,"="&amp;Q78,'[1]1_inventory_total_details'!$H$8:$H$10000,"="&amp;R78,'[1]1_inventory_total_details'!$I$8:$I$10000,"="&amp;quot_date)+SUMIFS('[1]1_inventory_total_details'!$M$8:$M$10000,'[1]1_inventory_total_details'!$C$8:$C$10000,I78,'[1]1_inventory_total_details'!$F$8:$F$10000,quot_location_id,'[1]1_inventory_total_details'!$G$8:$G$10000,"="&amp;Q78,'[1]1_inventory_total_details'!$H$8:$H$10000,"="&amp;R78,'[1]1_inventory_total_details'!$I$8:$I$10000,"="&amp;quot_date)+SUMIFS('[1]1_inventory_total_details'!$K$8:$K$10000,'[1]1_inventory_total_details'!$C$8:$C$10000,I78,'[1]1_inventory_total_details'!$F$8:$F$10000,quot_location_id,'[1]1_inventory_total_details'!$G$8:$G$10000,"="&amp;Q78,'[1]1_inventory_total_details'!$H$8:$H$10000,"="&amp;R78,'[1]1_inventory_total_details'!$I$8:$I$10000,"="&amp;quot_date)+SUMIFS('[1]1_inventory_total_details'!$L$8:$L$10000,'[1]1_inventory_total_details'!$C$8:$C$10000,I78,'[1]1_inventory_total_details'!$F$8:$F$10000,quot_location_id,'[1]1_inventory_total_details'!$G$8:$G$10000,"="&amp;Q78,'[1]1_inventory_total_details'!$H$8:$H$10000,"="&amp;R78,'[1]1_inventory_total_details'!$I$8:$I$10000,"="&amp;quot_date),SUMIFS('[1]2_inventory_total_details'!$J$8:$J$10000,'[1]2_inventory_total_details'!$C$8:$C$10000,I78,'[1]2_inventory_total_details'!$F$8:$F$10000,quot_location_id,'[1]2_inventory_total_details'!$G$8:$G$10000,"="&amp;Q78,'[1]2_inventory_total_details'!$H$8:$H$10000,"="&amp;R78,'[1]2_inventory_total_details'!$I$8:$I$10000,"="&amp;quot_date)+SUMIFS('[1]2_inventory_total_details'!$M$8:$M$10000,'[1]2_inventory_total_details'!$C$8:$C$10000,I78,'[1]2_inventory_total_details'!$F$8:$F$10000,quot_location_id,'[1]2_inventory_total_details'!$G$8:$G$10000,"="&amp;Q78,'[1]2_inventory_total_details'!$H$8:$H$10000,"="&amp;R78,'[1]2_inventory_total_details'!$I$8:$I$10000,"="&amp;quot_date)+SUMIFS('[1]2_inventory_total_details'!$K$8:$K$10000,'[1]2_inventory_total_details'!$C$8:$C$10000,I78,'[1]2_inventory_total_details'!$F$8:$F$10000,quot_location_id,'[1]2_inventory_total_details'!$G$8:$G$10000,"="&amp;Q78,'[1]2_inventory_total_details'!$H$8:$H$10000,"="&amp;R78,'[1]2_inventory_total_details'!$I$8:$I$10000,"="&amp;quot_date)+SUMIFS('[1]2_inventory_total_details'!$L$8:$L$10000,'[1]2_inventory_total_details'!$C$8:$C$10000,I78,'[1]2_inventory_total_details'!$F$8:$F$10000,quot_location_id,'[1]2_inventory_total_details'!$G$8:$G$10000,"="&amp;Q78,'[1]2_inventory_total_details'!$H$8:$H$10000,"="&amp;R78,'[1]2_inventory_total_details'!$I$8:$I$10000,"="&amp;quot_date)))</f>
        <v/>
      </c>
      <c r="AJ78" s="197" t="str">
        <f>IF(M78="","",IF(ISNA(MATCH(I78,'[1]1_group_totals'!$C$8:$C$10000)),0,IF(AW78&gt;0,1,0)))</f>
        <v/>
      </c>
      <c r="AK78" s="197" t="str">
        <f>IF(M78="","",(SUMIFS('[1]1_group_total_details'!$I$8:$I$10000,'[1]1_group_total_details'!$C$8:$C$10000,I78,'[1]1_group_total_details'!$F$8:$F$10000,quot_location_group_id,'[1]1_group_total_details'!$G$8:$G$10000,quot_location_id,'[1]1_group_total_details'!$H$8:$H$10000,"="&amp;quot_date)+SUMIFS('[1]1_group_total_details'!$L$8:$L$10000,'[1]1_group_total_details'!$C$8:$C$10000,I78,'[1]1_group_total_details'!$F$8:$F$10000,quot_location_group_id,'[1]1_group_total_details'!$G$8:$G$10000,quot_location_id,'[1]1_group_total_details'!$H$8:$H$10000,"="&amp;quot_date)+SUMIFS('[1]1_group_total_details'!$N$8:$N$10000,'[1]1_group_total_details'!$C$8:$C$10000,I78,'[1]1_group_total_details'!$F$8:$F$10000,quot_location_group_id,'[1]1_group_total_details'!$G$8:$G$10000,quot_location_id,'[1]1_group_total_details'!$H$8:$H$10000,"="&amp;quot_date)+SUMIFS('[1]1_group_total_details'!$O$8:$O$10000,'[1]1_group_total_details'!$C$8:$C$10000,I78,'[1]1_group_total_details'!$F$8:$F$10000,quot_location_group_id,'[1]1_group_total_details'!$G$8:$G$10000,quot_location_id,'[1]1_group_total_details'!$H$8:$H$10000,"="&amp;quot_date))+(SUMIFS('[1]1_group_total_details'!$J$8:$J$10000,'[1]1_group_total_details'!$C$8:$C$10000,I78,'[1]1_group_total_details'!$F$8:$F$10000,quot_location_group_id,'[1]1_group_total_details'!$G$8:$G$10000,quot_location_id,'[1]1_group_total_details'!$H$8:$H$10000,"="&amp;quot_date)+SUMIFS('[1]1_group_total_details'!$K$8:$K$10000,'[1]1_group_total_details'!$C$8:$C$10000,I78,'[1]1_group_total_details'!$F$8:$F$10000,quot_location_group_id,'[1]1_group_total_details'!$G$8:$G$10000,quot_location_id,'[1]1_group_total_details'!$H$8:$H$10000,"="&amp;quot_date)+SUMIFS('[1]1_group_total_details'!$M$8:$M$10000,'[1]1_group_total_details'!$C$8:$C$10000,I78,'[1]1_group_total_details'!$F$8:$F$10000,quot_location_group_id,'[1]1_group_total_details'!$G$8:$G$10000,quot_location_id,'[1]1_group_total_details'!$H$8:$H$10000,"="&amp;quot_date)+SUMIFS('[1]1_group_total_details'!$P$8:$P$10000,'[1]1_group_total_details'!$C$8:$C$10000,I78,'[1]1_group_total_details'!$F$8:$F$10000,quot_location_group_id,'[1]1_group_total_details'!$G$8:$G$10000,quot_location_id,'[1]1_group_total_details'!$H$8:$H$10000,"="&amp;quot_date)))</f>
        <v/>
      </c>
      <c r="AL78" s="197" t="str">
        <f>IF(M78="","",(SUMIFS('[1]1_group_total_details'!$I$8:$I$10000,'[1]1_group_total_details'!$C$8:$C$10000,I78,'[1]1_group_total_details'!$F$8:$F$10000,quot_location_group_id,'[1]1_group_total_details'!$G$8:$G$10000,quot_location_id,'[1]1_group_total_details'!$H$8:$H$10000,"&lt;="&amp;quot_date)+SUMIFS('[1]1_group_total_details'!$L$8:$L$10000,'[1]1_group_total_details'!$C$8:$C$10000,I78,'[1]1_group_total_details'!$F$8:$F$10000,quot_location_group_id,'[1]1_group_total_details'!$G$8:$G$10000,1,'[1]1_group_total_details'!$H$8:$H$10000,"&lt;="&amp;quot_date)+SUMIFS('[1]1_group_total_details'!$N$8:$N$10000,'[1]1_group_total_details'!$C$8:$C$10000,I78,'[1]1_group_total_details'!$F$8:$F$10000,quot_location_group_id,'[1]1_group_total_details'!$G$8:$G$10000,quot_location_id,'[1]1_group_total_details'!$H$8:$H$10000,"&lt;="&amp;quot_date)+SUMIFS('[1]1_group_total_details'!$O$8:$O$10000,'[1]1_group_total_details'!$C$8:$C$10000,I78,'[1]1_group_total_details'!$F$8:$F$10000,quot_location_group_id,'[1]1_group_total_details'!$G$8:$G$10000,quot_location_id,'[1]1_group_total_details'!$H$8:$H$10000,"&lt;="&amp;quot_date))-(SUMIFS('[1]1_group_total_details'!$J$8:$J$10000,'[1]1_group_total_details'!$C$8:$C$10000,I78,'[1]1_group_total_details'!$F$8:$F$10000,quot_location_group_id,'[1]1_group_total_details'!$G$8:$G$10000,quot_location_id,'[1]1_group_total_details'!$H$8:$H$10000,"&lt;="&amp;quot_date)+SUMIFS('[1]1_group_total_details'!$K$8:$K$10000,'[1]1_group_total_details'!$C$8:$C$10000,I78,'[1]1_group_total_details'!$F$8:$F$10000,quot_location_group_id,'[1]1_group_total_details'!$G$8:$G$10000,quot_location_id,'[1]1_group_total_details'!$H$8:$H$10000,"&lt;="&amp;quot_date)+SUMIFS('[1]1_group_total_details'!$M$8:$M$10000,'[1]1_group_total_details'!$C$8:$C$10000,I78,'[1]1_group_total_details'!$F$8:$F$10000,quot_location_group_id,'[1]1_group_total_details'!$G$8:$G$10000,quot_location_id,'[1]1_group_total_details'!$H$8:$H$10000,"&lt;="&amp;quot_date)+SUMIFS('[1]1_group_total_details'!$P$8:$P$10000,'[1]1_group_total_details'!$C$8:$C$10000,I78,'[1]1_group_total_details'!$F$8:$F$10000,quot_location_group_id,'[1]1_group_total_details'!$G$8:$G$10000,quot_location_id,'[1]1_group_total_details'!$H$8:$H$10000,"&lt;="&amp;quot_date)))</f>
        <v/>
      </c>
      <c r="AM78" s="197" t="str">
        <f>IF(M78="","",SUMIFS('[1]1_group_totals'!$J$8:$J$10000,'[1]1_group_totals'!$C$8:$C$10000,I78,'[1]1_group_totals'!$F$8:$F$10000,quot_location_group_id,'[1]1_group_totals'!$G$8:$G$10000,quot_location_id,'[1]1_group_totals'!$H$8:$H$10000,"="&amp;Q78,'[1]1_group_totals'!$I$8:$I$10000,"="&amp;R78))</f>
        <v/>
      </c>
      <c r="AN78" s="197" t="str">
        <f t="shared" si="284"/>
        <v/>
      </c>
      <c r="AO78" s="197" t="str">
        <f>IF(OR(ISNA(MATCH(MID(AN78,1,3)*1,UomConversion!$D$8:$D$500,0)),M78=""),"",IF(AT78="","",AT78))</f>
        <v/>
      </c>
      <c r="AP78" s="197" t="str">
        <f>IF(AND(AQ78&gt;0,COUNTIFS(UomConversion!$D$8:$D$500,MID(AN78,1,3)*1,UomConversion!$J$8:$J$500,1)&gt;1),TEXT(AQ78,"000")&amp;"."&amp;VLOOKUP(AQ78,uom_list,5,FALSE),"")</f>
        <v/>
      </c>
      <c r="AQ78" s="197" t="str">
        <f t="shared" si="295"/>
        <v/>
      </c>
      <c r="AR78" s="197" t="str">
        <f t="shared" si="296"/>
        <v/>
      </c>
      <c r="AS78" s="197" t="str">
        <f>IF(M78="","",SUMIFS(ProductPrice!$N$28:$N$10020,ProductPrice!$D$28:$D$10020,I78,ProductPrice!$G$28:$G$10020,quot_branch_id,ProductPrice!$H$28:$H$10020,quot_price_type_id,ProductPrice!$I$28:$I$10020,MID(P78,1,3)*1,ProductPrice!$Q$28:$Q$10020,1))</f>
        <v/>
      </c>
      <c r="AT78" s="197" t="str">
        <f t="shared" si="285"/>
        <v/>
      </c>
      <c r="AU78" s="197" t="str" cm="1">
        <f t="array" ref="AU78">IF(M78="","",IF(ISNA(Slookup(MID(AN78,1,3)*1,UomConversion!$D$8:$J$500,2,UomConversion!$I$8:$I$500,1,UomConversion!$J$8:$J$500,1)),"",Slookup(MID(AN78,1,3)*1,UomConversion!$D$8:$J$500,2,UomConversion!$I$8:$I$500,1,UomConversion!$J$8:$J$500,1)))</f>
        <v/>
      </c>
      <c r="AV78" s="197" t="str">
        <f t="shared" ref="AV78" si="321">IF(M78="","",IF(quot_location_id=1,BA78,IF(quot_location_id=2,BB78,0)))</f>
        <v/>
      </c>
      <c r="AW78" s="197" t="str">
        <f>IF(M78="","",(SUMIFS('[1]1_group_totals'!$K$8:$K$10000,'[1]1_group_totals'!$C$8:$C$10000,I78,'[1]1_group_totals'!$F$8:$F$10000,quot_location_group_id,'[1]1_group_totals'!$G$8:$G$10000,quot_location_id,'[1]1_group_totals'!$H$8:$H$10000,"="&amp;Q78,'[1]1_group_totals'!$I$8:$I$10000,"="&amp;R78)+SUMIFS('[1]1_group_totals'!$N$8:$N$10000,'[1]1_group_totals'!$C$8:$C$10000,I78,'[1]1_group_totals'!$F$8:$F$10000,quot_location_group_id,'[1]1_group_totals'!$G$8:$G$10000,quot_location_id,'[1]1_group_totals'!$H$8:$H$10000,"="&amp;Q78,'[1]1_group_totals'!$I$8:$I$10000,"="&amp;R78)+SUMIFS('[1]1_group_totals'!$P$8:$P$10000,'[1]1_group_totals'!$C$8:$C$10000,I78,'[1]1_group_totals'!$F$8:$F$10000,quot_location_group_id,'[1]1_group_totals'!$G$8:$G$10000,quot_location_id,'[1]1_group_totals'!$H$8:$H$10000,"="&amp;Q78,'[1]1_group_totals'!$I$8:$I$10000,"="&amp;R78)+SUMIFS('[1]1_group_totals'!$Q$8:$Q$10000,'[1]1_group_totals'!$C$8:$C$10000,I78,'[1]1_group_totals'!$F$8:$F$10000,quot_location_group_id,'[1]1_group_totals'!$G$8:$G$10000,quot_location_id,'[1]1_group_totals'!$H$8:$H$10000,"="&amp;Q78,'[1]1_group_totals'!$I$8:$I$10000,"="&amp;R78))+(SUMIFS('[1]1_group_totals'!$L$8:$L$10000,'[1]1_group_totals'!$C$8:$C$10000,I78,'[1]1_group_totals'!$F$8:$F$10000,quot_location_group_id,'[1]1_group_totals'!$G$8:$G$10000,quot_location_id,'[1]1_group_totals'!$H$8:$H$10000,"="&amp;Q78,'[1]1_group_totals'!$I$8:$I$10000,"="&amp;R78)+SUMIFS('[1]1_group_totals'!$M$8:$M$10000,'[1]1_group_totals'!$C$8:$C$10000,I78,'[1]1_group_totals'!$F$8:$F$10000,quot_location_group_id,'[1]1_group_totals'!$G$8:$G$10000,quot_location_id,'[1]1_group_totals'!$H$8:$H$10000,"="&amp;Q78,'[1]1_group_totals'!$I$8:$I$10000,"="&amp;R78)+SUMIFS('[1]1_group_totals'!$O$8:$O$10000,'[1]1_group_totals'!$C$8:$C$10000,I78,'[1]1_group_totals'!$F$8:$F$10000,quot_location_group_id,'[1]1_group_totals'!$G$8:$G$10000,quot_location_id,'[1]1_group_totals'!$H$8:$H$10000,"="&amp;Q78,'[1]1_group_totals'!$I$8:$I$10000,"="&amp;R78)+SUMIFS('[1]1_group_totals'!$R$8:$R$10000,'[1]1_group_totals'!$C$8:$C$10000,I78,'[1]1_group_totals'!$F$8:$F$10000,quot_location_group_id,'[1]1_group_totals'!$G$8:$G$10000,quot_location_id,'[1]1_group_totals'!$H$8:$H$10000,"="&amp;Q78,'[1]1_group_totals'!$I$8:$I$10000,"="&amp;R78)))</f>
        <v/>
      </c>
      <c r="AX78" s="197" t="str">
        <f t="shared" si="298"/>
        <v/>
      </c>
      <c r="AY78" s="197" t="str">
        <f>IF(M78="","",SUMIFS($AX$8:AX78,$I$8:I78,I78))</f>
        <v/>
      </c>
      <c r="AZ78" s="197" t="str">
        <f t="shared" si="299"/>
        <v/>
      </c>
      <c r="BA78" s="197" t="str">
        <f>IF(M78="","",(SUMIFS('[1]1_inventory_totals'!$I$8:$I$10000,'[1]1_inventory_totals'!$C$8:$C$10000,I78,'[1]1_inventory_totals'!$F$8:$F$10000,"="&amp;Q78,'[1]1_inventory_totals'!$G$8:$G$10000,"="&amp;R78)+SUMIFS('[1]1_inventory_totals'!$N$8:$N$10000,'[1]1_inventory_totals'!$C$8:$C$10000,I78,'[1]1_inventory_totals'!$F$8:$F$10000,"="&amp;Q78,'[1]1_inventory_totals'!$G$8:$G$10000,"="&amp;R78)+SUMIFS('[1]1_inventory_totals'!$P$8:$P$10000,'[1]1_inventory_totals'!$C$8:$C$10000,I78,'[1]1_inventory_totals'!$F$8:$F$10000,"="&amp;Q78,'[1]1_inventory_totals'!$G$8:$G$10000,"="&amp;R78)+SUMIFS('[1]1_inventory_totals'!$Q$8:$Q$10000,'[1]1_inventory_totals'!$C$8:$C$10000,I78,'[1]1_inventory_totals'!$F$8:$F$10000,"="&amp;Q78,'[1]1_inventory_totals'!$G$8:$G$10000,"="&amp;R78)+SUMIFS('[1]1_inventory_totals'!$R$8:$R$10000,'[1]1_inventory_totals'!$C$8:$C$10000,I78,'[1]1_inventory_totals'!$F$8:$F$10000,"="&amp;Q78,'[1]1_inventory_totals'!$G$8:$G$10000,"="&amp;R78))+(SUMIFS('[1]1_inventory_totals'!$J$8:$J$10000,'[1]1_inventory_totals'!$C$8:$C$10000,I78,'[1]1_inventory_totals'!$F$8:$F$10000,"="&amp;Q78,'[1]1_inventory_totals'!$G$8:$G$10000,"="&amp;R78)+SUMIFS('[1]1_inventory_totals'!$K$8:$K$10000,'[1]1_inventory_totals'!$C$8:$C$10000,I78,'[1]1_inventory_totals'!$F$8:$F$10000,"="&amp;Q78,'[1]1_inventory_totals'!$G$8:$G$10000,"="&amp;R78)+SUMIFS('[1]1_inventory_totals'!$L$8:$L$10000,'[1]1_inventory_totals'!$C$8:$C$10000,I78,'[1]1_inventory_totals'!$F$8:$F$10000,"="&amp;Q78,'[1]1_inventory_totals'!$G$8:$G$10000,"="&amp;R78)+SUMIFS('[1]1_inventory_totals'!$M$8:$M$10000,'[1]1_inventory_totals'!$C$8:$C$10000,I78,'[1]1_inventory_totals'!$F$8:$F$10000,"="&amp;Q78,'[1]1_inventory_totals'!$G$8:$G$10000,"="&amp;R78)+SUMIFS('[1]1_inventory_totals'!$O$8:$O$10000,'[1]1_inventory_totals'!$C$8:$C$10000,I78,'[1]1_inventory_totals'!$F$8:$F$10000,"="&amp;Q78,'[1]1_inventory_totals'!$G$8:$G$10000,"="&amp;R78)+SUMIFS('[1]1_inventory_totals'!$S$8:$S$10000,'[1]1_inventory_totals'!$C$8:$C$10000,I78,'[1]1_inventory_totals'!$F$8:$F$10000,"="&amp;Q78,'[1]1_inventory_totals'!$G$8:$G$10000,"="&amp;R78)))</f>
        <v/>
      </c>
      <c r="BB78" s="197" t="str">
        <f>IF(M78="","",(SUMIFS('[1]2_inventory_totals'!$I$8:$I$10000,'[1]2_inventory_totals'!$C$8:$C$10000,I78,'[1]2_inventory_totals'!$F$8:$F$10000,"="&amp;Q78,'[1]2_inventory_totals'!$G$8:$G$10000,"="&amp;R78)+SUMIFS('[1]2_inventory_totals'!$N$8:$N$10000,'[1]2_inventory_totals'!$C$8:$C$10000,I78,'[1]2_inventory_totals'!$F$8:$F$10000,"="&amp;Q78,'[1]2_inventory_totals'!$G$8:$G$10000,"="&amp;R78)+SUMIFS('[1]2_inventory_totals'!$P$8:$P$10000,'[1]2_inventory_totals'!$C$8:$C$10000,I78,'[1]2_inventory_totals'!$F$8:$F$10000,"="&amp;Q78,'[1]2_inventory_totals'!$G$8:$G$10000,"="&amp;R78)+SUMIFS('[1]2_inventory_totals'!$Q$8:$Q$10000,'[1]2_inventory_totals'!$C$8:$C$10000,I78,'[1]2_inventory_totals'!$F$8:$F$10000,"="&amp;Q78,'[1]2_inventory_totals'!$G$8:$G$10000,"="&amp;R78)+SUMIFS('[1]2_inventory_totals'!$R$8:$R$10000,'[1]2_inventory_totals'!$C$8:$C$10000,I78,'[1]2_inventory_totals'!$F$8:$F$10000,"="&amp;Q78,'[1]2_inventory_totals'!$G$8:$G$10000,"="&amp;R78))+(SUMIFS('[1]2_inventory_totals'!$J$8:$J$10000,'[1]2_inventory_totals'!$C$8:$C$10000,I78,'[1]2_inventory_totals'!$F$8:$F$10000,"="&amp;Q78,'[1]2_inventory_totals'!$G$8:$G$10000,"="&amp;R78)+SUMIFS('[1]2_inventory_totals'!$K$8:$K$10000,'[1]2_inventory_totals'!$C$8:$C$10000,I78,'[1]2_inventory_totals'!$F$8:$F$10000,"="&amp;Q78,'[1]2_inventory_totals'!$G$8:$G$10000,"="&amp;R78)+SUMIFS('[1]2_inventory_totals'!$L$8:$L$10000,'[1]2_inventory_totals'!$C$8:$C$10000,I78,'[1]2_inventory_totals'!$F$8:$F$10000,"="&amp;Q78,'[1]2_inventory_totals'!$G$8:$G$10000,"="&amp;R78)+SUMIFS('[1]2_inventory_totals'!$M$8:$M$10000,'[1]2_inventory_totals'!$C$8:$C$10000,I78,'[1]2_inventory_totals'!$F$8:$F$10000,"="&amp;Q78,'[1]2_inventory_totals'!$G$8:$G$10000,"="&amp;R78)+SUMIFS('[1]2_inventory_totals'!$O$8:$O$10000,'[1]2_inventory_totals'!$C$8:$C$10000,I78,'[1]2_inventory_totals'!$F$8:$F$10000,"="&amp;Q78,'[1]2_inventory_totals'!$G$8:$G$10000,"="&amp;R78)+SUMIFS('[1]2_inventory_totals'!$S$8:$S$10000,'[1]2_inventory_totals'!$C$8:$C$10000,I78,'[1]2_inventory_totals'!$F$8:$F$10000,"="&amp;Q78,'[1]2_inventory_totals'!$G$8:$G$10000,"="&amp;R78)))</f>
        <v/>
      </c>
    </row>
    <row r="79" spans="1:54" ht="27" hidden="1" customHeight="1">
      <c r="A79" s="923"/>
      <c r="B79" s="1256"/>
      <c r="C79" s="950"/>
      <c r="D79" s="950"/>
      <c r="E79" s="950"/>
      <c r="F79" s="1257"/>
      <c r="G79" s="941"/>
      <c r="H79" s="951"/>
      <c r="I79" s="1610" t="str">
        <f t="shared" si="287"/>
        <v/>
      </c>
      <c r="J79" s="1611" t="str">
        <f t="shared" si="112"/>
        <v/>
      </c>
      <c r="K79" s="1612" t="str">
        <f t="shared" si="309"/>
        <v/>
      </c>
      <c r="L79" s="1613"/>
      <c r="M79" s="883"/>
      <c r="N79" s="884"/>
      <c r="O79" s="884"/>
      <c r="P79" s="885"/>
      <c r="Q79" s="886"/>
      <c r="R79" s="891"/>
      <c r="S79" s="1614" t="str">
        <f t="shared" ref="S79" si="322">IF(M79="","",quot_currency_symbol)</f>
        <v/>
      </c>
      <c r="T79" s="888"/>
      <c r="U79" s="1650" t="str">
        <f t="shared" si="289"/>
        <v/>
      </c>
      <c r="V79" s="1615" t="str">
        <f t="shared" ref="V79" si="323">IF(W79=0,"",quot_currency_symbol)</f>
        <v/>
      </c>
      <c r="W79" s="889"/>
      <c r="X79" s="1615" t="str">
        <f t="shared" ref="X79" si="324">IF(M79="","",quot_currency_symbol)</f>
        <v/>
      </c>
      <c r="Y79" s="1616" t="str">
        <f t="shared" si="307"/>
        <v/>
      </c>
      <c r="Z79" s="890"/>
      <c r="AA79" s="197" t="str" cm="1">
        <f t="array" ref="AA79">IF(M79="","",IF(P79=AN79,1,Slookup(MID(AN79,1,3)*1,UomConversion!$D$8:$J$500,5,UomConversion!$E$8:$E$500,MID(P79,1,3)*1,UomConversion!$J$8:$J$500,1)))</f>
        <v/>
      </c>
      <c r="AB79" s="197" t="str">
        <f t="shared" si="281"/>
        <v/>
      </c>
      <c r="AC79" s="197" t="str">
        <f t="shared" si="292"/>
        <v/>
      </c>
      <c r="AD79" s="197" t="str">
        <f t="shared" si="293"/>
        <v/>
      </c>
      <c r="AE79" s="197" t="str">
        <f t="shared" si="294"/>
        <v/>
      </c>
      <c r="AF79" s="197" t="str">
        <f t="shared" si="282"/>
        <v/>
      </c>
      <c r="AG79" s="197" t="str">
        <f t="shared" si="283"/>
        <v/>
      </c>
      <c r="AH79" s="197" t="str">
        <f>IF(I79="","",IF(ISNA(MATCH(I79,IF(quot_location_id=1,'[1]1_inventory_totals'!$C$8:$C$10000,IF(quot_location_id=2,'[1]2_inventory_totals'!$C$8:$C$10000,0)),0)),0,IF(AV79&gt;0,1,0)))</f>
        <v/>
      </c>
      <c r="AI79" s="197" t="str">
        <f>IF(M79="","",IF(quot_location_id=1,SUMIFS('[1]1_inventory_total_details'!$J$8:$J$10000,'[1]1_inventory_total_details'!$C$8:$C$10000,I79,'[1]1_inventory_total_details'!$F$8:$F$10000,quot_location_id,'[1]1_inventory_total_details'!$G$8:$G$10000,"="&amp;Q79,'[1]1_inventory_total_details'!$H$8:$H$10000,"="&amp;R79,'[1]1_inventory_total_details'!$I$8:$I$10000,"="&amp;quot_date)+SUMIFS('[1]1_inventory_total_details'!$M$8:$M$10000,'[1]1_inventory_total_details'!$C$8:$C$10000,I79,'[1]1_inventory_total_details'!$F$8:$F$10000,quot_location_id,'[1]1_inventory_total_details'!$G$8:$G$10000,"="&amp;Q79,'[1]1_inventory_total_details'!$H$8:$H$10000,"="&amp;R79,'[1]1_inventory_total_details'!$I$8:$I$10000,"="&amp;quot_date)+SUMIFS('[1]1_inventory_total_details'!$K$8:$K$10000,'[1]1_inventory_total_details'!$C$8:$C$10000,I79,'[1]1_inventory_total_details'!$F$8:$F$10000,quot_location_id,'[1]1_inventory_total_details'!$G$8:$G$10000,"="&amp;Q79,'[1]1_inventory_total_details'!$H$8:$H$10000,"="&amp;R79,'[1]1_inventory_total_details'!$I$8:$I$10000,"="&amp;quot_date)+SUMIFS('[1]1_inventory_total_details'!$L$8:$L$10000,'[1]1_inventory_total_details'!$C$8:$C$10000,I79,'[1]1_inventory_total_details'!$F$8:$F$10000,quot_location_id,'[1]1_inventory_total_details'!$G$8:$G$10000,"="&amp;Q79,'[1]1_inventory_total_details'!$H$8:$H$10000,"="&amp;R79,'[1]1_inventory_total_details'!$I$8:$I$10000,"="&amp;quot_date),SUMIFS('[1]2_inventory_total_details'!$J$8:$J$10000,'[1]2_inventory_total_details'!$C$8:$C$10000,I79,'[1]2_inventory_total_details'!$F$8:$F$10000,quot_location_id,'[1]2_inventory_total_details'!$G$8:$G$10000,"="&amp;Q79,'[1]2_inventory_total_details'!$H$8:$H$10000,"="&amp;R79,'[1]2_inventory_total_details'!$I$8:$I$10000,"="&amp;quot_date)+SUMIFS('[1]2_inventory_total_details'!$M$8:$M$10000,'[1]2_inventory_total_details'!$C$8:$C$10000,I79,'[1]2_inventory_total_details'!$F$8:$F$10000,quot_location_id,'[1]2_inventory_total_details'!$G$8:$G$10000,"="&amp;Q79,'[1]2_inventory_total_details'!$H$8:$H$10000,"="&amp;R79,'[1]2_inventory_total_details'!$I$8:$I$10000,"="&amp;quot_date)+SUMIFS('[1]2_inventory_total_details'!$K$8:$K$10000,'[1]2_inventory_total_details'!$C$8:$C$10000,I79,'[1]2_inventory_total_details'!$F$8:$F$10000,quot_location_id,'[1]2_inventory_total_details'!$G$8:$G$10000,"="&amp;Q79,'[1]2_inventory_total_details'!$H$8:$H$10000,"="&amp;R79,'[1]2_inventory_total_details'!$I$8:$I$10000,"="&amp;quot_date)+SUMIFS('[1]2_inventory_total_details'!$L$8:$L$10000,'[1]2_inventory_total_details'!$C$8:$C$10000,I79,'[1]2_inventory_total_details'!$F$8:$F$10000,quot_location_id,'[1]2_inventory_total_details'!$G$8:$G$10000,"="&amp;Q79,'[1]2_inventory_total_details'!$H$8:$H$10000,"="&amp;R79,'[1]2_inventory_total_details'!$I$8:$I$10000,"="&amp;quot_date)))</f>
        <v/>
      </c>
      <c r="AJ79" s="197" t="str">
        <f>IF(M79="","",IF(ISNA(MATCH(I79,'[1]1_group_totals'!$C$8:$C$10000)),0,IF(AW79&gt;0,1,0)))</f>
        <v/>
      </c>
      <c r="AK79" s="197" t="str">
        <f>IF(M79="","",(SUMIFS('[1]1_group_total_details'!$I$8:$I$10000,'[1]1_group_total_details'!$C$8:$C$10000,I79,'[1]1_group_total_details'!$F$8:$F$10000,quot_location_group_id,'[1]1_group_total_details'!$G$8:$G$10000,quot_location_id,'[1]1_group_total_details'!$H$8:$H$10000,"="&amp;quot_date)+SUMIFS('[1]1_group_total_details'!$L$8:$L$10000,'[1]1_group_total_details'!$C$8:$C$10000,I79,'[1]1_group_total_details'!$F$8:$F$10000,quot_location_group_id,'[1]1_group_total_details'!$G$8:$G$10000,quot_location_id,'[1]1_group_total_details'!$H$8:$H$10000,"="&amp;quot_date)+SUMIFS('[1]1_group_total_details'!$N$8:$N$10000,'[1]1_group_total_details'!$C$8:$C$10000,I79,'[1]1_group_total_details'!$F$8:$F$10000,quot_location_group_id,'[1]1_group_total_details'!$G$8:$G$10000,quot_location_id,'[1]1_group_total_details'!$H$8:$H$10000,"="&amp;quot_date)+SUMIFS('[1]1_group_total_details'!$O$8:$O$10000,'[1]1_group_total_details'!$C$8:$C$10000,I79,'[1]1_group_total_details'!$F$8:$F$10000,quot_location_group_id,'[1]1_group_total_details'!$G$8:$G$10000,quot_location_id,'[1]1_group_total_details'!$H$8:$H$10000,"="&amp;quot_date))+(SUMIFS('[1]1_group_total_details'!$J$8:$J$10000,'[1]1_group_total_details'!$C$8:$C$10000,I79,'[1]1_group_total_details'!$F$8:$F$10000,quot_location_group_id,'[1]1_group_total_details'!$G$8:$G$10000,quot_location_id,'[1]1_group_total_details'!$H$8:$H$10000,"="&amp;quot_date)+SUMIFS('[1]1_group_total_details'!$K$8:$K$10000,'[1]1_group_total_details'!$C$8:$C$10000,I79,'[1]1_group_total_details'!$F$8:$F$10000,quot_location_group_id,'[1]1_group_total_details'!$G$8:$G$10000,quot_location_id,'[1]1_group_total_details'!$H$8:$H$10000,"="&amp;quot_date)+SUMIFS('[1]1_group_total_details'!$M$8:$M$10000,'[1]1_group_total_details'!$C$8:$C$10000,I79,'[1]1_group_total_details'!$F$8:$F$10000,quot_location_group_id,'[1]1_group_total_details'!$G$8:$G$10000,quot_location_id,'[1]1_group_total_details'!$H$8:$H$10000,"="&amp;quot_date)+SUMIFS('[1]1_group_total_details'!$P$8:$P$10000,'[1]1_group_total_details'!$C$8:$C$10000,I79,'[1]1_group_total_details'!$F$8:$F$10000,quot_location_group_id,'[1]1_group_total_details'!$G$8:$G$10000,quot_location_id,'[1]1_group_total_details'!$H$8:$H$10000,"="&amp;quot_date)))</f>
        <v/>
      </c>
      <c r="AL79" s="197" t="str">
        <f>IF(M79="","",(SUMIFS('[1]1_group_total_details'!$I$8:$I$10000,'[1]1_group_total_details'!$C$8:$C$10000,I79,'[1]1_group_total_details'!$F$8:$F$10000,quot_location_group_id,'[1]1_group_total_details'!$G$8:$G$10000,quot_location_id,'[1]1_group_total_details'!$H$8:$H$10000,"&lt;="&amp;quot_date)+SUMIFS('[1]1_group_total_details'!$L$8:$L$10000,'[1]1_group_total_details'!$C$8:$C$10000,I79,'[1]1_group_total_details'!$F$8:$F$10000,quot_location_group_id,'[1]1_group_total_details'!$G$8:$G$10000,1,'[1]1_group_total_details'!$H$8:$H$10000,"&lt;="&amp;quot_date)+SUMIFS('[1]1_group_total_details'!$N$8:$N$10000,'[1]1_group_total_details'!$C$8:$C$10000,I79,'[1]1_group_total_details'!$F$8:$F$10000,quot_location_group_id,'[1]1_group_total_details'!$G$8:$G$10000,quot_location_id,'[1]1_group_total_details'!$H$8:$H$10000,"&lt;="&amp;quot_date)+SUMIFS('[1]1_group_total_details'!$O$8:$O$10000,'[1]1_group_total_details'!$C$8:$C$10000,I79,'[1]1_group_total_details'!$F$8:$F$10000,quot_location_group_id,'[1]1_group_total_details'!$G$8:$G$10000,quot_location_id,'[1]1_group_total_details'!$H$8:$H$10000,"&lt;="&amp;quot_date))-(SUMIFS('[1]1_group_total_details'!$J$8:$J$10000,'[1]1_group_total_details'!$C$8:$C$10000,I79,'[1]1_group_total_details'!$F$8:$F$10000,quot_location_group_id,'[1]1_group_total_details'!$G$8:$G$10000,quot_location_id,'[1]1_group_total_details'!$H$8:$H$10000,"&lt;="&amp;quot_date)+SUMIFS('[1]1_group_total_details'!$K$8:$K$10000,'[1]1_group_total_details'!$C$8:$C$10000,I79,'[1]1_group_total_details'!$F$8:$F$10000,quot_location_group_id,'[1]1_group_total_details'!$G$8:$G$10000,quot_location_id,'[1]1_group_total_details'!$H$8:$H$10000,"&lt;="&amp;quot_date)+SUMIFS('[1]1_group_total_details'!$M$8:$M$10000,'[1]1_group_total_details'!$C$8:$C$10000,I79,'[1]1_group_total_details'!$F$8:$F$10000,quot_location_group_id,'[1]1_group_total_details'!$G$8:$G$10000,quot_location_id,'[1]1_group_total_details'!$H$8:$H$10000,"&lt;="&amp;quot_date)+SUMIFS('[1]1_group_total_details'!$P$8:$P$10000,'[1]1_group_total_details'!$C$8:$C$10000,I79,'[1]1_group_total_details'!$F$8:$F$10000,quot_location_group_id,'[1]1_group_total_details'!$G$8:$G$10000,quot_location_id,'[1]1_group_total_details'!$H$8:$H$10000,"&lt;="&amp;quot_date)))</f>
        <v/>
      </c>
      <c r="AM79" s="197" t="str">
        <f>IF(M79="","",SUMIFS('[1]1_group_totals'!$J$8:$J$10000,'[1]1_group_totals'!$C$8:$C$10000,I79,'[1]1_group_totals'!$F$8:$F$10000,quot_location_group_id,'[1]1_group_totals'!$G$8:$G$10000,quot_location_id,'[1]1_group_totals'!$H$8:$H$10000,"="&amp;Q79,'[1]1_group_totals'!$I$8:$I$10000,"="&amp;R79))</f>
        <v/>
      </c>
      <c r="AN79" s="197" t="str">
        <f t="shared" si="284"/>
        <v/>
      </c>
      <c r="AO79" s="197" t="str">
        <f>IF(OR(ISNA(MATCH(MID(AN79,1,3)*1,UomConversion!$D$8:$D$500,0)),M79=""),"",IF(AT79="","",AT79))</f>
        <v/>
      </c>
      <c r="AP79" s="197" t="str">
        <f>IF(AND(AQ79&gt;0,COUNTIFS(UomConversion!$D$8:$D$500,MID(AN79,1,3)*1,UomConversion!$J$8:$J$500,1)&gt;1),TEXT(AQ79,"000")&amp;"."&amp;VLOOKUP(AQ79,uom_list,5,FALSE),"")</f>
        <v/>
      </c>
      <c r="AQ79" s="197" t="str">
        <f t="shared" si="295"/>
        <v/>
      </c>
      <c r="AR79" s="197" t="str">
        <f t="shared" si="296"/>
        <v/>
      </c>
      <c r="AS79" s="197" t="str">
        <f>IF(M79="","",SUMIFS(ProductPrice!$N$28:$N$10020,ProductPrice!$D$28:$D$10020,I79,ProductPrice!$G$28:$G$10020,quot_branch_id,ProductPrice!$H$28:$H$10020,quot_price_type_id,ProductPrice!$I$28:$I$10020,MID(P79,1,3)*1,ProductPrice!$Q$28:$Q$10020,1))</f>
        <v/>
      </c>
      <c r="AT79" s="197" t="str">
        <f t="shared" si="285"/>
        <v/>
      </c>
      <c r="AU79" s="197" t="str" cm="1">
        <f t="array" ref="AU79">IF(M79="","",IF(ISNA(Slookup(MID(AN79,1,3)*1,UomConversion!$D$8:$J$500,2,UomConversion!$I$8:$I$500,1,UomConversion!$J$8:$J$500,1)),"",Slookup(MID(AN79,1,3)*1,UomConversion!$D$8:$J$500,2,UomConversion!$I$8:$I$500,1,UomConversion!$J$8:$J$500,1)))</f>
        <v/>
      </c>
      <c r="AV79" s="197" t="str">
        <f t="shared" ref="AV79" si="325">IF(M79="","",IF(quot_location_id=1,BA79,IF(quot_location_id=2,BB79,0)))</f>
        <v/>
      </c>
      <c r="AW79" s="197" t="str">
        <f>IF(M79="","",(SUMIFS('[1]1_group_totals'!$K$8:$K$10000,'[1]1_group_totals'!$C$8:$C$10000,I79,'[1]1_group_totals'!$F$8:$F$10000,quot_location_group_id,'[1]1_group_totals'!$G$8:$G$10000,quot_location_id,'[1]1_group_totals'!$H$8:$H$10000,"="&amp;Q79,'[1]1_group_totals'!$I$8:$I$10000,"="&amp;R79)+SUMIFS('[1]1_group_totals'!$N$8:$N$10000,'[1]1_group_totals'!$C$8:$C$10000,I79,'[1]1_group_totals'!$F$8:$F$10000,quot_location_group_id,'[1]1_group_totals'!$G$8:$G$10000,quot_location_id,'[1]1_group_totals'!$H$8:$H$10000,"="&amp;Q79,'[1]1_group_totals'!$I$8:$I$10000,"="&amp;R79)+SUMIFS('[1]1_group_totals'!$P$8:$P$10000,'[1]1_group_totals'!$C$8:$C$10000,I79,'[1]1_group_totals'!$F$8:$F$10000,quot_location_group_id,'[1]1_group_totals'!$G$8:$G$10000,quot_location_id,'[1]1_group_totals'!$H$8:$H$10000,"="&amp;Q79,'[1]1_group_totals'!$I$8:$I$10000,"="&amp;R79)+SUMIFS('[1]1_group_totals'!$Q$8:$Q$10000,'[1]1_group_totals'!$C$8:$C$10000,I79,'[1]1_group_totals'!$F$8:$F$10000,quot_location_group_id,'[1]1_group_totals'!$G$8:$G$10000,quot_location_id,'[1]1_group_totals'!$H$8:$H$10000,"="&amp;Q79,'[1]1_group_totals'!$I$8:$I$10000,"="&amp;R79))+(SUMIFS('[1]1_group_totals'!$L$8:$L$10000,'[1]1_group_totals'!$C$8:$C$10000,I79,'[1]1_group_totals'!$F$8:$F$10000,quot_location_group_id,'[1]1_group_totals'!$G$8:$G$10000,quot_location_id,'[1]1_group_totals'!$H$8:$H$10000,"="&amp;Q79,'[1]1_group_totals'!$I$8:$I$10000,"="&amp;R79)+SUMIFS('[1]1_group_totals'!$M$8:$M$10000,'[1]1_group_totals'!$C$8:$C$10000,I79,'[1]1_group_totals'!$F$8:$F$10000,quot_location_group_id,'[1]1_group_totals'!$G$8:$G$10000,quot_location_id,'[1]1_group_totals'!$H$8:$H$10000,"="&amp;Q79,'[1]1_group_totals'!$I$8:$I$10000,"="&amp;R79)+SUMIFS('[1]1_group_totals'!$O$8:$O$10000,'[1]1_group_totals'!$C$8:$C$10000,I79,'[1]1_group_totals'!$F$8:$F$10000,quot_location_group_id,'[1]1_group_totals'!$G$8:$G$10000,quot_location_id,'[1]1_group_totals'!$H$8:$H$10000,"="&amp;Q79,'[1]1_group_totals'!$I$8:$I$10000,"="&amp;R79)+SUMIFS('[1]1_group_totals'!$R$8:$R$10000,'[1]1_group_totals'!$C$8:$C$10000,I79,'[1]1_group_totals'!$F$8:$F$10000,quot_location_group_id,'[1]1_group_totals'!$G$8:$G$10000,quot_location_id,'[1]1_group_totals'!$H$8:$H$10000,"="&amp;Q79,'[1]1_group_totals'!$I$8:$I$10000,"="&amp;R79)))</f>
        <v/>
      </c>
      <c r="AX79" s="197" t="str">
        <f t="shared" si="298"/>
        <v/>
      </c>
      <c r="AY79" s="197" t="str">
        <f>IF(M79="","",SUMIFS($AX$8:AX79,$I$8:I79,I79))</f>
        <v/>
      </c>
      <c r="AZ79" s="197" t="str">
        <f t="shared" si="299"/>
        <v/>
      </c>
      <c r="BA79" s="197" t="str">
        <f>IF(M79="","",(SUMIFS('[1]1_inventory_totals'!$I$8:$I$10000,'[1]1_inventory_totals'!$C$8:$C$10000,I79,'[1]1_inventory_totals'!$F$8:$F$10000,"="&amp;Q79,'[1]1_inventory_totals'!$G$8:$G$10000,"="&amp;R79)+SUMIFS('[1]1_inventory_totals'!$N$8:$N$10000,'[1]1_inventory_totals'!$C$8:$C$10000,I79,'[1]1_inventory_totals'!$F$8:$F$10000,"="&amp;Q79,'[1]1_inventory_totals'!$G$8:$G$10000,"="&amp;R79)+SUMIFS('[1]1_inventory_totals'!$P$8:$P$10000,'[1]1_inventory_totals'!$C$8:$C$10000,I79,'[1]1_inventory_totals'!$F$8:$F$10000,"="&amp;Q79,'[1]1_inventory_totals'!$G$8:$G$10000,"="&amp;R79)+SUMIFS('[1]1_inventory_totals'!$Q$8:$Q$10000,'[1]1_inventory_totals'!$C$8:$C$10000,I79,'[1]1_inventory_totals'!$F$8:$F$10000,"="&amp;Q79,'[1]1_inventory_totals'!$G$8:$G$10000,"="&amp;R79)+SUMIFS('[1]1_inventory_totals'!$R$8:$R$10000,'[1]1_inventory_totals'!$C$8:$C$10000,I79,'[1]1_inventory_totals'!$F$8:$F$10000,"="&amp;Q79,'[1]1_inventory_totals'!$G$8:$G$10000,"="&amp;R79))+(SUMIFS('[1]1_inventory_totals'!$J$8:$J$10000,'[1]1_inventory_totals'!$C$8:$C$10000,I79,'[1]1_inventory_totals'!$F$8:$F$10000,"="&amp;Q79,'[1]1_inventory_totals'!$G$8:$G$10000,"="&amp;R79)+SUMIFS('[1]1_inventory_totals'!$K$8:$K$10000,'[1]1_inventory_totals'!$C$8:$C$10000,I79,'[1]1_inventory_totals'!$F$8:$F$10000,"="&amp;Q79,'[1]1_inventory_totals'!$G$8:$G$10000,"="&amp;R79)+SUMIFS('[1]1_inventory_totals'!$L$8:$L$10000,'[1]1_inventory_totals'!$C$8:$C$10000,I79,'[1]1_inventory_totals'!$F$8:$F$10000,"="&amp;Q79,'[1]1_inventory_totals'!$G$8:$G$10000,"="&amp;R79)+SUMIFS('[1]1_inventory_totals'!$M$8:$M$10000,'[1]1_inventory_totals'!$C$8:$C$10000,I79,'[1]1_inventory_totals'!$F$8:$F$10000,"="&amp;Q79,'[1]1_inventory_totals'!$G$8:$G$10000,"="&amp;R79)+SUMIFS('[1]1_inventory_totals'!$O$8:$O$10000,'[1]1_inventory_totals'!$C$8:$C$10000,I79,'[1]1_inventory_totals'!$F$8:$F$10000,"="&amp;Q79,'[1]1_inventory_totals'!$G$8:$G$10000,"="&amp;R79)+SUMIFS('[1]1_inventory_totals'!$S$8:$S$10000,'[1]1_inventory_totals'!$C$8:$C$10000,I79,'[1]1_inventory_totals'!$F$8:$F$10000,"="&amp;Q79,'[1]1_inventory_totals'!$G$8:$G$10000,"="&amp;R79)))</f>
        <v/>
      </c>
      <c r="BB79" s="197" t="str">
        <f>IF(M79="","",(SUMIFS('[1]2_inventory_totals'!$I$8:$I$10000,'[1]2_inventory_totals'!$C$8:$C$10000,I79,'[1]2_inventory_totals'!$F$8:$F$10000,"="&amp;Q79,'[1]2_inventory_totals'!$G$8:$G$10000,"="&amp;R79)+SUMIFS('[1]2_inventory_totals'!$N$8:$N$10000,'[1]2_inventory_totals'!$C$8:$C$10000,I79,'[1]2_inventory_totals'!$F$8:$F$10000,"="&amp;Q79,'[1]2_inventory_totals'!$G$8:$G$10000,"="&amp;R79)+SUMIFS('[1]2_inventory_totals'!$P$8:$P$10000,'[1]2_inventory_totals'!$C$8:$C$10000,I79,'[1]2_inventory_totals'!$F$8:$F$10000,"="&amp;Q79,'[1]2_inventory_totals'!$G$8:$G$10000,"="&amp;R79)+SUMIFS('[1]2_inventory_totals'!$Q$8:$Q$10000,'[1]2_inventory_totals'!$C$8:$C$10000,I79,'[1]2_inventory_totals'!$F$8:$F$10000,"="&amp;Q79,'[1]2_inventory_totals'!$G$8:$G$10000,"="&amp;R79)+SUMIFS('[1]2_inventory_totals'!$R$8:$R$10000,'[1]2_inventory_totals'!$C$8:$C$10000,I79,'[1]2_inventory_totals'!$F$8:$F$10000,"="&amp;Q79,'[1]2_inventory_totals'!$G$8:$G$10000,"="&amp;R79))+(SUMIFS('[1]2_inventory_totals'!$J$8:$J$10000,'[1]2_inventory_totals'!$C$8:$C$10000,I79,'[1]2_inventory_totals'!$F$8:$F$10000,"="&amp;Q79,'[1]2_inventory_totals'!$G$8:$G$10000,"="&amp;R79)+SUMIFS('[1]2_inventory_totals'!$K$8:$K$10000,'[1]2_inventory_totals'!$C$8:$C$10000,I79,'[1]2_inventory_totals'!$F$8:$F$10000,"="&amp;Q79,'[1]2_inventory_totals'!$G$8:$G$10000,"="&amp;R79)+SUMIFS('[1]2_inventory_totals'!$L$8:$L$10000,'[1]2_inventory_totals'!$C$8:$C$10000,I79,'[1]2_inventory_totals'!$F$8:$F$10000,"="&amp;Q79,'[1]2_inventory_totals'!$G$8:$G$10000,"="&amp;R79)+SUMIFS('[1]2_inventory_totals'!$M$8:$M$10000,'[1]2_inventory_totals'!$C$8:$C$10000,I79,'[1]2_inventory_totals'!$F$8:$F$10000,"="&amp;Q79,'[1]2_inventory_totals'!$G$8:$G$10000,"="&amp;R79)+SUMIFS('[1]2_inventory_totals'!$O$8:$O$10000,'[1]2_inventory_totals'!$C$8:$C$10000,I79,'[1]2_inventory_totals'!$F$8:$F$10000,"="&amp;Q79,'[1]2_inventory_totals'!$G$8:$G$10000,"="&amp;R79)+SUMIFS('[1]2_inventory_totals'!$S$8:$S$10000,'[1]2_inventory_totals'!$C$8:$C$10000,I79,'[1]2_inventory_totals'!$F$8:$F$10000,"="&amp;Q79,'[1]2_inventory_totals'!$G$8:$G$10000,"="&amp;R79)))</f>
        <v/>
      </c>
    </row>
    <row r="80" spans="1:54" ht="27" hidden="1" customHeight="1">
      <c r="A80" s="923"/>
      <c r="B80" s="1256"/>
      <c r="C80" s="950"/>
      <c r="D80" s="950"/>
      <c r="E80" s="950"/>
      <c r="F80" s="1257"/>
      <c r="G80" s="941"/>
      <c r="H80" s="951"/>
      <c r="I80" s="1610" t="str">
        <f t="shared" si="287"/>
        <v/>
      </c>
      <c r="J80" s="1611" t="str">
        <f t="shared" si="112"/>
        <v/>
      </c>
      <c r="K80" s="1612" t="str">
        <f t="shared" si="309"/>
        <v/>
      </c>
      <c r="L80" s="1613"/>
      <c r="M80" s="883"/>
      <c r="N80" s="884"/>
      <c r="O80" s="884"/>
      <c r="P80" s="885"/>
      <c r="Q80" s="886"/>
      <c r="R80" s="891"/>
      <c r="S80" s="1614" t="str">
        <f t="shared" ref="S80" si="326">IF(M80="","",quot_currency_symbol)</f>
        <v/>
      </c>
      <c r="T80" s="888"/>
      <c r="U80" s="1650" t="str">
        <f t="shared" si="289"/>
        <v/>
      </c>
      <c r="V80" s="1615" t="str">
        <f t="shared" ref="V80" si="327">IF(W80=0,"",quot_currency_symbol)</f>
        <v/>
      </c>
      <c r="W80" s="889"/>
      <c r="X80" s="1615" t="str">
        <f t="shared" ref="X80" si="328">IF(M80="","",quot_currency_symbol)</f>
        <v/>
      </c>
      <c r="Y80" s="1616" t="str">
        <f t="shared" si="307"/>
        <v/>
      </c>
      <c r="Z80" s="890"/>
      <c r="AA80" s="197" t="str" cm="1">
        <f t="array" ref="AA80">IF(M80="","",IF(P80=AN80,1,Slookup(MID(AN80,1,3)*1,UomConversion!$D$8:$J$500,5,UomConversion!$E$8:$E$500,MID(P80,1,3)*1,UomConversion!$J$8:$J$500,1)))</f>
        <v/>
      </c>
      <c r="AB80" s="197" t="str">
        <f t="shared" si="281"/>
        <v/>
      </c>
      <c r="AC80" s="197" t="str">
        <f t="shared" si="292"/>
        <v/>
      </c>
      <c r="AD80" s="197" t="str">
        <f t="shared" si="293"/>
        <v/>
      </c>
      <c r="AE80" s="197" t="str">
        <f t="shared" si="294"/>
        <v/>
      </c>
      <c r="AF80" s="197" t="str">
        <f t="shared" si="282"/>
        <v/>
      </c>
      <c r="AG80" s="197" t="str">
        <f t="shared" si="283"/>
        <v/>
      </c>
      <c r="AH80" s="197" t="str">
        <f>IF(I80="","",IF(ISNA(MATCH(I80,IF(quot_location_id=1,'[1]1_inventory_totals'!$C$8:$C$10000,IF(quot_location_id=2,'[1]2_inventory_totals'!$C$8:$C$10000,0)),0)),0,IF(AV80&gt;0,1,0)))</f>
        <v/>
      </c>
      <c r="AI80" s="197" t="str">
        <f>IF(M80="","",IF(quot_location_id=1,SUMIFS('[1]1_inventory_total_details'!$J$8:$J$10000,'[1]1_inventory_total_details'!$C$8:$C$10000,I80,'[1]1_inventory_total_details'!$F$8:$F$10000,quot_location_id,'[1]1_inventory_total_details'!$G$8:$G$10000,"="&amp;Q80,'[1]1_inventory_total_details'!$H$8:$H$10000,"="&amp;R80,'[1]1_inventory_total_details'!$I$8:$I$10000,"="&amp;quot_date)+SUMIFS('[1]1_inventory_total_details'!$M$8:$M$10000,'[1]1_inventory_total_details'!$C$8:$C$10000,I80,'[1]1_inventory_total_details'!$F$8:$F$10000,quot_location_id,'[1]1_inventory_total_details'!$G$8:$G$10000,"="&amp;Q80,'[1]1_inventory_total_details'!$H$8:$H$10000,"="&amp;R80,'[1]1_inventory_total_details'!$I$8:$I$10000,"="&amp;quot_date)+SUMIFS('[1]1_inventory_total_details'!$K$8:$K$10000,'[1]1_inventory_total_details'!$C$8:$C$10000,I80,'[1]1_inventory_total_details'!$F$8:$F$10000,quot_location_id,'[1]1_inventory_total_details'!$G$8:$G$10000,"="&amp;Q80,'[1]1_inventory_total_details'!$H$8:$H$10000,"="&amp;R80,'[1]1_inventory_total_details'!$I$8:$I$10000,"="&amp;quot_date)+SUMIFS('[1]1_inventory_total_details'!$L$8:$L$10000,'[1]1_inventory_total_details'!$C$8:$C$10000,I80,'[1]1_inventory_total_details'!$F$8:$F$10000,quot_location_id,'[1]1_inventory_total_details'!$G$8:$G$10000,"="&amp;Q80,'[1]1_inventory_total_details'!$H$8:$H$10000,"="&amp;R80,'[1]1_inventory_total_details'!$I$8:$I$10000,"="&amp;quot_date),SUMIFS('[1]2_inventory_total_details'!$J$8:$J$10000,'[1]2_inventory_total_details'!$C$8:$C$10000,I80,'[1]2_inventory_total_details'!$F$8:$F$10000,quot_location_id,'[1]2_inventory_total_details'!$G$8:$G$10000,"="&amp;Q80,'[1]2_inventory_total_details'!$H$8:$H$10000,"="&amp;R80,'[1]2_inventory_total_details'!$I$8:$I$10000,"="&amp;quot_date)+SUMIFS('[1]2_inventory_total_details'!$M$8:$M$10000,'[1]2_inventory_total_details'!$C$8:$C$10000,I80,'[1]2_inventory_total_details'!$F$8:$F$10000,quot_location_id,'[1]2_inventory_total_details'!$G$8:$G$10000,"="&amp;Q80,'[1]2_inventory_total_details'!$H$8:$H$10000,"="&amp;R80,'[1]2_inventory_total_details'!$I$8:$I$10000,"="&amp;quot_date)+SUMIFS('[1]2_inventory_total_details'!$K$8:$K$10000,'[1]2_inventory_total_details'!$C$8:$C$10000,I80,'[1]2_inventory_total_details'!$F$8:$F$10000,quot_location_id,'[1]2_inventory_total_details'!$G$8:$G$10000,"="&amp;Q80,'[1]2_inventory_total_details'!$H$8:$H$10000,"="&amp;R80,'[1]2_inventory_total_details'!$I$8:$I$10000,"="&amp;quot_date)+SUMIFS('[1]2_inventory_total_details'!$L$8:$L$10000,'[1]2_inventory_total_details'!$C$8:$C$10000,I80,'[1]2_inventory_total_details'!$F$8:$F$10000,quot_location_id,'[1]2_inventory_total_details'!$G$8:$G$10000,"="&amp;Q80,'[1]2_inventory_total_details'!$H$8:$H$10000,"="&amp;R80,'[1]2_inventory_total_details'!$I$8:$I$10000,"="&amp;quot_date)))</f>
        <v/>
      </c>
      <c r="AJ80" s="197" t="str">
        <f>IF(M80="","",IF(ISNA(MATCH(I80,'[1]1_group_totals'!$C$8:$C$10000)),0,IF(AW80&gt;0,1,0)))</f>
        <v/>
      </c>
      <c r="AK80" s="197" t="str">
        <f>IF(M80="","",(SUMIFS('[1]1_group_total_details'!$I$8:$I$10000,'[1]1_group_total_details'!$C$8:$C$10000,I80,'[1]1_group_total_details'!$F$8:$F$10000,quot_location_group_id,'[1]1_group_total_details'!$G$8:$G$10000,quot_location_id,'[1]1_group_total_details'!$H$8:$H$10000,"="&amp;quot_date)+SUMIFS('[1]1_group_total_details'!$L$8:$L$10000,'[1]1_group_total_details'!$C$8:$C$10000,I80,'[1]1_group_total_details'!$F$8:$F$10000,quot_location_group_id,'[1]1_group_total_details'!$G$8:$G$10000,quot_location_id,'[1]1_group_total_details'!$H$8:$H$10000,"="&amp;quot_date)+SUMIFS('[1]1_group_total_details'!$N$8:$N$10000,'[1]1_group_total_details'!$C$8:$C$10000,I80,'[1]1_group_total_details'!$F$8:$F$10000,quot_location_group_id,'[1]1_group_total_details'!$G$8:$G$10000,quot_location_id,'[1]1_group_total_details'!$H$8:$H$10000,"="&amp;quot_date)+SUMIFS('[1]1_group_total_details'!$O$8:$O$10000,'[1]1_group_total_details'!$C$8:$C$10000,I80,'[1]1_group_total_details'!$F$8:$F$10000,quot_location_group_id,'[1]1_group_total_details'!$G$8:$G$10000,quot_location_id,'[1]1_group_total_details'!$H$8:$H$10000,"="&amp;quot_date))+(SUMIFS('[1]1_group_total_details'!$J$8:$J$10000,'[1]1_group_total_details'!$C$8:$C$10000,I80,'[1]1_group_total_details'!$F$8:$F$10000,quot_location_group_id,'[1]1_group_total_details'!$G$8:$G$10000,quot_location_id,'[1]1_group_total_details'!$H$8:$H$10000,"="&amp;quot_date)+SUMIFS('[1]1_group_total_details'!$K$8:$K$10000,'[1]1_group_total_details'!$C$8:$C$10000,I80,'[1]1_group_total_details'!$F$8:$F$10000,quot_location_group_id,'[1]1_group_total_details'!$G$8:$G$10000,quot_location_id,'[1]1_group_total_details'!$H$8:$H$10000,"="&amp;quot_date)+SUMIFS('[1]1_group_total_details'!$M$8:$M$10000,'[1]1_group_total_details'!$C$8:$C$10000,I80,'[1]1_group_total_details'!$F$8:$F$10000,quot_location_group_id,'[1]1_group_total_details'!$G$8:$G$10000,quot_location_id,'[1]1_group_total_details'!$H$8:$H$10000,"="&amp;quot_date)+SUMIFS('[1]1_group_total_details'!$P$8:$P$10000,'[1]1_group_total_details'!$C$8:$C$10000,I80,'[1]1_group_total_details'!$F$8:$F$10000,quot_location_group_id,'[1]1_group_total_details'!$G$8:$G$10000,quot_location_id,'[1]1_group_total_details'!$H$8:$H$10000,"="&amp;quot_date)))</f>
        <v/>
      </c>
      <c r="AL80" s="197" t="str">
        <f>IF(M80="","",(SUMIFS('[1]1_group_total_details'!$I$8:$I$10000,'[1]1_group_total_details'!$C$8:$C$10000,I80,'[1]1_group_total_details'!$F$8:$F$10000,quot_location_group_id,'[1]1_group_total_details'!$G$8:$G$10000,quot_location_id,'[1]1_group_total_details'!$H$8:$H$10000,"&lt;="&amp;quot_date)+SUMIFS('[1]1_group_total_details'!$L$8:$L$10000,'[1]1_group_total_details'!$C$8:$C$10000,I80,'[1]1_group_total_details'!$F$8:$F$10000,quot_location_group_id,'[1]1_group_total_details'!$G$8:$G$10000,1,'[1]1_group_total_details'!$H$8:$H$10000,"&lt;="&amp;quot_date)+SUMIFS('[1]1_group_total_details'!$N$8:$N$10000,'[1]1_group_total_details'!$C$8:$C$10000,I80,'[1]1_group_total_details'!$F$8:$F$10000,quot_location_group_id,'[1]1_group_total_details'!$G$8:$G$10000,quot_location_id,'[1]1_group_total_details'!$H$8:$H$10000,"&lt;="&amp;quot_date)+SUMIFS('[1]1_group_total_details'!$O$8:$O$10000,'[1]1_group_total_details'!$C$8:$C$10000,I80,'[1]1_group_total_details'!$F$8:$F$10000,quot_location_group_id,'[1]1_group_total_details'!$G$8:$G$10000,quot_location_id,'[1]1_group_total_details'!$H$8:$H$10000,"&lt;="&amp;quot_date))-(SUMIFS('[1]1_group_total_details'!$J$8:$J$10000,'[1]1_group_total_details'!$C$8:$C$10000,I80,'[1]1_group_total_details'!$F$8:$F$10000,quot_location_group_id,'[1]1_group_total_details'!$G$8:$G$10000,quot_location_id,'[1]1_group_total_details'!$H$8:$H$10000,"&lt;="&amp;quot_date)+SUMIFS('[1]1_group_total_details'!$K$8:$K$10000,'[1]1_group_total_details'!$C$8:$C$10000,I80,'[1]1_group_total_details'!$F$8:$F$10000,quot_location_group_id,'[1]1_group_total_details'!$G$8:$G$10000,quot_location_id,'[1]1_group_total_details'!$H$8:$H$10000,"&lt;="&amp;quot_date)+SUMIFS('[1]1_group_total_details'!$M$8:$M$10000,'[1]1_group_total_details'!$C$8:$C$10000,I80,'[1]1_group_total_details'!$F$8:$F$10000,quot_location_group_id,'[1]1_group_total_details'!$G$8:$G$10000,quot_location_id,'[1]1_group_total_details'!$H$8:$H$10000,"&lt;="&amp;quot_date)+SUMIFS('[1]1_group_total_details'!$P$8:$P$10000,'[1]1_group_total_details'!$C$8:$C$10000,I80,'[1]1_group_total_details'!$F$8:$F$10000,quot_location_group_id,'[1]1_group_total_details'!$G$8:$G$10000,quot_location_id,'[1]1_group_total_details'!$H$8:$H$10000,"&lt;="&amp;quot_date)))</f>
        <v/>
      </c>
      <c r="AM80" s="197" t="str">
        <f>IF(M80="","",SUMIFS('[1]1_group_totals'!$J$8:$J$10000,'[1]1_group_totals'!$C$8:$C$10000,I80,'[1]1_group_totals'!$F$8:$F$10000,quot_location_group_id,'[1]1_group_totals'!$G$8:$G$10000,quot_location_id,'[1]1_group_totals'!$H$8:$H$10000,"="&amp;Q80,'[1]1_group_totals'!$I$8:$I$10000,"="&amp;R80))</f>
        <v/>
      </c>
      <c r="AN80" s="197" t="str">
        <f t="shared" si="284"/>
        <v/>
      </c>
      <c r="AO80" s="197" t="str">
        <f>IF(OR(ISNA(MATCH(MID(AN80,1,3)*1,UomConversion!$D$8:$D$500,0)),M80=""),"",IF(AT80="","",AT80))</f>
        <v/>
      </c>
      <c r="AP80" s="197" t="str">
        <f>IF(AND(AQ80&gt;0,COUNTIFS(UomConversion!$D$8:$D$500,MID(AN80,1,3)*1,UomConversion!$J$8:$J$500,1)&gt;1),TEXT(AQ80,"000")&amp;"."&amp;VLOOKUP(AQ80,uom_list,5,FALSE),"")</f>
        <v/>
      </c>
      <c r="AQ80" s="197" t="str">
        <f t="shared" si="295"/>
        <v/>
      </c>
      <c r="AR80" s="197" t="str">
        <f t="shared" si="296"/>
        <v/>
      </c>
      <c r="AS80" s="197" t="str">
        <f>IF(M80="","",SUMIFS(ProductPrice!$N$28:$N$10020,ProductPrice!$D$28:$D$10020,I80,ProductPrice!$G$28:$G$10020,quot_branch_id,ProductPrice!$H$28:$H$10020,quot_price_type_id,ProductPrice!$I$28:$I$10020,MID(P80,1,3)*1,ProductPrice!$Q$28:$Q$10020,1))</f>
        <v/>
      </c>
      <c r="AT80" s="197" t="str">
        <f t="shared" si="285"/>
        <v/>
      </c>
      <c r="AU80" s="197" t="str" cm="1">
        <f t="array" ref="AU80">IF(M80="","",IF(ISNA(Slookup(MID(AN80,1,3)*1,UomConversion!$D$8:$J$500,2,UomConversion!$I$8:$I$500,1,UomConversion!$J$8:$J$500,1)),"",Slookup(MID(AN80,1,3)*1,UomConversion!$D$8:$J$500,2,UomConversion!$I$8:$I$500,1,UomConversion!$J$8:$J$500,1)))</f>
        <v/>
      </c>
      <c r="AV80" s="197" t="str">
        <f t="shared" ref="AV80" si="329">IF(M80="","",IF(quot_location_id=1,BA80,IF(quot_location_id=2,BB80,0)))</f>
        <v/>
      </c>
      <c r="AW80" s="197" t="str">
        <f>IF(M80="","",(SUMIFS('[1]1_group_totals'!$K$8:$K$10000,'[1]1_group_totals'!$C$8:$C$10000,I80,'[1]1_group_totals'!$F$8:$F$10000,quot_location_group_id,'[1]1_group_totals'!$G$8:$G$10000,quot_location_id,'[1]1_group_totals'!$H$8:$H$10000,"="&amp;Q80,'[1]1_group_totals'!$I$8:$I$10000,"="&amp;R80)+SUMIFS('[1]1_group_totals'!$N$8:$N$10000,'[1]1_group_totals'!$C$8:$C$10000,I80,'[1]1_group_totals'!$F$8:$F$10000,quot_location_group_id,'[1]1_group_totals'!$G$8:$G$10000,quot_location_id,'[1]1_group_totals'!$H$8:$H$10000,"="&amp;Q80,'[1]1_group_totals'!$I$8:$I$10000,"="&amp;R80)+SUMIFS('[1]1_group_totals'!$P$8:$P$10000,'[1]1_group_totals'!$C$8:$C$10000,I80,'[1]1_group_totals'!$F$8:$F$10000,quot_location_group_id,'[1]1_group_totals'!$G$8:$G$10000,quot_location_id,'[1]1_group_totals'!$H$8:$H$10000,"="&amp;Q80,'[1]1_group_totals'!$I$8:$I$10000,"="&amp;R80)+SUMIFS('[1]1_group_totals'!$Q$8:$Q$10000,'[1]1_group_totals'!$C$8:$C$10000,I80,'[1]1_group_totals'!$F$8:$F$10000,quot_location_group_id,'[1]1_group_totals'!$G$8:$G$10000,quot_location_id,'[1]1_group_totals'!$H$8:$H$10000,"="&amp;Q80,'[1]1_group_totals'!$I$8:$I$10000,"="&amp;R80))+(SUMIFS('[1]1_group_totals'!$L$8:$L$10000,'[1]1_group_totals'!$C$8:$C$10000,I80,'[1]1_group_totals'!$F$8:$F$10000,quot_location_group_id,'[1]1_group_totals'!$G$8:$G$10000,quot_location_id,'[1]1_group_totals'!$H$8:$H$10000,"="&amp;Q80,'[1]1_group_totals'!$I$8:$I$10000,"="&amp;R80)+SUMIFS('[1]1_group_totals'!$M$8:$M$10000,'[1]1_group_totals'!$C$8:$C$10000,I80,'[1]1_group_totals'!$F$8:$F$10000,quot_location_group_id,'[1]1_group_totals'!$G$8:$G$10000,quot_location_id,'[1]1_group_totals'!$H$8:$H$10000,"="&amp;Q80,'[1]1_group_totals'!$I$8:$I$10000,"="&amp;R80)+SUMIFS('[1]1_group_totals'!$O$8:$O$10000,'[1]1_group_totals'!$C$8:$C$10000,I80,'[1]1_group_totals'!$F$8:$F$10000,quot_location_group_id,'[1]1_group_totals'!$G$8:$G$10000,quot_location_id,'[1]1_group_totals'!$H$8:$H$10000,"="&amp;Q80,'[1]1_group_totals'!$I$8:$I$10000,"="&amp;R80)+SUMIFS('[1]1_group_totals'!$R$8:$R$10000,'[1]1_group_totals'!$C$8:$C$10000,I80,'[1]1_group_totals'!$F$8:$F$10000,quot_location_group_id,'[1]1_group_totals'!$G$8:$G$10000,quot_location_id,'[1]1_group_totals'!$H$8:$H$10000,"="&amp;Q80,'[1]1_group_totals'!$I$8:$I$10000,"="&amp;R80)))</f>
        <v/>
      </c>
      <c r="AX80" s="197" t="str">
        <f t="shared" si="298"/>
        <v/>
      </c>
      <c r="AY80" s="197" t="str">
        <f>IF(M80="","",SUMIFS($AX$8:AX80,$I$8:I80,I80))</f>
        <v/>
      </c>
      <c r="AZ80" s="197" t="str">
        <f t="shared" si="299"/>
        <v/>
      </c>
      <c r="BA80" s="197" t="str">
        <f>IF(M80="","",(SUMIFS('[1]1_inventory_totals'!$I$8:$I$10000,'[1]1_inventory_totals'!$C$8:$C$10000,I80,'[1]1_inventory_totals'!$F$8:$F$10000,"="&amp;Q80,'[1]1_inventory_totals'!$G$8:$G$10000,"="&amp;R80)+SUMIFS('[1]1_inventory_totals'!$N$8:$N$10000,'[1]1_inventory_totals'!$C$8:$C$10000,I80,'[1]1_inventory_totals'!$F$8:$F$10000,"="&amp;Q80,'[1]1_inventory_totals'!$G$8:$G$10000,"="&amp;R80)+SUMIFS('[1]1_inventory_totals'!$P$8:$P$10000,'[1]1_inventory_totals'!$C$8:$C$10000,I80,'[1]1_inventory_totals'!$F$8:$F$10000,"="&amp;Q80,'[1]1_inventory_totals'!$G$8:$G$10000,"="&amp;R80)+SUMIFS('[1]1_inventory_totals'!$Q$8:$Q$10000,'[1]1_inventory_totals'!$C$8:$C$10000,I80,'[1]1_inventory_totals'!$F$8:$F$10000,"="&amp;Q80,'[1]1_inventory_totals'!$G$8:$G$10000,"="&amp;R80)+SUMIFS('[1]1_inventory_totals'!$R$8:$R$10000,'[1]1_inventory_totals'!$C$8:$C$10000,I80,'[1]1_inventory_totals'!$F$8:$F$10000,"="&amp;Q80,'[1]1_inventory_totals'!$G$8:$G$10000,"="&amp;R80))+(SUMIFS('[1]1_inventory_totals'!$J$8:$J$10000,'[1]1_inventory_totals'!$C$8:$C$10000,I80,'[1]1_inventory_totals'!$F$8:$F$10000,"="&amp;Q80,'[1]1_inventory_totals'!$G$8:$G$10000,"="&amp;R80)+SUMIFS('[1]1_inventory_totals'!$K$8:$K$10000,'[1]1_inventory_totals'!$C$8:$C$10000,I80,'[1]1_inventory_totals'!$F$8:$F$10000,"="&amp;Q80,'[1]1_inventory_totals'!$G$8:$G$10000,"="&amp;R80)+SUMIFS('[1]1_inventory_totals'!$L$8:$L$10000,'[1]1_inventory_totals'!$C$8:$C$10000,I80,'[1]1_inventory_totals'!$F$8:$F$10000,"="&amp;Q80,'[1]1_inventory_totals'!$G$8:$G$10000,"="&amp;R80)+SUMIFS('[1]1_inventory_totals'!$M$8:$M$10000,'[1]1_inventory_totals'!$C$8:$C$10000,I80,'[1]1_inventory_totals'!$F$8:$F$10000,"="&amp;Q80,'[1]1_inventory_totals'!$G$8:$G$10000,"="&amp;R80)+SUMIFS('[1]1_inventory_totals'!$O$8:$O$10000,'[1]1_inventory_totals'!$C$8:$C$10000,I80,'[1]1_inventory_totals'!$F$8:$F$10000,"="&amp;Q80,'[1]1_inventory_totals'!$G$8:$G$10000,"="&amp;R80)+SUMIFS('[1]1_inventory_totals'!$S$8:$S$10000,'[1]1_inventory_totals'!$C$8:$C$10000,I80,'[1]1_inventory_totals'!$F$8:$F$10000,"="&amp;Q80,'[1]1_inventory_totals'!$G$8:$G$10000,"="&amp;R80)))</f>
        <v/>
      </c>
      <c r="BB80" s="197" t="str">
        <f>IF(M80="","",(SUMIFS('[1]2_inventory_totals'!$I$8:$I$10000,'[1]2_inventory_totals'!$C$8:$C$10000,I80,'[1]2_inventory_totals'!$F$8:$F$10000,"="&amp;Q80,'[1]2_inventory_totals'!$G$8:$G$10000,"="&amp;R80)+SUMIFS('[1]2_inventory_totals'!$N$8:$N$10000,'[1]2_inventory_totals'!$C$8:$C$10000,I80,'[1]2_inventory_totals'!$F$8:$F$10000,"="&amp;Q80,'[1]2_inventory_totals'!$G$8:$G$10000,"="&amp;R80)+SUMIFS('[1]2_inventory_totals'!$P$8:$P$10000,'[1]2_inventory_totals'!$C$8:$C$10000,I80,'[1]2_inventory_totals'!$F$8:$F$10000,"="&amp;Q80,'[1]2_inventory_totals'!$G$8:$G$10000,"="&amp;R80)+SUMIFS('[1]2_inventory_totals'!$Q$8:$Q$10000,'[1]2_inventory_totals'!$C$8:$C$10000,I80,'[1]2_inventory_totals'!$F$8:$F$10000,"="&amp;Q80,'[1]2_inventory_totals'!$G$8:$G$10000,"="&amp;R80)+SUMIFS('[1]2_inventory_totals'!$R$8:$R$10000,'[1]2_inventory_totals'!$C$8:$C$10000,I80,'[1]2_inventory_totals'!$F$8:$F$10000,"="&amp;Q80,'[1]2_inventory_totals'!$G$8:$G$10000,"="&amp;R80))+(SUMIFS('[1]2_inventory_totals'!$J$8:$J$10000,'[1]2_inventory_totals'!$C$8:$C$10000,I80,'[1]2_inventory_totals'!$F$8:$F$10000,"="&amp;Q80,'[1]2_inventory_totals'!$G$8:$G$10000,"="&amp;R80)+SUMIFS('[1]2_inventory_totals'!$K$8:$K$10000,'[1]2_inventory_totals'!$C$8:$C$10000,I80,'[1]2_inventory_totals'!$F$8:$F$10000,"="&amp;Q80,'[1]2_inventory_totals'!$G$8:$G$10000,"="&amp;R80)+SUMIFS('[1]2_inventory_totals'!$L$8:$L$10000,'[1]2_inventory_totals'!$C$8:$C$10000,I80,'[1]2_inventory_totals'!$F$8:$F$10000,"="&amp;Q80,'[1]2_inventory_totals'!$G$8:$G$10000,"="&amp;R80)+SUMIFS('[1]2_inventory_totals'!$M$8:$M$10000,'[1]2_inventory_totals'!$C$8:$C$10000,I80,'[1]2_inventory_totals'!$F$8:$F$10000,"="&amp;Q80,'[1]2_inventory_totals'!$G$8:$G$10000,"="&amp;R80)+SUMIFS('[1]2_inventory_totals'!$O$8:$O$10000,'[1]2_inventory_totals'!$C$8:$C$10000,I80,'[1]2_inventory_totals'!$F$8:$F$10000,"="&amp;Q80,'[1]2_inventory_totals'!$G$8:$G$10000,"="&amp;R80)+SUMIFS('[1]2_inventory_totals'!$S$8:$S$10000,'[1]2_inventory_totals'!$C$8:$C$10000,I80,'[1]2_inventory_totals'!$F$8:$F$10000,"="&amp;Q80,'[1]2_inventory_totals'!$G$8:$G$10000,"="&amp;R80)))</f>
        <v/>
      </c>
    </row>
    <row r="81" spans="1:54" ht="27" hidden="1" customHeight="1">
      <c r="A81" s="923"/>
      <c r="B81" s="1256"/>
      <c r="C81" s="950"/>
      <c r="D81" s="950"/>
      <c r="E81" s="950"/>
      <c r="F81" s="1257"/>
      <c r="G81" s="941"/>
      <c r="H81" s="951"/>
      <c r="I81" s="1610" t="str">
        <f t="shared" si="287"/>
        <v/>
      </c>
      <c r="J81" s="1611" t="str">
        <f t="shared" si="112"/>
        <v/>
      </c>
      <c r="K81" s="1612" t="str">
        <f t="shared" si="309"/>
        <v/>
      </c>
      <c r="L81" s="1613"/>
      <c r="M81" s="883"/>
      <c r="N81" s="884"/>
      <c r="O81" s="884"/>
      <c r="P81" s="885"/>
      <c r="Q81" s="886"/>
      <c r="R81" s="891"/>
      <c r="S81" s="1614" t="str">
        <f t="shared" ref="S81" si="330">IF(M81="","",quot_currency_symbol)</f>
        <v/>
      </c>
      <c r="T81" s="888"/>
      <c r="U81" s="1650" t="str">
        <f t="shared" si="289"/>
        <v/>
      </c>
      <c r="V81" s="1615" t="str">
        <f t="shared" ref="V81" si="331">IF(W81=0,"",quot_currency_symbol)</f>
        <v/>
      </c>
      <c r="W81" s="889"/>
      <c r="X81" s="1615" t="str">
        <f t="shared" ref="X81" si="332">IF(M81="","",quot_currency_symbol)</f>
        <v/>
      </c>
      <c r="Y81" s="1616" t="str">
        <f t="shared" si="307"/>
        <v/>
      </c>
      <c r="Z81" s="890"/>
      <c r="AA81" s="197" t="str" cm="1">
        <f t="array" ref="AA81">IF(M81="","",IF(P81=AN81,1,Slookup(MID(AN81,1,3)*1,UomConversion!$D$8:$J$500,5,UomConversion!$E$8:$E$500,MID(P81,1,3)*1,UomConversion!$J$8:$J$500,1)))</f>
        <v/>
      </c>
      <c r="AB81" s="197" t="str">
        <f t="shared" si="281"/>
        <v/>
      </c>
      <c r="AC81" s="197" t="str">
        <f t="shared" si="292"/>
        <v/>
      </c>
      <c r="AD81" s="197" t="str">
        <f t="shared" si="293"/>
        <v/>
      </c>
      <c r="AE81" s="197" t="str">
        <f t="shared" si="294"/>
        <v/>
      </c>
      <c r="AF81" s="197" t="str">
        <f t="shared" si="282"/>
        <v/>
      </c>
      <c r="AG81" s="197" t="str">
        <f t="shared" si="283"/>
        <v/>
      </c>
      <c r="AH81" s="197" t="str">
        <f>IF(I81="","",IF(ISNA(MATCH(I81,IF(quot_location_id=1,'[1]1_inventory_totals'!$C$8:$C$10000,IF(quot_location_id=2,'[1]2_inventory_totals'!$C$8:$C$10000,0)),0)),0,IF(AV81&gt;0,1,0)))</f>
        <v/>
      </c>
      <c r="AI81" s="197" t="str">
        <f>IF(M81="","",IF(quot_location_id=1,SUMIFS('[1]1_inventory_total_details'!$J$8:$J$10000,'[1]1_inventory_total_details'!$C$8:$C$10000,I81,'[1]1_inventory_total_details'!$F$8:$F$10000,quot_location_id,'[1]1_inventory_total_details'!$G$8:$G$10000,"="&amp;Q81,'[1]1_inventory_total_details'!$H$8:$H$10000,"="&amp;R81,'[1]1_inventory_total_details'!$I$8:$I$10000,"="&amp;quot_date)+SUMIFS('[1]1_inventory_total_details'!$M$8:$M$10000,'[1]1_inventory_total_details'!$C$8:$C$10000,I81,'[1]1_inventory_total_details'!$F$8:$F$10000,quot_location_id,'[1]1_inventory_total_details'!$G$8:$G$10000,"="&amp;Q81,'[1]1_inventory_total_details'!$H$8:$H$10000,"="&amp;R81,'[1]1_inventory_total_details'!$I$8:$I$10000,"="&amp;quot_date)+SUMIFS('[1]1_inventory_total_details'!$K$8:$K$10000,'[1]1_inventory_total_details'!$C$8:$C$10000,I81,'[1]1_inventory_total_details'!$F$8:$F$10000,quot_location_id,'[1]1_inventory_total_details'!$G$8:$G$10000,"="&amp;Q81,'[1]1_inventory_total_details'!$H$8:$H$10000,"="&amp;R81,'[1]1_inventory_total_details'!$I$8:$I$10000,"="&amp;quot_date)+SUMIFS('[1]1_inventory_total_details'!$L$8:$L$10000,'[1]1_inventory_total_details'!$C$8:$C$10000,I81,'[1]1_inventory_total_details'!$F$8:$F$10000,quot_location_id,'[1]1_inventory_total_details'!$G$8:$G$10000,"="&amp;Q81,'[1]1_inventory_total_details'!$H$8:$H$10000,"="&amp;R81,'[1]1_inventory_total_details'!$I$8:$I$10000,"="&amp;quot_date),SUMIFS('[1]2_inventory_total_details'!$J$8:$J$10000,'[1]2_inventory_total_details'!$C$8:$C$10000,I81,'[1]2_inventory_total_details'!$F$8:$F$10000,quot_location_id,'[1]2_inventory_total_details'!$G$8:$G$10000,"="&amp;Q81,'[1]2_inventory_total_details'!$H$8:$H$10000,"="&amp;R81,'[1]2_inventory_total_details'!$I$8:$I$10000,"="&amp;quot_date)+SUMIFS('[1]2_inventory_total_details'!$M$8:$M$10000,'[1]2_inventory_total_details'!$C$8:$C$10000,I81,'[1]2_inventory_total_details'!$F$8:$F$10000,quot_location_id,'[1]2_inventory_total_details'!$G$8:$G$10000,"="&amp;Q81,'[1]2_inventory_total_details'!$H$8:$H$10000,"="&amp;R81,'[1]2_inventory_total_details'!$I$8:$I$10000,"="&amp;quot_date)+SUMIFS('[1]2_inventory_total_details'!$K$8:$K$10000,'[1]2_inventory_total_details'!$C$8:$C$10000,I81,'[1]2_inventory_total_details'!$F$8:$F$10000,quot_location_id,'[1]2_inventory_total_details'!$G$8:$G$10000,"="&amp;Q81,'[1]2_inventory_total_details'!$H$8:$H$10000,"="&amp;R81,'[1]2_inventory_total_details'!$I$8:$I$10000,"="&amp;quot_date)+SUMIFS('[1]2_inventory_total_details'!$L$8:$L$10000,'[1]2_inventory_total_details'!$C$8:$C$10000,I81,'[1]2_inventory_total_details'!$F$8:$F$10000,quot_location_id,'[1]2_inventory_total_details'!$G$8:$G$10000,"="&amp;Q81,'[1]2_inventory_total_details'!$H$8:$H$10000,"="&amp;R81,'[1]2_inventory_total_details'!$I$8:$I$10000,"="&amp;quot_date)))</f>
        <v/>
      </c>
      <c r="AJ81" s="197" t="str">
        <f>IF(M81="","",IF(ISNA(MATCH(I81,'[1]1_group_totals'!$C$8:$C$10000)),0,IF(AW81&gt;0,1,0)))</f>
        <v/>
      </c>
      <c r="AK81" s="197" t="str">
        <f>IF(M81="","",(SUMIFS('[1]1_group_total_details'!$I$8:$I$10000,'[1]1_group_total_details'!$C$8:$C$10000,I81,'[1]1_group_total_details'!$F$8:$F$10000,quot_location_group_id,'[1]1_group_total_details'!$G$8:$G$10000,quot_location_id,'[1]1_group_total_details'!$H$8:$H$10000,"="&amp;quot_date)+SUMIFS('[1]1_group_total_details'!$L$8:$L$10000,'[1]1_group_total_details'!$C$8:$C$10000,I81,'[1]1_group_total_details'!$F$8:$F$10000,quot_location_group_id,'[1]1_group_total_details'!$G$8:$G$10000,quot_location_id,'[1]1_group_total_details'!$H$8:$H$10000,"="&amp;quot_date)+SUMIFS('[1]1_group_total_details'!$N$8:$N$10000,'[1]1_group_total_details'!$C$8:$C$10000,I81,'[1]1_group_total_details'!$F$8:$F$10000,quot_location_group_id,'[1]1_group_total_details'!$G$8:$G$10000,quot_location_id,'[1]1_group_total_details'!$H$8:$H$10000,"="&amp;quot_date)+SUMIFS('[1]1_group_total_details'!$O$8:$O$10000,'[1]1_group_total_details'!$C$8:$C$10000,I81,'[1]1_group_total_details'!$F$8:$F$10000,quot_location_group_id,'[1]1_group_total_details'!$G$8:$G$10000,quot_location_id,'[1]1_group_total_details'!$H$8:$H$10000,"="&amp;quot_date))+(SUMIFS('[1]1_group_total_details'!$J$8:$J$10000,'[1]1_group_total_details'!$C$8:$C$10000,I81,'[1]1_group_total_details'!$F$8:$F$10000,quot_location_group_id,'[1]1_group_total_details'!$G$8:$G$10000,quot_location_id,'[1]1_group_total_details'!$H$8:$H$10000,"="&amp;quot_date)+SUMIFS('[1]1_group_total_details'!$K$8:$K$10000,'[1]1_group_total_details'!$C$8:$C$10000,I81,'[1]1_group_total_details'!$F$8:$F$10000,quot_location_group_id,'[1]1_group_total_details'!$G$8:$G$10000,quot_location_id,'[1]1_group_total_details'!$H$8:$H$10000,"="&amp;quot_date)+SUMIFS('[1]1_group_total_details'!$M$8:$M$10000,'[1]1_group_total_details'!$C$8:$C$10000,I81,'[1]1_group_total_details'!$F$8:$F$10000,quot_location_group_id,'[1]1_group_total_details'!$G$8:$G$10000,quot_location_id,'[1]1_group_total_details'!$H$8:$H$10000,"="&amp;quot_date)+SUMIFS('[1]1_group_total_details'!$P$8:$P$10000,'[1]1_group_total_details'!$C$8:$C$10000,I81,'[1]1_group_total_details'!$F$8:$F$10000,quot_location_group_id,'[1]1_group_total_details'!$G$8:$G$10000,quot_location_id,'[1]1_group_total_details'!$H$8:$H$10000,"="&amp;quot_date)))</f>
        <v/>
      </c>
      <c r="AL81" s="197" t="str">
        <f>IF(M81="","",(SUMIFS('[1]1_group_total_details'!$I$8:$I$10000,'[1]1_group_total_details'!$C$8:$C$10000,I81,'[1]1_group_total_details'!$F$8:$F$10000,quot_location_group_id,'[1]1_group_total_details'!$G$8:$G$10000,quot_location_id,'[1]1_group_total_details'!$H$8:$H$10000,"&lt;="&amp;quot_date)+SUMIFS('[1]1_group_total_details'!$L$8:$L$10000,'[1]1_group_total_details'!$C$8:$C$10000,I81,'[1]1_group_total_details'!$F$8:$F$10000,quot_location_group_id,'[1]1_group_total_details'!$G$8:$G$10000,1,'[1]1_group_total_details'!$H$8:$H$10000,"&lt;="&amp;quot_date)+SUMIFS('[1]1_group_total_details'!$N$8:$N$10000,'[1]1_group_total_details'!$C$8:$C$10000,I81,'[1]1_group_total_details'!$F$8:$F$10000,quot_location_group_id,'[1]1_group_total_details'!$G$8:$G$10000,quot_location_id,'[1]1_group_total_details'!$H$8:$H$10000,"&lt;="&amp;quot_date)+SUMIFS('[1]1_group_total_details'!$O$8:$O$10000,'[1]1_group_total_details'!$C$8:$C$10000,I81,'[1]1_group_total_details'!$F$8:$F$10000,quot_location_group_id,'[1]1_group_total_details'!$G$8:$G$10000,quot_location_id,'[1]1_group_total_details'!$H$8:$H$10000,"&lt;="&amp;quot_date))-(SUMIFS('[1]1_group_total_details'!$J$8:$J$10000,'[1]1_group_total_details'!$C$8:$C$10000,I81,'[1]1_group_total_details'!$F$8:$F$10000,quot_location_group_id,'[1]1_group_total_details'!$G$8:$G$10000,quot_location_id,'[1]1_group_total_details'!$H$8:$H$10000,"&lt;="&amp;quot_date)+SUMIFS('[1]1_group_total_details'!$K$8:$K$10000,'[1]1_group_total_details'!$C$8:$C$10000,I81,'[1]1_group_total_details'!$F$8:$F$10000,quot_location_group_id,'[1]1_group_total_details'!$G$8:$G$10000,quot_location_id,'[1]1_group_total_details'!$H$8:$H$10000,"&lt;="&amp;quot_date)+SUMIFS('[1]1_group_total_details'!$M$8:$M$10000,'[1]1_group_total_details'!$C$8:$C$10000,I81,'[1]1_group_total_details'!$F$8:$F$10000,quot_location_group_id,'[1]1_group_total_details'!$G$8:$G$10000,quot_location_id,'[1]1_group_total_details'!$H$8:$H$10000,"&lt;="&amp;quot_date)+SUMIFS('[1]1_group_total_details'!$P$8:$P$10000,'[1]1_group_total_details'!$C$8:$C$10000,I81,'[1]1_group_total_details'!$F$8:$F$10000,quot_location_group_id,'[1]1_group_total_details'!$G$8:$G$10000,quot_location_id,'[1]1_group_total_details'!$H$8:$H$10000,"&lt;="&amp;quot_date)))</f>
        <v/>
      </c>
      <c r="AM81" s="197" t="str">
        <f>IF(M81="","",SUMIFS('[1]1_group_totals'!$J$8:$J$10000,'[1]1_group_totals'!$C$8:$C$10000,I81,'[1]1_group_totals'!$F$8:$F$10000,quot_location_group_id,'[1]1_group_totals'!$G$8:$G$10000,quot_location_id,'[1]1_group_totals'!$H$8:$H$10000,"="&amp;Q81,'[1]1_group_totals'!$I$8:$I$10000,"="&amp;R81))</f>
        <v/>
      </c>
      <c r="AN81" s="197" t="str">
        <f t="shared" si="284"/>
        <v/>
      </c>
      <c r="AO81" s="197" t="str">
        <f>IF(OR(ISNA(MATCH(MID(AN81,1,3)*1,UomConversion!$D$8:$D$500,0)),M81=""),"",IF(AT81="","",AT81))</f>
        <v/>
      </c>
      <c r="AP81" s="197" t="str">
        <f>IF(AND(AQ81&gt;0,COUNTIFS(UomConversion!$D$8:$D$500,MID(AN81,1,3)*1,UomConversion!$J$8:$J$500,1)&gt;1),TEXT(AQ81,"000")&amp;"."&amp;VLOOKUP(AQ81,uom_list,5,FALSE),"")</f>
        <v/>
      </c>
      <c r="AQ81" s="197" t="str">
        <f t="shared" si="295"/>
        <v/>
      </c>
      <c r="AR81" s="197" t="str">
        <f t="shared" si="296"/>
        <v/>
      </c>
      <c r="AS81" s="197" t="str">
        <f>IF(M81="","",SUMIFS(ProductPrice!$N$28:$N$10020,ProductPrice!$D$28:$D$10020,I81,ProductPrice!$G$28:$G$10020,quot_branch_id,ProductPrice!$H$28:$H$10020,quot_price_type_id,ProductPrice!$I$28:$I$10020,MID(P81,1,3)*1,ProductPrice!$Q$28:$Q$10020,1))</f>
        <v/>
      </c>
      <c r="AT81" s="197" t="str">
        <f t="shared" si="285"/>
        <v/>
      </c>
      <c r="AU81" s="197" t="str" cm="1">
        <f t="array" ref="AU81">IF(M81="","",IF(ISNA(Slookup(MID(AN81,1,3)*1,UomConversion!$D$8:$J$500,2,UomConversion!$I$8:$I$500,1,UomConversion!$J$8:$J$500,1)),"",Slookup(MID(AN81,1,3)*1,UomConversion!$D$8:$J$500,2,UomConversion!$I$8:$I$500,1,UomConversion!$J$8:$J$500,1)))</f>
        <v/>
      </c>
      <c r="AV81" s="197" t="str">
        <f t="shared" ref="AV81" si="333">IF(M81="","",IF(quot_location_id=1,BA81,IF(quot_location_id=2,BB81,0)))</f>
        <v/>
      </c>
      <c r="AW81" s="197" t="str">
        <f>IF(M81="","",(SUMIFS('[1]1_group_totals'!$K$8:$K$10000,'[1]1_group_totals'!$C$8:$C$10000,I81,'[1]1_group_totals'!$F$8:$F$10000,quot_location_group_id,'[1]1_group_totals'!$G$8:$G$10000,quot_location_id,'[1]1_group_totals'!$H$8:$H$10000,"="&amp;Q81,'[1]1_group_totals'!$I$8:$I$10000,"="&amp;R81)+SUMIFS('[1]1_group_totals'!$N$8:$N$10000,'[1]1_group_totals'!$C$8:$C$10000,I81,'[1]1_group_totals'!$F$8:$F$10000,quot_location_group_id,'[1]1_group_totals'!$G$8:$G$10000,quot_location_id,'[1]1_group_totals'!$H$8:$H$10000,"="&amp;Q81,'[1]1_group_totals'!$I$8:$I$10000,"="&amp;R81)+SUMIFS('[1]1_group_totals'!$P$8:$P$10000,'[1]1_group_totals'!$C$8:$C$10000,I81,'[1]1_group_totals'!$F$8:$F$10000,quot_location_group_id,'[1]1_group_totals'!$G$8:$G$10000,quot_location_id,'[1]1_group_totals'!$H$8:$H$10000,"="&amp;Q81,'[1]1_group_totals'!$I$8:$I$10000,"="&amp;R81)+SUMIFS('[1]1_group_totals'!$Q$8:$Q$10000,'[1]1_group_totals'!$C$8:$C$10000,I81,'[1]1_group_totals'!$F$8:$F$10000,quot_location_group_id,'[1]1_group_totals'!$G$8:$G$10000,quot_location_id,'[1]1_group_totals'!$H$8:$H$10000,"="&amp;Q81,'[1]1_group_totals'!$I$8:$I$10000,"="&amp;R81))+(SUMIFS('[1]1_group_totals'!$L$8:$L$10000,'[1]1_group_totals'!$C$8:$C$10000,I81,'[1]1_group_totals'!$F$8:$F$10000,quot_location_group_id,'[1]1_group_totals'!$G$8:$G$10000,quot_location_id,'[1]1_group_totals'!$H$8:$H$10000,"="&amp;Q81,'[1]1_group_totals'!$I$8:$I$10000,"="&amp;R81)+SUMIFS('[1]1_group_totals'!$M$8:$M$10000,'[1]1_group_totals'!$C$8:$C$10000,I81,'[1]1_group_totals'!$F$8:$F$10000,quot_location_group_id,'[1]1_group_totals'!$G$8:$G$10000,quot_location_id,'[1]1_group_totals'!$H$8:$H$10000,"="&amp;Q81,'[1]1_group_totals'!$I$8:$I$10000,"="&amp;R81)+SUMIFS('[1]1_group_totals'!$O$8:$O$10000,'[1]1_group_totals'!$C$8:$C$10000,I81,'[1]1_group_totals'!$F$8:$F$10000,quot_location_group_id,'[1]1_group_totals'!$G$8:$G$10000,quot_location_id,'[1]1_group_totals'!$H$8:$H$10000,"="&amp;Q81,'[1]1_group_totals'!$I$8:$I$10000,"="&amp;R81)+SUMIFS('[1]1_group_totals'!$R$8:$R$10000,'[1]1_group_totals'!$C$8:$C$10000,I81,'[1]1_group_totals'!$F$8:$F$10000,quot_location_group_id,'[1]1_group_totals'!$G$8:$G$10000,quot_location_id,'[1]1_group_totals'!$H$8:$H$10000,"="&amp;Q81,'[1]1_group_totals'!$I$8:$I$10000,"="&amp;R81)))</f>
        <v/>
      </c>
      <c r="AX81" s="197" t="str">
        <f t="shared" si="298"/>
        <v/>
      </c>
      <c r="AY81" s="197" t="str">
        <f>IF(M81="","",SUMIFS($AX$8:AX81,$I$8:I81,I81))</f>
        <v/>
      </c>
      <c r="AZ81" s="197" t="str">
        <f t="shared" si="299"/>
        <v/>
      </c>
      <c r="BA81" s="197" t="str">
        <f>IF(M81="","",(SUMIFS('[1]1_inventory_totals'!$I$8:$I$10000,'[1]1_inventory_totals'!$C$8:$C$10000,I81,'[1]1_inventory_totals'!$F$8:$F$10000,"="&amp;Q81,'[1]1_inventory_totals'!$G$8:$G$10000,"="&amp;R81)+SUMIFS('[1]1_inventory_totals'!$N$8:$N$10000,'[1]1_inventory_totals'!$C$8:$C$10000,I81,'[1]1_inventory_totals'!$F$8:$F$10000,"="&amp;Q81,'[1]1_inventory_totals'!$G$8:$G$10000,"="&amp;R81)+SUMIFS('[1]1_inventory_totals'!$P$8:$P$10000,'[1]1_inventory_totals'!$C$8:$C$10000,I81,'[1]1_inventory_totals'!$F$8:$F$10000,"="&amp;Q81,'[1]1_inventory_totals'!$G$8:$G$10000,"="&amp;R81)+SUMIFS('[1]1_inventory_totals'!$Q$8:$Q$10000,'[1]1_inventory_totals'!$C$8:$C$10000,I81,'[1]1_inventory_totals'!$F$8:$F$10000,"="&amp;Q81,'[1]1_inventory_totals'!$G$8:$G$10000,"="&amp;R81)+SUMIFS('[1]1_inventory_totals'!$R$8:$R$10000,'[1]1_inventory_totals'!$C$8:$C$10000,I81,'[1]1_inventory_totals'!$F$8:$F$10000,"="&amp;Q81,'[1]1_inventory_totals'!$G$8:$G$10000,"="&amp;R81))+(SUMIFS('[1]1_inventory_totals'!$J$8:$J$10000,'[1]1_inventory_totals'!$C$8:$C$10000,I81,'[1]1_inventory_totals'!$F$8:$F$10000,"="&amp;Q81,'[1]1_inventory_totals'!$G$8:$G$10000,"="&amp;R81)+SUMIFS('[1]1_inventory_totals'!$K$8:$K$10000,'[1]1_inventory_totals'!$C$8:$C$10000,I81,'[1]1_inventory_totals'!$F$8:$F$10000,"="&amp;Q81,'[1]1_inventory_totals'!$G$8:$G$10000,"="&amp;R81)+SUMIFS('[1]1_inventory_totals'!$L$8:$L$10000,'[1]1_inventory_totals'!$C$8:$C$10000,I81,'[1]1_inventory_totals'!$F$8:$F$10000,"="&amp;Q81,'[1]1_inventory_totals'!$G$8:$G$10000,"="&amp;R81)+SUMIFS('[1]1_inventory_totals'!$M$8:$M$10000,'[1]1_inventory_totals'!$C$8:$C$10000,I81,'[1]1_inventory_totals'!$F$8:$F$10000,"="&amp;Q81,'[1]1_inventory_totals'!$G$8:$G$10000,"="&amp;R81)+SUMIFS('[1]1_inventory_totals'!$O$8:$O$10000,'[1]1_inventory_totals'!$C$8:$C$10000,I81,'[1]1_inventory_totals'!$F$8:$F$10000,"="&amp;Q81,'[1]1_inventory_totals'!$G$8:$G$10000,"="&amp;R81)+SUMIFS('[1]1_inventory_totals'!$S$8:$S$10000,'[1]1_inventory_totals'!$C$8:$C$10000,I81,'[1]1_inventory_totals'!$F$8:$F$10000,"="&amp;Q81,'[1]1_inventory_totals'!$G$8:$G$10000,"="&amp;R81)))</f>
        <v/>
      </c>
      <c r="BB81" s="197" t="str">
        <f>IF(M81="","",(SUMIFS('[1]2_inventory_totals'!$I$8:$I$10000,'[1]2_inventory_totals'!$C$8:$C$10000,I81,'[1]2_inventory_totals'!$F$8:$F$10000,"="&amp;Q81,'[1]2_inventory_totals'!$G$8:$G$10000,"="&amp;R81)+SUMIFS('[1]2_inventory_totals'!$N$8:$N$10000,'[1]2_inventory_totals'!$C$8:$C$10000,I81,'[1]2_inventory_totals'!$F$8:$F$10000,"="&amp;Q81,'[1]2_inventory_totals'!$G$8:$G$10000,"="&amp;R81)+SUMIFS('[1]2_inventory_totals'!$P$8:$P$10000,'[1]2_inventory_totals'!$C$8:$C$10000,I81,'[1]2_inventory_totals'!$F$8:$F$10000,"="&amp;Q81,'[1]2_inventory_totals'!$G$8:$G$10000,"="&amp;R81)+SUMIFS('[1]2_inventory_totals'!$Q$8:$Q$10000,'[1]2_inventory_totals'!$C$8:$C$10000,I81,'[1]2_inventory_totals'!$F$8:$F$10000,"="&amp;Q81,'[1]2_inventory_totals'!$G$8:$G$10000,"="&amp;R81)+SUMIFS('[1]2_inventory_totals'!$R$8:$R$10000,'[1]2_inventory_totals'!$C$8:$C$10000,I81,'[1]2_inventory_totals'!$F$8:$F$10000,"="&amp;Q81,'[1]2_inventory_totals'!$G$8:$G$10000,"="&amp;R81))+(SUMIFS('[1]2_inventory_totals'!$J$8:$J$10000,'[1]2_inventory_totals'!$C$8:$C$10000,I81,'[1]2_inventory_totals'!$F$8:$F$10000,"="&amp;Q81,'[1]2_inventory_totals'!$G$8:$G$10000,"="&amp;R81)+SUMIFS('[1]2_inventory_totals'!$K$8:$K$10000,'[1]2_inventory_totals'!$C$8:$C$10000,I81,'[1]2_inventory_totals'!$F$8:$F$10000,"="&amp;Q81,'[1]2_inventory_totals'!$G$8:$G$10000,"="&amp;R81)+SUMIFS('[1]2_inventory_totals'!$L$8:$L$10000,'[1]2_inventory_totals'!$C$8:$C$10000,I81,'[1]2_inventory_totals'!$F$8:$F$10000,"="&amp;Q81,'[1]2_inventory_totals'!$G$8:$G$10000,"="&amp;R81)+SUMIFS('[1]2_inventory_totals'!$M$8:$M$10000,'[1]2_inventory_totals'!$C$8:$C$10000,I81,'[1]2_inventory_totals'!$F$8:$F$10000,"="&amp;Q81,'[1]2_inventory_totals'!$G$8:$G$10000,"="&amp;R81)+SUMIFS('[1]2_inventory_totals'!$O$8:$O$10000,'[1]2_inventory_totals'!$C$8:$C$10000,I81,'[1]2_inventory_totals'!$F$8:$F$10000,"="&amp;Q81,'[1]2_inventory_totals'!$G$8:$G$10000,"="&amp;R81)+SUMIFS('[1]2_inventory_totals'!$S$8:$S$10000,'[1]2_inventory_totals'!$C$8:$C$10000,I81,'[1]2_inventory_totals'!$F$8:$F$10000,"="&amp;Q81,'[1]2_inventory_totals'!$G$8:$G$10000,"="&amp;R81)))</f>
        <v/>
      </c>
    </row>
    <row r="82" spans="1:54" ht="27" hidden="1" customHeight="1">
      <c r="A82" s="923"/>
      <c r="B82" s="1256"/>
      <c r="C82" s="950"/>
      <c r="D82" s="950"/>
      <c r="E82" s="950"/>
      <c r="F82" s="1257"/>
      <c r="G82" s="941"/>
      <c r="H82" s="951"/>
      <c r="I82" s="1610" t="str">
        <f t="shared" si="287"/>
        <v/>
      </c>
      <c r="J82" s="1611" t="str">
        <f t="shared" si="112"/>
        <v/>
      </c>
      <c r="K82" s="1612" t="str">
        <f t="shared" si="309"/>
        <v/>
      </c>
      <c r="L82" s="1613"/>
      <c r="M82" s="883"/>
      <c r="N82" s="884"/>
      <c r="O82" s="884"/>
      <c r="P82" s="885"/>
      <c r="Q82" s="886"/>
      <c r="R82" s="891"/>
      <c r="S82" s="1614" t="str">
        <f t="shared" ref="S82" si="334">IF(M82="","",quot_currency_symbol)</f>
        <v/>
      </c>
      <c r="T82" s="888"/>
      <c r="U82" s="1650" t="str">
        <f t="shared" si="289"/>
        <v/>
      </c>
      <c r="V82" s="1615" t="str">
        <f t="shared" ref="V82" si="335">IF(W82=0,"",quot_currency_symbol)</f>
        <v/>
      </c>
      <c r="W82" s="889"/>
      <c r="X82" s="1615" t="str">
        <f t="shared" ref="X82" si="336">IF(M82="","",quot_currency_symbol)</f>
        <v/>
      </c>
      <c r="Y82" s="1616" t="str">
        <f t="shared" si="307"/>
        <v/>
      </c>
      <c r="Z82" s="890"/>
      <c r="AA82" s="197" t="str" cm="1">
        <f t="array" ref="AA82">IF(M82="","",IF(P82=AN82,1,Slookup(MID(AN82,1,3)*1,UomConversion!$D$8:$J$500,5,UomConversion!$E$8:$E$500,MID(P82,1,3)*1,UomConversion!$J$8:$J$500,1)))</f>
        <v/>
      </c>
      <c r="AB82" s="197" t="str">
        <f t="shared" si="281"/>
        <v/>
      </c>
      <c r="AC82" s="197" t="str">
        <f t="shared" si="292"/>
        <v/>
      </c>
      <c r="AD82" s="197" t="str">
        <f t="shared" si="293"/>
        <v/>
      </c>
      <c r="AE82" s="197" t="str">
        <f t="shared" si="294"/>
        <v/>
      </c>
      <c r="AF82" s="197" t="str">
        <f t="shared" si="282"/>
        <v/>
      </c>
      <c r="AG82" s="197" t="str">
        <f t="shared" si="283"/>
        <v/>
      </c>
      <c r="AH82" s="197" t="str">
        <f>IF(I82="","",IF(ISNA(MATCH(I82,IF(quot_location_id=1,'[1]1_inventory_totals'!$C$8:$C$10000,IF(quot_location_id=2,'[1]2_inventory_totals'!$C$8:$C$10000,0)),0)),0,IF(AV82&gt;0,1,0)))</f>
        <v/>
      </c>
      <c r="AI82" s="197" t="str">
        <f>IF(M82="","",IF(quot_location_id=1,SUMIFS('[1]1_inventory_total_details'!$J$8:$J$10000,'[1]1_inventory_total_details'!$C$8:$C$10000,I82,'[1]1_inventory_total_details'!$F$8:$F$10000,quot_location_id,'[1]1_inventory_total_details'!$G$8:$G$10000,"="&amp;Q82,'[1]1_inventory_total_details'!$H$8:$H$10000,"="&amp;R82,'[1]1_inventory_total_details'!$I$8:$I$10000,"="&amp;quot_date)+SUMIFS('[1]1_inventory_total_details'!$M$8:$M$10000,'[1]1_inventory_total_details'!$C$8:$C$10000,I82,'[1]1_inventory_total_details'!$F$8:$F$10000,quot_location_id,'[1]1_inventory_total_details'!$G$8:$G$10000,"="&amp;Q82,'[1]1_inventory_total_details'!$H$8:$H$10000,"="&amp;R82,'[1]1_inventory_total_details'!$I$8:$I$10000,"="&amp;quot_date)+SUMIFS('[1]1_inventory_total_details'!$K$8:$K$10000,'[1]1_inventory_total_details'!$C$8:$C$10000,I82,'[1]1_inventory_total_details'!$F$8:$F$10000,quot_location_id,'[1]1_inventory_total_details'!$G$8:$G$10000,"="&amp;Q82,'[1]1_inventory_total_details'!$H$8:$H$10000,"="&amp;R82,'[1]1_inventory_total_details'!$I$8:$I$10000,"="&amp;quot_date)+SUMIFS('[1]1_inventory_total_details'!$L$8:$L$10000,'[1]1_inventory_total_details'!$C$8:$C$10000,I82,'[1]1_inventory_total_details'!$F$8:$F$10000,quot_location_id,'[1]1_inventory_total_details'!$G$8:$G$10000,"="&amp;Q82,'[1]1_inventory_total_details'!$H$8:$H$10000,"="&amp;R82,'[1]1_inventory_total_details'!$I$8:$I$10000,"="&amp;quot_date),SUMIFS('[1]2_inventory_total_details'!$J$8:$J$10000,'[1]2_inventory_total_details'!$C$8:$C$10000,I82,'[1]2_inventory_total_details'!$F$8:$F$10000,quot_location_id,'[1]2_inventory_total_details'!$G$8:$G$10000,"="&amp;Q82,'[1]2_inventory_total_details'!$H$8:$H$10000,"="&amp;R82,'[1]2_inventory_total_details'!$I$8:$I$10000,"="&amp;quot_date)+SUMIFS('[1]2_inventory_total_details'!$M$8:$M$10000,'[1]2_inventory_total_details'!$C$8:$C$10000,I82,'[1]2_inventory_total_details'!$F$8:$F$10000,quot_location_id,'[1]2_inventory_total_details'!$G$8:$G$10000,"="&amp;Q82,'[1]2_inventory_total_details'!$H$8:$H$10000,"="&amp;R82,'[1]2_inventory_total_details'!$I$8:$I$10000,"="&amp;quot_date)+SUMIFS('[1]2_inventory_total_details'!$K$8:$K$10000,'[1]2_inventory_total_details'!$C$8:$C$10000,I82,'[1]2_inventory_total_details'!$F$8:$F$10000,quot_location_id,'[1]2_inventory_total_details'!$G$8:$G$10000,"="&amp;Q82,'[1]2_inventory_total_details'!$H$8:$H$10000,"="&amp;R82,'[1]2_inventory_total_details'!$I$8:$I$10000,"="&amp;quot_date)+SUMIFS('[1]2_inventory_total_details'!$L$8:$L$10000,'[1]2_inventory_total_details'!$C$8:$C$10000,I82,'[1]2_inventory_total_details'!$F$8:$F$10000,quot_location_id,'[1]2_inventory_total_details'!$G$8:$G$10000,"="&amp;Q82,'[1]2_inventory_total_details'!$H$8:$H$10000,"="&amp;R82,'[1]2_inventory_total_details'!$I$8:$I$10000,"="&amp;quot_date)))</f>
        <v/>
      </c>
      <c r="AJ82" s="197" t="str">
        <f>IF(M82="","",IF(ISNA(MATCH(I82,'[1]1_group_totals'!$C$8:$C$10000)),0,IF(AW82&gt;0,1,0)))</f>
        <v/>
      </c>
      <c r="AK82" s="197" t="str">
        <f>IF(M82="","",(SUMIFS('[1]1_group_total_details'!$I$8:$I$10000,'[1]1_group_total_details'!$C$8:$C$10000,I82,'[1]1_group_total_details'!$F$8:$F$10000,quot_location_group_id,'[1]1_group_total_details'!$G$8:$G$10000,quot_location_id,'[1]1_group_total_details'!$H$8:$H$10000,"="&amp;quot_date)+SUMIFS('[1]1_group_total_details'!$L$8:$L$10000,'[1]1_group_total_details'!$C$8:$C$10000,I82,'[1]1_group_total_details'!$F$8:$F$10000,quot_location_group_id,'[1]1_group_total_details'!$G$8:$G$10000,quot_location_id,'[1]1_group_total_details'!$H$8:$H$10000,"="&amp;quot_date)+SUMIFS('[1]1_group_total_details'!$N$8:$N$10000,'[1]1_group_total_details'!$C$8:$C$10000,I82,'[1]1_group_total_details'!$F$8:$F$10000,quot_location_group_id,'[1]1_group_total_details'!$G$8:$G$10000,quot_location_id,'[1]1_group_total_details'!$H$8:$H$10000,"="&amp;quot_date)+SUMIFS('[1]1_group_total_details'!$O$8:$O$10000,'[1]1_group_total_details'!$C$8:$C$10000,I82,'[1]1_group_total_details'!$F$8:$F$10000,quot_location_group_id,'[1]1_group_total_details'!$G$8:$G$10000,quot_location_id,'[1]1_group_total_details'!$H$8:$H$10000,"="&amp;quot_date))+(SUMIFS('[1]1_group_total_details'!$J$8:$J$10000,'[1]1_group_total_details'!$C$8:$C$10000,I82,'[1]1_group_total_details'!$F$8:$F$10000,quot_location_group_id,'[1]1_group_total_details'!$G$8:$G$10000,quot_location_id,'[1]1_group_total_details'!$H$8:$H$10000,"="&amp;quot_date)+SUMIFS('[1]1_group_total_details'!$K$8:$K$10000,'[1]1_group_total_details'!$C$8:$C$10000,I82,'[1]1_group_total_details'!$F$8:$F$10000,quot_location_group_id,'[1]1_group_total_details'!$G$8:$G$10000,quot_location_id,'[1]1_group_total_details'!$H$8:$H$10000,"="&amp;quot_date)+SUMIFS('[1]1_group_total_details'!$M$8:$M$10000,'[1]1_group_total_details'!$C$8:$C$10000,I82,'[1]1_group_total_details'!$F$8:$F$10000,quot_location_group_id,'[1]1_group_total_details'!$G$8:$G$10000,quot_location_id,'[1]1_group_total_details'!$H$8:$H$10000,"="&amp;quot_date)+SUMIFS('[1]1_group_total_details'!$P$8:$P$10000,'[1]1_group_total_details'!$C$8:$C$10000,I82,'[1]1_group_total_details'!$F$8:$F$10000,quot_location_group_id,'[1]1_group_total_details'!$G$8:$G$10000,quot_location_id,'[1]1_group_total_details'!$H$8:$H$10000,"="&amp;quot_date)))</f>
        <v/>
      </c>
      <c r="AL82" s="197" t="str">
        <f>IF(M82="","",(SUMIFS('[1]1_group_total_details'!$I$8:$I$10000,'[1]1_group_total_details'!$C$8:$C$10000,I82,'[1]1_group_total_details'!$F$8:$F$10000,quot_location_group_id,'[1]1_group_total_details'!$G$8:$G$10000,quot_location_id,'[1]1_group_total_details'!$H$8:$H$10000,"&lt;="&amp;quot_date)+SUMIFS('[1]1_group_total_details'!$L$8:$L$10000,'[1]1_group_total_details'!$C$8:$C$10000,I82,'[1]1_group_total_details'!$F$8:$F$10000,quot_location_group_id,'[1]1_group_total_details'!$G$8:$G$10000,1,'[1]1_group_total_details'!$H$8:$H$10000,"&lt;="&amp;quot_date)+SUMIFS('[1]1_group_total_details'!$N$8:$N$10000,'[1]1_group_total_details'!$C$8:$C$10000,I82,'[1]1_group_total_details'!$F$8:$F$10000,quot_location_group_id,'[1]1_group_total_details'!$G$8:$G$10000,quot_location_id,'[1]1_group_total_details'!$H$8:$H$10000,"&lt;="&amp;quot_date)+SUMIFS('[1]1_group_total_details'!$O$8:$O$10000,'[1]1_group_total_details'!$C$8:$C$10000,I82,'[1]1_group_total_details'!$F$8:$F$10000,quot_location_group_id,'[1]1_group_total_details'!$G$8:$G$10000,quot_location_id,'[1]1_group_total_details'!$H$8:$H$10000,"&lt;="&amp;quot_date))-(SUMIFS('[1]1_group_total_details'!$J$8:$J$10000,'[1]1_group_total_details'!$C$8:$C$10000,I82,'[1]1_group_total_details'!$F$8:$F$10000,quot_location_group_id,'[1]1_group_total_details'!$G$8:$G$10000,quot_location_id,'[1]1_group_total_details'!$H$8:$H$10000,"&lt;="&amp;quot_date)+SUMIFS('[1]1_group_total_details'!$K$8:$K$10000,'[1]1_group_total_details'!$C$8:$C$10000,I82,'[1]1_group_total_details'!$F$8:$F$10000,quot_location_group_id,'[1]1_group_total_details'!$G$8:$G$10000,quot_location_id,'[1]1_group_total_details'!$H$8:$H$10000,"&lt;="&amp;quot_date)+SUMIFS('[1]1_group_total_details'!$M$8:$M$10000,'[1]1_group_total_details'!$C$8:$C$10000,I82,'[1]1_group_total_details'!$F$8:$F$10000,quot_location_group_id,'[1]1_group_total_details'!$G$8:$G$10000,quot_location_id,'[1]1_group_total_details'!$H$8:$H$10000,"&lt;="&amp;quot_date)+SUMIFS('[1]1_group_total_details'!$P$8:$P$10000,'[1]1_group_total_details'!$C$8:$C$10000,I82,'[1]1_group_total_details'!$F$8:$F$10000,quot_location_group_id,'[1]1_group_total_details'!$G$8:$G$10000,quot_location_id,'[1]1_group_total_details'!$H$8:$H$10000,"&lt;="&amp;quot_date)))</f>
        <v/>
      </c>
      <c r="AM82" s="197" t="str">
        <f>IF(M82="","",SUMIFS('[1]1_group_totals'!$J$8:$J$10000,'[1]1_group_totals'!$C$8:$C$10000,I82,'[1]1_group_totals'!$F$8:$F$10000,quot_location_group_id,'[1]1_group_totals'!$G$8:$G$10000,quot_location_id,'[1]1_group_totals'!$H$8:$H$10000,"="&amp;Q82,'[1]1_group_totals'!$I$8:$I$10000,"="&amp;R82))</f>
        <v/>
      </c>
      <c r="AN82" s="197" t="str">
        <f t="shared" si="284"/>
        <v/>
      </c>
      <c r="AO82" s="197" t="str">
        <f>IF(OR(ISNA(MATCH(MID(AN82,1,3)*1,UomConversion!$D$8:$D$500,0)),M82=""),"",IF(AT82="","",AT82))</f>
        <v/>
      </c>
      <c r="AP82" s="197" t="str">
        <f>IF(AND(AQ82&gt;0,COUNTIFS(UomConversion!$D$8:$D$500,MID(AN82,1,3)*1,UomConversion!$J$8:$J$500,1)&gt;1),TEXT(AQ82,"000")&amp;"."&amp;VLOOKUP(AQ82,uom_list,5,FALSE),"")</f>
        <v/>
      </c>
      <c r="AQ82" s="197" t="str">
        <f t="shared" si="295"/>
        <v/>
      </c>
      <c r="AR82" s="197" t="str">
        <f t="shared" si="296"/>
        <v/>
      </c>
      <c r="AS82" s="197" t="str">
        <f>IF(M82="","",SUMIFS(ProductPrice!$N$28:$N$10020,ProductPrice!$D$28:$D$10020,I82,ProductPrice!$G$28:$G$10020,quot_branch_id,ProductPrice!$H$28:$H$10020,quot_price_type_id,ProductPrice!$I$28:$I$10020,MID(P82,1,3)*1,ProductPrice!$Q$28:$Q$10020,1))</f>
        <v/>
      </c>
      <c r="AT82" s="197" t="str">
        <f t="shared" si="285"/>
        <v/>
      </c>
      <c r="AU82" s="197" t="str" cm="1">
        <f t="array" ref="AU82">IF(M82="","",IF(ISNA(Slookup(MID(AN82,1,3)*1,UomConversion!$D$8:$J$500,2,UomConversion!$I$8:$I$500,1,UomConversion!$J$8:$J$500,1)),"",Slookup(MID(AN82,1,3)*1,UomConversion!$D$8:$J$500,2,UomConversion!$I$8:$I$500,1,UomConversion!$J$8:$J$500,1)))</f>
        <v/>
      </c>
      <c r="AV82" s="197" t="str">
        <f t="shared" ref="AV82" si="337">IF(M82="","",IF(quot_location_id=1,BA82,IF(quot_location_id=2,BB82,0)))</f>
        <v/>
      </c>
      <c r="AW82" s="197" t="str">
        <f>IF(M82="","",(SUMIFS('[1]1_group_totals'!$K$8:$K$10000,'[1]1_group_totals'!$C$8:$C$10000,I82,'[1]1_group_totals'!$F$8:$F$10000,quot_location_group_id,'[1]1_group_totals'!$G$8:$G$10000,quot_location_id,'[1]1_group_totals'!$H$8:$H$10000,"="&amp;Q82,'[1]1_group_totals'!$I$8:$I$10000,"="&amp;R82)+SUMIFS('[1]1_group_totals'!$N$8:$N$10000,'[1]1_group_totals'!$C$8:$C$10000,I82,'[1]1_group_totals'!$F$8:$F$10000,quot_location_group_id,'[1]1_group_totals'!$G$8:$G$10000,quot_location_id,'[1]1_group_totals'!$H$8:$H$10000,"="&amp;Q82,'[1]1_group_totals'!$I$8:$I$10000,"="&amp;R82)+SUMIFS('[1]1_group_totals'!$P$8:$P$10000,'[1]1_group_totals'!$C$8:$C$10000,I82,'[1]1_group_totals'!$F$8:$F$10000,quot_location_group_id,'[1]1_group_totals'!$G$8:$G$10000,quot_location_id,'[1]1_group_totals'!$H$8:$H$10000,"="&amp;Q82,'[1]1_group_totals'!$I$8:$I$10000,"="&amp;R82)+SUMIFS('[1]1_group_totals'!$Q$8:$Q$10000,'[1]1_group_totals'!$C$8:$C$10000,I82,'[1]1_group_totals'!$F$8:$F$10000,quot_location_group_id,'[1]1_group_totals'!$G$8:$G$10000,quot_location_id,'[1]1_group_totals'!$H$8:$H$10000,"="&amp;Q82,'[1]1_group_totals'!$I$8:$I$10000,"="&amp;R82))+(SUMIFS('[1]1_group_totals'!$L$8:$L$10000,'[1]1_group_totals'!$C$8:$C$10000,I82,'[1]1_group_totals'!$F$8:$F$10000,quot_location_group_id,'[1]1_group_totals'!$G$8:$G$10000,quot_location_id,'[1]1_group_totals'!$H$8:$H$10000,"="&amp;Q82,'[1]1_group_totals'!$I$8:$I$10000,"="&amp;R82)+SUMIFS('[1]1_group_totals'!$M$8:$M$10000,'[1]1_group_totals'!$C$8:$C$10000,I82,'[1]1_group_totals'!$F$8:$F$10000,quot_location_group_id,'[1]1_group_totals'!$G$8:$G$10000,quot_location_id,'[1]1_group_totals'!$H$8:$H$10000,"="&amp;Q82,'[1]1_group_totals'!$I$8:$I$10000,"="&amp;R82)+SUMIFS('[1]1_group_totals'!$O$8:$O$10000,'[1]1_group_totals'!$C$8:$C$10000,I82,'[1]1_group_totals'!$F$8:$F$10000,quot_location_group_id,'[1]1_group_totals'!$G$8:$G$10000,quot_location_id,'[1]1_group_totals'!$H$8:$H$10000,"="&amp;Q82,'[1]1_group_totals'!$I$8:$I$10000,"="&amp;R82)+SUMIFS('[1]1_group_totals'!$R$8:$R$10000,'[1]1_group_totals'!$C$8:$C$10000,I82,'[1]1_group_totals'!$F$8:$F$10000,quot_location_group_id,'[1]1_group_totals'!$G$8:$G$10000,quot_location_id,'[1]1_group_totals'!$H$8:$H$10000,"="&amp;Q82,'[1]1_group_totals'!$I$8:$I$10000,"="&amp;R82)))</f>
        <v/>
      </c>
      <c r="AX82" s="197" t="str">
        <f t="shared" si="298"/>
        <v/>
      </c>
      <c r="AY82" s="197" t="str">
        <f>IF(M82="","",SUMIFS($AX$8:AX82,$I$8:I82,I82))</f>
        <v/>
      </c>
      <c r="AZ82" s="197" t="str">
        <f t="shared" si="299"/>
        <v/>
      </c>
      <c r="BA82" s="197" t="str">
        <f>IF(M82="","",(SUMIFS('[1]1_inventory_totals'!$I$8:$I$10000,'[1]1_inventory_totals'!$C$8:$C$10000,I82,'[1]1_inventory_totals'!$F$8:$F$10000,"="&amp;Q82,'[1]1_inventory_totals'!$G$8:$G$10000,"="&amp;R82)+SUMIFS('[1]1_inventory_totals'!$N$8:$N$10000,'[1]1_inventory_totals'!$C$8:$C$10000,I82,'[1]1_inventory_totals'!$F$8:$F$10000,"="&amp;Q82,'[1]1_inventory_totals'!$G$8:$G$10000,"="&amp;R82)+SUMIFS('[1]1_inventory_totals'!$P$8:$P$10000,'[1]1_inventory_totals'!$C$8:$C$10000,I82,'[1]1_inventory_totals'!$F$8:$F$10000,"="&amp;Q82,'[1]1_inventory_totals'!$G$8:$G$10000,"="&amp;R82)+SUMIFS('[1]1_inventory_totals'!$Q$8:$Q$10000,'[1]1_inventory_totals'!$C$8:$C$10000,I82,'[1]1_inventory_totals'!$F$8:$F$10000,"="&amp;Q82,'[1]1_inventory_totals'!$G$8:$G$10000,"="&amp;R82)+SUMIFS('[1]1_inventory_totals'!$R$8:$R$10000,'[1]1_inventory_totals'!$C$8:$C$10000,I82,'[1]1_inventory_totals'!$F$8:$F$10000,"="&amp;Q82,'[1]1_inventory_totals'!$G$8:$G$10000,"="&amp;R82))+(SUMIFS('[1]1_inventory_totals'!$J$8:$J$10000,'[1]1_inventory_totals'!$C$8:$C$10000,I82,'[1]1_inventory_totals'!$F$8:$F$10000,"="&amp;Q82,'[1]1_inventory_totals'!$G$8:$G$10000,"="&amp;R82)+SUMIFS('[1]1_inventory_totals'!$K$8:$K$10000,'[1]1_inventory_totals'!$C$8:$C$10000,I82,'[1]1_inventory_totals'!$F$8:$F$10000,"="&amp;Q82,'[1]1_inventory_totals'!$G$8:$G$10000,"="&amp;R82)+SUMIFS('[1]1_inventory_totals'!$L$8:$L$10000,'[1]1_inventory_totals'!$C$8:$C$10000,I82,'[1]1_inventory_totals'!$F$8:$F$10000,"="&amp;Q82,'[1]1_inventory_totals'!$G$8:$G$10000,"="&amp;R82)+SUMIFS('[1]1_inventory_totals'!$M$8:$M$10000,'[1]1_inventory_totals'!$C$8:$C$10000,I82,'[1]1_inventory_totals'!$F$8:$F$10000,"="&amp;Q82,'[1]1_inventory_totals'!$G$8:$G$10000,"="&amp;R82)+SUMIFS('[1]1_inventory_totals'!$O$8:$O$10000,'[1]1_inventory_totals'!$C$8:$C$10000,I82,'[1]1_inventory_totals'!$F$8:$F$10000,"="&amp;Q82,'[1]1_inventory_totals'!$G$8:$G$10000,"="&amp;R82)+SUMIFS('[1]1_inventory_totals'!$S$8:$S$10000,'[1]1_inventory_totals'!$C$8:$C$10000,I82,'[1]1_inventory_totals'!$F$8:$F$10000,"="&amp;Q82,'[1]1_inventory_totals'!$G$8:$G$10000,"="&amp;R82)))</f>
        <v/>
      </c>
      <c r="BB82" s="197" t="str">
        <f>IF(M82="","",(SUMIFS('[1]2_inventory_totals'!$I$8:$I$10000,'[1]2_inventory_totals'!$C$8:$C$10000,I82,'[1]2_inventory_totals'!$F$8:$F$10000,"="&amp;Q82,'[1]2_inventory_totals'!$G$8:$G$10000,"="&amp;R82)+SUMIFS('[1]2_inventory_totals'!$N$8:$N$10000,'[1]2_inventory_totals'!$C$8:$C$10000,I82,'[1]2_inventory_totals'!$F$8:$F$10000,"="&amp;Q82,'[1]2_inventory_totals'!$G$8:$G$10000,"="&amp;R82)+SUMIFS('[1]2_inventory_totals'!$P$8:$P$10000,'[1]2_inventory_totals'!$C$8:$C$10000,I82,'[1]2_inventory_totals'!$F$8:$F$10000,"="&amp;Q82,'[1]2_inventory_totals'!$G$8:$G$10000,"="&amp;R82)+SUMIFS('[1]2_inventory_totals'!$Q$8:$Q$10000,'[1]2_inventory_totals'!$C$8:$C$10000,I82,'[1]2_inventory_totals'!$F$8:$F$10000,"="&amp;Q82,'[1]2_inventory_totals'!$G$8:$G$10000,"="&amp;R82)+SUMIFS('[1]2_inventory_totals'!$R$8:$R$10000,'[1]2_inventory_totals'!$C$8:$C$10000,I82,'[1]2_inventory_totals'!$F$8:$F$10000,"="&amp;Q82,'[1]2_inventory_totals'!$G$8:$G$10000,"="&amp;R82))+(SUMIFS('[1]2_inventory_totals'!$J$8:$J$10000,'[1]2_inventory_totals'!$C$8:$C$10000,I82,'[1]2_inventory_totals'!$F$8:$F$10000,"="&amp;Q82,'[1]2_inventory_totals'!$G$8:$G$10000,"="&amp;R82)+SUMIFS('[1]2_inventory_totals'!$K$8:$K$10000,'[1]2_inventory_totals'!$C$8:$C$10000,I82,'[1]2_inventory_totals'!$F$8:$F$10000,"="&amp;Q82,'[1]2_inventory_totals'!$G$8:$G$10000,"="&amp;R82)+SUMIFS('[1]2_inventory_totals'!$L$8:$L$10000,'[1]2_inventory_totals'!$C$8:$C$10000,I82,'[1]2_inventory_totals'!$F$8:$F$10000,"="&amp;Q82,'[1]2_inventory_totals'!$G$8:$G$10000,"="&amp;R82)+SUMIFS('[1]2_inventory_totals'!$M$8:$M$10000,'[1]2_inventory_totals'!$C$8:$C$10000,I82,'[1]2_inventory_totals'!$F$8:$F$10000,"="&amp;Q82,'[1]2_inventory_totals'!$G$8:$G$10000,"="&amp;R82)+SUMIFS('[1]2_inventory_totals'!$O$8:$O$10000,'[1]2_inventory_totals'!$C$8:$C$10000,I82,'[1]2_inventory_totals'!$F$8:$F$10000,"="&amp;Q82,'[1]2_inventory_totals'!$G$8:$G$10000,"="&amp;R82)+SUMIFS('[1]2_inventory_totals'!$S$8:$S$10000,'[1]2_inventory_totals'!$C$8:$C$10000,I82,'[1]2_inventory_totals'!$F$8:$F$10000,"="&amp;Q82,'[1]2_inventory_totals'!$G$8:$G$10000,"="&amp;R82)))</f>
        <v/>
      </c>
    </row>
    <row r="83" spans="1:54" ht="27" hidden="1" customHeight="1">
      <c r="A83" s="923"/>
      <c r="B83" s="1256"/>
      <c r="C83" s="950"/>
      <c r="D83" s="950"/>
      <c r="E83" s="950"/>
      <c r="F83" s="1257"/>
      <c r="G83" s="941"/>
      <c r="H83" s="951"/>
      <c r="I83" s="1610" t="str">
        <f t="shared" si="287"/>
        <v/>
      </c>
      <c r="J83" s="1611" t="str">
        <f t="shared" si="112"/>
        <v/>
      </c>
      <c r="K83" s="1612" t="str">
        <f t="shared" si="309"/>
        <v/>
      </c>
      <c r="L83" s="1613"/>
      <c r="M83" s="883"/>
      <c r="N83" s="884"/>
      <c r="O83" s="884"/>
      <c r="P83" s="885"/>
      <c r="Q83" s="886"/>
      <c r="R83" s="891"/>
      <c r="S83" s="1614" t="str">
        <f t="shared" ref="S83" si="338">IF(M83="","",quot_currency_symbol)</f>
        <v/>
      </c>
      <c r="T83" s="888"/>
      <c r="U83" s="1650" t="str">
        <f t="shared" si="289"/>
        <v/>
      </c>
      <c r="V83" s="1615" t="str">
        <f t="shared" ref="V83" si="339">IF(W83=0,"",quot_currency_symbol)</f>
        <v/>
      </c>
      <c r="W83" s="889"/>
      <c r="X83" s="1615" t="str">
        <f t="shared" ref="X83" si="340">IF(M83="","",quot_currency_symbol)</f>
        <v/>
      </c>
      <c r="Y83" s="1616" t="str">
        <f t="shared" si="307"/>
        <v/>
      </c>
      <c r="Z83" s="890"/>
      <c r="AA83" s="197" t="str" cm="1">
        <f t="array" ref="AA83">IF(M83="","",IF(P83=AN83,1,Slookup(MID(AN83,1,3)*1,UomConversion!$D$8:$J$500,5,UomConversion!$E$8:$E$500,MID(P83,1,3)*1,UomConversion!$J$8:$J$500,1)))</f>
        <v/>
      </c>
      <c r="AB83" s="197" t="str">
        <f t="shared" si="281"/>
        <v/>
      </c>
      <c r="AC83" s="197" t="str">
        <f t="shared" si="292"/>
        <v/>
      </c>
      <c r="AD83" s="197" t="str">
        <f t="shared" si="293"/>
        <v/>
      </c>
      <c r="AE83" s="197" t="str">
        <f t="shared" si="294"/>
        <v/>
      </c>
      <c r="AF83" s="197" t="str">
        <f t="shared" si="282"/>
        <v/>
      </c>
      <c r="AG83" s="197" t="str">
        <f t="shared" si="283"/>
        <v/>
      </c>
      <c r="AH83" s="197" t="str">
        <f>IF(I83="","",IF(ISNA(MATCH(I83,IF(quot_location_id=1,'[1]1_inventory_totals'!$C$8:$C$10000,IF(quot_location_id=2,'[1]2_inventory_totals'!$C$8:$C$10000,0)),0)),0,IF(AV83&gt;0,1,0)))</f>
        <v/>
      </c>
      <c r="AI83" s="197" t="str">
        <f>IF(M83="","",IF(quot_location_id=1,SUMIFS('[1]1_inventory_total_details'!$J$8:$J$10000,'[1]1_inventory_total_details'!$C$8:$C$10000,I83,'[1]1_inventory_total_details'!$F$8:$F$10000,quot_location_id,'[1]1_inventory_total_details'!$G$8:$G$10000,"="&amp;Q83,'[1]1_inventory_total_details'!$H$8:$H$10000,"="&amp;R83,'[1]1_inventory_total_details'!$I$8:$I$10000,"="&amp;quot_date)+SUMIFS('[1]1_inventory_total_details'!$M$8:$M$10000,'[1]1_inventory_total_details'!$C$8:$C$10000,I83,'[1]1_inventory_total_details'!$F$8:$F$10000,quot_location_id,'[1]1_inventory_total_details'!$G$8:$G$10000,"="&amp;Q83,'[1]1_inventory_total_details'!$H$8:$H$10000,"="&amp;R83,'[1]1_inventory_total_details'!$I$8:$I$10000,"="&amp;quot_date)+SUMIFS('[1]1_inventory_total_details'!$K$8:$K$10000,'[1]1_inventory_total_details'!$C$8:$C$10000,I83,'[1]1_inventory_total_details'!$F$8:$F$10000,quot_location_id,'[1]1_inventory_total_details'!$G$8:$G$10000,"="&amp;Q83,'[1]1_inventory_total_details'!$H$8:$H$10000,"="&amp;R83,'[1]1_inventory_total_details'!$I$8:$I$10000,"="&amp;quot_date)+SUMIFS('[1]1_inventory_total_details'!$L$8:$L$10000,'[1]1_inventory_total_details'!$C$8:$C$10000,I83,'[1]1_inventory_total_details'!$F$8:$F$10000,quot_location_id,'[1]1_inventory_total_details'!$G$8:$G$10000,"="&amp;Q83,'[1]1_inventory_total_details'!$H$8:$H$10000,"="&amp;R83,'[1]1_inventory_total_details'!$I$8:$I$10000,"="&amp;quot_date),SUMIFS('[1]2_inventory_total_details'!$J$8:$J$10000,'[1]2_inventory_total_details'!$C$8:$C$10000,I83,'[1]2_inventory_total_details'!$F$8:$F$10000,quot_location_id,'[1]2_inventory_total_details'!$G$8:$G$10000,"="&amp;Q83,'[1]2_inventory_total_details'!$H$8:$H$10000,"="&amp;R83,'[1]2_inventory_total_details'!$I$8:$I$10000,"="&amp;quot_date)+SUMIFS('[1]2_inventory_total_details'!$M$8:$M$10000,'[1]2_inventory_total_details'!$C$8:$C$10000,I83,'[1]2_inventory_total_details'!$F$8:$F$10000,quot_location_id,'[1]2_inventory_total_details'!$G$8:$G$10000,"="&amp;Q83,'[1]2_inventory_total_details'!$H$8:$H$10000,"="&amp;R83,'[1]2_inventory_total_details'!$I$8:$I$10000,"="&amp;quot_date)+SUMIFS('[1]2_inventory_total_details'!$K$8:$K$10000,'[1]2_inventory_total_details'!$C$8:$C$10000,I83,'[1]2_inventory_total_details'!$F$8:$F$10000,quot_location_id,'[1]2_inventory_total_details'!$G$8:$G$10000,"="&amp;Q83,'[1]2_inventory_total_details'!$H$8:$H$10000,"="&amp;R83,'[1]2_inventory_total_details'!$I$8:$I$10000,"="&amp;quot_date)+SUMIFS('[1]2_inventory_total_details'!$L$8:$L$10000,'[1]2_inventory_total_details'!$C$8:$C$10000,I83,'[1]2_inventory_total_details'!$F$8:$F$10000,quot_location_id,'[1]2_inventory_total_details'!$G$8:$G$10000,"="&amp;Q83,'[1]2_inventory_total_details'!$H$8:$H$10000,"="&amp;R83,'[1]2_inventory_total_details'!$I$8:$I$10000,"="&amp;quot_date)))</f>
        <v/>
      </c>
      <c r="AJ83" s="197" t="str">
        <f>IF(M83="","",IF(ISNA(MATCH(I83,'[1]1_group_totals'!$C$8:$C$10000)),0,IF(AW83&gt;0,1,0)))</f>
        <v/>
      </c>
      <c r="AK83" s="197" t="str">
        <f>IF(M83="","",(SUMIFS('[1]1_group_total_details'!$I$8:$I$10000,'[1]1_group_total_details'!$C$8:$C$10000,I83,'[1]1_group_total_details'!$F$8:$F$10000,quot_location_group_id,'[1]1_group_total_details'!$G$8:$G$10000,quot_location_id,'[1]1_group_total_details'!$H$8:$H$10000,"="&amp;quot_date)+SUMIFS('[1]1_group_total_details'!$L$8:$L$10000,'[1]1_group_total_details'!$C$8:$C$10000,I83,'[1]1_group_total_details'!$F$8:$F$10000,quot_location_group_id,'[1]1_group_total_details'!$G$8:$G$10000,quot_location_id,'[1]1_group_total_details'!$H$8:$H$10000,"="&amp;quot_date)+SUMIFS('[1]1_group_total_details'!$N$8:$N$10000,'[1]1_group_total_details'!$C$8:$C$10000,I83,'[1]1_group_total_details'!$F$8:$F$10000,quot_location_group_id,'[1]1_group_total_details'!$G$8:$G$10000,quot_location_id,'[1]1_group_total_details'!$H$8:$H$10000,"="&amp;quot_date)+SUMIFS('[1]1_group_total_details'!$O$8:$O$10000,'[1]1_group_total_details'!$C$8:$C$10000,I83,'[1]1_group_total_details'!$F$8:$F$10000,quot_location_group_id,'[1]1_group_total_details'!$G$8:$G$10000,quot_location_id,'[1]1_group_total_details'!$H$8:$H$10000,"="&amp;quot_date))+(SUMIFS('[1]1_group_total_details'!$J$8:$J$10000,'[1]1_group_total_details'!$C$8:$C$10000,I83,'[1]1_group_total_details'!$F$8:$F$10000,quot_location_group_id,'[1]1_group_total_details'!$G$8:$G$10000,quot_location_id,'[1]1_group_total_details'!$H$8:$H$10000,"="&amp;quot_date)+SUMIFS('[1]1_group_total_details'!$K$8:$K$10000,'[1]1_group_total_details'!$C$8:$C$10000,I83,'[1]1_group_total_details'!$F$8:$F$10000,quot_location_group_id,'[1]1_group_total_details'!$G$8:$G$10000,quot_location_id,'[1]1_group_total_details'!$H$8:$H$10000,"="&amp;quot_date)+SUMIFS('[1]1_group_total_details'!$M$8:$M$10000,'[1]1_group_total_details'!$C$8:$C$10000,I83,'[1]1_group_total_details'!$F$8:$F$10000,quot_location_group_id,'[1]1_group_total_details'!$G$8:$G$10000,quot_location_id,'[1]1_group_total_details'!$H$8:$H$10000,"="&amp;quot_date)+SUMIFS('[1]1_group_total_details'!$P$8:$P$10000,'[1]1_group_total_details'!$C$8:$C$10000,I83,'[1]1_group_total_details'!$F$8:$F$10000,quot_location_group_id,'[1]1_group_total_details'!$G$8:$G$10000,quot_location_id,'[1]1_group_total_details'!$H$8:$H$10000,"="&amp;quot_date)))</f>
        <v/>
      </c>
      <c r="AL83" s="197" t="str">
        <f>IF(M83="","",(SUMIFS('[1]1_group_total_details'!$I$8:$I$10000,'[1]1_group_total_details'!$C$8:$C$10000,I83,'[1]1_group_total_details'!$F$8:$F$10000,quot_location_group_id,'[1]1_group_total_details'!$G$8:$G$10000,quot_location_id,'[1]1_group_total_details'!$H$8:$H$10000,"&lt;="&amp;quot_date)+SUMIFS('[1]1_group_total_details'!$L$8:$L$10000,'[1]1_group_total_details'!$C$8:$C$10000,I83,'[1]1_group_total_details'!$F$8:$F$10000,quot_location_group_id,'[1]1_group_total_details'!$G$8:$G$10000,1,'[1]1_group_total_details'!$H$8:$H$10000,"&lt;="&amp;quot_date)+SUMIFS('[1]1_group_total_details'!$N$8:$N$10000,'[1]1_group_total_details'!$C$8:$C$10000,I83,'[1]1_group_total_details'!$F$8:$F$10000,quot_location_group_id,'[1]1_group_total_details'!$G$8:$G$10000,quot_location_id,'[1]1_group_total_details'!$H$8:$H$10000,"&lt;="&amp;quot_date)+SUMIFS('[1]1_group_total_details'!$O$8:$O$10000,'[1]1_group_total_details'!$C$8:$C$10000,I83,'[1]1_group_total_details'!$F$8:$F$10000,quot_location_group_id,'[1]1_group_total_details'!$G$8:$G$10000,quot_location_id,'[1]1_group_total_details'!$H$8:$H$10000,"&lt;="&amp;quot_date))-(SUMIFS('[1]1_group_total_details'!$J$8:$J$10000,'[1]1_group_total_details'!$C$8:$C$10000,I83,'[1]1_group_total_details'!$F$8:$F$10000,quot_location_group_id,'[1]1_group_total_details'!$G$8:$G$10000,quot_location_id,'[1]1_group_total_details'!$H$8:$H$10000,"&lt;="&amp;quot_date)+SUMIFS('[1]1_group_total_details'!$K$8:$K$10000,'[1]1_group_total_details'!$C$8:$C$10000,I83,'[1]1_group_total_details'!$F$8:$F$10000,quot_location_group_id,'[1]1_group_total_details'!$G$8:$G$10000,quot_location_id,'[1]1_group_total_details'!$H$8:$H$10000,"&lt;="&amp;quot_date)+SUMIFS('[1]1_group_total_details'!$M$8:$M$10000,'[1]1_group_total_details'!$C$8:$C$10000,I83,'[1]1_group_total_details'!$F$8:$F$10000,quot_location_group_id,'[1]1_group_total_details'!$G$8:$G$10000,quot_location_id,'[1]1_group_total_details'!$H$8:$H$10000,"&lt;="&amp;quot_date)+SUMIFS('[1]1_group_total_details'!$P$8:$P$10000,'[1]1_group_total_details'!$C$8:$C$10000,I83,'[1]1_group_total_details'!$F$8:$F$10000,quot_location_group_id,'[1]1_group_total_details'!$G$8:$G$10000,quot_location_id,'[1]1_group_total_details'!$H$8:$H$10000,"&lt;="&amp;quot_date)))</f>
        <v/>
      </c>
      <c r="AM83" s="197" t="str">
        <f>IF(M83="","",SUMIFS('[1]1_group_totals'!$J$8:$J$10000,'[1]1_group_totals'!$C$8:$C$10000,I83,'[1]1_group_totals'!$F$8:$F$10000,quot_location_group_id,'[1]1_group_totals'!$G$8:$G$10000,quot_location_id,'[1]1_group_totals'!$H$8:$H$10000,"="&amp;Q83,'[1]1_group_totals'!$I$8:$I$10000,"="&amp;R83))</f>
        <v/>
      </c>
      <c r="AN83" s="197" t="str">
        <f t="shared" si="284"/>
        <v/>
      </c>
      <c r="AO83" s="197" t="str">
        <f>IF(OR(ISNA(MATCH(MID(AN83,1,3)*1,UomConversion!$D$8:$D$500,0)),M83=""),"",IF(AT83="","",AT83))</f>
        <v/>
      </c>
      <c r="AP83" s="197" t="str">
        <f>IF(AND(AQ83&gt;0,COUNTIFS(UomConversion!$D$8:$D$500,MID(AN83,1,3)*1,UomConversion!$J$8:$J$500,1)&gt;1),TEXT(AQ83,"000")&amp;"."&amp;VLOOKUP(AQ83,uom_list,5,FALSE),"")</f>
        <v/>
      </c>
      <c r="AQ83" s="197" t="str">
        <f t="shared" si="295"/>
        <v/>
      </c>
      <c r="AR83" s="197" t="str">
        <f t="shared" si="296"/>
        <v/>
      </c>
      <c r="AS83" s="197" t="str">
        <f>IF(M83="","",SUMIFS(ProductPrice!$N$28:$N$10020,ProductPrice!$D$28:$D$10020,I83,ProductPrice!$G$28:$G$10020,quot_branch_id,ProductPrice!$H$28:$H$10020,quot_price_type_id,ProductPrice!$I$28:$I$10020,MID(P83,1,3)*1,ProductPrice!$Q$28:$Q$10020,1))</f>
        <v/>
      </c>
      <c r="AT83" s="197" t="str">
        <f t="shared" si="285"/>
        <v/>
      </c>
      <c r="AU83" s="197" t="str" cm="1">
        <f t="array" ref="AU83">IF(M83="","",IF(ISNA(Slookup(MID(AN83,1,3)*1,UomConversion!$D$8:$J$500,2,UomConversion!$I$8:$I$500,1,UomConversion!$J$8:$J$500,1)),"",Slookup(MID(AN83,1,3)*1,UomConversion!$D$8:$J$500,2,UomConversion!$I$8:$I$500,1,UomConversion!$J$8:$J$500,1)))</f>
        <v/>
      </c>
      <c r="AV83" s="197" t="str">
        <f t="shared" ref="AV83" si="341">IF(M83="","",IF(quot_location_id=1,BA83,IF(quot_location_id=2,BB83,0)))</f>
        <v/>
      </c>
      <c r="AW83" s="197" t="str">
        <f>IF(M83="","",(SUMIFS('[1]1_group_totals'!$K$8:$K$10000,'[1]1_group_totals'!$C$8:$C$10000,I83,'[1]1_group_totals'!$F$8:$F$10000,quot_location_group_id,'[1]1_group_totals'!$G$8:$G$10000,quot_location_id,'[1]1_group_totals'!$H$8:$H$10000,"="&amp;Q83,'[1]1_group_totals'!$I$8:$I$10000,"="&amp;R83)+SUMIFS('[1]1_group_totals'!$N$8:$N$10000,'[1]1_group_totals'!$C$8:$C$10000,I83,'[1]1_group_totals'!$F$8:$F$10000,quot_location_group_id,'[1]1_group_totals'!$G$8:$G$10000,quot_location_id,'[1]1_group_totals'!$H$8:$H$10000,"="&amp;Q83,'[1]1_group_totals'!$I$8:$I$10000,"="&amp;R83)+SUMIFS('[1]1_group_totals'!$P$8:$P$10000,'[1]1_group_totals'!$C$8:$C$10000,I83,'[1]1_group_totals'!$F$8:$F$10000,quot_location_group_id,'[1]1_group_totals'!$G$8:$G$10000,quot_location_id,'[1]1_group_totals'!$H$8:$H$10000,"="&amp;Q83,'[1]1_group_totals'!$I$8:$I$10000,"="&amp;R83)+SUMIFS('[1]1_group_totals'!$Q$8:$Q$10000,'[1]1_group_totals'!$C$8:$C$10000,I83,'[1]1_group_totals'!$F$8:$F$10000,quot_location_group_id,'[1]1_group_totals'!$G$8:$G$10000,quot_location_id,'[1]1_group_totals'!$H$8:$H$10000,"="&amp;Q83,'[1]1_group_totals'!$I$8:$I$10000,"="&amp;R83))+(SUMIFS('[1]1_group_totals'!$L$8:$L$10000,'[1]1_group_totals'!$C$8:$C$10000,I83,'[1]1_group_totals'!$F$8:$F$10000,quot_location_group_id,'[1]1_group_totals'!$G$8:$G$10000,quot_location_id,'[1]1_group_totals'!$H$8:$H$10000,"="&amp;Q83,'[1]1_group_totals'!$I$8:$I$10000,"="&amp;R83)+SUMIFS('[1]1_group_totals'!$M$8:$M$10000,'[1]1_group_totals'!$C$8:$C$10000,I83,'[1]1_group_totals'!$F$8:$F$10000,quot_location_group_id,'[1]1_group_totals'!$G$8:$G$10000,quot_location_id,'[1]1_group_totals'!$H$8:$H$10000,"="&amp;Q83,'[1]1_group_totals'!$I$8:$I$10000,"="&amp;R83)+SUMIFS('[1]1_group_totals'!$O$8:$O$10000,'[1]1_group_totals'!$C$8:$C$10000,I83,'[1]1_group_totals'!$F$8:$F$10000,quot_location_group_id,'[1]1_group_totals'!$G$8:$G$10000,quot_location_id,'[1]1_group_totals'!$H$8:$H$10000,"="&amp;Q83,'[1]1_group_totals'!$I$8:$I$10000,"="&amp;R83)+SUMIFS('[1]1_group_totals'!$R$8:$R$10000,'[1]1_group_totals'!$C$8:$C$10000,I83,'[1]1_group_totals'!$F$8:$F$10000,quot_location_group_id,'[1]1_group_totals'!$G$8:$G$10000,quot_location_id,'[1]1_group_totals'!$H$8:$H$10000,"="&amp;Q83,'[1]1_group_totals'!$I$8:$I$10000,"="&amp;R83)))</f>
        <v/>
      </c>
      <c r="AX83" s="197" t="str">
        <f t="shared" si="298"/>
        <v/>
      </c>
      <c r="AY83" s="197" t="str">
        <f>IF(M83="","",SUMIFS($AX$8:AX83,$I$8:I83,I83))</f>
        <v/>
      </c>
      <c r="AZ83" s="197" t="str">
        <f t="shared" si="299"/>
        <v/>
      </c>
      <c r="BA83" s="197" t="str">
        <f>IF(M83="","",(SUMIFS('[1]1_inventory_totals'!$I$8:$I$10000,'[1]1_inventory_totals'!$C$8:$C$10000,I83,'[1]1_inventory_totals'!$F$8:$F$10000,"="&amp;Q83,'[1]1_inventory_totals'!$G$8:$G$10000,"="&amp;R83)+SUMIFS('[1]1_inventory_totals'!$N$8:$N$10000,'[1]1_inventory_totals'!$C$8:$C$10000,I83,'[1]1_inventory_totals'!$F$8:$F$10000,"="&amp;Q83,'[1]1_inventory_totals'!$G$8:$G$10000,"="&amp;R83)+SUMIFS('[1]1_inventory_totals'!$P$8:$P$10000,'[1]1_inventory_totals'!$C$8:$C$10000,I83,'[1]1_inventory_totals'!$F$8:$F$10000,"="&amp;Q83,'[1]1_inventory_totals'!$G$8:$G$10000,"="&amp;R83)+SUMIFS('[1]1_inventory_totals'!$Q$8:$Q$10000,'[1]1_inventory_totals'!$C$8:$C$10000,I83,'[1]1_inventory_totals'!$F$8:$F$10000,"="&amp;Q83,'[1]1_inventory_totals'!$G$8:$G$10000,"="&amp;R83)+SUMIFS('[1]1_inventory_totals'!$R$8:$R$10000,'[1]1_inventory_totals'!$C$8:$C$10000,I83,'[1]1_inventory_totals'!$F$8:$F$10000,"="&amp;Q83,'[1]1_inventory_totals'!$G$8:$G$10000,"="&amp;R83))+(SUMIFS('[1]1_inventory_totals'!$J$8:$J$10000,'[1]1_inventory_totals'!$C$8:$C$10000,I83,'[1]1_inventory_totals'!$F$8:$F$10000,"="&amp;Q83,'[1]1_inventory_totals'!$G$8:$G$10000,"="&amp;R83)+SUMIFS('[1]1_inventory_totals'!$K$8:$K$10000,'[1]1_inventory_totals'!$C$8:$C$10000,I83,'[1]1_inventory_totals'!$F$8:$F$10000,"="&amp;Q83,'[1]1_inventory_totals'!$G$8:$G$10000,"="&amp;R83)+SUMIFS('[1]1_inventory_totals'!$L$8:$L$10000,'[1]1_inventory_totals'!$C$8:$C$10000,I83,'[1]1_inventory_totals'!$F$8:$F$10000,"="&amp;Q83,'[1]1_inventory_totals'!$G$8:$G$10000,"="&amp;R83)+SUMIFS('[1]1_inventory_totals'!$M$8:$M$10000,'[1]1_inventory_totals'!$C$8:$C$10000,I83,'[1]1_inventory_totals'!$F$8:$F$10000,"="&amp;Q83,'[1]1_inventory_totals'!$G$8:$G$10000,"="&amp;R83)+SUMIFS('[1]1_inventory_totals'!$O$8:$O$10000,'[1]1_inventory_totals'!$C$8:$C$10000,I83,'[1]1_inventory_totals'!$F$8:$F$10000,"="&amp;Q83,'[1]1_inventory_totals'!$G$8:$G$10000,"="&amp;R83)+SUMIFS('[1]1_inventory_totals'!$S$8:$S$10000,'[1]1_inventory_totals'!$C$8:$C$10000,I83,'[1]1_inventory_totals'!$F$8:$F$10000,"="&amp;Q83,'[1]1_inventory_totals'!$G$8:$G$10000,"="&amp;R83)))</f>
        <v/>
      </c>
      <c r="BB83" s="197" t="str">
        <f>IF(M83="","",(SUMIFS('[1]2_inventory_totals'!$I$8:$I$10000,'[1]2_inventory_totals'!$C$8:$C$10000,I83,'[1]2_inventory_totals'!$F$8:$F$10000,"="&amp;Q83,'[1]2_inventory_totals'!$G$8:$G$10000,"="&amp;R83)+SUMIFS('[1]2_inventory_totals'!$N$8:$N$10000,'[1]2_inventory_totals'!$C$8:$C$10000,I83,'[1]2_inventory_totals'!$F$8:$F$10000,"="&amp;Q83,'[1]2_inventory_totals'!$G$8:$G$10000,"="&amp;R83)+SUMIFS('[1]2_inventory_totals'!$P$8:$P$10000,'[1]2_inventory_totals'!$C$8:$C$10000,I83,'[1]2_inventory_totals'!$F$8:$F$10000,"="&amp;Q83,'[1]2_inventory_totals'!$G$8:$G$10000,"="&amp;R83)+SUMIFS('[1]2_inventory_totals'!$Q$8:$Q$10000,'[1]2_inventory_totals'!$C$8:$C$10000,I83,'[1]2_inventory_totals'!$F$8:$F$10000,"="&amp;Q83,'[1]2_inventory_totals'!$G$8:$G$10000,"="&amp;R83)+SUMIFS('[1]2_inventory_totals'!$R$8:$R$10000,'[1]2_inventory_totals'!$C$8:$C$10000,I83,'[1]2_inventory_totals'!$F$8:$F$10000,"="&amp;Q83,'[1]2_inventory_totals'!$G$8:$G$10000,"="&amp;R83))+(SUMIFS('[1]2_inventory_totals'!$J$8:$J$10000,'[1]2_inventory_totals'!$C$8:$C$10000,I83,'[1]2_inventory_totals'!$F$8:$F$10000,"="&amp;Q83,'[1]2_inventory_totals'!$G$8:$G$10000,"="&amp;R83)+SUMIFS('[1]2_inventory_totals'!$K$8:$K$10000,'[1]2_inventory_totals'!$C$8:$C$10000,I83,'[1]2_inventory_totals'!$F$8:$F$10000,"="&amp;Q83,'[1]2_inventory_totals'!$G$8:$G$10000,"="&amp;R83)+SUMIFS('[1]2_inventory_totals'!$L$8:$L$10000,'[1]2_inventory_totals'!$C$8:$C$10000,I83,'[1]2_inventory_totals'!$F$8:$F$10000,"="&amp;Q83,'[1]2_inventory_totals'!$G$8:$G$10000,"="&amp;R83)+SUMIFS('[1]2_inventory_totals'!$M$8:$M$10000,'[1]2_inventory_totals'!$C$8:$C$10000,I83,'[1]2_inventory_totals'!$F$8:$F$10000,"="&amp;Q83,'[1]2_inventory_totals'!$G$8:$G$10000,"="&amp;R83)+SUMIFS('[1]2_inventory_totals'!$O$8:$O$10000,'[1]2_inventory_totals'!$C$8:$C$10000,I83,'[1]2_inventory_totals'!$F$8:$F$10000,"="&amp;Q83,'[1]2_inventory_totals'!$G$8:$G$10000,"="&amp;R83)+SUMIFS('[1]2_inventory_totals'!$S$8:$S$10000,'[1]2_inventory_totals'!$C$8:$C$10000,I83,'[1]2_inventory_totals'!$F$8:$F$10000,"="&amp;Q83,'[1]2_inventory_totals'!$G$8:$G$10000,"="&amp;R83)))</f>
        <v/>
      </c>
    </row>
    <row r="84" spans="1:54" ht="27" hidden="1" customHeight="1">
      <c r="A84" s="923"/>
      <c r="B84" s="1256"/>
      <c r="C84" s="950"/>
      <c r="D84" s="950"/>
      <c r="E84" s="950"/>
      <c r="F84" s="1257"/>
      <c r="G84" s="941"/>
      <c r="H84" s="951"/>
      <c r="I84" s="1610" t="str">
        <f t="shared" si="287"/>
        <v/>
      </c>
      <c r="J84" s="1611" t="str">
        <f t="shared" si="112"/>
        <v/>
      </c>
      <c r="K84" s="1612" t="str">
        <f t="shared" si="309"/>
        <v/>
      </c>
      <c r="L84" s="1613"/>
      <c r="M84" s="883"/>
      <c r="N84" s="884"/>
      <c r="O84" s="884"/>
      <c r="P84" s="885"/>
      <c r="Q84" s="886"/>
      <c r="R84" s="891"/>
      <c r="S84" s="1614" t="str">
        <f t="shared" ref="S84" si="342">IF(M84="","",quot_currency_symbol)</f>
        <v/>
      </c>
      <c r="T84" s="888"/>
      <c r="U84" s="1650" t="str">
        <f t="shared" si="289"/>
        <v/>
      </c>
      <c r="V84" s="1615" t="str">
        <f t="shared" ref="V84" si="343">IF(W84=0,"",quot_currency_symbol)</f>
        <v/>
      </c>
      <c r="W84" s="889"/>
      <c r="X84" s="1615" t="str">
        <f t="shared" ref="X84" si="344">IF(M84="","",quot_currency_symbol)</f>
        <v/>
      </c>
      <c r="Y84" s="1616" t="str">
        <f t="shared" si="307"/>
        <v/>
      </c>
      <c r="Z84" s="890"/>
      <c r="AA84" s="197" t="str" cm="1">
        <f t="array" ref="AA84">IF(M84="","",IF(P84=AN84,1,Slookup(MID(AN84,1,3)*1,UomConversion!$D$8:$J$500,5,UomConversion!$E$8:$E$500,MID(P84,1,3)*1,UomConversion!$J$8:$J$500,1)))</f>
        <v/>
      </c>
      <c r="AB84" s="197" t="str">
        <f t="shared" si="281"/>
        <v/>
      </c>
      <c r="AC84" s="197" t="str">
        <f t="shared" si="292"/>
        <v/>
      </c>
      <c r="AD84" s="197" t="str">
        <f t="shared" si="293"/>
        <v/>
      </c>
      <c r="AE84" s="197" t="str">
        <f t="shared" si="294"/>
        <v/>
      </c>
      <c r="AF84" s="197" t="str">
        <f t="shared" si="282"/>
        <v/>
      </c>
      <c r="AG84" s="197" t="str">
        <f t="shared" si="283"/>
        <v/>
      </c>
      <c r="AH84" s="197" t="str">
        <f>IF(I84="","",IF(ISNA(MATCH(I84,IF(quot_location_id=1,'[1]1_inventory_totals'!$C$8:$C$10000,IF(quot_location_id=2,'[1]2_inventory_totals'!$C$8:$C$10000,0)),0)),0,IF(AV84&gt;0,1,0)))</f>
        <v/>
      </c>
      <c r="AI84" s="197" t="str">
        <f>IF(M84="","",IF(quot_location_id=1,SUMIFS('[1]1_inventory_total_details'!$J$8:$J$10000,'[1]1_inventory_total_details'!$C$8:$C$10000,I84,'[1]1_inventory_total_details'!$F$8:$F$10000,quot_location_id,'[1]1_inventory_total_details'!$G$8:$G$10000,"="&amp;Q84,'[1]1_inventory_total_details'!$H$8:$H$10000,"="&amp;R84,'[1]1_inventory_total_details'!$I$8:$I$10000,"="&amp;quot_date)+SUMIFS('[1]1_inventory_total_details'!$M$8:$M$10000,'[1]1_inventory_total_details'!$C$8:$C$10000,I84,'[1]1_inventory_total_details'!$F$8:$F$10000,quot_location_id,'[1]1_inventory_total_details'!$G$8:$G$10000,"="&amp;Q84,'[1]1_inventory_total_details'!$H$8:$H$10000,"="&amp;R84,'[1]1_inventory_total_details'!$I$8:$I$10000,"="&amp;quot_date)+SUMIFS('[1]1_inventory_total_details'!$K$8:$K$10000,'[1]1_inventory_total_details'!$C$8:$C$10000,I84,'[1]1_inventory_total_details'!$F$8:$F$10000,quot_location_id,'[1]1_inventory_total_details'!$G$8:$G$10000,"="&amp;Q84,'[1]1_inventory_total_details'!$H$8:$H$10000,"="&amp;R84,'[1]1_inventory_total_details'!$I$8:$I$10000,"="&amp;quot_date)+SUMIFS('[1]1_inventory_total_details'!$L$8:$L$10000,'[1]1_inventory_total_details'!$C$8:$C$10000,I84,'[1]1_inventory_total_details'!$F$8:$F$10000,quot_location_id,'[1]1_inventory_total_details'!$G$8:$G$10000,"="&amp;Q84,'[1]1_inventory_total_details'!$H$8:$H$10000,"="&amp;R84,'[1]1_inventory_total_details'!$I$8:$I$10000,"="&amp;quot_date),SUMIFS('[1]2_inventory_total_details'!$J$8:$J$10000,'[1]2_inventory_total_details'!$C$8:$C$10000,I84,'[1]2_inventory_total_details'!$F$8:$F$10000,quot_location_id,'[1]2_inventory_total_details'!$G$8:$G$10000,"="&amp;Q84,'[1]2_inventory_total_details'!$H$8:$H$10000,"="&amp;R84,'[1]2_inventory_total_details'!$I$8:$I$10000,"="&amp;quot_date)+SUMIFS('[1]2_inventory_total_details'!$M$8:$M$10000,'[1]2_inventory_total_details'!$C$8:$C$10000,I84,'[1]2_inventory_total_details'!$F$8:$F$10000,quot_location_id,'[1]2_inventory_total_details'!$G$8:$G$10000,"="&amp;Q84,'[1]2_inventory_total_details'!$H$8:$H$10000,"="&amp;R84,'[1]2_inventory_total_details'!$I$8:$I$10000,"="&amp;quot_date)+SUMIFS('[1]2_inventory_total_details'!$K$8:$K$10000,'[1]2_inventory_total_details'!$C$8:$C$10000,I84,'[1]2_inventory_total_details'!$F$8:$F$10000,quot_location_id,'[1]2_inventory_total_details'!$G$8:$G$10000,"="&amp;Q84,'[1]2_inventory_total_details'!$H$8:$H$10000,"="&amp;R84,'[1]2_inventory_total_details'!$I$8:$I$10000,"="&amp;quot_date)+SUMIFS('[1]2_inventory_total_details'!$L$8:$L$10000,'[1]2_inventory_total_details'!$C$8:$C$10000,I84,'[1]2_inventory_total_details'!$F$8:$F$10000,quot_location_id,'[1]2_inventory_total_details'!$G$8:$G$10000,"="&amp;Q84,'[1]2_inventory_total_details'!$H$8:$H$10000,"="&amp;R84,'[1]2_inventory_total_details'!$I$8:$I$10000,"="&amp;quot_date)))</f>
        <v/>
      </c>
      <c r="AJ84" s="197" t="str">
        <f>IF(M84="","",IF(ISNA(MATCH(I84,'[1]1_group_totals'!$C$8:$C$10000)),0,IF(AW84&gt;0,1,0)))</f>
        <v/>
      </c>
      <c r="AK84" s="197" t="str">
        <f>IF(M84="","",(SUMIFS('[1]1_group_total_details'!$I$8:$I$10000,'[1]1_group_total_details'!$C$8:$C$10000,I84,'[1]1_group_total_details'!$F$8:$F$10000,quot_location_group_id,'[1]1_group_total_details'!$G$8:$G$10000,quot_location_id,'[1]1_group_total_details'!$H$8:$H$10000,"="&amp;quot_date)+SUMIFS('[1]1_group_total_details'!$L$8:$L$10000,'[1]1_group_total_details'!$C$8:$C$10000,I84,'[1]1_group_total_details'!$F$8:$F$10000,quot_location_group_id,'[1]1_group_total_details'!$G$8:$G$10000,quot_location_id,'[1]1_group_total_details'!$H$8:$H$10000,"="&amp;quot_date)+SUMIFS('[1]1_group_total_details'!$N$8:$N$10000,'[1]1_group_total_details'!$C$8:$C$10000,I84,'[1]1_group_total_details'!$F$8:$F$10000,quot_location_group_id,'[1]1_group_total_details'!$G$8:$G$10000,quot_location_id,'[1]1_group_total_details'!$H$8:$H$10000,"="&amp;quot_date)+SUMIFS('[1]1_group_total_details'!$O$8:$O$10000,'[1]1_group_total_details'!$C$8:$C$10000,I84,'[1]1_group_total_details'!$F$8:$F$10000,quot_location_group_id,'[1]1_group_total_details'!$G$8:$G$10000,quot_location_id,'[1]1_group_total_details'!$H$8:$H$10000,"="&amp;quot_date))+(SUMIFS('[1]1_group_total_details'!$J$8:$J$10000,'[1]1_group_total_details'!$C$8:$C$10000,I84,'[1]1_group_total_details'!$F$8:$F$10000,quot_location_group_id,'[1]1_group_total_details'!$G$8:$G$10000,quot_location_id,'[1]1_group_total_details'!$H$8:$H$10000,"="&amp;quot_date)+SUMIFS('[1]1_group_total_details'!$K$8:$K$10000,'[1]1_group_total_details'!$C$8:$C$10000,I84,'[1]1_group_total_details'!$F$8:$F$10000,quot_location_group_id,'[1]1_group_total_details'!$G$8:$G$10000,quot_location_id,'[1]1_group_total_details'!$H$8:$H$10000,"="&amp;quot_date)+SUMIFS('[1]1_group_total_details'!$M$8:$M$10000,'[1]1_group_total_details'!$C$8:$C$10000,I84,'[1]1_group_total_details'!$F$8:$F$10000,quot_location_group_id,'[1]1_group_total_details'!$G$8:$G$10000,quot_location_id,'[1]1_group_total_details'!$H$8:$H$10000,"="&amp;quot_date)+SUMIFS('[1]1_group_total_details'!$P$8:$P$10000,'[1]1_group_total_details'!$C$8:$C$10000,I84,'[1]1_group_total_details'!$F$8:$F$10000,quot_location_group_id,'[1]1_group_total_details'!$G$8:$G$10000,quot_location_id,'[1]1_group_total_details'!$H$8:$H$10000,"="&amp;quot_date)))</f>
        <v/>
      </c>
      <c r="AL84" s="197" t="str">
        <f>IF(M84="","",(SUMIFS('[1]1_group_total_details'!$I$8:$I$10000,'[1]1_group_total_details'!$C$8:$C$10000,I84,'[1]1_group_total_details'!$F$8:$F$10000,quot_location_group_id,'[1]1_group_total_details'!$G$8:$G$10000,quot_location_id,'[1]1_group_total_details'!$H$8:$H$10000,"&lt;="&amp;quot_date)+SUMIFS('[1]1_group_total_details'!$L$8:$L$10000,'[1]1_group_total_details'!$C$8:$C$10000,I84,'[1]1_group_total_details'!$F$8:$F$10000,quot_location_group_id,'[1]1_group_total_details'!$G$8:$G$10000,1,'[1]1_group_total_details'!$H$8:$H$10000,"&lt;="&amp;quot_date)+SUMIFS('[1]1_group_total_details'!$N$8:$N$10000,'[1]1_group_total_details'!$C$8:$C$10000,I84,'[1]1_group_total_details'!$F$8:$F$10000,quot_location_group_id,'[1]1_group_total_details'!$G$8:$G$10000,quot_location_id,'[1]1_group_total_details'!$H$8:$H$10000,"&lt;="&amp;quot_date)+SUMIFS('[1]1_group_total_details'!$O$8:$O$10000,'[1]1_group_total_details'!$C$8:$C$10000,I84,'[1]1_group_total_details'!$F$8:$F$10000,quot_location_group_id,'[1]1_group_total_details'!$G$8:$G$10000,quot_location_id,'[1]1_group_total_details'!$H$8:$H$10000,"&lt;="&amp;quot_date))-(SUMIFS('[1]1_group_total_details'!$J$8:$J$10000,'[1]1_group_total_details'!$C$8:$C$10000,I84,'[1]1_group_total_details'!$F$8:$F$10000,quot_location_group_id,'[1]1_group_total_details'!$G$8:$G$10000,quot_location_id,'[1]1_group_total_details'!$H$8:$H$10000,"&lt;="&amp;quot_date)+SUMIFS('[1]1_group_total_details'!$K$8:$K$10000,'[1]1_group_total_details'!$C$8:$C$10000,I84,'[1]1_group_total_details'!$F$8:$F$10000,quot_location_group_id,'[1]1_group_total_details'!$G$8:$G$10000,quot_location_id,'[1]1_group_total_details'!$H$8:$H$10000,"&lt;="&amp;quot_date)+SUMIFS('[1]1_group_total_details'!$M$8:$M$10000,'[1]1_group_total_details'!$C$8:$C$10000,I84,'[1]1_group_total_details'!$F$8:$F$10000,quot_location_group_id,'[1]1_group_total_details'!$G$8:$G$10000,quot_location_id,'[1]1_group_total_details'!$H$8:$H$10000,"&lt;="&amp;quot_date)+SUMIFS('[1]1_group_total_details'!$P$8:$P$10000,'[1]1_group_total_details'!$C$8:$C$10000,I84,'[1]1_group_total_details'!$F$8:$F$10000,quot_location_group_id,'[1]1_group_total_details'!$G$8:$G$10000,quot_location_id,'[1]1_group_total_details'!$H$8:$H$10000,"&lt;="&amp;quot_date)))</f>
        <v/>
      </c>
      <c r="AM84" s="197" t="str">
        <f>IF(M84="","",SUMIFS('[1]1_group_totals'!$J$8:$J$10000,'[1]1_group_totals'!$C$8:$C$10000,I84,'[1]1_group_totals'!$F$8:$F$10000,quot_location_group_id,'[1]1_group_totals'!$G$8:$G$10000,quot_location_id,'[1]1_group_totals'!$H$8:$H$10000,"="&amp;Q84,'[1]1_group_totals'!$I$8:$I$10000,"="&amp;R84))</f>
        <v/>
      </c>
      <c r="AN84" s="197" t="str">
        <f t="shared" si="284"/>
        <v/>
      </c>
      <c r="AO84" s="197" t="str">
        <f>IF(OR(ISNA(MATCH(MID(AN84,1,3)*1,UomConversion!$D$8:$D$500,0)),M84=""),"",IF(AT84="","",AT84))</f>
        <v/>
      </c>
      <c r="AP84" s="197" t="str">
        <f>IF(AND(AQ84&gt;0,COUNTIFS(UomConversion!$D$8:$D$500,MID(AN84,1,3)*1,UomConversion!$J$8:$J$500,1)&gt;1),TEXT(AQ84,"000")&amp;"."&amp;VLOOKUP(AQ84,uom_list,5,FALSE),"")</f>
        <v/>
      </c>
      <c r="AQ84" s="197" t="str">
        <f t="shared" si="295"/>
        <v/>
      </c>
      <c r="AR84" s="197" t="str">
        <f t="shared" si="296"/>
        <v/>
      </c>
      <c r="AS84" s="197" t="str">
        <f>IF(M84="","",SUMIFS(ProductPrice!$N$28:$N$10020,ProductPrice!$D$28:$D$10020,I84,ProductPrice!$G$28:$G$10020,quot_branch_id,ProductPrice!$H$28:$H$10020,quot_price_type_id,ProductPrice!$I$28:$I$10020,MID(P84,1,3)*1,ProductPrice!$Q$28:$Q$10020,1))</f>
        <v/>
      </c>
      <c r="AT84" s="197" t="str">
        <f t="shared" si="285"/>
        <v/>
      </c>
      <c r="AU84" s="197" t="str" cm="1">
        <f t="array" ref="AU84">IF(M84="","",IF(ISNA(Slookup(MID(AN84,1,3)*1,UomConversion!$D$8:$J$500,2,UomConversion!$I$8:$I$500,1,UomConversion!$J$8:$J$500,1)),"",Slookup(MID(AN84,1,3)*1,UomConversion!$D$8:$J$500,2,UomConversion!$I$8:$I$500,1,UomConversion!$J$8:$J$500,1)))</f>
        <v/>
      </c>
      <c r="AV84" s="197" t="str">
        <f t="shared" ref="AV84" si="345">IF(M84="","",IF(quot_location_id=1,BA84,IF(quot_location_id=2,BB84,0)))</f>
        <v/>
      </c>
      <c r="AW84" s="197" t="str">
        <f>IF(M84="","",(SUMIFS('[1]1_group_totals'!$K$8:$K$10000,'[1]1_group_totals'!$C$8:$C$10000,I84,'[1]1_group_totals'!$F$8:$F$10000,quot_location_group_id,'[1]1_group_totals'!$G$8:$G$10000,quot_location_id,'[1]1_group_totals'!$H$8:$H$10000,"="&amp;Q84,'[1]1_group_totals'!$I$8:$I$10000,"="&amp;R84)+SUMIFS('[1]1_group_totals'!$N$8:$N$10000,'[1]1_group_totals'!$C$8:$C$10000,I84,'[1]1_group_totals'!$F$8:$F$10000,quot_location_group_id,'[1]1_group_totals'!$G$8:$G$10000,quot_location_id,'[1]1_group_totals'!$H$8:$H$10000,"="&amp;Q84,'[1]1_group_totals'!$I$8:$I$10000,"="&amp;R84)+SUMIFS('[1]1_group_totals'!$P$8:$P$10000,'[1]1_group_totals'!$C$8:$C$10000,I84,'[1]1_group_totals'!$F$8:$F$10000,quot_location_group_id,'[1]1_group_totals'!$G$8:$G$10000,quot_location_id,'[1]1_group_totals'!$H$8:$H$10000,"="&amp;Q84,'[1]1_group_totals'!$I$8:$I$10000,"="&amp;R84)+SUMIFS('[1]1_group_totals'!$Q$8:$Q$10000,'[1]1_group_totals'!$C$8:$C$10000,I84,'[1]1_group_totals'!$F$8:$F$10000,quot_location_group_id,'[1]1_group_totals'!$G$8:$G$10000,quot_location_id,'[1]1_group_totals'!$H$8:$H$10000,"="&amp;Q84,'[1]1_group_totals'!$I$8:$I$10000,"="&amp;R84))+(SUMIFS('[1]1_group_totals'!$L$8:$L$10000,'[1]1_group_totals'!$C$8:$C$10000,I84,'[1]1_group_totals'!$F$8:$F$10000,quot_location_group_id,'[1]1_group_totals'!$G$8:$G$10000,quot_location_id,'[1]1_group_totals'!$H$8:$H$10000,"="&amp;Q84,'[1]1_group_totals'!$I$8:$I$10000,"="&amp;R84)+SUMIFS('[1]1_group_totals'!$M$8:$M$10000,'[1]1_group_totals'!$C$8:$C$10000,I84,'[1]1_group_totals'!$F$8:$F$10000,quot_location_group_id,'[1]1_group_totals'!$G$8:$G$10000,quot_location_id,'[1]1_group_totals'!$H$8:$H$10000,"="&amp;Q84,'[1]1_group_totals'!$I$8:$I$10000,"="&amp;R84)+SUMIFS('[1]1_group_totals'!$O$8:$O$10000,'[1]1_group_totals'!$C$8:$C$10000,I84,'[1]1_group_totals'!$F$8:$F$10000,quot_location_group_id,'[1]1_group_totals'!$G$8:$G$10000,quot_location_id,'[1]1_group_totals'!$H$8:$H$10000,"="&amp;Q84,'[1]1_group_totals'!$I$8:$I$10000,"="&amp;R84)+SUMIFS('[1]1_group_totals'!$R$8:$R$10000,'[1]1_group_totals'!$C$8:$C$10000,I84,'[1]1_group_totals'!$F$8:$F$10000,quot_location_group_id,'[1]1_group_totals'!$G$8:$G$10000,quot_location_id,'[1]1_group_totals'!$H$8:$H$10000,"="&amp;Q84,'[1]1_group_totals'!$I$8:$I$10000,"="&amp;R84)))</f>
        <v/>
      </c>
      <c r="AX84" s="197" t="str">
        <f t="shared" si="298"/>
        <v/>
      </c>
      <c r="AY84" s="197" t="str">
        <f>IF(M84="","",SUMIFS($AX$8:AX84,$I$8:I84,I84))</f>
        <v/>
      </c>
      <c r="AZ84" s="197" t="str">
        <f t="shared" si="299"/>
        <v/>
      </c>
      <c r="BA84" s="197" t="str">
        <f>IF(M84="","",(SUMIFS('[1]1_inventory_totals'!$I$8:$I$10000,'[1]1_inventory_totals'!$C$8:$C$10000,I84,'[1]1_inventory_totals'!$F$8:$F$10000,"="&amp;Q84,'[1]1_inventory_totals'!$G$8:$G$10000,"="&amp;R84)+SUMIFS('[1]1_inventory_totals'!$N$8:$N$10000,'[1]1_inventory_totals'!$C$8:$C$10000,I84,'[1]1_inventory_totals'!$F$8:$F$10000,"="&amp;Q84,'[1]1_inventory_totals'!$G$8:$G$10000,"="&amp;R84)+SUMIFS('[1]1_inventory_totals'!$P$8:$P$10000,'[1]1_inventory_totals'!$C$8:$C$10000,I84,'[1]1_inventory_totals'!$F$8:$F$10000,"="&amp;Q84,'[1]1_inventory_totals'!$G$8:$G$10000,"="&amp;R84)+SUMIFS('[1]1_inventory_totals'!$Q$8:$Q$10000,'[1]1_inventory_totals'!$C$8:$C$10000,I84,'[1]1_inventory_totals'!$F$8:$F$10000,"="&amp;Q84,'[1]1_inventory_totals'!$G$8:$G$10000,"="&amp;R84)+SUMIFS('[1]1_inventory_totals'!$R$8:$R$10000,'[1]1_inventory_totals'!$C$8:$C$10000,I84,'[1]1_inventory_totals'!$F$8:$F$10000,"="&amp;Q84,'[1]1_inventory_totals'!$G$8:$G$10000,"="&amp;R84))+(SUMIFS('[1]1_inventory_totals'!$J$8:$J$10000,'[1]1_inventory_totals'!$C$8:$C$10000,I84,'[1]1_inventory_totals'!$F$8:$F$10000,"="&amp;Q84,'[1]1_inventory_totals'!$G$8:$G$10000,"="&amp;R84)+SUMIFS('[1]1_inventory_totals'!$K$8:$K$10000,'[1]1_inventory_totals'!$C$8:$C$10000,I84,'[1]1_inventory_totals'!$F$8:$F$10000,"="&amp;Q84,'[1]1_inventory_totals'!$G$8:$G$10000,"="&amp;R84)+SUMIFS('[1]1_inventory_totals'!$L$8:$L$10000,'[1]1_inventory_totals'!$C$8:$C$10000,I84,'[1]1_inventory_totals'!$F$8:$F$10000,"="&amp;Q84,'[1]1_inventory_totals'!$G$8:$G$10000,"="&amp;R84)+SUMIFS('[1]1_inventory_totals'!$M$8:$M$10000,'[1]1_inventory_totals'!$C$8:$C$10000,I84,'[1]1_inventory_totals'!$F$8:$F$10000,"="&amp;Q84,'[1]1_inventory_totals'!$G$8:$G$10000,"="&amp;R84)+SUMIFS('[1]1_inventory_totals'!$O$8:$O$10000,'[1]1_inventory_totals'!$C$8:$C$10000,I84,'[1]1_inventory_totals'!$F$8:$F$10000,"="&amp;Q84,'[1]1_inventory_totals'!$G$8:$G$10000,"="&amp;R84)+SUMIFS('[1]1_inventory_totals'!$S$8:$S$10000,'[1]1_inventory_totals'!$C$8:$C$10000,I84,'[1]1_inventory_totals'!$F$8:$F$10000,"="&amp;Q84,'[1]1_inventory_totals'!$G$8:$G$10000,"="&amp;R84)))</f>
        <v/>
      </c>
      <c r="BB84" s="197" t="str">
        <f>IF(M84="","",(SUMIFS('[1]2_inventory_totals'!$I$8:$I$10000,'[1]2_inventory_totals'!$C$8:$C$10000,I84,'[1]2_inventory_totals'!$F$8:$F$10000,"="&amp;Q84,'[1]2_inventory_totals'!$G$8:$G$10000,"="&amp;R84)+SUMIFS('[1]2_inventory_totals'!$N$8:$N$10000,'[1]2_inventory_totals'!$C$8:$C$10000,I84,'[1]2_inventory_totals'!$F$8:$F$10000,"="&amp;Q84,'[1]2_inventory_totals'!$G$8:$G$10000,"="&amp;R84)+SUMIFS('[1]2_inventory_totals'!$P$8:$P$10000,'[1]2_inventory_totals'!$C$8:$C$10000,I84,'[1]2_inventory_totals'!$F$8:$F$10000,"="&amp;Q84,'[1]2_inventory_totals'!$G$8:$G$10000,"="&amp;R84)+SUMIFS('[1]2_inventory_totals'!$Q$8:$Q$10000,'[1]2_inventory_totals'!$C$8:$C$10000,I84,'[1]2_inventory_totals'!$F$8:$F$10000,"="&amp;Q84,'[1]2_inventory_totals'!$G$8:$G$10000,"="&amp;R84)+SUMIFS('[1]2_inventory_totals'!$R$8:$R$10000,'[1]2_inventory_totals'!$C$8:$C$10000,I84,'[1]2_inventory_totals'!$F$8:$F$10000,"="&amp;Q84,'[1]2_inventory_totals'!$G$8:$G$10000,"="&amp;R84))+(SUMIFS('[1]2_inventory_totals'!$J$8:$J$10000,'[1]2_inventory_totals'!$C$8:$C$10000,I84,'[1]2_inventory_totals'!$F$8:$F$10000,"="&amp;Q84,'[1]2_inventory_totals'!$G$8:$G$10000,"="&amp;R84)+SUMIFS('[1]2_inventory_totals'!$K$8:$K$10000,'[1]2_inventory_totals'!$C$8:$C$10000,I84,'[1]2_inventory_totals'!$F$8:$F$10000,"="&amp;Q84,'[1]2_inventory_totals'!$G$8:$G$10000,"="&amp;R84)+SUMIFS('[1]2_inventory_totals'!$L$8:$L$10000,'[1]2_inventory_totals'!$C$8:$C$10000,I84,'[1]2_inventory_totals'!$F$8:$F$10000,"="&amp;Q84,'[1]2_inventory_totals'!$G$8:$G$10000,"="&amp;R84)+SUMIFS('[1]2_inventory_totals'!$M$8:$M$10000,'[1]2_inventory_totals'!$C$8:$C$10000,I84,'[1]2_inventory_totals'!$F$8:$F$10000,"="&amp;Q84,'[1]2_inventory_totals'!$G$8:$G$10000,"="&amp;R84)+SUMIFS('[1]2_inventory_totals'!$O$8:$O$10000,'[1]2_inventory_totals'!$C$8:$C$10000,I84,'[1]2_inventory_totals'!$F$8:$F$10000,"="&amp;Q84,'[1]2_inventory_totals'!$G$8:$G$10000,"="&amp;R84)+SUMIFS('[1]2_inventory_totals'!$S$8:$S$10000,'[1]2_inventory_totals'!$C$8:$C$10000,I84,'[1]2_inventory_totals'!$F$8:$F$10000,"="&amp;Q84,'[1]2_inventory_totals'!$G$8:$G$10000,"="&amp;R84)))</f>
        <v/>
      </c>
    </row>
    <row r="85" spans="1:54" ht="27" hidden="1" customHeight="1">
      <c r="A85" s="923"/>
      <c r="B85" s="1256"/>
      <c r="C85" s="950"/>
      <c r="D85" s="950"/>
      <c r="E85" s="950"/>
      <c r="F85" s="1257"/>
      <c r="G85" s="941"/>
      <c r="H85" s="951"/>
      <c r="I85" s="1610" t="str">
        <f t="shared" si="287"/>
        <v/>
      </c>
      <c r="J85" s="1611" t="str">
        <f t="shared" si="112"/>
        <v/>
      </c>
      <c r="K85" s="1612" t="str">
        <f>IF(M85="","",VLOOKUP(I85,product_list,4,FALSE))</f>
        <v/>
      </c>
      <c r="L85" s="1613"/>
      <c r="M85" s="883"/>
      <c r="N85" s="884"/>
      <c r="O85" s="884"/>
      <c r="P85" s="885"/>
      <c r="Q85" s="886"/>
      <c r="R85" s="891"/>
      <c r="S85" s="1614" t="str">
        <f t="shared" ref="S85" si="346">IF(M85="","",quot_currency_symbol)</f>
        <v/>
      </c>
      <c r="T85" s="888"/>
      <c r="U85" s="1650" t="str">
        <f t="shared" si="289"/>
        <v/>
      </c>
      <c r="V85" s="1615" t="str">
        <f t="shared" ref="V85" si="347">IF(W85=0,"",quot_currency_symbol)</f>
        <v/>
      </c>
      <c r="W85" s="889"/>
      <c r="X85" s="1615" t="str">
        <f t="shared" ref="X85" si="348">IF(M85="","",quot_currency_symbol)</f>
        <v/>
      </c>
      <c r="Y85" s="1616" t="str">
        <f t="shared" si="307"/>
        <v/>
      </c>
      <c r="Z85" s="890"/>
      <c r="AA85" s="197" t="str" cm="1">
        <f t="array" ref="AA85">IF(M85="","",IF(P85=AN85,1,Slookup(MID(AN85,1,3)*1,UomConversion!$D$8:$J$500,5,UomConversion!$E$8:$E$500,MID(P85,1,3)*1,UomConversion!$J$8:$J$500,1)))</f>
        <v/>
      </c>
      <c r="AB85" s="197" t="str">
        <f t="shared" si="281"/>
        <v/>
      </c>
      <c r="AC85" s="197" t="str">
        <f t="shared" si="292"/>
        <v/>
      </c>
      <c r="AD85" s="197" t="str">
        <f t="shared" si="293"/>
        <v/>
      </c>
      <c r="AE85" s="197" t="str">
        <f t="shared" si="294"/>
        <v/>
      </c>
      <c r="AF85" s="197" t="str">
        <f t="shared" si="282"/>
        <v/>
      </c>
      <c r="AG85" s="197" t="str">
        <f t="shared" si="283"/>
        <v/>
      </c>
      <c r="AH85" s="197" t="str">
        <f>IF(I85="","",IF(ISNA(MATCH(I85,IF(quot_location_id=1,'[1]1_inventory_totals'!$C$8:$C$10000,IF(quot_location_id=2,'[1]2_inventory_totals'!$C$8:$C$10000,0)),0)),0,IF(AV85&gt;0,1,0)))</f>
        <v/>
      </c>
      <c r="AI85" s="197" t="str">
        <f>IF(M85="","",IF(quot_location_id=1,SUMIFS('[1]1_inventory_total_details'!$J$8:$J$10000,'[1]1_inventory_total_details'!$C$8:$C$10000,I85,'[1]1_inventory_total_details'!$F$8:$F$10000,quot_location_id,'[1]1_inventory_total_details'!$G$8:$G$10000,"="&amp;Q85,'[1]1_inventory_total_details'!$H$8:$H$10000,"="&amp;R85,'[1]1_inventory_total_details'!$I$8:$I$10000,"="&amp;quot_date)+SUMIFS('[1]1_inventory_total_details'!$M$8:$M$10000,'[1]1_inventory_total_details'!$C$8:$C$10000,I85,'[1]1_inventory_total_details'!$F$8:$F$10000,quot_location_id,'[1]1_inventory_total_details'!$G$8:$G$10000,"="&amp;Q85,'[1]1_inventory_total_details'!$H$8:$H$10000,"="&amp;R85,'[1]1_inventory_total_details'!$I$8:$I$10000,"="&amp;quot_date)+SUMIFS('[1]1_inventory_total_details'!$K$8:$K$10000,'[1]1_inventory_total_details'!$C$8:$C$10000,I85,'[1]1_inventory_total_details'!$F$8:$F$10000,quot_location_id,'[1]1_inventory_total_details'!$G$8:$G$10000,"="&amp;Q85,'[1]1_inventory_total_details'!$H$8:$H$10000,"="&amp;R85,'[1]1_inventory_total_details'!$I$8:$I$10000,"="&amp;quot_date)+SUMIFS('[1]1_inventory_total_details'!$L$8:$L$10000,'[1]1_inventory_total_details'!$C$8:$C$10000,I85,'[1]1_inventory_total_details'!$F$8:$F$10000,quot_location_id,'[1]1_inventory_total_details'!$G$8:$G$10000,"="&amp;Q85,'[1]1_inventory_total_details'!$H$8:$H$10000,"="&amp;R85,'[1]1_inventory_total_details'!$I$8:$I$10000,"="&amp;quot_date),SUMIFS('[1]2_inventory_total_details'!$J$8:$J$10000,'[1]2_inventory_total_details'!$C$8:$C$10000,I85,'[1]2_inventory_total_details'!$F$8:$F$10000,quot_location_id,'[1]2_inventory_total_details'!$G$8:$G$10000,"="&amp;Q85,'[1]2_inventory_total_details'!$H$8:$H$10000,"="&amp;R85,'[1]2_inventory_total_details'!$I$8:$I$10000,"="&amp;quot_date)+SUMIFS('[1]2_inventory_total_details'!$M$8:$M$10000,'[1]2_inventory_total_details'!$C$8:$C$10000,I85,'[1]2_inventory_total_details'!$F$8:$F$10000,quot_location_id,'[1]2_inventory_total_details'!$G$8:$G$10000,"="&amp;Q85,'[1]2_inventory_total_details'!$H$8:$H$10000,"="&amp;R85,'[1]2_inventory_total_details'!$I$8:$I$10000,"="&amp;quot_date)+SUMIFS('[1]2_inventory_total_details'!$K$8:$K$10000,'[1]2_inventory_total_details'!$C$8:$C$10000,I85,'[1]2_inventory_total_details'!$F$8:$F$10000,quot_location_id,'[1]2_inventory_total_details'!$G$8:$G$10000,"="&amp;Q85,'[1]2_inventory_total_details'!$H$8:$H$10000,"="&amp;R85,'[1]2_inventory_total_details'!$I$8:$I$10000,"="&amp;quot_date)+SUMIFS('[1]2_inventory_total_details'!$L$8:$L$10000,'[1]2_inventory_total_details'!$C$8:$C$10000,I85,'[1]2_inventory_total_details'!$F$8:$F$10000,quot_location_id,'[1]2_inventory_total_details'!$G$8:$G$10000,"="&amp;Q85,'[1]2_inventory_total_details'!$H$8:$H$10000,"="&amp;R85,'[1]2_inventory_total_details'!$I$8:$I$10000,"="&amp;quot_date)))</f>
        <v/>
      </c>
      <c r="AJ85" s="197" t="str">
        <f>IF(M85="","",IF(ISNA(MATCH(I85,'[1]1_group_totals'!$C$8:$C$10000)),0,IF(AW85&gt;0,1,0)))</f>
        <v/>
      </c>
      <c r="AK85" s="197" t="str">
        <f>IF(M85="","",(SUMIFS('[1]1_group_total_details'!$I$8:$I$10000,'[1]1_group_total_details'!$C$8:$C$10000,I85,'[1]1_group_total_details'!$F$8:$F$10000,quot_location_group_id,'[1]1_group_total_details'!$G$8:$G$10000,quot_location_id,'[1]1_group_total_details'!$H$8:$H$10000,"="&amp;quot_date)+SUMIFS('[1]1_group_total_details'!$L$8:$L$10000,'[1]1_group_total_details'!$C$8:$C$10000,I85,'[1]1_group_total_details'!$F$8:$F$10000,quot_location_group_id,'[1]1_group_total_details'!$G$8:$G$10000,quot_location_id,'[1]1_group_total_details'!$H$8:$H$10000,"="&amp;quot_date)+SUMIFS('[1]1_group_total_details'!$N$8:$N$10000,'[1]1_group_total_details'!$C$8:$C$10000,I85,'[1]1_group_total_details'!$F$8:$F$10000,quot_location_group_id,'[1]1_group_total_details'!$G$8:$G$10000,quot_location_id,'[1]1_group_total_details'!$H$8:$H$10000,"="&amp;quot_date)+SUMIFS('[1]1_group_total_details'!$O$8:$O$10000,'[1]1_group_total_details'!$C$8:$C$10000,I85,'[1]1_group_total_details'!$F$8:$F$10000,quot_location_group_id,'[1]1_group_total_details'!$G$8:$G$10000,quot_location_id,'[1]1_group_total_details'!$H$8:$H$10000,"="&amp;quot_date))+(SUMIFS('[1]1_group_total_details'!$J$8:$J$10000,'[1]1_group_total_details'!$C$8:$C$10000,I85,'[1]1_group_total_details'!$F$8:$F$10000,quot_location_group_id,'[1]1_group_total_details'!$G$8:$G$10000,quot_location_id,'[1]1_group_total_details'!$H$8:$H$10000,"="&amp;quot_date)+SUMIFS('[1]1_group_total_details'!$K$8:$K$10000,'[1]1_group_total_details'!$C$8:$C$10000,I85,'[1]1_group_total_details'!$F$8:$F$10000,quot_location_group_id,'[1]1_group_total_details'!$G$8:$G$10000,quot_location_id,'[1]1_group_total_details'!$H$8:$H$10000,"="&amp;quot_date)+SUMIFS('[1]1_group_total_details'!$M$8:$M$10000,'[1]1_group_total_details'!$C$8:$C$10000,I85,'[1]1_group_total_details'!$F$8:$F$10000,quot_location_group_id,'[1]1_group_total_details'!$G$8:$G$10000,quot_location_id,'[1]1_group_total_details'!$H$8:$H$10000,"="&amp;quot_date)+SUMIFS('[1]1_group_total_details'!$P$8:$P$10000,'[1]1_group_total_details'!$C$8:$C$10000,I85,'[1]1_group_total_details'!$F$8:$F$10000,quot_location_group_id,'[1]1_group_total_details'!$G$8:$G$10000,quot_location_id,'[1]1_group_total_details'!$H$8:$H$10000,"="&amp;quot_date)))</f>
        <v/>
      </c>
      <c r="AL85" s="197" t="str">
        <f>IF(M85="","",(SUMIFS('[1]1_group_total_details'!$I$8:$I$10000,'[1]1_group_total_details'!$C$8:$C$10000,I85,'[1]1_group_total_details'!$F$8:$F$10000,quot_location_group_id,'[1]1_group_total_details'!$G$8:$G$10000,quot_location_id,'[1]1_group_total_details'!$H$8:$H$10000,"&lt;="&amp;quot_date)+SUMIFS('[1]1_group_total_details'!$L$8:$L$10000,'[1]1_group_total_details'!$C$8:$C$10000,I85,'[1]1_group_total_details'!$F$8:$F$10000,quot_location_group_id,'[1]1_group_total_details'!$G$8:$G$10000,1,'[1]1_group_total_details'!$H$8:$H$10000,"&lt;="&amp;quot_date)+SUMIFS('[1]1_group_total_details'!$N$8:$N$10000,'[1]1_group_total_details'!$C$8:$C$10000,I85,'[1]1_group_total_details'!$F$8:$F$10000,quot_location_group_id,'[1]1_group_total_details'!$G$8:$G$10000,quot_location_id,'[1]1_group_total_details'!$H$8:$H$10000,"&lt;="&amp;quot_date)+SUMIFS('[1]1_group_total_details'!$O$8:$O$10000,'[1]1_group_total_details'!$C$8:$C$10000,I85,'[1]1_group_total_details'!$F$8:$F$10000,quot_location_group_id,'[1]1_group_total_details'!$G$8:$G$10000,quot_location_id,'[1]1_group_total_details'!$H$8:$H$10000,"&lt;="&amp;quot_date))-(SUMIFS('[1]1_group_total_details'!$J$8:$J$10000,'[1]1_group_total_details'!$C$8:$C$10000,I85,'[1]1_group_total_details'!$F$8:$F$10000,quot_location_group_id,'[1]1_group_total_details'!$G$8:$G$10000,quot_location_id,'[1]1_group_total_details'!$H$8:$H$10000,"&lt;="&amp;quot_date)+SUMIFS('[1]1_group_total_details'!$K$8:$K$10000,'[1]1_group_total_details'!$C$8:$C$10000,I85,'[1]1_group_total_details'!$F$8:$F$10000,quot_location_group_id,'[1]1_group_total_details'!$G$8:$G$10000,quot_location_id,'[1]1_group_total_details'!$H$8:$H$10000,"&lt;="&amp;quot_date)+SUMIFS('[1]1_group_total_details'!$M$8:$M$10000,'[1]1_group_total_details'!$C$8:$C$10000,I85,'[1]1_group_total_details'!$F$8:$F$10000,quot_location_group_id,'[1]1_group_total_details'!$G$8:$G$10000,quot_location_id,'[1]1_group_total_details'!$H$8:$H$10000,"&lt;="&amp;quot_date)+SUMIFS('[1]1_group_total_details'!$P$8:$P$10000,'[1]1_group_total_details'!$C$8:$C$10000,I85,'[1]1_group_total_details'!$F$8:$F$10000,quot_location_group_id,'[1]1_group_total_details'!$G$8:$G$10000,quot_location_id,'[1]1_group_total_details'!$H$8:$H$10000,"&lt;="&amp;quot_date)))</f>
        <v/>
      </c>
      <c r="AM85" s="197" t="str">
        <f>IF(M85="","",SUMIFS('[1]1_group_totals'!$J$8:$J$10000,'[1]1_group_totals'!$C$8:$C$10000,I85,'[1]1_group_totals'!$F$8:$F$10000,quot_location_group_id,'[1]1_group_totals'!$G$8:$G$10000,quot_location_id,'[1]1_group_totals'!$H$8:$H$10000,"="&amp;Q85,'[1]1_group_totals'!$I$8:$I$10000,"="&amp;R85))</f>
        <v/>
      </c>
      <c r="AN85" s="197" t="str">
        <f t="shared" si="284"/>
        <v/>
      </c>
      <c r="AO85" s="197" t="str">
        <f>IF(OR(ISNA(MATCH(MID(AN85,1,3)*1,UomConversion!$D$8:$D$500,0)),M85=""),"",IF(AT85="","",AT85))</f>
        <v/>
      </c>
      <c r="AP85" s="197" t="str">
        <f>IF(AND(AQ85&gt;0,COUNTIFS(UomConversion!$D$8:$D$500,MID(AN85,1,3)*1,UomConversion!$J$8:$J$500,1)&gt;1),TEXT(AQ85,"000")&amp;"."&amp;VLOOKUP(AQ85,uom_list,5,FALSE),"")</f>
        <v/>
      </c>
      <c r="AQ85" s="197" t="str">
        <f t="shared" si="295"/>
        <v/>
      </c>
      <c r="AR85" s="197" t="str">
        <f t="shared" si="296"/>
        <v/>
      </c>
      <c r="AS85" s="197" t="str">
        <f>IF(M85="","",SUMIFS(ProductPrice!$N$28:$N$10020,ProductPrice!$D$28:$D$10020,I85,ProductPrice!$G$28:$G$10020,quot_branch_id,ProductPrice!$H$28:$H$10020,quot_price_type_id,ProductPrice!$I$28:$I$10020,MID(P85,1,3)*1,ProductPrice!$Q$28:$Q$10020,1))</f>
        <v/>
      </c>
      <c r="AT85" s="197" t="str">
        <f t="shared" si="285"/>
        <v/>
      </c>
      <c r="AU85" s="197" t="str" cm="1">
        <f t="array" ref="AU85">IF(M85="","",IF(ISNA(Slookup(MID(AN85,1,3)*1,UomConversion!$D$8:$J$500,2,UomConversion!$I$8:$I$500,1,UomConversion!$J$8:$J$500,1)),"",Slookup(MID(AN85,1,3)*1,UomConversion!$D$8:$J$500,2,UomConversion!$I$8:$I$500,1,UomConversion!$J$8:$J$500,1)))</f>
        <v/>
      </c>
      <c r="AV85" s="197" t="str">
        <f t="shared" ref="AV85" si="349">IF(M85="","",IF(quot_location_id=1,BA85,IF(quot_location_id=2,BB85,0)))</f>
        <v/>
      </c>
      <c r="AW85" s="197" t="str">
        <f>IF(M85="","",(SUMIFS('[1]1_group_totals'!$K$8:$K$10000,'[1]1_group_totals'!$C$8:$C$10000,I85,'[1]1_group_totals'!$F$8:$F$10000,quot_location_group_id,'[1]1_group_totals'!$G$8:$G$10000,quot_location_id,'[1]1_group_totals'!$H$8:$H$10000,"="&amp;Q85,'[1]1_group_totals'!$I$8:$I$10000,"="&amp;R85)+SUMIFS('[1]1_group_totals'!$N$8:$N$10000,'[1]1_group_totals'!$C$8:$C$10000,I85,'[1]1_group_totals'!$F$8:$F$10000,quot_location_group_id,'[1]1_group_totals'!$G$8:$G$10000,quot_location_id,'[1]1_group_totals'!$H$8:$H$10000,"="&amp;Q85,'[1]1_group_totals'!$I$8:$I$10000,"="&amp;R85)+SUMIFS('[1]1_group_totals'!$P$8:$P$10000,'[1]1_group_totals'!$C$8:$C$10000,I85,'[1]1_group_totals'!$F$8:$F$10000,quot_location_group_id,'[1]1_group_totals'!$G$8:$G$10000,quot_location_id,'[1]1_group_totals'!$H$8:$H$10000,"="&amp;Q85,'[1]1_group_totals'!$I$8:$I$10000,"="&amp;R85)+SUMIFS('[1]1_group_totals'!$Q$8:$Q$10000,'[1]1_group_totals'!$C$8:$C$10000,I85,'[1]1_group_totals'!$F$8:$F$10000,quot_location_group_id,'[1]1_group_totals'!$G$8:$G$10000,quot_location_id,'[1]1_group_totals'!$H$8:$H$10000,"="&amp;Q85,'[1]1_group_totals'!$I$8:$I$10000,"="&amp;R85))+(SUMIFS('[1]1_group_totals'!$L$8:$L$10000,'[1]1_group_totals'!$C$8:$C$10000,I85,'[1]1_group_totals'!$F$8:$F$10000,quot_location_group_id,'[1]1_group_totals'!$G$8:$G$10000,quot_location_id,'[1]1_group_totals'!$H$8:$H$10000,"="&amp;Q85,'[1]1_group_totals'!$I$8:$I$10000,"="&amp;R85)+SUMIFS('[1]1_group_totals'!$M$8:$M$10000,'[1]1_group_totals'!$C$8:$C$10000,I85,'[1]1_group_totals'!$F$8:$F$10000,quot_location_group_id,'[1]1_group_totals'!$G$8:$G$10000,quot_location_id,'[1]1_group_totals'!$H$8:$H$10000,"="&amp;Q85,'[1]1_group_totals'!$I$8:$I$10000,"="&amp;R85)+SUMIFS('[1]1_group_totals'!$O$8:$O$10000,'[1]1_group_totals'!$C$8:$C$10000,I85,'[1]1_group_totals'!$F$8:$F$10000,quot_location_group_id,'[1]1_group_totals'!$G$8:$G$10000,quot_location_id,'[1]1_group_totals'!$H$8:$H$10000,"="&amp;Q85,'[1]1_group_totals'!$I$8:$I$10000,"="&amp;R85)+SUMIFS('[1]1_group_totals'!$R$8:$R$10000,'[1]1_group_totals'!$C$8:$C$10000,I85,'[1]1_group_totals'!$F$8:$F$10000,quot_location_group_id,'[1]1_group_totals'!$G$8:$G$10000,quot_location_id,'[1]1_group_totals'!$H$8:$H$10000,"="&amp;Q85,'[1]1_group_totals'!$I$8:$I$10000,"="&amp;R85)))</f>
        <v/>
      </c>
      <c r="AX85" s="197" t="str">
        <f t="shared" si="298"/>
        <v/>
      </c>
      <c r="AY85" s="197" t="str">
        <f>IF(M85="","",SUMIFS($AX$8:AX85,$I$8:I85,I85))</f>
        <v/>
      </c>
      <c r="AZ85" s="197" t="str">
        <f t="shared" si="299"/>
        <v/>
      </c>
      <c r="BA85" s="197" t="str">
        <f>IF(M85="","",(SUMIFS('[1]1_inventory_totals'!$I$8:$I$10000,'[1]1_inventory_totals'!$C$8:$C$10000,I85,'[1]1_inventory_totals'!$F$8:$F$10000,"="&amp;Q85,'[1]1_inventory_totals'!$G$8:$G$10000,"="&amp;R85)+SUMIFS('[1]1_inventory_totals'!$N$8:$N$10000,'[1]1_inventory_totals'!$C$8:$C$10000,I85,'[1]1_inventory_totals'!$F$8:$F$10000,"="&amp;Q85,'[1]1_inventory_totals'!$G$8:$G$10000,"="&amp;R85)+SUMIFS('[1]1_inventory_totals'!$P$8:$P$10000,'[1]1_inventory_totals'!$C$8:$C$10000,I85,'[1]1_inventory_totals'!$F$8:$F$10000,"="&amp;Q85,'[1]1_inventory_totals'!$G$8:$G$10000,"="&amp;R85)+SUMIFS('[1]1_inventory_totals'!$Q$8:$Q$10000,'[1]1_inventory_totals'!$C$8:$C$10000,I85,'[1]1_inventory_totals'!$F$8:$F$10000,"="&amp;Q85,'[1]1_inventory_totals'!$G$8:$G$10000,"="&amp;R85)+SUMIFS('[1]1_inventory_totals'!$R$8:$R$10000,'[1]1_inventory_totals'!$C$8:$C$10000,I85,'[1]1_inventory_totals'!$F$8:$F$10000,"="&amp;Q85,'[1]1_inventory_totals'!$G$8:$G$10000,"="&amp;R85))+(SUMIFS('[1]1_inventory_totals'!$J$8:$J$10000,'[1]1_inventory_totals'!$C$8:$C$10000,I85,'[1]1_inventory_totals'!$F$8:$F$10000,"="&amp;Q85,'[1]1_inventory_totals'!$G$8:$G$10000,"="&amp;R85)+SUMIFS('[1]1_inventory_totals'!$K$8:$K$10000,'[1]1_inventory_totals'!$C$8:$C$10000,I85,'[1]1_inventory_totals'!$F$8:$F$10000,"="&amp;Q85,'[1]1_inventory_totals'!$G$8:$G$10000,"="&amp;R85)+SUMIFS('[1]1_inventory_totals'!$L$8:$L$10000,'[1]1_inventory_totals'!$C$8:$C$10000,I85,'[1]1_inventory_totals'!$F$8:$F$10000,"="&amp;Q85,'[1]1_inventory_totals'!$G$8:$G$10000,"="&amp;R85)+SUMIFS('[1]1_inventory_totals'!$M$8:$M$10000,'[1]1_inventory_totals'!$C$8:$C$10000,I85,'[1]1_inventory_totals'!$F$8:$F$10000,"="&amp;Q85,'[1]1_inventory_totals'!$G$8:$G$10000,"="&amp;R85)+SUMIFS('[1]1_inventory_totals'!$O$8:$O$10000,'[1]1_inventory_totals'!$C$8:$C$10000,I85,'[1]1_inventory_totals'!$F$8:$F$10000,"="&amp;Q85,'[1]1_inventory_totals'!$G$8:$G$10000,"="&amp;R85)+SUMIFS('[1]1_inventory_totals'!$S$8:$S$10000,'[1]1_inventory_totals'!$C$8:$C$10000,I85,'[1]1_inventory_totals'!$F$8:$F$10000,"="&amp;Q85,'[1]1_inventory_totals'!$G$8:$G$10000,"="&amp;R85)))</f>
        <v/>
      </c>
      <c r="BB85" s="197" t="str">
        <f>IF(M85="","",(SUMIFS('[1]2_inventory_totals'!$I$8:$I$10000,'[1]2_inventory_totals'!$C$8:$C$10000,I85,'[1]2_inventory_totals'!$F$8:$F$10000,"="&amp;Q85,'[1]2_inventory_totals'!$G$8:$G$10000,"="&amp;R85)+SUMIFS('[1]2_inventory_totals'!$N$8:$N$10000,'[1]2_inventory_totals'!$C$8:$C$10000,I85,'[1]2_inventory_totals'!$F$8:$F$10000,"="&amp;Q85,'[1]2_inventory_totals'!$G$8:$G$10000,"="&amp;R85)+SUMIFS('[1]2_inventory_totals'!$P$8:$P$10000,'[1]2_inventory_totals'!$C$8:$C$10000,I85,'[1]2_inventory_totals'!$F$8:$F$10000,"="&amp;Q85,'[1]2_inventory_totals'!$G$8:$G$10000,"="&amp;R85)+SUMIFS('[1]2_inventory_totals'!$Q$8:$Q$10000,'[1]2_inventory_totals'!$C$8:$C$10000,I85,'[1]2_inventory_totals'!$F$8:$F$10000,"="&amp;Q85,'[1]2_inventory_totals'!$G$8:$G$10000,"="&amp;R85)+SUMIFS('[1]2_inventory_totals'!$R$8:$R$10000,'[1]2_inventory_totals'!$C$8:$C$10000,I85,'[1]2_inventory_totals'!$F$8:$F$10000,"="&amp;Q85,'[1]2_inventory_totals'!$G$8:$G$10000,"="&amp;R85))+(SUMIFS('[1]2_inventory_totals'!$J$8:$J$10000,'[1]2_inventory_totals'!$C$8:$C$10000,I85,'[1]2_inventory_totals'!$F$8:$F$10000,"="&amp;Q85,'[1]2_inventory_totals'!$G$8:$G$10000,"="&amp;R85)+SUMIFS('[1]2_inventory_totals'!$K$8:$K$10000,'[1]2_inventory_totals'!$C$8:$C$10000,I85,'[1]2_inventory_totals'!$F$8:$F$10000,"="&amp;Q85,'[1]2_inventory_totals'!$G$8:$G$10000,"="&amp;R85)+SUMIFS('[1]2_inventory_totals'!$L$8:$L$10000,'[1]2_inventory_totals'!$C$8:$C$10000,I85,'[1]2_inventory_totals'!$F$8:$F$10000,"="&amp;Q85,'[1]2_inventory_totals'!$G$8:$G$10000,"="&amp;R85)+SUMIFS('[1]2_inventory_totals'!$M$8:$M$10000,'[1]2_inventory_totals'!$C$8:$C$10000,I85,'[1]2_inventory_totals'!$F$8:$F$10000,"="&amp;Q85,'[1]2_inventory_totals'!$G$8:$G$10000,"="&amp;R85)+SUMIFS('[1]2_inventory_totals'!$O$8:$O$10000,'[1]2_inventory_totals'!$C$8:$C$10000,I85,'[1]2_inventory_totals'!$F$8:$F$10000,"="&amp;Q85,'[1]2_inventory_totals'!$G$8:$G$10000,"="&amp;R85)+SUMIFS('[1]2_inventory_totals'!$S$8:$S$10000,'[1]2_inventory_totals'!$C$8:$C$10000,I85,'[1]2_inventory_totals'!$F$8:$F$10000,"="&amp;Q85,'[1]2_inventory_totals'!$G$8:$G$10000,"="&amp;R85)))</f>
        <v/>
      </c>
    </row>
    <row r="86" spans="1:54" ht="27" hidden="1" customHeight="1">
      <c r="A86" s="923"/>
      <c r="B86" s="1256"/>
      <c r="C86" s="950"/>
      <c r="D86" s="950"/>
      <c r="E86" s="950"/>
      <c r="F86" s="1257"/>
      <c r="G86" s="941"/>
      <c r="H86" s="951"/>
      <c r="I86" s="1610" t="str">
        <f t="shared" si="287"/>
        <v/>
      </c>
      <c r="J86" s="1611" t="str">
        <f t="shared" si="112"/>
        <v/>
      </c>
      <c r="K86" s="1612" t="str">
        <f t="shared" ref="K86:K87" si="350">IF(M86="","",VLOOKUP(I86,product_list,4,FALSE))</f>
        <v/>
      </c>
      <c r="L86" s="1613"/>
      <c r="M86" s="883"/>
      <c r="N86" s="884"/>
      <c r="O86" s="884"/>
      <c r="P86" s="885"/>
      <c r="Q86" s="886"/>
      <c r="R86" s="891"/>
      <c r="S86" s="1614" t="str">
        <f t="shared" ref="S86" si="351">IF(M86="","",quot_currency_symbol)</f>
        <v/>
      </c>
      <c r="T86" s="888"/>
      <c r="U86" s="1650" t="str">
        <f t="shared" si="289"/>
        <v/>
      </c>
      <c r="V86" s="1615" t="str">
        <f t="shared" ref="V86" si="352">IF(W86=0,"",quot_currency_symbol)</f>
        <v/>
      </c>
      <c r="W86" s="889"/>
      <c r="X86" s="1615" t="str">
        <f t="shared" ref="X86" si="353">IF(M86="","",quot_currency_symbol)</f>
        <v/>
      </c>
      <c r="Y86" s="1616" t="str">
        <f t="shared" si="307"/>
        <v/>
      </c>
      <c r="Z86" s="890"/>
      <c r="AA86" s="197" t="str" cm="1">
        <f t="array" ref="AA86">IF(M86="","",IF(P86=AN86,1,Slookup(MID(AN86,1,3)*1,UomConversion!$D$8:$J$500,5,UomConversion!$E$8:$E$500,MID(P86,1,3)*1,UomConversion!$J$8:$J$500,1)))</f>
        <v/>
      </c>
      <c r="AB86" s="197" t="str">
        <f t="shared" si="281"/>
        <v/>
      </c>
      <c r="AC86" s="197" t="str">
        <f t="shared" si="292"/>
        <v/>
      </c>
      <c r="AD86" s="197" t="str">
        <f t="shared" si="293"/>
        <v/>
      </c>
      <c r="AE86" s="197" t="str">
        <f t="shared" si="294"/>
        <v/>
      </c>
      <c r="AF86" s="197" t="str">
        <f t="shared" si="282"/>
        <v/>
      </c>
      <c r="AG86" s="197" t="str">
        <f t="shared" si="283"/>
        <v/>
      </c>
      <c r="AH86" s="197" t="str">
        <f>IF(I86="","",IF(ISNA(MATCH(I86,IF(quot_location_id=1,'[1]1_inventory_totals'!$C$8:$C$10000,IF(quot_location_id=2,'[1]2_inventory_totals'!$C$8:$C$10000,0)),0)),0,IF(AV86&gt;0,1,0)))</f>
        <v/>
      </c>
      <c r="AI86" s="197" t="str">
        <f>IF(M86="","",IF(quot_location_id=1,SUMIFS('[1]1_inventory_total_details'!$J$8:$J$10000,'[1]1_inventory_total_details'!$C$8:$C$10000,I86,'[1]1_inventory_total_details'!$F$8:$F$10000,quot_location_id,'[1]1_inventory_total_details'!$G$8:$G$10000,"="&amp;Q86,'[1]1_inventory_total_details'!$H$8:$H$10000,"="&amp;R86,'[1]1_inventory_total_details'!$I$8:$I$10000,"="&amp;quot_date)+SUMIFS('[1]1_inventory_total_details'!$M$8:$M$10000,'[1]1_inventory_total_details'!$C$8:$C$10000,I86,'[1]1_inventory_total_details'!$F$8:$F$10000,quot_location_id,'[1]1_inventory_total_details'!$G$8:$G$10000,"="&amp;Q86,'[1]1_inventory_total_details'!$H$8:$H$10000,"="&amp;R86,'[1]1_inventory_total_details'!$I$8:$I$10000,"="&amp;quot_date)+SUMIFS('[1]1_inventory_total_details'!$K$8:$K$10000,'[1]1_inventory_total_details'!$C$8:$C$10000,I86,'[1]1_inventory_total_details'!$F$8:$F$10000,quot_location_id,'[1]1_inventory_total_details'!$G$8:$G$10000,"="&amp;Q86,'[1]1_inventory_total_details'!$H$8:$H$10000,"="&amp;R86,'[1]1_inventory_total_details'!$I$8:$I$10000,"="&amp;quot_date)+SUMIFS('[1]1_inventory_total_details'!$L$8:$L$10000,'[1]1_inventory_total_details'!$C$8:$C$10000,I86,'[1]1_inventory_total_details'!$F$8:$F$10000,quot_location_id,'[1]1_inventory_total_details'!$G$8:$G$10000,"="&amp;Q86,'[1]1_inventory_total_details'!$H$8:$H$10000,"="&amp;R86,'[1]1_inventory_total_details'!$I$8:$I$10000,"="&amp;quot_date),SUMIFS('[1]2_inventory_total_details'!$J$8:$J$10000,'[1]2_inventory_total_details'!$C$8:$C$10000,I86,'[1]2_inventory_total_details'!$F$8:$F$10000,quot_location_id,'[1]2_inventory_total_details'!$G$8:$G$10000,"="&amp;Q86,'[1]2_inventory_total_details'!$H$8:$H$10000,"="&amp;R86,'[1]2_inventory_total_details'!$I$8:$I$10000,"="&amp;quot_date)+SUMIFS('[1]2_inventory_total_details'!$M$8:$M$10000,'[1]2_inventory_total_details'!$C$8:$C$10000,I86,'[1]2_inventory_total_details'!$F$8:$F$10000,quot_location_id,'[1]2_inventory_total_details'!$G$8:$G$10000,"="&amp;Q86,'[1]2_inventory_total_details'!$H$8:$H$10000,"="&amp;R86,'[1]2_inventory_total_details'!$I$8:$I$10000,"="&amp;quot_date)+SUMIFS('[1]2_inventory_total_details'!$K$8:$K$10000,'[1]2_inventory_total_details'!$C$8:$C$10000,I86,'[1]2_inventory_total_details'!$F$8:$F$10000,quot_location_id,'[1]2_inventory_total_details'!$G$8:$G$10000,"="&amp;Q86,'[1]2_inventory_total_details'!$H$8:$H$10000,"="&amp;R86,'[1]2_inventory_total_details'!$I$8:$I$10000,"="&amp;quot_date)+SUMIFS('[1]2_inventory_total_details'!$L$8:$L$10000,'[1]2_inventory_total_details'!$C$8:$C$10000,I86,'[1]2_inventory_total_details'!$F$8:$F$10000,quot_location_id,'[1]2_inventory_total_details'!$G$8:$G$10000,"="&amp;Q86,'[1]2_inventory_total_details'!$H$8:$H$10000,"="&amp;R86,'[1]2_inventory_total_details'!$I$8:$I$10000,"="&amp;quot_date)))</f>
        <v/>
      </c>
      <c r="AJ86" s="197" t="str">
        <f>IF(M86="","",IF(ISNA(MATCH(I86,'[1]1_group_totals'!$C$8:$C$10000)),0,IF(AW86&gt;0,1,0)))</f>
        <v/>
      </c>
      <c r="AK86" s="197" t="str">
        <f>IF(M86="","",(SUMIFS('[1]1_group_total_details'!$I$8:$I$10000,'[1]1_group_total_details'!$C$8:$C$10000,I86,'[1]1_group_total_details'!$F$8:$F$10000,quot_location_group_id,'[1]1_group_total_details'!$G$8:$G$10000,quot_location_id,'[1]1_group_total_details'!$H$8:$H$10000,"="&amp;quot_date)+SUMIFS('[1]1_group_total_details'!$L$8:$L$10000,'[1]1_group_total_details'!$C$8:$C$10000,I86,'[1]1_group_total_details'!$F$8:$F$10000,quot_location_group_id,'[1]1_group_total_details'!$G$8:$G$10000,quot_location_id,'[1]1_group_total_details'!$H$8:$H$10000,"="&amp;quot_date)+SUMIFS('[1]1_group_total_details'!$N$8:$N$10000,'[1]1_group_total_details'!$C$8:$C$10000,I86,'[1]1_group_total_details'!$F$8:$F$10000,quot_location_group_id,'[1]1_group_total_details'!$G$8:$G$10000,quot_location_id,'[1]1_group_total_details'!$H$8:$H$10000,"="&amp;quot_date)+SUMIFS('[1]1_group_total_details'!$O$8:$O$10000,'[1]1_group_total_details'!$C$8:$C$10000,I86,'[1]1_group_total_details'!$F$8:$F$10000,quot_location_group_id,'[1]1_group_total_details'!$G$8:$G$10000,quot_location_id,'[1]1_group_total_details'!$H$8:$H$10000,"="&amp;quot_date))+(SUMIFS('[1]1_group_total_details'!$J$8:$J$10000,'[1]1_group_total_details'!$C$8:$C$10000,I86,'[1]1_group_total_details'!$F$8:$F$10000,quot_location_group_id,'[1]1_group_total_details'!$G$8:$G$10000,quot_location_id,'[1]1_group_total_details'!$H$8:$H$10000,"="&amp;quot_date)+SUMIFS('[1]1_group_total_details'!$K$8:$K$10000,'[1]1_group_total_details'!$C$8:$C$10000,I86,'[1]1_group_total_details'!$F$8:$F$10000,quot_location_group_id,'[1]1_group_total_details'!$G$8:$G$10000,quot_location_id,'[1]1_group_total_details'!$H$8:$H$10000,"="&amp;quot_date)+SUMIFS('[1]1_group_total_details'!$M$8:$M$10000,'[1]1_group_total_details'!$C$8:$C$10000,I86,'[1]1_group_total_details'!$F$8:$F$10000,quot_location_group_id,'[1]1_group_total_details'!$G$8:$G$10000,quot_location_id,'[1]1_group_total_details'!$H$8:$H$10000,"="&amp;quot_date)+SUMIFS('[1]1_group_total_details'!$P$8:$P$10000,'[1]1_group_total_details'!$C$8:$C$10000,I86,'[1]1_group_total_details'!$F$8:$F$10000,quot_location_group_id,'[1]1_group_total_details'!$G$8:$G$10000,quot_location_id,'[1]1_group_total_details'!$H$8:$H$10000,"="&amp;quot_date)))</f>
        <v/>
      </c>
      <c r="AL86" s="197" t="str">
        <f>IF(M86="","",(SUMIFS('[1]1_group_total_details'!$I$8:$I$10000,'[1]1_group_total_details'!$C$8:$C$10000,I86,'[1]1_group_total_details'!$F$8:$F$10000,quot_location_group_id,'[1]1_group_total_details'!$G$8:$G$10000,quot_location_id,'[1]1_group_total_details'!$H$8:$H$10000,"&lt;="&amp;quot_date)+SUMIFS('[1]1_group_total_details'!$L$8:$L$10000,'[1]1_group_total_details'!$C$8:$C$10000,I86,'[1]1_group_total_details'!$F$8:$F$10000,quot_location_group_id,'[1]1_group_total_details'!$G$8:$G$10000,1,'[1]1_group_total_details'!$H$8:$H$10000,"&lt;="&amp;quot_date)+SUMIFS('[1]1_group_total_details'!$N$8:$N$10000,'[1]1_group_total_details'!$C$8:$C$10000,I86,'[1]1_group_total_details'!$F$8:$F$10000,quot_location_group_id,'[1]1_group_total_details'!$G$8:$G$10000,quot_location_id,'[1]1_group_total_details'!$H$8:$H$10000,"&lt;="&amp;quot_date)+SUMIFS('[1]1_group_total_details'!$O$8:$O$10000,'[1]1_group_total_details'!$C$8:$C$10000,I86,'[1]1_group_total_details'!$F$8:$F$10000,quot_location_group_id,'[1]1_group_total_details'!$G$8:$G$10000,quot_location_id,'[1]1_group_total_details'!$H$8:$H$10000,"&lt;="&amp;quot_date))-(SUMIFS('[1]1_group_total_details'!$J$8:$J$10000,'[1]1_group_total_details'!$C$8:$C$10000,I86,'[1]1_group_total_details'!$F$8:$F$10000,quot_location_group_id,'[1]1_group_total_details'!$G$8:$G$10000,quot_location_id,'[1]1_group_total_details'!$H$8:$H$10000,"&lt;="&amp;quot_date)+SUMIFS('[1]1_group_total_details'!$K$8:$K$10000,'[1]1_group_total_details'!$C$8:$C$10000,I86,'[1]1_group_total_details'!$F$8:$F$10000,quot_location_group_id,'[1]1_group_total_details'!$G$8:$G$10000,quot_location_id,'[1]1_group_total_details'!$H$8:$H$10000,"&lt;="&amp;quot_date)+SUMIFS('[1]1_group_total_details'!$M$8:$M$10000,'[1]1_group_total_details'!$C$8:$C$10000,I86,'[1]1_group_total_details'!$F$8:$F$10000,quot_location_group_id,'[1]1_group_total_details'!$G$8:$G$10000,quot_location_id,'[1]1_group_total_details'!$H$8:$H$10000,"&lt;="&amp;quot_date)+SUMIFS('[1]1_group_total_details'!$P$8:$P$10000,'[1]1_group_total_details'!$C$8:$C$10000,I86,'[1]1_group_total_details'!$F$8:$F$10000,quot_location_group_id,'[1]1_group_total_details'!$G$8:$G$10000,quot_location_id,'[1]1_group_total_details'!$H$8:$H$10000,"&lt;="&amp;quot_date)))</f>
        <v/>
      </c>
      <c r="AM86" s="197" t="str">
        <f>IF(M86="","",SUMIFS('[1]1_group_totals'!$J$8:$J$10000,'[1]1_group_totals'!$C$8:$C$10000,I86,'[1]1_group_totals'!$F$8:$F$10000,quot_location_group_id,'[1]1_group_totals'!$G$8:$G$10000,quot_location_id,'[1]1_group_totals'!$H$8:$H$10000,"="&amp;Q86,'[1]1_group_totals'!$I$8:$I$10000,"="&amp;R86))</f>
        <v/>
      </c>
      <c r="AN86" s="197" t="str">
        <f t="shared" si="284"/>
        <v/>
      </c>
      <c r="AO86" s="197" t="str">
        <f>IF(OR(ISNA(MATCH(MID(AN86,1,3)*1,UomConversion!$D$8:$D$500,0)),M86=""),"",IF(AT86="","",AT86))</f>
        <v/>
      </c>
      <c r="AP86" s="197" t="str">
        <f>IF(AND(AQ86&gt;0,COUNTIFS(UomConversion!$D$8:$D$500,MID(AN86,1,3)*1,UomConversion!$J$8:$J$500,1)&gt;1),TEXT(AQ86,"000")&amp;"."&amp;VLOOKUP(AQ86,uom_list,5,FALSE),"")</f>
        <v/>
      </c>
      <c r="AQ86" s="197" t="str">
        <f t="shared" si="295"/>
        <v/>
      </c>
      <c r="AR86" s="197" t="str">
        <f t="shared" si="296"/>
        <v/>
      </c>
      <c r="AS86" s="197" t="str">
        <f>IF(M86="","",SUMIFS(ProductPrice!$N$28:$N$10020,ProductPrice!$D$28:$D$10020,I86,ProductPrice!$G$28:$G$10020,quot_branch_id,ProductPrice!$H$28:$H$10020,quot_price_type_id,ProductPrice!$I$28:$I$10020,MID(P86,1,3)*1,ProductPrice!$Q$28:$Q$10020,1))</f>
        <v/>
      </c>
      <c r="AT86" s="197" t="str">
        <f t="shared" si="285"/>
        <v/>
      </c>
      <c r="AU86" s="197" t="str" cm="1">
        <f t="array" ref="AU86">IF(M86="","",IF(ISNA(Slookup(MID(AN86,1,3)*1,UomConversion!$D$8:$J$500,2,UomConversion!$I$8:$I$500,1,UomConversion!$J$8:$J$500,1)),"",Slookup(MID(AN86,1,3)*1,UomConversion!$D$8:$J$500,2,UomConversion!$I$8:$I$500,1,UomConversion!$J$8:$J$500,1)))</f>
        <v/>
      </c>
      <c r="AV86" s="197" t="str">
        <f t="shared" ref="AV86" si="354">IF(M86="","",IF(quot_location_id=1,BA86,IF(quot_location_id=2,BB86,0)))</f>
        <v/>
      </c>
      <c r="AW86" s="197" t="str">
        <f>IF(M86="","",(SUMIFS('[1]1_group_totals'!$K$8:$K$10000,'[1]1_group_totals'!$C$8:$C$10000,I86,'[1]1_group_totals'!$F$8:$F$10000,quot_location_group_id,'[1]1_group_totals'!$G$8:$G$10000,quot_location_id,'[1]1_group_totals'!$H$8:$H$10000,"="&amp;Q86,'[1]1_group_totals'!$I$8:$I$10000,"="&amp;R86)+SUMIFS('[1]1_group_totals'!$N$8:$N$10000,'[1]1_group_totals'!$C$8:$C$10000,I86,'[1]1_group_totals'!$F$8:$F$10000,quot_location_group_id,'[1]1_group_totals'!$G$8:$G$10000,quot_location_id,'[1]1_group_totals'!$H$8:$H$10000,"="&amp;Q86,'[1]1_group_totals'!$I$8:$I$10000,"="&amp;R86)+SUMIFS('[1]1_group_totals'!$P$8:$P$10000,'[1]1_group_totals'!$C$8:$C$10000,I86,'[1]1_group_totals'!$F$8:$F$10000,quot_location_group_id,'[1]1_group_totals'!$G$8:$G$10000,quot_location_id,'[1]1_group_totals'!$H$8:$H$10000,"="&amp;Q86,'[1]1_group_totals'!$I$8:$I$10000,"="&amp;R86)+SUMIFS('[1]1_group_totals'!$Q$8:$Q$10000,'[1]1_group_totals'!$C$8:$C$10000,I86,'[1]1_group_totals'!$F$8:$F$10000,quot_location_group_id,'[1]1_group_totals'!$G$8:$G$10000,quot_location_id,'[1]1_group_totals'!$H$8:$H$10000,"="&amp;Q86,'[1]1_group_totals'!$I$8:$I$10000,"="&amp;R86))+(SUMIFS('[1]1_group_totals'!$L$8:$L$10000,'[1]1_group_totals'!$C$8:$C$10000,I86,'[1]1_group_totals'!$F$8:$F$10000,quot_location_group_id,'[1]1_group_totals'!$G$8:$G$10000,quot_location_id,'[1]1_group_totals'!$H$8:$H$10000,"="&amp;Q86,'[1]1_group_totals'!$I$8:$I$10000,"="&amp;R86)+SUMIFS('[1]1_group_totals'!$M$8:$M$10000,'[1]1_group_totals'!$C$8:$C$10000,I86,'[1]1_group_totals'!$F$8:$F$10000,quot_location_group_id,'[1]1_group_totals'!$G$8:$G$10000,quot_location_id,'[1]1_group_totals'!$H$8:$H$10000,"="&amp;Q86,'[1]1_group_totals'!$I$8:$I$10000,"="&amp;R86)+SUMIFS('[1]1_group_totals'!$O$8:$O$10000,'[1]1_group_totals'!$C$8:$C$10000,I86,'[1]1_group_totals'!$F$8:$F$10000,quot_location_group_id,'[1]1_group_totals'!$G$8:$G$10000,quot_location_id,'[1]1_group_totals'!$H$8:$H$10000,"="&amp;Q86,'[1]1_group_totals'!$I$8:$I$10000,"="&amp;R86)+SUMIFS('[1]1_group_totals'!$R$8:$R$10000,'[1]1_group_totals'!$C$8:$C$10000,I86,'[1]1_group_totals'!$F$8:$F$10000,quot_location_group_id,'[1]1_group_totals'!$G$8:$G$10000,quot_location_id,'[1]1_group_totals'!$H$8:$H$10000,"="&amp;Q86,'[1]1_group_totals'!$I$8:$I$10000,"="&amp;R86)))</f>
        <v/>
      </c>
      <c r="AX86" s="197" t="str">
        <f t="shared" si="298"/>
        <v/>
      </c>
      <c r="AY86" s="197" t="str">
        <f>IF(M86="","",SUMIFS($AX$8:AX86,$I$8:I86,I86))</f>
        <v/>
      </c>
      <c r="AZ86" s="197" t="str">
        <f t="shared" si="299"/>
        <v/>
      </c>
      <c r="BA86" s="197" t="str">
        <f>IF(M86="","",(SUMIFS('[1]1_inventory_totals'!$I$8:$I$10000,'[1]1_inventory_totals'!$C$8:$C$10000,I86,'[1]1_inventory_totals'!$F$8:$F$10000,"="&amp;Q86,'[1]1_inventory_totals'!$G$8:$G$10000,"="&amp;R86)+SUMIFS('[1]1_inventory_totals'!$N$8:$N$10000,'[1]1_inventory_totals'!$C$8:$C$10000,I86,'[1]1_inventory_totals'!$F$8:$F$10000,"="&amp;Q86,'[1]1_inventory_totals'!$G$8:$G$10000,"="&amp;R86)+SUMIFS('[1]1_inventory_totals'!$P$8:$P$10000,'[1]1_inventory_totals'!$C$8:$C$10000,I86,'[1]1_inventory_totals'!$F$8:$F$10000,"="&amp;Q86,'[1]1_inventory_totals'!$G$8:$G$10000,"="&amp;R86)+SUMIFS('[1]1_inventory_totals'!$Q$8:$Q$10000,'[1]1_inventory_totals'!$C$8:$C$10000,I86,'[1]1_inventory_totals'!$F$8:$F$10000,"="&amp;Q86,'[1]1_inventory_totals'!$G$8:$G$10000,"="&amp;R86)+SUMIFS('[1]1_inventory_totals'!$R$8:$R$10000,'[1]1_inventory_totals'!$C$8:$C$10000,I86,'[1]1_inventory_totals'!$F$8:$F$10000,"="&amp;Q86,'[1]1_inventory_totals'!$G$8:$G$10000,"="&amp;R86))+(SUMIFS('[1]1_inventory_totals'!$J$8:$J$10000,'[1]1_inventory_totals'!$C$8:$C$10000,I86,'[1]1_inventory_totals'!$F$8:$F$10000,"="&amp;Q86,'[1]1_inventory_totals'!$G$8:$G$10000,"="&amp;R86)+SUMIFS('[1]1_inventory_totals'!$K$8:$K$10000,'[1]1_inventory_totals'!$C$8:$C$10000,I86,'[1]1_inventory_totals'!$F$8:$F$10000,"="&amp;Q86,'[1]1_inventory_totals'!$G$8:$G$10000,"="&amp;R86)+SUMIFS('[1]1_inventory_totals'!$L$8:$L$10000,'[1]1_inventory_totals'!$C$8:$C$10000,I86,'[1]1_inventory_totals'!$F$8:$F$10000,"="&amp;Q86,'[1]1_inventory_totals'!$G$8:$G$10000,"="&amp;R86)+SUMIFS('[1]1_inventory_totals'!$M$8:$M$10000,'[1]1_inventory_totals'!$C$8:$C$10000,I86,'[1]1_inventory_totals'!$F$8:$F$10000,"="&amp;Q86,'[1]1_inventory_totals'!$G$8:$G$10000,"="&amp;R86)+SUMIFS('[1]1_inventory_totals'!$O$8:$O$10000,'[1]1_inventory_totals'!$C$8:$C$10000,I86,'[1]1_inventory_totals'!$F$8:$F$10000,"="&amp;Q86,'[1]1_inventory_totals'!$G$8:$G$10000,"="&amp;R86)+SUMIFS('[1]1_inventory_totals'!$S$8:$S$10000,'[1]1_inventory_totals'!$C$8:$C$10000,I86,'[1]1_inventory_totals'!$F$8:$F$10000,"="&amp;Q86,'[1]1_inventory_totals'!$G$8:$G$10000,"="&amp;R86)))</f>
        <v/>
      </c>
      <c r="BB86" s="197" t="str">
        <f>IF(M86="","",(SUMIFS('[1]2_inventory_totals'!$I$8:$I$10000,'[1]2_inventory_totals'!$C$8:$C$10000,I86,'[1]2_inventory_totals'!$F$8:$F$10000,"="&amp;Q86,'[1]2_inventory_totals'!$G$8:$G$10000,"="&amp;R86)+SUMIFS('[1]2_inventory_totals'!$N$8:$N$10000,'[1]2_inventory_totals'!$C$8:$C$10000,I86,'[1]2_inventory_totals'!$F$8:$F$10000,"="&amp;Q86,'[1]2_inventory_totals'!$G$8:$G$10000,"="&amp;R86)+SUMIFS('[1]2_inventory_totals'!$P$8:$P$10000,'[1]2_inventory_totals'!$C$8:$C$10000,I86,'[1]2_inventory_totals'!$F$8:$F$10000,"="&amp;Q86,'[1]2_inventory_totals'!$G$8:$G$10000,"="&amp;R86)+SUMIFS('[1]2_inventory_totals'!$Q$8:$Q$10000,'[1]2_inventory_totals'!$C$8:$C$10000,I86,'[1]2_inventory_totals'!$F$8:$F$10000,"="&amp;Q86,'[1]2_inventory_totals'!$G$8:$G$10000,"="&amp;R86)+SUMIFS('[1]2_inventory_totals'!$R$8:$R$10000,'[1]2_inventory_totals'!$C$8:$C$10000,I86,'[1]2_inventory_totals'!$F$8:$F$10000,"="&amp;Q86,'[1]2_inventory_totals'!$G$8:$G$10000,"="&amp;R86))+(SUMIFS('[1]2_inventory_totals'!$J$8:$J$10000,'[1]2_inventory_totals'!$C$8:$C$10000,I86,'[1]2_inventory_totals'!$F$8:$F$10000,"="&amp;Q86,'[1]2_inventory_totals'!$G$8:$G$10000,"="&amp;R86)+SUMIFS('[1]2_inventory_totals'!$K$8:$K$10000,'[1]2_inventory_totals'!$C$8:$C$10000,I86,'[1]2_inventory_totals'!$F$8:$F$10000,"="&amp;Q86,'[1]2_inventory_totals'!$G$8:$G$10000,"="&amp;R86)+SUMIFS('[1]2_inventory_totals'!$L$8:$L$10000,'[1]2_inventory_totals'!$C$8:$C$10000,I86,'[1]2_inventory_totals'!$F$8:$F$10000,"="&amp;Q86,'[1]2_inventory_totals'!$G$8:$G$10000,"="&amp;R86)+SUMIFS('[1]2_inventory_totals'!$M$8:$M$10000,'[1]2_inventory_totals'!$C$8:$C$10000,I86,'[1]2_inventory_totals'!$F$8:$F$10000,"="&amp;Q86,'[1]2_inventory_totals'!$G$8:$G$10000,"="&amp;R86)+SUMIFS('[1]2_inventory_totals'!$O$8:$O$10000,'[1]2_inventory_totals'!$C$8:$C$10000,I86,'[1]2_inventory_totals'!$F$8:$F$10000,"="&amp;Q86,'[1]2_inventory_totals'!$G$8:$G$10000,"="&amp;R86)+SUMIFS('[1]2_inventory_totals'!$S$8:$S$10000,'[1]2_inventory_totals'!$C$8:$C$10000,I86,'[1]2_inventory_totals'!$F$8:$F$10000,"="&amp;Q86,'[1]2_inventory_totals'!$G$8:$G$10000,"="&amp;R86)))</f>
        <v/>
      </c>
    </row>
    <row r="87" spans="1:54" ht="27" hidden="1" customHeight="1">
      <c r="A87" s="923"/>
      <c r="B87" s="1256"/>
      <c r="C87" s="950"/>
      <c r="D87" s="950"/>
      <c r="E87" s="950"/>
      <c r="F87" s="1257"/>
      <c r="G87" s="941"/>
      <c r="I87" s="1610" t="str">
        <f t="shared" si="287"/>
        <v/>
      </c>
      <c r="J87" s="1611" t="str">
        <f t="shared" si="112"/>
        <v/>
      </c>
      <c r="K87" s="1612" t="str">
        <f t="shared" si="350"/>
        <v/>
      </c>
      <c r="L87" s="1613"/>
      <c r="M87" s="883"/>
      <c r="N87" s="884"/>
      <c r="O87" s="884"/>
      <c r="P87" s="885"/>
      <c r="Q87" s="886"/>
      <c r="R87" s="891"/>
      <c r="S87" s="1614" t="str">
        <f t="shared" ref="S87" si="355">IF(M87="","",quot_currency_symbol)</f>
        <v/>
      </c>
      <c r="T87" s="888"/>
      <c r="U87" s="1650" t="str">
        <f t="shared" si="289"/>
        <v/>
      </c>
      <c r="V87" s="1615" t="str">
        <f t="shared" ref="V87" si="356">IF(W87=0,"",quot_currency_symbol)</f>
        <v/>
      </c>
      <c r="W87" s="889"/>
      <c r="X87" s="1615" t="str">
        <f t="shared" ref="X87" si="357">IF(M87="","",quot_currency_symbol)</f>
        <v/>
      </c>
      <c r="Y87" s="1616" t="str">
        <f t="shared" si="307"/>
        <v/>
      </c>
      <c r="Z87" s="890"/>
      <c r="AA87" s="197" t="str" cm="1">
        <f t="array" ref="AA87">IF(M87="","",IF(P87=AN87,1,Slookup(MID(AN87,1,3)*1,UomConversion!$D$8:$J$500,5,UomConversion!$E$8:$E$500,MID(P87,1,3)*1,UomConversion!$J$8:$J$500,1)))</f>
        <v/>
      </c>
      <c r="AB87" s="197" t="str">
        <f t="shared" si="281"/>
        <v/>
      </c>
      <c r="AC87" s="197" t="str">
        <f t="shared" si="292"/>
        <v/>
      </c>
      <c r="AD87" s="197" t="str">
        <f t="shared" si="293"/>
        <v/>
      </c>
      <c r="AE87" s="197" t="str">
        <f t="shared" si="294"/>
        <v/>
      </c>
      <c r="AF87" s="197" t="str">
        <f t="shared" si="282"/>
        <v/>
      </c>
      <c r="AG87" s="197" t="str">
        <f t="shared" si="283"/>
        <v/>
      </c>
      <c r="AH87" s="197" t="str">
        <f>IF(I87="","",IF(ISNA(MATCH(I87,IF(quot_location_id=1,'[1]1_inventory_totals'!$C$8:$C$10000,IF(quot_location_id=2,'[1]2_inventory_totals'!$C$8:$C$10000,0)),0)),0,IF(AV87&gt;0,1,0)))</f>
        <v/>
      </c>
      <c r="AI87" s="197" t="str">
        <f>IF(M87="","",IF(quot_location_id=1,SUMIFS('[1]1_inventory_total_details'!$J$8:$J$10000,'[1]1_inventory_total_details'!$C$8:$C$10000,I87,'[1]1_inventory_total_details'!$F$8:$F$10000,quot_location_id,'[1]1_inventory_total_details'!$G$8:$G$10000,"="&amp;Q87,'[1]1_inventory_total_details'!$H$8:$H$10000,"="&amp;R87,'[1]1_inventory_total_details'!$I$8:$I$10000,"="&amp;quot_date)+SUMIFS('[1]1_inventory_total_details'!$M$8:$M$10000,'[1]1_inventory_total_details'!$C$8:$C$10000,I87,'[1]1_inventory_total_details'!$F$8:$F$10000,quot_location_id,'[1]1_inventory_total_details'!$G$8:$G$10000,"="&amp;Q87,'[1]1_inventory_total_details'!$H$8:$H$10000,"="&amp;R87,'[1]1_inventory_total_details'!$I$8:$I$10000,"="&amp;quot_date)+SUMIFS('[1]1_inventory_total_details'!$K$8:$K$10000,'[1]1_inventory_total_details'!$C$8:$C$10000,I87,'[1]1_inventory_total_details'!$F$8:$F$10000,quot_location_id,'[1]1_inventory_total_details'!$G$8:$G$10000,"="&amp;Q87,'[1]1_inventory_total_details'!$H$8:$H$10000,"="&amp;R87,'[1]1_inventory_total_details'!$I$8:$I$10000,"="&amp;quot_date)+SUMIFS('[1]1_inventory_total_details'!$L$8:$L$10000,'[1]1_inventory_total_details'!$C$8:$C$10000,I87,'[1]1_inventory_total_details'!$F$8:$F$10000,quot_location_id,'[1]1_inventory_total_details'!$G$8:$G$10000,"="&amp;Q87,'[1]1_inventory_total_details'!$H$8:$H$10000,"="&amp;R87,'[1]1_inventory_total_details'!$I$8:$I$10000,"="&amp;quot_date),SUMIFS('[1]2_inventory_total_details'!$J$8:$J$10000,'[1]2_inventory_total_details'!$C$8:$C$10000,I87,'[1]2_inventory_total_details'!$F$8:$F$10000,quot_location_id,'[1]2_inventory_total_details'!$G$8:$G$10000,"="&amp;Q87,'[1]2_inventory_total_details'!$H$8:$H$10000,"="&amp;R87,'[1]2_inventory_total_details'!$I$8:$I$10000,"="&amp;quot_date)+SUMIFS('[1]2_inventory_total_details'!$M$8:$M$10000,'[1]2_inventory_total_details'!$C$8:$C$10000,I87,'[1]2_inventory_total_details'!$F$8:$F$10000,quot_location_id,'[1]2_inventory_total_details'!$G$8:$G$10000,"="&amp;Q87,'[1]2_inventory_total_details'!$H$8:$H$10000,"="&amp;R87,'[1]2_inventory_total_details'!$I$8:$I$10000,"="&amp;quot_date)+SUMIFS('[1]2_inventory_total_details'!$K$8:$K$10000,'[1]2_inventory_total_details'!$C$8:$C$10000,I87,'[1]2_inventory_total_details'!$F$8:$F$10000,quot_location_id,'[1]2_inventory_total_details'!$G$8:$G$10000,"="&amp;Q87,'[1]2_inventory_total_details'!$H$8:$H$10000,"="&amp;R87,'[1]2_inventory_total_details'!$I$8:$I$10000,"="&amp;quot_date)+SUMIFS('[1]2_inventory_total_details'!$L$8:$L$10000,'[1]2_inventory_total_details'!$C$8:$C$10000,I87,'[1]2_inventory_total_details'!$F$8:$F$10000,quot_location_id,'[1]2_inventory_total_details'!$G$8:$G$10000,"="&amp;Q87,'[1]2_inventory_total_details'!$H$8:$H$10000,"="&amp;R87,'[1]2_inventory_total_details'!$I$8:$I$10000,"="&amp;quot_date)))</f>
        <v/>
      </c>
      <c r="AJ87" s="197" t="str">
        <f>IF(M87="","",IF(ISNA(MATCH(I87,'[1]1_group_totals'!$C$8:$C$10000)),0,IF(AW87&gt;0,1,0)))</f>
        <v/>
      </c>
      <c r="AK87" s="197" t="str">
        <f>IF(M87="","",(SUMIFS('[1]1_group_total_details'!$I$8:$I$10000,'[1]1_group_total_details'!$C$8:$C$10000,I87,'[1]1_group_total_details'!$F$8:$F$10000,quot_location_group_id,'[1]1_group_total_details'!$G$8:$G$10000,quot_location_id,'[1]1_group_total_details'!$H$8:$H$10000,"="&amp;quot_date)+SUMIFS('[1]1_group_total_details'!$L$8:$L$10000,'[1]1_group_total_details'!$C$8:$C$10000,I87,'[1]1_group_total_details'!$F$8:$F$10000,quot_location_group_id,'[1]1_group_total_details'!$G$8:$G$10000,quot_location_id,'[1]1_group_total_details'!$H$8:$H$10000,"="&amp;quot_date)+SUMIFS('[1]1_group_total_details'!$N$8:$N$10000,'[1]1_group_total_details'!$C$8:$C$10000,I87,'[1]1_group_total_details'!$F$8:$F$10000,quot_location_group_id,'[1]1_group_total_details'!$G$8:$G$10000,quot_location_id,'[1]1_group_total_details'!$H$8:$H$10000,"="&amp;quot_date)+SUMIFS('[1]1_group_total_details'!$O$8:$O$10000,'[1]1_group_total_details'!$C$8:$C$10000,I87,'[1]1_group_total_details'!$F$8:$F$10000,quot_location_group_id,'[1]1_group_total_details'!$G$8:$G$10000,quot_location_id,'[1]1_group_total_details'!$H$8:$H$10000,"="&amp;quot_date))+(SUMIFS('[1]1_group_total_details'!$J$8:$J$10000,'[1]1_group_total_details'!$C$8:$C$10000,I87,'[1]1_group_total_details'!$F$8:$F$10000,quot_location_group_id,'[1]1_group_total_details'!$G$8:$G$10000,quot_location_id,'[1]1_group_total_details'!$H$8:$H$10000,"="&amp;quot_date)+SUMIFS('[1]1_group_total_details'!$K$8:$K$10000,'[1]1_group_total_details'!$C$8:$C$10000,I87,'[1]1_group_total_details'!$F$8:$F$10000,quot_location_group_id,'[1]1_group_total_details'!$G$8:$G$10000,quot_location_id,'[1]1_group_total_details'!$H$8:$H$10000,"="&amp;quot_date)+SUMIFS('[1]1_group_total_details'!$M$8:$M$10000,'[1]1_group_total_details'!$C$8:$C$10000,I87,'[1]1_group_total_details'!$F$8:$F$10000,quot_location_group_id,'[1]1_group_total_details'!$G$8:$G$10000,quot_location_id,'[1]1_group_total_details'!$H$8:$H$10000,"="&amp;quot_date)+SUMIFS('[1]1_group_total_details'!$P$8:$P$10000,'[1]1_group_total_details'!$C$8:$C$10000,I87,'[1]1_group_total_details'!$F$8:$F$10000,quot_location_group_id,'[1]1_group_total_details'!$G$8:$G$10000,quot_location_id,'[1]1_group_total_details'!$H$8:$H$10000,"="&amp;quot_date)))</f>
        <v/>
      </c>
      <c r="AL87" s="197" t="str">
        <f>IF(M87="","",(SUMIFS('[1]1_group_total_details'!$I$8:$I$10000,'[1]1_group_total_details'!$C$8:$C$10000,I87,'[1]1_group_total_details'!$F$8:$F$10000,quot_location_group_id,'[1]1_group_total_details'!$G$8:$G$10000,quot_location_id,'[1]1_group_total_details'!$H$8:$H$10000,"&lt;="&amp;quot_date)+SUMIFS('[1]1_group_total_details'!$L$8:$L$10000,'[1]1_group_total_details'!$C$8:$C$10000,I87,'[1]1_group_total_details'!$F$8:$F$10000,quot_location_group_id,'[1]1_group_total_details'!$G$8:$G$10000,1,'[1]1_group_total_details'!$H$8:$H$10000,"&lt;="&amp;quot_date)+SUMIFS('[1]1_group_total_details'!$N$8:$N$10000,'[1]1_group_total_details'!$C$8:$C$10000,I87,'[1]1_group_total_details'!$F$8:$F$10000,quot_location_group_id,'[1]1_group_total_details'!$G$8:$G$10000,quot_location_id,'[1]1_group_total_details'!$H$8:$H$10000,"&lt;="&amp;quot_date)+SUMIFS('[1]1_group_total_details'!$O$8:$O$10000,'[1]1_group_total_details'!$C$8:$C$10000,I87,'[1]1_group_total_details'!$F$8:$F$10000,quot_location_group_id,'[1]1_group_total_details'!$G$8:$G$10000,quot_location_id,'[1]1_group_total_details'!$H$8:$H$10000,"&lt;="&amp;quot_date))-(SUMIFS('[1]1_group_total_details'!$J$8:$J$10000,'[1]1_group_total_details'!$C$8:$C$10000,I87,'[1]1_group_total_details'!$F$8:$F$10000,quot_location_group_id,'[1]1_group_total_details'!$G$8:$G$10000,quot_location_id,'[1]1_group_total_details'!$H$8:$H$10000,"&lt;="&amp;quot_date)+SUMIFS('[1]1_group_total_details'!$K$8:$K$10000,'[1]1_group_total_details'!$C$8:$C$10000,I87,'[1]1_group_total_details'!$F$8:$F$10000,quot_location_group_id,'[1]1_group_total_details'!$G$8:$G$10000,quot_location_id,'[1]1_group_total_details'!$H$8:$H$10000,"&lt;="&amp;quot_date)+SUMIFS('[1]1_group_total_details'!$M$8:$M$10000,'[1]1_group_total_details'!$C$8:$C$10000,I87,'[1]1_group_total_details'!$F$8:$F$10000,quot_location_group_id,'[1]1_group_total_details'!$G$8:$G$10000,quot_location_id,'[1]1_group_total_details'!$H$8:$H$10000,"&lt;="&amp;quot_date)+SUMIFS('[1]1_group_total_details'!$P$8:$P$10000,'[1]1_group_total_details'!$C$8:$C$10000,I87,'[1]1_group_total_details'!$F$8:$F$10000,quot_location_group_id,'[1]1_group_total_details'!$G$8:$G$10000,quot_location_id,'[1]1_group_total_details'!$H$8:$H$10000,"&lt;="&amp;quot_date)))</f>
        <v/>
      </c>
      <c r="AM87" s="197" t="str">
        <f>IF(M87="","",SUMIFS('[1]1_group_totals'!$J$8:$J$10000,'[1]1_group_totals'!$C$8:$C$10000,I87,'[1]1_group_totals'!$F$8:$F$10000,quot_location_group_id,'[1]1_group_totals'!$G$8:$G$10000,quot_location_id,'[1]1_group_totals'!$H$8:$H$10000,"="&amp;Q87,'[1]1_group_totals'!$I$8:$I$10000,"="&amp;R87))</f>
        <v/>
      </c>
      <c r="AN87" s="197" t="str">
        <f t="shared" si="284"/>
        <v/>
      </c>
      <c r="AO87" s="197" t="str">
        <f>IF(OR(ISNA(MATCH(MID(AN87,1,3)*1,UomConversion!$D$8:$D$500,0)),M87=""),"",IF(AT87="","",AT87))</f>
        <v/>
      </c>
      <c r="AP87" s="197" t="str">
        <f>IF(AND(AQ87&gt;0,COUNTIFS(UomConversion!$D$8:$D$500,MID(AN87,1,3)*1,UomConversion!$J$8:$J$500,1)&gt;1),TEXT(AQ87,"000")&amp;"."&amp;VLOOKUP(AQ87,uom_list,5,FALSE),"")</f>
        <v/>
      </c>
      <c r="AQ87" s="197" t="str">
        <f t="shared" si="295"/>
        <v/>
      </c>
      <c r="AR87" s="197" t="str">
        <f t="shared" si="296"/>
        <v/>
      </c>
      <c r="AS87" s="197" t="str">
        <f>IF(M87="","",SUMIFS(ProductPrice!$N$28:$N$10020,ProductPrice!$D$28:$D$10020,I87,ProductPrice!$G$28:$G$10020,quot_branch_id,ProductPrice!$H$28:$H$10020,quot_price_type_id,ProductPrice!$I$28:$I$10020,MID(P87,1,3)*1,ProductPrice!$Q$28:$Q$10020,1))</f>
        <v/>
      </c>
      <c r="AT87" s="197" t="str">
        <f t="shared" si="285"/>
        <v/>
      </c>
      <c r="AU87" s="197" t="str" cm="1">
        <f t="array" ref="AU87">IF(M87="","",IF(ISNA(Slookup(MID(AN87,1,3)*1,UomConversion!$D$8:$J$500,2,UomConversion!$I$8:$I$500,1,UomConversion!$J$8:$J$500,1)),"",Slookup(MID(AN87,1,3)*1,UomConversion!$D$8:$J$500,2,UomConversion!$I$8:$I$500,1,UomConversion!$J$8:$J$500,1)))</f>
        <v/>
      </c>
      <c r="AV87" s="197" t="str">
        <f t="shared" ref="AV87" si="358">IF(M87="","",IF(quot_location_id=1,BA87,IF(quot_location_id=2,BB87,0)))</f>
        <v/>
      </c>
      <c r="AW87" s="197" t="str">
        <f>IF(M87="","",(SUMIFS('[1]1_group_totals'!$K$8:$K$10000,'[1]1_group_totals'!$C$8:$C$10000,I87,'[1]1_group_totals'!$F$8:$F$10000,quot_location_group_id,'[1]1_group_totals'!$G$8:$G$10000,quot_location_id,'[1]1_group_totals'!$H$8:$H$10000,"="&amp;Q87,'[1]1_group_totals'!$I$8:$I$10000,"="&amp;R87)+SUMIFS('[1]1_group_totals'!$N$8:$N$10000,'[1]1_group_totals'!$C$8:$C$10000,I87,'[1]1_group_totals'!$F$8:$F$10000,quot_location_group_id,'[1]1_group_totals'!$G$8:$G$10000,quot_location_id,'[1]1_group_totals'!$H$8:$H$10000,"="&amp;Q87,'[1]1_group_totals'!$I$8:$I$10000,"="&amp;R87)+SUMIFS('[1]1_group_totals'!$P$8:$P$10000,'[1]1_group_totals'!$C$8:$C$10000,I87,'[1]1_group_totals'!$F$8:$F$10000,quot_location_group_id,'[1]1_group_totals'!$G$8:$G$10000,quot_location_id,'[1]1_group_totals'!$H$8:$H$10000,"="&amp;Q87,'[1]1_group_totals'!$I$8:$I$10000,"="&amp;R87)+SUMIFS('[1]1_group_totals'!$Q$8:$Q$10000,'[1]1_group_totals'!$C$8:$C$10000,I87,'[1]1_group_totals'!$F$8:$F$10000,quot_location_group_id,'[1]1_group_totals'!$G$8:$G$10000,quot_location_id,'[1]1_group_totals'!$H$8:$H$10000,"="&amp;Q87,'[1]1_group_totals'!$I$8:$I$10000,"="&amp;R87))+(SUMIFS('[1]1_group_totals'!$L$8:$L$10000,'[1]1_group_totals'!$C$8:$C$10000,I87,'[1]1_group_totals'!$F$8:$F$10000,quot_location_group_id,'[1]1_group_totals'!$G$8:$G$10000,quot_location_id,'[1]1_group_totals'!$H$8:$H$10000,"="&amp;Q87,'[1]1_group_totals'!$I$8:$I$10000,"="&amp;R87)+SUMIFS('[1]1_group_totals'!$M$8:$M$10000,'[1]1_group_totals'!$C$8:$C$10000,I87,'[1]1_group_totals'!$F$8:$F$10000,quot_location_group_id,'[1]1_group_totals'!$G$8:$G$10000,quot_location_id,'[1]1_group_totals'!$H$8:$H$10000,"="&amp;Q87,'[1]1_group_totals'!$I$8:$I$10000,"="&amp;R87)+SUMIFS('[1]1_group_totals'!$O$8:$O$10000,'[1]1_group_totals'!$C$8:$C$10000,I87,'[1]1_group_totals'!$F$8:$F$10000,quot_location_group_id,'[1]1_group_totals'!$G$8:$G$10000,quot_location_id,'[1]1_group_totals'!$H$8:$H$10000,"="&amp;Q87,'[1]1_group_totals'!$I$8:$I$10000,"="&amp;R87)+SUMIFS('[1]1_group_totals'!$R$8:$R$10000,'[1]1_group_totals'!$C$8:$C$10000,I87,'[1]1_group_totals'!$F$8:$F$10000,quot_location_group_id,'[1]1_group_totals'!$G$8:$G$10000,quot_location_id,'[1]1_group_totals'!$H$8:$H$10000,"="&amp;Q87,'[1]1_group_totals'!$I$8:$I$10000,"="&amp;R87)))</f>
        <v/>
      </c>
      <c r="AX87" s="197" t="str">
        <f t="shared" si="298"/>
        <v/>
      </c>
      <c r="AY87" s="197" t="str">
        <f>IF(M87="","",SUMIFS($AX$8:AX87,$I$8:I87,I87))</f>
        <v/>
      </c>
      <c r="AZ87" s="197" t="str">
        <f t="shared" si="299"/>
        <v/>
      </c>
      <c r="BA87" s="197" t="str">
        <f>IF(M87="","",(SUMIFS('[1]1_inventory_totals'!$I$8:$I$10000,'[1]1_inventory_totals'!$C$8:$C$10000,I87,'[1]1_inventory_totals'!$F$8:$F$10000,"="&amp;Q87,'[1]1_inventory_totals'!$G$8:$G$10000,"="&amp;R87)+SUMIFS('[1]1_inventory_totals'!$N$8:$N$10000,'[1]1_inventory_totals'!$C$8:$C$10000,I87,'[1]1_inventory_totals'!$F$8:$F$10000,"="&amp;Q87,'[1]1_inventory_totals'!$G$8:$G$10000,"="&amp;R87)+SUMIFS('[1]1_inventory_totals'!$P$8:$P$10000,'[1]1_inventory_totals'!$C$8:$C$10000,I87,'[1]1_inventory_totals'!$F$8:$F$10000,"="&amp;Q87,'[1]1_inventory_totals'!$G$8:$G$10000,"="&amp;R87)+SUMIFS('[1]1_inventory_totals'!$Q$8:$Q$10000,'[1]1_inventory_totals'!$C$8:$C$10000,I87,'[1]1_inventory_totals'!$F$8:$F$10000,"="&amp;Q87,'[1]1_inventory_totals'!$G$8:$G$10000,"="&amp;R87)+SUMIFS('[1]1_inventory_totals'!$R$8:$R$10000,'[1]1_inventory_totals'!$C$8:$C$10000,I87,'[1]1_inventory_totals'!$F$8:$F$10000,"="&amp;Q87,'[1]1_inventory_totals'!$G$8:$G$10000,"="&amp;R87))+(SUMIFS('[1]1_inventory_totals'!$J$8:$J$10000,'[1]1_inventory_totals'!$C$8:$C$10000,I87,'[1]1_inventory_totals'!$F$8:$F$10000,"="&amp;Q87,'[1]1_inventory_totals'!$G$8:$G$10000,"="&amp;R87)+SUMIFS('[1]1_inventory_totals'!$K$8:$K$10000,'[1]1_inventory_totals'!$C$8:$C$10000,I87,'[1]1_inventory_totals'!$F$8:$F$10000,"="&amp;Q87,'[1]1_inventory_totals'!$G$8:$G$10000,"="&amp;R87)+SUMIFS('[1]1_inventory_totals'!$L$8:$L$10000,'[1]1_inventory_totals'!$C$8:$C$10000,I87,'[1]1_inventory_totals'!$F$8:$F$10000,"="&amp;Q87,'[1]1_inventory_totals'!$G$8:$G$10000,"="&amp;R87)+SUMIFS('[1]1_inventory_totals'!$M$8:$M$10000,'[1]1_inventory_totals'!$C$8:$C$10000,I87,'[1]1_inventory_totals'!$F$8:$F$10000,"="&amp;Q87,'[1]1_inventory_totals'!$G$8:$G$10000,"="&amp;R87)+SUMIFS('[1]1_inventory_totals'!$O$8:$O$10000,'[1]1_inventory_totals'!$C$8:$C$10000,I87,'[1]1_inventory_totals'!$F$8:$F$10000,"="&amp;Q87,'[1]1_inventory_totals'!$G$8:$G$10000,"="&amp;R87)+SUMIFS('[1]1_inventory_totals'!$S$8:$S$10000,'[1]1_inventory_totals'!$C$8:$C$10000,I87,'[1]1_inventory_totals'!$F$8:$F$10000,"="&amp;Q87,'[1]1_inventory_totals'!$G$8:$G$10000,"="&amp;R87)))</f>
        <v/>
      </c>
      <c r="BB87" s="197" t="str">
        <f>IF(M87="","",(SUMIFS('[1]2_inventory_totals'!$I$8:$I$10000,'[1]2_inventory_totals'!$C$8:$C$10000,I87,'[1]2_inventory_totals'!$F$8:$F$10000,"="&amp;Q87,'[1]2_inventory_totals'!$G$8:$G$10000,"="&amp;R87)+SUMIFS('[1]2_inventory_totals'!$N$8:$N$10000,'[1]2_inventory_totals'!$C$8:$C$10000,I87,'[1]2_inventory_totals'!$F$8:$F$10000,"="&amp;Q87,'[1]2_inventory_totals'!$G$8:$G$10000,"="&amp;R87)+SUMIFS('[1]2_inventory_totals'!$P$8:$P$10000,'[1]2_inventory_totals'!$C$8:$C$10000,I87,'[1]2_inventory_totals'!$F$8:$F$10000,"="&amp;Q87,'[1]2_inventory_totals'!$G$8:$G$10000,"="&amp;R87)+SUMIFS('[1]2_inventory_totals'!$Q$8:$Q$10000,'[1]2_inventory_totals'!$C$8:$C$10000,I87,'[1]2_inventory_totals'!$F$8:$F$10000,"="&amp;Q87,'[1]2_inventory_totals'!$G$8:$G$10000,"="&amp;R87)+SUMIFS('[1]2_inventory_totals'!$R$8:$R$10000,'[1]2_inventory_totals'!$C$8:$C$10000,I87,'[1]2_inventory_totals'!$F$8:$F$10000,"="&amp;Q87,'[1]2_inventory_totals'!$G$8:$G$10000,"="&amp;R87))+(SUMIFS('[1]2_inventory_totals'!$J$8:$J$10000,'[1]2_inventory_totals'!$C$8:$C$10000,I87,'[1]2_inventory_totals'!$F$8:$F$10000,"="&amp;Q87,'[1]2_inventory_totals'!$G$8:$G$10000,"="&amp;R87)+SUMIFS('[1]2_inventory_totals'!$K$8:$K$10000,'[1]2_inventory_totals'!$C$8:$C$10000,I87,'[1]2_inventory_totals'!$F$8:$F$10000,"="&amp;Q87,'[1]2_inventory_totals'!$G$8:$G$10000,"="&amp;R87)+SUMIFS('[1]2_inventory_totals'!$L$8:$L$10000,'[1]2_inventory_totals'!$C$8:$C$10000,I87,'[1]2_inventory_totals'!$F$8:$F$10000,"="&amp;Q87,'[1]2_inventory_totals'!$G$8:$G$10000,"="&amp;R87)+SUMIFS('[1]2_inventory_totals'!$M$8:$M$10000,'[1]2_inventory_totals'!$C$8:$C$10000,I87,'[1]2_inventory_totals'!$F$8:$F$10000,"="&amp;Q87,'[1]2_inventory_totals'!$G$8:$G$10000,"="&amp;R87)+SUMIFS('[1]2_inventory_totals'!$O$8:$O$10000,'[1]2_inventory_totals'!$C$8:$C$10000,I87,'[1]2_inventory_totals'!$F$8:$F$10000,"="&amp;Q87,'[1]2_inventory_totals'!$G$8:$G$10000,"="&amp;R87)+SUMIFS('[1]2_inventory_totals'!$S$8:$S$10000,'[1]2_inventory_totals'!$C$8:$C$10000,I87,'[1]2_inventory_totals'!$F$8:$F$10000,"="&amp;Q87,'[1]2_inventory_totals'!$G$8:$G$10000,"="&amp;R87)))</f>
        <v/>
      </c>
    </row>
    <row r="88" spans="1:54" ht="27" customHeight="1" thickBot="1">
      <c r="A88" s="923"/>
      <c r="B88" s="1256"/>
      <c r="C88" s="950"/>
      <c r="D88" s="950"/>
      <c r="E88" s="950"/>
      <c r="F88" s="1257"/>
      <c r="G88" s="941"/>
      <c r="I88" s="987"/>
      <c r="J88" s="952"/>
      <c r="K88" s="953"/>
      <c r="L88" s="954"/>
      <c r="M88" s="955" t="str">
        <f>"ជ្រើសរើសប្រភេទបញ្ចុះតម្លៃ"&amp;IF(quot_branch="",""," ("&amp;quot_currency_symbol&amp;")")</f>
        <v>ជ្រើសរើសប្រភេទបញ្ចុះតម្លៃ ($)</v>
      </c>
      <c r="N88" s="956"/>
      <c r="O88" s="957" t="s">
        <v>1547</v>
      </c>
      <c r="P88" s="957" t="s">
        <v>1548</v>
      </c>
      <c r="Q88" s="958"/>
      <c r="R88" s="957"/>
      <c r="S88" s="959"/>
      <c r="T88" s="959"/>
      <c r="U88" s="960"/>
      <c r="V88" s="961"/>
      <c r="W88" s="962" t="s">
        <v>1549</v>
      </c>
      <c r="X88" s="988" t="str">
        <f>quot_currency_symbol</f>
        <v>$</v>
      </c>
      <c r="Y88" s="1608">
        <f>SUM(Y8:Y87)</f>
        <v>61.5</v>
      </c>
      <c r="Z88" s="963"/>
      <c r="AC88" s="964">
        <f>SUM(AC8:AC87)</f>
        <v>0</v>
      </c>
      <c r="AD88" s="965"/>
      <c r="AG88" s="966"/>
    </row>
    <row r="89" spans="1:54" ht="27" customHeight="1" thickBot="1">
      <c r="A89" s="923"/>
      <c r="B89" s="1256"/>
      <c r="C89" s="924"/>
      <c r="D89" s="924"/>
      <c r="E89" s="924"/>
      <c r="F89" s="1257"/>
      <c r="G89" s="941"/>
      <c r="J89" s="967"/>
      <c r="M89" s="968" t="s">
        <v>51</v>
      </c>
      <c r="N89" s="1602">
        <f>IF(quot_discount_option="","",MID(quot_discount_option,1,1)*1)</f>
        <v>1</v>
      </c>
      <c r="O89" s="969">
        <v>0</v>
      </c>
      <c r="P89" s="970"/>
      <c r="Q89" s="971"/>
      <c r="R89" s="971"/>
      <c r="U89" s="972"/>
      <c r="V89" s="973"/>
      <c r="W89" s="962" t="s">
        <v>1550</v>
      </c>
      <c r="X89" s="988" t="str">
        <f>quot_currency_symbol</f>
        <v>$</v>
      </c>
      <c r="Y89" s="1608">
        <f>IFERROR(IF(quot_discount_option="",0,IF(quot_discount_id=1,N(quot_discount_amount),IF(quot_discount_id=2,(quot_sub_total_amount*quot_discount_percent)/100,0))),0)</f>
        <v>0</v>
      </c>
      <c r="Z89" s="963"/>
      <c r="AC89" s="882" t="s">
        <v>1536</v>
      </c>
    </row>
    <row r="90" spans="1:54" ht="27" customHeight="1">
      <c r="B90" s="1256"/>
      <c r="C90" s="974"/>
      <c r="D90" s="974"/>
      <c r="E90" s="974"/>
      <c r="F90" s="1257"/>
      <c r="G90" s="941"/>
      <c r="J90" s="952"/>
      <c r="K90" s="953"/>
      <c r="L90" s="954"/>
      <c r="M90" s="975"/>
      <c r="N90" s="976"/>
      <c r="S90" s="1607">
        <f>VLOOKUP(1,company_list,6,FALSE)</f>
        <v>1</v>
      </c>
      <c r="T90" s="977"/>
      <c r="U90" s="989" t="s">
        <v>3028</v>
      </c>
      <c r="V90" s="1606">
        <f>IF(U90="","",VLOOKUP(MID(U90,1,2)*1,vat_list,3,FALSE))</f>
        <v>0</v>
      </c>
      <c r="W90" s="962" t="s">
        <v>1551</v>
      </c>
      <c r="X90" s="988" t="str">
        <f>quot_currency_symbol</f>
        <v>$</v>
      </c>
      <c r="Y90" s="1608">
        <f>IF(OR(quot_sub_total_amount="",quot_sub_total_amount=0,quot_vat=""),0,IF(quot_vat_cal_id=2,(quot_sub_total_amount-quot_discount)*quot_vat_percent/100,IF(quot_vat_cal_id=1,(quot_sub_total_amount)*quot_vat_percent/100,"")))</f>
        <v>0</v>
      </c>
      <c r="Z90" s="963"/>
      <c r="AA90" s="1649" t="s">
        <v>3028</v>
      </c>
      <c r="AC90" s="978" t="s">
        <v>1802</v>
      </c>
      <c r="AD90" s="908"/>
    </row>
    <row r="91" spans="1:54" ht="27" customHeight="1" thickBot="1">
      <c r="B91" s="1269"/>
      <c r="C91" s="1270"/>
      <c r="D91" s="1271"/>
      <c r="E91" s="1272"/>
      <c r="F91" s="1273"/>
      <c r="J91" s="967"/>
      <c r="K91" s="979"/>
      <c r="L91" s="979"/>
      <c r="P91" s="980"/>
      <c r="Q91" s="954"/>
      <c r="R91" s="981"/>
      <c r="U91" s="982">
        <v>17</v>
      </c>
      <c r="W91" s="962" t="s">
        <v>1808</v>
      </c>
      <c r="X91" s="988" t="str">
        <f>quot_currency_symbol</f>
        <v>$</v>
      </c>
      <c r="Y91" s="1608">
        <f>AD90</f>
        <v>0</v>
      </c>
      <c r="Z91" s="963"/>
    </row>
    <row r="92" spans="1:54" ht="24.95" customHeight="1">
      <c r="J92" s="983"/>
      <c r="K92" s="983"/>
      <c r="L92" s="983"/>
      <c r="M92" s="984"/>
      <c r="N92" s="984"/>
      <c r="P92" s="933"/>
      <c r="Q92" s="933"/>
      <c r="R92" s="933"/>
      <c r="W92" s="962" t="s">
        <v>1552</v>
      </c>
      <c r="X92" s="988" t="str">
        <f>quot_currency_symbol</f>
        <v>$</v>
      </c>
      <c r="Y92" s="1608">
        <f>quot_sub_total_amount-quot_discount-quot_deposit+quot_total_vat</f>
        <v>61.5</v>
      </c>
      <c r="Z92" s="963"/>
    </row>
    <row r="93" spans="1:54" ht="25.5" customHeight="1"/>
    <row r="101" ht="30" customHeight="1"/>
    <row r="102" ht="30" customHeight="1"/>
    <row r="103" ht="30" customHeight="1"/>
    <row r="104" ht="30" customHeight="1"/>
    <row r="112" ht="7.5" customHeight="1"/>
    <row r="122" ht="12" customHeight="1"/>
    <row r="139" ht="24.95" hidden="1" customHeight="1"/>
    <row r="140" ht="24.95" hidden="1" customHeight="1"/>
    <row r="141" ht="24.95" hidden="1" customHeight="1"/>
    <row r="142" ht="24.95" hidden="1" customHeight="1"/>
    <row r="143" ht="24.95" hidden="1" customHeight="1"/>
    <row r="144" ht="24.95" hidden="1" customHeight="1"/>
    <row r="145" ht="24.95" hidden="1" customHeight="1"/>
    <row r="146" ht="24.95" hidden="1" customHeight="1"/>
    <row r="147" ht="24.95" hidden="1" customHeight="1"/>
    <row r="148" ht="24.95" hidden="1" customHeight="1"/>
    <row r="149" ht="24.95" hidden="1" customHeight="1"/>
    <row r="150" ht="24.95" hidden="1" customHeight="1"/>
    <row r="151" ht="24.95" hidden="1" customHeight="1"/>
    <row r="152" ht="24.95" hidden="1" customHeight="1"/>
    <row r="153" ht="24.95" hidden="1" customHeight="1"/>
    <row r="154" ht="24.95" hidden="1" customHeight="1"/>
    <row r="155" ht="24.95" hidden="1" customHeight="1"/>
    <row r="156" ht="24.95" hidden="1" customHeight="1"/>
    <row r="157" ht="24.95" hidden="1" customHeight="1"/>
    <row r="158" ht="24.95" hidden="1" customHeight="1"/>
    <row r="159" ht="24.95" hidden="1" customHeight="1"/>
    <row r="160" ht="24.95" hidden="1" customHeight="1"/>
    <row r="161" ht="24.95" hidden="1" customHeight="1"/>
    <row r="162" ht="24.95" hidden="1" customHeight="1"/>
    <row r="163" ht="24.95" hidden="1" customHeight="1"/>
    <row r="164" ht="24.95" hidden="1" customHeight="1"/>
    <row r="165" ht="24.95" hidden="1" customHeight="1"/>
    <row r="166" ht="24.95" hidden="1" customHeight="1"/>
    <row r="167" ht="24.95" hidden="1" customHeight="1"/>
    <row r="168" ht="24.95" hidden="1" customHeight="1"/>
    <row r="169" ht="24.95" hidden="1" customHeight="1"/>
    <row r="170" ht="24.95" hidden="1" customHeight="1"/>
    <row r="171" ht="24.95" hidden="1" customHeight="1"/>
    <row r="172" ht="24.95" hidden="1" customHeight="1"/>
    <row r="173" ht="24.95" hidden="1" customHeight="1"/>
    <row r="174" ht="24.95" hidden="1" customHeight="1"/>
    <row r="175" ht="24.95" hidden="1" customHeight="1"/>
    <row r="176" ht="24.95" hidden="1" customHeight="1"/>
    <row r="177" ht="24.95" hidden="1" customHeight="1"/>
    <row r="178" ht="24.95" hidden="1" customHeight="1"/>
    <row r="179" ht="24.95" hidden="1" customHeight="1"/>
    <row r="180" ht="24.95" hidden="1" customHeight="1"/>
    <row r="181" ht="24.95" hidden="1" customHeight="1"/>
    <row r="182" ht="24.95" hidden="1" customHeight="1"/>
    <row r="183" ht="24.95" hidden="1" customHeight="1"/>
    <row r="184" ht="24.95" hidden="1" customHeight="1"/>
    <row r="185" ht="24.95" hidden="1" customHeight="1"/>
    <row r="186" ht="24.95" hidden="1" customHeight="1"/>
    <row r="187" ht="24.95" hidden="1" customHeight="1"/>
    <row r="188" ht="24.95" hidden="1" customHeight="1"/>
    <row r="189" ht="24.95" hidden="1" customHeight="1"/>
    <row r="190" ht="24.95" hidden="1" customHeight="1"/>
    <row r="191" ht="24.95" hidden="1" customHeight="1"/>
    <row r="192" ht="24.95" hidden="1" customHeight="1"/>
    <row r="193" ht="24.95" hidden="1" customHeight="1"/>
    <row r="194" ht="24.95" hidden="1" customHeight="1"/>
    <row r="195" ht="24.95" hidden="1" customHeight="1"/>
    <row r="196" ht="24.95" hidden="1" customHeight="1"/>
    <row r="197" ht="24.95" hidden="1" customHeight="1"/>
    <row r="198" ht="24.95" hidden="1" customHeight="1"/>
    <row r="199" ht="24.95" hidden="1" customHeight="1"/>
    <row r="200" ht="24.95" hidden="1" customHeight="1"/>
    <row r="201" ht="24.95" hidden="1" customHeight="1"/>
    <row r="202" ht="24.95" hidden="1" customHeight="1"/>
    <row r="203" ht="24.95" hidden="1" customHeight="1"/>
    <row r="204" ht="24.95" hidden="1" customHeight="1"/>
  </sheetData>
  <sheetProtection algorithmName="SHA-512" hashValue="cfn+9hftG+1Dy9n/v5hOVyPSuEOtwwf8izm9xXieNmOQisea5K+AFMnTzpGzzu1+rnrSN3fPILCKMWB6HFyjhQ==" saltValue="DBz3iuKOz2AzT3pkdQsLig==" spinCount="100000" sheet="1" objects="1" scenarios="1"/>
  <mergeCells count="8">
    <mergeCell ref="C23:E23"/>
    <mergeCell ref="C26:E28"/>
    <mergeCell ref="AZ6:AZ7"/>
    <mergeCell ref="C11:D11"/>
    <mergeCell ref="L4:M4"/>
    <mergeCell ref="AX6:AX7"/>
    <mergeCell ref="AY6:AY7"/>
    <mergeCell ref="C20:E21"/>
  </mergeCells>
  <dataValidations count="15">
    <dataValidation type="list" allowBlank="1" showInputMessage="1" showErrorMessage="1" sqref="P8:P87" xr:uid="{193EC0A4-26B7-450B-8307-C91DC61A6636}">
      <formula1>AN8:AP8</formula1>
    </dataValidation>
    <dataValidation type="decimal" operator="greaterThanOrEqual" allowBlank="1" showInputMessage="1" showErrorMessage="1" sqref="W8:W87 T8:T87" xr:uid="{DE054361-2F5E-418B-AD8C-3F97054E4D77}">
      <formula1>0</formula1>
    </dataValidation>
    <dataValidation type="list" allowBlank="1" showInputMessage="1" showErrorMessage="1" sqref="E13" xr:uid="{97E0AAD6-7E60-4090-8788-E2FFE9A2C515}">
      <formula1>location_group_option</formula1>
    </dataValidation>
    <dataValidation type="whole" operator="greaterThanOrEqual" allowBlank="1" showInputMessage="1" showErrorMessage="1" sqref="F8:F9 U4:V4 N8:O87" xr:uid="{9869689F-A598-4188-B1AF-31DEEF79EEEC}">
      <formula1>0</formula1>
    </dataValidation>
    <dataValidation type="list" allowBlank="1" showInputMessage="1" showErrorMessage="1" sqref="U90" xr:uid="{93FD38AF-1371-4234-8903-513285295243}">
      <formula1>vat_option</formula1>
    </dataValidation>
    <dataValidation type="list" allowBlank="1" showInputMessage="1" showErrorMessage="1" sqref="M8:M87" xr:uid="{38460D51-E1EE-44E4-ABAD-1C9DBB3F1E43}">
      <formula1>product_name_option</formula1>
    </dataValidation>
    <dataValidation type="list" allowBlank="1" showInputMessage="1" showErrorMessage="1" sqref="E15" xr:uid="{71F4470A-0833-46FD-A08C-D37AB2D41425}">
      <formula1>location_option</formula1>
    </dataValidation>
    <dataValidation type="list" allowBlank="1" showInputMessage="1" showErrorMessage="1" sqref="C15" xr:uid="{E154BC12-8C69-47B6-94D6-83FD1A167731}">
      <formula1>saller_option</formula1>
    </dataValidation>
    <dataValidation type="list" allowBlank="1" showInputMessage="1" showErrorMessage="1" sqref="C11" xr:uid="{DE3B6C85-D5CC-493F-B93F-FA62A4100B8E}">
      <formula1>customer_name_option</formula1>
    </dataValidation>
    <dataValidation type="list" allowBlank="1" showInputMessage="1" showErrorMessage="1" sqref="C13" xr:uid="{F9E41B7E-6883-4ABD-AF68-9F25917C3F2D}">
      <formula1>branch_option</formula1>
    </dataValidation>
    <dataValidation type="list" allowBlank="1" showInputMessage="1" showErrorMessage="1" sqref="L4:M4" xr:uid="{3A82E9A8-A43A-4E14-BE98-FF755A470EA7}">
      <formula1>price_type_option</formula1>
    </dataValidation>
    <dataValidation type="list" allowBlank="1" showInputMessage="1" showErrorMessage="1" sqref="P89" xr:uid="{D0B2D13D-24EF-495B-BFCC-69B5E851DDF6}">
      <formula1>discount_option</formula1>
    </dataValidation>
    <dataValidation type="list" allowBlank="1" showInputMessage="1" showErrorMessage="1" sqref="M89" xr:uid="{F502AEE0-1F3A-49C1-95E2-CDFD75725D6A}">
      <formula1>discount_type_option</formula1>
    </dataValidation>
    <dataValidation type="list" allowBlank="1" showInputMessage="1" showErrorMessage="1" sqref="C20:E21" xr:uid="{17A420D5-A39E-451A-855A-F396BAD3FCB3}">
      <formula1>ship_to_option</formula1>
    </dataValidation>
    <dataValidation type="list" allowBlank="1" showInputMessage="1" showErrorMessage="1" sqref="E17" xr:uid="{AE8FF4A3-0BF8-4C6D-ACA8-D159C8EA2E8F}">
      <formula1>chart_account_option</formula1>
    </dataValidation>
  </dataValidations>
  <pageMargins left="0" right="0" top="3.937007874015748E-2" bottom="0.39370078740157483" header="0" footer="0"/>
  <pageSetup paperSize="9" scale="30" orientation="landscape" r:id="rId1"/>
  <headerFooter scaleWithDoc="0" alignWithMargins="0">
    <oddFooter>&amp;CPage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71841" r:id="rId4" name="Button 1">
              <controlPr defaultSize="0" autoFill="0" autoPict="0" macro="[0]!AddQuotation">
                <anchor>
                  <from>
                    <xdr:col>24</xdr:col>
                    <xdr:colOff>342900</xdr:colOff>
                    <xdr:row>2</xdr:row>
                    <xdr:rowOff>38100</xdr:rowOff>
                  </from>
                  <to>
                    <xdr:col>25</xdr:col>
                    <xdr:colOff>352425</xdr:colOff>
                    <xdr:row>3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71842" r:id="rId5" name="Button 2">
              <controlPr defaultSize="0" print="0" autoFill="0" autoPict="0" macro="[0]!btnAddCustomer">
                <anchor moveWithCells="1" sizeWithCells="1">
                  <from>
                    <xdr:col>4</xdr:col>
                    <xdr:colOff>1724025</xdr:colOff>
                    <xdr:row>10</xdr:row>
                    <xdr:rowOff>19050</xdr:rowOff>
                  </from>
                  <to>
                    <xdr:col>4</xdr:col>
                    <xdr:colOff>2085975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71848" r:id="rId6" name="Button 8">
              <controlPr defaultSize="0" print="0" autoFill="0" autoPict="0" macro="[0]!addShipTo">
                <anchor moveWithCells="1" sizeWithCells="1">
                  <from>
                    <xdr:col>4</xdr:col>
                    <xdr:colOff>1704975</xdr:colOff>
                    <xdr:row>17</xdr:row>
                    <xdr:rowOff>285750</xdr:rowOff>
                  </from>
                  <to>
                    <xdr:col>4</xdr:col>
                    <xdr:colOff>2066925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71854" r:id="rId7" name="Button 14">
              <controlPr defaultSize="0" print="0" autoFill="0" autoPict="0" macro="[0]!addSeller">
                <anchor moveWithCells="1" sizeWithCells="1">
                  <from>
                    <xdr:col>3</xdr:col>
                    <xdr:colOff>47625</xdr:colOff>
                    <xdr:row>14</xdr:row>
                    <xdr:rowOff>0</xdr:rowOff>
                  </from>
                  <to>
                    <xdr:col>3</xdr:col>
                    <xdr:colOff>409575</xdr:colOff>
                    <xdr:row>14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51EFB0-02DF-403E-A603-00613FAE2F93}">
  <sheetPr codeName="Sheet61"/>
  <dimension ref="A1:CA177"/>
  <sheetViews>
    <sheetView showGridLines="0" zoomScale="80" zoomScaleNormal="80" workbookViewId="0">
      <pane ySplit="8" topLeftCell="A9" activePane="bottomLeft" state="frozen"/>
      <selection activeCell="B1" sqref="B1"/>
      <selection pane="bottomLeft" activeCell="F12" sqref="F12"/>
    </sheetView>
  </sheetViews>
  <sheetFormatPr defaultRowHeight="23.25"/>
  <cols>
    <col min="1" max="1" width="1.42578125" customWidth="1"/>
    <col min="2" max="2" width="6" style="2" customWidth="1"/>
    <col min="3" max="3" width="17.7109375" customWidth="1"/>
    <col min="4" max="4" width="22.5703125" style="5" customWidth="1"/>
    <col min="5" max="5" width="2.5703125" style="5" customWidth="1"/>
    <col min="6" max="6" width="25" style="5" customWidth="1"/>
    <col min="7" max="7" width="15.7109375" style="2" customWidth="1"/>
    <col min="8" max="8" width="11.140625" customWidth="1"/>
    <col min="9" max="9" width="17.28515625" customWidth="1"/>
    <col min="10" max="10" width="16.42578125" customWidth="1"/>
    <col min="11" max="11" width="19.5703125" customWidth="1"/>
    <col min="12" max="12" width="3.42578125" customWidth="1"/>
    <col min="13" max="13" width="2.85546875" hidden="1" customWidth="1"/>
    <col min="14" max="14" width="24.140625" bestFit="1" customWidth="1"/>
    <col min="15" max="15" width="44.140625" customWidth="1"/>
    <col min="16" max="16" width="5.140625" customWidth="1"/>
    <col min="17" max="17" width="20.7109375" customWidth="1"/>
    <col min="18" max="18" width="7.42578125" customWidth="1"/>
    <col min="63" max="63" width="12.7109375" bestFit="1" customWidth="1"/>
    <col min="65" max="79" width="6.7109375" customWidth="1"/>
  </cols>
  <sheetData>
    <row r="1" spans="2:79" ht="58.5" customHeight="1"/>
    <row r="2" spans="2:79" ht="8.25" customHeight="1"/>
    <row r="3" spans="2:79" ht="0.75" customHeight="1">
      <c r="C3" s="1901"/>
      <c r="D3" s="1901"/>
      <c r="E3" s="1901"/>
      <c r="F3" s="1901"/>
      <c r="G3" s="1901"/>
      <c r="H3" s="1901"/>
      <c r="I3" s="1901"/>
      <c r="J3" s="1901"/>
      <c r="K3" s="1901"/>
      <c r="N3" s="146"/>
      <c r="BK3" t="s">
        <v>1806</v>
      </c>
      <c r="BM3" s="345" t="s">
        <v>108</v>
      </c>
      <c r="BN3" s="345">
        <v>1</v>
      </c>
      <c r="BO3" s="345">
        <v>1</v>
      </c>
      <c r="BP3" s="345">
        <v>6</v>
      </c>
      <c r="BQ3" s="345" t="s">
        <v>109</v>
      </c>
      <c r="BR3" s="345">
        <v>2</v>
      </c>
      <c r="BS3" s="345">
        <v>6</v>
      </c>
      <c r="BT3" s="345">
        <v>0</v>
      </c>
      <c r="BU3" s="345">
        <v>0</v>
      </c>
      <c r="BV3" s="345">
        <v>0</v>
      </c>
      <c r="BW3" s="345">
        <v>0</v>
      </c>
      <c r="BX3" s="345">
        <v>1</v>
      </c>
      <c r="BY3" s="345">
        <v>2</v>
      </c>
      <c r="BZ3" s="345">
        <v>7</v>
      </c>
      <c r="CA3" s="346">
        <v>1</v>
      </c>
    </row>
    <row r="4" spans="2:79" ht="36.75">
      <c r="B4" s="815"/>
      <c r="C4" s="1282" t="s">
        <v>1576</v>
      </c>
      <c r="D4" s="402"/>
      <c r="E4" s="402"/>
      <c r="F4" s="402"/>
      <c r="G4" s="402"/>
      <c r="H4" s="402"/>
      <c r="I4" s="402"/>
      <c r="J4" s="402"/>
      <c r="K4" s="402"/>
      <c r="N4" s="337" t="s">
        <v>1893</v>
      </c>
      <c r="O4" s="410" t="s">
        <v>1807</v>
      </c>
      <c r="Q4" s="68" t="s">
        <v>1895</v>
      </c>
      <c r="R4" s="1959">
        <v>5</v>
      </c>
      <c r="S4" s="1959"/>
    </row>
    <row r="5" spans="2:79" s="5" customFormat="1" ht="27.75" customHeight="1">
      <c r="B5" s="816"/>
      <c r="C5" s="387" t="s">
        <v>1577</v>
      </c>
      <c r="D5" s="349"/>
      <c r="E5" s="349"/>
      <c r="F5" s="349"/>
      <c r="G5" s="349"/>
      <c r="H5" s="349"/>
      <c r="I5" s="349"/>
      <c r="J5" s="349"/>
      <c r="K5" s="349"/>
      <c r="N5" s="337" t="s">
        <v>1874</v>
      </c>
      <c r="O5" s="404" t="s">
        <v>1854</v>
      </c>
      <c r="P5"/>
      <c r="Q5" s="68" t="s">
        <v>1896</v>
      </c>
      <c r="R5" s="413">
        <v>30</v>
      </c>
      <c r="S5" s="412" t="str">
        <f>IF(print_pb_payment_net_days&gt;=1,"days","day")</f>
        <v>days</v>
      </c>
      <c r="T5"/>
      <c r="U5"/>
      <c r="V5"/>
      <c r="W5"/>
      <c r="X5"/>
      <c r="Y5"/>
      <c r="Z5"/>
      <c r="AA5"/>
      <c r="AB5"/>
    </row>
    <row r="6" spans="2:79" s="5" customFormat="1" ht="25.5">
      <c r="B6" s="816"/>
      <c r="C6" s="196" t="str">
        <f>N5&amp;print_pb_branch_address_kh</f>
        <v>អាសយដ្ឋាន ៖ ភូមិគោកស្នួល ឃុំខ្នាត ស្រុកពួក ខេត្តសៀមរាប</v>
      </c>
      <c r="D6" s="349"/>
      <c r="E6" s="349"/>
      <c r="F6" s="349"/>
      <c r="G6" s="349"/>
      <c r="H6" s="349"/>
      <c r="I6" s="349"/>
      <c r="J6" s="349"/>
      <c r="K6" s="349"/>
      <c r="M6" s="176"/>
      <c r="N6" s="337" t="s">
        <v>1876</v>
      </c>
      <c r="O6" s="415" t="s">
        <v>102</v>
      </c>
      <c r="P6" s="168"/>
      <c r="Q6" s="414"/>
      <c r="R6" s="168"/>
      <c r="S6" s="168"/>
      <c r="T6" s="168"/>
      <c r="U6" s="168"/>
      <c r="V6" s="168"/>
      <c r="W6" s="168"/>
      <c r="X6"/>
      <c r="Y6"/>
      <c r="Z6"/>
      <c r="AA6"/>
      <c r="AB6"/>
    </row>
    <row r="7" spans="2:79" s="5" customFormat="1" ht="25.5">
      <c r="B7" s="816"/>
      <c r="C7" s="196" t="str">
        <f>N6&amp;print_pb_branch_telephone&amp;IF(print_pb_branch_email="",""," , "&amp;N7&amp;print_pb_branch_email)</f>
        <v>លេខទូរស័ព្ទ ៖ 015 43 44 00 , អ៊ីម៉ែល​ ៖ boupanha.edu@gmail.com</v>
      </c>
      <c r="D7" s="349"/>
      <c r="E7" s="349"/>
      <c r="F7" s="349"/>
      <c r="G7" s="349"/>
      <c r="H7" s="349"/>
      <c r="I7" s="349"/>
      <c r="J7" s="349"/>
      <c r="K7" s="349"/>
      <c r="N7" s="337" t="s">
        <v>1877</v>
      </c>
      <c r="O7" s="404" t="s">
        <v>1855</v>
      </c>
      <c r="P7" s="168"/>
      <c r="Q7" s="414"/>
      <c r="R7" s="168"/>
      <c r="S7" s="168"/>
      <c r="T7" s="168"/>
      <c r="U7" s="168"/>
      <c r="V7" s="168"/>
      <c r="W7" s="168"/>
      <c r="X7"/>
      <c r="Y7"/>
      <c r="Z7"/>
      <c r="AA7"/>
      <c r="AB7"/>
    </row>
    <row r="8" spans="2:79" ht="38.25" customHeight="1" thickBot="1">
      <c r="B8" s="815"/>
      <c r="C8" s="403" t="s">
        <v>1875</v>
      </c>
      <c r="D8" s="377"/>
      <c r="E8" s="377"/>
      <c r="F8" s="377"/>
      <c r="G8" s="377"/>
      <c r="H8" s="377"/>
      <c r="I8" s="377"/>
      <c r="J8" s="377"/>
      <c r="K8" s="378"/>
      <c r="N8" s="188" t="s">
        <v>1894</v>
      </c>
      <c r="O8" s="404" t="s">
        <v>4593</v>
      </c>
      <c r="P8" s="168"/>
      <c r="Q8" s="414"/>
      <c r="R8" s="168"/>
      <c r="S8" s="168"/>
      <c r="T8" s="168"/>
      <c r="U8" s="168"/>
      <c r="V8" s="168"/>
      <c r="W8" s="168"/>
    </row>
    <row r="9" spans="2:79" ht="3.75" customHeight="1">
      <c r="B9" s="817"/>
      <c r="G9" s="45"/>
      <c r="J9" s="351"/>
      <c r="K9" s="351"/>
      <c r="N9" s="225"/>
      <c r="O9" s="188"/>
      <c r="P9" s="168"/>
      <c r="Q9" s="168"/>
      <c r="R9" s="168"/>
      <c r="S9" s="168"/>
      <c r="T9" s="168"/>
      <c r="U9" s="168"/>
      <c r="V9" s="168"/>
      <c r="W9" s="168"/>
    </row>
    <row r="10" spans="2:79" ht="3.75" customHeight="1">
      <c r="B10" s="817"/>
      <c r="D10"/>
      <c r="E10"/>
      <c r="F10"/>
      <c r="G10" s="1961"/>
      <c r="H10" s="1961"/>
      <c r="I10" s="158"/>
      <c r="J10" s="158"/>
      <c r="K10" s="158"/>
      <c r="N10" s="225"/>
      <c r="O10" s="188"/>
      <c r="P10" s="168"/>
      <c r="Q10" s="168"/>
      <c r="R10" s="168"/>
      <c r="S10" s="168"/>
      <c r="T10" s="168"/>
      <c r="U10" s="168"/>
      <c r="V10" s="168"/>
      <c r="W10" s="168"/>
    </row>
    <row r="11" spans="2:79" s="52" customFormat="1" ht="3.75" customHeight="1">
      <c r="B11" s="817"/>
      <c r="C11" s="1960"/>
      <c r="D11" s="1960"/>
      <c r="E11" s="344"/>
      <c r="G11" s="1961"/>
      <c r="H11" s="1961"/>
      <c r="I11"/>
      <c r="M11" s="81"/>
      <c r="N11" s="225"/>
      <c r="O11" s="188"/>
      <c r="P11" s="168"/>
      <c r="Q11" s="168"/>
      <c r="R11" s="168"/>
      <c r="S11" s="168"/>
      <c r="T11" s="168"/>
      <c r="U11" s="168"/>
      <c r="V11" s="168"/>
      <c r="W11" s="168"/>
      <c r="X11"/>
      <c r="Y11"/>
      <c r="Z11"/>
      <c r="AA11"/>
      <c r="AB11"/>
    </row>
    <row r="12" spans="2:79" s="52" customFormat="1" ht="27">
      <c r="B12" s="817"/>
      <c r="C12" s="387" t="s">
        <v>2982</v>
      </c>
      <c r="D12" s="3"/>
      <c r="E12" s="3"/>
      <c r="G12" s="1961"/>
      <c r="H12" s="1961"/>
      <c r="I12" s="450"/>
      <c r="J12" s="451" t="s">
        <v>2977</v>
      </c>
      <c r="K12" s="452" t="s">
        <v>4598</v>
      </c>
      <c r="L12" s="149" t="str">
        <f ca="1">MID(MID(CELL("filename",B1),FIND("]",CELL("filename",B1))+1,255),1,40)</f>
        <v>PrintPurchaseBill</v>
      </c>
      <c r="M12" s="3"/>
      <c r="N12" s="225"/>
      <c r="O12" s="188"/>
      <c r="P12" s="168"/>
      <c r="Q12" s="168"/>
      <c r="R12" s="168"/>
      <c r="S12" s="168"/>
      <c r="T12" s="168"/>
      <c r="U12" s="168"/>
      <c r="V12" s="168"/>
      <c r="W12" s="168"/>
      <c r="X12"/>
      <c r="Y12"/>
      <c r="Z12"/>
      <c r="AA12"/>
      <c r="AB12"/>
    </row>
    <row r="13" spans="2:79" s="52" customFormat="1" ht="27">
      <c r="B13" s="817"/>
      <c r="C13" s="1987" t="s">
        <v>180</v>
      </c>
      <c r="D13" s="1988"/>
      <c r="E13" s="1988"/>
      <c r="F13" s="1989"/>
      <c r="G13" s="1961"/>
      <c r="H13" s="1961"/>
      <c r="I13" s="453"/>
      <c r="J13" s="426" t="s">
        <v>1869</v>
      </c>
      <c r="K13" s="454">
        <v>46259</v>
      </c>
      <c r="L13" s="149"/>
      <c r="M13" s="3"/>
      <c r="N13" s="225"/>
      <c r="O13" s="188"/>
      <c r="P13" s="168"/>
      <c r="Q13" s="168"/>
      <c r="R13" s="168"/>
      <c r="S13" s="168"/>
      <c r="T13" s="168"/>
      <c r="U13" s="168"/>
      <c r="V13" s="168"/>
      <c r="W13" s="168"/>
      <c r="X13"/>
      <c r="Y13"/>
      <c r="Z13"/>
      <c r="AA13"/>
      <c r="AB13"/>
    </row>
    <row r="14" spans="2:79" s="52" customFormat="1" ht="27">
      <c r="B14" s="817"/>
      <c r="C14" s="1990"/>
      <c r="D14" s="1991"/>
      <c r="E14" s="1991"/>
      <c r="F14" s="1992"/>
      <c r="G14" s="1961"/>
      <c r="H14" s="1961"/>
      <c r="I14" s="455"/>
      <c r="J14" s="456" t="s">
        <v>1870</v>
      </c>
      <c r="K14" s="457">
        <v>46289</v>
      </c>
      <c r="M14"/>
      <c r="N14" s="225"/>
      <c r="O14" s="188"/>
      <c r="P14" s="168"/>
      <c r="Q14" s="168"/>
      <c r="R14" s="168"/>
      <c r="S14" s="168"/>
      <c r="T14" s="168"/>
      <c r="U14" s="168"/>
      <c r="V14" s="168"/>
      <c r="W14" s="168"/>
      <c r="X14"/>
      <c r="Y14"/>
      <c r="Z14"/>
      <c r="AA14"/>
      <c r="AB14"/>
    </row>
    <row r="15" spans="2:79" ht="7.5" customHeight="1">
      <c r="B15" s="8"/>
      <c r="C15" s="5"/>
      <c r="G15" s="5"/>
      <c r="H15" s="5"/>
      <c r="I15" s="5"/>
      <c r="J15" s="5"/>
      <c r="K15" s="5"/>
      <c r="L15" s="5"/>
      <c r="M15" s="5"/>
      <c r="N15" s="225"/>
      <c r="O15" s="188"/>
      <c r="P15" s="168"/>
      <c r="Q15" s="168"/>
      <c r="R15" s="168"/>
      <c r="S15" s="168"/>
      <c r="T15" s="168"/>
      <c r="U15" s="168"/>
      <c r="V15" s="168"/>
      <c r="W15" s="168"/>
    </row>
    <row r="16" spans="2:79" ht="32.25" customHeight="1">
      <c r="B16" s="818">
        <v>-9</v>
      </c>
      <c r="C16" s="427" t="s">
        <v>2988</v>
      </c>
      <c r="D16" s="428"/>
      <c r="E16" s="428"/>
      <c r="F16" s="429"/>
      <c r="G16" s="429"/>
      <c r="H16" s="430"/>
      <c r="I16" s="431"/>
      <c r="J16" s="432"/>
      <c r="K16" s="433"/>
      <c r="L16" s="58"/>
      <c r="N16" s="225"/>
      <c r="O16" s="188"/>
      <c r="P16" s="168"/>
      <c r="Q16" s="168"/>
      <c r="R16" s="168"/>
      <c r="S16" s="168"/>
      <c r="T16" s="168"/>
      <c r="U16" s="168"/>
      <c r="V16" s="168"/>
      <c r="W16" s="168"/>
    </row>
    <row r="17" spans="1:28" ht="30" customHeight="1">
      <c r="B17" s="818"/>
      <c r="C17" s="434" t="s">
        <v>2978</v>
      </c>
      <c r="D17" s="352"/>
      <c r="E17" s="435" t="s">
        <v>86</v>
      </c>
      <c r="F17" s="436" t="s">
        <v>4590</v>
      </c>
      <c r="G17" s="437"/>
      <c r="H17" s="437"/>
      <c r="I17" s="438"/>
      <c r="J17" s="439"/>
      <c r="K17" s="440"/>
      <c r="L17" s="58"/>
      <c r="M17" s="37"/>
      <c r="N17" s="225"/>
      <c r="O17" s="188"/>
      <c r="P17" s="168"/>
      <c r="Q17" s="168"/>
      <c r="R17" s="168"/>
      <c r="S17" s="168"/>
      <c r="T17" s="168"/>
      <c r="U17" s="168"/>
      <c r="V17" s="168"/>
      <c r="W17" s="168"/>
    </row>
    <row r="18" spans="1:28" s="3" customFormat="1" ht="20.100000000000001" customHeight="1">
      <c r="B18" s="819"/>
      <c r="C18" s="441" t="s">
        <v>2979</v>
      </c>
      <c r="D18" s="426"/>
      <c r="E18" s="435"/>
      <c r="F18" s="405" t="s">
        <v>4591</v>
      </c>
      <c r="G18" s="406"/>
      <c r="H18" s="406"/>
      <c r="I18" s="406"/>
      <c r="J18" s="406"/>
      <c r="K18" s="442"/>
      <c r="L18" s="384"/>
      <c r="M18" s="385"/>
      <c r="N18" s="225"/>
      <c r="O18" s="188"/>
      <c r="P18" s="168"/>
      <c r="Q18" s="168"/>
      <c r="R18" s="168"/>
      <c r="S18" s="168"/>
      <c r="T18" s="168"/>
      <c r="U18" s="168"/>
      <c r="V18" s="168"/>
      <c r="W18" s="168"/>
    </row>
    <row r="19" spans="1:28" ht="30" customHeight="1">
      <c r="B19" s="818"/>
      <c r="C19" s="434" t="s">
        <v>1871</v>
      </c>
      <c r="D19" s="352"/>
      <c r="E19" s="435" t="s">
        <v>86</v>
      </c>
      <c r="F19" s="879" t="s">
        <v>4595</v>
      </c>
      <c r="G19" s="880"/>
      <c r="H19" s="880"/>
      <c r="I19" s="880"/>
      <c r="J19" s="880"/>
      <c r="K19" s="881"/>
      <c r="L19" s="58"/>
      <c r="N19" s="225"/>
      <c r="O19" s="188"/>
      <c r="P19" s="168"/>
      <c r="Q19" s="168"/>
      <c r="R19" s="168"/>
      <c r="S19" s="168"/>
      <c r="T19" s="168"/>
      <c r="U19" s="168"/>
      <c r="V19" s="168"/>
      <c r="W19" s="168"/>
    </row>
    <row r="20" spans="1:28" ht="30" customHeight="1">
      <c r="B20" s="818"/>
      <c r="C20" s="443" t="s">
        <v>1866</v>
      </c>
      <c r="D20" s="352"/>
      <c r="E20" s="435" t="s">
        <v>86</v>
      </c>
      <c r="F20" s="183">
        <v>1800211111</v>
      </c>
      <c r="G20" s="213"/>
      <c r="H20" s="213"/>
      <c r="I20" s="213"/>
      <c r="J20" s="213"/>
      <c r="K20" s="444"/>
      <c r="L20" s="58"/>
      <c r="M20" s="58"/>
      <c r="N20" s="225"/>
      <c r="O20" s="188"/>
      <c r="P20" s="168"/>
      <c r="Q20" s="168"/>
      <c r="R20" s="168"/>
      <c r="S20" s="168"/>
      <c r="T20" s="168"/>
      <c r="U20" s="168"/>
      <c r="V20" s="168"/>
      <c r="W20" s="168"/>
    </row>
    <row r="21" spans="1:28" ht="20.100000000000001" customHeight="1">
      <c r="B21" s="8"/>
      <c r="C21" s="441" t="s">
        <v>1867</v>
      </c>
      <c r="D21" s="445"/>
      <c r="E21" s="435"/>
      <c r="F21" s="386"/>
      <c r="G21" s="405"/>
      <c r="H21" s="405"/>
      <c r="I21" s="405"/>
      <c r="J21" s="405"/>
      <c r="K21" s="446"/>
      <c r="L21" s="5"/>
      <c r="M21" s="5"/>
      <c r="N21" s="225"/>
      <c r="O21" s="188"/>
      <c r="P21" s="168"/>
      <c r="Q21" s="168"/>
      <c r="R21" s="168"/>
      <c r="S21" s="168"/>
      <c r="T21" s="168"/>
      <c r="U21" s="168"/>
      <c r="V21" s="168"/>
      <c r="W21" s="168"/>
    </row>
    <row r="22" spans="1:28" ht="30" customHeight="1">
      <c r="B22" s="8"/>
      <c r="C22" s="447" t="s">
        <v>4599</v>
      </c>
      <c r="D22" s="448"/>
      <c r="E22" s="449" t="s">
        <v>86</v>
      </c>
      <c r="F22" s="824" t="str">
        <f>print_pb_customer_tin_number</f>
        <v>L001-901904045</v>
      </c>
      <c r="G22" s="824"/>
      <c r="H22" s="824"/>
      <c r="I22" s="824"/>
      <c r="J22" s="824"/>
      <c r="K22" s="825"/>
      <c r="L22" s="5"/>
      <c r="M22" s="5"/>
      <c r="N22" s="225"/>
      <c r="O22" s="188"/>
      <c r="P22" s="168"/>
      <c r="Q22" s="168"/>
      <c r="R22" s="168"/>
      <c r="S22" s="168"/>
      <c r="T22" s="168"/>
      <c r="U22" s="168"/>
      <c r="V22" s="168"/>
      <c r="W22" s="168"/>
    </row>
    <row r="23" spans="1:28" ht="3.75" customHeight="1">
      <c r="B23" s="8"/>
      <c r="C23" s="354"/>
      <c r="D23" s="354"/>
      <c r="E23" s="354"/>
      <c r="F23" s="1904"/>
      <c r="G23" s="1904"/>
      <c r="H23" s="1904"/>
      <c r="I23" s="352"/>
      <c r="J23" s="352"/>
      <c r="K23" s="353"/>
      <c r="L23" s="5"/>
    </row>
    <row r="24" spans="1:28" s="4" customFormat="1" ht="3" customHeight="1">
      <c r="B24" s="2"/>
      <c r="D24" s="64"/>
      <c r="E24" s="64"/>
      <c r="F24" s="65"/>
      <c r="G24" s="66"/>
      <c r="H24" s="202"/>
      <c r="J24" s="68"/>
      <c r="K24" s="69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</row>
    <row r="25" spans="1:28" s="355" customFormat="1" ht="27">
      <c r="B25" s="820"/>
      <c r="C25" s="862" t="s">
        <v>159</v>
      </c>
      <c r="D25" s="1945" t="s">
        <v>1863</v>
      </c>
      <c r="E25" s="1955"/>
      <c r="F25" s="1946"/>
      <c r="G25" s="862" t="s">
        <v>134</v>
      </c>
      <c r="H25" s="862" t="s">
        <v>135</v>
      </c>
      <c r="I25" s="862" t="s">
        <v>90</v>
      </c>
      <c r="J25" s="862" t="s">
        <v>85</v>
      </c>
      <c r="K25" s="862" t="s">
        <v>85</v>
      </c>
      <c r="M25" s="356"/>
      <c r="N25" s="34"/>
      <c r="O25" s="34"/>
      <c r="P25"/>
      <c r="Q25"/>
      <c r="R25"/>
      <c r="S25"/>
      <c r="T25"/>
      <c r="U25"/>
      <c r="V25"/>
      <c r="W25"/>
      <c r="X25"/>
      <c r="Y25"/>
      <c r="Z25"/>
      <c r="AA25"/>
      <c r="AB25"/>
    </row>
    <row r="26" spans="1:28" s="357" customFormat="1" ht="15.75">
      <c r="B26" s="821"/>
      <c r="C26" s="863" t="s">
        <v>1838</v>
      </c>
      <c r="D26" s="1993" t="s">
        <v>1862</v>
      </c>
      <c r="E26" s="1994"/>
      <c r="F26" s="1995"/>
      <c r="G26" s="863" t="s">
        <v>19</v>
      </c>
      <c r="H26" s="863" t="s">
        <v>67</v>
      </c>
      <c r="I26" s="863" t="s">
        <v>2983</v>
      </c>
      <c r="J26" s="863" t="s">
        <v>2984</v>
      </c>
      <c r="K26" s="863" t="s">
        <v>2985</v>
      </c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</row>
    <row r="27" spans="1:28" s="357" customFormat="1" ht="26.45" customHeight="1">
      <c r="A27" s="423"/>
      <c r="B27" s="821">
        <v>1</v>
      </c>
      <c r="C27" s="393" t="s">
        <v>4458</v>
      </c>
      <c r="D27" s="388" t="s">
        <v>4404</v>
      </c>
      <c r="E27" s="389"/>
      <c r="F27" s="390"/>
      <c r="G27" s="391" t="s">
        <v>4483</v>
      </c>
      <c r="H27" s="391">
        <v>2</v>
      </c>
      <c r="I27" s="398">
        <v>79.5</v>
      </c>
      <c r="J27" s="398">
        <v>159</v>
      </c>
      <c r="K27" s="399">
        <v>643632</v>
      </c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</row>
    <row r="28" spans="1:28" s="357" customFormat="1" ht="26.45" customHeight="1">
      <c r="A28" s="423"/>
      <c r="B28" s="821">
        <v>2</v>
      </c>
      <c r="C28" s="393" t="s">
        <v>4459</v>
      </c>
      <c r="D28" s="388" t="s">
        <v>4405</v>
      </c>
      <c r="E28" s="389"/>
      <c r="F28" s="390"/>
      <c r="G28" s="391" t="s">
        <v>4483</v>
      </c>
      <c r="H28" s="391">
        <v>2</v>
      </c>
      <c r="I28" s="398">
        <v>79.5</v>
      </c>
      <c r="J28" s="398">
        <v>159</v>
      </c>
      <c r="K28" s="399">
        <v>643632</v>
      </c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</row>
    <row r="29" spans="1:28" s="357" customFormat="1" ht="26.45" hidden="1" customHeight="1">
      <c r="A29" s="423"/>
      <c r="B29" s="821">
        <v>3</v>
      </c>
      <c r="C29" s="393"/>
      <c r="D29" s="388"/>
      <c r="E29" s="389"/>
      <c r="F29" s="390"/>
      <c r="G29" s="391"/>
      <c r="H29" s="391"/>
      <c r="I29" s="398"/>
      <c r="J29" s="398"/>
      <c r="K29" s="39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</row>
    <row r="30" spans="1:28" s="357" customFormat="1" ht="26.45" hidden="1" customHeight="1">
      <c r="A30" s="423"/>
      <c r="B30" s="821">
        <v>4</v>
      </c>
      <c r="C30" s="393"/>
      <c r="D30" s="388"/>
      <c r="E30" s="389"/>
      <c r="F30" s="390"/>
      <c r="G30" s="391"/>
      <c r="H30" s="391"/>
      <c r="I30" s="398"/>
      <c r="J30" s="398"/>
      <c r="K30" s="399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</row>
    <row r="31" spans="1:28" s="357" customFormat="1" ht="26.45" hidden="1" customHeight="1">
      <c r="A31" s="423"/>
      <c r="B31" s="821">
        <v>5</v>
      </c>
      <c r="C31" s="393"/>
      <c r="D31" s="388"/>
      <c r="E31" s="389"/>
      <c r="F31" s="390"/>
      <c r="G31" s="391"/>
      <c r="H31" s="391"/>
      <c r="I31" s="398"/>
      <c r="J31" s="398"/>
      <c r="K31" s="399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</row>
    <row r="32" spans="1:28" s="357" customFormat="1" ht="26.45" hidden="1" customHeight="1">
      <c r="A32" s="423"/>
      <c r="B32" s="821">
        <v>6</v>
      </c>
      <c r="C32" s="393"/>
      <c r="D32" s="388"/>
      <c r="E32" s="389"/>
      <c r="F32" s="390"/>
      <c r="G32" s="391"/>
      <c r="H32" s="391"/>
      <c r="I32" s="398"/>
      <c r="J32" s="398"/>
      <c r="K32" s="399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</row>
    <row r="33" spans="1:28" s="357" customFormat="1" ht="26.45" hidden="1" customHeight="1">
      <c r="A33" s="423"/>
      <c r="B33" s="821">
        <v>7</v>
      </c>
      <c r="C33" s="393"/>
      <c r="D33" s="388"/>
      <c r="E33" s="389"/>
      <c r="F33" s="390"/>
      <c r="G33" s="391"/>
      <c r="H33" s="391"/>
      <c r="I33" s="398"/>
      <c r="J33" s="398"/>
      <c r="K33" s="399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</row>
    <row r="34" spans="1:28" s="357" customFormat="1" ht="26.45" hidden="1" customHeight="1">
      <c r="A34" s="423"/>
      <c r="B34" s="821">
        <v>8</v>
      </c>
      <c r="C34" s="393"/>
      <c r="D34" s="388"/>
      <c r="E34" s="389"/>
      <c r="F34" s="390"/>
      <c r="G34" s="391"/>
      <c r="H34" s="391"/>
      <c r="I34" s="398"/>
      <c r="J34" s="398"/>
      <c r="K34" s="399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</row>
    <row r="35" spans="1:28" s="357" customFormat="1" ht="26.45" hidden="1" customHeight="1">
      <c r="A35" s="423"/>
      <c r="B35" s="821">
        <v>9</v>
      </c>
      <c r="C35" s="393"/>
      <c r="D35" s="388"/>
      <c r="E35" s="389"/>
      <c r="F35" s="390"/>
      <c r="G35" s="391"/>
      <c r="H35" s="391"/>
      <c r="I35" s="398"/>
      <c r="J35" s="398"/>
      <c r="K35" s="399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</row>
    <row r="36" spans="1:28" s="357" customFormat="1" ht="26.45" hidden="1" customHeight="1">
      <c r="A36" s="423"/>
      <c r="B36" s="821">
        <v>10</v>
      </c>
      <c r="C36" s="393"/>
      <c r="D36" s="388"/>
      <c r="E36" s="389"/>
      <c r="F36" s="390"/>
      <c r="G36" s="391"/>
      <c r="H36" s="391"/>
      <c r="I36" s="398"/>
      <c r="J36" s="398"/>
      <c r="K36" s="399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</row>
    <row r="37" spans="1:28" s="357" customFormat="1" ht="26.45" hidden="1" customHeight="1">
      <c r="A37" s="423"/>
      <c r="B37" s="821">
        <v>11</v>
      </c>
      <c r="C37" s="393"/>
      <c r="D37" s="388"/>
      <c r="E37" s="389"/>
      <c r="F37" s="390"/>
      <c r="G37" s="391"/>
      <c r="H37" s="391"/>
      <c r="I37" s="398"/>
      <c r="J37" s="398"/>
      <c r="K37" s="399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</row>
    <row r="38" spans="1:28" s="357" customFormat="1" ht="26.45" hidden="1" customHeight="1">
      <c r="A38" s="423"/>
      <c r="B38" s="821">
        <v>12</v>
      </c>
      <c r="C38" s="393"/>
      <c r="D38" s="388"/>
      <c r="E38" s="389"/>
      <c r="F38" s="390"/>
      <c r="G38" s="391"/>
      <c r="H38" s="391"/>
      <c r="I38" s="398"/>
      <c r="J38" s="398"/>
      <c r="K38" s="399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</row>
    <row r="39" spans="1:28" s="357" customFormat="1" ht="26.45" hidden="1" customHeight="1">
      <c r="A39" s="423"/>
      <c r="B39" s="821">
        <v>13</v>
      </c>
      <c r="C39" s="393"/>
      <c r="D39" s="388"/>
      <c r="E39" s="389"/>
      <c r="F39" s="390"/>
      <c r="G39" s="391"/>
      <c r="H39" s="391"/>
      <c r="I39" s="398"/>
      <c r="J39" s="398"/>
      <c r="K39" s="39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</row>
    <row r="40" spans="1:28" s="357" customFormat="1" ht="26.45" hidden="1" customHeight="1">
      <c r="A40" s="423"/>
      <c r="B40" s="821">
        <v>14</v>
      </c>
      <c r="C40" s="393"/>
      <c r="D40" s="388"/>
      <c r="E40" s="389"/>
      <c r="F40" s="390"/>
      <c r="G40" s="391"/>
      <c r="H40" s="391"/>
      <c r="I40" s="398"/>
      <c r="J40" s="398"/>
      <c r="K40" s="399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</row>
    <row r="41" spans="1:28" s="357" customFormat="1" ht="26.45" hidden="1" customHeight="1">
      <c r="A41" s="423"/>
      <c r="B41" s="821">
        <v>15</v>
      </c>
      <c r="C41" s="393"/>
      <c r="D41" s="388"/>
      <c r="E41" s="389"/>
      <c r="F41" s="390"/>
      <c r="G41" s="391"/>
      <c r="H41" s="391"/>
      <c r="I41" s="398"/>
      <c r="J41" s="398"/>
      <c r="K41" s="399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</row>
    <row r="42" spans="1:28" s="357" customFormat="1" ht="26.45" hidden="1" customHeight="1">
      <c r="A42" s="423"/>
      <c r="B42" s="821">
        <v>16</v>
      </c>
      <c r="C42" s="393"/>
      <c r="D42" s="388"/>
      <c r="E42" s="389"/>
      <c r="F42" s="390"/>
      <c r="G42" s="391"/>
      <c r="H42" s="391"/>
      <c r="I42" s="398"/>
      <c r="J42" s="398"/>
      <c r="K42" s="399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</row>
    <row r="43" spans="1:28" s="357" customFormat="1" ht="26.45" hidden="1" customHeight="1">
      <c r="A43" s="423"/>
      <c r="B43" s="821">
        <v>17</v>
      </c>
      <c r="C43" s="393"/>
      <c r="D43" s="388"/>
      <c r="E43" s="389"/>
      <c r="F43" s="390"/>
      <c r="G43" s="391"/>
      <c r="H43" s="391"/>
      <c r="I43" s="398"/>
      <c r="J43" s="398"/>
      <c r="K43" s="399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</row>
    <row r="44" spans="1:28" s="357" customFormat="1" ht="26.45" hidden="1" customHeight="1">
      <c r="A44" s="423"/>
      <c r="B44" s="821">
        <v>18</v>
      </c>
      <c r="C44" s="393"/>
      <c r="D44" s="388"/>
      <c r="E44" s="389"/>
      <c r="F44" s="390"/>
      <c r="G44" s="391"/>
      <c r="H44" s="391"/>
      <c r="I44" s="398"/>
      <c r="J44" s="398"/>
      <c r="K44" s="399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</row>
    <row r="45" spans="1:28" s="357" customFormat="1" ht="26.45" hidden="1" customHeight="1">
      <c r="A45" s="423"/>
      <c r="B45" s="821">
        <v>19</v>
      </c>
      <c r="C45" s="393"/>
      <c r="D45" s="388"/>
      <c r="E45" s="389"/>
      <c r="F45" s="390"/>
      <c r="G45" s="391"/>
      <c r="H45" s="391"/>
      <c r="I45" s="398"/>
      <c r="J45" s="398"/>
      <c r="K45" s="399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</row>
    <row r="46" spans="1:28" s="357" customFormat="1" ht="26.45" hidden="1" customHeight="1">
      <c r="A46" s="423"/>
      <c r="B46" s="821">
        <v>20</v>
      </c>
      <c r="C46" s="393"/>
      <c r="D46" s="388"/>
      <c r="E46" s="389"/>
      <c r="F46" s="390"/>
      <c r="G46" s="391"/>
      <c r="H46" s="391"/>
      <c r="I46" s="398"/>
      <c r="J46" s="398"/>
      <c r="K46" s="399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</row>
    <row r="47" spans="1:28" s="357" customFormat="1" ht="26.45" hidden="1" customHeight="1">
      <c r="A47" s="423"/>
      <c r="B47" s="821">
        <v>21</v>
      </c>
      <c r="C47" s="393"/>
      <c r="D47" s="388"/>
      <c r="E47" s="389"/>
      <c r="F47" s="390"/>
      <c r="G47" s="391"/>
      <c r="H47" s="391"/>
      <c r="I47" s="398"/>
      <c r="J47" s="398"/>
      <c r="K47" s="399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</row>
    <row r="48" spans="1:28" s="357" customFormat="1" ht="26.45" hidden="1" customHeight="1">
      <c r="A48" s="423"/>
      <c r="B48" s="821">
        <v>22</v>
      </c>
      <c r="C48" s="393"/>
      <c r="D48" s="388"/>
      <c r="E48" s="389"/>
      <c r="F48" s="390"/>
      <c r="G48" s="391"/>
      <c r="H48" s="391"/>
      <c r="I48" s="398"/>
      <c r="J48" s="398"/>
      <c r="K48" s="399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</row>
    <row r="49" spans="1:28" s="357" customFormat="1" ht="26.45" hidden="1" customHeight="1">
      <c r="A49" s="423"/>
      <c r="B49" s="821">
        <v>23</v>
      </c>
      <c r="C49" s="393"/>
      <c r="D49" s="388"/>
      <c r="E49" s="389"/>
      <c r="F49" s="390"/>
      <c r="G49" s="391"/>
      <c r="H49" s="391"/>
      <c r="I49" s="398"/>
      <c r="J49" s="398"/>
      <c r="K49" s="39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</row>
    <row r="50" spans="1:28" s="357" customFormat="1" ht="26.45" hidden="1" customHeight="1">
      <c r="A50" s="423"/>
      <c r="B50" s="821">
        <v>24</v>
      </c>
      <c r="C50" s="393"/>
      <c r="D50" s="388"/>
      <c r="E50" s="389"/>
      <c r="F50" s="390"/>
      <c r="G50" s="391"/>
      <c r="H50" s="391"/>
      <c r="I50" s="398"/>
      <c r="J50" s="398"/>
      <c r="K50" s="399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</row>
    <row r="51" spans="1:28" s="357" customFormat="1" ht="26.45" hidden="1" customHeight="1">
      <c r="A51" s="423"/>
      <c r="B51" s="821">
        <v>25</v>
      </c>
      <c r="C51" s="393"/>
      <c r="D51" s="388"/>
      <c r="E51" s="389"/>
      <c r="F51" s="390"/>
      <c r="G51" s="391"/>
      <c r="H51" s="391"/>
      <c r="I51" s="398"/>
      <c r="J51" s="398"/>
      <c r="K51" s="399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</row>
    <row r="52" spans="1:28" s="357" customFormat="1" ht="26.45" hidden="1" customHeight="1">
      <c r="A52" s="423"/>
      <c r="B52" s="821">
        <v>26</v>
      </c>
      <c r="C52" s="393"/>
      <c r="D52" s="388"/>
      <c r="E52" s="389"/>
      <c r="F52" s="390"/>
      <c r="G52" s="391"/>
      <c r="H52" s="391"/>
      <c r="I52" s="398"/>
      <c r="J52" s="398"/>
      <c r="K52" s="399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</row>
    <row r="53" spans="1:28" s="357" customFormat="1" ht="26.45" hidden="1" customHeight="1">
      <c r="A53" s="423"/>
      <c r="B53" s="821">
        <v>27</v>
      </c>
      <c r="C53" s="393"/>
      <c r="D53" s="388"/>
      <c r="E53" s="389"/>
      <c r="F53" s="390"/>
      <c r="G53" s="391"/>
      <c r="H53" s="391"/>
      <c r="I53" s="398"/>
      <c r="J53" s="398"/>
      <c r="K53" s="399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</row>
    <row r="54" spans="1:28" s="357" customFormat="1" ht="26.45" hidden="1" customHeight="1">
      <c r="A54" s="423"/>
      <c r="B54" s="821">
        <v>28</v>
      </c>
      <c r="C54" s="393"/>
      <c r="D54" s="388"/>
      <c r="E54" s="389"/>
      <c r="F54" s="390"/>
      <c r="G54" s="391"/>
      <c r="H54" s="391"/>
      <c r="I54" s="398"/>
      <c r="J54" s="398"/>
      <c r="K54" s="399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</row>
    <row r="55" spans="1:28" s="357" customFormat="1" ht="26.45" hidden="1" customHeight="1">
      <c r="B55" s="821">
        <v>29</v>
      </c>
      <c r="C55" s="393"/>
      <c r="D55" s="388"/>
      <c r="E55" s="389"/>
      <c r="F55" s="390"/>
      <c r="G55" s="391"/>
      <c r="H55" s="391"/>
      <c r="I55" s="398"/>
      <c r="J55" s="398"/>
      <c r="K55" s="399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</row>
    <row r="56" spans="1:28" s="357" customFormat="1" ht="26.45" hidden="1" customHeight="1">
      <c r="B56" s="821">
        <v>30</v>
      </c>
      <c r="C56" s="393"/>
      <c r="D56" s="388"/>
      <c r="E56" s="389"/>
      <c r="F56" s="390"/>
      <c r="G56" s="391"/>
      <c r="H56" s="391"/>
      <c r="I56" s="398"/>
      <c r="J56" s="398"/>
      <c r="K56" s="399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</row>
    <row r="57" spans="1:28" s="357" customFormat="1" ht="26.45" hidden="1" customHeight="1">
      <c r="B57" s="821">
        <v>31</v>
      </c>
      <c r="C57" s="393"/>
      <c r="D57" s="388"/>
      <c r="E57" s="389"/>
      <c r="F57" s="390"/>
      <c r="G57" s="391"/>
      <c r="H57" s="391"/>
      <c r="I57" s="398"/>
      <c r="J57" s="398"/>
      <c r="K57" s="399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</row>
    <row r="58" spans="1:28" s="357" customFormat="1" ht="26.45" hidden="1" customHeight="1">
      <c r="B58" s="821">
        <v>32</v>
      </c>
      <c r="C58" s="393"/>
      <c r="D58" s="388"/>
      <c r="E58" s="389"/>
      <c r="F58" s="390"/>
      <c r="G58" s="504"/>
      <c r="H58" s="391"/>
      <c r="I58" s="398"/>
      <c r="J58" s="398"/>
      <c r="K58" s="399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</row>
    <row r="59" spans="1:28" s="357" customFormat="1" ht="26.45" hidden="1" customHeight="1">
      <c r="B59" s="821">
        <v>33</v>
      </c>
      <c r="C59" s="393"/>
      <c r="D59" s="388"/>
      <c r="E59" s="389"/>
      <c r="F59" s="390"/>
      <c r="G59" s="504"/>
      <c r="H59" s="391"/>
      <c r="I59" s="398"/>
      <c r="J59" s="398"/>
      <c r="K59" s="39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</row>
    <row r="60" spans="1:28" s="357" customFormat="1" ht="26.45" hidden="1" customHeight="1">
      <c r="B60" s="821">
        <v>34</v>
      </c>
      <c r="C60" s="393"/>
      <c r="D60" s="388"/>
      <c r="E60" s="389"/>
      <c r="F60" s="390"/>
      <c r="G60" s="504"/>
      <c r="H60" s="391"/>
      <c r="I60" s="398"/>
      <c r="J60" s="398"/>
      <c r="K60" s="399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</row>
    <row r="61" spans="1:28" s="357" customFormat="1" ht="26.45" hidden="1" customHeight="1">
      <c r="B61" s="821">
        <v>35</v>
      </c>
      <c r="C61" s="393"/>
      <c r="D61" s="388"/>
      <c r="E61" s="389"/>
      <c r="F61" s="390"/>
      <c r="G61" s="504"/>
      <c r="H61" s="391"/>
      <c r="I61" s="398"/>
      <c r="J61" s="398"/>
      <c r="K61" s="399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</row>
    <row r="62" spans="1:28" s="357" customFormat="1" ht="26.45" hidden="1" customHeight="1">
      <c r="B62" s="821">
        <v>36</v>
      </c>
      <c r="C62" s="393"/>
      <c r="D62" s="388"/>
      <c r="E62" s="389"/>
      <c r="F62" s="390"/>
      <c r="G62" s="504"/>
      <c r="H62" s="391"/>
      <c r="I62" s="398"/>
      <c r="J62" s="398"/>
      <c r="K62" s="399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</row>
    <row r="63" spans="1:28" s="357" customFormat="1" ht="26.45" hidden="1" customHeight="1">
      <c r="B63" s="821">
        <v>37</v>
      </c>
      <c r="C63" s="393"/>
      <c r="D63" s="388"/>
      <c r="E63" s="389"/>
      <c r="F63" s="390"/>
      <c r="G63" s="504"/>
      <c r="H63" s="391"/>
      <c r="I63" s="398"/>
      <c r="J63" s="398"/>
      <c r="K63" s="399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</row>
    <row r="64" spans="1:28" s="357" customFormat="1" ht="26.45" hidden="1" customHeight="1">
      <c r="B64" s="821">
        <v>38</v>
      </c>
      <c r="C64" s="393"/>
      <c r="D64" s="388"/>
      <c r="E64" s="389"/>
      <c r="F64" s="390"/>
      <c r="G64" s="504"/>
      <c r="H64" s="391"/>
      <c r="I64" s="398"/>
      <c r="J64" s="398"/>
      <c r="K64" s="399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</row>
    <row r="65" spans="2:28" s="357" customFormat="1" ht="26.45" hidden="1" customHeight="1">
      <c r="B65" s="821">
        <v>39</v>
      </c>
      <c r="C65" s="393"/>
      <c r="D65" s="388"/>
      <c r="E65" s="389"/>
      <c r="F65" s="390"/>
      <c r="G65" s="504"/>
      <c r="H65" s="391"/>
      <c r="I65" s="398"/>
      <c r="J65" s="398"/>
      <c r="K65" s="399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</row>
    <row r="66" spans="2:28" s="357" customFormat="1" ht="26.45" hidden="1" customHeight="1">
      <c r="B66" s="821">
        <v>40</v>
      </c>
      <c r="C66" s="393"/>
      <c r="D66" s="388"/>
      <c r="E66" s="389"/>
      <c r="F66" s="390"/>
      <c r="G66" s="504"/>
      <c r="H66" s="391"/>
      <c r="I66" s="398"/>
      <c r="J66" s="398"/>
      <c r="K66" s="399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</row>
    <row r="67" spans="2:28" s="357" customFormat="1" ht="26.45" hidden="1" customHeight="1">
      <c r="B67" s="821">
        <v>41</v>
      </c>
      <c r="C67" s="393"/>
      <c r="D67" s="388"/>
      <c r="E67" s="389"/>
      <c r="F67" s="390"/>
      <c r="G67" s="504"/>
      <c r="H67" s="391"/>
      <c r="I67" s="398"/>
      <c r="J67" s="398"/>
      <c r="K67" s="399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</row>
    <row r="68" spans="2:28" s="357" customFormat="1" ht="26.45" hidden="1" customHeight="1">
      <c r="B68" s="821">
        <v>42</v>
      </c>
      <c r="C68" s="393"/>
      <c r="D68" s="388"/>
      <c r="E68" s="389"/>
      <c r="F68" s="390"/>
      <c r="G68" s="504"/>
      <c r="H68" s="391"/>
      <c r="I68" s="398"/>
      <c r="J68" s="398"/>
      <c r="K68" s="399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</row>
    <row r="69" spans="2:28" s="357" customFormat="1" ht="26.45" hidden="1" customHeight="1">
      <c r="B69" s="821">
        <v>43</v>
      </c>
      <c r="C69" s="393"/>
      <c r="D69" s="388"/>
      <c r="E69" s="389"/>
      <c r="F69" s="390"/>
      <c r="G69" s="504"/>
      <c r="H69" s="391"/>
      <c r="I69" s="398"/>
      <c r="J69" s="398"/>
      <c r="K69" s="39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</row>
    <row r="70" spans="2:28" s="357" customFormat="1" ht="26.45" hidden="1" customHeight="1">
      <c r="B70" s="821">
        <v>44</v>
      </c>
      <c r="C70" s="393"/>
      <c r="D70" s="388"/>
      <c r="E70" s="389"/>
      <c r="F70" s="390"/>
      <c r="G70" s="504"/>
      <c r="H70" s="391"/>
      <c r="I70" s="398"/>
      <c r="J70" s="398"/>
      <c r="K70" s="399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</row>
    <row r="71" spans="2:28" s="357" customFormat="1" ht="26.45" hidden="1" customHeight="1">
      <c r="B71" s="821">
        <v>45</v>
      </c>
      <c r="C71" s="393"/>
      <c r="D71" s="388"/>
      <c r="E71" s="389"/>
      <c r="F71" s="390"/>
      <c r="G71" s="504"/>
      <c r="H71" s="391"/>
      <c r="I71" s="398"/>
      <c r="J71" s="398"/>
      <c r="K71" s="399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</row>
    <row r="72" spans="2:28" s="357" customFormat="1" ht="26.45" hidden="1" customHeight="1">
      <c r="B72" s="821">
        <v>46</v>
      </c>
      <c r="C72" s="393"/>
      <c r="D72" s="388"/>
      <c r="E72" s="389"/>
      <c r="F72" s="390"/>
      <c r="G72" s="504"/>
      <c r="H72" s="391"/>
      <c r="I72" s="398"/>
      <c r="J72" s="398"/>
      <c r="K72" s="399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</row>
    <row r="73" spans="2:28" s="357" customFormat="1" ht="26.45" hidden="1" customHeight="1">
      <c r="B73" s="821">
        <v>47</v>
      </c>
      <c r="C73" s="393"/>
      <c r="D73" s="388"/>
      <c r="E73" s="389"/>
      <c r="F73" s="390"/>
      <c r="G73" s="504"/>
      <c r="H73" s="391"/>
      <c r="I73" s="398"/>
      <c r="J73" s="398"/>
      <c r="K73" s="399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</row>
    <row r="74" spans="2:28" s="357" customFormat="1" ht="26.45" hidden="1" customHeight="1">
      <c r="B74" s="821">
        <v>48</v>
      </c>
      <c r="C74" s="393"/>
      <c r="D74" s="388"/>
      <c r="E74" s="389"/>
      <c r="F74" s="390"/>
      <c r="G74" s="504"/>
      <c r="H74" s="391"/>
      <c r="I74" s="398"/>
      <c r="J74" s="398"/>
      <c r="K74" s="399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</row>
    <row r="75" spans="2:28" s="357" customFormat="1" ht="26.45" hidden="1" customHeight="1">
      <c r="B75" s="821">
        <v>49</v>
      </c>
      <c r="C75" s="393"/>
      <c r="D75" s="388"/>
      <c r="E75" s="389"/>
      <c r="F75" s="390"/>
      <c r="G75" s="504"/>
      <c r="H75" s="391"/>
      <c r="I75" s="398"/>
      <c r="J75" s="398"/>
      <c r="K75" s="399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</row>
    <row r="76" spans="2:28" s="357" customFormat="1" ht="26.45" hidden="1" customHeight="1">
      <c r="B76" s="821">
        <v>50</v>
      </c>
      <c r="C76" s="393"/>
      <c r="D76" s="388"/>
      <c r="E76" s="389"/>
      <c r="F76" s="390"/>
      <c r="G76" s="504"/>
      <c r="H76" s="391"/>
      <c r="I76" s="398"/>
      <c r="J76" s="398"/>
      <c r="K76" s="399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</row>
    <row r="77" spans="2:28" s="357" customFormat="1" ht="26.45" hidden="1" customHeight="1">
      <c r="B77" s="821">
        <v>51</v>
      </c>
      <c r="C77" s="393"/>
      <c r="D77" s="388"/>
      <c r="E77" s="389"/>
      <c r="F77" s="390"/>
      <c r="G77" s="504"/>
      <c r="H77" s="391"/>
      <c r="I77" s="398"/>
      <c r="J77" s="398"/>
      <c r="K77" s="399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</row>
    <row r="78" spans="2:28" s="357" customFormat="1" ht="26.45" hidden="1" customHeight="1">
      <c r="B78" s="821">
        <v>52</v>
      </c>
      <c r="C78" s="393"/>
      <c r="D78" s="388"/>
      <c r="E78" s="389"/>
      <c r="F78" s="390"/>
      <c r="G78" s="504"/>
      <c r="H78" s="391"/>
      <c r="I78" s="398"/>
      <c r="J78" s="398"/>
      <c r="K78" s="399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</row>
    <row r="79" spans="2:28" s="357" customFormat="1" ht="26.45" hidden="1" customHeight="1">
      <c r="B79" s="821">
        <v>53</v>
      </c>
      <c r="C79" s="393"/>
      <c r="D79" s="388"/>
      <c r="E79" s="389"/>
      <c r="F79" s="390"/>
      <c r="G79" s="504"/>
      <c r="H79" s="391"/>
      <c r="I79" s="398"/>
      <c r="J79" s="398"/>
      <c r="K79" s="39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</row>
    <row r="80" spans="2:28" s="357" customFormat="1" ht="26.45" hidden="1" customHeight="1">
      <c r="B80" s="821">
        <v>54</v>
      </c>
      <c r="C80" s="393"/>
      <c r="D80" s="388"/>
      <c r="E80" s="389"/>
      <c r="F80" s="390"/>
      <c r="G80" s="504"/>
      <c r="H80" s="391"/>
      <c r="I80" s="398"/>
      <c r="J80" s="398"/>
      <c r="K80" s="399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</row>
    <row r="81" spans="2:28" s="357" customFormat="1" ht="26.45" hidden="1" customHeight="1">
      <c r="B81" s="821">
        <v>55</v>
      </c>
      <c r="C81" s="393"/>
      <c r="D81" s="388"/>
      <c r="E81" s="389"/>
      <c r="F81" s="390"/>
      <c r="G81" s="504"/>
      <c r="H81" s="391"/>
      <c r="I81" s="398"/>
      <c r="J81" s="398"/>
      <c r="K81" s="399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</row>
    <row r="82" spans="2:28" s="357" customFormat="1" ht="26.45" hidden="1" customHeight="1">
      <c r="B82" s="821">
        <v>56</v>
      </c>
      <c r="C82" s="393"/>
      <c r="D82" s="388"/>
      <c r="E82" s="389"/>
      <c r="F82" s="390"/>
      <c r="G82" s="504"/>
      <c r="H82" s="391"/>
      <c r="I82" s="398"/>
      <c r="J82" s="398"/>
      <c r="K82" s="399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</row>
    <row r="83" spans="2:28" s="357" customFormat="1" ht="26.45" hidden="1" customHeight="1">
      <c r="B83" s="821">
        <v>57</v>
      </c>
      <c r="C83" s="393"/>
      <c r="D83" s="388"/>
      <c r="E83" s="389"/>
      <c r="F83" s="390"/>
      <c r="G83" s="504"/>
      <c r="H83" s="391"/>
      <c r="I83" s="398"/>
      <c r="J83" s="398"/>
      <c r="K83" s="399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</row>
    <row r="84" spans="2:28" s="357" customFormat="1" ht="26.45" hidden="1" customHeight="1">
      <c r="B84" s="821">
        <v>58</v>
      </c>
      <c r="C84" s="393"/>
      <c r="D84" s="388"/>
      <c r="E84" s="389"/>
      <c r="F84" s="390"/>
      <c r="G84" s="504"/>
      <c r="H84" s="391"/>
      <c r="I84" s="398"/>
      <c r="J84" s="398"/>
      <c r="K84" s="399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</row>
    <row r="85" spans="2:28" s="357" customFormat="1" ht="26.45" hidden="1" customHeight="1">
      <c r="B85" s="821">
        <v>59</v>
      </c>
      <c r="C85" s="393"/>
      <c r="D85" s="388"/>
      <c r="E85" s="389"/>
      <c r="F85" s="390"/>
      <c r="G85" s="504"/>
      <c r="H85" s="391"/>
      <c r="I85" s="398"/>
      <c r="J85" s="398"/>
      <c r="K85" s="399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</row>
    <row r="86" spans="2:28" s="357" customFormat="1" ht="26.45" hidden="1" customHeight="1">
      <c r="B86" s="821">
        <v>60</v>
      </c>
      <c r="C86" s="393"/>
      <c r="D86" s="388"/>
      <c r="E86" s="389"/>
      <c r="F86" s="390"/>
      <c r="G86" s="504"/>
      <c r="H86" s="391"/>
      <c r="I86" s="398"/>
      <c r="J86" s="398"/>
      <c r="K86" s="399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</row>
    <row r="87" spans="2:28" s="357" customFormat="1" ht="26.45" hidden="1" customHeight="1">
      <c r="B87" s="821">
        <v>61</v>
      </c>
      <c r="C87" s="393"/>
      <c r="D87" s="388"/>
      <c r="E87" s="389"/>
      <c r="F87" s="390"/>
      <c r="G87" s="504"/>
      <c r="H87" s="391"/>
      <c r="I87" s="398"/>
      <c r="J87" s="398"/>
      <c r="K87" s="399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</row>
    <row r="88" spans="2:28" s="357" customFormat="1" ht="26.45" hidden="1" customHeight="1">
      <c r="B88" s="821">
        <v>62</v>
      </c>
      <c r="C88" s="393"/>
      <c r="D88" s="388"/>
      <c r="E88" s="389"/>
      <c r="F88" s="390"/>
      <c r="G88" s="504"/>
      <c r="H88" s="391"/>
      <c r="I88" s="398"/>
      <c r="J88" s="398"/>
      <c r="K88" s="399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</row>
    <row r="89" spans="2:28" s="357" customFormat="1" ht="26.45" hidden="1" customHeight="1">
      <c r="B89" s="821">
        <v>63</v>
      </c>
      <c r="C89" s="393"/>
      <c r="D89" s="388"/>
      <c r="E89" s="389"/>
      <c r="F89" s="390"/>
      <c r="G89" s="504"/>
      <c r="H89" s="391"/>
      <c r="I89" s="398"/>
      <c r="J89" s="398"/>
      <c r="K89" s="39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</row>
    <row r="90" spans="2:28" s="357" customFormat="1" ht="26.45" hidden="1" customHeight="1">
      <c r="B90" s="821">
        <v>64</v>
      </c>
      <c r="C90" s="393"/>
      <c r="D90" s="388"/>
      <c r="E90" s="389"/>
      <c r="F90" s="390"/>
      <c r="G90" s="504"/>
      <c r="H90" s="391"/>
      <c r="I90" s="398"/>
      <c r="J90" s="398"/>
      <c r="K90" s="399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</row>
    <row r="91" spans="2:28" s="357" customFormat="1" ht="26.45" hidden="1" customHeight="1">
      <c r="B91" s="821">
        <v>65</v>
      </c>
      <c r="C91" s="393"/>
      <c r="D91" s="388"/>
      <c r="E91" s="389"/>
      <c r="F91" s="390"/>
      <c r="G91" s="504"/>
      <c r="H91" s="391"/>
      <c r="I91" s="398"/>
      <c r="J91" s="398"/>
      <c r="K91" s="399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</row>
    <row r="92" spans="2:28" s="357" customFormat="1" ht="26.45" hidden="1" customHeight="1">
      <c r="B92" s="821">
        <v>66</v>
      </c>
      <c r="C92" s="393"/>
      <c r="D92" s="388"/>
      <c r="E92" s="389"/>
      <c r="F92" s="390"/>
      <c r="G92" s="504"/>
      <c r="H92" s="391"/>
      <c r="I92" s="398"/>
      <c r="J92" s="398"/>
      <c r="K92" s="399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</row>
    <row r="93" spans="2:28" s="357" customFormat="1" ht="26.45" hidden="1" customHeight="1">
      <c r="B93" s="821">
        <v>67</v>
      </c>
      <c r="C93" s="393"/>
      <c r="D93" s="388"/>
      <c r="E93" s="389"/>
      <c r="F93" s="390"/>
      <c r="G93" s="504"/>
      <c r="H93" s="391"/>
      <c r="I93" s="398"/>
      <c r="J93" s="398"/>
      <c r="K93" s="399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</row>
    <row r="94" spans="2:28" s="357" customFormat="1" ht="26.45" hidden="1" customHeight="1">
      <c r="B94" s="821">
        <v>68</v>
      </c>
      <c r="C94" s="393"/>
      <c r="D94" s="388"/>
      <c r="E94" s="389"/>
      <c r="F94" s="390"/>
      <c r="G94" s="504"/>
      <c r="H94" s="391"/>
      <c r="I94" s="398"/>
      <c r="J94" s="398"/>
      <c r="K94" s="399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</row>
    <row r="95" spans="2:28" s="357" customFormat="1" ht="26.45" hidden="1" customHeight="1">
      <c r="B95" s="821">
        <v>69</v>
      </c>
      <c r="C95" s="393"/>
      <c r="D95" s="388"/>
      <c r="E95" s="389"/>
      <c r="F95" s="390"/>
      <c r="G95" s="504"/>
      <c r="H95" s="391"/>
      <c r="I95" s="398"/>
      <c r="J95" s="398"/>
      <c r="K95" s="399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</row>
    <row r="96" spans="2:28" s="357" customFormat="1" ht="26.45" hidden="1" customHeight="1">
      <c r="B96" s="821">
        <v>70</v>
      </c>
      <c r="C96" s="393"/>
      <c r="D96" s="388"/>
      <c r="E96" s="389"/>
      <c r="F96" s="390"/>
      <c r="G96" s="504"/>
      <c r="H96" s="391"/>
      <c r="I96" s="398"/>
      <c r="J96" s="398"/>
      <c r="K96" s="399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</row>
    <row r="97" spans="2:28" s="357" customFormat="1" ht="26.45" hidden="1" customHeight="1">
      <c r="B97" s="821">
        <v>71</v>
      </c>
      <c r="C97" s="393"/>
      <c r="D97" s="388"/>
      <c r="E97" s="389"/>
      <c r="F97" s="390"/>
      <c r="G97" s="504"/>
      <c r="H97" s="391"/>
      <c r="I97" s="398"/>
      <c r="J97" s="398"/>
      <c r="K97" s="399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</row>
    <row r="98" spans="2:28" s="357" customFormat="1" ht="26.45" hidden="1" customHeight="1">
      <c r="B98" s="821">
        <v>72</v>
      </c>
      <c r="C98" s="393"/>
      <c r="D98" s="388"/>
      <c r="E98" s="389"/>
      <c r="F98" s="390"/>
      <c r="G98" s="504"/>
      <c r="H98" s="391"/>
      <c r="I98" s="398"/>
      <c r="J98" s="398"/>
      <c r="K98" s="399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</row>
    <row r="99" spans="2:28" s="357" customFormat="1" ht="26.45" hidden="1" customHeight="1">
      <c r="B99" s="821">
        <v>73</v>
      </c>
      <c r="C99" s="393"/>
      <c r="D99" s="388"/>
      <c r="E99" s="389"/>
      <c r="F99" s="390"/>
      <c r="G99" s="504"/>
      <c r="H99" s="391"/>
      <c r="I99" s="398"/>
      <c r="J99" s="398"/>
      <c r="K99" s="3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</row>
    <row r="100" spans="2:28" s="357" customFormat="1" ht="26.45" hidden="1" customHeight="1">
      <c r="B100" s="821">
        <v>74</v>
      </c>
      <c r="C100" s="393"/>
      <c r="D100" s="388"/>
      <c r="E100" s="389"/>
      <c r="F100" s="390"/>
      <c r="G100" s="504"/>
      <c r="H100" s="391"/>
      <c r="I100" s="398"/>
      <c r="J100" s="398"/>
      <c r="K100" s="399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</row>
    <row r="101" spans="2:28" s="357" customFormat="1" ht="26.45" hidden="1" customHeight="1">
      <c r="B101" s="821">
        <v>75</v>
      </c>
      <c r="C101" s="393"/>
      <c r="D101" s="388"/>
      <c r="E101" s="389"/>
      <c r="F101" s="390"/>
      <c r="G101" s="504"/>
      <c r="H101" s="391"/>
      <c r="I101" s="398"/>
      <c r="J101" s="398"/>
      <c r="K101" s="399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</row>
    <row r="102" spans="2:28" s="357" customFormat="1" ht="26.45" hidden="1" customHeight="1">
      <c r="B102" s="821">
        <v>76</v>
      </c>
      <c r="C102" s="393"/>
      <c r="D102" s="388"/>
      <c r="E102" s="389"/>
      <c r="F102" s="390"/>
      <c r="G102" s="504"/>
      <c r="H102" s="391"/>
      <c r="I102" s="398"/>
      <c r="J102" s="398"/>
      <c r="K102" s="399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</row>
    <row r="103" spans="2:28" s="357" customFormat="1" ht="26.45" hidden="1" customHeight="1">
      <c r="B103" s="821">
        <v>77</v>
      </c>
      <c r="C103" s="393"/>
      <c r="D103" s="388"/>
      <c r="E103" s="389"/>
      <c r="F103" s="390"/>
      <c r="G103" s="504"/>
      <c r="H103" s="391"/>
      <c r="I103" s="398"/>
      <c r="J103" s="398"/>
      <c r="K103" s="399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</row>
    <row r="104" spans="2:28" s="357" customFormat="1" ht="26.45" hidden="1" customHeight="1">
      <c r="B104" s="821">
        <v>78</v>
      </c>
      <c r="C104" s="393"/>
      <c r="D104" s="388"/>
      <c r="E104" s="389"/>
      <c r="F104" s="390"/>
      <c r="G104" s="504"/>
      <c r="H104" s="391"/>
      <c r="I104" s="398"/>
      <c r="J104" s="398"/>
      <c r="K104" s="399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</row>
    <row r="105" spans="2:28" s="357" customFormat="1" ht="26.45" hidden="1" customHeight="1">
      <c r="B105" s="821">
        <v>79</v>
      </c>
      <c r="C105" s="393"/>
      <c r="D105" s="388"/>
      <c r="E105" s="389"/>
      <c r="F105" s="390"/>
      <c r="G105" s="504"/>
      <c r="H105" s="391"/>
      <c r="I105" s="398"/>
      <c r="J105" s="398"/>
      <c r="K105" s="399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</row>
    <row r="106" spans="2:28" s="357" customFormat="1" ht="26.45" hidden="1" customHeight="1">
      <c r="B106" s="821">
        <v>80</v>
      </c>
      <c r="C106" s="393"/>
      <c r="D106" s="388"/>
      <c r="E106" s="389"/>
      <c r="F106" s="390"/>
      <c r="G106" s="504"/>
      <c r="H106" s="391"/>
      <c r="I106" s="398"/>
      <c r="J106" s="398"/>
      <c r="K106" s="399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</row>
    <row r="107" spans="2:28" s="357" customFormat="1" ht="26.45" hidden="1" customHeight="1">
      <c r="B107" s="821">
        <v>81</v>
      </c>
      <c r="C107" s="393"/>
      <c r="D107" s="388"/>
      <c r="E107" s="389"/>
      <c r="F107" s="390"/>
      <c r="G107" s="504"/>
      <c r="H107" s="391"/>
      <c r="I107" s="398"/>
      <c r="J107" s="398"/>
      <c r="K107" s="399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</row>
    <row r="108" spans="2:28" s="357" customFormat="1" ht="26.45" hidden="1" customHeight="1">
      <c r="B108" s="821">
        <v>82</v>
      </c>
      <c r="C108" s="393"/>
      <c r="D108" s="388"/>
      <c r="E108" s="389"/>
      <c r="F108" s="390"/>
      <c r="G108" s="504"/>
      <c r="H108" s="391"/>
      <c r="I108" s="398"/>
      <c r="J108" s="398"/>
      <c r="K108" s="399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</row>
    <row r="109" spans="2:28" s="357" customFormat="1" ht="26.45" hidden="1" customHeight="1">
      <c r="B109" s="821">
        <v>83</v>
      </c>
      <c r="C109" s="393"/>
      <c r="D109" s="388"/>
      <c r="E109" s="389"/>
      <c r="F109" s="390"/>
      <c r="G109" s="504"/>
      <c r="H109" s="391"/>
      <c r="I109" s="398"/>
      <c r="J109" s="398"/>
      <c r="K109" s="39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</row>
    <row r="110" spans="2:28" s="357" customFormat="1" ht="26.45" hidden="1" customHeight="1">
      <c r="B110" s="821">
        <v>84</v>
      </c>
      <c r="C110" s="393"/>
      <c r="D110" s="388"/>
      <c r="E110" s="389"/>
      <c r="F110" s="390"/>
      <c r="G110" s="504"/>
      <c r="H110" s="391"/>
      <c r="I110" s="398"/>
      <c r="J110" s="398"/>
      <c r="K110" s="399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</row>
    <row r="111" spans="2:28" s="357" customFormat="1" ht="26.45" hidden="1" customHeight="1">
      <c r="B111" s="821">
        <v>85</v>
      </c>
      <c r="C111" s="393"/>
      <c r="D111" s="388"/>
      <c r="E111" s="389"/>
      <c r="F111" s="390"/>
      <c r="G111" s="504"/>
      <c r="H111" s="391"/>
      <c r="I111" s="398"/>
      <c r="J111" s="398"/>
      <c r="K111" s="399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</row>
    <row r="112" spans="2:28" s="357" customFormat="1" ht="26.45" hidden="1" customHeight="1">
      <c r="B112" s="821">
        <v>86</v>
      </c>
      <c r="C112" s="393"/>
      <c r="D112" s="388"/>
      <c r="E112" s="389"/>
      <c r="F112" s="390"/>
      <c r="G112" s="504"/>
      <c r="H112" s="391"/>
      <c r="I112" s="398"/>
      <c r="J112" s="398"/>
      <c r="K112" s="399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</row>
    <row r="113" spans="2:28" s="357" customFormat="1" ht="26.45" hidden="1" customHeight="1">
      <c r="B113" s="821">
        <v>87</v>
      </c>
      <c r="C113" s="393"/>
      <c r="D113" s="388"/>
      <c r="E113" s="389"/>
      <c r="F113" s="390"/>
      <c r="G113" s="504"/>
      <c r="H113" s="391"/>
      <c r="I113" s="398"/>
      <c r="J113" s="398"/>
      <c r="K113" s="399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</row>
    <row r="114" spans="2:28" s="357" customFormat="1" ht="26.45" hidden="1" customHeight="1">
      <c r="B114" s="821">
        <v>88</v>
      </c>
      <c r="C114" s="393"/>
      <c r="D114" s="388"/>
      <c r="E114" s="389"/>
      <c r="F114" s="390"/>
      <c r="G114" s="504"/>
      <c r="H114" s="391"/>
      <c r="I114" s="398"/>
      <c r="J114" s="398"/>
      <c r="K114" s="399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</row>
    <row r="115" spans="2:28" s="357" customFormat="1" ht="26.45" hidden="1" customHeight="1">
      <c r="B115" s="821">
        <v>89</v>
      </c>
      <c r="C115" s="393"/>
      <c r="D115" s="388"/>
      <c r="E115" s="389"/>
      <c r="F115" s="390"/>
      <c r="G115" s="504"/>
      <c r="H115" s="391"/>
      <c r="I115" s="398"/>
      <c r="J115" s="398"/>
      <c r="K115" s="399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</row>
    <row r="116" spans="2:28" s="357" customFormat="1" ht="26.45" hidden="1" customHeight="1">
      <c r="B116" s="821">
        <v>90</v>
      </c>
      <c r="C116" s="393"/>
      <c r="D116" s="388"/>
      <c r="E116" s="389"/>
      <c r="F116" s="390"/>
      <c r="G116" s="504"/>
      <c r="H116" s="391"/>
      <c r="I116" s="398"/>
      <c r="J116" s="398"/>
      <c r="K116" s="399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</row>
    <row r="117" spans="2:28" s="357" customFormat="1" ht="26.45" hidden="1" customHeight="1">
      <c r="B117" s="821">
        <v>91</v>
      </c>
      <c r="C117" s="393"/>
      <c r="D117" s="388"/>
      <c r="E117" s="389"/>
      <c r="F117" s="390"/>
      <c r="G117" s="504"/>
      <c r="H117" s="391"/>
      <c r="I117" s="398"/>
      <c r="J117" s="398"/>
      <c r="K117" s="399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</row>
    <row r="118" spans="2:28" s="357" customFormat="1" ht="26.45" hidden="1" customHeight="1">
      <c r="B118" s="821">
        <v>92</v>
      </c>
      <c r="C118" s="393"/>
      <c r="D118" s="388"/>
      <c r="E118" s="389"/>
      <c r="F118" s="390"/>
      <c r="G118" s="504"/>
      <c r="H118" s="391"/>
      <c r="I118" s="398"/>
      <c r="J118" s="398"/>
      <c r="K118" s="399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</row>
    <row r="119" spans="2:28" s="357" customFormat="1" ht="26.45" hidden="1" customHeight="1">
      <c r="B119" s="821">
        <v>93</v>
      </c>
      <c r="C119" s="393"/>
      <c r="D119" s="388"/>
      <c r="E119" s="389"/>
      <c r="F119" s="390"/>
      <c r="G119" s="504"/>
      <c r="H119" s="391"/>
      <c r="I119" s="398"/>
      <c r="J119" s="398"/>
      <c r="K119" s="39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</row>
    <row r="120" spans="2:28" s="357" customFormat="1" ht="26.45" hidden="1" customHeight="1">
      <c r="B120" s="821">
        <v>94</v>
      </c>
      <c r="C120" s="393"/>
      <c r="D120" s="388"/>
      <c r="E120" s="389"/>
      <c r="F120" s="390"/>
      <c r="G120" s="504"/>
      <c r="H120" s="391"/>
      <c r="I120" s="398"/>
      <c r="J120" s="398"/>
      <c r="K120" s="399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</row>
    <row r="121" spans="2:28" s="357" customFormat="1" ht="26.45" hidden="1" customHeight="1">
      <c r="B121" s="821">
        <v>95</v>
      </c>
      <c r="C121" s="393"/>
      <c r="D121" s="388"/>
      <c r="E121" s="389"/>
      <c r="F121" s="390"/>
      <c r="G121" s="504"/>
      <c r="H121" s="391"/>
      <c r="I121" s="398"/>
      <c r="J121" s="398"/>
      <c r="K121" s="399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</row>
    <row r="122" spans="2:28" s="357" customFormat="1" ht="26.45" hidden="1" customHeight="1">
      <c r="B122" s="821">
        <v>96</v>
      </c>
      <c r="C122" s="393"/>
      <c r="D122" s="388"/>
      <c r="E122" s="389"/>
      <c r="F122" s="390"/>
      <c r="G122" s="504"/>
      <c r="H122" s="391"/>
      <c r="I122" s="398"/>
      <c r="J122" s="398"/>
      <c r="K122" s="399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</row>
    <row r="123" spans="2:28" s="357" customFormat="1" ht="26.45" hidden="1" customHeight="1">
      <c r="B123" s="821">
        <v>97</v>
      </c>
      <c r="C123" s="393"/>
      <c r="D123" s="388"/>
      <c r="E123" s="389"/>
      <c r="F123" s="390"/>
      <c r="G123" s="504"/>
      <c r="H123" s="391"/>
      <c r="I123" s="398"/>
      <c r="J123" s="398"/>
      <c r="K123" s="399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</row>
    <row r="124" spans="2:28" s="357" customFormat="1" ht="26.45" hidden="1" customHeight="1">
      <c r="B124" s="821">
        <v>98</v>
      </c>
      <c r="C124" s="393"/>
      <c r="D124" s="388"/>
      <c r="E124" s="389"/>
      <c r="F124" s="390"/>
      <c r="G124" s="504"/>
      <c r="H124" s="391"/>
      <c r="I124" s="398"/>
      <c r="J124" s="398"/>
      <c r="K124" s="399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</row>
    <row r="125" spans="2:28" s="357" customFormat="1" ht="26.45" hidden="1" customHeight="1">
      <c r="B125" s="821">
        <v>99</v>
      </c>
      <c r="C125" s="393"/>
      <c r="D125" s="388"/>
      <c r="E125" s="389"/>
      <c r="F125" s="390"/>
      <c r="G125" s="504"/>
      <c r="H125" s="391"/>
      <c r="I125" s="398"/>
      <c r="J125" s="398"/>
      <c r="K125" s="399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</row>
    <row r="126" spans="2:28" s="357" customFormat="1" ht="26.45" hidden="1" customHeight="1">
      <c r="B126" s="821">
        <v>100</v>
      </c>
      <c r="C126" s="393"/>
      <c r="D126" s="388"/>
      <c r="E126" s="389"/>
      <c r="F126" s="390"/>
      <c r="G126" s="504"/>
      <c r="H126" s="391"/>
      <c r="I126" s="398"/>
      <c r="J126" s="398"/>
      <c r="K126" s="399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</row>
    <row r="127" spans="2:28" s="357" customFormat="1" ht="26.45" hidden="1" customHeight="1">
      <c r="B127" s="821">
        <v>101</v>
      </c>
      <c r="C127" s="393"/>
      <c r="D127" s="388"/>
      <c r="E127" s="389"/>
      <c r="F127" s="390"/>
      <c r="G127" s="504"/>
      <c r="H127" s="391"/>
      <c r="I127" s="398"/>
      <c r="J127" s="398"/>
      <c r="K127" s="399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</row>
    <row r="128" spans="2:28" s="357" customFormat="1" ht="26.45" hidden="1" customHeight="1">
      <c r="B128" s="821">
        <v>102</v>
      </c>
      <c r="C128" s="393"/>
      <c r="D128" s="388"/>
      <c r="E128" s="389"/>
      <c r="F128" s="390"/>
      <c r="G128" s="504"/>
      <c r="H128" s="391"/>
      <c r="I128" s="398"/>
      <c r="J128" s="398"/>
      <c r="K128" s="399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</row>
    <row r="129" spans="2:28" s="357" customFormat="1" ht="26.45" hidden="1" customHeight="1">
      <c r="B129" s="821">
        <v>103</v>
      </c>
      <c r="C129" s="393"/>
      <c r="D129" s="388"/>
      <c r="E129" s="389"/>
      <c r="F129" s="390"/>
      <c r="G129" s="504"/>
      <c r="H129" s="391"/>
      <c r="I129" s="398"/>
      <c r="J129" s="398"/>
      <c r="K129" s="39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</row>
    <row r="130" spans="2:28" s="357" customFormat="1" ht="26.45" hidden="1" customHeight="1">
      <c r="B130" s="821">
        <v>104</v>
      </c>
      <c r="C130" s="393"/>
      <c r="D130" s="388"/>
      <c r="E130" s="389"/>
      <c r="F130" s="390"/>
      <c r="G130" s="504"/>
      <c r="H130" s="391"/>
      <c r="I130" s="398"/>
      <c r="J130" s="398"/>
      <c r="K130" s="399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</row>
    <row r="131" spans="2:28" s="357" customFormat="1" ht="26.45" hidden="1" customHeight="1">
      <c r="B131" s="821">
        <v>105</v>
      </c>
      <c r="C131" s="393"/>
      <c r="D131" s="388"/>
      <c r="E131" s="389"/>
      <c r="F131" s="390"/>
      <c r="G131" s="504"/>
      <c r="H131" s="391"/>
      <c r="I131" s="398"/>
      <c r="J131" s="398"/>
      <c r="K131" s="399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</row>
    <row r="132" spans="2:28" s="357" customFormat="1" ht="26.45" hidden="1" customHeight="1">
      <c r="B132" s="821">
        <v>106</v>
      </c>
      <c r="C132" s="393"/>
      <c r="D132" s="388"/>
      <c r="E132" s="389"/>
      <c r="F132" s="390"/>
      <c r="G132" s="504"/>
      <c r="H132" s="391"/>
      <c r="I132" s="398"/>
      <c r="J132" s="398"/>
      <c r="K132" s="399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</row>
    <row r="133" spans="2:28" s="357" customFormat="1" ht="26.45" hidden="1" customHeight="1">
      <c r="B133" s="821">
        <v>107</v>
      </c>
      <c r="C133" s="393"/>
      <c r="D133" s="388"/>
      <c r="E133" s="389"/>
      <c r="F133" s="390"/>
      <c r="G133" s="504"/>
      <c r="H133" s="391"/>
      <c r="I133" s="398"/>
      <c r="J133" s="398"/>
      <c r="K133" s="399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</row>
    <row r="134" spans="2:28" s="357" customFormat="1" ht="26.45" hidden="1" customHeight="1">
      <c r="B134" s="821">
        <v>108</v>
      </c>
      <c r="C134" s="393"/>
      <c r="D134" s="388"/>
      <c r="E134" s="389"/>
      <c r="F134" s="390"/>
      <c r="G134" s="504"/>
      <c r="H134" s="391"/>
      <c r="I134" s="398"/>
      <c r="J134" s="398"/>
      <c r="K134" s="399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</row>
    <row r="135" spans="2:28" s="357" customFormat="1" ht="26.45" hidden="1" customHeight="1">
      <c r="B135" s="821">
        <v>109</v>
      </c>
      <c r="C135" s="393"/>
      <c r="D135" s="388"/>
      <c r="E135" s="389"/>
      <c r="F135" s="390"/>
      <c r="G135" s="504"/>
      <c r="H135" s="391"/>
      <c r="I135" s="398"/>
      <c r="J135" s="398"/>
      <c r="K135" s="399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</row>
    <row r="136" spans="2:28" s="357" customFormat="1" ht="26.45" hidden="1" customHeight="1">
      <c r="B136" s="821">
        <v>110</v>
      </c>
      <c r="C136" s="393"/>
      <c r="D136" s="388"/>
      <c r="E136" s="389"/>
      <c r="F136" s="390"/>
      <c r="G136" s="504"/>
      <c r="H136" s="391"/>
      <c r="I136" s="398"/>
      <c r="J136" s="398"/>
      <c r="K136" s="399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</row>
    <row r="137" spans="2:28" s="357" customFormat="1" ht="26.45" hidden="1" customHeight="1">
      <c r="B137" s="821">
        <v>111</v>
      </c>
      <c r="C137" s="393"/>
      <c r="D137" s="388"/>
      <c r="E137" s="389"/>
      <c r="F137" s="390"/>
      <c r="G137" s="504"/>
      <c r="H137" s="391"/>
      <c r="I137" s="398"/>
      <c r="J137" s="398"/>
      <c r="K137" s="399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</row>
    <row r="138" spans="2:28" s="357" customFormat="1" ht="26.45" hidden="1" customHeight="1">
      <c r="B138" s="821">
        <v>112</v>
      </c>
      <c r="C138" s="393"/>
      <c r="D138" s="388"/>
      <c r="E138" s="389"/>
      <c r="F138" s="390"/>
      <c r="G138" s="504"/>
      <c r="H138" s="391"/>
      <c r="I138" s="398"/>
      <c r="J138" s="398"/>
      <c r="K138" s="399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</row>
    <row r="139" spans="2:28" s="357" customFormat="1" ht="26.45" hidden="1" customHeight="1">
      <c r="B139" s="821">
        <v>113</v>
      </c>
      <c r="C139" s="393"/>
      <c r="D139" s="388"/>
      <c r="E139" s="389"/>
      <c r="F139" s="390"/>
      <c r="G139" s="504"/>
      <c r="H139" s="391"/>
      <c r="I139" s="398"/>
      <c r="J139" s="398"/>
      <c r="K139" s="39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</row>
    <row r="140" spans="2:28" s="357" customFormat="1" ht="26.45" hidden="1" customHeight="1">
      <c r="B140" s="821">
        <v>114</v>
      </c>
      <c r="C140" s="393"/>
      <c r="D140" s="388"/>
      <c r="E140" s="389"/>
      <c r="F140" s="390"/>
      <c r="G140" s="504"/>
      <c r="H140" s="391"/>
      <c r="I140" s="398"/>
      <c r="J140" s="398"/>
      <c r="K140" s="399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</row>
    <row r="141" spans="2:28" s="357" customFormat="1" ht="26.45" hidden="1" customHeight="1">
      <c r="B141" s="821">
        <v>115</v>
      </c>
      <c r="C141" s="393"/>
      <c r="D141" s="388"/>
      <c r="E141" s="389"/>
      <c r="F141" s="390"/>
      <c r="G141" s="504"/>
      <c r="H141" s="391"/>
      <c r="I141" s="398"/>
      <c r="J141" s="398"/>
      <c r="K141" s="399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</row>
    <row r="142" spans="2:28" s="357" customFormat="1" ht="26.45" hidden="1" customHeight="1">
      <c r="B142" s="821">
        <v>116</v>
      </c>
      <c r="C142" s="393"/>
      <c r="D142" s="388"/>
      <c r="E142" s="389"/>
      <c r="F142" s="390"/>
      <c r="G142" s="504"/>
      <c r="H142" s="391"/>
      <c r="I142" s="398"/>
      <c r="J142" s="398"/>
      <c r="K142" s="399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</row>
    <row r="143" spans="2:28" s="357" customFormat="1" ht="26.45" hidden="1" customHeight="1">
      <c r="B143" s="821">
        <v>117</v>
      </c>
      <c r="C143" s="393"/>
      <c r="D143" s="388"/>
      <c r="E143" s="389"/>
      <c r="F143" s="390"/>
      <c r="G143" s="504"/>
      <c r="H143" s="391"/>
      <c r="I143" s="398"/>
      <c r="J143" s="398"/>
      <c r="K143" s="399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</row>
    <row r="144" spans="2:28" ht="33.950000000000003" customHeight="1">
      <c r="C144" s="196" t="s">
        <v>1891</v>
      </c>
      <c r="D144" s="340"/>
      <c r="E144" s="420"/>
      <c r="F144" s="421">
        <v>4048</v>
      </c>
      <c r="G144" s="1970" t="s">
        <v>1888</v>
      </c>
      <c r="H144" s="1970"/>
      <c r="I144" s="1971"/>
      <c r="J144" s="400">
        <v>318</v>
      </c>
      <c r="K144" s="401">
        <v>1287264</v>
      </c>
      <c r="N144" s="417" t="s">
        <v>1886</v>
      </c>
      <c r="O144" s="424">
        <v>0</v>
      </c>
    </row>
    <row r="145" spans="2:28" ht="33.950000000000003" customHeight="1">
      <c r="C145" s="422" t="s">
        <v>2987</v>
      </c>
      <c r="D145" s="187"/>
      <c r="E145" s="359"/>
      <c r="F145" s="416"/>
      <c r="G145" s="1968" t="s">
        <v>1890</v>
      </c>
      <c r="H145" s="1968"/>
      <c r="I145" s="1969"/>
      <c r="J145" s="400">
        <v>0</v>
      </c>
      <c r="K145" s="401">
        <v>0</v>
      </c>
      <c r="N145" s="417" t="s">
        <v>1887</v>
      </c>
      <c r="O145" s="425">
        <v>0</v>
      </c>
    </row>
    <row r="146" spans="2:28" ht="33.950000000000003" customHeight="1">
      <c r="C146" s="1912" t="str">
        <f>SpellNumber(print_pb_grand_total)</f>
        <v>Three Hundred Eighteen US Dollars and Zero Cents</v>
      </c>
      <c r="D146" s="1912"/>
      <c r="E146" s="1912"/>
      <c r="F146" s="1912"/>
      <c r="G146" s="1996" t="s">
        <v>2989</v>
      </c>
      <c r="H146" s="1996"/>
      <c r="I146" s="1997"/>
      <c r="J146" s="400">
        <v>318</v>
      </c>
      <c r="K146" s="401">
        <v>1287264</v>
      </c>
    </row>
    <row r="147" spans="2:28" ht="11.25" customHeight="1">
      <c r="C147" s="418"/>
      <c r="D147" s="418"/>
      <c r="E147" s="418"/>
      <c r="F147" s="418"/>
      <c r="G147" s="1902"/>
      <c r="H147" s="1902"/>
      <c r="I147" s="1902"/>
      <c r="J147" s="295"/>
    </row>
    <row r="148" spans="2:28" ht="2.25" customHeight="1">
      <c r="C148" s="419"/>
      <c r="D148" s="419"/>
      <c r="E148" s="419"/>
      <c r="F148" s="419"/>
      <c r="I148" s="115"/>
      <c r="J148" s="115"/>
      <c r="K148" s="115"/>
    </row>
    <row r="149" spans="2:28" ht="25.5">
      <c r="C149" s="392" t="s">
        <v>1872</v>
      </c>
      <c r="D149" s="360"/>
      <c r="E149" s="360"/>
      <c r="F149" s="361"/>
      <c r="G149" s="362"/>
      <c r="H149" s="363"/>
      <c r="I149" s="363"/>
      <c r="J149" s="364"/>
      <c r="K149" s="365"/>
    </row>
    <row r="150" spans="2:28">
      <c r="C150" s="374" t="s">
        <v>1839</v>
      </c>
      <c r="D150" s="375" t="s">
        <v>2663</v>
      </c>
      <c r="E150" s="375"/>
      <c r="F150" s="133"/>
      <c r="J150" s="5"/>
      <c r="K150" s="366"/>
    </row>
    <row r="151" spans="2:28">
      <c r="C151" s="374" t="s">
        <v>1840</v>
      </c>
      <c r="D151" s="375" t="s">
        <v>1577</v>
      </c>
      <c r="E151" s="375"/>
      <c r="F151" s="133"/>
      <c r="J151" s="5"/>
      <c r="K151" s="366"/>
    </row>
    <row r="152" spans="2:28">
      <c r="C152" s="374" t="s">
        <v>1841</v>
      </c>
      <c r="D152" s="411" t="s">
        <v>2664</v>
      </c>
      <c r="E152" s="376"/>
      <c r="F152" s="133"/>
      <c r="J152" s="5"/>
      <c r="K152" s="366"/>
    </row>
    <row r="153" spans="2:28">
      <c r="C153" s="367"/>
      <c r="D153" s="150"/>
      <c r="E153" s="150"/>
      <c r="F153"/>
      <c r="J153" s="5"/>
      <c r="K153" s="366"/>
    </row>
    <row r="154" spans="2:28">
      <c r="C154" s="368"/>
      <c r="D154" s="369"/>
      <c r="E154" s="369"/>
      <c r="F154" s="370"/>
      <c r="G154" s="371"/>
      <c r="H154" s="370"/>
      <c r="I154" s="370"/>
      <c r="J154" s="372"/>
      <c r="K154" s="373"/>
    </row>
    <row r="155" spans="2:28" ht="33.75" customHeight="1">
      <c r="C155" s="394" t="s">
        <v>3350</v>
      </c>
      <c r="D155" s="395"/>
      <c r="E155" s="395"/>
      <c r="F155" s="395"/>
      <c r="G155" s="395"/>
      <c r="H155" s="381"/>
      <c r="I155" s="381"/>
      <c r="J155" s="381"/>
      <c r="K155" s="382"/>
    </row>
    <row r="156" spans="2:28" s="3" customFormat="1" ht="26.25" customHeight="1">
      <c r="B156" s="13"/>
      <c r="C156" s="396" t="s">
        <v>3351</v>
      </c>
      <c r="D156" s="397"/>
      <c r="E156" s="397"/>
      <c r="F156" s="397"/>
      <c r="G156" s="397"/>
      <c r="H156" s="379"/>
      <c r="I156" s="379"/>
      <c r="J156" s="379"/>
      <c r="K156" s="380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</row>
    <row r="157" spans="2:28" ht="15">
      <c r="C157" s="9"/>
      <c r="D157" s="9"/>
      <c r="E157" s="9"/>
      <c r="F157" s="11"/>
      <c r="G157" s="358"/>
    </row>
    <row r="158" spans="2:28" ht="15">
      <c r="D158"/>
      <c r="E158"/>
      <c r="F158"/>
    </row>
    <row r="159" spans="2:28">
      <c r="C159" s="1903"/>
      <c r="D159" s="1903"/>
      <c r="E159" s="1903"/>
      <c r="F159" s="1903"/>
      <c r="G159" s="1903"/>
      <c r="H159" s="5"/>
      <c r="I159" s="1903"/>
      <c r="J159" s="1903"/>
      <c r="K159" s="1903"/>
    </row>
    <row r="160" spans="2:28">
      <c r="C160" s="5"/>
      <c r="G160" s="8"/>
      <c r="H160" s="5"/>
      <c r="I160" s="5"/>
      <c r="J160" s="5"/>
      <c r="K160" s="5"/>
    </row>
    <row r="161" spans="3:11">
      <c r="C161" s="5"/>
      <c r="G161" s="8"/>
      <c r="H161" s="5"/>
      <c r="I161" s="5"/>
      <c r="J161" s="5"/>
      <c r="K161" s="5"/>
    </row>
    <row r="162" spans="3:11">
      <c r="C162" s="5"/>
      <c r="G162" s="8"/>
      <c r="H162" s="5"/>
      <c r="I162" s="5"/>
      <c r="J162" s="5"/>
      <c r="K162" s="5"/>
    </row>
    <row r="163" spans="3:11">
      <c r="C163" s="5"/>
      <c r="G163" s="8"/>
      <c r="H163" s="5"/>
      <c r="I163" s="5"/>
      <c r="J163" s="5"/>
      <c r="K163" s="5"/>
    </row>
    <row r="164" spans="3:11">
      <c r="C164" s="5"/>
      <c r="G164" s="8"/>
      <c r="H164" s="5"/>
      <c r="I164" s="5"/>
      <c r="J164" s="5"/>
      <c r="K164" s="5"/>
    </row>
    <row r="165" spans="3:11">
      <c r="C165" s="5"/>
      <c r="G165" s="8"/>
      <c r="H165" s="5"/>
      <c r="I165" s="5"/>
      <c r="J165" s="5"/>
      <c r="K165" s="5"/>
    </row>
    <row r="166" spans="3:11">
      <c r="C166" s="5"/>
      <c r="G166" s="8"/>
      <c r="H166" s="5"/>
      <c r="I166" s="5"/>
      <c r="J166" s="5"/>
      <c r="K166" s="5"/>
    </row>
    <row r="167" spans="3:11">
      <c r="C167" s="5"/>
      <c r="G167" s="8"/>
      <c r="H167" s="5"/>
      <c r="I167" s="5"/>
      <c r="J167" s="5"/>
      <c r="K167" s="5"/>
    </row>
    <row r="168" spans="3:11">
      <c r="C168" s="5"/>
      <c r="G168" s="8"/>
      <c r="H168" s="5"/>
      <c r="I168" s="5"/>
      <c r="J168" s="5"/>
      <c r="K168" s="5"/>
    </row>
    <row r="169" spans="3:11">
      <c r="C169" s="5"/>
      <c r="G169" s="8"/>
      <c r="H169" s="5"/>
      <c r="I169" s="5"/>
      <c r="J169" s="5"/>
      <c r="K169" s="5"/>
    </row>
    <row r="170" spans="3:11">
      <c r="C170" s="5"/>
      <c r="G170" s="8"/>
      <c r="H170" s="5"/>
      <c r="I170" s="5"/>
      <c r="J170" s="5"/>
      <c r="K170" s="5"/>
    </row>
    <row r="171" spans="3:11">
      <c r="C171" s="5"/>
      <c r="G171" s="8"/>
      <c r="H171" s="5"/>
      <c r="I171" s="5"/>
      <c r="J171" s="5"/>
      <c r="K171" s="5"/>
    </row>
    <row r="172" spans="3:11">
      <c r="C172" s="5"/>
      <c r="G172" s="8"/>
      <c r="H172" s="5"/>
      <c r="I172" s="5"/>
      <c r="J172" s="5"/>
      <c r="K172" s="5"/>
    </row>
    <row r="173" spans="3:11">
      <c r="C173" s="5"/>
      <c r="G173" s="8"/>
      <c r="H173" s="5"/>
      <c r="I173" s="5"/>
      <c r="J173" s="5"/>
      <c r="K173" s="5"/>
    </row>
    <row r="174" spans="3:11">
      <c r="C174" s="5"/>
      <c r="G174" s="8"/>
      <c r="H174" s="5"/>
      <c r="I174" s="5"/>
      <c r="J174" s="5"/>
      <c r="K174" s="5"/>
    </row>
    <row r="175" spans="3:11">
      <c r="C175" s="5"/>
      <c r="G175" s="8"/>
      <c r="H175" s="5"/>
      <c r="I175" s="5"/>
      <c r="J175" s="5"/>
      <c r="K175" s="5"/>
    </row>
    <row r="176" spans="3:11">
      <c r="C176" s="5"/>
      <c r="G176" s="8"/>
      <c r="H176" s="5"/>
      <c r="I176" s="5"/>
      <c r="J176" s="5"/>
      <c r="K176" s="5"/>
    </row>
    <row r="177" spans="3:11">
      <c r="C177" s="5"/>
      <c r="G177" s="8"/>
      <c r="H177" s="5"/>
      <c r="I177" s="5"/>
      <c r="J177" s="5"/>
      <c r="K177" s="5"/>
    </row>
  </sheetData>
  <mergeCells count="15">
    <mergeCell ref="G147:I147"/>
    <mergeCell ref="C159:G159"/>
    <mergeCell ref="I159:K159"/>
    <mergeCell ref="F23:H23"/>
    <mergeCell ref="D25:F25"/>
    <mergeCell ref="D26:F26"/>
    <mergeCell ref="G144:I144"/>
    <mergeCell ref="G145:I145"/>
    <mergeCell ref="C146:F146"/>
    <mergeCell ref="G146:I146"/>
    <mergeCell ref="C3:K3"/>
    <mergeCell ref="R4:S4"/>
    <mergeCell ref="G10:H14"/>
    <mergeCell ref="C11:D11"/>
    <mergeCell ref="C13:F14"/>
  </mergeCells>
  <dataValidations count="3">
    <dataValidation type="textLength" allowBlank="1" showInputMessage="1" showErrorMessage="1" errorTitle="Number not valid" error="បញ្ចូលលេខមិនត្រឹមត្រូវេ! សូមបញ្ចូលលេខប្រអប់ ត្រឹមតែមួយខ្ទង់សម្រាប់មួយប្រអប់។ _x000a_" promptTitle="Customer TAX ID " sqref="M6" xr:uid="{D8293733-911D-475D-9BDE-8EB068678E54}">
      <formula1>1</formula1>
      <formula2>1</formula2>
    </dataValidation>
    <dataValidation allowBlank="1" showInputMessage="1" showErrorMessage="1" promptTitle="Email/Telelgram/Other" prompt="Email/Telelgram/Other" sqref="G21:J21" xr:uid="{B4CEF8F5-8652-4F07-89C2-61917DDE44A5}"/>
    <dataValidation allowBlank="1" showInputMessage="1" showErrorMessage="1" prompt="MOI ID/ Tax ID number" sqref="F22" xr:uid="{84F559E3-2DDC-47E8-8FC3-BF5FDA65DC4D}"/>
  </dataValidations>
  <printOptions horizontalCentered="1"/>
  <pageMargins left="0.19685039370078741" right="0" top="0.19685039370078741" bottom="0.19685039370078741" header="0" footer="7.874015748031496E-2"/>
  <pageSetup paperSize="9" scale="70" orientation="portrait" horizontalDpi="1200" verticalDpi="1200" r:id="rId1"/>
  <headerFooter>
    <oddFooter>&amp;CPage &amp;P of &amp;N</oddFooter>
  </headerFooter>
  <drawing r:id="rId2"/>
  <legacyDrawing r:id="rId3"/>
  <controls>
    <mc:AlternateContent xmlns:mc="http://schemas.openxmlformats.org/markup-compatibility/2006">
      <mc:Choice Requires="x14">
        <control shapeId="4640769" r:id="rId4" name="PurchaseBillComboBox">
          <controlPr defaultSize="0" autoLine="0" autoPict="0" r:id="rId5">
            <anchor moveWithCells="1">
              <from>
                <xdr:col>12</xdr:col>
                <xdr:colOff>723900</xdr:colOff>
                <xdr:row>0</xdr:row>
                <xdr:rowOff>66675</xdr:rowOff>
              </from>
              <to>
                <xdr:col>15</xdr:col>
                <xdr:colOff>28575</xdr:colOff>
                <xdr:row>0</xdr:row>
                <xdr:rowOff>581025</xdr:rowOff>
              </to>
            </anchor>
          </controlPr>
        </control>
      </mc:Choice>
      <mc:Fallback>
        <control shapeId="4640769" r:id="rId4" name="PurchaseBillComboBox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2CE98B-808C-422E-ABB4-1E51DB46C179}">
  <sheetPr codeName="Sheet59"/>
  <dimension ref="A1:CA208"/>
  <sheetViews>
    <sheetView showGridLines="0" zoomScale="80" zoomScaleNormal="80" zoomScaleSheetLayoutView="80" workbookViewId="0">
      <selection activeCell="M20" sqref="M20"/>
    </sheetView>
  </sheetViews>
  <sheetFormatPr defaultColWidth="9.140625" defaultRowHeight="24.95" customHeight="1"/>
  <cols>
    <col min="1" max="1" width="1.5703125" style="892" customWidth="1"/>
    <col min="2" max="2" width="4" style="892" customWidth="1"/>
    <col min="3" max="3" width="32" style="892" customWidth="1"/>
    <col min="4" max="4" width="8.7109375" style="892" customWidth="1"/>
    <col min="5" max="5" width="31.42578125" style="892" customWidth="1"/>
    <col min="6" max="6" width="4.28515625" style="897" customWidth="1"/>
    <col min="7" max="7" width="2.140625" style="896" hidden="1" customWidth="1"/>
    <col min="8" max="8" width="4.85546875" style="896" hidden="1" customWidth="1"/>
    <col min="9" max="9" width="3.5703125" style="933" customWidth="1"/>
    <col min="10" max="10" width="8" style="882" customWidth="1"/>
    <col min="11" max="11" width="6.28515625" style="882" customWidth="1"/>
    <col min="12" max="12" width="6.7109375" style="898" customWidth="1"/>
    <col min="13" max="13" width="48.5703125" style="899" customWidth="1"/>
    <col min="14" max="14" width="11.28515625" style="900" customWidth="1"/>
    <col min="15" max="15" width="10.85546875" style="882" customWidth="1"/>
    <col min="16" max="16" width="20.7109375" style="882" customWidth="1"/>
    <col min="17" max="17" width="13.85546875" style="882" hidden="1" customWidth="1"/>
    <col min="18" max="18" width="16.140625" style="882" hidden="1" customWidth="1"/>
    <col min="19" max="19" width="3.28515625" style="902" customWidth="1"/>
    <col min="20" max="20" width="18.140625" style="902" customWidth="1"/>
    <col min="21" max="21" width="19.5703125" style="903" customWidth="1"/>
    <col min="22" max="22" width="3" style="1000" customWidth="1"/>
    <col min="23" max="23" width="18.7109375" style="903" customWidth="1"/>
    <col min="24" max="24" width="3.28515625" style="1001" customWidth="1"/>
    <col min="25" max="25" width="16.5703125" style="903" customWidth="1"/>
    <col min="26" max="26" width="24.7109375" style="903" customWidth="1"/>
    <col min="27" max="27" width="14.85546875" style="892" customWidth="1"/>
    <col min="28" max="28" width="20.28515625" style="892" customWidth="1"/>
    <col min="29" max="29" width="14.85546875" style="892" customWidth="1"/>
    <col min="30" max="30" width="16.140625" style="882" customWidth="1"/>
    <col min="31" max="31" width="10.7109375" style="882" hidden="1" customWidth="1"/>
    <col min="32" max="32" width="13.7109375" style="892" customWidth="1"/>
    <col min="33" max="33" width="14.85546875" style="892" customWidth="1"/>
    <col min="34" max="34" width="17.28515625" style="892" customWidth="1"/>
    <col min="35" max="35" width="22.7109375" style="892" customWidth="1"/>
    <col min="36" max="36" width="18.5703125" style="892" customWidth="1"/>
    <col min="37" max="37" width="16.42578125" style="892" customWidth="1"/>
    <col min="38" max="38" width="19.42578125" style="906" hidden="1" customWidth="1"/>
    <col min="39" max="39" width="13.85546875" style="906" hidden="1" customWidth="1"/>
    <col min="40" max="40" width="14.28515625" style="907" hidden="1" customWidth="1"/>
    <col min="41" max="41" width="14.42578125" style="907" hidden="1" customWidth="1"/>
    <col min="42" max="42" width="19.85546875" style="907" hidden="1" customWidth="1"/>
    <col min="43" max="43" width="13.85546875" style="907" hidden="1" customWidth="1"/>
    <col min="44" max="44" width="14.42578125" style="907" hidden="1" customWidth="1"/>
    <col min="45" max="45" width="12.42578125" style="929" hidden="1" customWidth="1"/>
    <col min="46" max="46" width="16.28515625" style="907" hidden="1" customWidth="1"/>
    <col min="47" max="47" width="14.28515625" style="907" bestFit="1" customWidth="1"/>
    <col min="48" max="48" width="13.7109375" style="882" bestFit="1" customWidth="1"/>
    <col min="49" max="49" width="17.42578125" style="882" bestFit="1" customWidth="1"/>
    <col min="50" max="50" width="9.85546875" style="892" customWidth="1"/>
    <col min="51" max="51" width="21" style="892" customWidth="1"/>
    <col min="52" max="52" width="7.7109375" style="892" customWidth="1"/>
    <col min="53" max="53" width="6.7109375" style="892" customWidth="1"/>
    <col min="54" max="54" width="6.140625" style="892" bestFit="1" customWidth="1"/>
    <col min="55" max="55" width="9.140625" style="892" customWidth="1"/>
    <col min="56" max="56" width="2.7109375" style="1002" customWidth="1"/>
    <col min="57" max="57" width="9.7109375" style="892" customWidth="1"/>
    <col min="58" max="58" width="2.7109375" style="1002" customWidth="1"/>
    <col min="59" max="59" width="11.85546875" style="892" customWidth="1"/>
    <col min="60" max="60" width="2.7109375" style="1002" customWidth="1"/>
    <col min="61" max="61" width="16" style="892" customWidth="1"/>
    <col min="62" max="62" width="2.85546875" style="892" customWidth="1"/>
    <col min="63" max="63" width="5.140625" style="892" customWidth="1"/>
    <col min="64" max="64" width="1.85546875" style="892" customWidth="1"/>
    <col min="65" max="65" width="5.85546875" style="892" customWidth="1"/>
    <col min="66" max="66" width="7.140625" style="892" customWidth="1"/>
    <col min="67" max="67" width="1.42578125" style="892" customWidth="1"/>
    <col min="68" max="68" width="9.85546875" style="892" customWidth="1"/>
    <col min="69" max="69" width="21" style="892" customWidth="1"/>
    <col min="70" max="70" width="7.7109375" style="892" customWidth="1"/>
    <col min="71" max="72" width="6.7109375" style="892" customWidth="1"/>
    <col min="73" max="73" width="9.28515625" style="892" customWidth="1"/>
    <col min="74" max="74" width="2.7109375" style="1002" customWidth="1"/>
    <col min="75" max="75" width="9.7109375" style="892" customWidth="1"/>
    <col min="76" max="76" width="2.7109375" style="1002" customWidth="1"/>
    <col min="77" max="77" width="11.85546875" style="892" customWidth="1"/>
    <col min="78" max="78" width="2.7109375" style="1002" customWidth="1"/>
    <col min="79" max="79" width="16" style="892" customWidth="1"/>
    <col min="80" max="80" width="1.7109375" style="892" customWidth="1"/>
    <col min="81" max="81" width="9.140625" style="892" customWidth="1"/>
    <col min="82" max="16384" width="9.140625" style="892"/>
  </cols>
  <sheetData>
    <row r="1" spans="1:78" ht="8.25" customHeight="1" thickBot="1">
      <c r="B1" s="893"/>
      <c r="C1" s="894"/>
      <c r="D1" s="894"/>
      <c r="E1" s="894"/>
      <c r="F1" s="895"/>
    </row>
    <row r="2" spans="1:78" ht="38.25">
      <c r="B2" s="1003"/>
      <c r="C2" s="1004"/>
      <c r="D2" s="1004"/>
      <c r="E2" s="1004"/>
      <c r="F2" s="1005"/>
      <c r="G2" s="909"/>
      <c r="H2" s="909"/>
      <c r="I2" s="985"/>
      <c r="J2" s="1006" t="s">
        <v>1794</v>
      </c>
      <c r="K2" s="1007"/>
      <c r="L2" s="1007"/>
      <c r="M2" s="1007"/>
      <c r="N2" s="912"/>
      <c r="O2" s="1592"/>
      <c r="P2" s="1589" t="s">
        <v>3334</v>
      </c>
      <c r="Q2" s="912"/>
      <c r="R2" s="912"/>
      <c r="S2" s="2014">
        <f>NBC_Exchange_Rate!J11</f>
        <v>46265</v>
      </c>
      <c r="T2" s="2014"/>
      <c r="U2" s="926"/>
      <c r="V2" s="926"/>
      <c r="W2" s="915"/>
      <c r="X2" s="921"/>
      <c r="Y2" s="915"/>
      <c r="Z2" s="915"/>
    </row>
    <row r="3" spans="1:78" ht="8.25" customHeight="1" thickBot="1">
      <c r="B3" s="1009"/>
      <c r="C3" s="916"/>
      <c r="D3" s="916"/>
      <c r="E3" s="916"/>
      <c r="F3" s="1010"/>
      <c r="G3" s="917"/>
      <c r="H3" s="917"/>
      <c r="I3" s="986"/>
      <c r="J3" s="919"/>
      <c r="K3" s="919"/>
      <c r="L3" s="919"/>
      <c r="M3" s="919"/>
      <c r="N3" s="919"/>
      <c r="O3" s="919"/>
      <c r="P3" s="919"/>
      <c r="Q3" s="919"/>
      <c r="R3" s="919"/>
      <c r="S3" s="921"/>
      <c r="T3" s="921"/>
      <c r="U3" s="922"/>
      <c r="V3" s="1008"/>
      <c r="W3" s="922"/>
      <c r="X3" s="921"/>
      <c r="Y3" s="922"/>
      <c r="Z3" s="922"/>
    </row>
    <row r="4" spans="1:78" ht="35.1" customHeight="1" thickBot="1">
      <c r="A4" s="923"/>
      <c r="B4" s="1011"/>
      <c r="C4" s="924"/>
      <c r="D4" s="924"/>
      <c r="E4" s="924"/>
      <c r="F4" s="1012"/>
      <c r="J4" s="2011" t="str">
        <f>MID(pb_vendor,5,100)</f>
        <v>អឃីត ផេន ឯ.ក (ORCHID PAINT CO., LTD.)</v>
      </c>
      <c r="K4" s="2012"/>
      <c r="L4" s="2012"/>
      <c r="M4" s="2013"/>
      <c r="N4" s="1013"/>
      <c r="O4" s="1014"/>
      <c r="P4" s="1274" t="s">
        <v>3243</v>
      </c>
      <c r="Q4" s="1015"/>
      <c r="R4" s="1015"/>
      <c r="S4" s="2006">
        <v>4046</v>
      </c>
      <c r="T4" s="2007"/>
      <c r="U4" s="2007"/>
      <c r="V4" s="2008"/>
    </row>
    <row r="5" spans="1:78" s="882" customFormat="1" ht="9" customHeight="1">
      <c r="A5" s="930"/>
      <c r="B5" s="1016"/>
      <c r="C5" s="931"/>
      <c r="D5" s="931"/>
      <c r="E5" s="931"/>
      <c r="F5" s="1017"/>
      <c r="G5" s="932"/>
      <c r="H5" s="932"/>
      <c r="I5" s="933"/>
      <c r="L5" s="898"/>
      <c r="M5" s="899"/>
      <c r="N5" s="900"/>
      <c r="S5" s="902"/>
      <c r="T5" s="902"/>
      <c r="U5" s="934"/>
      <c r="V5" s="1000"/>
      <c r="W5" s="934"/>
      <c r="X5" s="902"/>
      <c r="Y5" s="934"/>
      <c r="Z5" s="934"/>
      <c r="AL5" s="907"/>
      <c r="AM5" s="907"/>
      <c r="AN5" s="907"/>
      <c r="AO5" s="907"/>
      <c r="AP5" s="907"/>
      <c r="AQ5" s="907"/>
      <c r="AR5" s="907"/>
      <c r="AT5" s="907"/>
      <c r="AU5" s="907"/>
      <c r="BD5" s="978"/>
      <c r="BF5" s="978"/>
      <c r="BH5" s="978"/>
      <c r="BV5" s="978"/>
      <c r="BX5" s="978"/>
      <c r="BZ5" s="978"/>
    </row>
    <row r="6" spans="1:78" s="907" customFormat="1" ht="28.5" customHeight="1">
      <c r="A6" s="937"/>
      <c r="B6" s="1018"/>
      <c r="C6" s="996" t="s">
        <v>1898</v>
      </c>
      <c r="D6" s="1609">
        <v>1</v>
      </c>
      <c r="E6" s="996" t="str">
        <f>IF(pb_status=-1,"Edit",IF(pb_status=1,"Issue",IF(pb_status=2,"Fullfilied",IF(pb_status=3,"Partial",1))))</f>
        <v>Issue</v>
      </c>
      <c r="F6" s="1012"/>
      <c r="G6" s="938"/>
      <c r="H6" s="938"/>
      <c r="I6" s="939"/>
      <c r="J6" s="1019" t="s">
        <v>47</v>
      </c>
      <c r="K6" s="2009" t="s">
        <v>660</v>
      </c>
      <c r="L6" s="2010"/>
      <c r="M6" s="1022" t="s">
        <v>89</v>
      </c>
      <c r="N6" s="1020" t="s">
        <v>135</v>
      </c>
      <c r="O6" s="1019" t="s">
        <v>1583</v>
      </c>
      <c r="P6" s="1019" t="s">
        <v>1884</v>
      </c>
      <c r="Q6" s="1021" t="s">
        <v>655</v>
      </c>
      <c r="R6" s="1019" t="s">
        <v>654</v>
      </c>
      <c r="S6" s="1023" t="str">
        <f>"ថ្លៃដើម"&amp;IF(pb_branch="",""," ("&amp;pb_currency_symbol&amp;")")</f>
        <v>ថ្លៃដើម ($)</v>
      </c>
      <c r="T6" s="1024"/>
      <c r="U6" s="1025"/>
      <c r="V6" s="2009" t="str">
        <f>"បញ្ចុះតម្លៃ"&amp;IF(pb_branch="",""," ("&amp;pb_currency_symbol&amp;")")</f>
        <v>បញ្ចុះតម្លៃ ($)</v>
      </c>
      <c r="W6" s="2010"/>
      <c r="X6" s="2009" t="str">
        <f>"សរុបតម្លៃ"&amp;IF(pb_branch="",""," ("&amp;pb_currency_symbol&amp;")")</f>
        <v>សរុបតម្លៃ ($)</v>
      </c>
      <c r="Y6" s="2010"/>
      <c r="Z6" s="1019" t="s">
        <v>64</v>
      </c>
      <c r="AA6" s="1019" t="s">
        <v>1530</v>
      </c>
      <c r="AB6" s="1019" t="s">
        <v>1809</v>
      </c>
      <c r="AC6" s="1019" t="s">
        <v>46</v>
      </c>
      <c r="AD6" s="1019" t="s">
        <v>1822</v>
      </c>
      <c r="AE6" s="1019" t="s">
        <v>224</v>
      </c>
      <c r="AF6" s="1019" t="s">
        <v>1810</v>
      </c>
      <c r="AG6" s="1019" t="s">
        <v>1811</v>
      </c>
      <c r="AH6" s="1019" t="s">
        <v>1952</v>
      </c>
      <c r="AI6" s="1019" t="s">
        <v>1959</v>
      </c>
      <c r="AJ6" s="1019" t="s">
        <v>1904</v>
      </c>
      <c r="AK6" s="1019" t="s">
        <v>1883</v>
      </c>
      <c r="AL6" s="1026" t="s">
        <v>1812</v>
      </c>
      <c r="AM6" s="1026" t="s">
        <v>1813</v>
      </c>
      <c r="AN6" s="1026" t="s">
        <v>1814</v>
      </c>
      <c r="AO6" s="1026" t="s">
        <v>1815</v>
      </c>
      <c r="AP6" s="1026" t="s">
        <v>1817</v>
      </c>
      <c r="AQ6" s="1026"/>
      <c r="AR6" s="1026"/>
      <c r="AS6" s="1026"/>
      <c r="AT6" s="1026"/>
      <c r="BD6" s="1027"/>
      <c r="BF6" s="1027"/>
      <c r="BH6" s="1027"/>
      <c r="BV6" s="1027"/>
      <c r="BX6" s="1027"/>
      <c r="BZ6" s="1027"/>
    </row>
    <row r="7" spans="1:78" ht="19.5" customHeight="1">
      <c r="A7" s="923"/>
      <c r="B7" s="1028"/>
      <c r="C7" s="940"/>
      <c r="D7" s="940"/>
      <c r="E7" s="940"/>
      <c r="F7" s="1029"/>
      <c r="G7" s="941"/>
      <c r="I7" s="933" t="s">
        <v>1801</v>
      </c>
      <c r="J7" s="993" t="s">
        <v>9</v>
      </c>
      <c r="K7" s="1030" t="s">
        <v>94</v>
      </c>
      <c r="L7" s="1031"/>
      <c r="M7" s="1032" t="s">
        <v>87</v>
      </c>
      <c r="N7" s="1030" t="s">
        <v>67</v>
      </c>
      <c r="O7" s="1033" t="s">
        <v>651</v>
      </c>
      <c r="P7" s="993" t="s">
        <v>1885</v>
      </c>
      <c r="Q7" s="1034" t="s">
        <v>1957</v>
      </c>
      <c r="R7" s="1033" t="s">
        <v>393</v>
      </c>
      <c r="S7" s="1035" t="s">
        <v>1905</v>
      </c>
      <c r="T7" s="1036"/>
      <c r="U7" s="1037" t="s">
        <v>1910</v>
      </c>
      <c r="V7" s="2015" t="s">
        <v>83</v>
      </c>
      <c r="W7" s="2016"/>
      <c r="X7" s="2015" t="s">
        <v>1901</v>
      </c>
      <c r="Y7" s="2016"/>
      <c r="Z7" s="993" t="s">
        <v>77</v>
      </c>
      <c r="AA7" s="993" t="s">
        <v>234</v>
      </c>
      <c r="AB7" s="993" t="s">
        <v>1818</v>
      </c>
      <c r="AC7" s="993" t="s">
        <v>1902</v>
      </c>
      <c r="AD7" s="993" t="s">
        <v>1836</v>
      </c>
      <c r="AE7" s="993" t="s">
        <v>637</v>
      </c>
      <c r="AF7" s="993" t="s">
        <v>656</v>
      </c>
      <c r="AG7" s="993" t="s">
        <v>657</v>
      </c>
      <c r="AH7" s="993" t="s">
        <v>1951</v>
      </c>
      <c r="AI7" s="993" t="s">
        <v>1953</v>
      </c>
      <c r="AJ7" s="993" t="s">
        <v>1903</v>
      </c>
      <c r="AK7" s="993" t="s">
        <v>1882</v>
      </c>
      <c r="AL7" s="1038" t="s">
        <v>1539</v>
      </c>
      <c r="AM7" s="1038" t="s">
        <v>1819</v>
      </c>
      <c r="AN7" s="1038" t="s">
        <v>1820</v>
      </c>
      <c r="AO7" s="1038" t="s">
        <v>1821</v>
      </c>
      <c r="AP7" s="1038" t="s">
        <v>1816</v>
      </c>
      <c r="AQ7" s="1279" t="s">
        <v>1988</v>
      </c>
      <c r="AR7" s="1279" t="s">
        <v>1989</v>
      </c>
      <c r="AS7" s="1279" t="s">
        <v>3336</v>
      </c>
      <c r="AT7" s="1279" t="s">
        <v>3337</v>
      </c>
      <c r="AV7" s="907"/>
      <c r="AW7" s="907"/>
      <c r="AX7" s="907"/>
    </row>
    <row r="8" spans="1:78" ht="27" customHeight="1" thickBot="1">
      <c r="A8" s="923"/>
      <c r="B8" s="1039"/>
      <c r="C8" s="942" t="s">
        <v>2649</v>
      </c>
      <c r="D8" s="1040"/>
      <c r="E8" s="1041" t="s">
        <v>2650</v>
      </c>
      <c r="F8" s="1042" t="e">
        <f>COUNTIFS([1]PurchaseBill!AM8:AM10000,"&gt;0")</f>
        <v>#VALUE!</v>
      </c>
      <c r="G8" s="945"/>
      <c r="H8" s="945"/>
      <c r="I8" s="1610">
        <f>IF(M8="","",MID(M8,1,5)*1)</f>
        <v>456</v>
      </c>
      <c r="J8" s="1627">
        <f>IF(M8="","",1)</f>
        <v>1</v>
      </c>
      <c r="K8" s="1628" t="str">
        <f t="shared" ref="K8:K29" si="0">IF(M8="","",VLOOKUP(I8,product_list,4,FALSE))</f>
        <v>DKS0456</v>
      </c>
      <c r="L8" s="1629"/>
      <c r="M8" s="1043" t="s">
        <v>4716</v>
      </c>
      <c r="N8" s="1044"/>
      <c r="O8" s="1045"/>
      <c r="P8" s="1046" t="s">
        <v>4713</v>
      </c>
      <c r="Q8" s="1047"/>
      <c r="R8" s="1048"/>
      <c r="S8" s="1633" t="str">
        <f>IF(M8="","",pb_currency_symbol)</f>
        <v>$</v>
      </c>
      <c r="T8" s="1049"/>
      <c r="U8" s="1635">
        <f>IF(M8="","",ROUND(IF(P8=AL8,AD8,IF(P8=AM8,ROUND(AD8/AA8,9),IF(P8=AN8,ROUND(AD8/AB8,9)))),2))</f>
        <v>147.5</v>
      </c>
      <c r="V8" s="1633" t="str">
        <f t="shared" ref="V8" si="1">IF(W8=0,"",pb_currency_symbol)</f>
        <v/>
      </c>
      <c r="W8" s="1050"/>
      <c r="X8" s="1633" t="str">
        <f t="shared" ref="X8" si="2">IF(M8="","",pb_currency_symbol)</f>
        <v>$</v>
      </c>
      <c r="Y8" s="1637">
        <f>IF(M8="","",ROUND(IF(T8&gt;0,(N8)*T8-W8,(N8)*U8-W8),2))</f>
        <v>0</v>
      </c>
      <c r="Z8" s="1051"/>
      <c r="AA8" s="1639" cm="1">
        <f t="array" ref="AA8">IF(M8="","",IF(P8=AL8,1,Slookup(MID(AL8,1,3)*1,UomConversion!$D$8:$J$500,5,UomConversion!$E$8:$E$500,MID(P8,1,3)*1,UomConversion!$J$8:$J$500,1)))</f>
        <v>1</v>
      </c>
      <c r="AB8" s="1640">
        <f t="shared" ref="AB8" si="3">IF(AND(M8="",ISNA(VLOOKUP(I8,product_list,18,FALSE))),"",VLOOKUP(I8,product_list,18,FALSE))</f>
        <v>250</v>
      </c>
      <c r="AC8" s="1641">
        <f>IF(M8="","",W8)</f>
        <v>0</v>
      </c>
      <c r="AD8" s="1642">
        <f t="shared" ref="AD8" si="4">IF(M8="","",VLOOKUP(I8,product_list,14,FALSE))</f>
        <v>147.5</v>
      </c>
      <c r="AE8" s="1643">
        <f t="shared" ref="AE8" si="5">IF(M8="","",VLOOKUP(I8,product_list,23,FALSE))</f>
        <v>1</v>
      </c>
      <c r="AF8" s="1640">
        <f>IF(I8="","",IF(ISNA(MATCH(I8,IF(pb_location_id=1,'[1]1_inventory_totals'!$C$8:$C$10000,IF(pb_location_id=2,'[1]2_inventory_totals'!$C$8:$C$10000,"")),0)),0,IF(AS8&gt;0,1,0)))</f>
        <v>0</v>
      </c>
      <c r="AG8" s="1640" t="e">
        <f>IF(M8="","",IF(pb_location_id=1,SUMIFS('[1]1_inventory_total_details'!$J$8:$J$10000,'[1]1_inventory_total_details'!$C$8:$C$10000,I8,'[1]1_inventory_total_details'!$F$8:$F$10000,pb_location_id,'[1]1_inventory_total_details'!$G$8:$G$10000,"="&amp;Q8,'[1]1_inventory_total_details'!$H$8:$H$10000,"="&amp;R8,'[1]1_inventory_total_details'!$I$8:$I$10000,"="&amp;pb_date)+SUMIFS('[1]1_inventory_total_details'!$M$8:$M$10000,'[1]1_inventory_total_details'!$C$8:$C$10000,I8,'[1]1_inventory_total_details'!$F$8:$F$10000,pb_location_id,'[1]1_inventory_total_details'!$G$8:$G$10000,"="&amp;Q8,'[1]1_inventory_total_details'!$H$8:$H$10000,"="&amp;R8,'[1]1_inventory_total_details'!$I$8:$I$10000,"="&amp;pb_date)+SUMIFS('[1]1_inventory_total_details'!$K$8:$K$10000,'[1]1_inventory_total_details'!$C$8:$C$10000,I8,'[1]1_inventory_total_details'!$F$8:$F$10000,pb_location_id,'[1]1_inventory_total_details'!$G$8:$G$10000,"="&amp;Q8,'[1]1_inventory_total_details'!$H$8:$H$10000,"="&amp;R8,'[1]1_inventory_total_details'!$I$8:$I$10000,"="&amp;pb_date)+SUMIFS('[1]1_inventory_total_details'!$L$8:$L$10000,'[1]1_inventory_total_details'!$C$8:$C$10000,I8,'[1]1_inventory_total_details'!$F$8:$F$10000,pb_location_id,'[1]1_inventory_total_details'!$G$8:$G$10000,"="&amp;Q8,'[1]1_inventory_total_details'!$H$8:$H$10000,"="&amp;R8,'[1]1_inventory_total_details'!$I$8:$I$10000,"="&amp;pb_date),SUMIFS('[1]2_inventory_total_details'!$J$8:$J$10000,'[1]2_inventory_total_details'!$C$8:$C$10000,I8,'[1]1_inventory_total_details'!$F$8:$F$10000,pb_location_id,'[1]2_inventory_total_details'!$G$8:$G$10000,"="&amp;Q8,'[1]2_inventory_total_details'!$H$8:$H$10000,"="&amp;R8,'[1]2_inventory_total_details'!$I$8:$I$10000,"="&amp;pb_date)+SUMIFS('[1]2_inventory_total_details'!$M$8:$M$10000,'[1]2_inventory_total_details'!$C$8:$C$10000,I8,'[1]2_inventory_total_details'!$F$8:$F$10000,pb_location_id,'[1]2_inventory_total_details'!$G$8:$G$10000,"="&amp;Q8,'[1]2_inventory_total_details'!$H$8:$H$10000,"="&amp;R8,'[1]2_inventory_total_details'!$I$8:$I$10000,"="&amp;pb_date)+SUMIFS('[1]2_inventory_total_details'!$K$8:$K$10000,'[1]2_inventory_total_details'!$C$8:$C$10000,I8,'[1]2_inventory_total_details'!$F$8:$F$10000,pb_location_id,'[1]2_inventory_total_details'!$G$8:$G$10000,"="&amp;Q8,'[1]2_inventory_total_details'!$H$8:$H$10000,"="&amp;R8,'[1]2_inventory_total_details'!$I$8:$I$10000,"="&amp;pb_date)+SUMIFS('[1]2_inventory_total_details'!$L$8:$L$10000,'[1]2_inventory_total_details'!$C$8:$C$10000,I8,'[1]2_inventory_total_details'!$F$8:$F$10000,pb_location_id,'[1]2_inventory_total_details'!$G$8:$G$10000,"="&amp;Q8,'[1]2_inventory_total_details'!$H$8:$H$10000,"="&amp;R8,'[1]2_inventory_total_details'!$I$8:$I$10000,"="&amp;pb_date)))</f>
        <v>#VALUE!</v>
      </c>
      <c r="AH8" s="1640" t="e">
        <f>IF(M8="","",IF(ISNA(MATCH(I8,'[1]1_group_totals'!$C$8:$C$10000)),0,IF(AT8&gt;0,1,0)))</f>
        <v>#VALUE!</v>
      </c>
      <c r="AI8" s="1640" t="e">
        <f>IF(M8="","",(SUMIFS('[1]1_group_total_details'!$I$8:$I$10000,'[1]1_group_total_details'!$C$8:$C$10000,I8,'[1]1_group_total_details'!$F$8:$F$10000,pb_location_group_id,'[1]1_group_total_details'!$G$8:$G$10000,pb_location_id,'[1]1_group_total_details'!$H$8:$H$10000,"="&amp;pb_date)+SUMIFS('[1]1_group_total_details'!$L$8:$L$10000,'[1]1_group_total_details'!$C$8:$C$10000,I8,'[1]1_group_total_details'!$F$8:$F$10000,pb_location_group_id,'[1]1_group_total_details'!$G$8:$G$10000,pb_location_id,'[1]1_group_total_details'!$H$8:$H$10000,"="&amp;pb_date)+SUMIFS('[1]1_group_total_details'!$N$8:$N$10000,'[1]1_group_total_details'!$C$8:$C$10000,I8,'[1]1_group_total_details'!$F$8:$F$10000,pb_location_group_id,'[1]1_group_total_details'!$G$8:$G$10000,pb_location_id,'[1]1_group_total_details'!$H$8:$H$10000,"="&amp;pb_date)+SUMIFS('[1]1_group_total_details'!$O$8:$O$10000,'[1]1_group_total_details'!$C$8:$C$10000,I8,'[1]1_group_total_details'!$F$8:$F$10000,pb_location_group_id,'[1]1_group_total_details'!$G$8:$G$10000,pb_location_id,'[1]1_group_total_details'!$H$8:$H$10000,"="&amp;pb_date))+(SUMIFS('[1]1_group_total_details'!$J$8:$J$10000,'[1]1_group_total_details'!$C$8:$C$10000,I8,'[1]1_group_total_details'!$F$8:$F$10000,pb_location_group_id,'[1]1_group_total_details'!$G$8:$G$10000,pb_location_id,'[1]1_group_total_details'!$H$8:$H$10000,"="&amp;pb_date)+SUMIFS('[1]1_group_total_details'!$K$8:$K$10000,'[1]1_group_total_details'!$C$8:$C$10000,I8,'[1]1_group_total_details'!$F$8:$F$10000,pb_location_group_id,'[1]1_group_total_details'!$G$8:$G$10000,pb_location_id,'[1]1_group_total_details'!$H$8:$H$10000,"="&amp;pb_date)+SUMIFS('[1]1_group_total_details'!$M$8:$M$10000,'[1]1_group_total_details'!$C$8:$C$10000,I8,'[1]1_group_total_details'!$F$8:$F$10000,pb_location_group_id,'[1]1_group_total_details'!$G$8:$G$10000,pb_location_id,'[1]1_group_total_details'!$H$8:$H$10000,"="&amp;pb_date)+SUMIFS('[1]1_group_total_details'!$P$8:$P$10000,'[1]1_group_total_details'!$C$8:$C$10000,I8,'[1]1_group_total_details'!$F$8:$F$10000,pb_location_group_id,'[1]1_group_total_details'!$G$8:$G$10000,pb_location_id,'[1]1_group_total_details'!$H$8:$H$10000,"="&amp;pb_date)))</f>
        <v>#VALUE!</v>
      </c>
      <c r="AJ8" s="1640" t="e">
        <f>IF(M8="","",IF(AK8=0,0,(SUMIFS('[1]1_group_total_details'!$I$8:$I$10000,'[1]1_group_total_details'!$C$8:$C$10000,I8,'[1]1_group_total_details'!$F$8:$F$10000,pb_location_group_id,'[1]1_group_total_details'!$G$8:$G$10000,pb_location_id,'[1]1_group_total_details'!$H$8:$H$10000,"&lt;="&amp;pb_date)+SUMIFS('[1]1_group_total_details'!$L$8:$L$10000,'[1]1_group_total_details'!$C$8:$C$10000,I8,'[1]1_group_total_details'!$F$8:$F$10000,pb_location_group_id,'[1]1_group_total_details'!$G$8:$G$10000,pb_location_id,'[1]1_group_total_details'!$H$8:$H$10000,"&lt;="&amp;pb_date)+SUMIFS('[1]1_group_total_details'!$N$8:$N$10000,'[1]1_group_total_details'!$C$8:$C$10000,I8,'[1]1_group_total_details'!$F$8:$F$10000,pb_location_group_id,'[1]1_group_total_details'!$G$8:$G$10000,pb_location_id,'[1]1_group_total_details'!$H$8:$H$10000,"&lt;="&amp;pb_date)+SUMIFS('[1]1_group_total_details'!$O$8:$O$10000,'[1]1_group_total_details'!$C$8:$C$10000,I8,'[1]1_group_total_details'!$F$8:$F$10000,pb_location_group_id,'[1]1_group_total_details'!$G$8:$G$10000,pb_location_id,'[1]1_group_total_details'!$H$8:$H$10000,"&lt;="&amp;pb_date))-(SUMIFS('[1]1_group_total_details'!$J$8:$J$10000,'[1]1_group_total_details'!$C$8:$C$10000,I8,'[1]1_group_total_details'!$F$8:$F$10000,pb_location_group_id,'[1]1_group_total_details'!$G$8:$G$10000,pb_location_id,'[1]1_group_total_details'!$H$8:$H$10000,"&lt;="&amp;pb_date)+SUMIFS('[1]1_group_total_details'!$K$8:$K$10000,'[1]1_group_total_details'!$C$8:$C$10000,I8,'[1]1_group_total_details'!$F$8:$F$10000,pb_location_group_id,'[1]1_group_total_details'!$G$8:$G$10000,invoice_location_id,'[1]1_group_total_details'!$H$8:$H$10000,"&lt;="&amp;pb_date)+SUMIFS('[1]1_group_total_details'!$M$8:$M$10000,'[1]1_group_total_details'!$C$8:$C$10000,I8,'[1]1_group_total_details'!$F$8:$F$10000,pb_location_group_id,'[1]1_group_total_details'!$G$8:$G$10000,pb_location_id,'[1]1_group_total_details'!$H$8:$H$10000,"&lt;="&amp;pb_date)+SUMIFS('[1]1_group_total_details'!$P$8:$P$10000,'[1]1_group_total_details'!$C$8:$C$10000,I8,'[1]1_group_total_details'!$F$8:$F$10000,pb_location_group_id,'[1]1_group_total_details'!$G$8:$G$10000,pb_location_id,'[1]1_group_total_details'!$H$8:$H$10000,"&lt;="&amp;pb_date))))</f>
        <v>#VALUE!</v>
      </c>
      <c r="AK8" s="1640" t="e">
        <f>IF(M8="","",SUMIFS('[1]1_group_totals'!$J$8:$J$10000,'[1]1_group_totals'!$C$8:$C$10000,I8,'[1]1_group_totals'!$F$8:$F$10000,pb_location_group_id,'[1]1_group_totals'!$G$8:$G$10000,pb_location_id,'[1]1_group_totals'!$H$8:$H$10000,"="&amp;Q8,'[1]1_group_totals'!$I$8:$I$10000,"="&amp;R8))</f>
        <v>#VALUE!</v>
      </c>
      <c r="AL8" s="1644" t="str">
        <f t="shared" ref="AL8" si="6">IF(M8="","",VLOOKUP(I8,product_list,8,FALSE))</f>
        <v>093.Coil/250m</v>
      </c>
      <c r="AM8" s="1644" t="str">
        <f>IF(OR(ISNA(MATCH(MID(AL8,1,3)*1,UomConversion!$D$8:$D$500,0)),M8=""),"",IF(AQ8="","",AQ8))</f>
        <v>016.m</v>
      </c>
      <c r="AN8" s="1644" t="str">
        <f>IF(AND(AO8&gt;0,COUNTIFS(UomConversion!$D$8:$D$500,MID(AL8,1,3)*1,UomConversion!$J$8:$J$500,1)&gt;1),TEXT(AO8,"000")&amp;"."&amp;VLOOKUP(AO8,uom_list,5,FALSE),"")</f>
        <v/>
      </c>
      <c r="AO8" s="1640">
        <f>IF(AND(AR8&gt;0,M8&lt;&gt;""),AR8,"")</f>
        <v>16</v>
      </c>
      <c r="AP8" s="1645">
        <f>IF(M8="","",IF(AA8&gt;0,AB8/AA8,""))</f>
        <v>250</v>
      </c>
      <c r="AQ8" s="491" t="str">
        <f t="shared" ref="AQ8" si="7">IF(OR(ISNA(VLOOKUP(MID(AL8,1,3)*1,uom_converion_list,2,FALSE)),M8=""),"",TEXT(VLOOKUP(MID(AL8,1,3)*1,uom_converion_list,2,FALSE),"000")&amp;"."&amp;VLOOKUP(VLOOKUP(MID(AL8,1,3)*1,uom_converion_list,2,FALSE),uom_list,5,FALSE))</f>
        <v>016.m</v>
      </c>
      <c r="AR8" s="1281" cm="1">
        <f t="array" ref="AR8">IF(M8="","",IF(ISNA(Slookup(MID(AL8,1,3)*1,UomConversion!$D$8:$J$500,2,UomConversion!$I$8:$I$500,1,UomConversion!$J$8:$J$500,1)),"",Slookup(MID(AL8,1,3)*1,UomConversion!$D$8:$J$500,2,UomConversion!$I$8:$I$500,1,UomConversion!$J$8:$J$500,1)))</f>
        <v>16</v>
      </c>
      <c r="AS8" s="663" t="e">
        <f>IF(M8="","",(SUMIFS('[1]1_inventory_totals'!$I$8:$I$10000,'[1]1_inventory_totals'!$C$8:$C$10000,I8,'[1]1_inventory_totals'!$F$8:$F$10000,"="&amp;Q8,'[1]1_inventory_totals'!$G$8:$G$10000,"="&amp;R8)+SUMIFS('[1]1_inventory_totals'!$N$8:$N$10000,'[1]1_inventory_totals'!$C$8:$C$10000,I8,'[1]1_inventory_totals'!$F$8:$F$10000,"="&amp;Q8,'[1]1_inventory_totals'!$G$8:$G$10000,"="&amp;R8)+SUMIFS('[1]1_inventory_totals'!$P$8:$P$10000,'[1]1_inventory_totals'!$C$8:$C$10000,I8,'[1]1_inventory_totals'!$F$8:$F$10000,"="&amp;Q8,'[1]1_inventory_totals'!$G$8:$G$10000,"="&amp;R8)+SUMIFS('[1]1_inventory_totals'!$Q$8:$Q$10000,'[1]1_inventory_totals'!$C$8:$C$10000,I8,'[1]1_inventory_totals'!$F$8:$F$10000,"="&amp;Q8,'[1]1_inventory_totals'!$G$8:$G$10000,"="&amp;R8)+SUMIFS('[1]1_inventory_totals'!$R$8:$R$10000,'[1]1_inventory_totals'!$C$8:$C$10000,I8,'[1]1_inventory_totals'!$F$8:$F$10000,"="&amp;Q8,'[1]1_inventory_totals'!$G$8:$G$10000,"="&amp;R8))+(SUMIFS('[1]1_inventory_totals'!$J$8:$J$10000,'[1]1_inventory_totals'!$C$8:$C$10000,I8,'[1]1_inventory_totals'!$F$8:$F$10000,"="&amp;Q8,'[1]1_inventory_totals'!$G$8:$G$10000,"="&amp;R8)+SUMIFS('[1]1_inventory_totals'!$K$8:$K$10000,'[1]1_inventory_totals'!$C$8:$C$10000,I8,'[1]1_inventory_totals'!$F$8:$F$10000,"="&amp;Q8,'[1]1_inventory_totals'!$G$8:$G$10000,"="&amp;R8)+SUMIFS('[1]1_inventory_totals'!$L$8:$L$10000,'[1]1_inventory_totals'!$C$8:$C$10000,I8,'[1]1_inventory_totals'!$F$8:$F$10000,"="&amp;Q8,'[1]1_inventory_totals'!$G$8:$G$10000,"="&amp;R8)+SUMIFS('[1]1_inventory_totals'!$M$8:$M$10000,'[1]1_inventory_totals'!$C$8:$C$10000,I8,'[1]1_inventory_totals'!$F$8:$F$10000,"="&amp;Q8,'[1]1_inventory_totals'!$G$8:$G$10000,"="&amp;R8)+SUMIFS('[1]1_inventory_totals'!$O$8:$O$10000,'[1]1_inventory_totals'!$C$8:$C$10000,I8,'[1]1_inventory_totals'!$F$8:$F$10000,"="&amp;Q8,'[1]1_inventory_totals'!$G$8:$G$10000,"="&amp;R8)+SUMIFS('[1]1_inventory_totals'!$S$8:$S$10000,'[1]1_inventory_totals'!$C$8:$C$10000,I8,'[1]1_inventory_totals'!$F$8:$F$10000,"="&amp;Q8,'[1]1_inventory_totals'!$G$8:$G$10000,"="&amp;R8)))</f>
        <v>#VALUE!</v>
      </c>
      <c r="AT8" s="1281" t="e">
        <f>IF(M8="","",(SUMIFS('[1]1_group_totals'!$K$8:$K$10000,'[1]1_group_totals'!$C$8:$C$10000,I8,'[1]1_group_totals'!$F$8:$F$10000,pb_location_group_id,'[1]1_group_totals'!$G$8:$G$10000,pb_location_id,'[1]1_group_totals'!$H$8:$H$10000,"="&amp;Q8,'[1]1_group_totals'!$I$8:$I$10000,"="&amp;R8)+SUMIFS('[1]1_group_totals'!$N$8:$N$10000,'[1]1_group_totals'!$C$8:$C$10000,I8,'[1]1_group_totals'!$F$8:$F$10000,pb_location_group_id,'[1]1_group_totals'!$G$8:$G$10000,pb_location_id,'[1]1_group_totals'!$H$8:$H$10000,"="&amp;Q8,'[1]1_group_totals'!$I$8:$I$10000,"="&amp;R8)+SUMIFS('[1]1_group_totals'!$P$8:$P$10000,'[1]1_group_totals'!$C$8:$C$10000,I8,'[1]1_group_totals'!$F$8:$F$10000,pb_location_group_id,'[1]1_group_totals'!$G$8:$G$10000,pb_location_id,'[1]1_group_totals'!$H$8:$H$10000,"="&amp;Q8,'[1]1_group_totals'!$I$8:$I$10000,"="&amp;R8)+SUMIFS('[1]1_group_totals'!$Q$8:$Q$10000,'[1]1_group_totals'!$C$8:$C$10000,I8,'[1]1_group_totals'!$F$8:$F$10000,pb_location_group_id,'[1]1_group_totals'!$G$8:$G$10000,pb_location_id,'[1]1_group_totals'!$H$8:$H$10000,"="&amp;Q8,'[1]1_group_totals'!$I$8:$I$10000,"="&amp;R8))+(SUMIFS('[1]1_group_totals'!$L$8:$L$10000,'[1]1_group_totals'!$C$8:$C$10000,I8,'[1]1_group_totals'!$F$8:$F$10000,pb_location_group_id,'[1]1_group_totals'!$G$8:$G$10000,pb_location_id,'[1]1_group_totals'!$H$8:$H$10000,"="&amp;Q8,'[1]1_group_totals'!$I$8:$I$10000,"="&amp;R8)+SUMIFS('[1]1_group_totals'!$M$8:$M$10000,'[1]1_group_totals'!$C$8:$C$10000,I8,'[1]1_group_totals'!$F$8:$F$10000,pb_location_group_id,'[1]1_group_totals'!$G$8:$G$10000,pb_location_id,'[1]1_group_totals'!$H$8:$H$10000,"="&amp;Q8,'[1]1_group_totals'!$I$8:$I$10000,"="&amp;R8)+SUMIFS('[1]1_group_totals'!$O$8:$O$10000,'[1]1_group_totals'!$C$8:$C$10000,I8,'[1]1_group_totals'!$F$8:$F$10000,pb_location_group_id,'[1]1_group_totals'!$G$8:$G$10000,pb_location_id,'[1]1_group_totals'!$H$8:$H$10000,"="&amp;Q8,'[1]1_group_totals'!$I$8:$I$10000,"="&amp;R8)+SUMIFS('[1]1_group_totals'!$R$8:$R$10000,'[1]1_group_totals'!$C$8:$C$10000,I8,'[1]1_group_totals'!$F$8:$F$10000,pb_location_group_id,'[1]1_group_totals'!$G$8:$G$10000,pb_location_id,'[1]1_group_totals'!$H$8:$H$10000,"="&amp;Q8,'[1]1_group_totals'!$I$8:$I$10000,"="&amp;R8)))</f>
        <v>#VALUE!</v>
      </c>
    </row>
    <row r="9" spans="1:78" ht="27" customHeight="1" thickBot="1">
      <c r="A9" s="923"/>
      <c r="B9" s="1028"/>
      <c r="C9" s="1052">
        <v>46259</v>
      </c>
      <c r="D9" s="1622">
        <f>IFERROR(IF(pb_date="","",IF(AND(DAY(pb_date)&gt;0,DAY(pb_date)&lt;8),1,IF(AND(DAY(pb_date)&gt;7,DAY(pb_date)&lt;15),2,IF(AND(DAY(pb_date)&gt;14,DAY(pb_date)&lt;22),3,IF(AND(DAY(pb_date)&gt;21,DAY(pb_date)&lt;32),4,""))))),"")</f>
        <v>4</v>
      </c>
      <c r="E9" s="1618" t="e">
        <f>"KSPB"&amp;RIGHT(YEAR(C9),2)&amp;"-"&amp;TEXT(pb_no,"0000")</f>
        <v>#VALUE!</v>
      </c>
      <c r="F9" s="1617" t="e">
        <f>COUNTIFS([1]PurchaseBill!AM8:AM10000,"&gt;0")+1</f>
        <v>#VALUE!</v>
      </c>
      <c r="G9" s="941"/>
      <c r="I9" s="1610" t="str">
        <f t="shared" ref="I9:I72" si="8">IF(M9="","",MID(M9,1,5)*1)</f>
        <v/>
      </c>
      <c r="J9" s="1630" t="str">
        <f>IF(M9="","",J8+1)</f>
        <v/>
      </c>
      <c r="K9" s="1628" t="str">
        <f t="shared" si="0"/>
        <v/>
      </c>
      <c r="L9" s="1629"/>
      <c r="M9" s="1043"/>
      <c r="N9" s="1044"/>
      <c r="O9" s="1045"/>
      <c r="P9" s="1046"/>
      <c r="Q9" s="1047"/>
      <c r="R9" s="1053"/>
      <c r="S9" s="1634" t="str">
        <f t="shared" ref="S9" si="9">IF(M9="","",pb_currency_symbol)</f>
        <v/>
      </c>
      <c r="T9" s="1049"/>
      <c r="U9" s="1636" t="str">
        <f t="shared" ref="U9:U72" si="10">IF(M9="","",ROUND(IF(P9=AL9,AD9,IF(P9=AM9,ROUND(AD9/AA9,9),IF(P9=AN9,ROUND(AD9/AB9,9)))),2))</f>
        <v/>
      </c>
      <c r="V9" s="1634" t="str">
        <f t="shared" ref="V9" si="11">IF(W9=0,"",pb_currency_symbol)</f>
        <v/>
      </c>
      <c r="W9" s="1054"/>
      <c r="X9" s="1634" t="str">
        <f t="shared" ref="X9" si="12">IF(M9="","",pb_currency_symbol)</f>
        <v/>
      </c>
      <c r="Y9" s="1638" t="str">
        <f>IF(M9="","",ROUND(IF(T9&gt;0,(N9)*T9-W9,(N9)*U9-W9),2))</f>
        <v/>
      </c>
      <c r="Z9" s="1055"/>
      <c r="AA9" s="1639" t="str" cm="1">
        <f t="array" ref="AA9">IF(M9="","",IF(P9=AL9,1,Slookup(MID(AL9,1,3)*1,UomConversion!$D$8:$J$500,5,UomConversion!$E$8:$E$500,MID(P9,1,3)*1,UomConversion!$J$8:$J$500,1)))</f>
        <v/>
      </c>
      <c r="AB9" s="1640" t="str">
        <f t="shared" ref="AB9:AB72" si="13">IF(AND(M9="",ISNA(VLOOKUP(I9,product_list,18,FALSE))),"",VLOOKUP(I9,product_list,18,FALSE))</f>
        <v/>
      </c>
      <c r="AC9" s="1641" t="str">
        <f t="shared" ref="AC9:AC72" si="14">IF(M9="","",W9)</f>
        <v/>
      </c>
      <c r="AD9" s="1642" t="str">
        <f t="shared" ref="AD9:AD72" si="15">IF(M9="","",VLOOKUP(I9,product_list,14,FALSE))</f>
        <v/>
      </c>
      <c r="AE9" s="1643" t="str">
        <f t="shared" ref="AE9:AE72" si="16">IF(M9="","",VLOOKUP(I9,product_list,23,FALSE))</f>
        <v/>
      </c>
      <c r="AF9" s="1640" t="str">
        <f>IF(I9="","",IF(ISNA(MATCH(I9,IF(pb_location_id=1,'[1]1_inventory_totals'!$C$8:$C$10000,IF(pb_location_id=2,'[1]2_inventory_totals'!$C$8:$C$10000,"")),0)),0,IF(AS9&gt;0,1,0)))</f>
        <v/>
      </c>
      <c r="AG9" s="1640" t="str">
        <f>IF(M9="","",IF(pb_location_id=1,SUMIFS('[1]1_inventory_total_details'!$J$8:$J$10000,'[1]1_inventory_total_details'!$C$8:$C$10000,I9,'[1]1_inventory_total_details'!$F$8:$F$10000,pb_location_id,'[1]1_inventory_total_details'!$G$8:$G$10000,"="&amp;Q9,'[1]1_inventory_total_details'!$H$8:$H$10000,"="&amp;R9,'[1]1_inventory_total_details'!$I$8:$I$10000,"="&amp;pb_date)+SUMIFS('[1]1_inventory_total_details'!$M$8:$M$10000,'[1]1_inventory_total_details'!$C$8:$C$10000,I9,'[1]1_inventory_total_details'!$F$8:$F$10000,pb_location_id,'[1]1_inventory_total_details'!$G$8:$G$10000,"="&amp;Q9,'[1]1_inventory_total_details'!$H$8:$H$10000,"="&amp;R9,'[1]1_inventory_total_details'!$I$8:$I$10000,"="&amp;pb_date)+SUMIFS('[1]1_inventory_total_details'!$K$8:$K$10000,'[1]1_inventory_total_details'!$C$8:$C$10000,I9,'[1]1_inventory_total_details'!$F$8:$F$10000,pb_location_id,'[1]1_inventory_total_details'!$G$8:$G$10000,"="&amp;Q9,'[1]1_inventory_total_details'!$H$8:$H$10000,"="&amp;R9,'[1]1_inventory_total_details'!$I$8:$I$10000,"="&amp;pb_date)+SUMIFS('[1]1_inventory_total_details'!$L$8:$L$10000,'[1]1_inventory_total_details'!$C$8:$C$10000,I9,'[1]1_inventory_total_details'!$F$8:$F$10000,pb_location_id,'[1]1_inventory_total_details'!$G$8:$G$10000,"="&amp;Q9,'[1]1_inventory_total_details'!$H$8:$H$10000,"="&amp;R9,'[1]1_inventory_total_details'!$I$8:$I$10000,"="&amp;pb_date),SUMIFS('[1]2_inventory_total_details'!$J$8:$J$10000,'[1]2_inventory_total_details'!$C$8:$C$10000,I9,'[1]1_inventory_total_details'!$F$8:$F$10000,pb_location_id,'[1]2_inventory_total_details'!$G$8:$G$10000,"="&amp;Q9,'[1]2_inventory_total_details'!$H$8:$H$10000,"="&amp;R9,'[1]2_inventory_total_details'!$I$8:$I$10000,"="&amp;pb_date)+SUMIFS('[1]2_inventory_total_details'!$M$8:$M$10000,'[1]2_inventory_total_details'!$C$8:$C$10000,I9,'[1]2_inventory_total_details'!$F$8:$F$10000,pb_location_id,'[1]2_inventory_total_details'!$G$8:$G$10000,"="&amp;Q9,'[1]2_inventory_total_details'!$H$8:$H$10000,"="&amp;R9,'[1]2_inventory_total_details'!$I$8:$I$10000,"="&amp;pb_date)+SUMIFS('[1]2_inventory_total_details'!$K$8:$K$10000,'[1]2_inventory_total_details'!$C$8:$C$10000,I9,'[1]2_inventory_total_details'!$F$8:$F$10000,pb_location_id,'[1]2_inventory_total_details'!$G$8:$G$10000,"="&amp;Q9,'[1]2_inventory_total_details'!$H$8:$H$10000,"="&amp;R9,'[1]2_inventory_total_details'!$I$8:$I$10000,"="&amp;pb_date)+SUMIFS('[1]2_inventory_total_details'!$L$8:$L$10000,'[1]2_inventory_total_details'!$C$8:$C$10000,I9,'[1]2_inventory_total_details'!$F$8:$F$10000,pb_location_id,'[1]2_inventory_total_details'!$G$8:$G$10000,"="&amp;Q9,'[1]2_inventory_total_details'!$H$8:$H$10000,"="&amp;R9,'[1]2_inventory_total_details'!$I$8:$I$10000,"="&amp;pb_date)))</f>
        <v/>
      </c>
      <c r="AH9" s="1640" t="str">
        <f>IF(M9="","",IF(ISNA(MATCH(I9,'[1]1_group_totals'!$C$8:$C$10000)),0,IF(AT9&gt;0,1,0)))</f>
        <v/>
      </c>
      <c r="AI9" s="1640" t="str">
        <f>IF(M9="","",(SUMIFS('[1]1_group_total_details'!$I$8:$I$10000,'[1]1_group_total_details'!$C$8:$C$10000,I9,'[1]1_group_total_details'!$F$8:$F$10000,pb_location_group_id,'[1]1_group_total_details'!$G$8:$G$10000,pb_location_id,'[1]1_group_total_details'!$H$8:$H$10000,"="&amp;pb_date)+SUMIFS('[1]1_group_total_details'!$L$8:$L$10000,'[1]1_group_total_details'!$C$8:$C$10000,I9,'[1]1_group_total_details'!$F$8:$F$10000,pb_location_group_id,'[1]1_group_total_details'!$G$8:$G$10000,pb_location_id,'[1]1_group_total_details'!$H$8:$H$10000,"="&amp;pb_date)+SUMIFS('[1]1_group_total_details'!$N$8:$N$10000,'[1]1_group_total_details'!$C$8:$C$10000,I9,'[1]1_group_total_details'!$F$8:$F$10000,pb_location_group_id,'[1]1_group_total_details'!$G$8:$G$10000,pb_location_id,'[1]1_group_total_details'!$H$8:$H$10000,"="&amp;pb_date)+SUMIFS('[1]1_group_total_details'!$O$8:$O$10000,'[1]1_group_total_details'!$C$8:$C$10000,I9,'[1]1_group_total_details'!$F$8:$F$10000,pb_location_group_id,'[1]1_group_total_details'!$G$8:$G$10000,pb_location_id,'[1]1_group_total_details'!$H$8:$H$10000,"="&amp;pb_date))+(SUMIFS('[1]1_group_total_details'!$J$8:$J$10000,'[1]1_group_total_details'!$C$8:$C$10000,I9,'[1]1_group_total_details'!$F$8:$F$10000,pb_location_group_id,'[1]1_group_total_details'!$G$8:$G$10000,pb_location_id,'[1]1_group_total_details'!$H$8:$H$10000,"="&amp;pb_date)+SUMIFS('[1]1_group_total_details'!$K$8:$K$10000,'[1]1_group_total_details'!$C$8:$C$10000,I9,'[1]1_group_total_details'!$F$8:$F$10000,pb_location_group_id,'[1]1_group_total_details'!$G$8:$G$10000,pb_location_id,'[1]1_group_total_details'!$H$8:$H$10000,"="&amp;pb_date)+SUMIFS('[1]1_group_total_details'!$M$8:$M$10000,'[1]1_group_total_details'!$C$8:$C$10000,I9,'[1]1_group_total_details'!$F$8:$F$10000,pb_location_group_id,'[1]1_group_total_details'!$G$8:$G$10000,pb_location_id,'[1]1_group_total_details'!$H$8:$H$10000,"="&amp;pb_date)+SUMIFS('[1]1_group_total_details'!$P$8:$P$10000,'[1]1_group_total_details'!$C$8:$C$10000,I9,'[1]1_group_total_details'!$F$8:$F$10000,pb_location_group_id,'[1]1_group_total_details'!$G$8:$G$10000,pb_location_id,'[1]1_group_total_details'!$H$8:$H$10000,"="&amp;pb_date)))</f>
        <v/>
      </c>
      <c r="AJ9" s="1640" t="str">
        <f>IF(M9="","",IF(AK9=0,0,(SUMIFS('[1]1_group_total_details'!$I$8:$I$10000,'[1]1_group_total_details'!$C$8:$C$10000,I9,'[1]1_group_total_details'!$F$8:$F$10000,pb_location_group_id,'[1]1_group_total_details'!$G$8:$G$10000,pb_location_id,'[1]1_group_total_details'!$H$8:$H$10000,"&lt;="&amp;pb_date)+SUMIFS('[1]1_group_total_details'!$L$8:$L$10000,'[1]1_group_total_details'!$C$8:$C$10000,I9,'[1]1_group_total_details'!$F$8:$F$10000,pb_location_group_id,'[1]1_group_total_details'!$G$8:$G$10000,pb_location_id,'[1]1_group_total_details'!$H$8:$H$10000,"&lt;="&amp;pb_date)+SUMIFS('[1]1_group_total_details'!$N$8:$N$10000,'[1]1_group_total_details'!$C$8:$C$10000,I9,'[1]1_group_total_details'!$F$8:$F$10000,pb_location_group_id,'[1]1_group_total_details'!$G$8:$G$10000,pb_location_id,'[1]1_group_total_details'!$H$8:$H$10000,"&lt;="&amp;pb_date)+SUMIFS('[1]1_group_total_details'!$O$8:$O$10000,'[1]1_group_total_details'!$C$8:$C$10000,I9,'[1]1_group_total_details'!$F$8:$F$10000,pb_location_group_id,'[1]1_group_total_details'!$G$8:$G$10000,pb_location_id,'[1]1_group_total_details'!$H$8:$H$10000,"&lt;="&amp;pb_date))-(SUMIFS('[1]1_group_total_details'!$J$8:$J$10000,'[1]1_group_total_details'!$C$8:$C$10000,I9,'[1]1_group_total_details'!$F$8:$F$10000,pb_location_group_id,'[1]1_group_total_details'!$G$8:$G$10000,pb_location_id,'[1]1_group_total_details'!$H$8:$H$10000,"&lt;="&amp;pb_date)+SUMIFS('[1]1_group_total_details'!$K$8:$K$10000,'[1]1_group_total_details'!$C$8:$C$10000,I9,'[1]1_group_total_details'!$F$8:$F$10000,pb_location_group_id,'[1]1_group_total_details'!$G$8:$G$10000,invoice_location_id,'[1]1_group_total_details'!$H$8:$H$10000,"&lt;="&amp;pb_date)+SUMIFS('[1]1_group_total_details'!$M$8:$M$10000,'[1]1_group_total_details'!$C$8:$C$10000,I9,'[1]1_group_total_details'!$F$8:$F$10000,pb_location_group_id,'[1]1_group_total_details'!$G$8:$G$10000,pb_location_id,'[1]1_group_total_details'!$H$8:$H$10000,"&lt;="&amp;pb_date)+SUMIFS('[1]1_group_total_details'!$P$8:$P$10000,'[1]1_group_total_details'!$C$8:$C$10000,I9,'[1]1_group_total_details'!$F$8:$F$10000,pb_location_group_id,'[1]1_group_total_details'!$G$8:$G$10000,pb_location_id,'[1]1_group_total_details'!$H$8:$H$10000,"&lt;="&amp;pb_date))))</f>
        <v/>
      </c>
      <c r="AK9" s="1640" t="str">
        <f>IF(M9="","",SUMIFS('[1]1_group_totals'!$J$8:$J$10000,'[1]1_group_totals'!$C$8:$C$10000,I9,'[1]1_group_totals'!$F$8:$F$10000,pb_location_group_id,'[1]1_group_totals'!$G$8:$G$10000,pb_location_id,'[1]1_group_totals'!$H$8:$H$10000,"="&amp;Q9,'[1]1_group_totals'!$I$8:$I$10000,"="&amp;R9))</f>
        <v/>
      </c>
      <c r="AL9" s="1644" t="str">
        <f t="shared" ref="AL9:AL72" si="17">IF(M9="","",VLOOKUP(I9,product_list,8,FALSE))</f>
        <v/>
      </c>
      <c r="AM9" s="1644" t="str">
        <f>IF(OR(ISNA(MATCH(MID(AL9,1,3)*1,UomConversion!$D$8:$D$500,0)),M9=""),"",IF(AQ9="","",AQ9))</f>
        <v/>
      </c>
      <c r="AN9" s="1644" t="str">
        <f>IF(AND(AO9&gt;0,COUNTIFS(UomConversion!$D$8:$D$500,MID(AL9,1,3)*1,UomConversion!$J$8:$J$500,1)&gt;1),TEXT(AO9,"000")&amp;"."&amp;VLOOKUP(AO9,uom_list,5,FALSE),"")</f>
        <v/>
      </c>
      <c r="AO9" s="1640" t="str">
        <f t="shared" ref="AO9:AO72" si="18">IF(AND(AR9&gt;0,M9&lt;&gt;""),AR9,"")</f>
        <v/>
      </c>
      <c r="AP9" s="1645" t="str">
        <f t="shared" ref="AP9:AP72" si="19">IF(M9="","",IF(AA9&gt;0,AB9/AA9,""))</f>
        <v/>
      </c>
      <c r="AQ9" s="491" t="str">
        <f t="shared" ref="AQ9:AQ72" si="20">IF(OR(ISNA(VLOOKUP(MID(AL9,1,3)*1,uom_converion_list,2,FALSE)),M9=""),"",TEXT(VLOOKUP(MID(AL9,1,3)*1,uom_converion_list,2,FALSE),"000")&amp;"."&amp;VLOOKUP(VLOOKUP(MID(AL9,1,3)*1,uom_converion_list,2,FALSE),uom_list,5,FALSE))</f>
        <v/>
      </c>
      <c r="AR9" s="1281" t="str" cm="1">
        <f t="array" ref="AR9">IF(M9="","",IF(ISNA(Slookup(MID(AL9,1,3)*1,UomConversion!$D$8:$J$500,2,UomConversion!$I$8:$I$500,1,UomConversion!$J$8:$J$500,1)),"",Slookup(MID(AL9,1,3)*1,UomConversion!$D$8:$J$500,2,UomConversion!$I$8:$I$500,1,UomConversion!$J$8:$J$500,1)))</f>
        <v/>
      </c>
      <c r="AS9" s="663" t="str">
        <f>IF(M9="","",(SUMIFS('[1]1_inventory_totals'!$I$8:$I$10000,'[1]1_inventory_totals'!$C$8:$C$10000,I9,'[1]1_inventory_totals'!$F$8:$F$10000,"="&amp;Q9,'[1]1_inventory_totals'!$G$8:$G$10000,"="&amp;R9)+SUMIFS('[1]1_inventory_totals'!$N$8:$N$10000,'[1]1_inventory_totals'!$C$8:$C$10000,I9,'[1]1_inventory_totals'!$F$8:$F$10000,"="&amp;Q9,'[1]1_inventory_totals'!$G$8:$G$10000,"="&amp;R9)+SUMIFS('[1]1_inventory_totals'!$P$8:$P$10000,'[1]1_inventory_totals'!$C$8:$C$10000,I9,'[1]1_inventory_totals'!$F$8:$F$10000,"="&amp;Q9,'[1]1_inventory_totals'!$G$8:$G$10000,"="&amp;R9)+SUMIFS('[1]1_inventory_totals'!$Q$8:$Q$10000,'[1]1_inventory_totals'!$C$8:$C$10000,I9,'[1]1_inventory_totals'!$F$8:$F$10000,"="&amp;Q9,'[1]1_inventory_totals'!$G$8:$G$10000,"="&amp;R9)+SUMIFS('[1]1_inventory_totals'!$R$8:$R$10000,'[1]1_inventory_totals'!$C$8:$C$10000,I9,'[1]1_inventory_totals'!$F$8:$F$10000,"="&amp;Q9,'[1]1_inventory_totals'!$G$8:$G$10000,"="&amp;R9))+(SUMIFS('[1]1_inventory_totals'!$J$8:$J$10000,'[1]1_inventory_totals'!$C$8:$C$10000,I9,'[1]1_inventory_totals'!$F$8:$F$10000,"="&amp;Q9,'[1]1_inventory_totals'!$G$8:$G$10000,"="&amp;R9)+SUMIFS('[1]1_inventory_totals'!$K$8:$K$10000,'[1]1_inventory_totals'!$C$8:$C$10000,I9,'[1]1_inventory_totals'!$F$8:$F$10000,"="&amp;Q9,'[1]1_inventory_totals'!$G$8:$G$10000,"="&amp;R9)+SUMIFS('[1]1_inventory_totals'!$L$8:$L$10000,'[1]1_inventory_totals'!$C$8:$C$10000,I9,'[1]1_inventory_totals'!$F$8:$F$10000,"="&amp;Q9,'[1]1_inventory_totals'!$G$8:$G$10000,"="&amp;R9)+SUMIFS('[1]1_inventory_totals'!$M$8:$M$10000,'[1]1_inventory_totals'!$C$8:$C$10000,I9,'[1]1_inventory_totals'!$F$8:$F$10000,"="&amp;Q9,'[1]1_inventory_totals'!$G$8:$G$10000,"="&amp;R9)+SUMIFS('[1]1_inventory_totals'!$O$8:$O$10000,'[1]1_inventory_totals'!$C$8:$C$10000,I9,'[1]1_inventory_totals'!$F$8:$F$10000,"="&amp;Q9,'[1]1_inventory_totals'!$G$8:$G$10000,"="&amp;R9)+SUMIFS('[1]1_inventory_totals'!$S$8:$S$10000,'[1]1_inventory_totals'!$C$8:$C$10000,I9,'[1]1_inventory_totals'!$F$8:$F$10000,"="&amp;Q9,'[1]1_inventory_totals'!$G$8:$G$10000,"="&amp;R9)))</f>
        <v/>
      </c>
      <c r="AT9" s="1281" t="str">
        <f>IF(M9="","",(SUMIFS('[1]1_group_totals'!$K$8:$K$10000,'[1]1_group_totals'!$C$8:$C$10000,I9,'[1]1_group_totals'!$F$8:$F$10000,pb_location_group_id,'[1]1_group_totals'!$G$8:$G$10000,pb_location_id,'[1]1_group_totals'!$H$8:$H$10000,"="&amp;Q9,'[1]1_group_totals'!$I$8:$I$10000,"="&amp;R9)+SUMIFS('[1]1_group_totals'!$N$8:$N$10000,'[1]1_group_totals'!$C$8:$C$10000,I9,'[1]1_group_totals'!$F$8:$F$10000,pb_location_group_id,'[1]1_group_totals'!$G$8:$G$10000,pb_location_id,'[1]1_group_totals'!$H$8:$H$10000,"="&amp;Q9,'[1]1_group_totals'!$I$8:$I$10000,"="&amp;R9)+SUMIFS('[1]1_group_totals'!$P$8:$P$10000,'[1]1_group_totals'!$C$8:$C$10000,I9,'[1]1_group_totals'!$F$8:$F$10000,pb_location_group_id,'[1]1_group_totals'!$G$8:$G$10000,pb_location_id,'[1]1_group_totals'!$H$8:$H$10000,"="&amp;Q9,'[1]1_group_totals'!$I$8:$I$10000,"="&amp;R9)+SUMIFS('[1]1_group_totals'!$Q$8:$Q$10000,'[1]1_group_totals'!$C$8:$C$10000,I9,'[1]1_group_totals'!$F$8:$F$10000,pb_location_group_id,'[1]1_group_totals'!$G$8:$G$10000,pb_location_id,'[1]1_group_totals'!$H$8:$H$10000,"="&amp;Q9,'[1]1_group_totals'!$I$8:$I$10000,"="&amp;R9))+(SUMIFS('[1]1_group_totals'!$L$8:$L$10000,'[1]1_group_totals'!$C$8:$C$10000,I9,'[1]1_group_totals'!$F$8:$F$10000,pb_location_group_id,'[1]1_group_totals'!$G$8:$G$10000,pb_location_id,'[1]1_group_totals'!$H$8:$H$10000,"="&amp;Q9,'[1]1_group_totals'!$I$8:$I$10000,"="&amp;R9)+SUMIFS('[1]1_group_totals'!$M$8:$M$10000,'[1]1_group_totals'!$C$8:$C$10000,I9,'[1]1_group_totals'!$F$8:$F$10000,pb_location_group_id,'[1]1_group_totals'!$G$8:$G$10000,pb_location_id,'[1]1_group_totals'!$H$8:$H$10000,"="&amp;Q9,'[1]1_group_totals'!$I$8:$I$10000,"="&amp;R9)+SUMIFS('[1]1_group_totals'!$O$8:$O$10000,'[1]1_group_totals'!$C$8:$C$10000,I9,'[1]1_group_totals'!$F$8:$F$10000,pb_location_group_id,'[1]1_group_totals'!$G$8:$G$10000,pb_location_id,'[1]1_group_totals'!$H$8:$H$10000,"="&amp;Q9,'[1]1_group_totals'!$I$8:$I$10000,"="&amp;R9)+SUMIFS('[1]1_group_totals'!$R$8:$R$10000,'[1]1_group_totals'!$C$8:$C$10000,I9,'[1]1_group_totals'!$F$8:$F$10000,pb_location_group_id,'[1]1_group_totals'!$G$8:$G$10000,pb_location_id,'[1]1_group_totals'!$H$8:$H$10000,"="&amp;Q9,'[1]1_group_totals'!$I$8:$I$10000,"="&amp;R9)))</f>
        <v/>
      </c>
    </row>
    <row r="10" spans="1:78" ht="27" customHeight="1" thickBot="1">
      <c r="A10" s="923"/>
      <c r="B10" s="1028"/>
      <c r="C10" s="947" t="s">
        <v>2648</v>
      </c>
      <c r="D10" s="1056"/>
      <c r="E10" s="947" t="s">
        <v>2647</v>
      </c>
      <c r="F10" s="1057" t="str">
        <f>IF(ISNA(MATCH(pb_no*1,#REF!,0)),"not exist","exist")</f>
        <v>exist</v>
      </c>
      <c r="I10" s="1610" t="str">
        <f t="shared" si="8"/>
        <v/>
      </c>
      <c r="J10" s="1631" t="str">
        <f>IF(M10="","",J9+1)</f>
        <v/>
      </c>
      <c r="K10" s="1628" t="str">
        <f t="shared" si="0"/>
        <v/>
      </c>
      <c r="L10" s="1632"/>
      <c r="M10" s="1043"/>
      <c r="N10" s="1044"/>
      <c r="O10" s="1045"/>
      <c r="P10" s="1046"/>
      <c r="Q10" s="1047"/>
      <c r="R10" s="1053"/>
      <c r="S10" s="1634" t="str">
        <f t="shared" ref="S10" si="21">IF(M10="","",pb_currency_symbol)</f>
        <v/>
      </c>
      <c r="T10" s="1049"/>
      <c r="U10" s="1636" t="str">
        <f t="shared" si="10"/>
        <v/>
      </c>
      <c r="V10" s="1634" t="str">
        <f t="shared" ref="V10" si="22">IF(W10=0,"",pb_currency_symbol)</f>
        <v/>
      </c>
      <c r="W10" s="1054"/>
      <c r="X10" s="1634" t="str">
        <f t="shared" ref="X10" si="23">IF(M10="","",pb_currency_symbol)</f>
        <v/>
      </c>
      <c r="Y10" s="1638" t="str">
        <f t="shared" ref="Y10:Y72" si="24">IF(M10="","",ROUND(IF(T10&gt;0,(N10)*T10-W10,(N10)*U10-W10),2))</f>
        <v/>
      </c>
      <c r="Z10" s="1055"/>
      <c r="AA10" s="1639" t="str" cm="1">
        <f t="array" ref="AA10">IF(M10="","",IF(P10=AL10,1,Slookup(MID(AL10,1,3)*1,UomConversion!$D$8:$J$500,5,UomConversion!$E$8:$E$500,MID(P10,1,3)*1,UomConversion!$J$8:$J$500,1)))</f>
        <v/>
      </c>
      <c r="AB10" s="1640" t="str">
        <f t="shared" si="13"/>
        <v/>
      </c>
      <c r="AC10" s="1641" t="str">
        <f t="shared" si="14"/>
        <v/>
      </c>
      <c r="AD10" s="1642" t="str">
        <f t="shared" si="15"/>
        <v/>
      </c>
      <c r="AE10" s="1643" t="str">
        <f t="shared" si="16"/>
        <v/>
      </c>
      <c r="AF10" s="1640" t="str">
        <f>IF(I10="","",IF(ISNA(MATCH(I10,IF(pb_location_id=1,'[1]1_inventory_totals'!$C$8:$C$10000,IF(pb_location_id=2,'[1]2_inventory_totals'!$C$8:$C$10000,"")),0)),0,IF(AS10&gt;0,1,0)))</f>
        <v/>
      </c>
      <c r="AG10" s="1640" t="str">
        <f>IF(M10="","",IF(pb_location_id=1,SUMIFS('[1]1_inventory_total_details'!$J$8:$J$10000,'[1]1_inventory_total_details'!$C$8:$C$10000,I10,'[1]1_inventory_total_details'!$F$8:$F$10000,pb_location_id,'[1]1_inventory_total_details'!$G$8:$G$10000,"="&amp;Q10,'[1]1_inventory_total_details'!$H$8:$H$10000,"="&amp;R10,'[1]1_inventory_total_details'!$I$8:$I$10000,"="&amp;pb_date)+SUMIFS('[1]1_inventory_total_details'!$M$8:$M$10000,'[1]1_inventory_total_details'!$C$8:$C$10000,I10,'[1]1_inventory_total_details'!$F$8:$F$10000,pb_location_id,'[1]1_inventory_total_details'!$G$8:$G$10000,"="&amp;Q10,'[1]1_inventory_total_details'!$H$8:$H$10000,"="&amp;R10,'[1]1_inventory_total_details'!$I$8:$I$10000,"="&amp;pb_date)+SUMIFS('[1]1_inventory_total_details'!$K$8:$K$10000,'[1]1_inventory_total_details'!$C$8:$C$10000,I10,'[1]1_inventory_total_details'!$F$8:$F$10000,pb_location_id,'[1]1_inventory_total_details'!$G$8:$G$10000,"="&amp;Q10,'[1]1_inventory_total_details'!$H$8:$H$10000,"="&amp;R10,'[1]1_inventory_total_details'!$I$8:$I$10000,"="&amp;pb_date)+SUMIFS('[1]1_inventory_total_details'!$L$8:$L$10000,'[1]1_inventory_total_details'!$C$8:$C$10000,I10,'[1]1_inventory_total_details'!$F$8:$F$10000,pb_location_id,'[1]1_inventory_total_details'!$G$8:$G$10000,"="&amp;Q10,'[1]1_inventory_total_details'!$H$8:$H$10000,"="&amp;R10,'[1]1_inventory_total_details'!$I$8:$I$10000,"="&amp;pb_date),SUMIFS('[1]2_inventory_total_details'!$J$8:$J$10000,'[1]2_inventory_total_details'!$C$8:$C$10000,I10,'[1]1_inventory_total_details'!$F$8:$F$10000,pb_location_id,'[1]2_inventory_total_details'!$G$8:$G$10000,"="&amp;Q10,'[1]2_inventory_total_details'!$H$8:$H$10000,"="&amp;R10,'[1]2_inventory_total_details'!$I$8:$I$10000,"="&amp;pb_date)+SUMIFS('[1]2_inventory_total_details'!$M$8:$M$10000,'[1]2_inventory_total_details'!$C$8:$C$10000,I10,'[1]2_inventory_total_details'!$F$8:$F$10000,pb_location_id,'[1]2_inventory_total_details'!$G$8:$G$10000,"="&amp;Q10,'[1]2_inventory_total_details'!$H$8:$H$10000,"="&amp;R10,'[1]2_inventory_total_details'!$I$8:$I$10000,"="&amp;pb_date)+SUMIFS('[1]2_inventory_total_details'!$K$8:$K$10000,'[1]2_inventory_total_details'!$C$8:$C$10000,I10,'[1]2_inventory_total_details'!$F$8:$F$10000,pb_location_id,'[1]2_inventory_total_details'!$G$8:$G$10000,"="&amp;Q10,'[1]2_inventory_total_details'!$H$8:$H$10000,"="&amp;R10,'[1]2_inventory_total_details'!$I$8:$I$10000,"="&amp;pb_date)+SUMIFS('[1]2_inventory_total_details'!$L$8:$L$10000,'[1]2_inventory_total_details'!$C$8:$C$10000,I10,'[1]2_inventory_total_details'!$F$8:$F$10000,pb_location_id,'[1]2_inventory_total_details'!$G$8:$G$10000,"="&amp;Q10,'[1]2_inventory_total_details'!$H$8:$H$10000,"="&amp;R10,'[1]2_inventory_total_details'!$I$8:$I$10000,"="&amp;pb_date)))</f>
        <v/>
      </c>
      <c r="AH10" s="1640" t="str">
        <f>IF(M10="","",IF(ISNA(MATCH(I10,'[1]1_group_totals'!$C$8:$C$10000)),0,IF(AT10&gt;0,1,0)))</f>
        <v/>
      </c>
      <c r="AI10" s="1640" t="str">
        <f>IF(M10="","",(SUMIFS('[1]1_group_total_details'!$I$8:$I$10000,'[1]1_group_total_details'!$C$8:$C$10000,I10,'[1]1_group_total_details'!$F$8:$F$10000,pb_location_group_id,'[1]1_group_total_details'!$G$8:$G$10000,pb_location_id,'[1]1_group_total_details'!$H$8:$H$10000,"="&amp;pb_date)+SUMIFS('[1]1_group_total_details'!$L$8:$L$10000,'[1]1_group_total_details'!$C$8:$C$10000,I10,'[1]1_group_total_details'!$F$8:$F$10000,pb_location_group_id,'[1]1_group_total_details'!$G$8:$G$10000,pb_location_id,'[1]1_group_total_details'!$H$8:$H$10000,"="&amp;pb_date)+SUMIFS('[1]1_group_total_details'!$N$8:$N$10000,'[1]1_group_total_details'!$C$8:$C$10000,I10,'[1]1_group_total_details'!$F$8:$F$10000,pb_location_group_id,'[1]1_group_total_details'!$G$8:$G$10000,pb_location_id,'[1]1_group_total_details'!$H$8:$H$10000,"="&amp;pb_date)+SUMIFS('[1]1_group_total_details'!$O$8:$O$10000,'[1]1_group_total_details'!$C$8:$C$10000,I10,'[1]1_group_total_details'!$F$8:$F$10000,pb_location_group_id,'[1]1_group_total_details'!$G$8:$G$10000,pb_location_id,'[1]1_group_total_details'!$H$8:$H$10000,"="&amp;pb_date))+(SUMIFS('[1]1_group_total_details'!$J$8:$J$10000,'[1]1_group_total_details'!$C$8:$C$10000,I10,'[1]1_group_total_details'!$F$8:$F$10000,pb_location_group_id,'[1]1_group_total_details'!$G$8:$G$10000,pb_location_id,'[1]1_group_total_details'!$H$8:$H$10000,"="&amp;pb_date)+SUMIFS('[1]1_group_total_details'!$K$8:$K$10000,'[1]1_group_total_details'!$C$8:$C$10000,I10,'[1]1_group_total_details'!$F$8:$F$10000,pb_location_group_id,'[1]1_group_total_details'!$G$8:$G$10000,pb_location_id,'[1]1_group_total_details'!$H$8:$H$10000,"="&amp;pb_date)+SUMIFS('[1]1_group_total_details'!$M$8:$M$10000,'[1]1_group_total_details'!$C$8:$C$10000,I10,'[1]1_group_total_details'!$F$8:$F$10000,pb_location_group_id,'[1]1_group_total_details'!$G$8:$G$10000,pb_location_id,'[1]1_group_total_details'!$H$8:$H$10000,"="&amp;pb_date)+SUMIFS('[1]1_group_total_details'!$P$8:$P$10000,'[1]1_group_total_details'!$C$8:$C$10000,I10,'[1]1_group_total_details'!$F$8:$F$10000,pb_location_group_id,'[1]1_group_total_details'!$G$8:$G$10000,pb_location_id,'[1]1_group_total_details'!$H$8:$H$10000,"="&amp;pb_date)))</f>
        <v/>
      </c>
      <c r="AJ10" s="1640" t="str">
        <f>IF(M10="","",IF(AK10=0,0,(SUMIFS('[1]1_group_total_details'!$I$8:$I$10000,'[1]1_group_total_details'!$C$8:$C$10000,I10,'[1]1_group_total_details'!$F$8:$F$10000,pb_location_group_id,'[1]1_group_total_details'!$G$8:$G$10000,pb_location_id,'[1]1_group_total_details'!$H$8:$H$10000,"&lt;="&amp;pb_date)+SUMIFS('[1]1_group_total_details'!$L$8:$L$10000,'[1]1_group_total_details'!$C$8:$C$10000,I10,'[1]1_group_total_details'!$F$8:$F$10000,pb_location_group_id,'[1]1_group_total_details'!$G$8:$G$10000,pb_location_id,'[1]1_group_total_details'!$H$8:$H$10000,"&lt;="&amp;pb_date)+SUMIFS('[1]1_group_total_details'!$N$8:$N$10000,'[1]1_group_total_details'!$C$8:$C$10000,I10,'[1]1_group_total_details'!$F$8:$F$10000,pb_location_group_id,'[1]1_group_total_details'!$G$8:$G$10000,pb_location_id,'[1]1_group_total_details'!$H$8:$H$10000,"&lt;="&amp;pb_date)+SUMIFS('[1]1_group_total_details'!$O$8:$O$10000,'[1]1_group_total_details'!$C$8:$C$10000,I10,'[1]1_group_total_details'!$F$8:$F$10000,pb_location_group_id,'[1]1_group_total_details'!$G$8:$G$10000,pb_location_id,'[1]1_group_total_details'!$H$8:$H$10000,"&lt;="&amp;pb_date))-(SUMIFS('[1]1_group_total_details'!$J$8:$J$10000,'[1]1_group_total_details'!$C$8:$C$10000,I10,'[1]1_group_total_details'!$F$8:$F$10000,pb_location_group_id,'[1]1_group_total_details'!$G$8:$G$10000,pb_location_id,'[1]1_group_total_details'!$H$8:$H$10000,"&lt;="&amp;pb_date)+SUMIFS('[1]1_group_total_details'!$K$8:$K$10000,'[1]1_group_total_details'!$C$8:$C$10000,I10,'[1]1_group_total_details'!$F$8:$F$10000,pb_location_group_id,'[1]1_group_total_details'!$G$8:$G$10000,invoice_location_id,'[1]1_group_total_details'!$H$8:$H$10000,"&lt;="&amp;pb_date)+SUMIFS('[1]1_group_total_details'!$M$8:$M$10000,'[1]1_group_total_details'!$C$8:$C$10000,I10,'[1]1_group_total_details'!$F$8:$F$10000,pb_location_group_id,'[1]1_group_total_details'!$G$8:$G$10000,pb_location_id,'[1]1_group_total_details'!$H$8:$H$10000,"&lt;="&amp;pb_date)+SUMIFS('[1]1_group_total_details'!$P$8:$P$10000,'[1]1_group_total_details'!$C$8:$C$10000,I10,'[1]1_group_total_details'!$F$8:$F$10000,pb_location_group_id,'[1]1_group_total_details'!$G$8:$G$10000,pb_location_id,'[1]1_group_total_details'!$H$8:$H$10000,"&lt;="&amp;pb_date))))</f>
        <v/>
      </c>
      <c r="AK10" s="1640" t="str">
        <f>IF(M10="","",SUMIFS('[1]1_group_totals'!$J$8:$J$10000,'[1]1_group_totals'!$C$8:$C$10000,I10,'[1]1_group_totals'!$F$8:$F$10000,pb_location_group_id,'[1]1_group_totals'!$G$8:$G$10000,pb_location_id,'[1]1_group_totals'!$H$8:$H$10000,"="&amp;Q10,'[1]1_group_totals'!$I$8:$I$10000,"="&amp;R10))</f>
        <v/>
      </c>
      <c r="AL10" s="1644" t="str">
        <f t="shared" si="17"/>
        <v/>
      </c>
      <c r="AM10" s="1644" t="str">
        <f>IF(OR(ISNA(MATCH(MID(AL10,1,3)*1,UomConversion!$D$8:$D$500,0)),M10=""),"",IF(AQ10="","",AQ10))</f>
        <v/>
      </c>
      <c r="AN10" s="1644" t="str">
        <f>IF(AND(AO10&gt;0,COUNTIFS(UomConversion!$D$8:$D$500,MID(AL10,1,3)*1,UomConversion!$J$8:$J$500,1)&gt;1),TEXT(AO10,"000")&amp;"."&amp;VLOOKUP(AO10,uom_list,5,FALSE),"")</f>
        <v/>
      </c>
      <c r="AO10" s="1640" t="str">
        <f t="shared" si="18"/>
        <v/>
      </c>
      <c r="AP10" s="1645" t="str">
        <f t="shared" si="19"/>
        <v/>
      </c>
      <c r="AQ10" s="491" t="str">
        <f t="shared" si="20"/>
        <v/>
      </c>
      <c r="AR10" s="1281" t="str" cm="1">
        <f t="array" ref="AR10">IF(M10="","",IF(ISNA(Slookup(MID(AL10,1,3)*1,UomConversion!$D$8:$J$500,2,UomConversion!$I$8:$I$500,1,UomConversion!$J$8:$J$500,1)),"",Slookup(MID(AL10,1,3)*1,UomConversion!$D$8:$J$500,2,UomConversion!$I$8:$I$500,1,UomConversion!$J$8:$J$500,1)))</f>
        <v/>
      </c>
      <c r="AS10" s="663" t="str">
        <f>IF(M10="","",(SUMIFS('[1]1_inventory_totals'!$I$8:$I$10000,'[1]1_inventory_totals'!$C$8:$C$10000,I10,'[1]1_inventory_totals'!$F$8:$F$10000,"="&amp;Q10,'[1]1_inventory_totals'!$G$8:$G$10000,"="&amp;R10)+SUMIFS('[1]1_inventory_totals'!$N$8:$N$10000,'[1]1_inventory_totals'!$C$8:$C$10000,I10,'[1]1_inventory_totals'!$F$8:$F$10000,"="&amp;Q10,'[1]1_inventory_totals'!$G$8:$G$10000,"="&amp;R10)+SUMIFS('[1]1_inventory_totals'!$P$8:$P$10000,'[1]1_inventory_totals'!$C$8:$C$10000,I10,'[1]1_inventory_totals'!$F$8:$F$10000,"="&amp;Q10,'[1]1_inventory_totals'!$G$8:$G$10000,"="&amp;R10)+SUMIFS('[1]1_inventory_totals'!$Q$8:$Q$10000,'[1]1_inventory_totals'!$C$8:$C$10000,I10,'[1]1_inventory_totals'!$F$8:$F$10000,"="&amp;Q10,'[1]1_inventory_totals'!$G$8:$G$10000,"="&amp;R10)+SUMIFS('[1]1_inventory_totals'!$R$8:$R$10000,'[1]1_inventory_totals'!$C$8:$C$10000,I10,'[1]1_inventory_totals'!$F$8:$F$10000,"="&amp;Q10,'[1]1_inventory_totals'!$G$8:$G$10000,"="&amp;R10))+(SUMIFS('[1]1_inventory_totals'!$J$8:$J$10000,'[1]1_inventory_totals'!$C$8:$C$10000,I10,'[1]1_inventory_totals'!$F$8:$F$10000,"="&amp;Q10,'[1]1_inventory_totals'!$G$8:$G$10000,"="&amp;R10)+SUMIFS('[1]1_inventory_totals'!$K$8:$K$10000,'[1]1_inventory_totals'!$C$8:$C$10000,I10,'[1]1_inventory_totals'!$F$8:$F$10000,"="&amp;Q10,'[1]1_inventory_totals'!$G$8:$G$10000,"="&amp;R10)+SUMIFS('[1]1_inventory_totals'!$L$8:$L$10000,'[1]1_inventory_totals'!$C$8:$C$10000,I10,'[1]1_inventory_totals'!$F$8:$F$10000,"="&amp;Q10,'[1]1_inventory_totals'!$G$8:$G$10000,"="&amp;R10)+SUMIFS('[1]1_inventory_totals'!$M$8:$M$10000,'[1]1_inventory_totals'!$C$8:$C$10000,I10,'[1]1_inventory_totals'!$F$8:$F$10000,"="&amp;Q10,'[1]1_inventory_totals'!$G$8:$G$10000,"="&amp;R10)+SUMIFS('[1]1_inventory_totals'!$O$8:$O$10000,'[1]1_inventory_totals'!$C$8:$C$10000,I10,'[1]1_inventory_totals'!$F$8:$F$10000,"="&amp;Q10,'[1]1_inventory_totals'!$G$8:$G$10000,"="&amp;R10)+SUMIFS('[1]1_inventory_totals'!$S$8:$S$10000,'[1]1_inventory_totals'!$C$8:$C$10000,I10,'[1]1_inventory_totals'!$F$8:$F$10000,"="&amp;Q10,'[1]1_inventory_totals'!$G$8:$G$10000,"="&amp;R10)))</f>
        <v/>
      </c>
      <c r="AT10" s="1281" t="str">
        <f>IF(M10="","",(SUMIFS('[1]1_group_totals'!$K$8:$K$10000,'[1]1_group_totals'!$C$8:$C$10000,I10,'[1]1_group_totals'!$F$8:$F$10000,pb_location_group_id,'[1]1_group_totals'!$G$8:$G$10000,pb_location_id,'[1]1_group_totals'!$H$8:$H$10000,"="&amp;Q10,'[1]1_group_totals'!$I$8:$I$10000,"="&amp;R10)+SUMIFS('[1]1_group_totals'!$N$8:$N$10000,'[1]1_group_totals'!$C$8:$C$10000,I10,'[1]1_group_totals'!$F$8:$F$10000,pb_location_group_id,'[1]1_group_totals'!$G$8:$G$10000,pb_location_id,'[1]1_group_totals'!$H$8:$H$10000,"="&amp;Q10,'[1]1_group_totals'!$I$8:$I$10000,"="&amp;R10)+SUMIFS('[1]1_group_totals'!$P$8:$P$10000,'[1]1_group_totals'!$C$8:$C$10000,I10,'[1]1_group_totals'!$F$8:$F$10000,pb_location_group_id,'[1]1_group_totals'!$G$8:$G$10000,pb_location_id,'[1]1_group_totals'!$H$8:$H$10000,"="&amp;Q10,'[1]1_group_totals'!$I$8:$I$10000,"="&amp;R10)+SUMIFS('[1]1_group_totals'!$Q$8:$Q$10000,'[1]1_group_totals'!$C$8:$C$10000,I10,'[1]1_group_totals'!$F$8:$F$10000,pb_location_group_id,'[1]1_group_totals'!$G$8:$G$10000,pb_location_id,'[1]1_group_totals'!$H$8:$H$10000,"="&amp;Q10,'[1]1_group_totals'!$I$8:$I$10000,"="&amp;R10))+(SUMIFS('[1]1_group_totals'!$L$8:$L$10000,'[1]1_group_totals'!$C$8:$C$10000,I10,'[1]1_group_totals'!$F$8:$F$10000,pb_location_group_id,'[1]1_group_totals'!$G$8:$G$10000,pb_location_id,'[1]1_group_totals'!$H$8:$H$10000,"="&amp;Q10,'[1]1_group_totals'!$I$8:$I$10000,"="&amp;R10)+SUMIFS('[1]1_group_totals'!$M$8:$M$10000,'[1]1_group_totals'!$C$8:$C$10000,I10,'[1]1_group_totals'!$F$8:$F$10000,pb_location_group_id,'[1]1_group_totals'!$G$8:$G$10000,pb_location_id,'[1]1_group_totals'!$H$8:$H$10000,"="&amp;Q10,'[1]1_group_totals'!$I$8:$I$10000,"="&amp;R10)+SUMIFS('[1]1_group_totals'!$O$8:$O$10000,'[1]1_group_totals'!$C$8:$C$10000,I10,'[1]1_group_totals'!$F$8:$F$10000,pb_location_group_id,'[1]1_group_totals'!$G$8:$G$10000,pb_location_id,'[1]1_group_totals'!$H$8:$H$10000,"="&amp;Q10,'[1]1_group_totals'!$I$8:$I$10000,"="&amp;R10)+SUMIFS('[1]1_group_totals'!$R$8:$R$10000,'[1]1_group_totals'!$C$8:$C$10000,I10,'[1]1_group_totals'!$F$8:$F$10000,pb_location_group_id,'[1]1_group_totals'!$G$8:$G$10000,pb_location_id,'[1]1_group_totals'!$H$8:$H$10000,"="&amp;Q10,'[1]1_group_totals'!$I$8:$I$10000,"="&amp;R10)))</f>
        <v/>
      </c>
    </row>
    <row r="11" spans="1:78" ht="27" customHeight="1" thickBot="1">
      <c r="A11" s="923"/>
      <c r="B11" s="1028"/>
      <c r="C11" s="1058" t="s">
        <v>4596</v>
      </c>
      <c r="D11" s="1598">
        <f>IF(pb_vendor="","",MID(pb_vendor,1,3)*1)</f>
        <v>9</v>
      </c>
      <c r="E11" s="1059" t="s">
        <v>2599</v>
      </c>
      <c r="F11" s="1060">
        <f>MID(E11,1,3)*1</f>
        <v>1</v>
      </c>
      <c r="G11" s="941"/>
      <c r="I11" s="1610" t="str">
        <f t="shared" si="8"/>
        <v/>
      </c>
      <c r="J11" s="1631" t="str">
        <f t="shared" ref="J11:J73" si="25">IF(M11="","",J10+1)</f>
        <v/>
      </c>
      <c r="K11" s="1628" t="str">
        <f t="shared" si="0"/>
        <v/>
      </c>
      <c r="L11" s="1632"/>
      <c r="M11" s="1043"/>
      <c r="N11" s="1044"/>
      <c r="O11" s="1045"/>
      <c r="P11" s="1046"/>
      <c r="Q11" s="1047"/>
      <c r="R11" s="1053"/>
      <c r="S11" s="1634" t="str">
        <f t="shared" ref="S11" si="26">IF(M11="","",pb_currency_symbol)</f>
        <v/>
      </c>
      <c r="T11" s="1049"/>
      <c r="U11" s="1636" t="str">
        <f t="shared" si="10"/>
        <v/>
      </c>
      <c r="V11" s="1634" t="str">
        <f t="shared" ref="V11" si="27">IF(W11=0,"",pb_currency_symbol)</f>
        <v/>
      </c>
      <c r="W11" s="1054"/>
      <c r="X11" s="1634" t="str">
        <f t="shared" ref="X11" si="28">IF(M11="","",pb_currency_symbol)</f>
        <v/>
      </c>
      <c r="Y11" s="1638" t="str">
        <f t="shared" si="24"/>
        <v/>
      </c>
      <c r="Z11" s="1055"/>
      <c r="AA11" s="1639" t="str" cm="1">
        <f t="array" ref="AA11">IF(M11="","",IF(P11=AL11,1,Slookup(MID(AL11,1,3)*1,UomConversion!$D$8:$J$500,5,UomConversion!$E$8:$E$500,MID(P11,1,3)*1,UomConversion!$J$8:$J$500,1)))</f>
        <v/>
      </c>
      <c r="AB11" s="1640" t="str">
        <f t="shared" si="13"/>
        <v/>
      </c>
      <c r="AC11" s="1641" t="str">
        <f t="shared" si="14"/>
        <v/>
      </c>
      <c r="AD11" s="1642" t="str">
        <f t="shared" si="15"/>
        <v/>
      </c>
      <c r="AE11" s="1643" t="str">
        <f t="shared" si="16"/>
        <v/>
      </c>
      <c r="AF11" s="1640" t="str">
        <f>IF(I11="","",IF(ISNA(MATCH(I11,IF(pb_location_id=1,'[1]1_inventory_totals'!$C$8:$C$10000,IF(pb_location_id=2,'[1]2_inventory_totals'!$C$8:$C$10000,"")),0)),0,IF(AS11&gt;0,1,0)))</f>
        <v/>
      </c>
      <c r="AG11" s="1640" t="str">
        <f>IF(M11="","",IF(pb_location_id=1,SUMIFS('[1]1_inventory_total_details'!$J$8:$J$10000,'[1]1_inventory_total_details'!$C$8:$C$10000,I11,'[1]1_inventory_total_details'!$F$8:$F$10000,pb_location_id,'[1]1_inventory_total_details'!$G$8:$G$10000,"="&amp;Q11,'[1]1_inventory_total_details'!$H$8:$H$10000,"="&amp;R11,'[1]1_inventory_total_details'!$I$8:$I$10000,"="&amp;pb_date)+SUMIFS('[1]1_inventory_total_details'!$M$8:$M$10000,'[1]1_inventory_total_details'!$C$8:$C$10000,I11,'[1]1_inventory_total_details'!$F$8:$F$10000,pb_location_id,'[1]1_inventory_total_details'!$G$8:$G$10000,"="&amp;Q11,'[1]1_inventory_total_details'!$H$8:$H$10000,"="&amp;R11,'[1]1_inventory_total_details'!$I$8:$I$10000,"="&amp;pb_date)+SUMIFS('[1]1_inventory_total_details'!$K$8:$K$10000,'[1]1_inventory_total_details'!$C$8:$C$10000,I11,'[1]1_inventory_total_details'!$F$8:$F$10000,pb_location_id,'[1]1_inventory_total_details'!$G$8:$G$10000,"="&amp;Q11,'[1]1_inventory_total_details'!$H$8:$H$10000,"="&amp;R11,'[1]1_inventory_total_details'!$I$8:$I$10000,"="&amp;pb_date)+SUMIFS('[1]1_inventory_total_details'!$L$8:$L$10000,'[1]1_inventory_total_details'!$C$8:$C$10000,I11,'[1]1_inventory_total_details'!$F$8:$F$10000,pb_location_id,'[1]1_inventory_total_details'!$G$8:$G$10000,"="&amp;Q11,'[1]1_inventory_total_details'!$H$8:$H$10000,"="&amp;R11,'[1]1_inventory_total_details'!$I$8:$I$10000,"="&amp;pb_date),SUMIFS('[1]2_inventory_total_details'!$J$8:$J$10000,'[1]2_inventory_total_details'!$C$8:$C$10000,I11,'[1]1_inventory_total_details'!$F$8:$F$10000,pb_location_id,'[1]2_inventory_total_details'!$G$8:$G$10000,"="&amp;Q11,'[1]2_inventory_total_details'!$H$8:$H$10000,"="&amp;R11,'[1]2_inventory_total_details'!$I$8:$I$10000,"="&amp;pb_date)+SUMIFS('[1]2_inventory_total_details'!$M$8:$M$10000,'[1]2_inventory_total_details'!$C$8:$C$10000,I11,'[1]2_inventory_total_details'!$F$8:$F$10000,pb_location_id,'[1]2_inventory_total_details'!$G$8:$G$10000,"="&amp;Q11,'[1]2_inventory_total_details'!$H$8:$H$10000,"="&amp;R11,'[1]2_inventory_total_details'!$I$8:$I$10000,"="&amp;pb_date)+SUMIFS('[1]2_inventory_total_details'!$K$8:$K$10000,'[1]2_inventory_total_details'!$C$8:$C$10000,I11,'[1]2_inventory_total_details'!$F$8:$F$10000,pb_location_id,'[1]2_inventory_total_details'!$G$8:$G$10000,"="&amp;Q11,'[1]2_inventory_total_details'!$H$8:$H$10000,"="&amp;R11,'[1]2_inventory_total_details'!$I$8:$I$10000,"="&amp;pb_date)+SUMIFS('[1]2_inventory_total_details'!$L$8:$L$10000,'[1]2_inventory_total_details'!$C$8:$C$10000,I11,'[1]2_inventory_total_details'!$F$8:$F$10000,pb_location_id,'[1]2_inventory_total_details'!$G$8:$G$10000,"="&amp;Q11,'[1]2_inventory_total_details'!$H$8:$H$10000,"="&amp;R11,'[1]2_inventory_total_details'!$I$8:$I$10000,"="&amp;pb_date)))</f>
        <v/>
      </c>
      <c r="AH11" s="1640" t="str">
        <f>IF(M11="","",IF(ISNA(MATCH(I11,'[1]1_group_totals'!$C$8:$C$10000)),0,IF(AT11&gt;0,1,0)))</f>
        <v/>
      </c>
      <c r="AI11" s="1640" t="str">
        <f>IF(M11="","",(SUMIFS('[1]1_group_total_details'!$I$8:$I$10000,'[1]1_group_total_details'!$C$8:$C$10000,I11,'[1]1_group_total_details'!$F$8:$F$10000,pb_location_group_id,'[1]1_group_total_details'!$G$8:$G$10000,pb_location_id,'[1]1_group_total_details'!$H$8:$H$10000,"="&amp;pb_date)+SUMIFS('[1]1_group_total_details'!$L$8:$L$10000,'[1]1_group_total_details'!$C$8:$C$10000,I11,'[1]1_group_total_details'!$F$8:$F$10000,pb_location_group_id,'[1]1_group_total_details'!$G$8:$G$10000,pb_location_id,'[1]1_group_total_details'!$H$8:$H$10000,"="&amp;pb_date)+SUMIFS('[1]1_group_total_details'!$N$8:$N$10000,'[1]1_group_total_details'!$C$8:$C$10000,I11,'[1]1_group_total_details'!$F$8:$F$10000,pb_location_group_id,'[1]1_group_total_details'!$G$8:$G$10000,pb_location_id,'[1]1_group_total_details'!$H$8:$H$10000,"="&amp;pb_date)+SUMIFS('[1]1_group_total_details'!$O$8:$O$10000,'[1]1_group_total_details'!$C$8:$C$10000,I11,'[1]1_group_total_details'!$F$8:$F$10000,pb_location_group_id,'[1]1_group_total_details'!$G$8:$G$10000,pb_location_id,'[1]1_group_total_details'!$H$8:$H$10000,"="&amp;pb_date))+(SUMIFS('[1]1_group_total_details'!$J$8:$J$10000,'[1]1_group_total_details'!$C$8:$C$10000,I11,'[1]1_group_total_details'!$F$8:$F$10000,pb_location_group_id,'[1]1_group_total_details'!$G$8:$G$10000,pb_location_id,'[1]1_group_total_details'!$H$8:$H$10000,"="&amp;pb_date)+SUMIFS('[1]1_group_total_details'!$K$8:$K$10000,'[1]1_group_total_details'!$C$8:$C$10000,I11,'[1]1_group_total_details'!$F$8:$F$10000,pb_location_group_id,'[1]1_group_total_details'!$G$8:$G$10000,pb_location_id,'[1]1_group_total_details'!$H$8:$H$10000,"="&amp;pb_date)+SUMIFS('[1]1_group_total_details'!$M$8:$M$10000,'[1]1_group_total_details'!$C$8:$C$10000,I11,'[1]1_group_total_details'!$F$8:$F$10000,pb_location_group_id,'[1]1_group_total_details'!$G$8:$G$10000,pb_location_id,'[1]1_group_total_details'!$H$8:$H$10000,"="&amp;pb_date)+SUMIFS('[1]1_group_total_details'!$P$8:$P$10000,'[1]1_group_total_details'!$C$8:$C$10000,I11,'[1]1_group_total_details'!$F$8:$F$10000,pb_location_group_id,'[1]1_group_total_details'!$G$8:$G$10000,pb_location_id,'[1]1_group_total_details'!$H$8:$H$10000,"="&amp;pb_date)))</f>
        <v/>
      </c>
      <c r="AJ11" s="1640" t="str">
        <f>IF(M11="","",IF(AK11=0,0,(SUMIFS('[1]1_group_total_details'!$I$8:$I$10000,'[1]1_group_total_details'!$C$8:$C$10000,I11,'[1]1_group_total_details'!$F$8:$F$10000,pb_location_group_id,'[1]1_group_total_details'!$G$8:$G$10000,pb_location_id,'[1]1_group_total_details'!$H$8:$H$10000,"&lt;="&amp;pb_date)+SUMIFS('[1]1_group_total_details'!$L$8:$L$10000,'[1]1_group_total_details'!$C$8:$C$10000,I11,'[1]1_group_total_details'!$F$8:$F$10000,pb_location_group_id,'[1]1_group_total_details'!$G$8:$G$10000,pb_location_id,'[1]1_group_total_details'!$H$8:$H$10000,"&lt;="&amp;pb_date)+SUMIFS('[1]1_group_total_details'!$N$8:$N$10000,'[1]1_group_total_details'!$C$8:$C$10000,I11,'[1]1_group_total_details'!$F$8:$F$10000,pb_location_group_id,'[1]1_group_total_details'!$G$8:$G$10000,pb_location_id,'[1]1_group_total_details'!$H$8:$H$10000,"&lt;="&amp;pb_date)+SUMIFS('[1]1_group_total_details'!$O$8:$O$10000,'[1]1_group_total_details'!$C$8:$C$10000,I11,'[1]1_group_total_details'!$F$8:$F$10000,pb_location_group_id,'[1]1_group_total_details'!$G$8:$G$10000,pb_location_id,'[1]1_group_total_details'!$H$8:$H$10000,"&lt;="&amp;pb_date))-(SUMIFS('[1]1_group_total_details'!$J$8:$J$10000,'[1]1_group_total_details'!$C$8:$C$10000,I11,'[1]1_group_total_details'!$F$8:$F$10000,pb_location_group_id,'[1]1_group_total_details'!$G$8:$G$10000,pb_location_id,'[1]1_group_total_details'!$H$8:$H$10000,"&lt;="&amp;pb_date)+SUMIFS('[1]1_group_total_details'!$K$8:$K$10000,'[1]1_group_total_details'!$C$8:$C$10000,I11,'[1]1_group_total_details'!$F$8:$F$10000,pb_location_group_id,'[1]1_group_total_details'!$G$8:$G$10000,invoice_location_id,'[1]1_group_total_details'!$H$8:$H$10000,"&lt;="&amp;pb_date)+SUMIFS('[1]1_group_total_details'!$M$8:$M$10000,'[1]1_group_total_details'!$C$8:$C$10000,I11,'[1]1_group_total_details'!$F$8:$F$10000,pb_location_group_id,'[1]1_group_total_details'!$G$8:$G$10000,pb_location_id,'[1]1_group_total_details'!$H$8:$H$10000,"&lt;="&amp;pb_date)+SUMIFS('[1]1_group_total_details'!$P$8:$P$10000,'[1]1_group_total_details'!$C$8:$C$10000,I11,'[1]1_group_total_details'!$F$8:$F$10000,pb_location_group_id,'[1]1_group_total_details'!$G$8:$G$10000,pb_location_id,'[1]1_group_total_details'!$H$8:$H$10000,"&lt;="&amp;pb_date))))</f>
        <v/>
      </c>
      <c r="AK11" s="1640" t="str">
        <f>IF(M11="","",SUMIFS('[1]1_group_totals'!$J$8:$J$10000,'[1]1_group_totals'!$C$8:$C$10000,I11,'[1]1_group_totals'!$F$8:$F$10000,pb_location_group_id,'[1]1_group_totals'!$G$8:$G$10000,pb_location_id,'[1]1_group_totals'!$H$8:$H$10000,"="&amp;Q11,'[1]1_group_totals'!$I$8:$I$10000,"="&amp;R11))</f>
        <v/>
      </c>
      <c r="AL11" s="1644" t="str">
        <f t="shared" si="17"/>
        <v/>
      </c>
      <c r="AM11" s="1644" t="str">
        <f>IF(OR(ISNA(MATCH(MID(AL11,1,3)*1,UomConversion!$D$8:$D$500,0)),M11=""),"",IF(AQ11="","",AQ11))</f>
        <v/>
      </c>
      <c r="AN11" s="1644" t="str">
        <f>IF(AND(AO11&gt;0,COUNTIFS(UomConversion!$D$8:$D$500,MID(AL11,1,3)*1,UomConversion!$J$8:$J$500,1)&gt;1),TEXT(AO11,"000")&amp;"."&amp;VLOOKUP(AO11,uom_list,5,FALSE),"")</f>
        <v/>
      </c>
      <c r="AO11" s="1640" t="str">
        <f t="shared" si="18"/>
        <v/>
      </c>
      <c r="AP11" s="1645" t="str">
        <f t="shared" si="19"/>
        <v/>
      </c>
      <c r="AQ11" s="491" t="str">
        <f t="shared" si="20"/>
        <v/>
      </c>
      <c r="AR11" s="1281" t="str" cm="1">
        <f t="array" ref="AR11">IF(M11="","",IF(ISNA(Slookup(MID(AL11,1,3)*1,UomConversion!$D$8:$J$500,2,UomConversion!$I$8:$I$500,1,UomConversion!$J$8:$J$500,1)),"",Slookup(MID(AL11,1,3)*1,UomConversion!$D$8:$J$500,2,UomConversion!$I$8:$I$500,1,UomConversion!$J$8:$J$500,1)))</f>
        <v/>
      </c>
      <c r="AS11" s="663" t="str">
        <f>IF(M11="","",(SUMIFS('[1]1_inventory_totals'!$I$8:$I$10000,'[1]1_inventory_totals'!$C$8:$C$10000,I11,'[1]1_inventory_totals'!$F$8:$F$10000,"="&amp;Q11,'[1]1_inventory_totals'!$G$8:$G$10000,"="&amp;R11)+SUMIFS('[1]1_inventory_totals'!$N$8:$N$10000,'[1]1_inventory_totals'!$C$8:$C$10000,I11,'[1]1_inventory_totals'!$F$8:$F$10000,"="&amp;Q11,'[1]1_inventory_totals'!$G$8:$G$10000,"="&amp;R11)+SUMIFS('[1]1_inventory_totals'!$P$8:$P$10000,'[1]1_inventory_totals'!$C$8:$C$10000,I11,'[1]1_inventory_totals'!$F$8:$F$10000,"="&amp;Q11,'[1]1_inventory_totals'!$G$8:$G$10000,"="&amp;R11)+SUMIFS('[1]1_inventory_totals'!$Q$8:$Q$10000,'[1]1_inventory_totals'!$C$8:$C$10000,I11,'[1]1_inventory_totals'!$F$8:$F$10000,"="&amp;Q11,'[1]1_inventory_totals'!$G$8:$G$10000,"="&amp;R11)+SUMIFS('[1]1_inventory_totals'!$R$8:$R$10000,'[1]1_inventory_totals'!$C$8:$C$10000,I11,'[1]1_inventory_totals'!$F$8:$F$10000,"="&amp;Q11,'[1]1_inventory_totals'!$G$8:$G$10000,"="&amp;R11))+(SUMIFS('[1]1_inventory_totals'!$J$8:$J$10000,'[1]1_inventory_totals'!$C$8:$C$10000,I11,'[1]1_inventory_totals'!$F$8:$F$10000,"="&amp;Q11,'[1]1_inventory_totals'!$G$8:$G$10000,"="&amp;R11)+SUMIFS('[1]1_inventory_totals'!$K$8:$K$10000,'[1]1_inventory_totals'!$C$8:$C$10000,I11,'[1]1_inventory_totals'!$F$8:$F$10000,"="&amp;Q11,'[1]1_inventory_totals'!$G$8:$G$10000,"="&amp;R11)+SUMIFS('[1]1_inventory_totals'!$L$8:$L$10000,'[1]1_inventory_totals'!$C$8:$C$10000,I11,'[1]1_inventory_totals'!$F$8:$F$10000,"="&amp;Q11,'[1]1_inventory_totals'!$G$8:$G$10000,"="&amp;R11)+SUMIFS('[1]1_inventory_totals'!$M$8:$M$10000,'[1]1_inventory_totals'!$C$8:$C$10000,I11,'[1]1_inventory_totals'!$F$8:$F$10000,"="&amp;Q11,'[1]1_inventory_totals'!$G$8:$G$10000,"="&amp;R11)+SUMIFS('[1]1_inventory_totals'!$O$8:$O$10000,'[1]1_inventory_totals'!$C$8:$C$10000,I11,'[1]1_inventory_totals'!$F$8:$F$10000,"="&amp;Q11,'[1]1_inventory_totals'!$G$8:$G$10000,"="&amp;R11)+SUMIFS('[1]1_inventory_totals'!$S$8:$S$10000,'[1]1_inventory_totals'!$C$8:$C$10000,I11,'[1]1_inventory_totals'!$F$8:$F$10000,"="&amp;Q11,'[1]1_inventory_totals'!$G$8:$G$10000,"="&amp;R11)))</f>
        <v/>
      </c>
      <c r="AT11" s="1281" t="str">
        <f>IF(M11="","",(SUMIFS('[1]1_group_totals'!$K$8:$K$10000,'[1]1_group_totals'!$C$8:$C$10000,I11,'[1]1_group_totals'!$F$8:$F$10000,pb_location_group_id,'[1]1_group_totals'!$G$8:$G$10000,pb_location_id,'[1]1_group_totals'!$H$8:$H$10000,"="&amp;Q11,'[1]1_group_totals'!$I$8:$I$10000,"="&amp;R11)+SUMIFS('[1]1_group_totals'!$N$8:$N$10000,'[1]1_group_totals'!$C$8:$C$10000,I11,'[1]1_group_totals'!$F$8:$F$10000,pb_location_group_id,'[1]1_group_totals'!$G$8:$G$10000,pb_location_id,'[1]1_group_totals'!$H$8:$H$10000,"="&amp;Q11,'[1]1_group_totals'!$I$8:$I$10000,"="&amp;R11)+SUMIFS('[1]1_group_totals'!$P$8:$P$10000,'[1]1_group_totals'!$C$8:$C$10000,I11,'[1]1_group_totals'!$F$8:$F$10000,pb_location_group_id,'[1]1_group_totals'!$G$8:$G$10000,pb_location_id,'[1]1_group_totals'!$H$8:$H$10000,"="&amp;Q11,'[1]1_group_totals'!$I$8:$I$10000,"="&amp;R11)+SUMIFS('[1]1_group_totals'!$Q$8:$Q$10000,'[1]1_group_totals'!$C$8:$C$10000,I11,'[1]1_group_totals'!$F$8:$F$10000,pb_location_group_id,'[1]1_group_totals'!$G$8:$G$10000,pb_location_id,'[1]1_group_totals'!$H$8:$H$10000,"="&amp;Q11,'[1]1_group_totals'!$I$8:$I$10000,"="&amp;R11))+(SUMIFS('[1]1_group_totals'!$L$8:$L$10000,'[1]1_group_totals'!$C$8:$C$10000,I11,'[1]1_group_totals'!$F$8:$F$10000,pb_location_group_id,'[1]1_group_totals'!$G$8:$G$10000,pb_location_id,'[1]1_group_totals'!$H$8:$H$10000,"="&amp;Q11,'[1]1_group_totals'!$I$8:$I$10000,"="&amp;R11)+SUMIFS('[1]1_group_totals'!$M$8:$M$10000,'[1]1_group_totals'!$C$8:$C$10000,I11,'[1]1_group_totals'!$F$8:$F$10000,pb_location_group_id,'[1]1_group_totals'!$G$8:$G$10000,pb_location_id,'[1]1_group_totals'!$H$8:$H$10000,"="&amp;Q11,'[1]1_group_totals'!$I$8:$I$10000,"="&amp;R11)+SUMIFS('[1]1_group_totals'!$O$8:$O$10000,'[1]1_group_totals'!$C$8:$C$10000,I11,'[1]1_group_totals'!$F$8:$F$10000,pb_location_group_id,'[1]1_group_totals'!$G$8:$G$10000,pb_location_id,'[1]1_group_totals'!$H$8:$H$10000,"="&amp;Q11,'[1]1_group_totals'!$I$8:$I$10000,"="&amp;R11)+SUMIFS('[1]1_group_totals'!$R$8:$R$10000,'[1]1_group_totals'!$C$8:$C$10000,I11,'[1]1_group_totals'!$F$8:$F$10000,pb_location_group_id,'[1]1_group_totals'!$G$8:$G$10000,pb_location_id,'[1]1_group_totals'!$H$8:$H$10000,"="&amp;Q11,'[1]1_group_totals'!$I$8:$I$10000,"="&amp;R11)))</f>
        <v/>
      </c>
    </row>
    <row r="12" spans="1:78" ht="27" customHeight="1" thickBot="1">
      <c r="A12" s="923"/>
      <c r="B12" s="1028"/>
      <c r="C12" s="947" t="s">
        <v>2651</v>
      </c>
      <c r="D12" s="1056"/>
      <c r="E12" s="947" t="s">
        <v>2652</v>
      </c>
      <c r="F12" s="1057"/>
      <c r="G12" s="941"/>
      <c r="I12" s="1610" t="str">
        <f t="shared" si="8"/>
        <v/>
      </c>
      <c r="J12" s="1631" t="str">
        <f t="shared" si="25"/>
        <v/>
      </c>
      <c r="K12" s="1628" t="str">
        <f t="shared" si="0"/>
        <v/>
      </c>
      <c r="L12" s="1632"/>
      <c r="M12" s="1043"/>
      <c r="N12" s="1044"/>
      <c r="O12" s="1045"/>
      <c r="P12" s="1046"/>
      <c r="Q12" s="1047"/>
      <c r="R12" s="1053"/>
      <c r="S12" s="1634" t="str">
        <f t="shared" ref="S12" si="29">IF(M12="","",pb_currency_symbol)</f>
        <v/>
      </c>
      <c r="T12" s="1049"/>
      <c r="U12" s="1636" t="str">
        <f t="shared" si="10"/>
        <v/>
      </c>
      <c r="V12" s="1634" t="str">
        <f t="shared" ref="V12" si="30">IF(W12=0,"",pb_currency_symbol)</f>
        <v/>
      </c>
      <c r="W12" s="1054"/>
      <c r="X12" s="1634" t="str">
        <f t="shared" ref="X12" si="31">IF(M12="","",pb_currency_symbol)</f>
        <v/>
      </c>
      <c r="Y12" s="1638" t="str">
        <f t="shared" si="24"/>
        <v/>
      </c>
      <c r="Z12" s="1055"/>
      <c r="AA12" s="1639" t="str" cm="1">
        <f t="array" ref="AA12">IF(M12="","",IF(P12=AL12,1,Slookup(MID(AL12,1,3)*1,UomConversion!$D$8:$J$500,5,UomConversion!$E$8:$E$500,MID(P12,1,3)*1,UomConversion!$J$8:$J$500,1)))</f>
        <v/>
      </c>
      <c r="AB12" s="1640" t="str">
        <f t="shared" si="13"/>
        <v/>
      </c>
      <c r="AC12" s="1641" t="str">
        <f t="shared" si="14"/>
        <v/>
      </c>
      <c r="AD12" s="1642" t="str">
        <f t="shared" si="15"/>
        <v/>
      </c>
      <c r="AE12" s="1643" t="str">
        <f t="shared" si="16"/>
        <v/>
      </c>
      <c r="AF12" s="1640" t="str">
        <f>IF(I12="","",IF(ISNA(MATCH(I12,IF(pb_location_id=1,'[1]1_inventory_totals'!$C$8:$C$10000,IF(pb_location_id=2,'[1]2_inventory_totals'!$C$8:$C$10000,"")),0)),0,IF(AS12&gt;0,1,0)))</f>
        <v/>
      </c>
      <c r="AG12" s="1640" t="str">
        <f>IF(M12="","",IF(pb_location_id=1,SUMIFS('[1]1_inventory_total_details'!$J$8:$J$10000,'[1]1_inventory_total_details'!$C$8:$C$10000,I12,'[1]1_inventory_total_details'!$F$8:$F$10000,pb_location_id,'[1]1_inventory_total_details'!$G$8:$G$10000,"="&amp;Q12,'[1]1_inventory_total_details'!$H$8:$H$10000,"="&amp;R12,'[1]1_inventory_total_details'!$I$8:$I$10000,"="&amp;pb_date)+SUMIFS('[1]1_inventory_total_details'!$M$8:$M$10000,'[1]1_inventory_total_details'!$C$8:$C$10000,I12,'[1]1_inventory_total_details'!$F$8:$F$10000,pb_location_id,'[1]1_inventory_total_details'!$G$8:$G$10000,"="&amp;Q12,'[1]1_inventory_total_details'!$H$8:$H$10000,"="&amp;R12,'[1]1_inventory_total_details'!$I$8:$I$10000,"="&amp;pb_date)+SUMIFS('[1]1_inventory_total_details'!$K$8:$K$10000,'[1]1_inventory_total_details'!$C$8:$C$10000,I12,'[1]1_inventory_total_details'!$F$8:$F$10000,pb_location_id,'[1]1_inventory_total_details'!$G$8:$G$10000,"="&amp;Q12,'[1]1_inventory_total_details'!$H$8:$H$10000,"="&amp;R12,'[1]1_inventory_total_details'!$I$8:$I$10000,"="&amp;pb_date)+SUMIFS('[1]1_inventory_total_details'!$L$8:$L$10000,'[1]1_inventory_total_details'!$C$8:$C$10000,I12,'[1]1_inventory_total_details'!$F$8:$F$10000,pb_location_id,'[1]1_inventory_total_details'!$G$8:$G$10000,"="&amp;Q12,'[1]1_inventory_total_details'!$H$8:$H$10000,"="&amp;R12,'[1]1_inventory_total_details'!$I$8:$I$10000,"="&amp;pb_date),SUMIFS('[1]2_inventory_total_details'!$J$8:$J$10000,'[1]2_inventory_total_details'!$C$8:$C$10000,I12,'[1]1_inventory_total_details'!$F$8:$F$10000,pb_location_id,'[1]2_inventory_total_details'!$G$8:$G$10000,"="&amp;Q12,'[1]2_inventory_total_details'!$H$8:$H$10000,"="&amp;R12,'[1]2_inventory_total_details'!$I$8:$I$10000,"="&amp;pb_date)+SUMIFS('[1]2_inventory_total_details'!$M$8:$M$10000,'[1]2_inventory_total_details'!$C$8:$C$10000,I12,'[1]2_inventory_total_details'!$F$8:$F$10000,pb_location_id,'[1]2_inventory_total_details'!$G$8:$G$10000,"="&amp;Q12,'[1]2_inventory_total_details'!$H$8:$H$10000,"="&amp;R12,'[1]2_inventory_total_details'!$I$8:$I$10000,"="&amp;pb_date)+SUMIFS('[1]2_inventory_total_details'!$K$8:$K$10000,'[1]2_inventory_total_details'!$C$8:$C$10000,I12,'[1]2_inventory_total_details'!$F$8:$F$10000,pb_location_id,'[1]2_inventory_total_details'!$G$8:$G$10000,"="&amp;Q12,'[1]2_inventory_total_details'!$H$8:$H$10000,"="&amp;R12,'[1]2_inventory_total_details'!$I$8:$I$10000,"="&amp;pb_date)+SUMIFS('[1]2_inventory_total_details'!$L$8:$L$10000,'[1]2_inventory_total_details'!$C$8:$C$10000,I12,'[1]2_inventory_total_details'!$F$8:$F$10000,pb_location_id,'[1]2_inventory_total_details'!$G$8:$G$10000,"="&amp;Q12,'[1]2_inventory_total_details'!$H$8:$H$10000,"="&amp;R12,'[1]2_inventory_total_details'!$I$8:$I$10000,"="&amp;pb_date)))</f>
        <v/>
      </c>
      <c r="AH12" s="1640" t="str">
        <f>IF(M12="","",IF(ISNA(MATCH(I12,'[1]1_group_totals'!$C$8:$C$10000)),0,IF(AT12&gt;0,1,0)))</f>
        <v/>
      </c>
      <c r="AI12" s="1640" t="str">
        <f>IF(M12="","",(SUMIFS('[1]1_group_total_details'!$I$8:$I$10000,'[1]1_group_total_details'!$C$8:$C$10000,I12,'[1]1_group_total_details'!$F$8:$F$10000,pb_location_group_id,'[1]1_group_total_details'!$G$8:$G$10000,pb_location_id,'[1]1_group_total_details'!$H$8:$H$10000,"="&amp;pb_date)+SUMIFS('[1]1_group_total_details'!$L$8:$L$10000,'[1]1_group_total_details'!$C$8:$C$10000,I12,'[1]1_group_total_details'!$F$8:$F$10000,pb_location_group_id,'[1]1_group_total_details'!$G$8:$G$10000,pb_location_id,'[1]1_group_total_details'!$H$8:$H$10000,"="&amp;pb_date)+SUMIFS('[1]1_group_total_details'!$N$8:$N$10000,'[1]1_group_total_details'!$C$8:$C$10000,I12,'[1]1_group_total_details'!$F$8:$F$10000,pb_location_group_id,'[1]1_group_total_details'!$G$8:$G$10000,pb_location_id,'[1]1_group_total_details'!$H$8:$H$10000,"="&amp;pb_date)+SUMIFS('[1]1_group_total_details'!$O$8:$O$10000,'[1]1_group_total_details'!$C$8:$C$10000,I12,'[1]1_group_total_details'!$F$8:$F$10000,pb_location_group_id,'[1]1_group_total_details'!$G$8:$G$10000,pb_location_id,'[1]1_group_total_details'!$H$8:$H$10000,"="&amp;pb_date))+(SUMIFS('[1]1_group_total_details'!$J$8:$J$10000,'[1]1_group_total_details'!$C$8:$C$10000,I12,'[1]1_group_total_details'!$F$8:$F$10000,pb_location_group_id,'[1]1_group_total_details'!$G$8:$G$10000,pb_location_id,'[1]1_group_total_details'!$H$8:$H$10000,"="&amp;pb_date)+SUMIFS('[1]1_group_total_details'!$K$8:$K$10000,'[1]1_group_total_details'!$C$8:$C$10000,I12,'[1]1_group_total_details'!$F$8:$F$10000,pb_location_group_id,'[1]1_group_total_details'!$G$8:$G$10000,pb_location_id,'[1]1_group_total_details'!$H$8:$H$10000,"="&amp;pb_date)+SUMIFS('[1]1_group_total_details'!$M$8:$M$10000,'[1]1_group_total_details'!$C$8:$C$10000,I12,'[1]1_group_total_details'!$F$8:$F$10000,pb_location_group_id,'[1]1_group_total_details'!$G$8:$G$10000,pb_location_id,'[1]1_group_total_details'!$H$8:$H$10000,"="&amp;pb_date)+SUMIFS('[1]1_group_total_details'!$P$8:$P$10000,'[1]1_group_total_details'!$C$8:$C$10000,I12,'[1]1_group_total_details'!$F$8:$F$10000,pb_location_group_id,'[1]1_group_total_details'!$G$8:$G$10000,pb_location_id,'[1]1_group_total_details'!$H$8:$H$10000,"="&amp;pb_date)))</f>
        <v/>
      </c>
      <c r="AJ12" s="1640" t="str">
        <f>IF(M12="","",IF(AK12=0,0,(SUMIFS('[1]1_group_total_details'!$I$8:$I$10000,'[1]1_group_total_details'!$C$8:$C$10000,I12,'[1]1_group_total_details'!$F$8:$F$10000,pb_location_group_id,'[1]1_group_total_details'!$G$8:$G$10000,pb_location_id,'[1]1_group_total_details'!$H$8:$H$10000,"&lt;="&amp;pb_date)+SUMIFS('[1]1_group_total_details'!$L$8:$L$10000,'[1]1_group_total_details'!$C$8:$C$10000,I12,'[1]1_group_total_details'!$F$8:$F$10000,pb_location_group_id,'[1]1_group_total_details'!$G$8:$G$10000,pb_location_id,'[1]1_group_total_details'!$H$8:$H$10000,"&lt;="&amp;pb_date)+SUMIFS('[1]1_group_total_details'!$N$8:$N$10000,'[1]1_group_total_details'!$C$8:$C$10000,I12,'[1]1_group_total_details'!$F$8:$F$10000,pb_location_group_id,'[1]1_group_total_details'!$G$8:$G$10000,pb_location_id,'[1]1_group_total_details'!$H$8:$H$10000,"&lt;="&amp;pb_date)+SUMIFS('[1]1_group_total_details'!$O$8:$O$10000,'[1]1_group_total_details'!$C$8:$C$10000,I12,'[1]1_group_total_details'!$F$8:$F$10000,pb_location_group_id,'[1]1_group_total_details'!$G$8:$G$10000,pb_location_id,'[1]1_group_total_details'!$H$8:$H$10000,"&lt;="&amp;pb_date))-(SUMIFS('[1]1_group_total_details'!$J$8:$J$10000,'[1]1_group_total_details'!$C$8:$C$10000,I12,'[1]1_group_total_details'!$F$8:$F$10000,pb_location_group_id,'[1]1_group_total_details'!$G$8:$G$10000,pb_location_id,'[1]1_group_total_details'!$H$8:$H$10000,"&lt;="&amp;pb_date)+SUMIFS('[1]1_group_total_details'!$K$8:$K$10000,'[1]1_group_total_details'!$C$8:$C$10000,I12,'[1]1_group_total_details'!$F$8:$F$10000,pb_location_group_id,'[1]1_group_total_details'!$G$8:$G$10000,invoice_location_id,'[1]1_group_total_details'!$H$8:$H$10000,"&lt;="&amp;pb_date)+SUMIFS('[1]1_group_total_details'!$M$8:$M$10000,'[1]1_group_total_details'!$C$8:$C$10000,I12,'[1]1_group_total_details'!$F$8:$F$10000,pb_location_group_id,'[1]1_group_total_details'!$G$8:$G$10000,pb_location_id,'[1]1_group_total_details'!$H$8:$H$10000,"&lt;="&amp;pb_date)+SUMIFS('[1]1_group_total_details'!$P$8:$P$10000,'[1]1_group_total_details'!$C$8:$C$10000,I12,'[1]1_group_total_details'!$F$8:$F$10000,pb_location_group_id,'[1]1_group_total_details'!$G$8:$G$10000,pb_location_id,'[1]1_group_total_details'!$H$8:$H$10000,"&lt;="&amp;pb_date))))</f>
        <v/>
      </c>
      <c r="AK12" s="1640" t="str">
        <f>IF(M12="","",SUMIFS('[1]1_group_totals'!$J$8:$J$10000,'[1]1_group_totals'!$C$8:$C$10000,I12,'[1]1_group_totals'!$F$8:$F$10000,pb_location_group_id,'[1]1_group_totals'!$G$8:$G$10000,pb_location_id,'[1]1_group_totals'!$H$8:$H$10000,"="&amp;Q12,'[1]1_group_totals'!$I$8:$I$10000,"="&amp;R12))</f>
        <v/>
      </c>
      <c r="AL12" s="1644" t="str">
        <f t="shared" si="17"/>
        <v/>
      </c>
      <c r="AM12" s="1644" t="str">
        <f>IF(OR(ISNA(MATCH(MID(AL12,1,3)*1,UomConversion!$D$8:$D$500,0)),M12=""),"",IF(AQ12="","",AQ12))</f>
        <v/>
      </c>
      <c r="AN12" s="1644" t="str">
        <f>IF(AND(AO12&gt;0,COUNTIFS(UomConversion!$D$8:$D$500,MID(AL12,1,3)*1,UomConversion!$J$8:$J$500,1)&gt;1),TEXT(AO12,"000")&amp;"."&amp;VLOOKUP(AO12,uom_list,5,FALSE),"")</f>
        <v/>
      </c>
      <c r="AO12" s="1640" t="str">
        <f t="shared" si="18"/>
        <v/>
      </c>
      <c r="AP12" s="1645" t="str">
        <f t="shared" si="19"/>
        <v/>
      </c>
      <c r="AQ12" s="491" t="str">
        <f t="shared" si="20"/>
        <v/>
      </c>
      <c r="AR12" s="1281" t="str" cm="1">
        <f t="array" ref="AR12">IF(M12="","",IF(ISNA(Slookup(MID(AL12,1,3)*1,UomConversion!$D$8:$J$500,2,UomConversion!$I$8:$I$500,1,UomConversion!$J$8:$J$500,1)),"",Slookup(MID(AL12,1,3)*1,UomConversion!$D$8:$J$500,2,UomConversion!$I$8:$I$500,1,UomConversion!$J$8:$J$500,1)))</f>
        <v/>
      </c>
      <c r="AS12" s="663" t="str">
        <f>IF(M12="","",(SUMIFS('[1]1_inventory_totals'!$I$8:$I$10000,'[1]1_inventory_totals'!$C$8:$C$10000,I12,'[1]1_inventory_totals'!$F$8:$F$10000,"="&amp;Q12,'[1]1_inventory_totals'!$G$8:$G$10000,"="&amp;R12)+SUMIFS('[1]1_inventory_totals'!$N$8:$N$10000,'[1]1_inventory_totals'!$C$8:$C$10000,I12,'[1]1_inventory_totals'!$F$8:$F$10000,"="&amp;Q12,'[1]1_inventory_totals'!$G$8:$G$10000,"="&amp;R12)+SUMIFS('[1]1_inventory_totals'!$P$8:$P$10000,'[1]1_inventory_totals'!$C$8:$C$10000,I12,'[1]1_inventory_totals'!$F$8:$F$10000,"="&amp;Q12,'[1]1_inventory_totals'!$G$8:$G$10000,"="&amp;R12)+SUMIFS('[1]1_inventory_totals'!$Q$8:$Q$10000,'[1]1_inventory_totals'!$C$8:$C$10000,I12,'[1]1_inventory_totals'!$F$8:$F$10000,"="&amp;Q12,'[1]1_inventory_totals'!$G$8:$G$10000,"="&amp;R12)+SUMIFS('[1]1_inventory_totals'!$R$8:$R$10000,'[1]1_inventory_totals'!$C$8:$C$10000,I12,'[1]1_inventory_totals'!$F$8:$F$10000,"="&amp;Q12,'[1]1_inventory_totals'!$G$8:$G$10000,"="&amp;R12))+(SUMIFS('[1]1_inventory_totals'!$J$8:$J$10000,'[1]1_inventory_totals'!$C$8:$C$10000,I12,'[1]1_inventory_totals'!$F$8:$F$10000,"="&amp;Q12,'[1]1_inventory_totals'!$G$8:$G$10000,"="&amp;R12)+SUMIFS('[1]1_inventory_totals'!$K$8:$K$10000,'[1]1_inventory_totals'!$C$8:$C$10000,I12,'[1]1_inventory_totals'!$F$8:$F$10000,"="&amp;Q12,'[1]1_inventory_totals'!$G$8:$G$10000,"="&amp;R12)+SUMIFS('[1]1_inventory_totals'!$L$8:$L$10000,'[1]1_inventory_totals'!$C$8:$C$10000,I12,'[1]1_inventory_totals'!$F$8:$F$10000,"="&amp;Q12,'[1]1_inventory_totals'!$G$8:$G$10000,"="&amp;R12)+SUMIFS('[1]1_inventory_totals'!$M$8:$M$10000,'[1]1_inventory_totals'!$C$8:$C$10000,I12,'[1]1_inventory_totals'!$F$8:$F$10000,"="&amp;Q12,'[1]1_inventory_totals'!$G$8:$G$10000,"="&amp;R12)+SUMIFS('[1]1_inventory_totals'!$O$8:$O$10000,'[1]1_inventory_totals'!$C$8:$C$10000,I12,'[1]1_inventory_totals'!$F$8:$F$10000,"="&amp;Q12,'[1]1_inventory_totals'!$G$8:$G$10000,"="&amp;R12)+SUMIFS('[1]1_inventory_totals'!$S$8:$S$10000,'[1]1_inventory_totals'!$C$8:$C$10000,I12,'[1]1_inventory_totals'!$F$8:$F$10000,"="&amp;Q12,'[1]1_inventory_totals'!$G$8:$G$10000,"="&amp;R12)))</f>
        <v/>
      </c>
      <c r="AT12" s="1281" t="str">
        <f>IF(M12="","",(SUMIFS('[1]1_group_totals'!$K$8:$K$10000,'[1]1_group_totals'!$C$8:$C$10000,I12,'[1]1_group_totals'!$F$8:$F$10000,pb_location_group_id,'[1]1_group_totals'!$G$8:$G$10000,pb_location_id,'[1]1_group_totals'!$H$8:$H$10000,"="&amp;Q12,'[1]1_group_totals'!$I$8:$I$10000,"="&amp;R12)+SUMIFS('[1]1_group_totals'!$N$8:$N$10000,'[1]1_group_totals'!$C$8:$C$10000,I12,'[1]1_group_totals'!$F$8:$F$10000,pb_location_group_id,'[1]1_group_totals'!$G$8:$G$10000,pb_location_id,'[1]1_group_totals'!$H$8:$H$10000,"="&amp;Q12,'[1]1_group_totals'!$I$8:$I$10000,"="&amp;R12)+SUMIFS('[1]1_group_totals'!$P$8:$P$10000,'[1]1_group_totals'!$C$8:$C$10000,I12,'[1]1_group_totals'!$F$8:$F$10000,pb_location_group_id,'[1]1_group_totals'!$G$8:$G$10000,pb_location_id,'[1]1_group_totals'!$H$8:$H$10000,"="&amp;Q12,'[1]1_group_totals'!$I$8:$I$10000,"="&amp;R12)+SUMIFS('[1]1_group_totals'!$Q$8:$Q$10000,'[1]1_group_totals'!$C$8:$C$10000,I12,'[1]1_group_totals'!$F$8:$F$10000,pb_location_group_id,'[1]1_group_totals'!$G$8:$G$10000,pb_location_id,'[1]1_group_totals'!$H$8:$H$10000,"="&amp;Q12,'[1]1_group_totals'!$I$8:$I$10000,"="&amp;R12))+(SUMIFS('[1]1_group_totals'!$L$8:$L$10000,'[1]1_group_totals'!$C$8:$C$10000,I12,'[1]1_group_totals'!$F$8:$F$10000,pb_location_group_id,'[1]1_group_totals'!$G$8:$G$10000,pb_location_id,'[1]1_group_totals'!$H$8:$H$10000,"="&amp;Q12,'[1]1_group_totals'!$I$8:$I$10000,"="&amp;R12)+SUMIFS('[1]1_group_totals'!$M$8:$M$10000,'[1]1_group_totals'!$C$8:$C$10000,I12,'[1]1_group_totals'!$F$8:$F$10000,pb_location_group_id,'[1]1_group_totals'!$G$8:$G$10000,pb_location_id,'[1]1_group_totals'!$H$8:$H$10000,"="&amp;Q12,'[1]1_group_totals'!$I$8:$I$10000,"="&amp;R12)+SUMIFS('[1]1_group_totals'!$O$8:$O$10000,'[1]1_group_totals'!$C$8:$C$10000,I12,'[1]1_group_totals'!$F$8:$F$10000,pb_location_group_id,'[1]1_group_totals'!$G$8:$G$10000,pb_location_id,'[1]1_group_totals'!$H$8:$H$10000,"="&amp;Q12,'[1]1_group_totals'!$I$8:$I$10000,"="&amp;R12)+SUMIFS('[1]1_group_totals'!$R$8:$R$10000,'[1]1_group_totals'!$C$8:$C$10000,I12,'[1]1_group_totals'!$F$8:$F$10000,pb_location_group_id,'[1]1_group_totals'!$G$8:$G$10000,pb_location_id,'[1]1_group_totals'!$H$8:$H$10000,"="&amp;Q12,'[1]1_group_totals'!$I$8:$I$10000,"="&amp;R12)))</f>
        <v/>
      </c>
    </row>
    <row r="13" spans="1:78" ht="27" customHeight="1" thickBot="1">
      <c r="A13" s="923"/>
      <c r="B13" s="1028"/>
      <c r="C13" s="1059" t="s">
        <v>1858</v>
      </c>
      <c r="D13" s="1599">
        <f>MID(pb_branch,1,2)*1</f>
        <v>1</v>
      </c>
      <c r="E13" s="1059" t="s">
        <v>2599</v>
      </c>
      <c r="F13" s="1619">
        <f>MID(pb_location,1,3)*1</f>
        <v>1</v>
      </c>
      <c r="G13" s="941"/>
      <c r="I13" s="1610" t="str">
        <f t="shared" si="8"/>
        <v/>
      </c>
      <c r="J13" s="1631" t="str">
        <f t="shared" si="25"/>
        <v/>
      </c>
      <c r="K13" s="1628" t="str">
        <f t="shared" si="0"/>
        <v/>
      </c>
      <c r="L13" s="1632"/>
      <c r="M13" s="1043"/>
      <c r="N13" s="1044"/>
      <c r="O13" s="1045"/>
      <c r="P13" s="1046"/>
      <c r="Q13" s="1047"/>
      <c r="R13" s="1053"/>
      <c r="S13" s="1634" t="str">
        <f t="shared" ref="S13" si="32">IF(M13="","",pb_currency_symbol)</f>
        <v/>
      </c>
      <c r="T13" s="1049"/>
      <c r="U13" s="1636" t="str">
        <f t="shared" si="10"/>
        <v/>
      </c>
      <c r="V13" s="1634" t="str">
        <f t="shared" ref="V13" si="33">IF(W13=0,"",pb_currency_symbol)</f>
        <v/>
      </c>
      <c r="W13" s="1054"/>
      <c r="X13" s="1634" t="str">
        <f t="shared" ref="X13" si="34">IF(M13="","",pb_currency_symbol)</f>
        <v/>
      </c>
      <c r="Y13" s="1638" t="str">
        <f t="shared" si="24"/>
        <v/>
      </c>
      <c r="Z13" s="1055"/>
      <c r="AA13" s="1639" t="str" cm="1">
        <f t="array" ref="AA13">IF(M13="","",IF(P13=AL13,1,Slookup(MID(AL13,1,3)*1,UomConversion!$D$8:$J$500,5,UomConversion!$E$8:$E$500,MID(P13,1,3)*1,UomConversion!$J$8:$J$500,1)))</f>
        <v/>
      </c>
      <c r="AB13" s="1640" t="str">
        <f t="shared" si="13"/>
        <v/>
      </c>
      <c r="AC13" s="1641" t="str">
        <f t="shared" si="14"/>
        <v/>
      </c>
      <c r="AD13" s="1642" t="str">
        <f t="shared" si="15"/>
        <v/>
      </c>
      <c r="AE13" s="1643" t="str">
        <f t="shared" si="16"/>
        <v/>
      </c>
      <c r="AF13" s="1640" t="str">
        <f>IF(I13="","",IF(ISNA(MATCH(I13,IF(pb_location_id=1,'[1]1_inventory_totals'!$C$8:$C$10000,IF(pb_location_id=2,'[1]2_inventory_totals'!$C$8:$C$10000,"")),0)),0,IF(AS13&gt;0,1,0)))</f>
        <v/>
      </c>
      <c r="AG13" s="1640" t="str">
        <f>IF(M13="","",IF(pb_location_id=1,SUMIFS('[1]1_inventory_total_details'!$J$8:$J$10000,'[1]1_inventory_total_details'!$C$8:$C$10000,I13,'[1]1_inventory_total_details'!$F$8:$F$10000,pb_location_id,'[1]1_inventory_total_details'!$G$8:$G$10000,"="&amp;Q13,'[1]1_inventory_total_details'!$H$8:$H$10000,"="&amp;R13,'[1]1_inventory_total_details'!$I$8:$I$10000,"="&amp;pb_date)+SUMIFS('[1]1_inventory_total_details'!$M$8:$M$10000,'[1]1_inventory_total_details'!$C$8:$C$10000,I13,'[1]1_inventory_total_details'!$F$8:$F$10000,pb_location_id,'[1]1_inventory_total_details'!$G$8:$G$10000,"="&amp;Q13,'[1]1_inventory_total_details'!$H$8:$H$10000,"="&amp;R13,'[1]1_inventory_total_details'!$I$8:$I$10000,"="&amp;pb_date)+SUMIFS('[1]1_inventory_total_details'!$K$8:$K$10000,'[1]1_inventory_total_details'!$C$8:$C$10000,I13,'[1]1_inventory_total_details'!$F$8:$F$10000,pb_location_id,'[1]1_inventory_total_details'!$G$8:$G$10000,"="&amp;Q13,'[1]1_inventory_total_details'!$H$8:$H$10000,"="&amp;R13,'[1]1_inventory_total_details'!$I$8:$I$10000,"="&amp;pb_date)+SUMIFS('[1]1_inventory_total_details'!$L$8:$L$10000,'[1]1_inventory_total_details'!$C$8:$C$10000,I13,'[1]1_inventory_total_details'!$F$8:$F$10000,pb_location_id,'[1]1_inventory_total_details'!$G$8:$G$10000,"="&amp;Q13,'[1]1_inventory_total_details'!$H$8:$H$10000,"="&amp;R13,'[1]1_inventory_total_details'!$I$8:$I$10000,"="&amp;pb_date),SUMIFS('[1]2_inventory_total_details'!$J$8:$J$10000,'[1]2_inventory_total_details'!$C$8:$C$10000,I13,'[1]1_inventory_total_details'!$F$8:$F$10000,pb_location_id,'[1]2_inventory_total_details'!$G$8:$G$10000,"="&amp;Q13,'[1]2_inventory_total_details'!$H$8:$H$10000,"="&amp;R13,'[1]2_inventory_total_details'!$I$8:$I$10000,"="&amp;pb_date)+SUMIFS('[1]2_inventory_total_details'!$M$8:$M$10000,'[1]2_inventory_total_details'!$C$8:$C$10000,I13,'[1]2_inventory_total_details'!$F$8:$F$10000,pb_location_id,'[1]2_inventory_total_details'!$G$8:$G$10000,"="&amp;Q13,'[1]2_inventory_total_details'!$H$8:$H$10000,"="&amp;R13,'[1]2_inventory_total_details'!$I$8:$I$10000,"="&amp;pb_date)+SUMIFS('[1]2_inventory_total_details'!$K$8:$K$10000,'[1]2_inventory_total_details'!$C$8:$C$10000,I13,'[1]2_inventory_total_details'!$F$8:$F$10000,pb_location_id,'[1]2_inventory_total_details'!$G$8:$G$10000,"="&amp;Q13,'[1]2_inventory_total_details'!$H$8:$H$10000,"="&amp;R13,'[1]2_inventory_total_details'!$I$8:$I$10000,"="&amp;pb_date)+SUMIFS('[1]2_inventory_total_details'!$L$8:$L$10000,'[1]2_inventory_total_details'!$C$8:$C$10000,I13,'[1]2_inventory_total_details'!$F$8:$F$10000,pb_location_id,'[1]2_inventory_total_details'!$G$8:$G$10000,"="&amp;Q13,'[1]2_inventory_total_details'!$H$8:$H$10000,"="&amp;R13,'[1]2_inventory_total_details'!$I$8:$I$10000,"="&amp;pb_date)))</f>
        <v/>
      </c>
      <c r="AH13" s="1640" t="str">
        <f>IF(M13="","",IF(ISNA(MATCH(I13,'[1]1_group_totals'!$C$8:$C$10000)),0,IF(AT13&gt;0,1,0)))</f>
        <v/>
      </c>
      <c r="AI13" s="1640" t="str">
        <f>IF(M13="","",(SUMIFS('[1]1_group_total_details'!$I$8:$I$10000,'[1]1_group_total_details'!$C$8:$C$10000,I13,'[1]1_group_total_details'!$F$8:$F$10000,pb_location_group_id,'[1]1_group_total_details'!$G$8:$G$10000,pb_location_id,'[1]1_group_total_details'!$H$8:$H$10000,"="&amp;pb_date)+SUMIFS('[1]1_group_total_details'!$L$8:$L$10000,'[1]1_group_total_details'!$C$8:$C$10000,I13,'[1]1_group_total_details'!$F$8:$F$10000,pb_location_group_id,'[1]1_group_total_details'!$G$8:$G$10000,pb_location_id,'[1]1_group_total_details'!$H$8:$H$10000,"="&amp;pb_date)+SUMIFS('[1]1_group_total_details'!$N$8:$N$10000,'[1]1_group_total_details'!$C$8:$C$10000,I13,'[1]1_group_total_details'!$F$8:$F$10000,pb_location_group_id,'[1]1_group_total_details'!$G$8:$G$10000,pb_location_id,'[1]1_group_total_details'!$H$8:$H$10000,"="&amp;pb_date)+SUMIFS('[1]1_group_total_details'!$O$8:$O$10000,'[1]1_group_total_details'!$C$8:$C$10000,I13,'[1]1_group_total_details'!$F$8:$F$10000,pb_location_group_id,'[1]1_group_total_details'!$G$8:$G$10000,pb_location_id,'[1]1_group_total_details'!$H$8:$H$10000,"="&amp;pb_date))+(SUMIFS('[1]1_group_total_details'!$J$8:$J$10000,'[1]1_group_total_details'!$C$8:$C$10000,I13,'[1]1_group_total_details'!$F$8:$F$10000,pb_location_group_id,'[1]1_group_total_details'!$G$8:$G$10000,pb_location_id,'[1]1_group_total_details'!$H$8:$H$10000,"="&amp;pb_date)+SUMIFS('[1]1_group_total_details'!$K$8:$K$10000,'[1]1_group_total_details'!$C$8:$C$10000,I13,'[1]1_group_total_details'!$F$8:$F$10000,pb_location_group_id,'[1]1_group_total_details'!$G$8:$G$10000,pb_location_id,'[1]1_group_total_details'!$H$8:$H$10000,"="&amp;pb_date)+SUMIFS('[1]1_group_total_details'!$M$8:$M$10000,'[1]1_group_total_details'!$C$8:$C$10000,I13,'[1]1_group_total_details'!$F$8:$F$10000,pb_location_group_id,'[1]1_group_total_details'!$G$8:$G$10000,pb_location_id,'[1]1_group_total_details'!$H$8:$H$10000,"="&amp;pb_date)+SUMIFS('[1]1_group_total_details'!$P$8:$P$10000,'[1]1_group_total_details'!$C$8:$C$10000,I13,'[1]1_group_total_details'!$F$8:$F$10000,pb_location_group_id,'[1]1_group_total_details'!$G$8:$G$10000,pb_location_id,'[1]1_group_total_details'!$H$8:$H$10000,"="&amp;pb_date)))</f>
        <v/>
      </c>
      <c r="AJ13" s="1640" t="str">
        <f>IF(M13="","",IF(AK13=0,0,(SUMIFS('[1]1_group_total_details'!$I$8:$I$10000,'[1]1_group_total_details'!$C$8:$C$10000,I13,'[1]1_group_total_details'!$F$8:$F$10000,pb_location_group_id,'[1]1_group_total_details'!$G$8:$G$10000,pb_location_id,'[1]1_group_total_details'!$H$8:$H$10000,"&lt;="&amp;pb_date)+SUMIFS('[1]1_group_total_details'!$L$8:$L$10000,'[1]1_group_total_details'!$C$8:$C$10000,I13,'[1]1_group_total_details'!$F$8:$F$10000,pb_location_group_id,'[1]1_group_total_details'!$G$8:$G$10000,pb_location_id,'[1]1_group_total_details'!$H$8:$H$10000,"&lt;="&amp;pb_date)+SUMIFS('[1]1_group_total_details'!$N$8:$N$10000,'[1]1_group_total_details'!$C$8:$C$10000,I13,'[1]1_group_total_details'!$F$8:$F$10000,pb_location_group_id,'[1]1_group_total_details'!$G$8:$G$10000,pb_location_id,'[1]1_group_total_details'!$H$8:$H$10000,"&lt;="&amp;pb_date)+SUMIFS('[1]1_group_total_details'!$O$8:$O$10000,'[1]1_group_total_details'!$C$8:$C$10000,I13,'[1]1_group_total_details'!$F$8:$F$10000,pb_location_group_id,'[1]1_group_total_details'!$G$8:$G$10000,pb_location_id,'[1]1_group_total_details'!$H$8:$H$10000,"&lt;="&amp;pb_date))-(SUMIFS('[1]1_group_total_details'!$J$8:$J$10000,'[1]1_group_total_details'!$C$8:$C$10000,I13,'[1]1_group_total_details'!$F$8:$F$10000,pb_location_group_id,'[1]1_group_total_details'!$G$8:$G$10000,pb_location_id,'[1]1_group_total_details'!$H$8:$H$10000,"&lt;="&amp;pb_date)+SUMIFS('[1]1_group_total_details'!$K$8:$K$10000,'[1]1_group_total_details'!$C$8:$C$10000,I13,'[1]1_group_total_details'!$F$8:$F$10000,pb_location_group_id,'[1]1_group_total_details'!$G$8:$G$10000,invoice_location_id,'[1]1_group_total_details'!$H$8:$H$10000,"&lt;="&amp;pb_date)+SUMIFS('[1]1_group_total_details'!$M$8:$M$10000,'[1]1_group_total_details'!$C$8:$C$10000,I13,'[1]1_group_total_details'!$F$8:$F$10000,pb_location_group_id,'[1]1_group_total_details'!$G$8:$G$10000,pb_location_id,'[1]1_group_total_details'!$H$8:$H$10000,"&lt;="&amp;pb_date)+SUMIFS('[1]1_group_total_details'!$P$8:$P$10000,'[1]1_group_total_details'!$C$8:$C$10000,I13,'[1]1_group_total_details'!$F$8:$F$10000,pb_location_group_id,'[1]1_group_total_details'!$G$8:$G$10000,pb_location_id,'[1]1_group_total_details'!$H$8:$H$10000,"&lt;="&amp;pb_date))))</f>
        <v/>
      </c>
      <c r="AK13" s="1640" t="str">
        <f>IF(M13="","",SUMIFS('[1]1_group_totals'!$J$8:$J$10000,'[1]1_group_totals'!$C$8:$C$10000,I13,'[1]1_group_totals'!$F$8:$F$10000,pb_location_group_id,'[1]1_group_totals'!$G$8:$G$10000,pb_location_id,'[1]1_group_totals'!$H$8:$H$10000,"="&amp;Q13,'[1]1_group_totals'!$I$8:$I$10000,"="&amp;R13))</f>
        <v/>
      </c>
      <c r="AL13" s="1644" t="str">
        <f t="shared" si="17"/>
        <v/>
      </c>
      <c r="AM13" s="1644" t="str">
        <f>IF(OR(ISNA(MATCH(MID(AL13,1,3)*1,UomConversion!$D$8:$D$500,0)),M13=""),"",IF(AQ13="","",AQ13))</f>
        <v/>
      </c>
      <c r="AN13" s="1644" t="str">
        <f>IF(AND(AO13&gt;0,COUNTIFS(UomConversion!$D$8:$D$500,MID(AL13,1,3)*1,UomConversion!$J$8:$J$500,1)&gt;1),TEXT(AO13,"000")&amp;"."&amp;VLOOKUP(AO13,uom_list,5,FALSE),"")</f>
        <v/>
      </c>
      <c r="AO13" s="1640" t="str">
        <f t="shared" si="18"/>
        <v/>
      </c>
      <c r="AP13" s="1645" t="str">
        <f t="shared" si="19"/>
        <v/>
      </c>
      <c r="AQ13" s="491" t="str">
        <f t="shared" si="20"/>
        <v/>
      </c>
      <c r="AR13" s="1281" t="str" cm="1">
        <f t="array" ref="AR13">IF(M13="","",IF(ISNA(Slookup(MID(AL13,1,3)*1,UomConversion!$D$8:$J$500,2,UomConversion!$I$8:$I$500,1,UomConversion!$J$8:$J$500,1)),"",Slookup(MID(AL13,1,3)*1,UomConversion!$D$8:$J$500,2,UomConversion!$I$8:$I$500,1,UomConversion!$J$8:$J$500,1)))</f>
        <v/>
      </c>
      <c r="AS13" s="663" t="str">
        <f>IF(M13="","",(SUMIFS('[1]1_inventory_totals'!$I$8:$I$10000,'[1]1_inventory_totals'!$C$8:$C$10000,I13,'[1]1_inventory_totals'!$F$8:$F$10000,"="&amp;Q13,'[1]1_inventory_totals'!$G$8:$G$10000,"="&amp;R13)+SUMIFS('[1]1_inventory_totals'!$N$8:$N$10000,'[1]1_inventory_totals'!$C$8:$C$10000,I13,'[1]1_inventory_totals'!$F$8:$F$10000,"="&amp;Q13,'[1]1_inventory_totals'!$G$8:$G$10000,"="&amp;R13)+SUMIFS('[1]1_inventory_totals'!$P$8:$P$10000,'[1]1_inventory_totals'!$C$8:$C$10000,I13,'[1]1_inventory_totals'!$F$8:$F$10000,"="&amp;Q13,'[1]1_inventory_totals'!$G$8:$G$10000,"="&amp;R13)+SUMIFS('[1]1_inventory_totals'!$Q$8:$Q$10000,'[1]1_inventory_totals'!$C$8:$C$10000,I13,'[1]1_inventory_totals'!$F$8:$F$10000,"="&amp;Q13,'[1]1_inventory_totals'!$G$8:$G$10000,"="&amp;R13)+SUMIFS('[1]1_inventory_totals'!$R$8:$R$10000,'[1]1_inventory_totals'!$C$8:$C$10000,I13,'[1]1_inventory_totals'!$F$8:$F$10000,"="&amp;Q13,'[1]1_inventory_totals'!$G$8:$G$10000,"="&amp;R13))+(SUMIFS('[1]1_inventory_totals'!$J$8:$J$10000,'[1]1_inventory_totals'!$C$8:$C$10000,I13,'[1]1_inventory_totals'!$F$8:$F$10000,"="&amp;Q13,'[1]1_inventory_totals'!$G$8:$G$10000,"="&amp;R13)+SUMIFS('[1]1_inventory_totals'!$K$8:$K$10000,'[1]1_inventory_totals'!$C$8:$C$10000,I13,'[1]1_inventory_totals'!$F$8:$F$10000,"="&amp;Q13,'[1]1_inventory_totals'!$G$8:$G$10000,"="&amp;R13)+SUMIFS('[1]1_inventory_totals'!$L$8:$L$10000,'[1]1_inventory_totals'!$C$8:$C$10000,I13,'[1]1_inventory_totals'!$F$8:$F$10000,"="&amp;Q13,'[1]1_inventory_totals'!$G$8:$G$10000,"="&amp;R13)+SUMIFS('[1]1_inventory_totals'!$M$8:$M$10000,'[1]1_inventory_totals'!$C$8:$C$10000,I13,'[1]1_inventory_totals'!$F$8:$F$10000,"="&amp;Q13,'[1]1_inventory_totals'!$G$8:$G$10000,"="&amp;R13)+SUMIFS('[1]1_inventory_totals'!$O$8:$O$10000,'[1]1_inventory_totals'!$C$8:$C$10000,I13,'[1]1_inventory_totals'!$F$8:$F$10000,"="&amp;Q13,'[1]1_inventory_totals'!$G$8:$G$10000,"="&amp;R13)+SUMIFS('[1]1_inventory_totals'!$S$8:$S$10000,'[1]1_inventory_totals'!$C$8:$C$10000,I13,'[1]1_inventory_totals'!$F$8:$F$10000,"="&amp;Q13,'[1]1_inventory_totals'!$G$8:$G$10000,"="&amp;R13)))</f>
        <v/>
      </c>
      <c r="AT13" s="1281" t="str">
        <f>IF(M13="","",(SUMIFS('[1]1_group_totals'!$K$8:$K$10000,'[1]1_group_totals'!$C$8:$C$10000,I13,'[1]1_group_totals'!$F$8:$F$10000,pb_location_group_id,'[1]1_group_totals'!$G$8:$G$10000,pb_location_id,'[1]1_group_totals'!$H$8:$H$10000,"="&amp;Q13,'[1]1_group_totals'!$I$8:$I$10000,"="&amp;R13)+SUMIFS('[1]1_group_totals'!$N$8:$N$10000,'[1]1_group_totals'!$C$8:$C$10000,I13,'[1]1_group_totals'!$F$8:$F$10000,pb_location_group_id,'[1]1_group_totals'!$G$8:$G$10000,pb_location_id,'[1]1_group_totals'!$H$8:$H$10000,"="&amp;Q13,'[1]1_group_totals'!$I$8:$I$10000,"="&amp;R13)+SUMIFS('[1]1_group_totals'!$P$8:$P$10000,'[1]1_group_totals'!$C$8:$C$10000,I13,'[1]1_group_totals'!$F$8:$F$10000,pb_location_group_id,'[1]1_group_totals'!$G$8:$G$10000,pb_location_id,'[1]1_group_totals'!$H$8:$H$10000,"="&amp;Q13,'[1]1_group_totals'!$I$8:$I$10000,"="&amp;R13)+SUMIFS('[1]1_group_totals'!$Q$8:$Q$10000,'[1]1_group_totals'!$C$8:$C$10000,I13,'[1]1_group_totals'!$F$8:$F$10000,pb_location_group_id,'[1]1_group_totals'!$G$8:$G$10000,pb_location_id,'[1]1_group_totals'!$H$8:$H$10000,"="&amp;Q13,'[1]1_group_totals'!$I$8:$I$10000,"="&amp;R13))+(SUMIFS('[1]1_group_totals'!$L$8:$L$10000,'[1]1_group_totals'!$C$8:$C$10000,I13,'[1]1_group_totals'!$F$8:$F$10000,pb_location_group_id,'[1]1_group_totals'!$G$8:$G$10000,pb_location_id,'[1]1_group_totals'!$H$8:$H$10000,"="&amp;Q13,'[1]1_group_totals'!$I$8:$I$10000,"="&amp;R13)+SUMIFS('[1]1_group_totals'!$M$8:$M$10000,'[1]1_group_totals'!$C$8:$C$10000,I13,'[1]1_group_totals'!$F$8:$F$10000,pb_location_group_id,'[1]1_group_totals'!$G$8:$G$10000,pb_location_id,'[1]1_group_totals'!$H$8:$H$10000,"="&amp;Q13,'[1]1_group_totals'!$I$8:$I$10000,"="&amp;R13)+SUMIFS('[1]1_group_totals'!$O$8:$O$10000,'[1]1_group_totals'!$C$8:$C$10000,I13,'[1]1_group_totals'!$F$8:$F$10000,pb_location_group_id,'[1]1_group_totals'!$G$8:$G$10000,pb_location_id,'[1]1_group_totals'!$H$8:$H$10000,"="&amp;Q13,'[1]1_group_totals'!$I$8:$I$10000,"="&amp;R13)+SUMIFS('[1]1_group_totals'!$R$8:$R$10000,'[1]1_group_totals'!$C$8:$C$10000,I13,'[1]1_group_totals'!$F$8:$F$10000,pb_location_group_id,'[1]1_group_totals'!$G$8:$G$10000,pb_location_id,'[1]1_group_totals'!$H$8:$H$10000,"="&amp;Q13,'[1]1_group_totals'!$I$8:$I$10000,"="&amp;R13)))</f>
        <v/>
      </c>
    </row>
    <row r="14" spans="1:78" ht="27" customHeight="1" thickBot="1">
      <c r="A14" s="923"/>
      <c r="B14" s="1011"/>
      <c r="C14" s="947" t="s">
        <v>1899</v>
      </c>
      <c r="D14" s="1061"/>
      <c r="E14" s="947" t="s">
        <v>1900</v>
      </c>
      <c r="F14" s="1057"/>
      <c r="I14" s="1610" t="str">
        <f t="shared" si="8"/>
        <v/>
      </c>
      <c r="J14" s="1631" t="str">
        <f t="shared" si="25"/>
        <v/>
      </c>
      <c r="K14" s="1628" t="str">
        <f t="shared" si="0"/>
        <v/>
      </c>
      <c r="L14" s="1632"/>
      <c r="M14" s="1043"/>
      <c r="N14" s="1044"/>
      <c r="O14" s="1045"/>
      <c r="P14" s="1046"/>
      <c r="Q14" s="1047"/>
      <c r="R14" s="1053"/>
      <c r="S14" s="1634" t="str">
        <f t="shared" ref="S14" si="35">IF(M14="","",pb_currency_symbol)</f>
        <v/>
      </c>
      <c r="T14" s="1049"/>
      <c r="U14" s="1636" t="str">
        <f t="shared" si="10"/>
        <v/>
      </c>
      <c r="V14" s="1634" t="str">
        <f t="shared" ref="V14" si="36">IF(W14=0,"",pb_currency_symbol)</f>
        <v/>
      </c>
      <c r="W14" s="1054"/>
      <c r="X14" s="1634" t="str">
        <f t="shared" ref="X14" si="37">IF(M14="","",pb_currency_symbol)</f>
        <v/>
      </c>
      <c r="Y14" s="1638" t="str">
        <f t="shared" si="24"/>
        <v/>
      </c>
      <c r="Z14" s="1062"/>
      <c r="AA14" s="1639" t="str" cm="1">
        <f t="array" ref="AA14">IF(M14="","",IF(P14=AL14,1,Slookup(MID(AL14,1,3)*1,UomConversion!$D$8:$J$500,5,UomConversion!$E$8:$E$500,MID(P14,1,3)*1,UomConversion!$J$8:$J$500,1)))</f>
        <v/>
      </c>
      <c r="AB14" s="1640" t="str">
        <f t="shared" si="13"/>
        <v/>
      </c>
      <c r="AC14" s="1641" t="str">
        <f t="shared" si="14"/>
        <v/>
      </c>
      <c r="AD14" s="1642" t="str">
        <f t="shared" si="15"/>
        <v/>
      </c>
      <c r="AE14" s="1643" t="str">
        <f t="shared" si="16"/>
        <v/>
      </c>
      <c r="AF14" s="1640" t="str">
        <f>IF(I14="","",IF(ISNA(MATCH(I14,IF(pb_location_id=1,'[1]1_inventory_totals'!$C$8:$C$10000,IF(pb_location_id=2,'[1]2_inventory_totals'!$C$8:$C$10000,"")),0)),0,IF(AS14&gt;0,1,0)))</f>
        <v/>
      </c>
      <c r="AG14" s="1640" t="str">
        <f>IF(M14="","",IF(pb_location_id=1,SUMIFS('[1]1_inventory_total_details'!$J$8:$J$10000,'[1]1_inventory_total_details'!$C$8:$C$10000,I14,'[1]1_inventory_total_details'!$F$8:$F$10000,pb_location_id,'[1]1_inventory_total_details'!$G$8:$G$10000,"="&amp;Q14,'[1]1_inventory_total_details'!$H$8:$H$10000,"="&amp;R14,'[1]1_inventory_total_details'!$I$8:$I$10000,"="&amp;pb_date)+SUMIFS('[1]1_inventory_total_details'!$M$8:$M$10000,'[1]1_inventory_total_details'!$C$8:$C$10000,I14,'[1]1_inventory_total_details'!$F$8:$F$10000,pb_location_id,'[1]1_inventory_total_details'!$G$8:$G$10000,"="&amp;Q14,'[1]1_inventory_total_details'!$H$8:$H$10000,"="&amp;R14,'[1]1_inventory_total_details'!$I$8:$I$10000,"="&amp;pb_date)+SUMIFS('[1]1_inventory_total_details'!$K$8:$K$10000,'[1]1_inventory_total_details'!$C$8:$C$10000,I14,'[1]1_inventory_total_details'!$F$8:$F$10000,pb_location_id,'[1]1_inventory_total_details'!$G$8:$G$10000,"="&amp;Q14,'[1]1_inventory_total_details'!$H$8:$H$10000,"="&amp;R14,'[1]1_inventory_total_details'!$I$8:$I$10000,"="&amp;pb_date)+SUMIFS('[1]1_inventory_total_details'!$L$8:$L$10000,'[1]1_inventory_total_details'!$C$8:$C$10000,I14,'[1]1_inventory_total_details'!$F$8:$F$10000,pb_location_id,'[1]1_inventory_total_details'!$G$8:$G$10000,"="&amp;Q14,'[1]1_inventory_total_details'!$H$8:$H$10000,"="&amp;R14,'[1]1_inventory_total_details'!$I$8:$I$10000,"="&amp;pb_date),SUMIFS('[1]2_inventory_total_details'!$J$8:$J$10000,'[1]2_inventory_total_details'!$C$8:$C$10000,I14,'[1]1_inventory_total_details'!$F$8:$F$10000,pb_location_id,'[1]2_inventory_total_details'!$G$8:$G$10000,"="&amp;Q14,'[1]2_inventory_total_details'!$H$8:$H$10000,"="&amp;R14,'[1]2_inventory_total_details'!$I$8:$I$10000,"="&amp;pb_date)+SUMIFS('[1]2_inventory_total_details'!$M$8:$M$10000,'[1]2_inventory_total_details'!$C$8:$C$10000,I14,'[1]2_inventory_total_details'!$F$8:$F$10000,pb_location_id,'[1]2_inventory_total_details'!$G$8:$G$10000,"="&amp;Q14,'[1]2_inventory_total_details'!$H$8:$H$10000,"="&amp;R14,'[1]2_inventory_total_details'!$I$8:$I$10000,"="&amp;pb_date)+SUMIFS('[1]2_inventory_total_details'!$K$8:$K$10000,'[1]2_inventory_total_details'!$C$8:$C$10000,I14,'[1]2_inventory_total_details'!$F$8:$F$10000,pb_location_id,'[1]2_inventory_total_details'!$G$8:$G$10000,"="&amp;Q14,'[1]2_inventory_total_details'!$H$8:$H$10000,"="&amp;R14,'[1]2_inventory_total_details'!$I$8:$I$10000,"="&amp;pb_date)+SUMIFS('[1]2_inventory_total_details'!$L$8:$L$10000,'[1]2_inventory_total_details'!$C$8:$C$10000,I14,'[1]2_inventory_total_details'!$F$8:$F$10000,pb_location_id,'[1]2_inventory_total_details'!$G$8:$G$10000,"="&amp;Q14,'[1]2_inventory_total_details'!$H$8:$H$10000,"="&amp;R14,'[1]2_inventory_total_details'!$I$8:$I$10000,"="&amp;pb_date)))</f>
        <v/>
      </c>
      <c r="AH14" s="1640" t="str">
        <f>IF(M14="","",IF(ISNA(MATCH(I14,'[1]1_group_totals'!$C$8:$C$10000)),0,IF(AT14&gt;0,1,0)))</f>
        <v/>
      </c>
      <c r="AI14" s="1640" t="str">
        <f>IF(M14="","",(SUMIFS('[1]1_group_total_details'!$I$8:$I$10000,'[1]1_group_total_details'!$C$8:$C$10000,I14,'[1]1_group_total_details'!$F$8:$F$10000,pb_location_group_id,'[1]1_group_total_details'!$G$8:$G$10000,pb_location_id,'[1]1_group_total_details'!$H$8:$H$10000,"="&amp;pb_date)+SUMIFS('[1]1_group_total_details'!$L$8:$L$10000,'[1]1_group_total_details'!$C$8:$C$10000,I14,'[1]1_group_total_details'!$F$8:$F$10000,pb_location_group_id,'[1]1_group_total_details'!$G$8:$G$10000,pb_location_id,'[1]1_group_total_details'!$H$8:$H$10000,"="&amp;pb_date)+SUMIFS('[1]1_group_total_details'!$N$8:$N$10000,'[1]1_group_total_details'!$C$8:$C$10000,I14,'[1]1_group_total_details'!$F$8:$F$10000,pb_location_group_id,'[1]1_group_total_details'!$G$8:$G$10000,pb_location_id,'[1]1_group_total_details'!$H$8:$H$10000,"="&amp;pb_date)+SUMIFS('[1]1_group_total_details'!$O$8:$O$10000,'[1]1_group_total_details'!$C$8:$C$10000,I14,'[1]1_group_total_details'!$F$8:$F$10000,pb_location_group_id,'[1]1_group_total_details'!$G$8:$G$10000,pb_location_id,'[1]1_group_total_details'!$H$8:$H$10000,"="&amp;pb_date))+(SUMIFS('[1]1_group_total_details'!$J$8:$J$10000,'[1]1_group_total_details'!$C$8:$C$10000,I14,'[1]1_group_total_details'!$F$8:$F$10000,pb_location_group_id,'[1]1_group_total_details'!$G$8:$G$10000,pb_location_id,'[1]1_group_total_details'!$H$8:$H$10000,"="&amp;pb_date)+SUMIFS('[1]1_group_total_details'!$K$8:$K$10000,'[1]1_group_total_details'!$C$8:$C$10000,I14,'[1]1_group_total_details'!$F$8:$F$10000,pb_location_group_id,'[1]1_group_total_details'!$G$8:$G$10000,pb_location_id,'[1]1_group_total_details'!$H$8:$H$10000,"="&amp;pb_date)+SUMIFS('[1]1_group_total_details'!$M$8:$M$10000,'[1]1_group_total_details'!$C$8:$C$10000,I14,'[1]1_group_total_details'!$F$8:$F$10000,pb_location_group_id,'[1]1_group_total_details'!$G$8:$G$10000,pb_location_id,'[1]1_group_total_details'!$H$8:$H$10000,"="&amp;pb_date)+SUMIFS('[1]1_group_total_details'!$P$8:$P$10000,'[1]1_group_total_details'!$C$8:$C$10000,I14,'[1]1_group_total_details'!$F$8:$F$10000,pb_location_group_id,'[1]1_group_total_details'!$G$8:$G$10000,pb_location_id,'[1]1_group_total_details'!$H$8:$H$10000,"="&amp;pb_date)))</f>
        <v/>
      </c>
      <c r="AJ14" s="1640" t="str">
        <f>IF(M14="","",IF(AK14=0,0,(SUMIFS('[1]1_group_total_details'!$I$8:$I$10000,'[1]1_group_total_details'!$C$8:$C$10000,I14,'[1]1_group_total_details'!$F$8:$F$10000,pb_location_group_id,'[1]1_group_total_details'!$G$8:$G$10000,pb_location_id,'[1]1_group_total_details'!$H$8:$H$10000,"&lt;="&amp;pb_date)+SUMIFS('[1]1_group_total_details'!$L$8:$L$10000,'[1]1_group_total_details'!$C$8:$C$10000,I14,'[1]1_group_total_details'!$F$8:$F$10000,pb_location_group_id,'[1]1_group_total_details'!$G$8:$G$10000,pb_location_id,'[1]1_group_total_details'!$H$8:$H$10000,"&lt;="&amp;pb_date)+SUMIFS('[1]1_group_total_details'!$N$8:$N$10000,'[1]1_group_total_details'!$C$8:$C$10000,I14,'[1]1_group_total_details'!$F$8:$F$10000,pb_location_group_id,'[1]1_group_total_details'!$G$8:$G$10000,pb_location_id,'[1]1_group_total_details'!$H$8:$H$10000,"&lt;="&amp;pb_date)+SUMIFS('[1]1_group_total_details'!$O$8:$O$10000,'[1]1_group_total_details'!$C$8:$C$10000,I14,'[1]1_group_total_details'!$F$8:$F$10000,pb_location_group_id,'[1]1_group_total_details'!$G$8:$G$10000,pb_location_id,'[1]1_group_total_details'!$H$8:$H$10000,"&lt;="&amp;pb_date))-(SUMIFS('[1]1_group_total_details'!$J$8:$J$10000,'[1]1_group_total_details'!$C$8:$C$10000,I14,'[1]1_group_total_details'!$F$8:$F$10000,pb_location_group_id,'[1]1_group_total_details'!$G$8:$G$10000,pb_location_id,'[1]1_group_total_details'!$H$8:$H$10000,"&lt;="&amp;pb_date)+SUMIFS('[1]1_group_total_details'!$K$8:$K$10000,'[1]1_group_total_details'!$C$8:$C$10000,I14,'[1]1_group_total_details'!$F$8:$F$10000,pb_location_group_id,'[1]1_group_total_details'!$G$8:$G$10000,invoice_location_id,'[1]1_group_total_details'!$H$8:$H$10000,"&lt;="&amp;pb_date)+SUMIFS('[1]1_group_total_details'!$M$8:$M$10000,'[1]1_group_total_details'!$C$8:$C$10000,I14,'[1]1_group_total_details'!$F$8:$F$10000,pb_location_group_id,'[1]1_group_total_details'!$G$8:$G$10000,pb_location_id,'[1]1_group_total_details'!$H$8:$H$10000,"&lt;="&amp;pb_date)+SUMIFS('[1]1_group_total_details'!$P$8:$P$10000,'[1]1_group_total_details'!$C$8:$C$10000,I14,'[1]1_group_total_details'!$F$8:$F$10000,pb_location_group_id,'[1]1_group_total_details'!$G$8:$G$10000,pb_location_id,'[1]1_group_total_details'!$H$8:$H$10000,"&lt;="&amp;pb_date))))</f>
        <v/>
      </c>
      <c r="AK14" s="1640" t="str">
        <f>IF(M14="","",SUMIFS('[1]1_group_totals'!$J$8:$J$10000,'[1]1_group_totals'!$C$8:$C$10000,I14,'[1]1_group_totals'!$F$8:$F$10000,pb_location_group_id,'[1]1_group_totals'!$G$8:$G$10000,pb_location_id,'[1]1_group_totals'!$H$8:$H$10000,"="&amp;Q14,'[1]1_group_totals'!$I$8:$I$10000,"="&amp;R14))</f>
        <v/>
      </c>
      <c r="AL14" s="1644" t="str">
        <f t="shared" si="17"/>
        <v/>
      </c>
      <c r="AM14" s="1644" t="str">
        <f>IF(OR(ISNA(MATCH(MID(AL14,1,3)*1,UomConversion!$D$8:$D$500,0)),M14=""),"",IF(AQ14="","",AQ14))</f>
        <v/>
      </c>
      <c r="AN14" s="1644" t="str">
        <f>IF(AND(AO14&gt;0,COUNTIFS(UomConversion!$D$8:$D$500,MID(AL14,1,3)*1,UomConversion!$J$8:$J$500,1)&gt;1),TEXT(AO14,"000")&amp;"."&amp;VLOOKUP(AO14,uom_list,5,FALSE),"")</f>
        <v/>
      </c>
      <c r="AO14" s="1640" t="str">
        <f t="shared" si="18"/>
        <v/>
      </c>
      <c r="AP14" s="1645" t="str">
        <f t="shared" si="19"/>
        <v/>
      </c>
      <c r="AQ14" s="491" t="str">
        <f t="shared" si="20"/>
        <v/>
      </c>
      <c r="AR14" s="1281" t="str" cm="1">
        <f t="array" ref="AR14">IF(M14="","",IF(ISNA(Slookup(MID(AL14,1,3)*1,UomConversion!$D$8:$J$500,2,UomConversion!$I$8:$I$500,1,UomConversion!$J$8:$J$500,1)),"",Slookup(MID(AL14,1,3)*1,UomConversion!$D$8:$J$500,2,UomConversion!$I$8:$I$500,1,UomConversion!$J$8:$J$500,1)))</f>
        <v/>
      </c>
      <c r="AS14" s="663" t="str">
        <f>IF(M14="","",(SUMIFS('[1]1_inventory_totals'!$I$8:$I$10000,'[1]1_inventory_totals'!$C$8:$C$10000,I14,'[1]1_inventory_totals'!$F$8:$F$10000,"="&amp;Q14,'[1]1_inventory_totals'!$G$8:$G$10000,"="&amp;R14)+SUMIFS('[1]1_inventory_totals'!$N$8:$N$10000,'[1]1_inventory_totals'!$C$8:$C$10000,I14,'[1]1_inventory_totals'!$F$8:$F$10000,"="&amp;Q14,'[1]1_inventory_totals'!$G$8:$G$10000,"="&amp;R14)+SUMIFS('[1]1_inventory_totals'!$P$8:$P$10000,'[1]1_inventory_totals'!$C$8:$C$10000,I14,'[1]1_inventory_totals'!$F$8:$F$10000,"="&amp;Q14,'[1]1_inventory_totals'!$G$8:$G$10000,"="&amp;R14)+SUMIFS('[1]1_inventory_totals'!$Q$8:$Q$10000,'[1]1_inventory_totals'!$C$8:$C$10000,I14,'[1]1_inventory_totals'!$F$8:$F$10000,"="&amp;Q14,'[1]1_inventory_totals'!$G$8:$G$10000,"="&amp;R14)+SUMIFS('[1]1_inventory_totals'!$R$8:$R$10000,'[1]1_inventory_totals'!$C$8:$C$10000,I14,'[1]1_inventory_totals'!$F$8:$F$10000,"="&amp;Q14,'[1]1_inventory_totals'!$G$8:$G$10000,"="&amp;R14))+(SUMIFS('[1]1_inventory_totals'!$J$8:$J$10000,'[1]1_inventory_totals'!$C$8:$C$10000,I14,'[1]1_inventory_totals'!$F$8:$F$10000,"="&amp;Q14,'[1]1_inventory_totals'!$G$8:$G$10000,"="&amp;R14)+SUMIFS('[1]1_inventory_totals'!$K$8:$K$10000,'[1]1_inventory_totals'!$C$8:$C$10000,I14,'[1]1_inventory_totals'!$F$8:$F$10000,"="&amp;Q14,'[1]1_inventory_totals'!$G$8:$G$10000,"="&amp;R14)+SUMIFS('[1]1_inventory_totals'!$L$8:$L$10000,'[1]1_inventory_totals'!$C$8:$C$10000,I14,'[1]1_inventory_totals'!$F$8:$F$10000,"="&amp;Q14,'[1]1_inventory_totals'!$G$8:$G$10000,"="&amp;R14)+SUMIFS('[1]1_inventory_totals'!$M$8:$M$10000,'[1]1_inventory_totals'!$C$8:$C$10000,I14,'[1]1_inventory_totals'!$F$8:$F$10000,"="&amp;Q14,'[1]1_inventory_totals'!$G$8:$G$10000,"="&amp;R14)+SUMIFS('[1]1_inventory_totals'!$O$8:$O$10000,'[1]1_inventory_totals'!$C$8:$C$10000,I14,'[1]1_inventory_totals'!$F$8:$F$10000,"="&amp;Q14,'[1]1_inventory_totals'!$G$8:$G$10000,"="&amp;R14)+SUMIFS('[1]1_inventory_totals'!$S$8:$S$10000,'[1]1_inventory_totals'!$C$8:$C$10000,I14,'[1]1_inventory_totals'!$F$8:$F$10000,"="&amp;Q14,'[1]1_inventory_totals'!$G$8:$G$10000,"="&amp;R14)))</f>
        <v/>
      </c>
      <c r="AT14" s="1281" t="str">
        <f>IF(M14="","",(SUMIFS('[1]1_group_totals'!$K$8:$K$10000,'[1]1_group_totals'!$C$8:$C$10000,I14,'[1]1_group_totals'!$F$8:$F$10000,pb_location_group_id,'[1]1_group_totals'!$G$8:$G$10000,pb_location_id,'[1]1_group_totals'!$H$8:$H$10000,"="&amp;Q14,'[1]1_group_totals'!$I$8:$I$10000,"="&amp;R14)+SUMIFS('[1]1_group_totals'!$N$8:$N$10000,'[1]1_group_totals'!$C$8:$C$10000,I14,'[1]1_group_totals'!$F$8:$F$10000,pb_location_group_id,'[1]1_group_totals'!$G$8:$G$10000,pb_location_id,'[1]1_group_totals'!$H$8:$H$10000,"="&amp;Q14,'[1]1_group_totals'!$I$8:$I$10000,"="&amp;R14)+SUMIFS('[1]1_group_totals'!$P$8:$P$10000,'[1]1_group_totals'!$C$8:$C$10000,I14,'[1]1_group_totals'!$F$8:$F$10000,pb_location_group_id,'[1]1_group_totals'!$G$8:$G$10000,pb_location_id,'[1]1_group_totals'!$H$8:$H$10000,"="&amp;Q14,'[1]1_group_totals'!$I$8:$I$10000,"="&amp;R14)+SUMIFS('[1]1_group_totals'!$Q$8:$Q$10000,'[1]1_group_totals'!$C$8:$C$10000,I14,'[1]1_group_totals'!$F$8:$F$10000,pb_location_group_id,'[1]1_group_totals'!$G$8:$G$10000,pb_location_id,'[1]1_group_totals'!$H$8:$H$10000,"="&amp;Q14,'[1]1_group_totals'!$I$8:$I$10000,"="&amp;R14))+(SUMIFS('[1]1_group_totals'!$L$8:$L$10000,'[1]1_group_totals'!$C$8:$C$10000,I14,'[1]1_group_totals'!$F$8:$F$10000,pb_location_group_id,'[1]1_group_totals'!$G$8:$G$10000,pb_location_id,'[1]1_group_totals'!$H$8:$H$10000,"="&amp;Q14,'[1]1_group_totals'!$I$8:$I$10000,"="&amp;R14)+SUMIFS('[1]1_group_totals'!$M$8:$M$10000,'[1]1_group_totals'!$C$8:$C$10000,I14,'[1]1_group_totals'!$F$8:$F$10000,pb_location_group_id,'[1]1_group_totals'!$G$8:$G$10000,pb_location_id,'[1]1_group_totals'!$H$8:$H$10000,"="&amp;Q14,'[1]1_group_totals'!$I$8:$I$10000,"="&amp;R14)+SUMIFS('[1]1_group_totals'!$O$8:$O$10000,'[1]1_group_totals'!$C$8:$C$10000,I14,'[1]1_group_totals'!$F$8:$F$10000,pb_location_group_id,'[1]1_group_totals'!$G$8:$G$10000,pb_location_id,'[1]1_group_totals'!$H$8:$H$10000,"="&amp;Q14,'[1]1_group_totals'!$I$8:$I$10000,"="&amp;R14)+SUMIFS('[1]1_group_totals'!$R$8:$R$10000,'[1]1_group_totals'!$C$8:$C$10000,I14,'[1]1_group_totals'!$F$8:$F$10000,pb_location_group_id,'[1]1_group_totals'!$G$8:$G$10000,pb_location_id,'[1]1_group_totals'!$H$8:$H$10000,"="&amp;Q14,'[1]1_group_totals'!$I$8:$I$10000,"="&amp;R14)))</f>
        <v/>
      </c>
    </row>
    <row r="15" spans="1:78" ht="27" customHeight="1" thickBot="1">
      <c r="A15" s="923"/>
      <c r="B15" s="1028"/>
      <c r="C15" s="1063"/>
      <c r="D15" s="1064"/>
      <c r="E15" s="1065"/>
      <c r="F15" s="1057"/>
      <c r="G15" s="941"/>
      <c r="I15" s="1610" t="str">
        <f t="shared" si="8"/>
        <v/>
      </c>
      <c r="J15" s="1631" t="str">
        <f t="shared" si="25"/>
        <v/>
      </c>
      <c r="K15" s="1628" t="str">
        <f t="shared" si="0"/>
        <v/>
      </c>
      <c r="L15" s="1632"/>
      <c r="M15" s="1043"/>
      <c r="N15" s="1044"/>
      <c r="O15" s="1045"/>
      <c r="P15" s="1046"/>
      <c r="Q15" s="1047"/>
      <c r="R15" s="1053"/>
      <c r="S15" s="1634" t="str">
        <f t="shared" ref="S15" si="38">IF(M15="","",pb_currency_symbol)</f>
        <v/>
      </c>
      <c r="T15" s="1049"/>
      <c r="U15" s="1636" t="str">
        <f t="shared" si="10"/>
        <v/>
      </c>
      <c r="V15" s="1634" t="str">
        <f t="shared" ref="V15" si="39">IF(W15=0,"",pb_currency_symbol)</f>
        <v/>
      </c>
      <c r="W15" s="1054"/>
      <c r="X15" s="1634" t="str">
        <f t="shared" ref="X15" si="40">IF(M15="","",pb_currency_symbol)</f>
        <v/>
      </c>
      <c r="Y15" s="1638" t="str">
        <f t="shared" si="24"/>
        <v/>
      </c>
      <c r="Z15" s="1062"/>
      <c r="AA15" s="1639" t="str" cm="1">
        <f t="array" ref="AA15">IF(M15="","",IF(P15=AL15,1,Slookup(MID(AL15,1,3)*1,UomConversion!$D$8:$J$500,5,UomConversion!$E$8:$E$500,MID(P15,1,3)*1,UomConversion!$J$8:$J$500,1)))</f>
        <v/>
      </c>
      <c r="AB15" s="1640" t="str">
        <f t="shared" si="13"/>
        <v/>
      </c>
      <c r="AC15" s="1641" t="str">
        <f t="shared" si="14"/>
        <v/>
      </c>
      <c r="AD15" s="1642" t="str">
        <f t="shared" si="15"/>
        <v/>
      </c>
      <c r="AE15" s="1643" t="str">
        <f t="shared" si="16"/>
        <v/>
      </c>
      <c r="AF15" s="1640" t="str">
        <f>IF(I15="","",IF(ISNA(MATCH(I15,IF(pb_location_id=1,'[1]1_inventory_totals'!$C$8:$C$10000,IF(pb_location_id=2,'[1]2_inventory_totals'!$C$8:$C$10000,"")),0)),0,IF(AS15&gt;0,1,0)))</f>
        <v/>
      </c>
      <c r="AG15" s="1640" t="str">
        <f>IF(M15="","",IF(pb_location_id=1,SUMIFS('[1]1_inventory_total_details'!$J$8:$J$10000,'[1]1_inventory_total_details'!$C$8:$C$10000,I15,'[1]1_inventory_total_details'!$F$8:$F$10000,pb_location_id,'[1]1_inventory_total_details'!$G$8:$G$10000,"="&amp;Q15,'[1]1_inventory_total_details'!$H$8:$H$10000,"="&amp;R15,'[1]1_inventory_total_details'!$I$8:$I$10000,"="&amp;pb_date)+SUMIFS('[1]1_inventory_total_details'!$M$8:$M$10000,'[1]1_inventory_total_details'!$C$8:$C$10000,I15,'[1]1_inventory_total_details'!$F$8:$F$10000,pb_location_id,'[1]1_inventory_total_details'!$G$8:$G$10000,"="&amp;Q15,'[1]1_inventory_total_details'!$H$8:$H$10000,"="&amp;R15,'[1]1_inventory_total_details'!$I$8:$I$10000,"="&amp;pb_date)+SUMIFS('[1]1_inventory_total_details'!$K$8:$K$10000,'[1]1_inventory_total_details'!$C$8:$C$10000,I15,'[1]1_inventory_total_details'!$F$8:$F$10000,pb_location_id,'[1]1_inventory_total_details'!$G$8:$G$10000,"="&amp;Q15,'[1]1_inventory_total_details'!$H$8:$H$10000,"="&amp;R15,'[1]1_inventory_total_details'!$I$8:$I$10000,"="&amp;pb_date)+SUMIFS('[1]1_inventory_total_details'!$L$8:$L$10000,'[1]1_inventory_total_details'!$C$8:$C$10000,I15,'[1]1_inventory_total_details'!$F$8:$F$10000,pb_location_id,'[1]1_inventory_total_details'!$G$8:$G$10000,"="&amp;Q15,'[1]1_inventory_total_details'!$H$8:$H$10000,"="&amp;R15,'[1]1_inventory_total_details'!$I$8:$I$10000,"="&amp;pb_date),SUMIFS('[1]2_inventory_total_details'!$J$8:$J$10000,'[1]2_inventory_total_details'!$C$8:$C$10000,I15,'[1]1_inventory_total_details'!$F$8:$F$10000,pb_location_id,'[1]2_inventory_total_details'!$G$8:$G$10000,"="&amp;Q15,'[1]2_inventory_total_details'!$H$8:$H$10000,"="&amp;R15,'[1]2_inventory_total_details'!$I$8:$I$10000,"="&amp;pb_date)+SUMIFS('[1]2_inventory_total_details'!$M$8:$M$10000,'[1]2_inventory_total_details'!$C$8:$C$10000,I15,'[1]2_inventory_total_details'!$F$8:$F$10000,pb_location_id,'[1]2_inventory_total_details'!$G$8:$G$10000,"="&amp;Q15,'[1]2_inventory_total_details'!$H$8:$H$10000,"="&amp;R15,'[1]2_inventory_total_details'!$I$8:$I$10000,"="&amp;pb_date)+SUMIFS('[1]2_inventory_total_details'!$K$8:$K$10000,'[1]2_inventory_total_details'!$C$8:$C$10000,I15,'[1]2_inventory_total_details'!$F$8:$F$10000,pb_location_id,'[1]2_inventory_total_details'!$G$8:$G$10000,"="&amp;Q15,'[1]2_inventory_total_details'!$H$8:$H$10000,"="&amp;R15,'[1]2_inventory_total_details'!$I$8:$I$10000,"="&amp;pb_date)+SUMIFS('[1]2_inventory_total_details'!$L$8:$L$10000,'[1]2_inventory_total_details'!$C$8:$C$10000,I15,'[1]2_inventory_total_details'!$F$8:$F$10000,pb_location_id,'[1]2_inventory_total_details'!$G$8:$G$10000,"="&amp;Q15,'[1]2_inventory_total_details'!$H$8:$H$10000,"="&amp;R15,'[1]2_inventory_total_details'!$I$8:$I$10000,"="&amp;pb_date)))</f>
        <v/>
      </c>
      <c r="AH15" s="1640" t="str">
        <f>IF(M15="","",IF(ISNA(MATCH(I15,'[1]1_group_totals'!$C$8:$C$10000)),0,IF(AT15&gt;0,1,0)))</f>
        <v/>
      </c>
      <c r="AI15" s="1640" t="str">
        <f>IF(M15="","",(SUMIFS('[1]1_group_total_details'!$I$8:$I$10000,'[1]1_group_total_details'!$C$8:$C$10000,I15,'[1]1_group_total_details'!$F$8:$F$10000,pb_location_group_id,'[1]1_group_total_details'!$G$8:$G$10000,pb_location_id,'[1]1_group_total_details'!$H$8:$H$10000,"="&amp;pb_date)+SUMIFS('[1]1_group_total_details'!$L$8:$L$10000,'[1]1_group_total_details'!$C$8:$C$10000,I15,'[1]1_group_total_details'!$F$8:$F$10000,pb_location_group_id,'[1]1_group_total_details'!$G$8:$G$10000,pb_location_id,'[1]1_group_total_details'!$H$8:$H$10000,"="&amp;pb_date)+SUMIFS('[1]1_group_total_details'!$N$8:$N$10000,'[1]1_group_total_details'!$C$8:$C$10000,I15,'[1]1_group_total_details'!$F$8:$F$10000,pb_location_group_id,'[1]1_group_total_details'!$G$8:$G$10000,pb_location_id,'[1]1_group_total_details'!$H$8:$H$10000,"="&amp;pb_date)+SUMIFS('[1]1_group_total_details'!$O$8:$O$10000,'[1]1_group_total_details'!$C$8:$C$10000,I15,'[1]1_group_total_details'!$F$8:$F$10000,pb_location_group_id,'[1]1_group_total_details'!$G$8:$G$10000,pb_location_id,'[1]1_group_total_details'!$H$8:$H$10000,"="&amp;pb_date))+(SUMIFS('[1]1_group_total_details'!$J$8:$J$10000,'[1]1_group_total_details'!$C$8:$C$10000,I15,'[1]1_group_total_details'!$F$8:$F$10000,pb_location_group_id,'[1]1_group_total_details'!$G$8:$G$10000,pb_location_id,'[1]1_group_total_details'!$H$8:$H$10000,"="&amp;pb_date)+SUMIFS('[1]1_group_total_details'!$K$8:$K$10000,'[1]1_group_total_details'!$C$8:$C$10000,I15,'[1]1_group_total_details'!$F$8:$F$10000,pb_location_group_id,'[1]1_group_total_details'!$G$8:$G$10000,pb_location_id,'[1]1_group_total_details'!$H$8:$H$10000,"="&amp;pb_date)+SUMIFS('[1]1_group_total_details'!$M$8:$M$10000,'[1]1_group_total_details'!$C$8:$C$10000,I15,'[1]1_group_total_details'!$F$8:$F$10000,pb_location_group_id,'[1]1_group_total_details'!$G$8:$G$10000,pb_location_id,'[1]1_group_total_details'!$H$8:$H$10000,"="&amp;pb_date)+SUMIFS('[1]1_group_total_details'!$P$8:$P$10000,'[1]1_group_total_details'!$C$8:$C$10000,I15,'[1]1_group_total_details'!$F$8:$F$10000,pb_location_group_id,'[1]1_group_total_details'!$G$8:$G$10000,pb_location_id,'[1]1_group_total_details'!$H$8:$H$10000,"="&amp;pb_date)))</f>
        <v/>
      </c>
      <c r="AJ15" s="1640" t="str">
        <f>IF(M15="","",IF(AK15=0,0,(SUMIFS('[1]1_group_total_details'!$I$8:$I$10000,'[1]1_group_total_details'!$C$8:$C$10000,I15,'[1]1_group_total_details'!$F$8:$F$10000,pb_location_group_id,'[1]1_group_total_details'!$G$8:$G$10000,pb_location_id,'[1]1_group_total_details'!$H$8:$H$10000,"&lt;="&amp;pb_date)+SUMIFS('[1]1_group_total_details'!$L$8:$L$10000,'[1]1_group_total_details'!$C$8:$C$10000,I15,'[1]1_group_total_details'!$F$8:$F$10000,pb_location_group_id,'[1]1_group_total_details'!$G$8:$G$10000,pb_location_id,'[1]1_group_total_details'!$H$8:$H$10000,"&lt;="&amp;pb_date)+SUMIFS('[1]1_group_total_details'!$N$8:$N$10000,'[1]1_group_total_details'!$C$8:$C$10000,I15,'[1]1_group_total_details'!$F$8:$F$10000,pb_location_group_id,'[1]1_group_total_details'!$G$8:$G$10000,pb_location_id,'[1]1_group_total_details'!$H$8:$H$10000,"&lt;="&amp;pb_date)+SUMIFS('[1]1_group_total_details'!$O$8:$O$10000,'[1]1_group_total_details'!$C$8:$C$10000,I15,'[1]1_group_total_details'!$F$8:$F$10000,pb_location_group_id,'[1]1_group_total_details'!$G$8:$G$10000,pb_location_id,'[1]1_group_total_details'!$H$8:$H$10000,"&lt;="&amp;pb_date))-(SUMIFS('[1]1_group_total_details'!$J$8:$J$10000,'[1]1_group_total_details'!$C$8:$C$10000,I15,'[1]1_group_total_details'!$F$8:$F$10000,pb_location_group_id,'[1]1_group_total_details'!$G$8:$G$10000,pb_location_id,'[1]1_group_total_details'!$H$8:$H$10000,"&lt;="&amp;pb_date)+SUMIFS('[1]1_group_total_details'!$K$8:$K$10000,'[1]1_group_total_details'!$C$8:$C$10000,I15,'[1]1_group_total_details'!$F$8:$F$10000,pb_location_group_id,'[1]1_group_total_details'!$G$8:$G$10000,invoice_location_id,'[1]1_group_total_details'!$H$8:$H$10000,"&lt;="&amp;pb_date)+SUMIFS('[1]1_group_total_details'!$M$8:$M$10000,'[1]1_group_total_details'!$C$8:$C$10000,I15,'[1]1_group_total_details'!$F$8:$F$10000,pb_location_group_id,'[1]1_group_total_details'!$G$8:$G$10000,pb_location_id,'[1]1_group_total_details'!$H$8:$H$10000,"&lt;="&amp;pb_date)+SUMIFS('[1]1_group_total_details'!$P$8:$P$10000,'[1]1_group_total_details'!$C$8:$C$10000,I15,'[1]1_group_total_details'!$F$8:$F$10000,pb_location_group_id,'[1]1_group_total_details'!$G$8:$G$10000,pb_location_id,'[1]1_group_total_details'!$H$8:$H$10000,"&lt;="&amp;pb_date))))</f>
        <v/>
      </c>
      <c r="AK15" s="1640" t="str">
        <f>IF(M15="","",SUMIFS('[1]1_group_totals'!$J$8:$J$10000,'[1]1_group_totals'!$C$8:$C$10000,I15,'[1]1_group_totals'!$F$8:$F$10000,pb_location_group_id,'[1]1_group_totals'!$G$8:$G$10000,pb_location_id,'[1]1_group_totals'!$H$8:$H$10000,"="&amp;Q15,'[1]1_group_totals'!$I$8:$I$10000,"="&amp;R15))</f>
        <v/>
      </c>
      <c r="AL15" s="1644" t="str">
        <f t="shared" si="17"/>
        <v/>
      </c>
      <c r="AM15" s="1644" t="str">
        <f>IF(OR(ISNA(MATCH(MID(AL15,1,3)*1,UomConversion!$D$8:$D$500,0)),M15=""),"",IF(AQ15="","",AQ15))</f>
        <v/>
      </c>
      <c r="AN15" s="1644" t="str">
        <f>IF(AND(AO15&gt;0,COUNTIFS(UomConversion!$D$8:$D$500,MID(AL15,1,3)*1,UomConversion!$J$8:$J$500,1)&gt;1),TEXT(AO15,"000")&amp;"."&amp;VLOOKUP(AO15,uom_list,5,FALSE),"")</f>
        <v/>
      </c>
      <c r="AO15" s="1640" t="str">
        <f t="shared" si="18"/>
        <v/>
      </c>
      <c r="AP15" s="1645" t="str">
        <f t="shared" si="19"/>
        <v/>
      </c>
      <c r="AQ15" s="491" t="str">
        <f t="shared" si="20"/>
        <v/>
      </c>
      <c r="AR15" s="1281" t="str" cm="1">
        <f t="array" ref="AR15">IF(M15="","",IF(ISNA(Slookup(MID(AL15,1,3)*1,UomConversion!$D$8:$J$500,2,UomConversion!$I$8:$I$500,1,UomConversion!$J$8:$J$500,1)),"",Slookup(MID(AL15,1,3)*1,UomConversion!$D$8:$J$500,2,UomConversion!$I$8:$I$500,1,UomConversion!$J$8:$J$500,1)))</f>
        <v/>
      </c>
      <c r="AS15" s="663" t="str">
        <f>IF(M15="","",(SUMIFS('[1]1_inventory_totals'!$I$8:$I$10000,'[1]1_inventory_totals'!$C$8:$C$10000,I15,'[1]1_inventory_totals'!$F$8:$F$10000,"="&amp;Q15,'[1]1_inventory_totals'!$G$8:$G$10000,"="&amp;R15)+SUMIFS('[1]1_inventory_totals'!$N$8:$N$10000,'[1]1_inventory_totals'!$C$8:$C$10000,I15,'[1]1_inventory_totals'!$F$8:$F$10000,"="&amp;Q15,'[1]1_inventory_totals'!$G$8:$G$10000,"="&amp;R15)+SUMIFS('[1]1_inventory_totals'!$P$8:$P$10000,'[1]1_inventory_totals'!$C$8:$C$10000,I15,'[1]1_inventory_totals'!$F$8:$F$10000,"="&amp;Q15,'[1]1_inventory_totals'!$G$8:$G$10000,"="&amp;R15)+SUMIFS('[1]1_inventory_totals'!$Q$8:$Q$10000,'[1]1_inventory_totals'!$C$8:$C$10000,I15,'[1]1_inventory_totals'!$F$8:$F$10000,"="&amp;Q15,'[1]1_inventory_totals'!$G$8:$G$10000,"="&amp;R15)+SUMIFS('[1]1_inventory_totals'!$R$8:$R$10000,'[1]1_inventory_totals'!$C$8:$C$10000,I15,'[1]1_inventory_totals'!$F$8:$F$10000,"="&amp;Q15,'[1]1_inventory_totals'!$G$8:$G$10000,"="&amp;R15))+(SUMIFS('[1]1_inventory_totals'!$J$8:$J$10000,'[1]1_inventory_totals'!$C$8:$C$10000,I15,'[1]1_inventory_totals'!$F$8:$F$10000,"="&amp;Q15,'[1]1_inventory_totals'!$G$8:$G$10000,"="&amp;R15)+SUMIFS('[1]1_inventory_totals'!$K$8:$K$10000,'[1]1_inventory_totals'!$C$8:$C$10000,I15,'[1]1_inventory_totals'!$F$8:$F$10000,"="&amp;Q15,'[1]1_inventory_totals'!$G$8:$G$10000,"="&amp;R15)+SUMIFS('[1]1_inventory_totals'!$L$8:$L$10000,'[1]1_inventory_totals'!$C$8:$C$10000,I15,'[1]1_inventory_totals'!$F$8:$F$10000,"="&amp;Q15,'[1]1_inventory_totals'!$G$8:$G$10000,"="&amp;R15)+SUMIFS('[1]1_inventory_totals'!$M$8:$M$10000,'[1]1_inventory_totals'!$C$8:$C$10000,I15,'[1]1_inventory_totals'!$F$8:$F$10000,"="&amp;Q15,'[1]1_inventory_totals'!$G$8:$G$10000,"="&amp;R15)+SUMIFS('[1]1_inventory_totals'!$O$8:$O$10000,'[1]1_inventory_totals'!$C$8:$C$10000,I15,'[1]1_inventory_totals'!$F$8:$F$10000,"="&amp;Q15,'[1]1_inventory_totals'!$G$8:$G$10000,"="&amp;R15)+SUMIFS('[1]1_inventory_totals'!$S$8:$S$10000,'[1]1_inventory_totals'!$C$8:$C$10000,I15,'[1]1_inventory_totals'!$F$8:$F$10000,"="&amp;Q15,'[1]1_inventory_totals'!$G$8:$G$10000,"="&amp;R15)))</f>
        <v/>
      </c>
      <c r="AT15" s="1281" t="str">
        <f>IF(M15="","",(SUMIFS('[1]1_group_totals'!$K$8:$K$10000,'[1]1_group_totals'!$C$8:$C$10000,I15,'[1]1_group_totals'!$F$8:$F$10000,pb_location_group_id,'[1]1_group_totals'!$G$8:$G$10000,pb_location_id,'[1]1_group_totals'!$H$8:$H$10000,"="&amp;Q15,'[1]1_group_totals'!$I$8:$I$10000,"="&amp;R15)+SUMIFS('[1]1_group_totals'!$N$8:$N$10000,'[1]1_group_totals'!$C$8:$C$10000,I15,'[1]1_group_totals'!$F$8:$F$10000,pb_location_group_id,'[1]1_group_totals'!$G$8:$G$10000,pb_location_id,'[1]1_group_totals'!$H$8:$H$10000,"="&amp;Q15,'[1]1_group_totals'!$I$8:$I$10000,"="&amp;R15)+SUMIFS('[1]1_group_totals'!$P$8:$P$10000,'[1]1_group_totals'!$C$8:$C$10000,I15,'[1]1_group_totals'!$F$8:$F$10000,pb_location_group_id,'[1]1_group_totals'!$G$8:$G$10000,pb_location_id,'[1]1_group_totals'!$H$8:$H$10000,"="&amp;Q15,'[1]1_group_totals'!$I$8:$I$10000,"="&amp;R15)+SUMIFS('[1]1_group_totals'!$Q$8:$Q$10000,'[1]1_group_totals'!$C$8:$C$10000,I15,'[1]1_group_totals'!$F$8:$F$10000,pb_location_group_id,'[1]1_group_totals'!$G$8:$G$10000,pb_location_id,'[1]1_group_totals'!$H$8:$H$10000,"="&amp;Q15,'[1]1_group_totals'!$I$8:$I$10000,"="&amp;R15))+(SUMIFS('[1]1_group_totals'!$L$8:$L$10000,'[1]1_group_totals'!$C$8:$C$10000,I15,'[1]1_group_totals'!$F$8:$F$10000,pb_location_group_id,'[1]1_group_totals'!$G$8:$G$10000,pb_location_id,'[1]1_group_totals'!$H$8:$H$10000,"="&amp;Q15,'[1]1_group_totals'!$I$8:$I$10000,"="&amp;R15)+SUMIFS('[1]1_group_totals'!$M$8:$M$10000,'[1]1_group_totals'!$C$8:$C$10000,I15,'[1]1_group_totals'!$F$8:$F$10000,pb_location_group_id,'[1]1_group_totals'!$G$8:$G$10000,pb_location_id,'[1]1_group_totals'!$H$8:$H$10000,"="&amp;Q15,'[1]1_group_totals'!$I$8:$I$10000,"="&amp;R15)+SUMIFS('[1]1_group_totals'!$O$8:$O$10000,'[1]1_group_totals'!$C$8:$C$10000,I15,'[1]1_group_totals'!$F$8:$F$10000,pb_location_group_id,'[1]1_group_totals'!$G$8:$G$10000,pb_location_id,'[1]1_group_totals'!$H$8:$H$10000,"="&amp;Q15,'[1]1_group_totals'!$I$8:$I$10000,"="&amp;R15)+SUMIFS('[1]1_group_totals'!$R$8:$R$10000,'[1]1_group_totals'!$C$8:$C$10000,I15,'[1]1_group_totals'!$F$8:$F$10000,pb_location_group_id,'[1]1_group_totals'!$G$8:$G$10000,pb_location_id,'[1]1_group_totals'!$H$8:$H$10000,"="&amp;Q15,'[1]1_group_totals'!$I$8:$I$10000,"="&amp;R15)))</f>
        <v/>
      </c>
    </row>
    <row r="16" spans="1:78" ht="27" customHeight="1" thickBot="1">
      <c r="A16" s="923"/>
      <c r="B16" s="1011"/>
      <c r="C16" s="947" t="s">
        <v>1542</v>
      </c>
      <c r="D16" s="1066"/>
      <c r="E16" s="947" t="s">
        <v>2653</v>
      </c>
      <c r="F16" s="1057"/>
      <c r="I16" s="1610" t="str">
        <f t="shared" si="8"/>
        <v/>
      </c>
      <c r="J16" s="1631" t="str">
        <f t="shared" si="25"/>
        <v/>
      </c>
      <c r="K16" s="1628" t="str">
        <f t="shared" si="0"/>
        <v/>
      </c>
      <c r="L16" s="1632"/>
      <c r="M16" s="1043"/>
      <c r="N16" s="1044"/>
      <c r="O16" s="1045"/>
      <c r="P16" s="1046"/>
      <c r="Q16" s="1047"/>
      <c r="R16" s="1053"/>
      <c r="S16" s="1634" t="str">
        <f t="shared" ref="S16" si="41">IF(M16="","",pb_currency_symbol)</f>
        <v/>
      </c>
      <c r="T16" s="1049"/>
      <c r="U16" s="1636" t="str">
        <f t="shared" si="10"/>
        <v/>
      </c>
      <c r="V16" s="1634" t="str">
        <f t="shared" ref="V16" si="42">IF(W16=0,"",pb_currency_symbol)</f>
        <v/>
      </c>
      <c r="W16" s="1054"/>
      <c r="X16" s="1634" t="str">
        <f t="shared" ref="X16" si="43">IF(M16="","",pb_currency_symbol)</f>
        <v/>
      </c>
      <c r="Y16" s="1638" t="str">
        <f t="shared" si="24"/>
        <v/>
      </c>
      <c r="Z16" s="1062"/>
      <c r="AA16" s="1639" t="str" cm="1">
        <f t="array" ref="AA16">IF(M16="","",IF(P16=AL16,1,Slookup(MID(AL16,1,3)*1,UomConversion!$D$8:$J$500,5,UomConversion!$E$8:$E$500,MID(P16,1,3)*1,UomConversion!$J$8:$J$500,1)))</f>
        <v/>
      </c>
      <c r="AB16" s="1640" t="str">
        <f t="shared" si="13"/>
        <v/>
      </c>
      <c r="AC16" s="1641" t="str">
        <f t="shared" si="14"/>
        <v/>
      </c>
      <c r="AD16" s="1642" t="str">
        <f t="shared" si="15"/>
        <v/>
      </c>
      <c r="AE16" s="1643" t="str">
        <f t="shared" si="16"/>
        <v/>
      </c>
      <c r="AF16" s="1640" t="str">
        <f>IF(I16="","",IF(ISNA(MATCH(I16,IF(pb_location_id=1,'[1]1_inventory_totals'!$C$8:$C$10000,IF(pb_location_id=2,'[1]2_inventory_totals'!$C$8:$C$10000,"")),0)),0,IF(AS16&gt;0,1,0)))</f>
        <v/>
      </c>
      <c r="AG16" s="1640" t="str">
        <f>IF(M16="","",IF(pb_location_id=1,SUMIFS('[1]1_inventory_total_details'!$J$8:$J$10000,'[1]1_inventory_total_details'!$C$8:$C$10000,I16,'[1]1_inventory_total_details'!$F$8:$F$10000,pb_location_id,'[1]1_inventory_total_details'!$G$8:$G$10000,"="&amp;Q16,'[1]1_inventory_total_details'!$H$8:$H$10000,"="&amp;R16,'[1]1_inventory_total_details'!$I$8:$I$10000,"="&amp;pb_date)+SUMIFS('[1]1_inventory_total_details'!$M$8:$M$10000,'[1]1_inventory_total_details'!$C$8:$C$10000,I16,'[1]1_inventory_total_details'!$F$8:$F$10000,pb_location_id,'[1]1_inventory_total_details'!$G$8:$G$10000,"="&amp;Q16,'[1]1_inventory_total_details'!$H$8:$H$10000,"="&amp;R16,'[1]1_inventory_total_details'!$I$8:$I$10000,"="&amp;pb_date)+SUMIFS('[1]1_inventory_total_details'!$K$8:$K$10000,'[1]1_inventory_total_details'!$C$8:$C$10000,I16,'[1]1_inventory_total_details'!$F$8:$F$10000,pb_location_id,'[1]1_inventory_total_details'!$G$8:$G$10000,"="&amp;Q16,'[1]1_inventory_total_details'!$H$8:$H$10000,"="&amp;R16,'[1]1_inventory_total_details'!$I$8:$I$10000,"="&amp;pb_date)+SUMIFS('[1]1_inventory_total_details'!$L$8:$L$10000,'[1]1_inventory_total_details'!$C$8:$C$10000,I16,'[1]1_inventory_total_details'!$F$8:$F$10000,pb_location_id,'[1]1_inventory_total_details'!$G$8:$G$10000,"="&amp;Q16,'[1]1_inventory_total_details'!$H$8:$H$10000,"="&amp;R16,'[1]1_inventory_total_details'!$I$8:$I$10000,"="&amp;pb_date),SUMIFS('[1]2_inventory_total_details'!$J$8:$J$10000,'[1]2_inventory_total_details'!$C$8:$C$10000,I16,'[1]1_inventory_total_details'!$F$8:$F$10000,pb_location_id,'[1]2_inventory_total_details'!$G$8:$G$10000,"="&amp;Q16,'[1]2_inventory_total_details'!$H$8:$H$10000,"="&amp;R16,'[1]2_inventory_total_details'!$I$8:$I$10000,"="&amp;pb_date)+SUMIFS('[1]2_inventory_total_details'!$M$8:$M$10000,'[1]2_inventory_total_details'!$C$8:$C$10000,I16,'[1]2_inventory_total_details'!$F$8:$F$10000,pb_location_id,'[1]2_inventory_total_details'!$G$8:$G$10000,"="&amp;Q16,'[1]2_inventory_total_details'!$H$8:$H$10000,"="&amp;R16,'[1]2_inventory_total_details'!$I$8:$I$10000,"="&amp;pb_date)+SUMIFS('[1]2_inventory_total_details'!$K$8:$K$10000,'[1]2_inventory_total_details'!$C$8:$C$10000,I16,'[1]2_inventory_total_details'!$F$8:$F$10000,pb_location_id,'[1]2_inventory_total_details'!$G$8:$G$10000,"="&amp;Q16,'[1]2_inventory_total_details'!$H$8:$H$10000,"="&amp;R16,'[1]2_inventory_total_details'!$I$8:$I$10000,"="&amp;pb_date)+SUMIFS('[1]2_inventory_total_details'!$L$8:$L$10000,'[1]2_inventory_total_details'!$C$8:$C$10000,I16,'[1]2_inventory_total_details'!$F$8:$F$10000,pb_location_id,'[1]2_inventory_total_details'!$G$8:$G$10000,"="&amp;Q16,'[1]2_inventory_total_details'!$H$8:$H$10000,"="&amp;R16,'[1]2_inventory_total_details'!$I$8:$I$10000,"="&amp;pb_date)))</f>
        <v/>
      </c>
      <c r="AH16" s="1640" t="str">
        <f>IF(M16="","",IF(ISNA(MATCH(I16,'[1]1_group_totals'!$C$8:$C$10000)),0,IF(AT16&gt;0,1,0)))</f>
        <v/>
      </c>
      <c r="AI16" s="1640" t="str">
        <f>IF(M16="","",(SUMIFS('[1]1_group_total_details'!$I$8:$I$10000,'[1]1_group_total_details'!$C$8:$C$10000,I16,'[1]1_group_total_details'!$F$8:$F$10000,pb_location_group_id,'[1]1_group_total_details'!$G$8:$G$10000,pb_location_id,'[1]1_group_total_details'!$H$8:$H$10000,"="&amp;pb_date)+SUMIFS('[1]1_group_total_details'!$L$8:$L$10000,'[1]1_group_total_details'!$C$8:$C$10000,I16,'[1]1_group_total_details'!$F$8:$F$10000,pb_location_group_id,'[1]1_group_total_details'!$G$8:$G$10000,pb_location_id,'[1]1_group_total_details'!$H$8:$H$10000,"="&amp;pb_date)+SUMIFS('[1]1_group_total_details'!$N$8:$N$10000,'[1]1_group_total_details'!$C$8:$C$10000,I16,'[1]1_group_total_details'!$F$8:$F$10000,pb_location_group_id,'[1]1_group_total_details'!$G$8:$G$10000,pb_location_id,'[1]1_group_total_details'!$H$8:$H$10000,"="&amp;pb_date)+SUMIFS('[1]1_group_total_details'!$O$8:$O$10000,'[1]1_group_total_details'!$C$8:$C$10000,I16,'[1]1_group_total_details'!$F$8:$F$10000,pb_location_group_id,'[1]1_group_total_details'!$G$8:$G$10000,pb_location_id,'[1]1_group_total_details'!$H$8:$H$10000,"="&amp;pb_date))+(SUMIFS('[1]1_group_total_details'!$J$8:$J$10000,'[1]1_group_total_details'!$C$8:$C$10000,I16,'[1]1_group_total_details'!$F$8:$F$10000,pb_location_group_id,'[1]1_group_total_details'!$G$8:$G$10000,pb_location_id,'[1]1_group_total_details'!$H$8:$H$10000,"="&amp;pb_date)+SUMIFS('[1]1_group_total_details'!$K$8:$K$10000,'[1]1_group_total_details'!$C$8:$C$10000,I16,'[1]1_group_total_details'!$F$8:$F$10000,pb_location_group_id,'[1]1_group_total_details'!$G$8:$G$10000,pb_location_id,'[1]1_group_total_details'!$H$8:$H$10000,"="&amp;pb_date)+SUMIFS('[1]1_group_total_details'!$M$8:$M$10000,'[1]1_group_total_details'!$C$8:$C$10000,I16,'[1]1_group_total_details'!$F$8:$F$10000,pb_location_group_id,'[1]1_group_total_details'!$G$8:$G$10000,pb_location_id,'[1]1_group_total_details'!$H$8:$H$10000,"="&amp;pb_date)+SUMIFS('[1]1_group_total_details'!$P$8:$P$10000,'[1]1_group_total_details'!$C$8:$C$10000,I16,'[1]1_group_total_details'!$F$8:$F$10000,pb_location_group_id,'[1]1_group_total_details'!$G$8:$G$10000,pb_location_id,'[1]1_group_total_details'!$H$8:$H$10000,"="&amp;pb_date)))</f>
        <v/>
      </c>
      <c r="AJ16" s="1640" t="str">
        <f>IF(M16="","",IF(AK16=0,0,(SUMIFS('[1]1_group_total_details'!$I$8:$I$10000,'[1]1_group_total_details'!$C$8:$C$10000,I16,'[1]1_group_total_details'!$F$8:$F$10000,pb_location_group_id,'[1]1_group_total_details'!$G$8:$G$10000,pb_location_id,'[1]1_group_total_details'!$H$8:$H$10000,"&lt;="&amp;pb_date)+SUMIFS('[1]1_group_total_details'!$L$8:$L$10000,'[1]1_group_total_details'!$C$8:$C$10000,I16,'[1]1_group_total_details'!$F$8:$F$10000,pb_location_group_id,'[1]1_group_total_details'!$G$8:$G$10000,pb_location_id,'[1]1_group_total_details'!$H$8:$H$10000,"&lt;="&amp;pb_date)+SUMIFS('[1]1_group_total_details'!$N$8:$N$10000,'[1]1_group_total_details'!$C$8:$C$10000,I16,'[1]1_group_total_details'!$F$8:$F$10000,pb_location_group_id,'[1]1_group_total_details'!$G$8:$G$10000,pb_location_id,'[1]1_group_total_details'!$H$8:$H$10000,"&lt;="&amp;pb_date)+SUMIFS('[1]1_group_total_details'!$O$8:$O$10000,'[1]1_group_total_details'!$C$8:$C$10000,I16,'[1]1_group_total_details'!$F$8:$F$10000,pb_location_group_id,'[1]1_group_total_details'!$G$8:$G$10000,pb_location_id,'[1]1_group_total_details'!$H$8:$H$10000,"&lt;="&amp;pb_date))-(SUMIFS('[1]1_group_total_details'!$J$8:$J$10000,'[1]1_group_total_details'!$C$8:$C$10000,I16,'[1]1_group_total_details'!$F$8:$F$10000,pb_location_group_id,'[1]1_group_total_details'!$G$8:$G$10000,pb_location_id,'[1]1_group_total_details'!$H$8:$H$10000,"&lt;="&amp;pb_date)+SUMIFS('[1]1_group_total_details'!$K$8:$K$10000,'[1]1_group_total_details'!$C$8:$C$10000,I16,'[1]1_group_total_details'!$F$8:$F$10000,pb_location_group_id,'[1]1_group_total_details'!$G$8:$G$10000,invoice_location_id,'[1]1_group_total_details'!$H$8:$H$10000,"&lt;="&amp;pb_date)+SUMIFS('[1]1_group_total_details'!$M$8:$M$10000,'[1]1_group_total_details'!$C$8:$C$10000,I16,'[1]1_group_total_details'!$F$8:$F$10000,pb_location_group_id,'[1]1_group_total_details'!$G$8:$G$10000,pb_location_id,'[1]1_group_total_details'!$H$8:$H$10000,"&lt;="&amp;pb_date)+SUMIFS('[1]1_group_total_details'!$P$8:$P$10000,'[1]1_group_total_details'!$C$8:$C$10000,I16,'[1]1_group_total_details'!$F$8:$F$10000,pb_location_group_id,'[1]1_group_total_details'!$G$8:$G$10000,pb_location_id,'[1]1_group_total_details'!$H$8:$H$10000,"&lt;="&amp;pb_date))))</f>
        <v/>
      </c>
      <c r="AK16" s="1640" t="str">
        <f>IF(M16="","",SUMIFS('[1]1_group_totals'!$J$8:$J$10000,'[1]1_group_totals'!$C$8:$C$10000,I16,'[1]1_group_totals'!$F$8:$F$10000,pb_location_group_id,'[1]1_group_totals'!$G$8:$G$10000,pb_location_id,'[1]1_group_totals'!$H$8:$H$10000,"="&amp;Q16,'[1]1_group_totals'!$I$8:$I$10000,"="&amp;R16))</f>
        <v/>
      </c>
      <c r="AL16" s="1644" t="str">
        <f t="shared" si="17"/>
        <v/>
      </c>
      <c r="AM16" s="1644" t="str">
        <f>IF(OR(ISNA(MATCH(MID(AL16,1,3)*1,UomConversion!$D$8:$D$500,0)),M16=""),"",IF(AQ16="","",AQ16))</f>
        <v/>
      </c>
      <c r="AN16" s="1644" t="str">
        <f>IF(AND(AO16&gt;0,COUNTIFS(UomConversion!$D$8:$D$500,MID(AL16,1,3)*1,UomConversion!$J$8:$J$500,1)&gt;1),TEXT(AO16,"000")&amp;"."&amp;VLOOKUP(AO16,uom_list,5,FALSE),"")</f>
        <v/>
      </c>
      <c r="AO16" s="1640" t="str">
        <f t="shared" si="18"/>
        <v/>
      </c>
      <c r="AP16" s="1645" t="str">
        <f t="shared" si="19"/>
        <v/>
      </c>
      <c r="AQ16" s="491" t="str">
        <f t="shared" si="20"/>
        <v/>
      </c>
      <c r="AR16" s="1281" t="str" cm="1">
        <f t="array" ref="AR16">IF(M16="","",IF(ISNA(Slookup(MID(AL16,1,3)*1,UomConversion!$D$8:$J$500,2,UomConversion!$I$8:$I$500,1,UomConversion!$J$8:$J$500,1)),"",Slookup(MID(AL16,1,3)*1,UomConversion!$D$8:$J$500,2,UomConversion!$I$8:$I$500,1,UomConversion!$J$8:$J$500,1)))</f>
        <v/>
      </c>
      <c r="AS16" s="663" t="str">
        <f>IF(M16="","",(SUMIFS('[1]1_inventory_totals'!$I$8:$I$10000,'[1]1_inventory_totals'!$C$8:$C$10000,I16,'[1]1_inventory_totals'!$F$8:$F$10000,"="&amp;Q16,'[1]1_inventory_totals'!$G$8:$G$10000,"="&amp;R16)+SUMIFS('[1]1_inventory_totals'!$N$8:$N$10000,'[1]1_inventory_totals'!$C$8:$C$10000,I16,'[1]1_inventory_totals'!$F$8:$F$10000,"="&amp;Q16,'[1]1_inventory_totals'!$G$8:$G$10000,"="&amp;R16)+SUMIFS('[1]1_inventory_totals'!$P$8:$P$10000,'[1]1_inventory_totals'!$C$8:$C$10000,I16,'[1]1_inventory_totals'!$F$8:$F$10000,"="&amp;Q16,'[1]1_inventory_totals'!$G$8:$G$10000,"="&amp;R16)+SUMIFS('[1]1_inventory_totals'!$Q$8:$Q$10000,'[1]1_inventory_totals'!$C$8:$C$10000,I16,'[1]1_inventory_totals'!$F$8:$F$10000,"="&amp;Q16,'[1]1_inventory_totals'!$G$8:$G$10000,"="&amp;R16)+SUMIFS('[1]1_inventory_totals'!$R$8:$R$10000,'[1]1_inventory_totals'!$C$8:$C$10000,I16,'[1]1_inventory_totals'!$F$8:$F$10000,"="&amp;Q16,'[1]1_inventory_totals'!$G$8:$G$10000,"="&amp;R16))+(SUMIFS('[1]1_inventory_totals'!$J$8:$J$10000,'[1]1_inventory_totals'!$C$8:$C$10000,I16,'[1]1_inventory_totals'!$F$8:$F$10000,"="&amp;Q16,'[1]1_inventory_totals'!$G$8:$G$10000,"="&amp;R16)+SUMIFS('[1]1_inventory_totals'!$K$8:$K$10000,'[1]1_inventory_totals'!$C$8:$C$10000,I16,'[1]1_inventory_totals'!$F$8:$F$10000,"="&amp;Q16,'[1]1_inventory_totals'!$G$8:$G$10000,"="&amp;R16)+SUMIFS('[1]1_inventory_totals'!$L$8:$L$10000,'[1]1_inventory_totals'!$C$8:$C$10000,I16,'[1]1_inventory_totals'!$F$8:$F$10000,"="&amp;Q16,'[1]1_inventory_totals'!$G$8:$G$10000,"="&amp;R16)+SUMIFS('[1]1_inventory_totals'!$M$8:$M$10000,'[1]1_inventory_totals'!$C$8:$C$10000,I16,'[1]1_inventory_totals'!$F$8:$F$10000,"="&amp;Q16,'[1]1_inventory_totals'!$G$8:$G$10000,"="&amp;R16)+SUMIFS('[1]1_inventory_totals'!$O$8:$O$10000,'[1]1_inventory_totals'!$C$8:$C$10000,I16,'[1]1_inventory_totals'!$F$8:$F$10000,"="&amp;Q16,'[1]1_inventory_totals'!$G$8:$G$10000,"="&amp;R16)+SUMIFS('[1]1_inventory_totals'!$S$8:$S$10000,'[1]1_inventory_totals'!$C$8:$C$10000,I16,'[1]1_inventory_totals'!$F$8:$F$10000,"="&amp;Q16,'[1]1_inventory_totals'!$G$8:$G$10000,"="&amp;R16)))</f>
        <v/>
      </c>
      <c r="AT16" s="1281" t="str">
        <f>IF(M16="","",(SUMIFS('[1]1_group_totals'!$K$8:$K$10000,'[1]1_group_totals'!$C$8:$C$10000,I16,'[1]1_group_totals'!$F$8:$F$10000,pb_location_group_id,'[1]1_group_totals'!$G$8:$G$10000,pb_location_id,'[1]1_group_totals'!$H$8:$H$10000,"="&amp;Q16,'[1]1_group_totals'!$I$8:$I$10000,"="&amp;R16)+SUMIFS('[1]1_group_totals'!$N$8:$N$10000,'[1]1_group_totals'!$C$8:$C$10000,I16,'[1]1_group_totals'!$F$8:$F$10000,pb_location_group_id,'[1]1_group_totals'!$G$8:$G$10000,pb_location_id,'[1]1_group_totals'!$H$8:$H$10000,"="&amp;Q16,'[1]1_group_totals'!$I$8:$I$10000,"="&amp;R16)+SUMIFS('[1]1_group_totals'!$P$8:$P$10000,'[1]1_group_totals'!$C$8:$C$10000,I16,'[1]1_group_totals'!$F$8:$F$10000,pb_location_group_id,'[1]1_group_totals'!$G$8:$G$10000,pb_location_id,'[1]1_group_totals'!$H$8:$H$10000,"="&amp;Q16,'[1]1_group_totals'!$I$8:$I$10000,"="&amp;R16)+SUMIFS('[1]1_group_totals'!$Q$8:$Q$10000,'[1]1_group_totals'!$C$8:$C$10000,I16,'[1]1_group_totals'!$F$8:$F$10000,pb_location_group_id,'[1]1_group_totals'!$G$8:$G$10000,pb_location_id,'[1]1_group_totals'!$H$8:$H$10000,"="&amp;Q16,'[1]1_group_totals'!$I$8:$I$10000,"="&amp;R16))+(SUMIFS('[1]1_group_totals'!$L$8:$L$10000,'[1]1_group_totals'!$C$8:$C$10000,I16,'[1]1_group_totals'!$F$8:$F$10000,pb_location_group_id,'[1]1_group_totals'!$G$8:$G$10000,pb_location_id,'[1]1_group_totals'!$H$8:$H$10000,"="&amp;Q16,'[1]1_group_totals'!$I$8:$I$10000,"="&amp;R16)+SUMIFS('[1]1_group_totals'!$M$8:$M$10000,'[1]1_group_totals'!$C$8:$C$10000,I16,'[1]1_group_totals'!$F$8:$F$10000,pb_location_group_id,'[1]1_group_totals'!$G$8:$G$10000,pb_location_id,'[1]1_group_totals'!$H$8:$H$10000,"="&amp;Q16,'[1]1_group_totals'!$I$8:$I$10000,"="&amp;R16)+SUMIFS('[1]1_group_totals'!$O$8:$O$10000,'[1]1_group_totals'!$C$8:$C$10000,I16,'[1]1_group_totals'!$F$8:$F$10000,pb_location_group_id,'[1]1_group_totals'!$G$8:$G$10000,pb_location_id,'[1]1_group_totals'!$H$8:$H$10000,"="&amp;Q16,'[1]1_group_totals'!$I$8:$I$10000,"="&amp;R16)+SUMIFS('[1]1_group_totals'!$R$8:$R$10000,'[1]1_group_totals'!$C$8:$C$10000,I16,'[1]1_group_totals'!$F$8:$F$10000,pb_location_group_id,'[1]1_group_totals'!$G$8:$G$10000,pb_location_id,'[1]1_group_totals'!$H$8:$H$10000,"="&amp;Q16,'[1]1_group_totals'!$I$8:$I$10000,"="&amp;R16)))</f>
        <v/>
      </c>
    </row>
    <row r="17" spans="1:46" ht="27" customHeight="1" thickBot="1">
      <c r="A17" s="923"/>
      <c r="B17" s="1028"/>
      <c r="C17" s="1065" t="str">
        <f>IF(pb_currency_id="","",VLOOKUP(pb_currency_id,currency_list,2,FALSE))</f>
        <v>USD - US Dollar</v>
      </c>
      <c r="D17" s="1067" t="str">
        <f>IF(pb_currency_id="","",VLOOKUP(pb_currency_id,currency_list,3,FALSE))</f>
        <v>$</v>
      </c>
      <c r="E17" s="1052"/>
      <c r="F17" s="1012"/>
      <c r="G17" s="941"/>
      <c r="I17" s="1610" t="str">
        <f t="shared" si="8"/>
        <v/>
      </c>
      <c r="J17" s="1631" t="str">
        <f t="shared" si="25"/>
        <v/>
      </c>
      <c r="K17" s="1628" t="str">
        <f t="shared" si="0"/>
        <v/>
      </c>
      <c r="L17" s="1632"/>
      <c r="M17" s="1043"/>
      <c r="N17" s="1044"/>
      <c r="O17" s="1044"/>
      <c r="P17" s="1046"/>
      <c r="Q17" s="1047"/>
      <c r="R17" s="1053"/>
      <c r="S17" s="1634" t="str">
        <f t="shared" ref="S17" si="44">IF(M17="","",pb_currency_symbol)</f>
        <v/>
      </c>
      <c r="T17" s="1068"/>
      <c r="U17" s="1636" t="str">
        <f t="shared" si="10"/>
        <v/>
      </c>
      <c r="V17" s="1634" t="str">
        <f t="shared" ref="V17" si="45">IF(W17=0,"",pb_currency_symbol)</f>
        <v/>
      </c>
      <c r="W17" s="1054"/>
      <c r="X17" s="1634" t="str">
        <f t="shared" ref="X17" si="46">IF(M17="","",pb_currency_symbol)</f>
        <v/>
      </c>
      <c r="Y17" s="1638" t="str">
        <f t="shared" si="24"/>
        <v/>
      </c>
      <c r="Z17" s="1062"/>
      <c r="AA17" s="1639" t="str" cm="1">
        <f t="array" ref="AA17">IF(M17="","",IF(P17=AL17,1,Slookup(MID(AL17,1,3)*1,UomConversion!$D$8:$J$500,5,UomConversion!$E$8:$E$500,MID(P17,1,3)*1,UomConversion!$J$8:$J$500,1)))</f>
        <v/>
      </c>
      <c r="AB17" s="1640" t="str">
        <f t="shared" si="13"/>
        <v/>
      </c>
      <c r="AC17" s="1641" t="str">
        <f t="shared" si="14"/>
        <v/>
      </c>
      <c r="AD17" s="1642" t="str">
        <f t="shared" si="15"/>
        <v/>
      </c>
      <c r="AE17" s="1643" t="str">
        <f t="shared" si="16"/>
        <v/>
      </c>
      <c r="AF17" s="1640" t="str">
        <f>IF(I17="","",IF(ISNA(MATCH(I17,IF(pb_location_id=1,'[1]1_inventory_totals'!$C$8:$C$10000,IF(pb_location_id=2,'[1]2_inventory_totals'!$C$8:$C$10000,"")),0)),0,IF(AS17&gt;0,1,0)))</f>
        <v/>
      </c>
      <c r="AG17" s="1640" t="str">
        <f>IF(M17="","",IF(pb_location_id=1,SUMIFS('[1]1_inventory_total_details'!$J$8:$J$10000,'[1]1_inventory_total_details'!$C$8:$C$10000,I17,'[1]1_inventory_total_details'!$F$8:$F$10000,pb_location_id,'[1]1_inventory_total_details'!$G$8:$G$10000,"="&amp;Q17,'[1]1_inventory_total_details'!$H$8:$H$10000,"="&amp;R17,'[1]1_inventory_total_details'!$I$8:$I$10000,"="&amp;pb_date)+SUMIFS('[1]1_inventory_total_details'!$M$8:$M$10000,'[1]1_inventory_total_details'!$C$8:$C$10000,I17,'[1]1_inventory_total_details'!$F$8:$F$10000,pb_location_id,'[1]1_inventory_total_details'!$G$8:$G$10000,"="&amp;Q17,'[1]1_inventory_total_details'!$H$8:$H$10000,"="&amp;R17,'[1]1_inventory_total_details'!$I$8:$I$10000,"="&amp;pb_date)+SUMIFS('[1]1_inventory_total_details'!$K$8:$K$10000,'[1]1_inventory_total_details'!$C$8:$C$10000,I17,'[1]1_inventory_total_details'!$F$8:$F$10000,pb_location_id,'[1]1_inventory_total_details'!$G$8:$G$10000,"="&amp;Q17,'[1]1_inventory_total_details'!$H$8:$H$10000,"="&amp;R17,'[1]1_inventory_total_details'!$I$8:$I$10000,"="&amp;pb_date)+SUMIFS('[1]1_inventory_total_details'!$L$8:$L$10000,'[1]1_inventory_total_details'!$C$8:$C$10000,I17,'[1]1_inventory_total_details'!$F$8:$F$10000,pb_location_id,'[1]1_inventory_total_details'!$G$8:$G$10000,"="&amp;Q17,'[1]1_inventory_total_details'!$H$8:$H$10000,"="&amp;R17,'[1]1_inventory_total_details'!$I$8:$I$10000,"="&amp;pb_date),SUMIFS('[1]2_inventory_total_details'!$J$8:$J$10000,'[1]2_inventory_total_details'!$C$8:$C$10000,I17,'[1]1_inventory_total_details'!$F$8:$F$10000,pb_location_id,'[1]2_inventory_total_details'!$G$8:$G$10000,"="&amp;Q17,'[1]2_inventory_total_details'!$H$8:$H$10000,"="&amp;R17,'[1]2_inventory_total_details'!$I$8:$I$10000,"="&amp;pb_date)+SUMIFS('[1]2_inventory_total_details'!$M$8:$M$10000,'[1]2_inventory_total_details'!$C$8:$C$10000,I17,'[1]2_inventory_total_details'!$F$8:$F$10000,pb_location_id,'[1]2_inventory_total_details'!$G$8:$G$10000,"="&amp;Q17,'[1]2_inventory_total_details'!$H$8:$H$10000,"="&amp;R17,'[1]2_inventory_total_details'!$I$8:$I$10000,"="&amp;pb_date)+SUMIFS('[1]2_inventory_total_details'!$K$8:$K$10000,'[1]2_inventory_total_details'!$C$8:$C$10000,I17,'[1]2_inventory_total_details'!$F$8:$F$10000,pb_location_id,'[1]2_inventory_total_details'!$G$8:$G$10000,"="&amp;Q17,'[1]2_inventory_total_details'!$H$8:$H$10000,"="&amp;R17,'[1]2_inventory_total_details'!$I$8:$I$10000,"="&amp;pb_date)+SUMIFS('[1]2_inventory_total_details'!$L$8:$L$10000,'[1]2_inventory_total_details'!$C$8:$C$10000,I17,'[1]2_inventory_total_details'!$F$8:$F$10000,pb_location_id,'[1]2_inventory_total_details'!$G$8:$G$10000,"="&amp;Q17,'[1]2_inventory_total_details'!$H$8:$H$10000,"="&amp;R17,'[1]2_inventory_total_details'!$I$8:$I$10000,"="&amp;pb_date)))</f>
        <v/>
      </c>
      <c r="AH17" s="1640" t="str">
        <f>IF(M17="","",IF(ISNA(MATCH(I17,'[1]1_group_totals'!$C$8:$C$10000)),0,IF(AT17&gt;0,1,0)))</f>
        <v/>
      </c>
      <c r="AI17" s="1640" t="str">
        <f>IF(M17="","",(SUMIFS('[1]1_group_total_details'!$I$8:$I$10000,'[1]1_group_total_details'!$C$8:$C$10000,I17,'[1]1_group_total_details'!$F$8:$F$10000,pb_location_group_id,'[1]1_group_total_details'!$G$8:$G$10000,pb_location_id,'[1]1_group_total_details'!$H$8:$H$10000,"="&amp;pb_date)+SUMIFS('[1]1_group_total_details'!$L$8:$L$10000,'[1]1_group_total_details'!$C$8:$C$10000,I17,'[1]1_group_total_details'!$F$8:$F$10000,pb_location_group_id,'[1]1_group_total_details'!$G$8:$G$10000,pb_location_id,'[1]1_group_total_details'!$H$8:$H$10000,"="&amp;pb_date)+SUMIFS('[1]1_group_total_details'!$N$8:$N$10000,'[1]1_group_total_details'!$C$8:$C$10000,I17,'[1]1_group_total_details'!$F$8:$F$10000,pb_location_group_id,'[1]1_group_total_details'!$G$8:$G$10000,pb_location_id,'[1]1_group_total_details'!$H$8:$H$10000,"="&amp;pb_date)+SUMIFS('[1]1_group_total_details'!$O$8:$O$10000,'[1]1_group_total_details'!$C$8:$C$10000,I17,'[1]1_group_total_details'!$F$8:$F$10000,pb_location_group_id,'[1]1_group_total_details'!$G$8:$G$10000,pb_location_id,'[1]1_group_total_details'!$H$8:$H$10000,"="&amp;pb_date))+(SUMIFS('[1]1_group_total_details'!$J$8:$J$10000,'[1]1_group_total_details'!$C$8:$C$10000,I17,'[1]1_group_total_details'!$F$8:$F$10000,pb_location_group_id,'[1]1_group_total_details'!$G$8:$G$10000,pb_location_id,'[1]1_group_total_details'!$H$8:$H$10000,"="&amp;pb_date)+SUMIFS('[1]1_group_total_details'!$K$8:$K$10000,'[1]1_group_total_details'!$C$8:$C$10000,I17,'[1]1_group_total_details'!$F$8:$F$10000,pb_location_group_id,'[1]1_group_total_details'!$G$8:$G$10000,pb_location_id,'[1]1_group_total_details'!$H$8:$H$10000,"="&amp;pb_date)+SUMIFS('[1]1_group_total_details'!$M$8:$M$10000,'[1]1_group_total_details'!$C$8:$C$10000,I17,'[1]1_group_total_details'!$F$8:$F$10000,pb_location_group_id,'[1]1_group_total_details'!$G$8:$G$10000,pb_location_id,'[1]1_group_total_details'!$H$8:$H$10000,"="&amp;pb_date)+SUMIFS('[1]1_group_total_details'!$P$8:$P$10000,'[1]1_group_total_details'!$C$8:$C$10000,I17,'[1]1_group_total_details'!$F$8:$F$10000,pb_location_group_id,'[1]1_group_total_details'!$G$8:$G$10000,pb_location_id,'[1]1_group_total_details'!$H$8:$H$10000,"="&amp;pb_date)))</f>
        <v/>
      </c>
      <c r="AJ17" s="1640" t="str">
        <f>IF(M17="","",IF(AK17=0,0,(SUMIFS('[1]1_group_total_details'!$I$8:$I$10000,'[1]1_group_total_details'!$C$8:$C$10000,I17,'[1]1_group_total_details'!$F$8:$F$10000,pb_location_group_id,'[1]1_group_total_details'!$G$8:$G$10000,pb_location_id,'[1]1_group_total_details'!$H$8:$H$10000,"&lt;="&amp;pb_date)+SUMIFS('[1]1_group_total_details'!$L$8:$L$10000,'[1]1_group_total_details'!$C$8:$C$10000,I17,'[1]1_group_total_details'!$F$8:$F$10000,pb_location_group_id,'[1]1_group_total_details'!$G$8:$G$10000,pb_location_id,'[1]1_group_total_details'!$H$8:$H$10000,"&lt;="&amp;pb_date)+SUMIFS('[1]1_group_total_details'!$N$8:$N$10000,'[1]1_group_total_details'!$C$8:$C$10000,I17,'[1]1_group_total_details'!$F$8:$F$10000,pb_location_group_id,'[1]1_group_total_details'!$G$8:$G$10000,pb_location_id,'[1]1_group_total_details'!$H$8:$H$10000,"&lt;="&amp;pb_date)+SUMIFS('[1]1_group_total_details'!$O$8:$O$10000,'[1]1_group_total_details'!$C$8:$C$10000,I17,'[1]1_group_total_details'!$F$8:$F$10000,pb_location_group_id,'[1]1_group_total_details'!$G$8:$G$10000,pb_location_id,'[1]1_group_total_details'!$H$8:$H$10000,"&lt;="&amp;pb_date))-(SUMIFS('[1]1_group_total_details'!$J$8:$J$10000,'[1]1_group_total_details'!$C$8:$C$10000,I17,'[1]1_group_total_details'!$F$8:$F$10000,pb_location_group_id,'[1]1_group_total_details'!$G$8:$G$10000,pb_location_id,'[1]1_group_total_details'!$H$8:$H$10000,"&lt;="&amp;pb_date)+SUMIFS('[1]1_group_total_details'!$K$8:$K$10000,'[1]1_group_total_details'!$C$8:$C$10000,I17,'[1]1_group_total_details'!$F$8:$F$10000,pb_location_group_id,'[1]1_group_total_details'!$G$8:$G$10000,invoice_location_id,'[1]1_group_total_details'!$H$8:$H$10000,"&lt;="&amp;pb_date)+SUMIFS('[1]1_group_total_details'!$M$8:$M$10000,'[1]1_group_total_details'!$C$8:$C$10000,I17,'[1]1_group_total_details'!$F$8:$F$10000,pb_location_group_id,'[1]1_group_total_details'!$G$8:$G$10000,pb_location_id,'[1]1_group_total_details'!$H$8:$H$10000,"&lt;="&amp;pb_date)+SUMIFS('[1]1_group_total_details'!$P$8:$P$10000,'[1]1_group_total_details'!$C$8:$C$10000,I17,'[1]1_group_total_details'!$F$8:$F$10000,pb_location_group_id,'[1]1_group_total_details'!$G$8:$G$10000,pb_location_id,'[1]1_group_total_details'!$H$8:$H$10000,"&lt;="&amp;pb_date))))</f>
        <v/>
      </c>
      <c r="AK17" s="1640" t="str">
        <f>IF(M17="","",SUMIFS('[1]1_group_totals'!$J$8:$J$10000,'[1]1_group_totals'!$C$8:$C$10000,I17,'[1]1_group_totals'!$F$8:$F$10000,pb_location_group_id,'[1]1_group_totals'!$G$8:$G$10000,pb_location_id,'[1]1_group_totals'!$H$8:$H$10000,"="&amp;Q17,'[1]1_group_totals'!$I$8:$I$10000,"="&amp;R17))</f>
        <v/>
      </c>
      <c r="AL17" s="1644" t="str">
        <f t="shared" si="17"/>
        <v/>
      </c>
      <c r="AM17" s="1644" t="str">
        <f>IF(OR(ISNA(MATCH(MID(AL17,1,3)*1,UomConversion!$D$8:$D$500,0)),M17=""),"",IF(AQ17="","",AQ17))</f>
        <v/>
      </c>
      <c r="AN17" s="1644" t="str">
        <f>IF(AND(AO17&gt;0,COUNTIFS(UomConversion!$D$8:$D$500,MID(AL17,1,3)*1,UomConversion!$J$8:$J$500,1)&gt;1),TEXT(AO17,"000")&amp;"."&amp;VLOOKUP(AO17,uom_list,5,FALSE),"")</f>
        <v/>
      </c>
      <c r="AO17" s="1640" t="str">
        <f t="shared" si="18"/>
        <v/>
      </c>
      <c r="AP17" s="1645" t="str">
        <f t="shared" si="19"/>
        <v/>
      </c>
      <c r="AQ17" s="491" t="str">
        <f t="shared" si="20"/>
        <v/>
      </c>
      <c r="AR17" s="1281" t="str" cm="1">
        <f t="array" ref="AR17">IF(M17="","",IF(ISNA(Slookup(MID(AL17,1,3)*1,UomConversion!$D$8:$J$500,2,UomConversion!$I$8:$I$500,1,UomConversion!$J$8:$J$500,1)),"",Slookup(MID(AL17,1,3)*1,UomConversion!$D$8:$J$500,2,UomConversion!$I$8:$I$500,1,UomConversion!$J$8:$J$500,1)))</f>
        <v/>
      </c>
      <c r="AS17" s="663" t="str">
        <f>IF(M17="","",(SUMIFS('[1]1_inventory_totals'!$I$8:$I$10000,'[1]1_inventory_totals'!$C$8:$C$10000,I17,'[1]1_inventory_totals'!$F$8:$F$10000,"="&amp;Q17,'[1]1_inventory_totals'!$G$8:$G$10000,"="&amp;R17)+SUMIFS('[1]1_inventory_totals'!$N$8:$N$10000,'[1]1_inventory_totals'!$C$8:$C$10000,I17,'[1]1_inventory_totals'!$F$8:$F$10000,"="&amp;Q17,'[1]1_inventory_totals'!$G$8:$G$10000,"="&amp;R17)+SUMIFS('[1]1_inventory_totals'!$P$8:$P$10000,'[1]1_inventory_totals'!$C$8:$C$10000,I17,'[1]1_inventory_totals'!$F$8:$F$10000,"="&amp;Q17,'[1]1_inventory_totals'!$G$8:$G$10000,"="&amp;R17)+SUMIFS('[1]1_inventory_totals'!$Q$8:$Q$10000,'[1]1_inventory_totals'!$C$8:$C$10000,I17,'[1]1_inventory_totals'!$F$8:$F$10000,"="&amp;Q17,'[1]1_inventory_totals'!$G$8:$G$10000,"="&amp;R17)+SUMIFS('[1]1_inventory_totals'!$R$8:$R$10000,'[1]1_inventory_totals'!$C$8:$C$10000,I17,'[1]1_inventory_totals'!$F$8:$F$10000,"="&amp;Q17,'[1]1_inventory_totals'!$G$8:$G$10000,"="&amp;R17))+(SUMIFS('[1]1_inventory_totals'!$J$8:$J$10000,'[1]1_inventory_totals'!$C$8:$C$10000,I17,'[1]1_inventory_totals'!$F$8:$F$10000,"="&amp;Q17,'[1]1_inventory_totals'!$G$8:$G$10000,"="&amp;R17)+SUMIFS('[1]1_inventory_totals'!$K$8:$K$10000,'[1]1_inventory_totals'!$C$8:$C$10000,I17,'[1]1_inventory_totals'!$F$8:$F$10000,"="&amp;Q17,'[1]1_inventory_totals'!$G$8:$G$10000,"="&amp;R17)+SUMIFS('[1]1_inventory_totals'!$L$8:$L$10000,'[1]1_inventory_totals'!$C$8:$C$10000,I17,'[1]1_inventory_totals'!$F$8:$F$10000,"="&amp;Q17,'[1]1_inventory_totals'!$G$8:$G$10000,"="&amp;R17)+SUMIFS('[1]1_inventory_totals'!$M$8:$M$10000,'[1]1_inventory_totals'!$C$8:$C$10000,I17,'[1]1_inventory_totals'!$F$8:$F$10000,"="&amp;Q17,'[1]1_inventory_totals'!$G$8:$G$10000,"="&amp;R17)+SUMIFS('[1]1_inventory_totals'!$O$8:$O$10000,'[1]1_inventory_totals'!$C$8:$C$10000,I17,'[1]1_inventory_totals'!$F$8:$F$10000,"="&amp;Q17,'[1]1_inventory_totals'!$G$8:$G$10000,"="&amp;R17)+SUMIFS('[1]1_inventory_totals'!$S$8:$S$10000,'[1]1_inventory_totals'!$C$8:$C$10000,I17,'[1]1_inventory_totals'!$F$8:$F$10000,"="&amp;Q17,'[1]1_inventory_totals'!$G$8:$G$10000,"="&amp;R17)))</f>
        <v/>
      </c>
      <c r="AT17" s="1281" t="str">
        <f>IF(M17="","",(SUMIFS('[1]1_group_totals'!$K$8:$K$10000,'[1]1_group_totals'!$C$8:$C$10000,I17,'[1]1_group_totals'!$F$8:$F$10000,pb_location_group_id,'[1]1_group_totals'!$G$8:$G$10000,pb_location_id,'[1]1_group_totals'!$H$8:$H$10000,"="&amp;Q17,'[1]1_group_totals'!$I$8:$I$10000,"="&amp;R17)+SUMIFS('[1]1_group_totals'!$N$8:$N$10000,'[1]1_group_totals'!$C$8:$C$10000,I17,'[1]1_group_totals'!$F$8:$F$10000,pb_location_group_id,'[1]1_group_totals'!$G$8:$G$10000,pb_location_id,'[1]1_group_totals'!$H$8:$H$10000,"="&amp;Q17,'[1]1_group_totals'!$I$8:$I$10000,"="&amp;R17)+SUMIFS('[1]1_group_totals'!$P$8:$P$10000,'[1]1_group_totals'!$C$8:$C$10000,I17,'[1]1_group_totals'!$F$8:$F$10000,pb_location_group_id,'[1]1_group_totals'!$G$8:$G$10000,pb_location_id,'[1]1_group_totals'!$H$8:$H$10000,"="&amp;Q17,'[1]1_group_totals'!$I$8:$I$10000,"="&amp;R17)+SUMIFS('[1]1_group_totals'!$Q$8:$Q$10000,'[1]1_group_totals'!$C$8:$C$10000,I17,'[1]1_group_totals'!$F$8:$F$10000,pb_location_group_id,'[1]1_group_totals'!$G$8:$G$10000,pb_location_id,'[1]1_group_totals'!$H$8:$H$10000,"="&amp;Q17,'[1]1_group_totals'!$I$8:$I$10000,"="&amp;R17))+(SUMIFS('[1]1_group_totals'!$L$8:$L$10000,'[1]1_group_totals'!$C$8:$C$10000,I17,'[1]1_group_totals'!$F$8:$F$10000,pb_location_group_id,'[1]1_group_totals'!$G$8:$G$10000,pb_location_id,'[1]1_group_totals'!$H$8:$H$10000,"="&amp;Q17,'[1]1_group_totals'!$I$8:$I$10000,"="&amp;R17)+SUMIFS('[1]1_group_totals'!$M$8:$M$10000,'[1]1_group_totals'!$C$8:$C$10000,I17,'[1]1_group_totals'!$F$8:$F$10000,pb_location_group_id,'[1]1_group_totals'!$G$8:$G$10000,pb_location_id,'[1]1_group_totals'!$H$8:$H$10000,"="&amp;Q17,'[1]1_group_totals'!$I$8:$I$10000,"="&amp;R17)+SUMIFS('[1]1_group_totals'!$O$8:$O$10000,'[1]1_group_totals'!$C$8:$C$10000,I17,'[1]1_group_totals'!$F$8:$F$10000,pb_location_group_id,'[1]1_group_totals'!$G$8:$G$10000,pb_location_id,'[1]1_group_totals'!$H$8:$H$10000,"="&amp;Q17,'[1]1_group_totals'!$I$8:$I$10000,"="&amp;R17)+SUMIFS('[1]1_group_totals'!$R$8:$R$10000,'[1]1_group_totals'!$C$8:$C$10000,I17,'[1]1_group_totals'!$F$8:$F$10000,pb_location_group_id,'[1]1_group_totals'!$G$8:$G$10000,pb_location_id,'[1]1_group_totals'!$H$8:$H$10000,"="&amp;Q17,'[1]1_group_totals'!$I$8:$I$10000,"="&amp;R17)))</f>
        <v/>
      </c>
    </row>
    <row r="18" spans="1:46" ht="27" customHeight="1">
      <c r="A18" s="923"/>
      <c r="B18" s="1028"/>
      <c r="C18" s="1605">
        <f>IF(pb_branch="","",VLOOKUP(MID(pb_branch,1,2)*1,branch_list,24,FALSE))</f>
        <v>1</v>
      </c>
      <c r="D18" s="897"/>
      <c r="E18" s="924"/>
      <c r="F18" s="1029"/>
      <c r="G18" s="941"/>
      <c r="I18" s="1610" t="str">
        <f t="shared" si="8"/>
        <v/>
      </c>
      <c r="J18" s="1631" t="str">
        <f t="shared" si="25"/>
        <v/>
      </c>
      <c r="K18" s="1628" t="str">
        <f t="shared" si="0"/>
        <v/>
      </c>
      <c r="L18" s="1632"/>
      <c r="M18" s="1043"/>
      <c r="N18" s="1044"/>
      <c r="O18" s="1044"/>
      <c r="P18" s="1046"/>
      <c r="Q18" s="1047"/>
      <c r="R18" s="1053"/>
      <c r="S18" s="1634" t="str">
        <f t="shared" ref="S18" si="47">IF(M18="","",pb_currency_symbol)</f>
        <v/>
      </c>
      <c r="T18" s="1068"/>
      <c r="U18" s="1636" t="str">
        <f t="shared" si="10"/>
        <v/>
      </c>
      <c r="V18" s="1634" t="str">
        <f t="shared" ref="V18" si="48">IF(W18=0,"",pb_currency_symbol)</f>
        <v/>
      </c>
      <c r="W18" s="1054"/>
      <c r="X18" s="1634" t="str">
        <f t="shared" ref="X18" si="49">IF(M18="","",pb_currency_symbol)</f>
        <v/>
      </c>
      <c r="Y18" s="1638" t="str">
        <f t="shared" si="24"/>
        <v/>
      </c>
      <c r="Z18" s="1062"/>
      <c r="AA18" s="1639" t="str" cm="1">
        <f t="array" ref="AA18">IF(M18="","",IF(P18=AL18,1,Slookup(MID(AL18,1,3)*1,UomConversion!$D$8:$J$500,5,UomConversion!$E$8:$E$500,MID(P18,1,3)*1,UomConversion!$J$8:$J$500,1)))</f>
        <v/>
      </c>
      <c r="AB18" s="1640" t="str">
        <f t="shared" si="13"/>
        <v/>
      </c>
      <c r="AC18" s="1641" t="str">
        <f t="shared" si="14"/>
        <v/>
      </c>
      <c r="AD18" s="1642" t="str">
        <f t="shared" si="15"/>
        <v/>
      </c>
      <c r="AE18" s="1643" t="str">
        <f t="shared" si="16"/>
        <v/>
      </c>
      <c r="AF18" s="1640" t="str">
        <f>IF(I18="","",IF(ISNA(MATCH(I18,IF(pb_location_id=1,'[1]1_inventory_totals'!$C$8:$C$10000,IF(pb_location_id=2,'[1]2_inventory_totals'!$C$8:$C$10000,"")),0)),0,IF(AS18&gt;0,1,0)))</f>
        <v/>
      </c>
      <c r="AG18" s="1640" t="str">
        <f>IF(M18="","",IF(pb_location_id=1,SUMIFS('[1]1_inventory_total_details'!$J$8:$J$10000,'[1]1_inventory_total_details'!$C$8:$C$10000,I18,'[1]1_inventory_total_details'!$F$8:$F$10000,pb_location_id,'[1]1_inventory_total_details'!$G$8:$G$10000,"="&amp;Q18,'[1]1_inventory_total_details'!$H$8:$H$10000,"="&amp;R18,'[1]1_inventory_total_details'!$I$8:$I$10000,"="&amp;pb_date)+SUMIFS('[1]1_inventory_total_details'!$M$8:$M$10000,'[1]1_inventory_total_details'!$C$8:$C$10000,I18,'[1]1_inventory_total_details'!$F$8:$F$10000,pb_location_id,'[1]1_inventory_total_details'!$G$8:$G$10000,"="&amp;Q18,'[1]1_inventory_total_details'!$H$8:$H$10000,"="&amp;R18,'[1]1_inventory_total_details'!$I$8:$I$10000,"="&amp;pb_date)+SUMIFS('[1]1_inventory_total_details'!$K$8:$K$10000,'[1]1_inventory_total_details'!$C$8:$C$10000,I18,'[1]1_inventory_total_details'!$F$8:$F$10000,pb_location_id,'[1]1_inventory_total_details'!$G$8:$G$10000,"="&amp;Q18,'[1]1_inventory_total_details'!$H$8:$H$10000,"="&amp;R18,'[1]1_inventory_total_details'!$I$8:$I$10000,"="&amp;pb_date)+SUMIFS('[1]1_inventory_total_details'!$L$8:$L$10000,'[1]1_inventory_total_details'!$C$8:$C$10000,I18,'[1]1_inventory_total_details'!$F$8:$F$10000,pb_location_id,'[1]1_inventory_total_details'!$G$8:$G$10000,"="&amp;Q18,'[1]1_inventory_total_details'!$H$8:$H$10000,"="&amp;R18,'[1]1_inventory_total_details'!$I$8:$I$10000,"="&amp;pb_date),SUMIFS('[1]2_inventory_total_details'!$J$8:$J$10000,'[1]2_inventory_total_details'!$C$8:$C$10000,I18,'[1]1_inventory_total_details'!$F$8:$F$10000,pb_location_id,'[1]2_inventory_total_details'!$G$8:$G$10000,"="&amp;Q18,'[1]2_inventory_total_details'!$H$8:$H$10000,"="&amp;R18,'[1]2_inventory_total_details'!$I$8:$I$10000,"="&amp;pb_date)+SUMIFS('[1]2_inventory_total_details'!$M$8:$M$10000,'[1]2_inventory_total_details'!$C$8:$C$10000,I18,'[1]2_inventory_total_details'!$F$8:$F$10000,pb_location_id,'[1]2_inventory_total_details'!$G$8:$G$10000,"="&amp;Q18,'[1]2_inventory_total_details'!$H$8:$H$10000,"="&amp;R18,'[1]2_inventory_total_details'!$I$8:$I$10000,"="&amp;pb_date)+SUMIFS('[1]2_inventory_total_details'!$K$8:$K$10000,'[1]2_inventory_total_details'!$C$8:$C$10000,I18,'[1]2_inventory_total_details'!$F$8:$F$10000,pb_location_id,'[1]2_inventory_total_details'!$G$8:$G$10000,"="&amp;Q18,'[1]2_inventory_total_details'!$H$8:$H$10000,"="&amp;R18,'[1]2_inventory_total_details'!$I$8:$I$10000,"="&amp;pb_date)+SUMIFS('[1]2_inventory_total_details'!$L$8:$L$10000,'[1]2_inventory_total_details'!$C$8:$C$10000,I18,'[1]2_inventory_total_details'!$F$8:$F$10000,pb_location_id,'[1]2_inventory_total_details'!$G$8:$G$10000,"="&amp;Q18,'[1]2_inventory_total_details'!$H$8:$H$10000,"="&amp;R18,'[1]2_inventory_total_details'!$I$8:$I$10000,"="&amp;pb_date)))</f>
        <v/>
      </c>
      <c r="AH18" s="1640" t="str">
        <f>IF(M18="","",IF(ISNA(MATCH(I18,'[1]1_group_totals'!$C$8:$C$10000)),0,IF(AT18&gt;0,1,0)))</f>
        <v/>
      </c>
      <c r="AI18" s="1640" t="str">
        <f>IF(M18="","",(SUMIFS('[1]1_group_total_details'!$I$8:$I$10000,'[1]1_group_total_details'!$C$8:$C$10000,I18,'[1]1_group_total_details'!$F$8:$F$10000,pb_location_group_id,'[1]1_group_total_details'!$G$8:$G$10000,pb_location_id,'[1]1_group_total_details'!$H$8:$H$10000,"="&amp;pb_date)+SUMIFS('[1]1_group_total_details'!$L$8:$L$10000,'[1]1_group_total_details'!$C$8:$C$10000,I18,'[1]1_group_total_details'!$F$8:$F$10000,pb_location_group_id,'[1]1_group_total_details'!$G$8:$G$10000,pb_location_id,'[1]1_group_total_details'!$H$8:$H$10000,"="&amp;pb_date)+SUMIFS('[1]1_group_total_details'!$N$8:$N$10000,'[1]1_group_total_details'!$C$8:$C$10000,I18,'[1]1_group_total_details'!$F$8:$F$10000,pb_location_group_id,'[1]1_group_total_details'!$G$8:$G$10000,pb_location_id,'[1]1_group_total_details'!$H$8:$H$10000,"="&amp;pb_date)+SUMIFS('[1]1_group_total_details'!$O$8:$O$10000,'[1]1_group_total_details'!$C$8:$C$10000,I18,'[1]1_group_total_details'!$F$8:$F$10000,pb_location_group_id,'[1]1_group_total_details'!$G$8:$G$10000,pb_location_id,'[1]1_group_total_details'!$H$8:$H$10000,"="&amp;pb_date))+(SUMIFS('[1]1_group_total_details'!$J$8:$J$10000,'[1]1_group_total_details'!$C$8:$C$10000,I18,'[1]1_group_total_details'!$F$8:$F$10000,pb_location_group_id,'[1]1_group_total_details'!$G$8:$G$10000,pb_location_id,'[1]1_group_total_details'!$H$8:$H$10000,"="&amp;pb_date)+SUMIFS('[1]1_group_total_details'!$K$8:$K$10000,'[1]1_group_total_details'!$C$8:$C$10000,I18,'[1]1_group_total_details'!$F$8:$F$10000,pb_location_group_id,'[1]1_group_total_details'!$G$8:$G$10000,pb_location_id,'[1]1_group_total_details'!$H$8:$H$10000,"="&amp;pb_date)+SUMIFS('[1]1_group_total_details'!$M$8:$M$10000,'[1]1_group_total_details'!$C$8:$C$10000,I18,'[1]1_group_total_details'!$F$8:$F$10000,pb_location_group_id,'[1]1_group_total_details'!$G$8:$G$10000,pb_location_id,'[1]1_group_total_details'!$H$8:$H$10000,"="&amp;pb_date)+SUMIFS('[1]1_group_total_details'!$P$8:$P$10000,'[1]1_group_total_details'!$C$8:$C$10000,I18,'[1]1_group_total_details'!$F$8:$F$10000,pb_location_group_id,'[1]1_group_total_details'!$G$8:$G$10000,pb_location_id,'[1]1_group_total_details'!$H$8:$H$10000,"="&amp;pb_date)))</f>
        <v/>
      </c>
      <c r="AJ18" s="1640" t="str">
        <f>IF(M18="","",IF(AK18=0,0,(SUMIFS('[1]1_group_total_details'!$I$8:$I$10000,'[1]1_group_total_details'!$C$8:$C$10000,I18,'[1]1_group_total_details'!$F$8:$F$10000,pb_location_group_id,'[1]1_group_total_details'!$G$8:$G$10000,pb_location_id,'[1]1_group_total_details'!$H$8:$H$10000,"&lt;="&amp;pb_date)+SUMIFS('[1]1_group_total_details'!$L$8:$L$10000,'[1]1_group_total_details'!$C$8:$C$10000,I18,'[1]1_group_total_details'!$F$8:$F$10000,pb_location_group_id,'[1]1_group_total_details'!$G$8:$G$10000,pb_location_id,'[1]1_group_total_details'!$H$8:$H$10000,"&lt;="&amp;pb_date)+SUMIFS('[1]1_group_total_details'!$N$8:$N$10000,'[1]1_group_total_details'!$C$8:$C$10000,I18,'[1]1_group_total_details'!$F$8:$F$10000,pb_location_group_id,'[1]1_group_total_details'!$G$8:$G$10000,pb_location_id,'[1]1_group_total_details'!$H$8:$H$10000,"&lt;="&amp;pb_date)+SUMIFS('[1]1_group_total_details'!$O$8:$O$10000,'[1]1_group_total_details'!$C$8:$C$10000,I18,'[1]1_group_total_details'!$F$8:$F$10000,pb_location_group_id,'[1]1_group_total_details'!$G$8:$G$10000,pb_location_id,'[1]1_group_total_details'!$H$8:$H$10000,"&lt;="&amp;pb_date))-(SUMIFS('[1]1_group_total_details'!$J$8:$J$10000,'[1]1_group_total_details'!$C$8:$C$10000,I18,'[1]1_group_total_details'!$F$8:$F$10000,pb_location_group_id,'[1]1_group_total_details'!$G$8:$G$10000,pb_location_id,'[1]1_group_total_details'!$H$8:$H$10000,"&lt;="&amp;pb_date)+SUMIFS('[1]1_group_total_details'!$K$8:$K$10000,'[1]1_group_total_details'!$C$8:$C$10000,I18,'[1]1_group_total_details'!$F$8:$F$10000,pb_location_group_id,'[1]1_group_total_details'!$G$8:$G$10000,invoice_location_id,'[1]1_group_total_details'!$H$8:$H$10000,"&lt;="&amp;pb_date)+SUMIFS('[1]1_group_total_details'!$M$8:$M$10000,'[1]1_group_total_details'!$C$8:$C$10000,I18,'[1]1_group_total_details'!$F$8:$F$10000,pb_location_group_id,'[1]1_group_total_details'!$G$8:$G$10000,pb_location_id,'[1]1_group_total_details'!$H$8:$H$10000,"&lt;="&amp;pb_date)+SUMIFS('[1]1_group_total_details'!$P$8:$P$10000,'[1]1_group_total_details'!$C$8:$C$10000,I18,'[1]1_group_total_details'!$F$8:$F$10000,pb_location_group_id,'[1]1_group_total_details'!$G$8:$G$10000,pb_location_id,'[1]1_group_total_details'!$H$8:$H$10000,"&lt;="&amp;pb_date))))</f>
        <v/>
      </c>
      <c r="AK18" s="1640" t="str">
        <f>IF(M18="","",SUMIFS('[1]1_group_totals'!$J$8:$J$10000,'[1]1_group_totals'!$C$8:$C$10000,I18,'[1]1_group_totals'!$F$8:$F$10000,pb_location_group_id,'[1]1_group_totals'!$G$8:$G$10000,pb_location_id,'[1]1_group_totals'!$H$8:$H$10000,"="&amp;Q18,'[1]1_group_totals'!$I$8:$I$10000,"="&amp;R18))</f>
        <v/>
      </c>
      <c r="AL18" s="1644" t="str">
        <f t="shared" si="17"/>
        <v/>
      </c>
      <c r="AM18" s="1644" t="str">
        <f>IF(OR(ISNA(MATCH(MID(AL18,1,3)*1,UomConversion!$D$8:$D$500,0)),M18=""),"",IF(AQ18="","",AQ18))</f>
        <v/>
      </c>
      <c r="AN18" s="1644" t="str">
        <f>IF(AND(AO18&gt;0,COUNTIFS(UomConversion!$D$8:$D$500,MID(AL18,1,3)*1,UomConversion!$J$8:$J$500,1)&gt;1),TEXT(AO18,"000")&amp;"."&amp;VLOOKUP(AO18,uom_list,5,FALSE),"")</f>
        <v/>
      </c>
      <c r="AO18" s="1640" t="str">
        <f t="shared" si="18"/>
        <v/>
      </c>
      <c r="AP18" s="1645" t="str">
        <f t="shared" si="19"/>
        <v/>
      </c>
      <c r="AQ18" s="491" t="str">
        <f t="shared" si="20"/>
        <v/>
      </c>
      <c r="AR18" s="1281" t="str" cm="1">
        <f t="array" ref="AR18">IF(M18="","",IF(ISNA(Slookup(MID(AL18,1,3)*1,UomConversion!$D$8:$J$500,2,UomConversion!$I$8:$I$500,1,UomConversion!$J$8:$J$500,1)),"",Slookup(MID(AL18,1,3)*1,UomConversion!$D$8:$J$500,2,UomConversion!$I$8:$I$500,1,UomConversion!$J$8:$J$500,1)))</f>
        <v/>
      </c>
      <c r="AS18" s="663" t="str">
        <f>IF(M18="","",(SUMIFS('[1]1_inventory_totals'!$I$8:$I$10000,'[1]1_inventory_totals'!$C$8:$C$10000,I18,'[1]1_inventory_totals'!$F$8:$F$10000,"="&amp;Q18,'[1]1_inventory_totals'!$G$8:$G$10000,"="&amp;R18)+SUMIFS('[1]1_inventory_totals'!$N$8:$N$10000,'[1]1_inventory_totals'!$C$8:$C$10000,I18,'[1]1_inventory_totals'!$F$8:$F$10000,"="&amp;Q18,'[1]1_inventory_totals'!$G$8:$G$10000,"="&amp;R18)+SUMIFS('[1]1_inventory_totals'!$P$8:$P$10000,'[1]1_inventory_totals'!$C$8:$C$10000,I18,'[1]1_inventory_totals'!$F$8:$F$10000,"="&amp;Q18,'[1]1_inventory_totals'!$G$8:$G$10000,"="&amp;R18)+SUMIFS('[1]1_inventory_totals'!$Q$8:$Q$10000,'[1]1_inventory_totals'!$C$8:$C$10000,I18,'[1]1_inventory_totals'!$F$8:$F$10000,"="&amp;Q18,'[1]1_inventory_totals'!$G$8:$G$10000,"="&amp;R18)+SUMIFS('[1]1_inventory_totals'!$R$8:$R$10000,'[1]1_inventory_totals'!$C$8:$C$10000,I18,'[1]1_inventory_totals'!$F$8:$F$10000,"="&amp;Q18,'[1]1_inventory_totals'!$G$8:$G$10000,"="&amp;R18))+(SUMIFS('[1]1_inventory_totals'!$J$8:$J$10000,'[1]1_inventory_totals'!$C$8:$C$10000,I18,'[1]1_inventory_totals'!$F$8:$F$10000,"="&amp;Q18,'[1]1_inventory_totals'!$G$8:$G$10000,"="&amp;R18)+SUMIFS('[1]1_inventory_totals'!$K$8:$K$10000,'[1]1_inventory_totals'!$C$8:$C$10000,I18,'[1]1_inventory_totals'!$F$8:$F$10000,"="&amp;Q18,'[1]1_inventory_totals'!$G$8:$G$10000,"="&amp;R18)+SUMIFS('[1]1_inventory_totals'!$L$8:$L$10000,'[1]1_inventory_totals'!$C$8:$C$10000,I18,'[1]1_inventory_totals'!$F$8:$F$10000,"="&amp;Q18,'[1]1_inventory_totals'!$G$8:$G$10000,"="&amp;R18)+SUMIFS('[1]1_inventory_totals'!$M$8:$M$10000,'[1]1_inventory_totals'!$C$8:$C$10000,I18,'[1]1_inventory_totals'!$F$8:$F$10000,"="&amp;Q18,'[1]1_inventory_totals'!$G$8:$G$10000,"="&amp;R18)+SUMIFS('[1]1_inventory_totals'!$O$8:$O$10000,'[1]1_inventory_totals'!$C$8:$C$10000,I18,'[1]1_inventory_totals'!$F$8:$F$10000,"="&amp;Q18,'[1]1_inventory_totals'!$G$8:$G$10000,"="&amp;R18)+SUMIFS('[1]1_inventory_totals'!$S$8:$S$10000,'[1]1_inventory_totals'!$C$8:$C$10000,I18,'[1]1_inventory_totals'!$F$8:$F$10000,"="&amp;Q18,'[1]1_inventory_totals'!$G$8:$G$10000,"="&amp;R18)))</f>
        <v/>
      </c>
      <c r="AT18" s="1281" t="str">
        <f>IF(M18="","",(SUMIFS('[1]1_group_totals'!$K$8:$K$10000,'[1]1_group_totals'!$C$8:$C$10000,I18,'[1]1_group_totals'!$F$8:$F$10000,pb_location_group_id,'[1]1_group_totals'!$G$8:$G$10000,pb_location_id,'[1]1_group_totals'!$H$8:$H$10000,"="&amp;Q18,'[1]1_group_totals'!$I$8:$I$10000,"="&amp;R18)+SUMIFS('[1]1_group_totals'!$N$8:$N$10000,'[1]1_group_totals'!$C$8:$C$10000,I18,'[1]1_group_totals'!$F$8:$F$10000,pb_location_group_id,'[1]1_group_totals'!$G$8:$G$10000,pb_location_id,'[1]1_group_totals'!$H$8:$H$10000,"="&amp;Q18,'[1]1_group_totals'!$I$8:$I$10000,"="&amp;R18)+SUMIFS('[1]1_group_totals'!$P$8:$P$10000,'[1]1_group_totals'!$C$8:$C$10000,I18,'[1]1_group_totals'!$F$8:$F$10000,pb_location_group_id,'[1]1_group_totals'!$G$8:$G$10000,pb_location_id,'[1]1_group_totals'!$H$8:$H$10000,"="&amp;Q18,'[1]1_group_totals'!$I$8:$I$10000,"="&amp;R18)+SUMIFS('[1]1_group_totals'!$Q$8:$Q$10000,'[1]1_group_totals'!$C$8:$C$10000,I18,'[1]1_group_totals'!$F$8:$F$10000,pb_location_group_id,'[1]1_group_totals'!$G$8:$G$10000,pb_location_id,'[1]1_group_totals'!$H$8:$H$10000,"="&amp;Q18,'[1]1_group_totals'!$I$8:$I$10000,"="&amp;R18))+(SUMIFS('[1]1_group_totals'!$L$8:$L$10000,'[1]1_group_totals'!$C$8:$C$10000,I18,'[1]1_group_totals'!$F$8:$F$10000,pb_location_group_id,'[1]1_group_totals'!$G$8:$G$10000,pb_location_id,'[1]1_group_totals'!$H$8:$H$10000,"="&amp;Q18,'[1]1_group_totals'!$I$8:$I$10000,"="&amp;R18)+SUMIFS('[1]1_group_totals'!$M$8:$M$10000,'[1]1_group_totals'!$C$8:$C$10000,I18,'[1]1_group_totals'!$F$8:$F$10000,pb_location_group_id,'[1]1_group_totals'!$G$8:$G$10000,pb_location_id,'[1]1_group_totals'!$H$8:$H$10000,"="&amp;Q18,'[1]1_group_totals'!$I$8:$I$10000,"="&amp;R18)+SUMIFS('[1]1_group_totals'!$O$8:$O$10000,'[1]1_group_totals'!$C$8:$C$10000,I18,'[1]1_group_totals'!$F$8:$F$10000,pb_location_group_id,'[1]1_group_totals'!$G$8:$G$10000,pb_location_id,'[1]1_group_totals'!$H$8:$H$10000,"="&amp;Q18,'[1]1_group_totals'!$I$8:$I$10000,"="&amp;R18)+SUMIFS('[1]1_group_totals'!$R$8:$R$10000,'[1]1_group_totals'!$C$8:$C$10000,I18,'[1]1_group_totals'!$F$8:$F$10000,pb_location_group_id,'[1]1_group_totals'!$G$8:$G$10000,pb_location_id,'[1]1_group_totals'!$H$8:$H$10000,"="&amp;Q18,'[1]1_group_totals'!$I$8:$I$10000,"="&amp;R18)))</f>
        <v/>
      </c>
    </row>
    <row r="19" spans="1:46" ht="27" customHeight="1" thickBot="1">
      <c r="A19" s="923"/>
      <c r="B19" s="1028"/>
      <c r="C19" s="947" t="s">
        <v>1788</v>
      </c>
      <c r="D19" s="948"/>
      <c r="E19" s="947" t="s">
        <v>1879</v>
      </c>
      <c r="F19" s="1057"/>
      <c r="G19" s="941"/>
      <c r="I19" s="1610" t="str">
        <f t="shared" si="8"/>
        <v/>
      </c>
      <c r="J19" s="1631" t="str">
        <f t="shared" si="25"/>
        <v/>
      </c>
      <c r="K19" s="1628" t="str">
        <f t="shared" si="0"/>
        <v/>
      </c>
      <c r="L19" s="1632"/>
      <c r="M19" s="1043"/>
      <c r="N19" s="1044"/>
      <c r="O19" s="1044"/>
      <c r="P19" s="1046"/>
      <c r="Q19" s="1047"/>
      <c r="R19" s="1053"/>
      <c r="S19" s="1634" t="str">
        <f t="shared" ref="S19" si="50">IF(M19="","",pb_currency_symbol)</f>
        <v/>
      </c>
      <c r="T19" s="1068"/>
      <c r="U19" s="1636" t="str">
        <f t="shared" si="10"/>
        <v/>
      </c>
      <c r="V19" s="1634" t="str">
        <f t="shared" ref="V19" si="51">IF(W19=0,"",pb_currency_symbol)</f>
        <v/>
      </c>
      <c r="W19" s="1054"/>
      <c r="X19" s="1634" t="str">
        <f t="shared" ref="X19" si="52">IF(M19="","",pb_currency_symbol)</f>
        <v/>
      </c>
      <c r="Y19" s="1638" t="str">
        <f t="shared" si="24"/>
        <v/>
      </c>
      <c r="Z19" s="1062"/>
      <c r="AA19" s="1639" t="str" cm="1">
        <f t="array" ref="AA19">IF(M19="","",IF(P19=AL19,1,Slookup(MID(AL19,1,3)*1,UomConversion!$D$8:$J$500,5,UomConversion!$E$8:$E$500,MID(P19,1,3)*1,UomConversion!$J$8:$J$500,1)))</f>
        <v/>
      </c>
      <c r="AB19" s="1640" t="str">
        <f t="shared" si="13"/>
        <v/>
      </c>
      <c r="AC19" s="1641" t="str">
        <f t="shared" si="14"/>
        <v/>
      </c>
      <c r="AD19" s="1642" t="str">
        <f t="shared" si="15"/>
        <v/>
      </c>
      <c r="AE19" s="1643" t="str">
        <f t="shared" si="16"/>
        <v/>
      </c>
      <c r="AF19" s="1640" t="str">
        <f>IF(I19="","",IF(ISNA(MATCH(I19,IF(pb_location_id=1,'[1]1_inventory_totals'!$C$8:$C$10000,IF(pb_location_id=2,'[1]2_inventory_totals'!$C$8:$C$10000,"")),0)),0,IF(AS19&gt;0,1,0)))</f>
        <v/>
      </c>
      <c r="AG19" s="1640" t="str">
        <f>IF(M19="","",IF(pb_location_id=1,SUMIFS('[1]1_inventory_total_details'!$J$8:$J$10000,'[1]1_inventory_total_details'!$C$8:$C$10000,I19,'[1]1_inventory_total_details'!$F$8:$F$10000,pb_location_id,'[1]1_inventory_total_details'!$G$8:$G$10000,"="&amp;Q19,'[1]1_inventory_total_details'!$H$8:$H$10000,"="&amp;R19,'[1]1_inventory_total_details'!$I$8:$I$10000,"="&amp;pb_date)+SUMIFS('[1]1_inventory_total_details'!$M$8:$M$10000,'[1]1_inventory_total_details'!$C$8:$C$10000,I19,'[1]1_inventory_total_details'!$F$8:$F$10000,pb_location_id,'[1]1_inventory_total_details'!$G$8:$G$10000,"="&amp;Q19,'[1]1_inventory_total_details'!$H$8:$H$10000,"="&amp;R19,'[1]1_inventory_total_details'!$I$8:$I$10000,"="&amp;pb_date)+SUMIFS('[1]1_inventory_total_details'!$K$8:$K$10000,'[1]1_inventory_total_details'!$C$8:$C$10000,I19,'[1]1_inventory_total_details'!$F$8:$F$10000,pb_location_id,'[1]1_inventory_total_details'!$G$8:$G$10000,"="&amp;Q19,'[1]1_inventory_total_details'!$H$8:$H$10000,"="&amp;R19,'[1]1_inventory_total_details'!$I$8:$I$10000,"="&amp;pb_date)+SUMIFS('[1]1_inventory_total_details'!$L$8:$L$10000,'[1]1_inventory_total_details'!$C$8:$C$10000,I19,'[1]1_inventory_total_details'!$F$8:$F$10000,pb_location_id,'[1]1_inventory_total_details'!$G$8:$G$10000,"="&amp;Q19,'[1]1_inventory_total_details'!$H$8:$H$10000,"="&amp;R19,'[1]1_inventory_total_details'!$I$8:$I$10000,"="&amp;pb_date),SUMIFS('[1]2_inventory_total_details'!$J$8:$J$10000,'[1]2_inventory_total_details'!$C$8:$C$10000,I19,'[1]1_inventory_total_details'!$F$8:$F$10000,pb_location_id,'[1]2_inventory_total_details'!$G$8:$G$10000,"="&amp;Q19,'[1]2_inventory_total_details'!$H$8:$H$10000,"="&amp;R19,'[1]2_inventory_total_details'!$I$8:$I$10000,"="&amp;pb_date)+SUMIFS('[1]2_inventory_total_details'!$M$8:$M$10000,'[1]2_inventory_total_details'!$C$8:$C$10000,I19,'[1]2_inventory_total_details'!$F$8:$F$10000,pb_location_id,'[1]2_inventory_total_details'!$G$8:$G$10000,"="&amp;Q19,'[1]2_inventory_total_details'!$H$8:$H$10000,"="&amp;R19,'[1]2_inventory_total_details'!$I$8:$I$10000,"="&amp;pb_date)+SUMIFS('[1]2_inventory_total_details'!$K$8:$K$10000,'[1]2_inventory_total_details'!$C$8:$C$10000,I19,'[1]2_inventory_total_details'!$F$8:$F$10000,pb_location_id,'[1]2_inventory_total_details'!$G$8:$G$10000,"="&amp;Q19,'[1]2_inventory_total_details'!$H$8:$H$10000,"="&amp;R19,'[1]2_inventory_total_details'!$I$8:$I$10000,"="&amp;pb_date)+SUMIFS('[1]2_inventory_total_details'!$L$8:$L$10000,'[1]2_inventory_total_details'!$C$8:$C$10000,I19,'[1]2_inventory_total_details'!$F$8:$F$10000,pb_location_id,'[1]2_inventory_total_details'!$G$8:$G$10000,"="&amp;Q19,'[1]2_inventory_total_details'!$H$8:$H$10000,"="&amp;R19,'[1]2_inventory_total_details'!$I$8:$I$10000,"="&amp;pb_date)))</f>
        <v/>
      </c>
      <c r="AH19" s="1640" t="str">
        <f>IF(M19="","",IF(ISNA(MATCH(I19,'[1]1_group_totals'!$C$8:$C$10000)),0,IF(AT19&gt;0,1,0)))</f>
        <v/>
      </c>
      <c r="AI19" s="1640" t="str">
        <f>IF(M19="","",(SUMIFS('[1]1_group_total_details'!$I$8:$I$10000,'[1]1_group_total_details'!$C$8:$C$10000,I19,'[1]1_group_total_details'!$F$8:$F$10000,pb_location_group_id,'[1]1_group_total_details'!$G$8:$G$10000,pb_location_id,'[1]1_group_total_details'!$H$8:$H$10000,"="&amp;pb_date)+SUMIFS('[1]1_group_total_details'!$L$8:$L$10000,'[1]1_group_total_details'!$C$8:$C$10000,I19,'[1]1_group_total_details'!$F$8:$F$10000,pb_location_group_id,'[1]1_group_total_details'!$G$8:$G$10000,pb_location_id,'[1]1_group_total_details'!$H$8:$H$10000,"="&amp;pb_date)+SUMIFS('[1]1_group_total_details'!$N$8:$N$10000,'[1]1_group_total_details'!$C$8:$C$10000,I19,'[1]1_group_total_details'!$F$8:$F$10000,pb_location_group_id,'[1]1_group_total_details'!$G$8:$G$10000,pb_location_id,'[1]1_group_total_details'!$H$8:$H$10000,"="&amp;pb_date)+SUMIFS('[1]1_group_total_details'!$O$8:$O$10000,'[1]1_group_total_details'!$C$8:$C$10000,I19,'[1]1_group_total_details'!$F$8:$F$10000,pb_location_group_id,'[1]1_group_total_details'!$G$8:$G$10000,pb_location_id,'[1]1_group_total_details'!$H$8:$H$10000,"="&amp;pb_date))+(SUMIFS('[1]1_group_total_details'!$J$8:$J$10000,'[1]1_group_total_details'!$C$8:$C$10000,I19,'[1]1_group_total_details'!$F$8:$F$10000,pb_location_group_id,'[1]1_group_total_details'!$G$8:$G$10000,pb_location_id,'[1]1_group_total_details'!$H$8:$H$10000,"="&amp;pb_date)+SUMIFS('[1]1_group_total_details'!$K$8:$K$10000,'[1]1_group_total_details'!$C$8:$C$10000,I19,'[1]1_group_total_details'!$F$8:$F$10000,pb_location_group_id,'[1]1_group_total_details'!$G$8:$G$10000,pb_location_id,'[1]1_group_total_details'!$H$8:$H$10000,"="&amp;pb_date)+SUMIFS('[1]1_group_total_details'!$M$8:$M$10000,'[1]1_group_total_details'!$C$8:$C$10000,I19,'[1]1_group_total_details'!$F$8:$F$10000,pb_location_group_id,'[1]1_group_total_details'!$G$8:$G$10000,pb_location_id,'[1]1_group_total_details'!$H$8:$H$10000,"="&amp;pb_date)+SUMIFS('[1]1_group_total_details'!$P$8:$P$10000,'[1]1_group_total_details'!$C$8:$C$10000,I19,'[1]1_group_total_details'!$F$8:$F$10000,pb_location_group_id,'[1]1_group_total_details'!$G$8:$G$10000,pb_location_id,'[1]1_group_total_details'!$H$8:$H$10000,"="&amp;pb_date)))</f>
        <v/>
      </c>
      <c r="AJ19" s="1640" t="str">
        <f>IF(M19="","",IF(AK19=0,0,(SUMIFS('[1]1_group_total_details'!$I$8:$I$10000,'[1]1_group_total_details'!$C$8:$C$10000,I19,'[1]1_group_total_details'!$F$8:$F$10000,pb_location_group_id,'[1]1_group_total_details'!$G$8:$G$10000,pb_location_id,'[1]1_group_total_details'!$H$8:$H$10000,"&lt;="&amp;pb_date)+SUMIFS('[1]1_group_total_details'!$L$8:$L$10000,'[1]1_group_total_details'!$C$8:$C$10000,I19,'[1]1_group_total_details'!$F$8:$F$10000,pb_location_group_id,'[1]1_group_total_details'!$G$8:$G$10000,pb_location_id,'[1]1_group_total_details'!$H$8:$H$10000,"&lt;="&amp;pb_date)+SUMIFS('[1]1_group_total_details'!$N$8:$N$10000,'[1]1_group_total_details'!$C$8:$C$10000,I19,'[1]1_group_total_details'!$F$8:$F$10000,pb_location_group_id,'[1]1_group_total_details'!$G$8:$G$10000,pb_location_id,'[1]1_group_total_details'!$H$8:$H$10000,"&lt;="&amp;pb_date)+SUMIFS('[1]1_group_total_details'!$O$8:$O$10000,'[1]1_group_total_details'!$C$8:$C$10000,I19,'[1]1_group_total_details'!$F$8:$F$10000,pb_location_group_id,'[1]1_group_total_details'!$G$8:$G$10000,pb_location_id,'[1]1_group_total_details'!$H$8:$H$10000,"&lt;="&amp;pb_date))-(SUMIFS('[1]1_group_total_details'!$J$8:$J$10000,'[1]1_group_total_details'!$C$8:$C$10000,I19,'[1]1_group_total_details'!$F$8:$F$10000,pb_location_group_id,'[1]1_group_total_details'!$G$8:$G$10000,pb_location_id,'[1]1_group_total_details'!$H$8:$H$10000,"&lt;="&amp;pb_date)+SUMIFS('[1]1_group_total_details'!$K$8:$K$10000,'[1]1_group_total_details'!$C$8:$C$10000,I19,'[1]1_group_total_details'!$F$8:$F$10000,pb_location_group_id,'[1]1_group_total_details'!$G$8:$G$10000,invoice_location_id,'[1]1_group_total_details'!$H$8:$H$10000,"&lt;="&amp;pb_date)+SUMIFS('[1]1_group_total_details'!$M$8:$M$10000,'[1]1_group_total_details'!$C$8:$C$10000,I19,'[1]1_group_total_details'!$F$8:$F$10000,pb_location_group_id,'[1]1_group_total_details'!$G$8:$G$10000,pb_location_id,'[1]1_group_total_details'!$H$8:$H$10000,"&lt;="&amp;pb_date)+SUMIFS('[1]1_group_total_details'!$P$8:$P$10000,'[1]1_group_total_details'!$C$8:$C$10000,I19,'[1]1_group_total_details'!$F$8:$F$10000,pb_location_group_id,'[1]1_group_total_details'!$G$8:$G$10000,pb_location_id,'[1]1_group_total_details'!$H$8:$H$10000,"&lt;="&amp;pb_date))))</f>
        <v/>
      </c>
      <c r="AK19" s="1640" t="str">
        <f>IF(M19="","",SUMIFS('[1]1_group_totals'!$J$8:$J$10000,'[1]1_group_totals'!$C$8:$C$10000,I19,'[1]1_group_totals'!$F$8:$F$10000,pb_location_group_id,'[1]1_group_totals'!$G$8:$G$10000,pb_location_id,'[1]1_group_totals'!$H$8:$H$10000,"="&amp;Q19,'[1]1_group_totals'!$I$8:$I$10000,"="&amp;R19))</f>
        <v/>
      </c>
      <c r="AL19" s="1644" t="str">
        <f t="shared" si="17"/>
        <v/>
      </c>
      <c r="AM19" s="1644" t="str">
        <f>IF(OR(ISNA(MATCH(MID(AL19,1,3)*1,UomConversion!$D$8:$D$500,0)),M19=""),"",IF(AQ19="","",AQ19))</f>
        <v/>
      </c>
      <c r="AN19" s="1644" t="str">
        <f>IF(AND(AO19&gt;0,COUNTIFS(UomConversion!$D$8:$D$500,MID(AL19,1,3)*1,UomConversion!$J$8:$J$500,1)&gt;1),TEXT(AO19,"000")&amp;"."&amp;VLOOKUP(AO19,uom_list,5,FALSE),"")</f>
        <v/>
      </c>
      <c r="AO19" s="1640" t="str">
        <f t="shared" si="18"/>
        <v/>
      </c>
      <c r="AP19" s="1645" t="str">
        <f t="shared" si="19"/>
        <v/>
      </c>
      <c r="AQ19" s="491" t="str">
        <f t="shared" si="20"/>
        <v/>
      </c>
      <c r="AR19" s="1281" t="str" cm="1">
        <f t="array" ref="AR19">IF(M19="","",IF(ISNA(Slookup(MID(AL19,1,3)*1,UomConversion!$D$8:$J$500,2,UomConversion!$I$8:$I$500,1,UomConversion!$J$8:$J$500,1)),"",Slookup(MID(AL19,1,3)*1,UomConversion!$D$8:$J$500,2,UomConversion!$I$8:$I$500,1,UomConversion!$J$8:$J$500,1)))</f>
        <v/>
      </c>
      <c r="AS19" s="663" t="str">
        <f>IF(M19="","",(SUMIFS('[1]1_inventory_totals'!$I$8:$I$10000,'[1]1_inventory_totals'!$C$8:$C$10000,I19,'[1]1_inventory_totals'!$F$8:$F$10000,"="&amp;Q19,'[1]1_inventory_totals'!$G$8:$G$10000,"="&amp;R19)+SUMIFS('[1]1_inventory_totals'!$N$8:$N$10000,'[1]1_inventory_totals'!$C$8:$C$10000,I19,'[1]1_inventory_totals'!$F$8:$F$10000,"="&amp;Q19,'[1]1_inventory_totals'!$G$8:$G$10000,"="&amp;R19)+SUMIFS('[1]1_inventory_totals'!$P$8:$P$10000,'[1]1_inventory_totals'!$C$8:$C$10000,I19,'[1]1_inventory_totals'!$F$8:$F$10000,"="&amp;Q19,'[1]1_inventory_totals'!$G$8:$G$10000,"="&amp;R19)+SUMIFS('[1]1_inventory_totals'!$Q$8:$Q$10000,'[1]1_inventory_totals'!$C$8:$C$10000,I19,'[1]1_inventory_totals'!$F$8:$F$10000,"="&amp;Q19,'[1]1_inventory_totals'!$G$8:$G$10000,"="&amp;R19)+SUMIFS('[1]1_inventory_totals'!$R$8:$R$10000,'[1]1_inventory_totals'!$C$8:$C$10000,I19,'[1]1_inventory_totals'!$F$8:$F$10000,"="&amp;Q19,'[1]1_inventory_totals'!$G$8:$G$10000,"="&amp;R19))+(SUMIFS('[1]1_inventory_totals'!$J$8:$J$10000,'[1]1_inventory_totals'!$C$8:$C$10000,I19,'[1]1_inventory_totals'!$F$8:$F$10000,"="&amp;Q19,'[1]1_inventory_totals'!$G$8:$G$10000,"="&amp;R19)+SUMIFS('[1]1_inventory_totals'!$K$8:$K$10000,'[1]1_inventory_totals'!$C$8:$C$10000,I19,'[1]1_inventory_totals'!$F$8:$F$10000,"="&amp;Q19,'[1]1_inventory_totals'!$G$8:$G$10000,"="&amp;R19)+SUMIFS('[1]1_inventory_totals'!$L$8:$L$10000,'[1]1_inventory_totals'!$C$8:$C$10000,I19,'[1]1_inventory_totals'!$F$8:$F$10000,"="&amp;Q19,'[1]1_inventory_totals'!$G$8:$G$10000,"="&amp;R19)+SUMIFS('[1]1_inventory_totals'!$M$8:$M$10000,'[1]1_inventory_totals'!$C$8:$C$10000,I19,'[1]1_inventory_totals'!$F$8:$F$10000,"="&amp;Q19,'[1]1_inventory_totals'!$G$8:$G$10000,"="&amp;R19)+SUMIFS('[1]1_inventory_totals'!$O$8:$O$10000,'[1]1_inventory_totals'!$C$8:$C$10000,I19,'[1]1_inventory_totals'!$F$8:$F$10000,"="&amp;Q19,'[1]1_inventory_totals'!$G$8:$G$10000,"="&amp;R19)+SUMIFS('[1]1_inventory_totals'!$S$8:$S$10000,'[1]1_inventory_totals'!$C$8:$C$10000,I19,'[1]1_inventory_totals'!$F$8:$F$10000,"="&amp;Q19,'[1]1_inventory_totals'!$G$8:$G$10000,"="&amp;R19)))</f>
        <v/>
      </c>
      <c r="AT19" s="1281" t="str">
        <f>IF(M19="","",(SUMIFS('[1]1_group_totals'!$K$8:$K$10000,'[1]1_group_totals'!$C$8:$C$10000,I19,'[1]1_group_totals'!$F$8:$F$10000,pb_location_group_id,'[1]1_group_totals'!$G$8:$G$10000,pb_location_id,'[1]1_group_totals'!$H$8:$H$10000,"="&amp;Q19,'[1]1_group_totals'!$I$8:$I$10000,"="&amp;R19)+SUMIFS('[1]1_group_totals'!$N$8:$N$10000,'[1]1_group_totals'!$C$8:$C$10000,I19,'[1]1_group_totals'!$F$8:$F$10000,pb_location_group_id,'[1]1_group_totals'!$G$8:$G$10000,pb_location_id,'[1]1_group_totals'!$H$8:$H$10000,"="&amp;Q19,'[1]1_group_totals'!$I$8:$I$10000,"="&amp;R19)+SUMIFS('[1]1_group_totals'!$P$8:$P$10000,'[1]1_group_totals'!$C$8:$C$10000,I19,'[1]1_group_totals'!$F$8:$F$10000,pb_location_group_id,'[1]1_group_totals'!$G$8:$G$10000,pb_location_id,'[1]1_group_totals'!$H$8:$H$10000,"="&amp;Q19,'[1]1_group_totals'!$I$8:$I$10000,"="&amp;R19)+SUMIFS('[1]1_group_totals'!$Q$8:$Q$10000,'[1]1_group_totals'!$C$8:$C$10000,I19,'[1]1_group_totals'!$F$8:$F$10000,pb_location_group_id,'[1]1_group_totals'!$G$8:$G$10000,pb_location_id,'[1]1_group_totals'!$H$8:$H$10000,"="&amp;Q19,'[1]1_group_totals'!$I$8:$I$10000,"="&amp;R19))+(SUMIFS('[1]1_group_totals'!$L$8:$L$10000,'[1]1_group_totals'!$C$8:$C$10000,I19,'[1]1_group_totals'!$F$8:$F$10000,pb_location_group_id,'[1]1_group_totals'!$G$8:$G$10000,pb_location_id,'[1]1_group_totals'!$H$8:$H$10000,"="&amp;Q19,'[1]1_group_totals'!$I$8:$I$10000,"="&amp;R19)+SUMIFS('[1]1_group_totals'!$M$8:$M$10000,'[1]1_group_totals'!$C$8:$C$10000,I19,'[1]1_group_totals'!$F$8:$F$10000,pb_location_group_id,'[1]1_group_totals'!$G$8:$G$10000,pb_location_id,'[1]1_group_totals'!$H$8:$H$10000,"="&amp;Q19,'[1]1_group_totals'!$I$8:$I$10000,"="&amp;R19)+SUMIFS('[1]1_group_totals'!$O$8:$O$10000,'[1]1_group_totals'!$C$8:$C$10000,I19,'[1]1_group_totals'!$F$8:$F$10000,pb_location_group_id,'[1]1_group_totals'!$G$8:$G$10000,pb_location_id,'[1]1_group_totals'!$H$8:$H$10000,"="&amp;Q19,'[1]1_group_totals'!$I$8:$I$10000,"="&amp;R19)+SUMIFS('[1]1_group_totals'!$R$8:$R$10000,'[1]1_group_totals'!$C$8:$C$10000,I19,'[1]1_group_totals'!$F$8:$F$10000,pb_location_group_id,'[1]1_group_totals'!$G$8:$G$10000,pb_location_id,'[1]1_group_totals'!$H$8:$H$10000,"="&amp;Q19,'[1]1_group_totals'!$I$8:$I$10000,"="&amp;R19)))</f>
        <v/>
      </c>
    </row>
    <row r="20" spans="1:46" ht="27" customHeight="1" thickBot="1">
      <c r="A20" s="923"/>
      <c r="B20" s="1011"/>
      <c r="C20" s="1065" t="s">
        <v>1897</v>
      </c>
      <c r="D20" s="948">
        <f>VLOOKUP(MID(C20,1,3)*1,chart_account_default_list,5,FALSE)</f>
        <v>6</v>
      </c>
      <c r="E20" s="1065" t="s">
        <v>4564</v>
      </c>
      <c r="F20" s="1620">
        <f>MID(E20,1,2)*1</f>
        <v>5</v>
      </c>
      <c r="I20" s="1610" t="str">
        <f t="shared" si="8"/>
        <v/>
      </c>
      <c r="J20" s="1631" t="str">
        <f t="shared" si="25"/>
        <v/>
      </c>
      <c r="K20" s="1628" t="str">
        <f t="shared" si="0"/>
        <v/>
      </c>
      <c r="L20" s="1632"/>
      <c r="M20" s="1043"/>
      <c r="N20" s="1044"/>
      <c r="O20" s="1044"/>
      <c r="P20" s="1046"/>
      <c r="Q20" s="1047"/>
      <c r="R20" s="1053"/>
      <c r="S20" s="1634" t="str">
        <f t="shared" ref="S20" si="53">IF(M20="","",pb_currency_symbol)</f>
        <v/>
      </c>
      <c r="T20" s="1068"/>
      <c r="U20" s="1636" t="str">
        <f t="shared" si="10"/>
        <v/>
      </c>
      <c r="V20" s="1634" t="str">
        <f t="shared" ref="V20" si="54">IF(W20=0,"",pb_currency_symbol)</f>
        <v/>
      </c>
      <c r="W20" s="1054"/>
      <c r="X20" s="1634" t="str">
        <f t="shared" ref="X20" si="55">IF(M20="","",pb_currency_symbol)</f>
        <v/>
      </c>
      <c r="Y20" s="1638" t="str">
        <f t="shared" si="24"/>
        <v/>
      </c>
      <c r="Z20" s="1062"/>
      <c r="AA20" s="1639" t="str" cm="1">
        <f t="array" ref="AA20">IF(M20="","",IF(P20=AL20,1,Slookup(MID(AL20,1,3)*1,UomConversion!$D$8:$J$500,5,UomConversion!$E$8:$E$500,MID(P20,1,3)*1,UomConversion!$J$8:$J$500,1)))</f>
        <v/>
      </c>
      <c r="AB20" s="1640" t="str">
        <f t="shared" si="13"/>
        <v/>
      </c>
      <c r="AC20" s="1641" t="str">
        <f t="shared" si="14"/>
        <v/>
      </c>
      <c r="AD20" s="1642" t="str">
        <f t="shared" si="15"/>
        <v/>
      </c>
      <c r="AE20" s="1643" t="str">
        <f t="shared" si="16"/>
        <v/>
      </c>
      <c r="AF20" s="1640" t="str">
        <f>IF(I20="","",IF(ISNA(MATCH(I20,IF(pb_location_id=1,'[1]1_inventory_totals'!$C$8:$C$10000,IF(pb_location_id=2,'[1]2_inventory_totals'!$C$8:$C$10000,"")),0)),0,IF(AS20&gt;0,1,0)))</f>
        <v/>
      </c>
      <c r="AG20" s="1640" t="str">
        <f>IF(M20="","",IF(pb_location_id=1,SUMIFS('[1]1_inventory_total_details'!$J$8:$J$10000,'[1]1_inventory_total_details'!$C$8:$C$10000,I20,'[1]1_inventory_total_details'!$F$8:$F$10000,pb_location_id,'[1]1_inventory_total_details'!$G$8:$G$10000,"="&amp;Q20,'[1]1_inventory_total_details'!$H$8:$H$10000,"="&amp;R20,'[1]1_inventory_total_details'!$I$8:$I$10000,"="&amp;pb_date)+SUMIFS('[1]1_inventory_total_details'!$M$8:$M$10000,'[1]1_inventory_total_details'!$C$8:$C$10000,I20,'[1]1_inventory_total_details'!$F$8:$F$10000,pb_location_id,'[1]1_inventory_total_details'!$G$8:$G$10000,"="&amp;Q20,'[1]1_inventory_total_details'!$H$8:$H$10000,"="&amp;R20,'[1]1_inventory_total_details'!$I$8:$I$10000,"="&amp;pb_date)+SUMIFS('[1]1_inventory_total_details'!$K$8:$K$10000,'[1]1_inventory_total_details'!$C$8:$C$10000,I20,'[1]1_inventory_total_details'!$F$8:$F$10000,pb_location_id,'[1]1_inventory_total_details'!$G$8:$G$10000,"="&amp;Q20,'[1]1_inventory_total_details'!$H$8:$H$10000,"="&amp;R20,'[1]1_inventory_total_details'!$I$8:$I$10000,"="&amp;pb_date)+SUMIFS('[1]1_inventory_total_details'!$L$8:$L$10000,'[1]1_inventory_total_details'!$C$8:$C$10000,I20,'[1]1_inventory_total_details'!$F$8:$F$10000,pb_location_id,'[1]1_inventory_total_details'!$G$8:$G$10000,"="&amp;Q20,'[1]1_inventory_total_details'!$H$8:$H$10000,"="&amp;R20,'[1]1_inventory_total_details'!$I$8:$I$10000,"="&amp;pb_date),SUMIFS('[1]2_inventory_total_details'!$J$8:$J$10000,'[1]2_inventory_total_details'!$C$8:$C$10000,I20,'[1]1_inventory_total_details'!$F$8:$F$10000,pb_location_id,'[1]2_inventory_total_details'!$G$8:$G$10000,"="&amp;Q20,'[1]2_inventory_total_details'!$H$8:$H$10000,"="&amp;R20,'[1]2_inventory_total_details'!$I$8:$I$10000,"="&amp;pb_date)+SUMIFS('[1]2_inventory_total_details'!$M$8:$M$10000,'[1]2_inventory_total_details'!$C$8:$C$10000,I20,'[1]2_inventory_total_details'!$F$8:$F$10000,pb_location_id,'[1]2_inventory_total_details'!$G$8:$G$10000,"="&amp;Q20,'[1]2_inventory_total_details'!$H$8:$H$10000,"="&amp;R20,'[1]2_inventory_total_details'!$I$8:$I$10000,"="&amp;pb_date)+SUMIFS('[1]2_inventory_total_details'!$K$8:$K$10000,'[1]2_inventory_total_details'!$C$8:$C$10000,I20,'[1]2_inventory_total_details'!$F$8:$F$10000,pb_location_id,'[1]2_inventory_total_details'!$G$8:$G$10000,"="&amp;Q20,'[1]2_inventory_total_details'!$H$8:$H$10000,"="&amp;R20,'[1]2_inventory_total_details'!$I$8:$I$10000,"="&amp;pb_date)+SUMIFS('[1]2_inventory_total_details'!$L$8:$L$10000,'[1]2_inventory_total_details'!$C$8:$C$10000,I20,'[1]2_inventory_total_details'!$F$8:$F$10000,pb_location_id,'[1]2_inventory_total_details'!$G$8:$G$10000,"="&amp;Q20,'[1]2_inventory_total_details'!$H$8:$H$10000,"="&amp;R20,'[1]2_inventory_total_details'!$I$8:$I$10000,"="&amp;pb_date)))</f>
        <v/>
      </c>
      <c r="AH20" s="1640" t="str">
        <f>IF(M20="","",IF(ISNA(MATCH(I20,'[1]1_group_totals'!$C$8:$C$10000)),0,IF(AT20&gt;0,1,0)))</f>
        <v/>
      </c>
      <c r="AI20" s="1640" t="str">
        <f>IF(M20="","",(SUMIFS('[1]1_group_total_details'!$I$8:$I$10000,'[1]1_group_total_details'!$C$8:$C$10000,I20,'[1]1_group_total_details'!$F$8:$F$10000,pb_location_group_id,'[1]1_group_total_details'!$G$8:$G$10000,pb_location_id,'[1]1_group_total_details'!$H$8:$H$10000,"="&amp;pb_date)+SUMIFS('[1]1_group_total_details'!$L$8:$L$10000,'[1]1_group_total_details'!$C$8:$C$10000,I20,'[1]1_group_total_details'!$F$8:$F$10000,pb_location_group_id,'[1]1_group_total_details'!$G$8:$G$10000,pb_location_id,'[1]1_group_total_details'!$H$8:$H$10000,"="&amp;pb_date)+SUMIFS('[1]1_group_total_details'!$N$8:$N$10000,'[1]1_group_total_details'!$C$8:$C$10000,I20,'[1]1_group_total_details'!$F$8:$F$10000,pb_location_group_id,'[1]1_group_total_details'!$G$8:$G$10000,pb_location_id,'[1]1_group_total_details'!$H$8:$H$10000,"="&amp;pb_date)+SUMIFS('[1]1_group_total_details'!$O$8:$O$10000,'[1]1_group_total_details'!$C$8:$C$10000,I20,'[1]1_group_total_details'!$F$8:$F$10000,pb_location_group_id,'[1]1_group_total_details'!$G$8:$G$10000,pb_location_id,'[1]1_group_total_details'!$H$8:$H$10000,"="&amp;pb_date))+(SUMIFS('[1]1_group_total_details'!$J$8:$J$10000,'[1]1_group_total_details'!$C$8:$C$10000,I20,'[1]1_group_total_details'!$F$8:$F$10000,pb_location_group_id,'[1]1_group_total_details'!$G$8:$G$10000,pb_location_id,'[1]1_group_total_details'!$H$8:$H$10000,"="&amp;pb_date)+SUMIFS('[1]1_group_total_details'!$K$8:$K$10000,'[1]1_group_total_details'!$C$8:$C$10000,I20,'[1]1_group_total_details'!$F$8:$F$10000,pb_location_group_id,'[1]1_group_total_details'!$G$8:$G$10000,pb_location_id,'[1]1_group_total_details'!$H$8:$H$10000,"="&amp;pb_date)+SUMIFS('[1]1_group_total_details'!$M$8:$M$10000,'[1]1_group_total_details'!$C$8:$C$10000,I20,'[1]1_group_total_details'!$F$8:$F$10000,pb_location_group_id,'[1]1_group_total_details'!$G$8:$G$10000,pb_location_id,'[1]1_group_total_details'!$H$8:$H$10000,"="&amp;pb_date)+SUMIFS('[1]1_group_total_details'!$P$8:$P$10000,'[1]1_group_total_details'!$C$8:$C$10000,I20,'[1]1_group_total_details'!$F$8:$F$10000,pb_location_group_id,'[1]1_group_total_details'!$G$8:$G$10000,pb_location_id,'[1]1_group_total_details'!$H$8:$H$10000,"="&amp;pb_date)))</f>
        <v/>
      </c>
      <c r="AJ20" s="1640" t="str">
        <f>IF(M20="","",IF(AK20=0,0,(SUMIFS('[1]1_group_total_details'!$I$8:$I$10000,'[1]1_group_total_details'!$C$8:$C$10000,I20,'[1]1_group_total_details'!$F$8:$F$10000,pb_location_group_id,'[1]1_group_total_details'!$G$8:$G$10000,pb_location_id,'[1]1_group_total_details'!$H$8:$H$10000,"&lt;="&amp;pb_date)+SUMIFS('[1]1_group_total_details'!$L$8:$L$10000,'[1]1_group_total_details'!$C$8:$C$10000,I20,'[1]1_group_total_details'!$F$8:$F$10000,pb_location_group_id,'[1]1_group_total_details'!$G$8:$G$10000,pb_location_id,'[1]1_group_total_details'!$H$8:$H$10000,"&lt;="&amp;pb_date)+SUMIFS('[1]1_group_total_details'!$N$8:$N$10000,'[1]1_group_total_details'!$C$8:$C$10000,I20,'[1]1_group_total_details'!$F$8:$F$10000,pb_location_group_id,'[1]1_group_total_details'!$G$8:$G$10000,pb_location_id,'[1]1_group_total_details'!$H$8:$H$10000,"&lt;="&amp;pb_date)+SUMIFS('[1]1_group_total_details'!$O$8:$O$10000,'[1]1_group_total_details'!$C$8:$C$10000,I20,'[1]1_group_total_details'!$F$8:$F$10000,pb_location_group_id,'[1]1_group_total_details'!$G$8:$G$10000,pb_location_id,'[1]1_group_total_details'!$H$8:$H$10000,"&lt;="&amp;pb_date))-(SUMIFS('[1]1_group_total_details'!$J$8:$J$10000,'[1]1_group_total_details'!$C$8:$C$10000,I20,'[1]1_group_total_details'!$F$8:$F$10000,pb_location_group_id,'[1]1_group_total_details'!$G$8:$G$10000,pb_location_id,'[1]1_group_total_details'!$H$8:$H$10000,"&lt;="&amp;pb_date)+SUMIFS('[1]1_group_total_details'!$K$8:$K$10000,'[1]1_group_total_details'!$C$8:$C$10000,I20,'[1]1_group_total_details'!$F$8:$F$10000,pb_location_group_id,'[1]1_group_total_details'!$G$8:$G$10000,invoice_location_id,'[1]1_group_total_details'!$H$8:$H$10000,"&lt;="&amp;pb_date)+SUMIFS('[1]1_group_total_details'!$M$8:$M$10000,'[1]1_group_total_details'!$C$8:$C$10000,I20,'[1]1_group_total_details'!$F$8:$F$10000,pb_location_group_id,'[1]1_group_total_details'!$G$8:$G$10000,pb_location_id,'[1]1_group_total_details'!$H$8:$H$10000,"&lt;="&amp;pb_date)+SUMIFS('[1]1_group_total_details'!$P$8:$P$10000,'[1]1_group_total_details'!$C$8:$C$10000,I20,'[1]1_group_total_details'!$F$8:$F$10000,pb_location_group_id,'[1]1_group_total_details'!$G$8:$G$10000,pb_location_id,'[1]1_group_total_details'!$H$8:$H$10000,"&lt;="&amp;pb_date))))</f>
        <v/>
      </c>
      <c r="AK20" s="1640" t="str">
        <f>IF(M20="","",SUMIFS('[1]1_group_totals'!$J$8:$J$10000,'[1]1_group_totals'!$C$8:$C$10000,I20,'[1]1_group_totals'!$F$8:$F$10000,pb_location_group_id,'[1]1_group_totals'!$G$8:$G$10000,pb_location_id,'[1]1_group_totals'!$H$8:$H$10000,"="&amp;Q20,'[1]1_group_totals'!$I$8:$I$10000,"="&amp;R20))</f>
        <v/>
      </c>
      <c r="AL20" s="1644" t="str">
        <f t="shared" si="17"/>
        <v/>
      </c>
      <c r="AM20" s="1644" t="str">
        <f>IF(OR(ISNA(MATCH(MID(AL20,1,3)*1,UomConversion!$D$8:$D$500,0)),M20=""),"",IF(AQ20="","",AQ20))</f>
        <v/>
      </c>
      <c r="AN20" s="1644" t="str">
        <f>IF(AND(AO20&gt;0,COUNTIFS(UomConversion!$D$8:$D$500,MID(AL20,1,3)*1,UomConversion!$J$8:$J$500,1)&gt;1),TEXT(AO20,"000")&amp;"."&amp;VLOOKUP(AO20,uom_list,5,FALSE),"")</f>
        <v/>
      </c>
      <c r="AO20" s="1640" t="str">
        <f t="shared" si="18"/>
        <v/>
      </c>
      <c r="AP20" s="1645" t="str">
        <f t="shared" si="19"/>
        <v/>
      </c>
      <c r="AQ20" s="491" t="str">
        <f t="shared" si="20"/>
        <v/>
      </c>
      <c r="AR20" s="1281" t="str" cm="1">
        <f t="array" ref="AR20">IF(M20="","",IF(ISNA(Slookup(MID(AL20,1,3)*1,UomConversion!$D$8:$J$500,2,UomConversion!$I$8:$I$500,1,UomConversion!$J$8:$J$500,1)),"",Slookup(MID(AL20,1,3)*1,UomConversion!$D$8:$J$500,2,UomConversion!$I$8:$I$500,1,UomConversion!$J$8:$J$500,1)))</f>
        <v/>
      </c>
      <c r="AS20" s="663" t="str">
        <f>IF(M20="","",(SUMIFS('[1]1_inventory_totals'!$I$8:$I$10000,'[1]1_inventory_totals'!$C$8:$C$10000,I20,'[1]1_inventory_totals'!$F$8:$F$10000,"="&amp;Q20,'[1]1_inventory_totals'!$G$8:$G$10000,"="&amp;R20)+SUMIFS('[1]1_inventory_totals'!$N$8:$N$10000,'[1]1_inventory_totals'!$C$8:$C$10000,I20,'[1]1_inventory_totals'!$F$8:$F$10000,"="&amp;Q20,'[1]1_inventory_totals'!$G$8:$G$10000,"="&amp;R20)+SUMIFS('[1]1_inventory_totals'!$P$8:$P$10000,'[1]1_inventory_totals'!$C$8:$C$10000,I20,'[1]1_inventory_totals'!$F$8:$F$10000,"="&amp;Q20,'[1]1_inventory_totals'!$G$8:$G$10000,"="&amp;R20)+SUMIFS('[1]1_inventory_totals'!$Q$8:$Q$10000,'[1]1_inventory_totals'!$C$8:$C$10000,I20,'[1]1_inventory_totals'!$F$8:$F$10000,"="&amp;Q20,'[1]1_inventory_totals'!$G$8:$G$10000,"="&amp;R20)+SUMIFS('[1]1_inventory_totals'!$R$8:$R$10000,'[1]1_inventory_totals'!$C$8:$C$10000,I20,'[1]1_inventory_totals'!$F$8:$F$10000,"="&amp;Q20,'[1]1_inventory_totals'!$G$8:$G$10000,"="&amp;R20))+(SUMIFS('[1]1_inventory_totals'!$J$8:$J$10000,'[1]1_inventory_totals'!$C$8:$C$10000,I20,'[1]1_inventory_totals'!$F$8:$F$10000,"="&amp;Q20,'[1]1_inventory_totals'!$G$8:$G$10000,"="&amp;R20)+SUMIFS('[1]1_inventory_totals'!$K$8:$K$10000,'[1]1_inventory_totals'!$C$8:$C$10000,I20,'[1]1_inventory_totals'!$F$8:$F$10000,"="&amp;Q20,'[1]1_inventory_totals'!$G$8:$G$10000,"="&amp;R20)+SUMIFS('[1]1_inventory_totals'!$L$8:$L$10000,'[1]1_inventory_totals'!$C$8:$C$10000,I20,'[1]1_inventory_totals'!$F$8:$F$10000,"="&amp;Q20,'[1]1_inventory_totals'!$G$8:$G$10000,"="&amp;R20)+SUMIFS('[1]1_inventory_totals'!$M$8:$M$10000,'[1]1_inventory_totals'!$C$8:$C$10000,I20,'[1]1_inventory_totals'!$F$8:$F$10000,"="&amp;Q20,'[1]1_inventory_totals'!$G$8:$G$10000,"="&amp;R20)+SUMIFS('[1]1_inventory_totals'!$O$8:$O$10000,'[1]1_inventory_totals'!$C$8:$C$10000,I20,'[1]1_inventory_totals'!$F$8:$F$10000,"="&amp;Q20,'[1]1_inventory_totals'!$G$8:$G$10000,"="&amp;R20)+SUMIFS('[1]1_inventory_totals'!$S$8:$S$10000,'[1]1_inventory_totals'!$C$8:$C$10000,I20,'[1]1_inventory_totals'!$F$8:$F$10000,"="&amp;Q20,'[1]1_inventory_totals'!$G$8:$G$10000,"="&amp;R20)))</f>
        <v/>
      </c>
      <c r="AT20" s="1281" t="str">
        <f>IF(M20="","",(SUMIFS('[1]1_group_totals'!$K$8:$K$10000,'[1]1_group_totals'!$C$8:$C$10000,I20,'[1]1_group_totals'!$F$8:$F$10000,pb_location_group_id,'[1]1_group_totals'!$G$8:$G$10000,pb_location_id,'[1]1_group_totals'!$H$8:$H$10000,"="&amp;Q20,'[1]1_group_totals'!$I$8:$I$10000,"="&amp;R20)+SUMIFS('[1]1_group_totals'!$N$8:$N$10000,'[1]1_group_totals'!$C$8:$C$10000,I20,'[1]1_group_totals'!$F$8:$F$10000,pb_location_group_id,'[1]1_group_totals'!$G$8:$G$10000,pb_location_id,'[1]1_group_totals'!$H$8:$H$10000,"="&amp;Q20,'[1]1_group_totals'!$I$8:$I$10000,"="&amp;R20)+SUMIFS('[1]1_group_totals'!$P$8:$P$10000,'[1]1_group_totals'!$C$8:$C$10000,I20,'[1]1_group_totals'!$F$8:$F$10000,pb_location_group_id,'[1]1_group_totals'!$G$8:$G$10000,pb_location_id,'[1]1_group_totals'!$H$8:$H$10000,"="&amp;Q20,'[1]1_group_totals'!$I$8:$I$10000,"="&amp;R20)+SUMIFS('[1]1_group_totals'!$Q$8:$Q$10000,'[1]1_group_totals'!$C$8:$C$10000,I20,'[1]1_group_totals'!$F$8:$F$10000,pb_location_group_id,'[1]1_group_totals'!$G$8:$G$10000,pb_location_id,'[1]1_group_totals'!$H$8:$H$10000,"="&amp;Q20,'[1]1_group_totals'!$I$8:$I$10000,"="&amp;R20))+(SUMIFS('[1]1_group_totals'!$L$8:$L$10000,'[1]1_group_totals'!$C$8:$C$10000,I20,'[1]1_group_totals'!$F$8:$F$10000,pb_location_group_id,'[1]1_group_totals'!$G$8:$G$10000,pb_location_id,'[1]1_group_totals'!$H$8:$H$10000,"="&amp;Q20,'[1]1_group_totals'!$I$8:$I$10000,"="&amp;R20)+SUMIFS('[1]1_group_totals'!$M$8:$M$10000,'[1]1_group_totals'!$C$8:$C$10000,I20,'[1]1_group_totals'!$F$8:$F$10000,pb_location_group_id,'[1]1_group_totals'!$G$8:$G$10000,pb_location_id,'[1]1_group_totals'!$H$8:$H$10000,"="&amp;Q20,'[1]1_group_totals'!$I$8:$I$10000,"="&amp;R20)+SUMIFS('[1]1_group_totals'!$O$8:$O$10000,'[1]1_group_totals'!$C$8:$C$10000,I20,'[1]1_group_totals'!$F$8:$F$10000,pb_location_group_id,'[1]1_group_totals'!$G$8:$G$10000,pb_location_id,'[1]1_group_totals'!$H$8:$H$10000,"="&amp;Q20,'[1]1_group_totals'!$I$8:$I$10000,"="&amp;R20)+SUMIFS('[1]1_group_totals'!$R$8:$R$10000,'[1]1_group_totals'!$C$8:$C$10000,I20,'[1]1_group_totals'!$F$8:$F$10000,pb_location_group_id,'[1]1_group_totals'!$G$8:$G$10000,pb_location_id,'[1]1_group_totals'!$H$8:$H$10000,"="&amp;Q20,'[1]1_group_totals'!$I$8:$I$10000,"="&amp;R20)))</f>
        <v/>
      </c>
    </row>
    <row r="21" spans="1:46" ht="27" customHeight="1" thickBot="1">
      <c r="A21" s="923"/>
      <c r="B21" s="1011"/>
      <c r="C21" s="947" t="s">
        <v>233</v>
      </c>
      <c r="D21" s="949"/>
      <c r="E21" s="950"/>
      <c r="F21" s="1623">
        <f>VLOOKUP(pb_payment_term_id,payment_term_list,3,FALSE)</f>
        <v>30</v>
      </c>
      <c r="I21" s="1610" t="str">
        <f t="shared" si="8"/>
        <v/>
      </c>
      <c r="J21" s="1631" t="str">
        <f t="shared" si="25"/>
        <v/>
      </c>
      <c r="K21" s="1628" t="str">
        <f t="shared" si="0"/>
        <v/>
      </c>
      <c r="L21" s="1632"/>
      <c r="M21" s="1043"/>
      <c r="N21" s="1044"/>
      <c r="O21" s="1044"/>
      <c r="P21" s="1046"/>
      <c r="Q21" s="1047"/>
      <c r="R21" s="1053"/>
      <c r="S21" s="1634" t="str">
        <f t="shared" ref="S21" si="56">IF(M21="","",pb_currency_symbol)</f>
        <v/>
      </c>
      <c r="T21" s="1068"/>
      <c r="U21" s="1636" t="str">
        <f t="shared" si="10"/>
        <v/>
      </c>
      <c r="V21" s="1634" t="str">
        <f t="shared" ref="V21" si="57">IF(W21=0,"",pb_currency_symbol)</f>
        <v/>
      </c>
      <c r="W21" s="1054"/>
      <c r="X21" s="1634" t="str">
        <f t="shared" ref="X21" si="58">IF(M21="","",pb_currency_symbol)</f>
        <v/>
      </c>
      <c r="Y21" s="1638" t="str">
        <f t="shared" si="24"/>
        <v/>
      </c>
      <c r="Z21" s="1062"/>
      <c r="AA21" s="1639" t="str" cm="1">
        <f t="array" ref="AA21">IF(M21="","",IF(P21=AL21,1,Slookup(MID(AL21,1,3)*1,UomConversion!$D$8:$J$500,5,UomConversion!$E$8:$E$500,MID(P21,1,3)*1,UomConversion!$J$8:$J$500,1)))</f>
        <v/>
      </c>
      <c r="AB21" s="1640" t="str">
        <f t="shared" si="13"/>
        <v/>
      </c>
      <c r="AC21" s="1641" t="str">
        <f t="shared" si="14"/>
        <v/>
      </c>
      <c r="AD21" s="1642" t="str">
        <f t="shared" si="15"/>
        <v/>
      </c>
      <c r="AE21" s="1643" t="str">
        <f t="shared" si="16"/>
        <v/>
      </c>
      <c r="AF21" s="1640" t="str">
        <f>IF(I21="","",IF(ISNA(MATCH(I21,IF(pb_location_id=1,'[1]1_inventory_totals'!$C$8:$C$10000,IF(pb_location_id=2,'[1]2_inventory_totals'!$C$8:$C$10000,"")),0)),0,IF(AS21&gt;0,1,0)))</f>
        <v/>
      </c>
      <c r="AG21" s="1640" t="str">
        <f>IF(M21="","",IF(pb_location_id=1,SUMIFS('[1]1_inventory_total_details'!$J$8:$J$10000,'[1]1_inventory_total_details'!$C$8:$C$10000,I21,'[1]1_inventory_total_details'!$F$8:$F$10000,pb_location_id,'[1]1_inventory_total_details'!$G$8:$G$10000,"="&amp;Q21,'[1]1_inventory_total_details'!$H$8:$H$10000,"="&amp;R21,'[1]1_inventory_total_details'!$I$8:$I$10000,"="&amp;pb_date)+SUMIFS('[1]1_inventory_total_details'!$M$8:$M$10000,'[1]1_inventory_total_details'!$C$8:$C$10000,I21,'[1]1_inventory_total_details'!$F$8:$F$10000,pb_location_id,'[1]1_inventory_total_details'!$G$8:$G$10000,"="&amp;Q21,'[1]1_inventory_total_details'!$H$8:$H$10000,"="&amp;R21,'[1]1_inventory_total_details'!$I$8:$I$10000,"="&amp;pb_date)+SUMIFS('[1]1_inventory_total_details'!$K$8:$K$10000,'[1]1_inventory_total_details'!$C$8:$C$10000,I21,'[1]1_inventory_total_details'!$F$8:$F$10000,pb_location_id,'[1]1_inventory_total_details'!$G$8:$G$10000,"="&amp;Q21,'[1]1_inventory_total_details'!$H$8:$H$10000,"="&amp;R21,'[1]1_inventory_total_details'!$I$8:$I$10000,"="&amp;pb_date)+SUMIFS('[1]1_inventory_total_details'!$L$8:$L$10000,'[1]1_inventory_total_details'!$C$8:$C$10000,I21,'[1]1_inventory_total_details'!$F$8:$F$10000,pb_location_id,'[1]1_inventory_total_details'!$G$8:$G$10000,"="&amp;Q21,'[1]1_inventory_total_details'!$H$8:$H$10000,"="&amp;R21,'[1]1_inventory_total_details'!$I$8:$I$10000,"="&amp;pb_date),SUMIFS('[1]2_inventory_total_details'!$J$8:$J$10000,'[1]2_inventory_total_details'!$C$8:$C$10000,I21,'[1]1_inventory_total_details'!$F$8:$F$10000,pb_location_id,'[1]2_inventory_total_details'!$G$8:$G$10000,"="&amp;Q21,'[1]2_inventory_total_details'!$H$8:$H$10000,"="&amp;R21,'[1]2_inventory_total_details'!$I$8:$I$10000,"="&amp;pb_date)+SUMIFS('[1]2_inventory_total_details'!$M$8:$M$10000,'[1]2_inventory_total_details'!$C$8:$C$10000,I21,'[1]2_inventory_total_details'!$F$8:$F$10000,pb_location_id,'[1]2_inventory_total_details'!$G$8:$G$10000,"="&amp;Q21,'[1]2_inventory_total_details'!$H$8:$H$10000,"="&amp;R21,'[1]2_inventory_total_details'!$I$8:$I$10000,"="&amp;pb_date)+SUMIFS('[1]2_inventory_total_details'!$K$8:$K$10000,'[1]2_inventory_total_details'!$C$8:$C$10000,I21,'[1]2_inventory_total_details'!$F$8:$F$10000,pb_location_id,'[1]2_inventory_total_details'!$G$8:$G$10000,"="&amp;Q21,'[1]2_inventory_total_details'!$H$8:$H$10000,"="&amp;R21,'[1]2_inventory_total_details'!$I$8:$I$10000,"="&amp;pb_date)+SUMIFS('[1]2_inventory_total_details'!$L$8:$L$10000,'[1]2_inventory_total_details'!$C$8:$C$10000,I21,'[1]2_inventory_total_details'!$F$8:$F$10000,pb_location_id,'[1]2_inventory_total_details'!$G$8:$G$10000,"="&amp;Q21,'[1]2_inventory_total_details'!$H$8:$H$10000,"="&amp;R21,'[1]2_inventory_total_details'!$I$8:$I$10000,"="&amp;pb_date)))</f>
        <v/>
      </c>
      <c r="AH21" s="1640" t="str">
        <f>IF(M21="","",IF(ISNA(MATCH(I21,'[1]1_group_totals'!$C$8:$C$10000)),0,IF(AT21&gt;0,1,0)))</f>
        <v/>
      </c>
      <c r="AI21" s="1640" t="str">
        <f>IF(M21="","",(SUMIFS('[1]1_group_total_details'!$I$8:$I$10000,'[1]1_group_total_details'!$C$8:$C$10000,I21,'[1]1_group_total_details'!$F$8:$F$10000,pb_location_group_id,'[1]1_group_total_details'!$G$8:$G$10000,pb_location_id,'[1]1_group_total_details'!$H$8:$H$10000,"="&amp;pb_date)+SUMIFS('[1]1_group_total_details'!$L$8:$L$10000,'[1]1_group_total_details'!$C$8:$C$10000,I21,'[1]1_group_total_details'!$F$8:$F$10000,pb_location_group_id,'[1]1_group_total_details'!$G$8:$G$10000,pb_location_id,'[1]1_group_total_details'!$H$8:$H$10000,"="&amp;pb_date)+SUMIFS('[1]1_group_total_details'!$N$8:$N$10000,'[1]1_group_total_details'!$C$8:$C$10000,I21,'[1]1_group_total_details'!$F$8:$F$10000,pb_location_group_id,'[1]1_group_total_details'!$G$8:$G$10000,pb_location_id,'[1]1_group_total_details'!$H$8:$H$10000,"="&amp;pb_date)+SUMIFS('[1]1_group_total_details'!$O$8:$O$10000,'[1]1_group_total_details'!$C$8:$C$10000,I21,'[1]1_group_total_details'!$F$8:$F$10000,pb_location_group_id,'[1]1_group_total_details'!$G$8:$G$10000,pb_location_id,'[1]1_group_total_details'!$H$8:$H$10000,"="&amp;pb_date))+(SUMIFS('[1]1_group_total_details'!$J$8:$J$10000,'[1]1_group_total_details'!$C$8:$C$10000,I21,'[1]1_group_total_details'!$F$8:$F$10000,pb_location_group_id,'[1]1_group_total_details'!$G$8:$G$10000,pb_location_id,'[1]1_group_total_details'!$H$8:$H$10000,"="&amp;pb_date)+SUMIFS('[1]1_group_total_details'!$K$8:$K$10000,'[1]1_group_total_details'!$C$8:$C$10000,I21,'[1]1_group_total_details'!$F$8:$F$10000,pb_location_group_id,'[1]1_group_total_details'!$G$8:$G$10000,pb_location_id,'[1]1_group_total_details'!$H$8:$H$10000,"="&amp;pb_date)+SUMIFS('[1]1_group_total_details'!$M$8:$M$10000,'[1]1_group_total_details'!$C$8:$C$10000,I21,'[1]1_group_total_details'!$F$8:$F$10000,pb_location_group_id,'[1]1_group_total_details'!$G$8:$G$10000,pb_location_id,'[1]1_group_total_details'!$H$8:$H$10000,"="&amp;pb_date)+SUMIFS('[1]1_group_total_details'!$P$8:$P$10000,'[1]1_group_total_details'!$C$8:$C$10000,I21,'[1]1_group_total_details'!$F$8:$F$10000,pb_location_group_id,'[1]1_group_total_details'!$G$8:$G$10000,pb_location_id,'[1]1_group_total_details'!$H$8:$H$10000,"="&amp;pb_date)))</f>
        <v/>
      </c>
      <c r="AJ21" s="1640" t="str">
        <f>IF(M21="","",IF(AK21=0,0,(SUMIFS('[1]1_group_total_details'!$I$8:$I$10000,'[1]1_group_total_details'!$C$8:$C$10000,I21,'[1]1_group_total_details'!$F$8:$F$10000,pb_location_group_id,'[1]1_group_total_details'!$G$8:$G$10000,pb_location_id,'[1]1_group_total_details'!$H$8:$H$10000,"&lt;="&amp;pb_date)+SUMIFS('[1]1_group_total_details'!$L$8:$L$10000,'[1]1_group_total_details'!$C$8:$C$10000,I21,'[1]1_group_total_details'!$F$8:$F$10000,pb_location_group_id,'[1]1_group_total_details'!$G$8:$G$10000,pb_location_id,'[1]1_group_total_details'!$H$8:$H$10000,"&lt;="&amp;pb_date)+SUMIFS('[1]1_group_total_details'!$N$8:$N$10000,'[1]1_group_total_details'!$C$8:$C$10000,I21,'[1]1_group_total_details'!$F$8:$F$10000,pb_location_group_id,'[1]1_group_total_details'!$G$8:$G$10000,pb_location_id,'[1]1_group_total_details'!$H$8:$H$10000,"&lt;="&amp;pb_date)+SUMIFS('[1]1_group_total_details'!$O$8:$O$10000,'[1]1_group_total_details'!$C$8:$C$10000,I21,'[1]1_group_total_details'!$F$8:$F$10000,pb_location_group_id,'[1]1_group_total_details'!$G$8:$G$10000,pb_location_id,'[1]1_group_total_details'!$H$8:$H$10000,"&lt;="&amp;pb_date))-(SUMIFS('[1]1_group_total_details'!$J$8:$J$10000,'[1]1_group_total_details'!$C$8:$C$10000,I21,'[1]1_group_total_details'!$F$8:$F$10000,pb_location_group_id,'[1]1_group_total_details'!$G$8:$G$10000,pb_location_id,'[1]1_group_total_details'!$H$8:$H$10000,"&lt;="&amp;pb_date)+SUMIFS('[1]1_group_total_details'!$K$8:$K$10000,'[1]1_group_total_details'!$C$8:$C$10000,I21,'[1]1_group_total_details'!$F$8:$F$10000,pb_location_group_id,'[1]1_group_total_details'!$G$8:$G$10000,invoice_location_id,'[1]1_group_total_details'!$H$8:$H$10000,"&lt;="&amp;pb_date)+SUMIFS('[1]1_group_total_details'!$M$8:$M$10000,'[1]1_group_total_details'!$C$8:$C$10000,I21,'[1]1_group_total_details'!$F$8:$F$10000,pb_location_group_id,'[1]1_group_total_details'!$G$8:$G$10000,pb_location_id,'[1]1_group_total_details'!$H$8:$H$10000,"&lt;="&amp;pb_date)+SUMIFS('[1]1_group_total_details'!$P$8:$P$10000,'[1]1_group_total_details'!$C$8:$C$10000,I21,'[1]1_group_total_details'!$F$8:$F$10000,pb_location_group_id,'[1]1_group_total_details'!$G$8:$G$10000,pb_location_id,'[1]1_group_total_details'!$H$8:$H$10000,"&lt;="&amp;pb_date))))</f>
        <v/>
      </c>
      <c r="AK21" s="1640" t="str">
        <f>IF(M21="","",SUMIFS('[1]1_group_totals'!$J$8:$J$10000,'[1]1_group_totals'!$C$8:$C$10000,I21,'[1]1_group_totals'!$F$8:$F$10000,pb_location_group_id,'[1]1_group_totals'!$G$8:$G$10000,pb_location_id,'[1]1_group_totals'!$H$8:$H$10000,"="&amp;Q21,'[1]1_group_totals'!$I$8:$I$10000,"="&amp;R21))</f>
        <v/>
      </c>
      <c r="AL21" s="1644" t="str">
        <f t="shared" si="17"/>
        <v/>
      </c>
      <c r="AM21" s="1644" t="str">
        <f>IF(OR(ISNA(MATCH(MID(AL21,1,3)*1,UomConversion!$D$8:$D$500,0)),M21=""),"",IF(AQ21="","",AQ21))</f>
        <v/>
      </c>
      <c r="AN21" s="1644" t="str">
        <f>IF(AND(AO21&gt;0,COUNTIFS(UomConversion!$D$8:$D$500,MID(AL21,1,3)*1,UomConversion!$J$8:$J$500,1)&gt;1),TEXT(AO21,"000")&amp;"."&amp;VLOOKUP(AO21,uom_list,5,FALSE),"")</f>
        <v/>
      </c>
      <c r="AO21" s="1640" t="str">
        <f t="shared" si="18"/>
        <v/>
      </c>
      <c r="AP21" s="1645" t="str">
        <f t="shared" si="19"/>
        <v/>
      </c>
      <c r="AQ21" s="491" t="str">
        <f t="shared" si="20"/>
        <v/>
      </c>
      <c r="AR21" s="1281" t="str" cm="1">
        <f t="array" ref="AR21">IF(M21="","",IF(ISNA(Slookup(MID(AL21,1,3)*1,UomConversion!$D$8:$J$500,2,UomConversion!$I$8:$I$500,1,UomConversion!$J$8:$J$500,1)),"",Slookup(MID(AL21,1,3)*1,UomConversion!$D$8:$J$500,2,UomConversion!$I$8:$I$500,1,UomConversion!$J$8:$J$500,1)))</f>
        <v/>
      </c>
      <c r="AS21" s="663" t="str">
        <f>IF(M21="","",(SUMIFS('[1]1_inventory_totals'!$I$8:$I$10000,'[1]1_inventory_totals'!$C$8:$C$10000,I21,'[1]1_inventory_totals'!$F$8:$F$10000,"="&amp;Q21,'[1]1_inventory_totals'!$G$8:$G$10000,"="&amp;R21)+SUMIFS('[1]1_inventory_totals'!$N$8:$N$10000,'[1]1_inventory_totals'!$C$8:$C$10000,I21,'[1]1_inventory_totals'!$F$8:$F$10000,"="&amp;Q21,'[1]1_inventory_totals'!$G$8:$G$10000,"="&amp;R21)+SUMIFS('[1]1_inventory_totals'!$P$8:$P$10000,'[1]1_inventory_totals'!$C$8:$C$10000,I21,'[1]1_inventory_totals'!$F$8:$F$10000,"="&amp;Q21,'[1]1_inventory_totals'!$G$8:$G$10000,"="&amp;R21)+SUMIFS('[1]1_inventory_totals'!$Q$8:$Q$10000,'[1]1_inventory_totals'!$C$8:$C$10000,I21,'[1]1_inventory_totals'!$F$8:$F$10000,"="&amp;Q21,'[1]1_inventory_totals'!$G$8:$G$10000,"="&amp;R21)+SUMIFS('[1]1_inventory_totals'!$R$8:$R$10000,'[1]1_inventory_totals'!$C$8:$C$10000,I21,'[1]1_inventory_totals'!$F$8:$F$10000,"="&amp;Q21,'[1]1_inventory_totals'!$G$8:$G$10000,"="&amp;R21))+(SUMIFS('[1]1_inventory_totals'!$J$8:$J$10000,'[1]1_inventory_totals'!$C$8:$C$10000,I21,'[1]1_inventory_totals'!$F$8:$F$10000,"="&amp;Q21,'[1]1_inventory_totals'!$G$8:$G$10000,"="&amp;R21)+SUMIFS('[1]1_inventory_totals'!$K$8:$K$10000,'[1]1_inventory_totals'!$C$8:$C$10000,I21,'[1]1_inventory_totals'!$F$8:$F$10000,"="&amp;Q21,'[1]1_inventory_totals'!$G$8:$G$10000,"="&amp;R21)+SUMIFS('[1]1_inventory_totals'!$L$8:$L$10000,'[1]1_inventory_totals'!$C$8:$C$10000,I21,'[1]1_inventory_totals'!$F$8:$F$10000,"="&amp;Q21,'[1]1_inventory_totals'!$G$8:$G$10000,"="&amp;R21)+SUMIFS('[1]1_inventory_totals'!$M$8:$M$10000,'[1]1_inventory_totals'!$C$8:$C$10000,I21,'[1]1_inventory_totals'!$F$8:$F$10000,"="&amp;Q21,'[1]1_inventory_totals'!$G$8:$G$10000,"="&amp;R21)+SUMIFS('[1]1_inventory_totals'!$O$8:$O$10000,'[1]1_inventory_totals'!$C$8:$C$10000,I21,'[1]1_inventory_totals'!$F$8:$F$10000,"="&amp;Q21,'[1]1_inventory_totals'!$G$8:$G$10000,"="&amp;R21)+SUMIFS('[1]1_inventory_totals'!$S$8:$S$10000,'[1]1_inventory_totals'!$C$8:$C$10000,I21,'[1]1_inventory_totals'!$F$8:$F$10000,"="&amp;Q21,'[1]1_inventory_totals'!$G$8:$G$10000,"="&amp;R21)))</f>
        <v/>
      </c>
      <c r="AT21" s="1281" t="str">
        <f>IF(M21="","",(SUMIFS('[1]1_group_totals'!$K$8:$K$10000,'[1]1_group_totals'!$C$8:$C$10000,I21,'[1]1_group_totals'!$F$8:$F$10000,pb_location_group_id,'[1]1_group_totals'!$G$8:$G$10000,pb_location_id,'[1]1_group_totals'!$H$8:$H$10000,"="&amp;Q21,'[1]1_group_totals'!$I$8:$I$10000,"="&amp;R21)+SUMIFS('[1]1_group_totals'!$N$8:$N$10000,'[1]1_group_totals'!$C$8:$C$10000,I21,'[1]1_group_totals'!$F$8:$F$10000,pb_location_group_id,'[1]1_group_totals'!$G$8:$G$10000,pb_location_id,'[1]1_group_totals'!$H$8:$H$10000,"="&amp;Q21,'[1]1_group_totals'!$I$8:$I$10000,"="&amp;R21)+SUMIFS('[1]1_group_totals'!$P$8:$P$10000,'[1]1_group_totals'!$C$8:$C$10000,I21,'[1]1_group_totals'!$F$8:$F$10000,pb_location_group_id,'[1]1_group_totals'!$G$8:$G$10000,pb_location_id,'[1]1_group_totals'!$H$8:$H$10000,"="&amp;Q21,'[1]1_group_totals'!$I$8:$I$10000,"="&amp;R21)+SUMIFS('[1]1_group_totals'!$Q$8:$Q$10000,'[1]1_group_totals'!$C$8:$C$10000,I21,'[1]1_group_totals'!$F$8:$F$10000,pb_location_group_id,'[1]1_group_totals'!$G$8:$G$10000,pb_location_id,'[1]1_group_totals'!$H$8:$H$10000,"="&amp;Q21,'[1]1_group_totals'!$I$8:$I$10000,"="&amp;R21))+(SUMIFS('[1]1_group_totals'!$L$8:$L$10000,'[1]1_group_totals'!$C$8:$C$10000,I21,'[1]1_group_totals'!$F$8:$F$10000,pb_location_group_id,'[1]1_group_totals'!$G$8:$G$10000,pb_location_id,'[1]1_group_totals'!$H$8:$H$10000,"="&amp;Q21,'[1]1_group_totals'!$I$8:$I$10000,"="&amp;R21)+SUMIFS('[1]1_group_totals'!$M$8:$M$10000,'[1]1_group_totals'!$C$8:$C$10000,I21,'[1]1_group_totals'!$F$8:$F$10000,pb_location_group_id,'[1]1_group_totals'!$G$8:$G$10000,pb_location_id,'[1]1_group_totals'!$H$8:$H$10000,"="&amp;Q21,'[1]1_group_totals'!$I$8:$I$10000,"="&amp;R21)+SUMIFS('[1]1_group_totals'!$O$8:$O$10000,'[1]1_group_totals'!$C$8:$C$10000,I21,'[1]1_group_totals'!$F$8:$F$10000,pb_location_group_id,'[1]1_group_totals'!$G$8:$G$10000,pb_location_id,'[1]1_group_totals'!$H$8:$H$10000,"="&amp;Q21,'[1]1_group_totals'!$I$8:$I$10000,"="&amp;R21)+SUMIFS('[1]1_group_totals'!$R$8:$R$10000,'[1]1_group_totals'!$C$8:$C$10000,I21,'[1]1_group_totals'!$F$8:$F$10000,pb_location_group_id,'[1]1_group_totals'!$G$8:$G$10000,pb_location_id,'[1]1_group_totals'!$H$8:$H$10000,"="&amp;Q21,'[1]1_group_totals'!$I$8:$I$10000,"="&amp;R21)))</f>
        <v/>
      </c>
    </row>
    <row r="22" spans="1:46" ht="27" customHeight="1">
      <c r="A22" s="923"/>
      <c r="B22" s="1011"/>
      <c r="C22" s="1998" t="s">
        <v>180</v>
      </c>
      <c r="D22" s="1999"/>
      <c r="E22" s="2000"/>
      <c r="F22" s="1057"/>
      <c r="I22" s="1610" t="str">
        <f t="shared" si="8"/>
        <v/>
      </c>
      <c r="J22" s="1631" t="str">
        <f t="shared" si="25"/>
        <v/>
      </c>
      <c r="K22" s="1628" t="str">
        <f t="shared" si="0"/>
        <v/>
      </c>
      <c r="L22" s="1632"/>
      <c r="M22" s="1043"/>
      <c r="N22" s="1044"/>
      <c r="O22" s="1044"/>
      <c r="P22" s="1046"/>
      <c r="Q22" s="1047"/>
      <c r="R22" s="1053"/>
      <c r="S22" s="1634" t="str">
        <f t="shared" ref="S22" si="59">IF(M22="","",pb_currency_symbol)</f>
        <v/>
      </c>
      <c r="T22" s="1068"/>
      <c r="U22" s="1636" t="str">
        <f t="shared" si="10"/>
        <v/>
      </c>
      <c r="V22" s="1634" t="str">
        <f t="shared" ref="V22" si="60">IF(W22=0,"",pb_currency_symbol)</f>
        <v/>
      </c>
      <c r="W22" s="1054"/>
      <c r="X22" s="1634" t="str">
        <f t="shared" ref="X22" si="61">IF(M22="","",pb_currency_symbol)</f>
        <v/>
      </c>
      <c r="Y22" s="1638" t="str">
        <f t="shared" si="24"/>
        <v/>
      </c>
      <c r="Z22" s="1062"/>
      <c r="AA22" s="1639" t="str" cm="1">
        <f t="array" ref="AA22">IF(M22="","",IF(P22=AL22,1,Slookup(MID(AL22,1,3)*1,UomConversion!$D$8:$J$500,5,UomConversion!$E$8:$E$500,MID(P22,1,3)*1,UomConversion!$J$8:$J$500,1)))</f>
        <v/>
      </c>
      <c r="AB22" s="1640" t="str">
        <f t="shared" si="13"/>
        <v/>
      </c>
      <c r="AC22" s="1641" t="str">
        <f t="shared" si="14"/>
        <v/>
      </c>
      <c r="AD22" s="1642" t="str">
        <f t="shared" si="15"/>
        <v/>
      </c>
      <c r="AE22" s="1643" t="str">
        <f t="shared" si="16"/>
        <v/>
      </c>
      <c r="AF22" s="1640" t="str">
        <f>IF(I22="","",IF(ISNA(MATCH(I22,IF(pb_location_id=1,'[1]1_inventory_totals'!$C$8:$C$10000,IF(pb_location_id=2,'[1]2_inventory_totals'!$C$8:$C$10000,"")),0)),0,IF(AS22&gt;0,1,0)))</f>
        <v/>
      </c>
      <c r="AG22" s="1640" t="str">
        <f>IF(M22="","",IF(pb_location_id=1,SUMIFS('[1]1_inventory_total_details'!$J$8:$J$10000,'[1]1_inventory_total_details'!$C$8:$C$10000,I22,'[1]1_inventory_total_details'!$F$8:$F$10000,pb_location_id,'[1]1_inventory_total_details'!$G$8:$G$10000,"="&amp;Q22,'[1]1_inventory_total_details'!$H$8:$H$10000,"="&amp;R22,'[1]1_inventory_total_details'!$I$8:$I$10000,"="&amp;pb_date)+SUMIFS('[1]1_inventory_total_details'!$M$8:$M$10000,'[1]1_inventory_total_details'!$C$8:$C$10000,I22,'[1]1_inventory_total_details'!$F$8:$F$10000,pb_location_id,'[1]1_inventory_total_details'!$G$8:$G$10000,"="&amp;Q22,'[1]1_inventory_total_details'!$H$8:$H$10000,"="&amp;R22,'[1]1_inventory_total_details'!$I$8:$I$10000,"="&amp;pb_date)+SUMIFS('[1]1_inventory_total_details'!$K$8:$K$10000,'[1]1_inventory_total_details'!$C$8:$C$10000,I22,'[1]1_inventory_total_details'!$F$8:$F$10000,pb_location_id,'[1]1_inventory_total_details'!$G$8:$G$10000,"="&amp;Q22,'[1]1_inventory_total_details'!$H$8:$H$10000,"="&amp;R22,'[1]1_inventory_total_details'!$I$8:$I$10000,"="&amp;pb_date)+SUMIFS('[1]1_inventory_total_details'!$L$8:$L$10000,'[1]1_inventory_total_details'!$C$8:$C$10000,I22,'[1]1_inventory_total_details'!$F$8:$F$10000,pb_location_id,'[1]1_inventory_total_details'!$G$8:$G$10000,"="&amp;Q22,'[1]1_inventory_total_details'!$H$8:$H$10000,"="&amp;R22,'[1]1_inventory_total_details'!$I$8:$I$10000,"="&amp;pb_date),SUMIFS('[1]2_inventory_total_details'!$J$8:$J$10000,'[1]2_inventory_total_details'!$C$8:$C$10000,I22,'[1]1_inventory_total_details'!$F$8:$F$10000,pb_location_id,'[1]2_inventory_total_details'!$G$8:$G$10000,"="&amp;Q22,'[1]2_inventory_total_details'!$H$8:$H$10000,"="&amp;R22,'[1]2_inventory_total_details'!$I$8:$I$10000,"="&amp;pb_date)+SUMIFS('[1]2_inventory_total_details'!$M$8:$M$10000,'[1]2_inventory_total_details'!$C$8:$C$10000,I22,'[1]2_inventory_total_details'!$F$8:$F$10000,pb_location_id,'[1]2_inventory_total_details'!$G$8:$G$10000,"="&amp;Q22,'[1]2_inventory_total_details'!$H$8:$H$10000,"="&amp;R22,'[1]2_inventory_total_details'!$I$8:$I$10000,"="&amp;pb_date)+SUMIFS('[1]2_inventory_total_details'!$K$8:$K$10000,'[1]2_inventory_total_details'!$C$8:$C$10000,I22,'[1]2_inventory_total_details'!$F$8:$F$10000,pb_location_id,'[1]2_inventory_total_details'!$G$8:$G$10000,"="&amp;Q22,'[1]2_inventory_total_details'!$H$8:$H$10000,"="&amp;R22,'[1]2_inventory_total_details'!$I$8:$I$10000,"="&amp;pb_date)+SUMIFS('[1]2_inventory_total_details'!$L$8:$L$10000,'[1]2_inventory_total_details'!$C$8:$C$10000,I22,'[1]2_inventory_total_details'!$F$8:$F$10000,pb_location_id,'[1]2_inventory_total_details'!$G$8:$G$10000,"="&amp;Q22,'[1]2_inventory_total_details'!$H$8:$H$10000,"="&amp;R22,'[1]2_inventory_total_details'!$I$8:$I$10000,"="&amp;pb_date)))</f>
        <v/>
      </c>
      <c r="AH22" s="1640" t="str">
        <f>IF(M22="","",IF(ISNA(MATCH(I22,'[1]1_group_totals'!$C$8:$C$10000)),0,IF(AT22&gt;0,1,0)))</f>
        <v/>
      </c>
      <c r="AI22" s="1640" t="str">
        <f>IF(M22="","",(SUMIFS('[1]1_group_total_details'!$I$8:$I$10000,'[1]1_group_total_details'!$C$8:$C$10000,I22,'[1]1_group_total_details'!$F$8:$F$10000,pb_location_group_id,'[1]1_group_total_details'!$G$8:$G$10000,pb_location_id,'[1]1_group_total_details'!$H$8:$H$10000,"="&amp;pb_date)+SUMIFS('[1]1_group_total_details'!$L$8:$L$10000,'[1]1_group_total_details'!$C$8:$C$10000,I22,'[1]1_group_total_details'!$F$8:$F$10000,pb_location_group_id,'[1]1_group_total_details'!$G$8:$G$10000,pb_location_id,'[1]1_group_total_details'!$H$8:$H$10000,"="&amp;pb_date)+SUMIFS('[1]1_group_total_details'!$N$8:$N$10000,'[1]1_group_total_details'!$C$8:$C$10000,I22,'[1]1_group_total_details'!$F$8:$F$10000,pb_location_group_id,'[1]1_group_total_details'!$G$8:$G$10000,pb_location_id,'[1]1_group_total_details'!$H$8:$H$10000,"="&amp;pb_date)+SUMIFS('[1]1_group_total_details'!$O$8:$O$10000,'[1]1_group_total_details'!$C$8:$C$10000,I22,'[1]1_group_total_details'!$F$8:$F$10000,pb_location_group_id,'[1]1_group_total_details'!$G$8:$G$10000,pb_location_id,'[1]1_group_total_details'!$H$8:$H$10000,"="&amp;pb_date))+(SUMIFS('[1]1_group_total_details'!$J$8:$J$10000,'[1]1_group_total_details'!$C$8:$C$10000,I22,'[1]1_group_total_details'!$F$8:$F$10000,pb_location_group_id,'[1]1_group_total_details'!$G$8:$G$10000,pb_location_id,'[1]1_group_total_details'!$H$8:$H$10000,"="&amp;pb_date)+SUMIFS('[1]1_group_total_details'!$K$8:$K$10000,'[1]1_group_total_details'!$C$8:$C$10000,I22,'[1]1_group_total_details'!$F$8:$F$10000,pb_location_group_id,'[1]1_group_total_details'!$G$8:$G$10000,pb_location_id,'[1]1_group_total_details'!$H$8:$H$10000,"="&amp;pb_date)+SUMIFS('[1]1_group_total_details'!$M$8:$M$10000,'[1]1_group_total_details'!$C$8:$C$10000,I22,'[1]1_group_total_details'!$F$8:$F$10000,pb_location_group_id,'[1]1_group_total_details'!$G$8:$G$10000,pb_location_id,'[1]1_group_total_details'!$H$8:$H$10000,"="&amp;pb_date)+SUMIFS('[1]1_group_total_details'!$P$8:$P$10000,'[1]1_group_total_details'!$C$8:$C$10000,I22,'[1]1_group_total_details'!$F$8:$F$10000,pb_location_group_id,'[1]1_group_total_details'!$G$8:$G$10000,pb_location_id,'[1]1_group_total_details'!$H$8:$H$10000,"="&amp;pb_date)))</f>
        <v/>
      </c>
      <c r="AJ22" s="1640" t="str">
        <f>IF(M22="","",IF(AK22=0,0,(SUMIFS('[1]1_group_total_details'!$I$8:$I$10000,'[1]1_group_total_details'!$C$8:$C$10000,I22,'[1]1_group_total_details'!$F$8:$F$10000,pb_location_group_id,'[1]1_group_total_details'!$G$8:$G$10000,pb_location_id,'[1]1_group_total_details'!$H$8:$H$10000,"&lt;="&amp;pb_date)+SUMIFS('[1]1_group_total_details'!$L$8:$L$10000,'[1]1_group_total_details'!$C$8:$C$10000,I22,'[1]1_group_total_details'!$F$8:$F$10000,pb_location_group_id,'[1]1_group_total_details'!$G$8:$G$10000,pb_location_id,'[1]1_group_total_details'!$H$8:$H$10000,"&lt;="&amp;pb_date)+SUMIFS('[1]1_group_total_details'!$N$8:$N$10000,'[1]1_group_total_details'!$C$8:$C$10000,I22,'[1]1_group_total_details'!$F$8:$F$10000,pb_location_group_id,'[1]1_group_total_details'!$G$8:$G$10000,pb_location_id,'[1]1_group_total_details'!$H$8:$H$10000,"&lt;="&amp;pb_date)+SUMIFS('[1]1_group_total_details'!$O$8:$O$10000,'[1]1_group_total_details'!$C$8:$C$10000,I22,'[1]1_group_total_details'!$F$8:$F$10000,pb_location_group_id,'[1]1_group_total_details'!$G$8:$G$10000,pb_location_id,'[1]1_group_total_details'!$H$8:$H$10000,"&lt;="&amp;pb_date))-(SUMIFS('[1]1_group_total_details'!$J$8:$J$10000,'[1]1_group_total_details'!$C$8:$C$10000,I22,'[1]1_group_total_details'!$F$8:$F$10000,pb_location_group_id,'[1]1_group_total_details'!$G$8:$G$10000,pb_location_id,'[1]1_group_total_details'!$H$8:$H$10000,"&lt;="&amp;pb_date)+SUMIFS('[1]1_group_total_details'!$K$8:$K$10000,'[1]1_group_total_details'!$C$8:$C$10000,I22,'[1]1_group_total_details'!$F$8:$F$10000,pb_location_group_id,'[1]1_group_total_details'!$G$8:$G$10000,invoice_location_id,'[1]1_group_total_details'!$H$8:$H$10000,"&lt;="&amp;pb_date)+SUMIFS('[1]1_group_total_details'!$M$8:$M$10000,'[1]1_group_total_details'!$C$8:$C$10000,I22,'[1]1_group_total_details'!$F$8:$F$10000,pb_location_group_id,'[1]1_group_total_details'!$G$8:$G$10000,pb_location_id,'[1]1_group_total_details'!$H$8:$H$10000,"&lt;="&amp;pb_date)+SUMIFS('[1]1_group_total_details'!$P$8:$P$10000,'[1]1_group_total_details'!$C$8:$C$10000,I22,'[1]1_group_total_details'!$F$8:$F$10000,pb_location_group_id,'[1]1_group_total_details'!$G$8:$G$10000,pb_location_id,'[1]1_group_total_details'!$H$8:$H$10000,"&lt;="&amp;pb_date))))</f>
        <v/>
      </c>
      <c r="AK22" s="1640" t="str">
        <f>IF(M22="","",SUMIFS('[1]1_group_totals'!$J$8:$J$10000,'[1]1_group_totals'!$C$8:$C$10000,I22,'[1]1_group_totals'!$F$8:$F$10000,pb_location_group_id,'[1]1_group_totals'!$G$8:$G$10000,pb_location_id,'[1]1_group_totals'!$H$8:$H$10000,"="&amp;Q22,'[1]1_group_totals'!$I$8:$I$10000,"="&amp;R22))</f>
        <v/>
      </c>
      <c r="AL22" s="1644" t="str">
        <f t="shared" si="17"/>
        <v/>
      </c>
      <c r="AM22" s="1644" t="str">
        <f>IF(OR(ISNA(MATCH(MID(AL22,1,3)*1,UomConversion!$D$8:$D$500,0)),M22=""),"",IF(AQ22="","",AQ22))</f>
        <v/>
      </c>
      <c r="AN22" s="1644" t="str">
        <f>IF(AND(AO22&gt;0,COUNTIFS(UomConversion!$D$8:$D$500,MID(AL22,1,3)*1,UomConversion!$J$8:$J$500,1)&gt;1),TEXT(AO22,"000")&amp;"."&amp;VLOOKUP(AO22,uom_list,5,FALSE),"")</f>
        <v/>
      </c>
      <c r="AO22" s="1640" t="str">
        <f t="shared" si="18"/>
        <v/>
      </c>
      <c r="AP22" s="1645" t="str">
        <f t="shared" si="19"/>
        <v/>
      </c>
      <c r="AQ22" s="491" t="str">
        <f t="shared" si="20"/>
        <v/>
      </c>
      <c r="AR22" s="1281" t="str" cm="1">
        <f t="array" ref="AR22">IF(M22="","",IF(ISNA(Slookup(MID(AL22,1,3)*1,UomConversion!$D$8:$J$500,2,UomConversion!$I$8:$I$500,1,UomConversion!$J$8:$J$500,1)),"",Slookup(MID(AL22,1,3)*1,UomConversion!$D$8:$J$500,2,UomConversion!$I$8:$I$500,1,UomConversion!$J$8:$J$500,1)))</f>
        <v/>
      </c>
      <c r="AS22" s="663" t="str">
        <f>IF(M22="","",(SUMIFS('[1]1_inventory_totals'!$I$8:$I$10000,'[1]1_inventory_totals'!$C$8:$C$10000,I22,'[1]1_inventory_totals'!$F$8:$F$10000,"="&amp;Q22,'[1]1_inventory_totals'!$G$8:$G$10000,"="&amp;R22)+SUMIFS('[1]1_inventory_totals'!$N$8:$N$10000,'[1]1_inventory_totals'!$C$8:$C$10000,I22,'[1]1_inventory_totals'!$F$8:$F$10000,"="&amp;Q22,'[1]1_inventory_totals'!$G$8:$G$10000,"="&amp;R22)+SUMIFS('[1]1_inventory_totals'!$P$8:$P$10000,'[1]1_inventory_totals'!$C$8:$C$10000,I22,'[1]1_inventory_totals'!$F$8:$F$10000,"="&amp;Q22,'[1]1_inventory_totals'!$G$8:$G$10000,"="&amp;R22)+SUMIFS('[1]1_inventory_totals'!$Q$8:$Q$10000,'[1]1_inventory_totals'!$C$8:$C$10000,I22,'[1]1_inventory_totals'!$F$8:$F$10000,"="&amp;Q22,'[1]1_inventory_totals'!$G$8:$G$10000,"="&amp;R22)+SUMIFS('[1]1_inventory_totals'!$R$8:$R$10000,'[1]1_inventory_totals'!$C$8:$C$10000,I22,'[1]1_inventory_totals'!$F$8:$F$10000,"="&amp;Q22,'[1]1_inventory_totals'!$G$8:$G$10000,"="&amp;R22))+(SUMIFS('[1]1_inventory_totals'!$J$8:$J$10000,'[1]1_inventory_totals'!$C$8:$C$10000,I22,'[1]1_inventory_totals'!$F$8:$F$10000,"="&amp;Q22,'[1]1_inventory_totals'!$G$8:$G$10000,"="&amp;R22)+SUMIFS('[1]1_inventory_totals'!$K$8:$K$10000,'[1]1_inventory_totals'!$C$8:$C$10000,I22,'[1]1_inventory_totals'!$F$8:$F$10000,"="&amp;Q22,'[1]1_inventory_totals'!$G$8:$G$10000,"="&amp;R22)+SUMIFS('[1]1_inventory_totals'!$L$8:$L$10000,'[1]1_inventory_totals'!$C$8:$C$10000,I22,'[1]1_inventory_totals'!$F$8:$F$10000,"="&amp;Q22,'[1]1_inventory_totals'!$G$8:$G$10000,"="&amp;R22)+SUMIFS('[1]1_inventory_totals'!$M$8:$M$10000,'[1]1_inventory_totals'!$C$8:$C$10000,I22,'[1]1_inventory_totals'!$F$8:$F$10000,"="&amp;Q22,'[1]1_inventory_totals'!$G$8:$G$10000,"="&amp;R22)+SUMIFS('[1]1_inventory_totals'!$O$8:$O$10000,'[1]1_inventory_totals'!$C$8:$C$10000,I22,'[1]1_inventory_totals'!$F$8:$F$10000,"="&amp;Q22,'[1]1_inventory_totals'!$G$8:$G$10000,"="&amp;R22)+SUMIFS('[1]1_inventory_totals'!$S$8:$S$10000,'[1]1_inventory_totals'!$C$8:$C$10000,I22,'[1]1_inventory_totals'!$F$8:$F$10000,"="&amp;Q22,'[1]1_inventory_totals'!$G$8:$G$10000,"="&amp;R22)))</f>
        <v/>
      </c>
      <c r="AT22" s="1281" t="str">
        <f>IF(M22="","",(SUMIFS('[1]1_group_totals'!$K$8:$K$10000,'[1]1_group_totals'!$C$8:$C$10000,I22,'[1]1_group_totals'!$F$8:$F$10000,pb_location_group_id,'[1]1_group_totals'!$G$8:$G$10000,pb_location_id,'[1]1_group_totals'!$H$8:$H$10000,"="&amp;Q22,'[1]1_group_totals'!$I$8:$I$10000,"="&amp;R22)+SUMIFS('[1]1_group_totals'!$N$8:$N$10000,'[1]1_group_totals'!$C$8:$C$10000,I22,'[1]1_group_totals'!$F$8:$F$10000,pb_location_group_id,'[1]1_group_totals'!$G$8:$G$10000,pb_location_id,'[1]1_group_totals'!$H$8:$H$10000,"="&amp;Q22,'[1]1_group_totals'!$I$8:$I$10000,"="&amp;R22)+SUMIFS('[1]1_group_totals'!$P$8:$P$10000,'[1]1_group_totals'!$C$8:$C$10000,I22,'[1]1_group_totals'!$F$8:$F$10000,pb_location_group_id,'[1]1_group_totals'!$G$8:$G$10000,pb_location_id,'[1]1_group_totals'!$H$8:$H$10000,"="&amp;Q22,'[1]1_group_totals'!$I$8:$I$10000,"="&amp;R22)+SUMIFS('[1]1_group_totals'!$Q$8:$Q$10000,'[1]1_group_totals'!$C$8:$C$10000,I22,'[1]1_group_totals'!$F$8:$F$10000,pb_location_group_id,'[1]1_group_totals'!$G$8:$G$10000,pb_location_id,'[1]1_group_totals'!$H$8:$H$10000,"="&amp;Q22,'[1]1_group_totals'!$I$8:$I$10000,"="&amp;R22))+(SUMIFS('[1]1_group_totals'!$L$8:$L$10000,'[1]1_group_totals'!$C$8:$C$10000,I22,'[1]1_group_totals'!$F$8:$F$10000,pb_location_group_id,'[1]1_group_totals'!$G$8:$G$10000,pb_location_id,'[1]1_group_totals'!$H$8:$H$10000,"="&amp;Q22,'[1]1_group_totals'!$I$8:$I$10000,"="&amp;R22)+SUMIFS('[1]1_group_totals'!$M$8:$M$10000,'[1]1_group_totals'!$C$8:$C$10000,I22,'[1]1_group_totals'!$F$8:$F$10000,pb_location_group_id,'[1]1_group_totals'!$G$8:$G$10000,pb_location_id,'[1]1_group_totals'!$H$8:$H$10000,"="&amp;Q22,'[1]1_group_totals'!$I$8:$I$10000,"="&amp;R22)+SUMIFS('[1]1_group_totals'!$O$8:$O$10000,'[1]1_group_totals'!$C$8:$C$10000,I22,'[1]1_group_totals'!$F$8:$F$10000,pb_location_group_id,'[1]1_group_totals'!$G$8:$G$10000,pb_location_id,'[1]1_group_totals'!$H$8:$H$10000,"="&amp;Q22,'[1]1_group_totals'!$I$8:$I$10000,"="&amp;R22)+SUMIFS('[1]1_group_totals'!$R$8:$R$10000,'[1]1_group_totals'!$C$8:$C$10000,I22,'[1]1_group_totals'!$F$8:$F$10000,pb_location_group_id,'[1]1_group_totals'!$G$8:$G$10000,pb_location_id,'[1]1_group_totals'!$H$8:$H$10000,"="&amp;Q22,'[1]1_group_totals'!$I$8:$I$10000,"="&amp;R22)))</f>
        <v/>
      </c>
    </row>
    <row r="23" spans="1:46" ht="27" customHeight="1">
      <c r="A23" s="923"/>
      <c r="B23" s="1011"/>
      <c r="C23" s="2001"/>
      <c r="D23" s="1886"/>
      <c r="E23" s="2002"/>
      <c r="F23" s="1057"/>
      <c r="I23" s="1610" t="str">
        <f t="shared" si="8"/>
        <v/>
      </c>
      <c r="J23" s="1631" t="str">
        <f t="shared" si="25"/>
        <v/>
      </c>
      <c r="K23" s="1628" t="str">
        <f t="shared" si="0"/>
        <v/>
      </c>
      <c r="L23" s="1632"/>
      <c r="M23" s="1043"/>
      <c r="N23" s="1044"/>
      <c r="O23" s="1044"/>
      <c r="P23" s="1046"/>
      <c r="Q23" s="1047"/>
      <c r="R23" s="1053"/>
      <c r="S23" s="1634" t="str">
        <f t="shared" ref="S23" si="62">IF(M23="","",pb_currency_symbol)</f>
        <v/>
      </c>
      <c r="T23" s="1068"/>
      <c r="U23" s="1636" t="str">
        <f t="shared" si="10"/>
        <v/>
      </c>
      <c r="V23" s="1634" t="str">
        <f t="shared" ref="V23" si="63">IF(W23=0,"",pb_currency_symbol)</f>
        <v/>
      </c>
      <c r="W23" s="1054"/>
      <c r="X23" s="1634" t="str">
        <f t="shared" ref="X23" si="64">IF(M23="","",pb_currency_symbol)</f>
        <v/>
      </c>
      <c r="Y23" s="1638" t="str">
        <f t="shared" si="24"/>
        <v/>
      </c>
      <c r="Z23" s="1062"/>
      <c r="AA23" s="1639" t="str" cm="1">
        <f t="array" ref="AA23">IF(M23="","",IF(P23=AL23,1,Slookup(MID(AL23,1,3)*1,UomConversion!$D$8:$J$500,5,UomConversion!$E$8:$E$500,MID(P23,1,3)*1,UomConversion!$J$8:$J$500,1)))</f>
        <v/>
      </c>
      <c r="AB23" s="1640" t="str">
        <f t="shared" si="13"/>
        <v/>
      </c>
      <c r="AC23" s="1641" t="str">
        <f t="shared" si="14"/>
        <v/>
      </c>
      <c r="AD23" s="1642" t="str">
        <f t="shared" si="15"/>
        <v/>
      </c>
      <c r="AE23" s="1643" t="str">
        <f t="shared" si="16"/>
        <v/>
      </c>
      <c r="AF23" s="1640" t="str">
        <f>IF(I23="","",IF(ISNA(MATCH(I23,IF(pb_location_id=1,'[1]1_inventory_totals'!$C$8:$C$10000,IF(pb_location_id=2,'[1]2_inventory_totals'!$C$8:$C$10000,"")),0)),0,IF(AS23&gt;0,1,0)))</f>
        <v/>
      </c>
      <c r="AG23" s="1640" t="str">
        <f>IF(M23="","",IF(pb_location_id=1,SUMIFS('[1]1_inventory_total_details'!$J$8:$J$10000,'[1]1_inventory_total_details'!$C$8:$C$10000,I23,'[1]1_inventory_total_details'!$F$8:$F$10000,pb_location_id,'[1]1_inventory_total_details'!$G$8:$G$10000,"="&amp;Q23,'[1]1_inventory_total_details'!$H$8:$H$10000,"="&amp;R23,'[1]1_inventory_total_details'!$I$8:$I$10000,"="&amp;pb_date)+SUMIFS('[1]1_inventory_total_details'!$M$8:$M$10000,'[1]1_inventory_total_details'!$C$8:$C$10000,I23,'[1]1_inventory_total_details'!$F$8:$F$10000,pb_location_id,'[1]1_inventory_total_details'!$G$8:$G$10000,"="&amp;Q23,'[1]1_inventory_total_details'!$H$8:$H$10000,"="&amp;R23,'[1]1_inventory_total_details'!$I$8:$I$10000,"="&amp;pb_date)+SUMIFS('[1]1_inventory_total_details'!$K$8:$K$10000,'[1]1_inventory_total_details'!$C$8:$C$10000,I23,'[1]1_inventory_total_details'!$F$8:$F$10000,pb_location_id,'[1]1_inventory_total_details'!$G$8:$G$10000,"="&amp;Q23,'[1]1_inventory_total_details'!$H$8:$H$10000,"="&amp;R23,'[1]1_inventory_total_details'!$I$8:$I$10000,"="&amp;pb_date)+SUMIFS('[1]1_inventory_total_details'!$L$8:$L$10000,'[1]1_inventory_total_details'!$C$8:$C$10000,I23,'[1]1_inventory_total_details'!$F$8:$F$10000,pb_location_id,'[1]1_inventory_total_details'!$G$8:$G$10000,"="&amp;Q23,'[1]1_inventory_total_details'!$H$8:$H$10000,"="&amp;R23,'[1]1_inventory_total_details'!$I$8:$I$10000,"="&amp;pb_date),SUMIFS('[1]2_inventory_total_details'!$J$8:$J$10000,'[1]2_inventory_total_details'!$C$8:$C$10000,I23,'[1]1_inventory_total_details'!$F$8:$F$10000,pb_location_id,'[1]2_inventory_total_details'!$G$8:$G$10000,"="&amp;Q23,'[1]2_inventory_total_details'!$H$8:$H$10000,"="&amp;R23,'[1]2_inventory_total_details'!$I$8:$I$10000,"="&amp;pb_date)+SUMIFS('[1]2_inventory_total_details'!$M$8:$M$10000,'[1]2_inventory_total_details'!$C$8:$C$10000,I23,'[1]2_inventory_total_details'!$F$8:$F$10000,pb_location_id,'[1]2_inventory_total_details'!$G$8:$G$10000,"="&amp;Q23,'[1]2_inventory_total_details'!$H$8:$H$10000,"="&amp;R23,'[1]2_inventory_total_details'!$I$8:$I$10000,"="&amp;pb_date)+SUMIFS('[1]2_inventory_total_details'!$K$8:$K$10000,'[1]2_inventory_total_details'!$C$8:$C$10000,I23,'[1]2_inventory_total_details'!$F$8:$F$10000,pb_location_id,'[1]2_inventory_total_details'!$G$8:$G$10000,"="&amp;Q23,'[1]2_inventory_total_details'!$H$8:$H$10000,"="&amp;R23,'[1]2_inventory_total_details'!$I$8:$I$10000,"="&amp;pb_date)+SUMIFS('[1]2_inventory_total_details'!$L$8:$L$10000,'[1]2_inventory_total_details'!$C$8:$C$10000,I23,'[1]2_inventory_total_details'!$F$8:$F$10000,pb_location_id,'[1]2_inventory_total_details'!$G$8:$G$10000,"="&amp;Q23,'[1]2_inventory_total_details'!$H$8:$H$10000,"="&amp;R23,'[1]2_inventory_total_details'!$I$8:$I$10000,"="&amp;pb_date)))</f>
        <v/>
      </c>
      <c r="AH23" s="1640" t="str">
        <f>IF(M23="","",IF(ISNA(MATCH(I23,'[1]1_group_totals'!$C$8:$C$10000)),0,IF(AT23&gt;0,1,0)))</f>
        <v/>
      </c>
      <c r="AI23" s="1640" t="str">
        <f>IF(M23="","",(SUMIFS('[1]1_group_total_details'!$I$8:$I$10000,'[1]1_group_total_details'!$C$8:$C$10000,I23,'[1]1_group_total_details'!$F$8:$F$10000,pb_location_group_id,'[1]1_group_total_details'!$G$8:$G$10000,pb_location_id,'[1]1_group_total_details'!$H$8:$H$10000,"="&amp;pb_date)+SUMIFS('[1]1_group_total_details'!$L$8:$L$10000,'[1]1_group_total_details'!$C$8:$C$10000,I23,'[1]1_group_total_details'!$F$8:$F$10000,pb_location_group_id,'[1]1_group_total_details'!$G$8:$G$10000,pb_location_id,'[1]1_group_total_details'!$H$8:$H$10000,"="&amp;pb_date)+SUMIFS('[1]1_group_total_details'!$N$8:$N$10000,'[1]1_group_total_details'!$C$8:$C$10000,I23,'[1]1_group_total_details'!$F$8:$F$10000,pb_location_group_id,'[1]1_group_total_details'!$G$8:$G$10000,pb_location_id,'[1]1_group_total_details'!$H$8:$H$10000,"="&amp;pb_date)+SUMIFS('[1]1_group_total_details'!$O$8:$O$10000,'[1]1_group_total_details'!$C$8:$C$10000,I23,'[1]1_group_total_details'!$F$8:$F$10000,pb_location_group_id,'[1]1_group_total_details'!$G$8:$G$10000,pb_location_id,'[1]1_group_total_details'!$H$8:$H$10000,"="&amp;pb_date))+(SUMIFS('[1]1_group_total_details'!$J$8:$J$10000,'[1]1_group_total_details'!$C$8:$C$10000,I23,'[1]1_group_total_details'!$F$8:$F$10000,pb_location_group_id,'[1]1_group_total_details'!$G$8:$G$10000,pb_location_id,'[1]1_group_total_details'!$H$8:$H$10000,"="&amp;pb_date)+SUMIFS('[1]1_group_total_details'!$K$8:$K$10000,'[1]1_group_total_details'!$C$8:$C$10000,I23,'[1]1_group_total_details'!$F$8:$F$10000,pb_location_group_id,'[1]1_group_total_details'!$G$8:$G$10000,pb_location_id,'[1]1_group_total_details'!$H$8:$H$10000,"="&amp;pb_date)+SUMIFS('[1]1_group_total_details'!$M$8:$M$10000,'[1]1_group_total_details'!$C$8:$C$10000,I23,'[1]1_group_total_details'!$F$8:$F$10000,pb_location_group_id,'[1]1_group_total_details'!$G$8:$G$10000,pb_location_id,'[1]1_group_total_details'!$H$8:$H$10000,"="&amp;pb_date)+SUMIFS('[1]1_group_total_details'!$P$8:$P$10000,'[1]1_group_total_details'!$C$8:$C$10000,I23,'[1]1_group_total_details'!$F$8:$F$10000,pb_location_group_id,'[1]1_group_total_details'!$G$8:$G$10000,pb_location_id,'[1]1_group_total_details'!$H$8:$H$10000,"="&amp;pb_date)))</f>
        <v/>
      </c>
      <c r="AJ23" s="1640" t="str">
        <f>IF(M23="","",IF(AK23=0,0,(SUMIFS('[1]1_group_total_details'!$I$8:$I$10000,'[1]1_group_total_details'!$C$8:$C$10000,I23,'[1]1_group_total_details'!$F$8:$F$10000,pb_location_group_id,'[1]1_group_total_details'!$G$8:$G$10000,pb_location_id,'[1]1_group_total_details'!$H$8:$H$10000,"&lt;="&amp;pb_date)+SUMIFS('[1]1_group_total_details'!$L$8:$L$10000,'[1]1_group_total_details'!$C$8:$C$10000,I23,'[1]1_group_total_details'!$F$8:$F$10000,pb_location_group_id,'[1]1_group_total_details'!$G$8:$G$10000,pb_location_id,'[1]1_group_total_details'!$H$8:$H$10000,"&lt;="&amp;pb_date)+SUMIFS('[1]1_group_total_details'!$N$8:$N$10000,'[1]1_group_total_details'!$C$8:$C$10000,I23,'[1]1_group_total_details'!$F$8:$F$10000,pb_location_group_id,'[1]1_group_total_details'!$G$8:$G$10000,pb_location_id,'[1]1_group_total_details'!$H$8:$H$10000,"&lt;="&amp;pb_date)+SUMIFS('[1]1_group_total_details'!$O$8:$O$10000,'[1]1_group_total_details'!$C$8:$C$10000,I23,'[1]1_group_total_details'!$F$8:$F$10000,pb_location_group_id,'[1]1_group_total_details'!$G$8:$G$10000,pb_location_id,'[1]1_group_total_details'!$H$8:$H$10000,"&lt;="&amp;pb_date))-(SUMIFS('[1]1_group_total_details'!$J$8:$J$10000,'[1]1_group_total_details'!$C$8:$C$10000,I23,'[1]1_group_total_details'!$F$8:$F$10000,pb_location_group_id,'[1]1_group_total_details'!$G$8:$G$10000,pb_location_id,'[1]1_group_total_details'!$H$8:$H$10000,"&lt;="&amp;pb_date)+SUMIFS('[1]1_group_total_details'!$K$8:$K$10000,'[1]1_group_total_details'!$C$8:$C$10000,I23,'[1]1_group_total_details'!$F$8:$F$10000,pb_location_group_id,'[1]1_group_total_details'!$G$8:$G$10000,invoice_location_id,'[1]1_group_total_details'!$H$8:$H$10000,"&lt;="&amp;pb_date)+SUMIFS('[1]1_group_total_details'!$M$8:$M$10000,'[1]1_group_total_details'!$C$8:$C$10000,I23,'[1]1_group_total_details'!$F$8:$F$10000,pb_location_group_id,'[1]1_group_total_details'!$G$8:$G$10000,pb_location_id,'[1]1_group_total_details'!$H$8:$H$10000,"&lt;="&amp;pb_date)+SUMIFS('[1]1_group_total_details'!$P$8:$P$10000,'[1]1_group_total_details'!$C$8:$C$10000,I23,'[1]1_group_total_details'!$F$8:$F$10000,pb_location_group_id,'[1]1_group_total_details'!$G$8:$G$10000,pb_location_id,'[1]1_group_total_details'!$H$8:$H$10000,"&lt;="&amp;pb_date))))</f>
        <v/>
      </c>
      <c r="AK23" s="1640" t="str">
        <f>IF(M23="","",SUMIFS('[1]1_group_totals'!$J$8:$J$10000,'[1]1_group_totals'!$C$8:$C$10000,I23,'[1]1_group_totals'!$F$8:$F$10000,pb_location_group_id,'[1]1_group_totals'!$G$8:$G$10000,pb_location_id,'[1]1_group_totals'!$H$8:$H$10000,"="&amp;Q23,'[1]1_group_totals'!$I$8:$I$10000,"="&amp;R23))</f>
        <v/>
      </c>
      <c r="AL23" s="1644" t="str">
        <f t="shared" si="17"/>
        <v/>
      </c>
      <c r="AM23" s="1644" t="str">
        <f>IF(OR(ISNA(MATCH(MID(AL23,1,3)*1,UomConversion!$D$8:$D$500,0)),M23=""),"",IF(AQ23="","",AQ23))</f>
        <v/>
      </c>
      <c r="AN23" s="1644" t="str">
        <f>IF(AND(AO23&gt;0,COUNTIFS(UomConversion!$D$8:$D$500,MID(AL23,1,3)*1,UomConversion!$J$8:$J$500,1)&gt;1),TEXT(AO23,"000")&amp;"."&amp;VLOOKUP(AO23,uom_list,5,FALSE),"")</f>
        <v/>
      </c>
      <c r="AO23" s="1640" t="str">
        <f t="shared" si="18"/>
        <v/>
      </c>
      <c r="AP23" s="1645" t="str">
        <f t="shared" si="19"/>
        <v/>
      </c>
      <c r="AQ23" s="491" t="str">
        <f t="shared" si="20"/>
        <v/>
      </c>
      <c r="AR23" s="1281" t="str" cm="1">
        <f t="array" ref="AR23">IF(M23="","",IF(ISNA(Slookup(MID(AL23,1,3)*1,UomConversion!$D$8:$J$500,2,UomConversion!$I$8:$I$500,1,UomConversion!$J$8:$J$500,1)),"",Slookup(MID(AL23,1,3)*1,UomConversion!$D$8:$J$500,2,UomConversion!$I$8:$I$500,1,UomConversion!$J$8:$J$500,1)))</f>
        <v/>
      </c>
      <c r="AS23" s="663" t="str">
        <f>IF(M23="","",(SUMIFS('[1]1_inventory_totals'!$I$8:$I$10000,'[1]1_inventory_totals'!$C$8:$C$10000,I23,'[1]1_inventory_totals'!$F$8:$F$10000,"="&amp;Q23,'[1]1_inventory_totals'!$G$8:$G$10000,"="&amp;R23)+SUMIFS('[1]1_inventory_totals'!$N$8:$N$10000,'[1]1_inventory_totals'!$C$8:$C$10000,I23,'[1]1_inventory_totals'!$F$8:$F$10000,"="&amp;Q23,'[1]1_inventory_totals'!$G$8:$G$10000,"="&amp;R23)+SUMIFS('[1]1_inventory_totals'!$P$8:$P$10000,'[1]1_inventory_totals'!$C$8:$C$10000,I23,'[1]1_inventory_totals'!$F$8:$F$10000,"="&amp;Q23,'[1]1_inventory_totals'!$G$8:$G$10000,"="&amp;R23)+SUMIFS('[1]1_inventory_totals'!$Q$8:$Q$10000,'[1]1_inventory_totals'!$C$8:$C$10000,I23,'[1]1_inventory_totals'!$F$8:$F$10000,"="&amp;Q23,'[1]1_inventory_totals'!$G$8:$G$10000,"="&amp;R23)+SUMIFS('[1]1_inventory_totals'!$R$8:$R$10000,'[1]1_inventory_totals'!$C$8:$C$10000,I23,'[1]1_inventory_totals'!$F$8:$F$10000,"="&amp;Q23,'[1]1_inventory_totals'!$G$8:$G$10000,"="&amp;R23))+(SUMIFS('[1]1_inventory_totals'!$J$8:$J$10000,'[1]1_inventory_totals'!$C$8:$C$10000,I23,'[1]1_inventory_totals'!$F$8:$F$10000,"="&amp;Q23,'[1]1_inventory_totals'!$G$8:$G$10000,"="&amp;R23)+SUMIFS('[1]1_inventory_totals'!$K$8:$K$10000,'[1]1_inventory_totals'!$C$8:$C$10000,I23,'[1]1_inventory_totals'!$F$8:$F$10000,"="&amp;Q23,'[1]1_inventory_totals'!$G$8:$G$10000,"="&amp;R23)+SUMIFS('[1]1_inventory_totals'!$L$8:$L$10000,'[1]1_inventory_totals'!$C$8:$C$10000,I23,'[1]1_inventory_totals'!$F$8:$F$10000,"="&amp;Q23,'[1]1_inventory_totals'!$G$8:$G$10000,"="&amp;R23)+SUMIFS('[1]1_inventory_totals'!$M$8:$M$10000,'[1]1_inventory_totals'!$C$8:$C$10000,I23,'[1]1_inventory_totals'!$F$8:$F$10000,"="&amp;Q23,'[1]1_inventory_totals'!$G$8:$G$10000,"="&amp;R23)+SUMIFS('[1]1_inventory_totals'!$O$8:$O$10000,'[1]1_inventory_totals'!$C$8:$C$10000,I23,'[1]1_inventory_totals'!$F$8:$F$10000,"="&amp;Q23,'[1]1_inventory_totals'!$G$8:$G$10000,"="&amp;R23)+SUMIFS('[1]1_inventory_totals'!$S$8:$S$10000,'[1]1_inventory_totals'!$C$8:$C$10000,I23,'[1]1_inventory_totals'!$F$8:$F$10000,"="&amp;Q23,'[1]1_inventory_totals'!$G$8:$G$10000,"="&amp;R23)))</f>
        <v/>
      </c>
      <c r="AT23" s="1281" t="str">
        <f>IF(M23="","",(SUMIFS('[1]1_group_totals'!$K$8:$K$10000,'[1]1_group_totals'!$C$8:$C$10000,I23,'[1]1_group_totals'!$F$8:$F$10000,pb_location_group_id,'[1]1_group_totals'!$G$8:$G$10000,pb_location_id,'[1]1_group_totals'!$H$8:$H$10000,"="&amp;Q23,'[1]1_group_totals'!$I$8:$I$10000,"="&amp;R23)+SUMIFS('[1]1_group_totals'!$N$8:$N$10000,'[1]1_group_totals'!$C$8:$C$10000,I23,'[1]1_group_totals'!$F$8:$F$10000,pb_location_group_id,'[1]1_group_totals'!$G$8:$G$10000,pb_location_id,'[1]1_group_totals'!$H$8:$H$10000,"="&amp;Q23,'[1]1_group_totals'!$I$8:$I$10000,"="&amp;R23)+SUMIFS('[1]1_group_totals'!$P$8:$P$10000,'[1]1_group_totals'!$C$8:$C$10000,I23,'[1]1_group_totals'!$F$8:$F$10000,pb_location_group_id,'[1]1_group_totals'!$G$8:$G$10000,pb_location_id,'[1]1_group_totals'!$H$8:$H$10000,"="&amp;Q23,'[1]1_group_totals'!$I$8:$I$10000,"="&amp;R23)+SUMIFS('[1]1_group_totals'!$Q$8:$Q$10000,'[1]1_group_totals'!$C$8:$C$10000,I23,'[1]1_group_totals'!$F$8:$F$10000,pb_location_group_id,'[1]1_group_totals'!$G$8:$G$10000,pb_location_id,'[1]1_group_totals'!$H$8:$H$10000,"="&amp;Q23,'[1]1_group_totals'!$I$8:$I$10000,"="&amp;R23))+(SUMIFS('[1]1_group_totals'!$L$8:$L$10000,'[1]1_group_totals'!$C$8:$C$10000,I23,'[1]1_group_totals'!$F$8:$F$10000,pb_location_group_id,'[1]1_group_totals'!$G$8:$G$10000,pb_location_id,'[1]1_group_totals'!$H$8:$H$10000,"="&amp;Q23,'[1]1_group_totals'!$I$8:$I$10000,"="&amp;R23)+SUMIFS('[1]1_group_totals'!$M$8:$M$10000,'[1]1_group_totals'!$C$8:$C$10000,I23,'[1]1_group_totals'!$F$8:$F$10000,pb_location_group_id,'[1]1_group_totals'!$G$8:$G$10000,pb_location_id,'[1]1_group_totals'!$H$8:$H$10000,"="&amp;Q23,'[1]1_group_totals'!$I$8:$I$10000,"="&amp;R23)+SUMIFS('[1]1_group_totals'!$O$8:$O$10000,'[1]1_group_totals'!$C$8:$C$10000,I23,'[1]1_group_totals'!$F$8:$F$10000,pb_location_group_id,'[1]1_group_totals'!$G$8:$G$10000,pb_location_id,'[1]1_group_totals'!$H$8:$H$10000,"="&amp;Q23,'[1]1_group_totals'!$I$8:$I$10000,"="&amp;R23)+SUMIFS('[1]1_group_totals'!$R$8:$R$10000,'[1]1_group_totals'!$C$8:$C$10000,I23,'[1]1_group_totals'!$F$8:$F$10000,pb_location_group_id,'[1]1_group_totals'!$G$8:$G$10000,pb_location_id,'[1]1_group_totals'!$H$8:$H$10000,"="&amp;Q23,'[1]1_group_totals'!$I$8:$I$10000,"="&amp;R23)))</f>
        <v/>
      </c>
    </row>
    <row r="24" spans="1:46" ht="27" customHeight="1" thickBot="1">
      <c r="A24" s="923"/>
      <c r="B24" s="1011"/>
      <c r="C24" s="2003"/>
      <c r="D24" s="2004"/>
      <c r="E24" s="2005"/>
      <c r="F24" s="1057"/>
      <c r="I24" s="1610" t="str">
        <f t="shared" si="8"/>
        <v/>
      </c>
      <c r="J24" s="1631" t="str">
        <f t="shared" si="25"/>
        <v/>
      </c>
      <c r="K24" s="1628" t="str">
        <f t="shared" si="0"/>
        <v/>
      </c>
      <c r="L24" s="1632"/>
      <c r="M24" s="1043"/>
      <c r="N24" s="1044"/>
      <c r="O24" s="1044"/>
      <c r="P24" s="1046"/>
      <c r="Q24" s="1047"/>
      <c r="R24" s="1053"/>
      <c r="S24" s="1634" t="str">
        <f t="shared" ref="S24" si="65">IF(M24="","",pb_currency_symbol)</f>
        <v/>
      </c>
      <c r="T24" s="1068"/>
      <c r="U24" s="1636" t="str">
        <f t="shared" si="10"/>
        <v/>
      </c>
      <c r="V24" s="1634" t="str">
        <f t="shared" ref="V24" si="66">IF(W24=0,"",pb_currency_symbol)</f>
        <v/>
      </c>
      <c r="W24" s="1054"/>
      <c r="X24" s="1634" t="str">
        <f t="shared" ref="X24" si="67">IF(M24="","",pb_currency_symbol)</f>
        <v/>
      </c>
      <c r="Y24" s="1638" t="str">
        <f t="shared" si="24"/>
        <v/>
      </c>
      <c r="Z24" s="1062"/>
      <c r="AA24" s="1639" t="str" cm="1">
        <f t="array" ref="AA24">IF(M24="","",IF(P24=AL24,1,Slookup(MID(AL24,1,3)*1,UomConversion!$D$8:$J$500,5,UomConversion!$E$8:$E$500,MID(P24,1,3)*1,UomConversion!$J$8:$J$500,1)))</f>
        <v/>
      </c>
      <c r="AB24" s="1640" t="str">
        <f t="shared" si="13"/>
        <v/>
      </c>
      <c r="AC24" s="1641" t="str">
        <f t="shared" si="14"/>
        <v/>
      </c>
      <c r="AD24" s="1642" t="str">
        <f t="shared" si="15"/>
        <v/>
      </c>
      <c r="AE24" s="1643" t="str">
        <f t="shared" si="16"/>
        <v/>
      </c>
      <c r="AF24" s="1640" t="str">
        <f>IF(I24="","",IF(ISNA(MATCH(I24,IF(pb_location_id=1,'[1]1_inventory_totals'!$C$8:$C$10000,IF(pb_location_id=2,'[1]2_inventory_totals'!$C$8:$C$10000,"")),0)),0,IF(AS24&gt;0,1,0)))</f>
        <v/>
      </c>
      <c r="AG24" s="1640" t="str">
        <f>IF(M24="","",IF(pb_location_id=1,SUMIFS('[1]1_inventory_total_details'!$J$8:$J$10000,'[1]1_inventory_total_details'!$C$8:$C$10000,I24,'[1]1_inventory_total_details'!$F$8:$F$10000,pb_location_id,'[1]1_inventory_total_details'!$G$8:$G$10000,"="&amp;Q24,'[1]1_inventory_total_details'!$H$8:$H$10000,"="&amp;R24,'[1]1_inventory_total_details'!$I$8:$I$10000,"="&amp;pb_date)+SUMIFS('[1]1_inventory_total_details'!$M$8:$M$10000,'[1]1_inventory_total_details'!$C$8:$C$10000,I24,'[1]1_inventory_total_details'!$F$8:$F$10000,pb_location_id,'[1]1_inventory_total_details'!$G$8:$G$10000,"="&amp;Q24,'[1]1_inventory_total_details'!$H$8:$H$10000,"="&amp;R24,'[1]1_inventory_total_details'!$I$8:$I$10000,"="&amp;pb_date)+SUMIFS('[1]1_inventory_total_details'!$K$8:$K$10000,'[1]1_inventory_total_details'!$C$8:$C$10000,I24,'[1]1_inventory_total_details'!$F$8:$F$10000,pb_location_id,'[1]1_inventory_total_details'!$G$8:$G$10000,"="&amp;Q24,'[1]1_inventory_total_details'!$H$8:$H$10000,"="&amp;R24,'[1]1_inventory_total_details'!$I$8:$I$10000,"="&amp;pb_date)+SUMIFS('[1]1_inventory_total_details'!$L$8:$L$10000,'[1]1_inventory_total_details'!$C$8:$C$10000,I24,'[1]1_inventory_total_details'!$F$8:$F$10000,pb_location_id,'[1]1_inventory_total_details'!$G$8:$G$10000,"="&amp;Q24,'[1]1_inventory_total_details'!$H$8:$H$10000,"="&amp;R24,'[1]1_inventory_total_details'!$I$8:$I$10000,"="&amp;pb_date),SUMIFS('[1]2_inventory_total_details'!$J$8:$J$10000,'[1]2_inventory_total_details'!$C$8:$C$10000,I24,'[1]1_inventory_total_details'!$F$8:$F$10000,pb_location_id,'[1]2_inventory_total_details'!$G$8:$G$10000,"="&amp;Q24,'[1]2_inventory_total_details'!$H$8:$H$10000,"="&amp;R24,'[1]2_inventory_total_details'!$I$8:$I$10000,"="&amp;pb_date)+SUMIFS('[1]2_inventory_total_details'!$M$8:$M$10000,'[1]2_inventory_total_details'!$C$8:$C$10000,I24,'[1]2_inventory_total_details'!$F$8:$F$10000,pb_location_id,'[1]2_inventory_total_details'!$G$8:$G$10000,"="&amp;Q24,'[1]2_inventory_total_details'!$H$8:$H$10000,"="&amp;R24,'[1]2_inventory_total_details'!$I$8:$I$10000,"="&amp;pb_date)+SUMIFS('[1]2_inventory_total_details'!$K$8:$K$10000,'[1]2_inventory_total_details'!$C$8:$C$10000,I24,'[1]2_inventory_total_details'!$F$8:$F$10000,pb_location_id,'[1]2_inventory_total_details'!$G$8:$G$10000,"="&amp;Q24,'[1]2_inventory_total_details'!$H$8:$H$10000,"="&amp;R24,'[1]2_inventory_total_details'!$I$8:$I$10000,"="&amp;pb_date)+SUMIFS('[1]2_inventory_total_details'!$L$8:$L$10000,'[1]2_inventory_total_details'!$C$8:$C$10000,I24,'[1]2_inventory_total_details'!$F$8:$F$10000,pb_location_id,'[1]2_inventory_total_details'!$G$8:$G$10000,"="&amp;Q24,'[1]2_inventory_total_details'!$H$8:$H$10000,"="&amp;R24,'[1]2_inventory_total_details'!$I$8:$I$10000,"="&amp;pb_date)))</f>
        <v/>
      </c>
      <c r="AH24" s="1640" t="str">
        <f>IF(M24="","",IF(ISNA(MATCH(I24,'[1]1_group_totals'!$C$8:$C$10000)),0,IF(AT24&gt;0,1,0)))</f>
        <v/>
      </c>
      <c r="AI24" s="1640" t="str">
        <f>IF(M24="","",(SUMIFS('[1]1_group_total_details'!$I$8:$I$10000,'[1]1_group_total_details'!$C$8:$C$10000,I24,'[1]1_group_total_details'!$F$8:$F$10000,pb_location_group_id,'[1]1_group_total_details'!$G$8:$G$10000,pb_location_id,'[1]1_group_total_details'!$H$8:$H$10000,"="&amp;pb_date)+SUMIFS('[1]1_group_total_details'!$L$8:$L$10000,'[1]1_group_total_details'!$C$8:$C$10000,I24,'[1]1_group_total_details'!$F$8:$F$10000,pb_location_group_id,'[1]1_group_total_details'!$G$8:$G$10000,pb_location_id,'[1]1_group_total_details'!$H$8:$H$10000,"="&amp;pb_date)+SUMIFS('[1]1_group_total_details'!$N$8:$N$10000,'[1]1_group_total_details'!$C$8:$C$10000,I24,'[1]1_group_total_details'!$F$8:$F$10000,pb_location_group_id,'[1]1_group_total_details'!$G$8:$G$10000,pb_location_id,'[1]1_group_total_details'!$H$8:$H$10000,"="&amp;pb_date)+SUMIFS('[1]1_group_total_details'!$O$8:$O$10000,'[1]1_group_total_details'!$C$8:$C$10000,I24,'[1]1_group_total_details'!$F$8:$F$10000,pb_location_group_id,'[1]1_group_total_details'!$G$8:$G$10000,pb_location_id,'[1]1_group_total_details'!$H$8:$H$10000,"="&amp;pb_date))+(SUMIFS('[1]1_group_total_details'!$J$8:$J$10000,'[1]1_group_total_details'!$C$8:$C$10000,I24,'[1]1_group_total_details'!$F$8:$F$10000,pb_location_group_id,'[1]1_group_total_details'!$G$8:$G$10000,pb_location_id,'[1]1_group_total_details'!$H$8:$H$10000,"="&amp;pb_date)+SUMIFS('[1]1_group_total_details'!$K$8:$K$10000,'[1]1_group_total_details'!$C$8:$C$10000,I24,'[1]1_group_total_details'!$F$8:$F$10000,pb_location_group_id,'[1]1_group_total_details'!$G$8:$G$10000,pb_location_id,'[1]1_group_total_details'!$H$8:$H$10000,"="&amp;pb_date)+SUMIFS('[1]1_group_total_details'!$M$8:$M$10000,'[1]1_group_total_details'!$C$8:$C$10000,I24,'[1]1_group_total_details'!$F$8:$F$10000,pb_location_group_id,'[1]1_group_total_details'!$G$8:$G$10000,pb_location_id,'[1]1_group_total_details'!$H$8:$H$10000,"="&amp;pb_date)+SUMIFS('[1]1_group_total_details'!$P$8:$P$10000,'[1]1_group_total_details'!$C$8:$C$10000,I24,'[1]1_group_total_details'!$F$8:$F$10000,pb_location_group_id,'[1]1_group_total_details'!$G$8:$G$10000,pb_location_id,'[1]1_group_total_details'!$H$8:$H$10000,"="&amp;pb_date)))</f>
        <v/>
      </c>
      <c r="AJ24" s="1640" t="str">
        <f>IF(M24="","",IF(AK24=0,0,(SUMIFS('[1]1_group_total_details'!$I$8:$I$10000,'[1]1_group_total_details'!$C$8:$C$10000,I24,'[1]1_group_total_details'!$F$8:$F$10000,pb_location_group_id,'[1]1_group_total_details'!$G$8:$G$10000,pb_location_id,'[1]1_group_total_details'!$H$8:$H$10000,"&lt;="&amp;pb_date)+SUMIFS('[1]1_group_total_details'!$L$8:$L$10000,'[1]1_group_total_details'!$C$8:$C$10000,I24,'[1]1_group_total_details'!$F$8:$F$10000,pb_location_group_id,'[1]1_group_total_details'!$G$8:$G$10000,pb_location_id,'[1]1_group_total_details'!$H$8:$H$10000,"&lt;="&amp;pb_date)+SUMIFS('[1]1_group_total_details'!$N$8:$N$10000,'[1]1_group_total_details'!$C$8:$C$10000,I24,'[1]1_group_total_details'!$F$8:$F$10000,pb_location_group_id,'[1]1_group_total_details'!$G$8:$G$10000,pb_location_id,'[1]1_group_total_details'!$H$8:$H$10000,"&lt;="&amp;pb_date)+SUMIFS('[1]1_group_total_details'!$O$8:$O$10000,'[1]1_group_total_details'!$C$8:$C$10000,I24,'[1]1_group_total_details'!$F$8:$F$10000,pb_location_group_id,'[1]1_group_total_details'!$G$8:$G$10000,pb_location_id,'[1]1_group_total_details'!$H$8:$H$10000,"&lt;="&amp;pb_date))-(SUMIFS('[1]1_group_total_details'!$J$8:$J$10000,'[1]1_group_total_details'!$C$8:$C$10000,I24,'[1]1_group_total_details'!$F$8:$F$10000,pb_location_group_id,'[1]1_group_total_details'!$G$8:$G$10000,pb_location_id,'[1]1_group_total_details'!$H$8:$H$10000,"&lt;="&amp;pb_date)+SUMIFS('[1]1_group_total_details'!$K$8:$K$10000,'[1]1_group_total_details'!$C$8:$C$10000,I24,'[1]1_group_total_details'!$F$8:$F$10000,pb_location_group_id,'[1]1_group_total_details'!$G$8:$G$10000,invoice_location_id,'[1]1_group_total_details'!$H$8:$H$10000,"&lt;="&amp;pb_date)+SUMIFS('[1]1_group_total_details'!$M$8:$M$10000,'[1]1_group_total_details'!$C$8:$C$10000,I24,'[1]1_group_total_details'!$F$8:$F$10000,pb_location_group_id,'[1]1_group_total_details'!$G$8:$G$10000,pb_location_id,'[1]1_group_total_details'!$H$8:$H$10000,"&lt;="&amp;pb_date)+SUMIFS('[1]1_group_total_details'!$P$8:$P$10000,'[1]1_group_total_details'!$C$8:$C$10000,I24,'[1]1_group_total_details'!$F$8:$F$10000,pb_location_group_id,'[1]1_group_total_details'!$G$8:$G$10000,pb_location_id,'[1]1_group_total_details'!$H$8:$H$10000,"&lt;="&amp;pb_date))))</f>
        <v/>
      </c>
      <c r="AK24" s="1640" t="str">
        <f>IF(M24="","",SUMIFS('[1]1_group_totals'!$J$8:$J$10000,'[1]1_group_totals'!$C$8:$C$10000,I24,'[1]1_group_totals'!$F$8:$F$10000,pb_location_group_id,'[1]1_group_totals'!$G$8:$G$10000,pb_location_id,'[1]1_group_totals'!$H$8:$H$10000,"="&amp;Q24,'[1]1_group_totals'!$I$8:$I$10000,"="&amp;R24))</f>
        <v/>
      </c>
      <c r="AL24" s="1644" t="str">
        <f t="shared" si="17"/>
        <v/>
      </c>
      <c r="AM24" s="1644" t="str">
        <f>IF(OR(ISNA(MATCH(MID(AL24,1,3)*1,UomConversion!$D$8:$D$500,0)),M24=""),"",IF(AQ24="","",AQ24))</f>
        <v/>
      </c>
      <c r="AN24" s="1644" t="str">
        <f>IF(AND(AO24&gt;0,COUNTIFS(UomConversion!$D$8:$D$500,MID(AL24,1,3)*1,UomConversion!$J$8:$J$500,1)&gt;1),TEXT(AO24,"000")&amp;"."&amp;VLOOKUP(AO24,uom_list,5,FALSE),"")</f>
        <v/>
      </c>
      <c r="AO24" s="1640" t="str">
        <f t="shared" si="18"/>
        <v/>
      </c>
      <c r="AP24" s="1645" t="str">
        <f t="shared" si="19"/>
        <v/>
      </c>
      <c r="AQ24" s="491" t="str">
        <f t="shared" si="20"/>
        <v/>
      </c>
      <c r="AR24" s="1281" t="str" cm="1">
        <f t="array" ref="AR24">IF(M24="","",IF(ISNA(Slookup(MID(AL24,1,3)*1,UomConversion!$D$8:$J$500,2,UomConversion!$I$8:$I$500,1,UomConversion!$J$8:$J$500,1)),"",Slookup(MID(AL24,1,3)*1,UomConversion!$D$8:$J$500,2,UomConversion!$I$8:$I$500,1,UomConversion!$J$8:$J$500,1)))</f>
        <v/>
      </c>
      <c r="AS24" s="663" t="str">
        <f>IF(M24="","",(SUMIFS('[1]1_inventory_totals'!$I$8:$I$10000,'[1]1_inventory_totals'!$C$8:$C$10000,I24,'[1]1_inventory_totals'!$F$8:$F$10000,"="&amp;Q24,'[1]1_inventory_totals'!$G$8:$G$10000,"="&amp;R24)+SUMIFS('[1]1_inventory_totals'!$N$8:$N$10000,'[1]1_inventory_totals'!$C$8:$C$10000,I24,'[1]1_inventory_totals'!$F$8:$F$10000,"="&amp;Q24,'[1]1_inventory_totals'!$G$8:$G$10000,"="&amp;R24)+SUMIFS('[1]1_inventory_totals'!$P$8:$P$10000,'[1]1_inventory_totals'!$C$8:$C$10000,I24,'[1]1_inventory_totals'!$F$8:$F$10000,"="&amp;Q24,'[1]1_inventory_totals'!$G$8:$G$10000,"="&amp;R24)+SUMIFS('[1]1_inventory_totals'!$Q$8:$Q$10000,'[1]1_inventory_totals'!$C$8:$C$10000,I24,'[1]1_inventory_totals'!$F$8:$F$10000,"="&amp;Q24,'[1]1_inventory_totals'!$G$8:$G$10000,"="&amp;R24)+SUMIFS('[1]1_inventory_totals'!$R$8:$R$10000,'[1]1_inventory_totals'!$C$8:$C$10000,I24,'[1]1_inventory_totals'!$F$8:$F$10000,"="&amp;Q24,'[1]1_inventory_totals'!$G$8:$G$10000,"="&amp;R24))+(SUMIFS('[1]1_inventory_totals'!$J$8:$J$10000,'[1]1_inventory_totals'!$C$8:$C$10000,I24,'[1]1_inventory_totals'!$F$8:$F$10000,"="&amp;Q24,'[1]1_inventory_totals'!$G$8:$G$10000,"="&amp;R24)+SUMIFS('[1]1_inventory_totals'!$K$8:$K$10000,'[1]1_inventory_totals'!$C$8:$C$10000,I24,'[1]1_inventory_totals'!$F$8:$F$10000,"="&amp;Q24,'[1]1_inventory_totals'!$G$8:$G$10000,"="&amp;R24)+SUMIFS('[1]1_inventory_totals'!$L$8:$L$10000,'[1]1_inventory_totals'!$C$8:$C$10000,I24,'[1]1_inventory_totals'!$F$8:$F$10000,"="&amp;Q24,'[1]1_inventory_totals'!$G$8:$G$10000,"="&amp;R24)+SUMIFS('[1]1_inventory_totals'!$M$8:$M$10000,'[1]1_inventory_totals'!$C$8:$C$10000,I24,'[1]1_inventory_totals'!$F$8:$F$10000,"="&amp;Q24,'[1]1_inventory_totals'!$G$8:$G$10000,"="&amp;R24)+SUMIFS('[1]1_inventory_totals'!$O$8:$O$10000,'[1]1_inventory_totals'!$C$8:$C$10000,I24,'[1]1_inventory_totals'!$F$8:$F$10000,"="&amp;Q24,'[1]1_inventory_totals'!$G$8:$G$10000,"="&amp;R24)+SUMIFS('[1]1_inventory_totals'!$S$8:$S$10000,'[1]1_inventory_totals'!$C$8:$C$10000,I24,'[1]1_inventory_totals'!$F$8:$F$10000,"="&amp;Q24,'[1]1_inventory_totals'!$G$8:$G$10000,"="&amp;R24)))</f>
        <v/>
      </c>
      <c r="AT24" s="1281" t="str">
        <f>IF(M24="","",(SUMIFS('[1]1_group_totals'!$K$8:$K$10000,'[1]1_group_totals'!$C$8:$C$10000,I24,'[1]1_group_totals'!$F$8:$F$10000,pb_location_group_id,'[1]1_group_totals'!$G$8:$G$10000,pb_location_id,'[1]1_group_totals'!$H$8:$H$10000,"="&amp;Q24,'[1]1_group_totals'!$I$8:$I$10000,"="&amp;R24)+SUMIFS('[1]1_group_totals'!$N$8:$N$10000,'[1]1_group_totals'!$C$8:$C$10000,I24,'[1]1_group_totals'!$F$8:$F$10000,pb_location_group_id,'[1]1_group_totals'!$G$8:$G$10000,pb_location_id,'[1]1_group_totals'!$H$8:$H$10000,"="&amp;Q24,'[1]1_group_totals'!$I$8:$I$10000,"="&amp;R24)+SUMIFS('[1]1_group_totals'!$P$8:$P$10000,'[1]1_group_totals'!$C$8:$C$10000,I24,'[1]1_group_totals'!$F$8:$F$10000,pb_location_group_id,'[1]1_group_totals'!$G$8:$G$10000,pb_location_id,'[1]1_group_totals'!$H$8:$H$10000,"="&amp;Q24,'[1]1_group_totals'!$I$8:$I$10000,"="&amp;R24)+SUMIFS('[1]1_group_totals'!$Q$8:$Q$10000,'[1]1_group_totals'!$C$8:$C$10000,I24,'[1]1_group_totals'!$F$8:$F$10000,pb_location_group_id,'[1]1_group_totals'!$G$8:$G$10000,pb_location_id,'[1]1_group_totals'!$H$8:$H$10000,"="&amp;Q24,'[1]1_group_totals'!$I$8:$I$10000,"="&amp;R24))+(SUMIFS('[1]1_group_totals'!$L$8:$L$10000,'[1]1_group_totals'!$C$8:$C$10000,I24,'[1]1_group_totals'!$F$8:$F$10000,pb_location_group_id,'[1]1_group_totals'!$G$8:$G$10000,pb_location_id,'[1]1_group_totals'!$H$8:$H$10000,"="&amp;Q24,'[1]1_group_totals'!$I$8:$I$10000,"="&amp;R24)+SUMIFS('[1]1_group_totals'!$M$8:$M$10000,'[1]1_group_totals'!$C$8:$C$10000,I24,'[1]1_group_totals'!$F$8:$F$10000,pb_location_group_id,'[1]1_group_totals'!$G$8:$G$10000,pb_location_id,'[1]1_group_totals'!$H$8:$H$10000,"="&amp;Q24,'[1]1_group_totals'!$I$8:$I$10000,"="&amp;R24)+SUMIFS('[1]1_group_totals'!$O$8:$O$10000,'[1]1_group_totals'!$C$8:$C$10000,I24,'[1]1_group_totals'!$F$8:$F$10000,pb_location_group_id,'[1]1_group_totals'!$G$8:$G$10000,pb_location_id,'[1]1_group_totals'!$H$8:$H$10000,"="&amp;Q24,'[1]1_group_totals'!$I$8:$I$10000,"="&amp;R24)+SUMIFS('[1]1_group_totals'!$R$8:$R$10000,'[1]1_group_totals'!$C$8:$C$10000,I24,'[1]1_group_totals'!$F$8:$F$10000,pb_location_group_id,'[1]1_group_totals'!$G$8:$G$10000,pb_location_id,'[1]1_group_totals'!$H$8:$H$10000,"="&amp;Q24,'[1]1_group_totals'!$I$8:$I$10000,"="&amp;R24)))</f>
        <v/>
      </c>
    </row>
    <row r="25" spans="1:46" ht="27" customHeight="1">
      <c r="A25" s="923"/>
      <c r="B25" s="1011"/>
      <c r="C25" s="950"/>
      <c r="D25" s="950"/>
      <c r="E25" s="950"/>
      <c r="F25" s="1057"/>
      <c r="I25" s="1610" t="str">
        <f t="shared" si="8"/>
        <v/>
      </c>
      <c r="J25" s="1631" t="str">
        <f t="shared" si="25"/>
        <v/>
      </c>
      <c r="K25" s="1628" t="str">
        <f t="shared" si="0"/>
        <v/>
      </c>
      <c r="L25" s="1632"/>
      <c r="M25" s="1069"/>
      <c r="N25" s="1044"/>
      <c r="O25" s="1044"/>
      <c r="P25" s="1046"/>
      <c r="Q25" s="1047"/>
      <c r="R25" s="1053"/>
      <c r="S25" s="1634" t="str">
        <f t="shared" ref="S25" si="68">IF(M25="","",pb_currency_symbol)</f>
        <v/>
      </c>
      <c r="T25" s="1068"/>
      <c r="U25" s="1636" t="str">
        <f t="shared" si="10"/>
        <v/>
      </c>
      <c r="V25" s="1634" t="str">
        <f t="shared" ref="V25" si="69">IF(W25=0,"",pb_currency_symbol)</f>
        <v/>
      </c>
      <c r="W25" s="1054"/>
      <c r="X25" s="1634" t="str">
        <f t="shared" ref="X25" si="70">IF(M25="","",pb_currency_symbol)</f>
        <v/>
      </c>
      <c r="Y25" s="1638" t="str">
        <f t="shared" si="24"/>
        <v/>
      </c>
      <c r="Z25" s="1062"/>
      <c r="AA25" s="1639" t="str" cm="1">
        <f t="array" ref="AA25">IF(M25="","",IF(P25=AL25,1,Slookup(MID(AL25,1,3)*1,UomConversion!$D$8:$J$500,5,UomConversion!$E$8:$E$500,MID(P25,1,3)*1,UomConversion!$J$8:$J$500,1)))</f>
        <v/>
      </c>
      <c r="AB25" s="1640" t="str">
        <f t="shared" si="13"/>
        <v/>
      </c>
      <c r="AC25" s="1641" t="str">
        <f t="shared" si="14"/>
        <v/>
      </c>
      <c r="AD25" s="1642" t="str">
        <f t="shared" si="15"/>
        <v/>
      </c>
      <c r="AE25" s="1643" t="str">
        <f t="shared" si="16"/>
        <v/>
      </c>
      <c r="AF25" s="1640" t="str">
        <f>IF(I25="","",IF(ISNA(MATCH(I25,IF(pb_location_id=1,'[1]1_inventory_totals'!$C$8:$C$10000,IF(pb_location_id=2,'[1]2_inventory_totals'!$C$8:$C$10000,"")),0)),0,IF(AS25&gt;0,1,0)))</f>
        <v/>
      </c>
      <c r="AG25" s="1640" t="str">
        <f>IF(M25="","",IF(pb_location_id=1,SUMIFS('[1]1_inventory_total_details'!$J$8:$J$10000,'[1]1_inventory_total_details'!$C$8:$C$10000,I25,'[1]1_inventory_total_details'!$F$8:$F$10000,pb_location_id,'[1]1_inventory_total_details'!$G$8:$G$10000,"="&amp;Q25,'[1]1_inventory_total_details'!$H$8:$H$10000,"="&amp;R25,'[1]1_inventory_total_details'!$I$8:$I$10000,"="&amp;pb_date)+SUMIFS('[1]1_inventory_total_details'!$M$8:$M$10000,'[1]1_inventory_total_details'!$C$8:$C$10000,I25,'[1]1_inventory_total_details'!$F$8:$F$10000,pb_location_id,'[1]1_inventory_total_details'!$G$8:$G$10000,"="&amp;Q25,'[1]1_inventory_total_details'!$H$8:$H$10000,"="&amp;R25,'[1]1_inventory_total_details'!$I$8:$I$10000,"="&amp;pb_date)+SUMIFS('[1]1_inventory_total_details'!$K$8:$K$10000,'[1]1_inventory_total_details'!$C$8:$C$10000,I25,'[1]1_inventory_total_details'!$F$8:$F$10000,pb_location_id,'[1]1_inventory_total_details'!$G$8:$G$10000,"="&amp;Q25,'[1]1_inventory_total_details'!$H$8:$H$10000,"="&amp;R25,'[1]1_inventory_total_details'!$I$8:$I$10000,"="&amp;pb_date)+SUMIFS('[1]1_inventory_total_details'!$L$8:$L$10000,'[1]1_inventory_total_details'!$C$8:$C$10000,I25,'[1]1_inventory_total_details'!$F$8:$F$10000,pb_location_id,'[1]1_inventory_total_details'!$G$8:$G$10000,"="&amp;Q25,'[1]1_inventory_total_details'!$H$8:$H$10000,"="&amp;R25,'[1]1_inventory_total_details'!$I$8:$I$10000,"="&amp;pb_date),SUMIFS('[1]2_inventory_total_details'!$J$8:$J$10000,'[1]2_inventory_total_details'!$C$8:$C$10000,I25,'[1]1_inventory_total_details'!$F$8:$F$10000,pb_location_id,'[1]2_inventory_total_details'!$G$8:$G$10000,"="&amp;Q25,'[1]2_inventory_total_details'!$H$8:$H$10000,"="&amp;R25,'[1]2_inventory_total_details'!$I$8:$I$10000,"="&amp;pb_date)+SUMIFS('[1]2_inventory_total_details'!$M$8:$M$10000,'[1]2_inventory_total_details'!$C$8:$C$10000,I25,'[1]2_inventory_total_details'!$F$8:$F$10000,pb_location_id,'[1]2_inventory_total_details'!$G$8:$G$10000,"="&amp;Q25,'[1]2_inventory_total_details'!$H$8:$H$10000,"="&amp;R25,'[1]2_inventory_total_details'!$I$8:$I$10000,"="&amp;pb_date)+SUMIFS('[1]2_inventory_total_details'!$K$8:$K$10000,'[1]2_inventory_total_details'!$C$8:$C$10000,I25,'[1]2_inventory_total_details'!$F$8:$F$10000,pb_location_id,'[1]2_inventory_total_details'!$G$8:$G$10000,"="&amp;Q25,'[1]2_inventory_total_details'!$H$8:$H$10000,"="&amp;R25,'[1]2_inventory_total_details'!$I$8:$I$10000,"="&amp;pb_date)+SUMIFS('[1]2_inventory_total_details'!$L$8:$L$10000,'[1]2_inventory_total_details'!$C$8:$C$10000,I25,'[1]2_inventory_total_details'!$F$8:$F$10000,pb_location_id,'[1]2_inventory_total_details'!$G$8:$G$10000,"="&amp;Q25,'[1]2_inventory_total_details'!$H$8:$H$10000,"="&amp;R25,'[1]2_inventory_total_details'!$I$8:$I$10000,"="&amp;pb_date)))</f>
        <v/>
      </c>
      <c r="AH25" s="1640" t="str">
        <f>IF(M25="","",IF(ISNA(MATCH(I25,'[1]1_group_totals'!$C$8:$C$10000)),0,IF(AT25&gt;0,1,0)))</f>
        <v/>
      </c>
      <c r="AI25" s="1640" t="str">
        <f>IF(M25="","",(SUMIFS('[1]1_group_total_details'!$I$8:$I$10000,'[1]1_group_total_details'!$C$8:$C$10000,I25,'[1]1_group_total_details'!$F$8:$F$10000,pb_location_group_id,'[1]1_group_total_details'!$G$8:$G$10000,pb_location_id,'[1]1_group_total_details'!$H$8:$H$10000,"="&amp;pb_date)+SUMIFS('[1]1_group_total_details'!$L$8:$L$10000,'[1]1_group_total_details'!$C$8:$C$10000,I25,'[1]1_group_total_details'!$F$8:$F$10000,pb_location_group_id,'[1]1_group_total_details'!$G$8:$G$10000,pb_location_id,'[1]1_group_total_details'!$H$8:$H$10000,"="&amp;pb_date)+SUMIFS('[1]1_group_total_details'!$N$8:$N$10000,'[1]1_group_total_details'!$C$8:$C$10000,I25,'[1]1_group_total_details'!$F$8:$F$10000,pb_location_group_id,'[1]1_group_total_details'!$G$8:$G$10000,pb_location_id,'[1]1_group_total_details'!$H$8:$H$10000,"="&amp;pb_date)+SUMIFS('[1]1_group_total_details'!$O$8:$O$10000,'[1]1_group_total_details'!$C$8:$C$10000,I25,'[1]1_group_total_details'!$F$8:$F$10000,pb_location_group_id,'[1]1_group_total_details'!$G$8:$G$10000,pb_location_id,'[1]1_group_total_details'!$H$8:$H$10000,"="&amp;pb_date))+(SUMIFS('[1]1_group_total_details'!$J$8:$J$10000,'[1]1_group_total_details'!$C$8:$C$10000,I25,'[1]1_group_total_details'!$F$8:$F$10000,pb_location_group_id,'[1]1_group_total_details'!$G$8:$G$10000,pb_location_id,'[1]1_group_total_details'!$H$8:$H$10000,"="&amp;pb_date)+SUMIFS('[1]1_group_total_details'!$K$8:$K$10000,'[1]1_group_total_details'!$C$8:$C$10000,I25,'[1]1_group_total_details'!$F$8:$F$10000,pb_location_group_id,'[1]1_group_total_details'!$G$8:$G$10000,pb_location_id,'[1]1_group_total_details'!$H$8:$H$10000,"="&amp;pb_date)+SUMIFS('[1]1_group_total_details'!$M$8:$M$10000,'[1]1_group_total_details'!$C$8:$C$10000,I25,'[1]1_group_total_details'!$F$8:$F$10000,pb_location_group_id,'[1]1_group_total_details'!$G$8:$G$10000,pb_location_id,'[1]1_group_total_details'!$H$8:$H$10000,"="&amp;pb_date)+SUMIFS('[1]1_group_total_details'!$P$8:$P$10000,'[1]1_group_total_details'!$C$8:$C$10000,I25,'[1]1_group_total_details'!$F$8:$F$10000,pb_location_group_id,'[1]1_group_total_details'!$G$8:$G$10000,pb_location_id,'[1]1_group_total_details'!$H$8:$H$10000,"="&amp;pb_date)))</f>
        <v/>
      </c>
      <c r="AJ25" s="1640" t="str">
        <f>IF(M25="","",IF(AK25=0,0,(SUMIFS('[1]1_group_total_details'!$I$8:$I$10000,'[1]1_group_total_details'!$C$8:$C$10000,I25,'[1]1_group_total_details'!$F$8:$F$10000,pb_location_group_id,'[1]1_group_total_details'!$G$8:$G$10000,pb_location_id,'[1]1_group_total_details'!$H$8:$H$10000,"&lt;="&amp;pb_date)+SUMIFS('[1]1_group_total_details'!$L$8:$L$10000,'[1]1_group_total_details'!$C$8:$C$10000,I25,'[1]1_group_total_details'!$F$8:$F$10000,pb_location_group_id,'[1]1_group_total_details'!$G$8:$G$10000,pb_location_id,'[1]1_group_total_details'!$H$8:$H$10000,"&lt;="&amp;pb_date)+SUMIFS('[1]1_group_total_details'!$N$8:$N$10000,'[1]1_group_total_details'!$C$8:$C$10000,I25,'[1]1_group_total_details'!$F$8:$F$10000,pb_location_group_id,'[1]1_group_total_details'!$G$8:$G$10000,pb_location_id,'[1]1_group_total_details'!$H$8:$H$10000,"&lt;="&amp;pb_date)+SUMIFS('[1]1_group_total_details'!$O$8:$O$10000,'[1]1_group_total_details'!$C$8:$C$10000,I25,'[1]1_group_total_details'!$F$8:$F$10000,pb_location_group_id,'[1]1_group_total_details'!$G$8:$G$10000,pb_location_id,'[1]1_group_total_details'!$H$8:$H$10000,"&lt;="&amp;pb_date))-(SUMIFS('[1]1_group_total_details'!$J$8:$J$10000,'[1]1_group_total_details'!$C$8:$C$10000,I25,'[1]1_group_total_details'!$F$8:$F$10000,pb_location_group_id,'[1]1_group_total_details'!$G$8:$G$10000,pb_location_id,'[1]1_group_total_details'!$H$8:$H$10000,"&lt;="&amp;pb_date)+SUMIFS('[1]1_group_total_details'!$K$8:$K$10000,'[1]1_group_total_details'!$C$8:$C$10000,I25,'[1]1_group_total_details'!$F$8:$F$10000,pb_location_group_id,'[1]1_group_total_details'!$G$8:$G$10000,invoice_location_id,'[1]1_group_total_details'!$H$8:$H$10000,"&lt;="&amp;pb_date)+SUMIFS('[1]1_group_total_details'!$M$8:$M$10000,'[1]1_group_total_details'!$C$8:$C$10000,I25,'[1]1_group_total_details'!$F$8:$F$10000,pb_location_group_id,'[1]1_group_total_details'!$G$8:$G$10000,pb_location_id,'[1]1_group_total_details'!$H$8:$H$10000,"&lt;="&amp;pb_date)+SUMIFS('[1]1_group_total_details'!$P$8:$P$10000,'[1]1_group_total_details'!$C$8:$C$10000,I25,'[1]1_group_total_details'!$F$8:$F$10000,pb_location_group_id,'[1]1_group_total_details'!$G$8:$G$10000,pb_location_id,'[1]1_group_total_details'!$H$8:$H$10000,"&lt;="&amp;pb_date))))</f>
        <v/>
      </c>
      <c r="AK25" s="1640" t="str">
        <f>IF(M25="","",SUMIFS('[1]1_group_totals'!$J$8:$J$10000,'[1]1_group_totals'!$C$8:$C$10000,I25,'[1]1_group_totals'!$F$8:$F$10000,pb_location_group_id,'[1]1_group_totals'!$G$8:$G$10000,pb_location_id,'[1]1_group_totals'!$H$8:$H$10000,"="&amp;Q25,'[1]1_group_totals'!$I$8:$I$10000,"="&amp;R25))</f>
        <v/>
      </c>
      <c r="AL25" s="1644" t="str">
        <f t="shared" si="17"/>
        <v/>
      </c>
      <c r="AM25" s="1644" t="str">
        <f>IF(OR(ISNA(MATCH(MID(AL25,1,3)*1,UomConversion!$D$8:$D$500,0)),M25=""),"",IF(AQ25="","",AQ25))</f>
        <v/>
      </c>
      <c r="AN25" s="1644" t="str">
        <f>IF(AND(AO25&gt;0,COUNTIFS(UomConversion!$D$8:$D$500,MID(AL25,1,3)*1,UomConversion!$J$8:$J$500,1)&gt;1),TEXT(AO25,"000")&amp;"."&amp;VLOOKUP(AO25,uom_list,5,FALSE),"")</f>
        <v/>
      </c>
      <c r="AO25" s="1640" t="str">
        <f t="shared" si="18"/>
        <v/>
      </c>
      <c r="AP25" s="1645" t="str">
        <f t="shared" si="19"/>
        <v/>
      </c>
      <c r="AQ25" s="491" t="str">
        <f t="shared" si="20"/>
        <v/>
      </c>
      <c r="AR25" s="1281" t="str" cm="1">
        <f t="array" ref="AR25">IF(M25="","",IF(ISNA(Slookup(MID(AL25,1,3)*1,UomConversion!$D$8:$J$500,2,UomConversion!$I$8:$I$500,1,UomConversion!$J$8:$J$500,1)),"",Slookup(MID(AL25,1,3)*1,UomConversion!$D$8:$J$500,2,UomConversion!$I$8:$I$500,1,UomConversion!$J$8:$J$500,1)))</f>
        <v/>
      </c>
      <c r="AS25" s="663" t="str">
        <f>IF(M25="","",(SUMIFS('[1]1_inventory_totals'!$I$8:$I$10000,'[1]1_inventory_totals'!$C$8:$C$10000,I25,'[1]1_inventory_totals'!$F$8:$F$10000,"="&amp;Q25,'[1]1_inventory_totals'!$G$8:$G$10000,"="&amp;R25)+SUMIFS('[1]1_inventory_totals'!$N$8:$N$10000,'[1]1_inventory_totals'!$C$8:$C$10000,I25,'[1]1_inventory_totals'!$F$8:$F$10000,"="&amp;Q25,'[1]1_inventory_totals'!$G$8:$G$10000,"="&amp;R25)+SUMIFS('[1]1_inventory_totals'!$P$8:$P$10000,'[1]1_inventory_totals'!$C$8:$C$10000,I25,'[1]1_inventory_totals'!$F$8:$F$10000,"="&amp;Q25,'[1]1_inventory_totals'!$G$8:$G$10000,"="&amp;R25)+SUMIFS('[1]1_inventory_totals'!$Q$8:$Q$10000,'[1]1_inventory_totals'!$C$8:$C$10000,I25,'[1]1_inventory_totals'!$F$8:$F$10000,"="&amp;Q25,'[1]1_inventory_totals'!$G$8:$G$10000,"="&amp;R25)+SUMIFS('[1]1_inventory_totals'!$R$8:$R$10000,'[1]1_inventory_totals'!$C$8:$C$10000,I25,'[1]1_inventory_totals'!$F$8:$F$10000,"="&amp;Q25,'[1]1_inventory_totals'!$G$8:$G$10000,"="&amp;R25))+(SUMIFS('[1]1_inventory_totals'!$J$8:$J$10000,'[1]1_inventory_totals'!$C$8:$C$10000,I25,'[1]1_inventory_totals'!$F$8:$F$10000,"="&amp;Q25,'[1]1_inventory_totals'!$G$8:$G$10000,"="&amp;R25)+SUMIFS('[1]1_inventory_totals'!$K$8:$K$10000,'[1]1_inventory_totals'!$C$8:$C$10000,I25,'[1]1_inventory_totals'!$F$8:$F$10000,"="&amp;Q25,'[1]1_inventory_totals'!$G$8:$G$10000,"="&amp;R25)+SUMIFS('[1]1_inventory_totals'!$L$8:$L$10000,'[1]1_inventory_totals'!$C$8:$C$10000,I25,'[1]1_inventory_totals'!$F$8:$F$10000,"="&amp;Q25,'[1]1_inventory_totals'!$G$8:$G$10000,"="&amp;R25)+SUMIFS('[1]1_inventory_totals'!$M$8:$M$10000,'[1]1_inventory_totals'!$C$8:$C$10000,I25,'[1]1_inventory_totals'!$F$8:$F$10000,"="&amp;Q25,'[1]1_inventory_totals'!$G$8:$G$10000,"="&amp;R25)+SUMIFS('[1]1_inventory_totals'!$O$8:$O$10000,'[1]1_inventory_totals'!$C$8:$C$10000,I25,'[1]1_inventory_totals'!$F$8:$F$10000,"="&amp;Q25,'[1]1_inventory_totals'!$G$8:$G$10000,"="&amp;R25)+SUMIFS('[1]1_inventory_totals'!$S$8:$S$10000,'[1]1_inventory_totals'!$C$8:$C$10000,I25,'[1]1_inventory_totals'!$F$8:$F$10000,"="&amp;Q25,'[1]1_inventory_totals'!$G$8:$G$10000,"="&amp;R25)))</f>
        <v/>
      </c>
      <c r="AT25" s="1281" t="str">
        <f>IF(M25="","",(SUMIFS('[1]1_group_totals'!$K$8:$K$10000,'[1]1_group_totals'!$C$8:$C$10000,I25,'[1]1_group_totals'!$F$8:$F$10000,pb_location_group_id,'[1]1_group_totals'!$G$8:$G$10000,pb_location_id,'[1]1_group_totals'!$H$8:$H$10000,"="&amp;Q25,'[1]1_group_totals'!$I$8:$I$10000,"="&amp;R25)+SUMIFS('[1]1_group_totals'!$N$8:$N$10000,'[1]1_group_totals'!$C$8:$C$10000,I25,'[1]1_group_totals'!$F$8:$F$10000,pb_location_group_id,'[1]1_group_totals'!$G$8:$G$10000,pb_location_id,'[1]1_group_totals'!$H$8:$H$10000,"="&amp;Q25,'[1]1_group_totals'!$I$8:$I$10000,"="&amp;R25)+SUMIFS('[1]1_group_totals'!$P$8:$P$10000,'[1]1_group_totals'!$C$8:$C$10000,I25,'[1]1_group_totals'!$F$8:$F$10000,pb_location_group_id,'[1]1_group_totals'!$G$8:$G$10000,pb_location_id,'[1]1_group_totals'!$H$8:$H$10000,"="&amp;Q25,'[1]1_group_totals'!$I$8:$I$10000,"="&amp;R25)+SUMIFS('[1]1_group_totals'!$Q$8:$Q$10000,'[1]1_group_totals'!$C$8:$C$10000,I25,'[1]1_group_totals'!$F$8:$F$10000,pb_location_group_id,'[1]1_group_totals'!$G$8:$G$10000,pb_location_id,'[1]1_group_totals'!$H$8:$H$10000,"="&amp;Q25,'[1]1_group_totals'!$I$8:$I$10000,"="&amp;R25))+(SUMIFS('[1]1_group_totals'!$L$8:$L$10000,'[1]1_group_totals'!$C$8:$C$10000,I25,'[1]1_group_totals'!$F$8:$F$10000,pb_location_group_id,'[1]1_group_totals'!$G$8:$G$10000,pb_location_id,'[1]1_group_totals'!$H$8:$H$10000,"="&amp;Q25,'[1]1_group_totals'!$I$8:$I$10000,"="&amp;R25)+SUMIFS('[1]1_group_totals'!$M$8:$M$10000,'[1]1_group_totals'!$C$8:$C$10000,I25,'[1]1_group_totals'!$F$8:$F$10000,pb_location_group_id,'[1]1_group_totals'!$G$8:$G$10000,pb_location_id,'[1]1_group_totals'!$H$8:$H$10000,"="&amp;Q25,'[1]1_group_totals'!$I$8:$I$10000,"="&amp;R25)+SUMIFS('[1]1_group_totals'!$O$8:$O$10000,'[1]1_group_totals'!$C$8:$C$10000,I25,'[1]1_group_totals'!$F$8:$F$10000,pb_location_group_id,'[1]1_group_totals'!$G$8:$G$10000,pb_location_id,'[1]1_group_totals'!$H$8:$H$10000,"="&amp;Q25,'[1]1_group_totals'!$I$8:$I$10000,"="&amp;R25)+SUMIFS('[1]1_group_totals'!$R$8:$R$10000,'[1]1_group_totals'!$C$8:$C$10000,I25,'[1]1_group_totals'!$F$8:$F$10000,pb_location_group_id,'[1]1_group_totals'!$G$8:$G$10000,pb_location_id,'[1]1_group_totals'!$H$8:$H$10000,"="&amp;Q25,'[1]1_group_totals'!$I$8:$I$10000,"="&amp;R25)))</f>
        <v/>
      </c>
    </row>
    <row r="26" spans="1:46" ht="27" customHeight="1">
      <c r="A26" s="923"/>
      <c r="B26" s="1011"/>
      <c r="C26" s="950"/>
      <c r="D26" s="950"/>
      <c r="E26" s="950"/>
      <c r="F26" s="1057"/>
      <c r="I26" s="1610" t="str">
        <f t="shared" si="8"/>
        <v/>
      </c>
      <c r="J26" s="1631" t="str">
        <f t="shared" si="25"/>
        <v/>
      </c>
      <c r="K26" s="1628" t="str">
        <f t="shared" si="0"/>
        <v/>
      </c>
      <c r="L26" s="1632"/>
      <c r="M26" s="1069"/>
      <c r="N26" s="1044"/>
      <c r="O26" s="1044"/>
      <c r="P26" s="1046"/>
      <c r="Q26" s="1047"/>
      <c r="R26" s="1053"/>
      <c r="S26" s="1634" t="str">
        <f t="shared" ref="S26" si="71">IF(M26="","",pb_currency_symbol)</f>
        <v/>
      </c>
      <c r="T26" s="1068"/>
      <c r="U26" s="1636" t="str">
        <f t="shared" si="10"/>
        <v/>
      </c>
      <c r="V26" s="1634" t="str">
        <f t="shared" ref="V26" si="72">IF(W26=0,"",pb_currency_symbol)</f>
        <v/>
      </c>
      <c r="W26" s="1054"/>
      <c r="X26" s="1634" t="str">
        <f t="shared" ref="X26" si="73">IF(M26="","",pb_currency_symbol)</f>
        <v/>
      </c>
      <c r="Y26" s="1638" t="str">
        <f t="shared" si="24"/>
        <v/>
      </c>
      <c r="Z26" s="1062"/>
      <c r="AA26" s="1639" t="str" cm="1">
        <f t="array" ref="AA26">IF(M26="","",IF(P26=AL26,1,Slookup(MID(AL26,1,3)*1,UomConversion!$D$8:$J$500,5,UomConversion!$E$8:$E$500,MID(P26,1,3)*1,UomConversion!$J$8:$J$500,1)))</f>
        <v/>
      </c>
      <c r="AB26" s="1640" t="str">
        <f t="shared" si="13"/>
        <v/>
      </c>
      <c r="AC26" s="1641" t="str">
        <f t="shared" si="14"/>
        <v/>
      </c>
      <c r="AD26" s="1642" t="str">
        <f t="shared" si="15"/>
        <v/>
      </c>
      <c r="AE26" s="1643" t="str">
        <f t="shared" si="16"/>
        <v/>
      </c>
      <c r="AF26" s="1640" t="str">
        <f>IF(I26="","",IF(ISNA(MATCH(I26,IF(pb_location_id=1,'[1]1_inventory_totals'!$C$8:$C$10000,IF(pb_location_id=2,'[1]2_inventory_totals'!$C$8:$C$10000,"")),0)),0,IF(AS26&gt;0,1,0)))</f>
        <v/>
      </c>
      <c r="AG26" s="1640" t="str">
        <f>IF(M26="","",IF(pb_location_id=1,SUMIFS('[1]1_inventory_total_details'!$J$8:$J$10000,'[1]1_inventory_total_details'!$C$8:$C$10000,I26,'[1]1_inventory_total_details'!$F$8:$F$10000,pb_location_id,'[1]1_inventory_total_details'!$G$8:$G$10000,"="&amp;Q26,'[1]1_inventory_total_details'!$H$8:$H$10000,"="&amp;R26,'[1]1_inventory_total_details'!$I$8:$I$10000,"="&amp;pb_date)+SUMIFS('[1]1_inventory_total_details'!$M$8:$M$10000,'[1]1_inventory_total_details'!$C$8:$C$10000,I26,'[1]1_inventory_total_details'!$F$8:$F$10000,pb_location_id,'[1]1_inventory_total_details'!$G$8:$G$10000,"="&amp;Q26,'[1]1_inventory_total_details'!$H$8:$H$10000,"="&amp;R26,'[1]1_inventory_total_details'!$I$8:$I$10000,"="&amp;pb_date)+SUMIFS('[1]1_inventory_total_details'!$K$8:$K$10000,'[1]1_inventory_total_details'!$C$8:$C$10000,I26,'[1]1_inventory_total_details'!$F$8:$F$10000,pb_location_id,'[1]1_inventory_total_details'!$G$8:$G$10000,"="&amp;Q26,'[1]1_inventory_total_details'!$H$8:$H$10000,"="&amp;R26,'[1]1_inventory_total_details'!$I$8:$I$10000,"="&amp;pb_date)+SUMIFS('[1]1_inventory_total_details'!$L$8:$L$10000,'[1]1_inventory_total_details'!$C$8:$C$10000,I26,'[1]1_inventory_total_details'!$F$8:$F$10000,pb_location_id,'[1]1_inventory_total_details'!$G$8:$G$10000,"="&amp;Q26,'[1]1_inventory_total_details'!$H$8:$H$10000,"="&amp;R26,'[1]1_inventory_total_details'!$I$8:$I$10000,"="&amp;pb_date),SUMIFS('[1]2_inventory_total_details'!$J$8:$J$10000,'[1]2_inventory_total_details'!$C$8:$C$10000,I26,'[1]1_inventory_total_details'!$F$8:$F$10000,pb_location_id,'[1]2_inventory_total_details'!$G$8:$G$10000,"="&amp;Q26,'[1]2_inventory_total_details'!$H$8:$H$10000,"="&amp;R26,'[1]2_inventory_total_details'!$I$8:$I$10000,"="&amp;pb_date)+SUMIFS('[1]2_inventory_total_details'!$M$8:$M$10000,'[1]2_inventory_total_details'!$C$8:$C$10000,I26,'[1]2_inventory_total_details'!$F$8:$F$10000,pb_location_id,'[1]2_inventory_total_details'!$G$8:$G$10000,"="&amp;Q26,'[1]2_inventory_total_details'!$H$8:$H$10000,"="&amp;R26,'[1]2_inventory_total_details'!$I$8:$I$10000,"="&amp;pb_date)+SUMIFS('[1]2_inventory_total_details'!$K$8:$K$10000,'[1]2_inventory_total_details'!$C$8:$C$10000,I26,'[1]2_inventory_total_details'!$F$8:$F$10000,pb_location_id,'[1]2_inventory_total_details'!$G$8:$G$10000,"="&amp;Q26,'[1]2_inventory_total_details'!$H$8:$H$10000,"="&amp;R26,'[1]2_inventory_total_details'!$I$8:$I$10000,"="&amp;pb_date)+SUMIFS('[1]2_inventory_total_details'!$L$8:$L$10000,'[1]2_inventory_total_details'!$C$8:$C$10000,I26,'[1]2_inventory_total_details'!$F$8:$F$10000,pb_location_id,'[1]2_inventory_total_details'!$G$8:$G$10000,"="&amp;Q26,'[1]2_inventory_total_details'!$H$8:$H$10000,"="&amp;R26,'[1]2_inventory_total_details'!$I$8:$I$10000,"="&amp;pb_date)))</f>
        <v/>
      </c>
      <c r="AH26" s="1640" t="str">
        <f>IF(M26="","",IF(ISNA(MATCH(I26,'[1]1_group_totals'!$C$8:$C$10000)),0,IF(AT26&gt;0,1,0)))</f>
        <v/>
      </c>
      <c r="AI26" s="1640" t="str">
        <f>IF(M26="","",(SUMIFS('[1]1_group_total_details'!$I$8:$I$10000,'[1]1_group_total_details'!$C$8:$C$10000,I26,'[1]1_group_total_details'!$F$8:$F$10000,pb_location_group_id,'[1]1_group_total_details'!$G$8:$G$10000,pb_location_id,'[1]1_group_total_details'!$H$8:$H$10000,"="&amp;pb_date)+SUMIFS('[1]1_group_total_details'!$L$8:$L$10000,'[1]1_group_total_details'!$C$8:$C$10000,I26,'[1]1_group_total_details'!$F$8:$F$10000,pb_location_group_id,'[1]1_group_total_details'!$G$8:$G$10000,pb_location_id,'[1]1_group_total_details'!$H$8:$H$10000,"="&amp;pb_date)+SUMIFS('[1]1_group_total_details'!$N$8:$N$10000,'[1]1_group_total_details'!$C$8:$C$10000,I26,'[1]1_group_total_details'!$F$8:$F$10000,pb_location_group_id,'[1]1_group_total_details'!$G$8:$G$10000,pb_location_id,'[1]1_group_total_details'!$H$8:$H$10000,"="&amp;pb_date)+SUMIFS('[1]1_group_total_details'!$O$8:$O$10000,'[1]1_group_total_details'!$C$8:$C$10000,I26,'[1]1_group_total_details'!$F$8:$F$10000,pb_location_group_id,'[1]1_group_total_details'!$G$8:$G$10000,pb_location_id,'[1]1_group_total_details'!$H$8:$H$10000,"="&amp;pb_date))+(SUMIFS('[1]1_group_total_details'!$J$8:$J$10000,'[1]1_group_total_details'!$C$8:$C$10000,I26,'[1]1_group_total_details'!$F$8:$F$10000,pb_location_group_id,'[1]1_group_total_details'!$G$8:$G$10000,pb_location_id,'[1]1_group_total_details'!$H$8:$H$10000,"="&amp;pb_date)+SUMIFS('[1]1_group_total_details'!$K$8:$K$10000,'[1]1_group_total_details'!$C$8:$C$10000,I26,'[1]1_group_total_details'!$F$8:$F$10000,pb_location_group_id,'[1]1_group_total_details'!$G$8:$G$10000,pb_location_id,'[1]1_group_total_details'!$H$8:$H$10000,"="&amp;pb_date)+SUMIFS('[1]1_group_total_details'!$M$8:$M$10000,'[1]1_group_total_details'!$C$8:$C$10000,I26,'[1]1_group_total_details'!$F$8:$F$10000,pb_location_group_id,'[1]1_group_total_details'!$G$8:$G$10000,pb_location_id,'[1]1_group_total_details'!$H$8:$H$10000,"="&amp;pb_date)+SUMIFS('[1]1_group_total_details'!$P$8:$P$10000,'[1]1_group_total_details'!$C$8:$C$10000,I26,'[1]1_group_total_details'!$F$8:$F$10000,pb_location_group_id,'[1]1_group_total_details'!$G$8:$G$10000,pb_location_id,'[1]1_group_total_details'!$H$8:$H$10000,"="&amp;pb_date)))</f>
        <v/>
      </c>
      <c r="AJ26" s="1640" t="str">
        <f>IF(M26="","",IF(AK26=0,0,(SUMIFS('[1]1_group_total_details'!$I$8:$I$10000,'[1]1_group_total_details'!$C$8:$C$10000,I26,'[1]1_group_total_details'!$F$8:$F$10000,pb_location_group_id,'[1]1_group_total_details'!$G$8:$G$10000,pb_location_id,'[1]1_group_total_details'!$H$8:$H$10000,"&lt;="&amp;pb_date)+SUMIFS('[1]1_group_total_details'!$L$8:$L$10000,'[1]1_group_total_details'!$C$8:$C$10000,I26,'[1]1_group_total_details'!$F$8:$F$10000,pb_location_group_id,'[1]1_group_total_details'!$G$8:$G$10000,pb_location_id,'[1]1_group_total_details'!$H$8:$H$10000,"&lt;="&amp;pb_date)+SUMIFS('[1]1_group_total_details'!$N$8:$N$10000,'[1]1_group_total_details'!$C$8:$C$10000,I26,'[1]1_group_total_details'!$F$8:$F$10000,pb_location_group_id,'[1]1_group_total_details'!$G$8:$G$10000,pb_location_id,'[1]1_group_total_details'!$H$8:$H$10000,"&lt;="&amp;pb_date)+SUMIFS('[1]1_group_total_details'!$O$8:$O$10000,'[1]1_group_total_details'!$C$8:$C$10000,I26,'[1]1_group_total_details'!$F$8:$F$10000,pb_location_group_id,'[1]1_group_total_details'!$G$8:$G$10000,pb_location_id,'[1]1_group_total_details'!$H$8:$H$10000,"&lt;="&amp;pb_date))-(SUMIFS('[1]1_group_total_details'!$J$8:$J$10000,'[1]1_group_total_details'!$C$8:$C$10000,I26,'[1]1_group_total_details'!$F$8:$F$10000,pb_location_group_id,'[1]1_group_total_details'!$G$8:$G$10000,pb_location_id,'[1]1_group_total_details'!$H$8:$H$10000,"&lt;="&amp;pb_date)+SUMIFS('[1]1_group_total_details'!$K$8:$K$10000,'[1]1_group_total_details'!$C$8:$C$10000,I26,'[1]1_group_total_details'!$F$8:$F$10000,pb_location_group_id,'[1]1_group_total_details'!$G$8:$G$10000,invoice_location_id,'[1]1_group_total_details'!$H$8:$H$10000,"&lt;="&amp;pb_date)+SUMIFS('[1]1_group_total_details'!$M$8:$M$10000,'[1]1_group_total_details'!$C$8:$C$10000,I26,'[1]1_group_total_details'!$F$8:$F$10000,pb_location_group_id,'[1]1_group_total_details'!$G$8:$G$10000,pb_location_id,'[1]1_group_total_details'!$H$8:$H$10000,"&lt;="&amp;pb_date)+SUMIFS('[1]1_group_total_details'!$P$8:$P$10000,'[1]1_group_total_details'!$C$8:$C$10000,I26,'[1]1_group_total_details'!$F$8:$F$10000,pb_location_group_id,'[1]1_group_total_details'!$G$8:$G$10000,pb_location_id,'[1]1_group_total_details'!$H$8:$H$10000,"&lt;="&amp;pb_date))))</f>
        <v/>
      </c>
      <c r="AK26" s="1640" t="str">
        <f>IF(M26="","",SUMIFS('[1]1_group_totals'!$J$8:$J$10000,'[1]1_group_totals'!$C$8:$C$10000,I26,'[1]1_group_totals'!$F$8:$F$10000,pb_location_group_id,'[1]1_group_totals'!$G$8:$G$10000,pb_location_id,'[1]1_group_totals'!$H$8:$H$10000,"="&amp;Q26,'[1]1_group_totals'!$I$8:$I$10000,"="&amp;R26))</f>
        <v/>
      </c>
      <c r="AL26" s="1644" t="str">
        <f t="shared" si="17"/>
        <v/>
      </c>
      <c r="AM26" s="1644" t="str">
        <f>IF(OR(ISNA(MATCH(MID(AL26,1,3)*1,UomConversion!$D$8:$D$500,0)),M26=""),"",IF(AQ26="","",AQ26))</f>
        <v/>
      </c>
      <c r="AN26" s="1644" t="str">
        <f>IF(AND(AO26&gt;0,COUNTIFS(UomConversion!$D$8:$D$500,MID(AL26,1,3)*1,UomConversion!$J$8:$J$500,1)&gt;1),TEXT(AO26,"000")&amp;"."&amp;VLOOKUP(AO26,uom_list,5,FALSE),"")</f>
        <v/>
      </c>
      <c r="AO26" s="1640" t="str">
        <f t="shared" si="18"/>
        <v/>
      </c>
      <c r="AP26" s="1645" t="str">
        <f t="shared" si="19"/>
        <v/>
      </c>
      <c r="AQ26" s="491" t="str">
        <f t="shared" si="20"/>
        <v/>
      </c>
      <c r="AR26" s="1281" t="str" cm="1">
        <f t="array" ref="AR26">IF(M26="","",IF(ISNA(Slookup(MID(AL26,1,3)*1,UomConversion!$D$8:$J$500,2,UomConversion!$I$8:$I$500,1,UomConversion!$J$8:$J$500,1)),"",Slookup(MID(AL26,1,3)*1,UomConversion!$D$8:$J$500,2,UomConversion!$I$8:$I$500,1,UomConversion!$J$8:$J$500,1)))</f>
        <v/>
      </c>
      <c r="AS26" s="663" t="str">
        <f>IF(M26="","",(SUMIFS('[1]1_inventory_totals'!$I$8:$I$10000,'[1]1_inventory_totals'!$C$8:$C$10000,I26,'[1]1_inventory_totals'!$F$8:$F$10000,"="&amp;Q26,'[1]1_inventory_totals'!$G$8:$G$10000,"="&amp;R26)+SUMIFS('[1]1_inventory_totals'!$N$8:$N$10000,'[1]1_inventory_totals'!$C$8:$C$10000,I26,'[1]1_inventory_totals'!$F$8:$F$10000,"="&amp;Q26,'[1]1_inventory_totals'!$G$8:$G$10000,"="&amp;R26)+SUMIFS('[1]1_inventory_totals'!$P$8:$P$10000,'[1]1_inventory_totals'!$C$8:$C$10000,I26,'[1]1_inventory_totals'!$F$8:$F$10000,"="&amp;Q26,'[1]1_inventory_totals'!$G$8:$G$10000,"="&amp;R26)+SUMIFS('[1]1_inventory_totals'!$Q$8:$Q$10000,'[1]1_inventory_totals'!$C$8:$C$10000,I26,'[1]1_inventory_totals'!$F$8:$F$10000,"="&amp;Q26,'[1]1_inventory_totals'!$G$8:$G$10000,"="&amp;R26)+SUMIFS('[1]1_inventory_totals'!$R$8:$R$10000,'[1]1_inventory_totals'!$C$8:$C$10000,I26,'[1]1_inventory_totals'!$F$8:$F$10000,"="&amp;Q26,'[1]1_inventory_totals'!$G$8:$G$10000,"="&amp;R26))+(SUMIFS('[1]1_inventory_totals'!$J$8:$J$10000,'[1]1_inventory_totals'!$C$8:$C$10000,I26,'[1]1_inventory_totals'!$F$8:$F$10000,"="&amp;Q26,'[1]1_inventory_totals'!$G$8:$G$10000,"="&amp;R26)+SUMIFS('[1]1_inventory_totals'!$K$8:$K$10000,'[1]1_inventory_totals'!$C$8:$C$10000,I26,'[1]1_inventory_totals'!$F$8:$F$10000,"="&amp;Q26,'[1]1_inventory_totals'!$G$8:$G$10000,"="&amp;R26)+SUMIFS('[1]1_inventory_totals'!$L$8:$L$10000,'[1]1_inventory_totals'!$C$8:$C$10000,I26,'[1]1_inventory_totals'!$F$8:$F$10000,"="&amp;Q26,'[1]1_inventory_totals'!$G$8:$G$10000,"="&amp;R26)+SUMIFS('[1]1_inventory_totals'!$M$8:$M$10000,'[1]1_inventory_totals'!$C$8:$C$10000,I26,'[1]1_inventory_totals'!$F$8:$F$10000,"="&amp;Q26,'[1]1_inventory_totals'!$G$8:$G$10000,"="&amp;R26)+SUMIFS('[1]1_inventory_totals'!$O$8:$O$10000,'[1]1_inventory_totals'!$C$8:$C$10000,I26,'[1]1_inventory_totals'!$F$8:$F$10000,"="&amp;Q26,'[1]1_inventory_totals'!$G$8:$G$10000,"="&amp;R26)+SUMIFS('[1]1_inventory_totals'!$S$8:$S$10000,'[1]1_inventory_totals'!$C$8:$C$10000,I26,'[1]1_inventory_totals'!$F$8:$F$10000,"="&amp;Q26,'[1]1_inventory_totals'!$G$8:$G$10000,"="&amp;R26)))</f>
        <v/>
      </c>
      <c r="AT26" s="1281" t="str">
        <f>IF(M26="","",(SUMIFS('[1]1_group_totals'!$K$8:$K$10000,'[1]1_group_totals'!$C$8:$C$10000,I26,'[1]1_group_totals'!$F$8:$F$10000,pb_location_group_id,'[1]1_group_totals'!$G$8:$G$10000,pb_location_id,'[1]1_group_totals'!$H$8:$H$10000,"="&amp;Q26,'[1]1_group_totals'!$I$8:$I$10000,"="&amp;R26)+SUMIFS('[1]1_group_totals'!$N$8:$N$10000,'[1]1_group_totals'!$C$8:$C$10000,I26,'[1]1_group_totals'!$F$8:$F$10000,pb_location_group_id,'[1]1_group_totals'!$G$8:$G$10000,pb_location_id,'[1]1_group_totals'!$H$8:$H$10000,"="&amp;Q26,'[1]1_group_totals'!$I$8:$I$10000,"="&amp;R26)+SUMIFS('[1]1_group_totals'!$P$8:$P$10000,'[1]1_group_totals'!$C$8:$C$10000,I26,'[1]1_group_totals'!$F$8:$F$10000,pb_location_group_id,'[1]1_group_totals'!$G$8:$G$10000,pb_location_id,'[1]1_group_totals'!$H$8:$H$10000,"="&amp;Q26,'[1]1_group_totals'!$I$8:$I$10000,"="&amp;R26)+SUMIFS('[1]1_group_totals'!$Q$8:$Q$10000,'[1]1_group_totals'!$C$8:$C$10000,I26,'[1]1_group_totals'!$F$8:$F$10000,pb_location_group_id,'[1]1_group_totals'!$G$8:$G$10000,pb_location_id,'[1]1_group_totals'!$H$8:$H$10000,"="&amp;Q26,'[1]1_group_totals'!$I$8:$I$10000,"="&amp;R26))+(SUMIFS('[1]1_group_totals'!$L$8:$L$10000,'[1]1_group_totals'!$C$8:$C$10000,I26,'[1]1_group_totals'!$F$8:$F$10000,pb_location_group_id,'[1]1_group_totals'!$G$8:$G$10000,pb_location_id,'[1]1_group_totals'!$H$8:$H$10000,"="&amp;Q26,'[1]1_group_totals'!$I$8:$I$10000,"="&amp;R26)+SUMIFS('[1]1_group_totals'!$M$8:$M$10000,'[1]1_group_totals'!$C$8:$C$10000,I26,'[1]1_group_totals'!$F$8:$F$10000,pb_location_group_id,'[1]1_group_totals'!$G$8:$G$10000,pb_location_id,'[1]1_group_totals'!$H$8:$H$10000,"="&amp;Q26,'[1]1_group_totals'!$I$8:$I$10000,"="&amp;R26)+SUMIFS('[1]1_group_totals'!$O$8:$O$10000,'[1]1_group_totals'!$C$8:$C$10000,I26,'[1]1_group_totals'!$F$8:$F$10000,pb_location_group_id,'[1]1_group_totals'!$G$8:$G$10000,pb_location_id,'[1]1_group_totals'!$H$8:$H$10000,"="&amp;Q26,'[1]1_group_totals'!$I$8:$I$10000,"="&amp;R26)+SUMIFS('[1]1_group_totals'!$R$8:$R$10000,'[1]1_group_totals'!$C$8:$C$10000,I26,'[1]1_group_totals'!$F$8:$F$10000,pb_location_group_id,'[1]1_group_totals'!$G$8:$G$10000,pb_location_id,'[1]1_group_totals'!$H$8:$H$10000,"="&amp;Q26,'[1]1_group_totals'!$I$8:$I$10000,"="&amp;R26)))</f>
        <v/>
      </c>
    </row>
    <row r="27" spans="1:46" ht="27" customHeight="1">
      <c r="A27" s="923"/>
      <c r="B27" s="1011"/>
      <c r="C27" s="950"/>
      <c r="D27" s="950"/>
      <c r="E27" s="950"/>
      <c r="F27" s="1057"/>
      <c r="I27" s="1610" t="str">
        <f t="shared" si="8"/>
        <v/>
      </c>
      <c r="J27" s="1631" t="str">
        <f t="shared" si="25"/>
        <v/>
      </c>
      <c r="K27" s="1628" t="str">
        <f t="shared" si="0"/>
        <v/>
      </c>
      <c r="L27" s="1632"/>
      <c r="M27" s="1069"/>
      <c r="N27" s="1044"/>
      <c r="O27" s="1044"/>
      <c r="P27" s="1046"/>
      <c r="Q27" s="1047"/>
      <c r="R27" s="1053"/>
      <c r="S27" s="1634" t="str">
        <f t="shared" ref="S27" si="74">IF(M27="","",pb_currency_symbol)</f>
        <v/>
      </c>
      <c r="T27" s="1068"/>
      <c r="U27" s="1636" t="str">
        <f t="shared" si="10"/>
        <v/>
      </c>
      <c r="V27" s="1634" t="str">
        <f t="shared" ref="V27" si="75">IF(W27=0,"",pb_currency_symbol)</f>
        <v/>
      </c>
      <c r="W27" s="1054"/>
      <c r="X27" s="1634" t="str">
        <f t="shared" ref="X27" si="76">IF(M27="","",pb_currency_symbol)</f>
        <v/>
      </c>
      <c r="Y27" s="1638" t="str">
        <f t="shared" si="24"/>
        <v/>
      </c>
      <c r="Z27" s="1062"/>
      <c r="AA27" s="1639" t="str" cm="1">
        <f t="array" ref="AA27">IF(M27="","",IF(P27=AL27,1,Slookup(MID(AL27,1,3)*1,UomConversion!$D$8:$J$500,5,UomConversion!$E$8:$E$500,MID(P27,1,3)*1,UomConversion!$J$8:$J$500,1)))</f>
        <v/>
      </c>
      <c r="AB27" s="1640" t="str">
        <f t="shared" si="13"/>
        <v/>
      </c>
      <c r="AC27" s="1641" t="str">
        <f t="shared" si="14"/>
        <v/>
      </c>
      <c r="AD27" s="1642" t="str">
        <f t="shared" si="15"/>
        <v/>
      </c>
      <c r="AE27" s="1643" t="str">
        <f t="shared" si="16"/>
        <v/>
      </c>
      <c r="AF27" s="1640" t="str">
        <f>IF(I27="","",IF(ISNA(MATCH(I27,IF(pb_location_id=1,'[1]1_inventory_totals'!$C$8:$C$10000,IF(pb_location_id=2,'[1]2_inventory_totals'!$C$8:$C$10000,"")),0)),0,IF(AS27&gt;0,1,0)))</f>
        <v/>
      </c>
      <c r="AG27" s="1640" t="str">
        <f>IF(M27="","",IF(pb_location_id=1,SUMIFS('[1]1_inventory_total_details'!$J$8:$J$10000,'[1]1_inventory_total_details'!$C$8:$C$10000,I27,'[1]1_inventory_total_details'!$F$8:$F$10000,pb_location_id,'[1]1_inventory_total_details'!$G$8:$G$10000,"="&amp;Q27,'[1]1_inventory_total_details'!$H$8:$H$10000,"="&amp;R27,'[1]1_inventory_total_details'!$I$8:$I$10000,"="&amp;pb_date)+SUMIFS('[1]1_inventory_total_details'!$M$8:$M$10000,'[1]1_inventory_total_details'!$C$8:$C$10000,I27,'[1]1_inventory_total_details'!$F$8:$F$10000,pb_location_id,'[1]1_inventory_total_details'!$G$8:$G$10000,"="&amp;Q27,'[1]1_inventory_total_details'!$H$8:$H$10000,"="&amp;R27,'[1]1_inventory_total_details'!$I$8:$I$10000,"="&amp;pb_date)+SUMIFS('[1]1_inventory_total_details'!$K$8:$K$10000,'[1]1_inventory_total_details'!$C$8:$C$10000,I27,'[1]1_inventory_total_details'!$F$8:$F$10000,pb_location_id,'[1]1_inventory_total_details'!$G$8:$G$10000,"="&amp;Q27,'[1]1_inventory_total_details'!$H$8:$H$10000,"="&amp;R27,'[1]1_inventory_total_details'!$I$8:$I$10000,"="&amp;pb_date)+SUMIFS('[1]1_inventory_total_details'!$L$8:$L$10000,'[1]1_inventory_total_details'!$C$8:$C$10000,I27,'[1]1_inventory_total_details'!$F$8:$F$10000,pb_location_id,'[1]1_inventory_total_details'!$G$8:$G$10000,"="&amp;Q27,'[1]1_inventory_total_details'!$H$8:$H$10000,"="&amp;R27,'[1]1_inventory_total_details'!$I$8:$I$10000,"="&amp;pb_date),SUMIFS('[1]2_inventory_total_details'!$J$8:$J$10000,'[1]2_inventory_total_details'!$C$8:$C$10000,I27,'[1]1_inventory_total_details'!$F$8:$F$10000,pb_location_id,'[1]2_inventory_total_details'!$G$8:$G$10000,"="&amp;Q27,'[1]2_inventory_total_details'!$H$8:$H$10000,"="&amp;R27,'[1]2_inventory_total_details'!$I$8:$I$10000,"="&amp;pb_date)+SUMIFS('[1]2_inventory_total_details'!$M$8:$M$10000,'[1]2_inventory_total_details'!$C$8:$C$10000,I27,'[1]2_inventory_total_details'!$F$8:$F$10000,pb_location_id,'[1]2_inventory_total_details'!$G$8:$G$10000,"="&amp;Q27,'[1]2_inventory_total_details'!$H$8:$H$10000,"="&amp;R27,'[1]2_inventory_total_details'!$I$8:$I$10000,"="&amp;pb_date)+SUMIFS('[1]2_inventory_total_details'!$K$8:$K$10000,'[1]2_inventory_total_details'!$C$8:$C$10000,I27,'[1]2_inventory_total_details'!$F$8:$F$10000,pb_location_id,'[1]2_inventory_total_details'!$G$8:$G$10000,"="&amp;Q27,'[1]2_inventory_total_details'!$H$8:$H$10000,"="&amp;R27,'[1]2_inventory_total_details'!$I$8:$I$10000,"="&amp;pb_date)+SUMIFS('[1]2_inventory_total_details'!$L$8:$L$10000,'[1]2_inventory_total_details'!$C$8:$C$10000,I27,'[1]2_inventory_total_details'!$F$8:$F$10000,pb_location_id,'[1]2_inventory_total_details'!$G$8:$G$10000,"="&amp;Q27,'[1]2_inventory_total_details'!$H$8:$H$10000,"="&amp;R27,'[1]2_inventory_total_details'!$I$8:$I$10000,"="&amp;pb_date)))</f>
        <v/>
      </c>
      <c r="AH27" s="1640" t="str">
        <f>IF(M27="","",IF(ISNA(MATCH(I27,'[1]1_group_totals'!$C$8:$C$10000)),0,IF(AT27&gt;0,1,0)))</f>
        <v/>
      </c>
      <c r="AI27" s="1640" t="str">
        <f>IF(M27="","",(SUMIFS('[1]1_group_total_details'!$I$8:$I$10000,'[1]1_group_total_details'!$C$8:$C$10000,I27,'[1]1_group_total_details'!$F$8:$F$10000,pb_location_group_id,'[1]1_group_total_details'!$G$8:$G$10000,pb_location_id,'[1]1_group_total_details'!$H$8:$H$10000,"="&amp;pb_date)+SUMIFS('[1]1_group_total_details'!$L$8:$L$10000,'[1]1_group_total_details'!$C$8:$C$10000,I27,'[1]1_group_total_details'!$F$8:$F$10000,pb_location_group_id,'[1]1_group_total_details'!$G$8:$G$10000,pb_location_id,'[1]1_group_total_details'!$H$8:$H$10000,"="&amp;pb_date)+SUMIFS('[1]1_group_total_details'!$N$8:$N$10000,'[1]1_group_total_details'!$C$8:$C$10000,I27,'[1]1_group_total_details'!$F$8:$F$10000,pb_location_group_id,'[1]1_group_total_details'!$G$8:$G$10000,pb_location_id,'[1]1_group_total_details'!$H$8:$H$10000,"="&amp;pb_date)+SUMIFS('[1]1_group_total_details'!$O$8:$O$10000,'[1]1_group_total_details'!$C$8:$C$10000,I27,'[1]1_group_total_details'!$F$8:$F$10000,pb_location_group_id,'[1]1_group_total_details'!$G$8:$G$10000,pb_location_id,'[1]1_group_total_details'!$H$8:$H$10000,"="&amp;pb_date))+(SUMIFS('[1]1_group_total_details'!$J$8:$J$10000,'[1]1_group_total_details'!$C$8:$C$10000,I27,'[1]1_group_total_details'!$F$8:$F$10000,pb_location_group_id,'[1]1_group_total_details'!$G$8:$G$10000,pb_location_id,'[1]1_group_total_details'!$H$8:$H$10000,"="&amp;pb_date)+SUMIFS('[1]1_group_total_details'!$K$8:$K$10000,'[1]1_group_total_details'!$C$8:$C$10000,I27,'[1]1_group_total_details'!$F$8:$F$10000,pb_location_group_id,'[1]1_group_total_details'!$G$8:$G$10000,pb_location_id,'[1]1_group_total_details'!$H$8:$H$10000,"="&amp;pb_date)+SUMIFS('[1]1_group_total_details'!$M$8:$M$10000,'[1]1_group_total_details'!$C$8:$C$10000,I27,'[1]1_group_total_details'!$F$8:$F$10000,pb_location_group_id,'[1]1_group_total_details'!$G$8:$G$10000,pb_location_id,'[1]1_group_total_details'!$H$8:$H$10000,"="&amp;pb_date)+SUMIFS('[1]1_group_total_details'!$P$8:$P$10000,'[1]1_group_total_details'!$C$8:$C$10000,I27,'[1]1_group_total_details'!$F$8:$F$10000,pb_location_group_id,'[1]1_group_total_details'!$G$8:$G$10000,pb_location_id,'[1]1_group_total_details'!$H$8:$H$10000,"="&amp;pb_date)))</f>
        <v/>
      </c>
      <c r="AJ27" s="1640" t="str">
        <f>IF(M27="","",IF(AK27=0,0,(SUMIFS('[1]1_group_total_details'!$I$8:$I$10000,'[1]1_group_total_details'!$C$8:$C$10000,I27,'[1]1_group_total_details'!$F$8:$F$10000,pb_location_group_id,'[1]1_group_total_details'!$G$8:$G$10000,pb_location_id,'[1]1_group_total_details'!$H$8:$H$10000,"&lt;="&amp;pb_date)+SUMIFS('[1]1_group_total_details'!$L$8:$L$10000,'[1]1_group_total_details'!$C$8:$C$10000,I27,'[1]1_group_total_details'!$F$8:$F$10000,pb_location_group_id,'[1]1_group_total_details'!$G$8:$G$10000,pb_location_id,'[1]1_group_total_details'!$H$8:$H$10000,"&lt;="&amp;pb_date)+SUMIFS('[1]1_group_total_details'!$N$8:$N$10000,'[1]1_group_total_details'!$C$8:$C$10000,I27,'[1]1_group_total_details'!$F$8:$F$10000,pb_location_group_id,'[1]1_group_total_details'!$G$8:$G$10000,pb_location_id,'[1]1_group_total_details'!$H$8:$H$10000,"&lt;="&amp;pb_date)+SUMIFS('[1]1_group_total_details'!$O$8:$O$10000,'[1]1_group_total_details'!$C$8:$C$10000,I27,'[1]1_group_total_details'!$F$8:$F$10000,pb_location_group_id,'[1]1_group_total_details'!$G$8:$G$10000,pb_location_id,'[1]1_group_total_details'!$H$8:$H$10000,"&lt;="&amp;pb_date))-(SUMIFS('[1]1_group_total_details'!$J$8:$J$10000,'[1]1_group_total_details'!$C$8:$C$10000,I27,'[1]1_group_total_details'!$F$8:$F$10000,pb_location_group_id,'[1]1_group_total_details'!$G$8:$G$10000,pb_location_id,'[1]1_group_total_details'!$H$8:$H$10000,"&lt;="&amp;pb_date)+SUMIFS('[1]1_group_total_details'!$K$8:$K$10000,'[1]1_group_total_details'!$C$8:$C$10000,I27,'[1]1_group_total_details'!$F$8:$F$10000,pb_location_group_id,'[1]1_group_total_details'!$G$8:$G$10000,invoice_location_id,'[1]1_group_total_details'!$H$8:$H$10000,"&lt;="&amp;pb_date)+SUMIFS('[1]1_group_total_details'!$M$8:$M$10000,'[1]1_group_total_details'!$C$8:$C$10000,I27,'[1]1_group_total_details'!$F$8:$F$10000,pb_location_group_id,'[1]1_group_total_details'!$G$8:$G$10000,pb_location_id,'[1]1_group_total_details'!$H$8:$H$10000,"&lt;="&amp;pb_date)+SUMIFS('[1]1_group_total_details'!$P$8:$P$10000,'[1]1_group_total_details'!$C$8:$C$10000,I27,'[1]1_group_total_details'!$F$8:$F$10000,pb_location_group_id,'[1]1_group_total_details'!$G$8:$G$10000,pb_location_id,'[1]1_group_total_details'!$H$8:$H$10000,"&lt;="&amp;pb_date))))</f>
        <v/>
      </c>
      <c r="AK27" s="1640" t="str">
        <f>IF(M27="","",SUMIFS('[1]1_group_totals'!$J$8:$J$10000,'[1]1_group_totals'!$C$8:$C$10000,I27,'[1]1_group_totals'!$F$8:$F$10000,pb_location_group_id,'[1]1_group_totals'!$G$8:$G$10000,pb_location_id,'[1]1_group_totals'!$H$8:$H$10000,"="&amp;Q27,'[1]1_group_totals'!$I$8:$I$10000,"="&amp;R27))</f>
        <v/>
      </c>
      <c r="AL27" s="1644" t="str">
        <f t="shared" si="17"/>
        <v/>
      </c>
      <c r="AM27" s="1644" t="str">
        <f>IF(OR(ISNA(MATCH(MID(AL27,1,3)*1,UomConversion!$D$8:$D$500,0)),M27=""),"",IF(AQ27="","",AQ27))</f>
        <v/>
      </c>
      <c r="AN27" s="1644" t="str">
        <f>IF(AND(AO27&gt;0,COUNTIFS(UomConversion!$D$8:$D$500,MID(AL27,1,3)*1,UomConversion!$J$8:$J$500,1)&gt;1),TEXT(AO27,"000")&amp;"."&amp;VLOOKUP(AO27,uom_list,5,FALSE),"")</f>
        <v/>
      </c>
      <c r="AO27" s="1640" t="str">
        <f t="shared" si="18"/>
        <v/>
      </c>
      <c r="AP27" s="1645" t="str">
        <f t="shared" si="19"/>
        <v/>
      </c>
      <c r="AQ27" s="491" t="str">
        <f t="shared" si="20"/>
        <v/>
      </c>
      <c r="AR27" s="1281" t="str" cm="1">
        <f t="array" ref="AR27">IF(M27="","",IF(ISNA(Slookup(MID(AL27,1,3)*1,UomConversion!$D$8:$J$500,2,UomConversion!$I$8:$I$500,1,UomConversion!$J$8:$J$500,1)),"",Slookup(MID(AL27,1,3)*1,UomConversion!$D$8:$J$500,2,UomConversion!$I$8:$I$500,1,UomConversion!$J$8:$J$500,1)))</f>
        <v/>
      </c>
      <c r="AS27" s="663" t="str">
        <f>IF(M27="","",(SUMIFS('[1]1_inventory_totals'!$I$8:$I$10000,'[1]1_inventory_totals'!$C$8:$C$10000,I27,'[1]1_inventory_totals'!$F$8:$F$10000,"="&amp;Q27,'[1]1_inventory_totals'!$G$8:$G$10000,"="&amp;R27)+SUMIFS('[1]1_inventory_totals'!$N$8:$N$10000,'[1]1_inventory_totals'!$C$8:$C$10000,I27,'[1]1_inventory_totals'!$F$8:$F$10000,"="&amp;Q27,'[1]1_inventory_totals'!$G$8:$G$10000,"="&amp;R27)+SUMIFS('[1]1_inventory_totals'!$P$8:$P$10000,'[1]1_inventory_totals'!$C$8:$C$10000,I27,'[1]1_inventory_totals'!$F$8:$F$10000,"="&amp;Q27,'[1]1_inventory_totals'!$G$8:$G$10000,"="&amp;R27)+SUMIFS('[1]1_inventory_totals'!$Q$8:$Q$10000,'[1]1_inventory_totals'!$C$8:$C$10000,I27,'[1]1_inventory_totals'!$F$8:$F$10000,"="&amp;Q27,'[1]1_inventory_totals'!$G$8:$G$10000,"="&amp;R27)+SUMIFS('[1]1_inventory_totals'!$R$8:$R$10000,'[1]1_inventory_totals'!$C$8:$C$10000,I27,'[1]1_inventory_totals'!$F$8:$F$10000,"="&amp;Q27,'[1]1_inventory_totals'!$G$8:$G$10000,"="&amp;R27))+(SUMIFS('[1]1_inventory_totals'!$J$8:$J$10000,'[1]1_inventory_totals'!$C$8:$C$10000,I27,'[1]1_inventory_totals'!$F$8:$F$10000,"="&amp;Q27,'[1]1_inventory_totals'!$G$8:$G$10000,"="&amp;R27)+SUMIFS('[1]1_inventory_totals'!$K$8:$K$10000,'[1]1_inventory_totals'!$C$8:$C$10000,I27,'[1]1_inventory_totals'!$F$8:$F$10000,"="&amp;Q27,'[1]1_inventory_totals'!$G$8:$G$10000,"="&amp;R27)+SUMIFS('[1]1_inventory_totals'!$L$8:$L$10000,'[1]1_inventory_totals'!$C$8:$C$10000,I27,'[1]1_inventory_totals'!$F$8:$F$10000,"="&amp;Q27,'[1]1_inventory_totals'!$G$8:$G$10000,"="&amp;R27)+SUMIFS('[1]1_inventory_totals'!$M$8:$M$10000,'[1]1_inventory_totals'!$C$8:$C$10000,I27,'[1]1_inventory_totals'!$F$8:$F$10000,"="&amp;Q27,'[1]1_inventory_totals'!$G$8:$G$10000,"="&amp;R27)+SUMIFS('[1]1_inventory_totals'!$O$8:$O$10000,'[1]1_inventory_totals'!$C$8:$C$10000,I27,'[1]1_inventory_totals'!$F$8:$F$10000,"="&amp;Q27,'[1]1_inventory_totals'!$G$8:$G$10000,"="&amp;R27)+SUMIFS('[1]1_inventory_totals'!$S$8:$S$10000,'[1]1_inventory_totals'!$C$8:$C$10000,I27,'[1]1_inventory_totals'!$F$8:$F$10000,"="&amp;Q27,'[1]1_inventory_totals'!$G$8:$G$10000,"="&amp;R27)))</f>
        <v/>
      </c>
      <c r="AT27" s="1281" t="str">
        <f>IF(M27="","",(SUMIFS('[1]1_group_totals'!$K$8:$K$10000,'[1]1_group_totals'!$C$8:$C$10000,I27,'[1]1_group_totals'!$F$8:$F$10000,pb_location_group_id,'[1]1_group_totals'!$G$8:$G$10000,pb_location_id,'[1]1_group_totals'!$H$8:$H$10000,"="&amp;Q27,'[1]1_group_totals'!$I$8:$I$10000,"="&amp;R27)+SUMIFS('[1]1_group_totals'!$N$8:$N$10000,'[1]1_group_totals'!$C$8:$C$10000,I27,'[1]1_group_totals'!$F$8:$F$10000,pb_location_group_id,'[1]1_group_totals'!$G$8:$G$10000,pb_location_id,'[1]1_group_totals'!$H$8:$H$10000,"="&amp;Q27,'[1]1_group_totals'!$I$8:$I$10000,"="&amp;R27)+SUMIFS('[1]1_group_totals'!$P$8:$P$10000,'[1]1_group_totals'!$C$8:$C$10000,I27,'[1]1_group_totals'!$F$8:$F$10000,pb_location_group_id,'[1]1_group_totals'!$G$8:$G$10000,pb_location_id,'[1]1_group_totals'!$H$8:$H$10000,"="&amp;Q27,'[1]1_group_totals'!$I$8:$I$10000,"="&amp;R27)+SUMIFS('[1]1_group_totals'!$Q$8:$Q$10000,'[1]1_group_totals'!$C$8:$C$10000,I27,'[1]1_group_totals'!$F$8:$F$10000,pb_location_group_id,'[1]1_group_totals'!$G$8:$G$10000,pb_location_id,'[1]1_group_totals'!$H$8:$H$10000,"="&amp;Q27,'[1]1_group_totals'!$I$8:$I$10000,"="&amp;R27))+(SUMIFS('[1]1_group_totals'!$L$8:$L$10000,'[1]1_group_totals'!$C$8:$C$10000,I27,'[1]1_group_totals'!$F$8:$F$10000,pb_location_group_id,'[1]1_group_totals'!$G$8:$G$10000,pb_location_id,'[1]1_group_totals'!$H$8:$H$10000,"="&amp;Q27,'[1]1_group_totals'!$I$8:$I$10000,"="&amp;R27)+SUMIFS('[1]1_group_totals'!$M$8:$M$10000,'[1]1_group_totals'!$C$8:$C$10000,I27,'[1]1_group_totals'!$F$8:$F$10000,pb_location_group_id,'[1]1_group_totals'!$G$8:$G$10000,pb_location_id,'[1]1_group_totals'!$H$8:$H$10000,"="&amp;Q27,'[1]1_group_totals'!$I$8:$I$10000,"="&amp;R27)+SUMIFS('[1]1_group_totals'!$O$8:$O$10000,'[1]1_group_totals'!$C$8:$C$10000,I27,'[1]1_group_totals'!$F$8:$F$10000,pb_location_group_id,'[1]1_group_totals'!$G$8:$G$10000,pb_location_id,'[1]1_group_totals'!$H$8:$H$10000,"="&amp;Q27,'[1]1_group_totals'!$I$8:$I$10000,"="&amp;R27)+SUMIFS('[1]1_group_totals'!$R$8:$R$10000,'[1]1_group_totals'!$C$8:$C$10000,I27,'[1]1_group_totals'!$F$8:$F$10000,pb_location_group_id,'[1]1_group_totals'!$G$8:$G$10000,pb_location_id,'[1]1_group_totals'!$H$8:$H$10000,"="&amp;Q27,'[1]1_group_totals'!$I$8:$I$10000,"="&amp;R27)))</f>
        <v/>
      </c>
    </row>
    <row r="28" spans="1:46" ht="26.25" customHeight="1">
      <c r="A28" s="923"/>
      <c r="B28" s="1011"/>
      <c r="C28" s="950"/>
      <c r="D28" s="950"/>
      <c r="E28" s="950"/>
      <c r="F28" s="1057"/>
      <c r="I28" s="1610" t="str">
        <f t="shared" si="8"/>
        <v/>
      </c>
      <c r="J28" s="1631" t="str">
        <f t="shared" si="25"/>
        <v/>
      </c>
      <c r="K28" s="1628" t="str">
        <f t="shared" si="0"/>
        <v/>
      </c>
      <c r="L28" s="1632"/>
      <c r="M28" s="1069"/>
      <c r="N28" s="1044"/>
      <c r="O28" s="1044"/>
      <c r="P28" s="1046"/>
      <c r="Q28" s="1047"/>
      <c r="R28" s="1053"/>
      <c r="S28" s="1634" t="str">
        <f t="shared" ref="S28" si="77">IF(M28="","",pb_currency_symbol)</f>
        <v/>
      </c>
      <c r="T28" s="1068"/>
      <c r="U28" s="1636" t="str">
        <f t="shared" si="10"/>
        <v/>
      </c>
      <c r="V28" s="1634" t="str">
        <f t="shared" ref="V28" si="78">IF(W28=0,"",pb_currency_symbol)</f>
        <v/>
      </c>
      <c r="W28" s="1054"/>
      <c r="X28" s="1634" t="str">
        <f t="shared" ref="X28" si="79">IF(M28="","",pb_currency_symbol)</f>
        <v/>
      </c>
      <c r="Y28" s="1638" t="str">
        <f t="shared" si="24"/>
        <v/>
      </c>
      <c r="Z28" s="1062"/>
      <c r="AA28" s="1639" t="str" cm="1">
        <f t="array" ref="AA28">IF(M28="","",IF(P28=AL28,1,Slookup(MID(AL28,1,3)*1,UomConversion!$D$8:$J$500,5,UomConversion!$E$8:$E$500,MID(P28,1,3)*1,UomConversion!$J$8:$J$500,1)))</f>
        <v/>
      </c>
      <c r="AB28" s="1640" t="str">
        <f t="shared" si="13"/>
        <v/>
      </c>
      <c r="AC28" s="1641" t="str">
        <f t="shared" si="14"/>
        <v/>
      </c>
      <c r="AD28" s="1642" t="str">
        <f t="shared" si="15"/>
        <v/>
      </c>
      <c r="AE28" s="1643" t="str">
        <f t="shared" si="16"/>
        <v/>
      </c>
      <c r="AF28" s="1640" t="str">
        <f>IF(I28="","",IF(ISNA(MATCH(I28,IF(pb_location_id=1,'[1]1_inventory_totals'!$C$8:$C$10000,IF(pb_location_id=2,'[1]2_inventory_totals'!$C$8:$C$10000,"")),0)),0,IF(AS28&gt;0,1,0)))</f>
        <v/>
      </c>
      <c r="AG28" s="1640" t="str">
        <f>IF(M28="","",IF(pb_location_id=1,SUMIFS('[1]1_inventory_total_details'!$J$8:$J$10000,'[1]1_inventory_total_details'!$C$8:$C$10000,I28,'[1]1_inventory_total_details'!$F$8:$F$10000,pb_location_id,'[1]1_inventory_total_details'!$G$8:$G$10000,"="&amp;Q28,'[1]1_inventory_total_details'!$H$8:$H$10000,"="&amp;R28,'[1]1_inventory_total_details'!$I$8:$I$10000,"="&amp;pb_date)+SUMIFS('[1]1_inventory_total_details'!$M$8:$M$10000,'[1]1_inventory_total_details'!$C$8:$C$10000,I28,'[1]1_inventory_total_details'!$F$8:$F$10000,pb_location_id,'[1]1_inventory_total_details'!$G$8:$G$10000,"="&amp;Q28,'[1]1_inventory_total_details'!$H$8:$H$10000,"="&amp;R28,'[1]1_inventory_total_details'!$I$8:$I$10000,"="&amp;pb_date)+SUMIFS('[1]1_inventory_total_details'!$K$8:$K$10000,'[1]1_inventory_total_details'!$C$8:$C$10000,I28,'[1]1_inventory_total_details'!$F$8:$F$10000,pb_location_id,'[1]1_inventory_total_details'!$G$8:$G$10000,"="&amp;Q28,'[1]1_inventory_total_details'!$H$8:$H$10000,"="&amp;R28,'[1]1_inventory_total_details'!$I$8:$I$10000,"="&amp;pb_date)+SUMIFS('[1]1_inventory_total_details'!$L$8:$L$10000,'[1]1_inventory_total_details'!$C$8:$C$10000,I28,'[1]1_inventory_total_details'!$F$8:$F$10000,pb_location_id,'[1]1_inventory_total_details'!$G$8:$G$10000,"="&amp;Q28,'[1]1_inventory_total_details'!$H$8:$H$10000,"="&amp;R28,'[1]1_inventory_total_details'!$I$8:$I$10000,"="&amp;pb_date),SUMIFS('[1]2_inventory_total_details'!$J$8:$J$10000,'[1]2_inventory_total_details'!$C$8:$C$10000,I28,'[1]1_inventory_total_details'!$F$8:$F$10000,pb_location_id,'[1]2_inventory_total_details'!$G$8:$G$10000,"="&amp;Q28,'[1]2_inventory_total_details'!$H$8:$H$10000,"="&amp;R28,'[1]2_inventory_total_details'!$I$8:$I$10000,"="&amp;pb_date)+SUMIFS('[1]2_inventory_total_details'!$M$8:$M$10000,'[1]2_inventory_total_details'!$C$8:$C$10000,I28,'[1]2_inventory_total_details'!$F$8:$F$10000,pb_location_id,'[1]2_inventory_total_details'!$G$8:$G$10000,"="&amp;Q28,'[1]2_inventory_total_details'!$H$8:$H$10000,"="&amp;R28,'[1]2_inventory_total_details'!$I$8:$I$10000,"="&amp;pb_date)+SUMIFS('[1]2_inventory_total_details'!$K$8:$K$10000,'[1]2_inventory_total_details'!$C$8:$C$10000,I28,'[1]2_inventory_total_details'!$F$8:$F$10000,pb_location_id,'[1]2_inventory_total_details'!$G$8:$G$10000,"="&amp;Q28,'[1]2_inventory_total_details'!$H$8:$H$10000,"="&amp;R28,'[1]2_inventory_total_details'!$I$8:$I$10000,"="&amp;pb_date)+SUMIFS('[1]2_inventory_total_details'!$L$8:$L$10000,'[1]2_inventory_total_details'!$C$8:$C$10000,I28,'[1]2_inventory_total_details'!$F$8:$F$10000,pb_location_id,'[1]2_inventory_total_details'!$G$8:$G$10000,"="&amp;Q28,'[1]2_inventory_total_details'!$H$8:$H$10000,"="&amp;R28,'[1]2_inventory_total_details'!$I$8:$I$10000,"="&amp;pb_date)))</f>
        <v/>
      </c>
      <c r="AH28" s="1640" t="str">
        <f>IF(M28="","",IF(ISNA(MATCH(I28,'[1]1_group_totals'!$C$8:$C$10000)),0,IF(AT28&gt;0,1,0)))</f>
        <v/>
      </c>
      <c r="AI28" s="1640" t="str">
        <f>IF(M28="","",(SUMIFS('[1]1_group_total_details'!$I$8:$I$10000,'[1]1_group_total_details'!$C$8:$C$10000,I28,'[1]1_group_total_details'!$F$8:$F$10000,pb_location_group_id,'[1]1_group_total_details'!$G$8:$G$10000,pb_location_id,'[1]1_group_total_details'!$H$8:$H$10000,"="&amp;pb_date)+SUMIFS('[1]1_group_total_details'!$L$8:$L$10000,'[1]1_group_total_details'!$C$8:$C$10000,I28,'[1]1_group_total_details'!$F$8:$F$10000,pb_location_group_id,'[1]1_group_total_details'!$G$8:$G$10000,pb_location_id,'[1]1_group_total_details'!$H$8:$H$10000,"="&amp;pb_date)+SUMIFS('[1]1_group_total_details'!$N$8:$N$10000,'[1]1_group_total_details'!$C$8:$C$10000,I28,'[1]1_group_total_details'!$F$8:$F$10000,pb_location_group_id,'[1]1_group_total_details'!$G$8:$G$10000,pb_location_id,'[1]1_group_total_details'!$H$8:$H$10000,"="&amp;pb_date)+SUMIFS('[1]1_group_total_details'!$O$8:$O$10000,'[1]1_group_total_details'!$C$8:$C$10000,I28,'[1]1_group_total_details'!$F$8:$F$10000,pb_location_group_id,'[1]1_group_total_details'!$G$8:$G$10000,pb_location_id,'[1]1_group_total_details'!$H$8:$H$10000,"="&amp;pb_date))+(SUMIFS('[1]1_group_total_details'!$J$8:$J$10000,'[1]1_group_total_details'!$C$8:$C$10000,I28,'[1]1_group_total_details'!$F$8:$F$10000,pb_location_group_id,'[1]1_group_total_details'!$G$8:$G$10000,pb_location_id,'[1]1_group_total_details'!$H$8:$H$10000,"="&amp;pb_date)+SUMIFS('[1]1_group_total_details'!$K$8:$K$10000,'[1]1_group_total_details'!$C$8:$C$10000,I28,'[1]1_group_total_details'!$F$8:$F$10000,pb_location_group_id,'[1]1_group_total_details'!$G$8:$G$10000,pb_location_id,'[1]1_group_total_details'!$H$8:$H$10000,"="&amp;pb_date)+SUMIFS('[1]1_group_total_details'!$M$8:$M$10000,'[1]1_group_total_details'!$C$8:$C$10000,I28,'[1]1_group_total_details'!$F$8:$F$10000,pb_location_group_id,'[1]1_group_total_details'!$G$8:$G$10000,pb_location_id,'[1]1_group_total_details'!$H$8:$H$10000,"="&amp;pb_date)+SUMIFS('[1]1_group_total_details'!$P$8:$P$10000,'[1]1_group_total_details'!$C$8:$C$10000,I28,'[1]1_group_total_details'!$F$8:$F$10000,pb_location_group_id,'[1]1_group_total_details'!$G$8:$G$10000,pb_location_id,'[1]1_group_total_details'!$H$8:$H$10000,"="&amp;pb_date)))</f>
        <v/>
      </c>
      <c r="AJ28" s="1640" t="str">
        <f>IF(M28="","",IF(AK28=0,0,(SUMIFS('[1]1_group_total_details'!$I$8:$I$10000,'[1]1_group_total_details'!$C$8:$C$10000,I28,'[1]1_group_total_details'!$F$8:$F$10000,pb_location_group_id,'[1]1_group_total_details'!$G$8:$G$10000,pb_location_id,'[1]1_group_total_details'!$H$8:$H$10000,"&lt;="&amp;pb_date)+SUMIFS('[1]1_group_total_details'!$L$8:$L$10000,'[1]1_group_total_details'!$C$8:$C$10000,I28,'[1]1_group_total_details'!$F$8:$F$10000,pb_location_group_id,'[1]1_group_total_details'!$G$8:$G$10000,pb_location_id,'[1]1_group_total_details'!$H$8:$H$10000,"&lt;="&amp;pb_date)+SUMIFS('[1]1_group_total_details'!$N$8:$N$10000,'[1]1_group_total_details'!$C$8:$C$10000,I28,'[1]1_group_total_details'!$F$8:$F$10000,pb_location_group_id,'[1]1_group_total_details'!$G$8:$G$10000,pb_location_id,'[1]1_group_total_details'!$H$8:$H$10000,"&lt;="&amp;pb_date)+SUMIFS('[1]1_group_total_details'!$O$8:$O$10000,'[1]1_group_total_details'!$C$8:$C$10000,I28,'[1]1_group_total_details'!$F$8:$F$10000,pb_location_group_id,'[1]1_group_total_details'!$G$8:$G$10000,pb_location_id,'[1]1_group_total_details'!$H$8:$H$10000,"&lt;="&amp;pb_date))-(SUMIFS('[1]1_group_total_details'!$J$8:$J$10000,'[1]1_group_total_details'!$C$8:$C$10000,I28,'[1]1_group_total_details'!$F$8:$F$10000,pb_location_group_id,'[1]1_group_total_details'!$G$8:$G$10000,pb_location_id,'[1]1_group_total_details'!$H$8:$H$10000,"&lt;="&amp;pb_date)+SUMIFS('[1]1_group_total_details'!$K$8:$K$10000,'[1]1_group_total_details'!$C$8:$C$10000,I28,'[1]1_group_total_details'!$F$8:$F$10000,pb_location_group_id,'[1]1_group_total_details'!$G$8:$G$10000,invoice_location_id,'[1]1_group_total_details'!$H$8:$H$10000,"&lt;="&amp;pb_date)+SUMIFS('[1]1_group_total_details'!$M$8:$M$10000,'[1]1_group_total_details'!$C$8:$C$10000,I28,'[1]1_group_total_details'!$F$8:$F$10000,pb_location_group_id,'[1]1_group_total_details'!$G$8:$G$10000,pb_location_id,'[1]1_group_total_details'!$H$8:$H$10000,"&lt;="&amp;pb_date)+SUMIFS('[1]1_group_total_details'!$P$8:$P$10000,'[1]1_group_total_details'!$C$8:$C$10000,I28,'[1]1_group_total_details'!$F$8:$F$10000,pb_location_group_id,'[1]1_group_total_details'!$G$8:$G$10000,pb_location_id,'[1]1_group_total_details'!$H$8:$H$10000,"&lt;="&amp;pb_date))))</f>
        <v/>
      </c>
      <c r="AK28" s="1640" t="str">
        <f>IF(M28="","",SUMIFS('[1]1_group_totals'!$J$8:$J$10000,'[1]1_group_totals'!$C$8:$C$10000,I28,'[1]1_group_totals'!$F$8:$F$10000,pb_location_group_id,'[1]1_group_totals'!$G$8:$G$10000,pb_location_id,'[1]1_group_totals'!$H$8:$H$10000,"="&amp;Q28,'[1]1_group_totals'!$I$8:$I$10000,"="&amp;R28))</f>
        <v/>
      </c>
      <c r="AL28" s="1644" t="str">
        <f t="shared" si="17"/>
        <v/>
      </c>
      <c r="AM28" s="1644" t="str">
        <f>IF(OR(ISNA(MATCH(MID(AL28,1,3)*1,UomConversion!$D$8:$D$500,0)),M28=""),"",IF(AQ28="","",AQ28))</f>
        <v/>
      </c>
      <c r="AN28" s="1644" t="str">
        <f>IF(AND(AO28&gt;0,COUNTIFS(UomConversion!$D$8:$D$500,MID(AL28,1,3)*1,UomConversion!$J$8:$J$500,1)&gt;1),TEXT(AO28,"000")&amp;"."&amp;VLOOKUP(AO28,uom_list,5,FALSE),"")</f>
        <v/>
      </c>
      <c r="AO28" s="1640" t="str">
        <f t="shared" si="18"/>
        <v/>
      </c>
      <c r="AP28" s="1645" t="str">
        <f t="shared" si="19"/>
        <v/>
      </c>
      <c r="AQ28" s="491" t="str">
        <f t="shared" si="20"/>
        <v/>
      </c>
      <c r="AR28" s="1281" t="str" cm="1">
        <f t="array" ref="AR28">IF(M28="","",IF(ISNA(Slookup(MID(AL28,1,3)*1,UomConversion!$D$8:$J$500,2,UomConversion!$I$8:$I$500,1,UomConversion!$J$8:$J$500,1)),"",Slookup(MID(AL28,1,3)*1,UomConversion!$D$8:$J$500,2,UomConversion!$I$8:$I$500,1,UomConversion!$J$8:$J$500,1)))</f>
        <v/>
      </c>
      <c r="AS28" s="663" t="str">
        <f>IF(M28="","",(SUMIFS('[1]1_inventory_totals'!$I$8:$I$10000,'[1]1_inventory_totals'!$C$8:$C$10000,I28,'[1]1_inventory_totals'!$F$8:$F$10000,"="&amp;Q28,'[1]1_inventory_totals'!$G$8:$G$10000,"="&amp;R28)+SUMIFS('[1]1_inventory_totals'!$N$8:$N$10000,'[1]1_inventory_totals'!$C$8:$C$10000,I28,'[1]1_inventory_totals'!$F$8:$F$10000,"="&amp;Q28,'[1]1_inventory_totals'!$G$8:$G$10000,"="&amp;R28)+SUMIFS('[1]1_inventory_totals'!$P$8:$P$10000,'[1]1_inventory_totals'!$C$8:$C$10000,I28,'[1]1_inventory_totals'!$F$8:$F$10000,"="&amp;Q28,'[1]1_inventory_totals'!$G$8:$G$10000,"="&amp;R28)+SUMIFS('[1]1_inventory_totals'!$Q$8:$Q$10000,'[1]1_inventory_totals'!$C$8:$C$10000,I28,'[1]1_inventory_totals'!$F$8:$F$10000,"="&amp;Q28,'[1]1_inventory_totals'!$G$8:$G$10000,"="&amp;R28)+SUMIFS('[1]1_inventory_totals'!$R$8:$R$10000,'[1]1_inventory_totals'!$C$8:$C$10000,I28,'[1]1_inventory_totals'!$F$8:$F$10000,"="&amp;Q28,'[1]1_inventory_totals'!$G$8:$G$10000,"="&amp;R28))+(SUMIFS('[1]1_inventory_totals'!$J$8:$J$10000,'[1]1_inventory_totals'!$C$8:$C$10000,I28,'[1]1_inventory_totals'!$F$8:$F$10000,"="&amp;Q28,'[1]1_inventory_totals'!$G$8:$G$10000,"="&amp;R28)+SUMIFS('[1]1_inventory_totals'!$K$8:$K$10000,'[1]1_inventory_totals'!$C$8:$C$10000,I28,'[1]1_inventory_totals'!$F$8:$F$10000,"="&amp;Q28,'[1]1_inventory_totals'!$G$8:$G$10000,"="&amp;R28)+SUMIFS('[1]1_inventory_totals'!$L$8:$L$10000,'[1]1_inventory_totals'!$C$8:$C$10000,I28,'[1]1_inventory_totals'!$F$8:$F$10000,"="&amp;Q28,'[1]1_inventory_totals'!$G$8:$G$10000,"="&amp;R28)+SUMIFS('[1]1_inventory_totals'!$M$8:$M$10000,'[1]1_inventory_totals'!$C$8:$C$10000,I28,'[1]1_inventory_totals'!$F$8:$F$10000,"="&amp;Q28,'[1]1_inventory_totals'!$G$8:$G$10000,"="&amp;R28)+SUMIFS('[1]1_inventory_totals'!$O$8:$O$10000,'[1]1_inventory_totals'!$C$8:$C$10000,I28,'[1]1_inventory_totals'!$F$8:$F$10000,"="&amp;Q28,'[1]1_inventory_totals'!$G$8:$G$10000,"="&amp;R28)+SUMIFS('[1]1_inventory_totals'!$S$8:$S$10000,'[1]1_inventory_totals'!$C$8:$C$10000,I28,'[1]1_inventory_totals'!$F$8:$F$10000,"="&amp;Q28,'[1]1_inventory_totals'!$G$8:$G$10000,"="&amp;R28)))</f>
        <v/>
      </c>
      <c r="AT28" s="1281" t="str">
        <f>IF(M28="","",(SUMIFS('[1]1_group_totals'!$K$8:$K$10000,'[1]1_group_totals'!$C$8:$C$10000,I28,'[1]1_group_totals'!$F$8:$F$10000,pb_location_group_id,'[1]1_group_totals'!$G$8:$G$10000,pb_location_id,'[1]1_group_totals'!$H$8:$H$10000,"="&amp;Q28,'[1]1_group_totals'!$I$8:$I$10000,"="&amp;R28)+SUMIFS('[1]1_group_totals'!$N$8:$N$10000,'[1]1_group_totals'!$C$8:$C$10000,I28,'[1]1_group_totals'!$F$8:$F$10000,pb_location_group_id,'[1]1_group_totals'!$G$8:$G$10000,pb_location_id,'[1]1_group_totals'!$H$8:$H$10000,"="&amp;Q28,'[1]1_group_totals'!$I$8:$I$10000,"="&amp;R28)+SUMIFS('[1]1_group_totals'!$P$8:$P$10000,'[1]1_group_totals'!$C$8:$C$10000,I28,'[1]1_group_totals'!$F$8:$F$10000,pb_location_group_id,'[1]1_group_totals'!$G$8:$G$10000,pb_location_id,'[1]1_group_totals'!$H$8:$H$10000,"="&amp;Q28,'[1]1_group_totals'!$I$8:$I$10000,"="&amp;R28)+SUMIFS('[1]1_group_totals'!$Q$8:$Q$10000,'[1]1_group_totals'!$C$8:$C$10000,I28,'[1]1_group_totals'!$F$8:$F$10000,pb_location_group_id,'[1]1_group_totals'!$G$8:$G$10000,pb_location_id,'[1]1_group_totals'!$H$8:$H$10000,"="&amp;Q28,'[1]1_group_totals'!$I$8:$I$10000,"="&amp;R28))+(SUMIFS('[1]1_group_totals'!$L$8:$L$10000,'[1]1_group_totals'!$C$8:$C$10000,I28,'[1]1_group_totals'!$F$8:$F$10000,pb_location_group_id,'[1]1_group_totals'!$G$8:$G$10000,pb_location_id,'[1]1_group_totals'!$H$8:$H$10000,"="&amp;Q28,'[1]1_group_totals'!$I$8:$I$10000,"="&amp;R28)+SUMIFS('[1]1_group_totals'!$M$8:$M$10000,'[1]1_group_totals'!$C$8:$C$10000,I28,'[1]1_group_totals'!$F$8:$F$10000,pb_location_group_id,'[1]1_group_totals'!$G$8:$G$10000,pb_location_id,'[1]1_group_totals'!$H$8:$H$10000,"="&amp;Q28,'[1]1_group_totals'!$I$8:$I$10000,"="&amp;R28)+SUMIFS('[1]1_group_totals'!$O$8:$O$10000,'[1]1_group_totals'!$C$8:$C$10000,I28,'[1]1_group_totals'!$F$8:$F$10000,pb_location_group_id,'[1]1_group_totals'!$G$8:$G$10000,pb_location_id,'[1]1_group_totals'!$H$8:$H$10000,"="&amp;Q28,'[1]1_group_totals'!$I$8:$I$10000,"="&amp;R28)+SUMIFS('[1]1_group_totals'!$R$8:$R$10000,'[1]1_group_totals'!$C$8:$C$10000,I28,'[1]1_group_totals'!$F$8:$F$10000,pb_location_group_id,'[1]1_group_totals'!$G$8:$G$10000,pb_location_id,'[1]1_group_totals'!$H$8:$H$10000,"="&amp;Q28,'[1]1_group_totals'!$I$8:$I$10000,"="&amp;R28)))</f>
        <v/>
      </c>
    </row>
    <row r="29" spans="1:46" ht="27" customHeight="1">
      <c r="A29" s="923"/>
      <c r="B29" s="1011"/>
      <c r="C29" s="950"/>
      <c r="D29" s="950"/>
      <c r="E29" s="950"/>
      <c r="F29" s="1057"/>
      <c r="I29" s="1610" t="str">
        <f t="shared" si="8"/>
        <v/>
      </c>
      <c r="J29" s="1631" t="str">
        <f t="shared" si="25"/>
        <v/>
      </c>
      <c r="K29" s="1628" t="str">
        <f t="shared" si="0"/>
        <v/>
      </c>
      <c r="L29" s="1632"/>
      <c r="M29" s="1069"/>
      <c r="N29" s="1044"/>
      <c r="O29" s="1044"/>
      <c r="P29" s="1046"/>
      <c r="Q29" s="1047"/>
      <c r="R29" s="1053"/>
      <c r="S29" s="1634" t="str">
        <f t="shared" ref="S29" si="80">IF(M29="","",pb_currency_symbol)</f>
        <v/>
      </c>
      <c r="T29" s="1068"/>
      <c r="U29" s="1636" t="str">
        <f t="shared" si="10"/>
        <v/>
      </c>
      <c r="V29" s="1634" t="str">
        <f t="shared" ref="V29" si="81">IF(W29=0,"",pb_currency_symbol)</f>
        <v/>
      </c>
      <c r="W29" s="1054"/>
      <c r="X29" s="1634" t="str">
        <f t="shared" ref="X29" si="82">IF(M29="","",pb_currency_symbol)</f>
        <v/>
      </c>
      <c r="Y29" s="1638" t="str">
        <f t="shared" si="24"/>
        <v/>
      </c>
      <c r="Z29" s="1062"/>
      <c r="AA29" s="1639" t="str" cm="1">
        <f t="array" ref="AA29">IF(M29="","",IF(P29=AL29,1,Slookup(MID(AL29,1,3)*1,UomConversion!$D$8:$J$500,5,UomConversion!$E$8:$E$500,MID(P29,1,3)*1,UomConversion!$J$8:$J$500,1)))</f>
        <v/>
      </c>
      <c r="AB29" s="1640" t="str">
        <f t="shared" si="13"/>
        <v/>
      </c>
      <c r="AC29" s="1641" t="str">
        <f t="shared" si="14"/>
        <v/>
      </c>
      <c r="AD29" s="1642" t="str">
        <f t="shared" si="15"/>
        <v/>
      </c>
      <c r="AE29" s="1643" t="str">
        <f t="shared" si="16"/>
        <v/>
      </c>
      <c r="AF29" s="1640" t="str">
        <f>IF(I29="","",IF(ISNA(MATCH(I29,IF(pb_location_id=1,'[1]1_inventory_totals'!$C$8:$C$10000,IF(pb_location_id=2,'[1]2_inventory_totals'!$C$8:$C$10000,"")),0)),0,IF(AS29&gt;0,1,0)))</f>
        <v/>
      </c>
      <c r="AG29" s="1640" t="str">
        <f>IF(M29="","",IF(pb_location_id=1,SUMIFS('[1]1_inventory_total_details'!$J$8:$J$10000,'[1]1_inventory_total_details'!$C$8:$C$10000,I29,'[1]1_inventory_total_details'!$F$8:$F$10000,pb_location_id,'[1]1_inventory_total_details'!$G$8:$G$10000,"="&amp;Q29,'[1]1_inventory_total_details'!$H$8:$H$10000,"="&amp;R29,'[1]1_inventory_total_details'!$I$8:$I$10000,"="&amp;pb_date)+SUMIFS('[1]1_inventory_total_details'!$M$8:$M$10000,'[1]1_inventory_total_details'!$C$8:$C$10000,I29,'[1]1_inventory_total_details'!$F$8:$F$10000,pb_location_id,'[1]1_inventory_total_details'!$G$8:$G$10000,"="&amp;Q29,'[1]1_inventory_total_details'!$H$8:$H$10000,"="&amp;R29,'[1]1_inventory_total_details'!$I$8:$I$10000,"="&amp;pb_date)+SUMIFS('[1]1_inventory_total_details'!$K$8:$K$10000,'[1]1_inventory_total_details'!$C$8:$C$10000,I29,'[1]1_inventory_total_details'!$F$8:$F$10000,pb_location_id,'[1]1_inventory_total_details'!$G$8:$G$10000,"="&amp;Q29,'[1]1_inventory_total_details'!$H$8:$H$10000,"="&amp;R29,'[1]1_inventory_total_details'!$I$8:$I$10000,"="&amp;pb_date)+SUMIFS('[1]1_inventory_total_details'!$L$8:$L$10000,'[1]1_inventory_total_details'!$C$8:$C$10000,I29,'[1]1_inventory_total_details'!$F$8:$F$10000,pb_location_id,'[1]1_inventory_total_details'!$G$8:$G$10000,"="&amp;Q29,'[1]1_inventory_total_details'!$H$8:$H$10000,"="&amp;R29,'[1]1_inventory_total_details'!$I$8:$I$10000,"="&amp;pb_date),SUMIFS('[1]2_inventory_total_details'!$J$8:$J$10000,'[1]2_inventory_total_details'!$C$8:$C$10000,I29,'[1]1_inventory_total_details'!$F$8:$F$10000,pb_location_id,'[1]2_inventory_total_details'!$G$8:$G$10000,"="&amp;Q29,'[1]2_inventory_total_details'!$H$8:$H$10000,"="&amp;R29,'[1]2_inventory_total_details'!$I$8:$I$10000,"="&amp;pb_date)+SUMIFS('[1]2_inventory_total_details'!$M$8:$M$10000,'[1]2_inventory_total_details'!$C$8:$C$10000,I29,'[1]2_inventory_total_details'!$F$8:$F$10000,pb_location_id,'[1]2_inventory_total_details'!$G$8:$G$10000,"="&amp;Q29,'[1]2_inventory_total_details'!$H$8:$H$10000,"="&amp;R29,'[1]2_inventory_total_details'!$I$8:$I$10000,"="&amp;pb_date)+SUMIFS('[1]2_inventory_total_details'!$K$8:$K$10000,'[1]2_inventory_total_details'!$C$8:$C$10000,I29,'[1]2_inventory_total_details'!$F$8:$F$10000,pb_location_id,'[1]2_inventory_total_details'!$G$8:$G$10000,"="&amp;Q29,'[1]2_inventory_total_details'!$H$8:$H$10000,"="&amp;R29,'[1]2_inventory_total_details'!$I$8:$I$10000,"="&amp;pb_date)+SUMIFS('[1]2_inventory_total_details'!$L$8:$L$10000,'[1]2_inventory_total_details'!$C$8:$C$10000,I29,'[1]2_inventory_total_details'!$F$8:$F$10000,pb_location_id,'[1]2_inventory_total_details'!$G$8:$G$10000,"="&amp;Q29,'[1]2_inventory_total_details'!$H$8:$H$10000,"="&amp;R29,'[1]2_inventory_total_details'!$I$8:$I$10000,"="&amp;pb_date)))</f>
        <v/>
      </c>
      <c r="AH29" s="1640" t="str">
        <f>IF(M29="","",IF(ISNA(MATCH(I29,'[1]1_group_totals'!$C$8:$C$10000)),0,IF(AT29&gt;0,1,0)))</f>
        <v/>
      </c>
      <c r="AI29" s="1640" t="str">
        <f>IF(M29="","",(SUMIFS('[1]1_group_total_details'!$I$8:$I$10000,'[1]1_group_total_details'!$C$8:$C$10000,I29,'[1]1_group_total_details'!$F$8:$F$10000,pb_location_group_id,'[1]1_group_total_details'!$G$8:$G$10000,pb_location_id,'[1]1_group_total_details'!$H$8:$H$10000,"="&amp;pb_date)+SUMIFS('[1]1_group_total_details'!$L$8:$L$10000,'[1]1_group_total_details'!$C$8:$C$10000,I29,'[1]1_group_total_details'!$F$8:$F$10000,pb_location_group_id,'[1]1_group_total_details'!$G$8:$G$10000,pb_location_id,'[1]1_group_total_details'!$H$8:$H$10000,"="&amp;pb_date)+SUMIFS('[1]1_group_total_details'!$N$8:$N$10000,'[1]1_group_total_details'!$C$8:$C$10000,I29,'[1]1_group_total_details'!$F$8:$F$10000,pb_location_group_id,'[1]1_group_total_details'!$G$8:$G$10000,pb_location_id,'[1]1_group_total_details'!$H$8:$H$10000,"="&amp;pb_date)+SUMIFS('[1]1_group_total_details'!$O$8:$O$10000,'[1]1_group_total_details'!$C$8:$C$10000,I29,'[1]1_group_total_details'!$F$8:$F$10000,pb_location_group_id,'[1]1_group_total_details'!$G$8:$G$10000,pb_location_id,'[1]1_group_total_details'!$H$8:$H$10000,"="&amp;pb_date))+(SUMIFS('[1]1_group_total_details'!$J$8:$J$10000,'[1]1_group_total_details'!$C$8:$C$10000,I29,'[1]1_group_total_details'!$F$8:$F$10000,pb_location_group_id,'[1]1_group_total_details'!$G$8:$G$10000,pb_location_id,'[1]1_group_total_details'!$H$8:$H$10000,"="&amp;pb_date)+SUMIFS('[1]1_group_total_details'!$K$8:$K$10000,'[1]1_group_total_details'!$C$8:$C$10000,I29,'[1]1_group_total_details'!$F$8:$F$10000,pb_location_group_id,'[1]1_group_total_details'!$G$8:$G$10000,pb_location_id,'[1]1_group_total_details'!$H$8:$H$10000,"="&amp;pb_date)+SUMIFS('[1]1_group_total_details'!$M$8:$M$10000,'[1]1_group_total_details'!$C$8:$C$10000,I29,'[1]1_group_total_details'!$F$8:$F$10000,pb_location_group_id,'[1]1_group_total_details'!$G$8:$G$10000,pb_location_id,'[1]1_group_total_details'!$H$8:$H$10000,"="&amp;pb_date)+SUMIFS('[1]1_group_total_details'!$P$8:$P$10000,'[1]1_group_total_details'!$C$8:$C$10000,I29,'[1]1_group_total_details'!$F$8:$F$10000,pb_location_group_id,'[1]1_group_total_details'!$G$8:$G$10000,pb_location_id,'[1]1_group_total_details'!$H$8:$H$10000,"="&amp;pb_date)))</f>
        <v/>
      </c>
      <c r="AJ29" s="1640" t="str">
        <f>IF(M29="","",IF(AK29=0,0,(SUMIFS('[1]1_group_total_details'!$I$8:$I$10000,'[1]1_group_total_details'!$C$8:$C$10000,I29,'[1]1_group_total_details'!$F$8:$F$10000,pb_location_group_id,'[1]1_group_total_details'!$G$8:$G$10000,pb_location_id,'[1]1_group_total_details'!$H$8:$H$10000,"&lt;="&amp;pb_date)+SUMIFS('[1]1_group_total_details'!$L$8:$L$10000,'[1]1_group_total_details'!$C$8:$C$10000,I29,'[1]1_group_total_details'!$F$8:$F$10000,pb_location_group_id,'[1]1_group_total_details'!$G$8:$G$10000,pb_location_id,'[1]1_group_total_details'!$H$8:$H$10000,"&lt;="&amp;pb_date)+SUMIFS('[1]1_group_total_details'!$N$8:$N$10000,'[1]1_group_total_details'!$C$8:$C$10000,I29,'[1]1_group_total_details'!$F$8:$F$10000,pb_location_group_id,'[1]1_group_total_details'!$G$8:$G$10000,pb_location_id,'[1]1_group_total_details'!$H$8:$H$10000,"&lt;="&amp;pb_date)+SUMIFS('[1]1_group_total_details'!$O$8:$O$10000,'[1]1_group_total_details'!$C$8:$C$10000,I29,'[1]1_group_total_details'!$F$8:$F$10000,pb_location_group_id,'[1]1_group_total_details'!$G$8:$G$10000,pb_location_id,'[1]1_group_total_details'!$H$8:$H$10000,"&lt;="&amp;pb_date))-(SUMIFS('[1]1_group_total_details'!$J$8:$J$10000,'[1]1_group_total_details'!$C$8:$C$10000,I29,'[1]1_group_total_details'!$F$8:$F$10000,pb_location_group_id,'[1]1_group_total_details'!$G$8:$G$10000,pb_location_id,'[1]1_group_total_details'!$H$8:$H$10000,"&lt;="&amp;pb_date)+SUMIFS('[1]1_group_total_details'!$K$8:$K$10000,'[1]1_group_total_details'!$C$8:$C$10000,I29,'[1]1_group_total_details'!$F$8:$F$10000,pb_location_group_id,'[1]1_group_total_details'!$G$8:$G$10000,invoice_location_id,'[1]1_group_total_details'!$H$8:$H$10000,"&lt;="&amp;pb_date)+SUMIFS('[1]1_group_total_details'!$M$8:$M$10000,'[1]1_group_total_details'!$C$8:$C$10000,I29,'[1]1_group_total_details'!$F$8:$F$10000,pb_location_group_id,'[1]1_group_total_details'!$G$8:$G$10000,pb_location_id,'[1]1_group_total_details'!$H$8:$H$10000,"&lt;="&amp;pb_date)+SUMIFS('[1]1_group_total_details'!$P$8:$P$10000,'[1]1_group_total_details'!$C$8:$C$10000,I29,'[1]1_group_total_details'!$F$8:$F$10000,pb_location_group_id,'[1]1_group_total_details'!$G$8:$G$10000,pb_location_id,'[1]1_group_total_details'!$H$8:$H$10000,"&lt;="&amp;pb_date))))</f>
        <v/>
      </c>
      <c r="AK29" s="1640" t="str">
        <f>IF(M29="","",SUMIFS('[1]1_group_totals'!$J$8:$J$10000,'[1]1_group_totals'!$C$8:$C$10000,I29,'[1]1_group_totals'!$F$8:$F$10000,pb_location_group_id,'[1]1_group_totals'!$G$8:$G$10000,pb_location_id,'[1]1_group_totals'!$H$8:$H$10000,"="&amp;Q29,'[1]1_group_totals'!$I$8:$I$10000,"="&amp;R29))</f>
        <v/>
      </c>
      <c r="AL29" s="1644" t="str">
        <f t="shared" si="17"/>
        <v/>
      </c>
      <c r="AM29" s="1644" t="str">
        <f>IF(OR(ISNA(MATCH(MID(AL29,1,3)*1,UomConversion!$D$8:$D$500,0)),M29=""),"",IF(AQ29="","",AQ29))</f>
        <v/>
      </c>
      <c r="AN29" s="1644" t="str">
        <f>IF(AND(AO29&gt;0,COUNTIFS(UomConversion!$D$8:$D$500,MID(AL29,1,3)*1,UomConversion!$J$8:$J$500,1)&gt;1),TEXT(AO29,"000")&amp;"."&amp;VLOOKUP(AO29,uom_list,5,FALSE),"")</f>
        <v/>
      </c>
      <c r="AO29" s="1640" t="str">
        <f t="shared" si="18"/>
        <v/>
      </c>
      <c r="AP29" s="1645" t="str">
        <f t="shared" si="19"/>
        <v/>
      </c>
      <c r="AQ29" s="491" t="str">
        <f t="shared" si="20"/>
        <v/>
      </c>
      <c r="AR29" s="1281" t="str" cm="1">
        <f t="array" ref="AR29">IF(M29="","",IF(ISNA(Slookup(MID(AL29,1,3)*1,UomConversion!$D$8:$J$500,2,UomConversion!$I$8:$I$500,1,UomConversion!$J$8:$J$500,1)),"",Slookup(MID(AL29,1,3)*1,UomConversion!$D$8:$J$500,2,UomConversion!$I$8:$I$500,1,UomConversion!$J$8:$J$500,1)))</f>
        <v/>
      </c>
      <c r="AS29" s="663" t="str">
        <f>IF(M29="","",(SUMIFS('[1]1_inventory_totals'!$I$8:$I$10000,'[1]1_inventory_totals'!$C$8:$C$10000,I29,'[1]1_inventory_totals'!$F$8:$F$10000,"="&amp;Q29,'[1]1_inventory_totals'!$G$8:$G$10000,"="&amp;R29)+SUMIFS('[1]1_inventory_totals'!$N$8:$N$10000,'[1]1_inventory_totals'!$C$8:$C$10000,I29,'[1]1_inventory_totals'!$F$8:$F$10000,"="&amp;Q29,'[1]1_inventory_totals'!$G$8:$G$10000,"="&amp;R29)+SUMIFS('[1]1_inventory_totals'!$P$8:$P$10000,'[1]1_inventory_totals'!$C$8:$C$10000,I29,'[1]1_inventory_totals'!$F$8:$F$10000,"="&amp;Q29,'[1]1_inventory_totals'!$G$8:$G$10000,"="&amp;R29)+SUMIFS('[1]1_inventory_totals'!$Q$8:$Q$10000,'[1]1_inventory_totals'!$C$8:$C$10000,I29,'[1]1_inventory_totals'!$F$8:$F$10000,"="&amp;Q29,'[1]1_inventory_totals'!$G$8:$G$10000,"="&amp;R29)+SUMIFS('[1]1_inventory_totals'!$R$8:$R$10000,'[1]1_inventory_totals'!$C$8:$C$10000,I29,'[1]1_inventory_totals'!$F$8:$F$10000,"="&amp;Q29,'[1]1_inventory_totals'!$G$8:$G$10000,"="&amp;R29))+(SUMIFS('[1]1_inventory_totals'!$J$8:$J$10000,'[1]1_inventory_totals'!$C$8:$C$10000,I29,'[1]1_inventory_totals'!$F$8:$F$10000,"="&amp;Q29,'[1]1_inventory_totals'!$G$8:$G$10000,"="&amp;R29)+SUMIFS('[1]1_inventory_totals'!$K$8:$K$10000,'[1]1_inventory_totals'!$C$8:$C$10000,I29,'[1]1_inventory_totals'!$F$8:$F$10000,"="&amp;Q29,'[1]1_inventory_totals'!$G$8:$G$10000,"="&amp;R29)+SUMIFS('[1]1_inventory_totals'!$L$8:$L$10000,'[1]1_inventory_totals'!$C$8:$C$10000,I29,'[1]1_inventory_totals'!$F$8:$F$10000,"="&amp;Q29,'[1]1_inventory_totals'!$G$8:$G$10000,"="&amp;R29)+SUMIFS('[1]1_inventory_totals'!$M$8:$M$10000,'[1]1_inventory_totals'!$C$8:$C$10000,I29,'[1]1_inventory_totals'!$F$8:$F$10000,"="&amp;Q29,'[1]1_inventory_totals'!$G$8:$G$10000,"="&amp;R29)+SUMIFS('[1]1_inventory_totals'!$O$8:$O$10000,'[1]1_inventory_totals'!$C$8:$C$10000,I29,'[1]1_inventory_totals'!$F$8:$F$10000,"="&amp;Q29,'[1]1_inventory_totals'!$G$8:$G$10000,"="&amp;R29)+SUMIFS('[1]1_inventory_totals'!$S$8:$S$10000,'[1]1_inventory_totals'!$C$8:$C$10000,I29,'[1]1_inventory_totals'!$F$8:$F$10000,"="&amp;Q29,'[1]1_inventory_totals'!$G$8:$G$10000,"="&amp;R29)))</f>
        <v/>
      </c>
      <c r="AT29" s="1281" t="str">
        <f>IF(M29="","",(SUMIFS('[1]1_group_totals'!$K$8:$K$10000,'[1]1_group_totals'!$C$8:$C$10000,I29,'[1]1_group_totals'!$F$8:$F$10000,pb_location_group_id,'[1]1_group_totals'!$G$8:$G$10000,pb_location_id,'[1]1_group_totals'!$H$8:$H$10000,"="&amp;Q29,'[1]1_group_totals'!$I$8:$I$10000,"="&amp;R29)+SUMIFS('[1]1_group_totals'!$N$8:$N$10000,'[1]1_group_totals'!$C$8:$C$10000,I29,'[1]1_group_totals'!$F$8:$F$10000,pb_location_group_id,'[1]1_group_totals'!$G$8:$G$10000,pb_location_id,'[1]1_group_totals'!$H$8:$H$10000,"="&amp;Q29,'[1]1_group_totals'!$I$8:$I$10000,"="&amp;R29)+SUMIFS('[1]1_group_totals'!$P$8:$P$10000,'[1]1_group_totals'!$C$8:$C$10000,I29,'[1]1_group_totals'!$F$8:$F$10000,pb_location_group_id,'[1]1_group_totals'!$G$8:$G$10000,pb_location_id,'[1]1_group_totals'!$H$8:$H$10000,"="&amp;Q29,'[1]1_group_totals'!$I$8:$I$10000,"="&amp;R29)+SUMIFS('[1]1_group_totals'!$Q$8:$Q$10000,'[1]1_group_totals'!$C$8:$C$10000,I29,'[1]1_group_totals'!$F$8:$F$10000,pb_location_group_id,'[1]1_group_totals'!$G$8:$G$10000,pb_location_id,'[1]1_group_totals'!$H$8:$H$10000,"="&amp;Q29,'[1]1_group_totals'!$I$8:$I$10000,"="&amp;R29))+(SUMIFS('[1]1_group_totals'!$L$8:$L$10000,'[1]1_group_totals'!$C$8:$C$10000,I29,'[1]1_group_totals'!$F$8:$F$10000,pb_location_group_id,'[1]1_group_totals'!$G$8:$G$10000,pb_location_id,'[1]1_group_totals'!$H$8:$H$10000,"="&amp;Q29,'[1]1_group_totals'!$I$8:$I$10000,"="&amp;R29)+SUMIFS('[1]1_group_totals'!$M$8:$M$10000,'[1]1_group_totals'!$C$8:$C$10000,I29,'[1]1_group_totals'!$F$8:$F$10000,pb_location_group_id,'[1]1_group_totals'!$G$8:$G$10000,pb_location_id,'[1]1_group_totals'!$H$8:$H$10000,"="&amp;Q29,'[1]1_group_totals'!$I$8:$I$10000,"="&amp;R29)+SUMIFS('[1]1_group_totals'!$O$8:$O$10000,'[1]1_group_totals'!$C$8:$C$10000,I29,'[1]1_group_totals'!$F$8:$F$10000,pb_location_group_id,'[1]1_group_totals'!$G$8:$G$10000,pb_location_id,'[1]1_group_totals'!$H$8:$H$10000,"="&amp;Q29,'[1]1_group_totals'!$I$8:$I$10000,"="&amp;R29)+SUMIFS('[1]1_group_totals'!$R$8:$R$10000,'[1]1_group_totals'!$C$8:$C$10000,I29,'[1]1_group_totals'!$F$8:$F$10000,pb_location_group_id,'[1]1_group_totals'!$G$8:$G$10000,pb_location_id,'[1]1_group_totals'!$H$8:$H$10000,"="&amp;Q29,'[1]1_group_totals'!$I$8:$I$10000,"="&amp;R29)))</f>
        <v/>
      </c>
    </row>
    <row r="30" spans="1:46" ht="27" customHeight="1">
      <c r="A30" s="923"/>
      <c r="B30" s="1011"/>
      <c r="C30" s="950"/>
      <c r="D30" s="950"/>
      <c r="E30" s="950"/>
      <c r="F30" s="1057"/>
      <c r="I30" s="1610" t="str">
        <f t="shared" si="8"/>
        <v/>
      </c>
      <c r="J30" s="1631" t="str">
        <f t="shared" si="25"/>
        <v/>
      </c>
      <c r="K30" s="1628"/>
      <c r="L30" s="1632"/>
      <c r="M30" s="1069"/>
      <c r="N30" s="1044"/>
      <c r="O30" s="1044"/>
      <c r="P30" s="1046"/>
      <c r="Q30" s="1047"/>
      <c r="R30" s="1053"/>
      <c r="S30" s="1634" t="str">
        <f t="shared" ref="S30" si="83">IF(M30="","",pb_currency_symbol)</f>
        <v/>
      </c>
      <c r="T30" s="1068"/>
      <c r="U30" s="1636" t="str">
        <f t="shared" si="10"/>
        <v/>
      </c>
      <c r="V30" s="1634" t="str">
        <f t="shared" ref="V30" si="84">IF(W30=0,"",pb_currency_symbol)</f>
        <v/>
      </c>
      <c r="W30" s="1054"/>
      <c r="X30" s="1634" t="str">
        <f t="shared" ref="X30" si="85">IF(M30="","",pb_currency_symbol)</f>
        <v/>
      </c>
      <c r="Y30" s="1638" t="str">
        <f t="shared" si="24"/>
        <v/>
      </c>
      <c r="Z30" s="1062"/>
      <c r="AA30" s="1639" t="str" cm="1">
        <f t="array" ref="AA30">IF(M30="","",IF(P30=AL30,1,Slookup(MID(AL30,1,3)*1,UomConversion!$D$8:$J$500,5,UomConversion!$E$8:$E$500,MID(P30,1,3)*1,UomConversion!$J$8:$J$500,1)))</f>
        <v/>
      </c>
      <c r="AB30" s="1640" t="str">
        <f t="shared" si="13"/>
        <v/>
      </c>
      <c r="AC30" s="1641" t="str">
        <f t="shared" si="14"/>
        <v/>
      </c>
      <c r="AD30" s="1642" t="str">
        <f t="shared" si="15"/>
        <v/>
      </c>
      <c r="AE30" s="1643" t="str">
        <f t="shared" si="16"/>
        <v/>
      </c>
      <c r="AF30" s="1640" t="str">
        <f>IF(I30="","",IF(ISNA(MATCH(I30,IF(pb_location_id=1,'[1]1_inventory_totals'!$C$8:$C$10000,IF(pb_location_id=2,'[1]2_inventory_totals'!$C$8:$C$10000,"")),0)),0,IF(AS30&gt;0,1,0)))</f>
        <v/>
      </c>
      <c r="AG30" s="1640" t="str">
        <f>IF(M30="","",IF(pb_location_id=1,SUMIFS('[1]1_inventory_total_details'!$J$8:$J$10000,'[1]1_inventory_total_details'!$C$8:$C$10000,I30,'[1]1_inventory_total_details'!$F$8:$F$10000,pb_location_id,'[1]1_inventory_total_details'!$G$8:$G$10000,"="&amp;Q30,'[1]1_inventory_total_details'!$H$8:$H$10000,"="&amp;R30,'[1]1_inventory_total_details'!$I$8:$I$10000,"="&amp;pb_date)+SUMIFS('[1]1_inventory_total_details'!$M$8:$M$10000,'[1]1_inventory_total_details'!$C$8:$C$10000,I30,'[1]1_inventory_total_details'!$F$8:$F$10000,pb_location_id,'[1]1_inventory_total_details'!$G$8:$G$10000,"="&amp;Q30,'[1]1_inventory_total_details'!$H$8:$H$10000,"="&amp;R30,'[1]1_inventory_total_details'!$I$8:$I$10000,"="&amp;pb_date)+SUMIFS('[1]1_inventory_total_details'!$K$8:$K$10000,'[1]1_inventory_total_details'!$C$8:$C$10000,I30,'[1]1_inventory_total_details'!$F$8:$F$10000,pb_location_id,'[1]1_inventory_total_details'!$G$8:$G$10000,"="&amp;Q30,'[1]1_inventory_total_details'!$H$8:$H$10000,"="&amp;R30,'[1]1_inventory_total_details'!$I$8:$I$10000,"="&amp;pb_date)+SUMIFS('[1]1_inventory_total_details'!$L$8:$L$10000,'[1]1_inventory_total_details'!$C$8:$C$10000,I30,'[1]1_inventory_total_details'!$F$8:$F$10000,pb_location_id,'[1]1_inventory_total_details'!$G$8:$G$10000,"="&amp;Q30,'[1]1_inventory_total_details'!$H$8:$H$10000,"="&amp;R30,'[1]1_inventory_total_details'!$I$8:$I$10000,"="&amp;pb_date),SUMIFS('[1]2_inventory_total_details'!$J$8:$J$10000,'[1]2_inventory_total_details'!$C$8:$C$10000,I30,'[1]1_inventory_total_details'!$F$8:$F$10000,pb_location_id,'[1]2_inventory_total_details'!$G$8:$G$10000,"="&amp;Q30,'[1]2_inventory_total_details'!$H$8:$H$10000,"="&amp;R30,'[1]2_inventory_total_details'!$I$8:$I$10000,"="&amp;pb_date)+SUMIFS('[1]2_inventory_total_details'!$M$8:$M$10000,'[1]2_inventory_total_details'!$C$8:$C$10000,I30,'[1]2_inventory_total_details'!$F$8:$F$10000,pb_location_id,'[1]2_inventory_total_details'!$G$8:$G$10000,"="&amp;Q30,'[1]2_inventory_total_details'!$H$8:$H$10000,"="&amp;R30,'[1]2_inventory_total_details'!$I$8:$I$10000,"="&amp;pb_date)+SUMIFS('[1]2_inventory_total_details'!$K$8:$K$10000,'[1]2_inventory_total_details'!$C$8:$C$10000,I30,'[1]2_inventory_total_details'!$F$8:$F$10000,pb_location_id,'[1]2_inventory_total_details'!$G$8:$G$10000,"="&amp;Q30,'[1]2_inventory_total_details'!$H$8:$H$10000,"="&amp;R30,'[1]2_inventory_total_details'!$I$8:$I$10000,"="&amp;pb_date)+SUMIFS('[1]2_inventory_total_details'!$L$8:$L$10000,'[1]2_inventory_total_details'!$C$8:$C$10000,I30,'[1]2_inventory_total_details'!$F$8:$F$10000,pb_location_id,'[1]2_inventory_total_details'!$G$8:$G$10000,"="&amp;Q30,'[1]2_inventory_total_details'!$H$8:$H$10000,"="&amp;R30,'[1]2_inventory_total_details'!$I$8:$I$10000,"="&amp;pb_date)))</f>
        <v/>
      </c>
      <c r="AH30" s="1640" t="str">
        <f>IF(M30="","",IF(ISNA(MATCH(I30,'[1]1_group_totals'!$C$8:$C$10000)),0,IF(AT30&gt;0,1,0)))</f>
        <v/>
      </c>
      <c r="AI30" s="1640" t="str">
        <f>IF(M30="","",(SUMIFS('[1]1_group_total_details'!$I$8:$I$10000,'[1]1_group_total_details'!$C$8:$C$10000,I30,'[1]1_group_total_details'!$F$8:$F$10000,pb_location_group_id,'[1]1_group_total_details'!$G$8:$G$10000,pb_location_id,'[1]1_group_total_details'!$H$8:$H$10000,"="&amp;pb_date)+SUMIFS('[1]1_group_total_details'!$L$8:$L$10000,'[1]1_group_total_details'!$C$8:$C$10000,I30,'[1]1_group_total_details'!$F$8:$F$10000,pb_location_group_id,'[1]1_group_total_details'!$G$8:$G$10000,pb_location_id,'[1]1_group_total_details'!$H$8:$H$10000,"="&amp;pb_date)+SUMIFS('[1]1_group_total_details'!$N$8:$N$10000,'[1]1_group_total_details'!$C$8:$C$10000,I30,'[1]1_group_total_details'!$F$8:$F$10000,pb_location_group_id,'[1]1_group_total_details'!$G$8:$G$10000,pb_location_id,'[1]1_group_total_details'!$H$8:$H$10000,"="&amp;pb_date)+SUMIFS('[1]1_group_total_details'!$O$8:$O$10000,'[1]1_group_total_details'!$C$8:$C$10000,I30,'[1]1_group_total_details'!$F$8:$F$10000,pb_location_group_id,'[1]1_group_total_details'!$G$8:$G$10000,pb_location_id,'[1]1_group_total_details'!$H$8:$H$10000,"="&amp;pb_date))+(SUMIFS('[1]1_group_total_details'!$J$8:$J$10000,'[1]1_group_total_details'!$C$8:$C$10000,I30,'[1]1_group_total_details'!$F$8:$F$10000,pb_location_group_id,'[1]1_group_total_details'!$G$8:$G$10000,pb_location_id,'[1]1_group_total_details'!$H$8:$H$10000,"="&amp;pb_date)+SUMIFS('[1]1_group_total_details'!$K$8:$K$10000,'[1]1_group_total_details'!$C$8:$C$10000,I30,'[1]1_group_total_details'!$F$8:$F$10000,pb_location_group_id,'[1]1_group_total_details'!$G$8:$G$10000,pb_location_id,'[1]1_group_total_details'!$H$8:$H$10000,"="&amp;pb_date)+SUMIFS('[1]1_group_total_details'!$M$8:$M$10000,'[1]1_group_total_details'!$C$8:$C$10000,I30,'[1]1_group_total_details'!$F$8:$F$10000,pb_location_group_id,'[1]1_group_total_details'!$G$8:$G$10000,pb_location_id,'[1]1_group_total_details'!$H$8:$H$10000,"="&amp;pb_date)+SUMIFS('[1]1_group_total_details'!$P$8:$P$10000,'[1]1_group_total_details'!$C$8:$C$10000,I30,'[1]1_group_total_details'!$F$8:$F$10000,pb_location_group_id,'[1]1_group_total_details'!$G$8:$G$10000,pb_location_id,'[1]1_group_total_details'!$H$8:$H$10000,"="&amp;pb_date)))</f>
        <v/>
      </c>
      <c r="AJ30" s="1640" t="str">
        <f>IF(M30="","",IF(AK30=0,0,(SUMIFS('[1]1_group_total_details'!$I$8:$I$10000,'[1]1_group_total_details'!$C$8:$C$10000,I30,'[1]1_group_total_details'!$F$8:$F$10000,pb_location_group_id,'[1]1_group_total_details'!$G$8:$G$10000,pb_location_id,'[1]1_group_total_details'!$H$8:$H$10000,"&lt;="&amp;pb_date)+SUMIFS('[1]1_group_total_details'!$L$8:$L$10000,'[1]1_group_total_details'!$C$8:$C$10000,I30,'[1]1_group_total_details'!$F$8:$F$10000,pb_location_group_id,'[1]1_group_total_details'!$G$8:$G$10000,pb_location_id,'[1]1_group_total_details'!$H$8:$H$10000,"&lt;="&amp;pb_date)+SUMIFS('[1]1_group_total_details'!$N$8:$N$10000,'[1]1_group_total_details'!$C$8:$C$10000,I30,'[1]1_group_total_details'!$F$8:$F$10000,pb_location_group_id,'[1]1_group_total_details'!$G$8:$G$10000,pb_location_id,'[1]1_group_total_details'!$H$8:$H$10000,"&lt;="&amp;pb_date)+SUMIFS('[1]1_group_total_details'!$O$8:$O$10000,'[1]1_group_total_details'!$C$8:$C$10000,I30,'[1]1_group_total_details'!$F$8:$F$10000,pb_location_group_id,'[1]1_group_total_details'!$G$8:$G$10000,pb_location_id,'[1]1_group_total_details'!$H$8:$H$10000,"&lt;="&amp;pb_date))-(SUMIFS('[1]1_group_total_details'!$J$8:$J$10000,'[1]1_group_total_details'!$C$8:$C$10000,I30,'[1]1_group_total_details'!$F$8:$F$10000,pb_location_group_id,'[1]1_group_total_details'!$G$8:$G$10000,pb_location_id,'[1]1_group_total_details'!$H$8:$H$10000,"&lt;="&amp;pb_date)+SUMIFS('[1]1_group_total_details'!$K$8:$K$10000,'[1]1_group_total_details'!$C$8:$C$10000,I30,'[1]1_group_total_details'!$F$8:$F$10000,pb_location_group_id,'[1]1_group_total_details'!$G$8:$G$10000,invoice_location_id,'[1]1_group_total_details'!$H$8:$H$10000,"&lt;="&amp;pb_date)+SUMIFS('[1]1_group_total_details'!$M$8:$M$10000,'[1]1_group_total_details'!$C$8:$C$10000,I30,'[1]1_group_total_details'!$F$8:$F$10000,pb_location_group_id,'[1]1_group_total_details'!$G$8:$G$10000,pb_location_id,'[1]1_group_total_details'!$H$8:$H$10000,"&lt;="&amp;pb_date)+SUMIFS('[1]1_group_total_details'!$P$8:$P$10000,'[1]1_group_total_details'!$C$8:$C$10000,I30,'[1]1_group_total_details'!$F$8:$F$10000,pb_location_group_id,'[1]1_group_total_details'!$G$8:$G$10000,pb_location_id,'[1]1_group_total_details'!$H$8:$H$10000,"&lt;="&amp;pb_date))))</f>
        <v/>
      </c>
      <c r="AK30" s="1640" t="str">
        <f>IF(M30="","",SUMIFS('[1]1_group_totals'!$J$8:$J$10000,'[1]1_group_totals'!$C$8:$C$10000,I30,'[1]1_group_totals'!$F$8:$F$10000,pb_location_group_id,'[1]1_group_totals'!$G$8:$G$10000,pb_location_id,'[1]1_group_totals'!$H$8:$H$10000,"="&amp;Q30,'[1]1_group_totals'!$I$8:$I$10000,"="&amp;R30))</f>
        <v/>
      </c>
      <c r="AL30" s="1644" t="str">
        <f t="shared" si="17"/>
        <v/>
      </c>
      <c r="AM30" s="1644" t="str">
        <f>IF(OR(ISNA(MATCH(MID(AL30,1,3)*1,UomConversion!$D$8:$D$500,0)),M30=""),"",IF(AQ30="","",AQ30))</f>
        <v/>
      </c>
      <c r="AN30" s="1644" t="str">
        <f>IF(AND(AO30&gt;0,COUNTIFS(UomConversion!$D$8:$D$500,MID(AL30,1,3)*1,UomConversion!$J$8:$J$500,1)&gt;1),TEXT(AO30,"000")&amp;"."&amp;VLOOKUP(AO30,uom_list,5,FALSE),"")</f>
        <v/>
      </c>
      <c r="AO30" s="1640" t="str">
        <f t="shared" si="18"/>
        <v/>
      </c>
      <c r="AP30" s="1645" t="str">
        <f t="shared" si="19"/>
        <v/>
      </c>
      <c r="AQ30" s="491" t="str">
        <f t="shared" si="20"/>
        <v/>
      </c>
      <c r="AR30" s="1281" t="str" cm="1">
        <f t="array" ref="AR30">IF(M30="","",IF(ISNA(Slookup(MID(AL30,1,3)*1,UomConversion!$D$8:$J$500,2,UomConversion!$I$8:$I$500,1,UomConversion!$J$8:$J$500,1)),"",Slookup(MID(AL30,1,3)*1,UomConversion!$D$8:$J$500,2,UomConversion!$I$8:$I$500,1,UomConversion!$J$8:$J$500,1)))</f>
        <v/>
      </c>
      <c r="AS30" s="663" t="str">
        <f>IF(M30="","",(SUMIFS('[1]1_inventory_totals'!$I$8:$I$10000,'[1]1_inventory_totals'!$C$8:$C$10000,I30,'[1]1_inventory_totals'!$F$8:$F$10000,"="&amp;Q30,'[1]1_inventory_totals'!$G$8:$G$10000,"="&amp;R30)+SUMIFS('[1]1_inventory_totals'!$N$8:$N$10000,'[1]1_inventory_totals'!$C$8:$C$10000,I30,'[1]1_inventory_totals'!$F$8:$F$10000,"="&amp;Q30,'[1]1_inventory_totals'!$G$8:$G$10000,"="&amp;R30)+SUMIFS('[1]1_inventory_totals'!$P$8:$P$10000,'[1]1_inventory_totals'!$C$8:$C$10000,I30,'[1]1_inventory_totals'!$F$8:$F$10000,"="&amp;Q30,'[1]1_inventory_totals'!$G$8:$G$10000,"="&amp;R30)+SUMIFS('[1]1_inventory_totals'!$Q$8:$Q$10000,'[1]1_inventory_totals'!$C$8:$C$10000,I30,'[1]1_inventory_totals'!$F$8:$F$10000,"="&amp;Q30,'[1]1_inventory_totals'!$G$8:$G$10000,"="&amp;R30)+SUMIFS('[1]1_inventory_totals'!$R$8:$R$10000,'[1]1_inventory_totals'!$C$8:$C$10000,I30,'[1]1_inventory_totals'!$F$8:$F$10000,"="&amp;Q30,'[1]1_inventory_totals'!$G$8:$G$10000,"="&amp;R30))+(SUMIFS('[1]1_inventory_totals'!$J$8:$J$10000,'[1]1_inventory_totals'!$C$8:$C$10000,I30,'[1]1_inventory_totals'!$F$8:$F$10000,"="&amp;Q30,'[1]1_inventory_totals'!$G$8:$G$10000,"="&amp;R30)+SUMIFS('[1]1_inventory_totals'!$K$8:$K$10000,'[1]1_inventory_totals'!$C$8:$C$10000,I30,'[1]1_inventory_totals'!$F$8:$F$10000,"="&amp;Q30,'[1]1_inventory_totals'!$G$8:$G$10000,"="&amp;R30)+SUMIFS('[1]1_inventory_totals'!$L$8:$L$10000,'[1]1_inventory_totals'!$C$8:$C$10000,I30,'[1]1_inventory_totals'!$F$8:$F$10000,"="&amp;Q30,'[1]1_inventory_totals'!$G$8:$G$10000,"="&amp;R30)+SUMIFS('[1]1_inventory_totals'!$M$8:$M$10000,'[1]1_inventory_totals'!$C$8:$C$10000,I30,'[1]1_inventory_totals'!$F$8:$F$10000,"="&amp;Q30,'[1]1_inventory_totals'!$G$8:$G$10000,"="&amp;R30)+SUMIFS('[1]1_inventory_totals'!$O$8:$O$10000,'[1]1_inventory_totals'!$C$8:$C$10000,I30,'[1]1_inventory_totals'!$F$8:$F$10000,"="&amp;Q30,'[1]1_inventory_totals'!$G$8:$G$10000,"="&amp;R30)+SUMIFS('[1]1_inventory_totals'!$S$8:$S$10000,'[1]1_inventory_totals'!$C$8:$C$10000,I30,'[1]1_inventory_totals'!$F$8:$F$10000,"="&amp;Q30,'[1]1_inventory_totals'!$G$8:$G$10000,"="&amp;R30)))</f>
        <v/>
      </c>
      <c r="AT30" s="1281" t="str">
        <f>IF(M30="","",(SUMIFS('[1]1_group_totals'!$K$8:$K$10000,'[1]1_group_totals'!$C$8:$C$10000,I30,'[1]1_group_totals'!$F$8:$F$10000,pb_location_group_id,'[1]1_group_totals'!$G$8:$G$10000,pb_location_id,'[1]1_group_totals'!$H$8:$H$10000,"="&amp;Q30,'[1]1_group_totals'!$I$8:$I$10000,"="&amp;R30)+SUMIFS('[1]1_group_totals'!$N$8:$N$10000,'[1]1_group_totals'!$C$8:$C$10000,I30,'[1]1_group_totals'!$F$8:$F$10000,pb_location_group_id,'[1]1_group_totals'!$G$8:$G$10000,pb_location_id,'[1]1_group_totals'!$H$8:$H$10000,"="&amp;Q30,'[1]1_group_totals'!$I$8:$I$10000,"="&amp;R30)+SUMIFS('[1]1_group_totals'!$P$8:$P$10000,'[1]1_group_totals'!$C$8:$C$10000,I30,'[1]1_group_totals'!$F$8:$F$10000,pb_location_group_id,'[1]1_group_totals'!$G$8:$G$10000,pb_location_id,'[1]1_group_totals'!$H$8:$H$10000,"="&amp;Q30,'[1]1_group_totals'!$I$8:$I$10000,"="&amp;R30)+SUMIFS('[1]1_group_totals'!$Q$8:$Q$10000,'[1]1_group_totals'!$C$8:$C$10000,I30,'[1]1_group_totals'!$F$8:$F$10000,pb_location_group_id,'[1]1_group_totals'!$G$8:$G$10000,pb_location_id,'[1]1_group_totals'!$H$8:$H$10000,"="&amp;Q30,'[1]1_group_totals'!$I$8:$I$10000,"="&amp;R30))+(SUMIFS('[1]1_group_totals'!$L$8:$L$10000,'[1]1_group_totals'!$C$8:$C$10000,I30,'[1]1_group_totals'!$F$8:$F$10000,pb_location_group_id,'[1]1_group_totals'!$G$8:$G$10000,pb_location_id,'[1]1_group_totals'!$H$8:$H$10000,"="&amp;Q30,'[1]1_group_totals'!$I$8:$I$10000,"="&amp;R30)+SUMIFS('[1]1_group_totals'!$M$8:$M$10000,'[1]1_group_totals'!$C$8:$C$10000,I30,'[1]1_group_totals'!$F$8:$F$10000,pb_location_group_id,'[1]1_group_totals'!$G$8:$G$10000,pb_location_id,'[1]1_group_totals'!$H$8:$H$10000,"="&amp;Q30,'[1]1_group_totals'!$I$8:$I$10000,"="&amp;R30)+SUMIFS('[1]1_group_totals'!$O$8:$O$10000,'[1]1_group_totals'!$C$8:$C$10000,I30,'[1]1_group_totals'!$F$8:$F$10000,pb_location_group_id,'[1]1_group_totals'!$G$8:$G$10000,pb_location_id,'[1]1_group_totals'!$H$8:$H$10000,"="&amp;Q30,'[1]1_group_totals'!$I$8:$I$10000,"="&amp;R30)+SUMIFS('[1]1_group_totals'!$R$8:$R$10000,'[1]1_group_totals'!$C$8:$C$10000,I30,'[1]1_group_totals'!$F$8:$F$10000,pb_location_group_id,'[1]1_group_totals'!$G$8:$G$10000,pb_location_id,'[1]1_group_totals'!$H$8:$H$10000,"="&amp;Q30,'[1]1_group_totals'!$I$8:$I$10000,"="&amp;R30)))</f>
        <v/>
      </c>
    </row>
    <row r="31" spans="1:46" ht="27" customHeight="1">
      <c r="A31" s="923"/>
      <c r="B31" s="1011"/>
      <c r="C31" s="950"/>
      <c r="D31" s="950"/>
      <c r="E31" s="950"/>
      <c r="F31" s="1057"/>
      <c r="I31" s="1610" t="str">
        <f t="shared" si="8"/>
        <v/>
      </c>
      <c r="J31" s="1631" t="str">
        <f t="shared" si="25"/>
        <v/>
      </c>
      <c r="K31" s="1628"/>
      <c r="L31" s="1632"/>
      <c r="M31" s="1069"/>
      <c r="N31" s="1044"/>
      <c r="O31" s="1044"/>
      <c r="P31" s="1046"/>
      <c r="Q31" s="1047"/>
      <c r="R31" s="1053"/>
      <c r="S31" s="1634" t="str">
        <f t="shared" ref="S31" si="86">IF(M31="","",pb_currency_symbol)</f>
        <v/>
      </c>
      <c r="T31" s="1068"/>
      <c r="U31" s="1636" t="str">
        <f t="shared" si="10"/>
        <v/>
      </c>
      <c r="V31" s="1634" t="str">
        <f t="shared" ref="V31" si="87">IF(W31=0,"",pb_currency_symbol)</f>
        <v/>
      </c>
      <c r="W31" s="1054"/>
      <c r="X31" s="1634" t="str">
        <f t="shared" ref="X31" si="88">IF(M31="","",pb_currency_symbol)</f>
        <v/>
      </c>
      <c r="Y31" s="1638" t="str">
        <f t="shared" si="24"/>
        <v/>
      </c>
      <c r="Z31" s="1062"/>
      <c r="AA31" s="1639" t="str" cm="1">
        <f t="array" ref="AA31">IF(M31="","",IF(P31=AL31,1,Slookup(MID(AL31,1,3)*1,UomConversion!$D$8:$J$500,5,UomConversion!$E$8:$E$500,MID(P31,1,3)*1,UomConversion!$J$8:$J$500,1)))</f>
        <v/>
      </c>
      <c r="AB31" s="1640" t="str">
        <f t="shared" si="13"/>
        <v/>
      </c>
      <c r="AC31" s="1641" t="str">
        <f t="shared" si="14"/>
        <v/>
      </c>
      <c r="AD31" s="1642" t="str">
        <f t="shared" si="15"/>
        <v/>
      </c>
      <c r="AE31" s="1643" t="str">
        <f t="shared" si="16"/>
        <v/>
      </c>
      <c r="AF31" s="1640" t="str">
        <f>IF(I31="","",IF(ISNA(MATCH(I31,IF(pb_location_id=1,'[1]1_inventory_totals'!$C$8:$C$10000,IF(pb_location_id=2,'[1]2_inventory_totals'!$C$8:$C$10000,"")),0)),0,IF(AS31&gt;0,1,0)))</f>
        <v/>
      </c>
      <c r="AG31" s="1640" t="str">
        <f>IF(M31="","",IF(pb_location_id=1,SUMIFS('[1]1_inventory_total_details'!$J$8:$J$10000,'[1]1_inventory_total_details'!$C$8:$C$10000,I31,'[1]1_inventory_total_details'!$F$8:$F$10000,pb_location_id,'[1]1_inventory_total_details'!$G$8:$G$10000,"="&amp;Q31,'[1]1_inventory_total_details'!$H$8:$H$10000,"="&amp;R31,'[1]1_inventory_total_details'!$I$8:$I$10000,"="&amp;pb_date)+SUMIFS('[1]1_inventory_total_details'!$M$8:$M$10000,'[1]1_inventory_total_details'!$C$8:$C$10000,I31,'[1]1_inventory_total_details'!$F$8:$F$10000,pb_location_id,'[1]1_inventory_total_details'!$G$8:$G$10000,"="&amp;Q31,'[1]1_inventory_total_details'!$H$8:$H$10000,"="&amp;R31,'[1]1_inventory_total_details'!$I$8:$I$10000,"="&amp;pb_date)+SUMIFS('[1]1_inventory_total_details'!$K$8:$K$10000,'[1]1_inventory_total_details'!$C$8:$C$10000,I31,'[1]1_inventory_total_details'!$F$8:$F$10000,pb_location_id,'[1]1_inventory_total_details'!$G$8:$G$10000,"="&amp;Q31,'[1]1_inventory_total_details'!$H$8:$H$10000,"="&amp;R31,'[1]1_inventory_total_details'!$I$8:$I$10000,"="&amp;pb_date)+SUMIFS('[1]1_inventory_total_details'!$L$8:$L$10000,'[1]1_inventory_total_details'!$C$8:$C$10000,I31,'[1]1_inventory_total_details'!$F$8:$F$10000,pb_location_id,'[1]1_inventory_total_details'!$G$8:$G$10000,"="&amp;Q31,'[1]1_inventory_total_details'!$H$8:$H$10000,"="&amp;R31,'[1]1_inventory_total_details'!$I$8:$I$10000,"="&amp;pb_date),SUMIFS('[1]2_inventory_total_details'!$J$8:$J$10000,'[1]2_inventory_total_details'!$C$8:$C$10000,I31,'[1]1_inventory_total_details'!$F$8:$F$10000,pb_location_id,'[1]2_inventory_total_details'!$G$8:$G$10000,"="&amp;Q31,'[1]2_inventory_total_details'!$H$8:$H$10000,"="&amp;R31,'[1]2_inventory_total_details'!$I$8:$I$10000,"="&amp;pb_date)+SUMIFS('[1]2_inventory_total_details'!$M$8:$M$10000,'[1]2_inventory_total_details'!$C$8:$C$10000,I31,'[1]2_inventory_total_details'!$F$8:$F$10000,pb_location_id,'[1]2_inventory_total_details'!$G$8:$G$10000,"="&amp;Q31,'[1]2_inventory_total_details'!$H$8:$H$10000,"="&amp;R31,'[1]2_inventory_total_details'!$I$8:$I$10000,"="&amp;pb_date)+SUMIFS('[1]2_inventory_total_details'!$K$8:$K$10000,'[1]2_inventory_total_details'!$C$8:$C$10000,I31,'[1]2_inventory_total_details'!$F$8:$F$10000,pb_location_id,'[1]2_inventory_total_details'!$G$8:$G$10000,"="&amp;Q31,'[1]2_inventory_total_details'!$H$8:$H$10000,"="&amp;R31,'[1]2_inventory_total_details'!$I$8:$I$10000,"="&amp;pb_date)+SUMIFS('[1]2_inventory_total_details'!$L$8:$L$10000,'[1]2_inventory_total_details'!$C$8:$C$10000,I31,'[1]2_inventory_total_details'!$F$8:$F$10000,pb_location_id,'[1]2_inventory_total_details'!$G$8:$G$10000,"="&amp;Q31,'[1]2_inventory_total_details'!$H$8:$H$10000,"="&amp;R31,'[1]2_inventory_total_details'!$I$8:$I$10000,"="&amp;pb_date)))</f>
        <v/>
      </c>
      <c r="AH31" s="1640" t="str">
        <f>IF(M31="","",IF(ISNA(MATCH(I31,'[1]1_group_totals'!$C$8:$C$10000)),0,IF(AT31&gt;0,1,0)))</f>
        <v/>
      </c>
      <c r="AI31" s="1640" t="str">
        <f>IF(M31="","",(SUMIFS('[1]1_group_total_details'!$I$8:$I$10000,'[1]1_group_total_details'!$C$8:$C$10000,I31,'[1]1_group_total_details'!$F$8:$F$10000,pb_location_group_id,'[1]1_group_total_details'!$G$8:$G$10000,pb_location_id,'[1]1_group_total_details'!$H$8:$H$10000,"="&amp;pb_date)+SUMIFS('[1]1_group_total_details'!$L$8:$L$10000,'[1]1_group_total_details'!$C$8:$C$10000,I31,'[1]1_group_total_details'!$F$8:$F$10000,pb_location_group_id,'[1]1_group_total_details'!$G$8:$G$10000,pb_location_id,'[1]1_group_total_details'!$H$8:$H$10000,"="&amp;pb_date)+SUMIFS('[1]1_group_total_details'!$N$8:$N$10000,'[1]1_group_total_details'!$C$8:$C$10000,I31,'[1]1_group_total_details'!$F$8:$F$10000,pb_location_group_id,'[1]1_group_total_details'!$G$8:$G$10000,pb_location_id,'[1]1_group_total_details'!$H$8:$H$10000,"="&amp;pb_date)+SUMIFS('[1]1_group_total_details'!$O$8:$O$10000,'[1]1_group_total_details'!$C$8:$C$10000,I31,'[1]1_group_total_details'!$F$8:$F$10000,pb_location_group_id,'[1]1_group_total_details'!$G$8:$G$10000,pb_location_id,'[1]1_group_total_details'!$H$8:$H$10000,"="&amp;pb_date))+(SUMIFS('[1]1_group_total_details'!$J$8:$J$10000,'[1]1_group_total_details'!$C$8:$C$10000,I31,'[1]1_group_total_details'!$F$8:$F$10000,pb_location_group_id,'[1]1_group_total_details'!$G$8:$G$10000,pb_location_id,'[1]1_group_total_details'!$H$8:$H$10000,"="&amp;pb_date)+SUMIFS('[1]1_group_total_details'!$K$8:$K$10000,'[1]1_group_total_details'!$C$8:$C$10000,I31,'[1]1_group_total_details'!$F$8:$F$10000,pb_location_group_id,'[1]1_group_total_details'!$G$8:$G$10000,pb_location_id,'[1]1_group_total_details'!$H$8:$H$10000,"="&amp;pb_date)+SUMIFS('[1]1_group_total_details'!$M$8:$M$10000,'[1]1_group_total_details'!$C$8:$C$10000,I31,'[1]1_group_total_details'!$F$8:$F$10000,pb_location_group_id,'[1]1_group_total_details'!$G$8:$G$10000,pb_location_id,'[1]1_group_total_details'!$H$8:$H$10000,"="&amp;pb_date)+SUMIFS('[1]1_group_total_details'!$P$8:$P$10000,'[1]1_group_total_details'!$C$8:$C$10000,I31,'[1]1_group_total_details'!$F$8:$F$10000,pb_location_group_id,'[1]1_group_total_details'!$G$8:$G$10000,pb_location_id,'[1]1_group_total_details'!$H$8:$H$10000,"="&amp;pb_date)))</f>
        <v/>
      </c>
      <c r="AJ31" s="1640" t="str">
        <f>IF(M31="","",IF(AK31=0,0,(SUMIFS('[1]1_group_total_details'!$I$8:$I$10000,'[1]1_group_total_details'!$C$8:$C$10000,I31,'[1]1_group_total_details'!$F$8:$F$10000,pb_location_group_id,'[1]1_group_total_details'!$G$8:$G$10000,pb_location_id,'[1]1_group_total_details'!$H$8:$H$10000,"&lt;="&amp;pb_date)+SUMIFS('[1]1_group_total_details'!$L$8:$L$10000,'[1]1_group_total_details'!$C$8:$C$10000,I31,'[1]1_group_total_details'!$F$8:$F$10000,pb_location_group_id,'[1]1_group_total_details'!$G$8:$G$10000,pb_location_id,'[1]1_group_total_details'!$H$8:$H$10000,"&lt;="&amp;pb_date)+SUMIFS('[1]1_group_total_details'!$N$8:$N$10000,'[1]1_group_total_details'!$C$8:$C$10000,I31,'[1]1_group_total_details'!$F$8:$F$10000,pb_location_group_id,'[1]1_group_total_details'!$G$8:$G$10000,pb_location_id,'[1]1_group_total_details'!$H$8:$H$10000,"&lt;="&amp;pb_date)+SUMIFS('[1]1_group_total_details'!$O$8:$O$10000,'[1]1_group_total_details'!$C$8:$C$10000,I31,'[1]1_group_total_details'!$F$8:$F$10000,pb_location_group_id,'[1]1_group_total_details'!$G$8:$G$10000,pb_location_id,'[1]1_group_total_details'!$H$8:$H$10000,"&lt;="&amp;pb_date))-(SUMIFS('[1]1_group_total_details'!$J$8:$J$10000,'[1]1_group_total_details'!$C$8:$C$10000,I31,'[1]1_group_total_details'!$F$8:$F$10000,pb_location_group_id,'[1]1_group_total_details'!$G$8:$G$10000,pb_location_id,'[1]1_group_total_details'!$H$8:$H$10000,"&lt;="&amp;pb_date)+SUMIFS('[1]1_group_total_details'!$K$8:$K$10000,'[1]1_group_total_details'!$C$8:$C$10000,I31,'[1]1_group_total_details'!$F$8:$F$10000,pb_location_group_id,'[1]1_group_total_details'!$G$8:$G$10000,invoice_location_id,'[1]1_group_total_details'!$H$8:$H$10000,"&lt;="&amp;pb_date)+SUMIFS('[1]1_group_total_details'!$M$8:$M$10000,'[1]1_group_total_details'!$C$8:$C$10000,I31,'[1]1_group_total_details'!$F$8:$F$10000,pb_location_group_id,'[1]1_group_total_details'!$G$8:$G$10000,pb_location_id,'[1]1_group_total_details'!$H$8:$H$10000,"&lt;="&amp;pb_date)+SUMIFS('[1]1_group_total_details'!$P$8:$P$10000,'[1]1_group_total_details'!$C$8:$C$10000,I31,'[1]1_group_total_details'!$F$8:$F$10000,pb_location_group_id,'[1]1_group_total_details'!$G$8:$G$10000,pb_location_id,'[1]1_group_total_details'!$H$8:$H$10000,"&lt;="&amp;pb_date))))</f>
        <v/>
      </c>
      <c r="AK31" s="1640" t="str">
        <f>IF(M31="","",SUMIFS('[1]1_group_totals'!$J$8:$J$10000,'[1]1_group_totals'!$C$8:$C$10000,I31,'[1]1_group_totals'!$F$8:$F$10000,pb_location_group_id,'[1]1_group_totals'!$G$8:$G$10000,pb_location_id,'[1]1_group_totals'!$H$8:$H$10000,"="&amp;Q31,'[1]1_group_totals'!$I$8:$I$10000,"="&amp;R31))</f>
        <v/>
      </c>
      <c r="AL31" s="1644" t="str">
        <f t="shared" si="17"/>
        <v/>
      </c>
      <c r="AM31" s="1644" t="str">
        <f>IF(OR(ISNA(MATCH(MID(AL31,1,3)*1,UomConversion!$D$8:$D$500,0)),M31=""),"",IF(AQ31="","",AQ31))</f>
        <v/>
      </c>
      <c r="AN31" s="1644" t="str">
        <f>IF(AND(AO31&gt;0,COUNTIFS(UomConversion!$D$8:$D$500,MID(AL31,1,3)*1,UomConversion!$J$8:$J$500,1)&gt;1),TEXT(AO31,"000")&amp;"."&amp;VLOOKUP(AO31,uom_list,5,FALSE),"")</f>
        <v/>
      </c>
      <c r="AO31" s="1640" t="str">
        <f t="shared" si="18"/>
        <v/>
      </c>
      <c r="AP31" s="1645" t="str">
        <f t="shared" si="19"/>
        <v/>
      </c>
      <c r="AQ31" s="491" t="str">
        <f t="shared" si="20"/>
        <v/>
      </c>
      <c r="AR31" s="1281" t="str" cm="1">
        <f t="array" ref="AR31">IF(M31="","",IF(ISNA(Slookup(MID(AL31,1,3)*1,UomConversion!$D$8:$J$500,2,UomConversion!$I$8:$I$500,1,UomConversion!$J$8:$J$500,1)),"",Slookup(MID(AL31,1,3)*1,UomConversion!$D$8:$J$500,2,UomConversion!$I$8:$I$500,1,UomConversion!$J$8:$J$500,1)))</f>
        <v/>
      </c>
      <c r="AS31" s="663" t="str">
        <f>IF(M31="","",(SUMIFS('[1]1_inventory_totals'!$I$8:$I$10000,'[1]1_inventory_totals'!$C$8:$C$10000,I31,'[1]1_inventory_totals'!$F$8:$F$10000,"="&amp;Q31,'[1]1_inventory_totals'!$G$8:$G$10000,"="&amp;R31)+SUMIFS('[1]1_inventory_totals'!$N$8:$N$10000,'[1]1_inventory_totals'!$C$8:$C$10000,I31,'[1]1_inventory_totals'!$F$8:$F$10000,"="&amp;Q31,'[1]1_inventory_totals'!$G$8:$G$10000,"="&amp;R31)+SUMIFS('[1]1_inventory_totals'!$P$8:$P$10000,'[1]1_inventory_totals'!$C$8:$C$10000,I31,'[1]1_inventory_totals'!$F$8:$F$10000,"="&amp;Q31,'[1]1_inventory_totals'!$G$8:$G$10000,"="&amp;R31)+SUMIFS('[1]1_inventory_totals'!$Q$8:$Q$10000,'[1]1_inventory_totals'!$C$8:$C$10000,I31,'[1]1_inventory_totals'!$F$8:$F$10000,"="&amp;Q31,'[1]1_inventory_totals'!$G$8:$G$10000,"="&amp;R31)+SUMIFS('[1]1_inventory_totals'!$R$8:$R$10000,'[1]1_inventory_totals'!$C$8:$C$10000,I31,'[1]1_inventory_totals'!$F$8:$F$10000,"="&amp;Q31,'[1]1_inventory_totals'!$G$8:$G$10000,"="&amp;R31))+(SUMIFS('[1]1_inventory_totals'!$J$8:$J$10000,'[1]1_inventory_totals'!$C$8:$C$10000,I31,'[1]1_inventory_totals'!$F$8:$F$10000,"="&amp;Q31,'[1]1_inventory_totals'!$G$8:$G$10000,"="&amp;R31)+SUMIFS('[1]1_inventory_totals'!$K$8:$K$10000,'[1]1_inventory_totals'!$C$8:$C$10000,I31,'[1]1_inventory_totals'!$F$8:$F$10000,"="&amp;Q31,'[1]1_inventory_totals'!$G$8:$G$10000,"="&amp;R31)+SUMIFS('[1]1_inventory_totals'!$L$8:$L$10000,'[1]1_inventory_totals'!$C$8:$C$10000,I31,'[1]1_inventory_totals'!$F$8:$F$10000,"="&amp;Q31,'[1]1_inventory_totals'!$G$8:$G$10000,"="&amp;R31)+SUMIFS('[1]1_inventory_totals'!$M$8:$M$10000,'[1]1_inventory_totals'!$C$8:$C$10000,I31,'[1]1_inventory_totals'!$F$8:$F$10000,"="&amp;Q31,'[1]1_inventory_totals'!$G$8:$G$10000,"="&amp;R31)+SUMIFS('[1]1_inventory_totals'!$O$8:$O$10000,'[1]1_inventory_totals'!$C$8:$C$10000,I31,'[1]1_inventory_totals'!$F$8:$F$10000,"="&amp;Q31,'[1]1_inventory_totals'!$G$8:$G$10000,"="&amp;R31)+SUMIFS('[1]1_inventory_totals'!$S$8:$S$10000,'[1]1_inventory_totals'!$C$8:$C$10000,I31,'[1]1_inventory_totals'!$F$8:$F$10000,"="&amp;Q31,'[1]1_inventory_totals'!$G$8:$G$10000,"="&amp;R31)))</f>
        <v/>
      </c>
      <c r="AT31" s="1281" t="str">
        <f>IF(M31="","",(SUMIFS('[1]1_group_totals'!$K$8:$K$10000,'[1]1_group_totals'!$C$8:$C$10000,I31,'[1]1_group_totals'!$F$8:$F$10000,pb_location_group_id,'[1]1_group_totals'!$G$8:$G$10000,pb_location_id,'[1]1_group_totals'!$H$8:$H$10000,"="&amp;Q31,'[1]1_group_totals'!$I$8:$I$10000,"="&amp;R31)+SUMIFS('[1]1_group_totals'!$N$8:$N$10000,'[1]1_group_totals'!$C$8:$C$10000,I31,'[1]1_group_totals'!$F$8:$F$10000,pb_location_group_id,'[1]1_group_totals'!$G$8:$G$10000,pb_location_id,'[1]1_group_totals'!$H$8:$H$10000,"="&amp;Q31,'[1]1_group_totals'!$I$8:$I$10000,"="&amp;R31)+SUMIFS('[1]1_group_totals'!$P$8:$P$10000,'[1]1_group_totals'!$C$8:$C$10000,I31,'[1]1_group_totals'!$F$8:$F$10000,pb_location_group_id,'[1]1_group_totals'!$G$8:$G$10000,pb_location_id,'[1]1_group_totals'!$H$8:$H$10000,"="&amp;Q31,'[1]1_group_totals'!$I$8:$I$10000,"="&amp;R31)+SUMIFS('[1]1_group_totals'!$Q$8:$Q$10000,'[1]1_group_totals'!$C$8:$C$10000,I31,'[1]1_group_totals'!$F$8:$F$10000,pb_location_group_id,'[1]1_group_totals'!$G$8:$G$10000,pb_location_id,'[1]1_group_totals'!$H$8:$H$10000,"="&amp;Q31,'[1]1_group_totals'!$I$8:$I$10000,"="&amp;R31))+(SUMIFS('[1]1_group_totals'!$L$8:$L$10000,'[1]1_group_totals'!$C$8:$C$10000,I31,'[1]1_group_totals'!$F$8:$F$10000,pb_location_group_id,'[1]1_group_totals'!$G$8:$G$10000,pb_location_id,'[1]1_group_totals'!$H$8:$H$10000,"="&amp;Q31,'[1]1_group_totals'!$I$8:$I$10000,"="&amp;R31)+SUMIFS('[1]1_group_totals'!$M$8:$M$10000,'[1]1_group_totals'!$C$8:$C$10000,I31,'[1]1_group_totals'!$F$8:$F$10000,pb_location_group_id,'[1]1_group_totals'!$G$8:$G$10000,pb_location_id,'[1]1_group_totals'!$H$8:$H$10000,"="&amp;Q31,'[1]1_group_totals'!$I$8:$I$10000,"="&amp;R31)+SUMIFS('[1]1_group_totals'!$O$8:$O$10000,'[1]1_group_totals'!$C$8:$C$10000,I31,'[1]1_group_totals'!$F$8:$F$10000,pb_location_group_id,'[1]1_group_totals'!$G$8:$G$10000,pb_location_id,'[1]1_group_totals'!$H$8:$H$10000,"="&amp;Q31,'[1]1_group_totals'!$I$8:$I$10000,"="&amp;R31)+SUMIFS('[1]1_group_totals'!$R$8:$R$10000,'[1]1_group_totals'!$C$8:$C$10000,I31,'[1]1_group_totals'!$F$8:$F$10000,pb_location_group_id,'[1]1_group_totals'!$G$8:$G$10000,pb_location_id,'[1]1_group_totals'!$H$8:$H$10000,"="&amp;Q31,'[1]1_group_totals'!$I$8:$I$10000,"="&amp;R31)))</f>
        <v/>
      </c>
    </row>
    <row r="32" spans="1:46" ht="27" customHeight="1">
      <c r="A32" s="923"/>
      <c r="B32" s="1011"/>
      <c r="C32" s="950"/>
      <c r="D32" s="950"/>
      <c r="E32" s="950"/>
      <c r="F32" s="1057"/>
      <c r="I32" s="1610" t="str">
        <f t="shared" si="8"/>
        <v/>
      </c>
      <c r="J32" s="1631" t="str">
        <f t="shared" si="25"/>
        <v/>
      </c>
      <c r="K32" s="1628"/>
      <c r="L32" s="1632"/>
      <c r="M32" s="1069"/>
      <c r="N32" s="1044"/>
      <c r="O32" s="1044"/>
      <c r="P32" s="1046"/>
      <c r="Q32" s="1047"/>
      <c r="R32" s="1053"/>
      <c r="S32" s="1634" t="str">
        <f t="shared" ref="S32" si="89">IF(M32="","",pb_currency_symbol)</f>
        <v/>
      </c>
      <c r="T32" s="1068"/>
      <c r="U32" s="1636" t="str">
        <f t="shared" si="10"/>
        <v/>
      </c>
      <c r="V32" s="1634" t="str">
        <f t="shared" ref="V32" si="90">IF(W32=0,"",pb_currency_symbol)</f>
        <v/>
      </c>
      <c r="W32" s="1054"/>
      <c r="X32" s="1634" t="str">
        <f t="shared" ref="X32" si="91">IF(M32="","",pb_currency_symbol)</f>
        <v/>
      </c>
      <c r="Y32" s="1638" t="str">
        <f t="shared" si="24"/>
        <v/>
      </c>
      <c r="Z32" s="1062"/>
      <c r="AA32" s="1639" t="str" cm="1">
        <f t="array" ref="AA32">IF(M32="","",IF(P32=AL32,1,Slookup(MID(AL32,1,3)*1,UomConversion!$D$8:$J$500,5,UomConversion!$E$8:$E$500,MID(P32,1,3)*1,UomConversion!$J$8:$J$500,1)))</f>
        <v/>
      </c>
      <c r="AB32" s="1640" t="str">
        <f t="shared" si="13"/>
        <v/>
      </c>
      <c r="AC32" s="1641" t="str">
        <f t="shared" si="14"/>
        <v/>
      </c>
      <c r="AD32" s="1642" t="str">
        <f t="shared" si="15"/>
        <v/>
      </c>
      <c r="AE32" s="1643" t="str">
        <f t="shared" si="16"/>
        <v/>
      </c>
      <c r="AF32" s="1640" t="str">
        <f>IF(I32="","",IF(ISNA(MATCH(I32,IF(pb_location_id=1,'[1]1_inventory_totals'!$C$8:$C$10000,IF(pb_location_id=2,'[1]2_inventory_totals'!$C$8:$C$10000,"")),0)),0,IF(AS32&gt;0,1,0)))</f>
        <v/>
      </c>
      <c r="AG32" s="1640" t="str">
        <f>IF(M32="","",IF(pb_location_id=1,SUMIFS('[1]1_inventory_total_details'!$J$8:$J$10000,'[1]1_inventory_total_details'!$C$8:$C$10000,I32,'[1]1_inventory_total_details'!$F$8:$F$10000,pb_location_id,'[1]1_inventory_total_details'!$G$8:$G$10000,"="&amp;Q32,'[1]1_inventory_total_details'!$H$8:$H$10000,"="&amp;R32,'[1]1_inventory_total_details'!$I$8:$I$10000,"="&amp;pb_date)+SUMIFS('[1]1_inventory_total_details'!$M$8:$M$10000,'[1]1_inventory_total_details'!$C$8:$C$10000,I32,'[1]1_inventory_total_details'!$F$8:$F$10000,pb_location_id,'[1]1_inventory_total_details'!$G$8:$G$10000,"="&amp;Q32,'[1]1_inventory_total_details'!$H$8:$H$10000,"="&amp;R32,'[1]1_inventory_total_details'!$I$8:$I$10000,"="&amp;pb_date)+SUMIFS('[1]1_inventory_total_details'!$K$8:$K$10000,'[1]1_inventory_total_details'!$C$8:$C$10000,I32,'[1]1_inventory_total_details'!$F$8:$F$10000,pb_location_id,'[1]1_inventory_total_details'!$G$8:$G$10000,"="&amp;Q32,'[1]1_inventory_total_details'!$H$8:$H$10000,"="&amp;R32,'[1]1_inventory_total_details'!$I$8:$I$10000,"="&amp;pb_date)+SUMIFS('[1]1_inventory_total_details'!$L$8:$L$10000,'[1]1_inventory_total_details'!$C$8:$C$10000,I32,'[1]1_inventory_total_details'!$F$8:$F$10000,pb_location_id,'[1]1_inventory_total_details'!$G$8:$G$10000,"="&amp;Q32,'[1]1_inventory_total_details'!$H$8:$H$10000,"="&amp;R32,'[1]1_inventory_total_details'!$I$8:$I$10000,"="&amp;pb_date),SUMIFS('[1]2_inventory_total_details'!$J$8:$J$10000,'[1]2_inventory_total_details'!$C$8:$C$10000,I32,'[1]1_inventory_total_details'!$F$8:$F$10000,pb_location_id,'[1]2_inventory_total_details'!$G$8:$G$10000,"="&amp;Q32,'[1]2_inventory_total_details'!$H$8:$H$10000,"="&amp;R32,'[1]2_inventory_total_details'!$I$8:$I$10000,"="&amp;pb_date)+SUMIFS('[1]2_inventory_total_details'!$M$8:$M$10000,'[1]2_inventory_total_details'!$C$8:$C$10000,I32,'[1]2_inventory_total_details'!$F$8:$F$10000,pb_location_id,'[1]2_inventory_total_details'!$G$8:$G$10000,"="&amp;Q32,'[1]2_inventory_total_details'!$H$8:$H$10000,"="&amp;R32,'[1]2_inventory_total_details'!$I$8:$I$10000,"="&amp;pb_date)+SUMIFS('[1]2_inventory_total_details'!$K$8:$K$10000,'[1]2_inventory_total_details'!$C$8:$C$10000,I32,'[1]2_inventory_total_details'!$F$8:$F$10000,pb_location_id,'[1]2_inventory_total_details'!$G$8:$G$10000,"="&amp;Q32,'[1]2_inventory_total_details'!$H$8:$H$10000,"="&amp;R32,'[1]2_inventory_total_details'!$I$8:$I$10000,"="&amp;pb_date)+SUMIFS('[1]2_inventory_total_details'!$L$8:$L$10000,'[1]2_inventory_total_details'!$C$8:$C$10000,I32,'[1]2_inventory_total_details'!$F$8:$F$10000,pb_location_id,'[1]2_inventory_total_details'!$G$8:$G$10000,"="&amp;Q32,'[1]2_inventory_total_details'!$H$8:$H$10000,"="&amp;R32,'[1]2_inventory_total_details'!$I$8:$I$10000,"="&amp;pb_date)))</f>
        <v/>
      </c>
      <c r="AH32" s="1640" t="str">
        <f>IF(M32="","",IF(ISNA(MATCH(I32,'[1]1_group_totals'!$C$8:$C$10000)),0,IF(AT32&gt;0,1,0)))</f>
        <v/>
      </c>
      <c r="AI32" s="1640" t="str">
        <f>IF(M32="","",(SUMIFS('[1]1_group_total_details'!$I$8:$I$10000,'[1]1_group_total_details'!$C$8:$C$10000,I32,'[1]1_group_total_details'!$F$8:$F$10000,pb_location_group_id,'[1]1_group_total_details'!$G$8:$G$10000,pb_location_id,'[1]1_group_total_details'!$H$8:$H$10000,"="&amp;pb_date)+SUMIFS('[1]1_group_total_details'!$L$8:$L$10000,'[1]1_group_total_details'!$C$8:$C$10000,I32,'[1]1_group_total_details'!$F$8:$F$10000,pb_location_group_id,'[1]1_group_total_details'!$G$8:$G$10000,pb_location_id,'[1]1_group_total_details'!$H$8:$H$10000,"="&amp;pb_date)+SUMIFS('[1]1_group_total_details'!$N$8:$N$10000,'[1]1_group_total_details'!$C$8:$C$10000,I32,'[1]1_group_total_details'!$F$8:$F$10000,pb_location_group_id,'[1]1_group_total_details'!$G$8:$G$10000,pb_location_id,'[1]1_group_total_details'!$H$8:$H$10000,"="&amp;pb_date)+SUMIFS('[1]1_group_total_details'!$O$8:$O$10000,'[1]1_group_total_details'!$C$8:$C$10000,I32,'[1]1_group_total_details'!$F$8:$F$10000,pb_location_group_id,'[1]1_group_total_details'!$G$8:$G$10000,pb_location_id,'[1]1_group_total_details'!$H$8:$H$10000,"="&amp;pb_date))+(SUMIFS('[1]1_group_total_details'!$J$8:$J$10000,'[1]1_group_total_details'!$C$8:$C$10000,I32,'[1]1_group_total_details'!$F$8:$F$10000,pb_location_group_id,'[1]1_group_total_details'!$G$8:$G$10000,pb_location_id,'[1]1_group_total_details'!$H$8:$H$10000,"="&amp;pb_date)+SUMIFS('[1]1_group_total_details'!$K$8:$K$10000,'[1]1_group_total_details'!$C$8:$C$10000,I32,'[1]1_group_total_details'!$F$8:$F$10000,pb_location_group_id,'[1]1_group_total_details'!$G$8:$G$10000,pb_location_id,'[1]1_group_total_details'!$H$8:$H$10000,"="&amp;pb_date)+SUMIFS('[1]1_group_total_details'!$M$8:$M$10000,'[1]1_group_total_details'!$C$8:$C$10000,I32,'[1]1_group_total_details'!$F$8:$F$10000,pb_location_group_id,'[1]1_group_total_details'!$G$8:$G$10000,pb_location_id,'[1]1_group_total_details'!$H$8:$H$10000,"="&amp;pb_date)+SUMIFS('[1]1_group_total_details'!$P$8:$P$10000,'[1]1_group_total_details'!$C$8:$C$10000,I32,'[1]1_group_total_details'!$F$8:$F$10000,pb_location_group_id,'[1]1_group_total_details'!$G$8:$G$10000,pb_location_id,'[1]1_group_total_details'!$H$8:$H$10000,"="&amp;pb_date)))</f>
        <v/>
      </c>
      <c r="AJ32" s="1640" t="str">
        <f>IF(M32="","",IF(AK32=0,0,(SUMIFS('[1]1_group_total_details'!$I$8:$I$10000,'[1]1_group_total_details'!$C$8:$C$10000,I32,'[1]1_group_total_details'!$F$8:$F$10000,pb_location_group_id,'[1]1_group_total_details'!$G$8:$G$10000,pb_location_id,'[1]1_group_total_details'!$H$8:$H$10000,"&lt;="&amp;pb_date)+SUMIFS('[1]1_group_total_details'!$L$8:$L$10000,'[1]1_group_total_details'!$C$8:$C$10000,I32,'[1]1_group_total_details'!$F$8:$F$10000,pb_location_group_id,'[1]1_group_total_details'!$G$8:$G$10000,pb_location_id,'[1]1_group_total_details'!$H$8:$H$10000,"&lt;="&amp;pb_date)+SUMIFS('[1]1_group_total_details'!$N$8:$N$10000,'[1]1_group_total_details'!$C$8:$C$10000,I32,'[1]1_group_total_details'!$F$8:$F$10000,pb_location_group_id,'[1]1_group_total_details'!$G$8:$G$10000,pb_location_id,'[1]1_group_total_details'!$H$8:$H$10000,"&lt;="&amp;pb_date)+SUMIFS('[1]1_group_total_details'!$O$8:$O$10000,'[1]1_group_total_details'!$C$8:$C$10000,I32,'[1]1_group_total_details'!$F$8:$F$10000,pb_location_group_id,'[1]1_group_total_details'!$G$8:$G$10000,pb_location_id,'[1]1_group_total_details'!$H$8:$H$10000,"&lt;="&amp;pb_date))-(SUMIFS('[1]1_group_total_details'!$J$8:$J$10000,'[1]1_group_total_details'!$C$8:$C$10000,I32,'[1]1_group_total_details'!$F$8:$F$10000,pb_location_group_id,'[1]1_group_total_details'!$G$8:$G$10000,pb_location_id,'[1]1_group_total_details'!$H$8:$H$10000,"&lt;="&amp;pb_date)+SUMIFS('[1]1_group_total_details'!$K$8:$K$10000,'[1]1_group_total_details'!$C$8:$C$10000,I32,'[1]1_group_total_details'!$F$8:$F$10000,pb_location_group_id,'[1]1_group_total_details'!$G$8:$G$10000,invoice_location_id,'[1]1_group_total_details'!$H$8:$H$10000,"&lt;="&amp;pb_date)+SUMIFS('[1]1_group_total_details'!$M$8:$M$10000,'[1]1_group_total_details'!$C$8:$C$10000,I32,'[1]1_group_total_details'!$F$8:$F$10000,pb_location_group_id,'[1]1_group_total_details'!$G$8:$G$10000,pb_location_id,'[1]1_group_total_details'!$H$8:$H$10000,"&lt;="&amp;pb_date)+SUMIFS('[1]1_group_total_details'!$P$8:$P$10000,'[1]1_group_total_details'!$C$8:$C$10000,I32,'[1]1_group_total_details'!$F$8:$F$10000,pb_location_group_id,'[1]1_group_total_details'!$G$8:$G$10000,pb_location_id,'[1]1_group_total_details'!$H$8:$H$10000,"&lt;="&amp;pb_date))))</f>
        <v/>
      </c>
      <c r="AK32" s="1640" t="str">
        <f>IF(M32="","",SUMIFS('[1]1_group_totals'!$J$8:$J$10000,'[1]1_group_totals'!$C$8:$C$10000,I32,'[1]1_group_totals'!$F$8:$F$10000,pb_location_group_id,'[1]1_group_totals'!$G$8:$G$10000,pb_location_id,'[1]1_group_totals'!$H$8:$H$10000,"="&amp;Q32,'[1]1_group_totals'!$I$8:$I$10000,"="&amp;R32))</f>
        <v/>
      </c>
      <c r="AL32" s="1644" t="str">
        <f t="shared" si="17"/>
        <v/>
      </c>
      <c r="AM32" s="1644" t="str">
        <f>IF(OR(ISNA(MATCH(MID(AL32,1,3)*1,UomConversion!$D$8:$D$500,0)),M32=""),"",IF(AQ32="","",AQ32))</f>
        <v/>
      </c>
      <c r="AN32" s="1644" t="str">
        <f>IF(AND(AO32&gt;0,COUNTIFS(UomConversion!$D$8:$D$500,MID(AL32,1,3)*1,UomConversion!$J$8:$J$500,1)&gt;1),TEXT(AO32,"000")&amp;"."&amp;VLOOKUP(AO32,uom_list,5,FALSE),"")</f>
        <v/>
      </c>
      <c r="AO32" s="1640" t="str">
        <f t="shared" si="18"/>
        <v/>
      </c>
      <c r="AP32" s="1645" t="str">
        <f t="shared" si="19"/>
        <v/>
      </c>
      <c r="AQ32" s="491" t="str">
        <f t="shared" si="20"/>
        <v/>
      </c>
      <c r="AR32" s="1281" t="str" cm="1">
        <f t="array" ref="AR32">IF(M32="","",IF(ISNA(Slookup(MID(AL32,1,3)*1,UomConversion!$D$8:$J$500,2,UomConversion!$I$8:$I$500,1,UomConversion!$J$8:$J$500,1)),"",Slookup(MID(AL32,1,3)*1,UomConversion!$D$8:$J$500,2,UomConversion!$I$8:$I$500,1,UomConversion!$J$8:$J$500,1)))</f>
        <v/>
      </c>
      <c r="AS32" s="663" t="str">
        <f>IF(M32="","",(SUMIFS('[1]1_inventory_totals'!$I$8:$I$10000,'[1]1_inventory_totals'!$C$8:$C$10000,I32,'[1]1_inventory_totals'!$F$8:$F$10000,"="&amp;Q32,'[1]1_inventory_totals'!$G$8:$G$10000,"="&amp;R32)+SUMIFS('[1]1_inventory_totals'!$N$8:$N$10000,'[1]1_inventory_totals'!$C$8:$C$10000,I32,'[1]1_inventory_totals'!$F$8:$F$10000,"="&amp;Q32,'[1]1_inventory_totals'!$G$8:$G$10000,"="&amp;R32)+SUMIFS('[1]1_inventory_totals'!$P$8:$P$10000,'[1]1_inventory_totals'!$C$8:$C$10000,I32,'[1]1_inventory_totals'!$F$8:$F$10000,"="&amp;Q32,'[1]1_inventory_totals'!$G$8:$G$10000,"="&amp;R32)+SUMIFS('[1]1_inventory_totals'!$Q$8:$Q$10000,'[1]1_inventory_totals'!$C$8:$C$10000,I32,'[1]1_inventory_totals'!$F$8:$F$10000,"="&amp;Q32,'[1]1_inventory_totals'!$G$8:$G$10000,"="&amp;R32)+SUMIFS('[1]1_inventory_totals'!$R$8:$R$10000,'[1]1_inventory_totals'!$C$8:$C$10000,I32,'[1]1_inventory_totals'!$F$8:$F$10000,"="&amp;Q32,'[1]1_inventory_totals'!$G$8:$G$10000,"="&amp;R32))+(SUMIFS('[1]1_inventory_totals'!$J$8:$J$10000,'[1]1_inventory_totals'!$C$8:$C$10000,I32,'[1]1_inventory_totals'!$F$8:$F$10000,"="&amp;Q32,'[1]1_inventory_totals'!$G$8:$G$10000,"="&amp;R32)+SUMIFS('[1]1_inventory_totals'!$K$8:$K$10000,'[1]1_inventory_totals'!$C$8:$C$10000,I32,'[1]1_inventory_totals'!$F$8:$F$10000,"="&amp;Q32,'[1]1_inventory_totals'!$G$8:$G$10000,"="&amp;R32)+SUMIFS('[1]1_inventory_totals'!$L$8:$L$10000,'[1]1_inventory_totals'!$C$8:$C$10000,I32,'[1]1_inventory_totals'!$F$8:$F$10000,"="&amp;Q32,'[1]1_inventory_totals'!$G$8:$G$10000,"="&amp;R32)+SUMIFS('[1]1_inventory_totals'!$M$8:$M$10000,'[1]1_inventory_totals'!$C$8:$C$10000,I32,'[1]1_inventory_totals'!$F$8:$F$10000,"="&amp;Q32,'[1]1_inventory_totals'!$G$8:$G$10000,"="&amp;R32)+SUMIFS('[1]1_inventory_totals'!$O$8:$O$10000,'[1]1_inventory_totals'!$C$8:$C$10000,I32,'[1]1_inventory_totals'!$F$8:$F$10000,"="&amp;Q32,'[1]1_inventory_totals'!$G$8:$G$10000,"="&amp;R32)+SUMIFS('[1]1_inventory_totals'!$S$8:$S$10000,'[1]1_inventory_totals'!$C$8:$C$10000,I32,'[1]1_inventory_totals'!$F$8:$F$10000,"="&amp;Q32,'[1]1_inventory_totals'!$G$8:$G$10000,"="&amp;R32)))</f>
        <v/>
      </c>
      <c r="AT32" s="1281" t="str">
        <f>IF(M32="","",(SUMIFS('[1]1_group_totals'!$K$8:$K$10000,'[1]1_group_totals'!$C$8:$C$10000,I32,'[1]1_group_totals'!$F$8:$F$10000,pb_location_group_id,'[1]1_group_totals'!$G$8:$G$10000,pb_location_id,'[1]1_group_totals'!$H$8:$H$10000,"="&amp;Q32,'[1]1_group_totals'!$I$8:$I$10000,"="&amp;R32)+SUMIFS('[1]1_group_totals'!$N$8:$N$10000,'[1]1_group_totals'!$C$8:$C$10000,I32,'[1]1_group_totals'!$F$8:$F$10000,pb_location_group_id,'[1]1_group_totals'!$G$8:$G$10000,pb_location_id,'[1]1_group_totals'!$H$8:$H$10000,"="&amp;Q32,'[1]1_group_totals'!$I$8:$I$10000,"="&amp;R32)+SUMIFS('[1]1_group_totals'!$P$8:$P$10000,'[1]1_group_totals'!$C$8:$C$10000,I32,'[1]1_group_totals'!$F$8:$F$10000,pb_location_group_id,'[1]1_group_totals'!$G$8:$G$10000,pb_location_id,'[1]1_group_totals'!$H$8:$H$10000,"="&amp;Q32,'[1]1_group_totals'!$I$8:$I$10000,"="&amp;R32)+SUMIFS('[1]1_group_totals'!$Q$8:$Q$10000,'[1]1_group_totals'!$C$8:$C$10000,I32,'[1]1_group_totals'!$F$8:$F$10000,pb_location_group_id,'[1]1_group_totals'!$G$8:$G$10000,pb_location_id,'[1]1_group_totals'!$H$8:$H$10000,"="&amp;Q32,'[1]1_group_totals'!$I$8:$I$10000,"="&amp;R32))+(SUMIFS('[1]1_group_totals'!$L$8:$L$10000,'[1]1_group_totals'!$C$8:$C$10000,I32,'[1]1_group_totals'!$F$8:$F$10000,pb_location_group_id,'[1]1_group_totals'!$G$8:$G$10000,pb_location_id,'[1]1_group_totals'!$H$8:$H$10000,"="&amp;Q32,'[1]1_group_totals'!$I$8:$I$10000,"="&amp;R32)+SUMIFS('[1]1_group_totals'!$M$8:$M$10000,'[1]1_group_totals'!$C$8:$C$10000,I32,'[1]1_group_totals'!$F$8:$F$10000,pb_location_group_id,'[1]1_group_totals'!$G$8:$G$10000,pb_location_id,'[1]1_group_totals'!$H$8:$H$10000,"="&amp;Q32,'[1]1_group_totals'!$I$8:$I$10000,"="&amp;R32)+SUMIFS('[1]1_group_totals'!$O$8:$O$10000,'[1]1_group_totals'!$C$8:$C$10000,I32,'[1]1_group_totals'!$F$8:$F$10000,pb_location_group_id,'[1]1_group_totals'!$G$8:$G$10000,pb_location_id,'[1]1_group_totals'!$H$8:$H$10000,"="&amp;Q32,'[1]1_group_totals'!$I$8:$I$10000,"="&amp;R32)+SUMIFS('[1]1_group_totals'!$R$8:$R$10000,'[1]1_group_totals'!$C$8:$C$10000,I32,'[1]1_group_totals'!$F$8:$F$10000,pb_location_group_id,'[1]1_group_totals'!$G$8:$G$10000,pb_location_id,'[1]1_group_totals'!$H$8:$H$10000,"="&amp;Q32,'[1]1_group_totals'!$I$8:$I$10000,"="&amp;R32)))</f>
        <v/>
      </c>
    </row>
    <row r="33" spans="1:46" ht="27" customHeight="1">
      <c r="A33" s="923"/>
      <c r="B33" s="1011"/>
      <c r="C33" s="950"/>
      <c r="D33" s="950"/>
      <c r="E33" s="950"/>
      <c r="F33" s="1057"/>
      <c r="I33" s="1610" t="str">
        <f t="shared" si="8"/>
        <v/>
      </c>
      <c r="J33" s="1631" t="str">
        <f t="shared" si="25"/>
        <v/>
      </c>
      <c r="K33" s="1628"/>
      <c r="L33" s="1632"/>
      <c r="M33" s="1069"/>
      <c r="N33" s="1044"/>
      <c r="O33" s="1044"/>
      <c r="P33" s="1046"/>
      <c r="Q33" s="1047"/>
      <c r="R33" s="1053"/>
      <c r="S33" s="1634" t="str">
        <f t="shared" ref="S33" si="92">IF(M33="","",pb_currency_symbol)</f>
        <v/>
      </c>
      <c r="T33" s="1068"/>
      <c r="U33" s="1636" t="str">
        <f t="shared" si="10"/>
        <v/>
      </c>
      <c r="V33" s="1634" t="str">
        <f t="shared" ref="V33" si="93">IF(W33=0,"",pb_currency_symbol)</f>
        <v/>
      </c>
      <c r="W33" s="1054"/>
      <c r="X33" s="1634" t="str">
        <f t="shared" ref="X33" si="94">IF(M33="","",pb_currency_symbol)</f>
        <v/>
      </c>
      <c r="Y33" s="1638" t="str">
        <f t="shared" si="24"/>
        <v/>
      </c>
      <c r="Z33" s="1062"/>
      <c r="AA33" s="1639" t="str" cm="1">
        <f t="array" ref="AA33">IF(M33="","",IF(P33=AL33,1,Slookup(MID(AL33,1,3)*1,UomConversion!$D$8:$J$500,5,UomConversion!$E$8:$E$500,MID(P33,1,3)*1,UomConversion!$J$8:$J$500,1)))</f>
        <v/>
      </c>
      <c r="AB33" s="1640" t="str">
        <f t="shared" si="13"/>
        <v/>
      </c>
      <c r="AC33" s="1641" t="str">
        <f t="shared" si="14"/>
        <v/>
      </c>
      <c r="AD33" s="1642" t="str">
        <f t="shared" si="15"/>
        <v/>
      </c>
      <c r="AE33" s="1643" t="str">
        <f t="shared" si="16"/>
        <v/>
      </c>
      <c r="AF33" s="1640" t="str">
        <f>IF(I33="","",IF(ISNA(MATCH(I33,IF(pb_location_id=1,'[1]1_inventory_totals'!$C$8:$C$10000,IF(pb_location_id=2,'[1]2_inventory_totals'!$C$8:$C$10000,"")),0)),0,IF(AS33&gt;0,1,0)))</f>
        <v/>
      </c>
      <c r="AG33" s="1640" t="str">
        <f>IF(M33="","",IF(pb_location_id=1,SUMIFS('[1]1_inventory_total_details'!$J$8:$J$10000,'[1]1_inventory_total_details'!$C$8:$C$10000,I33,'[1]1_inventory_total_details'!$F$8:$F$10000,pb_location_id,'[1]1_inventory_total_details'!$G$8:$G$10000,"="&amp;Q33,'[1]1_inventory_total_details'!$H$8:$H$10000,"="&amp;R33,'[1]1_inventory_total_details'!$I$8:$I$10000,"="&amp;pb_date)+SUMIFS('[1]1_inventory_total_details'!$M$8:$M$10000,'[1]1_inventory_total_details'!$C$8:$C$10000,I33,'[1]1_inventory_total_details'!$F$8:$F$10000,pb_location_id,'[1]1_inventory_total_details'!$G$8:$G$10000,"="&amp;Q33,'[1]1_inventory_total_details'!$H$8:$H$10000,"="&amp;R33,'[1]1_inventory_total_details'!$I$8:$I$10000,"="&amp;pb_date)+SUMIFS('[1]1_inventory_total_details'!$K$8:$K$10000,'[1]1_inventory_total_details'!$C$8:$C$10000,I33,'[1]1_inventory_total_details'!$F$8:$F$10000,pb_location_id,'[1]1_inventory_total_details'!$G$8:$G$10000,"="&amp;Q33,'[1]1_inventory_total_details'!$H$8:$H$10000,"="&amp;R33,'[1]1_inventory_total_details'!$I$8:$I$10000,"="&amp;pb_date)+SUMIFS('[1]1_inventory_total_details'!$L$8:$L$10000,'[1]1_inventory_total_details'!$C$8:$C$10000,I33,'[1]1_inventory_total_details'!$F$8:$F$10000,pb_location_id,'[1]1_inventory_total_details'!$G$8:$G$10000,"="&amp;Q33,'[1]1_inventory_total_details'!$H$8:$H$10000,"="&amp;R33,'[1]1_inventory_total_details'!$I$8:$I$10000,"="&amp;pb_date),SUMIFS('[1]2_inventory_total_details'!$J$8:$J$10000,'[1]2_inventory_total_details'!$C$8:$C$10000,I33,'[1]1_inventory_total_details'!$F$8:$F$10000,pb_location_id,'[1]2_inventory_total_details'!$G$8:$G$10000,"="&amp;Q33,'[1]2_inventory_total_details'!$H$8:$H$10000,"="&amp;R33,'[1]2_inventory_total_details'!$I$8:$I$10000,"="&amp;pb_date)+SUMIFS('[1]2_inventory_total_details'!$M$8:$M$10000,'[1]2_inventory_total_details'!$C$8:$C$10000,I33,'[1]2_inventory_total_details'!$F$8:$F$10000,pb_location_id,'[1]2_inventory_total_details'!$G$8:$G$10000,"="&amp;Q33,'[1]2_inventory_total_details'!$H$8:$H$10000,"="&amp;R33,'[1]2_inventory_total_details'!$I$8:$I$10000,"="&amp;pb_date)+SUMIFS('[1]2_inventory_total_details'!$K$8:$K$10000,'[1]2_inventory_total_details'!$C$8:$C$10000,I33,'[1]2_inventory_total_details'!$F$8:$F$10000,pb_location_id,'[1]2_inventory_total_details'!$G$8:$G$10000,"="&amp;Q33,'[1]2_inventory_total_details'!$H$8:$H$10000,"="&amp;R33,'[1]2_inventory_total_details'!$I$8:$I$10000,"="&amp;pb_date)+SUMIFS('[1]2_inventory_total_details'!$L$8:$L$10000,'[1]2_inventory_total_details'!$C$8:$C$10000,I33,'[1]2_inventory_total_details'!$F$8:$F$10000,pb_location_id,'[1]2_inventory_total_details'!$G$8:$G$10000,"="&amp;Q33,'[1]2_inventory_total_details'!$H$8:$H$10000,"="&amp;R33,'[1]2_inventory_total_details'!$I$8:$I$10000,"="&amp;pb_date)))</f>
        <v/>
      </c>
      <c r="AH33" s="1640" t="str">
        <f>IF(M33="","",IF(ISNA(MATCH(I33,'[1]1_group_totals'!$C$8:$C$10000)),0,IF(AT33&gt;0,1,0)))</f>
        <v/>
      </c>
      <c r="AI33" s="1640" t="str">
        <f>IF(M33="","",(SUMIFS('[1]1_group_total_details'!$I$8:$I$10000,'[1]1_group_total_details'!$C$8:$C$10000,I33,'[1]1_group_total_details'!$F$8:$F$10000,pb_location_group_id,'[1]1_group_total_details'!$G$8:$G$10000,pb_location_id,'[1]1_group_total_details'!$H$8:$H$10000,"="&amp;pb_date)+SUMIFS('[1]1_group_total_details'!$L$8:$L$10000,'[1]1_group_total_details'!$C$8:$C$10000,I33,'[1]1_group_total_details'!$F$8:$F$10000,pb_location_group_id,'[1]1_group_total_details'!$G$8:$G$10000,pb_location_id,'[1]1_group_total_details'!$H$8:$H$10000,"="&amp;pb_date)+SUMIFS('[1]1_group_total_details'!$N$8:$N$10000,'[1]1_group_total_details'!$C$8:$C$10000,I33,'[1]1_group_total_details'!$F$8:$F$10000,pb_location_group_id,'[1]1_group_total_details'!$G$8:$G$10000,pb_location_id,'[1]1_group_total_details'!$H$8:$H$10000,"="&amp;pb_date)+SUMIFS('[1]1_group_total_details'!$O$8:$O$10000,'[1]1_group_total_details'!$C$8:$C$10000,I33,'[1]1_group_total_details'!$F$8:$F$10000,pb_location_group_id,'[1]1_group_total_details'!$G$8:$G$10000,pb_location_id,'[1]1_group_total_details'!$H$8:$H$10000,"="&amp;pb_date))+(SUMIFS('[1]1_group_total_details'!$J$8:$J$10000,'[1]1_group_total_details'!$C$8:$C$10000,I33,'[1]1_group_total_details'!$F$8:$F$10000,pb_location_group_id,'[1]1_group_total_details'!$G$8:$G$10000,pb_location_id,'[1]1_group_total_details'!$H$8:$H$10000,"="&amp;pb_date)+SUMIFS('[1]1_group_total_details'!$K$8:$K$10000,'[1]1_group_total_details'!$C$8:$C$10000,I33,'[1]1_group_total_details'!$F$8:$F$10000,pb_location_group_id,'[1]1_group_total_details'!$G$8:$G$10000,pb_location_id,'[1]1_group_total_details'!$H$8:$H$10000,"="&amp;pb_date)+SUMIFS('[1]1_group_total_details'!$M$8:$M$10000,'[1]1_group_total_details'!$C$8:$C$10000,I33,'[1]1_group_total_details'!$F$8:$F$10000,pb_location_group_id,'[1]1_group_total_details'!$G$8:$G$10000,pb_location_id,'[1]1_group_total_details'!$H$8:$H$10000,"="&amp;pb_date)+SUMIFS('[1]1_group_total_details'!$P$8:$P$10000,'[1]1_group_total_details'!$C$8:$C$10000,I33,'[1]1_group_total_details'!$F$8:$F$10000,pb_location_group_id,'[1]1_group_total_details'!$G$8:$G$10000,pb_location_id,'[1]1_group_total_details'!$H$8:$H$10000,"="&amp;pb_date)))</f>
        <v/>
      </c>
      <c r="AJ33" s="1640" t="str">
        <f>IF(M33="","",IF(AK33=0,0,(SUMIFS('[1]1_group_total_details'!$I$8:$I$10000,'[1]1_group_total_details'!$C$8:$C$10000,I33,'[1]1_group_total_details'!$F$8:$F$10000,pb_location_group_id,'[1]1_group_total_details'!$G$8:$G$10000,pb_location_id,'[1]1_group_total_details'!$H$8:$H$10000,"&lt;="&amp;pb_date)+SUMIFS('[1]1_group_total_details'!$L$8:$L$10000,'[1]1_group_total_details'!$C$8:$C$10000,I33,'[1]1_group_total_details'!$F$8:$F$10000,pb_location_group_id,'[1]1_group_total_details'!$G$8:$G$10000,pb_location_id,'[1]1_group_total_details'!$H$8:$H$10000,"&lt;="&amp;pb_date)+SUMIFS('[1]1_group_total_details'!$N$8:$N$10000,'[1]1_group_total_details'!$C$8:$C$10000,I33,'[1]1_group_total_details'!$F$8:$F$10000,pb_location_group_id,'[1]1_group_total_details'!$G$8:$G$10000,pb_location_id,'[1]1_group_total_details'!$H$8:$H$10000,"&lt;="&amp;pb_date)+SUMIFS('[1]1_group_total_details'!$O$8:$O$10000,'[1]1_group_total_details'!$C$8:$C$10000,I33,'[1]1_group_total_details'!$F$8:$F$10000,pb_location_group_id,'[1]1_group_total_details'!$G$8:$G$10000,pb_location_id,'[1]1_group_total_details'!$H$8:$H$10000,"&lt;="&amp;pb_date))-(SUMIFS('[1]1_group_total_details'!$J$8:$J$10000,'[1]1_group_total_details'!$C$8:$C$10000,I33,'[1]1_group_total_details'!$F$8:$F$10000,pb_location_group_id,'[1]1_group_total_details'!$G$8:$G$10000,pb_location_id,'[1]1_group_total_details'!$H$8:$H$10000,"&lt;="&amp;pb_date)+SUMIFS('[1]1_group_total_details'!$K$8:$K$10000,'[1]1_group_total_details'!$C$8:$C$10000,I33,'[1]1_group_total_details'!$F$8:$F$10000,pb_location_group_id,'[1]1_group_total_details'!$G$8:$G$10000,invoice_location_id,'[1]1_group_total_details'!$H$8:$H$10000,"&lt;="&amp;pb_date)+SUMIFS('[1]1_group_total_details'!$M$8:$M$10000,'[1]1_group_total_details'!$C$8:$C$10000,I33,'[1]1_group_total_details'!$F$8:$F$10000,pb_location_group_id,'[1]1_group_total_details'!$G$8:$G$10000,pb_location_id,'[1]1_group_total_details'!$H$8:$H$10000,"&lt;="&amp;pb_date)+SUMIFS('[1]1_group_total_details'!$P$8:$P$10000,'[1]1_group_total_details'!$C$8:$C$10000,I33,'[1]1_group_total_details'!$F$8:$F$10000,pb_location_group_id,'[1]1_group_total_details'!$G$8:$G$10000,pb_location_id,'[1]1_group_total_details'!$H$8:$H$10000,"&lt;="&amp;pb_date))))</f>
        <v/>
      </c>
      <c r="AK33" s="1640" t="str">
        <f>IF(M33="","",SUMIFS('[1]1_group_totals'!$J$8:$J$10000,'[1]1_group_totals'!$C$8:$C$10000,I33,'[1]1_group_totals'!$F$8:$F$10000,pb_location_group_id,'[1]1_group_totals'!$G$8:$G$10000,pb_location_id,'[1]1_group_totals'!$H$8:$H$10000,"="&amp;Q33,'[1]1_group_totals'!$I$8:$I$10000,"="&amp;R33))</f>
        <v/>
      </c>
      <c r="AL33" s="1644" t="str">
        <f t="shared" si="17"/>
        <v/>
      </c>
      <c r="AM33" s="1644" t="str">
        <f>IF(OR(ISNA(MATCH(MID(AL33,1,3)*1,UomConversion!$D$8:$D$500,0)),M33=""),"",IF(AQ33="","",AQ33))</f>
        <v/>
      </c>
      <c r="AN33" s="1644" t="str">
        <f>IF(AND(AO33&gt;0,COUNTIFS(UomConversion!$D$8:$D$500,MID(AL33,1,3)*1,UomConversion!$J$8:$J$500,1)&gt;1),TEXT(AO33,"000")&amp;"."&amp;VLOOKUP(AO33,uom_list,5,FALSE),"")</f>
        <v/>
      </c>
      <c r="AO33" s="1640" t="str">
        <f t="shared" si="18"/>
        <v/>
      </c>
      <c r="AP33" s="1645" t="str">
        <f t="shared" si="19"/>
        <v/>
      </c>
      <c r="AQ33" s="491" t="str">
        <f t="shared" si="20"/>
        <v/>
      </c>
      <c r="AR33" s="1281" t="str" cm="1">
        <f t="array" ref="AR33">IF(M33="","",IF(ISNA(Slookup(MID(AL33,1,3)*1,UomConversion!$D$8:$J$500,2,UomConversion!$I$8:$I$500,1,UomConversion!$J$8:$J$500,1)),"",Slookup(MID(AL33,1,3)*1,UomConversion!$D$8:$J$500,2,UomConversion!$I$8:$I$500,1,UomConversion!$J$8:$J$500,1)))</f>
        <v/>
      </c>
      <c r="AS33" s="663" t="str">
        <f>IF(M33="","",(SUMIFS('[1]1_inventory_totals'!$I$8:$I$10000,'[1]1_inventory_totals'!$C$8:$C$10000,I33,'[1]1_inventory_totals'!$F$8:$F$10000,"="&amp;Q33,'[1]1_inventory_totals'!$G$8:$G$10000,"="&amp;R33)+SUMIFS('[1]1_inventory_totals'!$N$8:$N$10000,'[1]1_inventory_totals'!$C$8:$C$10000,I33,'[1]1_inventory_totals'!$F$8:$F$10000,"="&amp;Q33,'[1]1_inventory_totals'!$G$8:$G$10000,"="&amp;R33)+SUMIFS('[1]1_inventory_totals'!$P$8:$P$10000,'[1]1_inventory_totals'!$C$8:$C$10000,I33,'[1]1_inventory_totals'!$F$8:$F$10000,"="&amp;Q33,'[1]1_inventory_totals'!$G$8:$G$10000,"="&amp;R33)+SUMIFS('[1]1_inventory_totals'!$Q$8:$Q$10000,'[1]1_inventory_totals'!$C$8:$C$10000,I33,'[1]1_inventory_totals'!$F$8:$F$10000,"="&amp;Q33,'[1]1_inventory_totals'!$G$8:$G$10000,"="&amp;R33)+SUMIFS('[1]1_inventory_totals'!$R$8:$R$10000,'[1]1_inventory_totals'!$C$8:$C$10000,I33,'[1]1_inventory_totals'!$F$8:$F$10000,"="&amp;Q33,'[1]1_inventory_totals'!$G$8:$G$10000,"="&amp;R33))+(SUMIFS('[1]1_inventory_totals'!$J$8:$J$10000,'[1]1_inventory_totals'!$C$8:$C$10000,I33,'[1]1_inventory_totals'!$F$8:$F$10000,"="&amp;Q33,'[1]1_inventory_totals'!$G$8:$G$10000,"="&amp;R33)+SUMIFS('[1]1_inventory_totals'!$K$8:$K$10000,'[1]1_inventory_totals'!$C$8:$C$10000,I33,'[1]1_inventory_totals'!$F$8:$F$10000,"="&amp;Q33,'[1]1_inventory_totals'!$G$8:$G$10000,"="&amp;R33)+SUMIFS('[1]1_inventory_totals'!$L$8:$L$10000,'[1]1_inventory_totals'!$C$8:$C$10000,I33,'[1]1_inventory_totals'!$F$8:$F$10000,"="&amp;Q33,'[1]1_inventory_totals'!$G$8:$G$10000,"="&amp;R33)+SUMIFS('[1]1_inventory_totals'!$M$8:$M$10000,'[1]1_inventory_totals'!$C$8:$C$10000,I33,'[1]1_inventory_totals'!$F$8:$F$10000,"="&amp;Q33,'[1]1_inventory_totals'!$G$8:$G$10000,"="&amp;R33)+SUMIFS('[1]1_inventory_totals'!$O$8:$O$10000,'[1]1_inventory_totals'!$C$8:$C$10000,I33,'[1]1_inventory_totals'!$F$8:$F$10000,"="&amp;Q33,'[1]1_inventory_totals'!$G$8:$G$10000,"="&amp;R33)+SUMIFS('[1]1_inventory_totals'!$S$8:$S$10000,'[1]1_inventory_totals'!$C$8:$C$10000,I33,'[1]1_inventory_totals'!$F$8:$F$10000,"="&amp;Q33,'[1]1_inventory_totals'!$G$8:$G$10000,"="&amp;R33)))</f>
        <v/>
      </c>
      <c r="AT33" s="1281" t="str">
        <f>IF(M33="","",(SUMIFS('[1]1_group_totals'!$K$8:$K$10000,'[1]1_group_totals'!$C$8:$C$10000,I33,'[1]1_group_totals'!$F$8:$F$10000,pb_location_group_id,'[1]1_group_totals'!$G$8:$G$10000,pb_location_id,'[1]1_group_totals'!$H$8:$H$10000,"="&amp;Q33,'[1]1_group_totals'!$I$8:$I$10000,"="&amp;R33)+SUMIFS('[1]1_group_totals'!$N$8:$N$10000,'[1]1_group_totals'!$C$8:$C$10000,I33,'[1]1_group_totals'!$F$8:$F$10000,pb_location_group_id,'[1]1_group_totals'!$G$8:$G$10000,pb_location_id,'[1]1_group_totals'!$H$8:$H$10000,"="&amp;Q33,'[1]1_group_totals'!$I$8:$I$10000,"="&amp;R33)+SUMIFS('[1]1_group_totals'!$P$8:$P$10000,'[1]1_group_totals'!$C$8:$C$10000,I33,'[1]1_group_totals'!$F$8:$F$10000,pb_location_group_id,'[1]1_group_totals'!$G$8:$G$10000,pb_location_id,'[1]1_group_totals'!$H$8:$H$10000,"="&amp;Q33,'[1]1_group_totals'!$I$8:$I$10000,"="&amp;R33)+SUMIFS('[1]1_group_totals'!$Q$8:$Q$10000,'[1]1_group_totals'!$C$8:$C$10000,I33,'[1]1_group_totals'!$F$8:$F$10000,pb_location_group_id,'[1]1_group_totals'!$G$8:$G$10000,pb_location_id,'[1]1_group_totals'!$H$8:$H$10000,"="&amp;Q33,'[1]1_group_totals'!$I$8:$I$10000,"="&amp;R33))+(SUMIFS('[1]1_group_totals'!$L$8:$L$10000,'[1]1_group_totals'!$C$8:$C$10000,I33,'[1]1_group_totals'!$F$8:$F$10000,pb_location_group_id,'[1]1_group_totals'!$G$8:$G$10000,pb_location_id,'[1]1_group_totals'!$H$8:$H$10000,"="&amp;Q33,'[1]1_group_totals'!$I$8:$I$10000,"="&amp;R33)+SUMIFS('[1]1_group_totals'!$M$8:$M$10000,'[1]1_group_totals'!$C$8:$C$10000,I33,'[1]1_group_totals'!$F$8:$F$10000,pb_location_group_id,'[1]1_group_totals'!$G$8:$G$10000,pb_location_id,'[1]1_group_totals'!$H$8:$H$10000,"="&amp;Q33,'[1]1_group_totals'!$I$8:$I$10000,"="&amp;R33)+SUMIFS('[1]1_group_totals'!$O$8:$O$10000,'[1]1_group_totals'!$C$8:$C$10000,I33,'[1]1_group_totals'!$F$8:$F$10000,pb_location_group_id,'[1]1_group_totals'!$G$8:$G$10000,pb_location_id,'[1]1_group_totals'!$H$8:$H$10000,"="&amp;Q33,'[1]1_group_totals'!$I$8:$I$10000,"="&amp;R33)+SUMIFS('[1]1_group_totals'!$R$8:$R$10000,'[1]1_group_totals'!$C$8:$C$10000,I33,'[1]1_group_totals'!$F$8:$F$10000,pb_location_group_id,'[1]1_group_totals'!$G$8:$G$10000,pb_location_id,'[1]1_group_totals'!$H$8:$H$10000,"="&amp;Q33,'[1]1_group_totals'!$I$8:$I$10000,"="&amp;R33)))</f>
        <v/>
      </c>
    </row>
    <row r="34" spans="1:46" ht="27" customHeight="1">
      <c r="A34" s="923"/>
      <c r="B34" s="1011"/>
      <c r="C34" s="950"/>
      <c r="D34" s="950"/>
      <c r="E34" s="950"/>
      <c r="F34" s="1057"/>
      <c r="I34" s="1610" t="str">
        <f t="shared" si="8"/>
        <v/>
      </c>
      <c r="J34" s="1631" t="str">
        <f t="shared" si="25"/>
        <v/>
      </c>
      <c r="K34" s="1628"/>
      <c r="L34" s="1632"/>
      <c r="M34" s="1069"/>
      <c r="N34" s="1044"/>
      <c r="O34" s="1044"/>
      <c r="P34" s="1046"/>
      <c r="Q34" s="1047"/>
      <c r="R34" s="1053"/>
      <c r="S34" s="1634" t="str">
        <f t="shared" ref="S34" si="95">IF(M34="","",pb_currency_symbol)</f>
        <v/>
      </c>
      <c r="T34" s="1068"/>
      <c r="U34" s="1636" t="str">
        <f t="shared" si="10"/>
        <v/>
      </c>
      <c r="V34" s="1634" t="str">
        <f t="shared" ref="V34" si="96">IF(W34=0,"",pb_currency_symbol)</f>
        <v/>
      </c>
      <c r="W34" s="1054"/>
      <c r="X34" s="1634" t="str">
        <f t="shared" ref="X34" si="97">IF(M34="","",pb_currency_symbol)</f>
        <v/>
      </c>
      <c r="Y34" s="1638" t="str">
        <f t="shared" si="24"/>
        <v/>
      </c>
      <c r="Z34" s="1062"/>
      <c r="AA34" s="1639" t="str" cm="1">
        <f t="array" ref="AA34">IF(M34="","",IF(P34=AL34,1,Slookup(MID(AL34,1,3)*1,UomConversion!$D$8:$J$500,5,UomConversion!$E$8:$E$500,MID(P34,1,3)*1,UomConversion!$J$8:$J$500,1)))</f>
        <v/>
      </c>
      <c r="AB34" s="1640" t="str">
        <f t="shared" si="13"/>
        <v/>
      </c>
      <c r="AC34" s="1641" t="str">
        <f t="shared" si="14"/>
        <v/>
      </c>
      <c r="AD34" s="1642" t="str">
        <f t="shared" si="15"/>
        <v/>
      </c>
      <c r="AE34" s="1643" t="str">
        <f t="shared" si="16"/>
        <v/>
      </c>
      <c r="AF34" s="1640" t="str">
        <f>IF(I34="","",IF(ISNA(MATCH(I34,IF(pb_location_id=1,'[1]1_inventory_totals'!$C$8:$C$10000,IF(pb_location_id=2,'[1]2_inventory_totals'!$C$8:$C$10000,"")),0)),0,IF(AS34&gt;0,1,0)))</f>
        <v/>
      </c>
      <c r="AG34" s="1640" t="str">
        <f>IF(M34="","",IF(pb_location_id=1,SUMIFS('[1]1_inventory_total_details'!$J$8:$J$10000,'[1]1_inventory_total_details'!$C$8:$C$10000,I34,'[1]1_inventory_total_details'!$F$8:$F$10000,pb_location_id,'[1]1_inventory_total_details'!$G$8:$G$10000,"="&amp;Q34,'[1]1_inventory_total_details'!$H$8:$H$10000,"="&amp;R34,'[1]1_inventory_total_details'!$I$8:$I$10000,"="&amp;pb_date)+SUMIFS('[1]1_inventory_total_details'!$M$8:$M$10000,'[1]1_inventory_total_details'!$C$8:$C$10000,I34,'[1]1_inventory_total_details'!$F$8:$F$10000,pb_location_id,'[1]1_inventory_total_details'!$G$8:$G$10000,"="&amp;Q34,'[1]1_inventory_total_details'!$H$8:$H$10000,"="&amp;R34,'[1]1_inventory_total_details'!$I$8:$I$10000,"="&amp;pb_date)+SUMIFS('[1]1_inventory_total_details'!$K$8:$K$10000,'[1]1_inventory_total_details'!$C$8:$C$10000,I34,'[1]1_inventory_total_details'!$F$8:$F$10000,pb_location_id,'[1]1_inventory_total_details'!$G$8:$G$10000,"="&amp;Q34,'[1]1_inventory_total_details'!$H$8:$H$10000,"="&amp;R34,'[1]1_inventory_total_details'!$I$8:$I$10000,"="&amp;pb_date)+SUMIFS('[1]1_inventory_total_details'!$L$8:$L$10000,'[1]1_inventory_total_details'!$C$8:$C$10000,I34,'[1]1_inventory_total_details'!$F$8:$F$10000,pb_location_id,'[1]1_inventory_total_details'!$G$8:$G$10000,"="&amp;Q34,'[1]1_inventory_total_details'!$H$8:$H$10000,"="&amp;R34,'[1]1_inventory_total_details'!$I$8:$I$10000,"="&amp;pb_date),SUMIFS('[1]2_inventory_total_details'!$J$8:$J$10000,'[1]2_inventory_total_details'!$C$8:$C$10000,I34,'[1]1_inventory_total_details'!$F$8:$F$10000,pb_location_id,'[1]2_inventory_total_details'!$G$8:$G$10000,"="&amp;Q34,'[1]2_inventory_total_details'!$H$8:$H$10000,"="&amp;R34,'[1]2_inventory_total_details'!$I$8:$I$10000,"="&amp;pb_date)+SUMIFS('[1]2_inventory_total_details'!$M$8:$M$10000,'[1]2_inventory_total_details'!$C$8:$C$10000,I34,'[1]2_inventory_total_details'!$F$8:$F$10000,pb_location_id,'[1]2_inventory_total_details'!$G$8:$G$10000,"="&amp;Q34,'[1]2_inventory_total_details'!$H$8:$H$10000,"="&amp;R34,'[1]2_inventory_total_details'!$I$8:$I$10000,"="&amp;pb_date)+SUMIFS('[1]2_inventory_total_details'!$K$8:$K$10000,'[1]2_inventory_total_details'!$C$8:$C$10000,I34,'[1]2_inventory_total_details'!$F$8:$F$10000,pb_location_id,'[1]2_inventory_total_details'!$G$8:$G$10000,"="&amp;Q34,'[1]2_inventory_total_details'!$H$8:$H$10000,"="&amp;R34,'[1]2_inventory_total_details'!$I$8:$I$10000,"="&amp;pb_date)+SUMIFS('[1]2_inventory_total_details'!$L$8:$L$10000,'[1]2_inventory_total_details'!$C$8:$C$10000,I34,'[1]2_inventory_total_details'!$F$8:$F$10000,pb_location_id,'[1]2_inventory_total_details'!$G$8:$G$10000,"="&amp;Q34,'[1]2_inventory_total_details'!$H$8:$H$10000,"="&amp;R34,'[1]2_inventory_total_details'!$I$8:$I$10000,"="&amp;pb_date)))</f>
        <v/>
      </c>
      <c r="AH34" s="1640" t="str">
        <f>IF(M34="","",IF(ISNA(MATCH(I34,'[1]1_group_totals'!$C$8:$C$10000)),0,IF(AT34&gt;0,1,0)))</f>
        <v/>
      </c>
      <c r="AI34" s="1640" t="str">
        <f>IF(M34="","",(SUMIFS('[1]1_group_total_details'!$I$8:$I$10000,'[1]1_group_total_details'!$C$8:$C$10000,I34,'[1]1_group_total_details'!$F$8:$F$10000,pb_location_group_id,'[1]1_group_total_details'!$G$8:$G$10000,pb_location_id,'[1]1_group_total_details'!$H$8:$H$10000,"="&amp;pb_date)+SUMIFS('[1]1_group_total_details'!$L$8:$L$10000,'[1]1_group_total_details'!$C$8:$C$10000,I34,'[1]1_group_total_details'!$F$8:$F$10000,pb_location_group_id,'[1]1_group_total_details'!$G$8:$G$10000,pb_location_id,'[1]1_group_total_details'!$H$8:$H$10000,"="&amp;pb_date)+SUMIFS('[1]1_group_total_details'!$N$8:$N$10000,'[1]1_group_total_details'!$C$8:$C$10000,I34,'[1]1_group_total_details'!$F$8:$F$10000,pb_location_group_id,'[1]1_group_total_details'!$G$8:$G$10000,pb_location_id,'[1]1_group_total_details'!$H$8:$H$10000,"="&amp;pb_date)+SUMIFS('[1]1_group_total_details'!$O$8:$O$10000,'[1]1_group_total_details'!$C$8:$C$10000,I34,'[1]1_group_total_details'!$F$8:$F$10000,pb_location_group_id,'[1]1_group_total_details'!$G$8:$G$10000,pb_location_id,'[1]1_group_total_details'!$H$8:$H$10000,"="&amp;pb_date))+(SUMIFS('[1]1_group_total_details'!$J$8:$J$10000,'[1]1_group_total_details'!$C$8:$C$10000,I34,'[1]1_group_total_details'!$F$8:$F$10000,pb_location_group_id,'[1]1_group_total_details'!$G$8:$G$10000,pb_location_id,'[1]1_group_total_details'!$H$8:$H$10000,"="&amp;pb_date)+SUMIFS('[1]1_group_total_details'!$K$8:$K$10000,'[1]1_group_total_details'!$C$8:$C$10000,I34,'[1]1_group_total_details'!$F$8:$F$10000,pb_location_group_id,'[1]1_group_total_details'!$G$8:$G$10000,pb_location_id,'[1]1_group_total_details'!$H$8:$H$10000,"="&amp;pb_date)+SUMIFS('[1]1_group_total_details'!$M$8:$M$10000,'[1]1_group_total_details'!$C$8:$C$10000,I34,'[1]1_group_total_details'!$F$8:$F$10000,pb_location_group_id,'[1]1_group_total_details'!$G$8:$G$10000,pb_location_id,'[1]1_group_total_details'!$H$8:$H$10000,"="&amp;pb_date)+SUMIFS('[1]1_group_total_details'!$P$8:$P$10000,'[1]1_group_total_details'!$C$8:$C$10000,I34,'[1]1_group_total_details'!$F$8:$F$10000,pb_location_group_id,'[1]1_group_total_details'!$G$8:$G$10000,pb_location_id,'[1]1_group_total_details'!$H$8:$H$10000,"="&amp;pb_date)))</f>
        <v/>
      </c>
      <c r="AJ34" s="1640" t="str">
        <f>IF(M34="","",IF(AK34=0,0,(SUMIFS('[1]1_group_total_details'!$I$8:$I$10000,'[1]1_group_total_details'!$C$8:$C$10000,I34,'[1]1_group_total_details'!$F$8:$F$10000,pb_location_group_id,'[1]1_group_total_details'!$G$8:$G$10000,pb_location_id,'[1]1_group_total_details'!$H$8:$H$10000,"&lt;="&amp;pb_date)+SUMIFS('[1]1_group_total_details'!$L$8:$L$10000,'[1]1_group_total_details'!$C$8:$C$10000,I34,'[1]1_group_total_details'!$F$8:$F$10000,pb_location_group_id,'[1]1_group_total_details'!$G$8:$G$10000,pb_location_id,'[1]1_group_total_details'!$H$8:$H$10000,"&lt;="&amp;pb_date)+SUMIFS('[1]1_group_total_details'!$N$8:$N$10000,'[1]1_group_total_details'!$C$8:$C$10000,I34,'[1]1_group_total_details'!$F$8:$F$10000,pb_location_group_id,'[1]1_group_total_details'!$G$8:$G$10000,pb_location_id,'[1]1_group_total_details'!$H$8:$H$10000,"&lt;="&amp;pb_date)+SUMIFS('[1]1_group_total_details'!$O$8:$O$10000,'[1]1_group_total_details'!$C$8:$C$10000,I34,'[1]1_group_total_details'!$F$8:$F$10000,pb_location_group_id,'[1]1_group_total_details'!$G$8:$G$10000,pb_location_id,'[1]1_group_total_details'!$H$8:$H$10000,"&lt;="&amp;pb_date))-(SUMIFS('[1]1_group_total_details'!$J$8:$J$10000,'[1]1_group_total_details'!$C$8:$C$10000,I34,'[1]1_group_total_details'!$F$8:$F$10000,pb_location_group_id,'[1]1_group_total_details'!$G$8:$G$10000,pb_location_id,'[1]1_group_total_details'!$H$8:$H$10000,"&lt;="&amp;pb_date)+SUMIFS('[1]1_group_total_details'!$K$8:$K$10000,'[1]1_group_total_details'!$C$8:$C$10000,I34,'[1]1_group_total_details'!$F$8:$F$10000,pb_location_group_id,'[1]1_group_total_details'!$G$8:$G$10000,invoice_location_id,'[1]1_group_total_details'!$H$8:$H$10000,"&lt;="&amp;pb_date)+SUMIFS('[1]1_group_total_details'!$M$8:$M$10000,'[1]1_group_total_details'!$C$8:$C$10000,I34,'[1]1_group_total_details'!$F$8:$F$10000,pb_location_group_id,'[1]1_group_total_details'!$G$8:$G$10000,pb_location_id,'[1]1_group_total_details'!$H$8:$H$10000,"&lt;="&amp;pb_date)+SUMIFS('[1]1_group_total_details'!$P$8:$P$10000,'[1]1_group_total_details'!$C$8:$C$10000,I34,'[1]1_group_total_details'!$F$8:$F$10000,pb_location_group_id,'[1]1_group_total_details'!$G$8:$G$10000,pb_location_id,'[1]1_group_total_details'!$H$8:$H$10000,"&lt;="&amp;pb_date))))</f>
        <v/>
      </c>
      <c r="AK34" s="1640" t="str">
        <f>IF(M34="","",SUMIFS('[1]1_group_totals'!$J$8:$J$10000,'[1]1_group_totals'!$C$8:$C$10000,I34,'[1]1_group_totals'!$F$8:$F$10000,pb_location_group_id,'[1]1_group_totals'!$G$8:$G$10000,pb_location_id,'[1]1_group_totals'!$H$8:$H$10000,"="&amp;Q34,'[1]1_group_totals'!$I$8:$I$10000,"="&amp;R34))</f>
        <v/>
      </c>
      <c r="AL34" s="1644" t="str">
        <f t="shared" si="17"/>
        <v/>
      </c>
      <c r="AM34" s="1644" t="str">
        <f>IF(OR(ISNA(MATCH(MID(AL34,1,3)*1,UomConversion!$D$8:$D$500,0)),M34=""),"",IF(AQ34="","",AQ34))</f>
        <v/>
      </c>
      <c r="AN34" s="1644" t="str">
        <f>IF(AND(AO34&gt;0,COUNTIFS(UomConversion!$D$8:$D$500,MID(AL34,1,3)*1,UomConversion!$J$8:$J$500,1)&gt;1),TEXT(AO34,"000")&amp;"."&amp;VLOOKUP(AO34,uom_list,5,FALSE),"")</f>
        <v/>
      </c>
      <c r="AO34" s="1640" t="str">
        <f t="shared" si="18"/>
        <v/>
      </c>
      <c r="AP34" s="1645" t="str">
        <f t="shared" si="19"/>
        <v/>
      </c>
      <c r="AQ34" s="491" t="str">
        <f t="shared" si="20"/>
        <v/>
      </c>
      <c r="AR34" s="1281" t="str" cm="1">
        <f t="array" ref="AR34">IF(M34="","",IF(ISNA(Slookup(MID(AL34,1,3)*1,UomConversion!$D$8:$J$500,2,UomConversion!$I$8:$I$500,1,UomConversion!$J$8:$J$500,1)),"",Slookup(MID(AL34,1,3)*1,UomConversion!$D$8:$J$500,2,UomConversion!$I$8:$I$500,1,UomConversion!$J$8:$J$500,1)))</f>
        <v/>
      </c>
      <c r="AS34" s="663" t="str">
        <f>IF(M34="","",(SUMIFS('[1]1_inventory_totals'!$I$8:$I$10000,'[1]1_inventory_totals'!$C$8:$C$10000,I34,'[1]1_inventory_totals'!$F$8:$F$10000,"="&amp;Q34,'[1]1_inventory_totals'!$G$8:$G$10000,"="&amp;R34)+SUMIFS('[1]1_inventory_totals'!$N$8:$N$10000,'[1]1_inventory_totals'!$C$8:$C$10000,I34,'[1]1_inventory_totals'!$F$8:$F$10000,"="&amp;Q34,'[1]1_inventory_totals'!$G$8:$G$10000,"="&amp;R34)+SUMIFS('[1]1_inventory_totals'!$P$8:$P$10000,'[1]1_inventory_totals'!$C$8:$C$10000,I34,'[1]1_inventory_totals'!$F$8:$F$10000,"="&amp;Q34,'[1]1_inventory_totals'!$G$8:$G$10000,"="&amp;R34)+SUMIFS('[1]1_inventory_totals'!$Q$8:$Q$10000,'[1]1_inventory_totals'!$C$8:$C$10000,I34,'[1]1_inventory_totals'!$F$8:$F$10000,"="&amp;Q34,'[1]1_inventory_totals'!$G$8:$G$10000,"="&amp;R34)+SUMIFS('[1]1_inventory_totals'!$R$8:$R$10000,'[1]1_inventory_totals'!$C$8:$C$10000,I34,'[1]1_inventory_totals'!$F$8:$F$10000,"="&amp;Q34,'[1]1_inventory_totals'!$G$8:$G$10000,"="&amp;R34))+(SUMIFS('[1]1_inventory_totals'!$J$8:$J$10000,'[1]1_inventory_totals'!$C$8:$C$10000,I34,'[1]1_inventory_totals'!$F$8:$F$10000,"="&amp;Q34,'[1]1_inventory_totals'!$G$8:$G$10000,"="&amp;R34)+SUMIFS('[1]1_inventory_totals'!$K$8:$K$10000,'[1]1_inventory_totals'!$C$8:$C$10000,I34,'[1]1_inventory_totals'!$F$8:$F$10000,"="&amp;Q34,'[1]1_inventory_totals'!$G$8:$G$10000,"="&amp;R34)+SUMIFS('[1]1_inventory_totals'!$L$8:$L$10000,'[1]1_inventory_totals'!$C$8:$C$10000,I34,'[1]1_inventory_totals'!$F$8:$F$10000,"="&amp;Q34,'[1]1_inventory_totals'!$G$8:$G$10000,"="&amp;R34)+SUMIFS('[1]1_inventory_totals'!$M$8:$M$10000,'[1]1_inventory_totals'!$C$8:$C$10000,I34,'[1]1_inventory_totals'!$F$8:$F$10000,"="&amp;Q34,'[1]1_inventory_totals'!$G$8:$G$10000,"="&amp;R34)+SUMIFS('[1]1_inventory_totals'!$O$8:$O$10000,'[1]1_inventory_totals'!$C$8:$C$10000,I34,'[1]1_inventory_totals'!$F$8:$F$10000,"="&amp;Q34,'[1]1_inventory_totals'!$G$8:$G$10000,"="&amp;R34)+SUMIFS('[1]1_inventory_totals'!$S$8:$S$10000,'[1]1_inventory_totals'!$C$8:$C$10000,I34,'[1]1_inventory_totals'!$F$8:$F$10000,"="&amp;Q34,'[1]1_inventory_totals'!$G$8:$G$10000,"="&amp;R34)))</f>
        <v/>
      </c>
      <c r="AT34" s="1281" t="str">
        <f>IF(M34="","",(SUMIFS('[1]1_group_totals'!$K$8:$K$10000,'[1]1_group_totals'!$C$8:$C$10000,I34,'[1]1_group_totals'!$F$8:$F$10000,pb_location_group_id,'[1]1_group_totals'!$G$8:$G$10000,pb_location_id,'[1]1_group_totals'!$H$8:$H$10000,"="&amp;Q34,'[1]1_group_totals'!$I$8:$I$10000,"="&amp;R34)+SUMIFS('[1]1_group_totals'!$N$8:$N$10000,'[1]1_group_totals'!$C$8:$C$10000,I34,'[1]1_group_totals'!$F$8:$F$10000,pb_location_group_id,'[1]1_group_totals'!$G$8:$G$10000,pb_location_id,'[1]1_group_totals'!$H$8:$H$10000,"="&amp;Q34,'[1]1_group_totals'!$I$8:$I$10000,"="&amp;R34)+SUMIFS('[1]1_group_totals'!$P$8:$P$10000,'[1]1_group_totals'!$C$8:$C$10000,I34,'[1]1_group_totals'!$F$8:$F$10000,pb_location_group_id,'[1]1_group_totals'!$G$8:$G$10000,pb_location_id,'[1]1_group_totals'!$H$8:$H$10000,"="&amp;Q34,'[1]1_group_totals'!$I$8:$I$10000,"="&amp;R34)+SUMIFS('[1]1_group_totals'!$Q$8:$Q$10000,'[1]1_group_totals'!$C$8:$C$10000,I34,'[1]1_group_totals'!$F$8:$F$10000,pb_location_group_id,'[1]1_group_totals'!$G$8:$G$10000,pb_location_id,'[1]1_group_totals'!$H$8:$H$10000,"="&amp;Q34,'[1]1_group_totals'!$I$8:$I$10000,"="&amp;R34))+(SUMIFS('[1]1_group_totals'!$L$8:$L$10000,'[1]1_group_totals'!$C$8:$C$10000,I34,'[1]1_group_totals'!$F$8:$F$10000,pb_location_group_id,'[1]1_group_totals'!$G$8:$G$10000,pb_location_id,'[1]1_group_totals'!$H$8:$H$10000,"="&amp;Q34,'[1]1_group_totals'!$I$8:$I$10000,"="&amp;R34)+SUMIFS('[1]1_group_totals'!$M$8:$M$10000,'[1]1_group_totals'!$C$8:$C$10000,I34,'[1]1_group_totals'!$F$8:$F$10000,pb_location_group_id,'[1]1_group_totals'!$G$8:$G$10000,pb_location_id,'[1]1_group_totals'!$H$8:$H$10000,"="&amp;Q34,'[1]1_group_totals'!$I$8:$I$10000,"="&amp;R34)+SUMIFS('[1]1_group_totals'!$O$8:$O$10000,'[1]1_group_totals'!$C$8:$C$10000,I34,'[1]1_group_totals'!$F$8:$F$10000,pb_location_group_id,'[1]1_group_totals'!$G$8:$G$10000,pb_location_id,'[1]1_group_totals'!$H$8:$H$10000,"="&amp;Q34,'[1]1_group_totals'!$I$8:$I$10000,"="&amp;R34)+SUMIFS('[1]1_group_totals'!$R$8:$R$10000,'[1]1_group_totals'!$C$8:$C$10000,I34,'[1]1_group_totals'!$F$8:$F$10000,pb_location_group_id,'[1]1_group_totals'!$G$8:$G$10000,pb_location_id,'[1]1_group_totals'!$H$8:$H$10000,"="&amp;Q34,'[1]1_group_totals'!$I$8:$I$10000,"="&amp;R34)))</f>
        <v/>
      </c>
    </row>
    <row r="35" spans="1:46" ht="27" customHeight="1">
      <c r="A35" s="923"/>
      <c r="B35" s="1011"/>
      <c r="C35" s="950"/>
      <c r="D35" s="950"/>
      <c r="E35" s="950"/>
      <c r="F35" s="1057"/>
      <c r="I35" s="1610" t="str">
        <f t="shared" si="8"/>
        <v/>
      </c>
      <c r="J35" s="1631" t="str">
        <f t="shared" si="25"/>
        <v/>
      </c>
      <c r="K35" s="1628"/>
      <c r="L35" s="1632"/>
      <c r="M35" s="1069"/>
      <c r="N35" s="1044"/>
      <c r="O35" s="1044"/>
      <c r="P35" s="1046"/>
      <c r="Q35" s="1047"/>
      <c r="R35" s="1053"/>
      <c r="S35" s="1634" t="str">
        <f t="shared" ref="S35" si="98">IF(M35="","",pb_currency_symbol)</f>
        <v/>
      </c>
      <c r="T35" s="1068"/>
      <c r="U35" s="1636" t="str">
        <f t="shared" si="10"/>
        <v/>
      </c>
      <c r="V35" s="1634" t="str">
        <f t="shared" ref="V35" si="99">IF(W35=0,"",pb_currency_symbol)</f>
        <v/>
      </c>
      <c r="W35" s="1054"/>
      <c r="X35" s="1634" t="str">
        <f t="shared" ref="X35" si="100">IF(M35="","",pb_currency_symbol)</f>
        <v/>
      </c>
      <c r="Y35" s="1638" t="str">
        <f t="shared" si="24"/>
        <v/>
      </c>
      <c r="Z35" s="1062"/>
      <c r="AA35" s="1639" t="str" cm="1">
        <f t="array" ref="AA35">IF(M35="","",IF(P35=AL35,1,Slookup(MID(AL35,1,3)*1,UomConversion!$D$8:$J$500,5,UomConversion!$E$8:$E$500,MID(P35,1,3)*1,UomConversion!$J$8:$J$500,1)))</f>
        <v/>
      </c>
      <c r="AB35" s="1640" t="str">
        <f t="shared" si="13"/>
        <v/>
      </c>
      <c r="AC35" s="1641" t="str">
        <f t="shared" si="14"/>
        <v/>
      </c>
      <c r="AD35" s="1642" t="str">
        <f t="shared" si="15"/>
        <v/>
      </c>
      <c r="AE35" s="1643" t="str">
        <f t="shared" si="16"/>
        <v/>
      </c>
      <c r="AF35" s="1640" t="str">
        <f>IF(I35="","",IF(ISNA(MATCH(I35,IF(pb_location_id=1,'[1]1_inventory_totals'!$C$8:$C$10000,IF(pb_location_id=2,'[1]2_inventory_totals'!$C$8:$C$10000,"")),0)),0,IF(AS35&gt;0,1,0)))</f>
        <v/>
      </c>
      <c r="AG35" s="1640" t="str">
        <f>IF(M35="","",IF(pb_location_id=1,SUMIFS('[1]1_inventory_total_details'!$J$8:$J$10000,'[1]1_inventory_total_details'!$C$8:$C$10000,I35,'[1]1_inventory_total_details'!$F$8:$F$10000,pb_location_id,'[1]1_inventory_total_details'!$G$8:$G$10000,"="&amp;Q35,'[1]1_inventory_total_details'!$H$8:$H$10000,"="&amp;R35,'[1]1_inventory_total_details'!$I$8:$I$10000,"="&amp;pb_date)+SUMIFS('[1]1_inventory_total_details'!$M$8:$M$10000,'[1]1_inventory_total_details'!$C$8:$C$10000,I35,'[1]1_inventory_total_details'!$F$8:$F$10000,pb_location_id,'[1]1_inventory_total_details'!$G$8:$G$10000,"="&amp;Q35,'[1]1_inventory_total_details'!$H$8:$H$10000,"="&amp;R35,'[1]1_inventory_total_details'!$I$8:$I$10000,"="&amp;pb_date)+SUMIFS('[1]1_inventory_total_details'!$K$8:$K$10000,'[1]1_inventory_total_details'!$C$8:$C$10000,I35,'[1]1_inventory_total_details'!$F$8:$F$10000,pb_location_id,'[1]1_inventory_total_details'!$G$8:$G$10000,"="&amp;Q35,'[1]1_inventory_total_details'!$H$8:$H$10000,"="&amp;R35,'[1]1_inventory_total_details'!$I$8:$I$10000,"="&amp;pb_date)+SUMIFS('[1]1_inventory_total_details'!$L$8:$L$10000,'[1]1_inventory_total_details'!$C$8:$C$10000,I35,'[1]1_inventory_total_details'!$F$8:$F$10000,pb_location_id,'[1]1_inventory_total_details'!$G$8:$G$10000,"="&amp;Q35,'[1]1_inventory_total_details'!$H$8:$H$10000,"="&amp;R35,'[1]1_inventory_total_details'!$I$8:$I$10000,"="&amp;pb_date),SUMIFS('[1]2_inventory_total_details'!$J$8:$J$10000,'[1]2_inventory_total_details'!$C$8:$C$10000,I35,'[1]1_inventory_total_details'!$F$8:$F$10000,pb_location_id,'[1]2_inventory_total_details'!$G$8:$G$10000,"="&amp;Q35,'[1]2_inventory_total_details'!$H$8:$H$10000,"="&amp;R35,'[1]2_inventory_total_details'!$I$8:$I$10000,"="&amp;pb_date)+SUMIFS('[1]2_inventory_total_details'!$M$8:$M$10000,'[1]2_inventory_total_details'!$C$8:$C$10000,I35,'[1]2_inventory_total_details'!$F$8:$F$10000,pb_location_id,'[1]2_inventory_total_details'!$G$8:$G$10000,"="&amp;Q35,'[1]2_inventory_total_details'!$H$8:$H$10000,"="&amp;R35,'[1]2_inventory_total_details'!$I$8:$I$10000,"="&amp;pb_date)+SUMIFS('[1]2_inventory_total_details'!$K$8:$K$10000,'[1]2_inventory_total_details'!$C$8:$C$10000,I35,'[1]2_inventory_total_details'!$F$8:$F$10000,pb_location_id,'[1]2_inventory_total_details'!$G$8:$G$10000,"="&amp;Q35,'[1]2_inventory_total_details'!$H$8:$H$10000,"="&amp;R35,'[1]2_inventory_total_details'!$I$8:$I$10000,"="&amp;pb_date)+SUMIFS('[1]2_inventory_total_details'!$L$8:$L$10000,'[1]2_inventory_total_details'!$C$8:$C$10000,I35,'[1]2_inventory_total_details'!$F$8:$F$10000,pb_location_id,'[1]2_inventory_total_details'!$G$8:$G$10000,"="&amp;Q35,'[1]2_inventory_total_details'!$H$8:$H$10000,"="&amp;R35,'[1]2_inventory_total_details'!$I$8:$I$10000,"="&amp;pb_date)))</f>
        <v/>
      </c>
      <c r="AH35" s="1640" t="str">
        <f>IF(M35="","",IF(ISNA(MATCH(I35,'[1]1_group_totals'!$C$8:$C$10000)),0,IF(AT35&gt;0,1,0)))</f>
        <v/>
      </c>
      <c r="AI35" s="1640" t="str">
        <f>IF(M35="","",(SUMIFS('[1]1_group_total_details'!$I$8:$I$10000,'[1]1_group_total_details'!$C$8:$C$10000,I35,'[1]1_group_total_details'!$F$8:$F$10000,pb_location_group_id,'[1]1_group_total_details'!$G$8:$G$10000,pb_location_id,'[1]1_group_total_details'!$H$8:$H$10000,"="&amp;pb_date)+SUMIFS('[1]1_group_total_details'!$L$8:$L$10000,'[1]1_group_total_details'!$C$8:$C$10000,I35,'[1]1_group_total_details'!$F$8:$F$10000,pb_location_group_id,'[1]1_group_total_details'!$G$8:$G$10000,pb_location_id,'[1]1_group_total_details'!$H$8:$H$10000,"="&amp;pb_date)+SUMIFS('[1]1_group_total_details'!$N$8:$N$10000,'[1]1_group_total_details'!$C$8:$C$10000,I35,'[1]1_group_total_details'!$F$8:$F$10000,pb_location_group_id,'[1]1_group_total_details'!$G$8:$G$10000,pb_location_id,'[1]1_group_total_details'!$H$8:$H$10000,"="&amp;pb_date)+SUMIFS('[1]1_group_total_details'!$O$8:$O$10000,'[1]1_group_total_details'!$C$8:$C$10000,I35,'[1]1_group_total_details'!$F$8:$F$10000,pb_location_group_id,'[1]1_group_total_details'!$G$8:$G$10000,pb_location_id,'[1]1_group_total_details'!$H$8:$H$10000,"="&amp;pb_date))+(SUMIFS('[1]1_group_total_details'!$J$8:$J$10000,'[1]1_group_total_details'!$C$8:$C$10000,I35,'[1]1_group_total_details'!$F$8:$F$10000,pb_location_group_id,'[1]1_group_total_details'!$G$8:$G$10000,pb_location_id,'[1]1_group_total_details'!$H$8:$H$10000,"="&amp;pb_date)+SUMIFS('[1]1_group_total_details'!$K$8:$K$10000,'[1]1_group_total_details'!$C$8:$C$10000,I35,'[1]1_group_total_details'!$F$8:$F$10000,pb_location_group_id,'[1]1_group_total_details'!$G$8:$G$10000,pb_location_id,'[1]1_group_total_details'!$H$8:$H$10000,"="&amp;pb_date)+SUMIFS('[1]1_group_total_details'!$M$8:$M$10000,'[1]1_group_total_details'!$C$8:$C$10000,I35,'[1]1_group_total_details'!$F$8:$F$10000,pb_location_group_id,'[1]1_group_total_details'!$G$8:$G$10000,pb_location_id,'[1]1_group_total_details'!$H$8:$H$10000,"="&amp;pb_date)+SUMIFS('[1]1_group_total_details'!$P$8:$P$10000,'[1]1_group_total_details'!$C$8:$C$10000,I35,'[1]1_group_total_details'!$F$8:$F$10000,pb_location_group_id,'[1]1_group_total_details'!$G$8:$G$10000,pb_location_id,'[1]1_group_total_details'!$H$8:$H$10000,"="&amp;pb_date)))</f>
        <v/>
      </c>
      <c r="AJ35" s="1640" t="str">
        <f>IF(M35="","",IF(AK35=0,0,(SUMIFS('[1]1_group_total_details'!$I$8:$I$10000,'[1]1_group_total_details'!$C$8:$C$10000,I35,'[1]1_group_total_details'!$F$8:$F$10000,pb_location_group_id,'[1]1_group_total_details'!$G$8:$G$10000,pb_location_id,'[1]1_group_total_details'!$H$8:$H$10000,"&lt;="&amp;pb_date)+SUMIFS('[1]1_group_total_details'!$L$8:$L$10000,'[1]1_group_total_details'!$C$8:$C$10000,I35,'[1]1_group_total_details'!$F$8:$F$10000,pb_location_group_id,'[1]1_group_total_details'!$G$8:$G$10000,pb_location_id,'[1]1_group_total_details'!$H$8:$H$10000,"&lt;="&amp;pb_date)+SUMIFS('[1]1_group_total_details'!$N$8:$N$10000,'[1]1_group_total_details'!$C$8:$C$10000,I35,'[1]1_group_total_details'!$F$8:$F$10000,pb_location_group_id,'[1]1_group_total_details'!$G$8:$G$10000,pb_location_id,'[1]1_group_total_details'!$H$8:$H$10000,"&lt;="&amp;pb_date)+SUMIFS('[1]1_group_total_details'!$O$8:$O$10000,'[1]1_group_total_details'!$C$8:$C$10000,I35,'[1]1_group_total_details'!$F$8:$F$10000,pb_location_group_id,'[1]1_group_total_details'!$G$8:$G$10000,pb_location_id,'[1]1_group_total_details'!$H$8:$H$10000,"&lt;="&amp;pb_date))-(SUMIFS('[1]1_group_total_details'!$J$8:$J$10000,'[1]1_group_total_details'!$C$8:$C$10000,I35,'[1]1_group_total_details'!$F$8:$F$10000,pb_location_group_id,'[1]1_group_total_details'!$G$8:$G$10000,pb_location_id,'[1]1_group_total_details'!$H$8:$H$10000,"&lt;="&amp;pb_date)+SUMIFS('[1]1_group_total_details'!$K$8:$K$10000,'[1]1_group_total_details'!$C$8:$C$10000,I35,'[1]1_group_total_details'!$F$8:$F$10000,pb_location_group_id,'[1]1_group_total_details'!$G$8:$G$10000,invoice_location_id,'[1]1_group_total_details'!$H$8:$H$10000,"&lt;="&amp;pb_date)+SUMIFS('[1]1_group_total_details'!$M$8:$M$10000,'[1]1_group_total_details'!$C$8:$C$10000,I35,'[1]1_group_total_details'!$F$8:$F$10000,pb_location_group_id,'[1]1_group_total_details'!$G$8:$G$10000,pb_location_id,'[1]1_group_total_details'!$H$8:$H$10000,"&lt;="&amp;pb_date)+SUMIFS('[1]1_group_total_details'!$P$8:$P$10000,'[1]1_group_total_details'!$C$8:$C$10000,I35,'[1]1_group_total_details'!$F$8:$F$10000,pb_location_group_id,'[1]1_group_total_details'!$G$8:$G$10000,pb_location_id,'[1]1_group_total_details'!$H$8:$H$10000,"&lt;="&amp;pb_date))))</f>
        <v/>
      </c>
      <c r="AK35" s="1640" t="str">
        <f>IF(M35="","",SUMIFS('[1]1_group_totals'!$J$8:$J$10000,'[1]1_group_totals'!$C$8:$C$10000,I35,'[1]1_group_totals'!$F$8:$F$10000,pb_location_group_id,'[1]1_group_totals'!$G$8:$G$10000,pb_location_id,'[1]1_group_totals'!$H$8:$H$10000,"="&amp;Q35,'[1]1_group_totals'!$I$8:$I$10000,"="&amp;R35))</f>
        <v/>
      </c>
      <c r="AL35" s="1644" t="str">
        <f t="shared" si="17"/>
        <v/>
      </c>
      <c r="AM35" s="1644" t="str">
        <f>IF(OR(ISNA(MATCH(MID(AL35,1,3)*1,UomConversion!$D$8:$D$500,0)),M35=""),"",IF(AQ35="","",AQ35))</f>
        <v/>
      </c>
      <c r="AN35" s="1644" t="str">
        <f>IF(AND(AO35&gt;0,COUNTIFS(UomConversion!$D$8:$D$500,MID(AL35,1,3)*1,UomConversion!$J$8:$J$500,1)&gt;1),TEXT(AO35,"000")&amp;"."&amp;VLOOKUP(AO35,uom_list,5,FALSE),"")</f>
        <v/>
      </c>
      <c r="AO35" s="1640" t="str">
        <f t="shared" si="18"/>
        <v/>
      </c>
      <c r="AP35" s="1645" t="str">
        <f t="shared" si="19"/>
        <v/>
      </c>
      <c r="AQ35" s="491" t="str">
        <f t="shared" si="20"/>
        <v/>
      </c>
      <c r="AR35" s="1281" t="str" cm="1">
        <f t="array" ref="AR35">IF(M35="","",IF(ISNA(Slookup(MID(AL35,1,3)*1,UomConversion!$D$8:$J$500,2,UomConversion!$I$8:$I$500,1,UomConversion!$J$8:$J$500,1)),"",Slookup(MID(AL35,1,3)*1,UomConversion!$D$8:$J$500,2,UomConversion!$I$8:$I$500,1,UomConversion!$J$8:$J$500,1)))</f>
        <v/>
      </c>
      <c r="AS35" s="663" t="str">
        <f>IF(M35="","",(SUMIFS('[1]1_inventory_totals'!$I$8:$I$10000,'[1]1_inventory_totals'!$C$8:$C$10000,I35,'[1]1_inventory_totals'!$F$8:$F$10000,"="&amp;Q35,'[1]1_inventory_totals'!$G$8:$G$10000,"="&amp;R35)+SUMIFS('[1]1_inventory_totals'!$N$8:$N$10000,'[1]1_inventory_totals'!$C$8:$C$10000,I35,'[1]1_inventory_totals'!$F$8:$F$10000,"="&amp;Q35,'[1]1_inventory_totals'!$G$8:$G$10000,"="&amp;R35)+SUMIFS('[1]1_inventory_totals'!$P$8:$P$10000,'[1]1_inventory_totals'!$C$8:$C$10000,I35,'[1]1_inventory_totals'!$F$8:$F$10000,"="&amp;Q35,'[1]1_inventory_totals'!$G$8:$G$10000,"="&amp;R35)+SUMIFS('[1]1_inventory_totals'!$Q$8:$Q$10000,'[1]1_inventory_totals'!$C$8:$C$10000,I35,'[1]1_inventory_totals'!$F$8:$F$10000,"="&amp;Q35,'[1]1_inventory_totals'!$G$8:$G$10000,"="&amp;R35)+SUMIFS('[1]1_inventory_totals'!$R$8:$R$10000,'[1]1_inventory_totals'!$C$8:$C$10000,I35,'[1]1_inventory_totals'!$F$8:$F$10000,"="&amp;Q35,'[1]1_inventory_totals'!$G$8:$G$10000,"="&amp;R35))+(SUMIFS('[1]1_inventory_totals'!$J$8:$J$10000,'[1]1_inventory_totals'!$C$8:$C$10000,I35,'[1]1_inventory_totals'!$F$8:$F$10000,"="&amp;Q35,'[1]1_inventory_totals'!$G$8:$G$10000,"="&amp;R35)+SUMIFS('[1]1_inventory_totals'!$K$8:$K$10000,'[1]1_inventory_totals'!$C$8:$C$10000,I35,'[1]1_inventory_totals'!$F$8:$F$10000,"="&amp;Q35,'[1]1_inventory_totals'!$G$8:$G$10000,"="&amp;R35)+SUMIFS('[1]1_inventory_totals'!$L$8:$L$10000,'[1]1_inventory_totals'!$C$8:$C$10000,I35,'[1]1_inventory_totals'!$F$8:$F$10000,"="&amp;Q35,'[1]1_inventory_totals'!$G$8:$G$10000,"="&amp;R35)+SUMIFS('[1]1_inventory_totals'!$M$8:$M$10000,'[1]1_inventory_totals'!$C$8:$C$10000,I35,'[1]1_inventory_totals'!$F$8:$F$10000,"="&amp;Q35,'[1]1_inventory_totals'!$G$8:$G$10000,"="&amp;R35)+SUMIFS('[1]1_inventory_totals'!$O$8:$O$10000,'[1]1_inventory_totals'!$C$8:$C$10000,I35,'[1]1_inventory_totals'!$F$8:$F$10000,"="&amp;Q35,'[1]1_inventory_totals'!$G$8:$G$10000,"="&amp;R35)+SUMIFS('[1]1_inventory_totals'!$S$8:$S$10000,'[1]1_inventory_totals'!$C$8:$C$10000,I35,'[1]1_inventory_totals'!$F$8:$F$10000,"="&amp;Q35,'[1]1_inventory_totals'!$G$8:$G$10000,"="&amp;R35)))</f>
        <v/>
      </c>
      <c r="AT35" s="1281" t="str">
        <f>IF(M35="","",(SUMIFS('[1]1_group_totals'!$K$8:$K$10000,'[1]1_group_totals'!$C$8:$C$10000,I35,'[1]1_group_totals'!$F$8:$F$10000,pb_location_group_id,'[1]1_group_totals'!$G$8:$G$10000,pb_location_id,'[1]1_group_totals'!$H$8:$H$10000,"="&amp;Q35,'[1]1_group_totals'!$I$8:$I$10000,"="&amp;R35)+SUMIFS('[1]1_group_totals'!$N$8:$N$10000,'[1]1_group_totals'!$C$8:$C$10000,I35,'[1]1_group_totals'!$F$8:$F$10000,pb_location_group_id,'[1]1_group_totals'!$G$8:$G$10000,pb_location_id,'[1]1_group_totals'!$H$8:$H$10000,"="&amp;Q35,'[1]1_group_totals'!$I$8:$I$10000,"="&amp;R35)+SUMIFS('[1]1_group_totals'!$P$8:$P$10000,'[1]1_group_totals'!$C$8:$C$10000,I35,'[1]1_group_totals'!$F$8:$F$10000,pb_location_group_id,'[1]1_group_totals'!$G$8:$G$10000,pb_location_id,'[1]1_group_totals'!$H$8:$H$10000,"="&amp;Q35,'[1]1_group_totals'!$I$8:$I$10000,"="&amp;R35)+SUMIFS('[1]1_group_totals'!$Q$8:$Q$10000,'[1]1_group_totals'!$C$8:$C$10000,I35,'[1]1_group_totals'!$F$8:$F$10000,pb_location_group_id,'[1]1_group_totals'!$G$8:$G$10000,pb_location_id,'[1]1_group_totals'!$H$8:$H$10000,"="&amp;Q35,'[1]1_group_totals'!$I$8:$I$10000,"="&amp;R35))+(SUMIFS('[1]1_group_totals'!$L$8:$L$10000,'[1]1_group_totals'!$C$8:$C$10000,I35,'[1]1_group_totals'!$F$8:$F$10000,pb_location_group_id,'[1]1_group_totals'!$G$8:$G$10000,pb_location_id,'[1]1_group_totals'!$H$8:$H$10000,"="&amp;Q35,'[1]1_group_totals'!$I$8:$I$10000,"="&amp;R35)+SUMIFS('[1]1_group_totals'!$M$8:$M$10000,'[1]1_group_totals'!$C$8:$C$10000,I35,'[1]1_group_totals'!$F$8:$F$10000,pb_location_group_id,'[1]1_group_totals'!$G$8:$G$10000,pb_location_id,'[1]1_group_totals'!$H$8:$H$10000,"="&amp;Q35,'[1]1_group_totals'!$I$8:$I$10000,"="&amp;R35)+SUMIFS('[1]1_group_totals'!$O$8:$O$10000,'[1]1_group_totals'!$C$8:$C$10000,I35,'[1]1_group_totals'!$F$8:$F$10000,pb_location_group_id,'[1]1_group_totals'!$G$8:$G$10000,pb_location_id,'[1]1_group_totals'!$H$8:$H$10000,"="&amp;Q35,'[1]1_group_totals'!$I$8:$I$10000,"="&amp;R35)+SUMIFS('[1]1_group_totals'!$R$8:$R$10000,'[1]1_group_totals'!$C$8:$C$10000,I35,'[1]1_group_totals'!$F$8:$F$10000,pb_location_group_id,'[1]1_group_totals'!$G$8:$G$10000,pb_location_id,'[1]1_group_totals'!$H$8:$H$10000,"="&amp;Q35,'[1]1_group_totals'!$I$8:$I$10000,"="&amp;R35)))</f>
        <v/>
      </c>
    </row>
    <row r="36" spans="1:46" ht="27" customHeight="1">
      <c r="A36" s="923"/>
      <c r="B36" s="1011"/>
      <c r="C36" s="950"/>
      <c r="D36" s="950"/>
      <c r="E36" s="950"/>
      <c r="F36" s="1057"/>
      <c r="I36" s="1610" t="str">
        <f t="shared" si="8"/>
        <v/>
      </c>
      <c r="J36" s="1631" t="str">
        <f t="shared" si="25"/>
        <v/>
      </c>
      <c r="K36" s="1628"/>
      <c r="L36" s="1632"/>
      <c r="M36" s="1069"/>
      <c r="N36" s="1044"/>
      <c r="O36" s="1044"/>
      <c r="P36" s="1046"/>
      <c r="Q36" s="1047"/>
      <c r="R36" s="1053"/>
      <c r="S36" s="1634" t="str">
        <f t="shared" ref="S36" si="101">IF(M36="","",pb_currency_symbol)</f>
        <v/>
      </c>
      <c r="T36" s="1068"/>
      <c r="U36" s="1636" t="str">
        <f t="shared" si="10"/>
        <v/>
      </c>
      <c r="V36" s="1634" t="str">
        <f t="shared" ref="V36" si="102">IF(W36=0,"",pb_currency_symbol)</f>
        <v/>
      </c>
      <c r="W36" s="1054"/>
      <c r="X36" s="1634" t="str">
        <f t="shared" ref="X36" si="103">IF(M36="","",pb_currency_symbol)</f>
        <v/>
      </c>
      <c r="Y36" s="1638" t="str">
        <f t="shared" si="24"/>
        <v/>
      </c>
      <c r="Z36" s="1062"/>
      <c r="AA36" s="1639" t="str" cm="1">
        <f t="array" ref="AA36">IF(M36="","",IF(P36=AL36,1,Slookup(MID(AL36,1,3)*1,UomConversion!$D$8:$J$500,5,UomConversion!$E$8:$E$500,MID(P36,1,3)*1,UomConversion!$J$8:$J$500,1)))</f>
        <v/>
      </c>
      <c r="AB36" s="1640" t="str">
        <f t="shared" si="13"/>
        <v/>
      </c>
      <c r="AC36" s="1641" t="str">
        <f t="shared" si="14"/>
        <v/>
      </c>
      <c r="AD36" s="1642" t="str">
        <f t="shared" si="15"/>
        <v/>
      </c>
      <c r="AE36" s="1643" t="str">
        <f t="shared" si="16"/>
        <v/>
      </c>
      <c r="AF36" s="1640" t="str">
        <f>IF(I36="","",IF(ISNA(MATCH(I36,IF(pb_location_id=1,'[1]1_inventory_totals'!$C$8:$C$10000,IF(pb_location_id=2,'[1]2_inventory_totals'!$C$8:$C$10000,"")),0)),0,IF(AS36&gt;0,1,0)))</f>
        <v/>
      </c>
      <c r="AG36" s="1640" t="str">
        <f>IF(M36="","",IF(pb_location_id=1,SUMIFS('[1]1_inventory_total_details'!$J$8:$J$10000,'[1]1_inventory_total_details'!$C$8:$C$10000,I36,'[1]1_inventory_total_details'!$F$8:$F$10000,pb_location_id,'[1]1_inventory_total_details'!$G$8:$G$10000,"="&amp;Q36,'[1]1_inventory_total_details'!$H$8:$H$10000,"="&amp;R36,'[1]1_inventory_total_details'!$I$8:$I$10000,"="&amp;pb_date)+SUMIFS('[1]1_inventory_total_details'!$M$8:$M$10000,'[1]1_inventory_total_details'!$C$8:$C$10000,I36,'[1]1_inventory_total_details'!$F$8:$F$10000,pb_location_id,'[1]1_inventory_total_details'!$G$8:$G$10000,"="&amp;Q36,'[1]1_inventory_total_details'!$H$8:$H$10000,"="&amp;R36,'[1]1_inventory_total_details'!$I$8:$I$10000,"="&amp;pb_date)+SUMIFS('[1]1_inventory_total_details'!$K$8:$K$10000,'[1]1_inventory_total_details'!$C$8:$C$10000,I36,'[1]1_inventory_total_details'!$F$8:$F$10000,pb_location_id,'[1]1_inventory_total_details'!$G$8:$G$10000,"="&amp;Q36,'[1]1_inventory_total_details'!$H$8:$H$10000,"="&amp;R36,'[1]1_inventory_total_details'!$I$8:$I$10000,"="&amp;pb_date)+SUMIFS('[1]1_inventory_total_details'!$L$8:$L$10000,'[1]1_inventory_total_details'!$C$8:$C$10000,I36,'[1]1_inventory_total_details'!$F$8:$F$10000,pb_location_id,'[1]1_inventory_total_details'!$G$8:$G$10000,"="&amp;Q36,'[1]1_inventory_total_details'!$H$8:$H$10000,"="&amp;R36,'[1]1_inventory_total_details'!$I$8:$I$10000,"="&amp;pb_date),SUMIFS('[1]2_inventory_total_details'!$J$8:$J$10000,'[1]2_inventory_total_details'!$C$8:$C$10000,I36,'[1]1_inventory_total_details'!$F$8:$F$10000,pb_location_id,'[1]2_inventory_total_details'!$G$8:$G$10000,"="&amp;Q36,'[1]2_inventory_total_details'!$H$8:$H$10000,"="&amp;R36,'[1]2_inventory_total_details'!$I$8:$I$10000,"="&amp;pb_date)+SUMIFS('[1]2_inventory_total_details'!$M$8:$M$10000,'[1]2_inventory_total_details'!$C$8:$C$10000,I36,'[1]2_inventory_total_details'!$F$8:$F$10000,pb_location_id,'[1]2_inventory_total_details'!$G$8:$G$10000,"="&amp;Q36,'[1]2_inventory_total_details'!$H$8:$H$10000,"="&amp;R36,'[1]2_inventory_total_details'!$I$8:$I$10000,"="&amp;pb_date)+SUMIFS('[1]2_inventory_total_details'!$K$8:$K$10000,'[1]2_inventory_total_details'!$C$8:$C$10000,I36,'[1]2_inventory_total_details'!$F$8:$F$10000,pb_location_id,'[1]2_inventory_total_details'!$G$8:$G$10000,"="&amp;Q36,'[1]2_inventory_total_details'!$H$8:$H$10000,"="&amp;R36,'[1]2_inventory_total_details'!$I$8:$I$10000,"="&amp;pb_date)+SUMIFS('[1]2_inventory_total_details'!$L$8:$L$10000,'[1]2_inventory_total_details'!$C$8:$C$10000,I36,'[1]2_inventory_total_details'!$F$8:$F$10000,pb_location_id,'[1]2_inventory_total_details'!$G$8:$G$10000,"="&amp;Q36,'[1]2_inventory_total_details'!$H$8:$H$10000,"="&amp;R36,'[1]2_inventory_total_details'!$I$8:$I$10000,"="&amp;pb_date)))</f>
        <v/>
      </c>
      <c r="AH36" s="1640" t="str">
        <f>IF(M36="","",IF(ISNA(MATCH(I36,'[1]1_group_totals'!$C$8:$C$10000)),0,IF(AT36&gt;0,1,0)))</f>
        <v/>
      </c>
      <c r="AI36" s="1640" t="str">
        <f>IF(M36="","",(SUMIFS('[1]1_group_total_details'!$I$8:$I$10000,'[1]1_group_total_details'!$C$8:$C$10000,I36,'[1]1_group_total_details'!$F$8:$F$10000,pb_location_group_id,'[1]1_group_total_details'!$G$8:$G$10000,pb_location_id,'[1]1_group_total_details'!$H$8:$H$10000,"="&amp;pb_date)+SUMIFS('[1]1_group_total_details'!$L$8:$L$10000,'[1]1_group_total_details'!$C$8:$C$10000,I36,'[1]1_group_total_details'!$F$8:$F$10000,pb_location_group_id,'[1]1_group_total_details'!$G$8:$G$10000,pb_location_id,'[1]1_group_total_details'!$H$8:$H$10000,"="&amp;pb_date)+SUMIFS('[1]1_group_total_details'!$N$8:$N$10000,'[1]1_group_total_details'!$C$8:$C$10000,I36,'[1]1_group_total_details'!$F$8:$F$10000,pb_location_group_id,'[1]1_group_total_details'!$G$8:$G$10000,pb_location_id,'[1]1_group_total_details'!$H$8:$H$10000,"="&amp;pb_date)+SUMIFS('[1]1_group_total_details'!$O$8:$O$10000,'[1]1_group_total_details'!$C$8:$C$10000,I36,'[1]1_group_total_details'!$F$8:$F$10000,pb_location_group_id,'[1]1_group_total_details'!$G$8:$G$10000,pb_location_id,'[1]1_group_total_details'!$H$8:$H$10000,"="&amp;pb_date))+(SUMIFS('[1]1_group_total_details'!$J$8:$J$10000,'[1]1_group_total_details'!$C$8:$C$10000,I36,'[1]1_group_total_details'!$F$8:$F$10000,pb_location_group_id,'[1]1_group_total_details'!$G$8:$G$10000,pb_location_id,'[1]1_group_total_details'!$H$8:$H$10000,"="&amp;pb_date)+SUMIFS('[1]1_group_total_details'!$K$8:$K$10000,'[1]1_group_total_details'!$C$8:$C$10000,I36,'[1]1_group_total_details'!$F$8:$F$10000,pb_location_group_id,'[1]1_group_total_details'!$G$8:$G$10000,pb_location_id,'[1]1_group_total_details'!$H$8:$H$10000,"="&amp;pb_date)+SUMIFS('[1]1_group_total_details'!$M$8:$M$10000,'[1]1_group_total_details'!$C$8:$C$10000,I36,'[1]1_group_total_details'!$F$8:$F$10000,pb_location_group_id,'[1]1_group_total_details'!$G$8:$G$10000,pb_location_id,'[1]1_group_total_details'!$H$8:$H$10000,"="&amp;pb_date)+SUMIFS('[1]1_group_total_details'!$P$8:$P$10000,'[1]1_group_total_details'!$C$8:$C$10000,I36,'[1]1_group_total_details'!$F$8:$F$10000,pb_location_group_id,'[1]1_group_total_details'!$G$8:$G$10000,pb_location_id,'[1]1_group_total_details'!$H$8:$H$10000,"="&amp;pb_date)))</f>
        <v/>
      </c>
      <c r="AJ36" s="1640" t="str">
        <f>IF(M36="","",IF(AK36=0,0,(SUMIFS('[1]1_group_total_details'!$I$8:$I$10000,'[1]1_group_total_details'!$C$8:$C$10000,I36,'[1]1_group_total_details'!$F$8:$F$10000,pb_location_group_id,'[1]1_group_total_details'!$G$8:$G$10000,pb_location_id,'[1]1_group_total_details'!$H$8:$H$10000,"&lt;="&amp;pb_date)+SUMIFS('[1]1_group_total_details'!$L$8:$L$10000,'[1]1_group_total_details'!$C$8:$C$10000,I36,'[1]1_group_total_details'!$F$8:$F$10000,pb_location_group_id,'[1]1_group_total_details'!$G$8:$G$10000,pb_location_id,'[1]1_group_total_details'!$H$8:$H$10000,"&lt;="&amp;pb_date)+SUMIFS('[1]1_group_total_details'!$N$8:$N$10000,'[1]1_group_total_details'!$C$8:$C$10000,I36,'[1]1_group_total_details'!$F$8:$F$10000,pb_location_group_id,'[1]1_group_total_details'!$G$8:$G$10000,pb_location_id,'[1]1_group_total_details'!$H$8:$H$10000,"&lt;="&amp;pb_date)+SUMIFS('[1]1_group_total_details'!$O$8:$O$10000,'[1]1_group_total_details'!$C$8:$C$10000,I36,'[1]1_group_total_details'!$F$8:$F$10000,pb_location_group_id,'[1]1_group_total_details'!$G$8:$G$10000,pb_location_id,'[1]1_group_total_details'!$H$8:$H$10000,"&lt;="&amp;pb_date))-(SUMIFS('[1]1_group_total_details'!$J$8:$J$10000,'[1]1_group_total_details'!$C$8:$C$10000,I36,'[1]1_group_total_details'!$F$8:$F$10000,pb_location_group_id,'[1]1_group_total_details'!$G$8:$G$10000,pb_location_id,'[1]1_group_total_details'!$H$8:$H$10000,"&lt;="&amp;pb_date)+SUMIFS('[1]1_group_total_details'!$K$8:$K$10000,'[1]1_group_total_details'!$C$8:$C$10000,I36,'[1]1_group_total_details'!$F$8:$F$10000,pb_location_group_id,'[1]1_group_total_details'!$G$8:$G$10000,invoice_location_id,'[1]1_group_total_details'!$H$8:$H$10000,"&lt;="&amp;pb_date)+SUMIFS('[1]1_group_total_details'!$M$8:$M$10000,'[1]1_group_total_details'!$C$8:$C$10000,I36,'[1]1_group_total_details'!$F$8:$F$10000,pb_location_group_id,'[1]1_group_total_details'!$G$8:$G$10000,pb_location_id,'[1]1_group_total_details'!$H$8:$H$10000,"&lt;="&amp;pb_date)+SUMIFS('[1]1_group_total_details'!$P$8:$P$10000,'[1]1_group_total_details'!$C$8:$C$10000,I36,'[1]1_group_total_details'!$F$8:$F$10000,pb_location_group_id,'[1]1_group_total_details'!$G$8:$G$10000,pb_location_id,'[1]1_group_total_details'!$H$8:$H$10000,"&lt;="&amp;pb_date))))</f>
        <v/>
      </c>
      <c r="AK36" s="1640" t="str">
        <f>IF(M36="","",SUMIFS('[1]1_group_totals'!$J$8:$J$10000,'[1]1_group_totals'!$C$8:$C$10000,I36,'[1]1_group_totals'!$F$8:$F$10000,pb_location_group_id,'[1]1_group_totals'!$G$8:$G$10000,pb_location_id,'[1]1_group_totals'!$H$8:$H$10000,"="&amp;Q36,'[1]1_group_totals'!$I$8:$I$10000,"="&amp;R36))</f>
        <v/>
      </c>
      <c r="AL36" s="1644" t="str">
        <f t="shared" si="17"/>
        <v/>
      </c>
      <c r="AM36" s="1644" t="str">
        <f>IF(OR(ISNA(MATCH(MID(AL36,1,3)*1,UomConversion!$D$8:$D$500,0)),M36=""),"",IF(AQ36="","",AQ36))</f>
        <v/>
      </c>
      <c r="AN36" s="1644" t="str">
        <f>IF(AND(AO36&gt;0,COUNTIFS(UomConversion!$D$8:$D$500,MID(AL36,1,3)*1,UomConversion!$J$8:$J$500,1)&gt;1),TEXT(AO36,"000")&amp;"."&amp;VLOOKUP(AO36,uom_list,5,FALSE),"")</f>
        <v/>
      </c>
      <c r="AO36" s="1640" t="str">
        <f t="shared" si="18"/>
        <v/>
      </c>
      <c r="AP36" s="1645" t="str">
        <f t="shared" si="19"/>
        <v/>
      </c>
      <c r="AQ36" s="491" t="str">
        <f t="shared" si="20"/>
        <v/>
      </c>
      <c r="AR36" s="1281" t="str" cm="1">
        <f t="array" ref="AR36">IF(M36="","",IF(ISNA(Slookup(MID(AL36,1,3)*1,UomConversion!$D$8:$J$500,2,UomConversion!$I$8:$I$500,1,UomConversion!$J$8:$J$500,1)),"",Slookup(MID(AL36,1,3)*1,UomConversion!$D$8:$J$500,2,UomConversion!$I$8:$I$500,1,UomConversion!$J$8:$J$500,1)))</f>
        <v/>
      </c>
      <c r="AS36" s="663" t="str">
        <f>IF(M36="","",(SUMIFS('[1]1_inventory_totals'!$I$8:$I$10000,'[1]1_inventory_totals'!$C$8:$C$10000,I36,'[1]1_inventory_totals'!$F$8:$F$10000,"="&amp;Q36,'[1]1_inventory_totals'!$G$8:$G$10000,"="&amp;R36)+SUMIFS('[1]1_inventory_totals'!$N$8:$N$10000,'[1]1_inventory_totals'!$C$8:$C$10000,I36,'[1]1_inventory_totals'!$F$8:$F$10000,"="&amp;Q36,'[1]1_inventory_totals'!$G$8:$G$10000,"="&amp;R36)+SUMIFS('[1]1_inventory_totals'!$P$8:$P$10000,'[1]1_inventory_totals'!$C$8:$C$10000,I36,'[1]1_inventory_totals'!$F$8:$F$10000,"="&amp;Q36,'[1]1_inventory_totals'!$G$8:$G$10000,"="&amp;R36)+SUMIFS('[1]1_inventory_totals'!$Q$8:$Q$10000,'[1]1_inventory_totals'!$C$8:$C$10000,I36,'[1]1_inventory_totals'!$F$8:$F$10000,"="&amp;Q36,'[1]1_inventory_totals'!$G$8:$G$10000,"="&amp;R36)+SUMIFS('[1]1_inventory_totals'!$R$8:$R$10000,'[1]1_inventory_totals'!$C$8:$C$10000,I36,'[1]1_inventory_totals'!$F$8:$F$10000,"="&amp;Q36,'[1]1_inventory_totals'!$G$8:$G$10000,"="&amp;R36))+(SUMIFS('[1]1_inventory_totals'!$J$8:$J$10000,'[1]1_inventory_totals'!$C$8:$C$10000,I36,'[1]1_inventory_totals'!$F$8:$F$10000,"="&amp;Q36,'[1]1_inventory_totals'!$G$8:$G$10000,"="&amp;R36)+SUMIFS('[1]1_inventory_totals'!$K$8:$K$10000,'[1]1_inventory_totals'!$C$8:$C$10000,I36,'[1]1_inventory_totals'!$F$8:$F$10000,"="&amp;Q36,'[1]1_inventory_totals'!$G$8:$G$10000,"="&amp;R36)+SUMIFS('[1]1_inventory_totals'!$L$8:$L$10000,'[1]1_inventory_totals'!$C$8:$C$10000,I36,'[1]1_inventory_totals'!$F$8:$F$10000,"="&amp;Q36,'[1]1_inventory_totals'!$G$8:$G$10000,"="&amp;R36)+SUMIFS('[1]1_inventory_totals'!$M$8:$M$10000,'[1]1_inventory_totals'!$C$8:$C$10000,I36,'[1]1_inventory_totals'!$F$8:$F$10000,"="&amp;Q36,'[1]1_inventory_totals'!$G$8:$G$10000,"="&amp;R36)+SUMIFS('[1]1_inventory_totals'!$O$8:$O$10000,'[1]1_inventory_totals'!$C$8:$C$10000,I36,'[1]1_inventory_totals'!$F$8:$F$10000,"="&amp;Q36,'[1]1_inventory_totals'!$G$8:$G$10000,"="&amp;R36)+SUMIFS('[1]1_inventory_totals'!$S$8:$S$10000,'[1]1_inventory_totals'!$C$8:$C$10000,I36,'[1]1_inventory_totals'!$F$8:$F$10000,"="&amp;Q36,'[1]1_inventory_totals'!$G$8:$G$10000,"="&amp;R36)))</f>
        <v/>
      </c>
      <c r="AT36" s="1281" t="str">
        <f>IF(M36="","",(SUMIFS('[1]1_group_totals'!$K$8:$K$10000,'[1]1_group_totals'!$C$8:$C$10000,I36,'[1]1_group_totals'!$F$8:$F$10000,pb_location_group_id,'[1]1_group_totals'!$G$8:$G$10000,pb_location_id,'[1]1_group_totals'!$H$8:$H$10000,"="&amp;Q36,'[1]1_group_totals'!$I$8:$I$10000,"="&amp;R36)+SUMIFS('[1]1_group_totals'!$N$8:$N$10000,'[1]1_group_totals'!$C$8:$C$10000,I36,'[1]1_group_totals'!$F$8:$F$10000,pb_location_group_id,'[1]1_group_totals'!$G$8:$G$10000,pb_location_id,'[1]1_group_totals'!$H$8:$H$10000,"="&amp;Q36,'[1]1_group_totals'!$I$8:$I$10000,"="&amp;R36)+SUMIFS('[1]1_group_totals'!$P$8:$P$10000,'[1]1_group_totals'!$C$8:$C$10000,I36,'[1]1_group_totals'!$F$8:$F$10000,pb_location_group_id,'[1]1_group_totals'!$G$8:$G$10000,pb_location_id,'[1]1_group_totals'!$H$8:$H$10000,"="&amp;Q36,'[1]1_group_totals'!$I$8:$I$10000,"="&amp;R36)+SUMIFS('[1]1_group_totals'!$Q$8:$Q$10000,'[1]1_group_totals'!$C$8:$C$10000,I36,'[1]1_group_totals'!$F$8:$F$10000,pb_location_group_id,'[1]1_group_totals'!$G$8:$G$10000,pb_location_id,'[1]1_group_totals'!$H$8:$H$10000,"="&amp;Q36,'[1]1_group_totals'!$I$8:$I$10000,"="&amp;R36))+(SUMIFS('[1]1_group_totals'!$L$8:$L$10000,'[1]1_group_totals'!$C$8:$C$10000,I36,'[1]1_group_totals'!$F$8:$F$10000,pb_location_group_id,'[1]1_group_totals'!$G$8:$G$10000,pb_location_id,'[1]1_group_totals'!$H$8:$H$10000,"="&amp;Q36,'[1]1_group_totals'!$I$8:$I$10000,"="&amp;R36)+SUMIFS('[1]1_group_totals'!$M$8:$M$10000,'[1]1_group_totals'!$C$8:$C$10000,I36,'[1]1_group_totals'!$F$8:$F$10000,pb_location_group_id,'[1]1_group_totals'!$G$8:$G$10000,pb_location_id,'[1]1_group_totals'!$H$8:$H$10000,"="&amp;Q36,'[1]1_group_totals'!$I$8:$I$10000,"="&amp;R36)+SUMIFS('[1]1_group_totals'!$O$8:$O$10000,'[1]1_group_totals'!$C$8:$C$10000,I36,'[1]1_group_totals'!$F$8:$F$10000,pb_location_group_id,'[1]1_group_totals'!$G$8:$G$10000,pb_location_id,'[1]1_group_totals'!$H$8:$H$10000,"="&amp;Q36,'[1]1_group_totals'!$I$8:$I$10000,"="&amp;R36)+SUMIFS('[1]1_group_totals'!$R$8:$R$10000,'[1]1_group_totals'!$C$8:$C$10000,I36,'[1]1_group_totals'!$F$8:$F$10000,pb_location_group_id,'[1]1_group_totals'!$G$8:$G$10000,pb_location_id,'[1]1_group_totals'!$H$8:$H$10000,"="&amp;Q36,'[1]1_group_totals'!$I$8:$I$10000,"="&amp;R36)))</f>
        <v/>
      </c>
    </row>
    <row r="37" spans="1:46" ht="27" customHeight="1">
      <c r="A37" s="923"/>
      <c r="B37" s="1011"/>
      <c r="C37" s="950"/>
      <c r="D37" s="950"/>
      <c r="E37" s="950"/>
      <c r="F37" s="1057"/>
      <c r="I37" s="1610" t="str">
        <f t="shared" si="8"/>
        <v/>
      </c>
      <c r="J37" s="1631" t="str">
        <f t="shared" si="25"/>
        <v/>
      </c>
      <c r="K37" s="1628"/>
      <c r="L37" s="1632"/>
      <c r="M37" s="1069"/>
      <c r="N37" s="1044"/>
      <c r="O37" s="1044"/>
      <c r="P37" s="1046"/>
      <c r="Q37" s="1047"/>
      <c r="R37" s="1053"/>
      <c r="S37" s="1634" t="str">
        <f t="shared" ref="S37" si="104">IF(M37="","",pb_currency_symbol)</f>
        <v/>
      </c>
      <c r="T37" s="1068"/>
      <c r="U37" s="1636" t="str">
        <f t="shared" si="10"/>
        <v/>
      </c>
      <c r="V37" s="1634" t="str">
        <f t="shared" ref="V37" si="105">IF(W37=0,"",pb_currency_symbol)</f>
        <v/>
      </c>
      <c r="W37" s="1054"/>
      <c r="X37" s="1634" t="str">
        <f t="shared" ref="X37" si="106">IF(M37="","",pb_currency_symbol)</f>
        <v/>
      </c>
      <c r="Y37" s="1638" t="str">
        <f t="shared" si="24"/>
        <v/>
      </c>
      <c r="Z37" s="1062"/>
      <c r="AA37" s="1639" t="str" cm="1">
        <f t="array" ref="AA37">IF(M37="","",IF(P37=AL37,1,Slookup(MID(AL37,1,3)*1,UomConversion!$D$8:$J$500,5,UomConversion!$E$8:$E$500,MID(P37,1,3)*1,UomConversion!$J$8:$J$500,1)))</f>
        <v/>
      </c>
      <c r="AB37" s="1640" t="str">
        <f t="shared" si="13"/>
        <v/>
      </c>
      <c r="AC37" s="1641" t="str">
        <f t="shared" si="14"/>
        <v/>
      </c>
      <c r="AD37" s="1642" t="str">
        <f t="shared" si="15"/>
        <v/>
      </c>
      <c r="AE37" s="1643" t="str">
        <f t="shared" si="16"/>
        <v/>
      </c>
      <c r="AF37" s="1640" t="str">
        <f>IF(I37="","",IF(ISNA(MATCH(I37,IF(pb_location_id=1,'[1]1_inventory_totals'!$C$8:$C$10000,IF(pb_location_id=2,'[1]2_inventory_totals'!$C$8:$C$10000,"")),0)),0,IF(AS37&gt;0,1,0)))</f>
        <v/>
      </c>
      <c r="AG37" s="1640" t="str">
        <f>IF(M37="","",IF(pb_location_id=1,SUMIFS('[1]1_inventory_total_details'!$J$8:$J$10000,'[1]1_inventory_total_details'!$C$8:$C$10000,I37,'[1]1_inventory_total_details'!$F$8:$F$10000,pb_location_id,'[1]1_inventory_total_details'!$G$8:$G$10000,"="&amp;Q37,'[1]1_inventory_total_details'!$H$8:$H$10000,"="&amp;R37,'[1]1_inventory_total_details'!$I$8:$I$10000,"="&amp;pb_date)+SUMIFS('[1]1_inventory_total_details'!$M$8:$M$10000,'[1]1_inventory_total_details'!$C$8:$C$10000,I37,'[1]1_inventory_total_details'!$F$8:$F$10000,pb_location_id,'[1]1_inventory_total_details'!$G$8:$G$10000,"="&amp;Q37,'[1]1_inventory_total_details'!$H$8:$H$10000,"="&amp;R37,'[1]1_inventory_total_details'!$I$8:$I$10000,"="&amp;pb_date)+SUMIFS('[1]1_inventory_total_details'!$K$8:$K$10000,'[1]1_inventory_total_details'!$C$8:$C$10000,I37,'[1]1_inventory_total_details'!$F$8:$F$10000,pb_location_id,'[1]1_inventory_total_details'!$G$8:$G$10000,"="&amp;Q37,'[1]1_inventory_total_details'!$H$8:$H$10000,"="&amp;R37,'[1]1_inventory_total_details'!$I$8:$I$10000,"="&amp;pb_date)+SUMIFS('[1]1_inventory_total_details'!$L$8:$L$10000,'[1]1_inventory_total_details'!$C$8:$C$10000,I37,'[1]1_inventory_total_details'!$F$8:$F$10000,pb_location_id,'[1]1_inventory_total_details'!$G$8:$G$10000,"="&amp;Q37,'[1]1_inventory_total_details'!$H$8:$H$10000,"="&amp;R37,'[1]1_inventory_total_details'!$I$8:$I$10000,"="&amp;pb_date),SUMIFS('[1]2_inventory_total_details'!$J$8:$J$10000,'[1]2_inventory_total_details'!$C$8:$C$10000,I37,'[1]1_inventory_total_details'!$F$8:$F$10000,pb_location_id,'[1]2_inventory_total_details'!$G$8:$G$10000,"="&amp;Q37,'[1]2_inventory_total_details'!$H$8:$H$10000,"="&amp;R37,'[1]2_inventory_total_details'!$I$8:$I$10000,"="&amp;pb_date)+SUMIFS('[1]2_inventory_total_details'!$M$8:$M$10000,'[1]2_inventory_total_details'!$C$8:$C$10000,I37,'[1]2_inventory_total_details'!$F$8:$F$10000,pb_location_id,'[1]2_inventory_total_details'!$G$8:$G$10000,"="&amp;Q37,'[1]2_inventory_total_details'!$H$8:$H$10000,"="&amp;R37,'[1]2_inventory_total_details'!$I$8:$I$10000,"="&amp;pb_date)+SUMIFS('[1]2_inventory_total_details'!$K$8:$K$10000,'[1]2_inventory_total_details'!$C$8:$C$10000,I37,'[1]2_inventory_total_details'!$F$8:$F$10000,pb_location_id,'[1]2_inventory_total_details'!$G$8:$G$10000,"="&amp;Q37,'[1]2_inventory_total_details'!$H$8:$H$10000,"="&amp;R37,'[1]2_inventory_total_details'!$I$8:$I$10000,"="&amp;pb_date)+SUMIFS('[1]2_inventory_total_details'!$L$8:$L$10000,'[1]2_inventory_total_details'!$C$8:$C$10000,I37,'[1]2_inventory_total_details'!$F$8:$F$10000,pb_location_id,'[1]2_inventory_total_details'!$G$8:$G$10000,"="&amp;Q37,'[1]2_inventory_total_details'!$H$8:$H$10000,"="&amp;R37,'[1]2_inventory_total_details'!$I$8:$I$10000,"="&amp;pb_date)))</f>
        <v/>
      </c>
      <c r="AH37" s="1640" t="str">
        <f>IF(M37="","",IF(ISNA(MATCH(I37,'[1]1_group_totals'!$C$8:$C$10000)),0,IF(AT37&gt;0,1,0)))</f>
        <v/>
      </c>
      <c r="AI37" s="1640" t="str">
        <f>IF(M37="","",(SUMIFS('[1]1_group_total_details'!$I$8:$I$10000,'[1]1_group_total_details'!$C$8:$C$10000,I37,'[1]1_group_total_details'!$F$8:$F$10000,pb_location_group_id,'[1]1_group_total_details'!$G$8:$G$10000,pb_location_id,'[1]1_group_total_details'!$H$8:$H$10000,"="&amp;pb_date)+SUMIFS('[1]1_group_total_details'!$L$8:$L$10000,'[1]1_group_total_details'!$C$8:$C$10000,I37,'[1]1_group_total_details'!$F$8:$F$10000,pb_location_group_id,'[1]1_group_total_details'!$G$8:$G$10000,pb_location_id,'[1]1_group_total_details'!$H$8:$H$10000,"="&amp;pb_date)+SUMIFS('[1]1_group_total_details'!$N$8:$N$10000,'[1]1_group_total_details'!$C$8:$C$10000,I37,'[1]1_group_total_details'!$F$8:$F$10000,pb_location_group_id,'[1]1_group_total_details'!$G$8:$G$10000,pb_location_id,'[1]1_group_total_details'!$H$8:$H$10000,"="&amp;pb_date)+SUMIFS('[1]1_group_total_details'!$O$8:$O$10000,'[1]1_group_total_details'!$C$8:$C$10000,I37,'[1]1_group_total_details'!$F$8:$F$10000,pb_location_group_id,'[1]1_group_total_details'!$G$8:$G$10000,pb_location_id,'[1]1_group_total_details'!$H$8:$H$10000,"="&amp;pb_date))+(SUMIFS('[1]1_group_total_details'!$J$8:$J$10000,'[1]1_group_total_details'!$C$8:$C$10000,I37,'[1]1_group_total_details'!$F$8:$F$10000,pb_location_group_id,'[1]1_group_total_details'!$G$8:$G$10000,pb_location_id,'[1]1_group_total_details'!$H$8:$H$10000,"="&amp;pb_date)+SUMIFS('[1]1_group_total_details'!$K$8:$K$10000,'[1]1_group_total_details'!$C$8:$C$10000,I37,'[1]1_group_total_details'!$F$8:$F$10000,pb_location_group_id,'[1]1_group_total_details'!$G$8:$G$10000,pb_location_id,'[1]1_group_total_details'!$H$8:$H$10000,"="&amp;pb_date)+SUMIFS('[1]1_group_total_details'!$M$8:$M$10000,'[1]1_group_total_details'!$C$8:$C$10000,I37,'[1]1_group_total_details'!$F$8:$F$10000,pb_location_group_id,'[1]1_group_total_details'!$G$8:$G$10000,pb_location_id,'[1]1_group_total_details'!$H$8:$H$10000,"="&amp;pb_date)+SUMIFS('[1]1_group_total_details'!$P$8:$P$10000,'[1]1_group_total_details'!$C$8:$C$10000,I37,'[1]1_group_total_details'!$F$8:$F$10000,pb_location_group_id,'[1]1_group_total_details'!$G$8:$G$10000,pb_location_id,'[1]1_group_total_details'!$H$8:$H$10000,"="&amp;pb_date)))</f>
        <v/>
      </c>
      <c r="AJ37" s="1640" t="str">
        <f>IF(M37="","",IF(AK37=0,0,(SUMIFS('[1]1_group_total_details'!$I$8:$I$10000,'[1]1_group_total_details'!$C$8:$C$10000,I37,'[1]1_group_total_details'!$F$8:$F$10000,pb_location_group_id,'[1]1_group_total_details'!$G$8:$G$10000,pb_location_id,'[1]1_group_total_details'!$H$8:$H$10000,"&lt;="&amp;pb_date)+SUMIFS('[1]1_group_total_details'!$L$8:$L$10000,'[1]1_group_total_details'!$C$8:$C$10000,I37,'[1]1_group_total_details'!$F$8:$F$10000,pb_location_group_id,'[1]1_group_total_details'!$G$8:$G$10000,pb_location_id,'[1]1_group_total_details'!$H$8:$H$10000,"&lt;="&amp;pb_date)+SUMIFS('[1]1_group_total_details'!$N$8:$N$10000,'[1]1_group_total_details'!$C$8:$C$10000,I37,'[1]1_group_total_details'!$F$8:$F$10000,pb_location_group_id,'[1]1_group_total_details'!$G$8:$G$10000,pb_location_id,'[1]1_group_total_details'!$H$8:$H$10000,"&lt;="&amp;pb_date)+SUMIFS('[1]1_group_total_details'!$O$8:$O$10000,'[1]1_group_total_details'!$C$8:$C$10000,I37,'[1]1_group_total_details'!$F$8:$F$10000,pb_location_group_id,'[1]1_group_total_details'!$G$8:$G$10000,pb_location_id,'[1]1_group_total_details'!$H$8:$H$10000,"&lt;="&amp;pb_date))-(SUMIFS('[1]1_group_total_details'!$J$8:$J$10000,'[1]1_group_total_details'!$C$8:$C$10000,I37,'[1]1_group_total_details'!$F$8:$F$10000,pb_location_group_id,'[1]1_group_total_details'!$G$8:$G$10000,pb_location_id,'[1]1_group_total_details'!$H$8:$H$10000,"&lt;="&amp;pb_date)+SUMIFS('[1]1_group_total_details'!$K$8:$K$10000,'[1]1_group_total_details'!$C$8:$C$10000,I37,'[1]1_group_total_details'!$F$8:$F$10000,pb_location_group_id,'[1]1_group_total_details'!$G$8:$G$10000,invoice_location_id,'[1]1_group_total_details'!$H$8:$H$10000,"&lt;="&amp;pb_date)+SUMIFS('[1]1_group_total_details'!$M$8:$M$10000,'[1]1_group_total_details'!$C$8:$C$10000,I37,'[1]1_group_total_details'!$F$8:$F$10000,pb_location_group_id,'[1]1_group_total_details'!$G$8:$G$10000,pb_location_id,'[1]1_group_total_details'!$H$8:$H$10000,"&lt;="&amp;pb_date)+SUMIFS('[1]1_group_total_details'!$P$8:$P$10000,'[1]1_group_total_details'!$C$8:$C$10000,I37,'[1]1_group_total_details'!$F$8:$F$10000,pb_location_group_id,'[1]1_group_total_details'!$G$8:$G$10000,pb_location_id,'[1]1_group_total_details'!$H$8:$H$10000,"&lt;="&amp;pb_date))))</f>
        <v/>
      </c>
      <c r="AK37" s="1640" t="str">
        <f>IF(M37="","",SUMIFS('[1]1_group_totals'!$J$8:$J$10000,'[1]1_group_totals'!$C$8:$C$10000,I37,'[1]1_group_totals'!$F$8:$F$10000,pb_location_group_id,'[1]1_group_totals'!$G$8:$G$10000,pb_location_id,'[1]1_group_totals'!$H$8:$H$10000,"="&amp;Q37,'[1]1_group_totals'!$I$8:$I$10000,"="&amp;R37))</f>
        <v/>
      </c>
      <c r="AL37" s="1644" t="str">
        <f t="shared" si="17"/>
        <v/>
      </c>
      <c r="AM37" s="1644" t="str">
        <f>IF(OR(ISNA(MATCH(MID(AL37,1,3)*1,UomConversion!$D$8:$D$500,0)),M37=""),"",IF(AQ37="","",AQ37))</f>
        <v/>
      </c>
      <c r="AN37" s="1644" t="str">
        <f>IF(AND(AO37&gt;0,COUNTIFS(UomConversion!$D$8:$D$500,MID(AL37,1,3)*1,UomConversion!$J$8:$J$500,1)&gt;1),TEXT(AO37,"000")&amp;"."&amp;VLOOKUP(AO37,uom_list,5,FALSE),"")</f>
        <v/>
      </c>
      <c r="AO37" s="1640" t="str">
        <f t="shared" si="18"/>
        <v/>
      </c>
      <c r="AP37" s="1645" t="str">
        <f t="shared" si="19"/>
        <v/>
      </c>
      <c r="AQ37" s="491" t="str">
        <f t="shared" si="20"/>
        <v/>
      </c>
      <c r="AR37" s="1281" t="str" cm="1">
        <f t="array" ref="AR37">IF(M37="","",IF(ISNA(Slookup(MID(AL37,1,3)*1,UomConversion!$D$8:$J$500,2,UomConversion!$I$8:$I$500,1,UomConversion!$J$8:$J$500,1)),"",Slookup(MID(AL37,1,3)*1,UomConversion!$D$8:$J$500,2,UomConversion!$I$8:$I$500,1,UomConversion!$J$8:$J$500,1)))</f>
        <v/>
      </c>
      <c r="AS37" s="663" t="str">
        <f>IF(M37="","",(SUMIFS('[1]1_inventory_totals'!$I$8:$I$10000,'[1]1_inventory_totals'!$C$8:$C$10000,I37,'[1]1_inventory_totals'!$F$8:$F$10000,"="&amp;Q37,'[1]1_inventory_totals'!$G$8:$G$10000,"="&amp;R37)+SUMIFS('[1]1_inventory_totals'!$N$8:$N$10000,'[1]1_inventory_totals'!$C$8:$C$10000,I37,'[1]1_inventory_totals'!$F$8:$F$10000,"="&amp;Q37,'[1]1_inventory_totals'!$G$8:$G$10000,"="&amp;R37)+SUMIFS('[1]1_inventory_totals'!$P$8:$P$10000,'[1]1_inventory_totals'!$C$8:$C$10000,I37,'[1]1_inventory_totals'!$F$8:$F$10000,"="&amp;Q37,'[1]1_inventory_totals'!$G$8:$G$10000,"="&amp;R37)+SUMIFS('[1]1_inventory_totals'!$Q$8:$Q$10000,'[1]1_inventory_totals'!$C$8:$C$10000,I37,'[1]1_inventory_totals'!$F$8:$F$10000,"="&amp;Q37,'[1]1_inventory_totals'!$G$8:$G$10000,"="&amp;R37)+SUMIFS('[1]1_inventory_totals'!$R$8:$R$10000,'[1]1_inventory_totals'!$C$8:$C$10000,I37,'[1]1_inventory_totals'!$F$8:$F$10000,"="&amp;Q37,'[1]1_inventory_totals'!$G$8:$G$10000,"="&amp;R37))+(SUMIFS('[1]1_inventory_totals'!$J$8:$J$10000,'[1]1_inventory_totals'!$C$8:$C$10000,I37,'[1]1_inventory_totals'!$F$8:$F$10000,"="&amp;Q37,'[1]1_inventory_totals'!$G$8:$G$10000,"="&amp;R37)+SUMIFS('[1]1_inventory_totals'!$K$8:$K$10000,'[1]1_inventory_totals'!$C$8:$C$10000,I37,'[1]1_inventory_totals'!$F$8:$F$10000,"="&amp;Q37,'[1]1_inventory_totals'!$G$8:$G$10000,"="&amp;R37)+SUMIFS('[1]1_inventory_totals'!$L$8:$L$10000,'[1]1_inventory_totals'!$C$8:$C$10000,I37,'[1]1_inventory_totals'!$F$8:$F$10000,"="&amp;Q37,'[1]1_inventory_totals'!$G$8:$G$10000,"="&amp;R37)+SUMIFS('[1]1_inventory_totals'!$M$8:$M$10000,'[1]1_inventory_totals'!$C$8:$C$10000,I37,'[1]1_inventory_totals'!$F$8:$F$10000,"="&amp;Q37,'[1]1_inventory_totals'!$G$8:$G$10000,"="&amp;R37)+SUMIFS('[1]1_inventory_totals'!$O$8:$O$10000,'[1]1_inventory_totals'!$C$8:$C$10000,I37,'[1]1_inventory_totals'!$F$8:$F$10000,"="&amp;Q37,'[1]1_inventory_totals'!$G$8:$G$10000,"="&amp;R37)+SUMIFS('[1]1_inventory_totals'!$S$8:$S$10000,'[1]1_inventory_totals'!$C$8:$C$10000,I37,'[1]1_inventory_totals'!$F$8:$F$10000,"="&amp;Q37,'[1]1_inventory_totals'!$G$8:$G$10000,"="&amp;R37)))</f>
        <v/>
      </c>
      <c r="AT37" s="1281" t="str">
        <f>IF(M37="","",(SUMIFS('[1]1_group_totals'!$K$8:$K$10000,'[1]1_group_totals'!$C$8:$C$10000,I37,'[1]1_group_totals'!$F$8:$F$10000,pb_location_group_id,'[1]1_group_totals'!$G$8:$G$10000,pb_location_id,'[1]1_group_totals'!$H$8:$H$10000,"="&amp;Q37,'[1]1_group_totals'!$I$8:$I$10000,"="&amp;R37)+SUMIFS('[1]1_group_totals'!$N$8:$N$10000,'[1]1_group_totals'!$C$8:$C$10000,I37,'[1]1_group_totals'!$F$8:$F$10000,pb_location_group_id,'[1]1_group_totals'!$G$8:$G$10000,pb_location_id,'[1]1_group_totals'!$H$8:$H$10000,"="&amp;Q37,'[1]1_group_totals'!$I$8:$I$10000,"="&amp;R37)+SUMIFS('[1]1_group_totals'!$P$8:$P$10000,'[1]1_group_totals'!$C$8:$C$10000,I37,'[1]1_group_totals'!$F$8:$F$10000,pb_location_group_id,'[1]1_group_totals'!$G$8:$G$10000,pb_location_id,'[1]1_group_totals'!$H$8:$H$10000,"="&amp;Q37,'[1]1_group_totals'!$I$8:$I$10000,"="&amp;R37)+SUMIFS('[1]1_group_totals'!$Q$8:$Q$10000,'[1]1_group_totals'!$C$8:$C$10000,I37,'[1]1_group_totals'!$F$8:$F$10000,pb_location_group_id,'[1]1_group_totals'!$G$8:$G$10000,pb_location_id,'[1]1_group_totals'!$H$8:$H$10000,"="&amp;Q37,'[1]1_group_totals'!$I$8:$I$10000,"="&amp;R37))+(SUMIFS('[1]1_group_totals'!$L$8:$L$10000,'[1]1_group_totals'!$C$8:$C$10000,I37,'[1]1_group_totals'!$F$8:$F$10000,pb_location_group_id,'[1]1_group_totals'!$G$8:$G$10000,pb_location_id,'[1]1_group_totals'!$H$8:$H$10000,"="&amp;Q37,'[1]1_group_totals'!$I$8:$I$10000,"="&amp;R37)+SUMIFS('[1]1_group_totals'!$M$8:$M$10000,'[1]1_group_totals'!$C$8:$C$10000,I37,'[1]1_group_totals'!$F$8:$F$10000,pb_location_group_id,'[1]1_group_totals'!$G$8:$G$10000,pb_location_id,'[1]1_group_totals'!$H$8:$H$10000,"="&amp;Q37,'[1]1_group_totals'!$I$8:$I$10000,"="&amp;R37)+SUMIFS('[1]1_group_totals'!$O$8:$O$10000,'[1]1_group_totals'!$C$8:$C$10000,I37,'[1]1_group_totals'!$F$8:$F$10000,pb_location_group_id,'[1]1_group_totals'!$G$8:$G$10000,pb_location_id,'[1]1_group_totals'!$H$8:$H$10000,"="&amp;Q37,'[1]1_group_totals'!$I$8:$I$10000,"="&amp;R37)+SUMIFS('[1]1_group_totals'!$R$8:$R$10000,'[1]1_group_totals'!$C$8:$C$10000,I37,'[1]1_group_totals'!$F$8:$F$10000,pb_location_group_id,'[1]1_group_totals'!$G$8:$G$10000,pb_location_id,'[1]1_group_totals'!$H$8:$H$10000,"="&amp;Q37,'[1]1_group_totals'!$I$8:$I$10000,"="&amp;R37)))</f>
        <v/>
      </c>
    </row>
    <row r="38" spans="1:46" ht="27" hidden="1" customHeight="1">
      <c r="A38" s="923"/>
      <c r="B38" s="1011"/>
      <c r="C38" s="950"/>
      <c r="D38" s="950"/>
      <c r="E38" s="950"/>
      <c r="F38" s="1057"/>
      <c r="I38" s="1610" t="str">
        <f t="shared" si="8"/>
        <v/>
      </c>
      <c r="J38" s="1631" t="str">
        <f t="shared" si="25"/>
        <v/>
      </c>
      <c r="K38" s="1628"/>
      <c r="L38" s="1632"/>
      <c r="M38" s="1069"/>
      <c r="N38" s="1044"/>
      <c r="O38" s="1044"/>
      <c r="P38" s="1046"/>
      <c r="Q38" s="1047"/>
      <c r="R38" s="1053"/>
      <c r="S38" s="1634" t="str">
        <f t="shared" ref="S38" si="107">IF(M38="","",pb_currency_symbol)</f>
        <v/>
      </c>
      <c r="T38" s="1068"/>
      <c r="U38" s="1636" t="str">
        <f t="shared" si="10"/>
        <v/>
      </c>
      <c r="V38" s="1634" t="str">
        <f t="shared" ref="V38" si="108">IF(W38=0,"",pb_currency_symbol)</f>
        <v/>
      </c>
      <c r="W38" s="1054"/>
      <c r="X38" s="1634" t="str">
        <f t="shared" ref="X38" si="109">IF(M38="","",pb_currency_symbol)</f>
        <v/>
      </c>
      <c r="Y38" s="1638" t="str">
        <f t="shared" si="24"/>
        <v/>
      </c>
      <c r="Z38" s="1062"/>
      <c r="AA38" s="1639" t="str" cm="1">
        <f t="array" ref="AA38">IF(M38="","",IF(P38=AL38,1,Slookup(MID(AL38,1,3)*1,UomConversion!$D$8:$J$500,5,UomConversion!$E$8:$E$500,MID(P38,1,3)*1,UomConversion!$J$8:$J$500,1)))</f>
        <v/>
      </c>
      <c r="AB38" s="1640" t="str">
        <f t="shared" si="13"/>
        <v/>
      </c>
      <c r="AC38" s="1641" t="str">
        <f t="shared" si="14"/>
        <v/>
      </c>
      <c r="AD38" s="1642" t="str">
        <f t="shared" si="15"/>
        <v/>
      </c>
      <c r="AE38" s="1643" t="str">
        <f t="shared" si="16"/>
        <v/>
      </c>
      <c r="AF38" s="1640" t="str">
        <f>IF(I38="","",IF(ISNA(MATCH(I38,IF(pb_location_id=1,'[1]1_inventory_totals'!$C$8:$C$10000,IF(pb_location_id=2,'[1]2_inventory_totals'!$C$8:$C$10000,"")),0)),0,IF(AS38&gt;0,1,0)))</f>
        <v/>
      </c>
      <c r="AG38" s="1640" t="str">
        <f>IF(M38="","",IF(pb_location_id=1,SUMIFS('[1]1_inventory_total_details'!$J$8:$J$10000,'[1]1_inventory_total_details'!$C$8:$C$10000,I38,'[1]1_inventory_total_details'!$F$8:$F$10000,pb_location_id,'[1]1_inventory_total_details'!$G$8:$G$10000,"="&amp;Q38,'[1]1_inventory_total_details'!$H$8:$H$10000,"="&amp;R38,'[1]1_inventory_total_details'!$I$8:$I$10000,"="&amp;pb_date)+SUMIFS('[1]1_inventory_total_details'!$M$8:$M$10000,'[1]1_inventory_total_details'!$C$8:$C$10000,I38,'[1]1_inventory_total_details'!$F$8:$F$10000,pb_location_id,'[1]1_inventory_total_details'!$G$8:$G$10000,"="&amp;Q38,'[1]1_inventory_total_details'!$H$8:$H$10000,"="&amp;R38,'[1]1_inventory_total_details'!$I$8:$I$10000,"="&amp;pb_date)+SUMIFS('[1]1_inventory_total_details'!$K$8:$K$10000,'[1]1_inventory_total_details'!$C$8:$C$10000,I38,'[1]1_inventory_total_details'!$F$8:$F$10000,pb_location_id,'[1]1_inventory_total_details'!$G$8:$G$10000,"="&amp;Q38,'[1]1_inventory_total_details'!$H$8:$H$10000,"="&amp;R38,'[1]1_inventory_total_details'!$I$8:$I$10000,"="&amp;pb_date)+SUMIFS('[1]1_inventory_total_details'!$L$8:$L$10000,'[1]1_inventory_total_details'!$C$8:$C$10000,I38,'[1]1_inventory_total_details'!$F$8:$F$10000,pb_location_id,'[1]1_inventory_total_details'!$G$8:$G$10000,"="&amp;Q38,'[1]1_inventory_total_details'!$H$8:$H$10000,"="&amp;R38,'[1]1_inventory_total_details'!$I$8:$I$10000,"="&amp;pb_date),SUMIFS('[1]2_inventory_total_details'!$J$8:$J$10000,'[1]2_inventory_total_details'!$C$8:$C$10000,I38,'[1]1_inventory_total_details'!$F$8:$F$10000,pb_location_id,'[1]2_inventory_total_details'!$G$8:$G$10000,"="&amp;Q38,'[1]2_inventory_total_details'!$H$8:$H$10000,"="&amp;R38,'[1]2_inventory_total_details'!$I$8:$I$10000,"="&amp;pb_date)+SUMIFS('[1]2_inventory_total_details'!$M$8:$M$10000,'[1]2_inventory_total_details'!$C$8:$C$10000,I38,'[1]2_inventory_total_details'!$F$8:$F$10000,pb_location_id,'[1]2_inventory_total_details'!$G$8:$G$10000,"="&amp;Q38,'[1]2_inventory_total_details'!$H$8:$H$10000,"="&amp;R38,'[1]2_inventory_total_details'!$I$8:$I$10000,"="&amp;pb_date)+SUMIFS('[1]2_inventory_total_details'!$K$8:$K$10000,'[1]2_inventory_total_details'!$C$8:$C$10000,I38,'[1]2_inventory_total_details'!$F$8:$F$10000,pb_location_id,'[1]2_inventory_total_details'!$G$8:$G$10000,"="&amp;Q38,'[1]2_inventory_total_details'!$H$8:$H$10000,"="&amp;R38,'[1]2_inventory_total_details'!$I$8:$I$10000,"="&amp;pb_date)+SUMIFS('[1]2_inventory_total_details'!$L$8:$L$10000,'[1]2_inventory_total_details'!$C$8:$C$10000,I38,'[1]2_inventory_total_details'!$F$8:$F$10000,pb_location_id,'[1]2_inventory_total_details'!$G$8:$G$10000,"="&amp;Q38,'[1]2_inventory_total_details'!$H$8:$H$10000,"="&amp;R38,'[1]2_inventory_total_details'!$I$8:$I$10000,"="&amp;pb_date)))</f>
        <v/>
      </c>
      <c r="AH38" s="1640" t="str">
        <f>IF(M38="","",IF(ISNA(MATCH(I38,'[1]1_group_totals'!$C$8:$C$10000)),0,IF(AT38&gt;0,1,0)))</f>
        <v/>
      </c>
      <c r="AI38" s="1640" t="str">
        <f>IF(M38="","",(SUMIFS('[1]1_group_total_details'!$I$8:$I$10000,'[1]1_group_total_details'!$C$8:$C$10000,I38,'[1]1_group_total_details'!$F$8:$F$10000,pb_location_group_id,'[1]1_group_total_details'!$G$8:$G$10000,pb_location_id,'[1]1_group_total_details'!$H$8:$H$10000,"="&amp;pb_date)+SUMIFS('[1]1_group_total_details'!$L$8:$L$10000,'[1]1_group_total_details'!$C$8:$C$10000,I38,'[1]1_group_total_details'!$F$8:$F$10000,pb_location_group_id,'[1]1_group_total_details'!$G$8:$G$10000,pb_location_id,'[1]1_group_total_details'!$H$8:$H$10000,"="&amp;pb_date)+SUMIFS('[1]1_group_total_details'!$N$8:$N$10000,'[1]1_group_total_details'!$C$8:$C$10000,I38,'[1]1_group_total_details'!$F$8:$F$10000,pb_location_group_id,'[1]1_group_total_details'!$G$8:$G$10000,pb_location_id,'[1]1_group_total_details'!$H$8:$H$10000,"="&amp;pb_date)+SUMIFS('[1]1_group_total_details'!$O$8:$O$10000,'[1]1_group_total_details'!$C$8:$C$10000,I38,'[1]1_group_total_details'!$F$8:$F$10000,pb_location_group_id,'[1]1_group_total_details'!$G$8:$G$10000,pb_location_id,'[1]1_group_total_details'!$H$8:$H$10000,"="&amp;pb_date))+(SUMIFS('[1]1_group_total_details'!$J$8:$J$10000,'[1]1_group_total_details'!$C$8:$C$10000,I38,'[1]1_group_total_details'!$F$8:$F$10000,pb_location_group_id,'[1]1_group_total_details'!$G$8:$G$10000,pb_location_id,'[1]1_group_total_details'!$H$8:$H$10000,"="&amp;pb_date)+SUMIFS('[1]1_group_total_details'!$K$8:$K$10000,'[1]1_group_total_details'!$C$8:$C$10000,I38,'[1]1_group_total_details'!$F$8:$F$10000,pb_location_group_id,'[1]1_group_total_details'!$G$8:$G$10000,pb_location_id,'[1]1_group_total_details'!$H$8:$H$10000,"="&amp;pb_date)+SUMIFS('[1]1_group_total_details'!$M$8:$M$10000,'[1]1_group_total_details'!$C$8:$C$10000,I38,'[1]1_group_total_details'!$F$8:$F$10000,pb_location_group_id,'[1]1_group_total_details'!$G$8:$G$10000,pb_location_id,'[1]1_group_total_details'!$H$8:$H$10000,"="&amp;pb_date)+SUMIFS('[1]1_group_total_details'!$P$8:$P$10000,'[1]1_group_total_details'!$C$8:$C$10000,I38,'[1]1_group_total_details'!$F$8:$F$10000,pb_location_group_id,'[1]1_group_total_details'!$G$8:$G$10000,pb_location_id,'[1]1_group_total_details'!$H$8:$H$10000,"="&amp;pb_date)))</f>
        <v/>
      </c>
      <c r="AJ38" s="1640" t="str">
        <f>IF(M38="","",IF(AK38=0,0,(SUMIFS('[1]1_group_total_details'!$I$8:$I$10000,'[1]1_group_total_details'!$C$8:$C$10000,I38,'[1]1_group_total_details'!$F$8:$F$10000,pb_location_group_id,'[1]1_group_total_details'!$G$8:$G$10000,pb_location_id,'[1]1_group_total_details'!$H$8:$H$10000,"&lt;="&amp;pb_date)+SUMIFS('[1]1_group_total_details'!$L$8:$L$10000,'[1]1_group_total_details'!$C$8:$C$10000,I38,'[1]1_group_total_details'!$F$8:$F$10000,pb_location_group_id,'[1]1_group_total_details'!$G$8:$G$10000,pb_location_id,'[1]1_group_total_details'!$H$8:$H$10000,"&lt;="&amp;pb_date)+SUMIFS('[1]1_group_total_details'!$N$8:$N$10000,'[1]1_group_total_details'!$C$8:$C$10000,I38,'[1]1_group_total_details'!$F$8:$F$10000,pb_location_group_id,'[1]1_group_total_details'!$G$8:$G$10000,pb_location_id,'[1]1_group_total_details'!$H$8:$H$10000,"&lt;="&amp;pb_date)+SUMIFS('[1]1_group_total_details'!$O$8:$O$10000,'[1]1_group_total_details'!$C$8:$C$10000,I38,'[1]1_group_total_details'!$F$8:$F$10000,pb_location_group_id,'[1]1_group_total_details'!$G$8:$G$10000,pb_location_id,'[1]1_group_total_details'!$H$8:$H$10000,"&lt;="&amp;pb_date))-(SUMIFS('[1]1_group_total_details'!$J$8:$J$10000,'[1]1_group_total_details'!$C$8:$C$10000,I38,'[1]1_group_total_details'!$F$8:$F$10000,pb_location_group_id,'[1]1_group_total_details'!$G$8:$G$10000,pb_location_id,'[1]1_group_total_details'!$H$8:$H$10000,"&lt;="&amp;pb_date)+SUMIFS('[1]1_group_total_details'!$K$8:$K$10000,'[1]1_group_total_details'!$C$8:$C$10000,I38,'[1]1_group_total_details'!$F$8:$F$10000,pb_location_group_id,'[1]1_group_total_details'!$G$8:$G$10000,invoice_location_id,'[1]1_group_total_details'!$H$8:$H$10000,"&lt;="&amp;pb_date)+SUMIFS('[1]1_group_total_details'!$M$8:$M$10000,'[1]1_group_total_details'!$C$8:$C$10000,I38,'[1]1_group_total_details'!$F$8:$F$10000,pb_location_group_id,'[1]1_group_total_details'!$G$8:$G$10000,pb_location_id,'[1]1_group_total_details'!$H$8:$H$10000,"&lt;="&amp;pb_date)+SUMIFS('[1]1_group_total_details'!$P$8:$P$10000,'[1]1_group_total_details'!$C$8:$C$10000,I38,'[1]1_group_total_details'!$F$8:$F$10000,pb_location_group_id,'[1]1_group_total_details'!$G$8:$G$10000,pb_location_id,'[1]1_group_total_details'!$H$8:$H$10000,"&lt;="&amp;pb_date))))</f>
        <v/>
      </c>
      <c r="AK38" s="1640" t="str">
        <f>IF(M38="","",SUMIFS('[1]1_group_totals'!$J$8:$J$10000,'[1]1_group_totals'!$C$8:$C$10000,I38,'[1]1_group_totals'!$F$8:$F$10000,pb_location_group_id,'[1]1_group_totals'!$G$8:$G$10000,pb_location_id,'[1]1_group_totals'!$H$8:$H$10000,"="&amp;Q38,'[1]1_group_totals'!$I$8:$I$10000,"="&amp;R38))</f>
        <v/>
      </c>
      <c r="AL38" s="1644" t="str">
        <f t="shared" si="17"/>
        <v/>
      </c>
      <c r="AM38" s="1644" t="str">
        <f>IF(OR(ISNA(MATCH(MID(AL38,1,3)*1,UomConversion!$D$8:$D$500,0)),M38=""),"",IF(AQ38="","",AQ38))</f>
        <v/>
      </c>
      <c r="AN38" s="1644" t="str">
        <f>IF(AND(AO38&gt;0,COUNTIFS(UomConversion!$D$8:$D$500,MID(AL38,1,3)*1,UomConversion!$J$8:$J$500,1)&gt;1),TEXT(AO38,"000")&amp;"."&amp;VLOOKUP(AO38,uom_list,5,FALSE),"")</f>
        <v/>
      </c>
      <c r="AO38" s="1640" t="str">
        <f t="shared" si="18"/>
        <v/>
      </c>
      <c r="AP38" s="1645" t="str">
        <f t="shared" si="19"/>
        <v/>
      </c>
      <c r="AQ38" s="491" t="str">
        <f t="shared" si="20"/>
        <v/>
      </c>
      <c r="AR38" s="1281" t="str" cm="1">
        <f t="array" ref="AR38">IF(M38="","",IF(ISNA(Slookup(MID(AL38,1,3)*1,UomConversion!$D$8:$J$500,2,UomConversion!$I$8:$I$500,1,UomConversion!$J$8:$J$500,1)),"",Slookup(MID(AL38,1,3)*1,UomConversion!$D$8:$J$500,2,UomConversion!$I$8:$I$500,1,UomConversion!$J$8:$J$500,1)))</f>
        <v/>
      </c>
      <c r="AS38" s="663" t="str">
        <f>IF(M38="","",(SUMIFS('[1]1_inventory_totals'!$I$8:$I$10000,'[1]1_inventory_totals'!$C$8:$C$10000,I38,'[1]1_inventory_totals'!$F$8:$F$10000,"="&amp;Q38,'[1]1_inventory_totals'!$G$8:$G$10000,"="&amp;R38)+SUMIFS('[1]1_inventory_totals'!$N$8:$N$10000,'[1]1_inventory_totals'!$C$8:$C$10000,I38,'[1]1_inventory_totals'!$F$8:$F$10000,"="&amp;Q38,'[1]1_inventory_totals'!$G$8:$G$10000,"="&amp;R38)+SUMIFS('[1]1_inventory_totals'!$P$8:$P$10000,'[1]1_inventory_totals'!$C$8:$C$10000,I38,'[1]1_inventory_totals'!$F$8:$F$10000,"="&amp;Q38,'[1]1_inventory_totals'!$G$8:$G$10000,"="&amp;R38)+SUMIFS('[1]1_inventory_totals'!$Q$8:$Q$10000,'[1]1_inventory_totals'!$C$8:$C$10000,I38,'[1]1_inventory_totals'!$F$8:$F$10000,"="&amp;Q38,'[1]1_inventory_totals'!$G$8:$G$10000,"="&amp;R38)+SUMIFS('[1]1_inventory_totals'!$R$8:$R$10000,'[1]1_inventory_totals'!$C$8:$C$10000,I38,'[1]1_inventory_totals'!$F$8:$F$10000,"="&amp;Q38,'[1]1_inventory_totals'!$G$8:$G$10000,"="&amp;R38))+(SUMIFS('[1]1_inventory_totals'!$J$8:$J$10000,'[1]1_inventory_totals'!$C$8:$C$10000,I38,'[1]1_inventory_totals'!$F$8:$F$10000,"="&amp;Q38,'[1]1_inventory_totals'!$G$8:$G$10000,"="&amp;R38)+SUMIFS('[1]1_inventory_totals'!$K$8:$K$10000,'[1]1_inventory_totals'!$C$8:$C$10000,I38,'[1]1_inventory_totals'!$F$8:$F$10000,"="&amp;Q38,'[1]1_inventory_totals'!$G$8:$G$10000,"="&amp;R38)+SUMIFS('[1]1_inventory_totals'!$L$8:$L$10000,'[1]1_inventory_totals'!$C$8:$C$10000,I38,'[1]1_inventory_totals'!$F$8:$F$10000,"="&amp;Q38,'[1]1_inventory_totals'!$G$8:$G$10000,"="&amp;R38)+SUMIFS('[1]1_inventory_totals'!$M$8:$M$10000,'[1]1_inventory_totals'!$C$8:$C$10000,I38,'[1]1_inventory_totals'!$F$8:$F$10000,"="&amp;Q38,'[1]1_inventory_totals'!$G$8:$G$10000,"="&amp;R38)+SUMIFS('[1]1_inventory_totals'!$O$8:$O$10000,'[1]1_inventory_totals'!$C$8:$C$10000,I38,'[1]1_inventory_totals'!$F$8:$F$10000,"="&amp;Q38,'[1]1_inventory_totals'!$G$8:$G$10000,"="&amp;R38)+SUMIFS('[1]1_inventory_totals'!$S$8:$S$10000,'[1]1_inventory_totals'!$C$8:$C$10000,I38,'[1]1_inventory_totals'!$F$8:$F$10000,"="&amp;Q38,'[1]1_inventory_totals'!$G$8:$G$10000,"="&amp;R38)))</f>
        <v/>
      </c>
      <c r="AT38" s="1281" t="str">
        <f>IF(M38="","",(SUMIFS('[1]1_group_totals'!$K$8:$K$10000,'[1]1_group_totals'!$C$8:$C$10000,I38,'[1]1_group_totals'!$F$8:$F$10000,pb_location_group_id,'[1]1_group_totals'!$G$8:$G$10000,pb_location_id,'[1]1_group_totals'!$H$8:$H$10000,"="&amp;Q38,'[1]1_group_totals'!$I$8:$I$10000,"="&amp;R38)+SUMIFS('[1]1_group_totals'!$N$8:$N$10000,'[1]1_group_totals'!$C$8:$C$10000,I38,'[1]1_group_totals'!$F$8:$F$10000,pb_location_group_id,'[1]1_group_totals'!$G$8:$G$10000,pb_location_id,'[1]1_group_totals'!$H$8:$H$10000,"="&amp;Q38,'[1]1_group_totals'!$I$8:$I$10000,"="&amp;R38)+SUMIFS('[1]1_group_totals'!$P$8:$P$10000,'[1]1_group_totals'!$C$8:$C$10000,I38,'[1]1_group_totals'!$F$8:$F$10000,pb_location_group_id,'[1]1_group_totals'!$G$8:$G$10000,pb_location_id,'[1]1_group_totals'!$H$8:$H$10000,"="&amp;Q38,'[1]1_group_totals'!$I$8:$I$10000,"="&amp;R38)+SUMIFS('[1]1_group_totals'!$Q$8:$Q$10000,'[1]1_group_totals'!$C$8:$C$10000,I38,'[1]1_group_totals'!$F$8:$F$10000,pb_location_group_id,'[1]1_group_totals'!$G$8:$G$10000,pb_location_id,'[1]1_group_totals'!$H$8:$H$10000,"="&amp;Q38,'[1]1_group_totals'!$I$8:$I$10000,"="&amp;R38))+(SUMIFS('[1]1_group_totals'!$L$8:$L$10000,'[1]1_group_totals'!$C$8:$C$10000,I38,'[1]1_group_totals'!$F$8:$F$10000,pb_location_group_id,'[1]1_group_totals'!$G$8:$G$10000,pb_location_id,'[1]1_group_totals'!$H$8:$H$10000,"="&amp;Q38,'[1]1_group_totals'!$I$8:$I$10000,"="&amp;R38)+SUMIFS('[1]1_group_totals'!$M$8:$M$10000,'[1]1_group_totals'!$C$8:$C$10000,I38,'[1]1_group_totals'!$F$8:$F$10000,pb_location_group_id,'[1]1_group_totals'!$G$8:$G$10000,pb_location_id,'[1]1_group_totals'!$H$8:$H$10000,"="&amp;Q38,'[1]1_group_totals'!$I$8:$I$10000,"="&amp;R38)+SUMIFS('[1]1_group_totals'!$O$8:$O$10000,'[1]1_group_totals'!$C$8:$C$10000,I38,'[1]1_group_totals'!$F$8:$F$10000,pb_location_group_id,'[1]1_group_totals'!$G$8:$G$10000,pb_location_id,'[1]1_group_totals'!$H$8:$H$10000,"="&amp;Q38,'[1]1_group_totals'!$I$8:$I$10000,"="&amp;R38)+SUMIFS('[1]1_group_totals'!$R$8:$R$10000,'[1]1_group_totals'!$C$8:$C$10000,I38,'[1]1_group_totals'!$F$8:$F$10000,pb_location_group_id,'[1]1_group_totals'!$G$8:$G$10000,pb_location_id,'[1]1_group_totals'!$H$8:$H$10000,"="&amp;Q38,'[1]1_group_totals'!$I$8:$I$10000,"="&amp;R38)))</f>
        <v/>
      </c>
    </row>
    <row r="39" spans="1:46" ht="27" hidden="1" customHeight="1">
      <c r="A39" s="923"/>
      <c r="B39" s="1011"/>
      <c r="C39" s="950"/>
      <c r="D39" s="950"/>
      <c r="E39" s="950"/>
      <c r="F39" s="1057"/>
      <c r="I39" s="1610" t="str">
        <f t="shared" si="8"/>
        <v/>
      </c>
      <c r="J39" s="1631" t="str">
        <f t="shared" si="25"/>
        <v/>
      </c>
      <c r="K39" s="1628"/>
      <c r="L39" s="1632"/>
      <c r="M39" s="1069"/>
      <c r="N39" s="1044"/>
      <c r="O39" s="1044"/>
      <c r="P39" s="1046"/>
      <c r="Q39" s="1047"/>
      <c r="R39" s="1053"/>
      <c r="S39" s="1634" t="str">
        <f t="shared" ref="S39" si="110">IF(M39="","",pb_currency_symbol)</f>
        <v/>
      </c>
      <c r="T39" s="1068"/>
      <c r="U39" s="1636" t="str">
        <f t="shared" si="10"/>
        <v/>
      </c>
      <c r="V39" s="1634" t="str">
        <f t="shared" ref="V39" si="111">IF(W39=0,"",pb_currency_symbol)</f>
        <v/>
      </c>
      <c r="W39" s="1054"/>
      <c r="X39" s="1634" t="str">
        <f t="shared" ref="X39" si="112">IF(M39="","",pb_currency_symbol)</f>
        <v/>
      </c>
      <c r="Y39" s="1638" t="str">
        <f t="shared" si="24"/>
        <v/>
      </c>
      <c r="Z39" s="1062"/>
      <c r="AA39" s="1639" t="str" cm="1">
        <f t="array" ref="AA39">IF(M39="","",IF(P39=AL39,1,Slookup(MID(AL39,1,3)*1,UomConversion!$D$8:$J$500,5,UomConversion!$E$8:$E$500,MID(P39,1,3)*1,UomConversion!$J$8:$J$500,1)))</f>
        <v/>
      </c>
      <c r="AB39" s="1640" t="str">
        <f t="shared" si="13"/>
        <v/>
      </c>
      <c r="AC39" s="1641" t="str">
        <f t="shared" si="14"/>
        <v/>
      </c>
      <c r="AD39" s="1642" t="str">
        <f t="shared" si="15"/>
        <v/>
      </c>
      <c r="AE39" s="1643" t="str">
        <f t="shared" si="16"/>
        <v/>
      </c>
      <c r="AF39" s="1640" t="str">
        <f>IF(I39="","",IF(ISNA(MATCH(I39,IF(pb_location_id=1,'[1]1_inventory_totals'!$C$8:$C$10000,IF(pb_location_id=2,'[1]2_inventory_totals'!$C$8:$C$10000,"")),0)),0,IF(AS39&gt;0,1,0)))</f>
        <v/>
      </c>
      <c r="AG39" s="1640" t="str">
        <f>IF(M39="","",IF(pb_location_id=1,SUMIFS('[1]1_inventory_total_details'!$J$8:$J$10000,'[1]1_inventory_total_details'!$C$8:$C$10000,I39,'[1]1_inventory_total_details'!$F$8:$F$10000,pb_location_id,'[1]1_inventory_total_details'!$G$8:$G$10000,"="&amp;Q39,'[1]1_inventory_total_details'!$H$8:$H$10000,"="&amp;R39,'[1]1_inventory_total_details'!$I$8:$I$10000,"="&amp;pb_date)+SUMIFS('[1]1_inventory_total_details'!$M$8:$M$10000,'[1]1_inventory_total_details'!$C$8:$C$10000,I39,'[1]1_inventory_total_details'!$F$8:$F$10000,pb_location_id,'[1]1_inventory_total_details'!$G$8:$G$10000,"="&amp;Q39,'[1]1_inventory_total_details'!$H$8:$H$10000,"="&amp;R39,'[1]1_inventory_total_details'!$I$8:$I$10000,"="&amp;pb_date)+SUMIFS('[1]1_inventory_total_details'!$K$8:$K$10000,'[1]1_inventory_total_details'!$C$8:$C$10000,I39,'[1]1_inventory_total_details'!$F$8:$F$10000,pb_location_id,'[1]1_inventory_total_details'!$G$8:$G$10000,"="&amp;Q39,'[1]1_inventory_total_details'!$H$8:$H$10000,"="&amp;R39,'[1]1_inventory_total_details'!$I$8:$I$10000,"="&amp;pb_date)+SUMIFS('[1]1_inventory_total_details'!$L$8:$L$10000,'[1]1_inventory_total_details'!$C$8:$C$10000,I39,'[1]1_inventory_total_details'!$F$8:$F$10000,pb_location_id,'[1]1_inventory_total_details'!$G$8:$G$10000,"="&amp;Q39,'[1]1_inventory_total_details'!$H$8:$H$10000,"="&amp;R39,'[1]1_inventory_total_details'!$I$8:$I$10000,"="&amp;pb_date),SUMIFS('[1]2_inventory_total_details'!$J$8:$J$10000,'[1]2_inventory_total_details'!$C$8:$C$10000,I39,'[1]1_inventory_total_details'!$F$8:$F$10000,pb_location_id,'[1]2_inventory_total_details'!$G$8:$G$10000,"="&amp;Q39,'[1]2_inventory_total_details'!$H$8:$H$10000,"="&amp;R39,'[1]2_inventory_total_details'!$I$8:$I$10000,"="&amp;pb_date)+SUMIFS('[1]2_inventory_total_details'!$M$8:$M$10000,'[1]2_inventory_total_details'!$C$8:$C$10000,I39,'[1]2_inventory_total_details'!$F$8:$F$10000,pb_location_id,'[1]2_inventory_total_details'!$G$8:$G$10000,"="&amp;Q39,'[1]2_inventory_total_details'!$H$8:$H$10000,"="&amp;R39,'[1]2_inventory_total_details'!$I$8:$I$10000,"="&amp;pb_date)+SUMIFS('[1]2_inventory_total_details'!$K$8:$K$10000,'[1]2_inventory_total_details'!$C$8:$C$10000,I39,'[1]2_inventory_total_details'!$F$8:$F$10000,pb_location_id,'[1]2_inventory_total_details'!$G$8:$G$10000,"="&amp;Q39,'[1]2_inventory_total_details'!$H$8:$H$10000,"="&amp;R39,'[1]2_inventory_total_details'!$I$8:$I$10000,"="&amp;pb_date)+SUMIFS('[1]2_inventory_total_details'!$L$8:$L$10000,'[1]2_inventory_total_details'!$C$8:$C$10000,I39,'[1]2_inventory_total_details'!$F$8:$F$10000,pb_location_id,'[1]2_inventory_total_details'!$G$8:$G$10000,"="&amp;Q39,'[1]2_inventory_total_details'!$H$8:$H$10000,"="&amp;R39,'[1]2_inventory_total_details'!$I$8:$I$10000,"="&amp;pb_date)))</f>
        <v/>
      </c>
      <c r="AH39" s="1640" t="str">
        <f>IF(M39="","",IF(ISNA(MATCH(I39,'[1]1_group_totals'!$C$8:$C$10000)),0,IF(AT39&gt;0,1,0)))</f>
        <v/>
      </c>
      <c r="AI39" s="1640" t="str">
        <f>IF(M39="","",(SUMIFS('[1]1_group_total_details'!$I$8:$I$10000,'[1]1_group_total_details'!$C$8:$C$10000,I39,'[1]1_group_total_details'!$F$8:$F$10000,pb_location_group_id,'[1]1_group_total_details'!$G$8:$G$10000,pb_location_id,'[1]1_group_total_details'!$H$8:$H$10000,"="&amp;pb_date)+SUMIFS('[1]1_group_total_details'!$L$8:$L$10000,'[1]1_group_total_details'!$C$8:$C$10000,I39,'[1]1_group_total_details'!$F$8:$F$10000,pb_location_group_id,'[1]1_group_total_details'!$G$8:$G$10000,pb_location_id,'[1]1_group_total_details'!$H$8:$H$10000,"="&amp;pb_date)+SUMIFS('[1]1_group_total_details'!$N$8:$N$10000,'[1]1_group_total_details'!$C$8:$C$10000,I39,'[1]1_group_total_details'!$F$8:$F$10000,pb_location_group_id,'[1]1_group_total_details'!$G$8:$G$10000,pb_location_id,'[1]1_group_total_details'!$H$8:$H$10000,"="&amp;pb_date)+SUMIFS('[1]1_group_total_details'!$O$8:$O$10000,'[1]1_group_total_details'!$C$8:$C$10000,I39,'[1]1_group_total_details'!$F$8:$F$10000,pb_location_group_id,'[1]1_group_total_details'!$G$8:$G$10000,pb_location_id,'[1]1_group_total_details'!$H$8:$H$10000,"="&amp;pb_date))+(SUMIFS('[1]1_group_total_details'!$J$8:$J$10000,'[1]1_group_total_details'!$C$8:$C$10000,I39,'[1]1_group_total_details'!$F$8:$F$10000,pb_location_group_id,'[1]1_group_total_details'!$G$8:$G$10000,pb_location_id,'[1]1_group_total_details'!$H$8:$H$10000,"="&amp;pb_date)+SUMIFS('[1]1_group_total_details'!$K$8:$K$10000,'[1]1_group_total_details'!$C$8:$C$10000,I39,'[1]1_group_total_details'!$F$8:$F$10000,pb_location_group_id,'[1]1_group_total_details'!$G$8:$G$10000,pb_location_id,'[1]1_group_total_details'!$H$8:$H$10000,"="&amp;pb_date)+SUMIFS('[1]1_group_total_details'!$M$8:$M$10000,'[1]1_group_total_details'!$C$8:$C$10000,I39,'[1]1_group_total_details'!$F$8:$F$10000,pb_location_group_id,'[1]1_group_total_details'!$G$8:$G$10000,pb_location_id,'[1]1_group_total_details'!$H$8:$H$10000,"="&amp;pb_date)+SUMIFS('[1]1_group_total_details'!$P$8:$P$10000,'[1]1_group_total_details'!$C$8:$C$10000,I39,'[1]1_group_total_details'!$F$8:$F$10000,pb_location_group_id,'[1]1_group_total_details'!$G$8:$G$10000,pb_location_id,'[1]1_group_total_details'!$H$8:$H$10000,"="&amp;pb_date)))</f>
        <v/>
      </c>
      <c r="AJ39" s="1640" t="str">
        <f>IF(M39="","",IF(AK39=0,0,(SUMIFS('[1]1_group_total_details'!$I$8:$I$10000,'[1]1_group_total_details'!$C$8:$C$10000,I39,'[1]1_group_total_details'!$F$8:$F$10000,pb_location_group_id,'[1]1_group_total_details'!$G$8:$G$10000,pb_location_id,'[1]1_group_total_details'!$H$8:$H$10000,"&lt;="&amp;pb_date)+SUMIFS('[1]1_group_total_details'!$L$8:$L$10000,'[1]1_group_total_details'!$C$8:$C$10000,I39,'[1]1_group_total_details'!$F$8:$F$10000,pb_location_group_id,'[1]1_group_total_details'!$G$8:$G$10000,pb_location_id,'[1]1_group_total_details'!$H$8:$H$10000,"&lt;="&amp;pb_date)+SUMIFS('[1]1_group_total_details'!$N$8:$N$10000,'[1]1_group_total_details'!$C$8:$C$10000,I39,'[1]1_group_total_details'!$F$8:$F$10000,pb_location_group_id,'[1]1_group_total_details'!$G$8:$G$10000,pb_location_id,'[1]1_group_total_details'!$H$8:$H$10000,"&lt;="&amp;pb_date)+SUMIFS('[1]1_group_total_details'!$O$8:$O$10000,'[1]1_group_total_details'!$C$8:$C$10000,I39,'[1]1_group_total_details'!$F$8:$F$10000,pb_location_group_id,'[1]1_group_total_details'!$G$8:$G$10000,pb_location_id,'[1]1_group_total_details'!$H$8:$H$10000,"&lt;="&amp;pb_date))-(SUMIFS('[1]1_group_total_details'!$J$8:$J$10000,'[1]1_group_total_details'!$C$8:$C$10000,I39,'[1]1_group_total_details'!$F$8:$F$10000,pb_location_group_id,'[1]1_group_total_details'!$G$8:$G$10000,pb_location_id,'[1]1_group_total_details'!$H$8:$H$10000,"&lt;="&amp;pb_date)+SUMIFS('[1]1_group_total_details'!$K$8:$K$10000,'[1]1_group_total_details'!$C$8:$C$10000,I39,'[1]1_group_total_details'!$F$8:$F$10000,pb_location_group_id,'[1]1_group_total_details'!$G$8:$G$10000,invoice_location_id,'[1]1_group_total_details'!$H$8:$H$10000,"&lt;="&amp;pb_date)+SUMIFS('[1]1_group_total_details'!$M$8:$M$10000,'[1]1_group_total_details'!$C$8:$C$10000,I39,'[1]1_group_total_details'!$F$8:$F$10000,pb_location_group_id,'[1]1_group_total_details'!$G$8:$G$10000,pb_location_id,'[1]1_group_total_details'!$H$8:$H$10000,"&lt;="&amp;pb_date)+SUMIFS('[1]1_group_total_details'!$P$8:$P$10000,'[1]1_group_total_details'!$C$8:$C$10000,I39,'[1]1_group_total_details'!$F$8:$F$10000,pb_location_group_id,'[1]1_group_total_details'!$G$8:$G$10000,pb_location_id,'[1]1_group_total_details'!$H$8:$H$10000,"&lt;="&amp;pb_date))))</f>
        <v/>
      </c>
      <c r="AK39" s="1640" t="str">
        <f>IF(M39="","",SUMIFS('[1]1_group_totals'!$J$8:$J$10000,'[1]1_group_totals'!$C$8:$C$10000,I39,'[1]1_group_totals'!$F$8:$F$10000,pb_location_group_id,'[1]1_group_totals'!$G$8:$G$10000,pb_location_id,'[1]1_group_totals'!$H$8:$H$10000,"="&amp;Q39,'[1]1_group_totals'!$I$8:$I$10000,"="&amp;R39))</f>
        <v/>
      </c>
      <c r="AL39" s="1644" t="str">
        <f t="shared" si="17"/>
        <v/>
      </c>
      <c r="AM39" s="1644" t="str">
        <f>IF(OR(ISNA(MATCH(MID(AL39,1,3)*1,UomConversion!$D$8:$D$500,0)),M39=""),"",IF(AQ39="","",AQ39))</f>
        <v/>
      </c>
      <c r="AN39" s="1644" t="str">
        <f>IF(AND(AO39&gt;0,COUNTIFS(UomConversion!$D$8:$D$500,MID(AL39,1,3)*1,UomConversion!$J$8:$J$500,1)&gt;1),TEXT(AO39,"000")&amp;"."&amp;VLOOKUP(AO39,uom_list,5,FALSE),"")</f>
        <v/>
      </c>
      <c r="AO39" s="1640" t="str">
        <f t="shared" si="18"/>
        <v/>
      </c>
      <c r="AP39" s="1645" t="str">
        <f t="shared" si="19"/>
        <v/>
      </c>
      <c r="AQ39" s="491" t="str">
        <f t="shared" si="20"/>
        <v/>
      </c>
      <c r="AR39" s="1281" t="str" cm="1">
        <f t="array" ref="AR39">IF(M39="","",IF(ISNA(Slookup(MID(AL39,1,3)*1,UomConversion!$D$8:$J$500,2,UomConversion!$I$8:$I$500,1,UomConversion!$J$8:$J$500,1)),"",Slookup(MID(AL39,1,3)*1,UomConversion!$D$8:$J$500,2,UomConversion!$I$8:$I$500,1,UomConversion!$J$8:$J$500,1)))</f>
        <v/>
      </c>
      <c r="AS39" s="663" t="str">
        <f>IF(M39="","",(SUMIFS('[1]1_inventory_totals'!$I$8:$I$10000,'[1]1_inventory_totals'!$C$8:$C$10000,I39,'[1]1_inventory_totals'!$F$8:$F$10000,"="&amp;Q39,'[1]1_inventory_totals'!$G$8:$G$10000,"="&amp;R39)+SUMIFS('[1]1_inventory_totals'!$N$8:$N$10000,'[1]1_inventory_totals'!$C$8:$C$10000,I39,'[1]1_inventory_totals'!$F$8:$F$10000,"="&amp;Q39,'[1]1_inventory_totals'!$G$8:$G$10000,"="&amp;R39)+SUMIFS('[1]1_inventory_totals'!$P$8:$P$10000,'[1]1_inventory_totals'!$C$8:$C$10000,I39,'[1]1_inventory_totals'!$F$8:$F$10000,"="&amp;Q39,'[1]1_inventory_totals'!$G$8:$G$10000,"="&amp;R39)+SUMIFS('[1]1_inventory_totals'!$Q$8:$Q$10000,'[1]1_inventory_totals'!$C$8:$C$10000,I39,'[1]1_inventory_totals'!$F$8:$F$10000,"="&amp;Q39,'[1]1_inventory_totals'!$G$8:$G$10000,"="&amp;R39)+SUMIFS('[1]1_inventory_totals'!$R$8:$R$10000,'[1]1_inventory_totals'!$C$8:$C$10000,I39,'[1]1_inventory_totals'!$F$8:$F$10000,"="&amp;Q39,'[1]1_inventory_totals'!$G$8:$G$10000,"="&amp;R39))+(SUMIFS('[1]1_inventory_totals'!$J$8:$J$10000,'[1]1_inventory_totals'!$C$8:$C$10000,I39,'[1]1_inventory_totals'!$F$8:$F$10000,"="&amp;Q39,'[1]1_inventory_totals'!$G$8:$G$10000,"="&amp;R39)+SUMIFS('[1]1_inventory_totals'!$K$8:$K$10000,'[1]1_inventory_totals'!$C$8:$C$10000,I39,'[1]1_inventory_totals'!$F$8:$F$10000,"="&amp;Q39,'[1]1_inventory_totals'!$G$8:$G$10000,"="&amp;R39)+SUMIFS('[1]1_inventory_totals'!$L$8:$L$10000,'[1]1_inventory_totals'!$C$8:$C$10000,I39,'[1]1_inventory_totals'!$F$8:$F$10000,"="&amp;Q39,'[1]1_inventory_totals'!$G$8:$G$10000,"="&amp;R39)+SUMIFS('[1]1_inventory_totals'!$M$8:$M$10000,'[1]1_inventory_totals'!$C$8:$C$10000,I39,'[1]1_inventory_totals'!$F$8:$F$10000,"="&amp;Q39,'[1]1_inventory_totals'!$G$8:$G$10000,"="&amp;R39)+SUMIFS('[1]1_inventory_totals'!$O$8:$O$10000,'[1]1_inventory_totals'!$C$8:$C$10000,I39,'[1]1_inventory_totals'!$F$8:$F$10000,"="&amp;Q39,'[1]1_inventory_totals'!$G$8:$G$10000,"="&amp;R39)+SUMIFS('[1]1_inventory_totals'!$S$8:$S$10000,'[1]1_inventory_totals'!$C$8:$C$10000,I39,'[1]1_inventory_totals'!$F$8:$F$10000,"="&amp;Q39,'[1]1_inventory_totals'!$G$8:$G$10000,"="&amp;R39)))</f>
        <v/>
      </c>
      <c r="AT39" s="1281" t="str">
        <f>IF(M39="","",(SUMIFS('[1]1_group_totals'!$K$8:$K$10000,'[1]1_group_totals'!$C$8:$C$10000,I39,'[1]1_group_totals'!$F$8:$F$10000,pb_location_group_id,'[1]1_group_totals'!$G$8:$G$10000,pb_location_id,'[1]1_group_totals'!$H$8:$H$10000,"="&amp;Q39,'[1]1_group_totals'!$I$8:$I$10000,"="&amp;R39)+SUMIFS('[1]1_group_totals'!$N$8:$N$10000,'[1]1_group_totals'!$C$8:$C$10000,I39,'[1]1_group_totals'!$F$8:$F$10000,pb_location_group_id,'[1]1_group_totals'!$G$8:$G$10000,pb_location_id,'[1]1_group_totals'!$H$8:$H$10000,"="&amp;Q39,'[1]1_group_totals'!$I$8:$I$10000,"="&amp;R39)+SUMIFS('[1]1_group_totals'!$P$8:$P$10000,'[1]1_group_totals'!$C$8:$C$10000,I39,'[1]1_group_totals'!$F$8:$F$10000,pb_location_group_id,'[1]1_group_totals'!$G$8:$G$10000,pb_location_id,'[1]1_group_totals'!$H$8:$H$10000,"="&amp;Q39,'[1]1_group_totals'!$I$8:$I$10000,"="&amp;R39)+SUMIFS('[1]1_group_totals'!$Q$8:$Q$10000,'[1]1_group_totals'!$C$8:$C$10000,I39,'[1]1_group_totals'!$F$8:$F$10000,pb_location_group_id,'[1]1_group_totals'!$G$8:$G$10000,pb_location_id,'[1]1_group_totals'!$H$8:$H$10000,"="&amp;Q39,'[1]1_group_totals'!$I$8:$I$10000,"="&amp;R39))+(SUMIFS('[1]1_group_totals'!$L$8:$L$10000,'[1]1_group_totals'!$C$8:$C$10000,I39,'[1]1_group_totals'!$F$8:$F$10000,pb_location_group_id,'[1]1_group_totals'!$G$8:$G$10000,pb_location_id,'[1]1_group_totals'!$H$8:$H$10000,"="&amp;Q39,'[1]1_group_totals'!$I$8:$I$10000,"="&amp;R39)+SUMIFS('[1]1_group_totals'!$M$8:$M$10000,'[1]1_group_totals'!$C$8:$C$10000,I39,'[1]1_group_totals'!$F$8:$F$10000,pb_location_group_id,'[1]1_group_totals'!$G$8:$G$10000,pb_location_id,'[1]1_group_totals'!$H$8:$H$10000,"="&amp;Q39,'[1]1_group_totals'!$I$8:$I$10000,"="&amp;R39)+SUMIFS('[1]1_group_totals'!$O$8:$O$10000,'[1]1_group_totals'!$C$8:$C$10000,I39,'[1]1_group_totals'!$F$8:$F$10000,pb_location_group_id,'[1]1_group_totals'!$G$8:$G$10000,pb_location_id,'[1]1_group_totals'!$H$8:$H$10000,"="&amp;Q39,'[1]1_group_totals'!$I$8:$I$10000,"="&amp;R39)+SUMIFS('[1]1_group_totals'!$R$8:$R$10000,'[1]1_group_totals'!$C$8:$C$10000,I39,'[1]1_group_totals'!$F$8:$F$10000,pb_location_group_id,'[1]1_group_totals'!$G$8:$G$10000,pb_location_id,'[1]1_group_totals'!$H$8:$H$10000,"="&amp;Q39,'[1]1_group_totals'!$I$8:$I$10000,"="&amp;R39)))</f>
        <v/>
      </c>
    </row>
    <row r="40" spans="1:46" ht="27" hidden="1" customHeight="1">
      <c r="A40" s="923"/>
      <c r="B40" s="1011"/>
      <c r="C40" s="950"/>
      <c r="D40" s="950"/>
      <c r="E40" s="950"/>
      <c r="F40" s="1057"/>
      <c r="I40" s="1610" t="str">
        <f t="shared" si="8"/>
        <v/>
      </c>
      <c r="J40" s="1631" t="str">
        <f t="shared" si="25"/>
        <v/>
      </c>
      <c r="K40" s="1628"/>
      <c r="L40" s="1632"/>
      <c r="M40" s="1069"/>
      <c r="N40" s="1044"/>
      <c r="O40" s="1044"/>
      <c r="P40" s="1046"/>
      <c r="Q40" s="1047"/>
      <c r="R40" s="1053"/>
      <c r="S40" s="1634" t="str">
        <f t="shared" ref="S40" si="113">IF(M40="","",pb_currency_symbol)</f>
        <v/>
      </c>
      <c r="T40" s="1068"/>
      <c r="U40" s="1636" t="str">
        <f t="shared" si="10"/>
        <v/>
      </c>
      <c r="V40" s="1634" t="str">
        <f t="shared" ref="V40" si="114">IF(W40=0,"",pb_currency_symbol)</f>
        <v/>
      </c>
      <c r="W40" s="1054"/>
      <c r="X40" s="1634" t="str">
        <f t="shared" ref="X40" si="115">IF(M40="","",pb_currency_symbol)</f>
        <v/>
      </c>
      <c r="Y40" s="1638" t="str">
        <f t="shared" si="24"/>
        <v/>
      </c>
      <c r="Z40" s="1062"/>
      <c r="AA40" s="1639" t="str" cm="1">
        <f t="array" ref="AA40">IF(M40="","",IF(P40=AL40,1,Slookup(MID(AL40,1,3)*1,UomConversion!$D$8:$J$500,5,UomConversion!$E$8:$E$500,MID(P40,1,3)*1,UomConversion!$J$8:$J$500,1)))</f>
        <v/>
      </c>
      <c r="AB40" s="1640" t="str">
        <f t="shared" si="13"/>
        <v/>
      </c>
      <c r="AC40" s="1641" t="str">
        <f t="shared" si="14"/>
        <v/>
      </c>
      <c r="AD40" s="1642" t="str">
        <f t="shared" si="15"/>
        <v/>
      </c>
      <c r="AE40" s="1643" t="str">
        <f t="shared" si="16"/>
        <v/>
      </c>
      <c r="AF40" s="1640" t="str">
        <f>IF(I40="","",IF(ISNA(MATCH(I40,IF(pb_location_id=1,'[1]1_inventory_totals'!$C$8:$C$10000,IF(pb_location_id=2,'[1]2_inventory_totals'!$C$8:$C$10000,"")),0)),0,IF(AS40&gt;0,1,0)))</f>
        <v/>
      </c>
      <c r="AG40" s="1640" t="str">
        <f>IF(M40="","",IF(pb_location_id=1,SUMIFS('[1]1_inventory_total_details'!$J$8:$J$10000,'[1]1_inventory_total_details'!$C$8:$C$10000,I40,'[1]1_inventory_total_details'!$F$8:$F$10000,pb_location_id,'[1]1_inventory_total_details'!$G$8:$G$10000,"="&amp;Q40,'[1]1_inventory_total_details'!$H$8:$H$10000,"="&amp;R40,'[1]1_inventory_total_details'!$I$8:$I$10000,"="&amp;pb_date)+SUMIFS('[1]1_inventory_total_details'!$M$8:$M$10000,'[1]1_inventory_total_details'!$C$8:$C$10000,I40,'[1]1_inventory_total_details'!$F$8:$F$10000,pb_location_id,'[1]1_inventory_total_details'!$G$8:$G$10000,"="&amp;Q40,'[1]1_inventory_total_details'!$H$8:$H$10000,"="&amp;R40,'[1]1_inventory_total_details'!$I$8:$I$10000,"="&amp;pb_date)+SUMIFS('[1]1_inventory_total_details'!$K$8:$K$10000,'[1]1_inventory_total_details'!$C$8:$C$10000,I40,'[1]1_inventory_total_details'!$F$8:$F$10000,pb_location_id,'[1]1_inventory_total_details'!$G$8:$G$10000,"="&amp;Q40,'[1]1_inventory_total_details'!$H$8:$H$10000,"="&amp;R40,'[1]1_inventory_total_details'!$I$8:$I$10000,"="&amp;pb_date)+SUMIFS('[1]1_inventory_total_details'!$L$8:$L$10000,'[1]1_inventory_total_details'!$C$8:$C$10000,I40,'[1]1_inventory_total_details'!$F$8:$F$10000,pb_location_id,'[1]1_inventory_total_details'!$G$8:$G$10000,"="&amp;Q40,'[1]1_inventory_total_details'!$H$8:$H$10000,"="&amp;R40,'[1]1_inventory_total_details'!$I$8:$I$10000,"="&amp;pb_date),SUMIFS('[1]2_inventory_total_details'!$J$8:$J$10000,'[1]2_inventory_total_details'!$C$8:$C$10000,I40,'[1]1_inventory_total_details'!$F$8:$F$10000,pb_location_id,'[1]2_inventory_total_details'!$G$8:$G$10000,"="&amp;Q40,'[1]2_inventory_total_details'!$H$8:$H$10000,"="&amp;R40,'[1]2_inventory_total_details'!$I$8:$I$10000,"="&amp;pb_date)+SUMIFS('[1]2_inventory_total_details'!$M$8:$M$10000,'[1]2_inventory_total_details'!$C$8:$C$10000,I40,'[1]2_inventory_total_details'!$F$8:$F$10000,pb_location_id,'[1]2_inventory_total_details'!$G$8:$G$10000,"="&amp;Q40,'[1]2_inventory_total_details'!$H$8:$H$10000,"="&amp;R40,'[1]2_inventory_total_details'!$I$8:$I$10000,"="&amp;pb_date)+SUMIFS('[1]2_inventory_total_details'!$K$8:$K$10000,'[1]2_inventory_total_details'!$C$8:$C$10000,I40,'[1]2_inventory_total_details'!$F$8:$F$10000,pb_location_id,'[1]2_inventory_total_details'!$G$8:$G$10000,"="&amp;Q40,'[1]2_inventory_total_details'!$H$8:$H$10000,"="&amp;R40,'[1]2_inventory_total_details'!$I$8:$I$10000,"="&amp;pb_date)+SUMIFS('[1]2_inventory_total_details'!$L$8:$L$10000,'[1]2_inventory_total_details'!$C$8:$C$10000,I40,'[1]2_inventory_total_details'!$F$8:$F$10000,pb_location_id,'[1]2_inventory_total_details'!$G$8:$G$10000,"="&amp;Q40,'[1]2_inventory_total_details'!$H$8:$H$10000,"="&amp;R40,'[1]2_inventory_total_details'!$I$8:$I$10000,"="&amp;pb_date)))</f>
        <v/>
      </c>
      <c r="AH40" s="1640" t="str">
        <f>IF(M40="","",IF(ISNA(MATCH(I40,'[1]1_group_totals'!$C$8:$C$10000)),0,IF(AT40&gt;0,1,0)))</f>
        <v/>
      </c>
      <c r="AI40" s="1640" t="str">
        <f>IF(M40="","",(SUMIFS('[1]1_group_total_details'!$I$8:$I$10000,'[1]1_group_total_details'!$C$8:$C$10000,I40,'[1]1_group_total_details'!$F$8:$F$10000,pb_location_group_id,'[1]1_group_total_details'!$G$8:$G$10000,pb_location_id,'[1]1_group_total_details'!$H$8:$H$10000,"="&amp;pb_date)+SUMIFS('[1]1_group_total_details'!$L$8:$L$10000,'[1]1_group_total_details'!$C$8:$C$10000,I40,'[1]1_group_total_details'!$F$8:$F$10000,pb_location_group_id,'[1]1_group_total_details'!$G$8:$G$10000,pb_location_id,'[1]1_group_total_details'!$H$8:$H$10000,"="&amp;pb_date)+SUMIFS('[1]1_group_total_details'!$N$8:$N$10000,'[1]1_group_total_details'!$C$8:$C$10000,I40,'[1]1_group_total_details'!$F$8:$F$10000,pb_location_group_id,'[1]1_group_total_details'!$G$8:$G$10000,pb_location_id,'[1]1_group_total_details'!$H$8:$H$10000,"="&amp;pb_date)+SUMIFS('[1]1_group_total_details'!$O$8:$O$10000,'[1]1_group_total_details'!$C$8:$C$10000,I40,'[1]1_group_total_details'!$F$8:$F$10000,pb_location_group_id,'[1]1_group_total_details'!$G$8:$G$10000,pb_location_id,'[1]1_group_total_details'!$H$8:$H$10000,"="&amp;pb_date))+(SUMIFS('[1]1_group_total_details'!$J$8:$J$10000,'[1]1_group_total_details'!$C$8:$C$10000,I40,'[1]1_group_total_details'!$F$8:$F$10000,pb_location_group_id,'[1]1_group_total_details'!$G$8:$G$10000,pb_location_id,'[1]1_group_total_details'!$H$8:$H$10000,"="&amp;pb_date)+SUMIFS('[1]1_group_total_details'!$K$8:$K$10000,'[1]1_group_total_details'!$C$8:$C$10000,I40,'[1]1_group_total_details'!$F$8:$F$10000,pb_location_group_id,'[1]1_group_total_details'!$G$8:$G$10000,pb_location_id,'[1]1_group_total_details'!$H$8:$H$10000,"="&amp;pb_date)+SUMIFS('[1]1_group_total_details'!$M$8:$M$10000,'[1]1_group_total_details'!$C$8:$C$10000,I40,'[1]1_group_total_details'!$F$8:$F$10000,pb_location_group_id,'[1]1_group_total_details'!$G$8:$G$10000,pb_location_id,'[1]1_group_total_details'!$H$8:$H$10000,"="&amp;pb_date)+SUMIFS('[1]1_group_total_details'!$P$8:$P$10000,'[1]1_group_total_details'!$C$8:$C$10000,I40,'[1]1_group_total_details'!$F$8:$F$10000,pb_location_group_id,'[1]1_group_total_details'!$G$8:$G$10000,pb_location_id,'[1]1_group_total_details'!$H$8:$H$10000,"="&amp;pb_date)))</f>
        <v/>
      </c>
      <c r="AJ40" s="1640" t="str">
        <f>IF(M40="","",IF(AK40=0,0,(SUMIFS('[1]1_group_total_details'!$I$8:$I$10000,'[1]1_group_total_details'!$C$8:$C$10000,I40,'[1]1_group_total_details'!$F$8:$F$10000,pb_location_group_id,'[1]1_group_total_details'!$G$8:$G$10000,pb_location_id,'[1]1_group_total_details'!$H$8:$H$10000,"&lt;="&amp;pb_date)+SUMIFS('[1]1_group_total_details'!$L$8:$L$10000,'[1]1_group_total_details'!$C$8:$C$10000,I40,'[1]1_group_total_details'!$F$8:$F$10000,pb_location_group_id,'[1]1_group_total_details'!$G$8:$G$10000,pb_location_id,'[1]1_group_total_details'!$H$8:$H$10000,"&lt;="&amp;pb_date)+SUMIFS('[1]1_group_total_details'!$N$8:$N$10000,'[1]1_group_total_details'!$C$8:$C$10000,I40,'[1]1_group_total_details'!$F$8:$F$10000,pb_location_group_id,'[1]1_group_total_details'!$G$8:$G$10000,pb_location_id,'[1]1_group_total_details'!$H$8:$H$10000,"&lt;="&amp;pb_date)+SUMIFS('[1]1_group_total_details'!$O$8:$O$10000,'[1]1_group_total_details'!$C$8:$C$10000,I40,'[1]1_group_total_details'!$F$8:$F$10000,pb_location_group_id,'[1]1_group_total_details'!$G$8:$G$10000,pb_location_id,'[1]1_group_total_details'!$H$8:$H$10000,"&lt;="&amp;pb_date))-(SUMIFS('[1]1_group_total_details'!$J$8:$J$10000,'[1]1_group_total_details'!$C$8:$C$10000,I40,'[1]1_group_total_details'!$F$8:$F$10000,pb_location_group_id,'[1]1_group_total_details'!$G$8:$G$10000,pb_location_id,'[1]1_group_total_details'!$H$8:$H$10000,"&lt;="&amp;pb_date)+SUMIFS('[1]1_group_total_details'!$K$8:$K$10000,'[1]1_group_total_details'!$C$8:$C$10000,I40,'[1]1_group_total_details'!$F$8:$F$10000,pb_location_group_id,'[1]1_group_total_details'!$G$8:$G$10000,invoice_location_id,'[1]1_group_total_details'!$H$8:$H$10000,"&lt;="&amp;pb_date)+SUMIFS('[1]1_group_total_details'!$M$8:$M$10000,'[1]1_group_total_details'!$C$8:$C$10000,I40,'[1]1_group_total_details'!$F$8:$F$10000,pb_location_group_id,'[1]1_group_total_details'!$G$8:$G$10000,pb_location_id,'[1]1_group_total_details'!$H$8:$H$10000,"&lt;="&amp;pb_date)+SUMIFS('[1]1_group_total_details'!$P$8:$P$10000,'[1]1_group_total_details'!$C$8:$C$10000,I40,'[1]1_group_total_details'!$F$8:$F$10000,pb_location_group_id,'[1]1_group_total_details'!$G$8:$G$10000,pb_location_id,'[1]1_group_total_details'!$H$8:$H$10000,"&lt;="&amp;pb_date))))</f>
        <v/>
      </c>
      <c r="AK40" s="1640" t="str">
        <f>IF(M40="","",SUMIFS('[1]1_group_totals'!$J$8:$J$10000,'[1]1_group_totals'!$C$8:$C$10000,I40,'[1]1_group_totals'!$F$8:$F$10000,pb_location_group_id,'[1]1_group_totals'!$G$8:$G$10000,pb_location_id,'[1]1_group_totals'!$H$8:$H$10000,"="&amp;Q40,'[1]1_group_totals'!$I$8:$I$10000,"="&amp;R40))</f>
        <v/>
      </c>
      <c r="AL40" s="1644" t="str">
        <f t="shared" si="17"/>
        <v/>
      </c>
      <c r="AM40" s="1644" t="str">
        <f>IF(OR(ISNA(MATCH(MID(AL40,1,3)*1,UomConversion!$D$8:$D$500,0)),M40=""),"",IF(AQ40="","",AQ40))</f>
        <v/>
      </c>
      <c r="AN40" s="1644" t="str">
        <f>IF(AND(AO40&gt;0,COUNTIFS(UomConversion!$D$8:$D$500,MID(AL40,1,3)*1,UomConversion!$J$8:$J$500,1)&gt;1),TEXT(AO40,"000")&amp;"."&amp;VLOOKUP(AO40,uom_list,5,FALSE),"")</f>
        <v/>
      </c>
      <c r="AO40" s="1640" t="str">
        <f t="shared" si="18"/>
        <v/>
      </c>
      <c r="AP40" s="1645" t="str">
        <f t="shared" si="19"/>
        <v/>
      </c>
      <c r="AQ40" s="491" t="str">
        <f t="shared" si="20"/>
        <v/>
      </c>
      <c r="AR40" s="1281" t="str" cm="1">
        <f t="array" ref="AR40">IF(M40="","",IF(ISNA(Slookup(MID(AL40,1,3)*1,UomConversion!$D$8:$J$500,2,UomConversion!$I$8:$I$500,1,UomConversion!$J$8:$J$500,1)),"",Slookup(MID(AL40,1,3)*1,UomConversion!$D$8:$J$500,2,UomConversion!$I$8:$I$500,1,UomConversion!$J$8:$J$500,1)))</f>
        <v/>
      </c>
      <c r="AS40" s="663" t="str">
        <f>IF(M40="","",(SUMIFS('[1]1_inventory_totals'!$I$8:$I$10000,'[1]1_inventory_totals'!$C$8:$C$10000,I40,'[1]1_inventory_totals'!$F$8:$F$10000,"="&amp;Q40,'[1]1_inventory_totals'!$G$8:$G$10000,"="&amp;R40)+SUMIFS('[1]1_inventory_totals'!$N$8:$N$10000,'[1]1_inventory_totals'!$C$8:$C$10000,I40,'[1]1_inventory_totals'!$F$8:$F$10000,"="&amp;Q40,'[1]1_inventory_totals'!$G$8:$G$10000,"="&amp;R40)+SUMIFS('[1]1_inventory_totals'!$P$8:$P$10000,'[1]1_inventory_totals'!$C$8:$C$10000,I40,'[1]1_inventory_totals'!$F$8:$F$10000,"="&amp;Q40,'[1]1_inventory_totals'!$G$8:$G$10000,"="&amp;R40)+SUMIFS('[1]1_inventory_totals'!$Q$8:$Q$10000,'[1]1_inventory_totals'!$C$8:$C$10000,I40,'[1]1_inventory_totals'!$F$8:$F$10000,"="&amp;Q40,'[1]1_inventory_totals'!$G$8:$G$10000,"="&amp;R40)+SUMIFS('[1]1_inventory_totals'!$R$8:$R$10000,'[1]1_inventory_totals'!$C$8:$C$10000,I40,'[1]1_inventory_totals'!$F$8:$F$10000,"="&amp;Q40,'[1]1_inventory_totals'!$G$8:$G$10000,"="&amp;R40))+(SUMIFS('[1]1_inventory_totals'!$J$8:$J$10000,'[1]1_inventory_totals'!$C$8:$C$10000,I40,'[1]1_inventory_totals'!$F$8:$F$10000,"="&amp;Q40,'[1]1_inventory_totals'!$G$8:$G$10000,"="&amp;R40)+SUMIFS('[1]1_inventory_totals'!$K$8:$K$10000,'[1]1_inventory_totals'!$C$8:$C$10000,I40,'[1]1_inventory_totals'!$F$8:$F$10000,"="&amp;Q40,'[1]1_inventory_totals'!$G$8:$G$10000,"="&amp;R40)+SUMIFS('[1]1_inventory_totals'!$L$8:$L$10000,'[1]1_inventory_totals'!$C$8:$C$10000,I40,'[1]1_inventory_totals'!$F$8:$F$10000,"="&amp;Q40,'[1]1_inventory_totals'!$G$8:$G$10000,"="&amp;R40)+SUMIFS('[1]1_inventory_totals'!$M$8:$M$10000,'[1]1_inventory_totals'!$C$8:$C$10000,I40,'[1]1_inventory_totals'!$F$8:$F$10000,"="&amp;Q40,'[1]1_inventory_totals'!$G$8:$G$10000,"="&amp;R40)+SUMIFS('[1]1_inventory_totals'!$O$8:$O$10000,'[1]1_inventory_totals'!$C$8:$C$10000,I40,'[1]1_inventory_totals'!$F$8:$F$10000,"="&amp;Q40,'[1]1_inventory_totals'!$G$8:$G$10000,"="&amp;R40)+SUMIFS('[1]1_inventory_totals'!$S$8:$S$10000,'[1]1_inventory_totals'!$C$8:$C$10000,I40,'[1]1_inventory_totals'!$F$8:$F$10000,"="&amp;Q40,'[1]1_inventory_totals'!$G$8:$G$10000,"="&amp;R40)))</f>
        <v/>
      </c>
      <c r="AT40" s="1281" t="str">
        <f>IF(M40="","",(SUMIFS('[1]1_group_totals'!$K$8:$K$10000,'[1]1_group_totals'!$C$8:$C$10000,I40,'[1]1_group_totals'!$F$8:$F$10000,pb_location_group_id,'[1]1_group_totals'!$G$8:$G$10000,pb_location_id,'[1]1_group_totals'!$H$8:$H$10000,"="&amp;Q40,'[1]1_group_totals'!$I$8:$I$10000,"="&amp;R40)+SUMIFS('[1]1_group_totals'!$N$8:$N$10000,'[1]1_group_totals'!$C$8:$C$10000,I40,'[1]1_group_totals'!$F$8:$F$10000,pb_location_group_id,'[1]1_group_totals'!$G$8:$G$10000,pb_location_id,'[1]1_group_totals'!$H$8:$H$10000,"="&amp;Q40,'[1]1_group_totals'!$I$8:$I$10000,"="&amp;R40)+SUMIFS('[1]1_group_totals'!$P$8:$P$10000,'[1]1_group_totals'!$C$8:$C$10000,I40,'[1]1_group_totals'!$F$8:$F$10000,pb_location_group_id,'[1]1_group_totals'!$G$8:$G$10000,pb_location_id,'[1]1_group_totals'!$H$8:$H$10000,"="&amp;Q40,'[1]1_group_totals'!$I$8:$I$10000,"="&amp;R40)+SUMIFS('[1]1_group_totals'!$Q$8:$Q$10000,'[1]1_group_totals'!$C$8:$C$10000,I40,'[1]1_group_totals'!$F$8:$F$10000,pb_location_group_id,'[1]1_group_totals'!$G$8:$G$10000,pb_location_id,'[1]1_group_totals'!$H$8:$H$10000,"="&amp;Q40,'[1]1_group_totals'!$I$8:$I$10000,"="&amp;R40))+(SUMIFS('[1]1_group_totals'!$L$8:$L$10000,'[1]1_group_totals'!$C$8:$C$10000,I40,'[1]1_group_totals'!$F$8:$F$10000,pb_location_group_id,'[1]1_group_totals'!$G$8:$G$10000,pb_location_id,'[1]1_group_totals'!$H$8:$H$10000,"="&amp;Q40,'[1]1_group_totals'!$I$8:$I$10000,"="&amp;R40)+SUMIFS('[1]1_group_totals'!$M$8:$M$10000,'[1]1_group_totals'!$C$8:$C$10000,I40,'[1]1_group_totals'!$F$8:$F$10000,pb_location_group_id,'[1]1_group_totals'!$G$8:$G$10000,pb_location_id,'[1]1_group_totals'!$H$8:$H$10000,"="&amp;Q40,'[1]1_group_totals'!$I$8:$I$10000,"="&amp;R40)+SUMIFS('[1]1_group_totals'!$O$8:$O$10000,'[1]1_group_totals'!$C$8:$C$10000,I40,'[1]1_group_totals'!$F$8:$F$10000,pb_location_group_id,'[1]1_group_totals'!$G$8:$G$10000,pb_location_id,'[1]1_group_totals'!$H$8:$H$10000,"="&amp;Q40,'[1]1_group_totals'!$I$8:$I$10000,"="&amp;R40)+SUMIFS('[1]1_group_totals'!$R$8:$R$10000,'[1]1_group_totals'!$C$8:$C$10000,I40,'[1]1_group_totals'!$F$8:$F$10000,pb_location_group_id,'[1]1_group_totals'!$G$8:$G$10000,pb_location_id,'[1]1_group_totals'!$H$8:$H$10000,"="&amp;Q40,'[1]1_group_totals'!$I$8:$I$10000,"="&amp;R40)))</f>
        <v/>
      </c>
    </row>
    <row r="41" spans="1:46" ht="27" hidden="1" customHeight="1">
      <c r="A41" s="923"/>
      <c r="B41" s="1011"/>
      <c r="C41" s="950"/>
      <c r="D41" s="950"/>
      <c r="E41" s="950"/>
      <c r="F41" s="1057"/>
      <c r="I41" s="1610" t="str">
        <f t="shared" si="8"/>
        <v/>
      </c>
      <c r="J41" s="1631" t="str">
        <f t="shared" si="25"/>
        <v/>
      </c>
      <c r="K41" s="1628"/>
      <c r="L41" s="1632"/>
      <c r="M41" s="1069"/>
      <c r="N41" s="1044"/>
      <c r="O41" s="1044"/>
      <c r="P41" s="1046"/>
      <c r="Q41" s="1047"/>
      <c r="R41" s="1053"/>
      <c r="S41" s="1634" t="str">
        <f t="shared" ref="S41" si="116">IF(M41="","",pb_currency_symbol)</f>
        <v/>
      </c>
      <c r="T41" s="1068"/>
      <c r="U41" s="1636" t="str">
        <f t="shared" si="10"/>
        <v/>
      </c>
      <c r="V41" s="1634" t="str">
        <f t="shared" ref="V41" si="117">IF(W41=0,"",pb_currency_symbol)</f>
        <v/>
      </c>
      <c r="W41" s="1054"/>
      <c r="X41" s="1634" t="str">
        <f t="shared" ref="X41" si="118">IF(M41="","",pb_currency_symbol)</f>
        <v/>
      </c>
      <c r="Y41" s="1638" t="str">
        <f t="shared" si="24"/>
        <v/>
      </c>
      <c r="Z41" s="1062"/>
      <c r="AA41" s="1639" t="str" cm="1">
        <f t="array" ref="AA41">IF(M41="","",IF(P41=AL41,1,Slookup(MID(AL41,1,3)*1,UomConversion!$D$8:$J$500,5,UomConversion!$E$8:$E$500,MID(P41,1,3)*1,UomConversion!$J$8:$J$500,1)))</f>
        <v/>
      </c>
      <c r="AB41" s="1640" t="str">
        <f t="shared" si="13"/>
        <v/>
      </c>
      <c r="AC41" s="1641" t="str">
        <f t="shared" si="14"/>
        <v/>
      </c>
      <c r="AD41" s="1642" t="str">
        <f t="shared" si="15"/>
        <v/>
      </c>
      <c r="AE41" s="1643" t="str">
        <f t="shared" si="16"/>
        <v/>
      </c>
      <c r="AF41" s="1640" t="str">
        <f>IF(I41="","",IF(ISNA(MATCH(I41,IF(pb_location_id=1,'[1]1_inventory_totals'!$C$8:$C$10000,IF(pb_location_id=2,'[1]2_inventory_totals'!$C$8:$C$10000,"")),0)),0,IF(AS41&gt;0,1,0)))</f>
        <v/>
      </c>
      <c r="AG41" s="1640" t="str">
        <f>IF(M41="","",IF(pb_location_id=1,SUMIFS('[1]1_inventory_total_details'!$J$8:$J$10000,'[1]1_inventory_total_details'!$C$8:$C$10000,I41,'[1]1_inventory_total_details'!$F$8:$F$10000,pb_location_id,'[1]1_inventory_total_details'!$G$8:$G$10000,"="&amp;Q41,'[1]1_inventory_total_details'!$H$8:$H$10000,"="&amp;R41,'[1]1_inventory_total_details'!$I$8:$I$10000,"="&amp;pb_date)+SUMIFS('[1]1_inventory_total_details'!$M$8:$M$10000,'[1]1_inventory_total_details'!$C$8:$C$10000,I41,'[1]1_inventory_total_details'!$F$8:$F$10000,pb_location_id,'[1]1_inventory_total_details'!$G$8:$G$10000,"="&amp;Q41,'[1]1_inventory_total_details'!$H$8:$H$10000,"="&amp;R41,'[1]1_inventory_total_details'!$I$8:$I$10000,"="&amp;pb_date)+SUMIFS('[1]1_inventory_total_details'!$K$8:$K$10000,'[1]1_inventory_total_details'!$C$8:$C$10000,I41,'[1]1_inventory_total_details'!$F$8:$F$10000,pb_location_id,'[1]1_inventory_total_details'!$G$8:$G$10000,"="&amp;Q41,'[1]1_inventory_total_details'!$H$8:$H$10000,"="&amp;R41,'[1]1_inventory_total_details'!$I$8:$I$10000,"="&amp;pb_date)+SUMIFS('[1]1_inventory_total_details'!$L$8:$L$10000,'[1]1_inventory_total_details'!$C$8:$C$10000,I41,'[1]1_inventory_total_details'!$F$8:$F$10000,pb_location_id,'[1]1_inventory_total_details'!$G$8:$G$10000,"="&amp;Q41,'[1]1_inventory_total_details'!$H$8:$H$10000,"="&amp;R41,'[1]1_inventory_total_details'!$I$8:$I$10000,"="&amp;pb_date),SUMIFS('[1]2_inventory_total_details'!$J$8:$J$10000,'[1]2_inventory_total_details'!$C$8:$C$10000,I41,'[1]1_inventory_total_details'!$F$8:$F$10000,pb_location_id,'[1]2_inventory_total_details'!$G$8:$G$10000,"="&amp;Q41,'[1]2_inventory_total_details'!$H$8:$H$10000,"="&amp;R41,'[1]2_inventory_total_details'!$I$8:$I$10000,"="&amp;pb_date)+SUMIFS('[1]2_inventory_total_details'!$M$8:$M$10000,'[1]2_inventory_total_details'!$C$8:$C$10000,I41,'[1]2_inventory_total_details'!$F$8:$F$10000,pb_location_id,'[1]2_inventory_total_details'!$G$8:$G$10000,"="&amp;Q41,'[1]2_inventory_total_details'!$H$8:$H$10000,"="&amp;R41,'[1]2_inventory_total_details'!$I$8:$I$10000,"="&amp;pb_date)+SUMIFS('[1]2_inventory_total_details'!$K$8:$K$10000,'[1]2_inventory_total_details'!$C$8:$C$10000,I41,'[1]2_inventory_total_details'!$F$8:$F$10000,pb_location_id,'[1]2_inventory_total_details'!$G$8:$G$10000,"="&amp;Q41,'[1]2_inventory_total_details'!$H$8:$H$10000,"="&amp;R41,'[1]2_inventory_total_details'!$I$8:$I$10000,"="&amp;pb_date)+SUMIFS('[1]2_inventory_total_details'!$L$8:$L$10000,'[1]2_inventory_total_details'!$C$8:$C$10000,I41,'[1]2_inventory_total_details'!$F$8:$F$10000,pb_location_id,'[1]2_inventory_total_details'!$G$8:$G$10000,"="&amp;Q41,'[1]2_inventory_total_details'!$H$8:$H$10000,"="&amp;R41,'[1]2_inventory_total_details'!$I$8:$I$10000,"="&amp;pb_date)))</f>
        <v/>
      </c>
      <c r="AH41" s="1640" t="str">
        <f>IF(M41="","",IF(ISNA(MATCH(I41,'[1]1_group_totals'!$C$8:$C$10000)),0,IF(AT41&gt;0,1,0)))</f>
        <v/>
      </c>
      <c r="AI41" s="1640" t="str">
        <f>IF(M41="","",(SUMIFS('[1]1_group_total_details'!$I$8:$I$10000,'[1]1_group_total_details'!$C$8:$C$10000,I41,'[1]1_group_total_details'!$F$8:$F$10000,pb_location_group_id,'[1]1_group_total_details'!$G$8:$G$10000,pb_location_id,'[1]1_group_total_details'!$H$8:$H$10000,"="&amp;pb_date)+SUMIFS('[1]1_group_total_details'!$L$8:$L$10000,'[1]1_group_total_details'!$C$8:$C$10000,I41,'[1]1_group_total_details'!$F$8:$F$10000,pb_location_group_id,'[1]1_group_total_details'!$G$8:$G$10000,pb_location_id,'[1]1_group_total_details'!$H$8:$H$10000,"="&amp;pb_date)+SUMIFS('[1]1_group_total_details'!$N$8:$N$10000,'[1]1_group_total_details'!$C$8:$C$10000,I41,'[1]1_group_total_details'!$F$8:$F$10000,pb_location_group_id,'[1]1_group_total_details'!$G$8:$G$10000,pb_location_id,'[1]1_group_total_details'!$H$8:$H$10000,"="&amp;pb_date)+SUMIFS('[1]1_group_total_details'!$O$8:$O$10000,'[1]1_group_total_details'!$C$8:$C$10000,I41,'[1]1_group_total_details'!$F$8:$F$10000,pb_location_group_id,'[1]1_group_total_details'!$G$8:$G$10000,pb_location_id,'[1]1_group_total_details'!$H$8:$H$10000,"="&amp;pb_date))+(SUMIFS('[1]1_group_total_details'!$J$8:$J$10000,'[1]1_group_total_details'!$C$8:$C$10000,I41,'[1]1_group_total_details'!$F$8:$F$10000,pb_location_group_id,'[1]1_group_total_details'!$G$8:$G$10000,pb_location_id,'[1]1_group_total_details'!$H$8:$H$10000,"="&amp;pb_date)+SUMIFS('[1]1_group_total_details'!$K$8:$K$10000,'[1]1_group_total_details'!$C$8:$C$10000,I41,'[1]1_group_total_details'!$F$8:$F$10000,pb_location_group_id,'[1]1_group_total_details'!$G$8:$G$10000,pb_location_id,'[1]1_group_total_details'!$H$8:$H$10000,"="&amp;pb_date)+SUMIFS('[1]1_group_total_details'!$M$8:$M$10000,'[1]1_group_total_details'!$C$8:$C$10000,I41,'[1]1_group_total_details'!$F$8:$F$10000,pb_location_group_id,'[1]1_group_total_details'!$G$8:$G$10000,pb_location_id,'[1]1_group_total_details'!$H$8:$H$10000,"="&amp;pb_date)+SUMIFS('[1]1_group_total_details'!$P$8:$P$10000,'[1]1_group_total_details'!$C$8:$C$10000,I41,'[1]1_group_total_details'!$F$8:$F$10000,pb_location_group_id,'[1]1_group_total_details'!$G$8:$G$10000,pb_location_id,'[1]1_group_total_details'!$H$8:$H$10000,"="&amp;pb_date)))</f>
        <v/>
      </c>
      <c r="AJ41" s="1640" t="str">
        <f>IF(M41="","",IF(AK41=0,0,(SUMIFS('[1]1_group_total_details'!$I$8:$I$10000,'[1]1_group_total_details'!$C$8:$C$10000,I41,'[1]1_group_total_details'!$F$8:$F$10000,pb_location_group_id,'[1]1_group_total_details'!$G$8:$G$10000,pb_location_id,'[1]1_group_total_details'!$H$8:$H$10000,"&lt;="&amp;pb_date)+SUMIFS('[1]1_group_total_details'!$L$8:$L$10000,'[1]1_group_total_details'!$C$8:$C$10000,I41,'[1]1_group_total_details'!$F$8:$F$10000,pb_location_group_id,'[1]1_group_total_details'!$G$8:$G$10000,pb_location_id,'[1]1_group_total_details'!$H$8:$H$10000,"&lt;="&amp;pb_date)+SUMIFS('[1]1_group_total_details'!$N$8:$N$10000,'[1]1_group_total_details'!$C$8:$C$10000,I41,'[1]1_group_total_details'!$F$8:$F$10000,pb_location_group_id,'[1]1_group_total_details'!$G$8:$G$10000,pb_location_id,'[1]1_group_total_details'!$H$8:$H$10000,"&lt;="&amp;pb_date)+SUMIFS('[1]1_group_total_details'!$O$8:$O$10000,'[1]1_group_total_details'!$C$8:$C$10000,I41,'[1]1_group_total_details'!$F$8:$F$10000,pb_location_group_id,'[1]1_group_total_details'!$G$8:$G$10000,pb_location_id,'[1]1_group_total_details'!$H$8:$H$10000,"&lt;="&amp;pb_date))-(SUMIFS('[1]1_group_total_details'!$J$8:$J$10000,'[1]1_group_total_details'!$C$8:$C$10000,I41,'[1]1_group_total_details'!$F$8:$F$10000,pb_location_group_id,'[1]1_group_total_details'!$G$8:$G$10000,pb_location_id,'[1]1_group_total_details'!$H$8:$H$10000,"&lt;="&amp;pb_date)+SUMIFS('[1]1_group_total_details'!$K$8:$K$10000,'[1]1_group_total_details'!$C$8:$C$10000,I41,'[1]1_group_total_details'!$F$8:$F$10000,pb_location_group_id,'[1]1_group_total_details'!$G$8:$G$10000,invoice_location_id,'[1]1_group_total_details'!$H$8:$H$10000,"&lt;="&amp;pb_date)+SUMIFS('[1]1_group_total_details'!$M$8:$M$10000,'[1]1_group_total_details'!$C$8:$C$10000,I41,'[1]1_group_total_details'!$F$8:$F$10000,pb_location_group_id,'[1]1_group_total_details'!$G$8:$G$10000,pb_location_id,'[1]1_group_total_details'!$H$8:$H$10000,"&lt;="&amp;pb_date)+SUMIFS('[1]1_group_total_details'!$P$8:$P$10000,'[1]1_group_total_details'!$C$8:$C$10000,I41,'[1]1_group_total_details'!$F$8:$F$10000,pb_location_group_id,'[1]1_group_total_details'!$G$8:$G$10000,pb_location_id,'[1]1_group_total_details'!$H$8:$H$10000,"&lt;="&amp;pb_date))))</f>
        <v/>
      </c>
      <c r="AK41" s="1640" t="str">
        <f>IF(M41="","",SUMIFS('[1]1_group_totals'!$J$8:$J$10000,'[1]1_group_totals'!$C$8:$C$10000,I41,'[1]1_group_totals'!$F$8:$F$10000,pb_location_group_id,'[1]1_group_totals'!$G$8:$G$10000,pb_location_id,'[1]1_group_totals'!$H$8:$H$10000,"="&amp;Q41,'[1]1_group_totals'!$I$8:$I$10000,"="&amp;R41))</f>
        <v/>
      </c>
      <c r="AL41" s="1644" t="str">
        <f t="shared" si="17"/>
        <v/>
      </c>
      <c r="AM41" s="1644" t="str">
        <f>IF(OR(ISNA(MATCH(MID(AL41,1,3)*1,UomConversion!$D$8:$D$500,0)),M41=""),"",IF(AQ41="","",AQ41))</f>
        <v/>
      </c>
      <c r="AN41" s="1644" t="str">
        <f>IF(AND(AO41&gt;0,COUNTIFS(UomConversion!$D$8:$D$500,MID(AL41,1,3)*1,UomConversion!$J$8:$J$500,1)&gt;1),TEXT(AO41,"000")&amp;"."&amp;VLOOKUP(AO41,uom_list,5,FALSE),"")</f>
        <v/>
      </c>
      <c r="AO41" s="1640" t="str">
        <f t="shared" si="18"/>
        <v/>
      </c>
      <c r="AP41" s="1645" t="str">
        <f t="shared" si="19"/>
        <v/>
      </c>
      <c r="AQ41" s="491" t="str">
        <f t="shared" si="20"/>
        <v/>
      </c>
      <c r="AR41" s="1281" t="str" cm="1">
        <f t="array" ref="AR41">IF(M41="","",IF(ISNA(Slookup(MID(AL41,1,3)*1,UomConversion!$D$8:$J$500,2,UomConversion!$I$8:$I$500,1,UomConversion!$J$8:$J$500,1)),"",Slookup(MID(AL41,1,3)*1,UomConversion!$D$8:$J$500,2,UomConversion!$I$8:$I$500,1,UomConversion!$J$8:$J$500,1)))</f>
        <v/>
      </c>
      <c r="AS41" s="663" t="str">
        <f>IF(M41="","",(SUMIFS('[1]1_inventory_totals'!$I$8:$I$10000,'[1]1_inventory_totals'!$C$8:$C$10000,I41,'[1]1_inventory_totals'!$F$8:$F$10000,"="&amp;Q41,'[1]1_inventory_totals'!$G$8:$G$10000,"="&amp;R41)+SUMIFS('[1]1_inventory_totals'!$N$8:$N$10000,'[1]1_inventory_totals'!$C$8:$C$10000,I41,'[1]1_inventory_totals'!$F$8:$F$10000,"="&amp;Q41,'[1]1_inventory_totals'!$G$8:$G$10000,"="&amp;R41)+SUMIFS('[1]1_inventory_totals'!$P$8:$P$10000,'[1]1_inventory_totals'!$C$8:$C$10000,I41,'[1]1_inventory_totals'!$F$8:$F$10000,"="&amp;Q41,'[1]1_inventory_totals'!$G$8:$G$10000,"="&amp;R41)+SUMIFS('[1]1_inventory_totals'!$Q$8:$Q$10000,'[1]1_inventory_totals'!$C$8:$C$10000,I41,'[1]1_inventory_totals'!$F$8:$F$10000,"="&amp;Q41,'[1]1_inventory_totals'!$G$8:$G$10000,"="&amp;R41)+SUMIFS('[1]1_inventory_totals'!$R$8:$R$10000,'[1]1_inventory_totals'!$C$8:$C$10000,I41,'[1]1_inventory_totals'!$F$8:$F$10000,"="&amp;Q41,'[1]1_inventory_totals'!$G$8:$G$10000,"="&amp;R41))+(SUMIFS('[1]1_inventory_totals'!$J$8:$J$10000,'[1]1_inventory_totals'!$C$8:$C$10000,I41,'[1]1_inventory_totals'!$F$8:$F$10000,"="&amp;Q41,'[1]1_inventory_totals'!$G$8:$G$10000,"="&amp;R41)+SUMIFS('[1]1_inventory_totals'!$K$8:$K$10000,'[1]1_inventory_totals'!$C$8:$C$10000,I41,'[1]1_inventory_totals'!$F$8:$F$10000,"="&amp;Q41,'[1]1_inventory_totals'!$G$8:$G$10000,"="&amp;R41)+SUMIFS('[1]1_inventory_totals'!$L$8:$L$10000,'[1]1_inventory_totals'!$C$8:$C$10000,I41,'[1]1_inventory_totals'!$F$8:$F$10000,"="&amp;Q41,'[1]1_inventory_totals'!$G$8:$G$10000,"="&amp;R41)+SUMIFS('[1]1_inventory_totals'!$M$8:$M$10000,'[1]1_inventory_totals'!$C$8:$C$10000,I41,'[1]1_inventory_totals'!$F$8:$F$10000,"="&amp;Q41,'[1]1_inventory_totals'!$G$8:$G$10000,"="&amp;R41)+SUMIFS('[1]1_inventory_totals'!$O$8:$O$10000,'[1]1_inventory_totals'!$C$8:$C$10000,I41,'[1]1_inventory_totals'!$F$8:$F$10000,"="&amp;Q41,'[1]1_inventory_totals'!$G$8:$G$10000,"="&amp;R41)+SUMIFS('[1]1_inventory_totals'!$S$8:$S$10000,'[1]1_inventory_totals'!$C$8:$C$10000,I41,'[1]1_inventory_totals'!$F$8:$F$10000,"="&amp;Q41,'[1]1_inventory_totals'!$G$8:$G$10000,"="&amp;R41)))</f>
        <v/>
      </c>
      <c r="AT41" s="1281" t="str">
        <f>IF(M41="","",(SUMIFS('[1]1_group_totals'!$K$8:$K$10000,'[1]1_group_totals'!$C$8:$C$10000,I41,'[1]1_group_totals'!$F$8:$F$10000,pb_location_group_id,'[1]1_group_totals'!$G$8:$G$10000,pb_location_id,'[1]1_group_totals'!$H$8:$H$10000,"="&amp;Q41,'[1]1_group_totals'!$I$8:$I$10000,"="&amp;R41)+SUMIFS('[1]1_group_totals'!$N$8:$N$10000,'[1]1_group_totals'!$C$8:$C$10000,I41,'[1]1_group_totals'!$F$8:$F$10000,pb_location_group_id,'[1]1_group_totals'!$G$8:$G$10000,pb_location_id,'[1]1_group_totals'!$H$8:$H$10000,"="&amp;Q41,'[1]1_group_totals'!$I$8:$I$10000,"="&amp;R41)+SUMIFS('[1]1_group_totals'!$P$8:$P$10000,'[1]1_group_totals'!$C$8:$C$10000,I41,'[1]1_group_totals'!$F$8:$F$10000,pb_location_group_id,'[1]1_group_totals'!$G$8:$G$10000,pb_location_id,'[1]1_group_totals'!$H$8:$H$10000,"="&amp;Q41,'[1]1_group_totals'!$I$8:$I$10000,"="&amp;R41)+SUMIFS('[1]1_group_totals'!$Q$8:$Q$10000,'[1]1_group_totals'!$C$8:$C$10000,I41,'[1]1_group_totals'!$F$8:$F$10000,pb_location_group_id,'[1]1_group_totals'!$G$8:$G$10000,pb_location_id,'[1]1_group_totals'!$H$8:$H$10000,"="&amp;Q41,'[1]1_group_totals'!$I$8:$I$10000,"="&amp;R41))+(SUMIFS('[1]1_group_totals'!$L$8:$L$10000,'[1]1_group_totals'!$C$8:$C$10000,I41,'[1]1_group_totals'!$F$8:$F$10000,pb_location_group_id,'[1]1_group_totals'!$G$8:$G$10000,pb_location_id,'[1]1_group_totals'!$H$8:$H$10000,"="&amp;Q41,'[1]1_group_totals'!$I$8:$I$10000,"="&amp;R41)+SUMIFS('[1]1_group_totals'!$M$8:$M$10000,'[1]1_group_totals'!$C$8:$C$10000,I41,'[1]1_group_totals'!$F$8:$F$10000,pb_location_group_id,'[1]1_group_totals'!$G$8:$G$10000,pb_location_id,'[1]1_group_totals'!$H$8:$H$10000,"="&amp;Q41,'[1]1_group_totals'!$I$8:$I$10000,"="&amp;R41)+SUMIFS('[1]1_group_totals'!$O$8:$O$10000,'[1]1_group_totals'!$C$8:$C$10000,I41,'[1]1_group_totals'!$F$8:$F$10000,pb_location_group_id,'[1]1_group_totals'!$G$8:$G$10000,pb_location_id,'[1]1_group_totals'!$H$8:$H$10000,"="&amp;Q41,'[1]1_group_totals'!$I$8:$I$10000,"="&amp;R41)+SUMIFS('[1]1_group_totals'!$R$8:$R$10000,'[1]1_group_totals'!$C$8:$C$10000,I41,'[1]1_group_totals'!$F$8:$F$10000,pb_location_group_id,'[1]1_group_totals'!$G$8:$G$10000,pb_location_id,'[1]1_group_totals'!$H$8:$H$10000,"="&amp;Q41,'[1]1_group_totals'!$I$8:$I$10000,"="&amp;R41)))</f>
        <v/>
      </c>
    </row>
    <row r="42" spans="1:46" ht="27" hidden="1" customHeight="1">
      <c r="A42" s="923"/>
      <c r="B42" s="1011"/>
      <c r="C42" s="950"/>
      <c r="D42" s="950"/>
      <c r="E42" s="950"/>
      <c r="F42" s="1057"/>
      <c r="I42" s="1610" t="str">
        <f t="shared" si="8"/>
        <v/>
      </c>
      <c r="J42" s="1631" t="str">
        <f t="shared" si="25"/>
        <v/>
      </c>
      <c r="K42" s="1628"/>
      <c r="L42" s="1632"/>
      <c r="M42" s="1069"/>
      <c r="N42" s="1044"/>
      <c r="O42" s="1044"/>
      <c r="P42" s="1046"/>
      <c r="Q42" s="1047"/>
      <c r="R42" s="1053"/>
      <c r="S42" s="1634" t="str">
        <f t="shared" ref="S42" si="119">IF(M42="","",pb_currency_symbol)</f>
        <v/>
      </c>
      <c r="T42" s="1068"/>
      <c r="U42" s="1636" t="str">
        <f t="shared" si="10"/>
        <v/>
      </c>
      <c r="V42" s="1634" t="str">
        <f t="shared" ref="V42" si="120">IF(W42=0,"",pb_currency_symbol)</f>
        <v/>
      </c>
      <c r="W42" s="1054"/>
      <c r="X42" s="1634" t="str">
        <f t="shared" ref="X42" si="121">IF(M42="","",pb_currency_symbol)</f>
        <v/>
      </c>
      <c r="Y42" s="1638" t="str">
        <f t="shared" si="24"/>
        <v/>
      </c>
      <c r="Z42" s="1062"/>
      <c r="AA42" s="1639" t="str" cm="1">
        <f t="array" ref="AA42">IF(M42="","",IF(P42=AL42,1,Slookup(MID(AL42,1,3)*1,UomConversion!$D$8:$J$500,5,UomConversion!$E$8:$E$500,MID(P42,1,3)*1,UomConversion!$J$8:$J$500,1)))</f>
        <v/>
      </c>
      <c r="AB42" s="1640" t="str">
        <f t="shared" si="13"/>
        <v/>
      </c>
      <c r="AC42" s="1641" t="str">
        <f t="shared" si="14"/>
        <v/>
      </c>
      <c r="AD42" s="1642" t="str">
        <f t="shared" si="15"/>
        <v/>
      </c>
      <c r="AE42" s="1643" t="str">
        <f t="shared" si="16"/>
        <v/>
      </c>
      <c r="AF42" s="1640" t="str">
        <f>IF(I42="","",IF(ISNA(MATCH(I42,IF(pb_location_id=1,'[1]1_inventory_totals'!$C$8:$C$10000,IF(pb_location_id=2,'[1]2_inventory_totals'!$C$8:$C$10000,"")),0)),0,IF(AS42&gt;0,1,0)))</f>
        <v/>
      </c>
      <c r="AG42" s="1640" t="str">
        <f>IF(M42="","",IF(pb_location_id=1,SUMIFS('[1]1_inventory_total_details'!$J$8:$J$10000,'[1]1_inventory_total_details'!$C$8:$C$10000,I42,'[1]1_inventory_total_details'!$F$8:$F$10000,pb_location_id,'[1]1_inventory_total_details'!$G$8:$G$10000,"="&amp;Q42,'[1]1_inventory_total_details'!$H$8:$H$10000,"="&amp;R42,'[1]1_inventory_total_details'!$I$8:$I$10000,"="&amp;pb_date)+SUMIFS('[1]1_inventory_total_details'!$M$8:$M$10000,'[1]1_inventory_total_details'!$C$8:$C$10000,I42,'[1]1_inventory_total_details'!$F$8:$F$10000,pb_location_id,'[1]1_inventory_total_details'!$G$8:$G$10000,"="&amp;Q42,'[1]1_inventory_total_details'!$H$8:$H$10000,"="&amp;R42,'[1]1_inventory_total_details'!$I$8:$I$10000,"="&amp;pb_date)+SUMIFS('[1]1_inventory_total_details'!$K$8:$K$10000,'[1]1_inventory_total_details'!$C$8:$C$10000,I42,'[1]1_inventory_total_details'!$F$8:$F$10000,pb_location_id,'[1]1_inventory_total_details'!$G$8:$G$10000,"="&amp;Q42,'[1]1_inventory_total_details'!$H$8:$H$10000,"="&amp;R42,'[1]1_inventory_total_details'!$I$8:$I$10000,"="&amp;pb_date)+SUMIFS('[1]1_inventory_total_details'!$L$8:$L$10000,'[1]1_inventory_total_details'!$C$8:$C$10000,I42,'[1]1_inventory_total_details'!$F$8:$F$10000,pb_location_id,'[1]1_inventory_total_details'!$G$8:$G$10000,"="&amp;Q42,'[1]1_inventory_total_details'!$H$8:$H$10000,"="&amp;R42,'[1]1_inventory_total_details'!$I$8:$I$10000,"="&amp;pb_date),SUMIFS('[1]2_inventory_total_details'!$J$8:$J$10000,'[1]2_inventory_total_details'!$C$8:$C$10000,I42,'[1]1_inventory_total_details'!$F$8:$F$10000,pb_location_id,'[1]2_inventory_total_details'!$G$8:$G$10000,"="&amp;Q42,'[1]2_inventory_total_details'!$H$8:$H$10000,"="&amp;R42,'[1]2_inventory_total_details'!$I$8:$I$10000,"="&amp;pb_date)+SUMIFS('[1]2_inventory_total_details'!$M$8:$M$10000,'[1]2_inventory_total_details'!$C$8:$C$10000,I42,'[1]2_inventory_total_details'!$F$8:$F$10000,pb_location_id,'[1]2_inventory_total_details'!$G$8:$G$10000,"="&amp;Q42,'[1]2_inventory_total_details'!$H$8:$H$10000,"="&amp;R42,'[1]2_inventory_total_details'!$I$8:$I$10000,"="&amp;pb_date)+SUMIFS('[1]2_inventory_total_details'!$K$8:$K$10000,'[1]2_inventory_total_details'!$C$8:$C$10000,I42,'[1]2_inventory_total_details'!$F$8:$F$10000,pb_location_id,'[1]2_inventory_total_details'!$G$8:$G$10000,"="&amp;Q42,'[1]2_inventory_total_details'!$H$8:$H$10000,"="&amp;R42,'[1]2_inventory_total_details'!$I$8:$I$10000,"="&amp;pb_date)+SUMIFS('[1]2_inventory_total_details'!$L$8:$L$10000,'[1]2_inventory_total_details'!$C$8:$C$10000,I42,'[1]2_inventory_total_details'!$F$8:$F$10000,pb_location_id,'[1]2_inventory_total_details'!$G$8:$G$10000,"="&amp;Q42,'[1]2_inventory_total_details'!$H$8:$H$10000,"="&amp;R42,'[1]2_inventory_total_details'!$I$8:$I$10000,"="&amp;pb_date)))</f>
        <v/>
      </c>
      <c r="AH42" s="1640" t="str">
        <f>IF(M42="","",IF(ISNA(MATCH(I42,'[1]1_group_totals'!$C$8:$C$10000)),0,IF(AT42&gt;0,1,0)))</f>
        <v/>
      </c>
      <c r="AI42" s="1640" t="str">
        <f>IF(M42="","",(SUMIFS('[1]1_group_total_details'!$I$8:$I$10000,'[1]1_group_total_details'!$C$8:$C$10000,I42,'[1]1_group_total_details'!$F$8:$F$10000,pb_location_group_id,'[1]1_group_total_details'!$G$8:$G$10000,pb_location_id,'[1]1_group_total_details'!$H$8:$H$10000,"="&amp;pb_date)+SUMIFS('[1]1_group_total_details'!$L$8:$L$10000,'[1]1_group_total_details'!$C$8:$C$10000,I42,'[1]1_group_total_details'!$F$8:$F$10000,pb_location_group_id,'[1]1_group_total_details'!$G$8:$G$10000,pb_location_id,'[1]1_group_total_details'!$H$8:$H$10000,"="&amp;pb_date)+SUMIFS('[1]1_group_total_details'!$N$8:$N$10000,'[1]1_group_total_details'!$C$8:$C$10000,I42,'[1]1_group_total_details'!$F$8:$F$10000,pb_location_group_id,'[1]1_group_total_details'!$G$8:$G$10000,pb_location_id,'[1]1_group_total_details'!$H$8:$H$10000,"="&amp;pb_date)+SUMIFS('[1]1_group_total_details'!$O$8:$O$10000,'[1]1_group_total_details'!$C$8:$C$10000,I42,'[1]1_group_total_details'!$F$8:$F$10000,pb_location_group_id,'[1]1_group_total_details'!$G$8:$G$10000,pb_location_id,'[1]1_group_total_details'!$H$8:$H$10000,"="&amp;pb_date))+(SUMIFS('[1]1_group_total_details'!$J$8:$J$10000,'[1]1_group_total_details'!$C$8:$C$10000,I42,'[1]1_group_total_details'!$F$8:$F$10000,pb_location_group_id,'[1]1_group_total_details'!$G$8:$G$10000,pb_location_id,'[1]1_group_total_details'!$H$8:$H$10000,"="&amp;pb_date)+SUMIFS('[1]1_group_total_details'!$K$8:$K$10000,'[1]1_group_total_details'!$C$8:$C$10000,I42,'[1]1_group_total_details'!$F$8:$F$10000,pb_location_group_id,'[1]1_group_total_details'!$G$8:$G$10000,pb_location_id,'[1]1_group_total_details'!$H$8:$H$10000,"="&amp;pb_date)+SUMIFS('[1]1_group_total_details'!$M$8:$M$10000,'[1]1_group_total_details'!$C$8:$C$10000,I42,'[1]1_group_total_details'!$F$8:$F$10000,pb_location_group_id,'[1]1_group_total_details'!$G$8:$G$10000,pb_location_id,'[1]1_group_total_details'!$H$8:$H$10000,"="&amp;pb_date)+SUMIFS('[1]1_group_total_details'!$P$8:$P$10000,'[1]1_group_total_details'!$C$8:$C$10000,I42,'[1]1_group_total_details'!$F$8:$F$10000,pb_location_group_id,'[1]1_group_total_details'!$G$8:$G$10000,pb_location_id,'[1]1_group_total_details'!$H$8:$H$10000,"="&amp;pb_date)))</f>
        <v/>
      </c>
      <c r="AJ42" s="1640" t="str">
        <f>IF(M42="","",IF(AK42=0,0,(SUMIFS('[1]1_group_total_details'!$I$8:$I$10000,'[1]1_group_total_details'!$C$8:$C$10000,I42,'[1]1_group_total_details'!$F$8:$F$10000,pb_location_group_id,'[1]1_group_total_details'!$G$8:$G$10000,pb_location_id,'[1]1_group_total_details'!$H$8:$H$10000,"&lt;="&amp;pb_date)+SUMIFS('[1]1_group_total_details'!$L$8:$L$10000,'[1]1_group_total_details'!$C$8:$C$10000,I42,'[1]1_group_total_details'!$F$8:$F$10000,pb_location_group_id,'[1]1_group_total_details'!$G$8:$G$10000,pb_location_id,'[1]1_group_total_details'!$H$8:$H$10000,"&lt;="&amp;pb_date)+SUMIFS('[1]1_group_total_details'!$N$8:$N$10000,'[1]1_group_total_details'!$C$8:$C$10000,I42,'[1]1_group_total_details'!$F$8:$F$10000,pb_location_group_id,'[1]1_group_total_details'!$G$8:$G$10000,pb_location_id,'[1]1_group_total_details'!$H$8:$H$10000,"&lt;="&amp;pb_date)+SUMIFS('[1]1_group_total_details'!$O$8:$O$10000,'[1]1_group_total_details'!$C$8:$C$10000,I42,'[1]1_group_total_details'!$F$8:$F$10000,pb_location_group_id,'[1]1_group_total_details'!$G$8:$G$10000,pb_location_id,'[1]1_group_total_details'!$H$8:$H$10000,"&lt;="&amp;pb_date))-(SUMIFS('[1]1_group_total_details'!$J$8:$J$10000,'[1]1_group_total_details'!$C$8:$C$10000,I42,'[1]1_group_total_details'!$F$8:$F$10000,pb_location_group_id,'[1]1_group_total_details'!$G$8:$G$10000,pb_location_id,'[1]1_group_total_details'!$H$8:$H$10000,"&lt;="&amp;pb_date)+SUMIFS('[1]1_group_total_details'!$K$8:$K$10000,'[1]1_group_total_details'!$C$8:$C$10000,I42,'[1]1_group_total_details'!$F$8:$F$10000,pb_location_group_id,'[1]1_group_total_details'!$G$8:$G$10000,invoice_location_id,'[1]1_group_total_details'!$H$8:$H$10000,"&lt;="&amp;pb_date)+SUMIFS('[1]1_group_total_details'!$M$8:$M$10000,'[1]1_group_total_details'!$C$8:$C$10000,I42,'[1]1_group_total_details'!$F$8:$F$10000,pb_location_group_id,'[1]1_group_total_details'!$G$8:$G$10000,pb_location_id,'[1]1_group_total_details'!$H$8:$H$10000,"&lt;="&amp;pb_date)+SUMIFS('[1]1_group_total_details'!$P$8:$P$10000,'[1]1_group_total_details'!$C$8:$C$10000,I42,'[1]1_group_total_details'!$F$8:$F$10000,pb_location_group_id,'[1]1_group_total_details'!$G$8:$G$10000,pb_location_id,'[1]1_group_total_details'!$H$8:$H$10000,"&lt;="&amp;pb_date))))</f>
        <v/>
      </c>
      <c r="AK42" s="1640" t="str">
        <f>IF(M42="","",SUMIFS('[1]1_group_totals'!$J$8:$J$10000,'[1]1_group_totals'!$C$8:$C$10000,I42,'[1]1_group_totals'!$F$8:$F$10000,pb_location_group_id,'[1]1_group_totals'!$G$8:$G$10000,pb_location_id,'[1]1_group_totals'!$H$8:$H$10000,"="&amp;Q42,'[1]1_group_totals'!$I$8:$I$10000,"="&amp;R42))</f>
        <v/>
      </c>
      <c r="AL42" s="1644" t="str">
        <f t="shared" si="17"/>
        <v/>
      </c>
      <c r="AM42" s="1644" t="str">
        <f>IF(OR(ISNA(MATCH(MID(AL42,1,3)*1,UomConversion!$D$8:$D$500,0)),M42=""),"",IF(AQ42="","",AQ42))</f>
        <v/>
      </c>
      <c r="AN42" s="1644" t="str">
        <f>IF(AND(AO42&gt;0,COUNTIFS(UomConversion!$D$8:$D$500,MID(AL42,1,3)*1,UomConversion!$J$8:$J$500,1)&gt;1),TEXT(AO42,"000")&amp;"."&amp;VLOOKUP(AO42,uom_list,5,FALSE),"")</f>
        <v/>
      </c>
      <c r="AO42" s="1640" t="str">
        <f t="shared" si="18"/>
        <v/>
      </c>
      <c r="AP42" s="1645" t="str">
        <f t="shared" si="19"/>
        <v/>
      </c>
      <c r="AQ42" s="491" t="str">
        <f t="shared" si="20"/>
        <v/>
      </c>
      <c r="AR42" s="1281" t="str" cm="1">
        <f t="array" ref="AR42">IF(M42="","",IF(ISNA(Slookup(MID(AL42,1,3)*1,UomConversion!$D$8:$J$500,2,UomConversion!$I$8:$I$500,1,UomConversion!$J$8:$J$500,1)),"",Slookup(MID(AL42,1,3)*1,UomConversion!$D$8:$J$500,2,UomConversion!$I$8:$I$500,1,UomConversion!$J$8:$J$500,1)))</f>
        <v/>
      </c>
      <c r="AS42" s="663" t="str">
        <f>IF(M42="","",(SUMIFS('[1]1_inventory_totals'!$I$8:$I$10000,'[1]1_inventory_totals'!$C$8:$C$10000,I42,'[1]1_inventory_totals'!$F$8:$F$10000,"="&amp;Q42,'[1]1_inventory_totals'!$G$8:$G$10000,"="&amp;R42)+SUMIFS('[1]1_inventory_totals'!$N$8:$N$10000,'[1]1_inventory_totals'!$C$8:$C$10000,I42,'[1]1_inventory_totals'!$F$8:$F$10000,"="&amp;Q42,'[1]1_inventory_totals'!$G$8:$G$10000,"="&amp;R42)+SUMIFS('[1]1_inventory_totals'!$P$8:$P$10000,'[1]1_inventory_totals'!$C$8:$C$10000,I42,'[1]1_inventory_totals'!$F$8:$F$10000,"="&amp;Q42,'[1]1_inventory_totals'!$G$8:$G$10000,"="&amp;R42)+SUMIFS('[1]1_inventory_totals'!$Q$8:$Q$10000,'[1]1_inventory_totals'!$C$8:$C$10000,I42,'[1]1_inventory_totals'!$F$8:$F$10000,"="&amp;Q42,'[1]1_inventory_totals'!$G$8:$G$10000,"="&amp;R42)+SUMIFS('[1]1_inventory_totals'!$R$8:$R$10000,'[1]1_inventory_totals'!$C$8:$C$10000,I42,'[1]1_inventory_totals'!$F$8:$F$10000,"="&amp;Q42,'[1]1_inventory_totals'!$G$8:$G$10000,"="&amp;R42))+(SUMIFS('[1]1_inventory_totals'!$J$8:$J$10000,'[1]1_inventory_totals'!$C$8:$C$10000,I42,'[1]1_inventory_totals'!$F$8:$F$10000,"="&amp;Q42,'[1]1_inventory_totals'!$G$8:$G$10000,"="&amp;R42)+SUMIFS('[1]1_inventory_totals'!$K$8:$K$10000,'[1]1_inventory_totals'!$C$8:$C$10000,I42,'[1]1_inventory_totals'!$F$8:$F$10000,"="&amp;Q42,'[1]1_inventory_totals'!$G$8:$G$10000,"="&amp;R42)+SUMIFS('[1]1_inventory_totals'!$L$8:$L$10000,'[1]1_inventory_totals'!$C$8:$C$10000,I42,'[1]1_inventory_totals'!$F$8:$F$10000,"="&amp;Q42,'[1]1_inventory_totals'!$G$8:$G$10000,"="&amp;R42)+SUMIFS('[1]1_inventory_totals'!$M$8:$M$10000,'[1]1_inventory_totals'!$C$8:$C$10000,I42,'[1]1_inventory_totals'!$F$8:$F$10000,"="&amp;Q42,'[1]1_inventory_totals'!$G$8:$G$10000,"="&amp;R42)+SUMIFS('[1]1_inventory_totals'!$O$8:$O$10000,'[1]1_inventory_totals'!$C$8:$C$10000,I42,'[1]1_inventory_totals'!$F$8:$F$10000,"="&amp;Q42,'[1]1_inventory_totals'!$G$8:$G$10000,"="&amp;R42)+SUMIFS('[1]1_inventory_totals'!$S$8:$S$10000,'[1]1_inventory_totals'!$C$8:$C$10000,I42,'[1]1_inventory_totals'!$F$8:$F$10000,"="&amp;Q42,'[1]1_inventory_totals'!$G$8:$G$10000,"="&amp;R42)))</f>
        <v/>
      </c>
      <c r="AT42" s="1281" t="str">
        <f>IF(M42="","",(SUMIFS('[1]1_group_totals'!$K$8:$K$10000,'[1]1_group_totals'!$C$8:$C$10000,I42,'[1]1_group_totals'!$F$8:$F$10000,pb_location_group_id,'[1]1_group_totals'!$G$8:$G$10000,pb_location_id,'[1]1_group_totals'!$H$8:$H$10000,"="&amp;Q42,'[1]1_group_totals'!$I$8:$I$10000,"="&amp;R42)+SUMIFS('[1]1_group_totals'!$N$8:$N$10000,'[1]1_group_totals'!$C$8:$C$10000,I42,'[1]1_group_totals'!$F$8:$F$10000,pb_location_group_id,'[1]1_group_totals'!$G$8:$G$10000,pb_location_id,'[1]1_group_totals'!$H$8:$H$10000,"="&amp;Q42,'[1]1_group_totals'!$I$8:$I$10000,"="&amp;R42)+SUMIFS('[1]1_group_totals'!$P$8:$P$10000,'[1]1_group_totals'!$C$8:$C$10000,I42,'[1]1_group_totals'!$F$8:$F$10000,pb_location_group_id,'[1]1_group_totals'!$G$8:$G$10000,pb_location_id,'[1]1_group_totals'!$H$8:$H$10000,"="&amp;Q42,'[1]1_group_totals'!$I$8:$I$10000,"="&amp;R42)+SUMIFS('[1]1_group_totals'!$Q$8:$Q$10000,'[1]1_group_totals'!$C$8:$C$10000,I42,'[1]1_group_totals'!$F$8:$F$10000,pb_location_group_id,'[1]1_group_totals'!$G$8:$G$10000,pb_location_id,'[1]1_group_totals'!$H$8:$H$10000,"="&amp;Q42,'[1]1_group_totals'!$I$8:$I$10000,"="&amp;R42))+(SUMIFS('[1]1_group_totals'!$L$8:$L$10000,'[1]1_group_totals'!$C$8:$C$10000,I42,'[1]1_group_totals'!$F$8:$F$10000,pb_location_group_id,'[1]1_group_totals'!$G$8:$G$10000,pb_location_id,'[1]1_group_totals'!$H$8:$H$10000,"="&amp;Q42,'[1]1_group_totals'!$I$8:$I$10000,"="&amp;R42)+SUMIFS('[1]1_group_totals'!$M$8:$M$10000,'[1]1_group_totals'!$C$8:$C$10000,I42,'[1]1_group_totals'!$F$8:$F$10000,pb_location_group_id,'[1]1_group_totals'!$G$8:$G$10000,pb_location_id,'[1]1_group_totals'!$H$8:$H$10000,"="&amp;Q42,'[1]1_group_totals'!$I$8:$I$10000,"="&amp;R42)+SUMIFS('[1]1_group_totals'!$O$8:$O$10000,'[1]1_group_totals'!$C$8:$C$10000,I42,'[1]1_group_totals'!$F$8:$F$10000,pb_location_group_id,'[1]1_group_totals'!$G$8:$G$10000,pb_location_id,'[1]1_group_totals'!$H$8:$H$10000,"="&amp;Q42,'[1]1_group_totals'!$I$8:$I$10000,"="&amp;R42)+SUMIFS('[1]1_group_totals'!$R$8:$R$10000,'[1]1_group_totals'!$C$8:$C$10000,I42,'[1]1_group_totals'!$F$8:$F$10000,pb_location_group_id,'[1]1_group_totals'!$G$8:$G$10000,pb_location_id,'[1]1_group_totals'!$H$8:$H$10000,"="&amp;Q42,'[1]1_group_totals'!$I$8:$I$10000,"="&amp;R42)))</f>
        <v/>
      </c>
    </row>
    <row r="43" spans="1:46" ht="27" hidden="1" customHeight="1">
      <c r="A43" s="923"/>
      <c r="B43" s="1011"/>
      <c r="C43" s="950"/>
      <c r="D43" s="950"/>
      <c r="E43" s="950"/>
      <c r="F43" s="1057"/>
      <c r="I43" s="1610" t="str">
        <f t="shared" si="8"/>
        <v/>
      </c>
      <c r="J43" s="1631" t="str">
        <f t="shared" si="25"/>
        <v/>
      </c>
      <c r="K43" s="1628"/>
      <c r="L43" s="1632"/>
      <c r="M43" s="1069"/>
      <c r="N43" s="1044"/>
      <c r="O43" s="1044"/>
      <c r="P43" s="1046"/>
      <c r="Q43" s="1047"/>
      <c r="R43" s="1053"/>
      <c r="S43" s="1634" t="str">
        <f t="shared" ref="S43" si="122">IF(M43="","",pb_currency_symbol)</f>
        <v/>
      </c>
      <c r="T43" s="1068"/>
      <c r="U43" s="1636" t="str">
        <f t="shared" si="10"/>
        <v/>
      </c>
      <c r="V43" s="1634" t="str">
        <f t="shared" ref="V43" si="123">IF(W43=0,"",pb_currency_symbol)</f>
        <v/>
      </c>
      <c r="W43" s="1054"/>
      <c r="X43" s="1634" t="str">
        <f t="shared" ref="X43" si="124">IF(M43="","",pb_currency_symbol)</f>
        <v/>
      </c>
      <c r="Y43" s="1638" t="str">
        <f t="shared" si="24"/>
        <v/>
      </c>
      <c r="Z43" s="1062"/>
      <c r="AA43" s="1639" t="str" cm="1">
        <f t="array" ref="AA43">IF(M43="","",IF(P43=AL43,1,Slookup(MID(AL43,1,3)*1,UomConversion!$D$8:$J$500,5,UomConversion!$E$8:$E$500,MID(P43,1,3)*1,UomConversion!$J$8:$J$500,1)))</f>
        <v/>
      </c>
      <c r="AB43" s="1640" t="str">
        <f t="shared" si="13"/>
        <v/>
      </c>
      <c r="AC43" s="1641" t="str">
        <f t="shared" si="14"/>
        <v/>
      </c>
      <c r="AD43" s="1642" t="str">
        <f t="shared" si="15"/>
        <v/>
      </c>
      <c r="AE43" s="1643" t="str">
        <f t="shared" si="16"/>
        <v/>
      </c>
      <c r="AF43" s="1640" t="str">
        <f>IF(I43="","",IF(ISNA(MATCH(I43,IF(pb_location_id=1,'[1]1_inventory_totals'!$C$8:$C$10000,IF(pb_location_id=2,'[1]2_inventory_totals'!$C$8:$C$10000,"")),0)),0,IF(AS43&gt;0,1,0)))</f>
        <v/>
      </c>
      <c r="AG43" s="1640" t="str">
        <f>IF(M43="","",IF(pb_location_id=1,SUMIFS('[1]1_inventory_total_details'!$J$8:$J$10000,'[1]1_inventory_total_details'!$C$8:$C$10000,I43,'[1]1_inventory_total_details'!$F$8:$F$10000,pb_location_id,'[1]1_inventory_total_details'!$G$8:$G$10000,"="&amp;Q43,'[1]1_inventory_total_details'!$H$8:$H$10000,"="&amp;R43,'[1]1_inventory_total_details'!$I$8:$I$10000,"="&amp;pb_date)+SUMIFS('[1]1_inventory_total_details'!$M$8:$M$10000,'[1]1_inventory_total_details'!$C$8:$C$10000,I43,'[1]1_inventory_total_details'!$F$8:$F$10000,pb_location_id,'[1]1_inventory_total_details'!$G$8:$G$10000,"="&amp;Q43,'[1]1_inventory_total_details'!$H$8:$H$10000,"="&amp;R43,'[1]1_inventory_total_details'!$I$8:$I$10000,"="&amp;pb_date)+SUMIFS('[1]1_inventory_total_details'!$K$8:$K$10000,'[1]1_inventory_total_details'!$C$8:$C$10000,I43,'[1]1_inventory_total_details'!$F$8:$F$10000,pb_location_id,'[1]1_inventory_total_details'!$G$8:$G$10000,"="&amp;Q43,'[1]1_inventory_total_details'!$H$8:$H$10000,"="&amp;R43,'[1]1_inventory_total_details'!$I$8:$I$10000,"="&amp;pb_date)+SUMIFS('[1]1_inventory_total_details'!$L$8:$L$10000,'[1]1_inventory_total_details'!$C$8:$C$10000,I43,'[1]1_inventory_total_details'!$F$8:$F$10000,pb_location_id,'[1]1_inventory_total_details'!$G$8:$G$10000,"="&amp;Q43,'[1]1_inventory_total_details'!$H$8:$H$10000,"="&amp;R43,'[1]1_inventory_total_details'!$I$8:$I$10000,"="&amp;pb_date),SUMIFS('[1]2_inventory_total_details'!$J$8:$J$10000,'[1]2_inventory_total_details'!$C$8:$C$10000,I43,'[1]1_inventory_total_details'!$F$8:$F$10000,pb_location_id,'[1]2_inventory_total_details'!$G$8:$G$10000,"="&amp;Q43,'[1]2_inventory_total_details'!$H$8:$H$10000,"="&amp;R43,'[1]2_inventory_total_details'!$I$8:$I$10000,"="&amp;pb_date)+SUMIFS('[1]2_inventory_total_details'!$M$8:$M$10000,'[1]2_inventory_total_details'!$C$8:$C$10000,I43,'[1]2_inventory_total_details'!$F$8:$F$10000,pb_location_id,'[1]2_inventory_total_details'!$G$8:$G$10000,"="&amp;Q43,'[1]2_inventory_total_details'!$H$8:$H$10000,"="&amp;R43,'[1]2_inventory_total_details'!$I$8:$I$10000,"="&amp;pb_date)+SUMIFS('[1]2_inventory_total_details'!$K$8:$K$10000,'[1]2_inventory_total_details'!$C$8:$C$10000,I43,'[1]2_inventory_total_details'!$F$8:$F$10000,pb_location_id,'[1]2_inventory_total_details'!$G$8:$G$10000,"="&amp;Q43,'[1]2_inventory_total_details'!$H$8:$H$10000,"="&amp;R43,'[1]2_inventory_total_details'!$I$8:$I$10000,"="&amp;pb_date)+SUMIFS('[1]2_inventory_total_details'!$L$8:$L$10000,'[1]2_inventory_total_details'!$C$8:$C$10000,I43,'[1]2_inventory_total_details'!$F$8:$F$10000,pb_location_id,'[1]2_inventory_total_details'!$G$8:$G$10000,"="&amp;Q43,'[1]2_inventory_total_details'!$H$8:$H$10000,"="&amp;R43,'[1]2_inventory_total_details'!$I$8:$I$10000,"="&amp;pb_date)))</f>
        <v/>
      </c>
      <c r="AH43" s="1640" t="str">
        <f>IF(M43="","",IF(ISNA(MATCH(I43,'[1]1_group_totals'!$C$8:$C$10000)),0,IF(AT43&gt;0,1,0)))</f>
        <v/>
      </c>
      <c r="AI43" s="1640" t="str">
        <f>IF(M43="","",(SUMIFS('[1]1_group_total_details'!$I$8:$I$10000,'[1]1_group_total_details'!$C$8:$C$10000,I43,'[1]1_group_total_details'!$F$8:$F$10000,pb_location_group_id,'[1]1_group_total_details'!$G$8:$G$10000,pb_location_id,'[1]1_group_total_details'!$H$8:$H$10000,"="&amp;pb_date)+SUMIFS('[1]1_group_total_details'!$L$8:$L$10000,'[1]1_group_total_details'!$C$8:$C$10000,I43,'[1]1_group_total_details'!$F$8:$F$10000,pb_location_group_id,'[1]1_group_total_details'!$G$8:$G$10000,pb_location_id,'[1]1_group_total_details'!$H$8:$H$10000,"="&amp;pb_date)+SUMIFS('[1]1_group_total_details'!$N$8:$N$10000,'[1]1_group_total_details'!$C$8:$C$10000,I43,'[1]1_group_total_details'!$F$8:$F$10000,pb_location_group_id,'[1]1_group_total_details'!$G$8:$G$10000,pb_location_id,'[1]1_group_total_details'!$H$8:$H$10000,"="&amp;pb_date)+SUMIFS('[1]1_group_total_details'!$O$8:$O$10000,'[1]1_group_total_details'!$C$8:$C$10000,I43,'[1]1_group_total_details'!$F$8:$F$10000,pb_location_group_id,'[1]1_group_total_details'!$G$8:$G$10000,pb_location_id,'[1]1_group_total_details'!$H$8:$H$10000,"="&amp;pb_date))+(SUMIFS('[1]1_group_total_details'!$J$8:$J$10000,'[1]1_group_total_details'!$C$8:$C$10000,I43,'[1]1_group_total_details'!$F$8:$F$10000,pb_location_group_id,'[1]1_group_total_details'!$G$8:$G$10000,pb_location_id,'[1]1_group_total_details'!$H$8:$H$10000,"="&amp;pb_date)+SUMIFS('[1]1_group_total_details'!$K$8:$K$10000,'[1]1_group_total_details'!$C$8:$C$10000,I43,'[1]1_group_total_details'!$F$8:$F$10000,pb_location_group_id,'[1]1_group_total_details'!$G$8:$G$10000,pb_location_id,'[1]1_group_total_details'!$H$8:$H$10000,"="&amp;pb_date)+SUMIFS('[1]1_group_total_details'!$M$8:$M$10000,'[1]1_group_total_details'!$C$8:$C$10000,I43,'[1]1_group_total_details'!$F$8:$F$10000,pb_location_group_id,'[1]1_group_total_details'!$G$8:$G$10000,pb_location_id,'[1]1_group_total_details'!$H$8:$H$10000,"="&amp;pb_date)+SUMIFS('[1]1_group_total_details'!$P$8:$P$10000,'[1]1_group_total_details'!$C$8:$C$10000,I43,'[1]1_group_total_details'!$F$8:$F$10000,pb_location_group_id,'[1]1_group_total_details'!$G$8:$G$10000,pb_location_id,'[1]1_group_total_details'!$H$8:$H$10000,"="&amp;pb_date)))</f>
        <v/>
      </c>
      <c r="AJ43" s="1640" t="str">
        <f>IF(M43="","",IF(AK43=0,0,(SUMIFS('[1]1_group_total_details'!$I$8:$I$10000,'[1]1_group_total_details'!$C$8:$C$10000,I43,'[1]1_group_total_details'!$F$8:$F$10000,pb_location_group_id,'[1]1_group_total_details'!$G$8:$G$10000,pb_location_id,'[1]1_group_total_details'!$H$8:$H$10000,"&lt;="&amp;pb_date)+SUMIFS('[1]1_group_total_details'!$L$8:$L$10000,'[1]1_group_total_details'!$C$8:$C$10000,I43,'[1]1_group_total_details'!$F$8:$F$10000,pb_location_group_id,'[1]1_group_total_details'!$G$8:$G$10000,pb_location_id,'[1]1_group_total_details'!$H$8:$H$10000,"&lt;="&amp;pb_date)+SUMIFS('[1]1_group_total_details'!$N$8:$N$10000,'[1]1_group_total_details'!$C$8:$C$10000,I43,'[1]1_group_total_details'!$F$8:$F$10000,pb_location_group_id,'[1]1_group_total_details'!$G$8:$G$10000,pb_location_id,'[1]1_group_total_details'!$H$8:$H$10000,"&lt;="&amp;pb_date)+SUMIFS('[1]1_group_total_details'!$O$8:$O$10000,'[1]1_group_total_details'!$C$8:$C$10000,I43,'[1]1_group_total_details'!$F$8:$F$10000,pb_location_group_id,'[1]1_group_total_details'!$G$8:$G$10000,pb_location_id,'[1]1_group_total_details'!$H$8:$H$10000,"&lt;="&amp;pb_date))-(SUMIFS('[1]1_group_total_details'!$J$8:$J$10000,'[1]1_group_total_details'!$C$8:$C$10000,I43,'[1]1_group_total_details'!$F$8:$F$10000,pb_location_group_id,'[1]1_group_total_details'!$G$8:$G$10000,pb_location_id,'[1]1_group_total_details'!$H$8:$H$10000,"&lt;="&amp;pb_date)+SUMIFS('[1]1_group_total_details'!$K$8:$K$10000,'[1]1_group_total_details'!$C$8:$C$10000,I43,'[1]1_group_total_details'!$F$8:$F$10000,pb_location_group_id,'[1]1_group_total_details'!$G$8:$G$10000,invoice_location_id,'[1]1_group_total_details'!$H$8:$H$10000,"&lt;="&amp;pb_date)+SUMIFS('[1]1_group_total_details'!$M$8:$M$10000,'[1]1_group_total_details'!$C$8:$C$10000,I43,'[1]1_group_total_details'!$F$8:$F$10000,pb_location_group_id,'[1]1_group_total_details'!$G$8:$G$10000,pb_location_id,'[1]1_group_total_details'!$H$8:$H$10000,"&lt;="&amp;pb_date)+SUMIFS('[1]1_group_total_details'!$P$8:$P$10000,'[1]1_group_total_details'!$C$8:$C$10000,I43,'[1]1_group_total_details'!$F$8:$F$10000,pb_location_group_id,'[1]1_group_total_details'!$G$8:$G$10000,pb_location_id,'[1]1_group_total_details'!$H$8:$H$10000,"&lt;="&amp;pb_date))))</f>
        <v/>
      </c>
      <c r="AK43" s="1640" t="str">
        <f>IF(M43="","",SUMIFS('[1]1_group_totals'!$J$8:$J$10000,'[1]1_group_totals'!$C$8:$C$10000,I43,'[1]1_group_totals'!$F$8:$F$10000,pb_location_group_id,'[1]1_group_totals'!$G$8:$G$10000,pb_location_id,'[1]1_group_totals'!$H$8:$H$10000,"="&amp;Q43,'[1]1_group_totals'!$I$8:$I$10000,"="&amp;R43))</f>
        <v/>
      </c>
      <c r="AL43" s="1644" t="str">
        <f t="shared" si="17"/>
        <v/>
      </c>
      <c r="AM43" s="1644" t="str">
        <f>IF(OR(ISNA(MATCH(MID(AL43,1,3)*1,UomConversion!$D$8:$D$500,0)),M43=""),"",IF(AQ43="","",AQ43))</f>
        <v/>
      </c>
      <c r="AN43" s="1644" t="str">
        <f>IF(AND(AO43&gt;0,COUNTIFS(UomConversion!$D$8:$D$500,MID(AL43,1,3)*1,UomConversion!$J$8:$J$500,1)&gt;1),TEXT(AO43,"000")&amp;"."&amp;VLOOKUP(AO43,uom_list,5,FALSE),"")</f>
        <v/>
      </c>
      <c r="AO43" s="1640" t="str">
        <f t="shared" si="18"/>
        <v/>
      </c>
      <c r="AP43" s="1645" t="str">
        <f t="shared" si="19"/>
        <v/>
      </c>
      <c r="AQ43" s="491" t="str">
        <f t="shared" si="20"/>
        <v/>
      </c>
      <c r="AR43" s="1281" t="str" cm="1">
        <f t="array" ref="AR43">IF(M43="","",IF(ISNA(Slookup(MID(AL43,1,3)*1,UomConversion!$D$8:$J$500,2,UomConversion!$I$8:$I$500,1,UomConversion!$J$8:$J$500,1)),"",Slookup(MID(AL43,1,3)*1,UomConversion!$D$8:$J$500,2,UomConversion!$I$8:$I$500,1,UomConversion!$J$8:$J$500,1)))</f>
        <v/>
      </c>
      <c r="AS43" s="663" t="str">
        <f>IF(M43="","",(SUMIFS('[1]1_inventory_totals'!$I$8:$I$10000,'[1]1_inventory_totals'!$C$8:$C$10000,I43,'[1]1_inventory_totals'!$F$8:$F$10000,"="&amp;Q43,'[1]1_inventory_totals'!$G$8:$G$10000,"="&amp;R43)+SUMIFS('[1]1_inventory_totals'!$N$8:$N$10000,'[1]1_inventory_totals'!$C$8:$C$10000,I43,'[1]1_inventory_totals'!$F$8:$F$10000,"="&amp;Q43,'[1]1_inventory_totals'!$G$8:$G$10000,"="&amp;R43)+SUMIFS('[1]1_inventory_totals'!$P$8:$P$10000,'[1]1_inventory_totals'!$C$8:$C$10000,I43,'[1]1_inventory_totals'!$F$8:$F$10000,"="&amp;Q43,'[1]1_inventory_totals'!$G$8:$G$10000,"="&amp;R43)+SUMIFS('[1]1_inventory_totals'!$Q$8:$Q$10000,'[1]1_inventory_totals'!$C$8:$C$10000,I43,'[1]1_inventory_totals'!$F$8:$F$10000,"="&amp;Q43,'[1]1_inventory_totals'!$G$8:$G$10000,"="&amp;R43)+SUMIFS('[1]1_inventory_totals'!$R$8:$R$10000,'[1]1_inventory_totals'!$C$8:$C$10000,I43,'[1]1_inventory_totals'!$F$8:$F$10000,"="&amp;Q43,'[1]1_inventory_totals'!$G$8:$G$10000,"="&amp;R43))+(SUMIFS('[1]1_inventory_totals'!$J$8:$J$10000,'[1]1_inventory_totals'!$C$8:$C$10000,I43,'[1]1_inventory_totals'!$F$8:$F$10000,"="&amp;Q43,'[1]1_inventory_totals'!$G$8:$G$10000,"="&amp;R43)+SUMIFS('[1]1_inventory_totals'!$K$8:$K$10000,'[1]1_inventory_totals'!$C$8:$C$10000,I43,'[1]1_inventory_totals'!$F$8:$F$10000,"="&amp;Q43,'[1]1_inventory_totals'!$G$8:$G$10000,"="&amp;R43)+SUMIFS('[1]1_inventory_totals'!$L$8:$L$10000,'[1]1_inventory_totals'!$C$8:$C$10000,I43,'[1]1_inventory_totals'!$F$8:$F$10000,"="&amp;Q43,'[1]1_inventory_totals'!$G$8:$G$10000,"="&amp;R43)+SUMIFS('[1]1_inventory_totals'!$M$8:$M$10000,'[1]1_inventory_totals'!$C$8:$C$10000,I43,'[1]1_inventory_totals'!$F$8:$F$10000,"="&amp;Q43,'[1]1_inventory_totals'!$G$8:$G$10000,"="&amp;R43)+SUMIFS('[1]1_inventory_totals'!$O$8:$O$10000,'[1]1_inventory_totals'!$C$8:$C$10000,I43,'[1]1_inventory_totals'!$F$8:$F$10000,"="&amp;Q43,'[1]1_inventory_totals'!$G$8:$G$10000,"="&amp;R43)+SUMIFS('[1]1_inventory_totals'!$S$8:$S$10000,'[1]1_inventory_totals'!$C$8:$C$10000,I43,'[1]1_inventory_totals'!$F$8:$F$10000,"="&amp;Q43,'[1]1_inventory_totals'!$G$8:$G$10000,"="&amp;R43)))</f>
        <v/>
      </c>
      <c r="AT43" s="1281" t="str">
        <f>IF(M43="","",(SUMIFS('[1]1_group_totals'!$K$8:$K$10000,'[1]1_group_totals'!$C$8:$C$10000,I43,'[1]1_group_totals'!$F$8:$F$10000,pb_location_group_id,'[1]1_group_totals'!$G$8:$G$10000,pb_location_id,'[1]1_group_totals'!$H$8:$H$10000,"="&amp;Q43,'[1]1_group_totals'!$I$8:$I$10000,"="&amp;R43)+SUMIFS('[1]1_group_totals'!$N$8:$N$10000,'[1]1_group_totals'!$C$8:$C$10000,I43,'[1]1_group_totals'!$F$8:$F$10000,pb_location_group_id,'[1]1_group_totals'!$G$8:$G$10000,pb_location_id,'[1]1_group_totals'!$H$8:$H$10000,"="&amp;Q43,'[1]1_group_totals'!$I$8:$I$10000,"="&amp;R43)+SUMIFS('[1]1_group_totals'!$P$8:$P$10000,'[1]1_group_totals'!$C$8:$C$10000,I43,'[1]1_group_totals'!$F$8:$F$10000,pb_location_group_id,'[1]1_group_totals'!$G$8:$G$10000,pb_location_id,'[1]1_group_totals'!$H$8:$H$10000,"="&amp;Q43,'[1]1_group_totals'!$I$8:$I$10000,"="&amp;R43)+SUMIFS('[1]1_group_totals'!$Q$8:$Q$10000,'[1]1_group_totals'!$C$8:$C$10000,I43,'[1]1_group_totals'!$F$8:$F$10000,pb_location_group_id,'[1]1_group_totals'!$G$8:$G$10000,pb_location_id,'[1]1_group_totals'!$H$8:$H$10000,"="&amp;Q43,'[1]1_group_totals'!$I$8:$I$10000,"="&amp;R43))+(SUMIFS('[1]1_group_totals'!$L$8:$L$10000,'[1]1_group_totals'!$C$8:$C$10000,I43,'[1]1_group_totals'!$F$8:$F$10000,pb_location_group_id,'[1]1_group_totals'!$G$8:$G$10000,pb_location_id,'[1]1_group_totals'!$H$8:$H$10000,"="&amp;Q43,'[1]1_group_totals'!$I$8:$I$10000,"="&amp;R43)+SUMIFS('[1]1_group_totals'!$M$8:$M$10000,'[1]1_group_totals'!$C$8:$C$10000,I43,'[1]1_group_totals'!$F$8:$F$10000,pb_location_group_id,'[1]1_group_totals'!$G$8:$G$10000,pb_location_id,'[1]1_group_totals'!$H$8:$H$10000,"="&amp;Q43,'[1]1_group_totals'!$I$8:$I$10000,"="&amp;R43)+SUMIFS('[1]1_group_totals'!$O$8:$O$10000,'[1]1_group_totals'!$C$8:$C$10000,I43,'[1]1_group_totals'!$F$8:$F$10000,pb_location_group_id,'[1]1_group_totals'!$G$8:$G$10000,pb_location_id,'[1]1_group_totals'!$H$8:$H$10000,"="&amp;Q43,'[1]1_group_totals'!$I$8:$I$10000,"="&amp;R43)+SUMIFS('[1]1_group_totals'!$R$8:$R$10000,'[1]1_group_totals'!$C$8:$C$10000,I43,'[1]1_group_totals'!$F$8:$F$10000,pb_location_group_id,'[1]1_group_totals'!$G$8:$G$10000,pb_location_id,'[1]1_group_totals'!$H$8:$H$10000,"="&amp;Q43,'[1]1_group_totals'!$I$8:$I$10000,"="&amp;R43)))</f>
        <v/>
      </c>
    </row>
    <row r="44" spans="1:46" ht="27" hidden="1" customHeight="1">
      <c r="A44" s="923"/>
      <c r="B44" s="1011"/>
      <c r="C44" s="950"/>
      <c r="D44" s="950"/>
      <c r="E44" s="950"/>
      <c r="F44" s="1057"/>
      <c r="I44" s="1610" t="str">
        <f t="shared" si="8"/>
        <v/>
      </c>
      <c r="J44" s="1631" t="str">
        <f t="shared" si="25"/>
        <v/>
      </c>
      <c r="K44" s="1628"/>
      <c r="L44" s="1632"/>
      <c r="M44" s="1069"/>
      <c r="N44" s="1044"/>
      <c r="O44" s="1044"/>
      <c r="P44" s="1046"/>
      <c r="Q44" s="1047"/>
      <c r="R44" s="1053"/>
      <c r="S44" s="1634" t="str">
        <f t="shared" ref="S44" si="125">IF(M44="","",pb_currency_symbol)</f>
        <v/>
      </c>
      <c r="T44" s="1068"/>
      <c r="U44" s="1636" t="str">
        <f t="shared" si="10"/>
        <v/>
      </c>
      <c r="V44" s="1634" t="str">
        <f t="shared" ref="V44" si="126">IF(W44=0,"",pb_currency_symbol)</f>
        <v/>
      </c>
      <c r="W44" s="1054"/>
      <c r="X44" s="1634" t="str">
        <f t="shared" ref="X44" si="127">IF(M44="","",pb_currency_symbol)</f>
        <v/>
      </c>
      <c r="Y44" s="1638" t="str">
        <f t="shared" si="24"/>
        <v/>
      </c>
      <c r="Z44" s="1062"/>
      <c r="AA44" s="1639" t="str" cm="1">
        <f t="array" ref="AA44">IF(M44="","",IF(P44=AL44,1,Slookup(MID(AL44,1,3)*1,UomConversion!$D$8:$J$500,5,UomConversion!$E$8:$E$500,MID(P44,1,3)*1,UomConversion!$J$8:$J$500,1)))</f>
        <v/>
      </c>
      <c r="AB44" s="1640" t="str">
        <f t="shared" si="13"/>
        <v/>
      </c>
      <c r="AC44" s="1641" t="str">
        <f t="shared" si="14"/>
        <v/>
      </c>
      <c r="AD44" s="1642" t="str">
        <f t="shared" si="15"/>
        <v/>
      </c>
      <c r="AE44" s="1643" t="str">
        <f t="shared" si="16"/>
        <v/>
      </c>
      <c r="AF44" s="1640" t="str">
        <f>IF(I44="","",IF(ISNA(MATCH(I44,IF(pb_location_id=1,'[1]1_inventory_totals'!$C$8:$C$10000,IF(pb_location_id=2,'[1]2_inventory_totals'!$C$8:$C$10000,"")),0)),0,IF(AS44&gt;0,1,0)))</f>
        <v/>
      </c>
      <c r="AG44" s="1640" t="str">
        <f>IF(M44="","",IF(pb_location_id=1,SUMIFS('[1]1_inventory_total_details'!$J$8:$J$10000,'[1]1_inventory_total_details'!$C$8:$C$10000,I44,'[1]1_inventory_total_details'!$F$8:$F$10000,pb_location_id,'[1]1_inventory_total_details'!$G$8:$G$10000,"="&amp;Q44,'[1]1_inventory_total_details'!$H$8:$H$10000,"="&amp;R44,'[1]1_inventory_total_details'!$I$8:$I$10000,"="&amp;pb_date)+SUMIFS('[1]1_inventory_total_details'!$M$8:$M$10000,'[1]1_inventory_total_details'!$C$8:$C$10000,I44,'[1]1_inventory_total_details'!$F$8:$F$10000,pb_location_id,'[1]1_inventory_total_details'!$G$8:$G$10000,"="&amp;Q44,'[1]1_inventory_total_details'!$H$8:$H$10000,"="&amp;R44,'[1]1_inventory_total_details'!$I$8:$I$10000,"="&amp;pb_date)+SUMIFS('[1]1_inventory_total_details'!$K$8:$K$10000,'[1]1_inventory_total_details'!$C$8:$C$10000,I44,'[1]1_inventory_total_details'!$F$8:$F$10000,pb_location_id,'[1]1_inventory_total_details'!$G$8:$G$10000,"="&amp;Q44,'[1]1_inventory_total_details'!$H$8:$H$10000,"="&amp;R44,'[1]1_inventory_total_details'!$I$8:$I$10000,"="&amp;pb_date)+SUMIFS('[1]1_inventory_total_details'!$L$8:$L$10000,'[1]1_inventory_total_details'!$C$8:$C$10000,I44,'[1]1_inventory_total_details'!$F$8:$F$10000,pb_location_id,'[1]1_inventory_total_details'!$G$8:$G$10000,"="&amp;Q44,'[1]1_inventory_total_details'!$H$8:$H$10000,"="&amp;R44,'[1]1_inventory_total_details'!$I$8:$I$10000,"="&amp;pb_date),SUMIFS('[1]2_inventory_total_details'!$J$8:$J$10000,'[1]2_inventory_total_details'!$C$8:$C$10000,I44,'[1]1_inventory_total_details'!$F$8:$F$10000,pb_location_id,'[1]2_inventory_total_details'!$G$8:$G$10000,"="&amp;Q44,'[1]2_inventory_total_details'!$H$8:$H$10000,"="&amp;R44,'[1]2_inventory_total_details'!$I$8:$I$10000,"="&amp;pb_date)+SUMIFS('[1]2_inventory_total_details'!$M$8:$M$10000,'[1]2_inventory_total_details'!$C$8:$C$10000,I44,'[1]2_inventory_total_details'!$F$8:$F$10000,pb_location_id,'[1]2_inventory_total_details'!$G$8:$G$10000,"="&amp;Q44,'[1]2_inventory_total_details'!$H$8:$H$10000,"="&amp;R44,'[1]2_inventory_total_details'!$I$8:$I$10000,"="&amp;pb_date)+SUMIFS('[1]2_inventory_total_details'!$K$8:$K$10000,'[1]2_inventory_total_details'!$C$8:$C$10000,I44,'[1]2_inventory_total_details'!$F$8:$F$10000,pb_location_id,'[1]2_inventory_total_details'!$G$8:$G$10000,"="&amp;Q44,'[1]2_inventory_total_details'!$H$8:$H$10000,"="&amp;R44,'[1]2_inventory_total_details'!$I$8:$I$10000,"="&amp;pb_date)+SUMIFS('[1]2_inventory_total_details'!$L$8:$L$10000,'[1]2_inventory_total_details'!$C$8:$C$10000,I44,'[1]2_inventory_total_details'!$F$8:$F$10000,pb_location_id,'[1]2_inventory_total_details'!$G$8:$G$10000,"="&amp;Q44,'[1]2_inventory_total_details'!$H$8:$H$10000,"="&amp;R44,'[1]2_inventory_total_details'!$I$8:$I$10000,"="&amp;pb_date)))</f>
        <v/>
      </c>
      <c r="AH44" s="1640" t="str">
        <f>IF(M44="","",IF(ISNA(MATCH(I44,'[1]1_group_totals'!$C$8:$C$10000)),0,IF(AT44&gt;0,1,0)))</f>
        <v/>
      </c>
      <c r="AI44" s="1640" t="str">
        <f>IF(M44="","",(SUMIFS('[1]1_group_total_details'!$I$8:$I$10000,'[1]1_group_total_details'!$C$8:$C$10000,I44,'[1]1_group_total_details'!$F$8:$F$10000,pb_location_group_id,'[1]1_group_total_details'!$G$8:$G$10000,pb_location_id,'[1]1_group_total_details'!$H$8:$H$10000,"="&amp;pb_date)+SUMIFS('[1]1_group_total_details'!$L$8:$L$10000,'[1]1_group_total_details'!$C$8:$C$10000,I44,'[1]1_group_total_details'!$F$8:$F$10000,pb_location_group_id,'[1]1_group_total_details'!$G$8:$G$10000,pb_location_id,'[1]1_group_total_details'!$H$8:$H$10000,"="&amp;pb_date)+SUMIFS('[1]1_group_total_details'!$N$8:$N$10000,'[1]1_group_total_details'!$C$8:$C$10000,I44,'[1]1_group_total_details'!$F$8:$F$10000,pb_location_group_id,'[1]1_group_total_details'!$G$8:$G$10000,pb_location_id,'[1]1_group_total_details'!$H$8:$H$10000,"="&amp;pb_date)+SUMIFS('[1]1_group_total_details'!$O$8:$O$10000,'[1]1_group_total_details'!$C$8:$C$10000,I44,'[1]1_group_total_details'!$F$8:$F$10000,pb_location_group_id,'[1]1_group_total_details'!$G$8:$G$10000,pb_location_id,'[1]1_group_total_details'!$H$8:$H$10000,"="&amp;pb_date))+(SUMIFS('[1]1_group_total_details'!$J$8:$J$10000,'[1]1_group_total_details'!$C$8:$C$10000,I44,'[1]1_group_total_details'!$F$8:$F$10000,pb_location_group_id,'[1]1_group_total_details'!$G$8:$G$10000,pb_location_id,'[1]1_group_total_details'!$H$8:$H$10000,"="&amp;pb_date)+SUMIFS('[1]1_group_total_details'!$K$8:$K$10000,'[1]1_group_total_details'!$C$8:$C$10000,I44,'[1]1_group_total_details'!$F$8:$F$10000,pb_location_group_id,'[1]1_group_total_details'!$G$8:$G$10000,pb_location_id,'[1]1_group_total_details'!$H$8:$H$10000,"="&amp;pb_date)+SUMIFS('[1]1_group_total_details'!$M$8:$M$10000,'[1]1_group_total_details'!$C$8:$C$10000,I44,'[1]1_group_total_details'!$F$8:$F$10000,pb_location_group_id,'[1]1_group_total_details'!$G$8:$G$10000,pb_location_id,'[1]1_group_total_details'!$H$8:$H$10000,"="&amp;pb_date)+SUMIFS('[1]1_group_total_details'!$P$8:$P$10000,'[1]1_group_total_details'!$C$8:$C$10000,I44,'[1]1_group_total_details'!$F$8:$F$10000,pb_location_group_id,'[1]1_group_total_details'!$G$8:$G$10000,pb_location_id,'[1]1_group_total_details'!$H$8:$H$10000,"="&amp;pb_date)))</f>
        <v/>
      </c>
      <c r="AJ44" s="1640" t="str">
        <f>IF(M44="","",IF(AK44=0,0,(SUMIFS('[1]1_group_total_details'!$I$8:$I$10000,'[1]1_group_total_details'!$C$8:$C$10000,I44,'[1]1_group_total_details'!$F$8:$F$10000,pb_location_group_id,'[1]1_group_total_details'!$G$8:$G$10000,pb_location_id,'[1]1_group_total_details'!$H$8:$H$10000,"&lt;="&amp;pb_date)+SUMIFS('[1]1_group_total_details'!$L$8:$L$10000,'[1]1_group_total_details'!$C$8:$C$10000,I44,'[1]1_group_total_details'!$F$8:$F$10000,pb_location_group_id,'[1]1_group_total_details'!$G$8:$G$10000,pb_location_id,'[1]1_group_total_details'!$H$8:$H$10000,"&lt;="&amp;pb_date)+SUMIFS('[1]1_group_total_details'!$N$8:$N$10000,'[1]1_group_total_details'!$C$8:$C$10000,I44,'[1]1_group_total_details'!$F$8:$F$10000,pb_location_group_id,'[1]1_group_total_details'!$G$8:$G$10000,pb_location_id,'[1]1_group_total_details'!$H$8:$H$10000,"&lt;="&amp;pb_date)+SUMIFS('[1]1_group_total_details'!$O$8:$O$10000,'[1]1_group_total_details'!$C$8:$C$10000,I44,'[1]1_group_total_details'!$F$8:$F$10000,pb_location_group_id,'[1]1_group_total_details'!$G$8:$G$10000,pb_location_id,'[1]1_group_total_details'!$H$8:$H$10000,"&lt;="&amp;pb_date))-(SUMIFS('[1]1_group_total_details'!$J$8:$J$10000,'[1]1_group_total_details'!$C$8:$C$10000,I44,'[1]1_group_total_details'!$F$8:$F$10000,pb_location_group_id,'[1]1_group_total_details'!$G$8:$G$10000,pb_location_id,'[1]1_group_total_details'!$H$8:$H$10000,"&lt;="&amp;pb_date)+SUMIFS('[1]1_group_total_details'!$K$8:$K$10000,'[1]1_group_total_details'!$C$8:$C$10000,I44,'[1]1_group_total_details'!$F$8:$F$10000,pb_location_group_id,'[1]1_group_total_details'!$G$8:$G$10000,invoice_location_id,'[1]1_group_total_details'!$H$8:$H$10000,"&lt;="&amp;pb_date)+SUMIFS('[1]1_group_total_details'!$M$8:$M$10000,'[1]1_group_total_details'!$C$8:$C$10000,I44,'[1]1_group_total_details'!$F$8:$F$10000,pb_location_group_id,'[1]1_group_total_details'!$G$8:$G$10000,pb_location_id,'[1]1_group_total_details'!$H$8:$H$10000,"&lt;="&amp;pb_date)+SUMIFS('[1]1_group_total_details'!$P$8:$P$10000,'[1]1_group_total_details'!$C$8:$C$10000,I44,'[1]1_group_total_details'!$F$8:$F$10000,pb_location_group_id,'[1]1_group_total_details'!$G$8:$G$10000,pb_location_id,'[1]1_group_total_details'!$H$8:$H$10000,"&lt;="&amp;pb_date))))</f>
        <v/>
      </c>
      <c r="AK44" s="1640" t="str">
        <f>IF(M44="","",SUMIFS('[1]1_group_totals'!$J$8:$J$10000,'[1]1_group_totals'!$C$8:$C$10000,I44,'[1]1_group_totals'!$F$8:$F$10000,pb_location_group_id,'[1]1_group_totals'!$G$8:$G$10000,pb_location_id,'[1]1_group_totals'!$H$8:$H$10000,"="&amp;Q44,'[1]1_group_totals'!$I$8:$I$10000,"="&amp;R44))</f>
        <v/>
      </c>
      <c r="AL44" s="1644" t="str">
        <f t="shared" si="17"/>
        <v/>
      </c>
      <c r="AM44" s="1644" t="str">
        <f>IF(OR(ISNA(MATCH(MID(AL44,1,3)*1,UomConversion!$D$8:$D$500,0)),M44=""),"",IF(AQ44="","",AQ44))</f>
        <v/>
      </c>
      <c r="AN44" s="1644" t="str">
        <f>IF(AND(AO44&gt;0,COUNTIFS(UomConversion!$D$8:$D$500,MID(AL44,1,3)*1,UomConversion!$J$8:$J$500,1)&gt;1),TEXT(AO44,"000")&amp;"."&amp;VLOOKUP(AO44,uom_list,5,FALSE),"")</f>
        <v/>
      </c>
      <c r="AO44" s="1640" t="str">
        <f t="shared" si="18"/>
        <v/>
      </c>
      <c r="AP44" s="1645" t="str">
        <f t="shared" si="19"/>
        <v/>
      </c>
      <c r="AQ44" s="491" t="str">
        <f t="shared" si="20"/>
        <v/>
      </c>
      <c r="AR44" s="1281" t="str" cm="1">
        <f t="array" ref="AR44">IF(M44="","",IF(ISNA(Slookup(MID(AL44,1,3)*1,UomConversion!$D$8:$J$500,2,UomConversion!$I$8:$I$500,1,UomConversion!$J$8:$J$500,1)),"",Slookup(MID(AL44,1,3)*1,UomConversion!$D$8:$J$500,2,UomConversion!$I$8:$I$500,1,UomConversion!$J$8:$J$500,1)))</f>
        <v/>
      </c>
      <c r="AS44" s="663" t="str">
        <f>IF(M44="","",(SUMIFS('[1]1_inventory_totals'!$I$8:$I$10000,'[1]1_inventory_totals'!$C$8:$C$10000,I44,'[1]1_inventory_totals'!$F$8:$F$10000,"="&amp;Q44,'[1]1_inventory_totals'!$G$8:$G$10000,"="&amp;R44)+SUMIFS('[1]1_inventory_totals'!$N$8:$N$10000,'[1]1_inventory_totals'!$C$8:$C$10000,I44,'[1]1_inventory_totals'!$F$8:$F$10000,"="&amp;Q44,'[1]1_inventory_totals'!$G$8:$G$10000,"="&amp;R44)+SUMIFS('[1]1_inventory_totals'!$P$8:$P$10000,'[1]1_inventory_totals'!$C$8:$C$10000,I44,'[1]1_inventory_totals'!$F$8:$F$10000,"="&amp;Q44,'[1]1_inventory_totals'!$G$8:$G$10000,"="&amp;R44)+SUMIFS('[1]1_inventory_totals'!$Q$8:$Q$10000,'[1]1_inventory_totals'!$C$8:$C$10000,I44,'[1]1_inventory_totals'!$F$8:$F$10000,"="&amp;Q44,'[1]1_inventory_totals'!$G$8:$G$10000,"="&amp;R44)+SUMIFS('[1]1_inventory_totals'!$R$8:$R$10000,'[1]1_inventory_totals'!$C$8:$C$10000,I44,'[1]1_inventory_totals'!$F$8:$F$10000,"="&amp;Q44,'[1]1_inventory_totals'!$G$8:$G$10000,"="&amp;R44))+(SUMIFS('[1]1_inventory_totals'!$J$8:$J$10000,'[1]1_inventory_totals'!$C$8:$C$10000,I44,'[1]1_inventory_totals'!$F$8:$F$10000,"="&amp;Q44,'[1]1_inventory_totals'!$G$8:$G$10000,"="&amp;R44)+SUMIFS('[1]1_inventory_totals'!$K$8:$K$10000,'[1]1_inventory_totals'!$C$8:$C$10000,I44,'[1]1_inventory_totals'!$F$8:$F$10000,"="&amp;Q44,'[1]1_inventory_totals'!$G$8:$G$10000,"="&amp;R44)+SUMIFS('[1]1_inventory_totals'!$L$8:$L$10000,'[1]1_inventory_totals'!$C$8:$C$10000,I44,'[1]1_inventory_totals'!$F$8:$F$10000,"="&amp;Q44,'[1]1_inventory_totals'!$G$8:$G$10000,"="&amp;R44)+SUMIFS('[1]1_inventory_totals'!$M$8:$M$10000,'[1]1_inventory_totals'!$C$8:$C$10000,I44,'[1]1_inventory_totals'!$F$8:$F$10000,"="&amp;Q44,'[1]1_inventory_totals'!$G$8:$G$10000,"="&amp;R44)+SUMIFS('[1]1_inventory_totals'!$O$8:$O$10000,'[1]1_inventory_totals'!$C$8:$C$10000,I44,'[1]1_inventory_totals'!$F$8:$F$10000,"="&amp;Q44,'[1]1_inventory_totals'!$G$8:$G$10000,"="&amp;R44)+SUMIFS('[1]1_inventory_totals'!$S$8:$S$10000,'[1]1_inventory_totals'!$C$8:$C$10000,I44,'[1]1_inventory_totals'!$F$8:$F$10000,"="&amp;Q44,'[1]1_inventory_totals'!$G$8:$G$10000,"="&amp;R44)))</f>
        <v/>
      </c>
      <c r="AT44" s="1281" t="str">
        <f>IF(M44="","",(SUMIFS('[1]1_group_totals'!$K$8:$K$10000,'[1]1_group_totals'!$C$8:$C$10000,I44,'[1]1_group_totals'!$F$8:$F$10000,pb_location_group_id,'[1]1_group_totals'!$G$8:$G$10000,pb_location_id,'[1]1_group_totals'!$H$8:$H$10000,"="&amp;Q44,'[1]1_group_totals'!$I$8:$I$10000,"="&amp;R44)+SUMIFS('[1]1_group_totals'!$N$8:$N$10000,'[1]1_group_totals'!$C$8:$C$10000,I44,'[1]1_group_totals'!$F$8:$F$10000,pb_location_group_id,'[1]1_group_totals'!$G$8:$G$10000,pb_location_id,'[1]1_group_totals'!$H$8:$H$10000,"="&amp;Q44,'[1]1_group_totals'!$I$8:$I$10000,"="&amp;R44)+SUMIFS('[1]1_group_totals'!$P$8:$P$10000,'[1]1_group_totals'!$C$8:$C$10000,I44,'[1]1_group_totals'!$F$8:$F$10000,pb_location_group_id,'[1]1_group_totals'!$G$8:$G$10000,pb_location_id,'[1]1_group_totals'!$H$8:$H$10000,"="&amp;Q44,'[1]1_group_totals'!$I$8:$I$10000,"="&amp;R44)+SUMIFS('[1]1_group_totals'!$Q$8:$Q$10000,'[1]1_group_totals'!$C$8:$C$10000,I44,'[1]1_group_totals'!$F$8:$F$10000,pb_location_group_id,'[1]1_group_totals'!$G$8:$G$10000,pb_location_id,'[1]1_group_totals'!$H$8:$H$10000,"="&amp;Q44,'[1]1_group_totals'!$I$8:$I$10000,"="&amp;R44))+(SUMIFS('[1]1_group_totals'!$L$8:$L$10000,'[1]1_group_totals'!$C$8:$C$10000,I44,'[1]1_group_totals'!$F$8:$F$10000,pb_location_group_id,'[1]1_group_totals'!$G$8:$G$10000,pb_location_id,'[1]1_group_totals'!$H$8:$H$10000,"="&amp;Q44,'[1]1_group_totals'!$I$8:$I$10000,"="&amp;R44)+SUMIFS('[1]1_group_totals'!$M$8:$M$10000,'[1]1_group_totals'!$C$8:$C$10000,I44,'[1]1_group_totals'!$F$8:$F$10000,pb_location_group_id,'[1]1_group_totals'!$G$8:$G$10000,pb_location_id,'[1]1_group_totals'!$H$8:$H$10000,"="&amp;Q44,'[1]1_group_totals'!$I$8:$I$10000,"="&amp;R44)+SUMIFS('[1]1_group_totals'!$O$8:$O$10000,'[1]1_group_totals'!$C$8:$C$10000,I44,'[1]1_group_totals'!$F$8:$F$10000,pb_location_group_id,'[1]1_group_totals'!$G$8:$G$10000,pb_location_id,'[1]1_group_totals'!$H$8:$H$10000,"="&amp;Q44,'[1]1_group_totals'!$I$8:$I$10000,"="&amp;R44)+SUMIFS('[1]1_group_totals'!$R$8:$R$10000,'[1]1_group_totals'!$C$8:$C$10000,I44,'[1]1_group_totals'!$F$8:$F$10000,pb_location_group_id,'[1]1_group_totals'!$G$8:$G$10000,pb_location_id,'[1]1_group_totals'!$H$8:$H$10000,"="&amp;Q44,'[1]1_group_totals'!$I$8:$I$10000,"="&amp;R44)))</f>
        <v/>
      </c>
    </row>
    <row r="45" spans="1:46" ht="27" hidden="1" customHeight="1">
      <c r="A45" s="923"/>
      <c r="B45" s="1011"/>
      <c r="C45" s="950"/>
      <c r="D45" s="950"/>
      <c r="E45" s="950"/>
      <c r="F45" s="1057"/>
      <c r="I45" s="1610" t="str">
        <f t="shared" si="8"/>
        <v/>
      </c>
      <c r="J45" s="1631" t="str">
        <f t="shared" si="25"/>
        <v/>
      </c>
      <c r="K45" s="1628"/>
      <c r="L45" s="1632"/>
      <c r="M45" s="1069"/>
      <c r="N45" s="1044"/>
      <c r="O45" s="1044"/>
      <c r="P45" s="1046"/>
      <c r="Q45" s="1047"/>
      <c r="R45" s="1053"/>
      <c r="S45" s="1634" t="str">
        <f t="shared" ref="S45" si="128">IF(M45="","",pb_currency_symbol)</f>
        <v/>
      </c>
      <c r="T45" s="1068"/>
      <c r="U45" s="1636" t="str">
        <f t="shared" si="10"/>
        <v/>
      </c>
      <c r="V45" s="1634" t="str">
        <f t="shared" ref="V45" si="129">IF(W45=0,"",pb_currency_symbol)</f>
        <v/>
      </c>
      <c r="W45" s="1054"/>
      <c r="X45" s="1634" t="str">
        <f t="shared" ref="X45" si="130">IF(M45="","",pb_currency_symbol)</f>
        <v/>
      </c>
      <c r="Y45" s="1638" t="str">
        <f t="shared" si="24"/>
        <v/>
      </c>
      <c r="Z45" s="1062"/>
      <c r="AA45" s="1639" t="str" cm="1">
        <f t="array" ref="AA45">IF(M45="","",IF(P45=AL45,1,Slookup(MID(AL45,1,3)*1,UomConversion!$D$8:$J$500,5,UomConversion!$E$8:$E$500,MID(P45,1,3)*1,UomConversion!$J$8:$J$500,1)))</f>
        <v/>
      </c>
      <c r="AB45" s="1640" t="str">
        <f t="shared" si="13"/>
        <v/>
      </c>
      <c r="AC45" s="1641" t="str">
        <f t="shared" si="14"/>
        <v/>
      </c>
      <c r="AD45" s="1642" t="str">
        <f t="shared" si="15"/>
        <v/>
      </c>
      <c r="AE45" s="1643" t="str">
        <f t="shared" si="16"/>
        <v/>
      </c>
      <c r="AF45" s="1640" t="str">
        <f>IF(I45="","",IF(ISNA(MATCH(I45,IF(pb_location_id=1,'[1]1_inventory_totals'!$C$8:$C$10000,IF(pb_location_id=2,'[1]2_inventory_totals'!$C$8:$C$10000,"")),0)),0,IF(AS45&gt;0,1,0)))</f>
        <v/>
      </c>
      <c r="AG45" s="1640" t="str">
        <f>IF(M45="","",IF(pb_location_id=1,SUMIFS('[1]1_inventory_total_details'!$J$8:$J$10000,'[1]1_inventory_total_details'!$C$8:$C$10000,I45,'[1]1_inventory_total_details'!$F$8:$F$10000,pb_location_id,'[1]1_inventory_total_details'!$G$8:$G$10000,"="&amp;Q45,'[1]1_inventory_total_details'!$H$8:$H$10000,"="&amp;R45,'[1]1_inventory_total_details'!$I$8:$I$10000,"="&amp;pb_date)+SUMIFS('[1]1_inventory_total_details'!$M$8:$M$10000,'[1]1_inventory_total_details'!$C$8:$C$10000,I45,'[1]1_inventory_total_details'!$F$8:$F$10000,pb_location_id,'[1]1_inventory_total_details'!$G$8:$G$10000,"="&amp;Q45,'[1]1_inventory_total_details'!$H$8:$H$10000,"="&amp;R45,'[1]1_inventory_total_details'!$I$8:$I$10000,"="&amp;pb_date)+SUMIFS('[1]1_inventory_total_details'!$K$8:$K$10000,'[1]1_inventory_total_details'!$C$8:$C$10000,I45,'[1]1_inventory_total_details'!$F$8:$F$10000,pb_location_id,'[1]1_inventory_total_details'!$G$8:$G$10000,"="&amp;Q45,'[1]1_inventory_total_details'!$H$8:$H$10000,"="&amp;R45,'[1]1_inventory_total_details'!$I$8:$I$10000,"="&amp;pb_date)+SUMIFS('[1]1_inventory_total_details'!$L$8:$L$10000,'[1]1_inventory_total_details'!$C$8:$C$10000,I45,'[1]1_inventory_total_details'!$F$8:$F$10000,pb_location_id,'[1]1_inventory_total_details'!$G$8:$G$10000,"="&amp;Q45,'[1]1_inventory_total_details'!$H$8:$H$10000,"="&amp;R45,'[1]1_inventory_total_details'!$I$8:$I$10000,"="&amp;pb_date),SUMIFS('[1]2_inventory_total_details'!$J$8:$J$10000,'[1]2_inventory_total_details'!$C$8:$C$10000,I45,'[1]1_inventory_total_details'!$F$8:$F$10000,pb_location_id,'[1]2_inventory_total_details'!$G$8:$G$10000,"="&amp;Q45,'[1]2_inventory_total_details'!$H$8:$H$10000,"="&amp;R45,'[1]2_inventory_total_details'!$I$8:$I$10000,"="&amp;pb_date)+SUMIFS('[1]2_inventory_total_details'!$M$8:$M$10000,'[1]2_inventory_total_details'!$C$8:$C$10000,I45,'[1]2_inventory_total_details'!$F$8:$F$10000,pb_location_id,'[1]2_inventory_total_details'!$G$8:$G$10000,"="&amp;Q45,'[1]2_inventory_total_details'!$H$8:$H$10000,"="&amp;R45,'[1]2_inventory_total_details'!$I$8:$I$10000,"="&amp;pb_date)+SUMIFS('[1]2_inventory_total_details'!$K$8:$K$10000,'[1]2_inventory_total_details'!$C$8:$C$10000,I45,'[1]2_inventory_total_details'!$F$8:$F$10000,pb_location_id,'[1]2_inventory_total_details'!$G$8:$G$10000,"="&amp;Q45,'[1]2_inventory_total_details'!$H$8:$H$10000,"="&amp;R45,'[1]2_inventory_total_details'!$I$8:$I$10000,"="&amp;pb_date)+SUMIFS('[1]2_inventory_total_details'!$L$8:$L$10000,'[1]2_inventory_total_details'!$C$8:$C$10000,I45,'[1]2_inventory_total_details'!$F$8:$F$10000,pb_location_id,'[1]2_inventory_total_details'!$G$8:$G$10000,"="&amp;Q45,'[1]2_inventory_total_details'!$H$8:$H$10000,"="&amp;R45,'[1]2_inventory_total_details'!$I$8:$I$10000,"="&amp;pb_date)))</f>
        <v/>
      </c>
      <c r="AH45" s="1640" t="str">
        <f>IF(M45="","",IF(ISNA(MATCH(I45,'[1]1_group_totals'!$C$8:$C$10000)),0,IF(AT45&gt;0,1,0)))</f>
        <v/>
      </c>
      <c r="AI45" s="1640" t="str">
        <f>IF(M45="","",(SUMIFS('[1]1_group_total_details'!$I$8:$I$10000,'[1]1_group_total_details'!$C$8:$C$10000,I45,'[1]1_group_total_details'!$F$8:$F$10000,pb_location_group_id,'[1]1_group_total_details'!$G$8:$G$10000,pb_location_id,'[1]1_group_total_details'!$H$8:$H$10000,"="&amp;pb_date)+SUMIFS('[1]1_group_total_details'!$L$8:$L$10000,'[1]1_group_total_details'!$C$8:$C$10000,I45,'[1]1_group_total_details'!$F$8:$F$10000,pb_location_group_id,'[1]1_group_total_details'!$G$8:$G$10000,pb_location_id,'[1]1_group_total_details'!$H$8:$H$10000,"="&amp;pb_date)+SUMIFS('[1]1_group_total_details'!$N$8:$N$10000,'[1]1_group_total_details'!$C$8:$C$10000,I45,'[1]1_group_total_details'!$F$8:$F$10000,pb_location_group_id,'[1]1_group_total_details'!$G$8:$G$10000,pb_location_id,'[1]1_group_total_details'!$H$8:$H$10000,"="&amp;pb_date)+SUMIFS('[1]1_group_total_details'!$O$8:$O$10000,'[1]1_group_total_details'!$C$8:$C$10000,I45,'[1]1_group_total_details'!$F$8:$F$10000,pb_location_group_id,'[1]1_group_total_details'!$G$8:$G$10000,pb_location_id,'[1]1_group_total_details'!$H$8:$H$10000,"="&amp;pb_date))+(SUMIFS('[1]1_group_total_details'!$J$8:$J$10000,'[1]1_group_total_details'!$C$8:$C$10000,I45,'[1]1_group_total_details'!$F$8:$F$10000,pb_location_group_id,'[1]1_group_total_details'!$G$8:$G$10000,pb_location_id,'[1]1_group_total_details'!$H$8:$H$10000,"="&amp;pb_date)+SUMIFS('[1]1_group_total_details'!$K$8:$K$10000,'[1]1_group_total_details'!$C$8:$C$10000,I45,'[1]1_group_total_details'!$F$8:$F$10000,pb_location_group_id,'[1]1_group_total_details'!$G$8:$G$10000,pb_location_id,'[1]1_group_total_details'!$H$8:$H$10000,"="&amp;pb_date)+SUMIFS('[1]1_group_total_details'!$M$8:$M$10000,'[1]1_group_total_details'!$C$8:$C$10000,I45,'[1]1_group_total_details'!$F$8:$F$10000,pb_location_group_id,'[1]1_group_total_details'!$G$8:$G$10000,pb_location_id,'[1]1_group_total_details'!$H$8:$H$10000,"="&amp;pb_date)+SUMIFS('[1]1_group_total_details'!$P$8:$P$10000,'[1]1_group_total_details'!$C$8:$C$10000,I45,'[1]1_group_total_details'!$F$8:$F$10000,pb_location_group_id,'[1]1_group_total_details'!$G$8:$G$10000,pb_location_id,'[1]1_group_total_details'!$H$8:$H$10000,"="&amp;pb_date)))</f>
        <v/>
      </c>
      <c r="AJ45" s="1640" t="str">
        <f>IF(M45="","",IF(AK45=0,0,(SUMIFS('[1]1_group_total_details'!$I$8:$I$10000,'[1]1_group_total_details'!$C$8:$C$10000,I45,'[1]1_group_total_details'!$F$8:$F$10000,pb_location_group_id,'[1]1_group_total_details'!$G$8:$G$10000,pb_location_id,'[1]1_group_total_details'!$H$8:$H$10000,"&lt;="&amp;pb_date)+SUMIFS('[1]1_group_total_details'!$L$8:$L$10000,'[1]1_group_total_details'!$C$8:$C$10000,I45,'[1]1_group_total_details'!$F$8:$F$10000,pb_location_group_id,'[1]1_group_total_details'!$G$8:$G$10000,pb_location_id,'[1]1_group_total_details'!$H$8:$H$10000,"&lt;="&amp;pb_date)+SUMIFS('[1]1_group_total_details'!$N$8:$N$10000,'[1]1_group_total_details'!$C$8:$C$10000,I45,'[1]1_group_total_details'!$F$8:$F$10000,pb_location_group_id,'[1]1_group_total_details'!$G$8:$G$10000,pb_location_id,'[1]1_group_total_details'!$H$8:$H$10000,"&lt;="&amp;pb_date)+SUMIFS('[1]1_group_total_details'!$O$8:$O$10000,'[1]1_group_total_details'!$C$8:$C$10000,I45,'[1]1_group_total_details'!$F$8:$F$10000,pb_location_group_id,'[1]1_group_total_details'!$G$8:$G$10000,pb_location_id,'[1]1_group_total_details'!$H$8:$H$10000,"&lt;="&amp;pb_date))-(SUMIFS('[1]1_group_total_details'!$J$8:$J$10000,'[1]1_group_total_details'!$C$8:$C$10000,I45,'[1]1_group_total_details'!$F$8:$F$10000,pb_location_group_id,'[1]1_group_total_details'!$G$8:$G$10000,pb_location_id,'[1]1_group_total_details'!$H$8:$H$10000,"&lt;="&amp;pb_date)+SUMIFS('[1]1_group_total_details'!$K$8:$K$10000,'[1]1_group_total_details'!$C$8:$C$10000,I45,'[1]1_group_total_details'!$F$8:$F$10000,pb_location_group_id,'[1]1_group_total_details'!$G$8:$G$10000,invoice_location_id,'[1]1_group_total_details'!$H$8:$H$10000,"&lt;="&amp;pb_date)+SUMIFS('[1]1_group_total_details'!$M$8:$M$10000,'[1]1_group_total_details'!$C$8:$C$10000,I45,'[1]1_group_total_details'!$F$8:$F$10000,pb_location_group_id,'[1]1_group_total_details'!$G$8:$G$10000,pb_location_id,'[1]1_group_total_details'!$H$8:$H$10000,"&lt;="&amp;pb_date)+SUMIFS('[1]1_group_total_details'!$P$8:$P$10000,'[1]1_group_total_details'!$C$8:$C$10000,I45,'[1]1_group_total_details'!$F$8:$F$10000,pb_location_group_id,'[1]1_group_total_details'!$G$8:$G$10000,pb_location_id,'[1]1_group_total_details'!$H$8:$H$10000,"&lt;="&amp;pb_date))))</f>
        <v/>
      </c>
      <c r="AK45" s="1640" t="str">
        <f>IF(M45="","",SUMIFS('[1]1_group_totals'!$J$8:$J$10000,'[1]1_group_totals'!$C$8:$C$10000,I45,'[1]1_group_totals'!$F$8:$F$10000,pb_location_group_id,'[1]1_group_totals'!$G$8:$G$10000,pb_location_id,'[1]1_group_totals'!$H$8:$H$10000,"="&amp;Q45,'[1]1_group_totals'!$I$8:$I$10000,"="&amp;R45))</f>
        <v/>
      </c>
      <c r="AL45" s="1644" t="str">
        <f t="shared" si="17"/>
        <v/>
      </c>
      <c r="AM45" s="1644" t="str">
        <f>IF(OR(ISNA(MATCH(MID(AL45,1,3)*1,UomConversion!$D$8:$D$500,0)),M45=""),"",IF(AQ45="","",AQ45))</f>
        <v/>
      </c>
      <c r="AN45" s="1644" t="str">
        <f>IF(AND(AO45&gt;0,COUNTIFS(UomConversion!$D$8:$D$500,MID(AL45,1,3)*1,UomConversion!$J$8:$J$500,1)&gt;1),TEXT(AO45,"000")&amp;"."&amp;VLOOKUP(AO45,uom_list,5,FALSE),"")</f>
        <v/>
      </c>
      <c r="AO45" s="1640" t="str">
        <f t="shared" si="18"/>
        <v/>
      </c>
      <c r="AP45" s="1645" t="str">
        <f t="shared" si="19"/>
        <v/>
      </c>
      <c r="AQ45" s="491" t="str">
        <f t="shared" si="20"/>
        <v/>
      </c>
      <c r="AR45" s="1281" t="str" cm="1">
        <f t="array" ref="AR45">IF(M45="","",IF(ISNA(Slookup(MID(AL45,1,3)*1,UomConversion!$D$8:$J$500,2,UomConversion!$I$8:$I$500,1,UomConversion!$J$8:$J$500,1)),"",Slookup(MID(AL45,1,3)*1,UomConversion!$D$8:$J$500,2,UomConversion!$I$8:$I$500,1,UomConversion!$J$8:$J$500,1)))</f>
        <v/>
      </c>
      <c r="AS45" s="663" t="str">
        <f>IF(M45="","",(SUMIFS('[1]1_inventory_totals'!$I$8:$I$10000,'[1]1_inventory_totals'!$C$8:$C$10000,I45,'[1]1_inventory_totals'!$F$8:$F$10000,"="&amp;Q45,'[1]1_inventory_totals'!$G$8:$G$10000,"="&amp;R45)+SUMIFS('[1]1_inventory_totals'!$N$8:$N$10000,'[1]1_inventory_totals'!$C$8:$C$10000,I45,'[1]1_inventory_totals'!$F$8:$F$10000,"="&amp;Q45,'[1]1_inventory_totals'!$G$8:$G$10000,"="&amp;R45)+SUMIFS('[1]1_inventory_totals'!$P$8:$P$10000,'[1]1_inventory_totals'!$C$8:$C$10000,I45,'[1]1_inventory_totals'!$F$8:$F$10000,"="&amp;Q45,'[1]1_inventory_totals'!$G$8:$G$10000,"="&amp;R45)+SUMIFS('[1]1_inventory_totals'!$Q$8:$Q$10000,'[1]1_inventory_totals'!$C$8:$C$10000,I45,'[1]1_inventory_totals'!$F$8:$F$10000,"="&amp;Q45,'[1]1_inventory_totals'!$G$8:$G$10000,"="&amp;R45)+SUMIFS('[1]1_inventory_totals'!$R$8:$R$10000,'[1]1_inventory_totals'!$C$8:$C$10000,I45,'[1]1_inventory_totals'!$F$8:$F$10000,"="&amp;Q45,'[1]1_inventory_totals'!$G$8:$G$10000,"="&amp;R45))+(SUMIFS('[1]1_inventory_totals'!$J$8:$J$10000,'[1]1_inventory_totals'!$C$8:$C$10000,I45,'[1]1_inventory_totals'!$F$8:$F$10000,"="&amp;Q45,'[1]1_inventory_totals'!$G$8:$G$10000,"="&amp;R45)+SUMIFS('[1]1_inventory_totals'!$K$8:$K$10000,'[1]1_inventory_totals'!$C$8:$C$10000,I45,'[1]1_inventory_totals'!$F$8:$F$10000,"="&amp;Q45,'[1]1_inventory_totals'!$G$8:$G$10000,"="&amp;R45)+SUMIFS('[1]1_inventory_totals'!$L$8:$L$10000,'[1]1_inventory_totals'!$C$8:$C$10000,I45,'[1]1_inventory_totals'!$F$8:$F$10000,"="&amp;Q45,'[1]1_inventory_totals'!$G$8:$G$10000,"="&amp;R45)+SUMIFS('[1]1_inventory_totals'!$M$8:$M$10000,'[1]1_inventory_totals'!$C$8:$C$10000,I45,'[1]1_inventory_totals'!$F$8:$F$10000,"="&amp;Q45,'[1]1_inventory_totals'!$G$8:$G$10000,"="&amp;R45)+SUMIFS('[1]1_inventory_totals'!$O$8:$O$10000,'[1]1_inventory_totals'!$C$8:$C$10000,I45,'[1]1_inventory_totals'!$F$8:$F$10000,"="&amp;Q45,'[1]1_inventory_totals'!$G$8:$G$10000,"="&amp;R45)+SUMIFS('[1]1_inventory_totals'!$S$8:$S$10000,'[1]1_inventory_totals'!$C$8:$C$10000,I45,'[1]1_inventory_totals'!$F$8:$F$10000,"="&amp;Q45,'[1]1_inventory_totals'!$G$8:$G$10000,"="&amp;R45)))</f>
        <v/>
      </c>
      <c r="AT45" s="1281" t="str">
        <f>IF(M45="","",(SUMIFS('[1]1_group_totals'!$K$8:$K$10000,'[1]1_group_totals'!$C$8:$C$10000,I45,'[1]1_group_totals'!$F$8:$F$10000,pb_location_group_id,'[1]1_group_totals'!$G$8:$G$10000,pb_location_id,'[1]1_group_totals'!$H$8:$H$10000,"="&amp;Q45,'[1]1_group_totals'!$I$8:$I$10000,"="&amp;R45)+SUMIFS('[1]1_group_totals'!$N$8:$N$10000,'[1]1_group_totals'!$C$8:$C$10000,I45,'[1]1_group_totals'!$F$8:$F$10000,pb_location_group_id,'[1]1_group_totals'!$G$8:$G$10000,pb_location_id,'[1]1_group_totals'!$H$8:$H$10000,"="&amp;Q45,'[1]1_group_totals'!$I$8:$I$10000,"="&amp;R45)+SUMIFS('[1]1_group_totals'!$P$8:$P$10000,'[1]1_group_totals'!$C$8:$C$10000,I45,'[1]1_group_totals'!$F$8:$F$10000,pb_location_group_id,'[1]1_group_totals'!$G$8:$G$10000,pb_location_id,'[1]1_group_totals'!$H$8:$H$10000,"="&amp;Q45,'[1]1_group_totals'!$I$8:$I$10000,"="&amp;R45)+SUMIFS('[1]1_group_totals'!$Q$8:$Q$10000,'[1]1_group_totals'!$C$8:$C$10000,I45,'[1]1_group_totals'!$F$8:$F$10000,pb_location_group_id,'[1]1_group_totals'!$G$8:$G$10000,pb_location_id,'[1]1_group_totals'!$H$8:$H$10000,"="&amp;Q45,'[1]1_group_totals'!$I$8:$I$10000,"="&amp;R45))+(SUMIFS('[1]1_group_totals'!$L$8:$L$10000,'[1]1_group_totals'!$C$8:$C$10000,I45,'[1]1_group_totals'!$F$8:$F$10000,pb_location_group_id,'[1]1_group_totals'!$G$8:$G$10000,pb_location_id,'[1]1_group_totals'!$H$8:$H$10000,"="&amp;Q45,'[1]1_group_totals'!$I$8:$I$10000,"="&amp;R45)+SUMIFS('[1]1_group_totals'!$M$8:$M$10000,'[1]1_group_totals'!$C$8:$C$10000,I45,'[1]1_group_totals'!$F$8:$F$10000,pb_location_group_id,'[1]1_group_totals'!$G$8:$G$10000,pb_location_id,'[1]1_group_totals'!$H$8:$H$10000,"="&amp;Q45,'[1]1_group_totals'!$I$8:$I$10000,"="&amp;R45)+SUMIFS('[1]1_group_totals'!$O$8:$O$10000,'[1]1_group_totals'!$C$8:$C$10000,I45,'[1]1_group_totals'!$F$8:$F$10000,pb_location_group_id,'[1]1_group_totals'!$G$8:$G$10000,pb_location_id,'[1]1_group_totals'!$H$8:$H$10000,"="&amp;Q45,'[1]1_group_totals'!$I$8:$I$10000,"="&amp;R45)+SUMIFS('[1]1_group_totals'!$R$8:$R$10000,'[1]1_group_totals'!$C$8:$C$10000,I45,'[1]1_group_totals'!$F$8:$F$10000,pb_location_group_id,'[1]1_group_totals'!$G$8:$G$10000,pb_location_id,'[1]1_group_totals'!$H$8:$H$10000,"="&amp;Q45,'[1]1_group_totals'!$I$8:$I$10000,"="&amp;R45)))</f>
        <v/>
      </c>
    </row>
    <row r="46" spans="1:46" ht="27" hidden="1" customHeight="1">
      <c r="A46" s="923"/>
      <c r="B46" s="1011"/>
      <c r="C46" s="950"/>
      <c r="D46" s="950"/>
      <c r="E46" s="950"/>
      <c r="F46" s="1057"/>
      <c r="I46" s="1610" t="str">
        <f t="shared" si="8"/>
        <v/>
      </c>
      <c r="J46" s="1631" t="str">
        <f t="shared" si="25"/>
        <v/>
      </c>
      <c r="K46" s="1628"/>
      <c r="L46" s="1632"/>
      <c r="M46" s="1069"/>
      <c r="N46" s="1044"/>
      <c r="O46" s="1044"/>
      <c r="P46" s="1046"/>
      <c r="Q46" s="1047"/>
      <c r="R46" s="1053"/>
      <c r="S46" s="1634" t="str">
        <f t="shared" ref="S46" si="131">IF(M46="","",pb_currency_symbol)</f>
        <v/>
      </c>
      <c r="T46" s="1068"/>
      <c r="U46" s="1636" t="str">
        <f t="shared" si="10"/>
        <v/>
      </c>
      <c r="V46" s="1634" t="str">
        <f t="shared" ref="V46" si="132">IF(W46=0,"",pb_currency_symbol)</f>
        <v/>
      </c>
      <c r="W46" s="1054"/>
      <c r="X46" s="1634" t="str">
        <f t="shared" ref="X46" si="133">IF(M46="","",pb_currency_symbol)</f>
        <v/>
      </c>
      <c r="Y46" s="1638" t="str">
        <f t="shared" si="24"/>
        <v/>
      </c>
      <c r="Z46" s="1062"/>
      <c r="AA46" s="1639" t="str" cm="1">
        <f t="array" ref="AA46">IF(M46="","",IF(P46=AL46,1,Slookup(MID(AL46,1,3)*1,UomConversion!$D$8:$J$500,5,UomConversion!$E$8:$E$500,MID(P46,1,3)*1,UomConversion!$J$8:$J$500,1)))</f>
        <v/>
      </c>
      <c r="AB46" s="1640" t="str">
        <f t="shared" si="13"/>
        <v/>
      </c>
      <c r="AC46" s="1641" t="str">
        <f t="shared" si="14"/>
        <v/>
      </c>
      <c r="AD46" s="1642" t="str">
        <f t="shared" si="15"/>
        <v/>
      </c>
      <c r="AE46" s="1643" t="str">
        <f t="shared" si="16"/>
        <v/>
      </c>
      <c r="AF46" s="1640" t="str">
        <f>IF(I46="","",IF(ISNA(MATCH(I46,IF(pb_location_id=1,'[1]1_inventory_totals'!$C$8:$C$10000,IF(pb_location_id=2,'[1]2_inventory_totals'!$C$8:$C$10000,"")),0)),0,IF(AS46&gt;0,1,0)))</f>
        <v/>
      </c>
      <c r="AG46" s="1640" t="str">
        <f>IF(M46="","",IF(pb_location_id=1,SUMIFS('[1]1_inventory_total_details'!$J$8:$J$10000,'[1]1_inventory_total_details'!$C$8:$C$10000,I46,'[1]1_inventory_total_details'!$F$8:$F$10000,pb_location_id,'[1]1_inventory_total_details'!$G$8:$G$10000,"="&amp;Q46,'[1]1_inventory_total_details'!$H$8:$H$10000,"="&amp;R46,'[1]1_inventory_total_details'!$I$8:$I$10000,"="&amp;pb_date)+SUMIFS('[1]1_inventory_total_details'!$M$8:$M$10000,'[1]1_inventory_total_details'!$C$8:$C$10000,I46,'[1]1_inventory_total_details'!$F$8:$F$10000,pb_location_id,'[1]1_inventory_total_details'!$G$8:$G$10000,"="&amp;Q46,'[1]1_inventory_total_details'!$H$8:$H$10000,"="&amp;R46,'[1]1_inventory_total_details'!$I$8:$I$10000,"="&amp;pb_date)+SUMIFS('[1]1_inventory_total_details'!$K$8:$K$10000,'[1]1_inventory_total_details'!$C$8:$C$10000,I46,'[1]1_inventory_total_details'!$F$8:$F$10000,pb_location_id,'[1]1_inventory_total_details'!$G$8:$G$10000,"="&amp;Q46,'[1]1_inventory_total_details'!$H$8:$H$10000,"="&amp;R46,'[1]1_inventory_total_details'!$I$8:$I$10000,"="&amp;pb_date)+SUMIFS('[1]1_inventory_total_details'!$L$8:$L$10000,'[1]1_inventory_total_details'!$C$8:$C$10000,I46,'[1]1_inventory_total_details'!$F$8:$F$10000,pb_location_id,'[1]1_inventory_total_details'!$G$8:$G$10000,"="&amp;Q46,'[1]1_inventory_total_details'!$H$8:$H$10000,"="&amp;R46,'[1]1_inventory_total_details'!$I$8:$I$10000,"="&amp;pb_date),SUMIFS('[1]2_inventory_total_details'!$J$8:$J$10000,'[1]2_inventory_total_details'!$C$8:$C$10000,I46,'[1]1_inventory_total_details'!$F$8:$F$10000,pb_location_id,'[1]2_inventory_total_details'!$G$8:$G$10000,"="&amp;Q46,'[1]2_inventory_total_details'!$H$8:$H$10000,"="&amp;R46,'[1]2_inventory_total_details'!$I$8:$I$10000,"="&amp;pb_date)+SUMIFS('[1]2_inventory_total_details'!$M$8:$M$10000,'[1]2_inventory_total_details'!$C$8:$C$10000,I46,'[1]2_inventory_total_details'!$F$8:$F$10000,pb_location_id,'[1]2_inventory_total_details'!$G$8:$G$10000,"="&amp;Q46,'[1]2_inventory_total_details'!$H$8:$H$10000,"="&amp;R46,'[1]2_inventory_total_details'!$I$8:$I$10000,"="&amp;pb_date)+SUMIFS('[1]2_inventory_total_details'!$K$8:$K$10000,'[1]2_inventory_total_details'!$C$8:$C$10000,I46,'[1]2_inventory_total_details'!$F$8:$F$10000,pb_location_id,'[1]2_inventory_total_details'!$G$8:$G$10000,"="&amp;Q46,'[1]2_inventory_total_details'!$H$8:$H$10000,"="&amp;R46,'[1]2_inventory_total_details'!$I$8:$I$10000,"="&amp;pb_date)+SUMIFS('[1]2_inventory_total_details'!$L$8:$L$10000,'[1]2_inventory_total_details'!$C$8:$C$10000,I46,'[1]2_inventory_total_details'!$F$8:$F$10000,pb_location_id,'[1]2_inventory_total_details'!$G$8:$G$10000,"="&amp;Q46,'[1]2_inventory_total_details'!$H$8:$H$10000,"="&amp;R46,'[1]2_inventory_total_details'!$I$8:$I$10000,"="&amp;pb_date)))</f>
        <v/>
      </c>
      <c r="AH46" s="1640" t="str">
        <f>IF(M46="","",IF(ISNA(MATCH(I46,'[1]1_group_totals'!$C$8:$C$10000)),0,IF(AT46&gt;0,1,0)))</f>
        <v/>
      </c>
      <c r="AI46" s="1640" t="str">
        <f>IF(M46="","",(SUMIFS('[1]1_group_total_details'!$I$8:$I$10000,'[1]1_group_total_details'!$C$8:$C$10000,I46,'[1]1_group_total_details'!$F$8:$F$10000,pb_location_group_id,'[1]1_group_total_details'!$G$8:$G$10000,pb_location_id,'[1]1_group_total_details'!$H$8:$H$10000,"="&amp;pb_date)+SUMIFS('[1]1_group_total_details'!$L$8:$L$10000,'[1]1_group_total_details'!$C$8:$C$10000,I46,'[1]1_group_total_details'!$F$8:$F$10000,pb_location_group_id,'[1]1_group_total_details'!$G$8:$G$10000,pb_location_id,'[1]1_group_total_details'!$H$8:$H$10000,"="&amp;pb_date)+SUMIFS('[1]1_group_total_details'!$N$8:$N$10000,'[1]1_group_total_details'!$C$8:$C$10000,I46,'[1]1_group_total_details'!$F$8:$F$10000,pb_location_group_id,'[1]1_group_total_details'!$G$8:$G$10000,pb_location_id,'[1]1_group_total_details'!$H$8:$H$10000,"="&amp;pb_date)+SUMIFS('[1]1_group_total_details'!$O$8:$O$10000,'[1]1_group_total_details'!$C$8:$C$10000,I46,'[1]1_group_total_details'!$F$8:$F$10000,pb_location_group_id,'[1]1_group_total_details'!$G$8:$G$10000,pb_location_id,'[1]1_group_total_details'!$H$8:$H$10000,"="&amp;pb_date))+(SUMIFS('[1]1_group_total_details'!$J$8:$J$10000,'[1]1_group_total_details'!$C$8:$C$10000,I46,'[1]1_group_total_details'!$F$8:$F$10000,pb_location_group_id,'[1]1_group_total_details'!$G$8:$G$10000,pb_location_id,'[1]1_group_total_details'!$H$8:$H$10000,"="&amp;pb_date)+SUMIFS('[1]1_group_total_details'!$K$8:$K$10000,'[1]1_group_total_details'!$C$8:$C$10000,I46,'[1]1_group_total_details'!$F$8:$F$10000,pb_location_group_id,'[1]1_group_total_details'!$G$8:$G$10000,pb_location_id,'[1]1_group_total_details'!$H$8:$H$10000,"="&amp;pb_date)+SUMIFS('[1]1_group_total_details'!$M$8:$M$10000,'[1]1_group_total_details'!$C$8:$C$10000,I46,'[1]1_group_total_details'!$F$8:$F$10000,pb_location_group_id,'[1]1_group_total_details'!$G$8:$G$10000,pb_location_id,'[1]1_group_total_details'!$H$8:$H$10000,"="&amp;pb_date)+SUMIFS('[1]1_group_total_details'!$P$8:$P$10000,'[1]1_group_total_details'!$C$8:$C$10000,I46,'[1]1_group_total_details'!$F$8:$F$10000,pb_location_group_id,'[1]1_group_total_details'!$G$8:$G$10000,pb_location_id,'[1]1_group_total_details'!$H$8:$H$10000,"="&amp;pb_date)))</f>
        <v/>
      </c>
      <c r="AJ46" s="1640" t="str">
        <f>IF(M46="","",IF(AK46=0,0,(SUMIFS('[1]1_group_total_details'!$I$8:$I$10000,'[1]1_group_total_details'!$C$8:$C$10000,I46,'[1]1_group_total_details'!$F$8:$F$10000,pb_location_group_id,'[1]1_group_total_details'!$G$8:$G$10000,pb_location_id,'[1]1_group_total_details'!$H$8:$H$10000,"&lt;="&amp;pb_date)+SUMIFS('[1]1_group_total_details'!$L$8:$L$10000,'[1]1_group_total_details'!$C$8:$C$10000,I46,'[1]1_group_total_details'!$F$8:$F$10000,pb_location_group_id,'[1]1_group_total_details'!$G$8:$G$10000,pb_location_id,'[1]1_group_total_details'!$H$8:$H$10000,"&lt;="&amp;pb_date)+SUMIFS('[1]1_group_total_details'!$N$8:$N$10000,'[1]1_group_total_details'!$C$8:$C$10000,I46,'[1]1_group_total_details'!$F$8:$F$10000,pb_location_group_id,'[1]1_group_total_details'!$G$8:$G$10000,pb_location_id,'[1]1_group_total_details'!$H$8:$H$10000,"&lt;="&amp;pb_date)+SUMIFS('[1]1_group_total_details'!$O$8:$O$10000,'[1]1_group_total_details'!$C$8:$C$10000,I46,'[1]1_group_total_details'!$F$8:$F$10000,pb_location_group_id,'[1]1_group_total_details'!$G$8:$G$10000,pb_location_id,'[1]1_group_total_details'!$H$8:$H$10000,"&lt;="&amp;pb_date))-(SUMIFS('[1]1_group_total_details'!$J$8:$J$10000,'[1]1_group_total_details'!$C$8:$C$10000,I46,'[1]1_group_total_details'!$F$8:$F$10000,pb_location_group_id,'[1]1_group_total_details'!$G$8:$G$10000,pb_location_id,'[1]1_group_total_details'!$H$8:$H$10000,"&lt;="&amp;pb_date)+SUMIFS('[1]1_group_total_details'!$K$8:$K$10000,'[1]1_group_total_details'!$C$8:$C$10000,I46,'[1]1_group_total_details'!$F$8:$F$10000,pb_location_group_id,'[1]1_group_total_details'!$G$8:$G$10000,invoice_location_id,'[1]1_group_total_details'!$H$8:$H$10000,"&lt;="&amp;pb_date)+SUMIFS('[1]1_group_total_details'!$M$8:$M$10000,'[1]1_group_total_details'!$C$8:$C$10000,I46,'[1]1_group_total_details'!$F$8:$F$10000,pb_location_group_id,'[1]1_group_total_details'!$G$8:$G$10000,pb_location_id,'[1]1_group_total_details'!$H$8:$H$10000,"&lt;="&amp;pb_date)+SUMIFS('[1]1_group_total_details'!$P$8:$P$10000,'[1]1_group_total_details'!$C$8:$C$10000,I46,'[1]1_group_total_details'!$F$8:$F$10000,pb_location_group_id,'[1]1_group_total_details'!$G$8:$G$10000,pb_location_id,'[1]1_group_total_details'!$H$8:$H$10000,"&lt;="&amp;pb_date))))</f>
        <v/>
      </c>
      <c r="AK46" s="1640" t="str">
        <f>IF(M46="","",SUMIFS('[1]1_group_totals'!$J$8:$J$10000,'[1]1_group_totals'!$C$8:$C$10000,I46,'[1]1_group_totals'!$F$8:$F$10000,pb_location_group_id,'[1]1_group_totals'!$G$8:$G$10000,pb_location_id,'[1]1_group_totals'!$H$8:$H$10000,"="&amp;Q46,'[1]1_group_totals'!$I$8:$I$10000,"="&amp;R46))</f>
        <v/>
      </c>
      <c r="AL46" s="1644" t="str">
        <f t="shared" si="17"/>
        <v/>
      </c>
      <c r="AM46" s="1644" t="str">
        <f>IF(OR(ISNA(MATCH(MID(AL46,1,3)*1,UomConversion!$D$8:$D$500,0)),M46=""),"",IF(AQ46="","",AQ46))</f>
        <v/>
      </c>
      <c r="AN46" s="1644" t="str">
        <f>IF(AND(AO46&gt;0,COUNTIFS(UomConversion!$D$8:$D$500,MID(AL46,1,3)*1,UomConversion!$J$8:$J$500,1)&gt;1),TEXT(AO46,"000")&amp;"."&amp;VLOOKUP(AO46,uom_list,5,FALSE),"")</f>
        <v/>
      </c>
      <c r="AO46" s="1640" t="str">
        <f t="shared" si="18"/>
        <v/>
      </c>
      <c r="AP46" s="1645" t="str">
        <f t="shared" si="19"/>
        <v/>
      </c>
      <c r="AQ46" s="491" t="str">
        <f t="shared" si="20"/>
        <v/>
      </c>
      <c r="AR46" s="1281" t="str" cm="1">
        <f t="array" ref="AR46">IF(M46="","",IF(ISNA(Slookup(MID(AL46,1,3)*1,UomConversion!$D$8:$J$500,2,UomConversion!$I$8:$I$500,1,UomConversion!$J$8:$J$500,1)),"",Slookup(MID(AL46,1,3)*1,UomConversion!$D$8:$J$500,2,UomConversion!$I$8:$I$500,1,UomConversion!$J$8:$J$500,1)))</f>
        <v/>
      </c>
      <c r="AS46" s="663" t="str">
        <f>IF(M46="","",(SUMIFS('[1]1_inventory_totals'!$I$8:$I$10000,'[1]1_inventory_totals'!$C$8:$C$10000,I46,'[1]1_inventory_totals'!$F$8:$F$10000,"="&amp;Q46,'[1]1_inventory_totals'!$G$8:$G$10000,"="&amp;R46)+SUMIFS('[1]1_inventory_totals'!$N$8:$N$10000,'[1]1_inventory_totals'!$C$8:$C$10000,I46,'[1]1_inventory_totals'!$F$8:$F$10000,"="&amp;Q46,'[1]1_inventory_totals'!$G$8:$G$10000,"="&amp;R46)+SUMIFS('[1]1_inventory_totals'!$P$8:$P$10000,'[1]1_inventory_totals'!$C$8:$C$10000,I46,'[1]1_inventory_totals'!$F$8:$F$10000,"="&amp;Q46,'[1]1_inventory_totals'!$G$8:$G$10000,"="&amp;R46)+SUMIFS('[1]1_inventory_totals'!$Q$8:$Q$10000,'[1]1_inventory_totals'!$C$8:$C$10000,I46,'[1]1_inventory_totals'!$F$8:$F$10000,"="&amp;Q46,'[1]1_inventory_totals'!$G$8:$G$10000,"="&amp;R46)+SUMIFS('[1]1_inventory_totals'!$R$8:$R$10000,'[1]1_inventory_totals'!$C$8:$C$10000,I46,'[1]1_inventory_totals'!$F$8:$F$10000,"="&amp;Q46,'[1]1_inventory_totals'!$G$8:$G$10000,"="&amp;R46))+(SUMIFS('[1]1_inventory_totals'!$J$8:$J$10000,'[1]1_inventory_totals'!$C$8:$C$10000,I46,'[1]1_inventory_totals'!$F$8:$F$10000,"="&amp;Q46,'[1]1_inventory_totals'!$G$8:$G$10000,"="&amp;R46)+SUMIFS('[1]1_inventory_totals'!$K$8:$K$10000,'[1]1_inventory_totals'!$C$8:$C$10000,I46,'[1]1_inventory_totals'!$F$8:$F$10000,"="&amp;Q46,'[1]1_inventory_totals'!$G$8:$G$10000,"="&amp;R46)+SUMIFS('[1]1_inventory_totals'!$L$8:$L$10000,'[1]1_inventory_totals'!$C$8:$C$10000,I46,'[1]1_inventory_totals'!$F$8:$F$10000,"="&amp;Q46,'[1]1_inventory_totals'!$G$8:$G$10000,"="&amp;R46)+SUMIFS('[1]1_inventory_totals'!$M$8:$M$10000,'[1]1_inventory_totals'!$C$8:$C$10000,I46,'[1]1_inventory_totals'!$F$8:$F$10000,"="&amp;Q46,'[1]1_inventory_totals'!$G$8:$G$10000,"="&amp;R46)+SUMIFS('[1]1_inventory_totals'!$O$8:$O$10000,'[1]1_inventory_totals'!$C$8:$C$10000,I46,'[1]1_inventory_totals'!$F$8:$F$10000,"="&amp;Q46,'[1]1_inventory_totals'!$G$8:$G$10000,"="&amp;R46)+SUMIFS('[1]1_inventory_totals'!$S$8:$S$10000,'[1]1_inventory_totals'!$C$8:$C$10000,I46,'[1]1_inventory_totals'!$F$8:$F$10000,"="&amp;Q46,'[1]1_inventory_totals'!$G$8:$G$10000,"="&amp;R46)))</f>
        <v/>
      </c>
      <c r="AT46" s="1281" t="str">
        <f>IF(M46="","",(SUMIFS('[1]1_group_totals'!$K$8:$K$10000,'[1]1_group_totals'!$C$8:$C$10000,I46,'[1]1_group_totals'!$F$8:$F$10000,pb_location_group_id,'[1]1_group_totals'!$G$8:$G$10000,pb_location_id,'[1]1_group_totals'!$H$8:$H$10000,"="&amp;Q46,'[1]1_group_totals'!$I$8:$I$10000,"="&amp;R46)+SUMIFS('[1]1_group_totals'!$N$8:$N$10000,'[1]1_group_totals'!$C$8:$C$10000,I46,'[1]1_group_totals'!$F$8:$F$10000,pb_location_group_id,'[1]1_group_totals'!$G$8:$G$10000,pb_location_id,'[1]1_group_totals'!$H$8:$H$10000,"="&amp;Q46,'[1]1_group_totals'!$I$8:$I$10000,"="&amp;R46)+SUMIFS('[1]1_group_totals'!$P$8:$P$10000,'[1]1_group_totals'!$C$8:$C$10000,I46,'[1]1_group_totals'!$F$8:$F$10000,pb_location_group_id,'[1]1_group_totals'!$G$8:$G$10000,pb_location_id,'[1]1_group_totals'!$H$8:$H$10000,"="&amp;Q46,'[1]1_group_totals'!$I$8:$I$10000,"="&amp;R46)+SUMIFS('[1]1_group_totals'!$Q$8:$Q$10000,'[1]1_group_totals'!$C$8:$C$10000,I46,'[1]1_group_totals'!$F$8:$F$10000,pb_location_group_id,'[1]1_group_totals'!$G$8:$G$10000,pb_location_id,'[1]1_group_totals'!$H$8:$H$10000,"="&amp;Q46,'[1]1_group_totals'!$I$8:$I$10000,"="&amp;R46))+(SUMIFS('[1]1_group_totals'!$L$8:$L$10000,'[1]1_group_totals'!$C$8:$C$10000,I46,'[1]1_group_totals'!$F$8:$F$10000,pb_location_group_id,'[1]1_group_totals'!$G$8:$G$10000,pb_location_id,'[1]1_group_totals'!$H$8:$H$10000,"="&amp;Q46,'[1]1_group_totals'!$I$8:$I$10000,"="&amp;R46)+SUMIFS('[1]1_group_totals'!$M$8:$M$10000,'[1]1_group_totals'!$C$8:$C$10000,I46,'[1]1_group_totals'!$F$8:$F$10000,pb_location_group_id,'[1]1_group_totals'!$G$8:$G$10000,pb_location_id,'[1]1_group_totals'!$H$8:$H$10000,"="&amp;Q46,'[1]1_group_totals'!$I$8:$I$10000,"="&amp;R46)+SUMIFS('[1]1_group_totals'!$O$8:$O$10000,'[1]1_group_totals'!$C$8:$C$10000,I46,'[1]1_group_totals'!$F$8:$F$10000,pb_location_group_id,'[1]1_group_totals'!$G$8:$G$10000,pb_location_id,'[1]1_group_totals'!$H$8:$H$10000,"="&amp;Q46,'[1]1_group_totals'!$I$8:$I$10000,"="&amp;R46)+SUMIFS('[1]1_group_totals'!$R$8:$R$10000,'[1]1_group_totals'!$C$8:$C$10000,I46,'[1]1_group_totals'!$F$8:$F$10000,pb_location_group_id,'[1]1_group_totals'!$G$8:$G$10000,pb_location_id,'[1]1_group_totals'!$H$8:$H$10000,"="&amp;Q46,'[1]1_group_totals'!$I$8:$I$10000,"="&amp;R46)))</f>
        <v/>
      </c>
    </row>
    <row r="47" spans="1:46" ht="27" hidden="1" customHeight="1">
      <c r="A47" s="923"/>
      <c r="B47" s="1011"/>
      <c r="C47" s="950"/>
      <c r="D47" s="950"/>
      <c r="E47" s="950"/>
      <c r="F47" s="1057"/>
      <c r="I47" s="1610" t="str">
        <f t="shared" si="8"/>
        <v/>
      </c>
      <c r="J47" s="1631" t="str">
        <f t="shared" si="25"/>
        <v/>
      </c>
      <c r="K47" s="1628"/>
      <c r="L47" s="1632"/>
      <c r="M47" s="1069"/>
      <c r="N47" s="1044"/>
      <c r="O47" s="1044"/>
      <c r="P47" s="1046"/>
      <c r="Q47" s="1047"/>
      <c r="R47" s="1053"/>
      <c r="S47" s="1634" t="str">
        <f t="shared" ref="S47" si="134">IF(M47="","",pb_currency_symbol)</f>
        <v/>
      </c>
      <c r="T47" s="1068"/>
      <c r="U47" s="1636" t="str">
        <f t="shared" si="10"/>
        <v/>
      </c>
      <c r="V47" s="1634" t="str">
        <f t="shared" ref="V47" si="135">IF(W47=0,"",pb_currency_symbol)</f>
        <v/>
      </c>
      <c r="W47" s="1054"/>
      <c r="X47" s="1634" t="str">
        <f t="shared" ref="X47" si="136">IF(M47="","",pb_currency_symbol)</f>
        <v/>
      </c>
      <c r="Y47" s="1638" t="str">
        <f t="shared" si="24"/>
        <v/>
      </c>
      <c r="Z47" s="1062"/>
      <c r="AA47" s="1639" t="str" cm="1">
        <f t="array" ref="AA47">IF(M47="","",IF(P47=AL47,1,Slookup(MID(AL47,1,3)*1,UomConversion!$D$8:$J$500,5,UomConversion!$E$8:$E$500,MID(P47,1,3)*1,UomConversion!$J$8:$J$500,1)))</f>
        <v/>
      </c>
      <c r="AB47" s="1640" t="str">
        <f t="shared" si="13"/>
        <v/>
      </c>
      <c r="AC47" s="1641" t="str">
        <f t="shared" si="14"/>
        <v/>
      </c>
      <c r="AD47" s="1642" t="str">
        <f t="shared" si="15"/>
        <v/>
      </c>
      <c r="AE47" s="1643" t="str">
        <f t="shared" si="16"/>
        <v/>
      </c>
      <c r="AF47" s="1640" t="str">
        <f>IF(I47="","",IF(ISNA(MATCH(I47,IF(pb_location_id=1,'[1]1_inventory_totals'!$C$8:$C$10000,IF(pb_location_id=2,'[1]2_inventory_totals'!$C$8:$C$10000,"")),0)),0,IF(AS47&gt;0,1,0)))</f>
        <v/>
      </c>
      <c r="AG47" s="1640" t="str">
        <f>IF(M47="","",IF(pb_location_id=1,SUMIFS('[1]1_inventory_total_details'!$J$8:$J$10000,'[1]1_inventory_total_details'!$C$8:$C$10000,I47,'[1]1_inventory_total_details'!$F$8:$F$10000,pb_location_id,'[1]1_inventory_total_details'!$G$8:$G$10000,"="&amp;Q47,'[1]1_inventory_total_details'!$H$8:$H$10000,"="&amp;R47,'[1]1_inventory_total_details'!$I$8:$I$10000,"="&amp;pb_date)+SUMIFS('[1]1_inventory_total_details'!$M$8:$M$10000,'[1]1_inventory_total_details'!$C$8:$C$10000,I47,'[1]1_inventory_total_details'!$F$8:$F$10000,pb_location_id,'[1]1_inventory_total_details'!$G$8:$G$10000,"="&amp;Q47,'[1]1_inventory_total_details'!$H$8:$H$10000,"="&amp;R47,'[1]1_inventory_total_details'!$I$8:$I$10000,"="&amp;pb_date)+SUMIFS('[1]1_inventory_total_details'!$K$8:$K$10000,'[1]1_inventory_total_details'!$C$8:$C$10000,I47,'[1]1_inventory_total_details'!$F$8:$F$10000,pb_location_id,'[1]1_inventory_total_details'!$G$8:$G$10000,"="&amp;Q47,'[1]1_inventory_total_details'!$H$8:$H$10000,"="&amp;R47,'[1]1_inventory_total_details'!$I$8:$I$10000,"="&amp;pb_date)+SUMIFS('[1]1_inventory_total_details'!$L$8:$L$10000,'[1]1_inventory_total_details'!$C$8:$C$10000,I47,'[1]1_inventory_total_details'!$F$8:$F$10000,pb_location_id,'[1]1_inventory_total_details'!$G$8:$G$10000,"="&amp;Q47,'[1]1_inventory_total_details'!$H$8:$H$10000,"="&amp;R47,'[1]1_inventory_total_details'!$I$8:$I$10000,"="&amp;pb_date),SUMIFS('[1]2_inventory_total_details'!$J$8:$J$10000,'[1]2_inventory_total_details'!$C$8:$C$10000,I47,'[1]1_inventory_total_details'!$F$8:$F$10000,pb_location_id,'[1]2_inventory_total_details'!$G$8:$G$10000,"="&amp;Q47,'[1]2_inventory_total_details'!$H$8:$H$10000,"="&amp;R47,'[1]2_inventory_total_details'!$I$8:$I$10000,"="&amp;pb_date)+SUMIFS('[1]2_inventory_total_details'!$M$8:$M$10000,'[1]2_inventory_total_details'!$C$8:$C$10000,I47,'[1]2_inventory_total_details'!$F$8:$F$10000,pb_location_id,'[1]2_inventory_total_details'!$G$8:$G$10000,"="&amp;Q47,'[1]2_inventory_total_details'!$H$8:$H$10000,"="&amp;R47,'[1]2_inventory_total_details'!$I$8:$I$10000,"="&amp;pb_date)+SUMIFS('[1]2_inventory_total_details'!$K$8:$K$10000,'[1]2_inventory_total_details'!$C$8:$C$10000,I47,'[1]2_inventory_total_details'!$F$8:$F$10000,pb_location_id,'[1]2_inventory_total_details'!$G$8:$G$10000,"="&amp;Q47,'[1]2_inventory_total_details'!$H$8:$H$10000,"="&amp;R47,'[1]2_inventory_total_details'!$I$8:$I$10000,"="&amp;pb_date)+SUMIFS('[1]2_inventory_total_details'!$L$8:$L$10000,'[1]2_inventory_total_details'!$C$8:$C$10000,I47,'[1]2_inventory_total_details'!$F$8:$F$10000,pb_location_id,'[1]2_inventory_total_details'!$G$8:$G$10000,"="&amp;Q47,'[1]2_inventory_total_details'!$H$8:$H$10000,"="&amp;R47,'[1]2_inventory_total_details'!$I$8:$I$10000,"="&amp;pb_date)))</f>
        <v/>
      </c>
      <c r="AH47" s="1640" t="str">
        <f>IF(M47="","",IF(ISNA(MATCH(I47,'[1]1_group_totals'!$C$8:$C$10000)),0,IF(AT47&gt;0,1,0)))</f>
        <v/>
      </c>
      <c r="AI47" s="1640" t="str">
        <f>IF(M47="","",(SUMIFS('[1]1_group_total_details'!$I$8:$I$10000,'[1]1_group_total_details'!$C$8:$C$10000,I47,'[1]1_group_total_details'!$F$8:$F$10000,pb_location_group_id,'[1]1_group_total_details'!$G$8:$G$10000,pb_location_id,'[1]1_group_total_details'!$H$8:$H$10000,"="&amp;pb_date)+SUMIFS('[1]1_group_total_details'!$L$8:$L$10000,'[1]1_group_total_details'!$C$8:$C$10000,I47,'[1]1_group_total_details'!$F$8:$F$10000,pb_location_group_id,'[1]1_group_total_details'!$G$8:$G$10000,pb_location_id,'[1]1_group_total_details'!$H$8:$H$10000,"="&amp;pb_date)+SUMIFS('[1]1_group_total_details'!$N$8:$N$10000,'[1]1_group_total_details'!$C$8:$C$10000,I47,'[1]1_group_total_details'!$F$8:$F$10000,pb_location_group_id,'[1]1_group_total_details'!$G$8:$G$10000,pb_location_id,'[1]1_group_total_details'!$H$8:$H$10000,"="&amp;pb_date)+SUMIFS('[1]1_group_total_details'!$O$8:$O$10000,'[1]1_group_total_details'!$C$8:$C$10000,I47,'[1]1_group_total_details'!$F$8:$F$10000,pb_location_group_id,'[1]1_group_total_details'!$G$8:$G$10000,pb_location_id,'[1]1_group_total_details'!$H$8:$H$10000,"="&amp;pb_date))+(SUMIFS('[1]1_group_total_details'!$J$8:$J$10000,'[1]1_group_total_details'!$C$8:$C$10000,I47,'[1]1_group_total_details'!$F$8:$F$10000,pb_location_group_id,'[1]1_group_total_details'!$G$8:$G$10000,pb_location_id,'[1]1_group_total_details'!$H$8:$H$10000,"="&amp;pb_date)+SUMIFS('[1]1_group_total_details'!$K$8:$K$10000,'[1]1_group_total_details'!$C$8:$C$10000,I47,'[1]1_group_total_details'!$F$8:$F$10000,pb_location_group_id,'[1]1_group_total_details'!$G$8:$G$10000,pb_location_id,'[1]1_group_total_details'!$H$8:$H$10000,"="&amp;pb_date)+SUMIFS('[1]1_group_total_details'!$M$8:$M$10000,'[1]1_group_total_details'!$C$8:$C$10000,I47,'[1]1_group_total_details'!$F$8:$F$10000,pb_location_group_id,'[1]1_group_total_details'!$G$8:$G$10000,pb_location_id,'[1]1_group_total_details'!$H$8:$H$10000,"="&amp;pb_date)+SUMIFS('[1]1_group_total_details'!$P$8:$P$10000,'[1]1_group_total_details'!$C$8:$C$10000,I47,'[1]1_group_total_details'!$F$8:$F$10000,pb_location_group_id,'[1]1_group_total_details'!$G$8:$G$10000,pb_location_id,'[1]1_group_total_details'!$H$8:$H$10000,"="&amp;pb_date)))</f>
        <v/>
      </c>
      <c r="AJ47" s="1640" t="str">
        <f>IF(M47="","",IF(AK47=0,0,(SUMIFS('[1]1_group_total_details'!$I$8:$I$10000,'[1]1_group_total_details'!$C$8:$C$10000,I47,'[1]1_group_total_details'!$F$8:$F$10000,pb_location_group_id,'[1]1_group_total_details'!$G$8:$G$10000,pb_location_id,'[1]1_group_total_details'!$H$8:$H$10000,"&lt;="&amp;pb_date)+SUMIFS('[1]1_group_total_details'!$L$8:$L$10000,'[1]1_group_total_details'!$C$8:$C$10000,I47,'[1]1_group_total_details'!$F$8:$F$10000,pb_location_group_id,'[1]1_group_total_details'!$G$8:$G$10000,pb_location_id,'[1]1_group_total_details'!$H$8:$H$10000,"&lt;="&amp;pb_date)+SUMIFS('[1]1_group_total_details'!$N$8:$N$10000,'[1]1_group_total_details'!$C$8:$C$10000,I47,'[1]1_group_total_details'!$F$8:$F$10000,pb_location_group_id,'[1]1_group_total_details'!$G$8:$G$10000,pb_location_id,'[1]1_group_total_details'!$H$8:$H$10000,"&lt;="&amp;pb_date)+SUMIFS('[1]1_group_total_details'!$O$8:$O$10000,'[1]1_group_total_details'!$C$8:$C$10000,I47,'[1]1_group_total_details'!$F$8:$F$10000,pb_location_group_id,'[1]1_group_total_details'!$G$8:$G$10000,pb_location_id,'[1]1_group_total_details'!$H$8:$H$10000,"&lt;="&amp;pb_date))-(SUMIFS('[1]1_group_total_details'!$J$8:$J$10000,'[1]1_group_total_details'!$C$8:$C$10000,I47,'[1]1_group_total_details'!$F$8:$F$10000,pb_location_group_id,'[1]1_group_total_details'!$G$8:$G$10000,pb_location_id,'[1]1_group_total_details'!$H$8:$H$10000,"&lt;="&amp;pb_date)+SUMIFS('[1]1_group_total_details'!$K$8:$K$10000,'[1]1_group_total_details'!$C$8:$C$10000,I47,'[1]1_group_total_details'!$F$8:$F$10000,pb_location_group_id,'[1]1_group_total_details'!$G$8:$G$10000,invoice_location_id,'[1]1_group_total_details'!$H$8:$H$10000,"&lt;="&amp;pb_date)+SUMIFS('[1]1_group_total_details'!$M$8:$M$10000,'[1]1_group_total_details'!$C$8:$C$10000,I47,'[1]1_group_total_details'!$F$8:$F$10000,pb_location_group_id,'[1]1_group_total_details'!$G$8:$G$10000,pb_location_id,'[1]1_group_total_details'!$H$8:$H$10000,"&lt;="&amp;pb_date)+SUMIFS('[1]1_group_total_details'!$P$8:$P$10000,'[1]1_group_total_details'!$C$8:$C$10000,I47,'[1]1_group_total_details'!$F$8:$F$10000,pb_location_group_id,'[1]1_group_total_details'!$G$8:$G$10000,pb_location_id,'[1]1_group_total_details'!$H$8:$H$10000,"&lt;="&amp;pb_date))))</f>
        <v/>
      </c>
      <c r="AK47" s="1640" t="str">
        <f>IF(M47="","",SUMIFS('[1]1_group_totals'!$J$8:$J$10000,'[1]1_group_totals'!$C$8:$C$10000,I47,'[1]1_group_totals'!$F$8:$F$10000,pb_location_group_id,'[1]1_group_totals'!$G$8:$G$10000,pb_location_id,'[1]1_group_totals'!$H$8:$H$10000,"="&amp;Q47,'[1]1_group_totals'!$I$8:$I$10000,"="&amp;R47))</f>
        <v/>
      </c>
      <c r="AL47" s="1644" t="str">
        <f t="shared" si="17"/>
        <v/>
      </c>
      <c r="AM47" s="1644" t="str">
        <f>IF(OR(ISNA(MATCH(MID(AL47,1,3)*1,UomConversion!$D$8:$D$500,0)),M47=""),"",IF(AQ47="","",AQ47))</f>
        <v/>
      </c>
      <c r="AN47" s="1644" t="str">
        <f>IF(AND(AO47&gt;0,COUNTIFS(UomConversion!$D$8:$D$500,MID(AL47,1,3)*1,UomConversion!$J$8:$J$500,1)&gt;1),TEXT(AO47,"000")&amp;"."&amp;VLOOKUP(AO47,uom_list,5,FALSE),"")</f>
        <v/>
      </c>
      <c r="AO47" s="1640" t="str">
        <f t="shared" si="18"/>
        <v/>
      </c>
      <c r="AP47" s="1645" t="str">
        <f t="shared" si="19"/>
        <v/>
      </c>
      <c r="AQ47" s="491" t="str">
        <f t="shared" si="20"/>
        <v/>
      </c>
      <c r="AR47" s="1281" t="str" cm="1">
        <f t="array" ref="AR47">IF(M47="","",IF(ISNA(Slookup(MID(AL47,1,3)*1,UomConversion!$D$8:$J$500,2,UomConversion!$I$8:$I$500,1,UomConversion!$J$8:$J$500,1)),"",Slookup(MID(AL47,1,3)*1,UomConversion!$D$8:$J$500,2,UomConversion!$I$8:$I$500,1,UomConversion!$J$8:$J$500,1)))</f>
        <v/>
      </c>
      <c r="AS47" s="663" t="str">
        <f>IF(M47="","",(SUMIFS('[1]1_inventory_totals'!$I$8:$I$10000,'[1]1_inventory_totals'!$C$8:$C$10000,I47,'[1]1_inventory_totals'!$F$8:$F$10000,"="&amp;Q47,'[1]1_inventory_totals'!$G$8:$G$10000,"="&amp;R47)+SUMIFS('[1]1_inventory_totals'!$N$8:$N$10000,'[1]1_inventory_totals'!$C$8:$C$10000,I47,'[1]1_inventory_totals'!$F$8:$F$10000,"="&amp;Q47,'[1]1_inventory_totals'!$G$8:$G$10000,"="&amp;R47)+SUMIFS('[1]1_inventory_totals'!$P$8:$P$10000,'[1]1_inventory_totals'!$C$8:$C$10000,I47,'[1]1_inventory_totals'!$F$8:$F$10000,"="&amp;Q47,'[1]1_inventory_totals'!$G$8:$G$10000,"="&amp;R47)+SUMIFS('[1]1_inventory_totals'!$Q$8:$Q$10000,'[1]1_inventory_totals'!$C$8:$C$10000,I47,'[1]1_inventory_totals'!$F$8:$F$10000,"="&amp;Q47,'[1]1_inventory_totals'!$G$8:$G$10000,"="&amp;R47)+SUMIFS('[1]1_inventory_totals'!$R$8:$R$10000,'[1]1_inventory_totals'!$C$8:$C$10000,I47,'[1]1_inventory_totals'!$F$8:$F$10000,"="&amp;Q47,'[1]1_inventory_totals'!$G$8:$G$10000,"="&amp;R47))+(SUMIFS('[1]1_inventory_totals'!$J$8:$J$10000,'[1]1_inventory_totals'!$C$8:$C$10000,I47,'[1]1_inventory_totals'!$F$8:$F$10000,"="&amp;Q47,'[1]1_inventory_totals'!$G$8:$G$10000,"="&amp;R47)+SUMIFS('[1]1_inventory_totals'!$K$8:$K$10000,'[1]1_inventory_totals'!$C$8:$C$10000,I47,'[1]1_inventory_totals'!$F$8:$F$10000,"="&amp;Q47,'[1]1_inventory_totals'!$G$8:$G$10000,"="&amp;R47)+SUMIFS('[1]1_inventory_totals'!$L$8:$L$10000,'[1]1_inventory_totals'!$C$8:$C$10000,I47,'[1]1_inventory_totals'!$F$8:$F$10000,"="&amp;Q47,'[1]1_inventory_totals'!$G$8:$G$10000,"="&amp;R47)+SUMIFS('[1]1_inventory_totals'!$M$8:$M$10000,'[1]1_inventory_totals'!$C$8:$C$10000,I47,'[1]1_inventory_totals'!$F$8:$F$10000,"="&amp;Q47,'[1]1_inventory_totals'!$G$8:$G$10000,"="&amp;R47)+SUMIFS('[1]1_inventory_totals'!$O$8:$O$10000,'[1]1_inventory_totals'!$C$8:$C$10000,I47,'[1]1_inventory_totals'!$F$8:$F$10000,"="&amp;Q47,'[1]1_inventory_totals'!$G$8:$G$10000,"="&amp;R47)+SUMIFS('[1]1_inventory_totals'!$S$8:$S$10000,'[1]1_inventory_totals'!$C$8:$C$10000,I47,'[1]1_inventory_totals'!$F$8:$F$10000,"="&amp;Q47,'[1]1_inventory_totals'!$G$8:$G$10000,"="&amp;R47)))</f>
        <v/>
      </c>
      <c r="AT47" s="1281" t="str">
        <f>IF(M47="","",(SUMIFS('[1]1_group_totals'!$K$8:$K$10000,'[1]1_group_totals'!$C$8:$C$10000,I47,'[1]1_group_totals'!$F$8:$F$10000,pb_location_group_id,'[1]1_group_totals'!$G$8:$G$10000,pb_location_id,'[1]1_group_totals'!$H$8:$H$10000,"="&amp;Q47,'[1]1_group_totals'!$I$8:$I$10000,"="&amp;R47)+SUMIFS('[1]1_group_totals'!$N$8:$N$10000,'[1]1_group_totals'!$C$8:$C$10000,I47,'[1]1_group_totals'!$F$8:$F$10000,pb_location_group_id,'[1]1_group_totals'!$G$8:$G$10000,pb_location_id,'[1]1_group_totals'!$H$8:$H$10000,"="&amp;Q47,'[1]1_group_totals'!$I$8:$I$10000,"="&amp;R47)+SUMIFS('[1]1_group_totals'!$P$8:$P$10000,'[1]1_group_totals'!$C$8:$C$10000,I47,'[1]1_group_totals'!$F$8:$F$10000,pb_location_group_id,'[1]1_group_totals'!$G$8:$G$10000,pb_location_id,'[1]1_group_totals'!$H$8:$H$10000,"="&amp;Q47,'[1]1_group_totals'!$I$8:$I$10000,"="&amp;R47)+SUMIFS('[1]1_group_totals'!$Q$8:$Q$10000,'[1]1_group_totals'!$C$8:$C$10000,I47,'[1]1_group_totals'!$F$8:$F$10000,pb_location_group_id,'[1]1_group_totals'!$G$8:$G$10000,pb_location_id,'[1]1_group_totals'!$H$8:$H$10000,"="&amp;Q47,'[1]1_group_totals'!$I$8:$I$10000,"="&amp;R47))+(SUMIFS('[1]1_group_totals'!$L$8:$L$10000,'[1]1_group_totals'!$C$8:$C$10000,I47,'[1]1_group_totals'!$F$8:$F$10000,pb_location_group_id,'[1]1_group_totals'!$G$8:$G$10000,pb_location_id,'[1]1_group_totals'!$H$8:$H$10000,"="&amp;Q47,'[1]1_group_totals'!$I$8:$I$10000,"="&amp;R47)+SUMIFS('[1]1_group_totals'!$M$8:$M$10000,'[1]1_group_totals'!$C$8:$C$10000,I47,'[1]1_group_totals'!$F$8:$F$10000,pb_location_group_id,'[1]1_group_totals'!$G$8:$G$10000,pb_location_id,'[1]1_group_totals'!$H$8:$H$10000,"="&amp;Q47,'[1]1_group_totals'!$I$8:$I$10000,"="&amp;R47)+SUMIFS('[1]1_group_totals'!$O$8:$O$10000,'[1]1_group_totals'!$C$8:$C$10000,I47,'[1]1_group_totals'!$F$8:$F$10000,pb_location_group_id,'[1]1_group_totals'!$G$8:$G$10000,pb_location_id,'[1]1_group_totals'!$H$8:$H$10000,"="&amp;Q47,'[1]1_group_totals'!$I$8:$I$10000,"="&amp;R47)+SUMIFS('[1]1_group_totals'!$R$8:$R$10000,'[1]1_group_totals'!$C$8:$C$10000,I47,'[1]1_group_totals'!$F$8:$F$10000,pb_location_group_id,'[1]1_group_totals'!$G$8:$G$10000,pb_location_id,'[1]1_group_totals'!$H$8:$H$10000,"="&amp;Q47,'[1]1_group_totals'!$I$8:$I$10000,"="&amp;R47)))</f>
        <v/>
      </c>
    </row>
    <row r="48" spans="1:46" ht="27" hidden="1" customHeight="1">
      <c r="A48" s="923"/>
      <c r="B48" s="1011"/>
      <c r="C48" s="950"/>
      <c r="D48" s="950"/>
      <c r="E48" s="950"/>
      <c r="F48" s="1057"/>
      <c r="I48" s="1610" t="str">
        <f t="shared" si="8"/>
        <v/>
      </c>
      <c r="J48" s="1631" t="str">
        <f t="shared" si="25"/>
        <v/>
      </c>
      <c r="K48" s="1628"/>
      <c r="L48" s="1632"/>
      <c r="M48" s="1069"/>
      <c r="N48" s="1044"/>
      <c r="O48" s="1044"/>
      <c r="P48" s="1046"/>
      <c r="Q48" s="1047"/>
      <c r="R48" s="1053"/>
      <c r="S48" s="1634" t="str">
        <f t="shared" ref="S48" si="137">IF(M48="","",pb_currency_symbol)</f>
        <v/>
      </c>
      <c r="T48" s="1068"/>
      <c r="U48" s="1636" t="str">
        <f t="shared" si="10"/>
        <v/>
      </c>
      <c r="V48" s="1634" t="str">
        <f t="shared" ref="V48" si="138">IF(W48=0,"",pb_currency_symbol)</f>
        <v/>
      </c>
      <c r="W48" s="1054"/>
      <c r="X48" s="1634" t="str">
        <f t="shared" ref="X48" si="139">IF(M48="","",pb_currency_symbol)</f>
        <v/>
      </c>
      <c r="Y48" s="1638" t="str">
        <f t="shared" si="24"/>
        <v/>
      </c>
      <c r="Z48" s="1062"/>
      <c r="AA48" s="1639" t="str" cm="1">
        <f t="array" ref="AA48">IF(M48="","",IF(P48=AL48,1,Slookup(MID(AL48,1,3)*1,UomConversion!$D$8:$J$500,5,UomConversion!$E$8:$E$500,MID(P48,1,3)*1,UomConversion!$J$8:$J$500,1)))</f>
        <v/>
      </c>
      <c r="AB48" s="1640" t="str">
        <f t="shared" si="13"/>
        <v/>
      </c>
      <c r="AC48" s="1641" t="str">
        <f t="shared" si="14"/>
        <v/>
      </c>
      <c r="AD48" s="1642" t="str">
        <f t="shared" si="15"/>
        <v/>
      </c>
      <c r="AE48" s="1643" t="str">
        <f t="shared" si="16"/>
        <v/>
      </c>
      <c r="AF48" s="1640" t="str">
        <f>IF(I48="","",IF(ISNA(MATCH(I48,IF(pb_location_id=1,'[1]1_inventory_totals'!$C$8:$C$10000,IF(pb_location_id=2,'[1]2_inventory_totals'!$C$8:$C$10000,"")),0)),0,IF(AS48&gt;0,1,0)))</f>
        <v/>
      </c>
      <c r="AG48" s="1640" t="str">
        <f>IF(M48="","",IF(pb_location_id=1,SUMIFS('[1]1_inventory_total_details'!$J$8:$J$10000,'[1]1_inventory_total_details'!$C$8:$C$10000,I48,'[1]1_inventory_total_details'!$F$8:$F$10000,pb_location_id,'[1]1_inventory_total_details'!$G$8:$G$10000,"="&amp;Q48,'[1]1_inventory_total_details'!$H$8:$H$10000,"="&amp;R48,'[1]1_inventory_total_details'!$I$8:$I$10000,"="&amp;pb_date)+SUMIFS('[1]1_inventory_total_details'!$M$8:$M$10000,'[1]1_inventory_total_details'!$C$8:$C$10000,I48,'[1]1_inventory_total_details'!$F$8:$F$10000,pb_location_id,'[1]1_inventory_total_details'!$G$8:$G$10000,"="&amp;Q48,'[1]1_inventory_total_details'!$H$8:$H$10000,"="&amp;R48,'[1]1_inventory_total_details'!$I$8:$I$10000,"="&amp;pb_date)+SUMIFS('[1]1_inventory_total_details'!$K$8:$K$10000,'[1]1_inventory_total_details'!$C$8:$C$10000,I48,'[1]1_inventory_total_details'!$F$8:$F$10000,pb_location_id,'[1]1_inventory_total_details'!$G$8:$G$10000,"="&amp;Q48,'[1]1_inventory_total_details'!$H$8:$H$10000,"="&amp;R48,'[1]1_inventory_total_details'!$I$8:$I$10000,"="&amp;pb_date)+SUMIFS('[1]1_inventory_total_details'!$L$8:$L$10000,'[1]1_inventory_total_details'!$C$8:$C$10000,I48,'[1]1_inventory_total_details'!$F$8:$F$10000,pb_location_id,'[1]1_inventory_total_details'!$G$8:$G$10000,"="&amp;Q48,'[1]1_inventory_total_details'!$H$8:$H$10000,"="&amp;R48,'[1]1_inventory_total_details'!$I$8:$I$10000,"="&amp;pb_date),SUMIFS('[1]2_inventory_total_details'!$J$8:$J$10000,'[1]2_inventory_total_details'!$C$8:$C$10000,I48,'[1]1_inventory_total_details'!$F$8:$F$10000,pb_location_id,'[1]2_inventory_total_details'!$G$8:$G$10000,"="&amp;Q48,'[1]2_inventory_total_details'!$H$8:$H$10000,"="&amp;R48,'[1]2_inventory_total_details'!$I$8:$I$10000,"="&amp;pb_date)+SUMIFS('[1]2_inventory_total_details'!$M$8:$M$10000,'[1]2_inventory_total_details'!$C$8:$C$10000,I48,'[1]2_inventory_total_details'!$F$8:$F$10000,pb_location_id,'[1]2_inventory_total_details'!$G$8:$G$10000,"="&amp;Q48,'[1]2_inventory_total_details'!$H$8:$H$10000,"="&amp;R48,'[1]2_inventory_total_details'!$I$8:$I$10000,"="&amp;pb_date)+SUMIFS('[1]2_inventory_total_details'!$K$8:$K$10000,'[1]2_inventory_total_details'!$C$8:$C$10000,I48,'[1]2_inventory_total_details'!$F$8:$F$10000,pb_location_id,'[1]2_inventory_total_details'!$G$8:$G$10000,"="&amp;Q48,'[1]2_inventory_total_details'!$H$8:$H$10000,"="&amp;R48,'[1]2_inventory_total_details'!$I$8:$I$10000,"="&amp;pb_date)+SUMIFS('[1]2_inventory_total_details'!$L$8:$L$10000,'[1]2_inventory_total_details'!$C$8:$C$10000,I48,'[1]2_inventory_total_details'!$F$8:$F$10000,pb_location_id,'[1]2_inventory_total_details'!$G$8:$G$10000,"="&amp;Q48,'[1]2_inventory_total_details'!$H$8:$H$10000,"="&amp;R48,'[1]2_inventory_total_details'!$I$8:$I$10000,"="&amp;pb_date)))</f>
        <v/>
      </c>
      <c r="AH48" s="1640" t="str">
        <f>IF(M48="","",IF(ISNA(MATCH(I48,'[1]1_group_totals'!$C$8:$C$10000)),0,IF(AT48&gt;0,1,0)))</f>
        <v/>
      </c>
      <c r="AI48" s="1640" t="str">
        <f>IF(M48="","",(SUMIFS('[1]1_group_total_details'!$I$8:$I$10000,'[1]1_group_total_details'!$C$8:$C$10000,I48,'[1]1_group_total_details'!$F$8:$F$10000,pb_location_group_id,'[1]1_group_total_details'!$G$8:$G$10000,pb_location_id,'[1]1_group_total_details'!$H$8:$H$10000,"="&amp;pb_date)+SUMIFS('[1]1_group_total_details'!$L$8:$L$10000,'[1]1_group_total_details'!$C$8:$C$10000,I48,'[1]1_group_total_details'!$F$8:$F$10000,pb_location_group_id,'[1]1_group_total_details'!$G$8:$G$10000,pb_location_id,'[1]1_group_total_details'!$H$8:$H$10000,"="&amp;pb_date)+SUMIFS('[1]1_group_total_details'!$N$8:$N$10000,'[1]1_group_total_details'!$C$8:$C$10000,I48,'[1]1_group_total_details'!$F$8:$F$10000,pb_location_group_id,'[1]1_group_total_details'!$G$8:$G$10000,pb_location_id,'[1]1_group_total_details'!$H$8:$H$10000,"="&amp;pb_date)+SUMIFS('[1]1_group_total_details'!$O$8:$O$10000,'[1]1_group_total_details'!$C$8:$C$10000,I48,'[1]1_group_total_details'!$F$8:$F$10000,pb_location_group_id,'[1]1_group_total_details'!$G$8:$G$10000,pb_location_id,'[1]1_group_total_details'!$H$8:$H$10000,"="&amp;pb_date))+(SUMIFS('[1]1_group_total_details'!$J$8:$J$10000,'[1]1_group_total_details'!$C$8:$C$10000,I48,'[1]1_group_total_details'!$F$8:$F$10000,pb_location_group_id,'[1]1_group_total_details'!$G$8:$G$10000,pb_location_id,'[1]1_group_total_details'!$H$8:$H$10000,"="&amp;pb_date)+SUMIFS('[1]1_group_total_details'!$K$8:$K$10000,'[1]1_group_total_details'!$C$8:$C$10000,I48,'[1]1_group_total_details'!$F$8:$F$10000,pb_location_group_id,'[1]1_group_total_details'!$G$8:$G$10000,pb_location_id,'[1]1_group_total_details'!$H$8:$H$10000,"="&amp;pb_date)+SUMIFS('[1]1_group_total_details'!$M$8:$M$10000,'[1]1_group_total_details'!$C$8:$C$10000,I48,'[1]1_group_total_details'!$F$8:$F$10000,pb_location_group_id,'[1]1_group_total_details'!$G$8:$G$10000,pb_location_id,'[1]1_group_total_details'!$H$8:$H$10000,"="&amp;pb_date)+SUMIFS('[1]1_group_total_details'!$P$8:$P$10000,'[1]1_group_total_details'!$C$8:$C$10000,I48,'[1]1_group_total_details'!$F$8:$F$10000,pb_location_group_id,'[1]1_group_total_details'!$G$8:$G$10000,pb_location_id,'[1]1_group_total_details'!$H$8:$H$10000,"="&amp;pb_date)))</f>
        <v/>
      </c>
      <c r="AJ48" s="1640" t="str">
        <f>IF(M48="","",IF(AK48=0,0,(SUMIFS('[1]1_group_total_details'!$I$8:$I$10000,'[1]1_group_total_details'!$C$8:$C$10000,I48,'[1]1_group_total_details'!$F$8:$F$10000,pb_location_group_id,'[1]1_group_total_details'!$G$8:$G$10000,pb_location_id,'[1]1_group_total_details'!$H$8:$H$10000,"&lt;="&amp;pb_date)+SUMIFS('[1]1_group_total_details'!$L$8:$L$10000,'[1]1_group_total_details'!$C$8:$C$10000,I48,'[1]1_group_total_details'!$F$8:$F$10000,pb_location_group_id,'[1]1_group_total_details'!$G$8:$G$10000,pb_location_id,'[1]1_group_total_details'!$H$8:$H$10000,"&lt;="&amp;pb_date)+SUMIFS('[1]1_group_total_details'!$N$8:$N$10000,'[1]1_group_total_details'!$C$8:$C$10000,I48,'[1]1_group_total_details'!$F$8:$F$10000,pb_location_group_id,'[1]1_group_total_details'!$G$8:$G$10000,pb_location_id,'[1]1_group_total_details'!$H$8:$H$10000,"&lt;="&amp;pb_date)+SUMIFS('[1]1_group_total_details'!$O$8:$O$10000,'[1]1_group_total_details'!$C$8:$C$10000,I48,'[1]1_group_total_details'!$F$8:$F$10000,pb_location_group_id,'[1]1_group_total_details'!$G$8:$G$10000,pb_location_id,'[1]1_group_total_details'!$H$8:$H$10000,"&lt;="&amp;pb_date))-(SUMIFS('[1]1_group_total_details'!$J$8:$J$10000,'[1]1_group_total_details'!$C$8:$C$10000,I48,'[1]1_group_total_details'!$F$8:$F$10000,pb_location_group_id,'[1]1_group_total_details'!$G$8:$G$10000,pb_location_id,'[1]1_group_total_details'!$H$8:$H$10000,"&lt;="&amp;pb_date)+SUMIFS('[1]1_group_total_details'!$K$8:$K$10000,'[1]1_group_total_details'!$C$8:$C$10000,I48,'[1]1_group_total_details'!$F$8:$F$10000,pb_location_group_id,'[1]1_group_total_details'!$G$8:$G$10000,invoice_location_id,'[1]1_group_total_details'!$H$8:$H$10000,"&lt;="&amp;pb_date)+SUMIFS('[1]1_group_total_details'!$M$8:$M$10000,'[1]1_group_total_details'!$C$8:$C$10000,I48,'[1]1_group_total_details'!$F$8:$F$10000,pb_location_group_id,'[1]1_group_total_details'!$G$8:$G$10000,pb_location_id,'[1]1_group_total_details'!$H$8:$H$10000,"&lt;="&amp;pb_date)+SUMIFS('[1]1_group_total_details'!$P$8:$P$10000,'[1]1_group_total_details'!$C$8:$C$10000,I48,'[1]1_group_total_details'!$F$8:$F$10000,pb_location_group_id,'[1]1_group_total_details'!$G$8:$G$10000,pb_location_id,'[1]1_group_total_details'!$H$8:$H$10000,"&lt;="&amp;pb_date))))</f>
        <v/>
      </c>
      <c r="AK48" s="1640" t="str">
        <f>IF(M48="","",SUMIFS('[1]1_group_totals'!$J$8:$J$10000,'[1]1_group_totals'!$C$8:$C$10000,I48,'[1]1_group_totals'!$F$8:$F$10000,pb_location_group_id,'[1]1_group_totals'!$G$8:$G$10000,pb_location_id,'[1]1_group_totals'!$H$8:$H$10000,"="&amp;Q48,'[1]1_group_totals'!$I$8:$I$10000,"="&amp;R48))</f>
        <v/>
      </c>
      <c r="AL48" s="1644" t="str">
        <f t="shared" si="17"/>
        <v/>
      </c>
      <c r="AM48" s="1644" t="str">
        <f>IF(OR(ISNA(MATCH(MID(AL48,1,3)*1,UomConversion!$D$8:$D$500,0)),M48=""),"",IF(AQ48="","",AQ48))</f>
        <v/>
      </c>
      <c r="AN48" s="1644" t="str">
        <f>IF(AND(AO48&gt;0,COUNTIFS(UomConversion!$D$8:$D$500,MID(AL48,1,3)*1,UomConversion!$J$8:$J$500,1)&gt;1),TEXT(AO48,"000")&amp;"."&amp;VLOOKUP(AO48,uom_list,5,FALSE),"")</f>
        <v/>
      </c>
      <c r="AO48" s="1640" t="str">
        <f t="shared" si="18"/>
        <v/>
      </c>
      <c r="AP48" s="1645" t="str">
        <f t="shared" si="19"/>
        <v/>
      </c>
      <c r="AQ48" s="491" t="str">
        <f t="shared" si="20"/>
        <v/>
      </c>
      <c r="AR48" s="1281" t="str" cm="1">
        <f t="array" ref="AR48">IF(M48="","",IF(ISNA(Slookup(MID(AL48,1,3)*1,UomConversion!$D$8:$J$500,2,UomConversion!$I$8:$I$500,1,UomConversion!$J$8:$J$500,1)),"",Slookup(MID(AL48,1,3)*1,UomConversion!$D$8:$J$500,2,UomConversion!$I$8:$I$500,1,UomConversion!$J$8:$J$500,1)))</f>
        <v/>
      </c>
      <c r="AS48" s="663" t="str">
        <f>IF(M48="","",(SUMIFS('[1]1_inventory_totals'!$I$8:$I$10000,'[1]1_inventory_totals'!$C$8:$C$10000,I48,'[1]1_inventory_totals'!$F$8:$F$10000,"="&amp;Q48,'[1]1_inventory_totals'!$G$8:$G$10000,"="&amp;R48)+SUMIFS('[1]1_inventory_totals'!$N$8:$N$10000,'[1]1_inventory_totals'!$C$8:$C$10000,I48,'[1]1_inventory_totals'!$F$8:$F$10000,"="&amp;Q48,'[1]1_inventory_totals'!$G$8:$G$10000,"="&amp;R48)+SUMIFS('[1]1_inventory_totals'!$P$8:$P$10000,'[1]1_inventory_totals'!$C$8:$C$10000,I48,'[1]1_inventory_totals'!$F$8:$F$10000,"="&amp;Q48,'[1]1_inventory_totals'!$G$8:$G$10000,"="&amp;R48)+SUMIFS('[1]1_inventory_totals'!$Q$8:$Q$10000,'[1]1_inventory_totals'!$C$8:$C$10000,I48,'[1]1_inventory_totals'!$F$8:$F$10000,"="&amp;Q48,'[1]1_inventory_totals'!$G$8:$G$10000,"="&amp;R48)+SUMIFS('[1]1_inventory_totals'!$R$8:$R$10000,'[1]1_inventory_totals'!$C$8:$C$10000,I48,'[1]1_inventory_totals'!$F$8:$F$10000,"="&amp;Q48,'[1]1_inventory_totals'!$G$8:$G$10000,"="&amp;R48))+(SUMIFS('[1]1_inventory_totals'!$J$8:$J$10000,'[1]1_inventory_totals'!$C$8:$C$10000,I48,'[1]1_inventory_totals'!$F$8:$F$10000,"="&amp;Q48,'[1]1_inventory_totals'!$G$8:$G$10000,"="&amp;R48)+SUMIFS('[1]1_inventory_totals'!$K$8:$K$10000,'[1]1_inventory_totals'!$C$8:$C$10000,I48,'[1]1_inventory_totals'!$F$8:$F$10000,"="&amp;Q48,'[1]1_inventory_totals'!$G$8:$G$10000,"="&amp;R48)+SUMIFS('[1]1_inventory_totals'!$L$8:$L$10000,'[1]1_inventory_totals'!$C$8:$C$10000,I48,'[1]1_inventory_totals'!$F$8:$F$10000,"="&amp;Q48,'[1]1_inventory_totals'!$G$8:$G$10000,"="&amp;R48)+SUMIFS('[1]1_inventory_totals'!$M$8:$M$10000,'[1]1_inventory_totals'!$C$8:$C$10000,I48,'[1]1_inventory_totals'!$F$8:$F$10000,"="&amp;Q48,'[1]1_inventory_totals'!$G$8:$G$10000,"="&amp;R48)+SUMIFS('[1]1_inventory_totals'!$O$8:$O$10000,'[1]1_inventory_totals'!$C$8:$C$10000,I48,'[1]1_inventory_totals'!$F$8:$F$10000,"="&amp;Q48,'[1]1_inventory_totals'!$G$8:$G$10000,"="&amp;R48)+SUMIFS('[1]1_inventory_totals'!$S$8:$S$10000,'[1]1_inventory_totals'!$C$8:$C$10000,I48,'[1]1_inventory_totals'!$F$8:$F$10000,"="&amp;Q48,'[1]1_inventory_totals'!$G$8:$G$10000,"="&amp;R48)))</f>
        <v/>
      </c>
      <c r="AT48" s="1281" t="str">
        <f>IF(M48="","",(SUMIFS('[1]1_group_totals'!$K$8:$K$10000,'[1]1_group_totals'!$C$8:$C$10000,I48,'[1]1_group_totals'!$F$8:$F$10000,pb_location_group_id,'[1]1_group_totals'!$G$8:$G$10000,pb_location_id,'[1]1_group_totals'!$H$8:$H$10000,"="&amp;Q48,'[1]1_group_totals'!$I$8:$I$10000,"="&amp;R48)+SUMIFS('[1]1_group_totals'!$N$8:$N$10000,'[1]1_group_totals'!$C$8:$C$10000,I48,'[1]1_group_totals'!$F$8:$F$10000,pb_location_group_id,'[1]1_group_totals'!$G$8:$G$10000,pb_location_id,'[1]1_group_totals'!$H$8:$H$10000,"="&amp;Q48,'[1]1_group_totals'!$I$8:$I$10000,"="&amp;R48)+SUMIFS('[1]1_group_totals'!$P$8:$P$10000,'[1]1_group_totals'!$C$8:$C$10000,I48,'[1]1_group_totals'!$F$8:$F$10000,pb_location_group_id,'[1]1_group_totals'!$G$8:$G$10000,pb_location_id,'[1]1_group_totals'!$H$8:$H$10000,"="&amp;Q48,'[1]1_group_totals'!$I$8:$I$10000,"="&amp;R48)+SUMIFS('[1]1_group_totals'!$Q$8:$Q$10000,'[1]1_group_totals'!$C$8:$C$10000,I48,'[1]1_group_totals'!$F$8:$F$10000,pb_location_group_id,'[1]1_group_totals'!$G$8:$G$10000,pb_location_id,'[1]1_group_totals'!$H$8:$H$10000,"="&amp;Q48,'[1]1_group_totals'!$I$8:$I$10000,"="&amp;R48))+(SUMIFS('[1]1_group_totals'!$L$8:$L$10000,'[1]1_group_totals'!$C$8:$C$10000,I48,'[1]1_group_totals'!$F$8:$F$10000,pb_location_group_id,'[1]1_group_totals'!$G$8:$G$10000,pb_location_id,'[1]1_group_totals'!$H$8:$H$10000,"="&amp;Q48,'[1]1_group_totals'!$I$8:$I$10000,"="&amp;R48)+SUMIFS('[1]1_group_totals'!$M$8:$M$10000,'[1]1_group_totals'!$C$8:$C$10000,I48,'[1]1_group_totals'!$F$8:$F$10000,pb_location_group_id,'[1]1_group_totals'!$G$8:$G$10000,pb_location_id,'[1]1_group_totals'!$H$8:$H$10000,"="&amp;Q48,'[1]1_group_totals'!$I$8:$I$10000,"="&amp;R48)+SUMIFS('[1]1_group_totals'!$O$8:$O$10000,'[1]1_group_totals'!$C$8:$C$10000,I48,'[1]1_group_totals'!$F$8:$F$10000,pb_location_group_id,'[1]1_group_totals'!$G$8:$G$10000,pb_location_id,'[1]1_group_totals'!$H$8:$H$10000,"="&amp;Q48,'[1]1_group_totals'!$I$8:$I$10000,"="&amp;R48)+SUMIFS('[1]1_group_totals'!$R$8:$R$10000,'[1]1_group_totals'!$C$8:$C$10000,I48,'[1]1_group_totals'!$F$8:$F$10000,pb_location_group_id,'[1]1_group_totals'!$G$8:$G$10000,pb_location_id,'[1]1_group_totals'!$H$8:$H$10000,"="&amp;Q48,'[1]1_group_totals'!$I$8:$I$10000,"="&amp;R48)))</f>
        <v/>
      </c>
    </row>
    <row r="49" spans="1:46" ht="27" hidden="1" customHeight="1">
      <c r="A49" s="923"/>
      <c r="B49" s="1011"/>
      <c r="C49" s="950"/>
      <c r="D49" s="950"/>
      <c r="E49" s="950"/>
      <c r="F49" s="1057"/>
      <c r="I49" s="1610" t="str">
        <f t="shared" si="8"/>
        <v/>
      </c>
      <c r="J49" s="1631" t="str">
        <f t="shared" si="25"/>
        <v/>
      </c>
      <c r="K49" s="1628"/>
      <c r="L49" s="1632"/>
      <c r="M49" s="1069"/>
      <c r="N49" s="1044"/>
      <c r="O49" s="1044"/>
      <c r="P49" s="1046"/>
      <c r="Q49" s="1047"/>
      <c r="R49" s="1053"/>
      <c r="S49" s="1634" t="str">
        <f t="shared" ref="S49" si="140">IF(M49="","",pb_currency_symbol)</f>
        <v/>
      </c>
      <c r="T49" s="1068"/>
      <c r="U49" s="1636" t="str">
        <f t="shared" si="10"/>
        <v/>
      </c>
      <c r="V49" s="1634" t="str">
        <f t="shared" ref="V49" si="141">IF(W49=0,"",pb_currency_symbol)</f>
        <v/>
      </c>
      <c r="W49" s="1054"/>
      <c r="X49" s="1634" t="str">
        <f t="shared" ref="X49" si="142">IF(M49="","",pb_currency_symbol)</f>
        <v/>
      </c>
      <c r="Y49" s="1638" t="str">
        <f t="shared" si="24"/>
        <v/>
      </c>
      <c r="Z49" s="1062"/>
      <c r="AA49" s="1639" t="str" cm="1">
        <f t="array" ref="AA49">IF(M49="","",IF(P49=AL49,1,Slookup(MID(AL49,1,3)*1,UomConversion!$D$8:$J$500,5,UomConversion!$E$8:$E$500,MID(P49,1,3)*1,UomConversion!$J$8:$J$500,1)))</f>
        <v/>
      </c>
      <c r="AB49" s="1640" t="str">
        <f t="shared" si="13"/>
        <v/>
      </c>
      <c r="AC49" s="1641" t="str">
        <f t="shared" si="14"/>
        <v/>
      </c>
      <c r="AD49" s="1642" t="str">
        <f t="shared" si="15"/>
        <v/>
      </c>
      <c r="AE49" s="1643" t="str">
        <f t="shared" si="16"/>
        <v/>
      </c>
      <c r="AF49" s="1640" t="str">
        <f>IF(I49="","",IF(ISNA(MATCH(I49,IF(pb_location_id=1,'[1]1_inventory_totals'!$C$8:$C$10000,IF(pb_location_id=2,'[1]2_inventory_totals'!$C$8:$C$10000,"")),0)),0,IF(AS49&gt;0,1,0)))</f>
        <v/>
      </c>
      <c r="AG49" s="1640" t="str">
        <f>IF(M49="","",IF(pb_location_id=1,SUMIFS('[1]1_inventory_total_details'!$J$8:$J$10000,'[1]1_inventory_total_details'!$C$8:$C$10000,I49,'[1]1_inventory_total_details'!$F$8:$F$10000,pb_location_id,'[1]1_inventory_total_details'!$G$8:$G$10000,"="&amp;Q49,'[1]1_inventory_total_details'!$H$8:$H$10000,"="&amp;R49,'[1]1_inventory_total_details'!$I$8:$I$10000,"="&amp;pb_date)+SUMIFS('[1]1_inventory_total_details'!$M$8:$M$10000,'[1]1_inventory_total_details'!$C$8:$C$10000,I49,'[1]1_inventory_total_details'!$F$8:$F$10000,pb_location_id,'[1]1_inventory_total_details'!$G$8:$G$10000,"="&amp;Q49,'[1]1_inventory_total_details'!$H$8:$H$10000,"="&amp;R49,'[1]1_inventory_total_details'!$I$8:$I$10000,"="&amp;pb_date)+SUMIFS('[1]1_inventory_total_details'!$K$8:$K$10000,'[1]1_inventory_total_details'!$C$8:$C$10000,I49,'[1]1_inventory_total_details'!$F$8:$F$10000,pb_location_id,'[1]1_inventory_total_details'!$G$8:$G$10000,"="&amp;Q49,'[1]1_inventory_total_details'!$H$8:$H$10000,"="&amp;R49,'[1]1_inventory_total_details'!$I$8:$I$10000,"="&amp;pb_date)+SUMIFS('[1]1_inventory_total_details'!$L$8:$L$10000,'[1]1_inventory_total_details'!$C$8:$C$10000,I49,'[1]1_inventory_total_details'!$F$8:$F$10000,pb_location_id,'[1]1_inventory_total_details'!$G$8:$G$10000,"="&amp;Q49,'[1]1_inventory_total_details'!$H$8:$H$10000,"="&amp;R49,'[1]1_inventory_total_details'!$I$8:$I$10000,"="&amp;pb_date),SUMIFS('[1]2_inventory_total_details'!$J$8:$J$10000,'[1]2_inventory_total_details'!$C$8:$C$10000,I49,'[1]1_inventory_total_details'!$F$8:$F$10000,pb_location_id,'[1]2_inventory_total_details'!$G$8:$G$10000,"="&amp;Q49,'[1]2_inventory_total_details'!$H$8:$H$10000,"="&amp;R49,'[1]2_inventory_total_details'!$I$8:$I$10000,"="&amp;pb_date)+SUMIFS('[1]2_inventory_total_details'!$M$8:$M$10000,'[1]2_inventory_total_details'!$C$8:$C$10000,I49,'[1]2_inventory_total_details'!$F$8:$F$10000,pb_location_id,'[1]2_inventory_total_details'!$G$8:$G$10000,"="&amp;Q49,'[1]2_inventory_total_details'!$H$8:$H$10000,"="&amp;R49,'[1]2_inventory_total_details'!$I$8:$I$10000,"="&amp;pb_date)+SUMIFS('[1]2_inventory_total_details'!$K$8:$K$10000,'[1]2_inventory_total_details'!$C$8:$C$10000,I49,'[1]2_inventory_total_details'!$F$8:$F$10000,pb_location_id,'[1]2_inventory_total_details'!$G$8:$G$10000,"="&amp;Q49,'[1]2_inventory_total_details'!$H$8:$H$10000,"="&amp;R49,'[1]2_inventory_total_details'!$I$8:$I$10000,"="&amp;pb_date)+SUMIFS('[1]2_inventory_total_details'!$L$8:$L$10000,'[1]2_inventory_total_details'!$C$8:$C$10000,I49,'[1]2_inventory_total_details'!$F$8:$F$10000,pb_location_id,'[1]2_inventory_total_details'!$G$8:$G$10000,"="&amp;Q49,'[1]2_inventory_total_details'!$H$8:$H$10000,"="&amp;R49,'[1]2_inventory_total_details'!$I$8:$I$10000,"="&amp;pb_date)))</f>
        <v/>
      </c>
      <c r="AH49" s="1640" t="str">
        <f>IF(M49="","",IF(ISNA(MATCH(I49,'[1]1_group_totals'!$C$8:$C$10000)),0,IF(AT49&gt;0,1,0)))</f>
        <v/>
      </c>
      <c r="AI49" s="1640" t="str">
        <f>IF(M49="","",(SUMIFS('[1]1_group_total_details'!$I$8:$I$10000,'[1]1_group_total_details'!$C$8:$C$10000,I49,'[1]1_group_total_details'!$F$8:$F$10000,pb_location_group_id,'[1]1_group_total_details'!$G$8:$G$10000,pb_location_id,'[1]1_group_total_details'!$H$8:$H$10000,"="&amp;pb_date)+SUMIFS('[1]1_group_total_details'!$L$8:$L$10000,'[1]1_group_total_details'!$C$8:$C$10000,I49,'[1]1_group_total_details'!$F$8:$F$10000,pb_location_group_id,'[1]1_group_total_details'!$G$8:$G$10000,pb_location_id,'[1]1_group_total_details'!$H$8:$H$10000,"="&amp;pb_date)+SUMIFS('[1]1_group_total_details'!$N$8:$N$10000,'[1]1_group_total_details'!$C$8:$C$10000,I49,'[1]1_group_total_details'!$F$8:$F$10000,pb_location_group_id,'[1]1_group_total_details'!$G$8:$G$10000,pb_location_id,'[1]1_group_total_details'!$H$8:$H$10000,"="&amp;pb_date)+SUMIFS('[1]1_group_total_details'!$O$8:$O$10000,'[1]1_group_total_details'!$C$8:$C$10000,I49,'[1]1_group_total_details'!$F$8:$F$10000,pb_location_group_id,'[1]1_group_total_details'!$G$8:$G$10000,pb_location_id,'[1]1_group_total_details'!$H$8:$H$10000,"="&amp;pb_date))+(SUMIFS('[1]1_group_total_details'!$J$8:$J$10000,'[1]1_group_total_details'!$C$8:$C$10000,I49,'[1]1_group_total_details'!$F$8:$F$10000,pb_location_group_id,'[1]1_group_total_details'!$G$8:$G$10000,pb_location_id,'[1]1_group_total_details'!$H$8:$H$10000,"="&amp;pb_date)+SUMIFS('[1]1_group_total_details'!$K$8:$K$10000,'[1]1_group_total_details'!$C$8:$C$10000,I49,'[1]1_group_total_details'!$F$8:$F$10000,pb_location_group_id,'[1]1_group_total_details'!$G$8:$G$10000,pb_location_id,'[1]1_group_total_details'!$H$8:$H$10000,"="&amp;pb_date)+SUMIFS('[1]1_group_total_details'!$M$8:$M$10000,'[1]1_group_total_details'!$C$8:$C$10000,I49,'[1]1_group_total_details'!$F$8:$F$10000,pb_location_group_id,'[1]1_group_total_details'!$G$8:$G$10000,pb_location_id,'[1]1_group_total_details'!$H$8:$H$10000,"="&amp;pb_date)+SUMIFS('[1]1_group_total_details'!$P$8:$P$10000,'[1]1_group_total_details'!$C$8:$C$10000,I49,'[1]1_group_total_details'!$F$8:$F$10000,pb_location_group_id,'[1]1_group_total_details'!$G$8:$G$10000,pb_location_id,'[1]1_group_total_details'!$H$8:$H$10000,"="&amp;pb_date)))</f>
        <v/>
      </c>
      <c r="AJ49" s="1640" t="str">
        <f>IF(M49="","",IF(AK49=0,0,(SUMIFS('[1]1_group_total_details'!$I$8:$I$10000,'[1]1_group_total_details'!$C$8:$C$10000,I49,'[1]1_group_total_details'!$F$8:$F$10000,pb_location_group_id,'[1]1_group_total_details'!$G$8:$G$10000,pb_location_id,'[1]1_group_total_details'!$H$8:$H$10000,"&lt;="&amp;pb_date)+SUMIFS('[1]1_group_total_details'!$L$8:$L$10000,'[1]1_group_total_details'!$C$8:$C$10000,I49,'[1]1_group_total_details'!$F$8:$F$10000,pb_location_group_id,'[1]1_group_total_details'!$G$8:$G$10000,pb_location_id,'[1]1_group_total_details'!$H$8:$H$10000,"&lt;="&amp;pb_date)+SUMIFS('[1]1_group_total_details'!$N$8:$N$10000,'[1]1_group_total_details'!$C$8:$C$10000,I49,'[1]1_group_total_details'!$F$8:$F$10000,pb_location_group_id,'[1]1_group_total_details'!$G$8:$G$10000,pb_location_id,'[1]1_group_total_details'!$H$8:$H$10000,"&lt;="&amp;pb_date)+SUMIFS('[1]1_group_total_details'!$O$8:$O$10000,'[1]1_group_total_details'!$C$8:$C$10000,I49,'[1]1_group_total_details'!$F$8:$F$10000,pb_location_group_id,'[1]1_group_total_details'!$G$8:$G$10000,pb_location_id,'[1]1_group_total_details'!$H$8:$H$10000,"&lt;="&amp;pb_date))-(SUMIFS('[1]1_group_total_details'!$J$8:$J$10000,'[1]1_group_total_details'!$C$8:$C$10000,I49,'[1]1_group_total_details'!$F$8:$F$10000,pb_location_group_id,'[1]1_group_total_details'!$G$8:$G$10000,pb_location_id,'[1]1_group_total_details'!$H$8:$H$10000,"&lt;="&amp;pb_date)+SUMIFS('[1]1_group_total_details'!$K$8:$K$10000,'[1]1_group_total_details'!$C$8:$C$10000,I49,'[1]1_group_total_details'!$F$8:$F$10000,pb_location_group_id,'[1]1_group_total_details'!$G$8:$G$10000,invoice_location_id,'[1]1_group_total_details'!$H$8:$H$10000,"&lt;="&amp;pb_date)+SUMIFS('[1]1_group_total_details'!$M$8:$M$10000,'[1]1_group_total_details'!$C$8:$C$10000,I49,'[1]1_group_total_details'!$F$8:$F$10000,pb_location_group_id,'[1]1_group_total_details'!$G$8:$G$10000,pb_location_id,'[1]1_group_total_details'!$H$8:$H$10000,"&lt;="&amp;pb_date)+SUMIFS('[1]1_group_total_details'!$P$8:$P$10000,'[1]1_group_total_details'!$C$8:$C$10000,I49,'[1]1_group_total_details'!$F$8:$F$10000,pb_location_group_id,'[1]1_group_total_details'!$G$8:$G$10000,pb_location_id,'[1]1_group_total_details'!$H$8:$H$10000,"&lt;="&amp;pb_date))))</f>
        <v/>
      </c>
      <c r="AK49" s="1640" t="str">
        <f>IF(M49="","",SUMIFS('[1]1_group_totals'!$J$8:$J$10000,'[1]1_group_totals'!$C$8:$C$10000,I49,'[1]1_group_totals'!$F$8:$F$10000,pb_location_group_id,'[1]1_group_totals'!$G$8:$G$10000,pb_location_id,'[1]1_group_totals'!$H$8:$H$10000,"="&amp;Q49,'[1]1_group_totals'!$I$8:$I$10000,"="&amp;R49))</f>
        <v/>
      </c>
      <c r="AL49" s="1644" t="str">
        <f t="shared" si="17"/>
        <v/>
      </c>
      <c r="AM49" s="1644" t="str">
        <f>IF(OR(ISNA(MATCH(MID(AL49,1,3)*1,UomConversion!$D$8:$D$500,0)),M49=""),"",IF(AQ49="","",AQ49))</f>
        <v/>
      </c>
      <c r="AN49" s="1644" t="str">
        <f>IF(AND(AO49&gt;0,COUNTIFS(UomConversion!$D$8:$D$500,MID(AL49,1,3)*1,UomConversion!$J$8:$J$500,1)&gt;1),TEXT(AO49,"000")&amp;"."&amp;VLOOKUP(AO49,uom_list,5,FALSE),"")</f>
        <v/>
      </c>
      <c r="AO49" s="1640" t="str">
        <f t="shared" si="18"/>
        <v/>
      </c>
      <c r="AP49" s="1645" t="str">
        <f t="shared" si="19"/>
        <v/>
      </c>
      <c r="AQ49" s="491" t="str">
        <f t="shared" si="20"/>
        <v/>
      </c>
      <c r="AR49" s="1281" t="str" cm="1">
        <f t="array" ref="AR49">IF(M49="","",IF(ISNA(Slookup(MID(AL49,1,3)*1,UomConversion!$D$8:$J$500,2,UomConversion!$I$8:$I$500,1,UomConversion!$J$8:$J$500,1)),"",Slookup(MID(AL49,1,3)*1,UomConversion!$D$8:$J$500,2,UomConversion!$I$8:$I$500,1,UomConversion!$J$8:$J$500,1)))</f>
        <v/>
      </c>
      <c r="AS49" s="663" t="str">
        <f>IF(M49="","",(SUMIFS('[1]1_inventory_totals'!$I$8:$I$10000,'[1]1_inventory_totals'!$C$8:$C$10000,I49,'[1]1_inventory_totals'!$F$8:$F$10000,"="&amp;Q49,'[1]1_inventory_totals'!$G$8:$G$10000,"="&amp;R49)+SUMIFS('[1]1_inventory_totals'!$N$8:$N$10000,'[1]1_inventory_totals'!$C$8:$C$10000,I49,'[1]1_inventory_totals'!$F$8:$F$10000,"="&amp;Q49,'[1]1_inventory_totals'!$G$8:$G$10000,"="&amp;R49)+SUMIFS('[1]1_inventory_totals'!$P$8:$P$10000,'[1]1_inventory_totals'!$C$8:$C$10000,I49,'[1]1_inventory_totals'!$F$8:$F$10000,"="&amp;Q49,'[1]1_inventory_totals'!$G$8:$G$10000,"="&amp;R49)+SUMIFS('[1]1_inventory_totals'!$Q$8:$Q$10000,'[1]1_inventory_totals'!$C$8:$C$10000,I49,'[1]1_inventory_totals'!$F$8:$F$10000,"="&amp;Q49,'[1]1_inventory_totals'!$G$8:$G$10000,"="&amp;R49)+SUMIFS('[1]1_inventory_totals'!$R$8:$R$10000,'[1]1_inventory_totals'!$C$8:$C$10000,I49,'[1]1_inventory_totals'!$F$8:$F$10000,"="&amp;Q49,'[1]1_inventory_totals'!$G$8:$G$10000,"="&amp;R49))+(SUMIFS('[1]1_inventory_totals'!$J$8:$J$10000,'[1]1_inventory_totals'!$C$8:$C$10000,I49,'[1]1_inventory_totals'!$F$8:$F$10000,"="&amp;Q49,'[1]1_inventory_totals'!$G$8:$G$10000,"="&amp;R49)+SUMIFS('[1]1_inventory_totals'!$K$8:$K$10000,'[1]1_inventory_totals'!$C$8:$C$10000,I49,'[1]1_inventory_totals'!$F$8:$F$10000,"="&amp;Q49,'[1]1_inventory_totals'!$G$8:$G$10000,"="&amp;R49)+SUMIFS('[1]1_inventory_totals'!$L$8:$L$10000,'[1]1_inventory_totals'!$C$8:$C$10000,I49,'[1]1_inventory_totals'!$F$8:$F$10000,"="&amp;Q49,'[1]1_inventory_totals'!$G$8:$G$10000,"="&amp;R49)+SUMIFS('[1]1_inventory_totals'!$M$8:$M$10000,'[1]1_inventory_totals'!$C$8:$C$10000,I49,'[1]1_inventory_totals'!$F$8:$F$10000,"="&amp;Q49,'[1]1_inventory_totals'!$G$8:$G$10000,"="&amp;R49)+SUMIFS('[1]1_inventory_totals'!$O$8:$O$10000,'[1]1_inventory_totals'!$C$8:$C$10000,I49,'[1]1_inventory_totals'!$F$8:$F$10000,"="&amp;Q49,'[1]1_inventory_totals'!$G$8:$G$10000,"="&amp;R49)+SUMIFS('[1]1_inventory_totals'!$S$8:$S$10000,'[1]1_inventory_totals'!$C$8:$C$10000,I49,'[1]1_inventory_totals'!$F$8:$F$10000,"="&amp;Q49,'[1]1_inventory_totals'!$G$8:$G$10000,"="&amp;R49)))</f>
        <v/>
      </c>
      <c r="AT49" s="1281" t="str">
        <f>IF(M49="","",(SUMIFS('[1]1_group_totals'!$K$8:$K$10000,'[1]1_group_totals'!$C$8:$C$10000,I49,'[1]1_group_totals'!$F$8:$F$10000,pb_location_group_id,'[1]1_group_totals'!$G$8:$G$10000,pb_location_id,'[1]1_group_totals'!$H$8:$H$10000,"="&amp;Q49,'[1]1_group_totals'!$I$8:$I$10000,"="&amp;R49)+SUMIFS('[1]1_group_totals'!$N$8:$N$10000,'[1]1_group_totals'!$C$8:$C$10000,I49,'[1]1_group_totals'!$F$8:$F$10000,pb_location_group_id,'[1]1_group_totals'!$G$8:$G$10000,pb_location_id,'[1]1_group_totals'!$H$8:$H$10000,"="&amp;Q49,'[1]1_group_totals'!$I$8:$I$10000,"="&amp;R49)+SUMIFS('[1]1_group_totals'!$P$8:$P$10000,'[1]1_group_totals'!$C$8:$C$10000,I49,'[1]1_group_totals'!$F$8:$F$10000,pb_location_group_id,'[1]1_group_totals'!$G$8:$G$10000,pb_location_id,'[1]1_group_totals'!$H$8:$H$10000,"="&amp;Q49,'[1]1_group_totals'!$I$8:$I$10000,"="&amp;R49)+SUMIFS('[1]1_group_totals'!$Q$8:$Q$10000,'[1]1_group_totals'!$C$8:$C$10000,I49,'[1]1_group_totals'!$F$8:$F$10000,pb_location_group_id,'[1]1_group_totals'!$G$8:$G$10000,pb_location_id,'[1]1_group_totals'!$H$8:$H$10000,"="&amp;Q49,'[1]1_group_totals'!$I$8:$I$10000,"="&amp;R49))+(SUMIFS('[1]1_group_totals'!$L$8:$L$10000,'[1]1_group_totals'!$C$8:$C$10000,I49,'[1]1_group_totals'!$F$8:$F$10000,pb_location_group_id,'[1]1_group_totals'!$G$8:$G$10000,pb_location_id,'[1]1_group_totals'!$H$8:$H$10000,"="&amp;Q49,'[1]1_group_totals'!$I$8:$I$10000,"="&amp;R49)+SUMIFS('[1]1_group_totals'!$M$8:$M$10000,'[1]1_group_totals'!$C$8:$C$10000,I49,'[1]1_group_totals'!$F$8:$F$10000,pb_location_group_id,'[1]1_group_totals'!$G$8:$G$10000,pb_location_id,'[1]1_group_totals'!$H$8:$H$10000,"="&amp;Q49,'[1]1_group_totals'!$I$8:$I$10000,"="&amp;R49)+SUMIFS('[1]1_group_totals'!$O$8:$O$10000,'[1]1_group_totals'!$C$8:$C$10000,I49,'[1]1_group_totals'!$F$8:$F$10000,pb_location_group_id,'[1]1_group_totals'!$G$8:$G$10000,pb_location_id,'[1]1_group_totals'!$H$8:$H$10000,"="&amp;Q49,'[1]1_group_totals'!$I$8:$I$10000,"="&amp;R49)+SUMIFS('[1]1_group_totals'!$R$8:$R$10000,'[1]1_group_totals'!$C$8:$C$10000,I49,'[1]1_group_totals'!$F$8:$F$10000,pb_location_group_id,'[1]1_group_totals'!$G$8:$G$10000,pb_location_id,'[1]1_group_totals'!$H$8:$H$10000,"="&amp;Q49,'[1]1_group_totals'!$I$8:$I$10000,"="&amp;R49)))</f>
        <v/>
      </c>
    </row>
    <row r="50" spans="1:46" ht="27" hidden="1" customHeight="1">
      <c r="A50" s="923"/>
      <c r="B50" s="1011"/>
      <c r="C50" s="950"/>
      <c r="D50" s="950"/>
      <c r="E50" s="950"/>
      <c r="F50" s="1057"/>
      <c r="I50" s="1610" t="str">
        <f t="shared" si="8"/>
        <v/>
      </c>
      <c r="J50" s="1631" t="str">
        <f t="shared" si="25"/>
        <v/>
      </c>
      <c r="K50" s="1628"/>
      <c r="L50" s="1632"/>
      <c r="M50" s="1069"/>
      <c r="N50" s="1044"/>
      <c r="O50" s="1044"/>
      <c r="P50" s="1046"/>
      <c r="Q50" s="1047"/>
      <c r="R50" s="1053"/>
      <c r="S50" s="1634" t="str">
        <f t="shared" ref="S50" si="143">IF(M50="","",pb_currency_symbol)</f>
        <v/>
      </c>
      <c r="T50" s="1068"/>
      <c r="U50" s="1636" t="str">
        <f t="shared" si="10"/>
        <v/>
      </c>
      <c r="V50" s="1634" t="str">
        <f t="shared" ref="V50" si="144">IF(W50=0,"",pb_currency_symbol)</f>
        <v/>
      </c>
      <c r="W50" s="1054"/>
      <c r="X50" s="1634" t="str">
        <f t="shared" ref="X50" si="145">IF(M50="","",pb_currency_symbol)</f>
        <v/>
      </c>
      <c r="Y50" s="1638" t="str">
        <f t="shared" si="24"/>
        <v/>
      </c>
      <c r="Z50" s="1062"/>
      <c r="AA50" s="1639" t="str" cm="1">
        <f t="array" ref="AA50">IF(M50="","",IF(P50=AL50,1,Slookup(MID(AL50,1,3)*1,UomConversion!$D$8:$J$500,5,UomConversion!$E$8:$E$500,MID(P50,1,3)*1,UomConversion!$J$8:$J$500,1)))</f>
        <v/>
      </c>
      <c r="AB50" s="1640" t="str">
        <f t="shared" si="13"/>
        <v/>
      </c>
      <c r="AC50" s="1641" t="str">
        <f t="shared" si="14"/>
        <v/>
      </c>
      <c r="AD50" s="1642" t="str">
        <f t="shared" si="15"/>
        <v/>
      </c>
      <c r="AE50" s="1643" t="str">
        <f t="shared" si="16"/>
        <v/>
      </c>
      <c r="AF50" s="1640" t="str">
        <f>IF(I50="","",IF(ISNA(MATCH(I50,IF(pb_location_id=1,'[1]1_inventory_totals'!$C$8:$C$10000,IF(pb_location_id=2,'[1]2_inventory_totals'!$C$8:$C$10000,"")),0)),0,IF(AS50&gt;0,1,0)))</f>
        <v/>
      </c>
      <c r="AG50" s="1640" t="str">
        <f>IF(M50="","",IF(pb_location_id=1,SUMIFS('[1]1_inventory_total_details'!$J$8:$J$10000,'[1]1_inventory_total_details'!$C$8:$C$10000,I50,'[1]1_inventory_total_details'!$F$8:$F$10000,pb_location_id,'[1]1_inventory_total_details'!$G$8:$G$10000,"="&amp;Q50,'[1]1_inventory_total_details'!$H$8:$H$10000,"="&amp;R50,'[1]1_inventory_total_details'!$I$8:$I$10000,"="&amp;pb_date)+SUMIFS('[1]1_inventory_total_details'!$M$8:$M$10000,'[1]1_inventory_total_details'!$C$8:$C$10000,I50,'[1]1_inventory_total_details'!$F$8:$F$10000,pb_location_id,'[1]1_inventory_total_details'!$G$8:$G$10000,"="&amp;Q50,'[1]1_inventory_total_details'!$H$8:$H$10000,"="&amp;R50,'[1]1_inventory_total_details'!$I$8:$I$10000,"="&amp;pb_date)+SUMIFS('[1]1_inventory_total_details'!$K$8:$K$10000,'[1]1_inventory_total_details'!$C$8:$C$10000,I50,'[1]1_inventory_total_details'!$F$8:$F$10000,pb_location_id,'[1]1_inventory_total_details'!$G$8:$G$10000,"="&amp;Q50,'[1]1_inventory_total_details'!$H$8:$H$10000,"="&amp;R50,'[1]1_inventory_total_details'!$I$8:$I$10000,"="&amp;pb_date)+SUMIFS('[1]1_inventory_total_details'!$L$8:$L$10000,'[1]1_inventory_total_details'!$C$8:$C$10000,I50,'[1]1_inventory_total_details'!$F$8:$F$10000,pb_location_id,'[1]1_inventory_total_details'!$G$8:$G$10000,"="&amp;Q50,'[1]1_inventory_total_details'!$H$8:$H$10000,"="&amp;R50,'[1]1_inventory_total_details'!$I$8:$I$10000,"="&amp;pb_date),SUMIFS('[1]2_inventory_total_details'!$J$8:$J$10000,'[1]2_inventory_total_details'!$C$8:$C$10000,I50,'[1]1_inventory_total_details'!$F$8:$F$10000,pb_location_id,'[1]2_inventory_total_details'!$G$8:$G$10000,"="&amp;Q50,'[1]2_inventory_total_details'!$H$8:$H$10000,"="&amp;R50,'[1]2_inventory_total_details'!$I$8:$I$10000,"="&amp;pb_date)+SUMIFS('[1]2_inventory_total_details'!$M$8:$M$10000,'[1]2_inventory_total_details'!$C$8:$C$10000,I50,'[1]2_inventory_total_details'!$F$8:$F$10000,pb_location_id,'[1]2_inventory_total_details'!$G$8:$G$10000,"="&amp;Q50,'[1]2_inventory_total_details'!$H$8:$H$10000,"="&amp;R50,'[1]2_inventory_total_details'!$I$8:$I$10000,"="&amp;pb_date)+SUMIFS('[1]2_inventory_total_details'!$K$8:$K$10000,'[1]2_inventory_total_details'!$C$8:$C$10000,I50,'[1]2_inventory_total_details'!$F$8:$F$10000,pb_location_id,'[1]2_inventory_total_details'!$G$8:$G$10000,"="&amp;Q50,'[1]2_inventory_total_details'!$H$8:$H$10000,"="&amp;R50,'[1]2_inventory_total_details'!$I$8:$I$10000,"="&amp;pb_date)+SUMIFS('[1]2_inventory_total_details'!$L$8:$L$10000,'[1]2_inventory_total_details'!$C$8:$C$10000,I50,'[1]2_inventory_total_details'!$F$8:$F$10000,pb_location_id,'[1]2_inventory_total_details'!$G$8:$G$10000,"="&amp;Q50,'[1]2_inventory_total_details'!$H$8:$H$10000,"="&amp;R50,'[1]2_inventory_total_details'!$I$8:$I$10000,"="&amp;pb_date)))</f>
        <v/>
      </c>
      <c r="AH50" s="1640" t="str">
        <f>IF(M50="","",IF(ISNA(MATCH(I50,'[1]1_group_totals'!$C$8:$C$10000)),0,IF(AT50&gt;0,1,0)))</f>
        <v/>
      </c>
      <c r="AI50" s="1640" t="str">
        <f>IF(M50="","",(SUMIFS('[1]1_group_total_details'!$I$8:$I$10000,'[1]1_group_total_details'!$C$8:$C$10000,I50,'[1]1_group_total_details'!$F$8:$F$10000,pb_location_group_id,'[1]1_group_total_details'!$G$8:$G$10000,pb_location_id,'[1]1_group_total_details'!$H$8:$H$10000,"="&amp;pb_date)+SUMIFS('[1]1_group_total_details'!$L$8:$L$10000,'[1]1_group_total_details'!$C$8:$C$10000,I50,'[1]1_group_total_details'!$F$8:$F$10000,pb_location_group_id,'[1]1_group_total_details'!$G$8:$G$10000,pb_location_id,'[1]1_group_total_details'!$H$8:$H$10000,"="&amp;pb_date)+SUMIFS('[1]1_group_total_details'!$N$8:$N$10000,'[1]1_group_total_details'!$C$8:$C$10000,I50,'[1]1_group_total_details'!$F$8:$F$10000,pb_location_group_id,'[1]1_group_total_details'!$G$8:$G$10000,pb_location_id,'[1]1_group_total_details'!$H$8:$H$10000,"="&amp;pb_date)+SUMIFS('[1]1_group_total_details'!$O$8:$O$10000,'[1]1_group_total_details'!$C$8:$C$10000,I50,'[1]1_group_total_details'!$F$8:$F$10000,pb_location_group_id,'[1]1_group_total_details'!$G$8:$G$10000,pb_location_id,'[1]1_group_total_details'!$H$8:$H$10000,"="&amp;pb_date))+(SUMIFS('[1]1_group_total_details'!$J$8:$J$10000,'[1]1_group_total_details'!$C$8:$C$10000,I50,'[1]1_group_total_details'!$F$8:$F$10000,pb_location_group_id,'[1]1_group_total_details'!$G$8:$G$10000,pb_location_id,'[1]1_group_total_details'!$H$8:$H$10000,"="&amp;pb_date)+SUMIFS('[1]1_group_total_details'!$K$8:$K$10000,'[1]1_group_total_details'!$C$8:$C$10000,I50,'[1]1_group_total_details'!$F$8:$F$10000,pb_location_group_id,'[1]1_group_total_details'!$G$8:$G$10000,pb_location_id,'[1]1_group_total_details'!$H$8:$H$10000,"="&amp;pb_date)+SUMIFS('[1]1_group_total_details'!$M$8:$M$10000,'[1]1_group_total_details'!$C$8:$C$10000,I50,'[1]1_group_total_details'!$F$8:$F$10000,pb_location_group_id,'[1]1_group_total_details'!$G$8:$G$10000,pb_location_id,'[1]1_group_total_details'!$H$8:$H$10000,"="&amp;pb_date)+SUMIFS('[1]1_group_total_details'!$P$8:$P$10000,'[1]1_group_total_details'!$C$8:$C$10000,I50,'[1]1_group_total_details'!$F$8:$F$10000,pb_location_group_id,'[1]1_group_total_details'!$G$8:$G$10000,pb_location_id,'[1]1_group_total_details'!$H$8:$H$10000,"="&amp;pb_date)))</f>
        <v/>
      </c>
      <c r="AJ50" s="1640" t="str">
        <f>IF(M50="","",IF(AK50=0,0,(SUMIFS('[1]1_group_total_details'!$I$8:$I$10000,'[1]1_group_total_details'!$C$8:$C$10000,I50,'[1]1_group_total_details'!$F$8:$F$10000,pb_location_group_id,'[1]1_group_total_details'!$G$8:$G$10000,pb_location_id,'[1]1_group_total_details'!$H$8:$H$10000,"&lt;="&amp;pb_date)+SUMIFS('[1]1_group_total_details'!$L$8:$L$10000,'[1]1_group_total_details'!$C$8:$C$10000,I50,'[1]1_group_total_details'!$F$8:$F$10000,pb_location_group_id,'[1]1_group_total_details'!$G$8:$G$10000,pb_location_id,'[1]1_group_total_details'!$H$8:$H$10000,"&lt;="&amp;pb_date)+SUMIFS('[1]1_group_total_details'!$N$8:$N$10000,'[1]1_group_total_details'!$C$8:$C$10000,I50,'[1]1_group_total_details'!$F$8:$F$10000,pb_location_group_id,'[1]1_group_total_details'!$G$8:$G$10000,pb_location_id,'[1]1_group_total_details'!$H$8:$H$10000,"&lt;="&amp;pb_date)+SUMIFS('[1]1_group_total_details'!$O$8:$O$10000,'[1]1_group_total_details'!$C$8:$C$10000,I50,'[1]1_group_total_details'!$F$8:$F$10000,pb_location_group_id,'[1]1_group_total_details'!$G$8:$G$10000,pb_location_id,'[1]1_group_total_details'!$H$8:$H$10000,"&lt;="&amp;pb_date))-(SUMIFS('[1]1_group_total_details'!$J$8:$J$10000,'[1]1_group_total_details'!$C$8:$C$10000,I50,'[1]1_group_total_details'!$F$8:$F$10000,pb_location_group_id,'[1]1_group_total_details'!$G$8:$G$10000,pb_location_id,'[1]1_group_total_details'!$H$8:$H$10000,"&lt;="&amp;pb_date)+SUMIFS('[1]1_group_total_details'!$K$8:$K$10000,'[1]1_group_total_details'!$C$8:$C$10000,I50,'[1]1_group_total_details'!$F$8:$F$10000,pb_location_group_id,'[1]1_group_total_details'!$G$8:$G$10000,invoice_location_id,'[1]1_group_total_details'!$H$8:$H$10000,"&lt;="&amp;pb_date)+SUMIFS('[1]1_group_total_details'!$M$8:$M$10000,'[1]1_group_total_details'!$C$8:$C$10000,I50,'[1]1_group_total_details'!$F$8:$F$10000,pb_location_group_id,'[1]1_group_total_details'!$G$8:$G$10000,pb_location_id,'[1]1_group_total_details'!$H$8:$H$10000,"&lt;="&amp;pb_date)+SUMIFS('[1]1_group_total_details'!$P$8:$P$10000,'[1]1_group_total_details'!$C$8:$C$10000,I50,'[1]1_group_total_details'!$F$8:$F$10000,pb_location_group_id,'[1]1_group_total_details'!$G$8:$G$10000,pb_location_id,'[1]1_group_total_details'!$H$8:$H$10000,"&lt;="&amp;pb_date))))</f>
        <v/>
      </c>
      <c r="AK50" s="1640" t="str">
        <f>IF(M50="","",SUMIFS('[1]1_group_totals'!$J$8:$J$10000,'[1]1_group_totals'!$C$8:$C$10000,I50,'[1]1_group_totals'!$F$8:$F$10000,pb_location_group_id,'[1]1_group_totals'!$G$8:$G$10000,pb_location_id,'[1]1_group_totals'!$H$8:$H$10000,"="&amp;Q50,'[1]1_group_totals'!$I$8:$I$10000,"="&amp;R50))</f>
        <v/>
      </c>
      <c r="AL50" s="1644" t="str">
        <f t="shared" si="17"/>
        <v/>
      </c>
      <c r="AM50" s="1644" t="str">
        <f>IF(OR(ISNA(MATCH(MID(AL50,1,3)*1,UomConversion!$D$8:$D$500,0)),M50=""),"",IF(AQ50="","",AQ50))</f>
        <v/>
      </c>
      <c r="AN50" s="1644" t="str">
        <f>IF(AND(AO50&gt;0,COUNTIFS(UomConversion!$D$8:$D$500,MID(AL50,1,3)*1,UomConversion!$J$8:$J$500,1)&gt;1),TEXT(AO50,"000")&amp;"."&amp;VLOOKUP(AO50,uom_list,5,FALSE),"")</f>
        <v/>
      </c>
      <c r="AO50" s="1640" t="str">
        <f t="shared" si="18"/>
        <v/>
      </c>
      <c r="AP50" s="1645" t="str">
        <f t="shared" si="19"/>
        <v/>
      </c>
      <c r="AQ50" s="491" t="str">
        <f t="shared" si="20"/>
        <v/>
      </c>
      <c r="AR50" s="1281" t="str" cm="1">
        <f t="array" ref="AR50">IF(M50="","",IF(ISNA(Slookup(MID(AL50,1,3)*1,UomConversion!$D$8:$J$500,2,UomConversion!$I$8:$I$500,1,UomConversion!$J$8:$J$500,1)),"",Slookup(MID(AL50,1,3)*1,UomConversion!$D$8:$J$500,2,UomConversion!$I$8:$I$500,1,UomConversion!$J$8:$J$500,1)))</f>
        <v/>
      </c>
      <c r="AS50" s="663" t="str">
        <f>IF(M50="","",(SUMIFS('[1]1_inventory_totals'!$I$8:$I$10000,'[1]1_inventory_totals'!$C$8:$C$10000,I50,'[1]1_inventory_totals'!$F$8:$F$10000,"="&amp;Q50,'[1]1_inventory_totals'!$G$8:$G$10000,"="&amp;R50)+SUMIFS('[1]1_inventory_totals'!$N$8:$N$10000,'[1]1_inventory_totals'!$C$8:$C$10000,I50,'[1]1_inventory_totals'!$F$8:$F$10000,"="&amp;Q50,'[1]1_inventory_totals'!$G$8:$G$10000,"="&amp;R50)+SUMIFS('[1]1_inventory_totals'!$P$8:$P$10000,'[1]1_inventory_totals'!$C$8:$C$10000,I50,'[1]1_inventory_totals'!$F$8:$F$10000,"="&amp;Q50,'[1]1_inventory_totals'!$G$8:$G$10000,"="&amp;R50)+SUMIFS('[1]1_inventory_totals'!$Q$8:$Q$10000,'[1]1_inventory_totals'!$C$8:$C$10000,I50,'[1]1_inventory_totals'!$F$8:$F$10000,"="&amp;Q50,'[1]1_inventory_totals'!$G$8:$G$10000,"="&amp;R50)+SUMIFS('[1]1_inventory_totals'!$R$8:$R$10000,'[1]1_inventory_totals'!$C$8:$C$10000,I50,'[1]1_inventory_totals'!$F$8:$F$10000,"="&amp;Q50,'[1]1_inventory_totals'!$G$8:$G$10000,"="&amp;R50))+(SUMIFS('[1]1_inventory_totals'!$J$8:$J$10000,'[1]1_inventory_totals'!$C$8:$C$10000,I50,'[1]1_inventory_totals'!$F$8:$F$10000,"="&amp;Q50,'[1]1_inventory_totals'!$G$8:$G$10000,"="&amp;R50)+SUMIFS('[1]1_inventory_totals'!$K$8:$K$10000,'[1]1_inventory_totals'!$C$8:$C$10000,I50,'[1]1_inventory_totals'!$F$8:$F$10000,"="&amp;Q50,'[1]1_inventory_totals'!$G$8:$G$10000,"="&amp;R50)+SUMIFS('[1]1_inventory_totals'!$L$8:$L$10000,'[1]1_inventory_totals'!$C$8:$C$10000,I50,'[1]1_inventory_totals'!$F$8:$F$10000,"="&amp;Q50,'[1]1_inventory_totals'!$G$8:$G$10000,"="&amp;R50)+SUMIFS('[1]1_inventory_totals'!$M$8:$M$10000,'[1]1_inventory_totals'!$C$8:$C$10000,I50,'[1]1_inventory_totals'!$F$8:$F$10000,"="&amp;Q50,'[1]1_inventory_totals'!$G$8:$G$10000,"="&amp;R50)+SUMIFS('[1]1_inventory_totals'!$O$8:$O$10000,'[1]1_inventory_totals'!$C$8:$C$10000,I50,'[1]1_inventory_totals'!$F$8:$F$10000,"="&amp;Q50,'[1]1_inventory_totals'!$G$8:$G$10000,"="&amp;R50)+SUMIFS('[1]1_inventory_totals'!$S$8:$S$10000,'[1]1_inventory_totals'!$C$8:$C$10000,I50,'[1]1_inventory_totals'!$F$8:$F$10000,"="&amp;Q50,'[1]1_inventory_totals'!$G$8:$G$10000,"="&amp;R50)))</f>
        <v/>
      </c>
      <c r="AT50" s="1281" t="str">
        <f>IF(M50="","",(SUMIFS('[1]1_group_totals'!$K$8:$K$10000,'[1]1_group_totals'!$C$8:$C$10000,I50,'[1]1_group_totals'!$F$8:$F$10000,pb_location_group_id,'[1]1_group_totals'!$G$8:$G$10000,pb_location_id,'[1]1_group_totals'!$H$8:$H$10000,"="&amp;Q50,'[1]1_group_totals'!$I$8:$I$10000,"="&amp;R50)+SUMIFS('[1]1_group_totals'!$N$8:$N$10000,'[1]1_group_totals'!$C$8:$C$10000,I50,'[1]1_group_totals'!$F$8:$F$10000,pb_location_group_id,'[1]1_group_totals'!$G$8:$G$10000,pb_location_id,'[1]1_group_totals'!$H$8:$H$10000,"="&amp;Q50,'[1]1_group_totals'!$I$8:$I$10000,"="&amp;R50)+SUMIFS('[1]1_group_totals'!$P$8:$P$10000,'[1]1_group_totals'!$C$8:$C$10000,I50,'[1]1_group_totals'!$F$8:$F$10000,pb_location_group_id,'[1]1_group_totals'!$G$8:$G$10000,pb_location_id,'[1]1_group_totals'!$H$8:$H$10000,"="&amp;Q50,'[1]1_group_totals'!$I$8:$I$10000,"="&amp;R50)+SUMIFS('[1]1_group_totals'!$Q$8:$Q$10000,'[1]1_group_totals'!$C$8:$C$10000,I50,'[1]1_group_totals'!$F$8:$F$10000,pb_location_group_id,'[1]1_group_totals'!$G$8:$G$10000,pb_location_id,'[1]1_group_totals'!$H$8:$H$10000,"="&amp;Q50,'[1]1_group_totals'!$I$8:$I$10000,"="&amp;R50))+(SUMIFS('[1]1_group_totals'!$L$8:$L$10000,'[1]1_group_totals'!$C$8:$C$10000,I50,'[1]1_group_totals'!$F$8:$F$10000,pb_location_group_id,'[1]1_group_totals'!$G$8:$G$10000,pb_location_id,'[1]1_group_totals'!$H$8:$H$10000,"="&amp;Q50,'[1]1_group_totals'!$I$8:$I$10000,"="&amp;R50)+SUMIFS('[1]1_group_totals'!$M$8:$M$10000,'[1]1_group_totals'!$C$8:$C$10000,I50,'[1]1_group_totals'!$F$8:$F$10000,pb_location_group_id,'[1]1_group_totals'!$G$8:$G$10000,pb_location_id,'[1]1_group_totals'!$H$8:$H$10000,"="&amp;Q50,'[1]1_group_totals'!$I$8:$I$10000,"="&amp;R50)+SUMIFS('[1]1_group_totals'!$O$8:$O$10000,'[1]1_group_totals'!$C$8:$C$10000,I50,'[1]1_group_totals'!$F$8:$F$10000,pb_location_group_id,'[1]1_group_totals'!$G$8:$G$10000,pb_location_id,'[1]1_group_totals'!$H$8:$H$10000,"="&amp;Q50,'[1]1_group_totals'!$I$8:$I$10000,"="&amp;R50)+SUMIFS('[1]1_group_totals'!$R$8:$R$10000,'[1]1_group_totals'!$C$8:$C$10000,I50,'[1]1_group_totals'!$F$8:$F$10000,pb_location_group_id,'[1]1_group_totals'!$G$8:$G$10000,pb_location_id,'[1]1_group_totals'!$H$8:$H$10000,"="&amp;Q50,'[1]1_group_totals'!$I$8:$I$10000,"="&amp;R50)))</f>
        <v/>
      </c>
    </row>
    <row r="51" spans="1:46" ht="27" hidden="1" customHeight="1">
      <c r="A51" s="923"/>
      <c r="B51" s="1011"/>
      <c r="C51" s="950"/>
      <c r="D51" s="950"/>
      <c r="E51" s="950"/>
      <c r="F51" s="1057"/>
      <c r="I51" s="1610" t="str">
        <f t="shared" si="8"/>
        <v/>
      </c>
      <c r="J51" s="1631" t="str">
        <f t="shared" si="25"/>
        <v/>
      </c>
      <c r="K51" s="1628"/>
      <c r="L51" s="1632"/>
      <c r="M51" s="1069"/>
      <c r="N51" s="1044"/>
      <c r="O51" s="1044"/>
      <c r="P51" s="1046"/>
      <c r="Q51" s="1047"/>
      <c r="R51" s="1053"/>
      <c r="S51" s="1634" t="str">
        <f t="shared" ref="S51" si="146">IF(M51="","",pb_currency_symbol)</f>
        <v/>
      </c>
      <c r="T51" s="1068"/>
      <c r="U51" s="1636" t="str">
        <f t="shared" si="10"/>
        <v/>
      </c>
      <c r="V51" s="1634" t="str">
        <f t="shared" ref="V51" si="147">IF(W51=0,"",pb_currency_symbol)</f>
        <v/>
      </c>
      <c r="W51" s="1054"/>
      <c r="X51" s="1634" t="str">
        <f t="shared" ref="X51" si="148">IF(M51="","",pb_currency_symbol)</f>
        <v/>
      </c>
      <c r="Y51" s="1638" t="str">
        <f t="shared" si="24"/>
        <v/>
      </c>
      <c r="Z51" s="1062"/>
      <c r="AA51" s="1639" t="str" cm="1">
        <f t="array" ref="AA51">IF(M51="","",IF(P51=AL51,1,Slookup(MID(AL51,1,3)*1,UomConversion!$D$8:$J$500,5,UomConversion!$E$8:$E$500,MID(P51,1,3)*1,UomConversion!$J$8:$J$500,1)))</f>
        <v/>
      </c>
      <c r="AB51" s="1640" t="str">
        <f t="shared" si="13"/>
        <v/>
      </c>
      <c r="AC51" s="1641" t="str">
        <f t="shared" si="14"/>
        <v/>
      </c>
      <c r="AD51" s="1642" t="str">
        <f t="shared" si="15"/>
        <v/>
      </c>
      <c r="AE51" s="1643" t="str">
        <f t="shared" si="16"/>
        <v/>
      </c>
      <c r="AF51" s="1640" t="str">
        <f>IF(I51="","",IF(ISNA(MATCH(I51,IF(pb_location_id=1,'[1]1_inventory_totals'!$C$8:$C$10000,IF(pb_location_id=2,'[1]2_inventory_totals'!$C$8:$C$10000,"")),0)),0,IF(AS51&gt;0,1,0)))</f>
        <v/>
      </c>
      <c r="AG51" s="1640" t="str">
        <f>IF(M51="","",IF(pb_location_id=1,SUMIFS('[1]1_inventory_total_details'!$J$8:$J$10000,'[1]1_inventory_total_details'!$C$8:$C$10000,I51,'[1]1_inventory_total_details'!$F$8:$F$10000,pb_location_id,'[1]1_inventory_total_details'!$G$8:$G$10000,"="&amp;Q51,'[1]1_inventory_total_details'!$H$8:$H$10000,"="&amp;R51,'[1]1_inventory_total_details'!$I$8:$I$10000,"="&amp;pb_date)+SUMIFS('[1]1_inventory_total_details'!$M$8:$M$10000,'[1]1_inventory_total_details'!$C$8:$C$10000,I51,'[1]1_inventory_total_details'!$F$8:$F$10000,pb_location_id,'[1]1_inventory_total_details'!$G$8:$G$10000,"="&amp;Q51,'[1]1_inventory_total_details'!$H$8:$H$10000,"="&amp;R51,'[1]1_inventory_total_details'!$I$8:$I$10000,"="&amp;pb_date)+SUMIFS('[1]1_inventory_total_details'!$K$8:$K$10000,'[1]1_inventory_total_details'!$C$8:$C$10000,I51,'[1]1_inventory_total_details'!$F$8:$F$10000,pb_location_id,'[1]1_inventory_total_details'!$G$8:$G$10000,"="&amp;Q51,'[1]1_inventory_total_details'!$H$8:$H$10000,"="&amp;R51,'[1]1_inventory_total_details'!$I$8:$I$10000,"="&amp;pb_date)+SUMIFS('[1]1_inventory_total_details'!$L$8:$L$10000,'[1]1_inventory_total_details'!$C$8:$C$10000,I51,'[1]1_inventory_total_details'!$F$8:$F$10000,pb_location_id,'[1]1_inventory_total_details'!$G$8:$G$10000,"="&amp;Q51,'[1]1_inventory_total_details'!$H$8:$H$10000,"="&amp;R51,'[1]1_inventory_total_details'!$I$8:$I$10000,"="&amp;pb_date),SUMIFS('[1]2_inventory_total_details'!$J$8:$J$10000,'[1]2_inventory_total_details'!$C$8:$C$10000,I51,'[1]1_inventory_total_details'!$F$8:$F$10000,pb_location_id,'[1]2_inventory_total_details'!$G$8:$G$10000,"="&amp;Q51,'[1]2_inventory_total_details'!$H$8:$H$10000,"="&amp;R51,'[1]2_inventory_total_details'!$I$8:$I$10000,"="&amp;pb_date)+SUMIFS('[1]2_inventory_total_details'!$M$8:$M$10000,'[1]2_inventory_total_details'!$C$8:$C$10000,I51,'[1]2_inventory_total_details'!$F$8:$F$10000,pb_location_id,'[1]2_inventory_total_details'!$G$8:$G$10000,"="&amp;Q51,'[1]2_inventory_total_details'!$H$8:$H$10000,"="&amp;R51,'[1]2_inventory_total_details'!$I$8:$I$10000,"="&amp;pb_date)+SUMIFS('[1]2_inventory_total_details'!$K$8:$K$10000,'[1]2_inventory_total_details'!$C$8:$C$10000,I51,'[1]2_inventory_total_details'!$F$8:$F$10000,pb_location_id,'[1]2_inventory_total_details'!$G$8:$G$10000,"="&amp;Q51,'[1]2_inventory_total_details'!$H$8:$H$10000,"="&amp;R51,'[1]2_inventory_total_details'!$I$8:$I$10000,"="&amp;pb_date)+SUMIFS('[1]2_inventory_total_details'!$L$8:$L$10000,'[1]2_inventory_total_details'!$C$8:$C$10000,I51,'[1]2_inventory_total_details'!$F$8:$F$10000,pb_location_id,'[1]2_inventory_total_details'!$G$8:$G$10000,"="&amp;Q51,'[1]2_inventory_total_details'!$H$8:$H$10000,"="&amp;R51,'[1]2_inventory_total_details'!$I$8:$I$10000,"="&amp;pb_date)))</f>
        <v/>
      </c>
      <c r="AH51" s="1640" t="str">
        <f>IF(M51="","",IF(ISNA(MATCH(I51,'[1]1_group_totals'!$C$8:$C$10000)),0,IF(AT51&gt;0,1,0)))</f>
        <v/>
      </c>
      <c r="AI51" s="1640" t="str">
        <f>IF(M51="","",(SUMIFS('[1]1_group_total_details'!$I$8:$I$10000,'[1]1_group_total_details'!$C$8:$C$10000,I51,'[1]1_group_total_details'!$F$8:$F$10000,pb_location_group_id,'[1]1_group_total_details'!$G$8:$G$10000,pb_location_id,'[1]1_group_total_details'!$H$8:$H$10000,"="&amp;pb_date)+SUMIFS('[1]1_group_total_details'!$L$8:$L$10000,'[1]1_group_total_details'!$C$8:$C$10000,I51,'[1]1_group_total_details'!$F$8:$F$10000,pb_location_group_id,'[1]1_group_total_details'!$G$8:$G$10000,pb_location_id,'[1]1_group_total_details'!$H$8:$H$10000,"="&amp;pb_date)+SUMIFS('[1]1_group_total_details'!$N$8:$N$10000,'[1]1_group_total_details'!$C$8:$C$10000,I51,'[1]1_group_total_details'!$F$8:$F$10000,pb_location_group_id,'[1]1_group_total_details'!$G$8:$G$10000,pb_location_id,'[1]1_group_total_details'!$H$8:$H$10000,"="&amp;pb_date)+SUMIFS('[1]1_group_total_details'!$O$8:$O$10000,'[1]1_group_total_details'!$C$8:$C$10000,I51,'[1]1_group_total_details'!$F$8:$F$10000,pb_location_group_id,'[1]1_group_total_details'!$G$8:$G$10000,pb_location_id,'[1]1_group_total_details'!$H$8:$H$10000,"="&amp;pb_date))+(SUMIFS('[1]1_group_total_details'!$J$8:$J$10000,'[1]1_group_total_details'!$C$8:$C$10000,I51,'[1]1_group_total_details'!$F$8:$F$10000,pb_location_group_id,'[1]1_group_total_details'!$G$8:$G$10000,pb_location_id,'[1]1_group_total_details'!$H$8:$H$10000,"="&amp;pb_date)+SUMIFS('[1]1_group_total_details'!$K$8:$K$10000,'[1]1_group_total_details'!$C$8:$C$10000,I51,'[1]1_group_total_details'!$F$8:$F$10000,pb_location_group_id,'[1]1_group_total_details'!$G$8:$G$10000,pb_location_id,'[1]1_group_total_details'!$H$8:$H$10000,"="&amp;pb_date)+SUMIFS('[1]1_group_total_details'!$M$8:$M$10000,'[1]1_group_total_details'!$C$8:$C$10000,I51,'[1]1_group_total_details'!$F$8:$F$10000,pb_location_group_id,'[1]1_group_total_details'!$G$8:$G$10000,pb_location_id,'[1]1_group_total_details'!$H$8:$H$10000,"="&amp;pb_date)+SUMIFS('[1]1_group_total_details'!$P$8:$P$10000,'[1]1_group_total_details'!$C$8:$C$10000,I51,'[1]1_group_total_details'!$F$8:$F$10000,pb_location_group_id,'[1]1_group_total_details'!$G$8:$G$10000,pb_location_id,'[1]1_group_total_details'!$H$8:$H$10000,"="&amp;pb_date)))</f>
        <v/>
      </c>
      <c r="AJ51" s="1640" t="str">
        <f>IF(M51="","",IF(AK51=0,0,(SUMIFS('[1]1_group_total_details'!$I$8:$I$10000,'[1]1_group_total_details'!$C$8:$C$10000,I51,'[1]1_group_total_details'!$F$8:$F$10000,pb_location_group_id,'[1]1_group_total_details'!$G$8:$G$10000,pb_location_id,'[1]1_group_total_details'!$H$8:$H$10000,"&lt;="&amp;pb_date)+SUMIFS('[1]1_group_total_details'!$L$8:$L$10000,'[1]1_group_total_details'!$C$8:$C$10000,I51,'[1]1_group_total_details'!$F$8:$F$10000,pb_location_group_id,'[1]1_group_total_details'!$G$8:$G$10000,pb_location_id,'[1]1_group_total_details'!$H$8:$H$10000,"&lt;="&amp;pb_date)+SUMIFS('[1]1_group_total_details'!$N$8:$N$10000,'[1]1_group_total_details'!$C$8:$C$10000,I51,'[1]1_group_total_details'!$F$8:$F$10000,pb_location_group_id,'[1]1_group_total_details'!$G$8:$G$10000,pb_location_id,'[1]1_group_total_details'!$H$8:$H$10000,"&lt;="&amp;pb_date)+SUMIFS('[1]1_group_total_details'!$O$8:$O$10000,'[1]1_group_total_details'!$C$8:$C$10000,I51,'[1]1_group_total_details'!$F$8:$F$10000,pb_location_group_id,'[1]1_group_total_details'!$G$8:$G$10000,pb_location_id,'[1]1_group_total_details'!$H$8:$H$10000,"&lt;="&amp;pb_date))-(SUMIFS('[1]1_group_total_details'!$J$8:$J$10000,'[1]1_group_total_details'!$C$8:$C$10000,I51,'[1]1_group_total_details'!$F$8:$F$10000,pb_location_group_id,'[1]1_group_total_details'!$G$8:$G$10000,pb_location_id,'[1]1_group_total_details'!$H$8:$H$10000,"&lt;="&amp;pb_date)+SUMIFS('[1]1_group_total_details'!$K$8:$K$10000,'[1]1_group_total_details'!$C$8:$C$10000,I51,'[1]1_group_total_details'!$F$8:$F$10000,pb_location_group_id,'[1]1_group_total_details'!$G$8:$G$10000,invoice_location_id,'[1]1_group_total_details'!$H$8:$H$10000,"&lt;="&amp;pb_date)+SUMIFS('[1]1_group_total_details'!$M$8:$M$10000,'[1]1_group_total_details'!$C$8:$C$10000,I51,'[1]1_group_total_details'!$F$8:$F$10000,pb_location_group_id,'[1]1_group_total_details'!$G$8:$G$10000,pb_location_id,'[1]1_group_total_details'!$H$8:$H$10000,"&lt;="&amp;pb_date)+SUMIFS('[1]1_group_total_details'!$P$8:$P$10000,'[1]1_group_total_details'!$C$8:$C$10000,I51,'[1]1_group_total_details'!$F$8:$F$10000,pb_location_group_id,'[1]1_group_total_details'!$G$8:$G$10000,pb_location_id,'[1]1_group_total_details'!$H$8:$H$10000,"&lt;="&amp;pb_date))))</f>
        <v/>
      </c>
      <c r="AK51" s="1640" t="str">
        <f>IF(M51="","",SUMIFS('[1]1_group_totals'!$J$8:$J$10000,'[1]1_group_totals'!$C$8:$C$10000,I51,'[1]1_group_totals'!$F$8:$F$10000,pb_location_group_id,'[1]1_group_totals'!$G$8:$G$10000,pb_location_id,'[1]1_group_totals'!$H$8:$H$10000,"="&amp;Q51,'[1]1_group_totals'!$I$8:$I$10000,"="&amp;R51))</f>
        <v/>
      </c>
      <c r="AL51" s="1644" t="str">
        <f t="shared" si="17"/>
        <v/>
      </c>
      <c r="AM51" s="1644" t="str">
        <f>IF(OR(ISNA(MATCH(MID(AL51,1,3)*1,UomConversion!$D$8:$D$500,0)),M51=""),"",IF(AQ51="","",AQ51))</f>
        <v/>
      </c>
      <c r="AN51" s="1644" t="str">
        <f>IF(AND(AO51&gt;0,COUNTIFS(UomConversion!$D$8:$D$500,MID(AL51,1,3)*1,UomConversion!$J$8:$J$500,1)&gt;1),TEXT(AO51,"000")&amp;"."&amp;VLOOKUP(AO51,uom_list,5,FALSE),"")</f>
        <v/>
      </c>
      <c r="AO51" s="1640" t="str">
        <f t="shared" si="18"/>
        <v/>
      </c>
      <c r="AP51" s="1645" t="str">
        <f t="shared" si="19"/>
        <v/>
      </c>
      <c r="AQ51" s="491" t="str">
        <f t="shared" si="20"/>
        <v/>
      </c>
      <c r="AR51" s="1281" t="str" cm="1">
        <f t="array" ref="AR51">IF(M51="","",IF(ISNA(Slookup(MID(AL51,1,3)*1,UomConversion!$D$8:$J$500,2,UomConversion!$I$8:$I$500,1,UomConversion!$J$8:$J$500,1)),"",Slookup(MID(AL51,1,3)*1,UomConversion!$D$8:$J$500,2,UomConversion!$I$8:$I$500,1,UomConversion!$J$8:$J$500,1)))</f>
        <v/>
      </c>
      <c r="AS51" s="663" t="str">
        <f>IF(M51="","",(SUMIFS('[1]1_inventory_totals'!$I$8:$I$10000,'[1]1_inventory_totals'!$C$8:$C$10000,I51,'[1]1_inventory_totals'!$F$8:$F$10000,"="&amp;Q51,'[1]1_inventory_totals'!$G$8:$G$10000,"="&amp;R51)+SUMIFS('[1]1_inventory_totals'!$N$8:$N$10000,'[1]1_inventory_totals'!$C$8:$C$10000,I51,'[1]1_inventory_totals'!$F$8:$F$10000,"="&amp;Q51,'[1]1_inventory_totals'!$G$8:$G$10000,"="&amp;R51)+SUMIFS('[1]1_inventory_totals'!$P$8:$P$10000,'[1]1_inventory_totals'!$C$8:$C$10000,I51,'[1]1_inventory_totals'!$F$8:$F$10000,"="&amp;Q51,'[1]1_inventory_totals'!$G$8:$G$10000,"="&amp;R51)+SUMIFS('[1]1_inventory_totals'!$Q$8:$Q$10000,'[1]1_inventory_totals'!$C$8:$C$10000,I51,'[1]1_inventory_totals'!$F$8:$F$10000,"="&amp;Q51,'[1]1_inventory_totals'!$G$8:$G$10000,"="&amp;R51)+SUMIFS('[1]1_inventory_totals'!$R$8:$R$10000,'[1]1_inventory_totals'!$C$8:$C$10000,I51,'[1]1_inventory_totals'!$F$8:$F$10000,"="&amp;Q51,'[1]1_inventory_totals'!$G$8:$G$10000,"="&amp;R51))+(SUMIFS('[1]1_inventory_totals'!$J$8:$J$10000,'[1]1_inventory_totals'!$C$8:$C$10000,I51,'[1]1_inventory_totals'!$F$8:$F$10000,"="&amp;Q51,'[1]1_inventory_totals'!$G$8:$G$10000,"="&amp;R51)+SUMIFS('[1]1_inventory_totals'!$K$8:$K$10000,'[1]1_inventory_totals'!$C$8:$C$10000,I51,'[1]1_inventory_totals'!$F$8:$F$10000,"="&amp;Q51,'[1]1_inventory_totals'!$G$8:$G$10000,"="&amp;R51)+SUMIFS('[1]1_inventory_totals'!$L$8:$L$10000,'[1]1_inventory_totals'!$C$8:$C$10000,I51,'[1]1_inventory_totals'!$F$8:$F$10000,"="&amp;Q51,'[1]1_inventory_totals'!$G$8:$G$10000,"="&amp;R51)+SUMIFS('[1]1_inventory_totals'!$M$8:$M$10000,'[1]1_inventory_totals'!$C$8:$C$10000,I51,'[1]1_inventory_totals'!$F$8:$F$10000,"="&amp;Q51,'[1]1_inventory_totals'!$G$8:$G$10000,"="&amp;R51)+SUMIFS('[1]1_inventory_totals'!$O$8:$O$10000,'[1]1_inventory_totals'!$C$8:$C$10000,I51,'[1]1_inventory_totals'!$F$8:$F$10000,"="&amp;Q51,'[1]1_inventory_totals'!$G$8:$G$10000,"="&amp;R51)+SUMIFS('[1]1_inventory_totals'!$S$8:$S$10000,'[1]1_inventory_totals'!$C$8:$C$10000,I51,'[1]1_inventory_totals'!$F$8:$F$10000,"="&amp;Q51,'[1]1_inventory_totals'!$G$8:$G$10000,"="&amp;R51)))</f>
        <v/>
      </c>
      <c r="AT51" s="1281" t="str">
        <f>IF(M51="","",(SUMIFS('[1]1_group_totals'!$K$8:$K$10000,'[1]1_group_totals'!$C$8:$C$10000,I51,'[1]1_group_totals'!$F$8:$F$10000,pb_location_group_id,'[1]1_group_totals'!$G$8:$G$10000,pb_location_id,'[1]1_group_totals'!$H$8:$H$10000,"="&amp;Q51,'[1]1_group_totals'!$I$8:$I$10000,"="&amp;R51)+SUMIFS('[1]1_group_totals'!$N$8:$N$10000,'[1]1_group_totals'!$C$8:$C$10000,I51,'[1]1_group_totals'!$F$8:$F$10000,pb_location_group_id,'[1]1_group_totals'!$G$8:$G$10000,pb_location_id,'[1]1_group_totals'!$H$8:$H$10000,"="&amp;Q51,'[1]1_group_totals'!$I$8:$I$10000,"="&amp;R51)+SUMIFS('[1]1_group_totals'!$P$8:$P$10000,'[1]1_group_totals'!$C$8:$C$10000,I51,'[1]1_group_totals'!$F$8:$F$10000,pb_location_group_id,'[1]1_group_totals'!$G$8:$G$10000,pb_location_id,'[1]1_group_totals'!$H$8:$H$10000,"="&amp;Q51,'[1]1_group_totals'!$I$8:$I$10000,"="&amp;R51)+SUMIFS('[1]1_group_totals'!$Q$8:$Q$10000,'[1]1_group_totals'!$C$8:$C$10000,I51,'[1]1_group_totals'!$F$8:$F$10000,pb_location_group_id,'[1]1_group_totals'!$G$8:$G$10000,pb_location_id,'[1]1_group_totals'!$H$8:$H$10000,"="&amp;Q51,'[1]1_group_totals'!$I$8:$I$10000,"="&amp;R51))+(SUMIFS('[1]1_group_totals'!$L$8:$L$10000,'[1]1_group_totals'!$C$8:$C$10000,I51,'[1]1_group_totals'!$F$8:$F$10000,pb_location_group_id,'[1]1_group_totals'!$G$8:$G$10000,pb_location_id,'[1]1_group_totals'!$H$8:$H$10000,"="&amp;Q51,'[1]1_group_totals'!$I$8:$I$10000,"="&amp;R51)+SUMIFS('[1]1_group_totals'!$M$8:$M$10000,'[1]1_group_totals'!$C$8:$C$10000,I51,'[1]1_group_totals'!$F$8:$F$10000,pb_location_group_id,'[1]1_group_totals'!$G$8:$G$10000,pb_location_id,'[1]1_group_totals'!$H$8:$H$10000,"="&amp;Q51,'[1]1_group_totals'!$I$8:$I$10000,"="&amp;R51)+SUMIFS('[1]1_group_totals'!$O$8:$O$10000,'[1]1_group_totals'!$C$8:$C$10000,I51,'[1]1_group_totals'!$F$8:$F$10000,pb_location_group_id,'[1]1_group_totals'!$G$8:$G$10000,pb_location_id,'[1]1_group_totals'!$H$8:$H$10000,"="&amp;Q51,'[1]1_group_totals'!$I$8:$I$10000,"="&amp;R51)+SUMIFS('[1]1_group_totals'!$R$8:$R$10000,'[1]1_group_totals'!$C$8:$C$10000,I51,'[1]1_group_totals'!$F$8:$F$10000,pb_location_group_id,'[1]1_group_totals'!$G$8:$G$10000,pb_location_id,'[1]1_group_totals'!$H$8:$H$10000,"="&amp;Q51,'[1]1_group_totals'!$I$8:$I$10000,"="&amp;R51)))</f>
        <v/>
      </c>
    </row>
    <row r="52" spans="1:46" ht="27" hidden="1" customHeight="1">
      <c r="A52" s="923"/>
      <c r="B52" s="1011"/>
      <c r="C52" s="950"/>
      <c r="D52" s="950"/>
      <c r="E52" s="950"/>
      <c r="F52" s="1057"/>
      <c r="I52" s="1610" t="str">
        <f t="shared" si="8"/>
        <v/>
      </c>
      <c r="J52" s="1631" t="str">
        <f t="shared" si="25"/>
        <v/>
      </c>
      <c r="K52" s="1628"/>
      <c r="L52" s="1632"/>
      <c r="M52" s="1069"/>
      <c r="N52" s="1044"/>
      <c r="O52" s="1044"/>
      <c r="P52" s="1046"/>
      <c r="Q52" s="1047"/>
      <c r="R52" s="1053"/>
      <c r="S52" s="1634" t="str">
        <f t="shared" ref="S52" si="149">IF(M52="","",pb_currency_symbol)</f>
        <v/>
      </c>
      <c r="T52" s="1068"/>
      <c r="U52" s="1636" t="str">
        <f t="shared" si="10"/>
        <v/>
      </c>
      <c r="V52" s="1634" t="str">
        <f t="shared" ref="V52" si="150">IF(W52=0,"",pb_currency_symbol)</f>
        <v/>
      </c>
      <c r="W52" s="1054"/>
      <c r="X52" s="1634" t="str">
        <f t="shared" ref="X52" si="151">IF(M52="","",pb_currency_symbol)</f>
        <v/>
      </c>
      <c r="Y52" s="1638" t="str">
        <f t="shared" si="24"/>
        <v/>
      </c>
      <c r="Z52" s="1062"/>
      <c r="AA52" s="1639" t="str" cm="1">
        <f t="array" ref="AA52">IF(M52="","",IF(P52=AL52,1,Slookup(MID(AL52,1,3)*1,UomConversion!$D$8:$J$500,5,UomConversion!$E$8:$E$500,MID(P52,1,3)*1,UomConversion!$J$8:$J$500,1)))</f>
        <v/>
      </c>
      <c r="AB52" s="1640" t="str">
        <f t="shared" si="13"/>
        <v/>
      </c>
      <c r="AC52" s="1641" t="str">
        <f t="shared" si="14"/>
        <v/>
      </c>
      <c r="AD52" s="1642" t="str">
        <f t="shared" si="15"/>
        <v/>
      </c>
      <c r="AE52" s="1643" t="str">
        <f t="shared" si="16"/>
        <v/>
      </c>
      <c r="AF52" s="1640" t="str">
        <f>IF(I52="","",IF(ISNA(MATCH(I52,IF(pb_location_id=1,'[1]1_inventory_totals'!$C$8:$C$10000,IF(pb_location_id=2,'[1]2_inventory_totals'!$C$8:$C$10000,"")),0)),0,IF(AS52&gt;0,1,0)))</f>
        <v/>
      </c>
      <c r="AG52" s="1640" t="str">
        <f>IF(M52="","",IF(pb_location_id=1,SUMIFS('[1]1_inventory_total_details'!$J$8:$J$10000,'[1]1_inventory_total_details'!$C$8:$C$10000,I52,'[1]1_inventory_total_details'!$F$8:$F$10000,pb_location_id,'[1]1_inventory_total_details'!$G$8:$G$10000,"="&amp;Q52,'[1]1_inventory_total_details'!$H$8:$H$10000,"="&amp;R52,'[1]1_inventory_total_details'!$I$8:$I$10000,"="&amp;pb_date)+SUMIFS('[1]1_inventory_total_details'!$M$8:$M$10000,'[1]1_inventory_total_details'!$C$8:$C$10000,I52,'[1]1_inventory_total_details'!$F$8:$F$10000,pb_location_id,'[1]1_inventory_total_details'!$G$8:$G$10000,"="&amp;Q52,'[1]1_inventory_total_details'!$H$8:$H$10000,"="&amp;R52,'[1]1_inventory_total_details'!$I$8:$I$10000,"="&amp;pb_date)+SUMIFS('[1]1_inventory_total_details'!$K$8:$K$10000,'[1]1_inventory_total_details'!$C$8:$C$10000,I52,'[1]1_inventory_total_details'!$F$8:$F$10000,pb_location_id,'[1]1_inventory_total_details'!$G$8:$G$10000,"="&amp;Q52,'[1]1_inventory_total_details'!$H$8:$H$10000,"="&amp;R52,'[1]1_inventory_total_details'!$I$8:$I$10000,"="&amp;pb_date)+SUMIFS('[1]1_inventory_total_details'!$L$8:$L$10000,'[1]1_inventory_total_details'!$C$8:$C$10000,I52,'[1]1_inventory_total_details'!$F$8:$F$10000,pb_location_id,'[1]1_inventory_total_details'!$G$8:$G$10000,"="&amp;Q52,'[1]1_inventory_total_details'!$H$8:$H$10000,"="&amp;R52,'[1]1_inventory_total_details'!$I$8:$I$10000,"="&amp;pb_date),SUMIFS('[1]2_inventory_total_details'!$J$8:$J$10000,'[1]2_inventory_total_details'!$C$8:$C$10000,I52,'[1]1_inventory_total_details'!$F$8:$F$10000,pb_location_id,'[1]2_inventory_total_details'!$G$8:$G$10000,"="&amp;Q52,'[1]2_inventory_total_details'!$H$8:$H$10000,"="&amp;R52,'[1]2_inventory_total_details'!$I$8:$I$10000,"="&amp;pb_date)+SUMIFS('[1]2_inventory_total_details'!$M$8:$M$10000,'[1]2_inventory_total_details'!$C$8:$C$10000,I52,'[1]2_inventory_total_details'!$F$8:$F$10000,pb_location_id,'[1]2_inventory_total_details'!$G$8:$G$10000,"="&amp;Q52,'[1]2_inventory_total_details'!$H$8:$H$10000,"="&amp;R52,'[1]2_inventory_total_details'!$I$8:$I$10000,"="&amp;pb_date)+SUMIFS('[1]2_inventory_total_details'!$K$8:$K$10000,'[1]2_inventory_total_details'!$C$8:$C$10000,I52,'[1]2_inventory_total_details'!$F$8:$F$10000,pb_location_id,'[1]2_inventory_total_details'!$G$8:$G$10000,"="&amp;Q52,'[1]2_inventory_total_details'!$H$8:$H$10000,"="&amp;R52,'[1]2_inventory_total_details'!$I$8:$I$10000,"="&amp;pb_date)+SUMIFS('[1]2_inventory_total_details'!$L$8:$L$10000,'[1]2_inventory_total_details'!$C$8:$C$10000,I52,'[1]2_inventory_total_details'!$F$8:$F$10000,pb_location_id,'[1]2_inventory_total_details'!$G$8:$G$10000,"="&amp;Q52,'[1]2_inventory_total_details'!$H$8:$H$10000,"="&amp;R52,'[1]2_inventory_total_details'!$I$8:$I$10000,"="&amp;pb_date)))</f>
        <v/>
      </c>
      <c r="AH52" s="1640" t="str">
        <f>IF(M52="","",IF(ISNA(MATCH(I52,'[1]1_group_totals'!$C$8:$C$10000)),0,IF(AT52&gt;0,1,0)))</f>
        <v/>
      </c>
      <c r="AI52" s="1640" t="str">
        <f>IF(M52="","",(SUMIFS('[1]1_group_total_details'!$I$8:$I$10000,'[1]1_group_total_details'!$C$8:$C$10000,I52,'[1]1_group_total_details'!$F$8:$F$10000,pb_location_group_id,'[1]1_group_total_details'!$G$8:$G$10000,pb_location_id,'[1]1_group_total_details'!$H$8:$H$10000,"="&amp;pb_date)+SUMIFS('[1]1_group_total_details'!$L$8:$L$10000,'[1]1_group_total_details'!$C$8:$C$10000,I52,'[1]1_group_total_details'!$F$8:$F$10000,pb_location_group_id,'[1]1_group_total_details'!$G$8:$G$10000,pb_location_id,'[1]1_group_total_details'!$H$8:$H$10000,"="&amp;pb_date)+SUMIFS('[1]1_group_total_details'!$N$8:$N$10000,'[1]1_group_total_details'!$C$8:$C$10000,I52,'[1]1_group_total_details'!$F$8:$F$10000,pb_location_group_id,'[1]1_group_total_details'!$G$8:$G$10000,pb_location_id,'[1]1_group_total_details'!$H$8:$H$10000,"="&amp;pb_date)+SUMIFS('[1]1_group_total_details'!$O$8:$O$10000,'[1]1_group_total_details'!$C$8:$C$10000,I52,'[1]1_group_total_details'!$F$8:$F$10000,pb_location_group_id,'[1]1_group_total_details'!$G$8:$G$10000,pb_location_id,'[1]1_group_total_details'!$H$8:$H$10000,"="&amp;pb_date))+(SUMIFS('[1]1_group_total_details'!$J$8:$J$10000,'[1]1_group_total_details'!$C$8:$C$10000,I52,'[1]1_group_total_details'!$F$8:$F$10000,pb_location_group_id,'[1]1_group_total_details'!$G$8:$G$10000,pb_location_id,'[1]1_group_total_details'!$H$8:$H$10000,"="&amp;pb_date)+SUMIFS('[1]1_group_total_details'!$K$8:$K$10000,'[1]1_group_total_details'!$C$8:$C$10000,I52,'[1]1_group_total_details'!$F$8:$F$10000,pb_location_group_id,'[1]1_group_total_details'!$G$8:$G$10000,pb_location_id,'[1]1_group_total_details'!$H$8:$H$10000,"="&amp;pb_date)+SUMIFS('[1]1_group_total_details'!$M$8:$M$10000,'[1]1_group_total_details'!$C$8:$C$10000,I52,'[1]1_group_total_details'!$F$8:$F$10000,pb_location_group_id,'[1]1_group_total_details'!$G$8:$G$10000,pb_location_id,'[1]1_group_total_details'!$H$8:$H$10000,"="&amp;pb_date)+SUMIFS('[1]1_group_total_details'!$P$8:$P$10000,'[1]1_group_total_details'!$C$8:$C$10000,I52,'[1]1_group_total_details'!$F$8:$F$10000,pb_location_group_id,'[1]1_group_total_details'!$G$8:$G$10000,pb_location_id,'[1]1_group_total_details'!$H$8:$H$10000,"="&amp;pb_date)))</f>
        <v/>
      </c>
      <c r="AJ52" s="1640" t="str">
        <f>IF(M52="","",IF(AK52=0,0,(SUMIFS('[1]1_group_total_details'!$I$8:$I$10000,'[1]1_group_total_details'!$C$8:$C$10000,I52,'[1]1_group_total_details'!$F$8:$F$10000,pb_location_group_id,'[1]1_group_total_details'!$G$8:$G$10000,pb_location_id,'[1]1_group_total_details'!$H$8:$H$10000,"&lt;="&amp;pb_date)+SUMIFS('[1]1_group_total_details'!$L$8:$L$10000,'[1]1_group_total_details'!$C$8:$C$10000,I52,'[1]1_group_total_details'!$F$8:$F$10000,pb_location_group_id,'[1]1_group_total_details'!$G$8:$G$10000,pb_location_id,'[1]1_group_total_details'!$H$8:$H$10000,"&lt;="&amp;pb_date)+SUMIFS('[1]1_group_total_details'!$N$8:$N$10000,'[1]1_group_total_details'!$C$8:$C$10000,I52,'[1]1_group_total_details'!$F$8:$F$10000,pb_location_group_id,'[1]1_group_total_details'!$G$8:$G$10000,pb_location_id,'[1]1_group_total_details'!$H$8:$H$10000,"&lt;="&amp;pb_date)+SUMIFS('[1]1_group_total_details'!$O$8:$O$10000,'[1]1_group_total_details'!$C$8:$C$10000,I52,'[1]1_group_total_details'!$F$8:$F$10000,pb_location_group_id,'[1]1_group_total_details'!$G$8:$G$10000,pb_location_id,'[1]1_group_total_details'!$H$8:$H$10000,"&lt;="&amp;pb_date))-(SUMIFS('[1]1_group_total_details'!$J$8:$J$10000,'[1]1_group_total_details'!$C$8:$C$10000,I52,'[1]1_group_total_details'!$F$8:$F$10000,pb_location_group_id,'[1]1_group_total_details'!$G$8:$G$10000,pb_location_id,'[1]1_group_total_details'!$H$8:$H$10000,"&lt;="&amp;pb_date)+SUMIFS('[1]1_group_total_details'!$K$8:$K$10000,'[1]1_group_total_details'!$C$8:$C$10000,I52,'[1]1_group_total_details'!$F$8:$F$10000,pb_location_group_id,'[1]1_group_total_details'!$G$8:$G$10000,invoice_location_id,'[1]1_group_total_details'!$H$8:$H$10000,"&lt;="&amp;pb_date)+SUMIFS('[1]1_group_total_details'!$M$8:$M$10000,'[1]1_group_total_details'!$C$8:$C$10000,I52,'[1]1_group_total_details'!$F$8:$F$10000,pb_location_group_id,'[1]1_group_total_details'!$G$8:$G$10000,pb_location_id,'[1]1_group_total_details'!$H$8:$H$10000,"&lt;="&amp;pb_date)+SUMIFS('[1]1_group_total_details'!$P$8:$P$10000,'[1]1_group_total_details'!$C$8:$C$10000,I52,'[1]1_group_total_details'!$F$8:$F$10000,pb_location_group_id,'[1]1_group_total_details'!$G$8:$G$10000,pb_location_id,'[1]1_group_total_details'!$H$8:$H$10000,"&lt;="&amp;pb_date))))</f>
        <v/>
      </c>
      <c r="AK52" s="1640" t="str">
        <f>IF(M52="","",SUMIFS('[1]1_group_totals'!$J$8:$J$10000,'[1]1_group_totals'!$C$8:$C$10000,I52,'[1]1_group_totals'!$F$8:$F$10000,pb_location_group_id,'[1]1_group_totals'!$G$8:$G$10000,pb_location_id,'[1]1_group_totals'!$H$8:$H$10000,"="&amp;Q52,'[1]1_group_totals'!$I$8:$I$10000,"="&amp;R52))</f>
        <v/>
      </c>
      <c r="AL52" s="1644" t="str">
        <f t="shared" si="17"/>
        <v/>
      </c>
      <c r="AM52" s="1644" t="str">
        <f>IF(OR(ISNA(MATCH(MID(AL52,1,3)*1,UomConversion!$D$8:$D$500,0)),M52=""),"",IF(AQ52="","",AQ52))</f>
        <v/>
      </c>
      <c r="AN52" s="1644" t="str">
        <f>IF(AND(AO52&gt;0,COUNTIFS(UomConversion!$D$8:$D$500,MID(AL52,1,3)*1,UomConversion!$J$8:$J$500,1)&gt;1),TEXT(AO52,"000")&amp;"."&amp;VLOOKUP(AO52,uom_list,5,FALSE),"")</f>
        <v/>
      </c>
      <c r="AO52" s="1640" t="str">
        <f t="shared" si="18"/>
        <v/>
      </c>
      <c r="AP52" s="1645" t="str">
        <f t="shared" si="19"/>
        <v/>
      </c>
      <c r="AQ52" s="491" t="str">
        <f t="shared" si="20"/>
        <v/>
      </c>
      <c r="AR52" s="1281" t="str" cm="1">
        <f t="array" ref="AR52">IF(M52="","",IF(ISNA(Slookup(MID(AL52,1,3)*1,UomConversion!$D$8:$J$500,2,UomConversion!$I$8:$I$500,1,UomConversion!$J$8:$J$500,1)),"",Slookup(MID(AL52,1,3)*1,UomConversion!$D$8:$J$500,2,UomConversion!$I$8:$I$500,1,UomConversion!$J$8:$J$500,1)))</f>
        <v/>
      </c>
      <c r="AS52" s="663" t="str">
        <f>IF(M52="","",(SUMIFS('[1]1_inventory_totals'!$I$8:$I$10000,'[1]1_inventory_totals'!$C$8:$C$10000,I52,'[1]1_inventory_totals'!$F$8:$F$10000,"="&amp;Q52,'[1]1_inventory_totals'!$G$8:$G$10000,"="&amp;R52)+SUMIFS('[1]1_inventory_totals'!$N$8:$N$10000,'[1]1_inventory_totals'!$C$8:$C$10000,I52,'[1]1_inventory_totals'!$F$8:$F$10000,"="&amp;Q52,'[1]1_inventory_totals'!$G$8:$G$10000,"="&amp;R52)+SUMIFS('[1]1_inventory_totals'!$P$8:$P$10000,'[1]1_inventory_totals'!$C$8:$C$10000,I52,'[1]1_inventory_totals'!$F$8:$F$10000,"="&amp;Q52,'[1]1_inventory_totals'!$G$8:$G$10000,"="&amp;R52)+SUMIFS('[1]1_inventory_totals'!$Q$8:$Q$10000,'[1]1_inventory_totals'!$C$8:$C$10000,I52,'[1]1_inventory_totals'!$F$8:$F$10000,"="&amp;Q52,'[1]1_inventory_totals'!$G$8:$G$10000,"="&amp;R52)+SUMIFS('[1]1_inventory_totals'!$R$8:$R$10000,'[1]1_inventory_totals'!$C$8:$C$10000,I52,'[1]1_inventory_totals'!$F$8:$F$10000,"="&amp;Q52,'[1]1_inventory_totals'!$G$8:$G$10000,"="&amp;R52))+(SUMIFS('[1]1_inventory_totals'!$J$8:$J$10000,'[1]1_inventory_totals'!$C$8:$C$10000,I52,'[1]1_inventory_totals'!$F$8:$F$10000,"="&amp;Q52,'[1]1_inventory_totals'!$G$8:$G$10000,"="&amp;R52)+SUMIFS('[1]1_inventory_totals'!$K$8:$K$10000,'[1]1_inventory_totals'!$C$8:$C$10000,I52,'[1]1_inventory_totals'!$F$8:$F$10000,"="&amp;Q52,'[1]1_inventory_totals'!$G$8:$G$10000,"="&amp;R52)+SUMIFS('[1]1_inventory_totals'!$L$8:$L$10000,'[1]1_inventory_totals'!$C$8:$C$10000,I52,'[1]1_inventory_totals'!$F$8:$F$10000,"="&amp;Q52,'[1]1_inventory_totals'!$G$8:$G$10000,"="&amp;R52)+SUMIFS('[1]1_inventory_totals'!$M$8:$M$10000,'[1]1_inventory_totals'!$C$8:$C$10000,I52,'[1]1_inventory_totals'!$F$8:$F$10000,"="&amp;Q52,'[1]1_inventory_totals'!$G$8:$G$10000,"="&amp;R52)+SUMIFS('[1]1_inventory_totals'!$O$8:$O$10000,'[1]1_inventory_totals'!$C$8:$C$10000,I52,'[1]1_inventory_totals'!$F$8:$F$10000,"="&amp;Q52,'[1]1_inventory_totals'!$G$8:$G$10000,"="&amp;R52)+SUMIFS('[1]1_inventory_totals'!$S$8:$S$10000,'[1]1_inventory_totals'!$C$8:$C$10000,I52,'[1]1_inventory_totals'!$F$8:$F$10000,"="&amp;Q52,'[1]1_inventory_totals'!$G$8:$G$10000,"="&amp;R52)))</f>
        <v/>
      </c>
      <c r="AT52" s="1281" t="str">
        <f>IF(M52="","",(SUMIFS('[1]1_group_totals'!$K$8:$K$10000,'[1]1_group_totals'!$C$8:$C$10000,I52,'[1]1_group_totals'!$F$8:$F$10000,pb_location_group_id,'[1]1_group_totals'!$G$8:$G$10000,pb_location_id,'[1]1_group_totals'!$H$8:$H$10000,"="&amp;Q52,'[1]1_group_totals'!$I$8:$I$10000,"="&amp;R52)+SUMIFS('[1]1_group_totals'!$N$8:$N$10000,'[1]1_group_totals'!$C$8:$C$10000,I52,'[1]1_group_totals'!$F$8:$F$10000,pb_location_group_id,'[1]1_group_totals'!$G$8:$G$10000,pb_location_id,'[1]1_group_totals'!$H$8:$H$10000,"="&amp;Q52,'[1]1_group_totals'!$I$8:$I$10000,"="&amp;R52)+SUMIFS('[1]1_group_totals'!$P$8:$P$10000,'[1]1_group_totals'!$C$8:$C$10000,I52,'[1]1_group_totals'!$F$8:$F$10000,pb_location_group_id,'[1]1_group_totals'!$G$8:$G$10000,pb_location_id,'[1]1_group_totals'!$H$8:$H$10000,"="&amp;Q52,'[1]1_group_totals'!$I$8:$I$10000,"="&amp;R52)+SUMIFS('[1]1_group_totals'!$Q$8:$Q$10000,'[1]1_group_totals'!$C$8:$C$10000,I52,'[1]1_group_totals'!$F$8:$F$10000,pb_location_group_id,'[1]1_group_totals'!$G$8:$G$10000,pb_location_id,'[1]1_group_totals'!$H$8:$H$10000,"="&amp;Q52,'[1]1_group_totals'!$I$8:$I$10000,"="&amp;R52))+(SUMIFS('[1]1_group_totals'!$L$8:$L$10000,'[1]1_group_totals'!$C$8:$C$10000,I52,'[1]1_group_totals'!$F$8:$F$10000,pb_location_group_id,'[1]1_group_totals'!$G$8:$G$10000,pb_location_id,'[1]1_group_totals'!$H$8:$H$10000,"="&amp;Q52,'[1]1_group_totals'!$I$8:$I$10000,"="&amp;R52)+SUMIFS('[1]1_group_totals'!$M$8:$M$10000,'[1]1_group_totals'!$C$8:$C$10000,I52,'[1]1_group_totals'!$F$8:$F$10000,pb_location_group_id,'[1]1_group_totals'!$G$8:$G$10000,pb_location_id,'[1]1_group_totals'!$H$8:$H$10000,"="&amp;Q52,'[1]1_group_totals'!$I$8:$I$10000,"="&amp;R52)+SUMIFS('[1]1_group_totals'!$O$8:$O$10000,'[1]1_group_totals'!$C$8:$C$10000,I52,'[1]1_group_totals'!$F$8:$F$10000,pb_location_group_id,'[1]1_group_totals'!$G$8:$G$10000,pb_location_id,'[1]1_group_totals'!$H$8:$H$10000,"="&amp;Q52,'[1]1_group_totals'!$I$8:$I$10000,"="&amp;R52)+SUMIFS('[1]1_group_totals'!$R$8:$R$10000,'[1]1_group_totals'!$C$8:$C$10000,I52,'[1]1_group_totals'!$F$8:$F$10000,pb_location_group_id,'[1]1_group_totals'!$G$8:$G$10000,pb_location_id,'[1]1_group_totals'!$H$8:$H$10000,"="&amp;Q52,'[1]1_group_totals'!$I$8:$I$10000,"="&amp;R52)))</f>
        <v/>
      </c>
    </row>
    <row r="53" spans="1:46" ht="27" hidden="1" customHeight="1">
      <c r="A53" s="923"/>
      <c r="B53" s="1028"/>
      <c r="C53" s="950"/>
      <c r="D53" s="950"/>
      <c r="E53" s="950"/>
      <c r="F53" s="1029"/>
      <c r="G53" s="941"/>
      <c r="H53" s="1070"/>
      <c r="I53" s="1610" t="str">
        <f t="shared" si="8"/>
        <v/>
      </c>
      <c r="J53" s="1631" t="str">
        <f t="shared" si="25"/>
        <v/>
      </c>
      <c r="K53" s="1628"/>
      <c r="L53" s="1632"/>
      <c r="M53" s="1069"/>
      <c r="N53" s="1044"/>
      <c r="O53" s="1044"/>
      <c r="P53" s="1046"/>
      <c r="Q53" s="1047"/>
      <c r="R53" s="1053"/>
      <c r="S53" s="1634" t="str">
        <f t="shared" ref="S53" si="152">IF(M53="","",pb_currency_symbol)</f>
        <v/>
      </c>
      <c r="T53" s="1068"/>
      <c r="U53" s="1636" t="str">
        <f t="shared" si="10"/>
        <v/>
      </c>
      <c r="V53" s="1634" t="str">
        <f t="shared" ref="V53" si="153">IF(W53=0,"",pb_currency_symbol)</f>
        <v/>
      </c>
      <c r="W53" s="1054"/>
      <c r="X53" s="1634" t="str">
        <f t="shared" ref="X53" si="154">IF(M53="","",pb_currency_symbol)</f>
        <v/>
      </c>
      <c r="Y53" s="1638" t="str">
        <f t="shared" si="24"/>
        <v/>
      </c>
      <c r="Z53" s="1062"/>
      <c r="AA53" s="1639" t="str" cm="1">
        <f t="array" ref="AA53">IF(M53="","",IF(P53=AL53,1,Slookup(MID(AL53,1,3)*1,UomConversion!$D$8:$J$500,5,UomConversion!$E$8:$E$500,MID(P53,1,3)*1,UomConversion!$J$8:$J$500,1)))</f>
        <v/>
      </c>
      <c r="AB53" s="1640" t="str">
        <f t="shared" si="13"/>
        <v/>
      </c>
      <c r="AC53" s="1641" t="str">
        <f t="shared" si="14"/>
        <v/>
      </c>
      <c r="AD53" s="1642" t="str">
        <f t="shared" si="15"/>
        <v/>
      </c>
      <c r="AE53" s="1643" t="str">
        <f t="shared" si="16"/>
        <v/>
      </c>
      <c r="AF53" s="1640" t="str">
        <f>IF(I53="","",IF(ISNA(MATCH(I53,IF(pb_location_id=1,'[1]1_inventory_totals'!$C$8:$C$10000,IF(pb_location_id=2,'[1]2_inventory_totals'!$C$8:$C$10000,"")),0)),0,IF(AS53&gt;0,1,0)))</f>
        <v/>
      </c>
      <c r="AG53" s="1640" t="str">
        <f>IF(M53="","",IF(pb_location_id=1,SUMIFS('[1]1_inventory_total_details'!$J$8:$J$10000,'[1]1_inventory_total_details'!$C$8:$C$10000,I53,'[1]1_inventory_total_details'!$F$8:$F$10000,pb_location_id,'[1]1_inventory_total_details'!$G$8:$G$10000,"="&amp;Q53,'[1]1_inventory_total_details'!$H$8:$H$10000,"="&amp;R53,'[1]1_inventory_total_details'!$I$8:$I$10000,"="&amp;pb_date)+SUMIFS('[1]1_inventory_total_details'!$M$8:$M$10000,'[1]1_inventory_total_details'!$C$8:$C$10000,I53,'[1]1_inventory_total_details'!$F$8:$F$10000,pb_location_id,'[1]1_inventory_total_details'!$G$8:$G$10000,"="&amp;Q53,'[1]1_inventory_total_details'!$H$8:$H$10000,"="&amp;R53,'[1]1_inventory_total_details'!$I$8:$I$10000,"="&amp;pb_date)+SUMIFS('[1]1_inventory_total_details'!$K$8:$K$10000,'[1]1_inventory_total_details'!$C$8:$C$10000,I53,'[1]1_inventory_total_details'!$F$8:$F$10000,pb_location_id,'[1]1_inventory_total_details'!$G$8:$G$10000,"="&amp;Q53,'[1]1_inventory_total_details'!$H$8:$H$10000,"="&amp;R53,'[1]1_inventory_total_details'!$I$8:$I$10000,"="&amp;pb_date)+SUMIFS('[1]1_inventory_total_details'!$L$8:$L$10000,'[1]1_inventory_total_details'!$C$8:$C$10000,I53,'[1]1_inventory_total_details'!$F$8:$F$10000,pb_location_id,'[1]1_inventory_total_details'!$G$8:$G$10000,"="&amp;Q53,'[1]1_inventory_total_details'!$H$8:$H$10000,"="&amp;R53,'[1]1_inventory_total_details'!$I$8:$I$10000,"="&amp;pb_date),SUMIFS('[1]2_inventory_total_details'!$J$8:$J$10000,'[1]2_inventory_total_details'!$C$8:$C$10000,I53,'[1]1_inventory_total_details'!$F$8:$F$10000,pb_location_id,'[1]2_inventory_total_details'!$G$8:$G$10000,"="&amp;Q53,'[1]2_inventory_total_details'!$H$8:$H$10000,"="&amp;R53,'[1]2_inventory_total_details'!$I$8:$I$10000,"="&amp;pb_date)+SUMIFS('[1]2_inventory_total_details'!$M$8:$M$10000,'[1]2_inventory_total_details'!$C$8:$C$10000,I53,'[1]2_inventory_total_details'!$F$8:$F$10000,pb_location_id,'[1]2_inventory_total_details'!$G$8:$G$10000,"="&amp;Q53,'[1]2_inventory_total_details'!$H$8:$H$10000,"="&amp;R53,'[1]2_inventory_total_details'!$I$8:$I$10000,"="&amp;pb_date)+SUMIFS('[1]2_inventory_total_details'!$K$8:$K$10000,'[1]2_inventory_total_details'!$C$8:$C$10000,I53,'[1]2_inventory_total_details'!$F$8:$F$10000,pb_location_id,'[1]2_inventory_total_details'!$G$8:$G$10000,"="&amp;Q53,'[1]2_inventory_total_details'!$H$8:$H$10000,"="&amp;R53,'[1]2_inventory_total_details'!$I$8:$I$10000,"="&amp;pb_date)+SUMIFS('[1]2_inventory_total_details'!$L$8:$L$10000,'[1]2_inventory_total_details'!$C$8:$C$10000,I53,'[1]2_inventory_total_details'!$F$8:$F$10000,pb_location_id,'[1]2_inventory_total_details'!$G$8:$G$10000,"="&amp;Q53,'[1]2_inventory_total_details'!$H$8:$H$10000,"="&amp;R53,'[1]2_inventory_total_details'!$I$8:$I$10000,"="&amp;pb_date)))</f>
        <v/>
      </c>
      <c r="AH53" s="1640" t="str">
        <f>IF(M53="","",IF(ISNA(MATCH(I53,'[1]1_group_totals'!$C$8:$C$10000)),0,IF(AT53&gt;0,1,0)))</f>
        <v/>
      </c>
      <c r="AI53" s="1640" t="str">
        <f>IF(M53="","",(SUMIFS('[1]1_group_total_details'!$I$8:$I$10000,'[1]1_group_total_details'!$C$8:$C$10000,I53,'[1]1_group_total_details'!$F$8:$F$10000,pb_location_group_id,'[1]1_group_total_details'!$G$8:$G$10000,pb_location_id,'[1]1_group_total_details'!$H$8:$H$10000,"="&amp;pb_date)+SUMIFS('[1]1_group_total_details'!$L$8:$L$10000,'[1]1_group_total_details'!$C$8:$C$10000,I53,'[1]1_group_total_details'!$F$8:$F$10000,pb_location_group_id,'[1]1_group_total_details'!$G$8:$G$10000,pb_location_id,'[1]1_group_total_details'!$H$8:$H$10000,"="&amp;pb_date)+SUMIFS('[1]1_group_total_details'!$N$8:$N$10000,'[1]1_group_total_details'!$C$8:$C$10000,I53,'[1]1_group_total_details'!$F$8:$F$10000,pb_location_group_id,'[1]1_group_total_details'!$G$8:$G$10000,pb_location_id,'[1]1_group_total_details'!$H$8:$H$10000,"="&amp;pb_date)+SUMIFS('[1]1_group_total_details'!$O$8:$O$10000,'[1]1_group_total_details'!$C$8:$C$10000,I53,'[1]1_group_total_details'!$F$8:$F$10000,pb_location_group_id,'[1]1_group_total_details'!$G$8:$G$10000,pb_location_id,'[1]1_group_total_details'!$H$8:$H$10000,"="&amp;pb_date))+(SUMIFS('[1]1_group_total_details'!$J$8:$J$10000,'[1]1_group_total_details'!$C$8:$C$10000,I53,'[1]1_group_total_details'!$F$8:$F$10000,pb_location_group_id,'[1]1_group_total_details'!$G$8:$G$10000,pb_location_id,'[1]1_group_total_details'!$H$8:$H$10000,"="&amp;pb_date)+SUMIFS('[1]1_group_total_details'!$K$8:$K$10000,'[1]1_group_total_details'!$C$8:$C$10000,I53,'[1]1_group_total_details'!$F$8:$F$10000,pb_location_group_id,'[1]1_group_total_details'!$G$8:$G$10000,pb_location_id,'[1]1_group_total_details'!$H$8:$H$10000,"="&amp;pb_date)+SUMIFS('[1]1_group_total_details'!$M$8:$M$10000,'[1]1_group_total_details'!$C$8:$C$10000,I53,'[1]1_group_total_details'!$F$8:$F$10000,pb_location_group_id,'[1]1_group_total_details'!$G$8:$G$10000,pb_location_id,'[1]1_group_total_details'!$H$8:$H$10000,"="&amp;pb_date)+SUMIFS('[1]1_group_total_details'!$P$8:$P$10000,'[1]1_group_total_details'!$C$8:$C$10000,I53,'[1]1_group_total_details'!$F$8:$F$10000,pb_location_group_id,'[1]1_group_total_details'!$G$8:$G$10000,pb_location_id,'[1]1_group_total_details'!$H$8:$H$10000,"="&amp;pb_date)))</f>
        <v/>
      </c>
      <c r="AJ53" s="1640" t="str">
        <f>IF(M53="","",IF(AK53=0,0,(SUMIFS('[1]1_group_total_details'!$I$8:$I$10000,'[1]1_group_total_details'!$C$8:$C$10000,I53,'[1]1_group_total_details'!$F$8:$F$10000,pb_location_group_id,'[1]1_group_total_details'!$G$8:$G$10000,pb_location_id,'[1]1_group_total_details'!$H$8:$H$10000,"&lt;="&amp;pb_date)+SUMIFS('[1]1_group_total_details'!$L$8:$L$10000,'[1]1_group_total_details'!$C$8:$C$10000,I53,'[1]1_group_total_details'!$F$8:$F$10000,pb_location_group_id,'[1]1_group_total_details'!$G$8:$G$10000,pb_location_id,'[1]1_group_total_details'!$H$8:$H$10000,"&lt;="&amp;pb_date)+SUMIFS('[1]1_group_total_details'!$N$8:$N$10000,'[1]1_group_total_details'!$C$8:$C$10000,I53,'[1]1_group_total_details'!$F$8:$F$10000,pb_location_group_id,'[1]1_group_total_details'!$G$8:$G$10000,pb_location_id,'[1]1_group_total_details'!$H$8:$H$10000,"&lt;="&amp;pb_date)+SUMIFS('[1]1_group_total_details'!$O$8:$O$10000,'[1]1_group_total_details'!$C$8:$C$10000,I53,'[1]1_group_total_details'!$F$8:$F$10000,pb_location_group_id,'[1]1_group_total_details'!$G$8:$G$10000,pb_location_id,'[1]1_group_total_details'!$H$8:$H$10000,"&lt;="&amp;pb_date))-(SUMIFS('[1]1_group_total_details'!$J$8:$J$10000,'[1]1_group_total_details'!$C$8:$C$10000,I53,'[1]1_group_total_details'!$F$8:$F$10000,pb_location_group_id,'[1]1_group_total_details'!$G$8:$G$10000,pb_location_id,'[1]1_group_total_details'!$H$8:$H$10000,"&lt;="&amp;pb_date)+SUMIFS('[1]1_group_total_details'!$K$8:$K$10000,'[1]1_group_total_details'!$C$8:$C$10000,I53,'[1]1_group_total_details'!$F$8:$F$10000,pb_location_group_id,'[1]1_group_total_details'!$G$8:$G$10000,invoice_location_id,'[1]1_group_total_details'!$H$8:$H$10000,"&lt;="&amp;pb_date)+SUMIFS('[1]1_group_total_details'!$M$8:$M$10000,'[1]1_group_total_details'!$C$8:$C$10000,I53,'[1]1_group_total_details'!$F$8:$F$10000,pb_location_group_id,'[1]1_group_total_details'!$G$8:$G$10000,pb_location_id,'[1]1_group_total_details'!$H$8:$H$10000,"&lt;="&amp;pb_date)+SUMIFS('[1]1_group_total_details'!$P$8:$P$10000,'[1]1_group_total_details'!$C$8:$C$10000,I53,'[1]1_group_total_details'!$F$8:$F$10000,pb_location_group_id,'[1]1_group_total_details'!$G$8:$G$10000,pb_location_id,'[1]1_group_total_details'!$H$8:$H$10000,"&lt;="&amp;pb_date))))</f>
        <v/>
      </c>
      <c r="AK53" s="1640" t="str">
        <f>IF(M53="","",SUMIFS('[1]1_group_totals'!$J$8:$J$10000,'[1]1_group_totals'!$C$8:$C$10000,I53,'[1]1_group_totals'!$F$8:$F$10000,pb_location_group_id,'[1]1_group_totals'!$G$8:$G$10000,pb_location_id,'[1]1_group_totals'!$H$8:$H$10000,"="&amp;Q53,'[1]1_group_totals'!$I$8:$I$10000,"="&amp;R53))</f>
        <v/>
      </c>
      <c r="AL53" s="1644" t="str">
        <f t="shared" si="17"/>
        <v/>
      </c>
      <c r="AM53" s="1644" t="str">
        <f>IF(OR(ISNA(MATCH(MID(AL53,1,3)*1,UomConversion!$D$8:$D$500,0)),M53=""),"",IF(AQ53="","",AQ53))</f>
        <v/>
      </c>
      <c r="AN53" s="1644" t="str">
        <f>IF(AND(AO53&gt;0,COUNTIFS(UomConversion!$D$8:$D$500,MID(AL53,1,3)*1,UomConversion!$J$8:$J$500,1)&gt;1),TEXT(AO53,"000")&amp;"."&amp;VLOOKUP(AO53,uom_list,5,FALSE),"")</f>
        <v/>
      </c>
      <c r="AO53" s="1640" t="str">
        <f t="shared" si="18"/>
        <v/>
      </c>
      <c r="AP53" s="1645" t="str">
        <f t="shared" si="19"/>
        <v/>
      </c>
      <c r="AQ53" s="491" t="str">
        <f t="shared" si="20"/>
        <v/>
      </c>
      <c r="AR53" s="1281" t="str" cm="1">
        <f t="array" ref="AR53">IF(M53="","",IF(ISNA(Slookup(MID(AL53,1,3)*1,UomConversion!$D$8:$J$500,2,UomConversion!$I$8:$I$500,1,UomConversion!$J$8:$J$500,1)),"",Slookup(MID(AL53,1,3)*1,UomConversion!$D$8:$J$500,2,UomConversion!$I$8:$I$500,1,UomConversion!$J$8:$J$500,1)))</f>
        <v/>
      </c>
      <c r="AS53" s="663" t="str">
        <f>IF(M53="","",(SUMIFS('[1]1_inventory_totals'!$I$8:$I$10000,'[1]1_inventory_totals'!$C$8:$C$10000,I53,'[1]1_inventory_totals'!$F$8:$F$10000,"="&amp;Q53,'[1]1_inventory_totals'!$G$8:$G$10000,"="&amp;R53)+SUMIFS('[1]1_inventory_totals'!$N$8:$N$10000,'[1]1_inventory_totals'!$C$8:$C$10000,I53,'[1]1_inventory_totals'!$F$8:$F$10000,"="&amp;Q53,'[1]1_inventory_totals'!$G$8:$G$10000,"="&amp;R53)+SUMIFS('[1]1_inventory_totals'!$P$8:$P$10000,'[1]1_inventory_totals'!$C$8:$C$10000,I53,'[1]1_inventory_totals'!$F$8:$F$10000,"="&amp;Q53,'[1]1_inventory_totals'!$G$8:$G$10000,"="&amp;R53)+SUMIFS('[1]1_inventory_totals'!$Q$8:$Q$10000,'[1]1_inventory_totals'!$C$8:$C$10000,I53,'[1]1_inventory_totals'!$F$8:$F$10000,"="&amp;Q53,'[1]1_inventory_totals'!$G$8:$G$10000,"="&amp;R53)+SUMIFS('[1]1_inventory_totals'!$R$8:$R$10000,'[1]1_inventory_totals'!$C$8:$C$10000,I53,'[1]1_inventory_totals'!$F$8:$F$10000,"="&amp;Q53,'[1]1_inventory_totals'!$G$8:$G$10000,"="&amp;R53))+(SUMIFS('[1]1_inventory_totals'!$J$8:$J$10000,'[1]1_inventory_totals'!$C$8:$C$10000,I53,'[1]1_inventory_totals'!$F$8:$F$10000,"="&amp;Q53,'[1]1_inventory_totals'!$G$8:$G$10000,"="&amp;R53)+SUMIFS('[1]1_inventory_totals'!$K$8:$K$10000,'[1]1_inventory_totals'!$C$8:$C$10000,I53,'[1]1_inventory_totals'!$F$8:$F$10000,"="&amp;Q53,'[1]1_inventory_totals'!$G$8:$G$10000,"="&amp;R53)+SUMIFS('[1]1_inventory_totals'!$L$8:$L$10000,'[1]1_inventory_totals'!$C$8:$C$10000,I53,'[1]1_inventory_totals'!$F$8:$F$10000,"="&amp;Q53,'[1]1_inventory_totals'!$G$8:$G$10000,"="&amp;R53)+SUMIFS('[1]1_inventory_totals'!$M$8:$M$10000,'[1]1_inventory_totals'!$C$8:$C$10000,I53,'[1]1_inventory_totals'!$F$8:$F$10000,"="&amp;Q53,'[1]1_inventory_totals'!$G$8:$G$10000,"="&amp;R53)+SUMIFS('[1]1_inventory_totals'!$O$8:$O$10000,'[1]1_inventory_totals'!$C$8:$C$10000,I53,'[1]1_inventory_totals'!$F$8:$F$10000,"="&amp;Q53,'[1]1_inventory_totals'!$G$8:$G$10000,"="&amp;R53)+SUMIFS('[1]1_inventory_totals'!$S$8:$S$10000,'[1]1_inventory_totals'!$C$8:$C$10000,I53,'[1]1_inventory_totals'!$F$8:$F$10000,"="&amp;Q53,'[1]1_inventory_totals'!$G$8:$G$10000,"="&amp;R53)))</f>
        <v/>
      </c>
      <c r="AT53" s="1281" t="str">
        <f>IF(M53="","",(SUMIFS('[1]1_group_totals'!$K$8:$K$10000,'[1]1_group_totals'!$C$8:$C$10000,I53,'[1]1_group_totals'!$F$8:$F$10000,pb_location_group_id,'[1]1_group_totals'!$G$8:$G$10000,pb_location_id,'[1]1_group_totals'!$H$8:$H$10000,"="&amp;Q53,'[1]1_group_totals'!$I$8:$I$10000,"="&amp;R53)+SUMIFS('[1]1_group_totals'!$N$8:$N$10000,'[1]1_group_totals'!$C$8:$C$10000,I53,'[1]1_group_totals'!$F$8:$F$10000,pb_location_group_id,'[1]1_group_totals'!$G$8:$G$10000,pb_location_id,'[1]1_group_totals'!$H$8:$H$10000,"="&amp;Q53,'[1]1_group_totals'!$I$8:$I$10000,"="&amp;R53)+SUMIFS('[1]1_group_totals'!$P$8:$P$10000,'[1]1_group_totals'!$C$8:$C$10000,I53,'[1]1_group_totals'!$F$8:$F$10000,pb_location_group_id,'[1]1_group_totals'!$G$8:$G$10000,pb_location_id,'[1]1_group_totals'!$H$8:$H$10000,"="&amp;Q53,'[1]1_group_totals'!$I$8:$I$10000,"="&amp;R53)+SUMIFS('[1]1_group_totals'!$Q$8:$Q$10000,'[1]1_group_totals'!$C$8:$C$10000,I53,'[1]1_group_totals'!$F$8:$F$10000,pb_location_group_id,'[1]1_group_totals'!$G$8:$G$10000,pb_location_id,'[1]1_group_totals'!$H$8:$H$10000,"="&amp;Q53,'[1]1_group_totals'!$I$8:$I$10000,"="&amp;R53))+(SUMIFS('[1]1_group_totals'!$L$8:$L$10000,'[1]1_group_totals'!$C$8:$C$10000,I53,'[1]1_group_totals'!$F$8:$F$10000,pb_location_group_id,'[1]1_group_totals'!$G$8:$G$10000,pb_location_id,'[1]1_group_totals'!$H$8:$H$10000,"="&amp;Q53,'[1]1_group_totals'!$I$8:$I$10000,"="&amp;R53)+SUMIFS('[1]1_group_totals'!$M$8:$M$10000,'[1]1_group_totals'!$C$8:$C$10000,I53,'[1]1_group_totals'!$F$8:$F$10000,pb_location_group_id,'[1]1_group_totals'!$G$8:$G$10000,pb_location_id,'[1]1_group_totals'!$H$8:$H$10000,"="&amp;Q53,'[1]1_group_totals'!$I$8:$I$10000,"="&amp;R53)+SUMIFS('[1]1_group_totals'!$O$8:$O$10000,'[1]1_group_totals'!$C$8:$C$10000,I53,'[1]1_group_totals'!$F$8:$F$10000,pb_location_group_id,'[1]1_group_totals'!$G$8:$G$10000,pb_location_id,'[1]1_group_totals'!$H$8:$H$10000,"="&amp;Q53,'[1]1_group_totals'!$I$8:$I$10000,"="&amp;R53)+SUMIFS('[1]1_group_totals'!$R$8:$R$10000,'[1]1_group_totals'!$C$8:$C$10000,I53,'[1]1_group_totals'!$F$8:$F$10000,pb_location_group_id,'[1]1_group_totals'!$G$8:$G$10000,pb_location_id,'[1]1_group_totals'!$H$8:$H$10000,"="&amp;Q53,'[1]1_group_totals'!$I$8:$I$10000,"="&amp;R53)))</f>
        <v/>
      </c>
    </row>
    <row r="54" spans="1:46" ht="27" hidden="1" customHeight="1">
      <c r="A54" s="923"/>
      <c r="B54" s="1028"/>
      <c r="C54" s="950"/>
      <c r="D54" s="950"/>
      <c r="E54" s="950"/>
      <c r="F54" s="1029"/>
      <c r="G54" s="941"/>
      <c r="H54" s="1070"/>
      <c r="I54" s="1610" t="str">
        <f t="shared" si="8"/>
        <v/>
      </c>
      <c r="J54" s="1631" t="str">
        <f t="shared" si="25"/>
        <v/>
      </c>
      <c r="K54" s="1628"/>
      <c r="L54" s="1632"/>
      <c r="M54" s="1069"/>
      <c r="N54" s="1044"/>
      <c r="O54" s="1044"/>
      <c r="P54" s="1046"/>
      <c r="Q54" s="1047"/>
      <c r="R54" s="1053"/>
      <c r="S54" s="1634" t="str">
        <f t="shared" ref="S54" si="155">IF(M54="","",pb_currency_symbol)</f>
        <v/>
      </c>
      <c r="T54" s="1068"/>
      <c r="U54" s="1636" t="str">
        <f t="shared" si="10"/>
        <v/>
      </c>
      <c r="V54" s="1634" t="str">
        <f t="shared" ref="V54" si="156">IF(W54=0,"",pb_currency_symbol)</f>
        <v/>
      </c>
      <c r="W54" s="1054"/>
      <c r="X54" s="1634" t="str">
        <f t="shared" ref="X54" si="157">IF(M54="","",pb_currency_symbol)</f>
        <v/>
      </c>
      <c r="Y54" s="1638" t="str">
        <f t="shared" si="24"/>
        <v/>
      </c>
      <c r="Z54" s="1062"/>
      <c r="AA54" s="1639" t="str" cm="1">
        <f t="array" ref="AA54">IF(M54="","",IF(P54=AL54,1,Slookup(MID(AL54,1,3)*1,UomConversion!$D$8:$J$500,5,UomConversion!$E$8:$E$500,MID(P54,1,3)*1,UomConversion!$J$8:$J$500,1)))</f>
        <v/>
      </c>
      <c r="AB54" s="1640" t="str">
        <f t="shared" si="13"/>
        <v/>
      </c>
      <c r="AC54" s="1641" t="str">
        <f t="shared" si="14"/>
        <v/>
      </c>
      <c r="AD54" s="1642" t="str">
        <f t="shared" si="15"/>
        <v/>
      </c>
      <c r="AE54" s="1643" t="str">
        <f t="shared" si="16"/>
        <v/>
      </c>
      <c r="AF54" s="1640" t="str">
        <f>IF(I54="","",IF(ISNA(MATCH(I54,IF(pb_location_id=1,'[1]1_inventory_totals'!$C$8:$C$10000,IF(pb_location_id=2,'[1]2_inventory_totals'!$C$8:$C$10000,"")),0)),0,IF(AS54&gt;0,1,0)))</f>
        <v/>
      </c>
      <c r="AG54" s="1640" t="str">
        <f>IF(M54="","",IF(pb_location_id=1,SUMIFS('[1]1_inventory_total_details'!$J$8:$J$10000,'[1]1_inventory_total_details'!$C$8:$C$10000,I54,'[1]1_inventory_total_details'!$F$8:$F$10000,pb_location_id,'[1]1_inventory_total_details'!$G$8:$G$10000,"="&amp;Q54,'[1]1_inventory_total_details'!$H$8:$H$10000,"="&amp;R54,'[1]1_inventory_total_details'!$I$8:$I$10000,"="&amp;pb_date)+SUMIFS('[1]1_inventory_total_details'!$M$8:$M$10000,'[1]1_inventory_total_details'!$C$8:$C$10000,I54,'[1]1_inventory_total_details'!$F$8:$F$10000,pb_location_id,'[1]1_inventory_total_details'!$G$8:$G$10000,"="&amp;Q54,'[1]1_inventory_total_details'!$H$8:$H$10000,"="&amp;R54,'[1]1_inventory_total_details'!$I$8:$I$10000,"="&amp;pb_date)+SUMIFS('[1]1_inventory_total_details'!$K$8:$K$10000,'[1]1_inventory_total_details'!$C$8:$C$10000,I54,'[1]1_inventory_total_details'!$F$8:$F$10000,pb_location_id,'[1]1_inventory_total_details'!$G$8:$G$10000,"="&amp;Q54,'[1]1_inventory_total_details'!$H$8:$H$10000,"="&amp;R54,'[1]1_inventory_total_details'!$I$8:$I$10000,"="&amp;pb_date)+SUMIFS('[1]1_inventory_total_details'!$L$8:$L$10000,'[1]1_inventory_total_details'!$C$8:$C$10000,I54,'[1]1_inventory_total_details'!$F$8:$F$10000,pb_location_id,'[1]1_inventory_total_details'!$G$8:$G$10000,"="&amp;Q54,'[1]1_inventory_total_details'!$H$8:$H$10000,"="&amp;R54,'[1]1_inventory_total_details'!$I$8:$I$10000,"="&amp;pb_date),SUMIFS('[1]2_inventory_total_details'!$J$8:$J$10000,'[1]2_inventory_total_details'!$C$8:$C$10000,I54,'[1]1_inventory_total_details'!$F$8:$F$10000,pb_location_id,'[1]2_inventory_total_details'!$G$8:$G$10000,"="&amp;Q54,'[1]2_inventory_total_details'!$H$8:$H$10000,"="&amp;R54,'[1]2_inventory_total_details'!$I$8:$I$10000,"="&amp;pb_date)+SUMIFS('[1]2_inventory_total_details'!$M$8:$M$10000,'[1]2_inventory_total_details'!$C$8:$C$10000,I54,'[1]2_inventory_total_details'!$F$8:$F$10000,pb_location_id,'[1]2_inventory_total_details'!$G$8:$G$10000,"="&amp;Q54,'[1]2_inventory_total_details'!$H$8:$H$10000,"="&amp;R54,'[1]2_inventory_total_details'!$I$8:$I$10000,"="&amp;pb_date)+SUMIFS('[1]2_inventory_total_details'!$K$8:$K$10000,'[1]2_inventory_total_details'!$C$8:$C$10000,I54,'[1]2_inventory_total_details'!$F$8:$F$10000,pb_location_id,'[1]2_inventory_total_details'!$G$8:$G$10000,"="&amp;Q54,'[1]2_inventory_total_details'!$H$8:$H$10000,"="&amp;R54,'[1]2_inventory_total_details'!$I$8:$I$10000,"="&amp;pb_date)+SUMIFS('[1]2_inventory_total_details'!$L$8:$L$10000,'[1]2_inventory_total_details'!$C$8:$C$10000,I54,'[1]2_inventory_total_details'!$F$8:$F$10000,pb_location_id,'[1]2_inventory_total_details'!$G$8:$G$10000,"="&amp;Q54,'[1]2_inventory_total_details'!$H$8:$H$10000,"="&amp;R54,'[1]2_inventory_total_details'!$I$8:$I$10000,"="&amp;pb_date)))</f>
        <v/>
      </c>
      <c r="AH54" s="1640" t="str">
        <f>IF(M54="","",IF(ISNA(MATCH(I54,'[1]1_group_totals'!$C$8:$C$10000)),0,IF(AT54&gt;0,1,0)))</f>
        <v/>
      </c>
      <c r="AI54" s="1640" t="str">
        <f>IF(M54="","",(SUMIFS('[1]1_group_total_details'!$I$8:$I$10000,'[1]1_group_total_details'!$C$8:$C$10000,I54,'[1]1_group_total_details'!$F$8:$F$10000,pb_location_group_id,'[1]1_group_total_details'!$G$8:$G$10000,pb_location_id,'[1]1_group_total_details'!$H$8:$H$10000,"="&amp;pb_date)+SUMIFS('[1]1_group_total_details'!$L$8:$L$10000,'[1]1_group_total_details'!$C$8:$C$10000,I54,'[1]1_group_total_details'!$F$8:$F$10000,pb_location_group_id,'[1]1_group_total_details'!$G$8:$G$10000,pb_location_id,'[1]1_group_total_details'!$H$8:$H$10000,"="&amp;pb_date)+SUMIFS('[1]1_group_total_details'!$N$8:$N$10000,'[1]1_group_total_details'!$C$8:$C$10000,I54,'[1]1_group_total_details'!$F$8:$F$10000,pb_location_group_id,'[1]1_group_total_details'!$G$8:$G$10000,pb_location_id,'[1]1_group_total_details'!$H$8:$H$10000,"="&amp;pb_date)+SUMIFS('[1]1_group_total_details'!$O$8:$O$10000,'[1]1_group_total_details'!$C$8:$C$10000,I54,'[1]1_group_total_details'!$F$8:$F$10000,pb_location_group_id,'[1]1_group_total_details'!$G$8:$G$10000,pb_location_id,'[1]1_group_total_details'!$H$8:$H$10000,"="&amp;pb_date))+(SUMIFS('[1]1_group_total_details'!$J$8:$J$10000,'[1]1_group_total_details'!$C$8:$C$10000,I54,'[1]1_group_total_details'!$F$8:$F$10000,pb_location_group_id,'[1]1_group_total_details'!$G$8:$G$10000,pb_location_id,'[1]1_group_total_details'!$H$8:$H$10000,"="&amp;pb_date)+SUMIFS('[1]1_group_total_details'!$K$8:$K$10000,'[1]1_group_total_details'!$C$8:$C$10000,I54,'[1]1_group_total_details'!$F$8:$F$10000,pb_location_group_id,'[1]1_group_total_details'!$G$8:$G$10000,pb_location_id,'[1]1_group_total_details'!$H$8:$H$10000,"="&amp;pb_date)+SUMIFS('[1]1_group_total_details'!$M$8:$M$10000,'[1]1_group_total_details'!$C$8:$C$10000,I54,'[1]1_group_total_details'!$F$8:$F$10000,pb_location_group_id,'[1]1_group_total_details'!$G$8:$G$10000,pb_location_id,'[1]1_group_total_details'!$H$8:$H$10000,"="&amp;pb_date)+SUMIFS('[1]1_group_total_details'!$P$8:$P$10000,'[1]1_group_total_details'!$C$8:$C$10000,I54,'[1]1_group_total_details'!$F$8:$F$10000,pb_location_group_id,'[1]1_group_total_details'!$G$8:$G$10000,pb_location_id,'[1]1_group_total_details'!$H$8:$H$10000,"="&amp;pb_date)))</f>
        <v/>
      </c>
      <c r="AJ54" s="1640" t="str">
        <f>IF(M54="","",IF(AK54=0,0,(SUMIFS('[1]1_group_total_details'!$I$8:$I$10000,'[1]1_group_total_details'!$C$8:$C$10000,I54,'[1]1_group_total_details'!$F$8:$F$10000,pb_location_group_id,'[1]1_group_total_details'!$G$8:$G$10000,pb_location_id,'[1]1_group_total_details'!$H$8:$H$10000,"&lt;="&amp;pb_date)+SUMIFS('[1]1_group_total_details'!$L$8:$L$10000,'[1]1_group_total_details'!$C$8:$C$10000,I54,'[1]1_group_total_details'!$F$8:$F$10000,pb_location_group_id,'[1]1_group_total_details'!$G$8:$G$10000,pb_location_id,'[1]1_group_total_details'!$H$8:$H$10000,"&lt;="&amp;pb_date)+SUMIFS('[1]1_group_total_details'!$N$8:$N$10000,'[1]1_group_total_details'!$C$8:$C$10000,I54,'[1]1_group_total_details'!$F$8:$F$10000,pb_location_group_id,'[1]1_group_total_details'!$G$8:$G$10000,pb_location_id,'[1]1_group_total_details'!$H$8:$H$10000,"&lt;="&amp;pb_date)+SUMIFS('[1]1_group_total_details'!$O$8:$O$10000,'[1]1_group_total_details'!$C$8:$C$10000,I54,'[1]1_group_total_details'!$F$8:$F$10000,pb_location_group_id,'[1]1_group_total_details'!$G$8:$G$10000,pb_location_id,'[1]1_group_total_details'!$H$8:$H$10000,"&lt;="&amp;pb_date))-(SUMIFS('[1]1_group_total_details'!$J$8:$J$10000,'[1]1_group_total_details'!$C$8:$C$10000,I54,'[1]1_group_total_details'!$F$8:$F$10000,pb_location_group_id,'[1]1_group_total_details'!$G$8:$G$10000,pb_location_id,'[1]1_group_total_details'!$H$8:$H$10000,"&lt;="&amp;pb_date)+SUMIFS('[1]1_group_total_details'!$K$8:$K$10000,'[1]1_group_total_details'!$C$8:$C$10000,I54,'[1]1_group_total_details'!$F$8:$F$10000,pb_location_group_id,'[1]1_group_total_details'!$G$8:$G$10000,invoice_location_id,'[1]1_group_total_details'!$H$8:$H$10000,"&lt;="&amp;pb_date)+SUMIFS('[1]1_group_total_details'!$M$8:$M$10000,'[1]1_group_total_details'!$C$8:$C$10000,I54,'[1]1_group_total_details'!$F$8:$F$10000,pb_location_group_id,'[1]1_group_total_details'!$G$8:$G$10000,pb_location_id,'[1]1_group_total_details'!$H$8:$H$10000,"&lt;="&amp;pb_date)+SUMIFS('[1]1_group_total_details'!$P$8:$P$10000,'[1]1_group_total_details'!$C$8:$C$10000,I54,'[1]1_group_total_details'!$F$8:$F$10000,pb_location_group_id,'[1]1_group_total_details'!$G$8:$G$10000,pb_location_id,'[1]1_group_total_details'!$H$8:$H$10000,"&lt;="&amp;pb_date))))</f>
        <v/>
      </c>
      <c r="AK54" s="1640" t="str">
        <f>IF(M54="","",SUMIFS('[1]1_group_totals'!$J$8:$J$10000,'[1]1_group_totals'!$C$8:$C$10000,I54,'[1]1_group_totals'!$F$8:$F$10000,pb_location_group_id,'[1]1_group_totals'!$G$8:$G$10000,pb_location_id,'[1]1_group_totals'!$H$8:$H$10000,"="&amp;Q54,'[1]1_group_totals'!$I$8:$I$10000,"="&amp;R54))</f>
        <v/>
      </c>
      <c r="AL54" s="1644" t="str">
        <f t="shared" si="17"/>
        <v/>
      </c>
      <c r="AM54" s="1644" t="str">
        <f>IF(OR(ISNA(MATCH(MID(AL54,1,3)*1,UomConversion!$D$8:$D$500,0)),M54=""),"",IF(AQ54="","",AQ54))</f>
        <v/>
      </c>
      <c r="AN54" s="1644" t="str">
        <f>IF(AND(AO54&gt;0,COUNTIFS(UomConversion!$D$8:$D$500,MID(AL54,1,3)*1,UomConversion!$J$8:$J$500,1)&gt;1),TEXT(AO54,"000")&amp;"."&amp;VLOOKUP(AO54,uom_list,5,FALSE),"")</f>
        <v/>
      </c>
      <c r="AO54" s="1640" t="str">
        <f t="shared" si="18"/>
        <v/>
      </c>
      <c r="AP54" s="1645" t="str">
        <f t="shared" si="19"/>
        <v/>
      </c>
      <c r="AQ54" s="491" t="str">
        <f t="shared" si="20"/>
        <v/>
      </c>
      <c r="AR54" s="1281" t="str" cm="1">
        <f t="array" ref="AR54">IF(M54="","",IF(ISNA(Slookup(MID(AL54,1,3)*1,UomConversion!$D$8:$J$500,2,UomConversion!$I$8:$I$500,1,UomConversion!$J$8:$J$500,1)),"",Slookup(MID(AL54,1,3)*1,UomConversion!$D$8:$J$500,2,UomConversion!$I$8:$I$500,1,UomConversion!$J$8:$J$500,1)))</f>
        <v/>
      </c>
      <c r="AS54" s="663" t="str">
        <f>IF(M54="","",(SUMIFS('[1]1_inventory_totals'!$I$8:$I$10000,'[1]1_inventory_totals'!$C$8:$C$10000,I54,'[1]1_inventory_totals'!$F$8:$F$10000,"="&amp;Q54,'[1]1_inventory_totals'!$G$8:$G$10000,"="&amp;R54)+SUMIFS('[1]1_inventory_totals'!$N$8:$N$10000,'[1]1_inventory_totals'!$C$8:$C$10000,I54,'[1]1_inventory_totals'!$F$8:$F$10000,"="&amp;Q54,'[1]1_inventory_totals'!$G$8:$G$10000,"="&amp;R54)+SUMIFS('[1]1_inventory_totals'!$P$8:$P$10000,'[1]1_inventory_totals'!$C$8:$C$10000,I54,'[1]1_inventory_totals'!$F$8:$F$10000,"="&amp;Q54,'[1]1_inventory_totals'!$G$8:$G$10000,"="&amp;R54)+SUMIFS('[1]1_inventory_totals'!$Q$8:$Q$10000,'[1]1_inventory_totals'!$C$8:$C$10000,I54,'[1]1_inventory_totals'!$F$8:$F$10000,"="&amp;Q54,'[1]1_inventory_totals'!$G$8:$G$10000,"="&amp;R54)+SUMIFS('[1]1_inventory_totals'!$R$8:$R$10000,'[1]1_inventory_totals'!$C$8:$C$10000,I54,'[1]1_inventory_totals'!$F$8:$F$10000,"="&amp;Q54,'[1]1_inventory_totals'!$G$8:$G$10000,"="&amp;R54))+(SUMIFS('[1]1_inventory_totals'!$J$8:$J$10000,'[1]1_inventory_totals'!$C$8:$C$10000,I54,'[1]1_inventory_totals'!$F$8:$F$10000,"="&amp;Q54,'[1]1_inventory_totals'!$G$8:$G$10000,"="&amp;R54)+SUMIFS('[1]1_inventory_totals'!$K$8:$K$10000,'[1]1_inventory_totals'!$C$8:$C$10000,I54,'[1]1_inventory_totals'!$F$8:$F$10000,"="&amp;Q54,'[1]1_inventory_totals'!$G$8:$G$10000,"="&amp;R54)+SUMIFS('[1]1_inventory_totals'!$L$8:$L$10000,'[1]1_inventory_totals'!$C$8:$C$10000,I54,'[1]1_inventory_totals'!$F$8:$F$10000,"="&amp;Q54,'[1]1_inventory_totals'!$G$8:$G$10000,"="&amp;R54)+SUMIFS('[1]1_inventory_totals'!$M$8:$M$10000,'[1]1_inventory_totals'!$C$8:$C$10000,I54,'[1]1_inventory_totals'!$F$8:$F$10000,"="&amp;Q54,'[1]1_inventory_totals'!$G$8:$G$10000,"="&amp;R54)+SUMIFS('[1]1_inventory_totals'!$O$8:$O$10000,'[1]1_inventory_totals'!$C$8:$C$10000,I54,'[1]1_inventory_totals'!$F$8:$F$10000,"="&amp;Q54,'[1]1_inventory_totals'!$G$8:$G$10000,"="&amp;R54)+SUMIFS('[1]1_inventory_totals'!$S$8:$S$10000,'[1]1_inventory_totals'!$C$8:$C$10000,I54,'[1]1_inventory_totals'!$F$8:$F$10000,"="&amp;Q54,'[1]1_inventory_totals'!$G$8:$G$10000,"="&amp;R54)))</f>
        <v/>
      </c>
      <c r="AT54" s="1281" t="str">
        <f>IF(M54="","",(SUMIFS('[1]1_group_totals'!$K$8:$K$10000,'[1]1_group_totals'!$C$8:$C$10000,I54,'[1]1_group_totals'!$F$8:$F$10000,pb_location_group_id,'[1]1_group_totals'!$G$8:$G$10000,pb_location_id,'[1]1_group_totals'!$H$8:$H$10000,"="&amp;Q54,'[1]1_group_totals'!$I$8:$I$10000,"="&amp;R54)+SUMIFS('[1]1_group_totals'!$N$8:$N$10000,'[1]1_group_totals'!$C$8:$C$10000,I54,'[1]1_group_totals'!$F$8:$F$10000,pb_location_group_id,'[1]1_group_totals'!$G$8:$G$10000,pb_location_id,'[1]1_group_totals'!$H$8:$H$10000,"="&amp;Q54,'[1]1_group_totals'!$I$8:$I$10000,"="&amp;R54)+SUMIFS('[1]1_group_totals'!$P$8:$P$10000,'[1]1_group_totals'!$C$8:$C$10000,I54,'[1]1_group_totals'!$F$8:$F$10000,pb_location_group_id,'[1]1_group_totals'!$G$8:$G$10000,pb_location_id,'[1]1_group_totals'!$H$8:$H$10000,"="&amp;Q54,'[1]1_group_totals'!$I$8:$I$10000,"="&amp;R54)+SUMIFS('[1]1_group_totals'!$Q$8:$Q$10000,'[1]1_group_totals'!$C$8:$C$10000,I54,'[1]1_group_totals'!$F$8:$F$10000,pb_location_group_id,'[1]1_group_totals'!$G$8:$G$10000,pb_location_id,'[1]1_group_totals'!$H$8:$H$10000,"="&amp;Q54,'[1]1_group_totals'!$I$8:$I$10000,"="&amp;R54))+(SUMIFS('[1]1_group_totals'!$L$8:$L$10000,'[1]1_group_totals'!$C$8:$C$10000,I54,'[1]1_group_totals'!$F$8:$F$10000,pb_location_group_id,'[1]1_group_totals'!$G$8:$G$10000,pb_location_id,'[1]1_group_totals'!$H$8:$H$10000,"="&amp;Q54,'[1]1_group_totals'!$I$8:$I$10000,"="&amp;R54)+SUMIFS('[1]1_group_totals'!$M$8:$M$10000,'[1]1_group_totals'!$C$8:$C$10000,I54,'[1]1_group_totals'!$F$8:$F$10000,pb_location_group_id,'[1]1_group_totals'!$G$8:$G$10000,pb_location_id,'[1]1_group_totals'!$H$8:$H$10000,"="&amp;Q54,'[1]1_group_totals'!$I$8:$I$10000,"="&amp;R54)+SUMIFS('[1]1_group_totals'!$O$8:$O$10000,'[1]1_group_totals'!$C$8:$C$10000,I54,'[1]1_group_totals'!$F$8:$F$10000,pb_location_group_id,'[1]1_group_totals'!$G$8:$G$10000,pb_location_id,'[1]1_group_totals'!$H$8:$H$10000,"="&amp;Q54,'[1]1_group_totals'!$I$8:$I$10000,"="&amp;R54)+SUMIFS('[1]1_group_totals'!$R$8:$R$10000,'[1]1_group_totals'!$C$8:$C$10000,I54,'[1]1_group_totals'!$F$8:$F$10000,pb_location_group_id,'[1]1_group_totals'!$G$8:$G$10000,pb_location_id,'[1]1_group_totals'!$H$8:$H$10000,"="&amp;Q54,'[1]1_group_totals'!$I$8:$I$10000,"="&amp;R54)))</f>
        <v/>
      </c>
    </row>
    <row r="55" spans="1:46" ht="27" hidden="1" customHeight="1">
      <c r="A55" s="923"/>
      <c r="B55" s="1028"/>
      <c r="C55" s="950"/>
      <c r="D55" s="950"/>
      <c r="E55" s="950"/>
      <c r="F55" s="1029"/>
      <c r="G55" s="941"/>
      <c r="H55" s="1070"/>
      <c r="I55" s="1610" t="str">
        <f t="shared" si="8"/>
        <v/>
      </c>
      <c r="J55" s="1631" t="str">
        <f t="shared" si="25"/>
        <v/>
      </c>
      <c r="K55" s="1628"/>
      <c r="L55" s="1632"/>
      <c r="M55" s="1069"/>
      <c r="N55" s="1044"/>
      <c r="O55" s="1044"/>
      <c r="P55" s="1046"/>
      <c r="Q55" s="1047"/>
      <c r="R55" s="1053"/>
      <c r="S55" s="1634" t="str">
        <f t="shared" ref="S55" si="158">IF(M55="","",pb_currency_symbol)</f>
        <v/>
      </c>
      <c r="T55" s="1068"/>
      <c r="U55" s="1636" t="str">
        <f t="shared" si="10"/>
        <v/>
      </c>
      <c r="V55" s="1634" t="str">
        <f t="shared" ref="V55" si="159">IF(W55=0,"",pb_currency_symbol)</f>
        <v/>
      </c>
      <c r="W55" s="1054"/>
      <c r="X55" s="1634" t="str">
        <f t="shared" ref="X55" si="160">IF(M55="","",pb_currency_symbol)</f>
        <v/>
      </c>
      <c r="Y55" s="1638" t="str">
        <f t="shared" si="24"/>
        <v/>
      </c>
      <c r="Z55" s="1062"/>
      <c r="AA55" s="1639" t="str" cm="1">
        <f t="array" ref="AA55">IF(M55="","",IF(P55=AL55,1,Slookup(MID(AL55,1,3)*1,UomConversion!$D$8:$J$500,5,UomConversion!$E$8:$E$500,MID(P55,1,3)*1,UomConversion!$J$8:$J$500,1)))</f>
        <v/>
      </c>
      <c r="AB55" s="1640" t="str">
        <f t="shared" si="13"/>
        <v/>
      </c>
      <c r="AC55" s="1641" t="str">
        <f t="shared" si="14"/>
        <v/>
      </c>
      <c r="AD55" s="1642" t="str">
        <f t="shared" si="15"/>
        <v/>
      </c>
      <c r="AE55" s="1643" t="str">
        <f t="shared" si="16"/>
        <v/>
      </c>
      <c r="AF55" s="1640" t="str">
        <f>IF(I55="","",IF(ISNA(MATCH(I55,IF(pb_location_id=1,'[1]1_inventory_totals'!$C$8:$C$10000,IF(pb_location_id=2,'[1]2_inventory_totals'!$C$8:$C$10000,"")),0)),0,IF(AS55&gt;0,1,0)))</f>
        <v/>
      </c>
      <c r="AG55" s="1640" t="str">
        <f>IF(M55="","",IF(pb_location_id=1,SUMIFS('[1]1_inventory_total_details'!$J$8:$J$10000,'[1]1_inventory_total_details'!$C$8:$C$10000,I55,'[1]1_inventory_total_details'!$F$8:$F$10000,pb_location_id,'[1]1_inventory_total_details'!$G$8:$G$10000,"="&amp;Q55,'[1]1_inventory_total_details'!$H$8:$H$10000,"="&amp;R55,'[1]1_inventory_total_details'!$I$8:$I$10000,"="&amp;pb_date)+SUMIFS('[1]1_inventory_total_details'!$M$8:$M$10000,'[1]1_inventory_total_details'!$C$8:$C$10000,I55,'[1]1_inventory_total_details'!$F$8:$F$10000,pb_location_id,'[1]1_inventory_total_details'!$G$8:$G$10000,"="&amp;Q55,'[1]1_inventory_total_details'!$H$8:$H$10000,"="&amp;R55,'[1]1_inventory_total_details'!$I$8:$I$10000,"="&amp;pb_date)+SUMIFS('[1]1_inventory_total_details'!$K$8:$K$10000,'[1]1_inventory_total_details'!$C$8:$C$10000,I55,'[1]1_inventory_total_details'!$F$8:$F$10000,pb_location_id,'[1]1_inventory_total_details'!$G$8:$G$10000,"="&amp;Q55,'[1]1_inventory_total_details'!$H$8:$H$10000,"="&amp;R55,'[1]1_inventory_total_details'!$I$8:$I$10000,"="&amp;pb_date)+SUMIFS('[1]1_inventory_total_details'!$L$8:$L$10000,'[1]1_inventory_total_details'!$C$8:$C$10000,I55,'[1]1_inventory_total_details'!$F$8:$F$10000,pb_location_id,'[1]1_inventory_total_details'!$G$8:$G$10000,"="&amp;Q55,'[1]1_inventory_total_details'!$H$8:$H$10000,"="&amp;R55,'[1]1_inventory_total_details'!$I$8:$I$10000,"="&amp;pb_date),SUMIFS('[1]2_inventory_total_details'!$J$8:$J$10000,'[1]2_inventory_total_details'!$C$8:$C$10000,I55,'[1]1_inventory_total_details'!$F$8:$F$10000,pb_location_id,'[1]2_inventory_total_details'!$G$8:$G$10000,"="&amp;Q55,'[1]2_inventory_total_details'!$H$8:$H$10000,"="&amp;R55,'[1]2_inventory_total_details'!$I$8:$I$10000,"="&amp;pb_date)+SUMIFS('[1]2_inventory_total_details'!$M$8:$M$10000,'[1]2_inventory_total_details'!$C$8:$C$10000,I55,'[1]2_inventory_total_details'!$F$8:$F$10000,pb_location_id,'[1]2_inventory_total_details'!$G$8:$G$10000,"="&amp;Q55,'[1]2_inventory_total_details'!$H$8:$H$10000,"="&amp;R55,'[1]2_inventory_total_details'!$I$8:$I$10000,"="&amp;pb_date)+SUMIFS('[1]2_inventory_total_details'!$K$8:$K$10000,'[1]2_inventory_total_details'!$C$8:$C$10000,I55,'[1]2_inventory_total_details'!$F$8:$F$10000,pb_location_id,'[1]2_inventory_total_details'!$G$8:$G$10000,"="&amp;Q55,'[1]2_inventory_total_details'!$H$8:$H$10000,"="&amp;R55,'[1]2_inventory_total_details'!$I$8:$I$10000,"="&amp;pb_date)+SUMIFS('[1]2_inventory_total_details'!$L$8:$L$10000,'[1]2_inventory_total_details'!$C$8:$C$10000,I55,'[1]2_inventory_total_details'!$F$8:$F$10000,pb_location_id,'[1]2_inventory_total_details'!$G$8:$G$10000,"="&amp;Q55,'[1]2_inventory_total_details'!$H$8:$H$10000,"="&amp;R55,'[1]2_inventory_total_details'!$I$8:$I$10000,"="&amp;pb_date)))</f>
        <v/>
      </c>
      <c r="AH55" s="1640" t="str">
        <f>IF(M55="","",IF(ISNA(MATCH(I55,'[1]1_group_totals'!$C$8:$C$10000)),0,IF(AT55&gt;0,1,0)))</f>
        <v/>
      </c>
      <c r="AI55" s="1640" t="str">
        <f>IF(M55="","",(SUMIFS('[1]1_group_total_details'!$I$8:$I$10000,'[1]1_group_total_details'!$C$8:$C$10000,I55,'[1]1_group_total_details'!$F$8:$F$10000,pb_location_group_id,'[1]1_group_total_details'!$G$8:$G$10000,pb_location_id,'[1]1_group_total_details'!$H$8:$H$10000,"="&amp;pb_date)+SUMIFS('[1]1_group_total_details'!$L$8:$L$10000,'[1]1_group_total_details'!$C$8:$C$10000,I55,'[1]1_group_total_details'!$F$8:$F$10000,pb_location_group_id,'[1]1_group_total_details'!$G$8:$G$10000,pb_location_id,'[1]1_group_total_details'!$H$8:$H$10000,"="&amp;pb_date)+SUMIFS('[1]1_group_total_details'!$N$8:$N$10000,'[1]1_group_total_details'!$C$8:$C$10000,I55,'[1]1_group_total_details'!$F$8:$F$10000,pb_location_group_id,'[1]1_group_total_details'!$G$8:$G$10000,pb_location_id,'[1]1_group_total_details'!$H$8:$H$10000,"="&amp;pb_date)+SUMIFS('[1]1_group_total_details'!$O$8:$O$10000,'[1]1_group_total_details'!$C$8:$C$10000,I55,'[1]1_group_total_details'!$F$8:$F$10000,pb_location_group_id,'[1]1_group_total_details'!$G$8:$G$10000,pb_location_id,'[1]1_group_total_details'!$H$8:$H$10000,"="&amp;pb_date))+(SUMIFS('[1]1_group_total_details'!$J$8:$J$10000,'[1]1_group_total_details'!$C$8:$C$10000,I55,'[1]1_group_total_details'!$F$8:$F$10000,pb_location_group_id,'[1]1_group_total_details'!$G$8:$G$10000,pb_location_id,'[1]1_group_total_details'!$H$8:$H$10000,"="&amp;pb_date)+SUMIFS('[1]1_group_total_details'!$K$8:$K$10000,'[1]1_group_total_details'!$C$8:$C$10000,I55,'[1]1_group_total_details'!$F$8:$F$10000,pb_location_group_id,'[1]1_group_total_details'!$G$8:$G$10000,pb_location_id,'[1]1_group_total_details'!$H$8:$H$10000,"="&amp;pb_date)+SUMIFS('[1]1_group_total_details'!$M$8:$M$10000,'[1]1_group_total_details'!$C$8:$C$10000,I55,'[1]1_group_total_details'!$F$8:$F$10000,pb_location_group_id,'[1]1_group_total_details'!$G$8:$G$10000,pb_location_id,'[1]1_group_total_details'!$H$8:$H$10000,"="&amp;pb_date)+SUMIFS('[1]1_group_total_details'!$P$8:$P$10000,'[1]1_group_total_details'!$C$8:$C$10000,I55,'[1]1_group_total_details'!$F$8:$F$10000,pb_location_group_id,'[1]1_group_total_details'!$G$8:$G$10000,pb_location_id,'[1]1_group_total_details'!$H$8:$H$10000,"="&amp;pb_date)))</f>
        <v/>
      </c>
      <c r="AJ55" s="1640" t="str">
        <f>IF(M55="","",IF(AK55=0,0,(SUMIFS('[1]1_group_total_details'!$I$8:$I$10000,'[1]1_group_total_details'!$C$8:$C$10000,I55,'[1]1_group_total_details'!$F$8:$F$10000,pb_location_group_id,'[1]1_group_total_details'!$G$8:$G$10000,pb_location_id,'[1]1_group_total_details'!$H$8:$H$10000,"&lt;="&amp;pb_date)+SUMIFS('[1]1_group_total_details'!$L$8:$L$10000,'[1]1_group_total_details'!$C$8:$C$10000,I55,'[1]1_group_total_details'!$F$8:$F$10000,pb_location_group_id,'[1]1_group_total_details'!$G$8:$G$10000,pb_location_id,'[1]1_group_total_details'!$H$8:$H$10000,"&lt;="&amp;pb_date)+SUMIFS('[1]1_group_total_details'!$N$8:$N$10000,'[1]1_group_total_details'!$C$8:$C$10000,I55,'[1]1_group_total_details'!$F$8:$F$10000,pb_location_group_id,'[1]1_group_total_details'!$G$8:$G$10000,pb_location_id,'[1]1_group_total_details'!$H$8:$H$10000,"&lt;="&amp;pb_date)+SUMIFS('[1]1_group_total_details'!$O$8:$O$10000,'[1]1_group_total_details'!$C$8:$C$10000,I55,'[1]1_group_total_details'!$F$8:$F$10000,pb_location_group_id,'[1]1_group_total_details'!$G$8:$G$10000,pb_location_id,'[1]1_group_total_details'!$H$8:$H$10000,"&lt;="&amp;pb_date))-(SUMIFS('[1]1_group_total_details'!$J$8:$J$10000,'[1]1_group_total_details'!$C$8:$C$10000,I55,'[1]1_group_total_details'!$F$8:$F$10000,pb_location_group_id,'[1]1_group_total_details'!$G$8:$G$10000,pb_location_id,'[1]1_group_total_details'!$H$8:$H$10000,"&lt;="&amp;pb_date)+SUMIFS('[1]1_group_total_details'!$K$8:$K$10000,'[1]1_group_total_details'!$C$8:$C$10000,I55,'[1]1_group_total_details'!$F$8:$F$10000,pb_location_group_id,'[1]1_group_total_details'!$G$8:$G$10000,invoice_location_id,'[1]1_group_total_details'!$H$8:$H$10000,"&lt;="&amp;pb_date)+SUMIFS('[1]1_group_total_details'!$M$8:$M$10000,'[1]1_group_total_details'!$C$8:$C$10000,I55,'[1]1_group_total_details'!$F$8:$F$10000,pb_location_group_id,'[1]1_group_total_details'!$G$8:$G$10000,pb_location_id,'[1]1_group_total_details'!$H$8:$H$10000,"&lt;="&amp;pb_date)+SUMIFS('[1]1_group_total_details'!$P$8:$P$10000,'[1]1_group_total_details'!$C$8:$C$10000,I55,'[1]1_group_total_details'!$F$8:$F$10000,pb_location_group_id,'[1]1_group_total_details'!$G$8:$G$10000,pb_location_id,'[1]1_group_total_details'!$H$8:$H$10000,"&lt;="&amp;pb_date))))</f>
        <v/>
      </c>
      <c r="AK55" s="1640" t="str">
        <f>IF(M55="","",SUMIFS('[1]1_group_totals'!$J$8:$J$10000,'[1]1_group_totals'!$C$8:$C$10000,I55,'[1]1_group_totals'!$F$8:$F$10000,pb_location_group_id,'[1]1_group_totals'!$G$8:$G$10000,pb_location_id,'[1]1_group_totals'!$H$8:$H$10000,"="&amp;Q55,'[1]1_group_totals'!$I$8:$I$10000,"="&amp;R55))</f>
        <v/>
      </c>
      <c r="AL55" s="1644" t="str">
        <f t="shared" si="17"/>
        <v/>
      </c>
      <c r="AM55" s="1644" t="str">
        <f>IF(OR(ISNA(MATCH(MID(AL55,1,3)*1,UomConversion!$D$8:$D$500,0)),M55=""),"",IF(AQ55="","",AQ55))</f>
        <v/>
      </c>
      <c r="AN55" s="1644" t="str">
        <f>IF(AND(AO55&gt;0,COUNTIFS(UomConversion!$D$8:$D$500,MID(AL55,1,3)*1,UomConversion!$J$8:$J$500,1)&gt;1),TEXT(AO55,"000")&amp;"."&amp;VLOOKUP(AO55,uom_list,5,FALSE),"")</f>
        <v/>
      </c>
      <c r="AO55" s="1640" t="str">
        <f t="shared" si="18"/>
        <v/>
      </c>
      <c r="AP55" s="1645" t="str">
        <f t="shared" si="19"/>
        <v/>
      </c>
      <c r="AQ55" s="491" t="str">
        <f t="shared" si="20"/>
        <v/>
      </c>
      <c r="AR55" s="1281" t="str" cm="1">
        <f t="array" ref="AR55">IF(M55="","",IF(ISNA(Slookup(MID(AL55,1,3)*1,UomConversion!$D$8:$J$500,2,UomConversion!$I$8:$I$500,1,UomConversion!$J$8:$J$500,1)),"",Slookup(MID(AL55,1,3)*1,UomConversion!$D$8:$J$500,2,UomConversion!$I$8:$I$500,1,UomConversion!$J$8:$J$500,1)))</f>
        <v/>
      </c>
      <c r="AS55" s="663" t="str">
        <f>IF(M55="","",(SUMIFS('[1]1_inventory_totals'!$I$8:$I$10000,'[1]1_inventory_totals'!$C$8:$C$10000,I55,'[1]1_inventory_totals'!$F$8:$F$10000,"="&amp;Q55,'[1]1_inventory_totals'!$G$8:$G$10000,"="&amp;R55)+SUMIFS('[1]1_inventory_totals'!$N$8:$N$10000,'[1]1_inventory_totals'!$C$8:$C$10000,I55,'[1]1_inventory_totals'!$F$8:$F$10000,"="&amp;Q55,'[1]1_inventory_totals'!$G$8:$G$10000,"="&amp;R55)+SUMIFS('[1]1_inventory_totals'!$P$8:$P$10000,'[1]1_inventory_totals'!$C$8:$C$10000,I55,'[1]1_inventory_totals'!$F$8:$F$10000,"="&amp;Q55,'[1]1_inventory_totals'!$G$8:$G$10000,"="&amp;R55)+SUMIFS('[1]1_inventory_totals'!$Q$8:$Q$10000,'[1]1_inventory_totals'!$C$8:$C$10000,I55,'[1]1_inventory_totals'!$F$8:$F$10000,"="&amp;Q55,'[1]1_inventory_totals'!$G$8:$G$10000,"="&amp;R55)+SUMIFS('[1]1_inventory_totals'!$R$8:$R$10000,'[1]1_inventory_totals'!$C$8:$C$10000,I55,'[1]1_inventory_totals'!$F$8:$F$10000,"="&amp;Q55,'[1]1_inventory_totals'!$G$8:$G$10000,"="&amp;R55))+(SUMIFS('[1]1_inventory_totals'!$J$8:$J$10000,'[1]1_inventory_totals'!$C$8:$C$10000,I55,'[1]1_inventory_totals'!$F$8:$F$10000,"="&amp;Q55,'[1]1_inventory_totals'!$G$8:$G$10000,"="&amp;R55)+SUMIFS('[1]1_inventory_totals'!$K$8:$K$10000,'[1]1_inventory_totals'!$C$8:$C$10000,I55,'[1]1_inventory_totals'!$F$8:$F$10000,"="&amp;Q55,'[1]1_inventory_totals'!$G$8:$G$10000,"="&amp;R55)+SUMIFS('[1]1_inventory_totals'!$L$8:$L$10000,'[1]1_inventory_totals'!$C$8:$C$10000,I55,'[1]1_inventory_totals'!$F$8:$F$10000,"="&amp;Q55,'[1]1_inventory_totals'!$G$8:$G$10000,"="&amp;R55)+SUMIFS('[1]1_inventory_totals'!$M$8:$M$10000,'[1]1_inventory_totals'!$C$8:$C$10000,I55,'[1]1_inventory_totals'!$F$8:$F$10000,"="&amp;Q55,'[1]1_inventory_totals'!$G$8:$G$10000,"="&amp;R55)+SUMIFS('[1]1_inventory_totals'!$O$8:$O$10000,'[1]1_inventory_totals'!$C$8:$C$10000,I55,'[1]1_inventory_totals'!$F$8:$F$10000,"="&amp;Q55,'[1]1_inventory_totals'!$G$8:$G$10000,"="&amp;R55)+SUMIFS('[1]1_inventory_totals'!$S$8:$S$10000,'[1]1_inventory_totals'!$C$8:$C$10000,I55,'[1]1_inventory_totals'!$F$8:$F$10000,"="&amp;Q55,'[1]1_inventory_totals'!$G$8:$G$10000,"="&amp;R55)))</f>
        <v/>
      </c>
      <c r="AT55" s="1281" t="str">
        <f>IF(M55="","",(SUMIFS('[1]1_group_totals'!$K$8:$K$10000,'[1]1_group_totals'!$C$8:$C$10000,I55,'[1]1_group_totals'!$F$8:$F$10000,pb_location_group_id,'[1]1_group_totals'!$G$8:$G$10000,pb_location_id,'[1]1_group_totals'!$H$8:$H$10000,"="&amp;Q55,'[1]1_group_totals'!$I$8:$I$10000,"="&amp;R55)+SUMIFS('[1]1_group_totals'!$N$8:$N$10000,'[1]1_group_totals'!$C$8:$C$10000,I55,'[1]1_group_totals'!$F$8:$F$10000,pb_location_group_id,'[1]1_group_totals'!$G$8:$G$10000,pb_location_id,'[1]1_group_totals'!$H$8:$H$10000,"="&amp;Q55,'[1]1_group_totals'!$I$8:$I$10000,"="&amp;R55)+SUMIFS('[1]1_group_totals'!$P$8:$P$10000,'[1]1_group_totals'!$C$8:$C$10000,I55,'[1]1_group_totals'!$F$8:$F$10000,pb_location_group_id,'[1]1_group_totals'!$G$8:$G$10000,pb_location_id,'[1]1_group_totals'!$H$8:$H$10000,"="&amp;Q55,'[1]1_group_totals'!$I$8:$I$10000,"="&amp;R55)+SUMIFS('[1]1_group_totals'!$Q$8:$Q$10000,'[1]1_group_totals'!$C$8:$C$10000,I55,'[1]1_group_totals'!$F$8:$F$10000,pb_location_group_id,'[1]1_group_totals'!$G$8:$G$10000,pb_location_id,'[1]1_group_totals'!$H$8:$H$10000,"="&amp;Q55,'[1]1_group_totals'!$I$8:$I$10000,"="&amp;R55))+(SUMIFS('[1]1_group_totals'!$L$8:$L$10000,'[1]1_group_totals'!$C$8:$C$10000,I55,'[1]1_group_totals'!$F$8:$F$10000,pb_location_group_id,'[1]1_group_totals'!$G$8:$G$10000,pb_location_id,'[1]1_group_totals'!$H$8:$H$10000,"="&amp;Q55,'[1]1_group_totals'!$I$8:$I$10000,"="&amp;R55)+SUMIFS('[1]1_group_totals'!$M$8:$M$10000,'[1]1_group_totals'!$C$8:$C$10000,I55,'[1]1_group_totals'!$F$8:$F$10000,pb_location_group_id,'[1]1_group_totals'!$G$8:$G$10000,pb_location_id,'[1]1_group_totals'!$H$8:$H$10000,"="&amp;Q55,'[1]1_group_totals'!$I$8:$I$10000,"="&amp;R55)+SUMIFS('[1]1_group_totals'!$O$8:$O$10000,'[1]1_group_totals'!$C$8:$C$10000,I55,'[1]1_group_totals'!$F$8:$F$10000,pb_location_group_id,'[1]1_group_totals'!$G$8:$G$10000,pb_location_id,'[1]1_group_totals'!$H$8:$H$10000,"="&amp;Q55,'[1]1_group_totals'!$I$8:$I$10000,"="&amp;R55)+SUMIFS('[1]1_group_totals'!$R$8:$R$10000,'[1]1_group_totals'!$C$8:$C$10000,I55,'[1]1_group_totals'!$F$8:$F$10000,pb_location_group_id,'[1]1_group_totals'!$G$8:$G$10000,pb_location_id,'[1]1_group_totals'!$H$8:$H$10000,"="&amp;Q55,'[1]1_group_totals'!$I$8:$I$10000,"="&amp;R55)))</f>
        <v/>
      </c>
    </row>
    <row r="56" spans="1:46" ht="27" hidden="1" customHeight="1">
      <c r="A56" s="923"/>
      <c r="B56" s="1028"/>
      <c r="C56" s="950"/>
      <c r="D56" s="950"/>
      <c r="E56" s="950"/>
      <c r="F56" s="1029"/>
      <c r="G56" s="941"/>
      <c r="H56" s="1070"/>
      <c r="I56" s="1610" t="str">
        <f t="shared" si="8"/>
        <v/>
      </c>
      <c r="J56" s="1631" t="str">
        <f t="shared" si="25"/>
        <v/>
      </c>
      <c r="K56" s="1628"/>
      <c r="L56" s="1632"/>
      <c r="M56" s="1069"/>
      <c r="N56" s="1044"/>
      <c r="O56" s="1044"/>
      <c r="P56" s="1046"/>
      <c r="Q56" s="1047"/>
      <c r="R56" s="1053"/>
      <c r="S56" s="1634" t="str">
        <f t="shared" ref="S56" si="161">IF(M56="","",pb_currency_symbol)</f>
        <v/>
      </c>
      <c r="T56" s="1068"/>
      <c r="U56" s="1636" t="str">
        <f t="shared" si="10"/>
        <v/>
      </c>
      <c r="V56" s="1634" t="str">
        <f t="shared" ref="V56" si="162">IF(W56=0,"",pb_currency_symbol)</f>
        <v/>
      </c>
      <c r="W56" s="1054"/>
      <c r="X56" s="1634" t="str">
        <f t="shared" ref="X56" si="163">IF(M56="","",pb_currency_symbol)</f>
        <v/>
      </c>
      <c r="Y56" s="1638" t="str">
        <f t="shared" si="24"/>
        <v/>
      </c>
      <c r="Z56" s="1062"/>
      <c r="AA56" s="1639" t="str" cm="1">
        <f t="array" ref="AA56">IF(M56="","",IF(P56=AL56,1,Slookup(MID(AL56,1,3)*1,UomConversion!$D$8:$J$500,5,UomConversion!$E$8:$E$500,MID(P56,1,3)*1,UomConversion!$J$8:$J$500,1)))</f>
        <v/>
      </c>
      <c r="AB56" s="1640" t="str">
        <f t="shared" si="13"/>
        <v/>
      </c>
      <c r="AC56" s="1641" t="str">
        <f t="shared" si="14"/>
        <v/>
      </c>
      <c r="AD56" s="1642" t="str">
        <f t="shared" si="15"/>
        <v/>
      </c>
      <c r="AE56" s="1643" t="str">
        <f t="shared" si="16"/>
        <v/>
      </c>
      <c r="AF56" s="1640" t="str">
        <f>IF(I56="","",IF(ISNA(MATCH(I56,IF(pb_location_id=1,'[1]1_inventory_totals'!$C$8:$C$10000,IF(pb_location_id=2,'[1]2_inventory_totals'!$C$8:$C$10000,"")),0)),0,IF(AS56&gt;0,1,0)))</f>
        <v/>
      </c>
      <c r="AG56" s="1640" t="str">
        <f>IF(M56="","",IF(pb_location_id=1,SUMIFS('[1]1_inventory_total_details'!$J$8:$J$10000,'[1]1_inventory_total_details'!$C$8:$C$10000,I56,'[1]1_inventory_total_details'!$F$8:$F$10000,pb_location_id,'[1]1_inventory_total_details'!$G$8:$G$10000,"="&amp;Q56,'[1]1_inventory_total_details'!$H$8:$H$10000,"="&amp;R56,'[1]1_inventory_total_details'!$I$8:$I$10000,"="&amp;pb_date)+SUMIFS('[1]1_inventory_total_details'!$M$8:$M$10000,'[1]1_inventory_total_details'!$C$8:$C$10000,I56,'[1]1_inventory_total_details'!$F$8:$F$10000,pb_location_id,'[1]1_inventory_total_details'!$G$8:$G$10000,"="&amp;Q56,'[1]1_inventory_total_details'!$H$8:$H$10000,"="&amp;R56,'[1]1_inventory_total_details'!$I$8:$I$10000,"="&amp;pb_date)+SUMIFS('[1]1_inventory_total_details'!$K$8:$K$10000,'[1]1_inventory_total_details'!$C$8:$C$10000,I56,'[1]1_inventory_total_details'!$F$8:$F$10000,pb_location_id,'[1]1_inventory_total_details'!$G$8:$G$10000,"="&amp;Q56,'[1]1_inventory_total_details'!$H$8:$H$10000,"="&amp;R56,'[1]1_inventory_total_details'!$I$8:$I$10000,"="&amp;pb_date)+SUMIFS('[1]1_inventory_total_details'!$L$8:$L$10000,'[1]1_inventory_total_details'!$C$8:$C$10000,I56,'[1]1_inventory_total_details'!$F$8:$F$10000,pb_location_id,'[1]1_inventory_total_details'!$G$8:$G$10000,"="&amp;Q56,'[1]1_inventory_total_details'!$H$8:$H$10000,"="&amp;R56,'[1]1_inventory_total_details'!$I$8:$I$10000,"="&amp;pb_date),SUMIFS('[1]2_inventory_total_details'!$J$8:$J$10000,'[1]2_inventory_total_details'!$C$8:$C$10000,I56,'[1]1_inventory_total_details'!$F$8:$F$10000,pb_location_id,'[1]2_inventory_total_details'!$G$8:$G$10000,"="&amp;Q56,'[1]2_inventory_total_details'!$H$8:$H$10000,"="&amp;R56,'[1]2_inventory_total_details'!$I$8:$I$10000,"="&amp;pb_date)+SUMIFS('[1]2_inventory_total_details'!$M$8:$M$10000,'[1]2_inventory_total_details'!$C$8:$C$10000,I56,'[1]2_inventory_total_details'!$F$8:$F$10000,pb_location_id,'[1]2_inventory_total_details'!$G$8:$G$10000,"="&amp;Q56,'[1]2_inventory_total_details'!$H$8:$H$10000,"="&amp;R56,'[1]2_inventory_total_details'!$I$8:$I$10000,"="&amp;pb_date)+SUMIFS('[1]2_inventory_total_details'!$K$8:$K$10000,'[1]2_inventory_total_details'!$C$8:$C$10000,I56,'[1]2_inventory_total_details'!$F$8:$F$10000,pb_location_id,'[1]2_inventory_total_details'!$G$8:$G$10000,"="&amp;Q56,'[1]2_inventory_total_details'!$H$8:$H$10000,"="&amp;R56,'[1]2_inventory_total_details'!$I$8:$I$10000,"="&amp;pb_date)+SUMIFS('[1]2_inventory_total_details'!$L$8:$L$10000,'[1]2_inventory_total_details'!$C$8:$C$10000,I56,'[1]2_inventory_total_details'!$F$8:$F$10000,pb_location_id,'[1]2_inventory_total_details'!$G$8:$G$10000,"="&amp;Q56,'[1]2_inventory_total_details'!$H$8:$H$10000,"="&amp;R56,'[1]2_inventory_total_details'!$I$8:$I$10000,"="&amp;pb_date)))</f>
        <v/>
      </c>
      <c r="AH56" s="1640" t="str">
        <f>IF(M56="","",IF(ISNA(MATCH(I56,'[1]1_group_totals'!$C$8:$C$10000)),0,IF(AT56&gt;0,1,0)))</f>
        <v/>
      </c>
      <c r="AI56" s="1640" t="str">
        <f>IF(M56="","",(SUMIFS('[1]1_group_total_details'!$I$8:$I$10000,'[1]1_group_total_details'!$C$8:$C$10000,I56,'[1]1_group_total_details'!$F$8:$F$10000,pb_location_group_id,'[1]1_group_total_details'!$G$8:$G$10000,pb_location_id,'[1]1_group_total_details'!$H$8:$H$10000,"="&amp;pb_date)+SUMIFS('[1]1_group_total_details'!$L$8:$L$10000,'[1]1_group_total_details'!$C$8:$C$10000,I56,'[1]1_group_total_details'!$F$8:$F$10000,pb_location_group_id,'[1]1_group_total_details'!$G$8:$G$10000,pb_location_id,'[1]1_group_total_details'!$H$8:$H$10000,"="&amp;pb_date)+SUMIFS('[1]1_group_total_details'!$N$8:$N$10000,'[1]1_group_total_details'!$C$8:$C$10000,I56,'[1]1_group_total_details'!$F$8:$F$10000,pb_location_group_id,'[1]1_group_total_details'!$G$8:$G$10000,pb_location_id,'[1]1_group_total_details'!$H$8:$H$10000,"="&amp;pb_date)+SUMIFS('[1]1_group_total_details'!$O$8:$O$10000,'[1]1_group_total_details'!$C$8:$C$10000,I56,'[1]1_group_total_details'!$F$8:$F$10000,pb_location_group_id,'[1]1_group_total_details'!$G$8:$G$10000,pb_location_id,'[1]1_group_total_details'!$H$8:$H$10000,"="&amp;pb_date))+(SUMIFS('[1]1_group_total_details'!$J$8:$J$10000,'[1]1_group_total_details'!$C$8:$C$10000,I56,'[1]1_group_total_details'!$F$8:$F$10000,pb_location_group_id,'[1]1_group_total_details'!$G$8:$G$10000,pb_location_id,'[1]1_group_total_details'!$H$8:$H$10000,"="&amp;pb_date)+SUMIFS('[1]1_group_total_details'!$K$8:$K$10000,'[1]1_group_total_details'!$C$8:$C$10000,I56,'[1]1_group_total_details'!$F$8:$F$10000,pb_location_group_id,'[1]1_group_total_details'!$G$8:$G$10000,pb_location_id,'[1]1_group_total_details'!$H$8:$H$10000,"="&amp;pb_date)+SUMIFS('[1]1_group_total_details'!$M$8:$M$10000,'[1]1_group_total_details'!$C$8:$C$10000,I56,'[1]1_group_total_details'!$F$8:$F$10000,pb_location_group_id,'[1]1_group_total_details'!$G$8:$G$10000,pb_location_id,'[1]1_group_total_details'!$H$8:$H$10000,"="&amp;pb_date)+SUMIFS('[1]1_group_total_details'!$P$8:$P$10000,'[1]1_group_total_details'!$C$8:$C$10000,I56,'[1]1_group_total_details'!$F$8:$F$10000,pb_location_group_id,'[1]1_group_total_details'!$G$8:$G$10000,pb_location_id,'[1]1_group_total_details'!$H$8:$H$10000,"="&amp;pb_date)))</f>
        <v/>
      </c>
      <c r="AJ56" s="1640" t="str">
        <f>IF(M56="","",IF(AK56=0,0,(SUMIFS('[1]1_group_total_details'!$I$8:$I$10000,'[1]1_group_total_details'!$C$8:$C$10000,I56,'[1]1_group_total_details'!$F$8:$F$10000,pb_location_group_id,'[1]1_group_total_details'!$G$8:$G$10000,pb_location_id,'[1]1_group_total_details'!$H$8:$H$10000,"&lt;="&amp;pb_date)+SUMIFS('[1]1_group_total_details'!$L$8:$L$10000,'[1]1_group_total_details'!$C$8:$C$10000,I56,'[1]1_group_total_details'!$F$8:$F$10000,pb_location_group_id,'[1]1_group_total_details'!$G$8:$G$10000,pb_location_id,'[1]1_group_total_details'!$H$8:$H$10000,"&lt;="&amp;pb_date)+SUMIFS('[1]1_group_total_details'!$N$8:$N$10000,'[1]1_group_total_details'!$C$8:$C$10000,I56,'[1]1_group_total_details'!$F$8:$F$10000,pb_location_group_id,'[1]1_group_total_details'!$G$8:$G$10000,pb_location_id,'[1]1_group_total_details'!$H$8:$H$10000,"&lt;="&amp;pb_date)+SUMIFS('[1]1_group_total_details'!$O$8:$O$10000,'[1]1_group_total_details'!$C$8:$C$10000,I56,'[1]1_group_total_details'!$F$8:$F$10000,pb_location_group_id,'[1]1_group_total_details'!$G$8:$G$10000,pb_location_id,'[1]1_group_total_details'!$H$8:$H$10000,"&lt;="&amp;pb_date))-(SUMIFS('[1]1_group_total_details'!$J$8:$J$10000,'[1]1_group_total_details'!$C$8:$C$10000,I56,'[1]1_group_total_details'!$F$8:$F$10000,pb_location_group_id,'[1]1_group_total_details'!$G$8:$G$10000,pb_location_id,'[1]1_group_total_details'!$H$8:$H$10000,"&lt;="&amp;pb_date)+SUMIFS('[1]1_group_total_details'!$K$8:$K$10000,'[1]1_group_total_details'!$C$8:$C$10000,I56,'[1]1_group_total_details'!$F$8:$F$10000,pb_location_group_id,'[1]1_group_total_details'!$G$8:$G$10000,invoice_location_id,'[1]1_group_total_details'!$H$8:$H$10000,"&lt;="&amp;pb_date)+SUMIFS('[1]1_group_total_details'!$M$8:$M$10000,'[1]1_group_total_details'!$C$8:$C$10000,I56,'[1]1_group_total_details'!$F$8:$F$10000,pb_location_group_id,'[1]1_group_total_details'!$G$8:$G$10000,pb_location_id,'[1]1_group_total_details'!$H$8:$H$10000,"&lt;="&amp;pb_date)+SUMIFS('[1]1_group_total_details'!$P$8:$P$10000,'[1]1_group_total_details'!$C$8:$C$10000,I56,'[1]1_group_total_details'!$F$8:$F$10000,pb_location_group_id,'[1]1_group_total_details'!$G$8:$G$10000,pb_location_id,'[1]1_group_total_details'!$H$8:$H$10000,"&lt;="&amp;pb_date))))</f>
        <v/>
      </c>
      <c r="AK56" s="1640" t="str">
        <f>IF(M56="","",SUMIFS('[1]1_group_totals'!$J$8:$J$10000,'[1]1_group_totals'!$C$8:$C$10000,I56,'[1]1_group_totals'!$F$8:$F$10000,pb_location_group_id,'[1]1_group_totals'!$G$8:$G$10000,pb_location_id,'[1]1_group_totals'!$H$8:$H$10000,"="&amp;Q56,'[1]1_group_totals'!$I$8:$I$10000,"="&amp;R56))</f>
        <v/>
      </c>
      <c r="AL56" s="1644" t="str">
        <f t="shared" si="17"/>
        <v/>
      </c>
      <c r="AM56" s="1644" t="str">
        <f>IF(OR(ISNA(MATCH(MID(AL56,1,3)*1,UomConversion!$D$8:$D$500,0)),M56=""),"",IF(AQ56="","",AQ56))</f>
        <v/>
      </c>
      <c r="AN56" s="1644" t="str">
        <f>IF(AND(AO56&gt;0,COUNTIFS(UomConversion!$D$8:$D$500,MID(AL56,1,3)*1,UomConversion!$J$8:$J$500,1)&gt;1),TEXT(AO56,"000")&amp;"."&amp;VLOOKUP(AO56,uom_list,5,FALSE),"")</f>
        <v/>
      </c>
      <c r="AO56" s="1640" t="str">
        <f t="shared" si="18"/>
        <v/>
      </c>
      <c r="AP56" s="1645" t="str">
        <f t="shared" si="19"/>
        <v/>
      </c>
      <c r="AQ56" s="491" t="str">
        <f t="shared" si="20"/>
        <v/>
      </c>
      <c r="AR56" s="1281" t="str" cm="1">
        <f t="array" ref="AR56">IF(M56="","",IF(ISNA(Slookup(MID(AL56,1,3)*1,UomConversion!$D$8:$J$500,2,UomConversion!$I$8:$I$500,1,UomConversion!$J$8:$J$500,1)),"",Slookup(MID(AL56,1,3)*1,UomConversion!$D$8:$J$500,2,UomConversion!$I$8:$I$500,1,UomConversion!$J$8:$J$500,1)))</f>
        <v/>
      </c>
      <c r="AS56" s="663" t="str">
        <f>IF(M56="","",(SUMIFS('[1]1_inventory_totals'!$I$8:$I$10000,'[1]1_inventory_totals'!$C$8:$C$10000,I56,'[1]1_inventory_totals'!$F$8:$F$10000,"="&amp;Q56,'[1]1_inventory_totals'!$G$8:$G$10000,"="&amp;R56)+SUMIFS('[1]1_inventory_totals'!$N$8:$N$10000,'[1]1_inventory_totals'!$C$8:$C$10000,I56,'[1]1_inventory_totals'!$F$8:$F$10000,"="&amp;Q56,'[1]1_inventory_totals'!$G$8:$G$10000,"="&amp;R56)+SUMIFS('[1]1_inventory_totals'!$P$8:$P$10000,'[1]1_inventory_totals'!$C$8:$C$10000,I56,'[1]1_inventory_totals'!$F$8:$F$10000,"="&amp;Q56,'[1]1_inventory_totals'!$G$8:$G$10000,"="&amp;R56)+SUMIFS('[1]1_inventory_totals'!$Q$8:$Q$10000,'[1]1_inventory_totals'!$C$8:$C$10000,I56,'[1]1_inventory_totals'!$F$8:$F$10000,"="&amp;Q56,'[1]1_inventory_totals'!$G$8:$G$10000,"="&amp;R56)+SUMIFS('[1]1_inventory_totals'!$R$8:$R$10000,'[1]1_inventory_totals'!$C$8:$C$10000,I56,'[1]1_inventory_totals'!$F$8:$F$10000,"="&amp;Q56,'[1]1_inventory_totals'!$G$8:$G$10000,"="&amp;R56))+(SUMIFS('[1]1_inventory_totals'!$J$8:$J$10000,'[1]1_inventory_totals'!$C$8:$C$10000,I56,'[1]1_inventory_totals'!$F$8:$F$10000,"="&amp;Q56,'[1]1_inventory_totals'!$G$8:$G$10000,"="&amp;R56)+SUMIFS('[1]1_inventory_totals'!$K$8:$K$10000,'[1]1_inventory_totals'!$C$8:$C$10000,I56,'[1]1_inventory_totals'!$F$8:$F$10000,"="&amp;Q56,'[1]1_inventory_totals'!$G$8:$G$10000,"="&amp;R56)+SUMIFS('[1]1_inventory_totals'!$L$8:$L$10000,'[1]1_inventory_totals'!$C$8:$C$10000,I56,'[1]1_inventory_totals'!$F$8:$F$10000,"="&amp;Q56,'[1]1_inventory_totals'!$G$8:$G$10000,"="&amp;R56)+SUMIFS('[1]1_inventory_totals'!$M$8:$M$10000,'[1]1_inventory_totals'!$C$8:$C$10000,I56,'[1]1_inventory_totals'!$F$8:$F$10000,"="&amp;Q56,'[1]1_inventory_totals'!$G$8:$G$10000,"="&amp;R56)+SUMIFS('[1]1_inventory_totals'!$O$8:$O$10000,'[1]1_inventory_totals'!$C$8:$C$10000,I56,'[1]1_inventory_totals'!$F$8:$F$10000,"="&amp;Q56,'[1]1_inventory_totals'!$G$8:$G$10000,"="&amp;R56)+SUMIFS('[1]1_inventory_totals'!$S$8:$S$10000,'[1]1_inventory_totals'!$C$8:$C$10000,I56,'[1]1_inventory_totals'!$F$8:$F$10000,"="&amp;Q56,'[1]1_inventory_totals'!$G$8:$G$10000,"="&amp;R56)))</f>
        <v/>
      </c>
      <c r="AT56" s="1281" t="str">
        <f>IF(M56="","",(SUMIFS('[1]1_group_totals'!$K$8:$K$10000,'[1]1_group_totals'!$C$8:$C$10000,I56,'[1]1_group_totals'!$F$8:$F$10000,pb_location_group_id,'[1]1_group_totals'!$G$8:$G$10000,pb_location_id,'[1]1_group_totals'!$H$8:$H$10000,"="&amp;Q56,'[1]1_group_totals'!$I$8:$I$10000,"="&amp;R56)+SUMIFS('[1]1_group_totals'!$N$8:$N$10000,'[1]1_group_totals'!$C$8:$C$10000,I56,'[1]1_group_totals'!$F$8:$F$10000,pb_location_group_id,'[1]1_group_totals'!$G$8:$G$10000,pb_location_id,'[1]1_group_totals'!$H$8:$H$10000,"="&amp;Q56,'[1]1_group_totals'!$I$8:$I$10000,"="&amp;R56)+SUMIFS('[1]1_group_totals'!$P$8:$P$10000,'[1]1_group_totals'!$C$8:$C$10000,I56,'[1]1_group_totals'!$F$8:$F$10000,pb_location_group_id,'[1]1_group_totals'!$G$8:$G$10000,pb_location_id,'[1]1_group_totals'!$H$8:$H$10000,"="&amp;Q56,'[1]1_group_totals'!$I$8:$I$10000,"="&amp;R56)+SUMIFS('[1]1_group_totals'!$Q$8:$Q$10000,'[1]1_group_totals'!$C$8:$C$10000,I56,'[1]1_group_totals'!$F$8:$F$10000,pb_location_group_id,'[1]1_group_totals'!$G$8:$G$10000,pb_location_id,'[1]1_group_totals'!$H$8:$H$10000,"="&amp;Q56,'[1]1_group_totals'!$I$8:$I$10000,"="&amp;R56))+(SUMIFS('[1]1_group_totals'!$L$8:$L$10000,'[1]1_group_totals'!$C$8:$C$10000,I56,'[1]1_group_totals'!$F$8:$F$10000,pb_location_group_id,'[1]1_group_totals'!$G$8:$G$10000,pb_location_id,'[1]1_group_totals'!$H$8:$H$10000,"="&amp;Q56,'[1]1_group_totals'!$I$8:$I$10000,"="&amp;R56)+SUMIFS('[1]1_group_totals'!$M$8:$M$10000,'[1]1_group_totals'!$C$8:$C$10000,I56,'[1]1_group_totals'!$F$8:$F$10000,pb_location_group_id,'[1]1_group_totals'!$G$8:$G$10000,pb_location_id,'[1]1_group_totals'!$H$8:$H$10000,"="&amp;Q56,'[1]1_group_totals'!$I$8:$I$10000,"="&amp;R56)+SUMIFS('[1]1_group_totals'!$O$8:$O$10000,'[1]1_group_totals'!$C$8:$C$10000,I56,'[1]1_group_totals'!$F$8:$F$10000,pb_location_group_id,'[1]1_group_totals'!$G$8:$G$10000,pb_location_id,'[1]1_group_totals'!$H$8:$H$10000,"="&amp;Q56,'[1]1_group_totals'!$I$8:$I$10000,"="&amp;R56)+SUMIFS('[1]1_group_totals'!$R$8:$R$10000,'[1]1_group_totals'!$C$8:$C$10000,I56,'[1]1_group_totals'!$F$8:$F$10000,pb_location_group_id,'[1]1_group_totals'!$G$8:$G$10000,pb_location_id,'[1]1_group_totals'!$H$8:$H$10000,"="&amp;Q56,'[1]1_group_totals'!$I$8:$I$10000,"="&amp;R56)))</f>
        <v/>
      </c>
    </row>
    <row r="57" spans="1:46" ht="27" hidden="1" customHeight="1">
      <c r="A57" s="923"/>
      <c r="B57" s="1028"/>
      <c r="C57" s="950"/>
      <c r="D57" s="950"/>
      <c r="E57" s="950"/>
      <c r="F57" s="1029"/>
      <c r="G57" s="941"/>
      <c r="H57" s="1070"/>
      <c r="I57" s="1610" t="str">
        <f t="shared" si="8"/>
        <v/>
      </c>
      <c r="J57" s="1631" t="str">
        <f t="shared" si="25"/>
        <v/>
      </c>
      <c r="K57" s="1628"/>
      <c r="L57" s="1632"/>
      <c r="M57" s="1069"/>
      <c r="N57" s="1044"/>
      <c r="O57" s="1044"/>
      <c r="P57" s="1046"/>
      <c r="Q57" s="1047"/>
      <c r="R57" s="1053"/>
      <c r="S57" s="1634" t="str">
        <f t="shared" ref="S57" si="164">IF(M57="","",pb_currency_symbol)</f>
        <v/>
      </c>
      <c r="T57" s="1068"/>
      <c r="U57" s="1636" t="str">
        <f t="shared" si="10"/>
        <v/>
      </c>
      <c r="V57" s="1634" t="str">
        <f t="shared" ref="V57" si="165">IF(W57=0,"",pb_currency_symbol)</f>
        <v/>
      </c>
      <c r="W57" s="1054"/>
      <c r="X57" s="1634" t="str">
        <f t="shared" ref="X57" si="166">IF(M57="","",pb_currency_symbol)</f>
        <v/>
      </c>
      <c r="Y57" s="1638" t="str">
        <f t="shared" si="24"/>
        <v/>
      </c>
      <c r="Z57" s="1062"/>
      <c r="AA57" s="1639" t="str" cm="1">
        <f t="array" ref="AA57">IF(M57="","",IF(P57=AL57,1,Slookup(MID(AL57,1,3)*1,UomConversion!$D$8:$J$500,5,UomConversion!$E$8:$E$500,MID(P57,1,3)*1,UomConversion!$J$8:$J$500,1)))</f>
        <v/>
      </c>
      <c r="AB57" s="1640" t="str">
        <f t="shared" si="13"/>
        <v/>
      </c>
      <c r="AC57" s="1641" t="str">
        <f t="shared" si="14"/>
        <v/>
      </c>
      <c r="AD57" s="1642" t="str">
        <f t="shared" si="15"/>
        <v/>
      </c>
      <c r="AE57" s="1643" t="str">
        <f t="shared" si="16"/>
        <v/>
      </c>
      <c r="AF57" s="1640" t="str">
        <f>IF(I57="","",IF(ISNA(MATCH(I57,IF(pb_location_id=1,'[1]1_inventory_totals'!$C$8:$C$10000,IF(pb_location_id=2,'[1]2_inventory_totals'!$C$8:$C$10000,"")),0)),0,IF(AS57&gt;0,1,0)))</f>
        <v/>
      </c>
      <c r="AG57" s="1640" t="str">
        <f>IF(M57="","",IF(pb_location_id=1,SUMIFS('[1]1_inventory_total_details'!$J$8:$J$10000,'[1]1_inventory_total_details'!$C$8:$C$10000,I57,'[1]1_inventory_total_details'!$F$8:$F$10000,pb_location_id,'[1]1_inventory_total_details'!$G$8:$G$10000,"="&amp;Q57,'[1]1_inventory_total_details'!$H$8:$H$10000,"="&amp;R57,'[1]1_inventory_total_details'!$I$8:$I$10000,"="&amp;pb_date)+SUMIFS('[1]1_inventory_total_details'!$M$8:$M$10000,'[1]1_inventory_total_details'!$C$8:$C$10000,I57,'[1]1_inventory_total_details'!$F$8:$F$10000,pb_location_id,'[1]1_inventory_total_details'!$G$8:$G$10000,"="&amp;Q57,'[1]1_inventory_total_details'!$H$8:$H$10000,"="&amp;R57,'[1]1_inventory_total_details'!$I$8:$I$10000,"="&amp;pb_date)+SUMIFS('[1]1_inventory_total_details'!$K$8:$K$10000,'[1]1_inventory_total_details'!$C$8:$C$10000,I57,'[1]1_inventory_total_details'!$F$8:$F$10000,pb_location_id,'[1]1_inventory_total_details'!$G$8:$G$10000,"="&amp;Q57,'[1]1_inventory_total_details'!$H$8:$H$10000,"="&amp;R57,'[1]1_inventory_total_details'!$I$8:$I$10000,"="&amp;pb_date)+SUMIFS('[1]1_inventory_total_details'!$L$8:$L$10000,'[1]1_inventory_total_details'!$C$8:$C$10000,I57,'[1]1_inventory_total_details'!$F$8:$F$10000,pb_location_id,'[1]1_inventory_total_details'!$G$8:$G$10000,"="&amp;Q57,'[1]1_inventory_total_details'!$H$8:$H$10000,"="&amp;R57,'[1]1_inventory_total_details'!$I$8:$I$10000,"="&amp;pb_date),SUMIFS('[1]2_inventory_total_details'!$J$8:$J$10000,'[1]2_inventory_total_details'!$C$8:$C$10000,I57,'[1]1_inventory_total_details'!$F$8:$F$10000,pb_location_id,'[1]2_inventory_total_details'!$G$8:$G$10000,"="&amp;Q57,'[1]2_inventory_total_details'!$H$8:$H$10000,"="&amp;R57,'[1]2_inventory_total_details'!$I$8:$I$10000,"="&amp;pb_date)+SUMIFS('[1]2_inventory_total_details'!$M$8:$M$10000,'[1]2_inventory_total_details'!$C$8:$C$10000,I57,'[1]2_inventory_total_details'!$F$8:$F$10000,pb_location_id,'[1]2_inventory_total_details'!$G$8:$G$10000,"="&amp;Q57,'[1]2_inventory_total_details'!$H$8:$H$10000,"="&amp;R57,'[1]2_inventory_total_details'!$I$8:$I$10000,"="&amp;pb_date)+SUMIFS('[1]2_inventory_total_details'!$K$8:$K$10000,'[1]2_inventory_total_details'!$C$8:$C$10000,I57,'[1]2_inventory_total_details'!$F$8:$F$10000,pb_location_id,'[1]2_inventory_total_details'!$G$8:$G$10000,"="&amp;Q57,'[1]2_inventory_total_details'!$H$8:$H$10000,"="&amp;R57,'[1]2_inventory_total_details'!$I$8:$I$10000,"="&amp;pb_date)+SUMIFS('[1]2_inventory_total_details'!$L$8:$L$10000,'[1]2_inventory_total_details'!$C$8:$C$10000,I57,'[1]2_inventory_total_details'!$F$8:$F$10000,pb_location_id,'[1]2_inventory_total_details'!$G$8:$G$10000,"="&amp;Q57,'[1]2_inventory_total_details'!$H$8:$H$10000,"="&amp;R57,'[1]2_inventory_total_details'!$I$8:$I$10000,"="&amp;pb_date)))</f>
        <v/>
      </c>
      <c r="AH57" s="1640" t="str">
        <f>IF(M57="","",IF(ISNA(MATCH(I57,'[1]1_group_totals'!$C$8:$C$10000)),0,IF(AT57&gt;0,1,0)))</f>
        <v/>
      </c>
      <c r="AI57" s="1640" t="str">
        <f>IF(M57="","",(SUMIFS('[1]1_group_total_details'!$I$8:$I$10000,'[1]1_group_total_details'!$C$8:$C$10000,I57,'[1]1_group_total_details'!$F$8:$F$10000,pb_location_group_id,'[1]1_group_total_details'!$G$8:$G$10000,pb_location_id,'[1]1_group_total_details'!$H$8:$H$10000,"="&amp;pb_date)+SUMIFS('[1]1_group_total_details'!$L$8:$L$10000,'[1]1_group_total_details'!$C$8:$C$10000,I57,'[1]1_group_total_details'!$F$8:$F$10000,pb_location_group_id,'[1]1_group_total_details'!$G$8:$G$10000,pb_location_id,'[1]1_group_total_details'!$H$8:$H$10000,"="&amp;pb_date)+SUMIFS('[1]1_group_total_details'!$N$8:$N$10000,'[1]1_group_total_details'!$C$8:$C$10000,I57,'[1]1_group_total_details'!$F$8:$F$10000,pb_location_group_id,'[1]1_group_total_details'!$G$8:$G$10000,pb_location_id,'[1]1_group_total_details'!$H$8:$H$10000,"="&amp;pb_date)+SUMIFS('[1]1_group_total_details'!$O$8:$O$10000,'[1]1_group_total_details'!$C$8:$C$10000,I57,'[1]1_group_total_details'!$F$8:$F$10000,pb_location_group_id,'[1]1_group_total_details'!$G$8:$G$10000,pb_location_id,'[1]1_group_total_details'!$H$8:$H$10000,"="&amp;pb_date))+(SUMIFS('[1]1_group_total_details'!$J$8:$J$10000,'[1]1_group_total_details'!$C$8:$C$10000,I57,'[1]1_group_total_details'!$F$8:$F$10000,pb_location_group_id,'[1]1_group_total_details'!$G$8:$G$10000,pb_location_id,'[1]1_group_total_details'!$H$8:$H$10000,"="&amp;pb_date)+SUMIFS('[1]1_group_total_details'!$K$8:$K$10000,'[1]1_group_total_details'!$C$8:$C$10000,I57,'[1]1_group_total_details'!$F$8:$F$10000,pb_location_group_id,'[1]1_group_total_details'!$G$8:$G$10000,pb_location_id,'[1]1_group_total_details'!$H$8:$H$10000,"="&amp;pb_date)+SUMIFS('[1]1_group_total_details'!$M$8:$M$10000,'[1]1_group_total_details'!$C$8:$C$10000,I57,'[1]1_group_total_details'!$F$8:$F$10000,pb_location_group_id,'[1]1_group_total_details'!$G$8:$G$10000,pb_location_id,'[1]1_group_total_details'!$H$8:$H$10000,"="&amp;pb_date)+SUMIFS('[1]1_group_total_details'!$P$8:$P$10000,'[1]1_group_total_details'!$C$8:$C$10000,I57,'[1]1_group_total_details'!$F$8:$F$10000,pb_location_group_id,'[1]1_group_total_details'!$G$8:$G$10000,pb_location_id,'[1]1_group_total_details'!$H$8:$H$10000,"="&amp;pb_date)))</f>
        <v/>
      </c>
      <c r="AJ57" s="1640" t="str">
        <f>IF(M57="","",IF(AK57=0,0,(SUMIFS('[1]1_group_total_details'!$I$8:$I$10000,'[1]1_group_total_details'!$C$8:$C$10000,I57,'[1]1_group_total_details'!$F$8:$F$10000,pb_location_group_id,'[1]1_group_total_details'!$G$8:$G$10000,pb_location_id,'[1]1_group_total_details'!$H$8:$H$10000,"&lt;="&amp;pb_date)+SUMIFS('[1]1_group_total_details'!$L$8:$L$10000,'[1]1_group_total_details'!$C$8:$C$10000,I57,'[1]1_group_total_details'!$F$8:$F$10000,pb_location_group_id,'[1]1_group_total_details'!$G$8:$G$10000,pb_location_id,'[1]1_group_total_details'!$H$8:$H$10000,"&lt;="&amp;pb_date)+SUMIFS('[1]1_group_total_details'!$N$8:$N$10000,'[1]1_group_total_details'!$C$8:$C$10000,I57,'[1]1_group_total_details'!$F$8:$F$10000,pb_location_group_id,'[1]1_group_total_details'!$G$8:$G$10000,pb_location_id,'[1]1_group_total_details'!$H$8:$H$10000,"&lt;="&amp;pb_date)+SUMIFS('[1]1_group_total_details'!$O$8:$O$10000,'[1]1_group_total_details'!$C$8:$C$10000,I57,'[1]1_group_total_details'!$F$8:$F$10000,pb_location_group_id,'[1]1_group_total_details'!$G$8:$G$10000,pb_location_id,'[1]1_group_total_details'!$H$8:$H$10000,"&lt;="&amp;pb_date))-(SUMIFS('[1]1_group_total_details'!$J$8:$J$10000,'[1]1_group_total_details'!$C$8:$C$10000,I57,'[1]1_group_total_details'!$F$8:$F$10000,pb_location_group_id,'[1]1_group_total_details'!$G$8:$G$10000,pb_location_id,'[1]1_group_total_details'!$H$8:$H$10000,"&lt;="&amp;pb_date)+SUMIFS('[1]1_group_total_details'!$K$8:$K$10000,'[1]1_group_total_details'!$C$8:$C$10000,I57,'[1]1_group_total_details'!$F$8:$F$10000,pb_location_group_id,'[1]1_group_total_details'!$G$8:$G$10000,invoice_location_id,'[1]1_group_total_details'!$H$8:$H$10000,"&lt;="&amp;pb_date)+SUMIFS('[1]1_group_total_details'!$M$8:$M$10000,'[1]1_group_total_details'!$C$8:$C$10000,I57,'[1]1_group_total_details'!$F$8:$F$10000,pb_location_group_id,'[1]1_group_total_details'!$G$8:$G$10000,pb_location_id,'[1]1_group_total_details'!$H$8:$H$10000,"&lt;="&amp;pb_date)+SUMIFS('[1]1_group_total_details'!$P$8:$P$10000,'[1]1_group_total_details'!$C$8:$C$10000,I57,'[1]1_group_total_details'!$F$8:$F$10000,pb_location_group_id,'[1]1_group_total_details'!$G$8:$G$10000,pb_location_id,'[1]1_group_total_details'!$H$8:$H$10000,"&lt;="&amp;pb_date))))</f>
        <v/>
      </c>
      <c r="AK57" s="1640" t="str">
        <f>IF(M57="","",SUMIFS('[1]1_group_totals'!$J$8:$J$10000,'[1]1_group_totals'!$C$8:$C$10000,I57,'[1]1_group_totals'!$F$8:$F$10000,pb_location_group_id,'[1]1_group_totals'!$G$8:$G$10000,pb_location_id,'[1]1_group_totals'!$H$8:$H$10000,"="&amp;Q57,'[1]1_group_totals'!$I$8:$I$10000,"="&amp;R57))</f>
        <v/>
      </c>
      <c r="AL57" s="1644" t="str">
        <f t="shared" si="17"/>
        <v/>
      </c>
      <c r="AM57" s="1644" t="str">
        <f>IF(OR(ISNA(MATCH(MID(AL57,1,3)*1,UomConversion!$D$8:$D$500,0)),M57=""),"",IF(AQ57="","",AQ57))</f>
        <v/>
      </c>
      <c r="AN57" s="1644" t="str">
        <f>IF(AND(AO57&gt;0,COUNTIFS(UomConversion!$D$8:$D$500,MID(AL57,1,3)*1,UomConversion!$J$8:$J$500,1)&gt;1),TEXT(AO57,"000")&amp;"."&amp;VLOOKUP(AO57,uom_list,5,FALSE),"")</f>
        <v/>
      </c>
      <c r="AO57" s="1640" t="str">
        <f t="shared" si="18"/>
        <v/>
      </c>
      <c r="AP57" s="1645" t="str">
        <f t="shared" si="19"/>
        <v/>
      </c>
      <c r="AQ57" s="491" t="str">
        <f t="shared" si="20"/>
        <v/>
      </c>
      <c r="AR57" s="1281" t="str" cm="1">
        <f t="array" ref="AR57">IF(M57="","",IF(ISNA(Slookup(MID(AL57,1,3)*1,UomConversion!$D$8:$J$500,2,UomConversion!$I$8:$I$500,1,UomConversion!$J$8:$J$500,1)),"",Slookup(MID(AL57,1,3)*1,UomConversion!$D$8:$J$500,2,UomConversion!$I$8:$I$500,1,UomConversion!$J$8:$J$500,1)))</f>
        <v/>
      </c>
      <c r="AS57" s="663" t="str">
        <f>IF(M57="","",(SUMIFS('[1]1_inventory_totals'!$I$8:$I$10000,'[1]1_inventory_totals'!$C$8:$C$10000,I57,'[1]1_inventory_totals'!$F$8:$F$10000,"="&amp;Q57,'[1]1_inventory_totals'!$G$8:$G$10000,"="&amp;R57)+SUMIFS('[1]1_inventory_totals'!$N$8:$N$10000,'[1]1_inventory_totals'!$C$8:$C$10000,I57,'[1]1_inventory_totals'!$F$8:$F$10000,"="&amp;Q57,'[1]1_inventory_totals'!$G$8:$G$10000,"="&amp;R57)+SUMIFS('[1]1_inventory_totals'!$P$8:$P$10000,'[1]1_inventory_totals'!$C$8:$C$10000,I57,'[1]1_inventory_totals'!$F$8:$F$10000,"="&amp;Q57,'[1]1_inventory_totals'!$G$8:$G$10000,"="&amp;R57)+SUMIFS('[1]1_inventory_totals'!$Q$8:$Q$10000,'[1]1_inventory_totals'!$C$8:$C$10000,I57,'[1]1_inventory_totals'!$F$8:$F$10000,"="&amp;Q57,'[1]1_inventory_totals'!$G$8:$G$10000,"="&amp;R57)+SUMIFS('[1]1_inventory_totals'!$R$8:$R$10000,'[1]1_inventory_totals'!$C$8:$C$10000,I57,'[1]1_inventory_totals'!$F$8:$F$10000,"="&amp;Q57,'[1]1_inventory_totals'!$G$8:$G$10000,"="&amp;R57))+(SUMIFS('[1]1_inventory_totals'!$J$8:$J$10000,'[1]1_inventory_totals'!$C$8:$C$10000,I57,'[1]1_inventory_totals'!$F$8:$F$10000,"="&amp;Q57,'[1]1_inventory_totals'!$G$8:$G$10000,"="&amp;R57)+SUMIFS('[1]1_inventory_totals'!$K$8:$K$10000,'[1]1_inventory_totals'!$C$8:$C$10000,I57,'[1]1_inventory_totals'!$F$8:$F$10000,"="&amp;Q57,'[1]1_inventory_totals'!$G$8:$G$10000,"="&amp;R57)+SUMIFS('[1]1_inventory_totals'!$L$8:$L$10000,'[1]1_inventory_totals'!$C$8:$C$10000,I57,'[1]1_inventory_totals'!$F$8:$F$10000,"="&amp;Q57,'[1]1_inventory_totals'!$G$8:$G$10000,"="&amp;R57)+SUMIFS('[1]1_inventory_totals'!$M$8:$M$10000,'[1]1_inventory_totals'!$C$8:$C$10000,I57,'[1]1_inventory_totals'!$F$8:$F$10000,"="&amp;Q57,'[1]1_inventory_totals'!$G$8:$G$10000,"="&amp;R57)+SUMIFS('[1]1_inventory_totals'!$O$8:$O$10000,'[1]1_inventory_totals'!$C$8:$C$10000,I57,'[1]1_inventory_totals'!$F$8:$F$10000,"="&amp;Q57,'[1]1_inventory_totals'!$G$8:$G$10000,"="&amp;R57)+SUMIFS('[1]1_inventory_totals'!$S$8:$S$10000,'[1]1_inventory_totals'!$C$8:$C$10000,I57,'[1]1_inventory_totals'!$F$8:$F$10000,"="&amp;Q57,'[1]1_inventory_totals'!$G$8:$G$10000,"="&amp;R57)))</f>
        <v/>
      </c>
      <c r="AT57" s="1281" t="str">
        <f>IF(M57="","",(SUMIFS('[1]1_group_totals'!$K$8:$K$10000,'[1]1_group_totals'!$C$8:$C$10000,I57,'[1]1_group_totals'!$F$8:$F$10000,pb_location_group_id,'[1]1_group_totals'!$G$8:$G$10000,pb_location_id,'[1]1_group_totals'!$H$8:$H$10000,"="&amp;Q57,'[1]1_group_totals'!$I$8:$I$10000,"="&amp;R57)+SUMIFS('[1]1_group_totals'!$N$8:$N$10000,'[1]1_group_totals'!$C$8:$C$10000,I57,'[1]1_group_totals'!$F$8:$F$10000,pb_location_group_id,'[1]1_group_totals'!$G$8:$G$10000,pb_location_id,'[1]1_group_totals'!$H$8:$H$10000,"="&amp;Q57,'[1]1_group_totals'!$I$8:$I$10000,"="&amp;R57)+SUMIFS('[1]1_group_totals'!$P$8:$P$10000,'[1]1_group_totals'!$C$8:$C$10000,I57,'[1]1_group_totals'!$F$8:$F$10000,pb_location_group_id,'[1]1_group_totals'!$G$8:$G$10000,pb_location_id,'[1]1_group_totals'!$H$8:$H$10000,"="&amp;Q57,'[1]1_group_totals'!$I$8:$I$10000,"="&amp;R57)+SUMIFS('[1]1_group_totals'!$Q$8:$Q$10000,'[1]1_group_totals'!$C$8:$C$10000,I57,'[1]1_group_totals'!$F$8:$F$10000,pb_location_group_id,'[1]1_group_totals'!$G$8:$G$10000,pb_location_id,'[1]1_group_totals'!$H$8:$H$10000,"="&amp;Q57,'[1]1_group_totals'!$I$8:$I$10000,"="&amp;R57))+(SUMIFS('[1]1_group_totals'!$L$8:$L$10000,'[1]1_group_totals'!$C$8:$C$10000,I57,'[1]1_group_totals'!$F$8:$F$10000,pb_location_group_id,'[1]1_group_totals'!$G$8:$G$10000,pb_location_id,'[1]1_group_totals'!$H$8:$H$10000,"="&amp;Q57,'[1]1_group_totals'!$I$8:$I$10000,"="&amp;R57)+SUMIFS('[1]1_group_totals'!$M$8:$M$10000,'[1]1_group_totals'!$C$8:$C$10000,I57,'[1]1_group_totals'!$F$8:$F$10000,pb_location_group_id,'[1]1_group_totals'!$G$8:$G$10000,pb_location_id,'[1]1_group_totals'!$H$8:$H$10000,"="&amp;Q57,'[1]1_group_totals'!$I$8:$I$10000,"="&amp;R57)+SUMIFS('[1]1_group_totals'!$O$8:$O$10000,'[1]1_group_totals'!$C$8:$C$10000,I57,'[1]1_group_totals'!$F$8:$F$10000,pb_location_group_id,'[1]1_group_totals'!$G$8:$G$10000,pb_location_id,'[1]1_group_totals'!$H$8:$H$10000,"="&amp;Q57,'[1]1_group_totals'!$I$8:$I$10000,"="&amp;R57)+SUMIFS('[1]1_group_totals'!$R$8:$R$10000,'[1]1_group_totals'!$C$8:$C$10000,I57,'[1]1_group_totals'!$F$8:$F$10000,pb_location_group_id,'[1]1_group_totals'!$G$8:$G$10000,pb_location_id,'[1]1_group_totals'!$H$8:$H$10000,"="&amp;Q57,'[1]1_group_totals'!$I$8:$I$10000,"="&amp;R57)))</f>
        <v/>
      </c>
    </row>
    <row r="58" spans="1:46" ht="27" hidden="1" customHeight="1">
      <c r="A58" s="923"/>
      <c r="B58" s="1028"/>
      <c r="C58" s="950"/>
      <c r="D58" s="950"/>
      <c r="E58" s="950"/>
      <c r="F58" s="1029"/>
      <c r="G58" s="941"/>
      <c r="H58" s="1070"/>
      <c r="I58" s="1610" t="str">
        <f t="shared" si="8"/>
        <v/>
      </c>
      <c r="J58" s="1631" t="str">
        <f t="shared" si="25"/>
        <v/>
      </c>
      <c r="K58" s="1628"/>
      <c r="L58" s="1632"/>
      <c r="M58" s="1069"/>
      <c r="N58" s="1044"/>
      <c r="O58" s="1044"/>
      <c r="P58" s="1046"/>
      <c r="Q58" s="1047"/>
      <c r="R58" s="1053"/>
      <c r="S58" s="1634" t="str">
        <f t="shared" ref="S58" si="167">IF(M58="","",pb_currency_symbol)</f>
        <v/>
      </c>
      <c r="T58" s="1068"/>
      <c r="U58" s="1636" t="str">
        <f t="shared" si="10"/>
        <v/>
      </c>
      <c r="V58" s="1634" t="str">
        <f t="shared" ref="V58" si="168">IF(W58=0,"",pb_currency_symbol)</f>
        <v/>
      </c>
      <c r="W58" s="1054"/>
      <c r="X58" s="1634" t="str">
        <f t="shared" ref="X58" si="169">IF(M58="","",pb_currency_symbol)</f>
        <v/>
      </c>
      <c r="Y58" s="1638" t="str">
        <f t="shared" si="24"/>
        <v/>
      </c>
      <c r="Z58" s="1062"/>
      <c r="AA58" s="1639" t="str" cm="1">
        <f t="array" ref="AA58">IF(M58="","",IF(P58=AL58,1,Slookup(MID(AL58,1,3)*1,UomConversion!$D$8:$J$500,5,UomConversion!$E$8:$E$500,MID(P58,1,3)*1,UomConversion!$J$8:$J$500,1)))</f>
        <v/>
      </c>
      <c r="AB58" s="1640" t="str">
        <f t="shared" si="13"/>
        <v/>
      </c>
      <c r="AC58" s="1641" t="str">
        <f t="shared" si="14"/>
        <v/>
      </c>
      <c r="AD58" s="1642" t="str">
        <f t="shared" si="15"/>
        <v/>
      </c>
      <c r="AE58" s="1643" t="str">
        <f t="shared" si="16"/>
        <v/>
      </c>
      <c r="AF58" s="1640" t="str">
        <f>IF(I58="","",IF(ISNA(MATCH(I58,IF(pb_location_id=1,'[1]1_inventory_totals'!$C$8:$C$10000,IF(pb_location_id=2,'[1]2_inventory_totals'!$C$8:$C$10000,"")),0)),0,IF(AS58&gt;0,1,0)))</f>
        <v/>
      </c>
      <c r="AG58" s="1640" t="str">
        <f>IF(M58="","",IF(pb_location_id=1,SUMIFS('[1]1_inventory_total_details'!$J$8:$J$10000,'[1]1_inventory_total_details'!$C$8:$C$10000,I58,'[1]1_inventory_total_details'!$F$8:$F$10000,pb_location_id,'[1]1_inventory_total_details'!$G$8:$G$10000,"="&amp;Q58,'[1]1_inventory_total_details'!$H$8:$H$10000,"="&amp;R58,'[1]1_inventory_total_details'!$I$8:$I$10000,"="&amp;pb_date)+SUMIFS('[1]1_inventory_total_details'!$M$8:$M$10000,'[1]1_inventory_total_details'!$C$8:$C$10000,I58,'[1]1_inventory_total_details'!$F$8:$F$10000,pb_location_id,'[1]1_inventory_total_details'!$G$8:$G$10000,"="&amp;Q58,'[1]1_inventory_total_details'!$H$8:$H$10000,"="&amp;R58,'[1]1_inventory_total_details'!$I$8:$I$10000,"="&amp;pb_date)+SUMIFS('[1]1_inventory_total_details'!$K$8:$K$10000,'[1]1_inventory_total_details'!$C$8:$C$10000,I58,'[1]1_inventory_total_details'!$F$8:$F$10000,pb_location_id,'[1]1_inventory_total_details'!$G$8:$G$10000,"="&amp;Q58,'[1]1_inventory_total_details'!$H$8:$H$10000,"="&amp;R58,'[1]1_inventory_total_details'!$I$8:$I$10000,"="&amp;pb_date)+SUMIFS('[1]1_inventory_total_details'!$L$8:$L$10000,'[1]1_inventory_total_details'!$C$8:$C$10000,I58,'[1]1_inventory_total_details'!$F$8:$F$10000,pb_location_id,'[1]1_inventory_total_details'!$G$8:$G$10000,"="&amp;Q58,'[1]1_inventory_total_details'!$H$8:$H$10000,"="&amp;R58,'[1]1_inventory_total_details'!$I$8:$I$10000,"="&amp;pb_date),SUMIFS('[1]2_inventory_total_details'!$J$8:$J$10000,'[1]2_inventory_total_details'!$C$8:$C$10000,I58,'[1]1_inventory_total_details'!$F$8:$F$10000,pb_location_id,'[1]2_inventory_total_details'!$G$8:$G$10000,"="&amp;Q58,'[1]2_inventory_total_details'!$H$8:$H$10000,"="&amp;R58,'[1]2_inventory_total_details'!$I$8:$I$10000,"="&amp;pb_date)+SUMIFS('[1]2_inventory_total_details'!$M$8:$M$10000,'[1]2_inventory_total_details'!$C$8:$C$10000,I58,'[1]2_inventory_total_details'!$F$8:$F$10000,pb_location_id,'[1]2_inventory_total_details'!$G$8:$G$10000,"="&amp;Q58,'[1]2_inventory_total_details'!$H$8:$H$10000,"="&amp;R58,'[1]2_inventory_total_details'!$I$8:$I$10000,"="&amp;pb_date)+SUMIFS('[1]2_inventory_total_details'!$K$8:$K$10000,'[1]2_inventory_total_details'!$C$8:$C$10000,I58,'[1]2_inventory_total_details'!$F$8:$F$10000,pb_location_id,'[1]2_inventory_total_details'!$G$8:$G$10000,"="&amp;Q58,'[1]2_inventory_total_details'!$H$8:$H$10000,"="&amp;R58,'[1]2_inventory_total_details'!$I$8:$I$10000,"="&amp;pb_date)+SUMIFS('[1]2_inventory_total_details'!$L$8:$L$10000,'[1]2_inventory_total_details'!$C$8:$C$10000,I58,'[1]2_inventory_total_details'!$F$8:$F$10000,pb_location_id,'[1]2_inventory_total_details'!$G$8:$G$10000,"="&amp;Q58,'[1]2_inventory_total_details'!$H$8:$H$10000,"="&amp;R58,'[1]2_inventory_total_details'!$I$8:$I$10000,"="&amp;pb_date)))</f>
        <v/>
      </c>
      <c r="AH58" s="1640" t="str">
        <f>IF(M58="","",IF(ISNA(MATCH(I58,'[1]1_group_totals'!$C$8:$C$10000)),0,IF(AT58&gt;0,1,0)))</f>
        <v/>
      </c>
      <c r="AI58" s="1640" t="str">
        <f>IF(M58="","",(SUMIFS('[1]1_group_total_details'!$I$8:$I$10000,'[1]1_group_total_details'!$C$8:$C$10000,I58,'[1]1_group_total_details'!$F$8:$F$10000,pb_location_group_id,'[1]1_group_total_details'!$G$8:$G$10000,pb_location_id,'[1]1_group_total_details'!$H$8:$H$10000,"="&amp;pb_date)+SUMIFS('[1]1_group_total_details'!$L$8:$L$10000,'[1]1_group_total_details'!$C$8:$C$10000,I58,'[1]1_group_total_details'!$F$8:$F$10000,pb_location_group_id,'[1]1_group_total_details'!$G$8:$G$10000,pb_location_id,'[1]1_group_total_details'!$H$8:$H$10000,"="&amp;pb_date)+SUMIFS('[1]1_group_total_details'!$N$8:$N$10000,'[1]1_group_total_details'!$C$8:$C$10000,I58,'[1]1_group_total_details'!$F$8:$F$10000,pb_location_group_id,'[1]1_group_total_details'!$G$8:$G$10000,pb_location_id,'[1]1_group_total_details'!$H$8:$H$10000,"="&amp;pb_date)+SUMIFS('[1]1_group_total_details'!$O$8:$O$10000,'[1]1_group_total_details'!$C$8:$C$10000,I58,'[1]1_group_total_details'!$F$8:$F$10000,pb_location_group_id,'[1]1_group_total_details'!$G$8:$G$10000,pb_location_id,'[1]1_group_total_details'!$H$8:$H$10000,"="&amp;pb_date))+(SUMIFS('[1]1_group_total_details'!$J$8:$J$10000,'[1]1_group_total_details'!$C$8:$C$10000,I58,'[1]1_group_total_details'!$F$8:$F$10000,pb_location_group_id,'[1]1_group_total_details'!$G$8:$G$10000,pb_location_id,'[1]1_group_total_details'!$H$8:$H$10000,"="&amp;pb_date)+SUMIFS('[1]1_group_total_details'!$K$8:$K$10000,'[1]1_group_total_details'!$C$8:$C$10000,I58,'[1]1_group_total_details'!$F$8:$F$10000,pb_location_group_id,'[1]1_group_total_details'!$G$8:$G$10000,pb_location_id,'[1]1_group_total_details'!$H$8:$H$10000,"="&amp;pb_date)+SUMIFS('[1]1_group_total_details'!$M$8:$M$10000,'[1]1_group_total_details'!$C$8:$C$10000,I58,'[1]1_group_total_details'!$F$8:$F$10000,pb_location_group_id,'[1]1_group_total_details'!$G$8:$G$10000,pb_location_id,'[1]1_group_total_details'!$H$8:$H$10000,"="&amp;pb_date)+SUMIFS('[1]1_group_total_details'!$P$8:$P$10000,'[1]1_group_total_details'!$C$8:$C$10000,I58,'[1]1_group_total_details'!$F$8:$F$10000,pb_location_group_id,'[1]1_group_total_details'!$G$8:$G$10000,pb_location_id,'[1]1_group_total_details'!$H$8:$H$10000,"="&amp;pb_date)))</f>
        <v/>
      </c>
      <c r="AJ58" s="1640" t="str">
        <f>IF(M58="","",IF(AK58=0,0,(SUMIFS('[1]1_group_total_details'!$I$8:$I$10000,'[1]1_group_total_details'!$C$8:$C$10000,I58,'[1]1_group_total_details'!$F$8:$F$10000,pb_location_group_id,'[1]1_group_total_details'!$G$8:$G$10000,pb_location_id,'[1]1_group_total_details'!$H$8:$H$10000,"&lt;="&amp;pb_date)+SUMIFS('[1]1_group_total_details'!$L$8:$L$10000,'[1]1_group_total_details'!$C$8:$C$10000,I58,'[1]1_group_total_details'!$F$8:$F$10000,pb_location_group_id,'[1]1_group_total_details'!$G$8:$G$10000,pb_location_id,'[1]1_group_total_details'!$H$8:$H$10000,"&lt;="&amp;pb_date)+SUMIFS('[1]1_group_total_details'!$N$8:$N$10000,'[1]1_group_total_details'!$C$8:$C$10000,I58,'[1]1_group_total_details'!$F$8:$F$10000,pb_location_group_id,'[1]1_group_total_details'!$G$8:$G$10000,pb_location_id,'[1]1_group_total_details'!$H$8:$H$10000,"&lt;="&amp;pb_date)+SUMIFS('[1]1_group_total_details'!$O$8:$O$10000,'[1]1_group_total_details'!$C$8:$C$10000,I58,'[1]1_group_total_details'!$F$8:$F$10000,pb_location_group_id,'[1]1_group_total_details'!$G$8:$G$10000,pb_location_id,'[1]1_group_total_details'!$H$8:$H$10000,"&lt;="&amp;pb_date))-(SUMIFS('[1]1_group_total_details'!$J$8:$J$10000,'[1]1_group_total_details'!$C$8:$C$10000,I58,'[1]1_group_total_details'!$F$8:$F$10000,pb_location_group_id,'[1]1_group_total_details'!$G$8:$G$10000,pb_location_id,'[1]1_group_total_details'!$H$8:$H$10000,"&lt;="&amp;pb_date)+SUMIFS('[1]1_group_total_details'!$K$8:$K$10000,'[1]1_group_total_details'!$C$8:$C$10000,I58,'[1]1_group_total_details'!$F$8:$F$10000,pb_location_group_id,'[1]1_group_total_details'!$G$8:$G$10000,invoice_location_id,'[1]1_group_total_details'!$H$8:$H$10000,"&lt;="&amp;pb_date)+SUMIFS('[1]1_group_total_details'!$M$8:$M$10000,'[1]1_group_total_details'!$C$8:$C$10000,I58,'[1]1_group_total_details'!$F$8:$F$10000,pb_location_group_id,'[1]1_group_total_details'!$G$8:$G$10000,pb_location_id,'[1]1_group_total_details'!$H$8:$H$10000,"&lt;="&amp;pb_date)+SUMIFS('[1]1_group_total_details'!$P$8:$P$10000,'[1]1_group_total_details'!$C$8:$C$10000,I58,'[1]1_group_total_details'!$F$8:$F$10000,pb_location_group_id,'[1]1_group_total_details'!$G$8:$G$10000,pb_location_id,'[1]1_group_total_details'!$H$8:$H$10000,"&lt;="&amp;pb_date))))</f>
        <v/>
      </c>
      <c r="AK58" s="1640" t="str">
        <f>IF(M58="","",SUMIFS('[1]1_group_totals'!$J$8:$J$10000,'[1]1_group_totals'!$C$8:$C$10000,I58,'[1]1_group_totals'!$F$8:$F$10000,pb_location_group_id,'[1]1_group_totals'!$G$8:$G$10000,pb_location_id,'[1]1_group_totals'!$H$8:$H$10000,"="&amp;Q58,'[1]1_group_totals'!$I$8:$I$10000,"="&amp;R58))</f>
        <v/>
      </c>
      <c r="AL58" s="1644" t="str">
        <f t="shared" si="17"/>
        <v/>
      </c>
      <c r="AM58" s="1644" t="str">
        <f>IF(OR(ISNA(MATCH(MID(AL58,1,3)*1,UomConversion!$D$8:$D$500,0)),M58=""),"",IF(AQ58="","",AQ58))</f>
        <v/>
      </c>
      <c r="AN58" s="1644" t="str">
        <f>IF(AND(AO58&gt;0,COUNTIFS(UomConversion!$D$8:$D$500,MID(AL58,1,3)*1,UomConversion!$J$8:$J$500,1)&gt;1),TEXT(AO58,"000")&amp;"."&amp;VLOOKUP(AO58,uom_list,5,FALSE),"")</f>
        <v/>
      </c>
      <c r="AO58" s="1640" t="str">
        <f t="shared" si="18"/>
        <v/>
      </c>
      <c r="AP58" s="1645" t="str">
        <f t="shared" si="19"/>
        <v/>
      </c>
      <c r="AQ58" s="491" t="str">
        <f t="shared" si="20"/>
        <v/>
      </c>
      <c r="AR58" s="1281" t="str" cm="1">
        <f t="array" ref="AR58">IF(M58="","",IF(ISNA(Slookup(MID(AL58,1,3)*1,UomConversion!$D$8:$J$500,2,UomConversion!$I$8:$I$500,1,UomConversion!$J$8:$J$500,1)),"",Slookup(MID(AL58,1,3)*1,UomConversion!$D$8:$J$500,2,UomConversion!$I$8:$I$500,1,UomConversion!$J$8:$J$500,1)))</f>
        <v/>
      </c>
      <c r="AS58" s="663" t="str">
        <f>IF(M58="","",(SUMIFS('[1]1_inventory_totals'!$I$8:$I$10000,'[1]1_inventory_totals'!$C$8:$C$10000,I58,'[1]1_inventory_totals'!$F$8:$F$10000,"="&amp;Q58,'[1]1_inventory_totals'!$G$8:$G$10000,"="&amp;R58)+SUMIFS('[1]1_inventory_totals'!$N$8:$N$10000,'[1]1_inventory_totals'!$C$8:$C$10000,I58,'[1]1_inventory_totals'!$F$8:$F$10000,"="&amp;Q58,'[1]1_inventory_totals'!$G$8:$G$10000,"="&amp;R58)+SUMIFS('[1]1_inventory_totals'!$P$8:$P$10000,'[1]1_inventory_totals'!$C$8:$C$10000,I58,'[1]1_inventory_totals'!$F$8:$F$10000,"="&amp;Q58,'[1]1_inventory_totals'!$G$8:$G$10000,"="&amp;R58)+SUMIFS('[1]1_inventory_totals'!$Q$8:$Q$10000,'[1]1_inventory_totals'!$C$8:$C$10000,I58,'[1]1_inventory_totals'!$F$8:$F$10000,"="&amp;Q58,'[1]1_inventory_totals'!$G$8:$G$10000,"="&amp;R58)+SUMIFS('[1]1_inventory_totals'!$R$8:$R$10000,'[1]1_inventory_totals'!$C$8:$C$10000,I58,'[1]1_inventory_totals'!$F$8:$F$10000,"="&amp;Q58,'[1]1_inventory_totals'!$G$8:$G$10000,"="&amp;R58))+(SUMIFS('[1]1_inventory_totals'!$J$8:$J$10000,'[1]1_inventory_totals'!$C$8:$C$10000,I58,'[1]1_inventory_totals'!$F$8:$F$10000,"="&amp;Q58,'[1]1_inventory_totals'!$G$8:$G$10000,"="&amp;R58)+SUMIFS('[1]1_inventory_totals'!$K$8:$K$10000,'[1]1_inventory_totals'!$C$8:$C$10000,I58,'[1]1_inventory_totals'!$F$8:$F$10000,"="&amp;Q58,'[1]1_inventory_totals'!$G$8:$G$10000,"="&amp;R58)+SUMIFS('[1]1_inventory_totals'!$L$8:$L$10000,'[1]1_inventory_totals'!$C$8:$C$10000,I58,'[1]1_inventory_totals'!$F$8:$F$10000,"="&amp;Q58,'[1]1_inventory_totals'!$G$8:$G$10000,"="&amp;R58)+SUMIFS('[1]1_inventory_totals'!$M$8:$M$10000,'[1]1_inventory_totals'!$C$8:$C$10000,I58,'[1]1_inventory_totals'!$F$8:$F$10000,"="&amp;Q58,'[1]1_inventory_totals'!$G$8:$G$10000,"="&amp;R58)+SUMIFS('[1]1_inventory_totals'!$O$8:$O$10000,'[1]1_inventory_totals'!$C$8:$C$10000,I58,'[1]1_inventory_totals'!$F$8:$F$10000,"="&amp;Q58,'[1]1_inventory_totals'!$G$8:$G$10000,"="&amp;R58)+SUMIFS('[1]1_inventory_totals'!$S$8:$S$10000,'[1]1_inventory_totals'!$C$8:$C$10000,I58,'[1]1_inventory_totals'!$F$8:$F$10000,"="&amp;Q58,'[1]1_inventory_totals'!$G$8:$G$10000,"="&amp;R58)))</f>
        <v/>
      </c>
      <c r="AT58" s="1281" t="str">
        <f>IF(M58="","",(SUMIFS('[1]1_group_totals'!$K$8:$K$10000,'[1]1_group_totals'!$C$8:$C$10000,I58,'[1]1_group_totals'!$F$8:$F$10000,pb_location_group_id,'[1]1_group_totals'!$G$8:$G$10000,pb_location_id,'[1]1_group_totals'!$H$8:$H$10000,"="&amp;Q58,'[1]1_group_totals'!$I$8:$I$10000,"="&amp;R58)+SUMIFS('[1]1_group_totals'!$N$8:$N$10000,'[1]1_group_totals'!$C$8:$C$10000,I58,'[1]1_group_totals'!$F$8:$F$10000,pb_location_group_id,'[1]1_group_totals'!$G$8:$G$10000,pb_location_id,'[1]1_group_totals'!$H$8:$H$10000,"="&amp;Q58,'[1]1_group_totals'!$I$8:$I$10000,"="&amp;R58)+SUMIFS('[1]1_group_totals'!$P$8:$P$10000,'[1]1_group_totals'!$C$8:$C$10000,I58,'[1]1_group_totals'!$F$8:$F$10000,pb_location_group_id,'[1]1_group_totals'!$G$8:$G$10000,pb_location_id,'[1]1_group_totals'!$H$8:$H$10000,"="&amp;Q58,'[1]1_group_totals'!$I$8:$I$10000,"="&amp;R58)+SUMIFS('[1]1_group_totals'!$Q$8:$Q$10000,'[1]1_group_totals'!$C$8:$C$10000,I58,'[1]1_group_totals'!$F$8:$F$10000,pb_location_group_id,'[1]1_group_totals'!$G$8:$G$10000,pb_location_id,'[1]1_group_totals'!$H$8:$H$10000,"="&amp;Q58,'[1]1_group_totals'!$I$8:$I$10000,"="&amp;R58))+(SUMIFS('[1]1_group_totals'!$L$8:$L$10000,'[1]1_group_totals'!$C$8:$C$10000,I58,'[1]1_group_totals'!$F$8:$F$10000,pb_location_group_id,'[1]1_group_totals'!$G$8:$G$10000,pb_location_id,'[1]1_group_totals'!$H$8:$H$10000,"="&amp;Q58,'[1]1_group_totals'!$I$8:$I$10000,"="&amp;R58)+SUMIFS('[1]1_group_totals'!$M$8:$M$10000,'[1]1_group_totals'!$C$8:$C$10000,I58,'[1]1_group_totals'!$F$8:$F$10000,pb_location_group_id,'[1]1_group_totals'!$G$8:$G$10000,pb_location_id,'[1]1_group_totals'!$H$8:$H$10000,"="&amp;Q58,'[1]1_group_totals'!$I$8:$I$10000,"="&amp;R58)+SUMIFS('[1]1_group_totals'!$O$8:$O$10000,'[1]1_group_totals'!$C$8:$C$10000,I58,'[1]1_group_totals'!$F$8:$F$10000,pb_location_group_id,'[1]1_group_totals'!$G$8:$G$10000,pb_location_id,'[1]1_group_totals'!$H$8:$H$10000,"="&amp;Q58,'[1]1_group_totals'!$I$8:$I$10000,"="&amp;R58)+SUMIFS('[1]1_group_totals'!$R$8:$R$10000,'[1]1_group_totals'!$C$8:$C$10000,I58,'[1]1_group_totals'!$F$8:$F$10000,pb_location_group_id,'[1]1_group_totals'!$G$8:$G$10000,pb_location_id,'[1]1_group_totals'!$H$8:$H$10000,"="&amp;Q58,'[1]1_group_totals'!$I$8:$I$10000,"="&amp;R58)))</f>
        <v/>
      </c>
    </row>
    <row r="59" spans="1:46" ht="27" hidden="1" customHeight="1">
      <c r="A59" s="923"/>
      <c r="B59" s="1028"/>
      <c r="C59" s="950"/>
      <c r="D59" s="950"/>
      <c r="E59" s="950"/>
      <c r="F59" s="1029"/>
      <c r="G59" s="941"/>
      <c r="H59" s="1070"/>
      <c r="I59" s="1610" t="str">
        <f t="shared" si="8"/>
        <v/>
      </c>
      <c r="J59" s="1631" t="str">
        <f t="shared" si="25"/>
        <v/>
      </c>
      <c r="K59" s="1628"/>
      <c r="L59" s="1632"/>
      <c r="M59" s="1069"/>
      <c r="N59" s="1044"/>
      <c r="O59" s="1044"/>
      <c r="P59" s="1046"/>
      <c r="Q59" s="1047"/>
      <c r="R59" s="1053"/>
      <c r="S59" s="1634" t="str">
        <f t="shared" ref="S59" si="170">IF(M59="","",pb_currency_symbol)</f>
        <v/>
      </c>
      <c r="T59" s="1068"/>
      <c r="U59" s="1636" t="str">
        <f t="shared" si="10"/>
        <v/>
      </c>
      <c r="V59" s="1634" t="str">
        <f t="shared" ref="V59" si="171">IF(W59=0,"",pb_currency_symbol)</f>
        <v/>
      </c>
      <c r="W59" s="1054"/>
      <c r="X59" s="1634" t="str">
        <f t="shared" ref="X59" si="172">IF(M59="","",pb_currency_symbol)</f>
        <v/>
      </c>
      <c r="Y59" s="1638" t="str">
        <f t="shared" si="24"/>
        <v/>
      </c>
      <c r="Z59" s="1062"/>
      <c r="AA59" s="1639" t="str" cm="1">
        <f t="array" ref="AA59">IF(M59="","",IF(P59=AL59,1,Slookup(MID(AL59,1,3)*1,UomConversion!$D$8:$J$500,5,UomConversion!$E$8:$E$500,MID(P59,1,3)*1,UomConversion!$J$8:$J$500,1)))</f>
        <v/>
      </c>
      <c r="AB59" s="1640" t="str">
        <f t="shared" si="13"/>
        <v/>
      </c>
      <c r="AC59" s="1641" t="str">
        <f t="shared" si="14"/>
        <v/>
      </c>
      <c r="AD59" s="1642" t="str">
        <f t="shared" si="15"/>
        <v/>
      </c>
      <c r="AE59" s="1643" t="str">
        <f t="shared" si="16"/>
        <v/>
      </c>
      <c r="AF59" s="1640" t="str">
        <f>IF(I59="","",IF(ISNA(MATCH(I59,IF(pb_location_id=1,'[1]1_inventory_totals'!$C$8:$C$10000,IF(pb_location_id=2,'[1]2_inventory_totals'!$C$8:$C$10000,"")),0)),0,IF(AS59&gt;0,1,0)))</f>
        <v/>
      </c>
      <c r="AG59" s="1640" t="str">
        <f>IF(M59="","",IF(pb_location_id=1,SUMIFS('[1]1_inventory_total_details'!$J$8:$J$10000,'[1]1_inventory_total_details'!$C$8:$C$10000,I59,'[1]1_inventory_total_details'!$F$8:$F$10000,pb_location_id,'[1]1_inventory_total_details'!$G$8:$G$10000,"="&amp;Q59,'[1]1_inventory_total_details'!$H$8:$H$10000,"="&amp;R59,'[1]1_inventory_total_details'!$I$8:$I$10000,"="&amp;pb_date)+SUMIFS('[1]1_inventory_total_details'!$M$8:$M$10000,'[1]1_inventory_total_details'!$C$8:$C$10000,I59,'[1]1_inventory_total_details'!$F$8:$F$10000,pb_location_id,'[1]1_inventory_total_details'!$G$8:$G$10000,"="&amp;Q59,'[1]1_inventory_total_details'!$H$8:$H$10000,"="&amp;R59,'[1]1_inventory_total_details'!$I$8:$I$10000,"="&amp;pb_date)+SUMIFS('[1]1_inventory_total_details'!$K$8:$K$10000,'[1]1_inventory_total_details'!$C$8:$C$10000,I59,'[1]1_inventory_total_details'!$F$8:$F$10000,pb_location_id,'[1]1_inventory_total_details'!$G$8:$G$10000,"="&amp;Q59,'[1]1_inventory_total_details'!$H$8:$H$10000,"="&amp;R59,'[1]1_inventory_total_details'!$I$8:$I$10000,"="&amp;pb_date)+SUMIFS('[1]1_inventory_total_details'!$L$8:$L$10000,'[1]1_inventory_total_details'!$C$8:$C$10000,I59,'[1]1_inventory_total_details'!$F$8:$F$10000,pb_location_id,'[1]1_inventory_total_details'!$G$8:$G$10000,"="&amp;Q59,'[1]1_inventory_total_details'!$H$8:$H$10000,"="&amp;R59,'[1]1_inventory_total_details'!$I$8:$I$10000,"="&amp;pb_date),SUMIFS('[1]2_inventory_total_details'!$J$8:$J$10000,'[1]2_inventory_total_details'!$C$8:$C$10000,I59,'[1]1_inventory_total_details'!$F$8:$F$10000,pb_location_id,'[1]2_inventory_total_details'!$G$8:$G$10000,"="&amp;Q59,'[1]2_inventory_total_details'!$H$8:$H$10000,"="&amp;R59,'[1]2_inventory_total_details'!$I$8:$I$10000,"="&amp;pb_date)+SUMIFS('[1]2_inventory_total_details'!$M$8:$M$10000,'[1]2_inventory_total_details'!$C$8:$C$10000,I59,'[1]2_inventory_total_details'!$F$8:$F$10000,pb_location_id,'[1]2_inventory_total_details'!$G$8:$G$10000,"="&amp;Q59,'[1]2_inventory_total_details'!$H$8:$H$10000,"="&amp;R59,'[1]2_inventory_total_details'!$I$8:$I$10000,"="&amp;pb_date)+SUMIFS('[1]2_inventory_total_details'!$K$8:$K$10000,'[1]2_inventory_total_details'!$C$8:$C$10000,I59,'[1]2_inventory_total_details'!$F$8:$F$10000,pb_location_id,'[1]2_inventory_total_details'!$G$8:$G$10000,"="&amp;Q59,'[1]2_inventory_total_details'!$H$8:$H$10000,"="&amp;R59,'[1]2_inventory_total_details'!$I$8:$I$10000,"="&amp;pb_date)+SUMIFS('[1]2_inventory_total_details'!$L$8:$L$10000,'[1]2_inventory_total_details'!$C$8:$C$10000,I59,'[1]2_inventory_total_details'!$F$8:$F$10000,pb_location_id,'[1]2_inventory_total_details'!$G$8:$G$10000,"="&amp;Q59,'[1]2_inventory_total_details'!$H$8:$H$10000,"="&amp;R59,'[1]2_inventory_total_details'!$I$8:$I$10000,"="&amp;pb_date)))</f>
        <v/>
      </c>
      <c r="AH59" s="1640" t="str">
        <f>IF(M59="","",IF(ISNA(MATCH(I59,'[1]1_group_totals'!$C$8:$C$10000)),0,IF(AT59&gt;0,1,0)))</f>
        <v/>
      </c>
      <c r="AI59" s="1640" t="str">
        <f>IF(M59="","",(SUMIFS('[1]1_group_total_details'!$I$8:$I$10000,'[1]1_group_total_details'!$C$8:$C$10000,I59,'[1]1_group_total_details'!$F$8:$F$10000,pb_location_group_id,'[1]1_group_total_details'!$G$8:$G$10000,pb_location_id,'[1]1_group_total_details'!$H$8:$H$10000,"="&amp;pb_date)+SUMIFS('[1]1_group_total_details'!$L$8:$L$10000,'[1]1_group_total_details'!$C$8:$C$10000,I59,'[1]1_group_total_details'!$F$8:$F$10000,pb_location_group_id,'[1]1_group_total_details'!$G$8:$G$10000,pb_location_id,'[1]1_group_total_details'!$H$8:$H$10000,"="&amp;pb_date)+SUMIFS('[1]1_group_total_details'!$N$8:$N$10000,'[1]1_group_total_details'!$C$8:$C$10000,I59,'[1]1_group_total_details'!$F$8:$F$10000,pb_location_group_id,'[1]1_group_total_details'!$G$8:$G$10000,pb_location_id,'[1]1_group_total_details'!$H$8:$H$10000,"="&amp;pb_date)+SUMIFS('[1]1_group_total_details'!$O$8:$O$10000,'[1]1_group_total_details'!$C$8:$C$10000,I59,'[1]1_group_total_details'!$F$8:$F$10000,pb_location_group_id,'[1]1_group_total_details'!$G$8:$G$10000,pb_location_id,'[1]1_group_total_details'!$H$8:$H$10000,"="&amp;pb_date))+(SUMIFS('[1]1_group_total_details'!$J$8:$J$10000,'[1]1_group_total_details'!$C$8:$C$10000,I59,'[1]1_group_total_details'!$F$8:$F$10000,pb_location_group_id,'[1]1_group_total_details'!$G$8:$G$10000,pb_location_id,'[1]1_group_total_details'!$H$8:$H$10000,"="&amp;pb_date)+SUMIFS('[1]1_group_total_details'!$K$8:$K$10000,'[1]1_group_total_details'!$C$8:$C$10000,I59,'[1]1_group_total_details'!$F$8:$F$10000,pb_location_group_id,'[1]1_group_total_details'!$G$8:$G$10000,pb_location_id,'[1]1_group_total_details'!$H$8:$H$10000,"="&amp;pb_date)+SUMIFS('[1]1_group_total_details'!$M$8:$M$10000,'[1]1_group_total_details'!$C$8:$C$10000,I59,'[1]1_group_total_details'!$F$8:$F$10000,pb_location_group_id,'[1]1_group_total_details'!$G$8:$G$10000,pb_location_id,'[1]1_group_total_details'!$H$8:$H$10000,"="&amp;pb_date)+SUMIFS('[1]1_group_total_details'!$P$8:$P$10000,'[1]1_group_total_details'!$C$8:$C$10000,I59,'[1]1_group_total_details'!$F$8:$F$10000,pb_location_group_id,'[1]1_group_total_details'!$G$8:$G$10000,pb_location_id,'[1]1_group_total_details'!$H$8:$H$10000,"="&amp;pb_date)))</f>
        <v/>
      </c>
      <c r="AJ59" s="1640" t="str">
        <f>IF(M59="","",IF(AK59=0,0,(SUMIFS('[1]1_group_total_details'!$I$8:$I$10000,'[1]1_group_total_details'!$C$8:$C$10000,I59,'[1]1_group_total_details'!$F$8:$F$10000,pb_location_group_id,'[1]1_group_total_details'!$G$8:$G$10000,pb_location_id,'[1]1_group_total_details'!$H$8:$H$10000,"&lt;="&amp;pb_date)+SUMIFS('[1]1_group_total_details'!$L$8:$L$10000,'[1]1_group_total_details'!$C$8:$C$10000,I59,'[1]1_group_total_details'!$F$8:$F$10000,pb_location_group_id,'[1]1_group_total_details'!$G$8:$G$10000,pb_location_id,'[1]1_group_total_details'!$H$8:$H$10000,"&lt;="&amp;pb_date)+SUMIFS('[1]1_group_total_details'!$N$8:$N$10000,'[1]1_group_total_details'!$C$8:$C$10000,I59,'[1]1_group_total_details'!$F$8:$F$10000,pb_location_group_id,'[1]1_group_total_details'!$G$8:$G$10000,pb_location_id,'[1]1_group_total_details'!$H$8:$H$10000,"&lt;="&amp;pb_date)+SUMIFS('[1]1_group_total_details'!$O$8:$O$10000,'[1]1_group_total_details'!$C$8:$C$10000,I59,'[1]1_group_total_details'!$F$8:$F$10000,pb_location_group_id,'[1]1_group_total_details'!$G$8:$G$10000,pb_location_id,'[1]1_group_total_details'!$H$8:$H$10000,"&lt;="&amp;pb_date))-(SUMIFS('[1]1_group_total_details'!$J$8:$J$10000,'[1]1_group_total_details'!$C$8:$C$10000,I59,'[1]1_group_total_details'!$F$8:$F$10000,pb_location_group_id,'[1]1_group_total_details'!$G$8:$G$10000,pb_location_id,'[1]1_group_total_details'!$H$8:$H$10000,"&lt;="&amp;pb_date)+SUMIFS('[1]1_group_total_details'!$K$8:$K$10000,'[1]1_group_total_details'!$C$8:$C$10000,I59,'[1]1_group_total_details'!$F$8:$F$10000,pb_location_group_id,'[1]1_group_total_details'!$G$8:$G$10000,invoice_location_id,'[1]1_group_total_details'!$H$8:$H$10000,"&lt;="&amp;pb_date)+SUMIFS('[1]1_group_total_details'!$M$8:$M$10000,'[1]1_group_total_details'!$C$8:$C$10000,I59,'[1]1_group_total_details'!$F$8:$F$10000,pb_location_group_id,'[1]1_group_total_details'!$G$8:$G$10000,pb_location_id,'[1]1_group_total_details'!$H$8:$H$10000,"&lt;="&amp;pb_date)+SUMIFS('[1]1_group_total_details'!$P$8:$P$10000,'[1]1_group_total_details'!$C$8:$C$10000,I59,'[1]1_group_total_details'!$F$8:$F$10000,pb_location_group_id,'[1]1_group_total_details'!$G$8:$G$10000,pb_location_id,'[1]1_group_total_details'!$H$8:$H$10000,"&lt;="&amp;pb_date))))</f>
        <v/>
      </c>
      <c r="AK59" s="1640" t="str">
        <f>IF(M59="","",SUMIFS('[1]1_group_totals'!$J$8:$J$10000,'[1]1_group_totals'!$C$8:$C$10000,I59,'[1]1_group_totals'!$F$8:$F$10000,pb_location_group_id,'[1]1_group_totals'!$G$8:$G$10000,pb_location_id,'[1]1_group_totals'!$H$8:$H$10000,"="&amp;Q59,'[1]1_group_totals'!$I$8:$I$10000,"="&amp;R59))</f>
        <v/>
      </c>
      <c r="AL59" s="1644" t="str">
        <f t="shared" si="17"/>
        <v/>
      </c>
      <c r="AM59" s="1644" t="str">
        <f>IF(OR(ISNA(MATCH(MID(AL59,1,3)*1,UomConversion!$D$8:$D$500,0)),M59=""),"",IF(AQ59="","",AQ59))</f>
        <v/>
      </c>
      <c r="AN59" s="1644" t="str">
        <f>IF(AND(AO59&gt;0,COUNTIFS(UomConversion!$D$8:$D$500,MID(AL59,1,3)*1,UomConversion!$J$8:$J$500,1)&gt;1),TEXT(AO59,"000")&amp;"."&amp;VLOOKUP(AO59,uom_list,5,FALSE),"")</f>
        <v/>
      </c>
      <c r="AO59" s="1640" t="str">
        <f t="shared" si="18"/>
        <v/>
      </c>
      <c r="AP59" s="1645" t="str">
        <f t="shared" si="19"/>
        <v/>
      </c>
      <c r="AQ59" s="491" t="str">
        <f t="shared" si="20"/>
        <v/>
      </c>
      <c r="AR59" s="1281" t="str" cm="1">
        <f t="array" ref="AR59">IF(M59="","",IF(ISNA(Slookup(MID(AL59,1,3)*1,UomConversion!$D$8:$J$500,2,UomConversion!$I$8:$I$500,1,UomConversion!$J$8:$J$500,1)),"",Slookup(MID(AL59,1,3)*1,UomConversion!$D$8:$J$500,2,UomConversion!$I$8:$I$500,1,UomConversion!$J$8:$J$500,1)))</f>
        <v/>
      </c>
      <c r="AS59" s="663" t="str">
        <f>IF(M59="","",(SUMIFS('[1]1_inventory_totals'!$I$8:$I$10000,'[1]1_inventory_totals'!$C$8:$C$10000,I59,'[1]1_inventory_totals'!$F$8:$F$10000,"="&amp;Q59,'[1]1_inventory_totals'!$G$8:$G$10000,"="&amp;R59)+SUMIFS('[1]1_inventory_totals'!$N$8:$N$10000,'[1]1_inventory_totals'!$C$8:$C$10000,I59,'[1]1_inventory_totals'!$F$8:$F$10000,"="&amp;Q59,'[1]1_inventory_totals'!$G$8:$G$10000,"="&amp;R59)+SUMIFS('[1]1_inventory_totals'!$P$8:$P$10000,'[1]1_inventory_totals'!$C$8:$C$10000,I59,'[1]1_inventory_totals'!$F$8:$F$10000,"="&amp;Q59,'[1]1_inventory_totals'!$G$8:$G$10000,"="&amp;R59)+SUMIFS('[1]1_inventory_totals'!$Q$8:$Q$10000,'[1]1_inventory_totals'!$C$8:$C$10000,I59,'[1]1_inventory_totals'!$F$8:$F$10000,"="&amp;Q59,'[1]1_inventory_totals'!$G$8:$G$10000,"="&amp;R59)+SUMIFS('[1]1_inventory_totals'!$R$8:$R$10000,'[1]1_inventory_totals'!$C$8:$C$10000,I59,'[1]1_inventory_totals'!$F$8:$F$10000,"="&amp;Q59,'[1]1_inventory_totals'!$G$8:$G$10000,"="&amp;R59))+(SUMIFS('[1]1_inventory_totals'!$J$8:$J$10000,'[1]1_inventory_totals'!$C$8:$C$10000,I59,'[1]1_inventory_totals'!$F$8:$F$10000,"="&amp;Q59,'[1]1_inventory_totals'!$G$8:$G$10000,"="&amp;R59)+SUMIFS('[1]1_inventory_totals'!$K$8:$K$10000,'[1]1_inventory_totals'!$C$8:$C$10000,I59,'[1]1_inventory_totals'!$F$8:$F$10000,"="&amp;Q59,'[1]1_inventory_totals'!$G$8:$G$10000,"="&amp;R59)+SUMIFS('[1]1_inventory_totals'!$L$8:$L$10000,'[1]1_inventory_totals'!$C$8:$C$10000,I59,'[1]1_inventory_totals'!$F$8:$F$10000,"="&amp;Q59,'[1]1_inventory_totals'!$G$8:$G$10000,"="&amp;R59)+SUMIFS('[1]1_inventory_totals'!$M$8:$M$10000,'[1]1_inventory_totals'!$C$8:$C$10000,I59,'[1]1_inventory_totals'!$F$8:$F$10000,"="&amp;Q59,'[1]1_inventory_totals'!$G$8:$G$10000,"="&amp;R59)+SUMIFS('[1]1_inventory_totals'!$O$8:$O$10000,'[1]1_inventory_totals'!$C$8:$C$10000,I59,'[1]1_inventory_totals'!$F$8:$F$10000,"="&amp;Q59,'[1]1_inventory_totals'!$G$8:$G$10000,"="&amp;R59)+SUMIFS('[1]1_inventory_totals'!$S$8:$S$10000,'[1]1_inventory_totals'!$C$8:$C$10000,I59,'[1]1_inventory_totals'!$F$8:$F$10000,"="&amp;Q59,'[1]1_inventory_totals'!$G$8:$G$10000,"="&amp;R59)))</f>
        <v/>
      </c>
      <c r="AT59" s="1281" t="str">
        <f>IF(M59="","",(SUMIFS('[1]1_group_totals'!$K$8:$K$10000,'[1]1_group_totals'!$C$8:$C$10000,I59,'[1]1_group_totals'!$F$8:$F$10000,pb_location_group_id,'[1]1_group_totals'!$G$8:$G$10000,pb_location_id,'[1]1_group_totals'!$H$8:$H$10000,"="&amp;Q59,'[1]1_group_totals'!$I$8:$I$10000,"="&amp;R59)+SUMIFS('[1]1_group_totals'!$N$8:$N$10000,'[1]1_group_totals'!$C$8:$C$10000,I59,'[1]1_group_totals'!$F$8:$F$10000,pb_location_group_id,'[1]1_group_totals'!$G$8:$G$10000,pb_location_id,'[1]1_group_totals'!$H$8:$H$10000,"="&amp;Q59,'[1]1_group_totals'!$I$8:$I$10000,"="&amp;R59)+SUMIFS('[1]1_group_totals'!$P$8:$P$10000,'[1]1_group_totals'!$C$8:$C$10000,I59,'[1]1_group_totals'!$F$8:$F$10000,pb_location_group_id,'[1]1_group_totals'!$G$8:$G$10000,pb_location_id,'[1]1_group_totals'!$H$8:$H$10000,"="&amp;Q59,'[1]1_group_totals'!$I$8:$I$10000,"="&amp;R59)+SUMIFS('[1]1_group_totals'!$Q$8:$Q$10000,'[1]1_group_totals'!$C$8:$C$10000,I59,'[1]1_group_totals'!$F$8:$F$10000,pb_location_group_id,'[1]1_group_totals'!$G$8:$G$10000,pb_location_id,'[1]1_group_totals'!$H$8:$H$10000,"="&amp;Q59,'[1]1_group_totals'!$I$8:$I$10000,"="&amp;R59))+(SUMIFS('[1]1_group_totals'!$L$8:$L$10000,'[1]1_group_totals'!$C$8:$C$10000,I59,'[1]1_group_totals'!$F$8:$F$10000,pb_location_group_id,'[1]1_group_totals'!$G$8:$G$10000,pb_location_id,'[1]1_group_totals'!$H$8:$H$10000,"="&amp;Q59,'[1]1_group_totals'!$I$8:$I$10000,"="&amp;R59)+SUMIFS('[1]1_group_totals'!$M$8:$M$10000,'[1]1_group_totals'!$C$8:$C$10000,I59,'[1]1_group_totals'!$F$8:$F$10000,pb_location_group_id,'[1]1_group_totals'!$G$8:$G$10000,pb_location_id,'[1]1_group_totals'!$H$8:$H$10000,"="&amp;Q59,'[1]1_group_totals'!$I$8:$I$10000,"="&amp;R59)+SUMIFS('[1]1_group_totals'!$O$8:$O$10000,'[1]1_group_totals'!$C$8:$C$10000,I59,'[1]1_group_totals'!$F$8:$F$10000,pb_location_group_id,'[1]1_group_totals'!$G$8:$G$10000,pb_location_id,'[1]1_group_totals'!$H$8:$H$10000,"="&amp;Q59,'[1]1_group_totals'!$I$8:$I$10000,"="&amp;R59)+SUMIFS('[1]1_group_totals'!$R$8:$R$10000,'[1]1_group_totals'!$C$8:$C$10000,I59,'[1]1_group_totals'!$F$8:$F$10000,pb_location_group_id,'[1]1_group_totals'!$G$8:$G$10000,pb_location_id,'[1]1_group_totals'!$H$8:$H$10000,"="&amp;Q59,'[1]1_group_totals'!$I$8:$I$10000,"="&amp;R59)))</f>
        <v/>
      </c>
    </row>
    <row r="60" spans="1:46" ht="27" hidden="1" customHeight="1">
      <c r="A60" s="923"/>
      <c r="B60" s="1028"/>
      <c r="C60" s="950"/>
      <c r="D60" s="950"/>
      <c r="E60" s="950"/>
      <c r="F60" s="1029"/>
      <c r="G60" s="941"/>
      <c r="H60" s="1070"/>
      <c r="I60" s="1610" t="str">
        <f t="shared" si="8"/>
        <v/>
      </c>
      <c r="J60" s="1631" t="str">
        <f t="shared" si="25"/>
        <v/>
      </c>
      <c r="K60" s="1628"/>
      <c r="L60" s="1632"/>
      <c r="M60" s="1069"/>
      <c r="N60" s="1044"/>
      <c r="O60" s="1044"/>
      <c r="P60" s="1046"/>
      <c r="Q60" s="1047"/>
      <c r="R60" s="1053"/>
      <c r="S60" s="1634" t="str">
        <f t="shared" ref="S60" si="173">IF(M60="","",pb_currency_symbol)</f>
        <v/>
      </c>
      <c r="T60" s="1068"/>
      <c r="U60" s="1636" t="str">
        <f t="shared" si="10"/>
        <v/>
      </c>
      <c r="V60" s="1634" t="str">
        <f t="shared" ref="V60" si="174">IF(W60=0,"",pb_currency_symbol)</f>
        <v/>
      </c>
      <c r="W60" s="1054"/>
      <c r="X60" s="1634" t="str">
        <f t="shared" ref="X60" si="175">IF(M60="","",pb_currency_symbol)</f>
        <v/>
      </c>
      <c r="Y60" s="1638" t="str">
        <f t="shared" si="24"/>
        <v/>
      </c>
      <c r="Z60" s="1062"/>
      <c r="AA60" s="1639" t="str" cm="1">
        <f t="array" ref="AA60">IF(M60="","",IF(P60=AL60,1,Slookup(MID(AL60,1,3)*1,UomConversion!$D$8:$J$500,5,UomConversion!$E$8:$E$500,MID(P60,1,3)*1,UomConversion!$J$8:$J$500,1)))</f>
        <v/>
      </c>
      <c r="AB60" s="1640" t="str">
        <f t="shared" si="13"/>
        <v/>
      </c>
      <c r="AC60" s="1641" t="str">
        <f t="shared" si="14"/>
        <v/>
      </c>
      <c r="AD60" s="1642" t="str">
        <f t="shared" si="15"/>
        <v/>
      </c>
      <c r="AE60" s="1643" t="str">
        <f t="shared" si="16"/>
        <v/>
      </c>
      <c r="AF60" s="1640" t="str">
        <f>IF(I60="","",IF(ISNA(MATCH(I60,IF(pb_location_id=1,'[1]1_inventory_totals'!$C$8:$C$10000,IF(pb_location_id=2,'[1]2_inventory_totals'!$C$8:$C$10000,"")),0)),0,IF(AS60&gt;0,1,0)))</f>
        <v/>
      </c>
      <c r="AG60" s="1640" t="str">
        <f>IF(M60="","",IF(pb_location_id=1,SUMIFS('[1]1_inventory_total_details'!$J$8:$J$10000,'[1]1_inventory_total_details'!$C$8:$C$10000,I60,'[1]1_inventory_total_details'!$F$8:$F$10000,pb_location_id,'[1]1_inventory_total_details'!$G$8:$G$10000,"="&amp;Q60,'[1]1_inventory_total_details'!$H$8:$H$10000,"="&amp;R60,'[1]1_inventory_total_details'!$I$8:$I$10000,"="&amp;pb_date)+SUMIFS('[1]1_inventory_total_details'!$M$8:$M$10000,'[1]1_inventory_total_details'!$C$8:$C$10000,I60,'[1]1_inventory_total_details'!$F$8:$F$10000,pb_location_id,'[1]1_inventory_total_details'!$G$8:$G$10000,"="&amp;Q60,'[1]1_inventory_total_details'!$H$8:$H$10000,"="&amp;R60,'[1]1_inventory_total_details'!$I$8:$I$10000,"="&amp;pb_date)+SUMIFS('[1]1_inventory_total_details'!$K$8:$K$10000,'[1]1_inventory_total_details'!$C$8:$C$10000,I60,'[1]1_inventory_total_details'!$F$8:$F$10000,pb_location_id,'[1]1_inventory_total_details'!$G$8:$G$10000,"="&amp;Q60,'[1]1_inventory_total_details'!$H$8:$H$10000,"="&amp;R60,'[1]1_inventory_total_details'!$I$8:$I$10000,"="&amp;pb_date)+SUMIFS('[1]1_inventory_total_details'!$L$8:$L$10000,'[1]1_inventory_total_details'!$C$8:$C$10000,I60,'[1]1_inventory_total_details'!$F$8:$F$10000,pb_location_id,'[1]1_inventory_total_details'!$G$8:$G$10000,"="&amp;Q60,'[1]1_inventory_total_details'!$H$8:$H$10000,"="&amp;R60,'[1]1_inventory_total_details'!$I$8:$I$10000,"="&amp;pb_date),SUMIFS('[1]2_inventory_total_details'!$J$8:$J$10000,'[1]2_inventory_total_details'!$C$8:$C$10000,I60,'[1]1_inventory_total_details'!$F$8:$F$10000,pb_location_id,'[1]2_inventory_total_details'!$G$8:$G$10000,"="&amp;Q60,'[1]2_inventory_total_details'!$H$8:$H$10000,"="&amp;R60,'[1]2_inventory_total_details'!$I$8:$I$10000,"="&amp;pb_date)+SUMIFS('[1]2_inventory_total_details'!$M$8:$M$10000,'[1]2_inventory_total_details'!$C$8:$C$10000,I60,'[1]2_inventory_total_details'!$F$8:$F$10000,pb_location_id,'[1]2_inventory_total_details'!$G$8:$G$10000,"="&amp;Q60,'[1]2_inventory_total_details'!$H$8:$H$10000,"="&amp;R60,'[1]2_inventory_total_details'!$I$8:$I$10000,"="&amp;pb_date)+SUMIFS('[1]2_inventory_total_details'!$K$8:$K$10000,'[1]2_inventory_total_details'!$C$8:$C$10000,I60,'[1]2_inventory_total_details'!$F$8:$F$10000,pb_location_id,'[1]2_inventory_total_details'!$G$8:$G$10000,"="&amp;Q60,'[1]2_inventory_total_details'!$H$8:$H$10000,"="&amp;R60,'[1]2_inventory_total_details'!$I$8:$I$10000,"="&amp;pb_date)+SUMIFS('[1]2_inventory_total_details'!$L$8:$L$10000,'[1]2_inventory_total_details'!$C$8:$C$10000,I60,'[1]2_inventory_total_details'!$F$8:$F$10000,pb_location_id,'[1]2_inventory_total_details'!$G$8:$G$10000,"="&amp;Q60,'[1]2_inventory_total_details'!$H$8:$H$10000,"="&amp;R60,'[1]2_inventory_total_details'!$I$8:$I$10000,"="&amp;pb_date)))</f>
        <v/>
      </c>
      <c r="AH60" s="1640" t="str">
        <f>IF(M60="","",IF(ISNA(MATCH(I60,'[1]1_group_totals'!$C$8:$C$10000)),0,IF(AT60&gt;0,1,0)))</f>
        <v/>
      </c>
      <c r="AI60" s="1640" t="str">
        <f>IF(M60="","",(SUMIFS('[1]1_group_total_details'!$I$8:$I$10000,'[1]1_group_total_details'!$C$8:$C$10000,I60,'[1]1_group_total_details'!$F$8:$F$10000,pb_location_group_id,'[1]1_group_total_details'!$G$8:$G$10000,pb_location_id,'[1]1_group_total_details'!$H$8:$H$10000,"="&amp;pb_date)+SUMIFS('[1]1_group_total_details'!$L$8:$L$10000,'[1]1_group_total_details'!$C$8:$C$10000,I60,'[1]1_group_total_details'!$F$8:$F$10000,pb_location_group_id,'[1]1_group_total_details'!$G$8:$G$10000,pb_location_id,'[1]1_group_total_details'!$H$8:$H$10000,"="&amp;pb_date)+SUMIFS('[1]1_group_total_details'!$N$8:$N$10000,'[1]1_group_total_details'!$C$8:$C$10000,I60,'[1]1_group_total_details'!$F$8:$F$10000,pb_location_group_id,'[1]1_group_total_details'!$G$8:$G$10000,pb_location_id,'[1]1_group_total_details'!$H$8:$H$10000,"="&amp;pb_date)+SUMIFS('[1]1_group_total_details'!$O$8:$O$10000,'[1]1_group_total_details'!$C$8:$C$10000,I60,'[1]1_group_total_details'!$F$8:$F$10000,pb_location_group_id,'[1]1_group_total_details'!$G$8:$G$10000,pb_location_id,'[1]1_group_total_details'!$H$8:$H$10000,"="&amp;pb_date))+(SUMIFS('[1]1_group_total_details'!$J$8:$J$10000,'[1]1_group_total_details'!$C$8:$C$10000,I60,'[1]1_group_total_details'!$F$8:$F$10000,pb_location_group_id,'[1]1_group_total_details'!$G$8:$G$10000,pb_location_id,'[1]1_group_total_details'!$H$8:$H$10000,"="&amp;pb_date)+SUMIFS('[1]1_group_total_details'!$K$8:$K$10000,'[1]1_group_total_details'!$C$8:$C$10000,I60,'[1]1_group_total_details'!$F$8:$F$10000,pb_location_group_id,'[1]1_group_total_details'!$G$8:$G$10000,pb_location_id,'[1]1_group_total_details'!$H$8:$H$10000,"="&amp;pb_date)+SUMIFS('[1]1_group_total_details'!$M$8:$M$10000,'[1]1_group_total_details'!$C$8:$C$10000,I60,'[1]1_group_total_details'!$F$8:$F$10000,pb_location_group_id,'[1]1_group_total_details'!$G$8:$G$10000,pb_location_id,'[1]1_group_total_details'!$H$8:$H$10000,"="&amp;pb_date)+SUMIFS('[1]1_group_total_details'!$P$8:$P$10000,'[1]1_group_total_details'!$C$8:$C$10000,I60,'[1]1_group_total_details'!$F$8:$F$10000,pb_location_group_id,'[1]1_group_total_details'!$G$8:$G$10000,pb_location_id,'[1]1_group_total_details'!$H$8:$H$10000,"="&amp;pb_date)))</f>
        <v/>
      </c>
      <c r="AJ60" s="1640" t="str">
        <f>IF(M60="","",IF(AK60=0,0,(SUMIFS('[1]1_group_total_details'!$I$8:$I$10000,'[1]1_group_total_details'!$C$8:$C$10000,I60,'[1]1_group_total_details'!$F$8:$F$10000,pb_location_group_id,'[1]1_group_total_details'!$G$8:$G$10000,pb_location_id,'[1]1_group_total_details'!$H$8:$H$10000,"&lt;="&amp;pb_date)+SUMIFS('[1]1_group_total_details'!$L$8:$L$10000,'[1]1_group_total_details'!$C$8:$C$10000,I60,'[1]1_group_total_details'!$F$8:$F$10000,pb_location_group_id,'[1]1_group_total_details'!$G$8:$G$10000,pb_location_id,'[1]1_group_total_details'!$H$8:$H$10000,"&lt;="&amp;pb_date)+SUMIFS('[1]1_group_total_details'!$N$8:$N$10000,'[1]1_group_total_details'!$C$8:$C$10000,I60,'[1]1_group_total_details'!$F$8:$F$10000,pb_location_group_id,'[1]1_group_total_details'!$G$8:$G$10000,pb_location_id,'[1]1_group_total_details'!$H$8:$H$10000,"&lt;="&amp;pb_date)+SUMIFS('[1]1_group_total_details'!$O$8:$O$10000,'[1]1_group_total_details'!$C$8:$C$10000,I60,'[1]1_group_total_details'!$F$8:$F$10000,pb_location_group_id,'[1]1_group_total_details'!$G$8:$G$10000,pb_location_id,'[1]1_group_total_details'!$H$8:$H$10000,"&lt;="&amp;pb_date))-(SUMIFS('[1]1_group_total_details'!$J$8:$J$10000,'[1]1_group_total_details'!$C$8:$C$10000,I60,'[1]1_group_total_details'!$F$8:$F$10000,pb_location_group_id,'[1]1_group_total_details'!$G$8:$G$10000,pb_location_id,'[1]1_group_total_details'!$H$8:$H$10000,"&lt;="&amp;pb_date)+SUMIFS('[1]1_group_total_details'!$K$8:$K$10000,'[1]1_group_total_details'!$C$8:$C$10000,I60,'[1]1_group_total_details'!$F$8:$F$10000,pb_location_group_id,'[1]1_group_total_details'!$G$8:$G$10000,invoice_location_id,'[1]1_group_total_details'!$H$8:$H$10000,"&lt;="&amp;pb_date)+SUMIFS('[1]1_group_total_details'!$M$8:$M$10000,'[1]1_group_total_details'!$C$8:$C$10000,I60,'[1]1_group_total_details'!$F$8:$F$10000,pb_location_group_id,'[1]1_group_total_details'!$G$8:$G$10000,pb_location_id,'[1]1_group_total_details'!$H$8:$H$10000,"&lt;="&amp;pb_date)+SUMIFS('[1]1_group_total_details'!$P$8:$P$10000,'[1]1_group_total_details'!$C$8:$C$10000,I60,'[1]1_group_total_details'!$F$8:$F$10000,pb_location_group_id,'[1]1_group_total_details'!$G$8:$G$10000,pb_location_id,'[1]1_group_total_details'!$H$8:$H$10000,"&lt;="&amp;pb_date))))</f>
        <v/>
      </c>
      <c r="AK60" s="1640" t="str">
        <f>IF(M60="","",SUMIFS('[1]1_group_totals'!$J$8:$J$10000,'[1]1_group_totals'!$C$8:$C$10000,I60,'[1]1_group_totals'!$F$8:$F$10000,pb_location_group_id,'[1]1_group_totals'!$G$8:$G$10000,pb_location_id,'[1]1_group_totals'!$H$8:$H$10000,"="&amp;Q60,'[1]1_group_totals'!$I$8:$I$10000,"="&amp;R60))</f>
        <v/>
      </c>
      <c r="AL60" s="1644" t="str">
        <f t="shared" si="17"/>
        <v/>
      </c>
      <c r="AM60" s="1644" t="str">
        <f>IF(OR(ISNA(MATCH(MID(AL60,1,3)*1,UomConversion!$D$8:$D$500,0)),M60=""),"",IF(AQ60="","",AQ60))</f>
        <v/>
      </c>
      <c r="AN60" s="1644" t="str">
        <f>IF(AND(AO60&gt;0,COUNTIFS(UomConversion!$D$8:$D$500,MID(AL60,1,3)*1,UomConversion!$J$8:$J$500,1)&gt;1),TEXT(AO60,"000")&amp;"."&amp;VLOOKUP(AO60,uom_list,5,FALSE),"")</f>
        <v/>
      </c>
      <c r="AO60" s="1640" t="str">
        <f t="shared" si="18"/>
        <v/>
      </c>
      <c r="AP60" s="1645" t="str">
        <f t="shared" si="19"/>
        <v/>
      </c>
      <c r="AQ60" s="491" t="str">
        <f t="shared" si="20"/>
        <v/>
      </c>
      <c r="AR60" s="1281" t="str" cm="1">
        <f t="array" ref="AR60">IF(M60="","",IF(ISNA(Slookup(MID(AL60,1,3)*1,UomConversion!$D$8:$J$500,2,UomConversion!$I$8:$I$500,1,UomConversion!$J$8:$J$500,1)),"",Slookup(MID(AL60,1,3)*1,UomConversion!$D$8:$J$500,2,UomConversion!$I$8:$I$500,1,UomConversion!$J$8:$J$500,1)))</f>
        <v/>
      </c>
      <c r="AS60" s="663" t="str">
        <f>IF(M60="","",(SUMIFS('[1]1_inventory_totals'!$I$8:$I$10000,'[1]1_inventory_totals'!$C$8:$C$10000,I60,'[1]1_inventory_totals'!$F$8:$F$10000,"="&amp;Q60,'[1]1_inventory_totals'!$G$8:$G$10000,"="&amp;R60)+SUMIFS('[1]1_inventory_totals'!$N$8:$N$10000,'[1]1_inventory_totals'!$C$8:$C$10000,I60,'[1]1_inventory_totals'!$F$8:$F$10000,"="&amp;Q60,'[1]1_inventory_totals'!$G$8:$G$10000,"="&amp;R60)+SUMIFS('[1]1_inventory_totals'!$P$8:$P$10000,'[1]1_inventory_totals'!$C$8:$C$10000,I60,'[1]1_inventory_totals'!$F$8:$F$10000,"="&amp;Q60,'[1]1_inventory_totals'!$G$8:$G$10000,"="&amp;R60)+SUMIFS('[1]1_inventory_totals'!$Q$8:$Q$10000,'[1]1_inventory_totals'!$C$8:$C$10000,I60,'[1]1_inventory_totals'!$F$8:$F$10000,"="&amp;Q60,'[1]1_inventory_totals'!$G$8:$G$10000,"="&amp;R60)+SUMIFS('[1]1_inventory_totals'!$R$8:$R$10000,'[1]1_inventory_totals'!$C$8:$C$10000,I60,'[1]1_inventory_totals'!$F$8:$F$10000,"="&amp;Q60,'[1]1_inventory_totals'!$G$8:$G$10000,"="&amp;R60))+(SUMIFS('[1]1_inventory_totals'!$J$8:$J$10000,'[1]1_inventory_totals'!$C$8:$C$10000,I60,'[1]1_inventory_totals'!$F$8:$F$10000,"="&amp;Q60,'[1]1_inventory_totals'!$G$8:$G$10000,"="&amp;R60)+SUMIFS('[1]1_inventory_totals'!$K$8:$K$10000,'[1]1_inventory_totals'!$C$8:$C$10000,I60,'[1]1_inventory_totals'!$F$8:$F$10000,"="&amp;Q60,'[1]1_inventory_totals'!$G$8:$G$10000,"="&amp;R60)+SUMIFS('[1]1_inventory_totals'!$L$8:$L$10000,'[1]1_inventory_totals'!$C$8:$C$10000,I60,'[1]1_inventory_totals'!$F$8:$F$10000,"="&amp;Q60,'[1]1_inventory_totals'!$G$8:$G$10000,"="&amp;R60)+SUMIFS('[1]1_inventory_totals'!$M$8:$M$10000,'[1]1_inventory_totals'!$C$8:$C$10000,I60,'[1]1_inventory_totals'!$F$8:$F$10000,"="&amp;Q60,'[1]1_inventory_totals'!$G$8:$G$10000,"="&amp;R60)+SUMIFS('[1]1_inventory_totals'!$O$8:$O$10000,'[1]1_inventory_totals'!$C$8:$C$10000,I60,'[1]1_inventory_totals'!$F$8:$F$10000,"="&amp;Q60,'[1]1_inventory_totals'!$G$8:$G$10000,"="&amp;R60)+SUMIFS('[1]1_inventory_totals'!$S$8:$S$10000,'[1]1_inventory_totals'!$C$8:$C$10000,I60,'[1]1_inventory_totals'!$F$8:$F$10000,"="&amp;Q60,'[1]1_inventory_totals'!$G$8:$G$10000,"="&amp;R60)))</f>
        <v/>
      </c>
      <c r="AT60" s="1281" t="str">
        <f>IF(M60="","",(SUMIFS('[1]1_group_totals'!$K$8:$K$10000,'[1]1_group_totals'!$C$8:$C$10000,I60,'[1]1_group_totals'!$F$8:$F$10000,pb_location_group_id,'[1]1_group_totals'!$G$8:$G$10000,pb_location_id,'[1]1_group_totals'!$H$8:$H$10000,"="&amp;Q60,'[1]1_group_totals'!$I$8:$I$10000,"="&amp;R60)+SUMIFS('[1]1_group_totals'!$N$8:$N$10000,'[1]1_group_totals'!$C$8:$C$10000,I60,'[1]1_group_totals'!$F$8:$F$10000,pb_location_group_id,'[1]1_group_totals'!$G$8:$G$10000,pb_location_id,'[1]1_group_totals'!$H$8:$H$10000,"="&amp;Q60,'[1]1_group_totals'!$I$8:$I$10000,"="&amp;R60)+SUMIFS('[1]1_group_totals'!$P$8:$P$10000,'[1]1_group_totals'!$C$8:$C$10000,I60,'[1]1_group_totals'!$F$8:$F$10000,pb_location_group_id,'[1]1_group_totals'!$G$8:$G$10000,pb_location_id,'[1]1_group_totals'!$H$8:$H$10000,"="&amp;Q60,'[1]1_group_totals'!$I$8:$I$10000,"="&amp;R60)+SUMIFS('[1]1_group_totals'!$Q$8:$Q$10000,'[1]1_group_totals'!$C$8:$C$10000,I60,'[1]1_group_totals'!$F$8:$F$10000,pb_location_group_id,'[1]1_group_totals'!$G$8:$G$10000,pb_location_id,'[1]1_group_totals'!$H$8:$H$10000,"="&amp;Q60,'[1]1_group_totals'!$I$8:$I$10000,"="&amp;R60))+(SUMIFS('[1]1_group_totals'!$L$8:$L$10000,'[1]1_group_totals'!$C$8:$C$10000,I60,'[1]1_group_totals'!$F$8:$F$10000,pb_location_group_id,'[1]1_group_totals'!$G$8:$G$10000,pb_location_id,'[1]1_group_totals'!$H$8:$H$10000,"="&amp;Q60,'[1]1_group_totals'!$I$8:$I$10000,"="&amp;R60)+SUMIFS('[1]1_group_totals'!$M$8:$M$10000,'[1]1_group_totals'!$C$8:$C$10000,I60,'[1]1_group_totals'!$F$8:$F$10000,pb_location_group_id,'[1]1_group_totals'!$G$8:$G$10000,pb_location_id,'[1]1_group_totals'!$H$8:$H$10000,"="&amp;Q60,'[1]1_group_totals'!$I$8:$I$10000,"="&amp;R60)+SUMIFS('[1]1_group_totals'!$O$8:$O$10000,'[1]1_group_totals'!$C$8:$C$10000,I60,'[1]1_group_totals'!$F$8:$F$10000,pb_location_group_id,'[1]1_group_totals'!$G$8:$G$10000,pb_location_id,'[1]1_group_totals'!$H$8:$H$10000,"="&amp;Q60,'[1]1_group_totals'!$I$8:$I$10000,"="&amp;R60)+SUMIFS('[1]1_group_totals'!$R$8:$R$10000,'[1]1_group_totals'!$C$8:$C$10000,I60,'[1]1_group_totals'!$F$8:$F$10000,pb_location_group_id,'[1]1_group_totals'!$G$8:$G$10000,pb_location_id,'[1]1_group_totals'!$H$8:$H$10000,"="&amp;Q60,'[1]1_group_totals'!$I$8:$I$10000,"="&amp;R60)))</f>
        <v/>
      </c>
    </row>
    <row r="61" spans="1:46" ht="27" hidden="1" customHeight="1">
      <c r="A61" s="923"/>
      <c r="B61" s="1028"/>
      <c r="C61" s="950"/>
      <c r="D61" s="950"/>
      <c r="E61" s="950"/>
      <c r="F61" s="1029"/>
      <c r="G61" s="941"/>
      <c r="H61" s="1070"/>
      <c r="I61" s="1610" t="str">
        <f t="shared" si="8"/>
        <v/>
      </c>
      <c r="J61" s="1631" t="str">
        <f t="shared" si="25"/>
        <v/>
      </c>
      <c r="K61" s="1628"/>
      <c r="L61" s="1632"/>
      <c r="M61" s="1069"/>
      <c r="N61" s="1044"/>
      <c r="O61" s="1044"/>
      <c r="P61" s="1046"/>
      <c r="Q61" s="1047"/>
      <c r="R61" s="1053"/>
      <c r="S61" s="1634" t="str">
        <f t="shared" ref="S61" si="176">IF(M61="","",pb_currency_symbol)</f>
        <v/>
      </c>
      <c r="T61" s="1068"/>
      <c r="U61" s="1636" t="str">
        <f t="shared" si="10"/>
        <v/>
      </c>
      <c r="V61" s="1634" t="str">
        <f t="shared" ref="V61" si="177">IF(W61=0,"",pb_currency_symbol)</f>
        <v/>
      </c>
      <c r="W61" s="1054"/>
      <c r="X61" s="1634" t="str">
        <f t="shared" ref="X61" si="178">IF(M61="","",pb_currency_symbol)</f>
        <v/>
      </c>
      <c r="Y61" s="1638" t="str">
        <f t="shared" si="24"/>
        <v/>
      </c>
      <c r="Z61" s="1062"/>
      <c r="AA61" s="1639" t="str" cm="1">
        <f t="array" ref="AA61">IF(M61="","",IF(P61=AL61,1,Slookup(MID(AL61,1,3)*1,UomConversion!$D$8:$J$500,5,UomConversion!$E$8:$E$500,MID(P61,1,3)*1,UomConversion!$J$8:$J$500,1)))</f>
        <v/>
      </c>
      <c r="AB61" s="1640" t="str">
        <f t="shared" si="13"/>
        <v/>
      </c>
      <c r="AC61" s="1641" t="str">
        <f t="shared" si="14"/>
        <v/>
      </c>
      <c r="AD61" s="1642" t="str">
        <f t="shared" si="15"/>
        <v/>
      </c>
      <c r="AE61" s="1643" t="str">
        <f t="shared" si="16"/>
        <v/>
      </c>
      <c r="AF61" s="1640" t="str">
        <f>IF(I61="","",IF(ISNA(MATCH(I61,IF(pb_location_id=1,'[1]1_inventory_totals'!$C$8:$C$10000,IF(pb_location_id=2,'[1]2_inventory_totals'!$C$8:$C$10000,"")),0)),0,IF(AS61&gt;0,1,0)))</f>
        <v/>
      </c>
      <c r="AG61" s="1640" t="str">
        <f>IF(M61="","",IF(pb_location_id=1,SUMIFS('[1]1_inventory_total_details'!$J$8:$J$10000,'[1]1_inventory_total_details'!$C$8:$C$10000,I61,'[1]1_inventory_total_details'!$F$8:$F$10000,pb_location_id,'[1]1_inventory_total_details'!$G$8:$G$10000,"="&amp;Q61,'[1]1_inventory_total_details'!$H$8:$H$10000,"="&amp;R61,'[1]1_inventory_total_details'!$I$8:$I$10000,"="&amp;pb_date)+SUMIFS('[1]1_inventory_total_details'!$M$8:$M$10000,'[1]1_inventory_total_details'!$C$8:$C$10000,I61,'[1]1_inventory_total_details'!$F$8:$F$10000,pb_location_id,'[1]1_inventory_total_details'!$G$8:$G$10000,"="&amp;Q61,'[1]1_inventory_total_details'!$H$8:$H$10000,"="&amp;R61,'[1]1_inventory_total_details'!$I$8:$I$10000,"="&amp;pb_date)+SUMIFS('[1]1_inventory_total_details'!$K$8:$K$10000,'[1]1_inventory_total_details'!$C$8:$C$10000,I61,'[1]1_inventory_total_details'!$F$8:$F$10000,pb_location_id,'[1]1_inventory_total_details'!$G$8:$G$10000,"="&amp;Q61,'[1]1_inventory_total_details'!$H$8:$H$10000,"="&amp;R61,'[1]1_inventory_total_details'!$I$8:$I$10000,"="&amp;pb_date)+SUMIFS('[1]1_inventory_total_details'!$L$8:$L$10000,'[1]1_inventory_total_details'!$C$8:$C$10000,I61,'[1]1_inventory_total_details'!$F$8:$F$10000,pb_location_id,'[1]1_inventory_total_details'!$G$8:$G$10000,"="&amp;Q61,'[1]1_inventory_total_details'!$H$8:$H$10000,"="&amp;R61,'[1]1_inventory_total_details'!$I$8:$I$10000,"="&amp;pb_date),SUMIFS('[1]2_inventory_total_details'!$J$8:$J$10000,'[1]2_inventory_total_details'!$C$8:$C$10000,I61,'[1]1_inventory_total_details'!$F$8:$F$10000,pb_location_id,'[1]2_inventory_total_details'!$G$8:$G$10000,"="&amp;Q61,'[1]2_inventory_total_details'!$H$8:$H$10000,"="&amp;R61,'[1]2_inventory_total_details'!$I$8:$I$10000,"="&amp;pb_date)+SUMIFS('[1]2_inventory_total_details'!$M$8:$M$10000,'[1]2_inventory_total_details'!$C$8:$C$10000,I61,'[1]2_inventory_total_details'!$F$8:$F$10000,pb_location_id,'[1]2_inventory_total_details'!$G$8:$G$10000,"="&amp;Q61,'[1]2_inventory_total_details'!$H$8:$H$10000,"="&amp;R61,'[1]2_inventory_total_details'!$I$8:$I$10000,"="&amp;pb_date)+SUMIFS('[1]2_inventory_total_details'!$K$8:$K$10000,'[1]2_inventory_total_details'!$C$8:$C$10000,I61,'[1]2_inventory_total_details'!$F$8:$F$10000,pb_location_id,'[1]2_inventory_total_details'!$G$8:$G$10000,"="&amp;Q61,'[1]2_inventory_total_details'!$H$8:$H$10000,"="&amp;R61,'[1]2_inventory_total_details'!$I$8:$I$10000,"="&amp;pb_date)+SUMIFS('[1]2_inventory_total_details'!$L$8:$L$10000,'[1]2_inventory_total_details'!$C$8:$C$10000,I61,'[1]2_inventory_total_details'!$F$8:$F$10000,pb_location_id,'[1]2_inventory_total_details'!$G$8:$G$10000,"="&amp;Q61,'[1]2_inventory_total_details'!$H$8:$H$10000,"="&amp;R61,'[1]2_inventory_total_details'!$I$8:$I$10000,"="&amp;pb_date)))</f>
        <v/>
      </c>
      <c r="AH61" s="1640" t="str">
        <f>IF(M61="","",IF(ISNA(MATCH(I61,'[1]1_group_totals'!$C$8:$C$10000)),0,IF(AT61&gt;0,1,0)))</f>
        <v/>
      </c>
      <c r="AI61" s="1640" t="str">
        <f>IF(M61="","",(SUMIFS('[1]1_group_total_details'!$I$8:$I$10000,'[1]1_group_total_details'!$C$8:$C$10000,I61,'[1]1_group_total_details'!$F$8:$F$10000,pb_location_group_id,'[1]1_group_total_details'!$G$8:$G$10000,pb_location_id,'[1]1_group_total_details'!$H$8:$H$10000,"="&amp;pb_date)+SUMIFS('[1]1_group_total_details'!$L$8:$L$10000,'[1]1_group_total_details'!$C$8:$C$10000,I61,'[1]1_group_total_details'!$F$8:$F$10000,pb_location_group_id,'[1]1_group_total_details'!$G$8:$G$10000,pb_location_id,'[1]1_group_total_details'!$H$8:$H$10000,"="&amp;pb_date)+SUMIFS('[1]1_group_total_details'!$N$8:$N$10000,'[1]1_group_total_details'!$C$8:$C$10000,I61,'[1]1_group_total_details'!$F$8:$F$10000,pb_location_group_id,'[1]1_group_total_details'!$G$8:$G$10000,pb_location_id,'[1]1_group_total_details'!$H$8:$H$10000,"="&amp;pb_date)+SUMIFS('[1]1_group_total_details'!$O$8:$O$10000,'[1]1_group_total_details'!$C$8:$C$10000,I61,'[1]1_group_total_details'!$F$8:$F$10000,pb_location_group_id,'[1]1_group_total_details'!$G$8:$G$10000,pb_location_id,'[1]1_group_total_details'!$H$8:$H$10000,"="&amp;pb_date))+(SUMIFS('[1]1_group_total_details'!$J$8:$J$10000,'[1]1_group_total_details'!$C$8:$C$10000,I61,'[1]1_group_total_details'!$F$8:$F$10000,pb_location_group_id,'[1]1_group_total_details'!$G$8:$G$10000,pb_location_id,'[1]1_group_total_details'!$H$8:$H$10000,"="&amp;pb_date)+SUMIFS('[1]1_group_total_details'!$K$8:$K$10000,'[1]1_group_total_details'!$C$8:$C$10000,I61,'[1]1_group_total_details'!$F$8:$F$10000,pb_location_group_id,'[1]1_group_total_details'!$G$8:$G$10000,pb_location_id,'[1]1_group_total_details'!$H$8:$H$10000,"="&amp;pb_date)+SUMIFS('[1]1_group_total_details'!$M$8:$M$10000,'[1]1_group_total_details'!$C$8:$C$10000,I61,'[1]1_group_total_details'!$F$8:$F$10000,pb_location_group_id,'[1]1_group_total_details'!$G$8:$G$10000,pb_location_id,'[1]1_group_total_details'!$H$8:$H$10000,"="&amp;pb_date)+SUMIFS('[1]1_group_total_details'!$P$8:$P$10000,'[1]1_group_total_details'!$C$8:$C$10000,I61,'[1]1_group_total_details'!$F$8:$F$10000,pb_location_group_id,'[1]1_group_total_details'!$G$8:$G$10000,pb_location_id,'[1]1_group_total_details'!$H$8:$H$10000,"="&amp;pb_date)))</f>
        <v/>
      </c>
      <c r="AJ61" s="1640" t="str">
        <f>IF(M61="","",IF(AK61=0,0,(SUMIFS('[1]1_group_total_details'!$I$8:$I$10000,'[1]1_group_total_details'!$C$8:$C$10000,I61,'[1]1_group_total_details'!$F$8:$F$10000,pb_location_group_id,'[1]1_group_total_details'!$G$8:$G$10000,pb_location_id,'[1]1_group_total_details'!$H$8:$H$10000,"&lt;="&amp;pb_date)+SUMIFS('[1]1_group_total_details'!$L$8:$L$10000,'[1]1_group_total_details'!$C$8:$C$10000,I61,'[1]1_group_total_details'!$F$8:$F$10000,pb_location_group_id,'[1]1_group_total_details'!$G$8:$G$10000,pb_location_id,'[1]1_group_total_details'!$H$8:$H$10000,"&lt;="&amp;pb_date)+SUMIFS('[1]1_group_total_details'!$N$8:$N$10000,'[1]1_group_total_details'!$C$8:$C$10000,I61,'[1]1_group_total_details'!$F$8:$F$10000,pb_location_group_id,'[1]1_group_total_details'!$G$8:$G$10000,pb_location_id,'[1]1_group_total_details'!$H$8:$H$10000,"&lt;="&amp;pb_date)+SUMIFS('[1]1_group_total_details'!$O$8:$O$10000,'[1]1_group_total_details'!$C$8:$C$10000,I61,'[1]1_group_total_details'!$F$8:$F$10000,pb_location_group_id,'[1]1_group_total_details'!$G$8:$G$10000,pb_location_id,'[1]1_group_total_details'!$H$8:$H$10000,"&lt;="&amp;pb_date))-(SUMIFS('[1]1_group_total_details'!$J$8:$J$10000,'[1]1_group_total_details'!$C$8:$C$10000,I61,'[1]1_group_total_details'!$F$8:$F$10000,pb_location_group_id,'[1]1_group_total_details'!$G$8:$G$10000,pb_location_id,'[1]1_group_total_details'!$H$8:$H$10000,"&lt;="&amp;pb_date)+SUMIFS('[1]1_group_total_details'!$K$8:$K$10000,'[1]1_group_total_details'!$C$8:$C$10000,I61,'[1]1_group_total_details'!$F$8:$F$10000,pb_location_group_id,'[1]1_group_total_details'!$G$8:$G$10000,invoice_location_id,'[1]1_group_total_details'!$H$8:$H$10000,"&lt;="&amp;pb_date)+SUMIFS('[1]1_group_total_details'!$M$8:$M$10000,'[1]1_group_total_details'!$C$8:$C$10000,I61,'[1]1_group_total_details'!$F$8:$F$10000,pb_location_group_id,'[1]1_group_total_details'!$G$8:$G$10000,pb_location_id,'[1]1_group_total_details'!$H$8:$H$10000,"&lt;="&amp;pb_date)+SUMIFS('[1]1_group_total_details'!$P$8:$P$10000,'[1]1_group_total_details'!$C$8:$C$10000,I61,'[1]1_group_total_details'!$F$8:$F$10000,pb_location_group_id,'[1]1_group_total_details'!$G$8:$G$10000,pb_location_id,'[1]1_group_total_details'!$H$8:$H$10000,"&lt;="&amp;pb_date))))</f>
        <v/>
      </c>
      <c r="AK61" s="1640" t="str">
        <f>IF(M61="","",SUMIFS('[1]1_group_totals'!$J$8:$J$10000,'[1]1_group_totals'!$C$8:$C$10000,I61,'[1]1_group_totals'!$F$8:$F$10000,pb_location_group_id,'[1]1_group_totals'!$G$8:$G$10000,pb_location_id,'[1]1_group_totals'!$H$8:$H$10000,"="&amp;Q61,'[1]1_group_totals'!$I$8:$I$10000,"="&amp;R61))</f>
        <v/>
      </c>
      <c r="AL61" s="1644" t="str">
        <f t="shared" si="17"/>
        <v/>
      </c>
      <c r="AM61" s="1644" t="str">
        <f>IF(OR(ISNA(MATCH(MID(AL61,1,3)*1,UomConversion!$D$8:$D$500,0)),M61=""),"",IF(AQ61="","",AQ61))</f>
        <v/>
      </c>
      <c r="AN61" s="1644" t="str">
        <f>IF(AND(AO61&gt;0,COUNTIFS(UomConversion!$D$8:$D$500,MID(AL61,1,3)*1,UomConversion!$J$8:$J$500,1)&gt;1),TEXT(AO61,"000")&amp;"."&amp;VLOOKUP(AO61,uom_list,5,FALSE),"")</f>
        <v/>
      </c>
      <c r="AO61" s="1640" t="str">
        <f t="shared" si="18"/>
        <v/>
      </c>
      <c r="AP61" s="1645" t="str">
        <f t="shared" si="19"/>
        <v/>
      </c>
      <c r="AQ61" s="491" t="str">
        <f t="shared" si="20"/>
        <v/>
      </c>
      <c r="AR61" s="1281" t="str" cm="1">
        <f t="array" ref="AR61">IF(M61="","",IF(ISNA(Slookup(MID(AL61,1,3)*1,UomConversion!$D$8:$J$500,2,UomConversion!$I$8:$I$500,1,UomConversion!$J$8:$J$500,1)),"",Slookup(MID(AL61,1,3)*1,UomConversion!$D$8:$J$500,2,UomConversion!$I$8:$I$500,1,UomConversion!$J$8:$J$500,1)))</f>
        <v/>
      </c>
      <c r="AS61" s="663" t="str">
        <f>IF(M61="","",(SUMIFS('[1]1_inventory_totals'!$I$8:$I$10000,'[1]1_inventory_totals'!$C$8:$C$10000,I61,'[1]1_inventory_totals'!$F$8:$F$10000,"="&amp;Q61,'[1]1_inventory_totals'!$G$8:$G$10000,"="&amp;R61)+SUMIFS('[1]1_inventory_totals'!$N$8:$N$10000,'[1]1_inventory_totals'!$C$8:$C$10000,I61,'[1]1_inventory_totals'!$F$8:$F$10000,"="&amp;Q61,'[1]1_inventory_totals'!$G$8:$G$10000,"="&amp;R61)+SUMIFS('[1]1_inventory_totals'!$P$8:$P$10000,'[1]1_inventory_totals'!$C$8:$C$10000,I61,'[1]1_inventory_totals'!$F$8:$F$10000,"="&amp;Q61,'[1]1_inventory_totals'!$G$8:$G$10000,"="&amp;R61)+SUMIFS('[1]1_inventory_totals'!$Q$8:$Q$10000,'[1]1_inventory_totals'!$C$8:$C$10000,I61,'[1]1_inventory_totals'!$F$8:$F$10000,"="&amp;Q61,'[1]1_inventory_totals'!$G$8:$G$10000,"="&amp;R61)+SUMIFS('[1]1_inventory_totals'!$R$8:$R$10000,'[1]1_inventory_totals'!$C$8:$C$10000,I61,'[1]1_inventory_totals'!$F$8:$F$10000,"="&amp;Q61,'[1]1_inventory_totals'!$G$8:$G$10000,"="&amp;R61))+(SUMIFS('[1]1_inventory_totals'!$J$8:$J$10000,'[1]1_inventory_totals'!$C$8:$C$10000,I61,'[1]1_inventory_totals'!$F$8:$F$10000,"="&amp;Q61,'[1]1_inventory_totals'!$G$8:$G$10000,"="&amp;R61)+SUMIFS('[1]1_inventory_totals'!$K$8:$K$10000,'[1]1_inventory_totals'!$C$8:$C$10000,I61,'[1]1_inventory_totals'!$F$8:$F$10000,"="&amp;Q61,'[1]1_inventory_totals'!$G$8:$G$10000,"="&amp;R61)+SUMIFS('[1]1_inventory_totals'!$L$8:$L$10000,'[1]1_inventory_totals'!$C$8:$C$10000,I61,'[1]1_inventory_totals'!$F$8:$F$10000,"="&amp;Q61,'[1]1_inventory_totals'!$G$8:$G$10000,"="&amp;R61)+SUMIFS('[1]1_inventory_totals'!$M$8:$M$10000,'[1]1_inventory_totals'!$C$8:$C$10000,I61,'[1]1_inventory_totals'!$F$8:$F$10000,"="&amp;Q61,'[1]1_inventory_totals'!$G$8:$G$10000,"="&amp;R61)+SUMIFS('[1]1_inventory_totals'!$O$8:$O$10000,'[1]1_inventory_totals'!$C$8:$C$10000,I61,'[1]1_inventory_totals'!$F$8:$F$10000,"="&amp;Q61,'[1]1_inventory_totals'!$G$8:$G$10000,"="&amp;R61)+SUMIFS('[1]1_inventory_totals'!$S$8:$S$10000,'[1]1_inventory_totals'!$C$8:$C$10000,I61,'[1]1_inventory_totals'!$F$8:$F$10000,"="&amp;Q61,'[1]1_inventory_totals'!$G$8:$G$10000,"="&amp;R61)))</f>
        <v/>
      </c>
      <c r="AT61" s="1281" t="str">
        <f>IF(M61="","",(SUMIFS('[1]1_group_totals'!$K$8:$K$10000,'[1]1_group_totals'!$C$8:$C$10000,I61,'[1]1_group_totals'!$F$8:$F$10000,pb_location_group_id,'[1]1_group_totals'!$G$8:$G$10000,pb_location_id,'[1]1_group_totals'!$H$8:$H$10000,"="&amp;Q61,'[1]1_group_totals'!$I$8:$I$10000,"="&amp;R61)+SUMIFS('[1]1_group_totals'!$N$8:$N$10000,'[1]1_group_totals'!$C$8:$C$10000,I61,'[1]1_group_totals'!$F$8:$F$10000,pb_location_group_id,'[1]1_group_totals'!$G$8:$G$10000,pb_location_id,'[1]1_group_totals'!$H$8:$H$10000,"="&amp;Q61,'[1]1_group_totals'!$I$8:$I$10000,"="&amp;R61)+SUMIFS('[1]1_group_totals'!$P$8:$P$10000,'[1]1_group_totals'!$C$8:$C$10000,I61,'[1]1_group_totals'!$F$8:$F$10000,pb_location_group_id,'[1]1_group_totals'!$G$8:$G$10000,pb_location_id,'[1]1_group_totals'!$H$8:$H$10000,"="&amp;Q61,'[1]1_group_totals'!$I$8:$I$10000,"="&amp;R61)+SUMIFS('[1]1_group_totals'!$Q$8:$Q$10000,'[1]1_group_totals'!$C$8:$C$10000,I61,'[1]1_group_totals'!$F$8:$F$10000,pb_location_group_id,'[1]1_group_totals'!$G$8:$G$10000,pb_location_id,'[1]1_group_totals'!$H$8:$H$10000,"="&amp;Q61,'[1]1_group_totals'!$I$8:$I$10000,"="&amp;R61))+(SUMIFS('[1]1_group_totals'!$L$8:$L$10000,'[1]1_group_totals'!$C$8:$C$10000,I61,'[1]1_group_totals'!$F$8:$F$10000,pb_location_group_id,'[1]1_group_totals'!$G$8:$G$10000,pb_location_id,'[1]1_group_totals'!$H$8:$H$10000,"="&amp;Q61,'[1]1_group_totals'!$I$8:$I$10000,"="&amp;R61)+SUMIFS('[1]1_group_totals'!$M$8:$M$10000,'[1]1_group_totals'!$C$8:$C$10000,I61,'[1]1_group_totals'!$F$8:$F$10000,pb_location_group_id,'[1]1_group_totals'!$G$8:$G$10000,pb_location_id,'[1]1_group_totals'!$H$8:$H$10000,"="&amp;Q61,'[1]1_group_totals'!$I$8:$I$10000,"="&amp;R61)+SUMIFS('[1]1_group_totals'!$O$8:$O$10000,'[1]1_group_totals'!$C$8:$C$10000,I61,'[1]1_group_totals'!$F$8:$F$10000,pb_location_group_id,'[1]1_group_totals'!$G$8:$G$10000,pb_location_id,'[1]1_group_totals'!$H$8:$H$10000,"="&amp;Q61,'[1]1_group_totals'!$I$8:$I$10000,"="&amp;R61)+SUMIFS('[1]1_group_totals'!$R$8:$R$10000,'[1]1_group_totals'!$C$8:$C$10000,I61,'[1]1_group_totals'!$F$8:$F$10000,pb_location_group_id,'[1]1_group_totals'!$G$8:$G$10000,pb_location_id,'[1]1_group_totals'!$H$8:$H$10000,"="&amp;Q61,'[1]1_group_totals'!$I$8:$I$10000,"="&amp;R61)))</f>
        <v/>
      </c>
    </row>
    <row r="62" spans="1:46" ht="27" hidden="1" customHeight="1">
      <c r="A62" s="923"/>
      <c r="B62" s="1028"/>
      <c r="C62" s="950"/>
      <c r="D62" s="950"/>
      <c r="E62" s="950"/>
      <c r="F62" s="1029"/>
      <c r="G62" s="941"/>
      <c r="H62" s="1070"/>
      <c r="I62" s="1610" t="str">
        <f t="shared" si="8"/>
        <v/>
      </c>
      <c r="J62" s="1631" t="str">
        <f t="shared" si="25"/>
        <v/>
      </c>
      <c r="K62" s="1628"/>
      <c r="L62" s="1632"/>
      <c r="M62" s="1069"/>
      <c r="N62" s="1044"/>
      <c r="O62" s="1044"/>
      <c r="P62" s="1046"/>
      <c r="Q62" s="1047"/>
      <c r="R62" s="1053"/>
      <c r="S62" s="1634" t="str">
        <f t="shared" ref="S62" si="179">IF(M62="","",pb_currency_symbol)</f>
        <v/>
      </c>
      <c r="T62" s="1068"/>
      <c r="U62" s="1636" t="str">
        <f t="shared" si="10"/>
        <v/>
      </c>
      <c r="V62" s="1634" t="str">
        <f t="shared" ref="V62" si="180">IF(W62=0,"",pb_currency_symbol)</f>
        <v/>
      </c>
      <c r="W62" s="1054"/>
      <c r="X62" s="1634" t="str">
        <f t="shared" ref="X62" si="181">IF(M62="","",pb_currency_symbol)</f>
        <v/>
      </c>
      <c r="Y62" s="1638" t="str">
        <f t="shared" si="24"/>
        <v/>
      </c>
      <c r="Z62" s="1062"/>
      <c r="AA62" s="1639" t="str" cm="1">
        <f t="array" ref="AA62">IF(M62="","",IF(P62=AL62,1,Slookup(MID(AL62,1,3)*1,UomConversion!$D$8:$J$500,5,UomConversion!$E$8:$E$500,MID(P62,1,3)*1,UomConversion!$J$8:$J$500,1)))</f>
        <v/>
      </c>
      <c r="AB62" s="1640" t="str">
        <f t="shared" si="13"/>
        <v/>
      </c>
      <c r="AC62" s="1641" t="str">
        <f t="shared" si="14"/>
        <v/>
      </c>
      <c r="AD62" s="1642" t="str">
        <f t="shared" si="15"/>
        <v/>
      </c>
      <c r="AE62" s="1643" t="str">
        <f t="shared" si="16"/>
        <v/>
      </c>
      <c r="AF62" s="1640" t="str">
        <f>IF(I62="","",IF(ISNA(MATCH(I62,IF(pb_location_id=1,'[1]1_inventory_totals'!$C$8:$C$10000,IF(pb_location_id=2,'[1]2_inventory_totals'!$C$8:$C$10000,"")),0)),0,IF(AS62&gt;0,1,0)))</f>
        <v/>
      </c>
      <c r="AG62" s="1640" t="str">
        <f>IF(M62="","",IF(pb_location_id=1,SUMIFS('[1]1_inventory_total_details'!$J$8:$J$10000,'[1]1_inventory_total_details'!$C$8:$C$10000,I62,'[1]1_inventory_total_details'!$F$8:$F$10000,pb_location_id,'[1]1_inventory_total_details'!$G$8:$G$10000,"="&amp;Q62,'[1]1_inventory_total_details'!$H$8:$H$10000,"="&amp;R62,'[1]1_inventory_total_details'!$I$8:$I$10000,"="&amp;pb_date)+SUMIFS('[1]1_inventory_total_details'!$M$8:$M$10000,'[1]1_inventory_total_details'!$C$8:$C$10000,I62,'[1]1_inventory_total_details'!$F$8:$F$10000,pb_location_id,'[1]1_inventory_total_details'!$G$8:$G$10000,"="&amp;Q62,'[1]1_inventory_total_details'!$H$8:$H$10000,"="&amp;R62,'[1]1_inventory_total_details'!$I$8:$I$10000,"="&amp;pb_date)+SUMIFS('[1]1_inventory_total_details'!$K$8:$K$10000,'[1]1_inventory_total_details'!$C$8:$C$10000,I62,'[1]1_inventory_total_details'!$F$8:$F$10000,pb_location_id,'[1]1_inventory_total_details'!$G$8:$G$10000,"="&amp;Q62,'[1]1_inventory_total_details'!$H$8:$H$10000,"="&amp;R62,'[1]1_inventory_total_details'!$I$8:$I$10000,"="&amp;pb_date)+SUMIFS('[1]1_inventory_total_details'!$L$8:$L$10000,'[1]1_inventory_total_details'!$C$8:$C$10000,I62,'[1]1_inventory_total_details'!$F$8:$F$10000,pb_location_id,'[1]1_inventory_total_details'!$G$8:$G$10000,"="&amp;Q62,'[1]1_inventory_total_details'!$H$8:$H$10000,"="&amp;R62,'[1]1_inventory_total_details'!$I$8:$I$10000,"="&amp;pb_date),SUMIFS('[1]2_inventory_total_details'!$J$8:$J$10000,'[1]2_inventory_total_details'!$C$8:$C$10000,I62,'[1]1_inventory_total_details'!$F$8:$F$10000,pb_location_id,'[1]2_inventory_total_details'!$G$8:$G$10000,"="&amp;Q62,'[1]2_inventory_total_details'!$H$8:$H$10000,"="&amp;R62,'[1]2_inventory_total_details'!$I$8:$I$10000,"="&amp;pb_date)+SUMIFS('[1]2_inventory_total_details'!$M$8:$M$10000,'[1]2_inventory_total_details'!$C$8:$C$10000,I62,'[1]2_inventory_total_details'!$F$8:$F$10000,pb_location_id,'[1]2_inventory_total_details'!$G$8:$G$10000,"="&amp;Q62,'[1]2_inventory_total_details'!$H$8:$H$10000,"="&amp;R62,'[1]2_inventory_total_details'!$I$8:$I$10000,"="&amp;pb_date)+SUMIFS('[1]2_inventory_total_details'!$K$8:$K$10000,'[1]2_inventory_total_details'!$C$8:$C$10000,I62,'[1]2_inventory_total_details'!$F$8:$F$10000,pb_location_id,'[1]2_inventory_total_details'!$G$8:$G$10000,"="&amp;Q62,'[1]2_inventory_total_details'!$H$8:$H$10000,"="&amp;R62,'[1]2_inventory_total_details'!$I$8:$I$10000,"="&amp;pb_date)+SUMIFS('[1]2_inventory_total_details'!$L$8:$L$10000,'[1]2_inventory_total_details'!$C$8:$C$10000,I62,'[1]2_inventory_total_details'!$F$8:$F$10000,pb_location_id,'[1]2_inventory_total_details'!$G$8:$G$10000,"="&amp;Q62,'[1]2_inventory_total_details'!$H$8:$H$10000,"="&amp;R62,'[1]2_inventory_total_details'!$I$8:$I$10000,"="&amp;pb_date)))</f>
        <v/>
      </c>
      <c r="AH62" s="1640" t="str">
        <f>IF(M62="","",IF(ISNA(MATCH(I62,'[1]1_group_totals'!$C$8:$C$10000)),0,IF(AT62&gt;0,1,0)))</f>
        <v/>
      </c>
      <c r="AI62" s="1640" t="str">
        <f>IF(M62="","",(SUMIFS('[1]1_group_total_details'!$I$8:$I$10000,'[1]1_group_total_details'!$C$8:$C$10000,I62,'[1]1_group_total_details'!$F$8:$F$10000,pb_location_group_id,'[1]1_group_total_details'!$G$8:$G$10000,pb_location_id,'[1]1_group_total_details'!$H$8:$H$10000,"="&amp;pb_date)+SUMIFS('[1]1_group_total_details'!$L$8:$L$10000,'[1]1_group_total_details'!$C$8:$C$10000,I62,'[1]1_group_total_details'!$F$8:$F$10000,pb_location_group_id,'[1]1_group_total_details'!$G$8:$G$10000,pb_location_id,'[1]1_group_total_details'!$H$8:$H$10000,"="&amp;pb_date)+SUMIFS('[1]1_group_total_details'!$N$8:$N$10000,'[1]1_group_total_details'!$C$8:$C$10000,I62,'[1]1_group_total_details'!$F$8:$F$10000,pb_location_group_id,'[1]1_group_total_details'!$G$8:$G$10000,pb_location_id,'[1]1_group_total_details'!$H$8:$H$10000,"="&amp;pb_date)+SUMIFS('[1]1_group_total_details'!$O$8:$O$10000,'[1]1_group_total_details'!$C$8:$C$10000,I62,'[1]1_group_total_details'!$F$8:$F$10000,pb_location_group_id,'[1]1_group_total_details'!$G$8:$G$10000,pb_location_id,'[1]1_group_total_details'!$H$8:$H$10000,"="&amp;pb_date))+(SUMIFS('[1]1_group_total_details'!$J$8:$J$10000,'[1]1_group_total_details'!$C$8:$C$10000,I62,'[1]1_group_total_details'!$F$8:$F$10000,pb_location_group_id,'[1]1_group_total_details'!$G$8:$G$10000,pb_location_id,'[1]1_group_total_details'!$H$8:$H$10000,"="&amp;pb_date)+SUMIFS('[1]1_group_total_details'!$K$8:$K$10000,'[1]1_group_total_details'!$C$8:$C$10000,I62,'[1]1_group_total_details'!$F$8:$F$10000,pb_location_group_id,'[1]1_group_total_details'!$G$8:$G$10000,pb_location_id,'[1]1_group_total_details'!$H$8:$H$10000,"="&amp;pb_date)+SUMIFS('[1]1_group_total_details'!$M$8:$M$10000,'[1]1_group_total_details'!$C$8:$C$10000,I62,'[1]1_group_total_details'!$F$8:$F$10000,pb_location_group_id,'[1]1_group_total_details'!$G$8:$G$10000,pb_location_id,'[1]1_group_total_details'!$H$8:$H$10000,"="&amp;pb_date)+SUMIFS('[1]1_group_total_details'!$P$8:$P$10000,'[1]1_group_total_details'!$C$8:$C$10000,I62,'[1]1_group_total_details'!$F$8:$F$10000,pb_location_group_id,'[1]1_group_total_details'!$G$8:$G$10000,pb_location_id,'[1]1_group_total_details'!$H$8:$H$10000,"="&amp;pb_date)))</f>
        <v/>
      </c>
      <c r="AJ62" s="1640" t="str">
        <f>IF(M62="","",IF(AK62=0,0,(SUMIFS('[1]1_group_total_details'!$I$8:$I$10000,'[1]1_group_total_details'!$C$8:$C$10000,I62,'[1]1_group_total_details'!$F$8:$F$10000,pb_location_group_id,'[1]1_group_total_details'!$G$8:$G$10000,pb_location_id,'[1]1_group_total_details'!$H$8:$H$10000,"&lt;="&amp;pb_date)+SUMIFS('[1]1_group_total_details'!$L$8:$L$10000,'[1]1_group_total_details'!$C$8:$C$10000,I62,'[1]1_group_total_details'!$F$8:$F$10000,pb_location_group_id,'[1]1_group_total_details'!$G$8:$G$10000,pb_location_id,'[1]1_group_total_details'!$H$8:$H$10000,"&lt;="&amp;pb_date)+SUMIFS('[1]1_group_total_details'!$N$8:$N$10000,'[1]1_group_total_details'!$C$8:$C$10000,I62,'[1]1_group_total_details'!$F$8:$F$10000,pb_location_group_id,'[1]1_group_total_details'!$G$8:$G$10000,pb_location_id,'[1]1_group_total_details'!$H$8:$H$10000,"&lt;="&amp;pb_date)+SUMIFS('[1]1_group_total_details'!$O$8:$O$10000,'[1]1_group_total_details'!$C$8:$C$10000,I62,'[1]1_group_total_details'!$F$8:$F$10000,pb_location_group_id,'[1]1_group_total_details'!$G$8:$G$10000,pb_location_id,'[1]1_group_total_details'!$H$8:$H$10000,"&lt;="&amp;pb_date))-(SUMIFS('[1]1_group_total_details'!$J$8:$J$10000,'[1]1_group_total_details'!$C$8:$C$10000,I62,'[1]1_group_total_details'!$F$8:$F$10000,pb_location_group_id,'[1]1_group_total_details'!$G$8:$G$10000,pb_location_id,'[1]1_group_total_details'!$H$8:$H$10000,"&lt;="&amp;pb_date)+SUMIFS('[1]1_group_total_details'!$K$8:$K$10000,'[1]1_group_total_details'!$C$8:$C$10000,I62,'[1]1_group_total_details'!$F$8:$F$10000,pb_location_group_id,'[1]1_group_total_details'!$G$8:$G$10000,invoice_location_id,'[1]1_group_total_details'!$H$8:$H$10000,"&lt;="&amp;pb_date)+SUMIFS('[1]1_group_total_details'!$M$8:$M$10000,'[1]1_group_total_details'!$C$8:$C$10000,I62,'[1]1_group_total_details'!$F$8:$F$10000,pb_location_group_id,'[1]1_group_total_details'!$G$8:$G$10000,pb_location_id,'[1]1_group_total_details'!$H$8:$H$10000,"&lt;="&amp;pb_date)+SUMIFS('[1]1_group_total_details'!$P$8:$P$10000,'[1]1_group_total_details'!$C$8:$C$10000,I62,'[1]1_group_total_details'!$F$8:$F$10000,pb_location_group_id,'[1]1_group_total_details'!$G$8:$G$10000,pb_location_id,'[1]1_group_total_details'!$H$8:$H$10000,"&lt;="&amp;pb_date))))</f>
        <v/>
      </c>
      <c r="AK62" s="1640" t="str">
        <f>IF(M62="","",SUMIFS('[1]1_group_totals'!$J$8:$J$10000,'[1]1_group_totals'!$C$8:$C$10000,I62,'[1]1_group_totals'!$F$8:$F$10000,pb_location_group_id,'[1]1_group_totals'!$G$8:$G$10000,pb_location_id,'[1]1_group_totals'!$H$8:$H$10000,"="&amp;Q62,'[1]1_group_totals'!$I$8:$I$10000,"="&amp;R62))</f>
        <v/>
      </c>
      <c r="AL62" s="1644" t="str">
        <f t="shared" si="17"/>
        <v/>
      </c>
      <c r="AM62" s="1644" t="str">
        <f>IF(OR(ISNA(MATCH(MID(AL62,1,3)*1,UomConversion!$D$8:$D$500,0)),M62=""),"",IF(AQ62="","",AQ62))</f>
        <v/>
      </c>
      <c r="AN62" s="1644" t="str">
        <f>IF(AND(AO62&gt;0,COUNTIFS(UomConversion!$D$8:$D$500,MID(AL62,1,3)*1,UomConversion!$J$8:$J$500,1)&gt;1),TEXT(AO62,"000")&amp;"."&amp;VLOOKUP(AO62,uom_list,5,FALSE),"")</f>
        <v/>
      </c>
      <c r="AO62" s="1640" t="str">
        <f t="shared" si="18"/>
        <v/>
      </c>
      <c r="AP62" s="1645" t="str">
        <f t="shared" si="19"/>
        <v/>
      </c>
      <c r="AQ62" s="491" t="str">
        <f t="shared" si="20"/>
        <v/>
      </c>
      <c r="AR62" s="1281" t="str" cm="1">
        <f t="array" ref="AR62">IF(M62="","",IF(ISNA(Slookup(MID(AL62,1,3)*1,UomConversion!$D$8:$J$500,2,UomConversion!$I$8:$I$500,1,UomConversion!$J$8:$J$500,1)),"",Slookup(MID(AL62,1,3)*1,UomConversion!$D$8:$J$500,2,UomConversion!$I$8:$I$500,1,UomConversion!$J$8:$J$500,1)))</f>
        <v/>
      </c>
      <c r="AS62" s="663" t="str">
        <f>IF(M62="","",(SUMIFS('[1]1_inventory_totals'!$I$8:$I$10000,'[1]1_inventory_totals'!$C$8:$C$10000,I62,'[1]1_inventory_totals'!$F$8:$F$10000,"="&amp;Q62,'[1]1_inventory_totals'!$G$8:$G$10000,"="&amp;R62)+SUMIFS('[1]1_inventory_totals'!$N$8:$N$10000,'[1]1_inventory_totals'!$C$8:$C$10000,I62,'[1]1_inventory_totals'!$F$8:$F$10000,"="&amp;Q62,'[1]1_inventory_totals'!$G$8:$G$10000,"="&amp;R62)+SUMIFS('[1]1_inventory_totals'!$P$8:$P$10000,'[1]1_inventory_totals'!$C$8:$C$10000,I62,'[1]1_inventory_totals'!$F$8:$F$10000,"="&amp;Q62,'[1]1_inventory_totals'!$G$8:$G$10000,"="&amp;R62)+SUMIFS('[1]1_inventory_totals'!$Q$8:$Q$10000,'[1]1_inventory_totals'!$C$8:$C$10000,I62,'[1]1_inventory_totals'!$F$8:$F$10000,"="&amp;Q62,'[1]1_inventory_totals'!$G$8:$G$10000,"="&amp;R62)+SUMIFS('[1]1_inventory_totals'!$R$8:$R$10000,'[1]1_inventory_totals'!$C$8:$C$10000,I62,'[1]1_inventory_totals'!$F$8:$F$10000,"="&amp;Q62,'[1]1_inventory_totals'!$G$8:$G$10000,"="&amp;R62))+(SUMIFS('[1]1_inventory_totals'!$J$8:$J$10000,'[1]1_inventory_totals'!$C$8:$C$10000,I62,'[1]1_inventory_totals'!$F$8:$F$10000,"="&amp;Q62,'[1]1_inventory_totals'!$G$8:$G$10000,"="&amp;R62)+SUMIFS('[1]1_inventory_totals'!$K$8:$K$10000,'[1]1_inventory_totals'!$C$8:$C$10000,I62,'[1]1_inventory_totals'!$F$8:$F$10000,"="&amp;Q62,'[1]1_inventory_totals'!$G$8:$G$10000,"="&amp;R62)+SUMIFS('[1]1_inventory_totals'!$L$8:$L$10000,'[1]1_inventory_totals'!$C$8:$C$10000,I62,'[1]1_inventory_totals'!$F$8:$F$10000,"="&amp;Q62,'[1]1_inventory_totals'!$G$8:$G$10000,"="&amp;R62)+SUMIFS('[1]1_inventory_totals'!$M$8:$M$10000,'[1]1_inventory_totals'!$C$8:$C$10000,I62,'[1]1_inventory_totals'!$F$8:$F$10000,"="&amp;Q62,'[1]1_inventory_totals'!$G$8:$G$10000,"="&amp;R62)+SUMIFS('[1]1_inventory_totals'!$O$8:$O$10000,'[1]1_inventory_totals'!$C$8:$C$10000,I62,'[1]1_inventory_totals'!$F$8:$F$10000,"="&amp;Q62,'[1]1_inventory_totals'!$G$8:$G$10000,"="&amp;R62)+SUMIFS('[1]1_inventory_totals'!$S$8:$S$10000,'[1]1_inventory_totals'!$C$8:$C$10000,I62,'[1]1_inventory_totals'!$F$8:$F$10000,"="&amp;Q62,'[1]1_inventory_totals'!$G$8:$G$10000,"="&amp;R62)))</f>
        <v/>
      </c>
      <c r="AT62" s="1281" t="str">
        <f>IF(M62="","",(SUMIFS('[1]1_group_totals'!$K$8:$K$10000,'[1]1_group_totals'!$C$8:$C$10000,I62,'[1]1_group_totals'!$F$8:$F$10000,pb_location_group_id,'[1]1_group_totals'!$G$8:$G$10000,pb_location_id,'[1]1_group_totals'!$H$8:$H$10000,"="&amp;Q62,'[1]1_group_totals'!$I$8:$I$10000,"="&amp;R62)+SUMIFS('[1]1_group_totals'!$N$8:$N$10000,'[1]1_group_totals'!$C$8:$C$10000,I62,'[1]1_group_totals'!$F$8:$F$10000,pb_location_group_id,'[1]1_group_totals'!$G$8:$G$10000,pb_location_id,'[1]1_group_totals'!$H$8:$H$10000,"="&amp;Q62,'[1]1_group_totals'!$I$8:$I$10000,"="&amp;R62)+SUMIFS('[1]1_group_totals'!$P$8:$P$10000,'[1]1_group_totals'!$C$8:$C$10000,I62,'[1]1_group_totals'!$F$8:$F$10000,pb_location_group_id,'[1]1_group_totals'!$G$8:$G$10000,pb_location_id,'[1]1_group_totals'!$H$8:$H$10000,"="&amp;Q62,'[1]1_group_totals'!$I$8:$I$10000,"="&amp;R62)+SUMIFS('[1]1_group_totals'!$Q$8:$Q$10000,'[1]1_group_totals'!$C$8:$C$10000,I62,'[1]1_group_totals'!$F$8:$F$10000,pb_location_group_id,'[1]1_group_totals'!$G$8:$G$10000,pb_location_id,'[1]1_group_totals'!$H$8:$H$10000,"="&amp;Q62,'[1]1_group_totals'!$I$8:$I$10000,"="&amp;R62))+(SUMIFS('[1]1_group_totals'!$L$8:$L$10000,'[1]1_group_totals'!$C$8:$C$10000,I62,'[1]1_group_totals'!$F$8:$F$10000,pb_location_group_id,'[1]1_group_totals'!$G$8:$G$10000,pb_location_id,'[1]1_group_totals'!$H$8:$H$10000,"="&amp;Q62,'[1]1_group_totals'!$I$8:$I$10000,"="&amp;R62)+SUMIFS('[1]1_group_totals'!$M$8:$M$10000,'[1]1_group_totals'!$C$8:$C$10000,I62,'[1]1_group_totals'!$F$8:$F$10000,pb_location_group_id,'[1]1_group_totals'!$G$8:$G$10000,pb_location_id,'[1]1_group_totals'!$H$8:$H$10000,"="&amp;Q62,'[1]1_group_totals'!$I$8:$I$10000,"="&amp;R62)+SUMIFS('[1]1_group_totals'!$O$8:$O$10000,'[1]1_group_totals'!$C$8:$C$10000,I62,'[1]1_group_totals'!$F$8:$F$10000,pb_location_group_id,'[1]1_group_totals'!$G$8:$G$10000,pb_location_id,'[1]1_group_totals'!$H$8:$H$10000,"="&amp;Q62,'[1]1_group_totals'!$I$8:$I$10000,"="&amp;R62)+SUMIFS('[1]1_group_totals'!$R$8:$R$10000,'[1]1_group_totals'!$C$8:$C$10000,I62,'[1]1_group_totals'!$F$8:$F$10000,pb_location_group_id,'[1]1_group_totals'!$G$8:$G$10000,pb_location_id,'[1]1_group_totals'!$H$8:$H$10000,"="&amp;Q62,'[1]1_group_totals'!$I$8:$I$10000,"="&amp;R62)))</f>
        <v/>
      </c>
    </row>
    <row r="63" spans="1:46" ht="27" hidden="1" customHeight="1">
      <c r="A63" s="923"/>
      <c r="B63" s="1028"/>
      <c r="C63" s="950"/>
      <c r="D63" s="950"/>
      <c r="E63" s="950"/>
      <c r="F63" s="1029"/>
      <c r="G63" s="941"/>
      <c r="H63" s="1070"/>
      <c r="I63" s="1610" t="str">
        <f t="shared" si="8"/>
        <v/>
      </c>
      <c r="J63" s="1631" t="str">
        <f t="shared" si="25"/>
        <v/>
      </c>
      <c r="K63" s="1628"/>
      <c r="L63" s="1632"/>
      <c r="M63" s="1069"/>
      <c r="N63" s="1044"/>
      <c r="O63" s="1044"/>
      <c r="P63" s="1046"/>
      <c r="Q63" s="1047"/>
      <c r="R63" s="1053"/>
      <c r="S63" s="1634" t="str">
        <f t="shared" ref="S63" si="182">IF(M63="","",pb_currency_symbol)</f>
        <v/>
      </c>
      <c r="T63" s="1068"/>
      <c r="U63" s="1636" t="str">
        <f t="shared" si="10"/>
        <v/>
      </c>
      <c r="V63" s="1634" t="str">
        <f t="shared" ref="V63" si="183">IF(W63=0,"",pb_currency_symbol)</f>
        <v/>
      </c>
      <c r="W63" s="1054"/>
      <c r="X63" s="1634" t="str">
        <f t="shared" ref="X63" si="184">IF(M63="","",pb_currency_symbol)</f>
        <v/>
      </c>
      <c r="Y63" s="1638" t="str">
        <f t="shared" si="24"/>
        <v/>
      </c>
      <c r="Z63" s="1062"/>
      <c r="AA63" s="1639" t="str" cm="1">
        <f t="array" ref="AA63">IF(M63="","",IF(P63=AL63,1,Slookup(MID(AL63,1,3)*1,UomConversion!$D$8:$J$500,5,UomConversion!$E$8:$E$500,MID(P63,1,3)*1,UomConversion!$J$8:$J$500,1)))</f>
        <v/>
      </c>
      <c r="AB63" s="1640" t="str">
        <f t="shared" si="13"/>
        <v/>
      </c>
      <c r="AC63" s="1641" t="str">
        <f t="shared" si="14"/>
        <v/>
      </c>
      <c r="AD63" s="1642" t="str">
        <f t="shared" si="15"/>
        <v/>
      </c>
      <c r="AE63" s="1643" t="str">
        <f t="shared" si="16"/>
        <v/>
      </c>
      <c r="AF63" s="1640" t="str">
        <f>IF(I63="","",IF(ISNA(MATCH(I63,IF(pb_location_id=1,'[1]1_inventory_totals'!$C$8:$C$10000,IF(pb_location_id=2,'[1]2_inventory_totals'!$C$8:$C$10000,"")),0)),0,IF(AS63&gt;0,1,0)))</f>
        <v/>
      </c>
      <c r="AG63" s="1640" t="str">
        <f>IF(M63="","",IF(pb_location_id=1,SUMIFS('[1]1_inventory_total_details'!$J$8:$J$10000,'[1]1_inventory_total_details'!$C$8:$C$10000,I63,'[1]1_inventory_total_details'!$F$8:$F$10000,pb_location_id,'[1]1_inventory_total_details'!$G$8:$G$10000,"="&amp;Q63,'[1]1_inventory_total_details'!$H$8:$H$10000,"="&amp;R63,'[1]1_inventory_total_details'!$I$8:$I$10000,"="&amp;pb_date)+SUMIFS('[1]1_inventory_total_details'!$M$8:$M$10000,'[1]1_inventory_total_details'!$C$8:$C$10000,I63,'[1]1_inventory_total_details'!$F$8:$F$10000,pb_location_id,'[1]1_inventory_total_details'!$G$8:$G$10000,"="&amp;Q63,'[1]1_inventory_total_details'!$H$8:$H$10000,"="&amp;R63,'[1]1_inventory_total_details'!$I$8:$I$10000,"="&amp;pb_date)+SUMIFS('[1]1_inventory_total_details'!$K$8:$K$10000,'[1]1_inventory_total_details'!$C$8:$C$10000,I63,'[1]1_inventory_total_details'!$F$8:$F$10000,pb_location_id,'[1]1_inventory_total_details'!$G$8:$G$10000,"="&amp;Q63,'[1]1_inventory_total_details'!$H$8:$H$10000,"="&amp;R63,'[1]1_inventory_total_details'!$I$8:$I$10000,"="&amp;pb_date)+SUMIFS('[1]1_inventory_total_details'!$L$8:$L$10000,'[1]1_inventory_total_details'!$C$8:$C$10000,I63,'[1]1_inventory_total_details'!$F$8:$F$10000,pb_location_id,'[1]1_inventory_total_details'!$G$8:$G$10000,"="&amp;Q63,'[1]1_inventory_total_details'!$H$8:$H$10000,"="&amp;R63,'[1]1_inventory_total_details'!$I$8:$I$10000,"="&amp;pb_date),SUMIFS('[1]2_inventory_total_details'!$J$8:$J$10000,'[1]2_inventory_total_details'!$C$8:$C$10000,I63,'[1]1_inventory_total_details'!$F$8:$F$10000,pb_location_id,'[1]2_inventory_total_details'!$G$8:$G$10000,"="&amp;Q63,'[1]2_inventory_total_details'!$H$8:$H$10000,"="&amp;R63,'[1]2_inventory_total_details'!$I$8:$I$10000,"="&amp;pb_date)+SUMIFS('[1]2_inventory_total_details'!$M$8:$M$10000,'[1]2_inventory_total_details'!$C$8:$C$10000,I63,'[1]2_inventory_total_details'!$F$8:$F$10000,pb_location_id,'[1]2_inventory_total_details'!$G$8:$G$10000,"="&amp;Q63,'[1]2_inventory_total_details'!$H$8:$H$10000,"="&amp;R63,'[1]2_inventory_total_details'!$I$8:$I$10000,"="&amp;pb_date)+SUMIFS('[1]2_inventory_total_details'!$K$8:$K$10000,'[1]2_inventory_total_details'!$C$8:$C$10000,I63,'[1]2_inventory_total_details'!$F$8:$F$10000,pb_location_id,'[1]2_inventory_total_details'!$G$8:$G$10000,"="&amp;Q63,'[1]2_inventory_total_details'!$H$8:$H$10000,"="&amp;R63,'[1]2_inventory_total_details'!$I$8:$I$10000,"="&amp;pb_date)+SUMIFS('[1]2_inventory_total_details'!$L$8:$L$10000,'[1]2_inventory_total_details'!$C$8:$C$10000,I63,'[1]2_inventory_total_details'!$F$8:$F$10000,pb_location_id,'[1]2_inventory_total_details'!$G$8:$G$10000,"="&amp;Q63,'[1]2_inventory_total_details'!$H$8:$H$10000,"="&amp;R63,'[1]2_inventory_total_details'!$I$8:$I$10000,"="&amp;pb_date)))</f>
        <v/>
      </c>
      <c r="AH63" s="1640" t="str">
        <f>IF(M63="","",IF(ISNA(MATCH(I63,'[1]1_group_totals'!$C$8:$C$10000)),0,IF(AT63&gt;0,1,0)))</f>
        <v/>
      </c>
      <c r="AI63" s="1640" t="str">
        <f>IF(M63="","",(SUMIFS('[1]1_group_total_details'!$I$8:$I$10000,'[1]1_group_total_details'!$C$8:$C$10000,I63,'[1]1_group_total_details'!$F$8:$F$10000,pb_location_group_id,'[1]1_group_total_details'!$G$8:$G$10000,pb_location_id,'[1]1_group_total_details'!$H$8:$H$10000,"="&amp;pb_date)+SUMIFS('[1]1_group_total_details'!$L$8:$L$10000,'[1]1_group_total_details'!$C$8:$C$10000,I63,'[1]1_group_total_details'!$F$8:$F$10000,pb_location_group_id,'[1]1_group_total_details'!$G$8:$G$10000,pb_location_id,'[1]1_group_total_details'!$H$8:$H$10000,"="&amp;pb_date)+SUMIFS('[1]1_group_total_details'!$N$8:$N$10000,'[1]1_group_total_details'!$C$8:$C$10000,I63,'[1]1_group_total_details'!$F$8:$F$10000,pb_location_group_id,'[1]1_group_total_details'!$G$8:$G$10000,pb_location_id,'[1]1_group_total_details'!$H$8:$H$10000,"="&amp;pb_date)+SUMIFS('[1]1_group_total_details'!$O$8:$O$10000,'[1]1_group_total_details'!$C$8:$C$10000,I63,'[1]1_group_total_details'!$F$8:$F$10000,pb_location_group_id,'[1]1_group_total_details'!$G$8:$G$10000,pb_location_id,'[1]1_group_total_details'!$H$8:$H$10000,"="&amp;pb_date))+(SUMIFS('[1]1_group_total_details'!$J$8:$J$10000,'[1]1_group_total_details'!$C$8:$C$10000,I63,'[1]1_group_total_details'!$F$8:$F$10000,pb_location_group_id,'[1]1_group_total_details'!$G$8:$G$10000,pb_location_id,'[1]1_group_total_details'!$H$8:$H$10000,"="&amp;pb_date)+SUMIFS('[1]1_group_total_details'!$K$8:$K$10000,'[1]1_group_total_details'!$C$8:$C$10000,I63,'[1]1_group_total_details'!$F$8:$F$10000,pb_location_group_id,'[1]1_group_total_details'!$G$8:$G$10000,pb_location_id,'[1]1_group_total_details'!$H$8:$H$10000,"="&amp;pb_date)+SUMIFS('[1]1_group_total_details'!$M$8:$M$10000,'[1]1_group_total_details'!$C$8:$C$10000,I63,'[1]1_group_total_details'!$F$8:$F$10000,pb_location_group_id,'[1]1_group_total_details'!$G$8:$G$10000,pb_location_id,'[1]1_group_total_details'!$H$8:$H$10000,"="&amp;pb_date)+SUMIFS('[1]1_group_total_details'!$P$8:$P$10000,'[1]1_group_total_details'!$C$8:$C$10000,I63,'[1]1_group_total_details'!$F$8:$F$10000,pb_location_group_id,'[1]1_group_total_details'!$G$8:$G$10000,pb_location_id,'[1]1_group_total_details'!$H$8:$H$10000,"="&amp;pb_date)))</f>
        <v/>
      </c>
      <c r="AJ63" s="1640" t="str">
        <f>IF(M63="","",IF(AK63=0,0,(SUMIFS('[1]1_group_total_details'!$I$8:$I$10000,'[1]1_group_total_details'!$C$8:$C$10000,I63,'[1]1_group_total_details'!$F$8:$F$10000,pb_location_group_id,'[1]1_group_total_details'!$G$8:$G$10000,pb_location_id,'[1]1_group_total_details'!$H$8:$H$10000,"&lt;="&amp;pb_date)+SUMIFS('[1]1_group_total_details'!$L$8:$L$10000,'[1]1_group_total_details'!$C$8:$C$10000,I63,'[1]1_group_total_details'!$F$8:$F$10000,pb_location_group_id,'[1]1_group_total_details'!$G$8:$G$10000,pb_location_id,'[1]1_group_total_details'!$H$8:$H$10000,"&lt;="&amp;pb_date)+SUMIFS('[1]1_group_total_details'!$N$8:$N$10000,'[1]1_group_total_details'!$C$8:$C$10000,I63,'[1]1_group_total_details'!$F$8:$F$10000,pb_location_group_id,'[1]1_group_total_details'!$G$8:$G$10000,pb_location_id,'[1]1_group_total_details'!$H$8:$H$10000,"&lt;="&amp;pb_date)+SUMIFS('[1]1_group_total_details'!$O$8:$O$10000,'[1]1_group_total_details'!$C$8:$C$10000,I63,'[1]1_group_total_details'!$F$8:$F$10000,pb_location_group_id,'[1]1_group_total_details'!$G$8:$G$10000,pb_location_id,'[1]1_group_total_details'!$H$8:$H$10000,"&lt;="&amp;pb_date))-(SUMIFS('[1]1_group_total_details'!$J$8:$J$10000,'[1]1_group_total_details'!$C$8:$C$10000,I63,'[1]1_group_total_details'!$F$8:$F$10000,pb_location_group_id,'[1]1_group_total_details'!$G$8:$G$10000,pb_location_id,'[1]1_group_total_details'!$H$8:$H$10000,"&lt;="&amp;pb_date)+SUMIFS('[1]1_group_total_details'!$K$8:$K$10000,'[1]1_group_total_details'!$C$8:$C$10000,I63,'[1]1_group_total_details'!$F$8:$F$10000,pb_location_group_id,'[1]1_group_total_details'!$G$8:$G$10000,invoice_location_id,'[1]1_group_total_details'!$H$8:$H$10000,"&lt;="&amp;pb_date)+SUMIFS('[1]1_group_total_details'!$M$8:$M$10000,'[1]1_group_total_details'!$C$8:$C$10000,I63,'[1]1_group_total_details'!$F$8:$F$10000,pb_location_group_id,'[1]1_group_total_details'!$G$8:$G$10000,pb_location_id,'[1]1_group_total_details'!$H$8:$H$10000,"&lt;="&amp;pb_date)+SUMIFS('[1]1_group_total_details'!$P$8:$P$10000,'[1]1_group_total_details'!$C$8:$C$10000,I63,'[1]1_group_total_details'!$F$8:$F$10000,pb_location_group_id,'[1]1_group_total_details'!$G$8:$G$10000,pb_location_id,'[1]1_group_total_details'!$H$8:$H$10000,"&lt;="&amp;pb_date))))</f>
        <v/>
      </c>
      <c r="AK63" s="1640" t="str">
        <f>IF(M63="","",SUMIFS('[1]1_group_totals'!$J$8:$J$10000,'[1]1_group_totals'!$C$8:$C$10000,I63,'[1]1_group_totals'!$F$8:$F$10000,pb_location_group_id,'[1]1_group_totals'!$G$8:$G$10000,pb_location_id,'[1]1_group_totals'!$H$8:$H$10000,"="&amp;Q63,'[1]1_group_totals'!$I$8:$I$10000,"="&amp;R63))</f>
        <v/>
      </c>
      <c r="AL63" s="1644" t="str">
        <f t="shared" si="17"/>
        <v/>
      </c>
      <c r="AM63" s="1644" t="str">
        <f>IF(OR(ISNA(MATCH(MID(AL63,1,3)*1,UomConversion!$D$8:$D$500,0)),M63=""),"",IF(AQ63="","",AQ63))</f>
        <v/>
      </c>
      <c r="AN63" s="1644" t="str">
        <f>IF(AND(AO63&gt;0,COUNTIFS(UomConversion!$D$8:$D$500,MID(AL63,1,3)*1,UomConversion!$J$8:$J$500,1)&gt;1),TEXT(AO63,"000")&amp;"."&amp;VLOOKUP(AO63,uom_list,5,FALSE),"")</f>
        <v/>
      </c>
      <c r="AO63" s="1640" t="str">
        <f t="shared" si="18"/>
        <v/>
      </c>
      <c r="AP63" s="1645" t="str">
        <f t="shared" si="19"/>
        <v/>
      </c>
      <c r="AQ63" s="491" t="str">
        <f t="shared" si="20"/>
        <v/>
      </c>
      <c r="AR63" s="1281" t="str" cm="1">
        <f t="array" ref="AR63">IF(M63="","",IF(ISNA(Slookup(MID(AL63,1,3)*1,UomConversion!$D$8:$J$500,2,UomConversion!$I$8:$I$500,1,UomConversion!$J$8:$J$500,1)),"",Slookup(MID(AL63,1,3)*1,UomConversion!$D$8:$J$500,2,UomConversion!$I$8:$I$500,1,UomConversion!$J$8:$J$500,1)))</f>
        <v/>
      </c>
      <c r="AS63" s="663" t="str">
        <f>IF(M63="","",(SUMIFS('[1]1_inventory_totals'!$I$8:$I$10000,'[1]1_inventory_totals'!$C$8:$C$10000,I63,'[1]1_inventory_totals'!$F$8:$F$10000,"="&amp;Q63,'[1]1_inventory_totals'!$G$8:$G$10000,"="&amp;R63)+SUMIFS('[1]1_inventory_totals'!$N$8:$N$10000,'[1]1_inventory_totals'!$C$8:$C$10000,I63,'[1]1_inventory_totals'!$F$8:$F$10000,"="&amp;Q63,'[1]1_inventory_totals'!$G$8:$G$10000,"="&amp;R63)+SUMIFS('[1]1_inventory_totals'!$P$8:$P$10000,'[1]1_inventory_totals'!$C$8:$C$10000,I63,'[1]1_inventory_totals'!$F$8:$F$10000,"="&amp;Q63,'[1]1_inventory_totals'!$G$8:$G$10000,"="&amp;R63)+SUMIFS('[1]1_inventory_totals'!$Q$8:$Q$10000,'[1]1_inventory_totals'!$C$8:$C$10000,I63,'[1]1_inventory_totals'!$F$8:$F$10000,"="&amp;Q63,'[1]1_inventory_totals'!$G$8:$G$10000,"="&amp;R63)+SUMIFS('[1]1_inventory_totals'!$R$8:$R$10000,'[1]1_inventory_totals'!$C$8:$C$10000,I63,'[1]1_inventory_totals'!$F$8:$F$10000,"="&amp;Q63,'[1]1_inventory_totals'!$G$8:$G$10000,"="&amp;R63))+(SUMIFS('[1]1_inventory_totals'!$J$8:$J$10000,'[1]1_inventory_totals'!$C$8:$C$10000,I63,'[1]1_inventory_totals'!$F$8:$F$10000,"="&amp;Q63,'[1]1_inventory_totals'!$G$8:$G$10000,"="&amp;R63)+SUMIFS('[1]1_inventory_totals'!$K$8:$K$10000,'[1]1_inventory_totals'!$C$8:$C$10000,I63,'[1]1_inventory_totals'!$F$8:$F$10000,"="&amp;Q63,'[1]1_inventory_totals'!$G$8:$G$10000,"="&amp;R63)+SUMIFS('[1]1_inventory_totals'!$L$8:$L$10000,'[1]1_inventory_totals'!$C$8:$C$10000,I63,'[1]1_inventory_totals'!$F$8:$F$10000,"="&amp;Q63,'[1]1_inventory_totals'!$G$8:$G$10000,"="&amp;R63)+SUMIFS('[1]1_inventory_totals'!$M$8:$M$10000,'[1]1_inventory_totals'!$C$8:$C$10000,I63,'[1]1_inventory_totals'!$F$8:$F$10000,"="&amp;Q63,'[1]1_inventory_totals'!$G$8:$G$10000,"="&amp;R63)+SUMIFS('[1]1_inventory_totals'!$O$8:$O$10000,'[1]1_inventory_totals'!$C$8:$C$10000,I63,'[1]1_inventory_totals'!$F$8:$F$10000,"="&amp;Q63,'[1]1_inventory_totals'!$G$8:$G$10000,"="&amp;R63)+SUMIFS('[1]1_inventory_totals'!$S$8:$S$10000,'[1]1_inventory_totals'!$C$8:$C$10000,I63,'[1]1_inventory_totals'!$F$8:$F$10000,"="&amp;Q63,'[1]1_inventory_totals'!$G$8:$G$10000,"="&amp;R63)))</f>
        <v/>
      </c>
      <c r="AT63" s="1281" t="str">
        <f>IF(M63="","",(SUMIFS('[1]1_group_totals'!$K$8:$K$10000,'[1]1_group_totals'!$C$8:$C$10000,I63,'[1]1_group_totals'!$F$8:$F$10000,pb_location_group_id,'[1]1_group_totals'!$G$8:$G$10000,pb_location_id,'[1]1_group_totals'!$H$8:$H$10000,"="&amp;Q63,'[1]1_group_totals'!$I$8:$I$10000,"="&amp;R63)+SUMIFS('[1]1_group_totals'!$N$8:$N$10000,'[1]1_group_totals'!$C$8:$C$10000,I63,'[1]1_group_totals'!$F$8:$F$10000,pb_location_group_id,'[1]1_group_totals'!$G$8:$G$10000,pb_location_id,'[1]1_group_totals'!$H$8:$H$10000,"="&amp;Q63,'[1]1_group_totals'!$I$8:$I$10000,"="&amp;R63)+SUMIFS('[1]1_group_totals'!$P$8:$P$10000,'[1]1_group_totals'!$C$8:$C$10000,I63,'[1]1_group_totals'!$F$8:$F$10000,pb_location_group_id,'[1]1_group_totals'!$G$8:$G$10000,pb_location_id,'[1]1_group_totals'!$H$8:$H$10000,"="&amp;Q63,'[1]1_group_totals'!$I$8:$I$10000,"="&amp;R63)+SUMIFS('[1]1_group_totals'!$Q$8:$Q$10000,'[1]1_group_totals'!$C$8:$C$10000,I63,'[1]1_group_totals'!$F$8:$F$10000,pb_location_group_id,'[1]1_group_totals'!$G$8:$G$10000,pb_location_id,'[1]1_group_totals'!$H$8:$H$10000,"="&amp;Q63,'[1]1_group_totals'!$I$8:$I$10000,"="&amp;R63))+(SUMIFS('[1]1_group_totals'!$L$8:$L$10000,'[1]1_group_totals'!$C$8:$C$10000,I63,'[1]1_group_totals'!$F$8:$F$10000,pb_location_group_id,'[1]1_group_totals'!$G$8:$G$10000,pb_location_id,'[1]1_group_totals'!$H$8:$H$10000,"="&amp;Q63,'[1]1_group_totals'!$I$8:$I$10000,"="&amp;R63)+SUMIFS('[1]1_group_totals'!$M$8:$M$10000,'[1]1_group_totals'!$C$8:$C$10000,I63,'[1]1_group_totals'!$F$8:$F$10000,pb_location_group_id,'[1]1_group_totals'!$G$8:$G$10000,pb_location_id,'[1]1_group_totals'!$H$8:$H$10000,"="&amp;Q63,'[1]1_group_totals'!$I$8:$I$10000,"="&amp;R63)+SUMIFS('[1]1_group_totals'!$O$8:$O$10000,'[1]1_group_totals'!$C$8:$C$10000,I63,'[1]1_group_totals'!$F$8:$F$10000,pb_location_group_id,'[1]1_group_totals'!$G$8:$G$10000,pb_location_id,'[1]1_group_totals'!$H$8:$H$10000,"="&amp;Q63,'[1]1_group_totals'!$I$8:$I$10000,"="&amp;R63)+SUMIFS('[1]1_group_totals'!$R$8:$R$10000,'[1]1_group_totals'!$C$8:$C$10000,I63,'[1]1_group_totals'!$F$8:$F$10000,pb_location_group_id,'[1]1_group_totals'!$G$8:$G$10000,pb_location_id,'[1]1_group_totals'!$H$8:$H$10000,"="&amp;Q63,'[1]1_group_totals'!$I$8:$I$10000,"="&amp;R63)))</f>
        <v/>
      </c>
    </row>
    <row r="64" spans="1:46" ht="27" hidden="1" customHeight="1">
      <c r="A64" s="923"/>
      <c r="B64" s="1028"/>
      <c r="C64" s="950"/>
      <c r="D64" s="950"/>
      <c r="E64" s="950"/>
      <c r="F64" s="1029"/>
      <c r="G64" s="941"/>
      <c r="H64" s="1070"/>
      <c r="I64" s="1610" t="str">
        <f t="shared" si="8"/>
        <v/>
      </c>
      <c r="J64" s="1631" t="str">
        <f t="shared" si="25"/>
        <v/>
      </c>
      <c r="K64" s="1628"/>
      <c r="L64" s="1632"/>
      <c r="M64" s="1069"/>
      <c r="N64" s="1044"/>
      <c r="O64" s="1044"/>
      <c r="P64" s="1046"/>
      <c r="Q64" s="1047"/>
      <c r="R64" s="1053"/>
      <c r="S64" s="1634" t="str">
        <f t="shared" ref="S64" si="185">IF(M64="","",pb_currency_symbol)</f>
        <v/>
      </c>
      <c r="T64" s="1068"/>
      <c r="U64" s="1636" t="str">
        <f t="shared" si="10"/>
        <v/>
      </c>
      <c r="V64" s="1634" t="str">
        <f t="shared" ref="V64" si="186">IF(W64=0,"",pb_currency_symbol)</f>
        <v/>
      </c>
      <c r="W64" s="1054"/>
      <c r="X64" s="1634" t="str">
        <f t="shared" ref="X64" si="187">IF(M64="","",pb_currency_symbol)</f>
        <v/>
      </c>
      <c r="Y64" s="1638" t="str">
        <f t="shared" si="24"/>
        <v/>
      </c>
      <c r="Z64" s="1062"/>
      <c r="AA64" s="1639" t="str" cm="1">
        <f t="array" ref="AA64">IF(M64="","",IF(P64=AL64,1,Slookup(MID(AL64,1,3)*1,UomConversion!$D$8:$J$500,5,UomConversion!$E$8:$E$500,MID(P64,1,3)*1,UomConversion!$J$8:$J$500,1)))</f>
        <v/>
      </c>
      <c r="AB64" s="1640" t="str">
        <f t="shared" si="13"/>
        <v/>
      </c>
      <c r="AC64" s="1641" t="str">
        <f t="shared" si="14"/>
        <v/>
      </c>
      <c r="AD64" s="1642" t="str">
        <f t="shared" si="15"/>
        <v/>
      </c>
      <c r="AE64" s="1643" t="str">
        <f t="shared" si="16"/>
        <v/>
      </c>
      <c r="AF64" s="1640" t="str">
        <f>IF(I64="","",IF(ISNA(MATCH(I64,IF(pb_location_id=1,'[1]1_inventory_totals'!$C$8:$C$10000,IF(pb_location_id=2,'[1]2_inventory_totals'!$C$8:$C$10000,"")),0)),0,IF(AS64&gt;0,1,0)))</f>
        <v/>
      </c>
      <c r="AG64" s="1640" t="str">
        <f>IF(M64="","",IF(pb_location_id=1,SUMIFS('[1]1_inventory_total_details'!$J$8:$J$10000,'[1]1_inventory_total_details'!$C$8:$C$10000,I64,'[1]1_inventory_total_details'!$F$8:$F$10000,pb_location_id,'[1]1_inventory_total_details'!$G$8:$G$10000,"="&amp;Q64,'[1]1_inventory_total_details'!$H$8:$H$10000,"="&amp;R64,'[1]1_inventory_total_details'!$I$8:$I$10000,"="&amp;pb_date)+SUMIFS('[1]1_inventory_total_details'!$M$8:$M$10000,'[1]1_inventory_total_details'!$C$8:$C$10000,I64,'[1]1_inventory_total_details'!$F$8:$F$10000,pb_location_id,'[1]1_inventory_total_details'!$G$8:$G$10000,"="&amp;Q64,'[1]1_inventory_total_details'!$H$8:$H$10000,"="&amp;R64,'[1]1_inventory_total_details'!$I$8:$I$10000,"="&amp;pb_date)+SUMIFS('[1]1_inventory_total_details'!$K$8:$K$10000,'[1]1_inventory_total_details'!$C$8:$C$10000,I64,'[1]1_inventory_total_details'!$F$8:$F$10000,pb_location_id,'[1]1_inventory_total_details'!$G$8:$G$10000,"="&amp;Q64,'[1]1_inventory_total_details'!$H$8:$H$10000,"="&amp;R64,'[1]1_inventory_total_details'!$I$8:$I$10000,"="&amp;pb_date)+SUMIFS('[1]1_inventory_total_details'!$L$8:$L$10000,'[1]1_inventory_total_details'!$C$8:$C$10000,I64,'[1]1_inventory_total_details'!$F$8:$F$10000,pb_location_id,'[1]1_inventory_total_details'!$G$8:$G$10000,"="&amp;Q64,'[1]1_inventory_total_details'!$H$8:$H$10000,"="&amp;R64,'[1]1_inventory_total_details'!$I$8:$I$10000,"="&amp;pb_date),SUMIFS('[1]2_inventory_total_details'!$J$8:$J$10000,'[1]2_inventory_total_details'!$C$8:$C$10000,I64,'[1]1_inventory_total_details'!$F$8:$F$10000,pb_location_id,'[1]2_inventory_total_details'!$G$8:$G$10000,"="&amp;Q64,'[1]2_inventory_total_details'!$H$8:$H$10000,"="&amp;R64,'[1]2_inventory_total_details'!$I$8:$I$10000,"="&amp;pb_date)+SUMIFS('[1]2_inventory_total_details'!$M$8:$M$10000,'[1]2_inventory_total_details'!$C$8:$C$10000,I64,'[1]2_inventory_total_details'!$F$8:$F$10000,pb_location_id,'[1]2_inventory_total_details'!$G$8:$G$10000,"="&amp;Q64,'[1]2_inventory_total_details'!$H$8:$H$10000,"="&amp;R64,'[1]2_inventory_total_details'!$I$8:$I$10000,"="&amp;pb_date)+SUMIFS('[1]2_inventory_total_details'!$K$8:$K$10000,'[1]2_inventory_total_details'!$C$8:$C$10000,I64,'[1]2_inventory_total_details'!$F$8:$F$10000,pb_location_id,'[1]2_inventory_total_details'!$G$8:$G$10000,"="&amp;Q64,'[1]2_inventory_total_details'!$H$8:$H$10000,"="&amp;R64,'[1]2_inventory_total_details'!$I$8:$I$10000,"="&amp;pb_date)+SUMIFS('[1]2_inventory_total_details'!$L$8:$L$10000,'[1]2_inventory_total_details'!$C$8:$C$10000,I64,'[1]2_inventory_total_details'!$F$8:$F$10000,pb_location_id,'[1]2_inventory_total_details'!$G$8:$G$10000,"="&amp;Q64,'[1]2_inventory_total_details'!$H$8:$H$10000,"="&amp;R64,'[1]2_inventory_total_details'!$I$8:$I$10000,"="&amp;pb_date)))</f>
        <v/>
      </c>
      <c r="AH64" s="1640" t="str">
        <f>IF(M64="","",IF(ISNA(MATCH(I64,'[1]1_group_totals'!$C$8:$C$10000)),0,IF(AT64&gt;0,1,0)))</f>
        <v/>
      </c>
      <c r="AI64" s="1640" t="str">
        <f>IF(M64="","",(SUMIFS('[1]1_group_total_details'!$I$8:$I$10000,'[1]1_group_total_details'!$C$8:$C$10000,I64,'[1]1_group_total_details'!$F$8:$F$10000,pb_location_group_id,'[1]1_group_total_details'!$G$8:$G$10000,pb_location_id,'[1]1_group_total_details'!$H$8:$H$10000,"="&amp;pb_date)+SUMIFS('[1]1_group_total_details'!$L$8:$L$10000,'[1]1_group_total_details'!$C$8:$C$10000,I64,'[1]1_group_total_details'!$F$8:$F$10000,pb_location_group_id,'[1]1_group_total_details'!$G$8:$G$10000,pb_location_id,'[1]1_group_total_details'!$H$8:$H$10000,"="&amp;pb_date)+SUMIFS('[1]1_group_total_details'!$N$8:$N$10000,'[1]1_group_total_details'!$C$8:$C$10000,I64,'[1]1_group_total_details'!$F$8:$F$10000,pb_location_group_id,'[1]1_group_total_details'!$G$8:$G$10000,pb_location_id,'[1]1_group_total_details'!$H$8:$H$10000,"="&amp;pb_date)+SUMIFS('[1]1_group_total_details'!$O$8:$O$10000,'[1]1_group_total_details'!$C$8:$C$10000,I64,'[1]1_group_total_details'!$F$8:$F$10000,pb_location_group_id,'[1]1_group_total_details'!$G$8:$G$10000,pb_location_id,'[1]1_group_total_details'!$H$8:$H$10000,"="&amp;pb_date))+(SUMIFS('[1]1_group_total_details'!$J$8:$J$10000,'[1]1_group_total_details'!$C$8:$C$10000,I64,'[1]1_group_total_details'!$F$8:$F$10000,pb_location_group_id,'[1]1_group_total_details'!$G$8:$G$10000,pb_location_id,'[1]1_group_total_details'!$H$8:$H$10000,"="&amp;pb_date)+SUMIFS('[1]1_group_total_details'!$K$8:$K$10000,'[1]1_group_total_details'!$C$8:$C$10000,I64,'[1]1_group_total_details'!$F$8:$F$10000,pb_location_group_id,'[1]1_group_total_details'!$G$8:$G$10000,pb_location_id,'[1]1_group_total_details'!$H$8:$H$10000,"="&amp;pb_date)+SUMIFS('[1]1_group_total_details'!$M$8:$M$10000,'[1]1_group_total_details'!$C$8:$C$10000,I64,'[1]1_group_total_details'!$F$8:$F$10000,pb_location_group_id,'[1]1_group_total_details'!$G$8:$G$10000,pb_location_id,'[1]1_group_total_details'!$H$8:$H$10000,"="&amp;pb_date)+SUMIFS('[1]1_group_total_details'!$P$8:$P$10000,'[1]1_group_total_details'!$C$8:$C$10000,I64,'[1]1_group_total_details'!$F$8:$F$10000,pb_location_group_id,'[1]1_group_total_details'!$G$8:$G$10000,pb_location_id,'[1]1_group_total_details'!$H$8:$H$10000,"="&amp;pb_date)))</f>
        <v/>
      </c>
      <c r="AJ64" s="1640" t="str">
        <f>IF(M64="","",IF(AK64=0,0,(SUMIFS('[1]1_group_total_details'!$I$8:$I$10000,'[1]1_group_total_details'!$C$8:$C$10000,I64,'[1]1_group_total_details'!$F$8:$F$10000,pb_location_group_id,'[1]1_group_total_details'!$G$8:$G$10000,pb_location_id,'[1]1_group_total_details'!$H$8:$H$10000,"&lt;="&amp;pb_date)+SUMIFS('[1]1_group_total_details'!$L$8:$L$10000,'[1]1_group_total_details'!$C$8:$C$10000,I64,'[1]1_group_total_details'!$F$8:$F$10000,pb_location_group_id,'[1]1_group_total_details'!$G$8:$G$10000,pb_location_id,'[1]1_group_total_details'!$H$8:$H$10000,"&lt;="&amp;pb_date)+SUMIFS('[1]1_group_total_details'!$N$8:$N$10000,'[1]1_group_total_details'!$C$8:$C$10000,I64,'[1]1_group_total_details'!$F$8:$F$10000,pb_location_group_id,'[1]1_group_total_details'!$G$8:$G$10000,pb_location_id,'[1]1_group_total_details'!$H$8:$H$10000,"&lt;="&amp;pb_date)+SUMIFS('[1]1_group_total_details'!$O$8:$O$10000,'[1]1_group_total_details'!$C$8:$C$10000,I64,'[1]1_group_total_details'!$F$8:$F$10000,pb_location_group_id,'[1]1_group_total_details'!$G$8:$G$10000,pb_location_id,'[1]1_group_total_details'!$H$8:$H$10000,"&lt;="&amp;pb_date))-(SUMIFS('[1]1_group_total_details'!$J$8:$J$10000,'[1]1_group_total_details'!$C$8:$C$10000,I64,'[1]1_group_total_details'!$F$8:$F$10000,pb_location_group_id,'[1]1_group_total_details'!$G$8:$G$10000,pb_location_id,'[1]1_group_total_details'!$H$8:$H$10000,"&lt;="&amp;pb_date)+SUMIFS('[1]1_group_total_details'!$K$8:$K$10000,'[1]1_group_total_details'!$C$8:$C$10000,I64,'[1]1_group_total_details'!$F$8:$F$10000,pb_location_group_id,'[1]1_group_total_details'!$G$8:$G$10000,invoice_location_id,'[1]1_group_total_details'!$H$8:$H$10000,"&lt;="&amp;pb_date)+SUMIFS('[1]1_group_total_details'!$M$8:$M$10000,'[1]1_group_total_details'!$C$8:$C$10000,I64,'[1]1_group_total_details'!$F$8:$F$10000,pb_location_group_id,'[1]1_group_total_details'!$G$8:$G$10000,pb_location_id,'[1]1_group_total_details'!$H$8:$H$10000,"&lt;="&amp;pb_date)+SUMIFS('[1]1_group_total_details'!$P$8:$P$10000,'[1]1_group_total_details'!$C$8:$C$10000,I64,'[1]1_group_total_details'!$F$8:$F$10000,pb_location_group_id,'[1]1_group_total_details'!$G$8:$G$10000,pb_location_id,'[1]1_group_total_details'!$H$8:$H$10000,"&lt;="&amp;pb_date))))</f>
        <v/>
      </c>
      <c r="AK64" s="1640" t="str">
        <f>IF(M64="","",SUMIFS('[1]1_group_totals'!$J$8:$J$10000,'[1]1_group_totals'!$C$8:$C$10000,I64,'[1]1_group_totals'!$F$8:$F$10000,pb_location_group_id,'[1]1_group_totals'!$G$8:$G$10000,pb_location_id,'[1]1_group_totals'!$H$8:$H$10000,"="&amp;Q64,'[1]1_group_totals'!$I$8:$I$10000,"="&amp;R64))</f>
        <v/>
      </c>
      <c r="AL64" s="1644" t="str">
        <f t="shared" si="17"/>
        <v/>
      </c>
      <c r="AM64" s="1644" t="str">
        <f>IF(OR(ISNA(MATCH(MID(AL64,1,3)*1,UomConversion!$D$8:$D$500,0)),M64=""),"",IF(AQ64="","",AQ64))</f>
        <v/>
      </c>
      <c r="AN64" s="1644" t="str">
        <f>IF(AND(AO64&gt;0,COUNTIFS(UomConversion!$D$8:$D$500,MID(AL64,1,3)*1,UomConversion!$J$8:$J$500,1)&gt;1),TEXT(AO64,"000")&amp;"."&amp;VLOOKUP(AO64,uom_list,5,FALSE),"")</f>
        <v/>
      </c>
      <c r="AO64" s="1640" t="str">
        <f t="shared" si="18"/>
        <v/>
      </c>
      <c r="AP64" s="1645" t="str">
        <f t="shared" si="19"/>
        <v/>
      </c>
      <c r="AQ64" s="491" t="str">
        <f t="shared" si="20"/>
        <v/>
      </c>
      <c r="AR64" s="1281" t="str" cm="1">
        <f t="array" ref="AR64">IF(M64="","",IF(ISNA(Slookup(MID(AL64,1,3)*1,UomConversion!$D$8:$J$500,2,UomConversion!$I$8:$I$500,1,UomConversion!$J$8:$J$500,1)),"",Slookup(MID(AL64,1,3)*1,UomConversion!$D$8:$J$500,2,UomConversion!$I$8:$I$500,1,UomConversion!$J$8:$J$500,1)))</f>
        <v/>
      </c>
      <c r="AS64" s="663" t="str">
        <f>IF(M64="","",(SUMIFS('[1]1_inventory_totals'!$I$8:$I$10000,'[1]1_inventory_totals'!$C$8:$C$10000,I64,'[1]1_inventory_totals'!$F$8:$F$10000,"="&amp;Q64,'[1]1_inventory_totals'!$G$8:$G$10000,"="&amp;R64)+SUMIFS('[1]1_inventory_totals'!$N$8:$N$10000,'[1]1_inventory_totals'!$C$8:$C$10000,I64,'[1]1_inventory_totals'!$F$8:$F$10000,"="&amp;Q64,'[1]1_inventory_totals'!$G$8:$G$10000,"="&amp;R64)+SUMIFS('[1]1_inventory_totals'!$P$8:$P$10000,'[1]1_inventory_totals'!$C$8:$C$10000,I64,'[1]1_inventory_totals'!$F$8:$F$10000,"="&amp;Q64,'[1]1_inventory_totals'!$G$8:$G$10000,"="&amp;R64)+SUMIFS('[1]1_inventory_totals'!$Q$8:$Q$10000,'[1]1_inventory_totals'!$C$8:$C$10000,I64,'[1]1_inventory_totals'!$F$8:$F$10000,"="&amp;Q64,'[1]1_inventory_totals'!$G$8:$G$10000,"="&amp;R64)+SUMIFS('[1]1_inventory_totals'!$R$8:$R$10000,'[1]1_inventory_totals'!$C$8:$C$10000,I64,'[1]1_inventory_totals'!$F$8:$F$10000,"="&amp;Q64,'[1]1_inventory_totals'!$G$8:$G$10000,"="&amp;R64))+(SUMIFS('[1]1_inventory_totals'!$J$8:$J$10000,'[1]1_inventory_totals'!$C$8:$C$10000,I64,'[1]1_inventory_totals'!$F$8:$F$10000,"="&amp;Q64,'[1]1_inventory_totals'!$G$8:$G$10000,"="&amp;R64)+SUMIFS('[1]1_inventory_totals'!$K$8:$K$10000,'[1]1_inventory_totals'!$C$8:$C$10000,I64,'[1]1_inventory_totals'!$F$8:$F$10000,"="&amp;Q64,'[1]1_inventory_totals'!$G$8:$G$10000,"="&amp;R64)+SUMIFS('[1]1_inventory_totals'!$L$8:$L$10000,'[1]1_inventory_totals'!$C$8:$C$10000,I64,'[1]1_inventory_totals'!$F$8:$F$10000,"="&amp;Q64,'[1]1_inventory_totals'!$G$8:$G$10000,"="&amp;R64)+SUMIFS('[1]1_inventory_totals'!$M$8:$M$10000,'[1]1_inventory_totals'!$C$8:$C$10000,I64,'[1]1_inventory_totals'!$F$8:$F$10000,"="&amp;Q64,'[1]1_inventory_totals'!$G$8:$G$10000,"="&amp;R64)+SUMIFS('[1]1_inventory_totals'!$O$8:$O$10000,'[1]1_inventory_totals'!$C$8:$C$10000,I64,'[1]1_inventory_totals'!$F$8:$F$10000,"="&amp;Q64,'[1]1_inventory_totals'!$G$8:$G$10000,"="&amp;R64)+SUMIFS('[1]1_inventory_totals'!$S$8:$S$10000,'[1]1_inventory_totals'!$C$8:$C$10000,I64,'[1]1_inventory_totals'!$F$8:$F$10000,"="&amp;Q64,'[1]1_inventory_totals'!$G$8:$G$10000,"="&amp;R64)))</f>
        <v/>
      </c>
      <c r="AT64" s="1281" t="str">
        <f>IF(M64="","",(SUMIFS('[1]1_group_totals'!$K$8:$K$10000,'[1]1_group_totals'!$C$8:$C$10000,I64,'[1]1_group_totals'!$F$8:$F$10000,pb_location_group_id,'[1]1_group_totals'!$G$8:$G$10000,pb_location_id,'[1]1_group_totals'!$H$8:$H$10000,"="&amp;Q64,'[1]1_group_totals'!$I$8:$I$10000,"="&amp;R64)+SUMIFS('[1]1_group_totals'!$N$8:$N$10000,'[1]1_group_totals'!$C$8:$C$10000,I64,'[1]1_group_totals'!$F$8:$F$10000,pb_location_group_id,'[1]1_group_totals'!$G$8:$G$10000,pb_location_id,'[1]1_group_totals'!$H$8:$H$10000,"="&amp;Q64,'[1]1_group_totals'!$I$8:$I$10000,"="&amp;R64)+SUMIFS('[1]1_group_totals'!$P$8:$P$10000,'[1]1_group_totals'!$C$8:$C$10000,I64,'[1]1_group_totals'!$F$8:$F$10000,pb_location_group_id,'[1]1_group_totals'!$G$8:$G$10000,pb_location_id,'[1]1_group_totals'!$H$8:$H$10000,"="&amp;Q64,'[1]1_group_totals'!$I$8:$I$10000,"="&amp;R64)+SUMIFS('[1]1_group_totals'!$Q$8:$Q$10000,'[1]1_group_totals'!$C$8:$C$10000,I64,'[1]1_group_totals'!$F$8:$F$10000,pb_location_group_id,'[1]1_group_totals'!$G$8:$G$10000,pb_location_id,'[1]1_group_totals'!$H$8:$H$10000,"="&amp;Q64,'[1]1_group_totals'!$I$8:$I$10000,"="&amp;R64))+(SUMIFS('[1]1_group_totals'!$L$8:$L$10000,'[1]1_group_totals'!$C$8:$C$10000,I64,'[1]1_group_totals'!$F$8:$F$10000,pb_location_group_id,'[1]1_group_totals'!$G$8:$G$10000,pb_location_id,'[1]1_group_totals'!$H$8:$H$10000,"="&amp;Q64,'[1]1_group_totals'!$I$8:$I$10000,"="&amp;R64)+SUMIFS('[1]1_group_totals'!$M$8:$M$10000,'[1]1_group_totals'!$C$8:$C$10000,I64,'[1]1_group_totals'!$F$8:$F$10000,pb_location_group_id,'[1]1_group_totals'!$G$8:$G$10000,pb_location_id,'[1]1_group_totals'!$H$8:$H$10000,"="&amp;Q64,'[1]1_group_totals'!$I$8:$I$10000,"="&amp;R64)+SUMIFS('[1]1_group_totals'!$O$8:$O$10000,'[1]1_group_totals'!$C$8:$C$10000,I64,'[1]1_group_totals'!$F$8:$F$10000,pb_location_group_id,'[1]1_group_totals'!$G$8:$G$10000,pb_location_id,'[1]1_group_totals'!$H$8:$H$10000,"="&amp;Q64,'[1]1_group_totals'!$I$8:$I$10000,"="&amp;R64)+SUMIFS('[1]1_group_totals'!$R$8:$R$10000,'[1]1_group_totals'!$C$8:$C$10000,I64,'[1]1_group_totals'!$F$8:$F$10000,pb_location_group_id,'[1]1_group_totals'!$G$8:$G$10000,pb_location_id,'[1]1_group_totals'!$H$8:$H$10000,"="&amp;Q64,'[1]1_group_totals'!$I$8:$I$10000,"="&amp;R64)))</f>
        <v/>
      </c>
    </row>
    <row r="65" spans="1:46" ht="27" hidden="1" customHeight="1">
      <c r="A65" s="923"/>
      <c r="B65" s="1028"/>
      <c r="C65" s="950"/>
      <c r="D65" s="950"/>
      <c r="E65" s="950"/>
      <c r="F65" s="1029"/>
      <c r="G65" s="941"/>
      <c r="H65" s="1070"/>
      <c r="I65" s="1610" t="str">
        <f t="shared" si="8"/>
        <v/>
      </c>
      <c r="J65" s="1631" t="str">
        <f t="shared" si="25"/>
        <v/>
      </c>
      <c r="K65" s="1628"/>
      <c r="L65" s="1632"/>
      <c r="M65" s="1069"/>
      <c r="N65" s="1044"/>
      <c r="O65" s="1044"/>
      <c r="P65" s="1046"/>
      <c r="Q65" s="1047"/>
      <c r="R65" s="1053"/>
      <c r="S65" s="1634" t="str">
        <f t="shared" ref="S65" si="188">IF(M65="","",pb_currency_symbol)</f>
        <v/>
      </c>
      <c r="T65" s="1068"/>
      <c r="U65" s="1636" t="str">
        <f t="shared" si="10"/>
        <v/>
      </c>
      <c r="V65" s="1634" t="str">
        <f t="shared" ref="V65" si="189">IF(W65=0,"",pb_currency_symbol)</f>
        <v/>
      </c>
      <c r="W65" s="1054"/>
      <c r="X65" s="1634" t="str">
        <f t="shared" ref="X65" si="190">IF(M65="","",pb_currency_symbol)</f>
        <v/>
      </c>
      <c r="Y65" s="1638" t="str">
        <f t="shared" si="24"/>
        <v/>
      </c>
      <c r="Z65" s="1062"/>
      <c r="AA65" s="1639" t="str" cm="1">
        <f t="array" ref="AA65">IF(M65="","",IF(P65=AL65,1,Slookup(MID(AL65,1,3)*1,UomConversion!$D$8:$J$500,5,UomConversion!$E$8:$E$500,MID(P65,1,3)*1,UomConversion!$J$8:$J$500,1)))</f>
        <v/>
      </c>
      <c r="AB65" s="1640" t="str">
        <f t="shared" si="13"/>
        <v/>
      </c>
      <c r="AC65" s="1641" t="str">
        <f t="shared" si="14"/>
        <v/>
      </c>
      <c r="AD65" s="1642" t="str">
        <f t="shared" si="15"/>
        <v/>
      </c>
      <c r="AE65" s="1643" t="str">
        <f t="shared" si="16"/>
        <v/>
      </c>
      <c r="AF65" s="1640" t="str">
        <f>IF(I65="","",IF(ISNA(MATCH(I65,IF(pb_location_id=1,'[1]1_inventory_totals'!$C$8:$C$10000,IF(pb_location_id=2,'[1]2_inventory_totals'!$C$8:$C$10000,"")),0)),0,IF(AS65&gt;0,1,0)))</f>
        <v/>
      </c>
      <c r="AG65" s="1640" t="str">
        <f>IF(M65="","",IF(pb_location_id=1,SUMIFS('[1]1_inventory_total_details'!$J$8:$J$10000,'[1]1_inventory_total_details'!$C$8:$C$10000,I65,'[1]1_inventory_total_details'!$F$8:$F$10000,pb_location_id,'[1]1_inventory_total_details'!$G$8:$G$10000,"="&amp;Q65,'[1]1_inventory_total_details'!$H$8:$H$10000,"="&amp;R65,'[1]1_inventory_total_details'!$I$8:$I$10000,"="&amp;pb_date)+SUMIFS('[1]1_inventory_total_details'!$M$8:$M$10000,'[1]1_inventory_total_details'!$C$8:$C$10000,I65,'[1]1_inventory_total_details'!$F$8:$F$10000,pb_location_id,'[1]1_inventory_total_details'!$G$8:$G$10000,"="&amp;Q65,'[1]1_inventory_total_details'!$H$8:$H$10000,"="&amp;R65,'[1]1_inventory_total_details'!$I$8:$I$10000,"="&amp;pb_date)+SUMIFS('[1]1_inventory_total_details'!$K$8:$K$10000,'[1]1_inventory_total_details'!$C$8:$C$10000,I65,'[1]1_inventory_total_details'!$F$8:$F$10000,pb_location_id,'[1]1_inventory_total_details'!$G$8:$G$10000,"="&amp;Q65,'[1]1_inventory_total_details'!$H$8:$H$10000,"="&amp;R65,'[1]1_inventory_total_details'!$I$8:$I$10000,"="&amp;pb_date)+SUMIFS('[1]1_inventory_total_details'!$L$8:$L$10000,'[1]1_inventory_total_details'!$C$8:$C$10000,I65,'[1]1_inventory_total_details'!$F$8:$F$10000,pb_location_id,'[1]1_inventory_total_details'!$G$8:$G$10000,"="&amp;Q65,'[1]1_inventory_total_details'!$H$8:$H$10000,"="&amp;R65,'[1]1_inventory_total_details'!$I$8:$I$10000,"="&amp;pb_date),SUMIFS('[1]2_inventory_total_details'!$J$8:$J$10000,'[1]2_inventory_total_details'!$C$8:$C$10000,I65,'[1]1_inventory_total_details'!$F$8:$F$10000,pb_location_id,'[1]2_inventory_total_details'!$G$8:$G$10000,"="&amp;Q65,'[1]2_inventory_total_details'!$H$8:$H$10000,"="&amp;R65,'[1]2_inventory_total_details'!$I$8:$I$10000,"="&amp;pb_date)+SUMIFS('[1]2_inventory_total_details'!$M$8:$M$10000,'[1]2_inventory_total_details'!$C$8:$C$10000,I65,'[1]2_inventory_total_details'!$F$8:$F$10000,pb_location_id,'[1]2_inventory_total_details'!$G$8:$G$10000,"="&amp;Q65,'[1]2_inventory_total_details'!$H$8:$H$10000,"="&amp;R65,'[1]2_inventory_total_details'!$I$8:$I$10000,"="&amp;pb_date)+SUMIFS('[1]2_inventory_total_details'!$K$8:$K$10000,'[1]2_inventory_total_details'!$C$8:$C$10000,I65,'[1]2_inventory_total_details'!$F$8:$F$10000,pb_location_id,'[1]2_inventory_total_details'!$G$8:$G$10000,"="&amp;Q65,'[1]2_inventory_total_details'!$H$8:$H$10000,"="&amp;R65,'[1]2_inventory_total_details'!$I$8:$I$10000,"="&amp;pb_date)+SUMIFS('[1]2_inventory_total_details'!$L$8:$L$10000,'[1]2_inventory_total_details'!$C$8:$C$10000,I65,'[1]2_inventory_total_details'!$F$8:$F$10000,pb_location_id,'[1]2_inventory_total_details'!$G$8:$G$10000,"="&amp;Q65,'[1]2_inventory_total_details'!$H$8:$H$10000,"="&amp;R65,'[1]2_inventory_total_details'!$I$8:$I$10000,"="&amp;pb_date)))</f>
        <v/>
      </c>
      <c r="AH65" s="1640" t="str">
        <f>IF(M65="","",IF(ISNA(MATCH(I65,'[1]1_group_totals'!$C$8:$C$10000)),0,IF(AT65&gt;0,1,0)))</f>
        <v/>
      </c>
      <c r="AI65" s="1640" t="str">
        <f>IF(M65="","",(SUMIFS('[1]1_group_total_details'!$I$8:$I$10000,'[1]1_group_total_details'!$C$8:$C$10000,I65,'[1]1_group_total_details'!$F$8:$F$10000,pb_location_group_id,'[1]1_group_total_details'!$G$8:$G$10000,pb_location_id,'[1]1_group_total_details'!$H$8:$H$10000,"="&amp;pb_date)+SUMIFS('[1]1_group_total_details'!$L$8:$L$10000,'[1]1_group_total_details'!$C$8:$C$10000,I65,'[1]1_group_total_details'!$F$8:$F$10000,pb_location_group_id,'[1]1_group_total_details'!$G$8:$G$10000,pb_location_id,'[1]1_group_total_details'!$H$8:$H$10000,"="&amp;pb_date)+SUMIFS('[1]1_group_total_details'!$N$8:$N$10000,'[1]1_group_total_details'!$C$8:$C$10000,I65,'[1]1_group_total_details'!$F$8:$F$10000,pb_location_group_id,'[1]1_group_total_details'!$G$8:$G$10000,pb_location_id,'[1]1_group_total_details'!$H$8:$H$10000,"="&amp;pb_date)+SUMIFS('[1]1_group_total_details'!$O$8:$O$10000,'[1]1_group_total_details'!$C$8:$C$10000,I65,'[1]1_group_total_details'!$F$8:$F$10000,pb_location_group_id,'[1]1_group_total_details'!$G$8:$G$10000,pb_location_id,'[1]1_group_total_details'!$H$8:$H$10000,"="&amp;pb_date))+(SUMIFS('[1]1_group_total_details'!$J$8:$J$10000,'[1]1_group_total_details'!$C$8:$C$10000,I65,'[1]1_group_total_details'!$F$8:$F$10000,pb_location_group_id,'[1]1_group_total_details'!$G$8:$G$10000,pb_location_id,'[1]1_group_total_details'!$H$8:$H$10000,"="&amp;pb_date)+SUMIFS('[1]1_group_total_details'!$K$8:$K$10000,'[1]1_group_total_details'!$C$8:$C$10000,I65,'[1]1_group_total_details'!$F$8:$F$10000,pb_location_group_id,'[1]1_group_total_details'!$G$8:$G$10000,pb_location_id,'[1]1_group_total_details'!$H$8:$H$10000,"="&amp;pb_date)+SUMIFS('[1]1_group_total_details'!$M$8:$M$10000,'[1]1_group_total_details'!$C$8:$C$10000,I65,'[1]1_group_total_details'!$F$8:$F$10000,pb_location_group_id,'[1]1_group_total_details'!$G$8:$G$10000,pb_location_id,'[1]1_group_total_details'!$H$8:$H$10000,"="&amp;pb_date)+SUMIFS('[1]1_group_total_details'!$P$8:$P$10000,'[1]1_group_total_details'!$C$8:$C$10000,I65,'[1]1_group_total_details'!$F$8:$F$10000,pb_location_group_id,'[1]1_group_total_details'!$G$8:$G$10000,pb_location_id,'[1]1_group_total_details'!$H$8:$H$10000,"="&amp;pb_date)))</f>
        <v/>
      </c>
      <c r="AJ65" s="1640" t="str">
        <f>IF(M65="","",IF(AK65=0,0,(SUMIFS('[1]1_group_total_details'!$I$8:$I$10000,'[1]1_group_total_details'!$C$8:$C$10000,I65,'[1]1_group_total_details'!$F$8:$F$10000,pb_location_group_id,'[1]1_group_total_details'!$G$8:$G$10000,pb_location_id,'[1]1_group_total_details'!$H$8:$H$10000,"&lt;="&amp;pb_date)+SUMIFS('[1]1_group_total_details'!$L$8:$L$10000,'[1]1_group_total_details'!$C$8:$C$10000,I65,'[1]1_group_total_details'!$F$8:$F$10000,pb_location_group_id,'[1]1_group_total_details'!$G$8:$G$10000,pb_location_id,'[1]1_group_total_details'!$H$8:$H$10000,"&lt;="&amp;pb_date)+SUMIFS('[1]1_group_total_details'!$N$8:$N$10000,'[1]1_group_total_details'!$C$8:$C$10000,I65,'[1]1_group_total_details'!$F$8:$F$10000,pb_location_group_id,'[1]1_group_total_details'!$G$8:$G$10000,pb_location_id,'[1]1_group_total_details'!$H$8:$H$10000,"&lt;="&amp;pb_date)+SUMIFS('[1]1_group_total_details'!$O$8:$O$10000,'[1]1_group_total_details'!$C$8:$C$10000,I65,'[1]1_group_total_details'!$F$8:$F$10000,pb_location_group_id,'[1]1_group_total_details'!$G$8:$G$10000,pb_location_id,'[1]1_group_total_details'!$H$8:$H$10000,"&lt;="&amp;pb_date))-(SUMIFS('[1]1_group_total_details'!$J$8:$J$10000,'[1]1_group_total_details'!$C$8:$C$10000,I65,'[1]1_group_total_details'!$F$8:$F$10000,pb_location_group_id,'[1]1_group_total_details'!$G$8:$G$10000,pb_location_id,'[1]1_group_total_details'!$H$8:$H$10000,"&lt;="&amp;pb_date)+SUMIFS('[1]1_group_total_details'!$K$8:$K$10000,'[1]1_group_total_details'!$C$8:$C$10000,I65,'[1]1_group_total_details'!$F$8:$F$10000,pb_location_group_id,'[1]1_group_total_details'!$G$8:$G$10000,invoice_location_id,'[1]1_group_total_details'!$H$8:$H$10000,"&lt;="&amp;pb_date)+SUMIFS('[1]1_group_total_details'!$M$8:$M$10000,'[1]1_group_total_details'!$C$8:$C$10000,I65,'[1]1_group_total_details'!$F$8:$F$10000,pb_location_group_id,'[1]1_group_total_details'!$G$8:$G$10000,pb_location_id,'[1]1_group_total_details'!$H$8:$H$10000,"&lt;="&amp;pb_date)+SUMIFS('[1]1_group_total_details'!$P$8:$P$10000,'[1]1_group_total_details'!$C$8:$C$10000,I65,'[1]1_group_total_details'!$F$8:$F$10000,pb_location_group_id,'[1]1_group_total_details'!$G$8:$G$10000,pb_location_id,'[1]1_group_total_details'!$H$8:$H$10000,"&lt;="&amp;pb_date))))</f>
        <v/>
      </c>
      <c r="AK65" s="1640" t="str">
        <f>IF(M65="","",SUMIFS('[1]1_group_totals'!$J$8:$J$10000,'[1]1_group_totals'!$C$8:$C$10000,I65,'[1]1_group_totals'!$F$8:$F$10000,pb_location_group_id,'[1]1_group_totals'!$G$8:$G$10000,pb_location_id,'[1]1_group_totals'!$H$8:$H$10000,"="&amp;Q65,'[1]1_group_totals'!$I$8:$I$10000,"="&amp;R65))</f>
        <v/>
      </c>
      <c r="AL65" s="1644" t="str">
        <f t="shared" si="17"/>
        <v/>
      </c>
      <c r="AM65" s="1644" t="str">
        <f>IF(OR(ISNA(MATCH(MID(AL65,1,3)*1,UomConversion!$D$8:$D$500,0)),M65=""),"",IF(AQ65="","",AQ65))</f>
        <v/>
      </c>
      <c r="AN65" s="1644" t="str">
        <f>IF(AND(AO65&gt;0,COUNTIFS(UomConversion!$D$8:$D$500,MID(AL65,1,3)*1,UomConversion!$J$8:$J$500,1)&gt;1),TEXT(AO65,"000")&amp;"."&amp;VLOOKUP(AO65,uom_list,5,FALSE),"")</f>
        <v/>
      </c>
      <c r="AO65" s="1640" t="str">
        <f t="shared" si="18"/>
        <v/>
      </c>
      <c r="AP65" s="1645" t="str">
        <f t="shared" si="19"/>
        <v/>
      </c>
      <c r="AQ65" s="491" t="str">
        <f t="shared" si="20"/>
        <v/>
      </c>
      <c r="AR65" s="1281" t="str" cm="1">
        <f t="array" ref="AR65">IF(M65="","",IF(ISNA(Slookup(MID(AL65,1,3)*1,UomConversion!$D$8:$J$500,2,UomConversion!$I$8:$I$500,1,UomConversion!$J$8:$J$500,1)),"",Slookup(MID(AL65,1,3)*1,UomConversion!$D$8:$J$500,2,UomConversion!$I$8:$I$500,1,UomConversion!$J$8:$J$500,1)))</f>
        <v/>
      </c>
      <c r="AS65" s="663" t="str">
        <f>IF(M65="","",(SUMIFS('[1]1_inventory_totals'!$I$8:$I$10000,'[1]1_inventory_totals'!$C$8:$C$10000,I65,'[1]1_inventory_totals'!$F$8:$F$10000,"="&amp;Q65,'[1]1_inventory_totals'!$G$8:$G$10000,"="&amp;R65)+SUMIFS('[1]1_inventory_totals'!$N$8:$N$10000,'[1]1_inventory_totals'!$C$8:$C$10000,I65,'[1]1_inventory_totals'!$F$8:$F$10000,"="&amp;Q65,'[1]1_inventory_totals'!$G$8:$G$10000,"="&amp;R65)+SUMIFS('[1]1_inventory_totals'!$P$8:$P$10000,'[1]1_inventory_totals'!$C$8:$C$10000,I65,'[1]1_inventory_totals'!$F$8:$F$10000,"="&amp;Q65,'[1]1_inventory_totals'!$G$8:$G$10000,"="&amp;R65)+SUMIFS('[1]1_inventory_totals'!$Q$8:$Q$10000,'[1]1_inventory_totals'!$C$8:$C$10000,I65,'[1]1_inventory_totals'!$F$8:$F$10000,"="&amp;Q65,'[1]1_inventory_totals'!$G$8:$G$10000,"="&amp;R65)+SUMIFS('[1]1_inventory_totals'!$R$8:$R$10000,'[1]1_inventory_totals'!$C$8:$C$10000,I65,'[1]1_inventory_totals'!$F$8:$F$10000,"="&amp;Q65,'[1]1_inventory_totals'!$G$8:$G$10000,"="&amp;R65))+(SUMIFS('[1]1_inventory_totals'!$J$8:$J$10000,'[1]1_inventory_totals'!$C$8:$C$10000,I65,'[1]1_inventory_totals'!$F$8:$F$10000,"="&amp;Q65,'[1]1_inventory_totals'!$G$8:$G$10000,"="&amp;R65)+SUMIFS('[1]1_inventory_totals'!$K$8:$K$10000,'[1]1_inventory_totals'!$C$8:$C$10000,I65,'[1]1_inventory_totals'!$F$8:$F$10000,"="&amp;Q65,'[1]1_inventory_totals'!$G$8:$G$10000,"="&amp;R65)+SUMIFS('[1]1_inventory_totals'!$L$8:$L$10000,'[1]1_inventory_totals'!$C$8:$C$10000,I65,'[1]1_inventory_totals'!$F$8:$F$10000,"="&amp;Q65,'[1]1_inventory_totals'!$G$8:$G$10000,"="&amp;R65)+SUMIFS('[1]1_inventory_totals'!$M$8:$M$10000,'[1]1_inventory_totals'!$C$8:$C$10000,I65,'[1]1_inventory_totals'!$F$8:$F$10000,"="&amp;Q65,'[1]1_inventory_totals'!$G$8:$G$10000,"="&amp;R65)+SUMIFS('[1]1_inventory_totals'!$O$8:$O$10000,'[1]1_inventory_totals'!$C$8:$C$10000,I65,'[1]1_inventory_totals'!$F$8:$F$10000,"="&amp;Q65,'[1]1_inventory_totals'!$G$8:$G$10000,"="&amp;R65)+SUMIFS('[1]1_inventory_totals'!$S$8:$S$10000,'[1]1_inventory_totals'!$C$8:$C$10000,I65,'[1]1_inventory_totals'!$F$8:$F$10000,"="&amp;Q65,'[1]1_inventory_totals'!$G$8:$G$10000,"="&amp;R65)))</f>
        <v/>
      </c>
      <c r="AT65" s="1281" t="str">
        <f>IF(M65="","",(SUMIFS('[1]1_group_totals'!$K$8:$K$10000,'[1]1_group_totals'!$C$8:$C$10000,I65,'[1]1_group_totals'!$F$8:$F$10000,pb_location_group_id,'[1]1_group_totals'!$G$8:$G$10000,pb_location_id,'[1]1_group_totals'!$H$8:$H$10000,"="&amp;Q65,'[1]1_group_totals'!$I$8:$I$10000,"="&amp;R65)+SUMIFS('[1]1_group_totals'!$N$8:$N$10000,'[1]1_group_totals'!$C$8:$C$10000,I65,'[1]1_group_totals'!$F$8:$F$10000,pb_location_group_id,'[1]1_group_totals'!$G$8:$G$10000,pb_location_id,'[1]1_group_totals'!$H$8:$H$10000,"="&amp;Q65,'[1]1_group_totals'!$I$8:$I$10000,"="&amp;R65)+SUMIFS('[1]1_group_totals'!$P$8:$P$10000,'[1]1_group_totals'!$C$8:$C$10000,I65,'[1]1_group_totals'!$F$8:$F$10000,pb_location_group_id,'[1]1_group_totals'!$G$8:$G$10000,pb_location_id,'[1]1_group_totals'!$H$8:$H$10000,"="&amp;Q65,'[1]1_group_totals'!$I$8:$I$10000,"="&amp;R65)+SUMIFS('[1]1_group_totals'!$Q$8:$Q$10000,'[1]1_group_totals'!$C$8:$C$10000,I65,'[1]1_group_totals'!$F$8:$F$10000,pb_location_group_id,'[1]1_group_totals'!$G$8:$G$10000,pb_location_id,'[1]1_group_totals'!$H$8:$H$10000,"="&amp;Q65,'[1]1_group_totals'!$I$8:$I$10000,"="&amp;R65))+(SUMIFS('[1]1_group_totals'!$L$8:$L$10000,'[1]1_group_totals'!$C$8:$C$10000,I65,'[1]1_group_totals'!$F$8:$F$10000,pb_location_group_id,'[1]1_group_totals'!$G$8:$G$10000,pb_location_id,'[1]1_group_totals'!$H$8:$H$10000,"="&amp;Q65,'[1]1_group_totals'!$I$8:$I$10000,"="&amp;R65)+SUMIFS('[1]1_group_totals'!$M$8:$M$10000,'[1]1_group_totals'!$C$8:$C$10000,I65,'[1]1_group_totals'!$F$8:$F$10000,pb_location_group_id,'[1]1_group_totals'!$G$8:$G$10000,pb_location_id,'[1]1_group_totals'!$H$8:$H$10000,"="&amp;Q65,'[1]1_group_totals'!$I$8:$I$10000,"="&amp;R65)+SUMIFS('[1]1_group_totals'!$O$8:$O$10000,'[1]1_group_totals'!$C$8:$C$10000,I65,'[1]1_group_totals'!$F$8:$F$10000,pb_location_group_id,'[1]1_group_totals'!$G$8:$G$10000,pb_location_id,'[1]1_group_totals'!$H$8:$H$10000,"="&amp;Q65,'[1]1_group_totals'!$I$8:$I$10000,"="&amp;R65)+SUMIFS('[1]1_group_totals'!$R$8:$R$10000,'[1]1_group_totals'!$C$8:$C$10000,I65,'[1]1_group_totals'!$F$8:$F$10000,pb_location_group_id,'[1]1_group_totals'!$G$8:$G$10000,pb_location_id,'[1]1_group_totals'!$H$8:$H$10000,"="&amp;Q65,'[1]1_group_totals'!$I$8:$I$10000,"="&amp;R65)))</f>
        <v/>
      </c>
    </row>
    <row r="66" spans="1:46" ht="27" hidden="1" customHeight="1">
      <c r="A66" s="923"/>
      <c r="B66" s="1028"/>
      <c r="C66" s="950"/>
      <c r="D66" s="950"/>
      <c r="E66" s="950"/>
      <c r="F66" s="1029"/>
      <c r="G66" s="941"/>
      <c r="H66" s="1070"/>
      <c r="I66" s="1610" t="str">
        <f t="shared" si="8"/>
        <v/>
      </c>
      <c r="J66" s="1631" t="str">
        <f t="shared" si="25"/>
        <v/>
      </c>
      <c r="K66" s="1628"/>
      <c r="L66" s="1632"/>
      <c r="M66" s="1069"/>
      <c r="N66" s="1044"/>
      <c r="O66" s="1044"/>
      <c r="P66" s="1046"/>
      <c r="Q66" s="1047"/>
      <c r="R66" s="1053"/>
      <c r="S66" s="1634" t="str">
        <f t="shared" ref="S66" si="191">IF(M66="","",pb_currency_symbol)</f>
        <v/>
      </c>
      <c r="T66" s="1068"/>
      <c r="U66" s="1636" t="str">
        <f t="shared" si="10"/>
        <v/>
      </c>
      <c r="V66" s="1634" t="str">
        <f t="shared" ref="V66" si="192">IF(W66=0,"",pb_currency_symbol)</f>
        <v/>
      </c>
      <c r="W66" s="1054"/>
      <c r="X66" s="1634" t="str">
        <f t="shared" ref="X66" si="193">IF(M66="","",pb_currency_symbol)</f>
        <v/>
      </c>
      <c r="Y66" s="1638" t="str">
        <f t="shared" si="24"/>
        <v/>
      </c>
      <c r="Z66" s="1062"/>
      <c r="AA66" s="1639" t="str" cm="1">
        <f t="array" ref="AA66">IF(M66="","",IF(P66=AL66,1,Slookup(MID(AL66,1,3)*1,UomConversion!$D$8:$J$500,5,UomConversion!$E$8:$E$500,MID(P66,1,3)*1,UomConversion!$J$8:$J$500,1)))</f>
        <v/>
      </c>
      <c r="AB66" s="1640" t="str">
        <f t="shared" si="13"/>
        <v/>
      </c>
      <c r="AC66" s="1641" t="str">
        <f t="shared" si="14"/>
        <v/>
      </c>
      <c r="AD66" s="1642" t="str">
        <f t="shared" si="15"/>
        <v/>
      </c>
      <c r="AE66" s="1643" t="str">
        <f t="shared" si="16"/>
        <v/>
      </c>
      <c r="AF66" s="1640" t="str">
        <f>IF(I66="","",IF(ISNA(MATCH(I66,IF(pb_location_id=1,'[1]1_inventory_totals'!$C$8:$C$10000,IF(pb_location_id=2,'[1]2_inventory_totals'!$C$8:$C$10000,"")),0)),0,IF(AS66&gt;0,1,0)))</f>
        <v/>
      </c>
      <c r="AG66" s="1640" t="str">
        <f>IF(M66="","",IF(pb_location_id=1,SUMIFS('[1]1_inventory_total_details'!$J$8:$J$10000,'[1]1_inventory_total_details'!$C$8:$C$10000,I66,'[1]1_inventory_total_details'!$F$8:$F$10000,pb_location_id,'[1]1_inventory_total_details'!$G$8:$G$10000,"="&amp;Q66,'[1]1_inventory_total_details'!$H$8:$H$10000,"="&amp;R66,'[1]1_inventory_total_details'!$I$8:$I$10000,"="&amp;pb_date)+SUMIFS('[1]1_inventory_total_details'!$M$8:$M$10000,'[1]1_inventory_total_details'!$C$8:$C$10000,I66,'[1]1_inventory_total_details'!$F$8:$F$10000,pb_location_id,'[1]1_inventory_total_details'!$G$8:$G$10000,"="&amp;Q66,'[1]1_inventory_total_details'!$H$8:$H$10000,"="&amp;R66,'[1]1_inventory_total_details'!$I$8:$I$10000,"="&amp;pb_date)+SUMIFS('[1]1_inventory_total_details'!$K$8:$K$10000,'[1]1_inventory_total_details'!$C$8:$C$10000,I66,'[1]1_inventory_total_details'!$F$8:$F$10000,pb_location_id,'[1]1_inventory_total_details'!$G$8:$G$10000,"="&amp;Q66,'[1]1_inventory_total_details'!$H$8:$H$10000,"="&amp;R66,'[1]1_inventory_total_details'!$I$8:$I$10000,"="&amp;pb_date)+SUMIFS('[1]1_inventory_total_details'!$L$8:$L$10000,'[1]1_inventory_total_details'!$C$8:$C$10000,I66,'[1]1_inventory_total_details'!$F$8:$F$10000,pb_location_id,'[1]1_inventory_total_details'!$G$8:$G$10000,"="&amp;Q66,'[1]1_inventory_total_details'!$H$8:$H$10000,"="&amp;R66,'[1]1_inventory_total_details'!$I$8:$I$10000,"="&amp;pb_date),SUMIFS('[1]2_inventory_total_details'!$J$8:$J$10000,'[1]2_inventory_total_details'!$C$8:$C$10000,I66,'[1]1_inventory_total_details'!$F$8:$F$10000,pb_location_id,'[1]2_inventory_total_details'!$G$8:$G$10000,"="&amp;Q66,'[1]2_inventory_total_details'!$H$8:$H$10000,"="&amp;R66,'[1]2_inventory_total_details'!$I$8:$I$10000,"="&amp;pb_date)+SUMIFS('[1]2_inventory_total_details'!$M$8:$M$10000,'[1]2_inventory_total_details'!$C$8:$C$10000,I66,'[1]2_inventory_total_details'!$F$8:$F$10000,pb_location_id,'[1]2_inventory_total_details'!$G$8:$G$10000,"="&amp;Q66,'[1]2_inventory_total_details'!$H$8:$H$10000,"="&amp;R66,'[1]2_inventory_total_details'!$I$8:$I$10000,"="&amp;pb_date)+SUMIFS('[1]2_inventory_total_details'!$K$8:$K$10000,'[1]2_inventory_total_details'!$C$8:$C$10000,I66,'[1]2_inventory_total_details'!$F$8:$F$10000,pb_location_id,'[1]2_inventory_total_details'!$G$8:$G$10000,"="&amp;Q66,'[1]2_inventory_total_details'!$H$8:$H$10000,"="&amp;R66,'[1]2_inventory_total_details'!$I$8:$I$10000,"="&amp;pb_date)+SUMIFS('[1]2_inventory_total_details'!$L$8:$L$10000,'[1]2_inventory_total_details'!$C$8:$C$10000,I66,'[1]2_inventory_total_details'!$F$8:$F$10000,pb_location_id,'[1]2_inventory_total_details'!$G$8:$G$10000,"="&amp;Q66,'[1]2_inventory_total_details'!$H$8:$H$10000,"="&amp;R66,'[1]2_inventory_total_details'!$I$8:$I$10000,"="&amp;pb_date)))</f>
        <v/>
      </c>
      <c r="AH66" s="1640" t="str">
        <f>IF(M66="","",IF(ISNA(MATCH(I66,'[1]1_group_totals'!$C$8:$C$10000)),0,IF(AT66&gt;0,1,0)))</f>
        <v/>
      </c>
      <c r="AI66" s="1640" t="str">
        <f>IF(M66="","",(SUMIFS('[1]1_group_total_details'!$I$8:$I$10000,'[1]1_group_total_details'!$C$8:$C$10000,I66,'[1]1_group_total_details'!$F$8:$F$10000,pb_location_group_id,'[1]1_group_total_details'!$G$8:$G$10000,pb_location_id,'[1]1_group_total_details'!$H$8:$H$10000,"="&amp;pb_date)+SUMIFS('[1]1_group_total_details'!$L$8:$L$10000,'[1]1_group_total_details'!$C$8:$C$10000,I66,'[1]1_group_total_details'!$F$8:$F$10000,pb_location_group_id,'[1]1_group_total_details'!$G$8:$G$10000,pb_location_id,'[1]1_group_total_details'!$H$8:$H$10000,"="&amp;pb_date)+SUMIFS('[1]1_group_total_details'!$N$8:$N$10000,'[1]1_group_total_details'!$C$8:$C$10000,I66,'[1]1_group_total_details'!$F$8:$F$10000,pb_location_group_id,'[1]1_group_total_details'!$G$8:$G$10000,pb_location_id,'[1]1_group_total_details'!$H$8:$H$10000,"="&amp;pb_date)+SUMIFS('[1]1_group_total_details'!$O$8:$O$10000,'[1]1_group_total_details'!$C$8:$C$10000,I66,'[1]1_group_total_details'!$F$8:$F$10000,pb_location_group_id,'[1]1_group_total_details'!$G$8:$G$10000,pb_location_id,'[1]1_group_total_details'!$H$8:$H$10000,"="&amp;pb_date))+(SUMIFS('[1]1_group_total_details'!$J$8:$J$10000,'[1]1_group_total_details'!$C$8:$C$10000,I66,'[1]1_group_total_details'!$F$8:$F$10000,pb_location_group_id,'[1]1_group_total_details'!$G$8:$G$10000,pb_location_id,'[1]1_group_total_details'!$H$8:$H$10000,"="&amp;pb_date)+SUMIFS('[1]1_group_total_details'!$K$8:$K$10000,'[1]1_group_total_details'!$C$8:$C$10000,I66,'[1]1_group_total_details'!$F$8:$F$10000,pb_location_group_id,'[1]1_group_total_details'!$G$8:$G$10000,pb_location_id,'[1]1_group_total_details'!$H$8:$H$10000,"="&amp;pb_date)+SUMIFS('[1]1_group_total_details'!$M$8:$M$10000,'[1]1_group_total_details'!$C$8:$C$10000,I66,'[1]1_group_total_details'!$F$8:$F$10000,pb_location_group_id,'[1]1_group_total_details'!$G$8:$G$10000,pb_location_id,'[1]1_group_total_details'!$H$8:$H$10000,"="&amp;pb_date)+SUMIFS('[1]1_group_total_details'!$P$8:$P$10000,'[1]1_group_total_details'!$C$8:$C$10000,I66,'[1]1_group_total_details'!$F$8:$F$10000,pb_location_group_id,'[1]1_group_total_details'!$G$8:$G$10000,pb_location_id,'[1]1_group_total_details'!$H$8:$H$10000,"="&amp;pb_date)))</f>
        <v/>
      </c>
      <c r="AJ66" s="1640" t="str">
        <f>IF(M66="","",IF(AK66=0,0,(SUMIFS('[1]1_group_total_details'!$I$8:$I$10000,'[1]1_group_total_details'!$C$8:$C$10000,I66,'[1]1_group_total_details'!$F$8:$F$10000,pb_location_group_id,'[1]1_group_total_details'!$G$8:$G$10000,pb_location_id,'[1]1_group_total_details'!$H$8:$H$10000,"&lt;="&amp;pb_date)+SUMIFS('[1]1_group_total_details'!$L$8:$L$10000,'[1]1_group_total_details'!$C$8:$C$10000,I66,'[1]1_group_total_details'!$F$8:$F$10000,pb_location_group_id,'[1]1_group_total_details'!$G$8:$G$10000,pb_location_id,'[1]1_group_total_details'!$H$8:$H$10000,"&lt;="&amp;pb_date)+SUMIFS('[1]1_group_total_details'!$N$8:$N$10000,'[1]1_group_total_details'!$C$8:$C$10000,I66,'[1]1_group_total_details'!$F$8:$F$10000,pb_location_group_id,'[1]1_group_total_details'!$G$8:$G$10000,pb_location_id,'[1]1_group_total_details'!$H$8:$H$10000,"&lt;="&amp;pb_date)+SUMIFS('[1]1_group_total_details'!$O$8:$O$10000,'[1]1_group_total_details'!$C$8:$C$10000,I66,'[1]1_group_total_details'!$F$8:$F$10000,pb_location_group_id,'[1]1_group_total_details'!$G$8:$G$10000,pb_location_id,'[1]1_group_total_details'!$H$8:$H$10000,"&lt;="&amp;pb_date))-(SUMIFS('[1]1_group_total_details'!$J$8:$J$10000,'[1]1_group_total_details'!$C$8:$C$10000,I66,'[1]1_group_total_details'!$F$8:$F$10000,pb_location_group_id,'[1]1_group_total_details'!$G$8:$G$10000,pb_location_id,'[1]1_group_total_details'!$H$8:$H$10000,"&lt;="&amp;pb_date)+SUMIFS('[1]1_group_total_details'!$K$8:$K$10000,'[1]1_group_total_details'!$C$8:$C$10000,I66,'[1]1_group_total_details'!$F$8:$F$10000,pb_location_group_id,'[1]1_group_total_details'!$G$8:$G$10000,invoice_location_id,'[1]1_group_total_details'!$H$8:$H$10000,"&lt;="&amp;pb_date)+SUMIFS('[1]1_group_total_details'!$M$8:$M$10000,'[1]1_group_total_details'!$C$8:$C$10000,I66,'[1]1_group_total_details'!$F$8:$F$10000,pb_location_group_id,'[1]1_group_total_details'!$G$8:$G$10000,pb_location_id,'[1]1_group_total_details'!$H$8:$H$10000,"&lt;="&amp;pb_date)+SUMIFS('[1]1_group_total_details'!$P$8:$P$10000,'[1]1_group_total_details'!$C$8:$C$10000,I66,'[1]1_group_total_details'!$F$8:$F$10000,pb_location_group_id,'[1]1_group_total_details'!$G$8:$G$10000,pb_location_id,'[1]1_group_total_details'!$H$8:$H$10000,"&lt;="&amp;pb_date))))</f>
        <v/>
      </c>
      <c r="AK66" s="1640" t="str">
        <f>IF(M66="","",SUMIFS('[1]1_group_totals'!$J$8:$J$10000,'[1]1_group_totals'!$C$8:$C$10000,I66,'[1]1_group_totals'!$F$8:$F$10000,pb_location_group_id,'[1]1_group_totals'!$G$8:$G$10000,pb_location_id,'[1]1_group_totals'!$H$8:$H$10000,"="&amp;Q66,'[1]1_group_totals'!$I$8:$I$10000,"="&amp;R66))</f>
        <v/>
      </c>
      <c r="AL66" s="1644" t="str">
        <f t="shared" si="17"/>
        <v/>
      </c>
      <c r="AM66" s="1644" t="str">
        <f>IF(OR(ISNA(MATCH(MID(AL66,1,3)*1,UomConversion!$D$8:$D$500,0)),M66=""),"",IF(AQ66="","",AQ66))</f>
        <v/>
      </c>
      <c r="AN66" s="1644" t="str">
        <f>IF(AND(AO66&gt;0,COUNTIFS(UomConversion!$D$8:$D$500,MID(AL66,1,3)*1,UomConversion!$J$8:$J$500,1)&gt;1),TEXT(AO66,"000")&amp;"."&amp;VLOOKUP(AO66,uom_list,5,FALSE),"")</f>
        <v/>
      </c>
      <c r="AO66" s="1640" t="str">
        <f t="shared" si="18"/>
        <v/>
      </c>
      <c r="AP66" s="1645" t="str">
        <f t="shared" si="19"/>
        <v/>
      </c>
      <c r="AQ66" s="491" t="str">
        <f t="shared" si="20"/>
        <v/>
      </c>
      <c r="AR66" s="1281" t="str" cm="1">
        <f t="array" ref="AR66">IF(M66="","",IF(ISNA(Slookup(MID(AL66,1,3)*1,UomConversion!$D$8:$J$500,2,UomConversion!$I$8:$I$500,1,UomConversion!$J$8:$J$500,1)),"",Slookup(MID(AL66,1,3)*1,UomConversion!$D$8:$J$500,2,UomConversion!$I$8:$I$500,1,UomConversion!$J$8:$J$500,1)))</f>
        <v/>
      </c>
      <c r="AS66" s="663" t="str">
        <f>IF(M66="","",(SUMIFS('[1]1_inventory_totals'!$I$8:$I$10000,'[1]1_inventory_totals'!$C$8:$C$10000,I66,'[1]1_inventory_totals'!$F$8:$F$10000,"="&amp;Q66,'[1]1_inventory_totals'!$G$8:$G$10000,"="&amp;R66)+SUMIFS('[1]1_inventory_totals'!$N$8:$N$10000,'[1]1_inventory_totals'!$C$8:$C$10000,I66,'[1]1_inventory_totals'!$F$8:$F$10000,"="&amp;Q66,'[1]1_inventory_totals'!$G$8:$G$10000,"="&amp;R66)+SUMIFS('[1]1_inventory_totals'!$P$8:$P$10000,'[1]1_inventory_totals'!$C$8:$C$10000,I66,'[1]1_inventory_totals'!$F$8:$F$10000,"="&amp;Q66,'[1]1_inventory_totals'!$G$8:$G$10000,"="&amp;R66)+SUMIFS('[1]1_inventory_totals'!$Q$8:$Q$10000,'[1]1_inventory_totals'!$C$8:$C$10000,I66,'[1]1_inventory_totals'!$F$8:$F$10000,"="&amp;Q66,'[1]1_inventory_totals'!$G$8:$G$10000,"="&amp;R66)+SUMIFS('[1]1_inventory_totals'!$R$8:$R$10000,'[1]1_inventory_totals'!$C$8:$C$10000,I66,'[1]1_inventory_totals'!$F$8:$F$10000,"="&amp;Q66,'[1]1_inventory_totals'!$G$8:$G$10000,"="&amp;R66))+(SUMIFS('[1]1_inventory_totals'!$J$8:$J$10000,'[1]1_inventory_totals'!$C$8:$C$10000,I66,'[1]1_inventory_totals'!$F$8:$F$10000,"="&amp;Q66,'[1]1_inventory_totals'!$G$8:$G$10000,"="&amp;R66)+SUMIFS('[1]1_inventory_totals'!$K$8:$K$10000,'[1]1_inventory_totals'!$C$8:$C$10000,I66,'[1]1_inventory_totals'!$F$8:$F$10000,"="&amp;Q66,'[1]1_inventory_totals'!$G$8:$G$10000,"="&amp;R66)+SUMIFS('[1]1_inventory_totals'!$L$8:$L$10000,'[1]1_inventory_totals'!$C$8:$C$10000,I66,'[1]1_inventory_totals'!$F$8:$F$10000,"="&amp;Q66,'[1]1_inventory_totals'!$G$8:$G$10000,"="&amp;R66)+SUMIFS('[1]1_inventory_totals'!$M$8:$M$10000,'[1]1_inventory_totals'!$C$8:$C$10000,I66,'[1]1_inventory_totals'!$F$8:$F$10000,"="&amp;Q66,'[1]1_inventory_totals'!$G$8:$G$10000,"="&amp;R66)+SUMIFS('[1]1_inventory_totals'!$O$8:$O$10000,'[1]1_inventory_totals'!$C$8:$C$10000,I66,'[1]1_inventory_totals'!$F$8:$F$10000,"="&amp;Q66,'[1]1_inventory_totals'!$G$8:$G$10000,"="&amp;R66)+SUMIFS('[1]1_inventory_totals'!$S$8:$S$10000,'[1]1_inventory_totals'!$C$8:$C$10000,I66,'[1]1_inventory_totals'!$F$8:$F$10000,"="&amp;Q66,'[1]1_inventory_totals'!$G$8:$G$10000,"="&amp;R66)))</f>
        <v/>
      </c>
      <c r="AT66" s="1281" t="str">
        <f>IF(M66="","",(SUMIFS('[1]1_group_totals'!$K$8:$K$10000,'[1]1_group_totals'!$C$8:$C$10000,I66,'[1]1_group_totals'!$F$8:$F$10000,pb_location_group_id,'[1]1_group_totals'!$G$8:$G$10000,pb_location_id,'[1]1_group_totals'!$H$8:$H$10000,"="&amp;Q66,'[1]1_group_totals'!$I$8:$I$10000,"="&amp;R66)+SUMIFS('[1]1_group_totals'!$N$8:$N$10000,'[1]1_group_totals'!$C$8:$C$10000,I66,'[1]1_group_totals'!$F$8:$F$10000,pb_location_group_id,'[1]1_group_totals'!$G$8:$G$10000,pb_location_id,'[1]1_group_totals'!$H$8:$H$10000,"="&amp;Q66,'[1]1_group_totals'!$I$8:$I$10000,"="&amp;R66)+SUMIFS('[1]1_group_totals'!$P$8:$P$10000,'[1]1_group_totals'!$C$8:$C$10000,I66,'[1]1_group_totals'!$F$8:$F$10000,pb_location_group_id,'[1]1_group_totals'!$G$8:$G$10000,pb_location_id,'[1]1_group_totals'!$H$8:$H$10000,"="&amp;Q66,'[1]1_group_totals'!$I$8:$I$10000,"="&amp;R66)+SUMIFS('[1]1_group_totals'!$Q$8:$Q$10000,'[1]1_group_totals'!$C$8:$C$10000,I66,'[1]1_group_totals'!$F$8:$F$10000,pb_location_group_id,'[1]1_group_totals'!$G$8:$G$10000,pb_location_id,'[1]1_group_totals'!$H$8:$H$10000,"="&amp;Q66,'[1]1_group_totals'!$I$8:$I$10000,"="&amp;R66))+(SUMIFS('[1]1_group_totals'!$L$8:$L$10000,'[1]1_group_totals'!$C$8:$C$10000,I66,'[1]1_group_totals'!$F$8:$F$10000,pb_location_group_id,'[1]1_group_totals'!$G$8:$G$10000,pb_location_id,'[1]1_group_totals'!$H$8:$H$10000,"="&amp;Q66,'[1]1_group_totals'!$I$8:$I$10000,"="&amp;R66)+SUMIFS('[1]1_group_totals'!$M$8:$M$10000,'[1]1_group_totals'!$C$8:$C$10000,I66,'[1]1_group_totals'!$F$8:$F$10000,pb_location_group_id,'[1]1_group_totals'!$G$8:$G$10000,pb_location_id,'[1]1_group_totals'!$H$8:$H$10000,"="&amp;Q66,'[1]1_group_totals'!$I$8:$I$10000,"="&amp;R66)+SUMIFS('[1]1_group_totals'!$O$8:$O$10000,'[1]1_group_totals'!$C$8:$C$10000,I66,'[1]1_group_totals'!$F$8:$F$10000,pb_location_group_id,'[1]1_group_totals'!$G$8:$G$10000,pb_location_id,'[1]1_group_totals'!$H$8:$H$10000,"="&amp;Q66,'[1]1_group_totals'!$I$8:$I$10000,"="&amp;R66)+SUMIFS('[1]1_group_totals'!$R$8:$R$10000,'[1]1_group_totals'!$C$8:$C$10000,I66,'[1]1_group_totals'!$F$8:$F$10000,pb_location_group_id,'[1]1_group_totals'!$G$8:$G$10000,pb_location_id,'[1]1_group_totals'!$H$8:$H$10000,"="&amp;Q66,'[1]1_group_totals'!$I$8:$I$10000,"="&amp;R66)))</f>
        <v/>
      </c>
    </row>
    <row r="67" spans="1:46" ht="27" hidden="1" customHeight="1">
      <c r="A67" s="923"/>
      <c r="B67" s="1028"/>
      <c r="C67" s="950"/>
      <c r="D67" s="950"/>
      <c r="E67" s="950"/>
      <c r="F67" s="1029"/>
      <c r="G67" s="941"/>
      <c r="H67" s="1070"/>
      <c r="I67" s="1610" t="str">
        <f t="shared" si="8"/>
        <v/>
      </c>
      <c r="J67" s="1631" t="str">
        <f t="shared" si="25"/>
        <v/>
      </c>
      <c r="K67" s="1628"/>
      <c r="L67" s="1632"/>
      <c r="M67" s="1069"/>
      <c r="N67" s="1044"/>
      <c r="O67" s="1044"/>
      <c r="P67" s="1046"/>
      <c r="Q67" s="1047"/>
      <c r="R67" s="1053"/>
      <c r="S67" s="1634" t="str">
        <f t="shared" ref="S67" si="194">IF(M67="","",pb_currency_symbol)</f>
        <v/>
      </c>
      <c r="T67" s="1068"/>
      <c r="U67" s="1636" t="str">
        <f t="shared" si="10"/>
        <v/>
      </c>
      <c r="V67" s="1634" t="str">
        <f t="shared" ref="V67" si="195">IF(W67=0,"",pb_currency_symbol)</f>
        <v/>
      </c>
      <c r="W67" s="1054"/>
      <c r="X67" s="1634" t="str">
        <f t="shared" ref="X67" si="196">IF(M67="","",pb_currency_symbol)</f>
        <v/>
      </c>
      <c r="Y67" s="1638" t="str">
        <f t="shared" si="24"/>
        <v/>
      </c>
      <c r="Z67" s="1062"/>
      <c r="AA67" s="1639" t="str" cm="1">
        <f t="array" ref="AA67">IF(M67="","",IF(P67=AL67,1,Slookup(MID(AL67,1,3)*1,UomConversion!$D$8:$J$500,5,UomConversion!$E$8:$E$500,MID(P67,1,3)*1,UomConversion!$J$8:$J$500,1)))</f>
        <v/>
      </c>
      <c r="AB67" s="1640" t="str">
        <f t="shared" si="13"/>
        <v/>
      </c>
      <c r="AC67" s="1641" t="str">
        <f t="shared" si="14"/>
        <v/>
      </c>
      <c r="AD67" s="1642" t="str">
        <f t="shared" si="15"/>
        <v/>
      </c>
      <c r="AE67" s="1643" t="str">
        <f t="shared" si="16"/>
        <v/>
      </c>
      <c r="AF67" s="1640" t="str">
        <f>IF(I67="","",IF(ISNA(MATCH(I67,IF(pb_location_id=1,'[1]1_inventory_totals'!$C$8:$C$10000,IF(pb_location_id=2,'[1]2_inventory_totals'!$C$8:$C$10000,"")),0)),0,IF(AS67&gt;0,1,0)))</f>
        <v/>
      </c>
      <c r="AG67" s="1640" t="str">
        <f>IF(M67="","",IF(pb_location_id=1,SUMIFS('[1]1_inventory_total_details'!$J$8:$J$10000,'[1]1_inventory_total_details'!$C$8:$C$10000,I67,'[1]1_inventory_total_details'!$F$8:$F$10000,pb_location_id,'[1]1_inventory_total_details'!$G$8:$G$10000,"="&amp;Q67,'[1]1_inventory_total_details'!$H$8:$H$10000,"="&amp;R67,'[1]1_inventory_total_details'!$I$8:$I$10000,"="&amp;pb_date)+SUMIFS('[1]1_inventory_total_details'!$M$8:$M$10000,'[1]1_inventory_total_details'!$C$8:$C$10000,I67,'[1]1_inventory_total_details'!$F$8:$F$10000,pb_location_id,'[1]1_inventory_total_details'!$G$8:$G$10000,"="&amp;Q67,'[1]1_inventory_total_details'!$H$8:$H$10000,"="&amp;R67,'[1]1_inventory_total_details'!$I$8:$I$10000,"="&amp;pb_date)+SUMIFS('[1]1_inventory_total_details'!$K$8:$K$10000,'[1]1_inventory_total_details'!$C$8:$C$10000,I67,'[1]1_inventory_total_details'!$F$8:$F$10000,pb_location_id,'[1]1_inventory_total_details'!$G$8:$G$10000,"="&amp;Q67,'[1]1_inventory_total_details'!$H$8:$H$10000,"="&amp;R67,'[1]1_inventory_total_details'!$I$8:$I$10000,"="&amp;pb_date)+SUMIFS('[1]1_inventory_total_details'!$L$8:$L$10000,'[1]1_inventory_total_details'!$C$8:$C$10000,I67,'[1]1_inventory_total_details'!$F$8:$F$10000,pb_location_id,'[1]1_inventory_total_details'!$G$8:$G$10000,"="&amp;Q67,'[1]1_inventory_total_details'!$H$8:$H$10000,"="&amp;R67,'[1]1_inventory_total_details'!$I$8:$I$10000,"="&amp;pb_date),SUMIFS('[1]2_inventory_total_details'!$J$8:$J$10000,'[1]2_inventory_total_details'!$C$8:$C$10000,I67,'[1]1_inventory_total_details'!$F$8:$F$10000,pb_location_id,'[1]2_inventory_total_details'!$G$8:$G$10000,"="&amp;Q67,'[1]2_inventory_total_details'!$H$8:$H$10000,"="&amp;R67,'[1]2_inventory_total_details'!$I$8:$I$10000,"="&amp;pb_date)+SUMIFS('[1]2_inventory_total_details'!$M$8:$M$10000,'[1]2_inventory_total_details'!$C$8:$C$10000,I67,'[1]2_inventory_total_details'!$F$8:$F$10000,pb_location_id,'[1]2_inventory_total_details'!$G$8:$G$10000,"="&amp;Q67,'[1]2_inventory_total_details'!$H$8:$H$10000,"="&amp;R67,'[1]2_inventory_total_details'!$I$8:$I$10000,"="&amp;pb_date)+SUMIFS('[1]2_inventory_total_details'!$K$8:$K$10000,'[1]2_inventory_total_details'!$C$8:$C$10000,I67,'[1]2_inventory_total_details'!$F$8:$F$10000,pb_location_id,'[1]2_inventory_total_details'!$G$8:$G$10000,"="&amp;Q67,'[1]2_inventory_total_details'!$H$8:$H$10000,"="&amp;R67,'[1]2_inventory_total_details'!$I$8:$I$10000,"="&amp;pb_date)+SUMIFS('[1]2_inventory_total_details'!$L$8:$L$10000,'[1]2_inventory_total_details'!$C$8:$C$10000,I67,'[1]2_inventory_total_details'!$F$8:$F$10000,pb_location_id,'[1]2_inventory_total_details'!$G$8:$G$10000,"="&amp;Q67,'[1]2_inventory_total_details'!$H$8:$H$10000,"="&amp;R67,'[1]2_inventory_total_details'!$I$8:$I$10000,"="&amp;pb_date)))</f>
        <v/>
      </c>
      <c r="AH67" s="1640" t="str">
        <f>IF(M67="","",IF(ISNA(MATCH(I67,'[1]1_group_totals'!$C$8:$C$10000)),0,IF(AT67&gt;0,1,0)))</f>
        <v/>
      </c>
      <c r="AI67" s="1640" t="str">
        <f>IF(M67="","",(SUMIFS('[1]1_group_total_details'!$I$8:$I$10000,'[1]1_group_total_details'!$C$8:$C$10000,I67,'[1]1_group_total_details'!$F$8:$F$10000,pb_location_group_id,'[1]1_group_total_details'!$G$8:$G$10000,pb_location_id,'[1]1_group_total_details'!$H$8:$H$10000,"="&amp;pb_date)+SUMIFS('[1]1_group_total_details'!$L$8:$L$10000,'[1]1_group_total_details'!$C$8:$C$10000,I67,'[1]1_group_total_details'!$F$8:$F$10000,pb_location_group_id,'[1]1_group_total_details'!$G$8:$G$10000,pb_location_id,'[1]1_group_total_details'!$H$8:$H$10000,"="&amp;pb_date)+SUMIFS('[1]1_group_total_details'!$N$8:$N$10000,'[1]1_group_total_details'!$C$8:$C$10000,I67,'[1]1_group_total_details'!$F$8:$F$10000,pb_location_group_id,'[1]1_group_total_details'!$G$8:$G$10000,pb_location_id,'[1]1_group_total_details'!$H$8:$H$10000,"="&amp;pb_date)+SUMIFS('[1]1_group_total_details'!$O$8:$O$10000,'[1]1_group_total_details'!$C$8:$C$10000,I67,'[1]1_group_total_details'!$F$8:$F$10000,pb_location_group_id,'[1]1_group_total_details'!$G$8:$G$10000,pb_location_id,'[1]1_group_total_details'!$H$8:$H$10000,"="&amp;pb_date))+(SUMIFS('[1]1_group_total_details'!$J$8:$J$10000,'[1]1_group_total_details'!$C$8:$C$10000,I67,'[1]1_group_total_details'!$F$8:$F$10000,pb_location_group_id,'[1]1_group_total_details'!$G$8:$G$10000,pb_location_id,'[1]1_group_total_details'!$H$8:$H$10000,"="&amp;pb_date)+SUMIFS('[1]1_group_total_details'!$K$8:$K$10000,'[1]1_group_total_details'!$C$8:$C$10000,I67,'[1]1_group_total_details'!$F$8:$F$10000,pb_location_group_id,'[1]1_group_total_details'!$G$8:$G$10000,pb_location_id,'[1]1_group_total_details'!$H$8:$H$10000,"="&amp;pb_date)+SUMIFS('[1]1_group_total_details'!$M$8:$M$10000,'[1]1_group_total_details'!$C$8:$C$10000,I67,'[1]1_group_total_details'!$F$8:$F$10000,pb_location_group_id,'[1]1_group_total_details'!$G$8:$G$10000,pb_location_id,'[1]1_group_total_details'!$H$8:$H$10000,"="&amp;pb_date)+SUMIFS('[1]1_group_total_details'!$P$8:$P$10000,'[1]1_group_total_details'!$C$8:$C$10000,I67,'[1]1_group_total_details'!$F$8:$F$10000,pb_location_group_id,'[1]1_group_total_details'!$G$8:$G$10000,pb_location_id,'[1]1_group_total_details'!$H$8:$H$10000,"="&amp;pb_date)))</f>
        <v/>
      </c>
      <c r="AJ67" s="1640" t="str">
        <f>IF(M67="","",IF(AK67=0,0,(SUMIFS('[1]1_group_total_details'!$I$8:$I$10000,'[1]1_group_total_details'!$C$8:$C$10000,I67,'[1]1_group_total_details'!$F$8:$F$10000,pb_location_group_id,'[1]1_group_total_details'!$G$8:$G$10000,pb_location_id,'[1]1_group_total_details'!$H$8:$H$10000,"&lt;="&amp;pb_date)+SUMIFS('[1]1_group_total_details'!$L$8:$L$10000,'[1]1_group_total_details'!$C$8:$C$10000,I67,'[1]1_group_total_details'!$F$8:$F$10000,pb_location_group_id,'[1]1_group_total_details'!$G$8:$G$10000,pb_location_id,'[1]1_group_total_details'!$H$8:$H$10000,"&lt;="&amp;pb_date)+SUMIFS('[1]1_group_total_details'!$N$8:$N$10000,'[1]1_group_total_details'!$C$8:$C$10000,I67,'[1]1_group_total_details'!$F$8:$F$10000,pb_location_group_id,'[1]1_group_total_details'!$G$8:$G$10000,pb_location_id,'[1]1_group_total_details'!$H$8:$H$10000,"&lt;="&amp;pb_date)+SUMIFS('[1]1_group_total_details'!$O$8:$O$10000,'[1]1_group_total_details'!$C$8:$C$10000,I67,'[1]1_group_total_details'!$F$8:$F$10000,pb_location_group_id,'[1]1_group_total_details'!$G$8:$G$10000,pb_location_id,'[1]1_group_total_details'!$H$8:$H$10000,"&lt;="&amp;pb_date))-(SUMIFS('[1]1_group_total_details'!$J$8:$J$10000,'[1]1_group_total_details'!$C$8:$C$10000,I67,'[1]1_group_total_details'!$F$8:$F$10000,pb_location_group_id,'[1]1_group_total_details'!$G$8:$G$10000,pb_location_id,'[1]1_group_total_details'!$H$8:$H$10000,"&lt;="&amp;pb_date)+SUMIFS('[1]1_group_total_details'!$K$8:$K$10000,'[1]1_group_total_details'!$C$8:$C$10000,I67,'[1]1_group_total_details'!$F$8:$F$10000,pb_location_group_id,'[1]1_group_total_details'!$G$8:$G$10000,invoice_location_id,'[1]1_group_total_details'!$H$8:$H$10000,"&lt;="&amp;pb_date)+SUMIFS('[1]1_group_total_details'!$M$8:$M$10000,'[1]1_group_total_details'!$C$8:$C$10000,I67,'[1]1_group_total_details'!$F$8:$F$10000,pb_location_group_id,'[1]1_group_total_details'!$G$8:$G$10000,pb_location_id,'[1]1_group_total_details'!$H$8:$H$10000,"&lt;="&amp;pb_date)+SUMIFS('[1]1_group_total_details'!$P$8:$P$10000,'[1]1_group_total_details'!$C$8:$C$10000,I67,'[1]1_group_total_details'!$F$8:$F$10000,pb_location_group_id,'[1]1_group_total_details'!$G$8:$G$10000,pb_location_id,'[1]1_group_total_details'!$H$8:$H$10000,"&lt;="&amp;pb_date))))</f>
        <v/>
      </c>
      <c r="AK67" s="1640" t="str">
        <f>IF(M67="","",SUMIFS('[1]1_group_totals'!$J$8:$J$10000,'[1]1_group_totals'!$C$8:$C$10000,I67,'[1]1_group_totals'!$F$8:$F$10000,pb_location_group_id,'[1]1_group_totals'!$G$8:$G$10000,pb_location_id,'[1]1_group_totals'!$H$8:$H$10000,"="&amp;Q67,'[1]1_group_totals'!$I$8:$I$10000,"="&amp;R67))</f>
        <v/>
      </c>
      <c r="AL67" s="1644" t="str">
        <f t="shared" si="17"/>
        <v/>
      </c>
      <c r="AM67" s="1644" t="str">
        <f>IF(OR(ISNA(MATCH(MID(AL67,1,3)*1,UomConversion!$D$8:$D$500,0)),M67=""),"",IF(AQ67="","",AQ67))</f>
        <v/>
      </c>
      <c r="AN67" s="1644" t="str">
        <f>IF(AND(AO67&gt;0,COUNTIFS(UomConversion!$D$8:$D$500,MID(AL67,1,3)*1,UomConversion!$J$8:$J$500,1)&gt;1),TEXT(AO67,"000")&amp;"."&amp;VLOOKUP(AO67,uom_list,5,FALSE),"")</f>
        <v/>
      </c>
      <c r="AO67" s="1640" t="str">
        <f t="shared" si="18"/>
        <v/>
      </c>
      <c r="AP67" s="1645" t="str">
        <f t="shared" si="19"/>
        <v/>
      </c>
      <c r="AQ67" s="491" t="str">
        <f t="shared" si="20"/>
        <v/>
      </c>
      <c r="AR67" s="1281" t="str" cm="1">
        <f t="array" ref="AR67">IF(M67="","",IF(ISNA(Slookup(MID(AL67,1,3)*1,UomConversion!$D$8:$J$500,2,UomConversion!$I$8:$I$500,1,UomConversion!$J$8:$J$500,1)),"",Slookup(MID(AL67,1,3)*1,UomConversion!$D$8:$J$500,2,UomConversion!$I$8:$I$500,1,UomConversion!$J$8:$J$500,1)))</f>
        <v/>
      </c>
      <c r="AS67" s="663" t="str">
        <f>IF(M67="","",(SUMIFS('[1]1_inventory_totals'!$I$8:$I$10000,'[1]1_inventory_totals'!$C$8:$C$10000,I67,'[1]1_inventory_totals'!$F$8:$F$10000,"="&amp;Q67,'[1]1_inventory_totals'!$G$8:$G$10000,"="&amp;R67)+SUMIFS('[1]1_inventory_totals'!$N$8:$N$10000,'[1]1_inventory_totals'!$C$8:$C$10000,I67,'[1]1_inventory_totals'!$F$8:$F$10000,"="&amp;Q67,'[1]1_inventory_totals'!$G$8:$G$10000,"="&amp;R67)+SUMIFS('[1]1_inventory_totals'!$P$8:$P$10000,'[1]1_inventory_totals'!$C$8:$C$10000,I67,'[1]1_inventory_totals'!$F$8:$F$10000,"="&amp;Q67,'[1]1_inventory_totals'!$G$8:$G$10000,"="&amp;R67)+SUMIFS('[1]1_inventory_totals'!$Q$8:$Q$10000,'[1]1_inventory_totals'!$C$8:$C$10000,I67,'[1]1_inventory_totals'!$F$8:$F$10000,"="&amp;Q67,'[1]1_inventory_totals'!$G$8:$G$10000,"="&amp;R67)+SUMIFS('[1]1_inventory_totals'!$R$8:$R$10000,'[1]1_inventory_totals'!$C$8:$C$10000,I67,'[1]1_inventory_totals'!$F$8:$F$10000,"="&amp;Q67,'[1]1_inventory_totals'!$G$8:$G$10000,"="&amp;R67))+(SUMIFS('[1]1_inventory_totals'!$J$8:$J$10000,'[1]1_inventory_totals'!$C$8:$C$10000,I67,'[1]1_inventory_totals'!$F$8:$F$10000,"="&amp;Q67,'[1]1_inventory_totals'!$G$8:$G$10000,"="&amp;R67)+SUMIFS('[1]1_inventory_totals'!$K$8:$K$10000,'[1]1_inventory_totals'!$C$8:$C$10000,I67,'[1]1_inventory_totals'!$F$8:$F$10000,"="&amp;Q67,'[1]1_inventory_totals'!$G$8:$G$10000,"="&amp;R67)+SUMIFS('[1]1_inventory_totals'!$L$8:$L$10000,'[1]1_inventory_totals'!$C$8:$C$10000,I67,'[1]1_inventory_totals'!$F$8:$F$10000,"="&amp;Q67,'[1]1_inventory_totals'!$G$8:$G$10000,"="&amp;R67)+SUMIFS('[1]1_inventory_totals'!$M$8:$M$10000,'[1]1_inventory_totals'!$C$8:$C$10000,I67,'[1]1_inventory_totals'!$F$8:$F$10000,"="&amp;Q67,'[1]1_inventory_totals'!$G$8:$G$10000,"="&amp;R67)+SUMIFS('[1]1_inventory_totals'!$O$8:$O$10000,'[1]1_inventory_totals'!$C$8:$C$10000,I67,'[1]1_inventory_totals'!$F$8:$F$10000,"="&amp;Q67,'[1]1_inventory_totals'!$G$8:$G$10000,"="&amp;R67)+SUMIFS('[1]1_inventory_totals'!$S$8:$S$10000,'[1]1_inventory_totals'!$C$8:$C$10000,I67,'[1]1_inventory_totals'!$F$8:$F$10000,"="&amp;Q67,'[1]1_inventory_totals'!$G$8:$G$10000,"="&amp;R67)))</f>
        <v/>
      </c>
      <c r="AT67" s="1281" t="str">
        <f>IF(M67="","",(SUMIFS('[1]1_group_totals'!$K$8:$K$10000,'[1]1_group_totals'!$C$8:$C$10000,I67,'[1]1_group_totals'!$F$8:$F$10000,pb_location_group_id,'[1]1_group_totals'!$G$8:$G$10000,pb_location_id,'[1]1_group_totals'!$H$8:$H$10000,"="&amp;Q67,'[1]1_group_totals'!$I$8:$I$10000,"="&amp;R67)+SUMIFS('[1]1_group_totals'!$N$8:$N$10000,'[1]1_group_totals'!$C$8:$C$10000,I67,'[1]1_group_totals'!$F$8:$F$10000,pb_location_group_id,'[1]1_group_totals'!$G$8:$G$10000,pb_location_id,'[1]1_group_totals'!$H$8:$H$10000,"="&amp;Q67,'[1]1_group_totals'!$I$8:$I$10000,"="&amp;R67)+SUMIFS('[1]1_group_totals'!$P$8:$P$10000,'[1]1_group_totals'!$C$8:$C$10000,I67,'[1]1_group_totals'!$F$8:$F$10000,pb_location_group_id,'[1]1_group_totals'!$G$8:$G$10000,pb_location_id,'[1]1_group_totals'!$H$8:$H$10000,"="&amp;Q67,'[1]1_group_totals'!$I$8:$I$10000,"="&amp;R67)+SUMIFS('[1]1_group_totals'!$Q$8:$Q$10000,'[1]1_group_totals'!$C$8:$C$10000,I67,'[1]1_group_totals'!$F$8:$F$10000,pb_location_group_id,'[1]1_group_totals'!$G$8:$G$10000,pb_location_id,'[1]1_group_totals'!$H$8:$H$10000,"="&amp;Q67,'[1]1_group_totals'!$I$8:$I$10000,"="&amp;R67))+(SUMIFS('[1]1_group_totals'!$L$8:$L$10000,'[1]1_group_totals'!$C$8:$C$10000,I67,'[1]1_group_totals'!$F$8:$F$10000,pb_location_group_id,'[1]1_group_totals'!$G$8:$G$10000,pb_location_id,'[1]1_group_totals'!$H$8:$H$10000,"="&amp;Q67,'[1]1_group_totals'!$I$8:$I$10000,"="&amp;R67)+SUMIFS('[1]1_group_totals'!$M$8:$M$10000,'[1]1_group_totals'!$C$8:$C$10000,I67,'[1]1_group_totals'!$F$8:$F$10000,pb_location_group_id,'[1]1_group_totals'!$G$8:$G$10000,pb_location_id,'[1]1_group_totals'!$H$8:$H$10000,"="&amp;Q67,'[1]1_group_totals'!$I$8:$I$10000,"="&amp;R67)+SUMIFS('[1]1_group_totals'!$O$8:$O$10000,'[1]1_group_totals'!$C$8:$C$10000,I67,'[1]1_group_totals'!$F$8:$F$10000,pb_location_group_id,'[1]1_group_totals'!$G$8:$G$10000,pb_location_id,'[1]1_group_totals'!$H$8:$H$10000,"="&amp;Q67,'[1]1_group_totals'!$I$8:$I$10000,"="&amp;R67)+SUMIFS('[1]1_group_totals'!$R$8:$R$10000,'[1]1_group_totals'!$C$8:$C$10000,I67,'[1]1_group_totals'!$F$8:$F$10000,pb_location_group_id,'[1]1_group_totals'!$G$8:$G$10000,pb_location_id,'[1]1_group_totals'!$H$8:$H$10000,"="&amp;Q67,'[1]1_group_totals'!$I$8:$I$10000,"="&amp;R67)))</f>
        <v/>
      </c>
    </row>
    <row r="68" spans="1:46" ht="27" hidden="1" customHeight="1">
      <c r="A68" s="923"/>
      <c r="B68" s="1028"/>
      <c r="C68" s="950"/>
      <c r="D68" s="950"/>
      <c r="E68" s="950"/>
      <c r="F68" s="1029"/>
      <c r="G68" s="941"/>
      <c r="H68" s="1070"/>
      <c r="I68" s="1610" t="str">
        <f t="shared" si="8"/>
        <v/>
      </c>
      <c r="J68" s="1631" t="str">
        <f t="shared" si="25"/>
        <v/>
      </c>
      <c r="K68" s="1628"/>
      <c r="L68" s="1632"/>
      <c r="M68" s="1069"/>
      <c r="N68" s="1044"/>
      <c r="O68" s="1044"/>
      <c r="P68" s="1046"/>
      <c r="Q68" s="1047"/>
      <c r="R68" s="1053"/>
      <c r="S68" s="1634" t="str">
        <f t="shared" ref="S68" si="197">IF(M68="","",pb_currency_symbol)</f>
        <v/>
      </c>
      <c r="T68" s="1068"/>
      <c r="U68" s="1636" t="str">
        <f t="shared" si="10"/>
        <v/>
      </c>
      <c r="V68" s="1634" t="str">
        <f t="shared" ref="V68" si="198">IF(W68=0,"",pb_currency_symbol)</f>
        <v/>
      </c>
      <c r="W68" s="1054"/>
      <c r="X68" s="1634" t="str">
        <f t="shared" ref="X68" si="199">IF(M68="","",pb_currency_symbol)</f>
        <v/>
      </c>
      <c r="Y68" s="1638" t="str">
        <f t="shared" si="24"/>
        <v/>
      </c>
      <c r="Z68" s="1062"/>
      <c r="AA68" s="1639" t="str" cm="1">
        <f t="array" ref="AA68">IF(M68="","",IF(P68=AL68,1,Slookup(MID(AL68,1,3)*1,UomConversion!$D$8:$J$500,5,UomConversion!$E$8:$E$500,MID(P68,1,3)*1,UomConversion!$J$8:$J$500,1)))</f>
        <v/>
      </c>
      <c r="AB68" s="1640" t="str">
        <f t="shared" si="13"/>
        <v/>
      </c>
      <c r="AC68" s="1641" t="str">
        <f t="shared" si="14"/>
        <v/>
      </c>
      <c r="AD68" s="1642" t="str">
        <f t="shared" si="15"/>
        <v/>
      </c>
      <c r="AE68" s="1643" t="str">
        <f t="shared" si="16"/>
        <v/>
      </c>
      <c r="AF68" s="1640" t="str">
        <f>IF(I68="","",IF(ISNA(MATCH(I68,IF(pb_location_id=1,'[1]1_inventory_totals'!$C$8:$C$10000,IF(pb_location_id=2,'[1]2_inventory_totals'!$C$8:$C$10000,"")),0)),0,IF(AS68&gt;0,1,0)))</f>
        <v/>
      </c>
      <c r="AG68" s="1640" t="str">
        <f>IF(M68="","",IF(pb_location_id=1,SUMIFS('[1]1_inventory_total_details'!$J$8:$J$10000,'[1]1_inventory_total_details'!$C$8:$C$10000,I68,'[1]1_inventory_total_details'!$F$8:$F$10000,pb_location_id,'[1]1_inventory_total_details'!$G$8:$G$10000,"="&amp;Q68,'[1]1_inventory_total_details'!$H$8:$H$10000,"="&amp;R68,'[1]1_inventory_total_details'!$I$8:$I$10000,"="&amp;pb_date)+SUMIFS('[1]1_inventory_total_details'!$M$8:$M$10000,'[1]1_inventory_total_details'!$C$8:$C$10000,I68,'[1]1_inventory_total_details'!$F$8:$F$10000,pb_location_id,'[1]1_inventory_total_details'!$G$8:$G$10000,"="&amp;Q68,'[1]1_inventory_total_details'!$H$8:$H$10000,"="&amp;R68,'[1]1_inventory_total_details'!$I$8:$I$10000,"="&amp;pb_date)+SUMIFS('[1]1_inventory_total_details'!$K$8:$K$10000,'[1]1_inventory_total_details'!$C$8:$C$10000,I68,'[1]1_inventory_total_details'!$F$8:$F$10000,pb_location_id,'[1]1_inventory_total_details'!$G$8:$G$10000,"="&amp;Q68,'[1]1_inventory_total_details'!$H$8:$H$10000,"="&amp;R68,'[1]1_inventory_total_details'!$I$8:$I$10000,"="&amp;pb_date)+SUMIFS('[1]1_inventory_total_details'!$L$8:$L$10000,'[1]1_inventory_total_details'!$C$8:$C$10000,I68,'[1]1_inventory_total_details'!$F$8:$F$10000,pb_location_id,'[1]1_inventory_total_details'!$G$8:$G$10000,"="&amp;Q68,'[1]1_inventory_total_details'!$H$8:$H$10000,"="&amp;R68,'[1]1_inventory_total_details'!$I$8:$I$10000,"="&amp;pb_date),SUMIFS('[1]2_inventory_total_details'!$J$8:$J$10000,'[1]2_inventory_total_details'!$C$8:$C$10000,I68,'[1]1_inventory_total_details'!$F$8:$F$10000,pb_location_id,'[1]2_inventory_total_details'!$G$8:$G$10000,"="&amp;Q68,'[1]2_inventory_total_details'!$H$8:$H$10000,"="&amp;R68,'[1]2_inventory_total_details'!$I$8:$I$10000,"="&amp;pb_date)+SUMIFS('[1]2_inventory_total_details'!$M$8:$M$10000,'[1]2_inventory_total_details'!$C$8:$C$10000,I68,'[1]2_inventory_total_details'!$F$8:$F$10000,pb_location_id,'[1]2_inventory_total_details'!$G$8:$G$10000,"="&amp;Q68,'[1]2_inventory_total_details'!$H$8:$H$10000,"="&amp;R68,'[1]2_inventory_total_details'!$I$8:$I$10000,"="&amp;pb_date)+SUMIFS('[1]2_inventory_total_details'!$K$8:$K$10000,'[1]2_inventory_total_details'!$C$8:$C$10000,I68,'[1]2_inventory_total_details'!$F$8:$F$10000,pb_location_id,'[1]2_inventory_total_details'!$G$8:$G$10000,"="&amp;Q68,'[1]2_inventory_total_details'!$H$8:$H$10000,"="&amp;R68,'[1]2_inventory_total_details'!$I$8:$I$10000,"="&amp;pb_date)+SUMIFS('[1]2_inventory_total_details'!$L$8:$L$10000,'[1]2_inventory_total_details'!$C$8:$C$10000,I68,'[1]2_inventory_total_details'!$F$8:$F$10000,pb_location_id,'[1]2_inventory_total_details'!$G$8:$G$10000,"="&amp;Q68,'[1]2_inventory_total_details'!$H$8:$H$10000,"="&amp;R68,'[1]2_inventory_total_details'!$I$8:$I$10000,"="&amp;pb_date)))</f>
        <v/>
      </c>
      <c r="AH68" s="1640" t="str">
        <f>IF(M68="","",IF(ISNA(MATCH(I68,'[1]1_group_totals'!$C$8:$C$10000)),0,IF(AT68&gt;0,1,0)))</f>
        <v/>
      </c>
      <c r="AI68" s="1640" t="str">
        <f>IF(M68="","",(SUMIFS('[1]1_group_total_details'!$I$8:$I$10000,'[1]1_group_total_details'!$C$8:$C$10000,I68,'[1]1_group_total_details'!$F$8:$F$10000,pb_location_group_id,'[1]1_group_total_details'!$G$8:$G$10000,pb_location_id,'[1]1_group_total_details'!$H$8:$H$10000,"="&amp;pb_date)+SUMIFS('[1]1_group_total_details'!$L$8:$L$10000,'[1]1_group_total_details'!$C$8:$C$10000,I68,'[1]1_group_total_details'!$F$8:$F$10000,pb_location_group_id,'[1]1_group_total_details'!$G$8:$G$10000,pb_location_id,'[1]1_group_total_details'!$H$8:$H$10000,"="&amp;pb_date)+SUMIFS('[1]1_group_total_details'!$N$8:$N$10000,'[1]1_group_total_details'!$C$8:$C$10000,I68,'[1]1_group_total_details'!$F$8:$F$10000,pb_location_group_id,'[1]1_group_total_details'!$G$8:$G$10000,pb_location_id,'[1]1_group_total_details'!$H$8:$H$10000,"="&amp;pb_date)+SUMIFS('[1]1_group_total_details'!$O$8:$O$10000,'[1]1_group_total_details'!$C$8:$C$10000,I68,'[1]1_group_total_details'!$F$8:$F$10000,pb_location_group_id,'[1]1_group_total_details'!$G$8:$G$10000,pb_location_id,'[1]1_group_total_details'!$H$8:$H$10000,"="&amp;pb_date))+(SUMIFS('[1]1_group_total_details'!$J$8:$J$10000,'[1]1_group_total_details'!$C$8:$C$10000,I68,'[1]1_group_total_details'!$F$8:$F$10000,pb_location_group_id,'[1]1_group_total_details'!$G$8:$G$10000,pb_location_id,'[1]1_group_total_details'!$H$8:$H$10000,"="&amp;pb_date)+SUMIFS('[1]1_group_total_details'!$K$8:$K$10000,'[1]1_group_total_details'!$C$8:$C$10000,I68,'[1]1_group_total_details'!$F$8:$F$10000,pb_location_group_id,'[1]1_group_total_details'!$G$8:$G$10000,pb_location_id,'[1]1_group_total_details'!$H$8:$H$10000,"="&amp;pb_date)+SUMIFS('[1]1_group_total_details'!$M$8:$M$10000,'[1]1_group_total_details'!$C$8:$C$10000,I68,'[1]1_group_total_details'!$F$8:$F$10000,pb_location_group_id,'[1]1_group_total_details'!$G$8:$G$10000,pb_location_id,'[1]1_group_total_details'!$H$8:$H$10000,"="&amp;pb_date)+SUMIFS('[1]1_group_total_details'!$P$8:$P$10000,'[1]1_group_total_details'!$C$8:$C$10000,I68,'[1]1_group_total_details'!$F$8:$F$10000,pb_location_group_id,'[1]1_group_total_details'!$G$8:$G$10000,pb_location_id,'[1]1_group_total_details'!$H$8:$H$10000,"="&amp;pb_date)))</f>
        <v/>
      </c>
      <c r="AJ68" s="1640" t="str">
        <f>IF(M68="","",IF(AK68=0,0,(SUMIFS('[1]1_group_total_details'!$I$8:$I$10000,'[1]1_group_total_details'!$C$8:$C$10000,I68,'[1]1_group_total_details'!$F$8:$F$10000,pb_location_group_id,'[1]1_group_total_details'!$G$8:$G$10000,pb_location_id,'[1]1_group_total_details'!$H$8:$H$10000,"&lt;="&amp;pb_date)+SUMIFS('[1]1_group_total_details'!$L$8:$L$10000,'[1]1_group_total_details'!$C$8:$C$10000,I68,'[1]1_group_total_details'!$F$8:$F$10000,pb_location_group_id,'[1]1_group_total_details'!$G$8:$G$10000,pb_location_id,'[1]1_group_total_details'!$H$8:$H$10000,"&lt;="&amp;pb_date)+SUMIFS('[1]1_group_total_details'!$N$8:$N$10000,'[1]1_group_total_details'!$C$8:$C$10000,I68,'[1]1_group_total_details'!$F$8:$F$10000,pb_location_group_id,'[1]1_group_total_details'!$G$8:$G$10000,pb_location_id,'[1]1_group_total_details'!$H$8:$H$10000,"&lt;="&amp;pb_date)+SUMIFS('[1]1_group_total_details'!$O$8:$O$10000,'[1]1_group_total_details'!$C$8:$C$10000,I68,'[1]1_group_total_details'!$F$8:$F$10000,pb_location_group_id,'[1]1_group_total_details'!$G$8:$G$10000,pb_location_id,'[1]1_group_total_details'!$H$8:$H$10000,"&lt;="&amp;pb_date))-(SUMIFS('[1]1_group_total_details'!$J$8:$J$10000,'[1]1_group_total_details'!$C$8:$C$10000,I68,'[1]1_group_total_details'!$F$8:$F$10000,pb_location_group_id,'[1]1_group_total_details'!$G$8:$G$10000,pb_location_id,'[1]1_group_total_details'!$H$8:$H$10000,"&lt;="&amp;pb_date)+SUMIFS('[1]1_group_total_details'!$K$8:$K$10000,'[1]1_group_total_details'!$C$8:$C$10000,I68,'[1]1_group_total_details'!$F$8:$F$10000,pb_location_group_id,'[1]1_group_total_details'!$G$8:$G$10000,invoice_location_id,'[1]1_group_total_details'!$H$8:$H$10000,"&lt;="&amp;pb_date)+SUMIFS('[1]1_group_total_details'!$M$8:$M$10000,'[1]1_group_total_details'!$C$8:$C$10000,I68,'[1]1_group_total_details'!$F$8:$F$10000,pb_location_group_id,'[1]1_group_total_details'!$G$8:$G$10000,pb_location_id,'[1]1_group_total_details'!$H$8:$H$10000,"&lt;="&amp;pb_date)+SUMIFS('[1]1_group_total_details'!$P$8:$P$10000,'[1]1_group_total_details'!$C$8:$C$10000,I68,'[1]1_group_total_details'!$F$8:$F$10000,pb_location_group_id,'[1]1_group_total_details'!$G$8:$G$10000,pb_location_id,'[1]1_group_total_details'!$H$8:$H$10000,"&lt;="&amp;pb_date))))</f>
        <v/>
      </c>
      <c r="AK68" s="1640" t="str">
        <f>IF(M68="","",SUMIFS('[1]1_group_totals'!$J$8:$J$10000,'[1]1_group_totals'!$C$8:$C$10000,I68,'[1]1_group_totals'!$F$8:$F$10000,pb_location_group_id,'[1]1_group_totals'!$G$8:$G$10000,pb_location_id,'[1]1_group_totals'!$H$8:$H$10000,"="&amp;Q68,'[1]1_group_totals'!$I$8:$I$10000,"="&amp;R68))</f>
        <v/>
      </c>
      <c r="AL68" s="1644" t="str">
        <f t="shared" si="17"/>
        <v/>
      </c>
      <c r="AM68" s="1644" t="str">
        <f>IF(OR(ISNA(MATCH(MID(AL68,1,3)*1,UomConversion!$D$8:$D$500,0)),M68=""),"",IF(AQ68="","",AQ68))</f>
        <v/>
      </c>
      <c r="AN68" s="1644" t="str">
        <f>IF(AND(AO68&gt;0,COUNTIFS(UomConversion!$D$8:$D$500,MID(AL68,1,3)*1,UomConversion!$J$8:$J$500,1)&gt;1),TEXT(AO68,"000")&amp;"."&amp;VLOOKUP(AO68,uom_list,5,FALSE),"")</f>
        <v/>
      </c>
      <c r="AO68" s="1640" t="str">
        <f t="shared" si="18"/>
        <v/>
      </c>
      <c r="AP68" s="1645" t="str">
        <f t="shared" si="19"/>
        <v/>
      </c>
      <c r="AQ68" s="491" t="str">
        <f t="shared" si="20"/>
        <v/>
      </c>
      <c r="AR68" s="1281" t="str" cm="1">
        <f t="array" ref="AR68">IF(M68="","",IF(ISNA(Slookup(MID(AL68,1,3)*1,UomConversion!$D$8:$J$500,2,UomConversion!$I$8:$I$500,1,UomConversion!$J$8:$J$500,1)),"",Slookup(MID(AL68,1,3)*1,UomConversion!$D$8:$J$500,2,UomConversion!$I$8:$I$500,1,UomConversion!$J$8:$J$500,1)))</f>
        <v/>
      </c>
      <c r="AS68" s="663" t="str">
        <f>IF(M68="","",(SUMIFS('[1]1_inventory_totals'!$I$8:$I$10000,'[1]1_inventory_totals'!$C$8:$C$10000,I68,'[1]1_inventory_totals'!$F$8:$F$10000,"="&amp;Q68,'[1]1_inventory_totals'!$G$8:$G$10000,"="&amp;R68)+SUMIFS('[1]1_inventory_totals'!$N$8:$N$10000,'[1]1_inventory_totals'!$C$8:$C$10000,I68,'[1]1_inventory_totals'!$F$8:$F$10000,"="&amp;Q68,'[1]1_inventory_totals'!$G$8:$G$10000,"="&amp;R68)+SUMIFS('[1]1_inventory_totals'!$P$8:$P$10000,'[1]1_inventory_totals'!$C$8:$C$10000,I68,'[1]1_inventory_totals'!$F$8:$F$10000,"="&amp;Q68,'[1]1_inventory_totals'!$G$8:$G$10000,"="&amp;R68)+SUMIFS('[1]1_inventory_totals'!$Q$8:$Q$10000,'[1]1_inventory_totals'!$C$8:$C$10000,I68,'[1]1_inventory_totals'!$F$8:$F$10000,"="&amp;Q68,'[1]1_inventory_totals'!$G$8:$G$10000,"="&amp;R68)+SUMIFS('[1]1_inventory_totals'!$R$8:$R$10000,'[1]1_inventory_totals'!$C$8:$C$10000,I68,'[1]1_inventory_totals'!$F$8:$F$10000,"="&amp;Q68,'[1]1_inventory_totals'!$G$8:$G$10000,"="&amp;R68))+(SUMIFS('[1]1_inventory_totals'!$J$8:$J$10000,'[1]1_inventory_totals'!$C$8:$C$10000,I68,'[1]1_inventory_totals'!$F$8:$F$10000,"="&amp;Q68,'[1]1_inventory_totals'!$G$8:$G$10000,"="&amp;R68)+SUMIFS('[1]1_inventory_totals'!$K$8:$K$10000,'[1]1_inventory_totals'!$C$8:$C$10000,I68,'[1]1_inventory_totals'!$F$8:$F$10000,"="&amp;Q68,'[1]1_inventory_totals'!$G$8:$G$10000,"="&amp;R68)+SUMIFS('[1]1_inventory_totals'!$L$8:$L$10000,'[1]1_inventory_totals'!$C$8:$C$10000,I68,'[1]1_inventory_totals'!$F$8:$F$10000,"="&amp;Q68,'[1]1_inventory_totals'!$G$8:$G$10000,"="&amp;R68)+SUMIFS('[1]1_inventory_totals'!$M$8:$M$10000,'[1]1_inventory_totals'!$C$8:$C$10000,I68,'[1]1_inventory_totals'!$F$8:$F$10000,"="&amp;Q68,'[1]1_inventory_totals'!$G$8:$G$10000,"="&amp;R68)+SUMIFS('[1]1_inventory_totals'!$O$8:$O$10000,'[1]1_inventory_totals'!$C$8:$C$10000,I68,'[1]1_inventory_totals'!$F$8:$F$10000,"="&amp;Q68,'[1]1_inventory_totals'!$G$8:$G$10000,"="&amp;R68)+SUMIFS('[1]1_inventory_totals'!$S$8:$S$10000,'[1]1_inventory_totals'!$C$8:$C$10000,I68,'[1]1_inventory_totals'!$F$8:$F$10000,"="&amp;Q68,'[1]1_inventory_totals'!$G$8:$G$10000,"="&amp;R68)))</f>
        <v/>
      </c>
      <c r="AT68" s="1281" t="str">
        <f>IF(M68="","",(SUMIFS('[1]1_group_totals'!$K$8:$K$10000,'[1]1_group_totals'!$C$8:$C$10000,I68,'[1]1_group_totals'!$F$8:$F$10000,pb_location_group_id,'[1]1_group_totals'!$G$8:$G$10000,pb_location_id,'[1]1_group_totals'!$H$8:$H$10000,"="&amp;Q68,'[1]1_group_totals'!$I$8:$I$10000,"="&amp;R68)+SUMIFS('[1]1_group_totals'!$N$8:$N$10000,'[1]1_group_totals'!$C$8:$C$10000,I68,'[1]1_group_totals'!$F$8:$F$10000,pb_location_group_id,'[1]1_group_totals'!$G$8:$G$10000,pb_location_id,'[1]1_group_totals'!$H$8:$H$10000,"="&amp;Q68,'[1]1_group_totals'!$I$8:$I$10000,"="&amp;R68)+SUMIFS('[1]1_group_totals'!$P$8:$P$10000,'[1]1_group_totals'!$C$8:$C$10000,I68,'[1]1_group_totals'!$F$8:$F$10000,pb_location_group_id,'[1]1_group_totals'!$G$8:$G$10000,pb_location_id,'[1]1_group_totals'!$H$8:$H$10000,"="&amp;Q68,'[1]1_group_totals'!$I$8:$I$10000,"="&amp;R68)+SUMIFS('[1]1_group_totals'!$Q$8:$Q$10000,'[1]1_group_totals'!$C$8:$C$10000,I68,'[1]1_group_totals'!$F$8:$F$10000,pb_location_group_id,'[1]1_group_totals'!$G$8:$G$10000,pb_location_id,'[1]1_group_totals'!$H$8:$H$10000,"="&amp;Q68,'[1]1_group_totals'!$I$8:$I$10000,"="&amp;R68))+(SUMIFS('[1]1_group_totals'!$L$8:$L$10000,'[1]1_group_totals'!$C$8:$C$10000,I68,'[1]1_group_totals'!$F$8:$F$10000,pb_location_group_id,'[1]1_group_totals'!$G$8:$G$10000,pb_location_id,'[1]1_group_totals'!$H$8:$H$10000,"="&amp;Q68,'[1]1_group_totals'!$I$8:$I$10000,"="&amp;R68)+SUMIFS('[1]1_group_totals'!$M$8:$M$10000,'[1]1_group_totals'!$C$8:$C$10000,I68,'[1]1_group_totals'!$F$8:$F$10000,pb_location_group_id,'[1]1_group_totals'!$G$8:$G$10000,pb_location_id,'[1]1_group_totals'!$H$8:$H$10000,"="&amp;Q68,'[1]1_group_totals'!$I$8:$I$10000,"="&amp;R68)+SUMIFS('[1]1_group_totals'!$O$8:$O$10000,'[1]1_group_totals'!$C$8:$C$10000,I68,'[1]1_group_totals'!$F$8:$F$10000,pb_location_group_id,'[1]1_group_totals'!$G$8:$G$10000,pb_location_id,'[1]1_group_totals'!$H$8:$H$10000,"="&amp;Q68,'[1]1_group_totals'!$I$8:$I$10000,"="&amp;R68)+SUMIFS('[1]1_group_totals'!$R$8:$R$10000,'[1]1_group_totals'!$C$8:$C$10000,I68,'[1]1_group_totals'!$F$8:$F$10000,pb_location_group_id,'[1]1_group_totals'!$G$8:$G$10000,pb_location_id,'[1]1_group_totals'!$H$8:$H$10000,"="&amp;Q68,'[1]1_group_totals'!$I$8:$I$10000,"="&amp;R68)))</f>
        <v/>
      </c>
    </row>
    <row r="69" spans="1:46" ht="27" hidden="1" customHeight="1">
      <c r="A69" s="923"/>
      <c r="B69" s="1028"/>
      <c r="C69" s="950"/>
      <c r="D69" s="950"/>
      <c r="E69" s="950"/>
      <c r="F69" s="1029"/>
      <c r="G69" s="941"/>
      <c r="H69" s="1070"/>
      <c r="I69" s="1610" t="str">
        <f t="shared" si="8"/>
        <v/>
      </c>
      <c r="J69" s="1631" t="str">
        <f t="shared" si="25"/>
        <v/>
      </c>
      <c r="K69" s="1628"/>
      <c r="L69" s="1632"/>
      <c r="M69" s="1069"/>
      <c r="N69" s="1044"/>
      <c r="O69" s="1044"/>
      <c r="P69" s="1046"/>
      <c r="Q69" s="1047"/>
      <c r="R69" s="1053"/>
      <c r="S69" s="1634" t="str">
        <f t="shared" ref="S69" si="200">IF(M69="","",pb_currency_symbol)</f>
        <v/>
      </c>
      <c r="T69" s="1068"/>
      <c r="U69" s="1636" t="str">
        <f t="shared" si="10"/>
        <v/>
      </c>
      <c r="V69" s="1634" t="str">
        <f t="shared" ref="V69" si="201">IF(W69=0,"",pb_currency_symbol)</f>
        <v/>
      </c>
      <c r="W69" s="1054"/>
      <c r="X69" s="1634" t="str">
        <f t="shared" ref="X69" si="202">IF(M69="","",pb_currency_symbol)</f>
        <v/>
      </c>
      <c r="Y69" s="1638" t="str">
        <f t="shared" si="24"/>
        <v/>
      </c>
      <c r="Z69" s="1062"/>
      <c r="AA69" s="1639" t="str" cm="1">
        <f t="array" ref="AA69">IF(M69="","",IF(P69=AL69,1,Slookup(MID(AL69,1,3)*1,UomConversion!$D$8:$J$500,5,UomConversion!$E$8:$E$500,MID(P69,1,3)*1,UomConversion!$J$8:$J$500,1)))</f>
        <v/>
      </c>
      <c r="AB69" s="1640" t="str">
        <f t="shared" si="13"/>
        <v/>
      </c>
      <c r="AC69" s="1641" t="str">
        <f t="shared" si="14"/>
        <v/>
      </c>
      <c r="AD69" s="1642" t="str">
        <f t="shared" si="15"/>
        <v/>
      </c>
      <c r="AE69" s="1643" t="str">
        <f t="shared" si="16"/>
        <v/>
      </c>
      <c r="AF69" s="1640" t="str">
        <f>IF(I69="","",IF(ISNA(MATCH(I69,IF(pb_location_id=1,'[1]1_inventory_totals'!$C$8:$C$10000,IF(pb_location_id=2,'[1]2_inventory_totals'!$C$8:$C$10000,"")),0)),0,IF(AS69&gt;0,1,0)))</f>
        <v/>
      </c>
      <c r="AG69" s="1640" t="str">
        <f>IF(M69="","",IF(pb_location_id=1,SUMIFS('[1]1_inventory_total_details'!$J$8:$J$10000,'[1]1_inventory_total_details'!$C$8:$C$10000,I69,'[1]1_inventory_total_details'!$F$8:$F$10000,pb_location_id,'[1]1_inventory_total_details'!$G$8:$G$10000,"="&amp;Q69,'[1]1_inventory_total_details'!$H$8:$H$10000,"="&amp;R69,'[1]1_inventory_total_details'!$I$8:$I$10000,"="&amp;pb_date)+SUMIFS('[1]1_inventory_total_details'!$M$8:$M$10000,'[1]1_inventory_total_details'!$C$8:$C$10000,I69,'[1]1_inventory_total_details'!$F$8:$F$10000,pb_location_id,'[1]1_inventory_total_details'!$G$8:$G$10000,"="&amp;Q69,'[1]1_inventory_total_details'!$H$8:$H$10000,"="&amp;R69,'[1]1_inventory_total_details'!$I$8:$I$10000,"="&amp;pb_date)+SUMIFS('[1]1_inventory_total_details'!$K$8:$K$10000,'[1]1_inventory_total_details'!$C$8:$C$10000,I69,'[1]1_inventory_total_details'!$F$8:$F$10000,pb_location_id,'[1]1_inventory_total_details'!$G$8:$G$10000,"="&amp;Q69,'[1]1_inventory_total_details'!$H$8:$H$10000,"="&amp;R69,'[1]1_inventory_total_details'!$I$8:$I$10000,"="&amp;pb_date)+SUMIFS('[1]1_inventory_total_details'!$L$8:$L$10000,'[1]1_inventory_total_details'!$C$8:$C$10000,I69,'[1]1_inventory_total_details'!$F$8:$F$10000,pb_location_id,'[1]1_inventory_total_details'!$G$8:$G$10000,"="&amp;Q69,'[1]1_inventory_total_details'!$H$8:$H$10000,"="&amp;R69,'[1]1_inventory_total_details'!$I$8:$I$10000,"="&amp;pb_date),SUMIFS('[1]2_inventory_total_details'!$J$8:$J$10000,'[1]2_inventory_total_details'!$C$8:$C$10000,I69,'[1]1_inventory_total_details'!$F$8:$F$10000,pb_location_id,'[1]2_inventory_total_details'!$G$8:$G$10000,"="&amp;Q69,'[1]2_inventory_total_details'!$H$8:$H$10000,"="&amp;R69,'[1]2_inventory_total_details'!$I$8:$I$10000,"="&amp;pb_date)+SUMIFS('[1]2_inventory_total_details'!$M$8:$M$10000,'[1]2_inventory_total_details'!$C$8:$C$10000,I69,'[1]2_inventory_total_details'!$F$8:$F$10000,pb_location_id,'[1]2_inventory_total_details'!$G$8:$G$10000,"="&amp;Q69,'[1]2_inventory_total_details'!$H$8:$H$10000,"="&amp;R69,'[1]2_inventory_total_details'!$I$8:$I$10000,"="&amp;pb_date)+SUMIFS('[1]2_inventory_total_details'!$K$8:$K$10000,'[1]2_inventory_total_details'!$C$8:$C$10000,I69,'[1]2_inventory_total_details'!$F$8:$F$10000,pb_location_id,'[1]2_inventory_total_details'!$G$8:$G$10000,"="&amp;Q69,'[1]2_inventory_total_details'!$H$8:$H$10000,"="&amp;R69,'[1]2_inventory_total_details'!$I$8:$I$10000,"="&amp;pb_date)+SUMIFS('[1]2_inventory_total_details'!$L$8:$L$10000,'[1]2_inventory_total_details'!$C$8:$C$10000,I69,'[1]2_inventory_total_details'!$F$8:$F$10000,pb_location_id,'[1]2_inventory_total_details'!$G$8:$G$10000,"="&amp;Q69,'[1]2_inventory_total_details'!$H$8:$H$10000,"="&amp;R69,'[1]2_inventory_total_details'!$I$8:$I$10000,"="&amp;pb_date)))</f>
        <v/>
      </c>
      <c r="AH69" s="1640" t="str">
        <f>IF(M69="","",IF(ISNA(MATCH(I69,'[1]1_group_totals'!$C$8:$C$10000)),0,IF(AT69&gt;0,1,0)))</f>
        <v/>
      </c>
      <c r="AI69" s="1640" t="str">
        <f>IF(M69="","",(SUMIFS('[1]1_group_total_details'!$I$8:$I$10000,'[1]1_group_total_details'!$C$8:$C$10000,I69,'[1]1_group_total_details'!$F$8:$F$10000,pb_location_group_id,'[1]1_group_total_details'!$G$8:$G$10000,pb_location_id,'[1]1_group_total_details'!$H$8:$H$10000,"="&amp;pb_date)+SUMIFS('[1]1_group_total_details'!$L$8:$L$10000,'[1]1_group_total_details'!$C$8:$C$10000,I69,'[1]1_group_total_details'!$F$8:$F$10000,pb_location_group_id,'[1]1_group_total_details'!$G$8:$G$10000,pb_location_id,'[1]1_group_total_details'!$H$8:$H$10000,"="&amp;pb_date)+SUMIFS('[1]1_group_total_details'!$N$8:$N$10000,'[1]1_group_total_details'!$C$8:$C$10000,I69,'[1]1_group_total_details'!$F$8:$F$10000,pb_location_group_id,'[1]1_group_total_details'!$G$8:$G$10000,pb_location_id,'[1]1_group_total_details'!$H$8:$H$10000,"="&amp;pb_date)+SUMIFS('[1]1_group_total_details'!$O$8:$O$10000,'[1]1_group_total_details'!$C$8:$C$10000,I69,'[1]1_group_total_details'!$F$8:$F$10000,pb_location_group_id,'[1]1_group_total_details'!$G$8:$G$10000,pb_location_id,'[1]1_group_total_details'!$H$8:$H$10000,"="&amp;pb_date))+(SUMIFS('[1]1_group_total_details'!$J$8:$J$10000,'[1]1_group_total_details'!$C$8:$C$10000,I69,'[1]1_group_total_details'!$F$8:$F$10000,pb_location_group_id,'[1]1_group_total_details'!$G$8:$G$10000,pb_location_id,'[1]1_group_total_details'!$H$8:$H$10000,"="&amp;pb_date)+SUMIFS('[1]1_group_total_details'!$K$8:$K$10000,'[1]1_group_total_details'!$C$8:$C$10000,I69,'[1]1_group_total_details'!$F$8:$F$10000,pb_location_group_id,'[1]1_group_total_details'!$G$8:$G$10000,pb_location_id,'[1]1_group_total_details'!$H$8:$H$10000,"="&amp;pb_date)+SUMIFS('[1]1_group_total_details'!$M$8:$M$10000,'[1]1_group_total_details'!$C$8:$C$10000,I69,'[1]1_group_total_details'!$F$8:$F$10000,pb_location_group_id,'[1]1_group_total_details'!$G$8:$G$10000,pb_location_id,'[1]1_group_total_details'!$H$8:$H$10000,"="&amp;pb_date)+SUMIFS('[1]1_group_total_details'!$P$8:$P$10000,'[1]1_group_total_details'!$C$8:$C$10000,I69,'[1]1_group_total_details'!$F$8:$F$10000,pb_location_group_id,'[1]1_group_total_details'!$G$8:$G$10000,pb_location_id,'[1]1_group_total_details'!$H$8:$H$10000,"="&amp;pb_date)))</f>
        <v/>
      </c>
      <c r="AJ69" s="1640" t="str">
        <f>IF(M69="","",IF(AK69=0,0,(SUMIFS('[1]1_group_total_details'!$I$8:$I$10000,'[1]1_group_total_details'!$C$8:$C$10000,I69,'[1]1_group_total_details'!$F$8:$F$10000,pb_location_group_id,'[1]1_group_total_details'!$G$8:$G$10000,pb_location_id,'[1]1_group_total_details'!$H$8:$H$10000,"&lt;="&amp;pb_date)+SUMIFS('[1]1_group_total_details'!$L$8:$L$10000,'[1]1_group_total_details'!$C$8:$C$10000,I69,'[1]1_group_total_details'!$F$8:$F$10000,pb_location_group_id,'[1]1_group_total_details'!$G$8:$G$10000,pb_location_id,'[1]1_group_total_details'!$H$8:$H$10000,"&lt;="&amp;pb_date)+SUMIFS('[1]1_group_total_details'!$N$8:$N$10000,'[1]1_group_total_details'!$C$8:$C$10000,I69,'[1]1_group_total_details'!$F$8:$F$10000,pb_location_group_id,'[1]1_group_total_details'!$G$8:$G$10000,pb_location_id,'[1]1_group_total_details'!$H$8:$H$10000,"&lt;="&amp;pb_date)+SUMIFS('[1]1_group_total_details'!$O$8:$O$10000,'[1]1_group_total_details'!$C$8:$C$10000,I69,'[1]1_group_total_details'!$F$8:$F$10000,pb_location_group_id,'[1]1_group_total_details'!$G$8:$G$10000,pb_location_id,'[1]1_group_total_details'!$H$8:$H$10000,"&lt;="&amp;pb_date))-(SUMIFS('[1]1_group_total_details'!$J$8:$J$10000,'[1]1_group_total_details'!$C$8:$C$10000,I69,'[1]1_group_total_details'!$F$8:$F$10000,pb_location_group_id,'[1]1_group_total_details'!$G$8:$G$10000,pb_location_id,'[1]1_group_total_details'!$H$8:$H$10000,"&lt;="&amp;pb_date)+SUMIFS('[1]1_group_total_details'!$K$8:$K$10000,'[1]1_group_total_details'!$C$8:$C$10000,I69,'[1]1_group_total_details'!$F$8:$F$10000,pb_location_group_id,'[1]1_group_total_details'!$G$8:$G$10000,invoice_location_id,'[1]1_group_total_details'!$H$8:$H$10000,"&lt;="&amp;pb_date)+SUMIFS('[1]1_group_total_details'!$M$8:$M$10000,'[1]1_group_total_details'!$C$8:$C$10000,I69,'[1]1_group_total_details'!$F$8:$F$10000,pb_location_group_id,'[1]1_group_total_details'!$G$8:$G$10000,pb_location_id,'[1]1_group_total_details'!$H$8:$H$10000,"&lt;="&amp;pb_date)+SUMIFS('[1]1_group_total_details'!$P$8:$P$10000,'[1]1_group_total_details'!$C$8:$C$10000,I69,'[1]1_group_total_details'!$F$8:$F$10000,pb_location_group_id,'[1]1_group_total_details'!$G$8:$G$10000,pb_location_id,'[1]1_group_total_details'!$H$8:$H$10000,"&lt;="&amp;pb_date))))</f>
        <v/>
      </c>
      <c r="AK69" s="1640" t="str">
        <f>IF(M69="","",SUMIFS('[1]1_group_totals'!$J$8:$J$10000,'[1]1_group_totals'!$C$8:$C$10000,I69,'[1]1_group_totals'!$F$8:$F$10000,pb_location_group_id,'[1]1_group_totals'!$G$8:$G$10000,pb_location_id,'[1]1_group_totals'!$H$8:$H$10000,"="&amp;Q69,'[1]1_group_totals'!$I$8:$I$10000,"="&amp;R69))</f>
        <v/>
      </c>
      <c r="AL69" s="1644" t="str">
        <f t="shared" si="17"/>
        <v/>
      </c>
      <c r="AM69" s="1644" t="str">
        <f>IF(OR(ISNA(MATCH(MID(AL69,1,3)*1,UomConversion!$D$8:$D$500,0)),M69=""),"",IF(AQ69="","",AQ69))</f>
        <v/>
      </c>
      <c r="AN69" s="1644" t="str">
        <f>IF(AND(AO69&gt;0,COUNTIFS(UomConversion!$D$8:$D$500,MID(AL69,1,3)*1,UomConversion!$J$8:$J$500,1)&gt;1),TEXT(AO69,"000")&amp;"."&amp;VLOOKUP(AO69,uom_list,5,FALSE),"")</f>
        <v/>
      </c>
      <c r="AO69" s="1640" t="str">
        <f t="shared" si="18"/>
        <v/>
      </c>
      <c r="AP69" s="1645" t="str">
        <f t="shared" si="19"/>
        <v/>
      </c>
      <c r="AQ69" s="491" t="str">
        <f t="shared" si="20"/>
        <v/>
      </c>
      <c r="AR69" s="1281" t="str" cm="1">
        <f t="array" ref="AR69">IF(M69="","",IF(ISNA(Slookup(MID(AL69,1,3)*1,UomConversion!$D$8:$J$500,2,UomConversion!$I$8:$I$500,1,UomConversion!$J$8:$J$500,1)),"",Slookup(MID(AL69,1,3)*1,UomConversion!$D$8:$J$500,2,UomConversion!$I$8:$I$500,1,UomConversion!$J$8:$J$500,1)))</f>
        <v/>
      </c>
      <c r="AS69" s="663" t="str">
        <f>IF(M69="","",(SUMIFS('[1]1_inventory_totals'!$I$8:$I$10000,'[1]1_inventory_totals'!$C$8:$C$10000,I69,'[1]1_inventory_totals'!$F$8:$F$10000,"="&amp;Q69,'[1]1_inventory_totals'!$G$8:$G$10000,"="&amp;R69)+SUMIFS('[1]1_inventory_totals'!$N$8:$N$10000,'[1]1_inventory_totals'!$C$8:$C$10000,I69,'[1]1_inventory_totals'!$F$8:$F$10000,"="&amp;Q69,'[1]1_inventory_totals'!$G$8:$G$10000,"="&amp;R69)+SUMIFS('[1]1_inventory_totals'!$P$8:$P$10000,'[1]1_inventory_totals'!$C$8:$C$10000,I69,'[1]1_inventory_totals'!$F$8:$F$10000,"="&amp;Q69,'[1]1_inventory_totals'!$G$8:$G$10000,"="&amp;R69)+SUMIFS('[1]1_inventory_totals'!$Q$8:$Q$10000,'[1]1_inventory_totals'!$C$8:$C$10000,I69,'[1]1_inventory_totals'!$F$8:$F$10000,"="&amp;Q69,'[1]1_inventory_totals'!$G$8:$G$10000,"="&amp;R69)+SUMIFS('[1]1_inventory_totals'!$R$8:$R$10000,'[1]1_inventory_totals'!$C$8:$C$10000,I69,'[1]1_inventory_totals'!$F$8:$F$10000,"="&amp;Q69,'[1]1_inventory_totals'!$G$8:$G$10000,"="&amp;R69))+(SUMIFS('[1]1_inventory_totals'!$J$8:$J$10000,'[1]1_inventory_totals'!$C$8:$C$10000,I69,'[1]1_inventory_totals'!$F$8:$F$10000,"="&amp;Q69,'[1]1_inventory_totals'!$G$8:$G$10000,"="&amp;R69)+SUMIFS('[1]1_inventory_totals'!$K$8:$K$10000,'[1]1_inventory_totals'!$C$8:$C$10000,I69,'[1]1_inventory_totals'!$F$8:$F$10000,"="&amp;Q69,'[1]1_inventory_totals'!$G$8:$G$10000,"="&amp;R69)+SUMIFS('[1]1_inventory_totals'!$L$8:$L$10000,'[1]1_inventory_totals'!$C$8:$C$10000,I69,'[1]1_inventory_totals'!$F$8:$F$10000,"="&amp;Q69,'[1]1_inventory_totals'!$G$8:$G$10000,"="&amp;R69)+SUMIFS('[1]1_inventory_totals'!$M$8:$M$10000,'[1]1_inventory_totals'!$C$8:$C$10000,I69,'[1]1_inventory_totals'!$F$8:$F$10000,"="&amp;Q69,'[1]1_inventory_totals'!$G$8:$G$10000,"="&amp;R69)+SUMIFS('[1]1_inventory_totals'!$O$8:$O$10000,'[1]1_inventory_totals'!$C$8:$C$10000,I69,'[1]1_inventory_totals'!$F$8:$F$10000,"="&amp;Q69,'[1]1_inventory_totals'!$G$8:$G$10000,"="&amp;R69)+SUMIFS('[1]1_inventory_totals'!$S$8:$S$10000,'[1]1_inventory_totals'!$C$8:$C$10000,I69,'[1]1_inventory_totals'!$F$8:$F$10000,"="&amp;Q69,'[1]1_inventory_totals'!$G$8:$G$10000,"="&amp;R69)))</f>
        <v/>
      </c>
      <c r="AT69" s="1281" t="str">
        <f>IF(M69="","",(SUMIFS('[1]1_group_totals'!$K$8:$K$10000,'[1]1_group_totals'!$C$8:$C$10000,I69,'[1]1_group_totals'!$F$8:$F$10000,pb_location_group_id,'[1]1_group_totals'!$G$8:$G$10000,pb_location_id,'[1]1_group_totals'!$H$8:$H$10000,"="&amp;Q69,'[1]1_group_totals'!$I$8:$I$10000,"="&amp;R69)+SUMIFS('[1]1_group_totals'!$N$8:$N$10000,'[1]1_group_totals'!$C$8:$C$10000,I69,'[1]1_group_totals'!$F$8:$F$10000,pb_location_group_id,'[1]1_group_totals'!$G$8:$G$10000,pb_location_id,'[1]1_group_totals'!$H$8:$H$10000,"="&amp;Q69,'[1]1_group_totals'!$I$8:$I$10000,"="&amp;R69)+SUMIFS('[1]1_group_totals'!$P$8:$P$10000,'[1]1_group_totals'!$C$8:$C$10000,I69,'[1]1_group_totals'!$F$8:$F$10000,pb_location_group_id,'[1]1_group_totals'!$G$8:$G$10000,pb_location_id,'[1]1_group_totals'!$H$8:$H$10000,"="&amp;Q69,'[1]1_group_totals'!$I$8:$I$10000,"="&amp;R69)+SUMIFS('[1]1_group_totals'!$Q$8:$Q$10000,'[1]1_group_totals'!$C$8:$C$10000,I69,'[1]1_group_totals'!$F$8:$F$10000,pb_location_group_id,'[1]1_group_totals'!$G$8:$G$10000,pb_location_id,'[1]1_group_totals'!$H$8:$H$10000,"="&amp;Q69,'[1]1_group_totals'!$I$8:$I$10000,"="&amp;R69))+(SUMIFS('[1]1_group_totals'!$L$8:$L$10000,'[1]1_group_totals'!$C$8:$C$10000,I69,'[1]1_group_totals'!$F$8:$F$10000,pb_location_group_id,'[1]1_group_totals'!$G$8:$G$10000,pb_location_id,'[1]1_group_totals'!$H$8:$H$10000,"="&amp;Q69,'[1]1_group_totals'!$I$8:$I$10000,"="&amp;R69)+SUMIFS('[1]1_group_totals'!$M$8:$M$10000,'[1]1_group_totals'!$C$8:$C$10000,I69,'[1]1_group_totals'!$F$8:$F$10000,pb_location_group_id,'[1]1_group_totals'!$G$8:$G$10000,pb_location_id,'[1]1_group_totals'!$H$8:$H$10000,"="&amp;Q69,'[1]1_group_totals'!$I$8:$I$10000,"="&amp;R69)+SUMIFS('[1]1_group_totals'!$O$8:$O$10000,'[1]1_group_totals'!$C$8:$C$10000,I69,'[1]1_group_totals'!$F$8:$F$10000,pb_location_group_id,'[1]1_group_totals'!$G$8:$G$10000,pb_location_id,'[1]1_group_totals'!$H$8:$H$10000,"="&amp;Q69,'[1]1_group_totals'!$I$8:$I$10000,"="&amp;R69)+SUMIFS('[1]1_group_totals'!$R$8:$R$10000,'[1]1_group_totals'!$C$8:$C$10000,I69,'[1]1_group_totals'!$F$8:$F$10000,pb_location_group_id,'[1]1_group_totals'!$G$8:$G$10000,pb_location_id,'[1]1_group_totals'!$H$8:$H$10000,"="&amp;Q69,'[1]1_group_totals'!$I$8:$I$10000,"="&amp;R69)))</f>
        <v/>
      </c>
    </row>
    <row r="70" spans="1:46" ht="27" hidden="1" customHeight="1">
      <c r="A70" s="923"/>
      <c r="B70" s="1028"/>
      <c r="C70" s="950"/>
      <c r="D70" s="950"/>
      <c r="E70" s="950"/>
      <c r="F70" s="1029"/>
      <c r="G70" s="941"/>
      <c r="H70" s="1070"/>
      <c r="I70" s="1610" t="str">
        <f t="shared" si="8"/>
        <v/>
      </c>
      <c r="J70" s="1631" t="str">
        <f t="shared" si="25"/>
        <v/>
      </c>
      <c r="K70" s="1628"/>
      <c r="L70" s="1632"/>
      <c r="M70" s="1069"/>
      <c r="N70" s="1044"/>
      <c r="O70" s="1044"/>
      <c r="P70" s="1046"/>
      <c r="Q70" s="1047"/>
      <c r="R70" s="1053"/>
      <c r="S70" s="1634" t="str">
        <f t="shared" ref="S70" si="203">IF(M70="","",pb_currency_symbol)</f>
        <v/>
      </c>
      <c r="T70" s="1068"/>
      <c r="U70" s="1636" t="str">
        <f t="shared" si="10"/>
        <v/>
      </c>
      <c r="V70" s="1634" t="str">
        <f t="shared" ref="V70" si="204">IF(W70=0,"",pb_currency_symbol)</f>
        <v/>
      </c>
      <c r="W70" s="1054"/>
      <c r="X70" s="1634" t="str">
        <f t="shared" ref="X70" si="205">IF(M70="","",pb_currency_symbol)</f>
        <v/>
      </c>
      <c r="Y70" s="1638" t="str">
        <f t="shared" si="24"/>
        <v/>
      </c>
      <c r="Z70" s="1062"/>
      <c r="AA70" s="1639" t="str" cm="1">
        <f t="array" ref="AA70">IF(M70="","",IF(P70=AL70,1,Slookup(MID(AL70,1,3)*1,UomConversion!$D$8:$J$500,5,UomConversion!$E$8:$E$500,MID(P70,1,3)*1,UomConversion!$J$8:$J$500,1)))</f>
        <v/>
      </c>
      <c r="AB70" s="1640" t="str">
        <f t="shared" si="13"/>
        <v/>
      </c>
      <c r="AC70" s="1641" t="str">
        <f t="shared" si="14"/>
        <v/>
      </c>
      <c r="AD70" s="1642" t="str">
        <f t="shared" si="15"/>
        <v/>
      </c>
      <c r="AE70" s="1643" t="str">
        <f t="shared" si="16"/>
        <v/>
      </c>
      <c r="AF70" s="1640" t="str">
        <f>IF(I70="","",IF(ISNA(MATCH(I70,IF(pb_location_id=1,'[1]1_inventory_totals'!$C$8:$C$10000,IF(pb_location_id=2,'[1]2_inventory_totals'!$C$8:$C$10000,"")),0)),0,IF(AS70&gt;0,1,0)))</f>
        <v/>
      </c>
      <c r="AG70" s="1640" t="str">
        <f>IF(M70="","",IF(pb_location_id=1,SUMIFS('[1]1_inventory_total_details'!$J$8:$J$10000,'[1]1_inventory_total_details'!$C$8:$C$10000,I70,'[1]1_inventory_total_details'!$F$8:$F$10000,pb_location_id,'[1]1_inventory_total_details'!$G$8:$G$10000,"="&amp;Q70,'[1]1_inventory_total_details'!$H$8:$H$10000,"="&amp;R70,'[1]1_inventory_total_details'!$I$8:$I$10000,"="&amp;pb_date)+SUMIFS('[1]1_inventory_total_details'!$M$8:$M$10000,'[1]1_inventory_total_details'!$C$8:$C$10000,I70,'[1]1_inventory_total_details'!$F$8:$F$10000,pb_location_id,'[1]1_inventory_total_details'!$G$8:$G$10000,"="&amp;Q70,'[1]1_inventory_total_details'!$H$8:$H$10000,"="&amp;R70,'[1]1_inventory_total_details'!$I$8:$I$10000,"="&amp;pb_date)+SUMIFS('[1]1_inventory_total_details'!$K$8:$K$10000,'[1]1_inventory_total_details'!$C$8:$C$10000,I70,'[1]1_inventory_total_details'!$F$8:$F$10000,pb_location_id,'[1]1_inventory_total_details'!$G$8:$G$10000,"="&amp;Q70,'[1]1_inventory_total_details'!$H$8:$H$10000,"="&amp;R70,'[1]1_inventory_total_details'!$I$8:$I$10000,"="&amp;pb_date)+SUMIFS('[1]1_inventory_total_details'!$L$8:$L$10000,'[1]1_inventory_total_details'!$C$8:$C$10000,I70,'[1]1_inventory_total_details'!$F$8:$F$10000,pb_location_id,'[1]1_inventory_total_details'!$G$8:$G$10000,"="&amp;Q70,'[1]1_inventory_total_details'!$H$8:$H$10000,"="&amp;R70,'[1]1_inventory_total_details'!$I$8:$I$10000,"="&amp;pb_date),SUMIFS('[1]2_inventory_total_details'!$J$8:$J$10000,'[1]2_inventory_total_details'!$C$8:$C$10000,I70,'[1]1_inventory_total_details'!$F$8:$F$10000,pb_location_id,'[1]2_inventory_total_details'!$G$8:$G$10000,"="&amp;Q70,'[1]2_inventory_total_details'!$H$8:$H$10000,"="&amp;R70,'[1]2_inventory_total_details'!$I$8:$I$10000,"="&amp;pb_date)+SUMIFS('[1]2_inventory_total_details'!$M$8:$M$10000,'[1]2_inventory_total_details'!$C$8:$C$10000,I70,'[1]2_inventory_total_details'!$F$8:$F$10000,pb_location_id,'[1]2_inventory_total_details'!$G$8:$G$10000,"="&amp;Q70,'[1]2_inventory_total_details'!$H$8:$H$10000,"="&amp;R70,'[1]2_inventory_total_details'!$I$8:$I$10000,"="&amp;pb_date)+SUMIFS('[1]2_inventory_total_details'!$K$8:$K$10000,'[1]2_inventory_total_details'!$C$8:$C$10000,I70,'[1]2_inventory_total_details'!$F$8:$F$10000,pb_location_id,'[1]2_inventory_total_details'!$G$8:$G$10000,"="&amp;Q70,'[1]2_inventory_total_details'!$H$8:$H$10000,"="&amp;R70,'[1]2_inventory_total_details'!$I$8:$I$10000,"="&amp;pb_date)+SUMIFS('[1]2_inventory_total_details'!$L$8:$L$10000,'[1]2_inventory_total_details'!$C$8:$C$10000,I70,'[1]2_inventory_total_details'!$F$8:$F$10000,pb_location_id,'[1]2_inventory_total_details'!$G$8:$G$10000,"="&amp;Q70,'[1]2_inventory_total_details'!$H$8:$H$10000,"="&amp;R70,'[1]2_inventory_total_details'!$I$8:$I$10000,"="&amp;pb_date)))</f>
        <v/>
      </c>
      <c r="AH70" s="1640" t="str">
        <f>IF(M70="","",IF(ISNA(MATCH(I70,'[1]1_group_totals'!$C$8:$C$10000)),0,IF(AT70&gt;0,1,0)))</f>
        <v/>
      </c>
      <c r="AI70" s="1640" t="str">
        <f>IF(M70="","",(SUMIFS('[1]1_group_total_details'!$I$8:$I$10000,'[1]1_group_total_details'!$C$8:$C$10000,I70,'[1]1_group_total_details'!$F$8:$F$10000,pb_location_group_id,'[1]1_group_total_details'!$G$8:$G$10000,pb_location_id,'[1]1_group_total_details'!$H$8:$H$10000,"="&amp;pb_date)+SUMIFS('[1]1_group_total_details'!$L$8:$L$10000,'[1]1_group_total_details'!$C$8:$C$10000,I70,'[1]1_group_total_details'!$F$8:$F$10000,pb_location_group_id,'[1]1_group_total_details'!$G$8:$G$10000,pb_location_id,'[1]1_group_total_details'!$H$8:$H$10000,"="&amp;pb_date)+SUMIFS('[1]1_group_total_details'!$N$8:$N$10000,'[1]1_group_total_details'!$C$8:$C$10000,I70,'[1]1_group_total_details'!$F$8:$F$10000,pb_location_group_id,'[1]1_group_total_details'!$G$8:$G$10000,pb_location_id,'[1]1_group_total_details'!$H$8:$H$10000,"="&amp;pb_date)+SUMIFS('[1]1_group_total_details'!$O$8:$O$10000,'[1]1_group_total_details'!$C$8:$C$10000,I70,'[1]1_group_total_details'!$F$8:$F$10000,pb_location_group_id,'[1]1_group_total_details'!$G$8:$G$10000,pb_location_id,'[1]1_group_total_details'!$H$8:$H$10000,"="&amp;pb_date))+(SUMIFS('[1]1_group_total_details'!$J$8:$J$10000,'[1]1_group_total_details'!$C$8:$C$10000,I70,'[1]1_group_total_details'!$F$8:$F$10000,pb_location_group_id,'[1]1_group_total_details'!$G$8:$G$10000,pb_location_id,'[1]1_group_total_details'!$H$8:$H$10000,"="&amp;pb_date)+SUMIFS('[1]1_group_total_details'!$K$8:$K$10000,'[1]1_group_total_details'!$C$8:$C$10000,I70,'[1]1_group_total_details'!$F$8:$F$10000,pb_location_group_id,'[1]1_group_total_details'!$G$8:$G$10000,pb_location_id,'[1]1_group_total_details'!$H$8:$H$10000,"="&amp;pb_date)+SUMIFS('[1]1_group_total_details'!$M$8:$M$10000,'[1]1_group_total_details'!$C$8:$C$10000,I70,'[1]1_group_total_details'!$F$8:$F$10000,pb_location_group_id,'[1]1_group_total_details'!$G$8:$G$10000,pb_location_id,'[1]1_group_total_details'!$H$8:$H$10000,"="&amp;pb_date)+SUMIFS('[1]1_group_total_details'!$P$8:$P$10000,'[1]1_group_total_details'!$C$8:$C$10000,I70,'[1]1_group_total_details'!$F$8:$F$10000,pb_location_group_id,'[1]1_group_total_details'!$G$8:$G$10000,pb_location_id,'[1]1_group_total_details'!$H$8:$H$10000,"="&amp;pb_date)))</f>
        <v/>
      </c>
      <c r="AJ70" s="1640" t="str">
        <f>IF(M70="","",IF(AK70=0,0,(SUMIFS('[1]1_group_total_details'!$I$8:$I$10000,'[1]1_group_total_details'!$C$8:$C$10000,I70,'[1]1_group_total_details'!$F$8:$F$10000,pb_location_group_id,'[1]1_group_total_details'!$G$8:$G$10000,pb_location_id,'[1]1_group_total_details'!$H$8:$H$10000,"&lt;="&amp;pb_date)+SUMIFS('[1]1_group_total_details'!$L$8:$L$10000,'[1]1_group_total_details'!$C$8:$C$10000,I70,'[1]1_group_total_details'!$F$8:$F$10000,pb_location_group_id,'[1]1_group_total_details'!$G$8:$G$10000,pb_location_id,'[1]1_group_total_details'!$H$8:$H$10000,"&lt;="&amp;pb_date)+SUMIFS('[1]1_group_total_details'!$N$8:$N$10000,'[1]1_group_total_details'!$C$8:$C$10000,I70,'[1]1_group_total_details'!$F$8:$F$10000,pb_location_group_id,'[1]1_group_total_details'!$G$8:$G$10000,pb_location_id,'[1]1_group_total_details'!$H$8:$H$10000,"&lt;="&amp;pb_date)+SUMIFS('[1]1_group_total_details'!$O$8:$O$10000,'[1]1_group_total_details'!$C$8:$C$10000,I70,'[1]1_group_total_details'!$F$8:$F$10000,pb_location_group_id,'[1]1_group_total_details'!$G$8:$G$10000,pb_location_id,'[1]1_group_total_details'!$H$8:$H$10000,"&lt;="&amp;pb_date))-(SUMIFS('[1]1_group_total_details'!$J$8:$J$10000,'[1]1_group_total_details'!$C$8:$C$10000,I70,'[1]1_group_total_details'!$F$8:$F$10000,pb_location_group_id,'[1]1_group_total_details'!$G$8:$G$10000,pb_location_id,'[1]1_group_total_details'!$H$8:$H$10000,"&lt;="&amp;pb_date)+SUMIFS('[1]1_group_total_details'!$K$8:$K$10000,'[1]1_group_total_details'!$C$8:$C$10000,I70,'[1]1_group_total_details'!$F$8:$F$10000,pb_location_group_id,'[1]1_group_total_details'!$G$8:$G$10000,invoice_location_id,'[1]1_group_total_details'!$H$8:$H$10000,"&lt;="&amp;pb_date)+SUMIFS('[1]1_group_total_details'!$M$8:$M$10000,'[1]1_group_total_details'!$C$8:$C$10000,I70,'[1]1_group_total_details'!$F$8:$F$10000,pb_location_group_id,'[1]1_group_total_details'!$G$8:$G$10000,pb_location_id,'[1]1_group_total_details'!$H$8:$H$10000,"&lt;="&amp;pb_date)+SUMIFS('[1]1_group_total_details'!$P$8:$P$10000,'[1]1_group_total_details'!$C$8:$C$10000,I70,'[1]1_group_total_details'!$F$8:$F$10000,pb_location_group_id,'[1]1_group_total_details'!$G$8:$G$10000,pb_location_id,'[1]1_group_total_details'!$H$8:$H$10000,"&lt;="&amp;pb_date))))</f>
        <v/>
      </c>
      <c r="AK70" s="1640" t="str">
        <f>IF(M70="","",SUMIFS('[1]1_group_totals'!$J$8:$J$10000,'[1]1_group_totals'!$C$8:$C$10000,I70,'[1]1_group_totals'!$F$8:$F$10000,pb_location_group_id,'[1]1_group_totals'!$G$8:$G$10000,pb_location_id,'[1]1_group_totals'!$H$8:$H$10000,"="&amp;Q70,'[1]1_group_totals'!$I$8:$I$10000,"="&amp;R70))</f>
        <v/>
      </c>
      <c r="AL70" s="1644" t="str">
        <f t="shared" si="17"/>
        <v/>
      </c>
      <c r="AM70" s="1644" t="str">
        <f>IF(OR(ISNA(MATCH(MID(AL70,1,3)*1,UomConversion!$D$8:$D$500,0)),M70=""),"",IF(AQ70="","",AQ70))</f>
        <v/>
      </c>
      <c r="AN70" s="1644" t="str">
        <f>IF(AND(AO70&gt;0,COUNTIFS(UomConversion!$D$8:$D$500,MID(AL70,1,3)*1,UomConversion!$J$8:$J$500,1)&gt;1),TEXT(AO70,"000")&amp;"."&amp;VLOOKUP(AO70,uom_list,5,FALSE),"")</f>
        <v/>
      </c>
      <c r="AO70" s="1640" t="str">
        <f t="shared" si="18"/>
        <v/>
      </c>
      <c r="AP70" s="1645" t="str">
        <f t="shared" si="19"/>
        <v/>
      </c>
      <c r="AQ70" s="491" t="str">
        <f t="shared" si="20"/>
        <v/>
      </c>
      <c r="AR70" s="1281" t="str" cm="1">
        <f t="array" ref="AR70">IF(M70="","",IF(ISNA(Slookup(MID(AL70,1,3)*1,UomConversion!$D$8:$J$500,2,UomConversion!$I$8:$I$500,1,UomConversion!$J$8:$J$500,1)),"",Slookup(MID(AL70,1,3)*1,UomConversion!$D$8:$J$500,2,UomConversion!$I$8:$I$500,1,UomConversion!$J$8:$J$500,1)))</f>
        <v/>
      </c>
      <c r="AS70" s="663" t="str">
        <f>IF(M70="","",(SUMIFS('[1]1_inventory_totals'!$I$8:$I$10000,'[1]1_inventory_totals'!$C$8:$C$10000,I70,'[1]1_inventory_totals'!$F$8:$F$10000,"="&amp;Q70,'[1]1_inventory_totals'!$G$8:$G$10000,"="&amp;R70)+SUMIFS('[1]1_inventory_totals'!$N$8:$N$10000,'[1]1_inventory_totals'!$C$8:$C$10000,I70,'[1]1_inventory_totals'!$F$8:$F$10000,"="&amp;Q70,'[1]1_inventory_totals'!$G$8:$G$10000,"="&amp;R70)+SUMIFS('[1]1_inventory_totals'!$P$8:$P$10000,'[1]1_inventory_totals'!$C$8:$C$10000,I70,'[1]1_inventory_totals'!$F$8:$F$10000,"="&amp;Q70,'[1]1_inventory_totals'!$G$8:$G$10000,"="&amp;R70)+SUMIFS('[1]1_inventory_totals'!$Q$8:$Q$10000,'[1]1_inventory_totals'!$C$8:$C$10000,I70,'[1]1_inventory_totals'!$F$8:$F$10000,"="&amp;Q70,'[1]1_inventory_totals'!$G$8:$G$10000,"="&amp;R70)+SUMIFS('[1]1_inventory_totals'!$R$8:$R$10000,'[1]1_inventory_totals'!$C$8:$C$10000,I70,'[1]1_inventory_totals'!$F$8:$F$10000,"="&amp;Q70,'[1]1_inventory_totals'!$G$8:$G$10000,"="&amp;R70))+(SUMIFS('[1]1_inventory_totals'!$J$8:$J$10000,'[1]1_inventory_totals'!$C$8:$C$10000,I70,'[1]1_inventory_totals'!$F$8:$F$10000,"="&amp;Q70,'[1]1_inventory_totals'!$G$8:$G$10000,"="&amp;R70)+SUMIFS('[1]1_inventory_totals'!$K$8:$K$10000,'[1]1_inventory_totals'!$C$8:$C$10000,I70,'[1]1_inventory_totals'!$F$8:$F$10000,"="&amp;Q70,'[1]1_inventory_totals'!$G$8:$G$10000,"="&amp;R70)+SUMIFS('[1]1_inventory_totals'!$L$8:$L$10000,'[1]1_inventory_totals'!$C$8:$C$10000,I70,'[1]1_inventory_totals'!$F$8:$F$10000,"="&amp;Q70,'[1]1_inventory_totals'!$G$8:$G$10000,"="&amp;R70)+SUMIFS('[1]1_inventory_totals'!$M$8:$M$10000,'[1]1_inventory_totals'!$C$8:$C$10000,I70,'[1]1_inventory_totals'!$F$8:$F$10000,"="&amp;Q70,'[1]1_inventory_totals'!$G$8:$G$10000,"="&amp;R70)+SUMIFS('[1]1_inventory_totals'!$O$8:$O$10000,'[1]1_inventory_totals'!$C$8:$C$10000,I70,'[1]1_inventory_totals'!$F$8:$F$10000,"="&amp;Q70,'[1]1_inventory_totals'!$G$8:$G$10000,"="&amp;R70)+SUMIFS('[1]1_inventory_totals'!$S$8:$S$10000,'[1]1_inventory_totals'!$C$8:$C$10000,I70,'[1]1_inventory_totals'!$F$8:$F$10000,"="&amp;Q70,'[1]1_inventory_totals'!$G$8:$G$10000,"="&amp;R70)))</f>
        <v/>
      </c>
      <c r="AT70" s="1281" t="str">
        <f>IF(M70="","",(SUMIFS('[1]1_group_totals'!$K$8:$K$10000,'[1]1_group_totals'!$C$8:$C$10000,I70,'[1]1_group_totals'!$F$8:$F$10000,pb_location_group_id,'[1]1_group_totals'!$G$8:$G$10000,pb_location_id,'[1]1_group_totals'!$H$8:$H$10000,"="&amp;Q70,'[1]1_group_totals'!$I$8:$I$10000,"="&amp;R70)+SUMIFS('[1]1_group_totals'!$N$8:$N$10000,'[1]1_group_totals'!$C$8:$C$10000,I70,'[1]1_group_totals'!$F$8:$F$10000,pb_location_group_id,'[1]1_group_totals'!$G$8:$G$10000,pb_location_id,'[1]1_group_totals'!$H$8:$H$10000,"="&amp;Q70,'[1]1_group_totals'!$I$8:$I$10000,"="&amp;R70)+SUMIFS('[1]1_group_totals'!$P$8:$P$10000,'[1]1_group_totals'!$C$8:$C$10000,I70,'[1]1_group_totals'!$F$8:$F$10000,pb_location_group_id,'[1]1_group_totals'!$G$8:$G$10000,pb_location_id,'[1]1_group_totals'!$H$8:$H$10000,"="&amp;Q70,'[1]1_group_totals'!$I$8:$I$10000,"="&amp;R70)+SUMIFS('[1]1_group_totals'!$Q$8:$Q$10000,'[1]1_group_totals'!$C$8:$C$10000,I70,'[1]1_group_totals'!$F$8:$F$10000,pb_location_group_id,'[1]1_group_totals'!$G$8:$G$10000,pb_location_id,'[1]1_group_totals'!$H$8:$H$10000,"="&amp;Q70,'[1]1_group_totals'!$I$8:$I$10000,"="&amp;R70))+(SUMIFS('[1]1_group_totals'!$L$8:$L$10000,'[1]1_group_totals'!$C$8:$C$10000,I70,'[1]1_group_totals'!$F$8:$F$10000,pb_location_group_id,'[1]1_group_totals'!$G$8:$G$10000,pb_location_id,'[1]1_group_totals'!$H$8:$H$10000,"="&amp;Q70,'[1]1_group_totals'!$I$8:$I$10000,"="&amp;R70)+SUMIFS('[1]1_group_totals'!$M$8:$M$10000,'[1]1_group_totals'!$C$8:$C$10000,I70,'[1]1_group_totals'!$F$8:$F$10000,pb_location_group_id,'[1]1_group_totals'!$G$8:$G$10000,pb_location_id,'[1]1_group_totals'!$H$8:$H$10000,"="&amp;Q70,'[1]1_group_totals'!$I$8:$I$10000,"="&amp;R70)+SUMIFS('[1]1_group_totals'!$O$8:$O$10000,'[1]1_group_totals'!$C$8:$C$10000,I70,'[1]1_group_totals'!$F$8:$F$10000,pb_location_group_id,'[1]1_group_totals'!$G$8:$G$10000,pb_location_id,'[1]1_group_totals'!$H$8:$H$10000,"="&amp;Q70,'[1]1_group_totals'!$I$8:$I$10000,"="&amp;R70)+SUMIFS('[1]1_group_totals'!$R$8:$R$10000,'[1]1_group_totals'!$C$8:$C$10000,I70,'[1]1_group_totals'!$F$8:$F$10000,pb_location_group_id,'[1]1_group_totals'!$G$8:$G$10000,pb_location_id,'[1]1_group_totals'!$H$8:$H$10000,"="&amp;Q70,'[1]1_group_totals'!$I$8:$I$10000,"="&amp;R70)))</f>
        <v/>
      </c>
    </row>
    <row r="71" spans="1:46" ht="27" hidden="1" customHeight="1">
      <c r="A71" s="923"/>
      <c r="B71" s="1028"/>
      <c r="C71" s="950"/>
      <c r="D71" s="950"/>
      <c r="E71" s="950"/>
      <c r="F71" s="1029"/>
      <c r="G71" s="941"/>
      <c r="H71" s="1070"/>
      <c r="I71" s="1610" t="str">
        <f t="shared" si="8"/>
        <v/>
      </c>
      <c r="J71" s="1631" t="str">
        <f t="shared" si="25"/>
        <v/>
      </c>
      <c r="K71" s="1628"/>
      <c r="L71" s="1632"/>
      <c r="M71" s="1069"/>
      <c r="N71" s="1044"/>
      <c r="O71" s="1044"/>
      <c r="P71" s="1046"/>
      <c r="Q71" s="1047"/>
      <c r="R71" s="1053"/>
      <c r="S71" s="1634" t="str">
        <f t="shared" ref="S71" si="206">IF(M71="","",pb_currency_symbol)</f>
        <v/>
      </c>
      <c r="T71" s="1068"/>
      <c r="U71" s="1636" t="str">
        <f t="shared" si="10"/>
        <v/>
      </c>
      <c r="V71" s="1634" t="str">
        <f t="shared" ref="V71" si="207">IF(W71=0,"",pb_currency_symbol)</f>
        <v/>
      </c>
      <c r="W71" s="1054"/>
      <c r="X71" s="1634" t="str">
        <f t="shared" ref="X71" si="208">IF(M71="","",pb_currency_symbol)</f>
        <v/>
      </c>
      <c r="Y71" s="1638" t="str">
        <f t="shared" si="24"/>
        <v/>
      </c>
      <c r="Z71" s="1062"/>
      <c r="AA71" s="1639" t="str" cm="1">
        <f t="array" ref="AA71">IF(M71="","",IF(P71=AL71,1,Slookup(MID(AL71,1,3)*1,UomConversion!$D$8:$J$500,5,UomConversion!$E$8:$E$500,MID(P71,1,3)*1,UomConversion!$J$8:$J$500,1)))</f>
        <v/>
      </c>
      <c r="AB71" s="1640" t="str">
        <f t="shared" si="13"/>
        <v/>
      </c>
      <c r="AC71" s="1641" t="str">
        <f t="shared" si="14"/>
        <v/>
      </c>
      <c r="AD71" s="1642" t="str">
        <f t="shared" si="15"/>
        <v/>
      </c>
      <c r="AE71" s="1643" t="str">
        <f t="shared" si="16"/>
        <v/>
      </c>
      <c r="AF71" s="1640" t="str">
        <f>IF(I71="","",IF(ISNA(MATCH(I71,IF(pb_location_id=1,'[1]1_inventory_totals'!$C$8:$C$10000,IF(pb_location_id=2,'[1]2_inventory_totals'!$C$8:$C$10000,"")),0)),0,IF(AS71&gt;0,1,0)))</f>
        <v/>
      </c>
      <c r="AG71" s="1640" t="str">
        <f>IF(M71="","",IF(pb_location_id=1,SUMIFS('[1]1_inventory_total_details'!$J$8:$J$10000,'[1]1_inventory_total_details'!$C$8:$C$10000,I71,'[1]1_inventory_total_details'!$F$8:$F$10000,pb_location_id,'[1]1_inventory_total_details'!$G$8:$G$10000,"="&amp;Q71,'[1]1_inventory_total_details'!$H$8:$H$10000,"="&amp;R71,'[1]1_inventory_total_details'!$I$8:$I$10000,"="&amp;pb_date)+SUMIFS('[1]1_inventory_total_details'!$M$8:$M$10000,'[1]1_inventory_total_details'!$C$8:$C$10000,I71,'[1]1_inventory_total_details'!$F$8:$F$10000,pb_location_id,'[1]1_inventory_total_details'!$G$8:$G$10000,"="&amp;Q71,'[1]1_inventory_total_details'!$H$8:$H$10000,"="&amp;R71,'[1]1_inventory_total_details'!$I$8:$I$10000,"="&amp;pb_date)+SUMIFS('[1]1_inventory_total_details'!$K$8:$K$10000,'[1]1_inventory_total_details'!$C$8:$C$10000,I71,'[1]1_inventory_total_details'!$F$8:$F$10000,pb_location_id,'[1]1_inventory_total_details'!$G$8:$G$10000,"="&amp;Q71,'[1]1_inventory_total_details'!$H$8:$H$10000,"="&amp;R71,'[1]1_inventory_total_details'!$I$8:$I$10000,"="&amp;pb_date)+SUMIFS('[1]1_inventory_total_details'!$L$8:$L$10000,'[1]1_inventory_total_details'!$C$8:$C$10000,I71,'[1]1_inventory_total_details'!$F$8:$F$10000,pb_location_id,'[1]1_inventory_total_details'!$G$8:$G$10000,"="&amp;Q71,'[1]1_inventory_total_details'!$H$8:$H$10000,"="&amp;R71,'[1]1_inventory_total_details'!$I$8:$I$10000,"="&amp;pb_date),SUMIFS('[1]2_inventory_total_details'!$J$8:$J$10000,'[1]2_inventory_total_details'!$C$8:$C$10000,I71,'[1]1_inventory_total_details'!$F$8:$F$10000,pb_location_id,'[1]2_inventory_total_details'!$G$8:$G$10000,"="&amp;Q71,'[1]2_inventory_total_details'!$H$8:$H$10000,"="&amp;R71,'[1]2_inventory_total_details'!$I$8:$I$10000,"="&amp;pb_date)+SUMIFS('[1]2_inventory_total_details'!$M$8:$M$10000,'[1]2_inventory_total_details'!$C$8:$C$10000,I71,'[1]2_inventory_total_details'!$F$8:$F$10000,pb_location_id,'[1]2_inventory_total_details'!$G$8:$G$10000,"="&amp;Q71,'[1]2_inventory_total_details'!$H$8:$H$10000,"="&amp;R71,'[1]2_inventory_total_details'!$I$8:$I$10000,"="&amp;pb_date)+SUMIFS('[1]2_inventory_total_details'!$K$8:$K$10000,'[1]2_inventory_total_details'!$C$8:$C$10000,I71,'[1]2_inventory_total_details'!$F$8:$F$10000,pb_location_id,'[1]2_inventory_total_details'!$G$8:$G$10000,"="&amp;Q71,'[1]2_inventory_total_details'!$H$8:$H$10000,"="&amp;R71,'[1]2_inventory_total_details'!$I$8:$I$10000,"="&amp;pb_date)+SUMIFS('[1]2_inventory_total_details'!$L$8:$L$10000,'[1]2_inventory_total_details'!$C$8:$C$10000,I71,'[1]2_inventory_total_details'!$F$8:$F$10000,pb_location_id,'[1]2_inventory_total_details'!$G$8:$G$10000,"="&amp;Q71,'[1]2_inventory_total_details'!$H$8:$H$10000,"="&amp;R71,'[1]2_inventory_total_details'!$I$8:$I$10000,"="&amp;pb_date)))</f>
        <v/>
      </c>
      <c r="AH71" s="1640" t="str">
        <f>IF(M71="","",IF(ISNA(MATCH(I71,'[1]1_group_totals'!$C$8:$C$10000)),0,IF(AT71&gt;0,1,0)))</f>
        <v/>
      </c>
      <c r="AI71" s="1640" t="str">
        <f>IF(M71="","",(SUMIFS('[1]1_group_total_details'!$I$8:$I$10000,'[1]1_group_total_details'!$C$8:$C$10000,I71,'[1]1_group_total_details'!$F$8:$F$10000,pb_location_group_id,'[1]1_group_total_details'!$G$8:$G$10000,pb_location_id,'[1]1_group_total_details'!$H$8:$H$10000,"="&amp;pb_date)+SUMIFS('[1]1_group_total_details'!$L$8:$L$10000,'[1]1_group_total_details'!$C$8:$C$10000,I71,'[1]1_group_total_details'!$F$8:$F$10000,pb_location_group_id,'[1]1_group_total_details'!$G$8:$G$10000,pb_location_id,'[1]1_group_total_details'!$H$8:$H$10000,"="&amp;pb_date)+SUMIFS('[1]1_group_total_details'!$N$8:$N$10000,'[1]1_group_total_details'!$C$8:$C$10000,I71,'[1]1_group_total_details'!$F$8:$F$10000,pb_location_group_id,'[1]1_group_total_details'!$G$8:$G$10000,pb_location_id,'[1]1_group_total_details'!$H$8:$H$10000,"="&amp;pb_date)+SUMIFS('[1]1_group_total_details'!$O$8:$O$10000,'[1]1_group_total_details'!$C$8:$C$10000,I71,'[1]1_group_total_details'!$F$8:$F$10000,pb_location_group_id,'[1]1_group_total_details'!$G$8:$G$10000,pb_location_id,'[1]1_group_total_details'!$H$8:$H$10000,"="&amp;pb_date))+(SUMIFS('[1]1_group_total_details'!$J$8:$J$10000,'[1]1_group_total_details'!$C$8:$C$10000,I71,'[1]1_group_total_details'!$F$8:$F$10000,pb_location_group_id,'[1]1_group_total_details'!$G$8:$G$10000,pb_location_id,'[1]1_group_total_details'!$H$8:$H$10000,"="&amp;pb_date)+SUMIFS('[1]1_group_total_details'!$K$8:$K$10000,'[1]1_group_total_details'!$C$8:$C$10000,I71,'[1]1_group_total_details'!$F$8:$F$10000,pb_location_group_id,'[1]1_group_total_details'!$G$8:$G$10000,pb_location_id,'[1]1_group_total_details'!$H$8:$H$10000,"="&amp;pb_date)+SUMIFS('[1]1_group_total_details'!$M$8:$M$10000,'[1]1_group_total_details'!$C$8:$C$10000,I71,'[1]1_group_total_details'!$F$8:$F$10000,pb_location_group_id,'[1]1_group_total_details'!$G$8:$G$10000,pb_location_id,'[1]1_group_total_details'!$H$8:$H$10000,"="&amp;pb_date)+SUMIFS('[1]1_group_total_details'!$P$8:$P$10000,'[1]1_group_total_details'!$C$8:$C$10000,I71,'[1]1_group_total_details'!$F$8:$F$10000,pb_location_group_id,'[1]1_group_total_details'!$G$8:$G$10000,pb_location_id,'[1]1_group_total_details'!$H$8:$H$10000,"="&amp;pb_date)))</f>
        <v/>
      </c>
      <c r="AJ71" s="1640" t="str">
        <f>IF(M71="","",IF(AK71=0,0,(SUMIFS('[1]1_group_total_details'!$I$8:$I$10000,'[1]1_group_total_details'!$C$8:$C$10000,I71,'[1]1_group_total_details'!$F$8:$F$10000,pb_location_group_id,'[1]1_group_total_details'!$G$8:$G$10000,pb_location_id,'[1]1_group_total_details'!$H$8:$H$10000,"&lt;="&amp;pb_date)+SUMIFS('[1]1_group_total_details'!$L$8:$L$10000,'[1]1_group_total_details'!$C$8:$C$10000,I71,'[1]1_group_total_details'!$F$8:$F$10000,pb_location_group_id,'[1]1_group_total_details'!$G$8:$G$10000,pb_location_id,'[1]1_group_total_details'!$H$8:$H$10000,"&lt;="&amp;pb_date)+SUMIFS('[1]1_group_total_details'!$N$8:$N$10000,'[1]1_group_total_details'!$C$8:$C$10000,I71,'[1]1_group_total_details'!$F$8:$F$10000,pb_location_group_id,'[1]1_group_total_details'!$G$8:$G$10000,pb_location_id,'[1]1_group_total_details'!$H$8:$H$10000,"&lt;="&amp;pb_date)+SUMIFS('[1]1_group_total_details'!$O$8:$O$10000,'[1]1_group_total_details'!$C$8:$C$10000,I71,'[1]1_group_total_details'!$F$8:$F$10000,pb_location_group_id,'[1]1_group_total_details'!$G$8:$G$10000,pb_location_id,'[1]1_group_total_details'!$H$8:$H$10000,"&lt;="&amp;pb_date))-(SUMIFS('[1]1_group_total_details'!$J$8:$J$10000,'[1]1_group_total_details'!$C$8:$C$10000,I71,'[1]1_group_total_details'!$F$8:$F$10000,pb_location_group_id,'[1]1_group_total_details'!$G$8:$G$10000,pb_location_id,'[1]1_group_total_details'!$H$8:$H$10000,"&lt;="&amp;pb_date)+SUMIFS('[1]1_group_total_details'!$K$8:$K$10000,'[1]1_group_total_details'!$C$8:$C$10000,I71,'[1]1_group_total_details'!$F$8:$F$10000,pb_location_group_id,'[1]1_group_total_details'!$G$8:$G$10000,invoice_location_id,'[1]1_group_total_details'!$H$8:$H$10000,"&lt;="&amp;pb_date)+SUMIFS('[1]1_group_total_details'!$M$8:$M$10000,'[1]1_group_total_details'!$C$8:$C$10000,I71,'[1]1_group_total_details'!$F$8:$F$10000,pb_location_group_id,'[1]1_group_total_details'!$G$8:$G$10000,pb_location_id,'[1]1_group_total_details'!$H$8:$H$10000,"&lt;="&amp;pb_date)+SUMIFS('[1]1_group_total_details'!$P$8:$P$10000,'[1]1_group_total_details'!$C$8:$C$10000,I71,'[1]1_group_total_details'!$F$8:$F$10000,pb_location_group_id,'[1]1_group_total_details'!$G$8:$G$10000,pb_location_id,'[1]1_group_total_details'!$H$8:$H$10000,"&lt;="&amp;pb_date))))</f>
        <v/>
      </c>
      <c r="AK71" s="1640" t="str">
        <f>IF(M71="","",SUMIFS('[1]1_group_totals'!$J$8:$J$10000,'[1]1_group_totals'!$C$8:$C$10000,I71,'[1]1_group_totals'!$F$8:$F$10000,pb_location_group_id,'[1]1_group_totals'!$G$8:$G$10000,pb_location_id,'[1]1_group_totals'!$H$8:$H$10000,"="&amp;Q71,'[1]1_group_totals'!$I$8:$I$10000,"="&amp;R71))</f>
        <v/>
      </c>
      <c r="AL71" s="1644" t="str">
        <f t="shared" si="17"/>
        <v/>
      </c>
      <c r="AM71" s="1644" t="str">
        <f>IF(OR(ISNA(MATCH(MID(AL71,1,3)*1,UomConversion!$D$8:$D$500,0)),M71=""),"",IF(AQ71="","",AQ71))</f>
        <v/>
      </c>
      <c r="AN71" s="1644" t="str">
        <f>IF(AND(AO71&gt;0,COUNTIFS(UomConversion!$D$8:$D$500,MID(AL71,1,3)*1,UomConversion!$J$8:$J$500,1)&gt;1),TEXT(AO71,"000")&amp;"."&amp;VLOOKUP(AO71,uom_list,5,FALSE),"")</f>
        <v/>
      </c>
      <c r="AO71" s="1640" t="str">
        <f t="shared" si="18"/>
        <v/>
      </c>
      <c r="AP71" s="1645" t="str">
        <f t="shared" si="19"/>
        <v/>
      </c>
      <c r="AQ71" s="491" t="str">
        <f t="shared" si="20"/>
        <v/>
      </c>
      <c r="AR71" s="1281" t="str" cm="1">
        <f t="array" ref="AR71">IF(M71="","",IF(ISNA(Slookup(MID(AL71,1,3)*1,UomConversion!$D$8:$J$500,2,UomConversion!$I$8:$I$500,1,UomConversion!$J$8:$J$500,1)),"",Slookup(MID(AL71,1,3)*1,UomConversion!$D$8:$J$500,2,UomConversion!$I$8:$I$500,1,UomConversion!$J$8:$J$500,1)))</f>
        <v/>
      </c>
      <c r="AS71" s="663" t="str">
        <f>IF(M71="","",(SUMIFS('[1]1_inventory_totals'!$I$8:$I$10000,'[1]1_inventory_totals'!$C$8:$C$10000,I71,'[1]1_inventory_totals'!$F$8:$F$10000,"="&amp;Q71,'[1]1_inventory_totals'!$G$8:$G$10000,"="&amp;R71)+SUMIFS('[1]1_inventory_totals'!$N$8:$N$10000,'[1]1_inventory_totals'!$C$8:$C$10000,I71,'[1]1_inventory_totals'!$F$8:$F$10000,"="&amp;Q71,'[1]1_inventory_totals'!$G$8:$G$10000,"="&amp;R71)+SUMIFS('[1]1_inventory_totals'!$P$8:$P$10000,'[1]1_inventory_totals'!$C$8:$C$10000,I71,'[1]1_inventory_totals'!$F$8:$F$10000,"="&amp;Q71,'[1]1_inventory_totals'!$G$8:$G$10000,"="&amp;R71)+SUMIFS('[1]1_inventory_totals'!$Q$8:$Q$10000,'[1]1_inventory_totals'!$C$8:$C$10000,I71,'[1]1_inventory_totals'!$F$8:$F$10000,"="&amp;Q71,'[1]1_inventory_totals'!$G$8:$G$10000,"="&amp;R71)+SUMIFS('[1]1_inventory_totals'!$R$8:$R$10000,'[1]1_inventory_totals'!$C$8:$C$10000,I71,'[1]1_inventory_totals'!$F$8:$F$10000,"="&amp;Q71,'[1]1_inventory_totals'!$G$8:$G$10000,"="&amp;R71))+(SUMIFS('[1]1_inventory_totals'!$J$8:$J$10000,'[1]1_inventory_totals'!$C$8:$C$10000,I71,'[1]1_inventory_totals'!$F$8:$F$10000,"="&amp;Q71,'[1]1_inventory_totals'!$G$8:$G$10000,"="&amp;R71)+SUMIFS('[1]1_inventory_totals'!$K$8:$K$10000,'[1]1_inventory_totals'!$C$8:$C$10000,I71,'[1]1_inventory_totals'!$F$8:$F$10000,"="&amp;Q71,'[1]1_inventory_totals'!$G$8:$G$10000,"="&amp;R71)+SUMIFS('[1]1_inventory_totals'!$L$8:$L$10000,'[1]1_inventory_totals'!$C$8:$C$10000,I71,'[1]1_inventory_totals'!$F$8:$F$10000,"="&amp;Q71,'[1]1_inventory_totals'!$G$8:$G$10000,"="&amp;R71)+SUMIFS('[1]1_inventory_totals'!$M$8:$M$10000,'[1]1_inventory_totals'!$C$8:$C$10000,I71,'[1]1_inventory_totals'!$F$8:$F$10000,"="&amp;Q71,'[1]1_inventory_totals'!$G$8:$G$10000,"="&amp;R71)+SUMIFS('[1]1_inventory_totals'!$O$8:$O$10000,'[1]1_inventory_totals'!$C$8:$C$10000,I71,'[1]1_inventory_totals'!$F$8:$F$10000,"="&amp;Q71,'[1]1_inventory_totals'!$G$8:$G$10000,"="&amp;R71)+SUMIFS('[1]1_inventory_totals'!$S$8:$S$10000,'[1]1_inventory_totals'!$C$8:$C$10000,I71,'[1]1_inventory_totals'!$F$8:$F$10000,"="&amp;Q71,'[1]1_inventory_totals'!$G$8:$G$10000,"="&amp;R71)))</f>
        <v/>
      </c>
      <c r="AT71" s="1281" t="str">
        <f>IF(M71="","",(SUMIFS('[1]1_group_totals'!$K$8:$K$10000,'[1]1_group_totals'!$C$8:$C$10000,I71,'[1]1_group_totals'!$F$8:$F$10000,pb_location_group_id,'[1]1_group_totals'!$G$8:$G$10000,pb_location_id,'[1]1_group_totals'!$H$8:$H$10000,"="&amp;Q71,'[1]1_group_totals'!$I$8:$I$10000,"="&amp;R71)+SUMIFS('[1]1_group_totals'!$N$8:$N$10000,'[1]1_group_totals'!$C$8:$C$10000,I71,'[1]1_group_totals'!$F$8:$F$10000,pb_location_group_id,'[1]1_group_totals'!$G$8:$G$10000,pb_location_id,'[1]1_group_totals'!$H$8:$H$10000,"="&amp;Q71,'[1]1_group_totals'!$I$8:$I$10000,"="&amp;R71)+SUMIFS('[1]1_group_totals'!$P$8:$P$10000,'[1]1_group_totals'!$C$8:$C$10000,I71,'[1]1_group_totals'!$F$8:$F$10000,pb_location_group_id,'[1]1_group_totals'!$G$8:$G$10000,pb_location_id,'[1]1_group_totals'!$H$8:$H$10000,"="&amp;Q71,'[1]1_group_totals'!$I$8:$I$10000,"="&amp;R71)+SUMIFS('[1]1_group_totals'!$Q$8:$Q$10000,'[1]1_group_totals'!$C$8:$C$10000,I71,'[1]1_group_totals'!$F$8:$F$10000,pb_location_group_id,'[1]1_group_totals'!$G$8:$G$10000,pb_location_id,'[1]1_group_totals'!$H$8:$H$10000,"="&amp;Q71,'[1]1_group_totals'!$I$8:$I$10000,"="&amp;R71))+(SUMIFS('[1]1_group_totals'!$L$8:$L$10000,'[1]1_group_totals'!$C$8:$C$10000,I71,'[1]1_group_totals'!$F$8:$F$10000,pb_location_group_id,'[1]1_group_totals'!$G$8:$G$10000,pb_location_id,'[1]1_group_totals'!$H$8:$H$10000,"="&amp;Q71,'[1]1_group_totals'!$I$8:$I$10000,"="&amp;R71)+SUMIFS('[1]1_group_totals'!$M$8:$M$10000,'[1]1_group_totals'!$C$8:$C$10000,I71,'[1]1_group_totals'!$F$8:$F$10000,pb_location_group_id,'[1]1_group_totals'!$G$8:$G$10000,pb_location_id,'[1]1_group_totals'!$H$8:$H$10000,"="&amp;Q71,'[1]1_group_totals'!$I$8:$I$10000,"="&amp;R71)+SUMIFS('[1]1_group_totals'!$O$8:$O$10000,'[1]1_group_totals'!$C$8:$C$10000,I71,'[1]1_group_totals'!$F$8:$F$10000,pb_location_group_id,'[1]1_group_totals'!$G$8:$G$10000,pb_location_id,'[1]1_group_totals'!$H$8:$H$10000,"="&amp;Q71,'[1]1_group_totals'!$I$8:$I$10000,"="&amp;R71)+SUMIFS('[1]1_group_totals'!$R$8:$R$10000,'[1]1_group_totals'!$C$8:$C$10000,I71,'[1]1_group_totals'!$F$8:$F$10000,pb_location_group_id,'[1]1_group_totals'!$G$8:$G$10000,pb_location_id,'[1]1_group_totals'!$H$8:$H$10000,"="&amp;Q71,'[1]1_group_totals'!$I$8:$I$10000,"="&amp;R71)))</f>
        <v/>
      </c>
    </row>
    <row r="72" spans="1:46" ht="27" hidden="1" customHeight="1">
      <c r="A72" s="923"/>
      <c r="B72" s="1028"/>
      <c r="C72" s="950"/>
      <c r="D72" s="950"/>
      <c r="E72" s="950"/>
      <c r="F72" s="1029"/>
      <c r="G72" s="941"/>
      <c r="H72" s="1070"/>
      <c r="I72" s="1610" t="str">
        <f t="shared" si="8"/>
        <v/>
      </c>
      <c r="J72" s="1631" t="str">
        <f t="shared" si="25"/>
        <v/>
      </c>
      <c r="K72" s="1628"/>
      <c r="L72" s="1632"/>
      <c r="M72" s="1069"/>
      <c r="N72" s="1044"/>
      <c r="O72" s="1044"/>
      <c r="P72" s="1046"/>
      <c r="Q72" s="1047"/>
      <c r="R72" s="1053"/>
      <c r="S72" s="1634" t="str">
        <f t="shared" ref="S72" si="209">IF(M72="","",pb_currency_symbol)</f>
        <v/>
      </c>
      <c r="T72" s="1068"/>
      <c r="U72" s="1636" t="str">
        <f t="shared" si="10"/>
        <v/>
      </c>
      <c r="V72" s="1634" t="str">
        <f t="shared" ref="V72" si="210">IF(W72=0,"",pb_currency_symbol)</f>
        <v/>
      </c>
      <c r="W72" s="1054"/>
      <c r="X72" s="1634" t="str">
        <f t="shared" ref="X72" si="211">IF(M72="","",pb_currency_symbol)</f>
        <v/>
      </c>
      <c r="Y72" s="1638" t="str">
        <f t="shared" si="24"/>
        <v/>
      </c>
      <c r="Z72" s="1062"/>
      <c r="AA72" s="1639" t="str" cm="1">
        <f t="array" ref="AA72">IF(M72="","",IF(P72=AL72,1,Slookup(MID(AL72,1,3)*1,UomConversion!$D$8:$J$500,5,UomConversion!$E$8:$E$500,MID(P72,1,3)*1,UomConversion!$J$8:$J$500,1)))</f>
        <v/>
      </c>
      <c r="AB72" s="1640" t="str">
        <f t="shared" si="13"/>
        <v/>
      </c>
      <c r="AC72" s="1641" t="str">
        <f t="shared" si="14"/>
        <v/>
      </c>
      <c r="AD72" s="1642" t="str">
        <f t="shared" si="15"/>
        <v/>
      </c>
      <c r="AE72" s="1643" t="str">
        <f t="shared" si="16"/>
        <v/>
      </c>
      <c r="AF72" s="1640" t="str">
        <f>IF(I72="","",IF(ISNA(MATCH(I72,IF(pb_location_id=1,'[1]1_inventory_totals'!$C$8:$C$10000,IF(pb_location_id=2,'[1]2_inventory_totals'!$C$8:$C$10000,"")),0)),0,IF(AS72&gt;0,1,0)))</f>
        <v/>
      </c>
      <c r="AG72" s="1640" t="str">
        <f>IF(M72="","",IF(pb_location_id=1,SUMIFS('[1]1_inventory_total_details'!$J$8:$J$10000,'[1]1_inventory_total_details'!$C$8:$C$10000,I72,'[1]1_inventory_total_details'!$F$8:$F$10000,pb_location_id,'[1]1_inventory_total_details'!$G$8:$G$10000,"="&amp;Q72,'[1]1_inventory_total_details'!$H$8:$H$10000,"="&amp;R72,'[1]1_inventory_total_details'!$I$8:$I$10000,"="&amp;pb_date)+SUMIFS('[1]1_inventory_total_details'!$M$8:$M$10000,'[1]1_inventory_total_details'!$C$8:$C$10000,I72,'[1]1_inventory_total_details'!$F$8:$F$10000,pb_location_id,'[1]1_inventory_total_details'!$G$8:$G$10000,"="&amp;Q72,'[1]1_inventory_total_details'!$H$8:$H$10000,"="&amp;R72,'[1]1_inventory_total_details'!$I$8:$I$10000,"="&amp;pb_date)+SUMIFS('[1]1_inventory_total_details'!$K$8:$K$10000,'[1]1_inventory_total_details'!$C$8:$C$10000,I72,'[1]1_inventory_total_details'!$F$8:$F$10000,pb_location_id,'[1]1_inventory_total_details'!$G$8:$G$10000,"="&amp;Q72,'[1]1_inventory_total_details'!$H$8:$H$10000,"="&amp;R72,'[1]1_inventory_total_details'!$I$8:$I$10000,"="&amp;pb_date)+SUMIFS('[1]1_inventory_total_details'!$L$8:$L$10000,'[1]1_inventory_total_details'!$C$8:$C$10000,I72,'[1]1_inventory_total_details'!$F$8:$F$10000,pb_location_id,'[1]1_inventory_total_details'!$G$8:$G$10000,"="&amp;Q72,'[1]1_inventory_total_details'!$H$8:$H$10000,"="&amp;R72,'[1]1_inventory_total_details'!$I$8:$I$10000,"="&amp;pb_date),SUMIFS('[1]2_inventory_total_details'!$J$8:$J$10000,'[1]2_inventory_total_details'!$C$8:$C$10000,I72,'[1]1_inventory_total_details'!$F$8:$F$10000,pb_location_id,'[1]2_inventory_total_details'!$G$8:$G$10000,"="&amp;Q72,'[1]2_inventory_total_details'!$H$8:$H$10000,"="&amp;R72,'[1]2_inventory_total_details'!$I$8:$I$10000,"="&amp;pb_date)+SUMIFS('[1]2_inventory_total_details'!$M$8:$M$10000,'[1]2_inventory_total_details'!$C$8:$C$10000,I72,'[1]2_inventory_total_details'!$F$8:$F$10000,pb_location_id,'[1]2_inventory_total_details'!$G$8:$G$10000,"="&amp;Q72,'[1]2_inventory_total_details'!$H$8:$H$10000,"="&amp;R72,'[1]2_inventory_total_details'!$I$8:$I$10000,"="&amp;pb_date)+SUMIFS('[1]2_inventory_total_details'!$K$8:$K$10000,'[1]2_inventory_total_details'!$C$8:$C$10000,I72,'[1]2_inventory_total_details'!$F$8:$F$10000,pb_location_id,'[1]2_inventory_total_details'!$G$8:$G$10000,"="&amp;Q72,'[1]2_inventory_total_details'!$H$8:$H$10000,"="&amp;R72,'[1]2_inventory_total_details'!$I$8:$I$10000,"="&amp;pb_date)+SUMIFS('[1]2_inventory_total_details'!$L$8:$L$10000,'[1]2_inventory_total_details'!$C$8:$C$10000,I72,'[1]2_inventory_total_details'!$F$8:$F$10000,pb_location_id,'[1]2_inventory_total_details'!$G$8:$G$10000,"="&amp;Q72,'[1]2_inventory_total_details'!$H$8:$H$10000,"="&amp;R72,'[1]2_inventory_total_details'!$I$8:$I$10000,"="&amp;pb_date)))</f>
        <v/>
      </c>
      <c r="AH72" s="1640" t="str">
        <f>IF(M72="","",IF(ISNA(MATCH(I72,'[1]1_group_totals'!$C$8:$C$10000)),0,IF(AT72&gt;0,1,0)))</f>
        <v/>
      </c>
      <c r="AI72" s="1640" t="str">
        <f>IF(M72="","",(SUMIFS('[1]1_group_total_details'!$I$8:$I$10000,'[1]1_group_total_details'!$C$8:$C$10000,I72,'[1]1_group_total_details'!$F$8:$F$10000,pb_location_group_id,'[1]1_group_total_details'!$G$8:$G$10000,pb_location_id,'[1]1_group_total_details'!$H$8:$H$10000,"="&amp;pb_date)+SUMIFS('[1]1_group_total_details'!$L$8:$L$10000,'[1]1_group_total_details'!$C$8:$C$10000,I72,'[1]1_group_total_details'!$F$8:$F$10000,pb_location_group_id,'[1]1_group_total_details'!$G$8:$G$10000,pb_location_id,'[1]1_group_total_details'!$H$8:$H$10000,"="&amp;pb_date)+SUMIFS('[1]1_group_total_details'!$N$8:$N$10000,'[1]1_group_total_details'!$C$8:$C$10000,I72,'[1]1_group_total_details'!$F$8:$F$10000,pb_location_group_id,'[1]1_group_total_details'!$G$8:$G$10000,pb_location_id,'[1]1_group_total_details'!$H$8:$H$10000,"="&amp;pb_date)+SUMIFS('[1]1_group_total_details'!$O$8:$O$10000,'[1]1_group_total_details'!$C$8:$C$10000,I72,'[1]1_group_total_details'!$F$8:$F$10000,pb_location_group_id,'[1]1_group_total_details'!$G$8:$G$10000,pb_location_id,'[1]1_group_total_details'!$H$8:$H$10000,"="&amp;pb_date))+(SUMIFS('[1]1_group_total_details'!$J$8:$J$10000,'[1]1_group_total_details'!$C$8:$C$10000,I72,'[1]1_group_total_details'!$F$8:$F$10000,pb_location_group_id,'[1]1_group_total_details'!$G$8:$G$10000,pb_location_id,'[1]1_group_total_details'!$H$8:$H$10000,"="&amp;pb_date)+SUMIFS('[1]1_group_total_details'!$K$8:$K$10000,'[1]1_group_total_details'!$C$8:$C$10000,I72,'[1]1_group_total_details'!$F$8:$F$10000,pb_location_group_id,'[1]1_group_total_details'!$G$8:$G$10000,pb_location_id,'[1]1_group_total_details'!$H$8:$H$10000,"="&amp;pb_date)+SUMIFS('[1]1_group_total_details'!$M$8:$M$10000,'[1]1_group_total_details'!$C$8:$C$10000,I72,'[1]1_group_total_details'!$F$8:$F$10000,pb_location_group_id,'[1]1_group_total_details'!$G$8:$G$10000,pb_location_id,'[1]1_group_total_details'!$H$8:$H$10000,"="&amp;pb_date)+SUMIFS('[1]1_group_total_details'!$P$8:$P$10000,'[1]1_group_total_details'!$C$8:$C$10000,I72,'[1]1_group_total_details'!$F$8:$F$10000,pb_location_group_id,'[1]1_group_total_details'!$G$8:$G$10000,pb_location_id,'[1]1_group_total_details'!$H$8:$H$10000,"="&amp;pb_date)))</f>
        <v/>
      </c>
      <c r="AJ72" s="1640" t="str">
        <f>IF(M72="","",IF(AK72=0,0,(SUMIFS('[1]1_group_total_details'!$I$8:$I$10000,'[1]1_group_total_details'!$C$8:$C$10000,I72,'[1]1_group_total_details'!$F$8:$F$10000,pb_location_group_id,'[1]1_group_total_details'!$G$8:$G$10000,pb_location_id,'[1]1_group_total_details'!$H$8:$H$10000,"&lt;="&amp;pb_date)+SUMIFS('[1]1_group_total_details'!$L$8:$L$10000,'[1]1_group_total_details'!$C$8:$C$10000,I72,'[1]1_group_total_details'!$F$8:$F$10000,pb_location_group_id,'[1]1_group_total_details'!$G$8:$G$10000,pb_location_id,'[1]1_group_total_details'!$H$8:$H$10000,"&lt;="&amp;pb_date)+SUMIFS('[1]1_group_total_details'!$N$8:$N$10000,'[1]1_group_total_details'!$C$8:$C$10000,I72,'[1]1_group_total_details'!$F$8:$F$10000,pb_location_group_id,'[1]1_group_total_details'!$G$8:$G$10000,pb_location_id,'[1]1_group_total_details'!$H$8:$H$10000,"&lt;="&amp;pb_date)+SUMIFS('[1]1_group_total_details'!$O$8:$O$10000,'[1]1_group_total_details'!$C$8:$C$10000,I72,'[1]1_group_total_details'!$F$8:$F$10000,pb_location_group_id,'[1]1_group_total_details'!$G$8:$G$10000,pb_location_id,'[1]1_group_total_details'!$H$8:$H$10000,"&lt;="&amp;pb_date))-(SUMIFS('[1]1_group_total_details'!$J$8:$J$10000,'[1]1_group_total_details'!$C$8:$C$10000,I72,'[1]1_group_total_details'!$F$8:$F$10000,pb_location_group_id,'[1]1_group_total_details'!$G$8:$G$10000,pb_location_id,'[1]1_group_total_details'!$H$8:$H$10000,"&lt;="&amp;pb_date)+SUMIFS('[1]1_group_total_details'!$K$8:$K$10000,'[1]1_group_total_details'!$C$8:$C$10000,I72,'[1]1_group_total_details'!$F$8:$F$10000,pb_location_group_id,'[1]1_group_total_details'!$G$8:$G$10000,invoice_location_id,'[1]1_group_total_details'!$H$8:$H$10000,"&lt;="&amp;pb_date)+SUMIFS('[1]1_group_total_details'!$M$8:$M$10000,'[1]1_group_total_details'!$C$8:$C$10000,I72,'[1]1_group_total_details'!$F$8:$F$10000,pb_location_group_id,'[1]1_group_total_details'!$G$8:$G$10000,pb_location_id,'[1]1_group_total_details'!$H$8:$H$10000,"&lt;="&amp;pb_date)+SUMIFS('[1]1_group_total_details'!$P$8:$P$10000,'[1]1_group_total_details'!$C$8:$C$10000,I72,'[1]1_group_total_details'!$F$8:$F$10000,pb_location_group_id,'[1]1_group_total_details'!$G$8:$G$10000,pb_location_id,'[1]1_group_total_details'!$H$8:$H$10000,"&lt;="&amp;pb_date))))</f>
        <v/>
      </c>
      <c r="AK72" s="1640" t="str">
        <f>IF(M72="","",SUMIFS('[1]1_group_totals'!$J$8:$J$10000,'[1]1_group_totals'!$C$8:$C$10000,I72,'[1]1_group_totals'!$F$8:$F$10000,pb_location_group_id,'[1]1_group_totals'!$G$8:$G$10000,pb_location_id,'[1]1_group_totals'!$H$8:$H$10000,"="&amp;Q72,'[1]1_group_totals'!$I$8:$I$10000,"="&amp;R72))</f>
        <v/>
      </c>
      <c r="AL72" s="1644" t="str">
        <f t="shared" si="17"/>
        <v/>
      </c>
      <c r="AM72" s="1644" t="str">
        <f>IF(OR(ISNA(MATCH(MID(AL72,1,3)*1,UomConversion!$D$8:$D$500,0)),M72=""),"",IF(AQ72="","",AQ72))</f>
        <v/>
      </c>
      <c r="AN72" s="1644" t="str">
        <f>IF(AND(AO72&gt;0,COUNTIFS(UomConversion!$D$8:$D$500,MID(AL72,1,3)*1,UomConversion!$J$8:$J$500,1)&gt;1),TEXT(AO72,"000")&amp;"."&amp;VLOOKUP(AO72,uom_list,5,FALSE),"")</f>
        <v/>
      </c>
      <c r="AO72" s="1640" t="str">
        <f t="shared" si="18"/>
        <v/>
      </c>
      <c r="AP72" s="1645" t="str">
        <f t="shared" si="19"/>
        <v/>
      </c>
      <c r="AQ72" s="491" t="str">
        <f t="shared" si="20"/>
        <v/>
      </c>
      <c r="AR72" s="1281" t="str" cm="1">
        <f t="array" ref="AR72">IF(M72="","",IF(ISNA(Slookup(MID(AL72,1,3)*1,UomConversion!$D$8:$J$500,2,UomConversion!$I$8:$I$500,1,UomConversion!$J$8:$J$500,1)),"",Slookup(MID(AL72,1,3)*1,UomConversion!$D$8:$J$500,2,UomConversion!$I$8:$I$500,1,UomConversion!$J$8:$J$500,1)))</f>
        <v/>
      </c>
      <c r="AS72" s="663" t="str">
        <f>IF(M72="","",(SUMIFS('[1]1_inventory_totals'!$I$8:$I$10000,'[1]1_inventory_totals'!$C$8:$C$10000,I72,'[1]1_inventory_totals'!$F$8:$F$10000,"="&amp;Q72,'[1]1_inventory_totals'!$G$8:$G$10000,"="&amp;R72)+SUMIFS('[1]1_inventory_totals'!$N$8:$N$10000,'[1]1_inventory_totals'!$C$8:$C$10000,I72,'[1]1_inventory_totals'!$F$8:$F$10000,"="&amp;Q72,'[1]1_inventory_totals'!$G$8:$G$10000,"="&amp;R72)+SUMIFS('[1]1_inventory_totals'!$P$8:$P$10000,'[1]1_inventory_totals'!$C$8:$C$10000,I72,'[1]1_inventory_totals'!$F$8:$F$10000,"="&amp;Q72,'[1]1_inventory_totals'!$G$8:$G$10000,"="&amp;R72)+SUMIFS('[1]1_inventory_totals'!$Q$8:$Q$10000,'[1]1_inventory_totals'!$C$8:$C$10000,I72,'[1]1_inventory_totals'!$F$8:$F$10000,"="&amp;Q72,'[1]1_inventory_totals'!$G$8:$G$10000,"="&amp;R72)+SUMIFS('[1]1_inventory_totals'!$R$8:$R$10000,'[1]1_inventory_totals'!$C$8:$C$10000,I72,'[1]1_inventory_totals'!$F$8:$F$10000,"="&amp;Q72,'[1]1_inventory_totals'!$G$8:$G$10000,"="&amp;R72))+(SUMIFS('[1]1_inventory_totals'!$J$8:$J$10000,'[1]1_inventory_totals'!$C$8:$C$10000,I72,'[1]1_inventory_totals'!$F$8:$F$10000,"="&amp;Q72,'[1]1_inventory_totals'!$G$8:$G$10000,"="&amp;R72)+SUMIFS('[1]1_inventory_totals'!$K$8:$K$10000,'[1]1_inventory_totals'!$C$8:$C$10000,I72,'[1]1_inventory_totals'!$F$8:$F$10000,"="&amp;Q72,'[1]1_inventory_totals'!$G$8:$G$10000,"="&amp;R72)+SUMIFS('[1]1_inventory_totals'!$L$8:$L$10000,'[1]1_inventory_totals'!$C$8:$C$10000,I72,'[1]1_inventory_totals'!$F$8:$F$10000,"="&amp;Q72,'[1]1_inventory_totals'!$G$8:$G$10000,"="&amp;R72)+SUMIFS('[1]1_inventory_totals'!$M$8:$M$10000,'[1]1_inventory_totals'!$C$8:$C$10000,I72,'[1]1_inventory_totals'!$F$8:$F$10000,"="&amp;Q72,'[1]1_inventory_totals'!$G$8:$G$10000,"="&amp;R72)+SUMIFS('[1]1_inventory_totals'!$O$8:$O$10000,'[1]1_inventory_totals'!$C$8:$C$10000,I72,'[1]1_inventory_totals'!$F$8:$F$10000,"="&amp;Q72,'[1]1_inventory_totals'!$G$8:$G$10000,"="&amp;R72)+SUMIFS('[1]1_inventory_totals'!$S$8:$S$10000,'[1]1_inventory_totals'!$C$8:$C$10000,I72,'[1]1_inventory_totals'!$F$8:$F$10000,"="&amp;Q72,'[1]1_inventory_totals'!$G$8:$G$10000,"="&amp;R72)))</f>
        <v/>
      </c>
      <c r="AT72" s="1281" t="str">
        <f>IF(M72="","",(SUMIFS('[1]1_group_totals'!$K$8:$K$10000,'[1]1_group_totals'!$C$8:$C$10000,I72,'[1]1_group_totals'!$F$8:$F$10000,pb_location_group_id,'[1]1_group_totals'!$G$8:$G$10000,pb_location_id,'[1]1_group_totals'!$H$8:$H$10000,"="&amp;Q72,'[1]1_group_totals'!$I$8:$I$10000,"="&amp;R72)+SUMIFS('[1]1_group_totals'!$N$8:$N$10000,'[1]1_group_totals'!$C$8:$C$10000,I72,'[1]1_group_totals'!$F$8:$F$10000,pb_location_group_id,'[1]1_group_totals'!$G$8:$G$10000,pb_location_id,'[1]1_group_totals'!$H$8:$H$10000,"="&amp;Q72,'[1]1_group_totals'!$I$8:$I$10000,"="&amp;R72)+SUMIFS('[1]1_group_totals'!$P$8:$P$10000,'[1]1_group_totals'!$C$8:$C$10000,I72,'[1]1_group_totals'!$F$8:$F$10000,pb_location_group_id,'[1]1_group_totals'!$G$8:$G$10000,pb_location_id,'[1]1_group_totals'!$H$8:$H$10000,"="&amp;Q72,'[1]1_group_totals'!$I$8:$I$10000,"="&amp;R72)+SUMIFS('[1]1_group_totals'!$Q$8:$Q$10000,'[1]1_group_totals'!$C$8:$C$10000,I72,'[1]1_group_totals'!$F$8:$F$10000,pb_location_group_id,'[1]1_group_totals'!$G$8:$G$10000,pb_location_id,'[1]1_group_totals'!$H$8:$H$10000,"="&amp;Q72,'[1]1_group_totals'!$I$8:$I$10000,"="&amp;R72))+(SUMIFS('[1]1_group_totals'!$L$8:$L$10000,'[1]1_group_totals'!$C$8:$C$10000,I72,'[1]1_group_totals'!$F$8:$F$10000,pb_location_group_id,'[1]1_group_totals'!$G$8:$G$10000,pb_location_id,'[1]1_group_totals'!$H$8:$H$10000,"="&amp;Q72,'[1]1_group_totals'!$I$8:$I$10000,"="&amp;R72)+SUMIFS('[1]1_group_totals'!$M$8:$M$10000,'[1]1_group_totals'!$C$8:$C$10000,I72,'[1]1_group_totals'!$F$8:$F$10000,pb_location_group_id,'[1]1_group_totals'!$G$8:$G$10000,pb_location_id,'[1]1_group_totals'!$H$8:$H$10000,"="&amp;Q72,'[1]1_group_totals'!$I$8:$I$10000,"="&amp;R72)+SUMIFS('[1]1_group_totals'!$O$8:$O$10000,'[1]1_group_totals'!$C$8:$C$10000,I72,'[1]1_group_totals'!$F$8:$F$10000,pb_location_group_id,'[1]1_group_totals'!$G$8:$G$10000,pb_location_id,'[1]1_group_totals'!$H$8:$H$10000,"="&amp;Q72,'[1]1_group_totals'!$I$8:$I$10000,"="&amp;R72)+SUMIFS('[1]1_group_totals'!$R$8:$R$10000,'[1]1_group_totals'!$C$8:$C$10000,I72,'[1]1_group_totals'!$F$8:$F$10000,pb_location_group_id,'[1]1_group_totals'!$G$8:$G$10000,pb_location_id,'[1]1_group_totals'!$H$8:$H$10000,"="&amp;Q72,'[1]1_group_totals'!$I$8:$I$10000,"="&amp;R72)))</f>
        <v/>
      </c>
    </row>
    <row r="73" spans="1:46" ht="27" hidden="1" customHeight="1">
      <c r="A73" s="923"/>
      <c r="B73" s="1028"/>
      <c r="C73" s="950"/>
      <c r="D73" s="950"/>
      <c r="E73" s="950"/>
      <c r="F73" s="1029"/>
      <c r="G73" s="941"/>
      <c r="H73" s="1070"/>
      <c r="I73" s="1610" t="str">
        <f t="shared" ref="I73:I87" si="212">IF(M73="","",MID(M73,1,5)*1)</f>
        <v/>
      </c>
      <c r="J73" s="1631" t="str">
        <f t="shared" si="25"/>
        <v/>
      </c>
      <c r="K73" s="1628"/>
      <c r="L73" s="1632"/>
      <c r="M73" s="1069"/>
      <c r="N73" s="1044"/>
      <c r="O73" s="1044"/>
      <c r="P73" s="1046"/>
      <c r="Q73" s="1047"/>
      <c r="R73" s="1053"/>
      <c r="S73" s="1634" t="str">
        <f t="shared" ref="S73" si="213">IF(M73="","",pb_currency_symbol)</f>
        <v/>
      </c>
      <c r="T73" s="1068"/>
      <c r="U73" s="1636" t="str">
        <f t="shared" ref="U73:U87" si="214">IF(M73="","",ROUND(IF(P73=AL73,AD73,IF(P73=AM73,ROUND(AD73/AA73,9),IF(P73=AN73,ROUND(AD73/AB73,9)))),2))</f>
        <v/>
      </c>
      <c r="V73" s="1634" t="str">
        <f t="shared" ref="V73" si="215">IF(W73=0,"",pb_currency_symbol)</f>
        <v/>
      </c>
      <c r="W73" s="1054"/>
      <c r="X73" s="1634" t="str">
        <f t="shared" ref="X73" si="216">IF(M73="","",pb_currency_symbol)</f>
        <v/>
      </c>
      <c r="Y73" s="1638" t="str">
        <f t="shared" ref="Y73:Y87" si="217">IF(M73="","",ROUND(IF(T73&gt;0,(N73)*T73-W73,(N73)*U73-W73),2))</f>
        <v/>
      </c>
      <c r="Z73" s="1062"/>
      <c r="AA73" s="1639" t="str" cm="1">
        <f t="array" ref="AA73">IF(M73="","",IF(P73=AL73,1,Slookup(MID(AL73,1,3)*1,UomConversion!$D$8:$J$500,5,UomConversion!$E$8:$E$500,MID(P73,1,3)*1,UomConversion!$J$8:$J$500,1)))</f>
        <v/>
      </c>
      <c r="AB73" s="1640" t="str">
        <f t="shared" ref="AB73:AB87" si="218">IF(AND(M73="",ISNA(VLOOKUP(I73,product_list,18,FALSE))),"",VLOOKUP(I73,product_list,18,FALSE))</f>
        <v/>
      </c>
      <c r="AC73" s="1641" t="str">
        <f t="shared" ref="AC73:AC87" si="219">IF(M73="","",W73)</f>
        <v/>
      </c>
      <c r="AD73" s="1642" t="str">
        <f t="shared" ref="AD73:AD87" si="220">IF(M73="","",VLOOKUP(I73,product_list,14,FALSE))</f>
        <v/>
      </c>
      <c r="AE73" s="1643" t="str">
        <f t="shared" ref="AE73:AE87" si="221">IF(M73="","",VLOOKUP(I73,product_list,23,FALSE))</f>
        <v/>
      </c>
      <c r="AF73" s="1640" t="str">
        <f>IF(I73="","",IF(ISNA(MATCH(I73,IF(pb_location_id=1,'[1]1_inventory_totals'!$C$8:$C$10000,IF(pb_location_id=2,'[1]2_inventory_totals'!$C$8:$C$10000,"")),0)),0,IF(AS73&gt;0,1,0)))</f>
        <v/>
      </c>
      <c r="AG73" s="1640" t="str">
        <f>IF(M73="","",IF(pb_location_id=1,SUMIFS('[1]1_inventory_total_details'!$J$8:$J$10000,'[1]1_inventory_total_details'!$C$8:$C$10000,I73,'[1]1_inventory_total_details'!$F$8:$F$10000,pb_location_id,'[1]1_inventory_total_details'!$G$8:$G$10000,"="&amp;Q73,'[1]1_inventory_total_details'!$H$8:$H$10000,"="&amp;R73,'[1]1_inventory_total_details'!$I$8:$I$10000,"="&amp;pb_date)+SUMIFS('[1]1_inventory_total_details'!$M$8:$M$10000,'[1]1_inventory_total_details'!$C$8:$C$10000,I73,'[1]1_inventory_total_details'!$F$8:$F$10000,pb_location_id,'[1]1_inventory_total_details'!$G$8:$G$10000,"="&amp;Q73,'[1]1_inventory_total_details'!$H$8:$H$10000,"="&amp;R73,'[1]1_inventory_total_details'!$I$8:$I$10000,"="&amp;pb_date)+SUMIFS('[1]1_inventory_total_details'!$K$8:$K$10000,'[1]1_inventory_total_details'!$C$8:$C$10000,I73,'[1]1_inventory_total_details'!$F$8:$F$10000,pb_location_id,'[1]1_inventory_total_details'!$G$8:$G$10000,"="&amp;Q73,'[1]1_inventory_total_details'!$H$8:$H$10000,"="&amp;R73,'[1]1_inventory_total_details'!$I$8:$I$10000,"="&amp;pb_date)+SUMIFS('[1]1_inventory_total_details'!$L$8:$L$10000,'[1]1_inventory_total_details'!$C$8:$C$10000,I73,'[1]1_inventory_total_details'!$F$8:$F$10000,pb_location_id,'[1]1_inventory_total_details'!$G$8:$G$10000,"="&amp;Q73,'[1]1_inventory_total_details'!$H$8:$H$10000,"="&amp;R73,'[1]1_inventory_total_details'!$I$8:$I$10000,"="&amp;pb_date),SUMIFS('[1]2_inventory_total_details'!$J$8:$J$10000,'[1]2_inventory_total_details'!$C$8:$C$10000,I73,'[1]1_inventory_total_details'!$F$8:$F$10000,pb_location_id,'[1]2_inventory_total_details'!$G$8:$G$10000,"="&amp;Q73,'[1]2_inventory_total_details'!$H$8:$H$10000,"="&amp;R73,'[1]2_inventory_total_details'!$I$8:$I$10000,"="&amp;pb_date)+SUMIFS('[1]2_inventory_total_details'!$M$8:$M$10000,'[1]2_inventory_total_details'!$C$8:$C$10000,I73,'[1]2_inventory_total_details'!$F$8:$F$10000,pb_location_id,'[1]2_inventory_total_details'!$G$8:$G$10000,"="&amp;Q73,'[1]2_inventory_total_details'!$H$8:$H$10000,"="&amp;R73,'[1]2_inventory_total_details'!$I$8:$I$10000,"="&amp;pb_date)+SUMIFS('[1]2_inventory_total_details'!$K$8:$K$10000,'[1]2_inventory_total_details'!$C$8:$C$10000,I73,'[1]2_inventory_total_details'!$F$8:$F$10000,pb_location_id,'[1]2_inventory_total_details'!$G$8:$G$10000,"="&amp;Q73,'[1]2_inventory_total_details'!$H$8:$H$10000,"="&amp;R73,'[1]2_inventory_total_details'!$I$8:$I$10000,"="&amp;pb_date)+SUMIFS('[1]2_inventory_total_details'!$L$8:$L$10000,'[1]2_inventory_total_details'!$C$8:$C$10000,I73,'[1]2_inventory_total_details'!$F$8:$F$10000,pb_location_id,'[1]2_inventory_total_details'!$G$8:$G$10000,"="&amp;Q73,'[1]2_inventory_total_details'!$H$8:$H$10000,"="&amp;R73,'[1]2_inventory_total_details'!$I$8:$I$10000,"="&amp;pb_date)))</f>
        <v/>
      </c>
      <c r="AH73" s="1640" t="str">
        <f>IF(M73="","",IF(ISNA(MATCH(I73,'[1]1_group_totals'!$C$8:$C$10000)),0,IF(AT73&gt;0,1,0)))</f>
        <v/>
      </c>
      <c r="AI73" s="1640" t="str">
        <f>IF(M73="","",(SUMIFS('[1]1_group_total_details'!$I$8:$I$10000,'[1]1_group_total_details'!$C$8:$C$10000,I73,'[1]1_group_total_details'!$F$8:$F$10000,pb_location_group_id,'[1]1_group_total_details'!$G$8:$G$10000,pb_location_id,'[1]1_group_total_details'!$H$8:$H$10000,"="&amp;pb_date)+SUMIFS('[1]1_group_total_details'!$L$8:$L$10000,'[1]1_group_total_details'!$C$8:$C$10000,I73,'[1]1_group_total_details'!$F$8:$F$10000,pb_location_group_id,'[1]1_group_total_details'!$G$8:$G$10000,pb_location_id,'[1]1_group_total_details'!$H$8:$H$10000,"="&amp;pb_date)+SUMIFS('[1]1_group_total_details'!$N$8:$N$10000,'[1]1_group_total_details'!$C$8:$C$10000,I73,'[1]1_group_total_details'!$F$8:$F$10000,pb_location_group_id,'[1]1_group_total_details'!$G$8:$G$10000,pb_location_id,'[1]1_group_total_details'!$H$8:$H$10000,"="&amp;pb_date)+SUMIFS('[1]1_group_total_details'!$O$8:$O$10000,'[1]1_group_total_details'!$C$8:$C$10000,I73,'[1]1_group_total_details'!$F$8:$F$10000,pb_location_group_id,'[1]1_group_total_details'!$G$8:$G$10000,pb_location_id,'[1]1_group_total_details'!$H$8:$H$10000,"="&amp;pb_date))+(SUMIFS('[1]1_group_total_details'!$J$8:$J$10000,'[1]1_group_total_details'!$C$8:$C$10000,I73,'[1]1_group_total_details'!$F$8:$F$10000,pb_location_group_id,'[1]1_group_total_details'!$G$8:$G$10000,pb_location_id,'[1]1_group_total_details'!$H$8:$H$10000,"="&amp;pb_date)+SUMIFS('[1]1_group_total_details'!$K$8:$K$10000,'[1]1_group_total_details'!$C$8:$C$10000,I73,'[1]1_group_total_details'!$F$8:$F$10000,pb_location_group_id,'[1]1_group_total_details'!$G$8:$G$10000,pb_location_id,'[1]1_group_total_details'!$H$8:$H$10000,"="&amp;pb_date)+SUMIFS('[1]1_group_total_details'!$M$8:$M$10000,'[1]1_group_total_details'!$C$8:$C$10000,I73,'[1]1_group_total_details'!$F$8:$F$10000,pb_location_group_id,'[1]1_group_total_details'!$G$8:$G$10000,pb_location_id,'[1]1_group_total_details'!$H$8:$H$10000,"="&amp;pb_date)+SUMIFS('[1]1_group_total_details'!$P$8:$P$10000,'[1]1_group_total_details'!$C$8:$C$10000,I73,'[1]1_group_total_details'!$F$8:$F$10000,pb_location_group_id,'[1]1_group_total_details'!$G$8:$G$10000,pb_location_id,'[1]1_group_total_details'!$H$8:$H$10000,"="&amp;pb_date)))</f>
        <v/>
      </c>
      <c r="AJ73" s="1640" t="str">
        <f>IF(M73="","",IF(AK73=0,0,(SUMIFS('[1]1_group_total_details'!$I$8:$I$10000,'[1]1_group_total_details'!$C$8:$C$10000,I73,'[1]1_group_total_details'!$F$8:$F$10000,pb_location_group_id,'[1]1_group_total_details'!$G$8:$G$10000,pb_location_id,'[1]1_group_total_details'!$H$8:$H$10000,"&lt;="&amp;pb_date)+SUMIFS('[1]1_group_total_details'!$L$8:$L$10000,'[1]1_group_total_details'!$C$8:$C$10000,I73,'[1]1_group_total_details'!$F$8:$F$10000,pb_location_group_id,'[1]1_group_total_details'!$G$8:$G$10000,pb_location_id,'[1]1_group_total_details'!$H$8:$H$10000,"&lt;="&amp;pb_date)+SUMIFS('[1]1_group_total_details'!$N$8:$N$10000,'[1]1_group_total_details'!$C$8:$C$10000,I73,'[1]1_group_total_details'!$F$8:$F$10000,pb_location_group_id,'[1]1_group_total_details'!$G$8:$G$10000,pb_location_id,'[1]1_group_total_details'!$H$8:$H$10000,"&lt;="&amp;pb_date)+SUMIFS('[1]1_group_total_details'!$O$8:$O$10000,'[1]1_group_total_details'!$C$8:$C$10000,I73,'[1]1_group_total_details'!$F$8:$F$10000,pb_location_group_id,'[1]1_group_total_details'!$G$8:$G$10000,pb_location_id,'[1]1_group_total_details'!$H$8:$H$10000,"&lt;="&amp;pb_date))-(SUMIFS('[1]1_group_total_details'!$J$8:$J$10000,'[1]1_group_total_details'!$C$8:$C$10000,I73,'[1]1_group_total_details'!$F$8:$F$10000,pb_location_group_id,'[1]1_group_total_details'!$G$8:$G$10000,pb_location_id,'[1]1_group_total_details'!$H$8:$H$10000,"&lt;="&amp;pb_date)+SUMIFS('[1]1_group_total_details'!$K$8:$K$10000,'[1]1_group_total_details'!$C$8:$C$10000,I73,'[1]1_group_total_details'!$F$8:$F$10000,pb_location_group_id,'[1]1_group_total_details'!$G$8:$G$10000,invoice_location_id,'[1]1_group_total_details'!$H$8:$H$10000,"&lt;="&amp;pb_date)+SUMIFS('[1]1_group_total_details'!$M$8:$M$10000,'[1]1_group_total_details'!$C$8:$C$10000,I73,'[1]1_group_total_details'!$F$8:$F$10000,pb_location_group_id,'[1]1_group_total_details'!$G$8:$G$10000,pb_location_id,'[1]1_group_total_details'!$H$8:$H$10000,"&lt;="&amp;pb_date)+SUMIFS('[1]1_group_total_details'!$P$8:$P$10000,'[1]1_group_total_details'!$C$8:$C$10000,I73,'[1]1_group_total_details'!$F$8:$F$10000,pb_location_group_id,'[1]1_group_total_details'!$G$8:$G$10000,pb_location_id,'[1]1_group_total_details'!$H$8:$H$10000,"&lt;="&amp;pb_date))))</f>
        <v/>
      </c>
      <c r="AK73" s="1640" t="str">
        <f>IF(M73="","",SUMIFS('[1]1_group_totals'!$J$8:$J$10000,'[1]1_group_totals'!$C$8:$C$10000,I73,'[1]1_group_totals'!$F$8:$F$10000,pb_location_group_id,'[1]1_group_totals'!$G$8:$G$10000,pb_location_id,'[1]1_group_totals'!$H$8:$H$10000,"="&amp;Q73,'[1]1_group_totals'!$I$8:$I$10000,"="&amp;R73))</f>
        <v/>
      </c>
      <c r="AL73" s="1644" t="str">
        <f t="shared" ref="AL73:AL87" si="222">IF(M73="","",VLOOKUP(I73,product_list,8,FALSE))</f>
        <v/>
      </c>
      <c r="AM73" s="1644" t="str">
        <f>IF(OR(ISNA(MATCH(MID(AL73,1,3)*1,UomConversion!$D$8:$D$500,0)),M73=""),"",IF(AQ73="","",AQ73))</f>
        <v/>
      </c>
      <c r="AN73" s="1644" t="str">
        <f>IF(AND(AO73&gt;0,COUNTIFS(UomConversion!$D$8:$D$500,MID(AL73,1,3)*1,UomConversion!$J$8:$J$500,1)&gt;1),TEXT(AO73,"000")&amp;"."&amp;VLOOKUP(AO73,uom_list,5,FALSE),"")</f>
        <v/>
      </c>
      <c r="AO73" s="1640" t="str">
        <f t="shared" ref="AO73:AO87" si="223">IF(AND(AR73&gt;0,M73&lt;&gt;""),AR73,"")</f>
        <v/>
      </c>
      <c r="AP73" s="1645" t="str">
        <f t="shared" ref="AP73:AP87" si="224">IF(M73="","",IF(AA73&gt;0,AB73/AA73,""))</f>
        <v/>
      </c>
      <c r="AQ73" s="491" t="str">
        <f t="shared" ref="AQ73:AQ87" si="225">IF(OR(ISNA(VLOOKUP(MID(AL73,1,3)*1,uom_converion_list,2,FALSE)),M73=""),"",TEXT(VLOOKUP(MID(AL73,1,3)*1,uom_converion_list,2,FALSE),"000")&amp;"."&amp;VLOOKUP(VLOOKUP(MID(AL73,1,3)*1,uom_converion_list,2,FALSE),uom_list,5,FALSE))</f>
        <v/>
      </c>
      <c r="AR73" s="1281" t="str" cm="1">
        <f t="array" ref="AR73">IF(M73="","",IF(ISNA(Slookup(MID(AL73,1,3)*1,UomConversion!$D$8:$J$500,2,UomConversion!$I$8:$I$500,1,UomConversion!$J$8:$J$500,1)),"",Slookup(MID(AL73,1,3)*1,UomConversion!$D$8:$J$500,2,UomConversion!$I$8:$I$500,1,UomConversion!$J$8:$J$500,1)))</f>
        <v/>
      </c>
      <c r="AS73" s="663" t="str">
        <f>IF(M73="","",(SUMIFS('[1]1_inventory_totals'!$I$8:$I$10000,'[1]1_inventory_totals'!$C$8:$C$10000,I73,'[1]1_inventory_totals'!$F$8:$F$10000,"="&amp;Q73,'[1]1_inventory_totals'!$G$8:$G$10000,"="&amp;R73)+SUMIFS('[1]1_inventory_totals'!$N$8:$N$10000,'[1]1_inventory_totals'!$C$8:$C$10000,I73,'[1]1_inventory_totals'!$F$8:$F$10000,"="&amp;Q73,'[1]1_inventory_totals'!$G$8:$G$10000,"="&amp;R73)+SUMIFS('[1]1_inventory_totals'!$P$8:$P$10000,'[1]1_inventory_totals'!$C$8:$C$10000,I73,'[1]1_inventory_totals'!$F$8:$F$10000,"="&amp;Q73,'[1]1_inventory_totals'!$G$8:$G$10000,"="&amp;R73)+SUMIFS('[1]1_inventory_totals'!$Q$8:$Q$10000,'[1]1_inventory_totals'!$C$8:$C$10000,I73,'[1]1_inventory_totals'!$F$8:$F$10000,"="&amp;Q73,'[1]1_inventory_totals'!$G$8:$G$10000,"="&amp;R73)+SUMIFS('[1]1_inventory_totals'!$R$8:$R$10000,'[1]1_inventory_totals'!$C$8:$C$10000,I73,'[1]1_inventory_totals'!$F$8:$F$10000,"="&amp;Q73,'[1]1_inventory_totals'!$G$8:$G$10000,"="&amp;R73))+(SUMIFS('[1]1_inventory_totals'!$J$8:$J$10000,'[1]1_inventory_totals'!$C$8:$C$10000,I73,'[1]1_inventory_totals'!$F$8:$F$10000,"="&amp;Q73,'[1]1_inventory_totals'!$G$8:$G$10000,"="&amp;R73)+SUMIFS('[1]1_inventory_totals'!$K$8:$K$10000,'[1]1_inventory_totals'!$C$8:$C$10000,I73,'[1]1_inventory_totals'!$F$8:$F$10000,"="&amp;Q73,'[1]1_inventory_totals'!$G$8:$G$10000,"="&amp;R73)+SUMIFS('[1]1_inventory_totals'!$L$8:$L$10000,'[1]1_inventory_totals'!$C$8:$C$10000,I73,'[1]1_inventory_totals'!$F$8:$F$10000,"="&amp;Q73,'[1]1_inventory_totals'!$G$8:$G$10000,"="&amp;R73)+SUMIFS('[1]1_inventory_totals'!$M$8:$M$10000,'[1]1_inventory_totals'!$C$8:$C$10000,I73,'[1]1_inventory_totals'!$F$8:$F$10000,"="&amp;Q73,'[1]1_inventory_totals'!$G$8:$G$10000,"="&amp;R73)+SUMIFS('[1]1_inventory_totals'!$O$8:$O$10000,'[1]1_inventory_totals'!$C$8:$C$10000,I73,'[1]1_inventory_totals'!$F$8:$F$10000,"="&amp;Q73,'[1]1_inventory_totals'!$G$8:$G$10000,"="&amp;R73)+SUMIFS('[1]1_inventory_totals'!$S$8:$S$10000,'[1]1_inventory_totals'!$C$8:$C$10000,I73,'[1]1_inventory_totals'!$F$8:$F$10000,"="&amp;Q73,'[1]1_inventory_totals'!$G$8:$G$10000,"="&amp;R73)))</f>
        <v/>
      </c>
      <c r="AT73" s="1281" t="str">
        <f>IF(M73="","",(SUMIFS('[1]1_group_totals'!$K$8:$K$10000,'[1]1_group_totals'!$C$8:$C$10000,I73,'[1]1_group_totals'!$F$8:$F$10000,pb_location_group_id,'[1]1_group_totals'!$G$8:$G$10000,pb_location_id,'[1]1_group_totals'!$H$8:$H$10000,"="&amp;Q73,'[1]1_group_totals'!$I$8:$I$10000,"="&amp;R73)+SUMIFS('[1]1_group_totals'!$N$8:$N$10000,'[1]1_group_totals'!$C$8:$C$10000,I73,'[1]1_group_totals'!$F$8:$F$10000,pb_location_group_id,'[1]1_group_totals'!$G$8:$G$10000,pb_location_id,'[1]1_group_totals'!$H$8:$H$10000,"="&amp;Q73,'[1]1_group_totals'!$I$8:$I$10000,"="&amp;R73)+SUMIFS('[1]1_group_totals'!$P$8:$P$10000,'[1]1_group_totals'!$C$8:$C$10000,I73,'[1]1_group_totals'!$F$8:$F$10000,pb_location_group_id,'[1]1_group_totals'!$G$8:$G$10000,pb_location_id,'[1]1_group_totals'!$H$8:$H$10000,"="&amp;Q73,'[1]1_group_totals'!$I$8:$I$10000,"="&amp;R73)+SUMIFS('[1]1_group_totals'!$Q$8:$Q$10000,'[1]1_group_totals'!$C$8:$C$10000,I73,'[1]1_group_totals'!$F$8:$F$10000,pb_location_group_id,'[1]1_group_totals'!$G$8:$G$10000,pb_location_id,'[1]1_group_totals'!$H$8:$H$10000,"="&amp;Q73,'[1]1_group_totals'!$I$8:$I$10000,"="&amp;R73))+(SUMIFS('[1]1_group_totals'!$L$8:$L$10000,'[1]1_group_totals'!$C$8:$C$10000,I73,'[1]1_group_totals'!$F$8:$F$10000,pb_location_group_id,'[1]1_group_totals'!$G$8:$G$10000,pb_location_id,'[1]1_group_totals'!$H$8:$H$10000,"="&amp;Q73,'[1]1_group_totals'!$I$8:$I$10000,"="&amp;R73)+SUMIFS('[1]1_group_totals'!$M$8:$M$10000,'[1]1_group_totals'!$C$8:$C$10000,I73,'[1]1_group_totals'!$F$8:$F$10000,pb_location_group_id,'[1]1_group_totals'!$G$8:$G$10000,pb_location_id,'[1]1_group_totals'!$H$8:$H$10000,"="&amp;Q73,'[1]1_group_totals'!$I$8:$I$10000,"="&amp;R73)+SUMIFS('[1]1_group_totals'!$O$8:$O$10000,'[1]1_group_totals'!$C$8:$C$10000,I73,'[1]1_group_totals'!$F$8:$F$10000,pb_location_group_id,'[1]1_group_totals'!$G$8:$G$10000,pb_location_id,'[1]1_group_totals'!$H$8:$H$10000,"="&amp;Q73,'[1]1_group_totals'!$I$8:$I$10000,"="&amp;R73)+SUMIFS('[1]1_group_totals'!$R$8:$R$10000,'[1]1_group_totals'!$C$8:$C$10000,I73,'[1]1_group_totals'!$F$8:$F$10000,pb_location_group_id,'[1]1_group_totals'!$G$8:$G$10000,pb_location_id,'[1]1_group_totals'!$H$8:$H$10000,"="&amp;Q73,'[1]1_group_totals'!$I$8:$I$10000,"="&amp;R73)))</f>
        <v/>
      </c>
    </row>
    <row r="74" spans="1:46" ht="27" hidden="1" customHeight="1">
      <c r="A74" s="923"/>
      <c r="B74" s="1028"/>
      <c r="C74" s="950"/>
      <c r="D74" s="950"/>
      <c r="E74" s="950"/>
      <c r="F74" s="1029"/>
      <c r="G74" s="941"/>
      <c r="H74" s="1070"/>
      <c r="I74" s="1610" t="str">
        <f t="shared" si="212"/>
        <v/>
      </c>
      <c r="J74" s="1631" t="str">
        <f t="shared" ref="J74:J87" si="226">IF(M74="","",J73+1)</f>
        <v/>
      </c>
      <c r="K74" s="1628"/>
      <c r="L74" s="1632"/>
      <c r="M74" s="1069"/>
      <c r="N74" s="1044"/>
      <c r="O74" s="1044"/>
      <c r="P74" s="1046"/>
      <c r="Q74" s="1047"/>
      <c r="R74" s="1053"/>
      <c r="S74" s="1634" t="str">
        <f t="shared" ref="S74" si="227">IF(M74="","",pb_currency_symbol)</f>
        <v/>
      </c>
      <c r="T74" s="1068"/>
      <c r="U74" s="1636" t="str">
        <f t="shared" si="214"/>
        <v/>
      </c>
      <c r="V74" s="1634" t="str">
        <f t="shared" ref="V74" si="228">IF(W74=0,"",pb_currency_symbol)</f>
        <v/>
      </c>
      <c r="W74" s="1054"/>
      <c r="X74" s="1634" t="str">
        <f t="shared" ref="X74" si="229">IF(M74="","",pb_currency_symbol)</f>
        <v/>
      </c>
      <c r="Y74" s="1638" t="str">
        <f t="shared" si="217"/>
        <v/>
      </c>
      <c r="Z74" s="1062"/>
      <c r="AA74" s="1639" t="str" cm="1">
        <f t="array" ref="AA74">IF(M74="","",IF(P74=AL74,1,Slookup(MID(AL74,1,3)*1,UomConversion!$D$8:$J$500,5,UomConversion!$E$8:$E$500,MID(P74,1,3)*1,UomConversion!$J$8:$J$500,1)))</f>
        <v/>
      </c>
      <c r="AB74" s="1640" t="str">
        <f t="shared" si="218"/>
        <v/>
      </c>
      <c r="AC74" s="1641" t="str">
        <f t="shared" si="219"/>
        <v/>
      </c>
      <c r="AD74" s="1642" t="str">
        <f t="shared" si="220"/>
        <v/>
      </c>
      <c r="AE74" s="1643" t="str">
        <f t="shared" si="221"/>
        <v/>
      </c>
      <c r="AF74" s="1640" t="str">
        <f>IF(I74="","",IF(ISNA(MATCH(I74,IF(pb_location_id=1,'[1]1_inventory_totals'!$C$8:$C$10000,IF(pb_location_id=2,'[1]2_inventory_totals'!$C$8:$C$10000,"")),0)),0,IF(AS74&gt;0,1,0)))</f>
        <v/>
      </c>
      <c r="AG74" s="1640" t="str">
        <f>IF(M74="","",IF(pb_location_id=1,SUMIFS('[1]1_inventory_total_details'!$J$8:$J$10000,'[1]1_inventory_total_details'!$C$8:$C$10000,I74,'[1]1_inventory_total_details'!$F$8:$F$10000,pb_location_id,'[1]1_inventory_total_details'!$G$8:$G$10000,"="&amp;Q74,'[1]1_inventory_total_details'!$H$8:$H$10000,"="&amp;R74,'[1]1_inventory_total_details'!$I$8:$I$10000,"="&amp;pb_date)+SUMIFS('[1]1_inventory_total_details'!$M$8:$M$10000,'[1]1_inventory_total_details'!$C$8:$C$10000,I74,'[1]1_inventory_total_details'!$F$8:$F$10000,pb_location_id,'[1]1_inventory_total_details'!$G$8:$G$10000,"="&amp;Q74,'[1]1_inventory_total_details'!$H$8:$H$10000,"="&amp;R74,'[1]1_inventory_total_details'!$I$8:$I$10000,"="&amp;pb_date)+SUMIFS('[1]1_inventory_total_details'!$K$8:$K$10000,'[1]1_inventory_total_details'!$C$8:$C$10000,I74,'[1]1_inventory_total_details'!$F$8:$F$10000,pb_location_id,'[1]1_inventory_total_details'!$G$8:$G$10000,"="&amp;Q74,'[1]1_inventory_total_details'!$H$8:$H$10000,"="&amp;R74,'[1]1_inventory_total_details'!$I$8:$I$10000,"="&amp;pb_date)+SUMIFS('[1]1_inventory_total_details'!$L$8:$L$10000,'[1]1_inventory_total_details'!$C$8:$C$10000,I74,'[1]1_inventory_total_details'!$F$8:$F$10000,pb_location_id,'[1]1_inventory_total_details'!$G$8:$G$10000,"="&amp;Q74,'[1]1_inventory_total_details'!$H$8:$H$10000,"="&amp;R74,'[1]1_inventory_total_details'!$I$8:$I$10000,"="&amp;pb_date),SUMIFS('[1]2_inventory_total_details'!$J$8:$J$10000,'[1]2_inventory_total_details'!$C$8:$C$10000,I74,'[1]1_inventory_total_details'!$F$8:$F$10000,pb_location_id,'[1]2_inventory_total_details'!$G$8:$G$10000,"="&amp;Q74,'[1]2_inventory_total_details'!$H$8:$H$10000,"="&amp;R74,'[1]2_inventory_total_details'!$I$8:$I$10000,"="&amp;pb_date)+SUMIFS('[1]2_inventory_total_details'!$M$8:$M$10000,'[1]2_inventory_total_details'!$C$8:$C$10000,I74,'[1]2_inventory_total_details'!$F$8:$F$10000,pb_location_id,'[1]2_inventory_total_details'!$G$8:$G$10000,"="&amp;Q74,'[1]2_inventory_total_details'!$H$8:$H$10000,"="&amp;R74,'[1]2_inventory_total_details'!$I$8:$I$10000,"="&amp;pb_date)+SUMIFS('[1]2_inventory_total_details'!$K$8:$K$10000,'[1]2_inventory_total_details'!$C$8:$C$10000,I74,'[1]2_inventory_total_details'!$F$8:$F$10000,pb_location_id,'[1]2_inventory_total_details'!$G$8:$G$10000,"="&amp;Q74,'[1]2_inventory_total_details'!$H$8:$H$10000,"="&amp;R74,'[1]2_inventory_total_details'!$I$8:$I$10000,"="&amp;pb_date)+SUMIFS('[1]2_inventory_total_details'!$L$8:$L$10000,'[1]2_inventory_total_details'!$C$8:$C$10000,I74,'[1]2_inventory_total_details'!$F$8:$F$10000,pb_location_id,'[1]2_inventory_total_details'!$G$8:$G$10000,"="&amp;Q74,'[1]2_inventory_total_details'!$H$8:$H$10000,"="&amp;R74,'[1]2_inventory_total_details'!$I$8:$I$10000,"="&amp;pb_date)))</f>
        <v/>
      </c>
      <c r="AH74" s="1640" t="str">
        <f>IF(M74="","",IF(ISNA(MATCH(I74,'[1]1_group_totals'!$C$8:$C$10000)),0,IF(AT74&gt;0,1,0)))</f>
        <v/>
      </c>
      <c r="AI74" s="1640" t="str">
        <f>IF(M74="","",(SUMIFS('[1]1_group_total_details'!$I$8:$I$10000,'[1]1_group_total_details'!$C$8:$C$10000,I74,'[1]1_group_total_details'!$F$8:$F$10000,pb_location_group_id,'[1]1_group_total_details'!$G$8:$G$10000,pb_location_id,'[1]1_group_total_details'!$H$8:$H$10000,"="&amp;pb_date)+SUMIFS('[1]1_group_total_details'!$L$8:$L$10000,'[1]1_group_total_details'!$C$8:$C$10000,I74,'[1]1_group_total_details'!$F$8:$F$10000,pb_location_group_id,'[1]1_group_total_details'!$G$8:$G$10000,pb_location_id,'[1]1_group_total_details'!$H$8:$H$10000,"="&amp;pb_date)+SUMIFS('[1]1_group_total_details'!$N$8:$N$10000,'[1]1_group_total_details'!$C$8:$C$10000,I74,'[1]1_group_total_details'!$F$8:$F$10000,pb_location_group_id,'[1]1_group_total_details'!$G$8:$G$10000,pb_location_id,'[1]1_group_total_details'!$H$8:$H$10000,"="&amp;pb_date)+SUMIFS('[1]1_group_total_details'!$O$8:$O$10000,'[1]1_group_total_details'!$C$8:$C$10000,I74,'[1]1_group_total_details'!$F$8:$F$10000,pb_location_group_id,'[1]1_group_total_details'!$G$8:$G$10000,pb_location_id,'[1]1_group_total_details'!$H$8:$H$10000,"="&amp;pb_date))+(SUMIFS('[1]1_group_total_details'!$J$8:$J$10000,'[1]1_group_total_details'!$C$8:$C$10000,I74,'[1]1_group_total_details'!$F$8:$F$10000,pb_location_group_id,'[1]1_group_total_details'!$G$8:$G$10000,pb_location_id,'[1]1_group_total_details'!$H$8:$H$10000,"="&amp;pb_date)+SUMIFS('[1]1_group_total_details'!$K$8:$K$10000,'[1]1_group_total_details'!$C$8:$C$10000,I74,'[1]1_group_total_details'!$F$8:$F$10000,pb_location_group_id,'[1]1_group_total_details'!$G$8:$G$10000,pb_location_id,'[1]1_group_total_details'!$H$8:$H$10000,"="&amp;pb_date)+SUMIFS('[1]1_group_total_details'!$M$8:$M$10000,'[1]1_group_total_details'!$C$8:$C$10000,I74,'[1]1_group_total_details'!$F$8:$F$10000,pb_location_group_id,'[1]1_group_total_details'!$G$8:$G$10000,pb_location_id,'[1]1_group_total_details'!$H$8:$H$10000,"="&amp;pb_date)+SUMIFS('[1]1_group_total_details'!$P$8:$P$10000,'[1]1_group_total_details'!$C$8:$C$10000,I74,'[1]1_group_total_details'!$F$8:$F$10000,pb_location_group_id,'[1]1_group_total_details'!$G$8:$G$10000,pb_location_id,'[1]1_group_total_details'!$H$8:$H$10000,"="&amp;pb_date)))</f>
        <v/>
      </c>
      <c r="AJ74" s="1640" t="str">
        <f>IF(M74="","",IF(AK74=0,0,(SUMIFS('[1]1_group_total_details'!$I$8:$I$10000,'[1]1_group_total_details'!$C$8:$C$10000,I74,'[1]1_group_total_details'!$F$8:$F$10000,pb_location_group_id,'[1]1_group_total_details'!$G$8:$G$10000,pb_location_id,'[1]1_group_total_details'!$H$8:$H$10000,"&lt;="&amp;pb_date)+SUMIFS('[1]1_group_total_details'!$L$8:$L$10000,'[1]1_group_total_details'!$C$8:$C$10000,I74,'[1]1_group_total_details'!$F$8:$F$10000,pb_location_group_id,'[1]1_group_total_details'!$G$8:$G$10000,pb_location_id,'[1]1_group_total_details'!$H$8:$H$10000,"&lt;="&amp;pb_date)+SUMIFS('[1]1_group_total_details'!$N$8:$N$10000,'[1]1_group_total_details'!$C$8:$C$10000,I74,'[1]1_group_total_details'!$F$8:$F$10000,pb_location_group_id,'[1]1_group_total_details'!$G$8:$G$10000,pb_location_id,'[1]1_group_total_details'!$H$8:$H$10000,"&lt;="&amp;pb_date)+SUMIFS('[1]1_group_total_details'!$O$8:$O$10000,'[1]1_group_total_details'!$C$8:$C$10000,I74,'[1]1_group_total_details'!$F$8:$F$10000,pb_location_group_id,'[1]1_group_total_details'!$G$8:$G$10000,pb_location_id,'[1]1_group_total_details'!$H$8:$H$10000,"&lt;="&amp;pb_date))-(SUMIFS('[1]1_group_total_details'!$J$8:$J$10000,'[1]1_group_total_details'!$C$8:$C$10000,I74,'[1]1_group_total_details'!$F$8:$F$10000,pb_location_group_id,'[1]1_group_total_details'!$G$8:$G$10000,pb_location_id,'[1]1_group_total_details'!$H$8:$H$10000,"&lt;="&amp;pb_date)+SUMIFS('[1]1_group_total_details'!$K$8:$K$10000,'[1]1_group_total_details'!$C$8:$C$10000,I74,'[1]1_group_total_details'!$F$8:$F$10000,pb_location_group_id,'[1]1_group_total_details'!$G$8:$G$10000,invoice_location_id,'[1]1_group_total_details'!$H$8:$H$10000,"&lt;="&amp;pb_date)+SUMIFS('[1]1_group_total_details'!$M$8:$M$10000,'[1]1_group_total_details'!$C$8:$C$10000,I74,'[1]1_group_total_details'!$F$8:$F$10000,pb_location_group_id,'[1]1_group_total_details'!$G$8:$G$10000,pb_location_id,'[1]1_group_total_details'!$H$8:$H$10000,"&lt;="&amp;pb_date)+SUMIFS('[1]1_group_total_details'!$P$8:$P$10000,'[1]1_group_total_details'!$C$8:$C$10000,I74,'[1]1_group_total_details'!$F$8:$F$10000,pb_location_group_id,'[1]1_group_total_details'!$G$8:$G$10000,pb_location_id,'[1]1_group_total_details'!$H$8:$H$10000,"&lt;="&amp;pb_date))))</f>
        <v/>
      </c>
      <c r="AK74" s="1640" t="str">
        <f>IF(M74="","",SUMIFS('[1]1_group_totals'!$J$8:$J$10000,'[1]1_group_totals'!$C$8:$C$10000,I74,'[1]1_group_totals'!$F$8:$F$10000,pb_location_group_id,'[1]1_group_totals'!$G$8:$G$10000,pb_location_id,'[1]1_group_totals'!$H$8:$H$10000,"="&amp;Q74,'[1]1_group_totals'!$I$8:$I$10000,"="&amp;R74))</f>
        <v/>
      </c>
      <c r="AL74" s="1644" t="str">
        <f t="shared" si="222"/>
        <v/>
      </c>
      <c r="AM74" s="1644" t="str">
        <f>IF(OR(ISNA(MATCH(MID(AL74,1,3)*1,UomConversion!$D$8:$D$500,0)),M74=""),"",IF(AQ74="","",AQ74))</f>
        <v/>
      </c>
      <c r="AN74" s="1644" t="str">
        <f>IF(AND(AO74&gt;0,COUNTIFS(UomConversion!$D$8:$D$500,MID(AL74,1,3)*1,UomConversion!$J$8:$J$500,1)&gt;1),TEXT(AO74,"000")&amp;"."&amp;VLOOKUP(AO74,uom_list,5,FALSE),"")</f>
        <v/>
      </c>
      <c r="AO74" s="1640" t="str">
        <f t="shared" si="223"/>
        <v/>
      </c>
      <c r="AP74" s="1645" t="str">
        <f t="shared" si="224"/>
        <v/>
      </c>
      <c r="AQ74" s="491" t="str">
        <f t="shared" si="225"/>
        <v/>
      </c>
      <c r="AR74" s="1281" t="str" cm="1">
        <f t="array" ref="AR74">IF(M74="","",IF(ISNA(Slookup(MID(AL74,1,3)*1,UomConversion!$D$8:$J$500,2,UomConversion!$I$8:$I$500,1,UomConversion!$J$8:$J$500,1)),"",Slookup(MID(AL74,1,3)*1,UomConversion!$D$8:$J$500,2,UomConversion!$I$8:$I$500,1,UomConversion!$J$8:$J$500,1)))</f>
        <v/>
      </c>
      <c r="AS74" s="663" t="str">
        <f>IF(M74="","",(SUMIFS('[1]1_inventory_totals'!$I$8:$I$10000,'[1]1_inventory_totals'!$C$8:$C$10000,I74,'[1]1_inventory_totals'!$F$8:$F$10000,"="&amp;Q74,'[1]1_inventory_totals'!$G$8:$G$10000,"="&amp;R74)+SUMIFS('[1]1_inventory_totals'!$N$8:$N$10000,'[1]1_inventory_totals'!$C$8:$C$10000,I74,'[1]1_inventory_totals'!$F$8:$F$10000,"="&amp;Q74,'[1]1_inventory_totals'!$G$8:$G$10000,"="&amp;R74)+SUMIFS('[1]1_inventory_totals'!$P$8:$P$10000,'[1]1_inventory_totals'!$C$8:$C$10000,I74,'[1]1_inventory_totals'!$F$8:$F$10000,"="&amp;Q74,'[1]1_inventory_totals'!$G$8:$G$10000,"="&amp;R74)+SUMIFS('[1]1_inventory_totals'!$Q$8:$Q$10000,'[1]1_inventory_totals'!$C$8:$C$10000,I74,'[1]1_inventory_totals'!$F$8:$F$10000,"="&amp;Q74,'[1]1_inventory_totals'!$G$8:$G$10000,"="&amp;R74)+SUMIFS('[1]1_inventory_totals'!$R$8:$R$10000,'[1]1_inventory_totals'!$C$8:$C$10000,I74,'[1]1_inventory_totals'!$F$8:$F$10000,"="&amp;Q74,'[1]1_inventory_totals'!$G$8:$G$10000,"="&amp;R74))+(SUMIFS('[1]1_inventory_totals'!$J$8:$J$10000,'[1]1_inventory_totals'!$C$8:$C$10000,I74,'[1]1_inventory_totals'!$F$8:$F$10000,"="&amp;Q74,'[1]1_inventory_totals'!$G$8:$G$10000,"="&amp;R74)+SUMIFS('[1]1_inventory_totals'!$K$8:$K$10000,'[1]1_inventory_totals'!$C$8:$C$10000,I74,'[1]1_inventory_totals'!$F$8:$F$10000,"="&amp;Q74,'[1]1_inventory_totals'!$G$8:$G$10000,"="&amp;R74)+SUMIFS('[1]1_inventory_totals'!$L$8:$L$10000,'[1]1_inventory_totals'!$C$8:$C$10000,I74,'[1]1_inventory_totals'!$F$8:$F$10000,"="&amp;Q74,'[1]1_inventory_totals'!$G$8:$G$10000,"="&amp;R74)+SUMIFS('[1]1_inventory_totals'!$M$8:$M$10000,'[1]1_inventory_totals'!$C$8:$C$10000,I74,'[1]1_inventory_totals'!$F$8:$F$10000,"="&amp;Q74,'[1]1_inventory_totals'!$G$8:$G$10000,"="&amp;R74)+SUMIFS('[1]1_inventory_totals'!$O$8:$O$10000,'[1]1_inventory_totals'!$C$8:$C$10000,I74,'[1]1_inventory_totals'!$F$8:$F$10000,"="&amp;Q74,'[1]1_inventory_totals'!$G$8:$G$10000,"="&amp;R74)+SUMIFS('[1]1_inventory_totals'!$S$8:$S$10000,'[1]1_inventory_totals'!$C$8:$C$10000,I74,'[1]1_inventory_totals'!$F$8:$F$10000,"="&amp;Q74,'[1]1_inventory_totals'!$G$8:$G$10000,"="&amp;R74)))</f>
        <v/>
      </c>
      <c r="AT74" s="1281" t="str">
        <f>IF(M74="","",(SUMIFS('[1]1_group_totals'!$K$8:$K$10000,'[1]1_group_totals'!$C$8:$C$10000,I74,'[1]1_group_totals'!$F$8:$F$10000,pb_location_group_id,'[1]1_group_totals'!$G$8:$G$10000,pb_location_id,'[1]1_group_totals'!$H$8:$H$10000,"="&amp;Q74,'[1]1_group_totals'!$I$8:$I$10000,"="&amp;R74)+SUMIFS('[1]1_group_totals'!$N$8:$N$10000,'[1]1_group_totals'!$C$8:$C$10000,I74,'[1]1_group_totals'!$F$8:$F$10000,pb_location_group_id,'[1]1_group_totals'!$G$8:$G$10000,pb_location_id,'[1]1_group_totals'!$H$8:$H$10000,"="&amp;Q74,'[1]1_group_totals'!$I$8:$I$10000,"="&amp;R74)+SUMIFS('[1]1_group_totals'!$P$8:$P$10000,'[1]1_group_totals'!$C$8:$C$10000,I74,'[1]1_group_totals'!$F$8:$F$10000,pb_location_group_id,'[1]1_group_totals'!$G$8:$G$10000,pb_location_id,'[1]1_group_totals'!$H$8:$H$10000,"="&amp;Q74,'[1]1_group_totals'!$I$8:$I$10000,"="&amp;R74)+SUMIFS('[1]1_group_totals'!$Q$8:$Q$10000,'[1]1_group_totals'!$C$8:$C$10000,I74,'[1]1_group_totals'!$F$8:$F$10000,pb_location_group_id,'[1]1_group_totals'!$G$8:$G$10000,pb_location_id,'[1]1_group_totals'!$H$8:$H$10000,"="&amp;Q74,'[1]1_group_totals'!$I$8:$I$10000,"="&amp;R74))+(SUMIFS('[1]1_group_totals'!$L$8:$L$10000,'[1]1_group_totals'!$C$8:$C$10000,I74,'[1]1_group_totals'!$F$8:$F$10000,pb_location_group_id,'[1]1_group_totals'!$G$8:$G$10000,pb_location_id,'[1]1_group_totals'!$H$8:$H$10000,"="&amp;Q74,'[1]1_group_totals'!$I$8:$I$10000,"="&amp;R74)+SUMIFS('[1]1_group_totals'!$M$8:$M$10000,'[1]1_group_totals'!$C$8:$C$10000,I74,'[1]1_group_totals'!$F$8:$F$10000,pb_location_group_id,'[1]1_group_totals'!$G$8:$G$10000,pb_location_id,'[1]1_group_totals'!$H$8:$H$10000,"="&amp;Q74,'[1]1_group_totals'!$I$8:$I$10000,"="&amp;R74)+SUMIFS('[1]1_group_totals'!$O$8:$O$10000,'[1]1_group_totals'!$C$8:$C$10000,I74,'[1]1_group_totals'!$F$8:$F$10000,pb_location_group_id,'[1]1_group_totals'!$G$8:$G$10000,pb_location_id,'[1]1_group_totals'!$H$8:$H$10000,"="&amp;Q74,'[1]1_group_totals'!$I$8:$I$10000,"="&amp;R74)+SUMIFS('[1]1_group_totals'!$R$8:$R$10000,'[1]1_group_totals'!$C$8:$C$10000,I74,'[1]1_group_totals'!$F$8:$F$10000,pb_location_group_id,'[1]1_group_totals'!$G$8:$G$10000,pb_location_id,'[1]1_group_totals'!$H$8:$H$10000,"="&amp;Q74,'[1]1_group_totals'!$I$8:$I$10000,"="&amp;R74)))</f>
        <v/>
      </c>
    </row>
    <row r="75" spans="1:46" ht="27" hidden="1" customHeight="1">
      <c r="A75" s="923"/>
      <c r="B75" s="1028"/>
      <c r="C75" s="950"/>
      <c r="D75" s="950"/>
      <c r="E75" s="950"/>
      <c r="F75" s="1029"/>
      <c r="G75" s="941"/>
      <c r="H75" s="1070"/>
      <c r="I75" s="1610" t="str">
        <f t="shared" si="212"/>
        <v/>
      </c>
      <c r="J75" s="1631" t="str">
        <f t="shared" si="226"/>
        <v/>
      </c>
      <c r="K75" s="1628"/>
      <c r="L75" s="1632"/>
      <c r="M75" s="1069"/>
      <c r="N75" s="1044"/>
      <c r="O75" s="1044"/>
      <c r="P75" s="1046"/>
      <c r="Q75" s="1047"/>
      <c r="R75" s="1053"/>
      <c r="S75" s="1634" t="str">
        <f t="shared" ref="S75" si="230">IF(M75="","",pb_currency_symbol)</f>
        <v/>
      </c>
      <c r="T75" s="1068"/>
      <c r="U75" s="1636" t="str">
        <f t="shared" si="214"/>
        <v/>
      </c>
      <c r="V75" s="1634" t="str">
        <f t="shared" ref="V75" si="231">IF(W75=0,"",pb_currency_symbol)</f>
        <v/>
      </c>
      <c r="W75" s="1054"/>
      <c r="X75" s="1634" t="str">
        <f t="shared" ref="X75" si="232">IF(M75="","",pb_currency_symbol)</f>
        <v/>
      </c>
      <c r="Y75" s="1638" t="str">
        <f t="shared" si="217"/>
        <v/>
      </c>
      <c r="Z75" s="1062"/>
      <c r="AA75" s="1639" t="str" cm="1">
        <f t="array" ref="AA75">IF(M75="","",IF(P75=AL75,1,Slookup(MID(AL75,1,3)*1,UomConversion!$D$8:$J$500,5,UomConversion!$E$8:$E$500,MID(P75,1,3)*1,UomConversion!$J$8:$J$500,1)))</f>
        <v/>
      </c>
      <c r="AB75" s="1640" t="str">
        <f t="shared" si="218"/>
        <v/>
      </c>
      <c r="AC75" s="1641" t="str">
        <f t="shared" si="219"/>
        <v/>
      </c>
      <c r="AD75" s="1642" t="str">
        <f t="shared" si="220"/>
        <v/>
      </c>
      <c r="AE75" s="1643" t="str">
        <f t="shared" si="221"/>
        <v/>
      </c>
      <c r="AF75" s="1640" t="str">
        <f>IF(I75="","",IF(ISNA(MATCH(I75,IF(pb_location_id=1,'[1]1_inventory_totals'!$C$8:$C$10000,IF(pb_location_id=2,'[1]2_inventory_totals'!$C$8:$C$10000,"")),0)),0,IF(AS75&gt;0,1,0)))</f>
        <v/>
      </c>
      <c r="AG75" s="1640" t="str">
        <f>IF(M75="","",IF(pb_location_id=1,SUMIFS('[1]1_inventory_total_details'!$J$8:$J$10000,'[1]1_inventory_total_details'!$C$8:$C$10000,I75,'[1]1_inventory_total_details'!$F$8:$F$10000,pb_location_id,'[1]1_inventory_total_details'!$G$8:$G$10000,"="&amp;Q75,'[1]1_inventory_total_details'!$H$8:$H$10000,"="&amp;R75,'[1]1_inventory_total_details'!$I$8:$I$10000,"="&amp;pb_date)+SUMIFS('[1]1_inventory_total_details'!$M$8:$M$10000,'[1]1_inventory_total_details'!$C$8:$C$10000,I75,'[1]1_inventory_total_details'!$F$8:$F$10000,pb_location_id,'[1]1_inventory_total_details'!$G$8:$G$10000,"="&amp;Q75,'[1]1_inventory_total_details'!$H$8:$H$10000,"="&amp;R75,'[1]1_inventory_total_details'!$I$8:$I$10000,"="&amp;pb_date)+SUMIFS('[1]1_inventory_total_details'!$K$8:$K$10000,'[1]1_inventory_total_details'!$C$8:$C$10000,I75,'[1]1_inventory_total_details'!$F$8:$F$10000,pb_location_id,'[1]1_inventory_total_details'!$G$8:$G$10000,"="&amp;Q75,'[1]1_inventory_total_details'!$H$8:$H$10000,"="&amp;R75,'[1]1_inventory_total_details'!$I$8:$I$10000,"="&amp;pb_date)+SUMIFS('[1]1_inventory_total_details'!$L$8:$L$10000,'[1]1_inventory_total_details'!$C$8:$C$10000,I75,'[1]1_inventory_total_details'!$F$8:$F$10000,pb_location_id,'[1]1_inventory_total_details'!$G$8:$G$10000,"="&amp;Q75,'[1]1_inventory_total_details'!$H$8:$H$10000,"="&amp;R75,'[1]1_inventory_total_details'!$I$8:$I$10000,"="&amp;pb_date),SUMIFS('[1]2_inventory_total_details'!$J$8:$J$10000,'[1]2_inventory_total_details'!$C$8:$C$10000,I75,'[1]1_inventory_total_details'!$F$8:$F$10000,pb_location_id,'[1]2_inventory_total_details'!$G$8:$G$10000,"="&amp;Q75,'[1]2_inventory_total_details'!$H$8:$H$10000,"="&amp;R75,'[1]2_inventory_total_details'!$I$8:$I$10000,"="&amp;pb_date)+SUMIFS('[1]2_inventory_total_details'!$M$8:$M$10000,'[1]2_inventory_total_details'!$C$8:$C$10000,I75,'[1]2_inventory_total_details'!$F$8:$F$10000,pb_location_id,'[1]2_inventory_total_details'!$G$8:$G$10000,"="&amp;Q75,'[1]2_inventory_total_details'!$H$8:$H$10000,"="&amp;R75,'[1]2_inventory_total_details'!$I$8:$I$10000,"="&amp;pb_date)+SUMIFS('[1]2_inventory_total_details'!$K$8:$K$10000,'[1]2_inventory_total_details'!$C$8:$C$10000,I75,'[1]2_inventory_total_details'!$F$8:$F$10000,pb_location_id,'[1]2_inventory_total_details'!$G$8:$G$10000,"="&amp;Q75,'[1]2_inventory_total_details'!$H$8:$H$10000,"="&amp;R75,'[1]2_inventory_total_details'!$I$8:$I$10000,"="&amp;pb_date)+SUMIFS('[1]2_inventory_total_details'!$L$8:$L$10000,'[1]2_inventory_total_details'!$C$8:$C$10000,I75,'[1]2_inventory_total_details'!$F$8:$F$10000,pb_location_id,'[1]2_inventory_total_details'!$G$8:$G$10000,"="&amp;Q75,'[1]2_inventory_total_details'!$H$8:$H$10000,"="&amp;R75,'[1]2_inventory_total_details'!$I$8:$I$10000,"="&amp;pb_date)))</f>
        <v/>
      </c>
      <c r="AH75" s="1640" t="str">
        <f>IF(M75="","",IF(ISNA(MATCH(I75,'[1]1_group_totals'!$C$8:$C$10000)),0,IF(AT75&gt;0,1,0)))</f>
        <v/>
      </c>
      <c r="AI75" s="1640" t="str">
        <f>IF(M75="","",(SUMIFS('[1]1_group_total_details'!$I$8:$I$10000,'[1]1_group_total_details'!$C$8:$C$10000,I75,'[1]1_group_total_details'!$F$8:$F$10000,pb_location_group_id,'[1]1_group_total_details'!$G$8:$G$10000,pb_location_id,'[1]1_group_total_details'!$H$8:$H$10000,"="&amp;pb_date)+SUMIFS('[1]1_group_total_details'!$L$8:$L$10000,'[1]1_group_total_details'!$C$8:$C$10000,I75,'[1]1_group_total_details'!$F$8:$F$10000,pb_location_group_id,'[1]1_group_total_details'!$G$8:$G$10000,pb_location_id,'[1]1_group_total_details'!$H$8:$H$10000,"="&amp;pb_date)+SUMIFS('[1]1_group_total_details'!$N$8:$N$10000,'[1]1_group_total_details'!$C$8:$C$10000,I75,'[1]1_group_total_details'!$F$8:$F$10000,pb_location_group_id,'[1]1_group_total_details'!$G$8:$G$10000,pb_location_id,'[1]1_group_total_details'!$H$8:$H$10000,"="&amp;pb_date)+SUMIFS('[1]1_group_total_details'!$O$8:$O$10000,'[1]1_group_total_details'!$C$8:$C$10000,I75,'[1]1_group_total_details'!$F$8:$F$10000,pb_location_group_id,'[1]1_group_total_details'!$G$8:$G$10000,pb_location_id,'[1]1_group_total_details'!$H$8:$H$10000,"="&amp;pb_date))+(SUMIFS('[1]1_group_total_details'!$J$8:$J$10000,'[1]1_group_total_details'!$C$8:$C$10000,I75,'[1]1_group_total_details'!$F$8:$F$10000,pb_location_group_id,'[1]1_group_total_details'!$G$8:$G$10000,pb_location_id,'[1]1_group_total_details'!$H$8:$H$10000,"="&amp;pb_date)+SUMIFS('[1]1_group_total_details'!$K$8:$K$10000,'[1]1_group_total_details'!$C$8:$C$10000,I75,'[1]1_group_total_details'!$F$8:$F$10000,pb_location_group_id,'[1]1_group_total_details'!$G$8:$G$10000,pb_location_id,'[1]1_group_total_details'!$H$8:$H$10000,"="&amp;pb_date)+SUMIFS('[1]1_group_total_details'!$M$8:$M$10000,'[1]1_group_total_details'!$C$8:$C$10000,I75,'[1]1_group_total_details'!$F$8:$F$10000,pb_location_group_id,'[1]1_group_total_details'!$G$8:$G$10000,pb_location_id,'[1]1_group_total_details'!$H$8:$H$10000,"="&amp;pb_date)+SUMIFS('[1]1_group_total_details'!$P$8:$P$10000,'[1]1_group_total_details'!$C$8:$C$10000,I75,'[1]1_group_total_details'!$F$8:$F$10000,pb_location_group_id,'[1]1_group_total_details'!$G$8:$G$10000,pb_location_id,'[1]1_group_total_details'!$H$8:$H$10000,"="&amp;pb_date)))</f>
        <v/>
      </c>
      <c r="AJ75" s="1640" t="str">
        <f>IF(M75="","",IF(AK75=0,0,(SUMIFS('[1]1_group_total_details'!$I$8:$I$10000,'[1]1_group_total_details'!$C$8:$C$10000,I75,'[1]1_group_total_details'!$F$8:$F$10000,pb_location_group_id,'[1]1_group_total_details'!$G$8:$G$10000,pb_location_id,'[1]1_group_total_details'!$H$8:$H$10000,"&lt;="&amp;pb_date)+SUMIFS('[1]1_group_total_details'!$L$8:$L$10000,'[1]1_group_total_details'!$C$8:$C$10000,I75,'[1]1_group_total_details'!$F$8:$F$10000,pb_location_group_id,'[1]1_group_total_details'!$G$8:$G$10000,pb_location_id,'[1]1_group_total_details'!$H$8:$H$10000,"&lt;="&amp;pb_date)+SUMIFS('[1]1_group_total_details'!$N$8:$N$10000,'[1]1_group_total_details'!$C$8:$C$10000,I75,'[1]1_group_total_details'!$F$8:$F$10000,pb_location_group_id,'[1]1_group_total_details'!$G$8:$G$10000,pb_location_id,'[1]1_group_total_details'!$H$8:$H$10000,"&lt;="&amp;pb_date)+SUMIFS('[1]1_group_total_details'!$O$8:$O$10000,'[1]1_group_total_details'!$C$8:$C$10000,I75,'[1]1_group_total_details'!$F$8:$F$10000,pb_location_group_id,'[1]1_group_total_details'!$G$8:$G$10000,pb_location_id,'[1]1_group_total_details'!$H$8:$H$10000,"&lt;="&amp;pb_date))-(SUMIFS('[1]1_group_total_details'!$J$8:$J$10000,'[1]1_group_total_details'!$C$8:$C$10000,I75,'[1]1_group_total_details'!$F$8:$F$10000,pb_location_group_id,'[1]1_group_total_details'!$G$8:$G$10000,pb_location_id,'[1]1_group_total_details'!$H$8:$H$10000,"&lt;="&amp;pb_date)+SUMIFS('[1]1_group_total_details'!$K$8:$K$10000,'[1]1_group_total_details'!$C$8:$C$10000,I75,'[1]1_group_total_details'!$F$8:$F$10000,pb_location_group_id,'[1]1_group_total_details'!$G$8:$G$10000,invoice_location_id,'[1]1_group_total_details'!$H$8:$H$10000,"&lt;="&amp;pb_date)+SUMIFS('[1]1_group_total_details'!$M$8:$M$10000,'[1]1_group_total_details'!$C$8:$C$10000,I75,'[1]1_group_total_details'!$F$8:$F$10000,pb_location_group_id,'[1]1_group_total_details'!$G$8:$G$10000,pb_location_id,'[1]1_group_total_details'!$H$8:$H$10000,"&lt;="&amp;pb_date)+SUMIFS('[1]1_group_total_details'!$P$8:$P$10000,'[1]1_group_total_details'!$C$8:$C$10000,I75,'[1]1_group_total_details'!$F$8:$F$10000,pb_location_group_id,'[1]1_group_total_details'!$G$8:$G$10000,pb_location_id,'[1]1_group_total_details'!$H$8:$H$10000,"&lt;="&amp;pb_date))))</f>
        <v/>
      </c>
      <c r="AK75" s="1640" t="str">
        <f>IF(M75="","",SUMIFS('[1]1_group_totals'!$J$8:$J$10000,'[1]1_group_totals'!$C$8:$C$10000,I75,'[1]1_group_totals'!$F$8:$F$10000,pb_location_group_id,'[1]1_group_totals'!$G$8:$G$10000,pb_location_id,'[1]1_group_totals'!$H$8:$H$10000,"="&amp;Q75,'[1]1_group_totals'!$I$8:$I$10000,"="&amp;R75))</f>
        <v/>
      </c>
      <c r="AL75" s="1644" t="str">
        <f t="shared" si="222"/>
        <v/>
      </c>
      <c r="AM75" s="1644" t="str">
        <f>IF(OR(ISNA(MATCH(MID(AL75,1,3)*1,UomConversion!$D$8:$D$500,0)),M75=""),"",IF(AQ75="","",AQ75))</f>
        <v/>
      </c>
      <c r="AN75" s="1644" t="str">
        <f>IF(AND(AO75&gt;0,COUNTIFS(UomConversion!$D$8:$D$500,MID(AL75,1,3)*1,UomConversion!$J$8:$J$500,1)&gt;1),TEXT(AO75,"000")&amp;"."&amp;VLOOKUP(AO75,uom_list,5,FALSE),"")</f>
        <v/>
      </c>
      <c r="AO75" s="1640" t="str">
        <f t="shared" si="223"/>
        <v/>
      </c>
      <c r="AP75" s="1645" t="str">
        <f t="shared" si="224"/>
        <v/>
      </c>
      <c r="AQ75" s="491" t="str">
        <f t="shared" si="225"/>
        <v/>
      </c>
      <c r="AR75" s="1281" t="str" cm="1">
        <f t="array" ref="AR75">IF(M75="","",IF(ISNA(Slookup(MID(AL75,1,3)*1,UomConversion!$D$8:$J$500,2,UomConversion!$I$8:$I$500,1,UomConversion!$J$8:$J$500,1)),"",Slookup(MID(AL75,1,3)*1,UomConversion!$D$8:$J$500,2,UomConversion!$I$8:$I$500,1,UomConversion!$J$8:$J$500,1)))</f>
        <v/>
      </c>
      <c r="AS75" s="663" t="str">
        <f>IF(M75="","",(SUMIFS('[1]1_inventory_totals'!$I$8:$I$10000,'[1]1_inventory_totals'!$C$8:$C$10000,I75,'[1]1_inventory_totals'!$F$8:$F$10000,"="&amp;Q75,'[1]1_inventory_totals'!$G$8:$G$10000,"="&amp;R75)+SUMIFS('[1]1_inventory_totals'!$N$8:$N$10000,'[1]1_inventory_totals'!$C$8:$C$10000,I75,'[1]1_inventory_totals'!$F$8:$F$10000,"="&amp;Q75,'[1]1_inventory_totals'!$G$8:$G$10000,"="&amp;R75)+SUMIFS('[1]1_inventory_totals'!$P$8:$P$10000,'[1]1_inventory_totals'!$C$8:$C$10000,I75,'[1]1_inventory_totals'!$F$8:$F$10000,"="&amp;Q75,'[1]1_inventory_totals'!$G$8:$G$10000,"="&amp;R75)+SUMIFS('[1]1_inventory_totals'!$Q$8:$Q$10000,'[1]1_inventory_totals'!$C$8:$C$10000,I75,'[1]1_inventory_totals'!$F$8:$F$10000,"="&amp;Q75,'[1]1_inventory_totals'!$G$8:$G$10000,"="&amp;R75)+SUMIFS('[1]1_inventory_totals'!$R$8:$R$10000,'[1]1_inventory_totals'!$C$8:$C$10000,I75,'[1]1_inventory_totals'!$F$8:$F$10000,"="&amp;Q75,'[1]1_inventory_totals'!$G$8:$G$10000,"="&amp;R75))+(SUMIFS('[1]1_inventory_totals'!$J$8:$J$10000,'[1]1_inventory_totals'!$C$8:$C$10000,I75,'[1]1_inventory_totals'!$F$8:$F$10000,"="&amp;Q75,'[1]1_inventory_totals'!$G$8:$G$10000,"="&amp;R75)+SUMIFS('[1]1_inventory_totals'!$K$8:$K$10000,'[1]1_inventory_totals'!$C$8:$C$10000,I75,'[1]1_inventory_totals'!$F$8:$F$10000,"="&amp;Q75,'[1]1_inventory_totals'!$G$8:$G$10000,"="&amp;R75)+SUMIFS('[1]1_inventory_totals'!$L$8:$L$10000,'[1]1_inventory_totals'!$C$8:$C$10000,I75,'[1]1_inventory_totals'!$F$8:$F$10000,"="&amp;Q75,'[1]1_inventory_totals'!$G$8:$G$10000,"="&amp;R75)+SUMIFS('[1]1_inventory_totals'!$M$8:$M$10000,'[1]1_inventory_totals'!$C$8:$C$10000,I75,'[1]1_inventory_totals'!$F$8:$F$10000,"="&amp;Q75,'[1]1_inventory_totals'!$G$8:$G$10000,"="&amp;R75)+SUMIFS('[1]1_inventory_totals'!$O$8:$O$10000,'[1]1_inventory_totals'!$C$8:$C$10000,I75,'[1]1_inventory_totals'!$F$8:$F$10000,"="&amp;Q75,'[1]1_inventory_totals'!$G$8:$G$10000,"="&amp;R75)+SUMIFS('[1]1_inventory_totals'!$S$8:$S$10000,'[1]1_inventory_totals'!$C$8:$C$10000,I75,'[1]1_inventory_totals'!$F$8:$F$10000,"="&amp;Q75,'[1]1_inventory_totals'!$G$8:$G$10000,"="&amp;R75)))</f>
        <v/>
      </c>
      <c r="AT75" s="1281" t="str">
        <f>IF(M75="","",(SUMIFS('[1]1_group_totals'!$K$8:$K$10000,'[1]1_group_totals'!$C$8:$C$10000,I75,'[1]1_group_totals'!$F$8:$F$10000,pb_location_group_id,'[1]1_group_totals'!$G$8:$G$10000,pb_location_id,'[1]1_group_totals'!$H$8:$H$10000,"="&amp;Q75,'[1]1_group_totals'!$I$8:$I$10000,"="&amp;R75)+SUMIFS('[1]1_group_totals'!$N$8:$N$10000,'[1]1_group_totals'!$C$8:$C$10000,I75,'[1]1_group_totals'!$F$8:$F$10000,pb_location_group_id,'[1]1_group_totals'!$G$8:$G$10000,pb_location_id,'[1]1_group_totals'!$H$8:$H$10000,"="&amp;Q75,'[1]1_group_totals'!$I$8:$I$10000,"="&amp;R75)+SUMIFS('[1]1_group_totals'!$P$8:$P$10000,'[1]1_group_totals'!$C$8:$C$10000,I75,'[1]1_group_totals'!$F$8:$F$10000,pb_location_group_id,'[1]1_group_totals'!$G$8:$G$10000,pb_location_id,'[1]1_group_totals'!$H$8:$H$10000,"="&amp;Q75,'[1]1_group_totals'!$I$8:$I$10000,"="&amp;R75)+SUMIFS('[1]1_group_totals'!$Q$8:$Q$10000,'[1]1_group_totals'!$C$8:$C$10000,I75,'[1]1_group_totals'!$F$8:$F$10000,pb_location_group_id,'[1]1_group_totals'!$G$8:$G$10000,pb_location_id,'[1]1_group_totals'!$H$8:$H$10000,"="&amp;Q75,'[1]1_group_totals'!$I$8:$I$10000,"="&amp;R75))+(SUMIFS('[1]1_group_totals'!$L$8:$L$10000,'[1]1_group_totals'!$C$8:$C$10000,I75,'[1]1_group_totals'!$F$8:$F$10000,pb_location_group_id,'[1]1_group_totals'!$G$8:$G$10000,pb_location_id,'[1]1_group_totals'!$H$8:$H$10000,"="&amp;Q75,'[1]1_group_totals'!$I$8:$I$10000,"="&amp;R75)+SUMIFS('[1]1_group_totals'!$M$8:$M$10000,'[1]1_group_totals'!$C$8:$C$10000,I75,'[1]1_group_totals'!$F$8:$F$10000,pb_location_group_id,'[1]1_group_totals'!$G$8:$G$10000,pb_location_id,'[1]1_group_totals'!$H$8:$H$10000,"="&amp;Q75,'[1]1_group_totals'!$I$8:$I$10000,"="&amp;R75)+SUMIFS('[1]1_group_totals'!$O$8:$O$10000,'[1]1_group_totals'!$C$8:$C$10000,I75,'[1]1_group_totals'!$F$8:$F$10000,pb_location_group_id,'[1]1_group_totals'!$G$8:$G$10000,pb_location_id,'[1]1_group_totals'!$H$8:$H$10000,"="&amp;Q75,'[1]1_group_totals'!$I$8:$I$10000,"="&amp;R75)+SUMIFS('[1]1_group_totals'!$R$8:$R$10000,'[1]1_group_totals'!$C$8:$C$10000,I75,'[1]1_group_totals'!$F$8:$F$10000,pb_location_group_id,'[1]1_group_totals'!$G$8:$G$10000,pb_location_id,'[1]1_group_totals'!$H$8:$H$10000,"="&amp;Q75,'[1]1_group_totals'!$I$8:$I$10000,"="&amp;R75)))</f>
        <v/>
      </c>
    </row>
    <row r="76" spans="1:46" ht="27" hidden="1" customHeight="1">
      <c r="A76" s="923"/>
      <c r="B76" s="1028"/>
      <c r="C76" s="950"/>
      <c r="D76" s="950"/>
      <c r="E76" s="950"/>
      <c r="F76" s="1029"/>
      <c r="G76" s="941"/>
      <c r="H76" s="1070"/>
      <c r="I76" s="1610" t="str">
        <f t="shared" si="212"/>
        <v/>
      </c>
      <c r="J76" s="1631" t="str">
        <f t="shared" si="226"/>
        <v/>
      </c>
      <c r="K76" s="1628"/>
      <c r="L76" s="1632"/>
      <c r="M76" s="1069"/>
      <c r="N76" s="1044"/>
      <c r="O76" s="1044"/>
      <c r="P76" s="1046"/>
      <c r="Q76" s="1047"/>
      <c r="R76" s="1053"/>
      <c r="S76" s="1634" t="str">
        <f t="shared" ref="S76" si="233">IF(M76="","",pb_currency_symbol)</f>
        <v/>
      </c>
      <c r="T76" s="1068"/>
      <c r="U76" s="1636" t="str">
        <f t="shared" si="214"/>
        <v/>
      </c>
      <c r="V76" s="1634" t="str">
        <f t="shared" ref="V76" si="234">IF(W76=0,"",pb_currency_symbol)</f>
        <v/>
      </c>
      <c r="W76" s="1054"/>
      <c r="X76" s="1634" t="str">
        <f t="shared" ref="X76" si="235">IF(M76="","",pb_currency_symbol)</f>
        <v/>
      </c>
      <c r="Y76" s="1638" t="str">
        <f t="shared" si="217"/>
        <v/>
      </c>
      <c r="Z76" s="1062"/>
      <c r="AA76" s="1639" t="str" cm="1">
        <f t="array" ref="AA76">IF(M76="","",IF(P76=AL76,1,Slookup(MID(AL76,1,3)*1,UomConversion!$D$8:$J$500,5,UomConversion!$E$8:$E$500,MID(P76,1,3)*1,UomConversion!$J$8:$J$500,1)))</f>
        <v/>
      </c>
      <c r="AB76" s="1640" t="str">
        <f t="shared" si="218"/>
        <v/>
      </c>
      <c r="AC76" s="1641" t="str">
        <f t="shared" si="219"/>
        <v/>
      </c>
      <c r="AD76" s="1642" t="str">
        <f t="shared" si="220"/>
        <v/>
      </c>
      <c r="AE76" s="1643" t="str">
        <f t="shared" si="221"/>
        <v/>
      </c>
      <c r="AF76" s="1640" t="str">
        <f>IF(I76="","",IF(ISNA(MATCH(I76,IF(pb_location_id=1,'[1]1_inventory_totals'!$C$8:$C$10000,IF(pb_location_id=2,'[1]2_inventory_totals'!$C$8:$C$10000,"")),0)),0,IF(AS76&gt;0,1,0)))</f>
        <v/>
      </c>
      <c r="AG76" s="1640" t="str">
        <f>IF(M76="","",IF(pb_location_id=1,SUMIFS('[1]1_inventory_total_details'!$J$8:$J$10000,'[1]1_inventory_total_details'!$C$8:$C$10000,I76,'[1]1_inventory_total_details'!$F$8:$F$10000,pb_location_id,'[1]1_inventory_total_details'!$G$8:$G$10000,"="&amp;Q76,'[1]1_inventory_total_details'!$H$8:$H$10000,"="&amp;R76,'[1]1_inventory_total_details'!$I$8:$I$10000,"="&amp;pb_date)+SUMIFS('[1]1_inventory_total_details'!$M$8:$M$10000,'[1]1_inventory_total_details'!$C$8:$C$10000,I76,'[1]1_inventory_total_details'!$F$8:$F$10000,pb_location_id,'[1]1_inventory_total_details'!$G$8:$G$10000,"="&amp;Q76,'[1]1_inventory_total_details'!$H$8:$H$10000,"="&amp;R76,'[1]1_inventory_total_details'!$I$8:$I$10000,"="&amp;pb_date)+SUMIFS('[1]1_inventory_total_details'!$K$8:$K$10000,'[1]1_inventory_total_details'!$C$8:$C$10000,I76,'[1]1_inventory_total_details'!$F$8:$F$10000,pb_location_id,'[1]1_inventory_total_details'!$G$8:$G$10000,"="&amp;Q76,'[1]1_inventory_total_details'!$H$8:$H$10000,"="&amp;R76,'[1]1_inventory_total_details'!$I$8:$I$10000,"="&amp;pb_date)+SUMIFS('[1]1_inventory_total_details'!$L$8:$L$10000,'[1]1_inventory_total_details'!$C$8:$C$10000,I76,'[1]1_inventory_total_details'!$F$8:$F$10000,pb_location_id,'[1]1_inventory_total_details'!$G$8:$G$10000,"="&amp;Q76,'[1]1_inventory_total_details'!$H$8:$H$10000,"="&amp;R76,'[1]1_inventory_total_details'!$I$8:$I$10000,"="&amp;pb_date),SUMIFS('[1]2_inventory_total_details'!$J$8:$J$10000,'[1]2_inventory_total_details'!$C$8:$C$10000,I76,'[1]1_inventory_total_details'!$F$8:$F$10000,pb_location_id,'[1]2_inventory_total_details'!$G$8:$G$10000,"="&amp;Q76,'[1]2_inventory_total_details'!$H$8:$H$10000,"="&amp;R76,'[1]2_inventory_total_details'!$I$8:$I$10000,"="&amp;pb_date)+SUMIFS('[1]2_inventory_total_details'!$M$8:$M$10000,'[1]2_inventory_total_details'!$C$8:$C$10000,I76,'[1]2_inventory_total_details'!$F$8:$F$10000,pb_location_id,'[1]2_inventory_total_details'!$G$8:$G$10000,"="&amp;Q76,'[1]2_inventory_total_details'!$H$8:$H$10000,"="&amp;R76,'[1]2_inventory_total_details'!$I$8:$I$10000,"="&amp;pb_date)+SUMIFS('[1]2_inventory_total_details'!$K$8:$K$10000,'[1]2_inventory_total_details'!$C$8:$C$10000,I76,'[1]2_inventory_total_details'!$F$8:$F$10000,pb_location_id,'[1]2_inventory_total_details'!$G$8:$G$10000,"="&amp;Q76,'[1]2_inventory_total_details'!$H$8:$H$10000,"="&amp;R76,'[1]2_inventory_total_details'!$I$8:$I$10000,"="&amp;pb_date)+SUMIFS('[1]2_inventory_total_details'!$L$8:$L$10000,'[1]2_inventory_total_details'!$C$8:$C$10000,I76,'[1]2_inventory_total_details'!$F$8:$F$10000,pb_location_id,'[1]2_inventory_total_details'!$G$8:$G$10000,"="&amp;Q76,'[1]2_inventory_total_details'!$H$8:$H$10000,"="&amp;R76,'[1]2_inventory_total_details'!$I$8:$I$10000,"="&amp;pb_date)))</f>
        <v/>
      </c>
      <c r="AH76" s="1640" t="str">
        <f>IF(M76="","",IF(ISNA(MATCH(I76,'[1]1_group_totals'!$C$8:$C$10000)),0,IF(AT76&gt;0,1,0)))</f>
        <v/>
      </c>
      <c r="AI76" s="1640" t="str">
        <f>IF(M76="","",(SUMIFS('[1]1_group_total_details'!$I$8:$I$10000,'[1]1_group_total_details'!$C$8:$C$10000,I76,'[1]1_group_total_details'!$F$8:$F$10000,pb_location_group_id,'[1]1_group_total_details'!$G$8:$G$10000,pb_location_id,'[1]1_group_total_details'!$H$8:$H$10000,"="&amp;pb_date)+SUMIFS('[1]1_group_total_details'!$L$8:$L$10000,'[1]1_group_total_details'!$C$8:$C$10000,I76,'[1]1_group_total_details'!$F$8:$F$10000,pb_location_group_id,'[1]1_group_total_details'!$G$8:$G$10000,pb_location_id,'[1]1_group_total_details'!$H$8:$H$10000,"="&amp;pb_date)+SUMIFS('[1]1_group_total_details'!$N$8:$N$10000,'[1]1_group_total_details'!$C$8:$C$10000,I76,'[1]1_group_total_details'!$F$8:$F$10000,pb_location_group_id,'[1]1_group_total_details'!$G$8:$G$10000,pb_location_id,'[1]1_group_total_details'!$H$8:$H$10000,"="&amp;pb_date)+SUMIFS('[1]1_group_total_details'!$O$8:$O$10000,'[1]1_group_total_details'!$C$8:$C$10000,I76,'[1]1_group_total_details'!$F$8:$F$10000,pb_location_group_id,'[1]1_group_total_details'!$G$8:$G$10000,pb_location_id,'[1]1_group_total_details'!$H$8:$H$10000,"="&amp;pb_date))+(SUMIFS('[1]1_group_total_details'!$J$8:$J$10000,'[1]1_group_total_details'!$C$8:$C$10000,I76,'[1]1_group_total_details'!$F$8:$F$10000,pb_location_group_id,'[1]1_group_total_details'!$G$8:$G$10000,pb_location_id,'[1]1_group_total_details'!$H$8:$H$10000,"="&amp;pb_date)+SUMIFS('[1]1_group_total_details'!$K$8:$K$10000,'[1]1_group_total_details'!$C$8:$C$10000,I76,'[1]1_group_total_details'!$F$8:$F$10000,pb_location_group_id,'[1]1_group_total_details'!$G$8:$G$10000,pb_location_id,'[1]1_group_total_details'!$H$8:$H$10000,"="&amp;pb_date)+SUMIFS('[1]1_group_total_details'!$M$8:$M$10000,'[1]1_group_total_details'!$C$8:$C$10000,I76,'[1]1_group_total_details'!$F$8:$F$10000,pb_location_group_id,'[1]1_group_total_details'!$G$8:$G$10000,pb_location_id,'[1]1_group_total_details'!$H$8:$H$10000,"="&amp;pb_date)+SUMIFS('[1]1_group_total_details'!$P$8:$P$10000,'[1]1_group_total_details'!$C$8:$C$10000,I76,'[1]1_group_total_details'!$F$8:$F$10000,pb_location_group_id,'[1]1_group_total_details'!$G$8:$G$10000,pb_location_id,'[1]1_group_total_details'!$H$8:$H$10000,"="&amp;pb_date)))</f>
        <v/>
      </c>
      <c r="AJ76" s="1640" t="str">
        <f>IF(M76="","",IF(AK76=0,0,(SUMIFS('[1]1_group_total_details'!$I$8:$I$10000,'[1]1_group_total_details'!$C$8:$C$10000,I76,'[1]1_group_total_details'!$F$8:$F$10000,pb_location_group_id,'[1]1_group_total_details'!$G$8:$G$10000,pb_location_id,'[1]1_group_total_details'!$H$8:$H$10000,"&lt;="&amp;pb_date)+SUMIFS('[1]1_group_total_details'!$L$8:$L$10000,'[1]1_group_total_details'!$C$8:$C$10000,I76,'[1]1_group_total_details'!$F$8:$F$10000,pb_location_group_id,'[1]1_group_total_details'!$G$8:$G$10000,pb_location_id,'[1]1_group_total_details'!$H$8:$H$10000,"&lt;="&amp;pb_date)+SUMIFS('[1]1_group_total_details'!$N$8:$N$10000,'[1]1_group_total_details'!$C$8:$C$10000,I76,'[1]1_group_total_details'!$F$8:$F$10000,pb_location_group_id,'[1]1_group_total_details'!$G$8:$G$10000,pb_location_id,'[1]1_group_total_details'!$H$8:$H$10000,"&lt;="&amp;pb_date)+SUMIFS('[1]1_group_total_details'!$O$8:$O$10000,'[1]1_group_total_details'!$C$8:$C$10000,I76,'[1]1_group_total_details'!$F$8:$F$10000,pb_location_group_id,'[1]1_group_total_details'!$G$8:$G$10000,pb_location_id,'[1]1_group_total_details'!$H$8:$H$10000,"&lt;="&amp;pb_date))-(SUMIFS('[1]1_group_total_details'!$J$8:$J$10000,'[1]1_group_total_details'!$C$8:$C$10000,I76,'[1]1_group_total_details'!$F$8:$F$10000,pb_location_group_id,'[1]1_group_total_details'!$G$8:$G$10000,pb_location_id,'[1]1_group_total_details'!$H$8:$H$10000,"&lt;="&amp;pb_date)+SUMIFS('[1]1_group_total_details'!$K$8:$K$10000,'[1]1_group_total_details'!$C$8:$C$10000,I76,'[1]1_group_total_details'!$F$8:$F$10000,pb_location_group_id,'[1]1_group_total_details'!$G$8:$G$10000,invoice_location_id,'[1]1_group_total_details'!$H$8:$H$10000,"&lt;="&amp;pb_date)+SUMIFS('[1]1_group_total_details'!$M$8:$M$10000,'[1]1_group_total_details'!$C$8:$C$10000,I76,'[1]1_group_total_details'!$F$8:$F$10000,pb_location_group_id,'[1]1_group_total_details'!$G$8:$G$10000,pb_location_id,'[1]1_group_total_details'!$H$8:$H$10000,"&lt;="&amp;pb_date)+SUMIFS('[1]1_group_total_details'!$P$8:$P$10000,'[1]1_group_total_details'!$C$8:$C$10000,I76,'[1]1_group_total_details'!$F$8:$F$10000,pb_location_group_id,'[1]1_group_total_details'!$G$8:$G$10000,pb_location_id,'[1]1_group_total_details'!$H$8:$H$10000,"&lt;="&amp;pb_date))))</f>
        <v/>
      </c>
      <c r="AK76" s="1640" t="str">
        <f>IF(M76="","",SUMIFS('[1]1_group_totals'!$J$8:$J$10000,'[1]1_group_totals'!$C$8:$C$10000,I76,'[1]1_group_totals'!$F$8:$F$10000,pb_location_group_id,'[1]1_group_totals'!$G$8:$G$10000,pb_location_id,'[1]1_group_totals'!$H$8:$H$10000,"="&amp;Q76,'[1]1_group_totals'!$I$8:$I$10000,"="&amp;R76))</f>
        <v/>
      </c>
      <c r="AL76" s="1644" t="str">
        <f t="shared" si="222"/>
        <v/>
      </c>
      <c r="AM76" s="1644" t="str">
        <f>IF(OR(ISNA(MATCH(MID(AL76,1,3)*1,UomConversion!$D$8:$D$500,0)),M76=""),"",IF(AQ76="","",AQ76))</f>
        <v/>
      </c>
      <c r="AN76" s="1644" t="str">
        <f>IF(AND(AO76&gt;0,COUNTIFS(UomConversion!$D$8:$D$500,MID(AL76,1,3)*1,UomConversion!$J$8:$J$500,1)&gt;1),TEXT(AO76,"000")&amp;"."&amp;VLOOKUP(AO76,uom_list,5,FALSE),"")</f>
        <v/>
      </c>
      <c r="AO76" s="1640" t="str">
        <f t="shared" si="223"/>
        <v/>
      </c>
      <c r="AP76" s="1645" t="str">
        <f t="shared" si="224"/>
        <v/>
      </c>
      <c r="AQ76" s="491" t="str">
        <f t="shared" si="225"/>
        <v/>
      </c>
      <c r="AR76" s="1281" t="str" cm="1">
        <f t="array" ref="AR76">IF(M76="","",IF(ISNA(Slookup(MID(AL76,1,3)*1,UomConversion!$D$8:$J$500,2,UomConversion!$I$8:$I$500,1,UomConversion!$J$8:$J$500,1)),"",Slookup(MID(AL76,1,3)*1,UomConversion!$D$8:$J$500,2,UomConversion!$I$8:$I$500,1,UomConversion!$J$8:$J$500,1)))</f>
        <v/>
      </c>
      <c r="AS76" s="663" t="str">
        <f>IF(M76="","",(SUMIFS('[1]1_inventory_totals'!$I$8:$I$10000,'[1]1_inventory_totals'!$C$8:$C$10000,I76,'[1]1_inventory_totals'!$F$8:$F$10000,"="&amp;Q76,'[1]1_inventory_totals'!$G$8:$G$10000,"="&amp;R76)+SUMIFS('[1]1_inventory_totals'!$N$8:$N$10000,'[1]1_inventory_totals'!$C$8:$C$10000,I76,'[1]1_inventory_totals'!$F$8:$F$10000,"="&amp;Q76,'[1]1_inventory_totals'!$G$8:$G$10000,"="&amp;R76)+SUMIFS('[1]1_inventory_totals'!$P$8:$P$10000,'[1]1_inventory_totals'!$C$8:$C$10000,I76,'[1]1_inventory_totals'!$F$8:$F$10000,"="&amp;Q76,'[1]1_inventory_totals'!$G$8:$G$10000,"="&amp;R76)+SUMIFS('[1]1_inventory_totals'!$Q$8:$Q$10000,'[1]1_inventory_totals'!$C$8:$C$10000,I76,'[1]1_inventory_totals'!$F$8:$F$10000,"="&amp;Q76,'[1]1_inventory_totals'!$G$8:$G$10000,"="&amp;R76)+SUMIFS('[1]1_inventory_totals'!$R$8:$R$10000,'[1]1_inventory_totals'!$C$8:$C$10000,I76,'[1]1_inventory_totals'!$F$8:$F$10000,"="&amp;Q76,'[1]1_inventory_totals'!$G$8:$G$10000,"="&amp;R76))+(SUMIFS('[1]1_inventory_totals'!$J$8:$J$10000,'[1]1_inventory_totals'!$C$8:$C$10000,I76,'[1]1_inventory_totals'!$F$8:$F$10000,"="&amp;Q76,'[1]1_inventory_totals'!$G$8:$G$10000,"="&amp;R76)+SUMIFS('[1]1_inventory_totals'!$K$8:$K$10000,'[1]1_inventory_totals'!$C$8:$C$10000,I76,'[1]1_inventory_totals'!$F$8:$F$10000,"="&amp;Q76,'[1]1_inventory_totals'!$G$8:$G$10000,"="&amp;R76)+SUMIFS('[1]1_inventory_totals'!$L$8:$L$10000,'[1]1_inventory_totals'!$C$8:$C$10000,I76,'[1]1_inventory_totals'!$F$8:$F$10000,"="&amp;Q76,'[1]1_inventory_totals'!$G$8:$G$10000,"="&amp;R76)+SUMIFS('[1]1_inventory_totals'!$M$8:$M$10000,'[1]1_inventory_totals'!$C$8:$C$10000,I76,'[1]1_inventory_totals'!$F$8:$F$10000,"="&amp;Q76,'[1]1_inventory_totals'!$G$8:$G$10000,"="&amp;R76)+SUMIFS('[1]1_inventory_totals'!$O$8:$O$10000,'[1]1_inventory_totals'!$C$8:$C$10000,I76,'[1]1_inventory_totals'!$F$8:$F$10000,"="&amp;Q76,'[1]1_inventory_totals'!$G$8:$G$10000,"="&amp;R76)+SUMIFS('[1]1_inventory_totals'!$S$8:$S$10000,'[1]1_inventory_totals'!$C$8:$C$10000,I76,'[1]1_inventory_totals'!$F$8:$F$10000,"="&amp;Q76,'[1]1_inventory_totals'!$G$8:$G$10000,"="&amp;R76)))</f>
        <v/>
      </c>
      <c r="AT76" s="1281" t="str">
        <f>IF(M76="","",(SUMIFS('[1]1_group_totals'!$K$8:$K$10000,'[1]1_group_totals'!$C$8:$C$10000,I76,'[1]1_group_totals'!$F$8:$F$10000,pb_location_group_id,'[1]1_group_totals'!$G$8:$G$10000,pb_location_id,'[1]1_group_totals'!$H$8:$H$10000,"="&amp;Q76,'[1]1_group_totals'!$I$8:$I$10000,"="&amp;R76)+SUMIFS('[1]1_group_totals'!$N$8:$N$10000,'[1]1_group_totals'!$C$8:$C$10000,I76,'[1]1_group_totals'!$F$8:$F$10000,pb_location_group_id,'[1]1_group_totals'!$G$8:$G$10000,pb_location_id,'[1]1_group_totals'!$H$8:$H$10000,"="&amp;Q76,'[1]1_group_totals'!$I$8:$I$10000,"="&amp;R76)+SUMIFS('[1]1_group_totals'!$P$8:$P$10000,'[1]1_group_totals'!$C$8:$C$10000,I76,'[1]1_group_totals'!$F$8:$F$10000,pb_location_group_id,'[1]1_group_totals'!$G$8:$G$10000,pb_location_id,'[1]1_group_totals'!$H$8:$H$10000,"="&amp;Q76,'[1]1_group_totals'!$I$8:$I$10000,"="&amp;R76)+SUMIFS('[1]1_group_totals'!$Q$8:$Q$10000,'[1]1_group_totals'!$C$8:$C$10000,I76,'[1]1_group_totals'!$F$8:$F$10000,pb_location_group_id,'[1]1_group_totals'!$G$8:$G$10000,pb_location_id,'[1]1_group_totals'!$H$8:$H$10000,"="&amp;Q76,'[1]1_group_totals'!$I$8:$I$10000,"="&amp;R76))+(SUMIFS('[1]1_group_totals'!$L$8:$L$10000,'[1]1_group_totals'!$C$8:$C$10000,I76,'[1]1_group_totals'!$F$8:$F$10000,pb_location_group_id,'[1]1_group_totals'!$G$8:$G$10000,pb_location_id,'[1]1_group_totals'!$H$8:$H$10000,"="&amp;Q76,'[1]1_group_totals'!$I$8:$I$10000,"="&amp;R76)+SUMIFS('[1]1_group_totals'!$M$8:$M$10000,'[1]1_group_totals'!$C$8:$C$10000,I76,'[1]1_group_totals'!$F$8:$F$10000,pb_location_group_id,'[1]1_group_totals'!$G$8:$G$10000,pb_location_id,'[1]1_group_totals'!$H$8:$H$10000,"="&amp;Q76,'[1]1_group_totals'!$I$8:$I$10000,"="&amp;R76)+SUMIFS('[1]1_group_totals'!$O$8:$O$10000,'[1]1_group_totals'!$C$8:$C$10000,I76,'[1]1_group_totals'!$F$8:$F$10000,pb_location_group_id,'[1]1_group_totals'!$G$8:$G$10000,pb_location_id,'[1]1_group_totals'!$H$8:$H$10000,"="&amp;Q76,'[1]1_group_totals'!$I$8:$I$10000,"="&amp;R76)+SUMIFS('[1]1_group_totals'!$R$8:$R$10000,'[1]1_group_totals'!$C$8:$C$10000,I76,'[1]1_group_totals'!$F$8:$F$10000,pb_location_group_id,'[1]1_group_totals'!$G$8:$G$10000,pb_location_id,'[1]1_group_totals'!$H$8:$H$10000,"="&amp;Q76,'[1]1_group_totals'!$I$8:$I$10000,"="&amp;R76)))</f>
        <v/>
      </c>
    </row>
    <row r="77" spans="1:46" ht="27" hidden="1" customHeight="1">
      <c r="A77" s="923"/>
      <c r="B77" s="1028"/>
      <c r="C77" s="950"/>
      <c r="D77" s="950"/>
      <c r="E77" s="950"/>
      <c r="F77" s="1029"/>
      <c r="G77" s="941"/>
      <c r="H77" s="1070"/>
      <c r="I77" s="1610" t="str">
        <f t="shared" si="212"/>
        <v/>
      </c>
      <c r="J77" s="1631" t="str">
        <f t="shared" si="226"/>
        <v/>
      </c>
      <c r="K77" s="1628"/>
      <c r="L77" s="1632"/>
      <c r="M77" s="1069"/>
      <c r="N77" s="1044"/>
      <c r="O77" s="1044"/>
      <c r="P77" s="1046"/>
      <c r="Q77" s="1047"/>
      <c r="R77" s="1053"/>
      <c r="S77" s="1634" t="str">
        <f t="shared" ref="S77" si="236">IF(M77="","",pb_currency_symbol)</f>
        <v/>
      </c>
      <c r="T77" s="1068"/>
      <c r="U77" s="1636" t="str">
        <f t="shared" si="214"/>
        <v/>
      </c>
      <c r="V77" s="1634" t="str">
        <f t="shared" ref="V77" si="237">IF(W77=0,"",pb_currency_symbol)</f>
        <v/>
      </c>
      <c r="W77" s="1054"/>
      <c r="X77" s="1634" t="str">
        <f t="shared" ref="X77" si="238">IF(M77="","",pb_currency_symbol)</f>
        <v/>
      </c>
      <c r="Y77" s="1638" t="str">
        <f t="shared" si="217"/>
        <v/>
      </c>
      <c r="Z77" s="1062"/>
      <c r="AA77" s="1639" t="str" cm="1">
        <f t="array" ref="AA77">IF(M77="","",IF(P77=AL77,1,Slookup(MID(AL77,1,3)*1,UomConversion!$D$8:$J$500,5,UomConversion!$E$8:$E$500,MID(P77,1,3)*1,UomConversion!$J$8:$J$500,1)))</f>
        <v/>
      </c>
      <c r="AB77" s="1640" t="str">
        <f t="shared" si="218"/>
        <v/>
      </c>
      <c r="AC77" s="1641" t="str">
        <f t="shared" si="219"/>
        <v/>
      </c>
      <c r="AD77" s="1642" t="str">
        <f t="shared" si="220"/>
        <v/>
      </c>
      <c r="AE77" s="1643" t="str">
        <f t="shared" si="221"/>
        <v/>
      </c>
      <c r="AF77" s="1640" t="str">
        <f>IF(I77="","",IF(ISNA(MATCH(I77,IF(pb_location_id=1,'[1]1_inventory_totals'!$C$8:$C$10000,IF(pb_location_id=2,'[1]2_inventory_totals'!$C$8:$C$10000,"")),0)),0,IF(AS77&gt;0,1,0)))</f>
        <v/>
      </c>
      <c r="AG77" s="1640" t="str">
        <f>IF(M77="","",IF(pb_location_id=1,SUMIFS('[1]1_inventory_total_details'!$J$8:$J$10000,'[1]1_inventory_total_details'!$C$8:$C$10000,I77,'[1]1_inventory_total_details'!$F$8:$F$10000,pb_location_id,'[1]1_inventory_total_details'!$G$8:$G$10000,"="&amp;Q77,'[1]1_inventory_total_details'!$H$8:$H$10000,"="&amp;R77,'[1]1_inventory_total_details'!$I$8:$I$10000,"="&amp;pb_date)+SUMIFS('[1]1_inventory_total_details'!$M$8:$M$10000,'[1]1_inventory_total_details'!$C$8:$C$10000,I77,'[1]1_inventory_total_details'!$F$8:$F$10000,pb_location_id,'[1]1_inventory_total_details'!$G$8:$G$10000,"="&amp;Q77,'[1]1_inventory_total_details'!$H$8:$H$10000,"="&amp;R77,'[1]1_inventory_total_details'!$I$8:$I$10000,"="&amp;pb_date)+SUMIFS('[1]1_inventory_total_details'!$K$8:$K$10000,'[1]1_inventory_total_details'!$C$8:$C$10000,I77,'[1]1_inventory_total_details'!$F$8:$F$10000,pb_location_id,'[1]1_inventory_total_details'!$G$8:$G$10000,"="&amp;Q77,'[1]1_inventory_total_details'!$H$8:$H$10000,"="&amp;R77,'[1]1_inventory_total_details'!$I$8:$I$10000,"="&amp;pb_date)+SUMIFS('[1]1_inventory_total_details'!$L$8:$L$10000,'[1]1_inventory_total_details'!$C$8:$C$10000,I77,'[1]1_inventory_total_details'!$F$8:$F$10000,pb_location_id,'[1]1_inventory_total_details'!$G$8:$G$10000,"="&amp;Q77,'[1]1_inventory_total_details'!$H$8:$H$10000,"="&amp;R77,'[1]1_inventory_total_details'!$I$8:$I$10000,"="&amp;pb_date),SUMIFS('[1]2_inventory_total_details'!$J$8:$J$10000,'[1]2_inventory_total_details'!$C$8:$C$10000,I77,'[1]1_inventory_total_details'!$F$8:$F$10000,pb_location_id,'[1]2_inventory_total_details'!$G$8:$G$10000,"="&amp;Q77,'[1]2_inventory_total_details'!$H$8:$H$10000,"="&amp;R77,'[1]2_inventory_total_details'!$I$8:$I$10000,"="&amp;pb_date)+SUMIFS('[1]2_inventory_total_details'!$M$8:$M$10000,'[1]2_inventory_total_details'!$C$8:$C$10000,I77,'[1]2_inventory_total_details'!$F$8:$F$10000,pb_location_id,'[1]2_inventory_total_details'!$G$8:$G$10000,"="&amp;Q77,'[1]2_inventory_total_details'!$H$8:$H$10000,"="&amp;R77,'[1]2_inventory_total_details'!$I$8:$I$10000,"="&amp;pb_date)+SUMIFS('[1]2_inventory_total_details'!$K$8:$K$10000,'[1]2_inventory_total_details'!$C$8:$C$10000,I77,'[1]2_inventory_total_details'!$F$8:$F$10000,pb_location_id,'[1]2_inventory_total_details'!$G$8:$G$10000,"="&amp;Q77,'[1]2_inventory_total_details'!$H$8:$H$10000,"="&amp;R77,'[1]2_inventory_total_details'!$I$8:$I$10000,"="&amp;pb_date)+SUMIFS('[1]2_inventory_total_details'!$L$8:$L$10000,'[1]2_inventory_total_details'!$C$8:$C$10000,I77,'[1]2_inventory_total_details'!$F$8:$F$10000,pb_location_id,'[1]2_inventory_total_details'!$G$8:$G$10000,"="&amp;Q77,'[1]2_inventory_total_details'!$H$8:$H$10000,"="&amp;R77,'[1]2_inventory_total_details'!$I$8:$I$10000,"="&amp;pb_date)))</f>
        <v/>
      </c>
      <c r="AH77" s="1640" t="str">
        <f>IF(M77="","",IF(ISNA(MATCH(I77,'[1]1_group_totals'!$C$8:$C$10000)),0,IF(AT77&gt;0,1,0)))</f>
        <v/>
      </c>
      <c r="AI77" s="1640" t="str">
        <f>IF(M77="","",(SUMIFS('[1]1_group_total_details'!$I$8:$I$10000,'[1]1_group_total_details'!$C$8:$C$10000,I77,'[1]1_group_total_details'!$F$8:$F$10000,pb_location_group_id,'[1]1_group_total_details'!$G$8:$G$10000,pb_location_id,'[1]1_group_total_details'!$H$8:$H$10000,"="&amp;pb_date)+SUMIFS('[1]1_group_total_details'!$L$8:$L$10000,'[1]1_group_total_details'!$C$8:$C$10000,I77,'[1]1_group_total_details'!$F$8:$F$10000,pb_location_group_id,'[1]1_group_total_details'!$G$8:$G$10000,pb_location_id,'[1]1_group_total_details'!$H$8:$H$10000,"="&amp;pb_date)+SUMIFS('[1]1_group_total_details'!$N$8:$N$10000,'[1]1_group_total_details'!$C$8:$C$10000,I77,'[1]1_group_total_details'!$F$8:$F$10000,pb_location_group_id,'[1]1_group_total_details'!$G$8:$G$10000,pb_location_id,'[1]1_group_total_details'!$H$8:$H$10000,"="&amp;pb_date)+SUMIFS('[1]1_group_total_details'!$O$8:$O$10000,'[1]1_group_total_details'!$C$8:$C$10000,I77,'[1]1_group_total_details'!$F$8:$F$10000,pb_location_group_id,'[1]1_group_total_details'!$G$8:$G$10000,pb_location_id,'[1]1_group_total_details'!$H$8:$H$10000,"="&amp;pb_date))+(SUMIFS('[1]1_group_total_details'!$J$8:$J$10000,'[1]1_group_total_details'!$C$8:$C$10000,I77,'[1]1_group_total_details'!$F$8:$F$10000,pb_location_group_id,'[1]1_group_total_details'!$G$8:$G$10000,pb_location_id,'[1]1_group_total_details'!$H$8:$H$10000,"="&amp;pb_date)+SUMIFS('[1]1_group_total_details'!$K$8:$K$10000,'[1]1_group_total_details'!$C$8:$C$10000,I77,'[1]1_group_total_details'!$F$8:$F$10000,pb_location_group_id,'[1]1_group_total_details'!$G$8:$G$10000,pb_location_id,'[1]1_group_total_details'!$H$8:$H$10000,"="&amp;pb_date)+SUMIFS('[1]1_group_total_details'!$M$8:$M$10000,'[1]1_group_total_details'!$C$8:$C$10000,I77,'[1]1_group_total_details'!$F$8:$F$10000,pb_location_group_id,'[1]1_group_total_details'!$G$8:$G$10000,pb_location_id,'[1]1_group_total_details'!$H$8:$H$10000,"="&amp;pb_date)+SUMIFS('[1]1_group_total_details'!$P$8:$P$10000,'[1]1_group_total_details'!$C$8:$C$10000,I77,'[1]1_group_total_details'!$F$8:$F$10000,pb_location_group_id,'[1]1_group_total_details'!$G$8:$G$10000,pb_location_id,'[1]1_group_total_details'!$H$8:$H$10000,"="&amp;pb_date)))</f>
        <v/>
      </c>
      <c r="AJ77" s="1640" t="str">
        <f>IF(M77="","",IF(AK77=0,0,(SUMIFS('[1]1_group_total_details'!$I$8:$I$10000,'[1]1_group_total_details'!$C$8:$C$10000,I77,'[1]1_group_total_details'!$F$8:$F$10000,pb_location_group_id,'[1]1_group_total_details'!$G$8:$G$10000,pb_location_id,'[1]1_group_total_details'!$H$8:$H$10000,"&lt;="&amp;pb_date)+SUMIFS('[1]1_group_total_details'!$L$8:$L$10000,'[1]1_group_total_details'!$C$8:$C$10000,I77,'[1]1_group_total_details'!$F$8:$F$10000,pb_location_group_id,'[1]1_group_total_details'!$G$8:$G$10000,pb_location_id,'[1]1_group_total_details'!$H$8:$H$10000,"&lt;="&amp;pb_date)+SUMIFS('[1]1_group_total_details'!$N$8:$N$10000,'[1]1_group_total_details'!$C$8:$C$10000,I77,'[1]1_group_total_details'!$F$8:$F$10000,pb_location_group_id,'[1]1_group_total_details'!$G$8:$G$10000,pb_location_id,'[1]1_group_total_details'!$H$8:$H$10000,"&lt;="&amp;pb_date)+SUMIFS('[1]1_group_total_details'!$O$8:$O$10000,'[1]1_group_total_details'!$C$8:$C$10000,I77,'[1]1_group_total_details'!$F$8:$F$10000,pb_location_group_id,'[1]1_group_total_details'!$G$8:$G$10000,pb_location_id,'[1]1_group_total_details'!$H$8:$H$10000,"&lt;="&amp;pb_date))-(SUMIFS('[1]1_group_total_details'!$J$8:$J$10000,'[1]1_group_total_details'!$C$8:$C$10000,I77,'[1]1_group_total_details'!$F$8:$F$10000,pb_location_group_id,'[1]1_group_total_details'!$G$8:$G$10000,pb_location_id,'[1]1_group_total_details'!$H$8:$H$10000,"&lt;="&amp;pb_date)+SUMIFS('[1]1_group_total_details'!$K$8:$K$10000,'[1]1_group_total_details'!$C$8:$C$10000,I77,'[1]1_group_total_details'!$F$8:$F$10000,pb_location_group_id,'[1]1_group_total_details'!$G$8:$G$10000,invoice_location_id,'[1]1_group_total_details'!$H$8:$H$10000,"&lt;="&amp;pb_date)+SUMIFS('[1]1_group_total_details'!$M$8:$M$10000,'[1]1_group_total_details'!$C$8:$C$10000,I77,'[1]1_group_total_details'!$F$8:$F$10000,pb_location_group_id,'[1]1_group_total_details'!$G$8:$G$10000,pb_location_id,'[1]1_group_total_details'!$H$8:$H$10000,"&lt;="&amp;pb_date)+SUMIFS('[1]1_group_total_details'!$P$8:$P$10000,'[1]1_group_total_details'!$C$8:$C$10000,I77,'[1]1_group_total_details'!$F$8:$F$10000,pb_location_group_id,'[1]1_group_total_details'!$G$8:$G$10000,pb_location_id,'[1]1_group_total_details'!$H$8:$H$10000,"&lt;="&amp;pb_date))))</f>
        <v/>
      </c>
      <c r="AK77" s="1640" t="str">
        <f>IF(M77="","",SUMIFS('[1]1_group_totals'!$J$8:$J$10000,'[1]1_group_totals'!$C$8:$C$10000,I77,'[1]1_group_totals'!$F$8:$F$10000,pb_location_group_id,'[1]1_group_totals'!$G$8:$G$10000,pb_location_id,'[1]1_group_totals'!$H$8:$H$10000,"="&amp;Q77,'[1]1_group_totals'!$I$8:$I$10000,"="&amp;R77))</f>
        <v/>
      </c>
      <c r="AL77" s="1644" t="str">
        <f t="shared" si="222"/>
        <v/>
      </c>
      <c r="AM77" s="1644" t="str">
        <f>IF(OR(ISNA(MATCH(MID(AL77,1,3)*1,UomConversion!$D$8:$D$500,0)),M77=""),"",IF(AQ77="","",AQ77))</f>
        <v/>
      </c>
      <c r="AN77" s="1644" t="str">
        <f>IF(AND(AO77&gt;0,COUNTIFS(UomConversion!$D$8:$D$500,MID(AL77,1,3)*1,UomConversion!$J$8:$J$500,1)&gt;1),TEXT(AO77,"000")&amp;"."&amp;VLOOKUP(AO77,uom_list,5,FALSE),"")</f>
        <v/>
      </c>
      <c r="AO77" s="1640" t="str">
        <f t="shared" si="223"/>
        <v/>
      </c>
      <c r="AP77" s="1645" t="str">
        <f t="shared" si="224"/>
        <v/>
      </c>
      <c r="AQ77" s="491" t="str">
        <f t="shared" si="225"/>
        <v/>
      </c>
      <c r="AR77" s="1281" t="str" cm="1">
        <f t="array" ref="AR77">IF(M77="","",IF(ISNA(Slookup(MID(AL77,1,3)*1,UomConversion!$D$8:$J$500,2,UomConversion!$I$8:$I$500,1,UomConversion!$J$8:$J$500,1)),"",Slookup(MID(AL77,1,3)*1,UomConversion!$D$8:$J$500,2,UomConversion!$I$8:$I$500,1,UomConversion!$J$8:$J$500,1)))</f>
        <v/>
      </c>
      <c r="AS77" s="663" t="str">
        <f>IF(M77="","",(SUMIFS('[1]1_inventory_totals'!$I$8:$I$10000,'[1]1_inventory_totals'!$C$8:$C$10000,I77,'[1]1_inventory_totals'!$F$8:$F$10000,"="&amp;Q77,'[1]1_inventory_totals'!$G$8:$G$10000,"="&amp;R77)+SUMIFS('[1]1_inventory_totals'!$N$8:$N$10000,'[1]1_inventory_totals'!$C$8:$C$10000,I77,'[1]1_inventory_totals'!$F$8:$F$10000,"="&amp;Q77,'[1]1_inventory_totals'!$G$8:$G$10000,"="&amp;R77)+SUMIFS('[1]1_inventory_totals'!$P$8:$P$10000,'[1]1_inventory_totals'!$C$8:$C$10000,I77,'[1]1_inventory_totals'!$F$8:$F$10000,"="&amp;Q77,'[1]1_inventory_totals'!$G$8:$G$10000,"="&amp;R77)+SUMIFS('[1]1_inventory_totals'!$Q$8:$Q$10000,'[1]1_inventory_totals'!$C$8:$C$10000,I77,'[1]1_inventory_totals'!$F$8:$F$10000,"="&amp;Q77,'[1]1_inventory_totals'!$G$8:$G$10000,"="&amp;R77)+SUMIFS('[1]1_inventory_totals'!$R$8:$R$10000,'[1]1_inventory_totals'!$C$8:$C$10000,I77,'[1]1_inventory_totals'!$F$8:$F$10000,"="&amp;Q77,'[1]1_inventory_totals'!$G$8:$G$10000,"="&amp;R77))+(SUMIFS('[1]1_inventory_totals'!$J$8:$J$10000,'[1]1_inventory_totals'!$C$8:$C$10000,I77,'[1]1_inventory_totals'!$F$8:$F$10000,"="&amp;Q77,'[1]1_inventory_totals'!$G$8:$G$10000,"="&amp;R77)+SUMIFS('[1]1_inventory_totals'!$K$8:$K$10000,'[1]1_inventory_totals'!$C$8:$C$10000,I77,'[1]1_inventory_totals'!$F$8:$F$10000,"="&amp;Q77,'[1]1_inventory_totals'!$G$8:$G$10000,"="&amp;R77)+SUMIFS('[1]1_inventory_totals'!$L$8:$L$10000,'[1]1_inventory_totals'!$C$8:$C$10000,I77,'[1]1_inventory_totals'!$F$8:$F$10000,"="&amp;Q77,'[1]1_inventory_totals'!$G$8:$G$10000,"="&amp;R77)+SUMIFS('[1]1_inventory_totals'!$M$8:$M$10000,'[1]1_inventory_totals'!$C$8:$C$10000,I77,'[1]1_inventory_totals'!$F$8:$F$10000,"="&amp;Q77,'[1]1_inventory_totals'!$G$8:$G$10000,"="&amp;R77)+SUMIFS('[1]1_inventory_totals'!$O$8:$O$10000,'[1]1_inventory_totals'!$C$8:$C$10000,I77,'[1]1_inventory_totals'!$F$8:$F$10000,"="&amp;Q77,'[1]1_inventory_totals'!$G$8:$G$10000,"="&amp;R77)+SUMIFS('[1]1_inventory_totals'!$S$8:$S$10000,'[1]1_inventory_totals'!$C$8:$C$10000,I77,'[1]1_inventory_totals'!$F$8:$F$10000,"="&amp;Q77,'[1]1_inventory_totals'!$G$8:$G$10000,"="&amp;R77)))</f>
        <v/>
      </c>
      <c r="AT77" s="1281" t="str">
        <f>IF(M77="","",(SUMIFS('[1]1_group_totals'!$K$8:$K$10000,'[1]1_group_totals'!$C$8:$C$10000,I77,'[1]1_group_totals'!$F$8:$F$10000,pb_location_group_id,'[1]1_group_totals'!$G$8:$G$10000,pb_location_id,'[1]1_group_totals'!$H$8:$H$10000,"="&amp;Q77,'[1]1_group_totals'!$I$8:$I$10000,"="&amp;R77)+SUMIFS('[1]1_group_totals'!$N$8:$N$10000,'[1]1_group_totals'!$C$8:$C$10000,I77,'[1]1_group_totals'!$F$8:$F$10000,pb_location_group_id,'[1]1_group_totals'!$G$8:$G$10000,pb_location_id,'[1]1_group_totals'!$H$8:$H$10000,"="&amp;Q77,'[1]1_group_totals'!$I$8:$I$10000,"="&amp;R77)+SUMIFS('[1]1_group_totals'!$P$8:$P$10000,'[1]1_group_totals'!$C$8:$C$10000,I77,'[1]1_group_totals'!$F$8:$F$10000,pb_location_group_id,'[1]1_group_totals'!$G$8:$G$10000,pb_location_id,'[1]1_group_totals'!$H$8:$H$10000,"="&amp;Q77,'[1]1_group_totals'!$I$8:$I$10000,"="&amp;R77)+SUMIFS('[1]1_group_totals'!$Q$8:$Q$10000,'[1]1_group_totals'!$C$8:$C$10000,I77,'[1]1_group_totals'!$F$8:$F$10000,pb_location_group_id,'[1]1_group_totals'!$G$8:$G$10000,pb_location_id,'[1]1_group_totals'!$H$8:$H$10000,"="&amp;Q77,'[1]1_group_totals'!$I$8:$I$10000,"="&amp;R77))+(SUMIFS('[1]1_group_totals'!$L$8:$L$10000,'[1]1_group_totals'!$C$8:$C$10000,I77,'[1]1_group_totals'!$F$8:$F$10000,pb_location_group_id,'[1]1_group_totals'!$G$8:$G$10000,pb_location_id,'[1]1_group_totals'!$H$8:$H$10000,"="&amp;Q77,'[1]1_group_totals'!$I$8:$I$10000,"="&amp;R77)+SUMIFS('[1]1_group_totals'!$M$8:$M$10000,'[1]1_group_totals'!$C$8:$C$10000,I77,'[1]1_group_totals'!$F$8:$F$10000,pb_location_group_id,'[1]1_group_totals'!$G$8:$G$10000,pb_location_id,'[1]1_group_totals'!$H$8:$H$10000,"="&amp;Q77,'[1]1_group_totals'!$I$8:$I$10000,"="&amp;R77)+SUMIFS('[1]1_group_totals'!$O$8:$O$10000,'[1]1_group_totals'!$C$8:$C$10000,I77,'[1]1_group_totals'!$F$8:$F$10000,pb_location_group_id,'[1]1_group_totals'!$G$8:$G$10000,pb_location_id,'[1]1_group_totals'!$H$8:$H$10000,"="&amp;Q77,'[1]1_group_totals'!$I$8:$I$10000,"="&amp;R77)+SUMIFS('[1]1_group_totals'!$R$8:$R$10000,'[1]1_group_totals'!$C$8:$C$10000,I77,'[1]1_group_totals'!$F$8:$F$10000,pb_location_group_id,'[1]1_group_totals'!$G$8:$G$10000,pb_location_id,'[1]1_group_totals'!$H$8:$H$10000,"="&amp;Q77,'[1]1_group_totals'!$I$8:$I$10000,"="&amp;R77)))</f>
        <v/>
      </c>
    </row>
    <row r="78" spans="1:46" ht="27" hidden="1" customHeight="1">
      <c r="A78" s="923"/>
      <c r="B78" s="1028"/>
      <c r="C78" s="950"/>
      <c r="D78" s="950"/>
      <c r="E78" s="950"/>
      <c r="F78" s="1029"/>
      <c r="G78" s="941"/>
      <c r="H78" s="1070"/>
      <c r="I78" s="1610" t="str">
        <f t="shared" si="212"/>
        <v/>
      </c>
      <c r="J78" s="1631" t="str">
        <f t="shared" si="226"/>
        <v/>
      </c>
      <c r="K78" s="1628"/>
      <c r="L78" s="1632"/>
      <c r="M78" s="1069"/>
      <c r="N78" s="1044"/>
      <c r="O78" s="1044"/>
      <c r="P78" s="1046"/>
      <c r="Q78" s="1047"/>
      <c r="R78" s="1053"/>
      <c r="S78" s="1634" t="str">
        <f t="shared" ref="S78" si="239">IF(M78="","",pb_currency_symbol)</f>
        <v/>
      </c>
      <c r="T78" s="1068"/>
      <c r="U78" s="1636" t="str">
        <f t="shared" si="214"/>
        <v/>
      </c>
      <c r="V78" s="1634" t="str">
        <f t="shared" ref="V78" si="240">IF(W78=0,"",pb_currency_symbol)</f>
        <v/>
      </c>
      <c r="W78" s="1054"/>
      <c r="X78" s="1634" t="str">
        <f t="shared" ref="X78" si="241">IF(M78="","",pb_currency_symbol)</f>
        <v/>
      </c>
      <c r="Y78" s="1638" t="str">
        <f t="shared" si="217"/>
        <v/>
      </c>
      <c r="Z78" s="1062"/>
      <c r="AA78" s="1639" t="str" cm="1">
        <f t="array" ref="AA78">IF(M78="","",IF(P78=AL78,1,Slookup(MID(AL78,1,3)*1,UomConversion!$D$8:$J$500,5,UomConversion!$E$8:$E$500,MID(P78,1,3)*1,UomConversion!$J$8:$J$500,1)))</f>
        <v/>
      </c>
      <c r="AB78" s="1640" t="str">
        <f t="shared" si="218"/>
        <v/>
      </c>
      <c r="AC78" s="1641" t="str">
        <f t="shared" si="219"/>
        <v/>
      </c>
      <c r="AD78" s="1642" t="str">
        <f t="shared" si="220"/>
        <v/>
      </c>
      <c r="AE78" s="1643" t="str">
        <f t="shared" si="221"/>
        <v/>
      </c>
      <c r="AF78" s="1640" t="str">
        <f>IF(I78="","",IF(ISNA(MATCH(I78,IF(pb_location_id=1,'[1]1_inventory_totals'!$C$8:$C$10000,IF(pb_location_id=2,'[1]2_inventory_totals'!$C$8:$C$10000,"")),0)),0,IF(AS78&gt;0,1,0)))</f>
        <v/>
      </c>
      <c r="AG78" s="1640" t="str">
        <f>IF(M78="","",IF(pb_location_id=1,SUMIFS('[1]1_inventory_total_details'!$J$8:$J$10000,'[1]1_inventory_total_details'!$C$8:$C$10000,I78,'[1]1_inventory_total_details'!$F$8:$F$10000,pb_location_id,'[1]1_inventory_total_details'!$G$8:$G$10000,"="&amp;Q78,'[1]1_inventory_total_details'!$H$8:$H$10000,"="&amp;R78,'[1]1_inventory_total_details'!$I$8:$I$10000,"="&amp;pb_date)+SUMIFS('[1]1_inventory_total_details'!$M$8:$M$10000,'[1]1_inventory_total_details'!$C$8:$C$10000,I78,'[1]1_inventory_total_details'!$F$8:$F$10000,pb_location_id,'[1]1_inventory_total_details'!$G$8:$G$10000,"="&amp;Q78,'[1]1_inventory_total_details'!$H$8:$H$10000,"="&amp;R78,'[1]1_inventory_total_details'!$I$8:$I$10000,"="&amp;pb_date)+SUMIFS('[1]1_inventory_total_details'!$K$8:$K$10000,'[1]1_inventory_total_details'!$C$8:$C$10000,I78,'[1]1_inventory_total_details'!$F$8:$F$10000,pb_location_id,'[1]1_inventory_total_details'!$G$8:$G$10000,"="&amp;Q78,'[1]1_inventory_total_details'!$H$8:$H$10000,"="&amp;R78,'[1]1_inventory_total_details'!$I$8:$I$10000,"="&amp;pb_date)+SUMIFS('[1]1_inventory_total_details'!$L$8:$L$10000,'[1]1_inventory_total_details'!$C$8:$C$10000,I78,'[1]1_inventory_total_details'!$F$8:$F$10000,pb_location_id,'[1]1_inventory_total_details'!$G$8:$G$10000,"="&amp;Q78,'[1]1_inventory_total_details'!$H$8:$H$10000,"="&amp;R78,'[1]1_inventory_total_details'!$I$8:$I$10000,"="&amp;pb_date),SUMIFS('[1]2_inventory_total_details'!$J$8:$J$10000,'[1]2_inventory_total_details'!$C$8:$C$10000,I78,'[1]1_inventory_total_details'!$F$8:$F$10000,pb_location_id,'[1]2_inventory_total_details'!$G$8:$G$10000,"="&amp;Q78,'[1]2_inventory_total_details'!$H$8:$H$10000,"="&amp;R78,'[1]2_inventory_total_details'!$I$8:$I$10000,"="&amp;pb_date)+SUMIFS('[1]2_inventory_total_details'!$M$8:$M$10000,'[1]2_inventory_total_details'!$C$8:$C$10000,I78,'[1]2_inventory_total_details'!$F$8:$F$10000,pb_location_id,'[1]2_inventory_total_details'!$G$8:$G$10000,"="&amp;Q78,'[1]2_inventory_total_details'!$H$8:$H$10000,"="&amp;R78,'[1]2_inventory_total_details'!$I$8:$I$10000,"="&amp;pb_date)+SUMIFS('[1]2_inventory_total_details'!$K$8:$K$10000,'[1]2_inventory_total_details'!$C$8:$C$10000,I78,'[1]2_inventory_total_details'!$F$8:$F$10000,pb_location_id,'[1]2_inventory_total_details'!$G$8:$G$10000,"="&amp;Q78,'[1]2_inventory_total_details'!$H$8:$H$10000,"="&amp;R78,'[1]2_inventory_total_details'!$I$8:$I$10000,"="&amp;pb_date)+SUMIFS('[1]2_inventory_total_details'!$L$8:$L$10000,'[1]2_inventory_total_details'!$C$8:$C$10000,I78,'[1]2_inventory_total_details'!$F$8:$F$10000,pb_location_id,'[1]2_inventory_total_details'!$G$8:$G$10000,"="&amp;Q78,'[1]2_inventory_total_details'!$H$8:$H$10000,"="&amp;R78,'[1]2_inventory_total_details'!$I$8:$I$10000,"="&amp;pb_date)))</f>
        <v/>
      </c>
      <c r="AH78" s="1640" t="str">
        <f>IF(M78="","",IF(ISNA(MATCH(I78,'[1]1_group_totals'!$C$8:$C$10000)),0,IF(AT78&gt;0,1,0)))</f>
        <v/>
      </c>
      <c r="AI78" s="1640" t="str">
        <f>IF(M78="","",(SUMIFS('[1]1_group_total_details'!$I$8:$I$10000,'[1]1_group_total_details'!$C$8:$C$10000,I78,'[1]1_group_total_details'!$F$8:$F$10000,pb_location_group_id,'[1]1_group_total_details'!$G$8:$G$10000,pb_location_id,'[1]1_group_total_details'!$H$8:$H$10000,"="&amp;pb_date)+SUMIFS('[1]1_group_total_details'!$L$8:$L$10000,'[1]1_group_total_details'!$C$8:$C$10000,I78,'[1]1_group_total_details'!$F$8:$F$10000,pb_location_group_id,'[1]1_group_total_details'!$G$8:$G$10000,pb_location_id,'[1]1_group_total_details'!$H$8:$H$10000,"="&amp;pb_date)+SUMIFS('[1]1_group_total_details'!$N$8:$N$10000,'[1]1_group_total_details'!$C$8:$C$10000,I78,'[1]1_group_total_details'!$F$8:$F$10000,pb_location_group_id,'[1]1_group_total_details'!$G$8:$G$10000,pb_location_id,'[1]1_group_total_details'!$H$8:$H$10000,"="&amp;pb_date)+SUMIFS('[1]1_group_total_details'!$O$8:$O$10000,'[1]1_group_total_details'!$C$8:$C$10000,I78,'[1]1_group_total_details'!$F$8:$F$10000,pb_location_group_id,'[1]1_group_total_details'!$G$8:$G$10000,pb_location_id,'[1]1_group_total_details'!$H$8:$H$10000,"="&amp;pb_date))+(SUMIFS('[1]1_group_total_details'!$J$8:$J$10000,'[1]1_group_total_details'!$C$8:$C$10000,I78,'[1]1_group_total_details'!$F$8:$F$10000,pb_location_group_id,'[1]1_group_total_details'!$G$8:$G$10000,pb_location_id,'[1]1_group_total_details'!$H$8:$H$10000,"="&amp;pb_date)+SUMIFS('[1]1_group_total_details'!$K$8:$K$10000,'[1]1_group_total_details'!$C$8:$C$10000,I78,'[1]1_group_total_details'!$F$8:$F$10000,pb_location_group_id,'[1]1_group_total_details'!$G$8:$G$10000,pb_location_id,'[1]1_group_total_details'!$H$8:$H$10000,"="&amp;pb_date)+SUMIFS('[1]1_group_total_details'!$M$8:$M$10000,'[1]1_group_total_details'!$C$8:$C$10000,I78,'[1]1_group_total_details'!$F$8:$F$10000,pb_location_group_id,'[1]1_group_total_details'!$G$8:$G$10000,pb_location_id,'[1]1_group_total_details'!$H$8:$H$10000,"="&amp;pb_date)+SUMIFS('[1]1_group_total_details'!$P$8:$P$10000,'[1]1_group_total_details'!$C$8:$C$10000,I78,'[1]1_group_total_details'!$F$8:$F$10000,pb_location_group_id,'[1]1_group_total_details'!$G$8:$G$10000,pb_location_id,'[1]1_group_total_details'!$H$8:$H$10000,"="&amp;pb_date)))</f>
        <v/>
      </c>
      <c r="AJ78" s="1640" t="str">
        <f>IF(M78="","",IF(AK78=0,0,(SUMIFS('[1]1_group_total_details'!$I$8:$I$10000,'[1]1_group_total_details'!$C$8:$C$10000,I78,'[1]1_group_total_details'!$F$8:$F$10000,pb_location_group_id,'[1]1_group_total_details'!$G$8:$G$10000,pb_location_id,'[1]1_group_total_details'!$H$8:$H$10000,"&lt;="&amp;pb_date)+SUMIFS('[1]1_group_total_details'!$L$8:$L$10000,'[1]1_group_total_details'!$C$8:$C$10000,I78,'[1]1_group_total_details'!$F$8:$F$10000,pb_location_group_id,'[1]1_group_total_details'!$G$8:$G$10000,pb_location_id,'[1]1_group_total_details'!$H$8:$H$10000,"&lt;="&amp;pb_date)+SUMIFS('[1]1_group_total_details'!$N$8:$N$10000,'[1]1_group_total_details'!$C$8:$C$10000,I78,'[1]1_group_total_details'!$F$8:$F$10000,pb_location_group_id,'[1]1_group_total_details'!$G$8:$G$10000,pb_location_id,'[1]1_group_total_details'!$H$8:$H$10000,"&lt;="&amp;pb_date)+SUMIFS('[1]1_group_total_details'!$O$8:$O$10000,'[1]1_group_total_details'!$C$8:$C$10000,I78,'[1]1_group_total_details'!$F$8:$F$10000,pb_location_group_id,'[1]1_group_total_details'!$G$8:$G$10000,pb_location_id,'[1]1_group_total_details'!$H$8:$H$10000,"&lt;="&amp;pb_date))-(SUMIFS('[1]1_group_total_details'!$J$8:$J$10000,'[1]1_group_total_details'!$C$8:$C$10000,I78,'[1]1_group_total_details'!$F$8:$F$10000,pb_location_group_id,'[1]1_group_total_details'!$G$8:$G$10000,pb_location_id,'[1]1_group_total_details'!$H$8:$H$10000,"&lt;="&amp;pb_date)+SUMIFS('[1]1_group_total_details'!$K$8:$K$10000,'[1]1_group_total_details'!$C$8:$C$10000,I78,'[1]1_group_total_details'!$F$8:$F$10000,pb_location_group_id,'[1]1_group_total_details'!$G$8:$G$10000,invoice_location_id,'[1]1_group_total_details'!$H$8:$H$10000,"&lt;="&amp;pb_date)+SUMIFS('[1]1_group_total_details'!$M$8:$M$10000,'[1]1_group_total_details'!$C$8:$C$10000,I78,'[1]1_group_total_details'!$F$8:$F$10000,pb_location_group_id,'[1]1_group_total_details'!$G$8:$G$10000,pb_location_id,'[1]1_group_total_details'!$H$8:$H$10000,"&lt;="&amp;pb_date)+SUMIFS('[1]1_group_total_details'!$P$8:$P$10000,'[1]1_group_total_details'!$C$8:$C$10000,I78,'[1]1_group_total_details'!$F$8:$F$10000,pb_location_group_id,'[1]1_group_total_details'!$G$8:$G$10000,pb_location_id,'[1]1_group_total_details'!$H$8:$H$10000,"&lt;="&amp;pb_date))))</f>
        <v/>
      </c>
      <c r="AK78" s="1640" t="str">
        <f>IF(M78="","",SUMIFS('[1]1_group_totals'!$J$8:$J$10000,'[1]1_group_totals'!$C$8:$C$10000,I78,'[1]1_group_totals'!$F$8:$F$10000,pb_location_group_id,'[1]1_group_totals'!$G$8:$G$10000,pb_location_id,'[1]1_group_totals'!$H$8:$H$10000,"="&amp;Q78,'[1]1_group_totals'!$I$8:$I$10000,"="&amp;R78))</f>
        <v/>
      </c>
      <c r="AL78" s="1644" t="str">
        <f t="shared" si="222"/>
        <v/>
      </c>
      <c r="AM78" s="1644" t="str">
        <f>IF(OR(ISNA(MATCH(MID(AL78,1,3)*1,UomConversion!$D$8:$D$500,0)),M78=""),"",IF(AQ78="","",AQ78))</f>
        <v/>
      </c>
      <c r="AN78" s="1644" t="str">
        <f>IF(AND(AO78&gt;0,COUNTIFS(UomConversion!$D$8:$D$500,MID(AL78,1,3)*1,UomConversion!$J$8:$J$500,1)&gt;1),TEXT(AO78,"000")&amp;"."&amp;VLOOKUP(AO78,uom_list,5,FALSE),"")</f>
        <v/>
      </c>
      <c r="AO78" s="1640" t="str">
        <f t="shared" si="223"/>
        <v/>
      </c>
      <c r="AP78" s="1645" t="str">
        <f t="shared" si="224"/>
        <v/>
      </c>
      <c r="AQ78" s="491" t="str">
        <f t="shared" si="225"/>
        <v/>
      </c>
      <c r="AR78" s="1281" t="str" cm="1">
        <f t="array" ref="AR78">IF(M78="","",IF(ISNA(Slookup(MID(AL78,1,3)*1,UomConversion!$D$8:$J$500,2,UomConversion!$I$8:$I$500,1,UomConversion!$J$8:$J$500,1)),"",Slookup(MID(AL78,1,3)*1,UomConversion!$D$8:$J$500,2,UomConversion!$I$8:$I$500,1,UomConversion!$J$8:$J$500,1)))</f>
        <v/>
      </c>
      <c r="AS78" s="663" t="str">
        <f>IF(M78="","",(SUMIFS('[1]1_inventory_totals'!$I$8:$I$10000,'[1]1_inventory_totals'!$C$8:$C$10000,I78,'[1]1_inventory_totals'!$F$8:$F$10000,"="&amp;Q78,'[1]1_inventory_totals'!$G$8:$G$10000,"="&amp;R78)+SUMIFS('[1]1_inventory_totals'!$N$8:$N$10000,'[1]1_inventory_totals'!$C$8:$C$10000,I78,'[1]1_inventory_totals'!$F$8:$F$10000,"="&amp;Q78,'[1]1_inventory_totals'!$G$8:$G$10000,"="&amp;R78)+SUMIFS('[1]1_inventory_totals'!$P$8:$P$10000,'[1]1_inventory_totals'!$C$8:$C$10000,I78,'[1]1_inventory_totals'!$F$8:$F$10000,"="&amp;Q78,'[1]1_inventory_totals'!$G$8:$G$10000,"="&amp;R78)+SUMIFS('[1]1_inventory_totals'!$Q$8:$Q$10000,'[1]1_inventory_totals'!$C$8:$C$10000,I78,'[1]1_inventory_totals'!$F$8:$F$10000,"="&amp;Q78,'[1]1_inventory_totals'!$G$8:$G$10000,"="&amp;R78)+SUMIFS('[1]1_inventory_totals'!$R$8:$R$10000,'[1]1_inventory_totals'!$C$8:$C$10000,I78,'[1]1_inventory_totals'!$F$8:$F$10000,"="&amp;Q78,'[1]1_inventory_totals'!$G$8:$G$10000,"="&amp;R78))+(SUMIFS('[1]1_inventory_totals'!$J$8:$J$10000,'[1]1_inventory_totals'!$C$8:$C$10000,I78,'[1]1_inventory_totals'!$F$8:$F$10000,"="&amp;Q78,'[1]1_inventory_totals'!$G$8:$G$10000,"="&amp;R78)+SUMIFS('[1]1_inventory_totals'!$K$8:$K$10000,'[1]1_inventory_totals'!$C$8:$C$10000,I78,'[1]1_inventory_totals'!$F$8:$F$10000,"="&amp;Q78,'[1]1_inventory_totals'!$G$8:$G$10000,"="&amp;R78)+SUMIFS('[1]1_inventory_totals'!$L$8:$L$10000,'[1]1_inventory_totals'!$C$8:$C$10000,I78,'[1]1_inventory_totals'!$F$8:$F$10000,"="&amp;Q78,'[1]1_inventory_totals'!$G$8:$G$10000,"="&amp;R78)+SUMIFS('[1]1_inventory_totals'!$M$8:$M$10000,'[1]1_inventory_totals'!$C$8:$C$10000,I78,'[1]1_inventory_totals'!$F$8:$F$10000,"="&amp;Q78,'[1]1_inventory_totals'!$G$8:$G$10000,"="&amp;R78)+SUMIFS('[1]1_inventory_totals'!$O$8:$O$10000,'[1]1_inventory_totals'!$C$8:$C$10000,I78,'[1]1_inventory_totals'!$F$8:$F$10000,"="&amp;Q78,'[1]1_inventory_totals'!$G$8:$G$10000,"="&amp;R78)+SUMIFS('[1]1_inventory_totals'!$S$8:$S$10000,'[1]1_inventory_totals'!$C$8:$C$10000,I78,'[1]1_inventory_totals'!$F$8:$F$10000,"="&amp;Q78,'[1]1_inventory_totals'!$G$8:$G$10000,"="&amp;R78)))</f>
        <v/>
      </c>
      <c r="AT78" s="1281" t="str">
        <f>IF(M78="","",(SUMIFS('[1]1_group_totals'!$K$8:$K$10000,'[1]1_group_totals'!$C$8:$C$10000,I78,'[1]1_group_totals'!$F$8:$F$10000,pb_location_group_id,'[1]1_group_totals'!$G$8:$G$10000,pb_location_id,'[1]1_group_totals'!$H$8:$H$10000,"="&amp;Q78,'[1]1_group_totals'!$I$8:$I$10000,"="&amp;R78)+SUMIFS('[1]1_group_totals'!$N$8:$N$10000,'[1]1_group_totals'!$C$8:$C$10000,I78,'[1]1_group_totals'!$F$8:$F$10000,pb_location_group_id,'[1]1_group_totals'!$G$8:$G$10000,pb_location_id,'[1]1_group_totals'!$H$8:$H$10000,"="&amp;Q78,'[1]1_group_totals'!$I$8:$I$10000,"="&amp;R78)+SUMIFS('[1]1_group_totals'!$P$8:$P$10000,'[1]1_group_totals'!$C$8:$C$10000,I78,'[1]1_group_totals'!$F$8:$F$10000,pb_location_group_id,'[1]1_group_totals'!$G$8:$G$10000,pb_location_id,'[1]1_group_totals'!$H$8:$H$10000,"="&amp;Q78,'[1]1_group_totals'!$I$8:$I$10000,"="&amp;R78)+SUMIFS('[1]1_group_totals'!$Q$8:$Q$10000,'[1]1_group_totals'!$C$8:$C$10000,I78,'[1]1_group_totals'!$F$8:$F$10000,pb_location_group_id,'[1]1_group_totals'!$G$8:$G$10000,pb_location_id,'[1]1_group_totals'!$H$8:$H$10000,"="&amp;Q78,'[1]1_group_totals'!$I$8:$I$10000,"="&amp;R78))+(SUMIFS('[1]1_group_totals'!$L$8:$L$10000,'[1]1_group_totals'!$C$8:$C$10000,I78,'[1]1_group_totals'!$F$8:$F$10000,pb_location_group_id,'[1]1_group_totals'!$G$8:$G$10000,pb_location_id,'[1]1_group_totals'!$H$8:$H$10000,"="&amp;Q78,'[1]1_group_totals'!$I$8:$I$10000,"="&amp;R78)+SUMIFS('[1]1_group_totals'!$M$8:$M$10000,'[1]1_group_totals'!$C$8:$C$10000,I78,'[1]1_group_totals'!$F$8:$F$10000,pb_location_group_id,'[1]1_group_totals'!$G$8:$G$10000,pb_location_id,'[1]1_group_totals'!$H$8:$H$10000,"="&amp;Q78,'[1]1_group_totals'!$I$8:$I$10000,"="&amp;R78)+SUMIFS('[1]1_group_totals'!$O$8:$O$10000,'[1]1_group_totals'!$C$8:$C$10000,I78,'[1]1_group_totals'!$F$8:$F$10000,pb_location_group_id,'[1]1_group_totals'!$G$8:$G$10000,pb_location_id,'[1]1_group_totals'!$H$8:$H$10000,"="&amp;Q78,'[1]1_group_totals'!$I$8:$I$10000,"="&amp;R78)+SUMIFS('[1]1_group_totals'!$R$8:$R$10000,'[1]1_group_totals'!$C$8:$C$10000,I78,'[1]1_group_totals'!$F$8:$F$10000,pb_location_group_id,'[1]1_group_totals'!$G$8:$G$10000,pb_location_id,'[1]1_group_totals'!$H$8:$H$10000,"="&amp;Q78,'[1]1_group_totals'!$I$8:$I$10000,"="&amp;R78)))</f>
        <v/>
      </c>
    </row>
    <row r="79" spans="1:46" ht="27" hidden="1" customHeight="1">
      <c r="A79" s="923"/>
      <c r="B79" s="1028"/>
      <c r="C79" s="950"/>
      <c r="D79" s="950"/>
      <c r="E79" s="950"/>
      <c r="F79" s="1029"/>
      <c r="G79" s="941"/>
      <c r="H79" s="1070"/>
      <c r="I79" s="1610" t="str">
        <f t="shared" si="212"/>
        <v/>
      </c>
      <c r="J79" s="1631" t="str">
        <f t="shared" si="226"/>
        <v/>
      </c>
      <c r="K79" s="1628"/>
      <c r="L79" s="1632"/>
      <c r="M79" s="1069"/>
      <c r="N79" s="1044"/>
      <c r="O79" s="1044"/>
      <c r="P79" s="1046"/>
      <c r="Q79" s="1047"/>
      <c r="R79" s="1053"/>
      <c r="S79" s="1634" t="str">
        <f t="shared" ref="S79" si="242">IF(M79="","",pb_currency_symbol)</f>
        <v/>
      </c>
      <c r="T79" s="1068"/>
      <c r="U79" s="1636" t="str">
        <f t="shared" si="214"/>
        <v/>
      </c>
      <c r="V79" s="1634" t="str">
        <f t="shared" ref="V79" si="243">IF(W79=0,"",pb_currency_symbol)</f>
        <v/>
      </c>
      <c r="W79" s="1054"/>
      <c r="X79" s="1634" t="str">
        <f t="shared" ref="X79" si="244">IF(M79="","",pb_currency_symbol)</f>
        <v/>
      </c>
      <c r="Y79" s="1638" t="str">
        <f t="shared" si="217"/>
        <v/>
      </c>
      <c r="Z79" s="1062"/>
      <c r="AA79" s="1639" t="str" cm="1">
        <f t="array" ref="AA79">IF(M79="","",IF(P79=AL79,1,Slookup(MID(AL79,1,3)*1,UomConversion!$D$8:$J$500,5,UomConversion!$E$8:$E$500,MID(P79,1,3)*1,UomConversion!$J$8:$J$500,1)))</f>
        <v/>
      </c>
      <c r="AB79" s="1640" t="str">
        <f t="shared" si="218"/>
        <v/>
      </c>
      <c r="AC79" s="1641" t="str">
        <f t="shared" si="219"/>
        <v/>
      </c>
      <c r="AD79" s="1642" t="str">
        <f t="shared" si="220"/>
        <v/>
      </c>
      <c r="AE79" s="1643" t="str">
        <f t="shared" si="221"/>
        <v/>
      </c>
      <c r="AF79" s="1640" t="str">
        <f>IF(I79="","",IF(ISNA(MATCH(I79,IF(pb_location_id=1,'[1]1_inventory_totals'!$C$8:$C$10000,IF(pb_location_id=2,'[1]2_inventory_totals'!$C$8:$C$10000,"")),0)),0,IF(AS79&gt;0,1,0)))</f>
        <v/>
      </c>
      <c r="AG79" s="1640" t="str">
        <f>IF(M79="","",IF(pb_location_id=1,SUMIFS('[1]1_inventory_total_details'!$J$8:$J$10000,'[1]1_inventory_total_details'!$C$8:$C$10000,I79,'[1]1_inventory_total_details'!$F$8:$F$10000,pb_location_id,'[1]1_inventory_total_details'!$G$8:$G$10000,"="&amp;Q79,'[1]1_inventory_total_details'!$H$8:$H$10000,"="&amp;R79,'[1]1_inventory_total_details'!$I$8:$I$10000,"="&amp;pb_date)+SUMIFS('[1]1_inventory_total_details'!$M$8:$M$10000,'[1]1_inventory_total_details'!$C$8:$C$10000,I79,'[1]1_inventory_total_details'!$F$8:$F$10000,pb_location_id,'[1]1_inventory_total_details'!$G$8:$G$10000,"="&amp;Q79,'[1]1_inventory_total_details'!$H$8:$H$10000,"="&amp;R79,'[1]1_inventory_total_details'!$I$8:$I$10000,"="&amp;pb_date)+SUMIFS('[1]1_inventory_total_details'!$K$8:$K$10000,'[1]1_inventory_total_details'!$C$8:$C$10000,I79,'[1]1_inventory_total_details'!$F$8:$F$10000,pb_location_id,'[1]1_inventory_total_details'!$G$8:$G$10000,"="&amp;Q79,'[1]1_inventory_total_details'!$H$8:$H$10000,"="&amp;R79,'[1]1_inventory_total_details'!$I$8:$I$10000,"="&amp;pb_date)+SUMIFS('[1]1_inventory_total_details'!$L$8:$L$10000,'[1]1_inventory_total_details'!$C$8:$C$10000,I79,'[1]1_inventory_total_details'!$F$8:$F$10000,pb_location_id,'[1]1_inventory_total_details'!$G$8:$G$10000,"="&amp;Q79,'[1]1_inventory_total_details'!$H$8:$H$10000,"="&amp;R79,'[1]1_inventory_total_details'!$I$8:$I$10000,"="&amp;pb_date),SUMIFS('[1]2_inventory_total_details'!$J$8:$J$10000,'[1]2_inventory_total_details'!$C$8:$C$10000,I79,'[1]1_inventory_total_details'!$F$8:$F$10000,pb_location_id,'[1]2_inventory_total_details'!$G$8:$G$10000,"="&amp;Q79,'[1]2_inventory_total_details'!$H$8:$H$10000,"="&amp;R79,'[1]2_inventory_total_details'!$I$8:$I$10000,"="&amp;pb_date)+SUMIFS('[1]2_inventory_total_details'!$M$8:$M$10000,'[1]2_inventory_total_details'!$C$8:$C$10000,I79,'[1]2_inventory_total_details'!$F$8:$F$10000,pb_location_id,'[1]2_inventory_total_details'!$G$8:$G$10000,"="&amp;Q79,'[1]2_inventory_total_details'!$H$8:$H$10000,"="&amp;R79,'[1]2_inventory_total_details'!$I$8:$I$10000,"="&amp;pb_date)+SUMIFS('[1]2_inventory_total_details'!$K$8:$K$10000,'[1]2_inventory_total_details'!$C$8:$C$10000,I79,'[1]2_inventory_total_details'!$F$8:$F$10000,pb_location_id,'[1]2_inventory_total_details'!$G$8:$G$10000,"="&amp;Q79,'[1]2_inventory_total_details'!$H$8:$H$10000,"="&amp;R79,'[1]2_inventory_total_details'!$I$8:$I$10000,"="&amp;pb_date)+SUMIFS('[1]2_inventory_total_details'!$L$8:$L$10000,'[1]2_inventory_total_details'!$C$8:$C$10000,I79,'[1]2_inventory_total_details'!$F$8:$F$10000,pb_location_id,'[1]2_inventory_total_details'!$G$8:$G$10000,"="&amp;Q79,'[1]2_inventory_total_details'!$H$8:$H$10000,"="&amp;R79,'[1]2_inventory_total_details'!$I$8:$I$10000,"="&amp;pb_date)))</f>
        <v/>
      </c>
      <c r="AH79" s="1640" t="str">
        <f>IF(M79="","",IF(ISNA(MATCH(I79,'[1]1_group_totals'!$C$8:$C$10000)),0,IF(AT79&gt;0,1,0)))</f>
        <v/>
      </c>
      <c r="AI79" s="1640" t="str">
        <f>IF(M79="","",(SUMIFS('[1]1_group_total_details'!$I$8:$I$10000,'[1]1_group_total_details'!$C$8:$C$10000,I79,'[1]1_group_total_details'!$F$8:$F$10000,pb_location_group_id,'[1]1_group_total_details'!$G$8:$G$10000,pb_location_id,'[1]1_group_total_details'!$H$8:$H$10000,"="&amp;pb_date)+SUMIFS('[1]1_group_total_details'!$L$8:$L$10000,'[1]1_group_total_details'!$C$8:$C$10000,I79,'[1]1_group_total_details'!$F$8:$F$10000,pb_location_group_id,'[1]1_group_total_details'!$G$8:$G$10000,pb_location_id,'[1]1_group_total_details'!$H$8:$H$10000,"="&amp;pb_date)+SUMIFS('[1]1_group_total_details'!$N$8:$N$10000,'[1]1_group_total_details'!$C$8:$C$10000,I79,'[1]1_group_total_details'!$F$8:$F$10000,pb_location_group_id,'[1]1_group_total_details'!$G$8:$G$10000,pb_location_id,'[1]1_group_total_details'!$H$8:$H$10000,"="&amp;pb_date)+SUMIFS('[1]1_group_total_details'!$O$8:$O$10000,'[1]1_group_total_details'!$C$8:$C$10000,I79,'[1]1_group_total_details'!$F$8:$F$10000,pb_location_group_id,'[1]1_group_total_details'!$G$8:$G$10000,pb_location_id,'[1]1_group_total_details'!$H$8:$H$10000,"="&amp;pb_date))+(SUMIFS('[1]1_group_total_details'!$J$8:$J$10000,'[1]1_group_total_details'!$C$8:$C$10000,I79,'[1]1_group_total_details'!$F$8:$F$10000,pb_location_group_id,'[1]1_group_total_details'!$G$8:$G$10000,pb_location_id,'[1]1_group_total_details'!$H$8:$H$10000,"="&amp;pb_date)+SUMIFS('[1]1_group_total_details'!$K$8:$K$10000,'[1]1_group_total_details'!$C$8:$C$10000,I79,'[1]1_group_total_details'!$F$8:$F$10000,pb_location_group_id,'[1]1_group_total_details'!$G$8:$G$10000,pb_location_id,'[1]1_group_total_details'!$H$8:$H$10000,"="&amp;pb_date)+SUMIFS('[1]1_group_total_details'!$M$8:$M$10000,'[1]1_group_total_details'!$C$8:$C$10000,I79,'[1]1_group_total_details'!$F$8:$F$10000,pb_location_group_id,'[1]1_group_total_details'!$G$8:$G$10000,pb_location_id,'[1]1_group_total_details'!$H$8:$H$10000,"="&amp;pb_date)+SUMIFS('[1]1_group_total_details'!$P$8:$P$10000,'[1]1_group_total_details'!$C$8:$C$10000,I79,'[1]1_group_total_details'!$F$8:$F$10000,pb_location_group_id,'[1]1_group_total_details'!$G$8:$G$10000,pb_location_id,'[1]1_group_total_details'!$H$8:$H$10000,"="&amp;pb_date)))</f>
        <v/>
      </c>
      <c r="AJ79" s="1640" t="str">
        <f>IF(M79="","",IF(AK79=0,0,(SUMIFS('[1]1_group_total_details'!$I$8:$I$10000,'[1]1_group_total_details'!$C$8:$C$10000,I79,'[1]1_group_total_details'!$F$8:$F$10000,pb_location_group_id,'[1]1_group_total_details'!$G$8:$G$10000,pb_location_id,'[1]1_group_total_details'!$H$8:$H$10000,"&lt;="&amp;pb_date)+SUMIFS('[1]1_group_total_details'!$L$8:$L$10000,'[1]1_group_total_details'!$C$8:$C$10000,I79,'[1]1_group_total_details'!$F$8:$F$10000,pb_location_group_id,'[1]1_group_total_details'!$G$8:$G$10000,pb_location_id,'[1]1_group_total_details'!$H$8:$H$10000,"&lt;="&amp;pb_date)+SUMIFS('[1]1_group_total_details'!$N$8:$N$10000,'[1]1_group_total_details'!$C$8:$C$10000,I79,'[1]1_group_total_details'!$F$8:$F$10000,pb_location_group_id,'[1]1_group_total_details'!$G$8:$G$10000,pb_location_id,'[1]1_group_total_details'!$H$8:$H$10000,"&lt;="&amp;pb_date)+SUMIFS('[1]1_group_total_details'!$O$8:$O$10000,'[1]1_group_total_details'!$C$8:$C$10000,I79,'[1]1_group_total_details'!$F$8:$F$10000,pb_location_group_id,'[1]1_group_total_details'!$G$8:$G$10000,pb_location_id,'[1]1_group_total_details'!$H$8:$H$10000,"&lt;="&amp;pb_date))-(SUMIFS('[1]1_group_total_details'!$J$8:$J$10000,'[1]1_group_total_details'!$C$8:$C$10000,I79,'[1]1_group_total_details'!$F$8:$F$10000,pb_location_group_id,'[1]1_group_total_details'!$G$8:$G$10000,pb_location_id,'[1]1_group_total_details'!$H$8:$H$10000,"&lt;="&amp;pb_date)+SUMIFS('[1]1_group_total_details'!$K$8:$K$10000,'[1]1_group_total_details'!$C$8:$C$10000,I79,'[1]1_group_total_details'!$F$8:$F$10000,pb_location_group_id,'[1]1_group_total_details'!$G$8:$G$10000,invoice_location_id,'[1]1_group_total_details'!$H$8:$H$10000,"&lt;="&amp;pb_date)+SUMIFS('[1]1_group_total_details'!$M$8:$M$10000,'[1]1_group_total_details'!$C$8:$C$10000,I79,'[1]1_group_total_details'!$F$8:$F$10000,pb_location_group_id,'[1]1_group_total_details'!$G$8:$G$10000,pb_location_id,'[1]1_group_total_details'!$H$8:$H$10000,"&lt;="&amp;pb_date)+SUMIFS('[1]1_group_total_details'!$P$8:$P$10000,'[1]1_group_total_details'!$C$8:$C$10000,I79,'[1]1_group_total_details'!$F$8:$F$10000,pb_location_group_id,'[1]1_group_total_details'!$G$8:$G$10000,pb_location_id,'[1]1_group_total_details'!$H$8:$H$10000,"&lt;="&amp;pb_date))))</f>
        <v/>
      </c>
      <c r="AK79" s="1640" t="str">
        <f>IF(M79="","",SUMIFS('[1]1_group_totals'!$J$8:$J$10000,'[1]1_group_totals'!$C$8:$C$10000,I79,'[1]1_group_totals'!$F$8:$F$10000,pb_location_group_id,'[1]1_group_totals'!$G$8:$G$10000,pb_location_id,'[1]1_group_totals'!$H$8:$H$10000,"="&amp;Q79,'[1]1_group_totals'!$I$8:$I$10000,"="&amp;R79))</f>
        <v/>
      </c>
      <c r="AL79" s="1644" t="str">
        <f t="shared" si="222"/>
        <v/>
      </c>
      <c r="AM79" s="1644" t="str">
        <f>IF(OR(ISNA(MATCH(MID(AL79,1,3)*1,UomConversion!$D$8:$D$500,0)),M79=""),"",IF(AQ79="","",AQ79))</f>
        <v/>
      </c>
      <c r="AN79" s="1644" t="str">
        <f>IF(AND(AO79&gt;0,COUNTIFS(UomConversion!$D$8:$D$500,MID(AL79,1,3)*1,UomConversion!$J$8:$J$500,1)&gt;1),TEXT(AO79,"000")&amp;"."&amp;VLOOKUP(AO79,uom_list,5,FALSE),"")</f>
        <v/>
      </c>
      <c r="AO79" s="1640" t="str">
        <f t="shared" si="223"/>
        <v/>
      </c>
      <c r="AP79" s="1645" t="str">
        <f t="shared" si="224"/>
        <v/>
      </c>
      <c r="AQ79" s="491" t="str">
        <f t="shared" si="225"/>
        <v/>
      </c>
      <c r="AR79" s="1281" t="str" cm="1">
        <f t="array" ref="AR79">IF(M79="","",IF(ISNA(Slookup(MID(AL79,1,3)*1,UomConversion!$D$8:$J$500,2,UomConversion!$I$8:$I$500,1,UomConversion!$J$8:$J$500,1)),"",Slookup(MID(AL79,1,3)*1,UomConversion!$D$8:$J$500,2,UomConversion!$I$8:$I$500,1,UomConversion!$J$8:$J$500,1)))</f>
        <v/>
      </c>
      <c r="AS79" s="663" t="str">
        <f>IF(M79="","",(SUMIFS('[1]1_inventory_totals'!$I$8:$I$10000,'[1]1_inventory_totals'!$C$8:$C$10000,I79,'[1]1_inventory_totals'!$F$8:$F$10000,"="&amp;Q79,'[1]1_inventory_totals'!$G$8:$G$10000,"="&amp;R79)+SUMIFS('[1]1_inventory_totals'!$N$8:$N$10000,'[1]1_inventory_totals'!$C$8:$C$10000,I79,'[1]1_inventory_totals'!$F$8:$F$10000,"="&amp;Q79,'[1]1_inventory_totals'!$G$8:$G$10000,"="&amp;R79)+SUMIFS('[1]1_inventory_totals'!$P$8:$P$10000,'[1]1_inventory_totals'!$C$8:$C$10000,I79,'[1]1_inventory_totals'!$F$8:$F$10000,"="&amp;Q79,'[1]1_inventory_totals'!$G$8:$G$10000,"="&amp;R79)+SUMIFS('[1]1_inventory_totals'!$Q$8:$Q$10000,'[1]1_inventory_totals'!$C$8:$C$10000,I79,'[1]1_inventory_totals'!$F$8:$F$10000,"="&amp;Q79,'[1]1_inventory_totals'!$G$8:$G$10000,"="&amp;R79)+SUMIFS('[1]1_inventory_totals'!$R$8:$R$10000,'[1]1_inventory_totals'!$C$8:$C$10000,I79,'[1]1_inventory_totals'!$F$8:$F$10000,"="&amp;Q79,'[1]1_inventory_totals'!$G$8:$G$10000,"="&amp;R79))+(SUMIFS('[1]1_inventory_totals'!$J$8:$J$10000,'[1]1_inventory_totals'!$C$8:$C$10000,I79,'[1]1_inventory_totals'!$F$8:$F$10000,"="&amp;Q79,'[1]1_inventory_totals'!$G$8:$G$10000,"="&amp;R79)+SUMIFS('[1]1_inventory_totals'!$K$8:$K$10000,'[1]1_inventory_totals'!$C$8:$C$10000,I79,'[1]1_inventory_totals'!$F$8:$F$10000,"="&amp;Q79,'[1]1_inventory_totals'!$G$8:$G$10000,"="&amp;R79)+SUMIFS('[1]1_inventory_totals'!$L$8:$L$10000,'[1]1_inventory_totals'!$C$8:$C$10000,I79,'[1]1_inventory_totals'!$F$8:$F$10000,"="&amp;Q79,'[1]1_inventory_totals'!$G$8:$G$10000,"="&amp;R79)+SUMIFS('[1]1_inventory_totals'!$M$8:$M$10000,'[1]1_inventory_totals'!$C$8:$C$10000,I79,'[1]1_inventory_totals'!$F$8:$F$10000,"="&amp;Q79,'[1]1_inventory_totals'!$G$8:$G$10000,"="&amp;R79)+SUMIFS('[1]1_inventory_totals'!$O$8:$O$10000,'[1]1_inventory_totals'!$C$8:$C$10000,I79,'[1]1_inventory_totals'!$F$8:$F$10000,"="&amp;Q79,'[1]1_inventory_totals'!$G$8:$G$10000,"="&amp;R79)+SUMIFS('[1]1_inventory_totals'!$S$8:$S$10000,'[1]1_inventory_totals'!$C$8:$C$10000,I79,'[1]1_inventory_totals'!$F$8:$F$10000,"="&amp;Q79,'[1]1_inventory_totals'!$G$8:$G$10000,"="&amp;R79)))</f>
        <v/>
      </c>
      <c r="AT79" s="1281" t="str">
        <f>IF(M79="","",(SUMIFS('[1]1_group_totals'!$K$8:$K$10000,'[1]1_group_totals'!$C$8:$C$10000,I79,'[1]1_group_totals'!$F$8:$F$10000,pb_location_group_id,'[1]1_group_totals'!$G$8:$G$10000,pb_location_id,'[1]1_group_totals'!$H$8:$H$10000,"="&amp;Q79,'[1]1_group_totals'!$I$8:$I$10000,"="&amp;R79)+SUMIFS('[1]1_group_totals'!$N$8:$N$10000,'[1]1_group_totals'!$C$8:$C$10000,I79,'[1]1_group_totals'!$F$8:$F$10000,pb_location_group_id,'[1]1_group_totals'!$G$8:$G$10000,pb_location_id,'[1]1_group_totals'!$H$8:$H$10000,"="&amp;Q79,'[1]1_group_totals'!$I$8:$I$10000,"="&amp;R79)+SUMIFS('[1]1_group_totals'!$P$8:$P$10000,'[1]1_group_totals'!$C$8:$C$10000,I79,'[1]1_group_totals'!$F$8:$F$10000,pb_location_group_id,'[1]1_group_totals'!$G$8:$G$10000,pb_location_id,'[1]1_group_totals'!$H$8:$H$10000,"="&amp;Q79,'[1]1_group_totals'!$I$8:$I$10000,"="&amp;R79)+SUMIFS('[1]1_group_totals'!$Q$8:$Q$10000,'[1]1_group_totals'!$C$8:$C$10000,I79,'[1]1_group_totals'!$F$8:$F$10000,pb_location_group_id,'[1]1_group_totals'!$G$8:$G$10000,pb_location_id,'[1]1_group_totals'!$H$8:$H$10000,"="&amp;Q79,'[1]1_group_totals'!$I$8:$I$10000,"="&amp;R79))+(SUMIFS('[1]1_group_totals'!$L$8:$L$10000,'[1]1_group_totals'!$C$8:$C$10000,I79,'[1]1_group_totals'!$F$8:$F$10000,pb_location_group_id,'[1]1_group_totals'!$G$8:$G$10000,pb_location_id,'[1]1_group_totals'!$H$8:$H$10000,"="&amp;Q79,'[1]1_group_totals'!$I$8:$I$10000,"="&amp;R79)+SUMIFS('[1]1_group_totals'!$M$8:$M$10000,'[1]1_group_totals'!$C$8:$C$10000,I79,'[1]1_group_totals'!$F$8:$F$10000,pb_location_group_id,'[1]1_group_totals'!$G$8:$G$10000,pb_location_id,'[1]1_group_totals'!$H$8:$H$10000,"="&amp;Q79,'[1]1_group_totals'!$I$8:$I$10000,"="&amp;R79)+SUMIFS('[1]1_group_totals'!$O$8:$O$10000,'[1]1_group_totals'!$C$8:$C$10000,I79,'[1]1_group_totals'!$F$8:$F$10000,pb_location_group_id,'[1]1_group_totals'!$G$8:$G$10000,pb_location_id,'[1]1_group_totals'!$H$8:$H$10000,"="&amp;Q79,'[1]1_group_totals'!$I$8:$I$10000,"="&amp;R79)+SUMIFS('[1]1_group_totals'!$R$8:$R$10000,'[1]1_group_totals'!$C$8:$C$10000,I79,'[1]1_group_totals'!$F$8:$F$10000,pb_location_group_id,'[1]1_group_totals'!$G$8:$G$10000,pb_location_id,'[1]1_group_totals'!$H$8:$H$10000,"="&amp;Q79,'[1]1_group_totals'!$I$8:$I$10000,"="&amp;R79)))</f>
        <v/>
      </c>
    </row>
    <row r="80" spans="1:46" ht="27" hidden="1" customHeight="1">
      <c r="A80" s="923"/>
      <c r="B80" s="1028"/>
      <c r="C80" s="950"/>
      <c r="D80" s="950"/>
      <c r="E80" s="950"/>
      <c r="F80" s="1029"/>
      <c r="G80" s="941"/>
      <c r="H80" s="1070"/>
      <c r="I80" s="1610" t="str">
        <f t="shared" si="212"/>
        <v/>
      </c>
      <c r="J80" s="1631" t="str">
        <f t="shared" si="226"/>
        <v/>
      </c>
      <c r="K80" s="1628"/>
      <c r="L80" s="1632"/>
      <c r="M80" s="1069"/>
      <c r="N80" s="1044"/>
      <c r="O80" s="1044"/>
      <c r="P80" s="1046"/>
      <c r="Q80" s="1047"/>
      <c r="R80" s="1053"/>
      <c r="S80" s="1634" t="str">
        <f t="shared" ref="S80" si="245">IF(M80="","",pb_currency_symbol)</f>
        <v/>
      </c>
      <c r="T80" s="1068"/>
      <c r="U80" s="1636" t="str">
        <f t="shared" si="214"/>
        <v/>
      </c>
      <c r="V80" s="1634" t="str">
        <f t="shared" ref="V80" si="246">IF(W80=0,"",pb_currency_symbol)</f>
        <v/>
      </c>
      <c r="W80" s="1054"/>
      <c r="X80" s="1634" t="str">
        <f t="shared" ref="X80" si="247">IF(M80="","",pb_currency_symbol)</f>
        <v/>
      </c>
      <c r="Y80" s="1638" t="str">
        <f t="shared" si="217"/>
        <v/>
      </c>
      <c r="Z80" s="1062"/>
      <c r="AA80" s="1639" t="str" cm="1">
        <f t="array" ref="AA80">IF(M80="","",IF(P80=AL80,1,Slookup(MID(AL80,1,3)*1,UomConversion!$D$8:$J$500,5,UomConversion!$E$8:$E$500,MID(P80,1,3)*1,UomConversion!$J$8:$J$500,1)))</f>
        <v/>
      </c>
      <c r="AB80" s="1640" t="str">
        <f t="shared" si="218"/>
        <v/>
      </c>
      <c r="AC80" s="1641" t="str">
        <f t="shared" si="219"/>
        <v/>
      </c>
      <c r="AD80" s="1642" t="str">
        <f t="shared" si="220"/>
        <v/>
      </c>
      <c r="AE80" s="1643" t="str">
        <f t="shared" si="221"/>
        <v/>
      </c>
      <c r="AF80" s="1640" t="str">
        <f>IF(I80="","",IF(ISNA(MATCH(I80,IF(pb_location_id=1,'[1]1_inventory_totals'!$C$8:$C$10000,IF(pb_location_id=2,'[1]2_inventory_totals'!$C$8:$C$10000,"")),0)),0,IF(AS80&gt;0,1,0)))</f>
        <v/>
      </c>
      <c r="AG80" s="1640" t="str">
        <f>IF(M80="","",IF(pb_location_id=1,SUMIFS('[1]1_inventory_total_details'!$J$8:$J$10000,'[1]1_inventory_total_details'!$C$8:$C$10000,I80,'[1]1_inventory_total_details'!$F$8:$F$10000,pb_location_id,'[1]1_inventory_total_details'!$G$8:$G$10000,"="&amp;Q80,'[1]1_inventory_total_details'!$H$8:$H$10000,"="&amp;R80,'[1]1_inventory_total_details'!$I$8:$I$10000,"="&amp;pb_date)+SUMIFS('[1]1_inventory_total_details'!$M$8:$M$10000,'[1]1_inventory_total_details'!$C$8:$C$10000,I80,'[1]1_inventory_total_details'!$F$8:$F$10000,pb_location_id,'[1]1_inventory_total_details'!$G$8:$G$10000,"="&amp;Q80,'[1]1_inventory_total_details'!$H$8:$H$10000,"="&amp;R80,'[1]1_inventory_total_details'!$I$8:$I$10000,"="&amp;pb_date)+SUMIFS('[1]1_inventory_total_details'!$K$8:$K$10000,'[1]1_inventory_total_details'!$C$8:$C$10000,I80,'[1]1_inventory_total_details'!$F$8:$F$10000,pb_location_id,'[1]1_inventory_total_details'!$G$8:$G$10000,"="&amp;Q80,'[1]1_inventory_total_details'!$H$8:$H$10000,"="&amp;R80,'[1]1_inventory_total_details'!$I$8:$I$10000,"="&amp;pb_date)+SUMIFS('[1]1_inventory_total_details'!$L$8:$L$10000,'[1]1_inventory_total_details'!$C$8:$C$10000,I80,'[1]1_inventory_total_details'!$F$8:$F$10000,pb_location_id,'[1]1_inventory_total_details'!$G$8:$G$10000,"="&amp;Q80,'[1]1_inventory_total_details'!$H$8:$H$10000,"="&amp;R80,'[1]1_inventory_total_details'!$I$8:$I$10000,"="&amp;pb_date),SUMIFS('[1]2_inventory_total_details'!$J$8:$J$10000,'[1]2_inventory_total_details'!$C$8:$C$10000,I80,'[1]1_inventory_total_details'!$F$8:$F$10000,pb_location_id,'[1]2_inventory_total_details'!$G$8:$G$10000,"="&amp;Q80,'[1]2_inventory_total_details'!$H$8:$H$10000,"="&amp;R80,'[1]2_inventory_total_details'!$I$8:$I$10000,"="&amp;pb_date)+SUMIFS('[1]2_inventory_total_details'!$M$8:$M$10000,'[1]2_inventory_total_details'!$C$8:$C$10000,I80,'[1]2_inventory_total_details'!$F$8:$F$10000,pb_location_id,'[1]2_inventory_total_details'!$G$8:$G$10000,"="&amp;Q80,'[1]2_inventory_total_details'!$H$8:$H$10000,"="&amp;R80,'[1]2_inventory_total_details'!$I$8:$I$10000,"="&amp;pb_date)+SUMIFS('[1]2_inventory_total_details'!$K$8:$K$10000,'[1]2_inventory_total_details'!$C$8:$C$10000,I80,'[1]2_inventory_total_details'!$F$8:$F$10000,pb_location_id,'[1]2_inventory_total_details'!$G$8:$G$10000,"="&amp;Q80,'[1]2_inventory_total_details'!$H$8:$H$10000,"="&amp;R80,'[1]2_inventory_total_details'!$I$8:$I$10000,"="&amp;pb_date)+SUMIFS('[1]2_inventory_total_details'!$L$8:$L$10000,'[1]2_inventory_total_details'!$C$8:$C$10000,I80,'[1]2_inventory_total_details'!$F$8:$F$10000,pb_location_id,'[1]2_inventory_total_details'!$G$8:$G$10000,"="&amp;Q80,'[1]2_inventory_total_details'!$H$8:$H$10000,"="&amp;R80,'[1]2_inventory_total_details'!$I$8:$I$10000,"="&amp;pb_date)))</f>
        <v/>
      </c>
      <c r="AH80" s="1640" t="str">
        <f>IF(M80="","",IF(ISNA(MATCH(I80,'[1]1_group_totals'!$C$8:$C$10000)),0,IF(AT80&gt;0,1,0)))</f>
        <v/>
      </c>
      <c r="AI80" s="1640" t="str">
        <f>IF(M80="","",(SUMIFS('[1]1_group_total_details'!$I$8:$I$10000,'[1]1_group_total_details'!$C$8:$C$10000,I80,'[1]1_group_total_details'!$F$8:$F$10000,pb_location_group_id,'[1]1_group_total_details'!$G$8:$G$10000,pb_location_id,'[1]1_group_total_details'!$H$8:$H$10000,"="&amp;pb_date)+SUMIFS('[1]1_group_total_details'!$L$8:$L$10000,'[1]1_group_total_details'!$C$8:$C$10000,I80,'[1]1_group_total_details'!$F$8:$F$10000,pb_location_group_id,'[1]1_group_total_details'!$G$8:$G$10000,pb_location_id,'[1]1_group_total_details'!$H$8:$H$10000,"="&amp;pb_date)+SUMIFS('[1]1_group_total_details'!$N$8:$N$10000,'[1]1_group_total_details'!$C$8:$C$10000,I80,'[1]1_group_total_details'!$F$8:$F$10000,pb_location_group_id,'[1]1_group_total_details'!$G$8:$G$10000,pb_location_id,'[1]1_group_total_details'!$H$8:$H$10000,"="&amp;pb_date)+SUMIFS('[1]1_group_total_details'!$O$8:$O$10000,'[1]1_group_total_details'!$C$8:$C$10000,I80,'[1]1_group_total_details'!$F$8:$F$10000,pb_location_group_id,'[1]1_group_total_details'!$G$8:$G$10000,pb_location_id,'[1]1_group_total_details'!$H$8:$H$10000,"="&amp;pb_date))+(SUMIFS('[1]1_group_total_details'!$J$8:$J$10000,'[1]1_group_total_details'!$C$8:$C$10000,I80,'[1]1_group_total_details'!$F$8:$F$10000,pb_location_group_id,'[1]1_group_total_details'!$G$8:$G$10000,pb_location_id,'[1]1_group_total_details'!$H$8:$H$10000,"="&amp;pb_date)+SUMIFS('[1]1_group_total_details'!$K$8:$K$10000,'[1]1_group_total_details'!$C$8:$C$10000,I80,'[1]1_group_total_details'!$F$8:$F$10000,pb_location_group_id,'[1]1_group_total_details'!$G$8:$G$10000,pb_location_id,'[1]1_group_total_details'!$H$8:$H$10000,"="&amp;pb_date)+SUMIFS('[1]1_group_total_details'!$M$8:$M$10000,'[1]1_group_total_details'!$C$8:$C$10000,I80,'[1]1_group_total_details'!$F$8:$F$10000,pb_location_group_id,'[1]1_group_total_details'!$G$8:$G$10000,pb_location_id,'[1]1_group_total_details'!$H$8:$H$10000,"="&amp;pb_date)+SUMIFS('[1]1_group_total_details'!$P$8:$P$10000,'[1]1_group_total_details'!$C$8:$C$10000,I80,'[1]1_group_total_details'!$F$8:$F$10000,pb_location_group_id,'[1]1_group_total_details'!$G$8:$G$10000,pb_location_id,'[1]1_group_total_details'!$H$8:$H$10000,"="&amp;pb_date)))</f>
        <v/>
      </c>
      <c r="AJ80" s="1640" t="str">
        <f>IF(M80="","",IF(AK80=0,0,(SUMIFS('[1]1_group_total_details'!$I$8:$I$10000,'[1]1_group_total_details'!$C$8:$C$10000,I80,'[1]1_group_total_details'!$F$8:$F$10000,pb_location_group_id,'[1]1_group_total_details'!$G$8:$G$10000,pb_location_id,'[1]1_group_total_details'!$H$8:$H$10000,"&lt;="&amp;pb_date)+SUMIFS('[1]1_group_total_details'!$L$8:$L$10000,'[1]1_group_total_details'!$C$8:$C$10000,I80,'[1]1_group_total_details'!$F$8:$F$10000,pb_location_group_id,'[1]1_group_total_details'!$G$8:$G$10000,pb_location_id,'[1]1_group_total_details'!$H$8:$H$10000,"&lt;="&amp;pb_date)+SUMIFS('[1]1_group_total_details'!$N$8:$N$10000,'[1]1_group_total_details'!$C$8:$C$10000,I80,'[1]1_group_total_details'!$F$8:$F$10000,pb_location_group_id,'[1]1_group_total_details'!$G$8:$G$10000,pb_location_id,'[1]1_group_total_details'!$H$8:$H$10000,"&lt;="&amp;pb_date)+SUMIFS('[1]1_group_total_details'!$O$8:$O$10000,'[1]1_group_total_details'!$C$8:$C$10000,I80,'[1]1_group_total_details'!$F$8:$F$10000,pb_location_group_id,'[1]1_group_total_details'!$G$8:$G$10000,pb_location_id,'[1]1_group_total_details'!$H$8:$H$10000,"&lt;="&amp;pb_date))-(SUMIFS('[1]1_group_total_details'!$J$8:$J$10000,'[1]1_group_total_details'!$C$8:$C$10000,I80,'[1]1_group_total_details'!$F$8:$F$10000,pb_location_group_id,'[1]1_group_total_details'!$G$8:$G$10000,pb_location_id,'[1]1_group_total_details'!$H$8:$H$10000,"&lt;="&amp;pb_date)+SUMIFS('[1]1_group_total_details'!$K$8:$K$10000,'[1]1_group_total_details'!$C$8:$C$10000,I80,'[1]1_group_total_details'!$F$8:$F$10000,pb_location_group_id,'[1]1_group_total_details'!$G$8:$G$10000,invoice_location_id,'[1]1_group_total_details'!$H$8:$H$10000,"&lt;="&amp;pb_date)+SUMIFS('[1]1_group_total_details'!$M$8:$M$10000,'[1]1_group_total_details'!$C$8:$C$10000,I80,'[1]1_group_total_details'!$F$8:$F$10000,pb_location_group_id,'[1]1_group_total_details'!$G$8:$G$10000,pb_location_id,'[1]1_group_total_details'!$H$8:$H$10000,"&lt;="&amp;pb_date)+SUMIFS('[1]1_group_total_details'!$P$8:$P$10000,'[1]1_group_total_details'!$C$8:$C$10000,I80,'[1]1_group_total_details'!$F$8:$F$10000,pb_location_group_id,'[1]1_group_total_details'!$G$8:$G$10000,pb_location_id,'[1]1_group_total_details'!$H$8:$H$10000,"&lt;="&amp;pb_date))))</f>
        <v/>
      </c>
      <c r="AK80" s="1640" t="str">
        <f>IF(M80="","",SUMIFS('[1]1_group_totals'!$J$8:$J$10000,'[1]1_group_totals'!$C$8:$C$10000,I80,'[1]1_group_totals'!$F$8:$F$10000,pb_location_group_id,'[1]1_group_totals'!$G$8:$G$10000,pb_location_id,'[1]1_group_totals'!$H$8:$H$10000,"="&amp;Q80,'[1]1_group_totals'!$I$8:$I$10000,"="&amp;R80))</f>
        <v/>
      </c>
      <c r="AL80" s="1644" t="str">
        <f t="shared" si="222"/>
        <v/>
      </c>
      <c r="AM80" s="1644" t="str">
        <f>IF(OR(ISNA(MATCH(MID(AL80,1,3)*1,UomConversion!$D$8:$D$500,0)),M80=""),"",IF(AQ80="","",AQ80))</f>
        <v/>
      </c>
      <c r="AN80" s="1644" t="str">
        <f>IF(AND(AO80&gt;0,COUNTIFS(UomConversion!$D$8:$D$500,MID(AL80,1,3)*1,UomConversion!$J$8:$J$500,1)&gt;1),TEXT(AO80,"000")&amp;"."&amp;VLOOKUP(AO80,uom_list,5,FALSE),"")</f>
        <v/>
      </c>
      <c r="AO80" s="1640" t="str">
        <f t="shared" si="223"/>
        <v/>
      </c>
      <c r="AP80" s="1645" t="str">
        <f t="shared" si="224"/>
        <v/>
      </c>
      <c r="AQ80" s="491" t="str">
        <f t="shared" si="225"/>
        <v/>
      </c>
      <c r="AR80" s="1281" t="str" cm="1">
        <f t="array" ref="AR80">IF(M80="","",IF(ISNA(Slookup(MID(AL80,1,3)*1,UomConversion!$D$8:$J$500,2,UomConversion!$I$8:$I$500,1,UomConversion!$J$8:$J$500,1)),"",Slookup(MID(AL80,1,3)*1,UomConversion!$D$8:$J$500,2,UomConversion!$I$8:$I$500,1,UomConversion!$J$8:$J$500,1)))</f>
        <v/>
      </c>
      <c r="AS80" s="663" t="str">
        <f>IF(M80="","",(SUMIFS('[1]1_inventory_totals'!$I$8:$I$10000,'[1]1_inventory_totals'!$C$8:$C$10000,I80,'[1]1_inventory_totals'!$F$8:$F$10000,"="&amp;Q80,'[1]1_inventory_totals'!$G$8:$G$10000,"="&amp;R80)+SUMIFS('[1]1_inventory_totals'!$N$8:$N$10000,'[1]1_inventory_totals'!$C$8:$C$10000,I80,'[1]1_inventory_totals'!$F$8:$F$10000,"="&amp;Q80,'[1]1_inventory_totals'!$G$8:$G$10000,"="&amp;R80)+SUMIFS('[1]1_inventory_totals'!$P$8:$P$10000,'[1]1_inventory_totals'!$C$8:$C$10000,I80,'[1]1_inventory_totals'!$F$8:$F$10000,"="&amp;Q80,'[1]1_inventory_totals'!$G$8:$G$10000,"="&amp;R80)+SUMIFS('[1]1_inventory_totals'!$Q$8:$Q$10000,'[1]1_inventory_totals'!$C$8:$C$10000,I80,'[1]1_inventory_totals'!$F$8:$F$10000,"="&amp;Q80,'[1]1_inventory_totals'!$G$8:$G$10000,"="&amp;R80)+SUMIFS('[1]1_inventory_totals'!$R$8:$R$10000,'[1]1_inventory_totals'!$C$8:$C$10000,I80,'[1]1_inventory_totals'!$F$8:$F$10000,"="&amp;Q80,'[1]1_inventory_totals'!$G$8:$G$10000,"="&amp;R80))+(SUMIFS('[1]1_inventory_totals'!$J$8:$J$10000,'[1]1_inventory_totals'!$C$8:$C$10000,I80,'[1]1_inventory_totals'!$F$8:$F$10000,"="&amp;Q80,'[1]1_inventory_totals'!$G$8:$G$10000,"="&amp;R80)+SUMIFS('[1]1_inventory_totals'!$K$8:$K$10000,'[1]1_inventory_totals'!$C$8:$C$10000,I80,'[1]1_inventory_totals'!$F$8:$F$10000,"="&amp;Q80,'[1]1_inventory_totals'!$G$8:$G$10000,"="&amp;R80)+SUMIFS('[1]1_inventory_totals'!$L$8:$L$10000,'[1]1_inventory_totals'!$C$8:$C$10000,I80,'[1]1_inventory_totals'!$F$8:$F$10000,"="&amp;Q80,'[1]1_inventory_totals'!$G$8:$G$10000,"="&amp;R80)+SUMIFS('[1]1_inventory_totals'!$M$8:$M$10000,'[1]1_inventory_totals'!$C$8:$C$10000,I80,'[1]1_inventory_totals'!$F$8:$F$10000,"="&amp;Q80,'[1]1_inventory_totals'!$G$8:$G$10000,"="&amp;R80)+SUMIFS('[1]1_inventory_totals'!$O$8:$O$10000,'[1]1_inventory_totals'!$C$8:$C$10000,I80,'[1]1_inventory_totals'!$F$8:$F$10000,"="&amp;Q80,'[1]1_inventory_totals'!$G$8:$G$10000,"="&amp;R80)+SUMIFS('[1]1_inventory_totals'!$S$8:$S$10000,'[1]1_inventory_totals'!$C$8:$C$10000,I80,'[1]1_inventory_totals'!$F$8:$F$10000,"="&amp;Q80,'[1]1_inventory_totals'!$G$8:$G$10000,"="&amp;R80)))</f>
        <v/>
      </c>
      <c r="AT80" s="1281" t="str">
        <f>IF(M80="","",(SUMIFS('[1]1_group_totals'!$K$8:$K$10000,'[1]1_group_totals'!$C$8:$C$10000,I80,'[1]1_group_totals'!$F$8:$F$10000,pb_location_group_id,'[1]1_group_totals'!$G$8:$G$10000,pb_location_id,'[1]1_group_totals'!$H$8:$H$10000,"="&amp;Q80,'[1]1_group_totals'!$I$8:$I$10000,"="&amp;R80)+SUMIFS('[1]1_group_totals'!$N$8:$N$10000,'[1]1_group_totals'!$C$8:$C$10000,I80,'[1]1_group_totals'!$F$8:$F$10000,pb_location_group_id,'[1]1_group_totals'!$G$8:$G$10000,pb_location_id,'[1]1_group_totals'!$H$8:$H$10000,"="&amp;Q80,'[1]1_group_totals'!$I$8:$I$10000,"="&amp;R80)+SUMIFS('[1]1_group_totals'!$P$8:$P$10000,'[1]1_group_totals'!$C$8:$C$10000,I80,'[1]1_group_totals'!$F$8:$F$10000,pb_location_group_id,'[1]1_group_totals'!$G$8:$G$10000,pb_location_id,'[1]1_group_totals'!$H$8:$H$10000,"="&amp;Q80,'[1]1_group_totals'!$I$8:$I$10000,"="&amp;R80)+SUMIFS('[1]1_group_totals'!$Q$8:$Q$10000,'[1]1_group_totals'!$C$8:$C$10000,I80,'[1]1_group_totals'!$F$8:$F$10000,pb_location_group_id,'[1]1_group_totals'!$G$8:$G$10000,pb_location_id,'[1]1_group_totals'!$H$8:$H$10000,"="&amp;Q80,'[1]1_group_totals'!$I$8:$I$10000,"="&amp;R80))+(SUMIFS('[1]1_group_totals'!$L$8:$L$10000,'[1]1_group_totals'!$C$8:$C$10000,I80,'[1]1_group_totals'!$F$8:$F$10000,pb_location_group_id,'[1]1_group_totals'!$G$8:$G$10000,pb_location_id,'[1]1_group_totals'!$H$8:$H$10000,"="&amp;Q80,'[1]1_group_totals'!$I$8:$I$10000,"="&amp;R80)+SUMIFS('[1]1_group_totals'!$M$8:$M$10000,'[1]1_group_totals'!$C$8:$C$10000,I80,'[1]1_group_totals'!$F$8:$F$10000,pb_location_group_id,'[1]1_group_totals'!$G$8:$G$10000,pb_location_id,'[1]1_group_totals'!$H$8:$H$10000,"="&amp;Q80,'[1]1_group_totals'!$I$8:$I$10000,"="&amp;R80)+SUMIFS('[1]1_group_totals'!$O$8:$O$10000,'[1]1_group_totals'!$C$8:$C$10000,I80,'[1]1_group_totals'!$F$8:$F$10000,pb_location_group_id,'[1]1_group_totals'!$G$8:$G$10000,pb_location_id,'[1]1_group_totals'!$H$8:$H$10000,"="&amp;Q80,'[1]1_group_totals'!$I$8:$I$10000,"="&amp;R80)+SUMIFS('[1]1_group_totals'!$R$8:$R$10000,'[1]1_group_totals'!$C$8:$C$10000,I80,'[1]1_group_totals'!$F$8:$F$10000,pb_location_group_id,'[1]1_group_totals'!$G$8:$G$10000,pb_location_id,'[1]1_group_totals'!$H$8:$H$10000,"="&amp;Q80,'[1]1_group_totals'!$I$8:$I$10000,"="&amp;R80)))</f>
        <v/>
      </c>
    </row>
    <row r="81" spans="1:46" ht="27" hidden="1" customHeight="1">
      <c r="A81" s="923"/>
      <c r="B81" s="1028"/>
      <c r="C81" s="950"/>
      <c r="D81" s="950"/>
      <c r="E81" s="950"/>
      <c r="F81" s="1029"/>
      <c r="G81" s="941"/>
      <c r="H81" s="1070"/>
      <c r="I81" s="1610" t="str">
        <f t="shared" si="212"/>
        <v/>
      </c>
      <c r="J81" s="1631" t="str">
        <f t="shared" si="226"/>
        <v/>
      </c>
      <c r="K81" s="1628"/>
      <c r="L81" s="1632"/>
      <c r="M81" s="1069"/>
      <c r="N81" s="1044"/>
      <c r="O81" s="1044"/>
      <c r="P81" s="1046"/>
      <c r="Q81" s="1047"/>
      <c r="R81" s="1053"/>
      <c r="S81" s="1634" t="str">
        <f t="shared" ref="S81" si="248">IF(M81="","",pb_currency_symbol)</f>
        <v/>
      </c>
      <c r="T81" s="1068"/>
      <c r="U81" s="1636" t="str">
        <f t="shared" si="214"/>
        <v/>
      </c>
      <c r="V81" s="1634" t="str">
        <f t="shared" ref="V81" si="249">IF(W81=0,"",pb_currency_symbol)</f>
        <v/>
      </c>
      <c r="W81" s="1054"/>
      <c r="X81" s="1634" t="str">
        <f t="shared" ref="X81" si="250">IF(M81="","",pb_currency_symbol)</f>
        <v/>
      </c>
      <c r="Y81" s="1638" t="str">
        <f t="shared" si="217"/>
        <v/>
      </c>
      <c r="Z81" s="1062"/>
      <c r="AA81" s="1639" t="str" cm="1">
        <f t="array" ref="AA81">IF(M81="","",IF(P81=AL81,1,Slookup(MID(AL81,1,3)*1,UomConversion!$D$8:$J$500,5,UomConversion!$E$8:$E$500,MID(P81,1,3)*1,UomConversion!$J$8:$J$500,1)))</f>
        <v/>
      </c>
      <c r="AB81" s="1640" t="str">
        <f t="shared" si="218"/>
        <v/>
      </c>
      <c r="AC81" s="1641" t="str">
        <f t="shared" si="219"/>
        <v/>
      </c>
      <c r="AD81" s="1642" t="str">
        <f t="shared" si="220"/>
        <v/>
      </c>
      <c r="AE81" s="1643" t="str">
        <f t="shared" si="221"/>
        <v/>
      </c>
      <c r="AF81" s="1640" t="str">
        <f>IF(I81="","",IF(ISNA(MATCH(I81,IF(pb_location_id=1,'[1]1_inventory_totals'!$C$8:$C$10000,IF(pb_location_id=2,'[1]2_inventory_totals'!$C$8:$C$10000,"")),0)),0,IF(AS81&gt;0,1,0)))</f>
        <v/>
      </c>
      <c r="AG81" s="1640" t="str">
        <f>IF(M81="","",IF(pb_location_id=1,SUMIFS('[1]1_inventory_total_details'!$J$8:$J$10000,'[1]1_inventory_total_details'!$C$8:$C$10000,I81,'[1]1_inventory_total_details'!$F$8:$F$10000,pb_location_id,'[1]1_inventory_total_details'!$G$8:$G$10000,"="&amp;Q81,'[1]1_inventory_total_details'!$H$8:$H$10000,"="&amp;R81,'[1]1_inventory_total_details'!$I$8:$I$10000,"="&amp;pb_date)+SUMIFS('[1]1_inventory_total_details'!$M$8:$M$10000,'[1]1_inventory_total_details'!$C$8:$C$10000,I81,'[1]1_inventory_total_details'!$F$8:$F$10000,pb_location_id,'[1]1_inventory_total_details'!$G$8:$G$10000,"="&amp;Q81,'[1]1_inventory_total_details'!$H$8:$H$10000,"="&amp;R81,'[1]1_inventory_total_details'!$I$8:$I$10000,"="&amp;pb_date)+SUMIFS('[1]1_inventory_total_details'!$K$8:$K$10000,'[1]1_inventory_total_details'!$C$8:$C$10000,I81,'[1]1_inventory_total_details'!$F$8:$F$10000,pb_location_id,'[1]1_inventory_total_details'!$G$8:$G$10000,"="&amp;Q81,'[1]1_inventory_total_details'!$H$8:$H$10000,"="&amp;R81,'[1]1_inventory_total_details'!$I$8:$I$10000,"="&amp;pb_date)+SUMIFS('[1]1_inventory_total_details'!$L$8:$L$10000,'[1]1_inventory_total_details'!$C$8:$C$10000,I81,'[1]1_inventory_total_details'!$F$8:$F$10000,pb_location_id,'[1]1_inventory_total_details'!$G$8:$G$10000,"="&amp;Q81,'[1]1_inventory_total_details'!$H$8:$H$10000,"="&amp;R81,'[1]1_inventory_total_details'!$I$8:$I$10000,"="&amp;pb_date),SUMIFS('[1]2_inventory_total_details'!$J$8:$J$10000,'[1]2_inventory_total_details'!$C$8:$C$10000,I81,'[1]1_inventory_total_details'!$F$8:$F$10000,pb_location_id,'[1]2_inventory_total_details'!$G$8:$G$10000,"="&amp;Q81,'[1]2_inventory_total_details'!$H$8:$H$10000,"="&amp;R81,'[1]2_inventory_total_details'!$I$8:$I$10000,"="&amp;pb_date)+SUMIFS('[1]2_inventory_total_details'!$M$8:$M$10000,'[1]2_inventory_total_details'!$C$8:$C$10000,I81,'[1]2_inventory_total_details'!$F$8:$F$10000,pb_location_id,'[1]2_inventory_total_details'!$G$8:$G$10000,"="&amp;Q81,'[1]2_inventory_total_details'!$H$8:$H$10000,"="&amp;R81,'[1]2_inventory_total_details'!$I$8:$I$10000,"="&amp;pb_date)+SUMIFS('[1]2_inventory_total_details'!$K$8:$K$10000,'[1]2_inventory_total_details'!$C$8:$C$10000,I81,'[1]2_inventory_total_details'!$F$8:$F$10000,pb_location_id,'[1]2_inventory_total_details'!$G$8:$G$10000,"="&amp;Q81,'[1]2_inventory_total_details'!$H$8:$H$10000,"="&amp;R81,'[1]2_inventory_total_details'!$I$8:$I$10000,"="&amp;pb_date)+SUMIFS('[1]2_inventory_total_details'!$L$8:$L$10000,'[1]2_inventory_total_details'!$C$8:$C$10000,I81,'[1]2_inventory_total_details'!$F$8:$F$10000,pb_location_id,'[1]2_inventory_total_details'!$G$8:$G$10000,"="&amp;Q81,'[1]2_inventory_total_details'!$H$8:$H$10000,"="&amp;R81,'[1]2_inventory_total_details'!$I$8:$I$10000,"="&amp;pb_date)))</f>
        <v/>
      </c>
      <c r="AH81" s="1640" t="str">
        <f>IF(M81="","",IF(ISNA(MATCH(I81,'[1]1_group_totals'!$C$8:$C$10000)),0,IF(AT81&gt;0,1,0)))</f>
        <v/>
      </c>
      <c r="AI81" s="1640" t="str">
        <f>IF(M81="","",(SUMIFS('[1]1_group_total_details'!$I$8:$I$10000,'[1]1_group_total_details'!$C$8:$C$10000,I81,'[1]1_group_total_details'!$F$8:$F$10000,pb_location_group_id,'[1]1_group_total_details'!$G$8:$G$10000,pb_location_id,'[1]1_group_total_details'!$H$8:$H$10000,"="&amp;pb_date)+SUMIFS('[1]1_group_total_details'!$L$8:$L$10000,'[1]1_group_total_details'!$C$8:$C$10000,I81,'[1]1_group_total_details'!$F$8:$F$10000,pb_location_group_id,'[1]1_group_total_details'!$G$8:$G$10000,pb_location_id,'[1]1_group_total_details'!$H$8:$H$10000,"="&amp;pb_date)+SUMIFS('[1]1_group_total_details'!$N$8:$N$10000,'[1]1_group_total_details'!$C$8:$C$10000,I81,'[1]1_group_total_details'!$F$8:$F$10000,pb_location_group_id,'[1]1_group_total_details'!$G$8:$G$10000,pb_location_id,'[1]1_group_total_details'!$H$8:$H$10000,"="&amp;pb_date)+SUMIFS('[1]1_group_total_details'!$O$8:$O$10000,'[1]1_group_total_details'!$C$8:$C$10000,I81,'[1]1_group_total_details'!$F$8:$F$10000,pb_location_group_id,'[1]1_group_total_details'!$G$8:$G$10000,pb_location_id,'[1]1_group_total_details'!$H$8:$H$10000,"="&amp;pb_date))+(SUMIFS('[1]1_group_total_details'!$J$8:$J$10000,'[1]1_group_total_details'!$C$8:$C$10000,I81,'[1]1_group_total_details'!$F$8:$F$10000,pb_location_group_id,'[1]1_group_total_details'!$G$8:$G$10000,pb_location_id,'[1]1_group_total_details'!$H$8:$H$10000,"="&amp;pb_date)+SUMIFS('[1]1_group_total_details'!$K$8:$K$10000,'[1]1_group_total_details'!$C$8:$C$10000,I81,'[1]1_group_total_details'!$F$8:$F$10000,pb_location_group_id,'[1]1_group_total_details'!$G$8:$G$10000,pb_location_id,'[1]1_group_total_details'!$H$8:$H$10000,"="&amp;pb_date)+SUMIFS('[1]1_group_total_details'!$M$8:$M$10000,'[1]1_group_total_details'!$C$8:$C$10000,I81,'[1]1_group_total_details'!$F$8:$F$10000,pb_location_group_id,'[1]1_group_total_details'!$G$8:$G$10000,pb_location_id,'[1]1_group_total_details'!$H$8:$H$10000,"="&amp;pb_date)+SUMIFS('[1]1_group_total_details'!$P$8:$P$10000,'[1]1_group_total_details'!$C$8:$C$10000,I81,'[1]1_group_total_details'!$F$8:$F$10000,pb_location_group_id,'[1]1_group_total_details'!$G$8:$G$10000,pb_location_id,'[1]1_group_total_details'!$H$8:$H$10000,"="&amp;pb_date)))</f>
        <v/>
      </c>
      <c r="AJ81" s="1640" t="str">
        <f>IF(M81="","",IF(AK81=0,0,(SUMIFS('[1]1_group_total_details'!$I$8:$I$10000,'[1]1_group_total_details'!$C$8:$C$10000,I81,'[1]1_group_total_details'!$F$8:$F$10000,pb_location_group_id,'[1]1_group_total_details'!$G$8:$G$10000,pb_location_id,'[1]1_group_total_details'!$H$8:$H$10000,"&lt;="&amp;pb_date)+SUMIFS('[1]1_group_total_details'!$L$8:$L$10000,'[1]1_group_total_details'!$C$8:$C$10000,I81,'[1]1_group_total_details'!$F$8:$F$10000,pb_location_group_id,'[1]1_group_total_details'!$G$8:$G$10000,pb_location_id,'[1]1_group_total_details'!$H$8:$H$10000,"&lt;="&amp;pb_date)+SUMIFS('[1]1_group_total_details'!$N$8:$N$10000,'[1]1_group_total_details'!$C$8:$C$10000,I81,'[1]1_group_total_details'!$F$8:$F$10000,pb_location_group_id,'[1]1_group_total_details'!$G$8:$G$10000,pb_location_id,'[1]1_group_total_details'!$H$8:$H$10000,"&lt;="&amp;pb_date)+SUMIFS('[1]1_group_total_details'!$O$8:$O$10000,'[1]1_group_total_details'!$C$8:$C$10000,I81,'[1]1_group_total_details'!$F$8:$F$10000,pb_location_group_id,'[1]1_group_total_details'!$G$8:$G$10000,pb_location_id,'[1]1_group_total_details'!$H$8:$H$10000,"&lt;="&amp;pb_date))-(SUMIFS('[1]1_group_total_details'!$J$8:$J$10000,'[1]1_group_total_details'!$C$8:$C$10000,I81,'[1]1_group_total_details'!$F$8:$F$10000,pb_location_group_id,'[1]1_group_total_details'!$G$8:$G$10000,pb_location_id,'[1]1_group_total_details'!$H$8:$H$10000,"&lt;="&amp;pb_date)+SUMIFS('[1]1_group_total_details'!$K$8:$K$10000,'[1]1_group_total_details'!$C$8:$C$10000,I81,'[1]1_group_total_details'!$F$8:$F$10000,pb_location_group_id,'[1]1_group_total_details'!$G$8:$G$10000,invoice_location_id,'[1]1_group_total_details'!$H$8:$H$10000,"&lt;="&amp;pb_date)+SUMIFS('[1]1_group_total_details'!$M$8:$M$10000,'[1]1_group_total_details'!$C$8:$C$10000,I81,'[1]1_group_total_details'!$F$8:$F$10000,pb_location_group_id,'[1]1_group_total_details'!$G$8:$G$10000,pb_location_id,'[1]1_group_total_details'!$H$8:$H$10000,"&lt;="&amp;pb_date)+SUMIFS('[1]1_group_total_details'!$P$8:$P$10000,'[1]1_group_total_details'!$C$8:$C$10000,I81,'[1]1_group_total_details'!$F$8:$F$10000,pb_location_group_id,'[1]1_group_total_details'!$G$8:$G$10000,pb_location_id,'[1]1_group_total_details'!$H$8:$H$10000,"&lt;="&amp;pb_date))))</f>
        <v/>
      </c>
      <c r="AK81" s="1640" t="str">
        <f>IF(M81="","",SUMIFS('[1]1_group_totals'!$J$8:$J$10000,'[1]1_group_totals'!$C$8:$C$10000,I81,'[1]1_group_totals'!$F$8:$F$10000,pb_location_group_id,'[1]1_group_totals'!$G$8:$G$10000,pb_location_id,'[1]1_group_totals'!$H$8:$H$10000,"="&amp;Q81,'[1]1_group_totals'!$I$8:$I$10000,"="&amp;R81))</f>
        <v/>
      </c>
      <c r="AL81" s="1644" t="str">
        <f t="shared" si="222"/>
        <v/>
      </c>
      <c r="AM81" s="1644" t="str">
        <f>IF(OR(ISNA(MATCH(MID(AL81,1,3)*1,UomConversion!$D$8:$D$500,0)),M81=""),"",IF(AQ81="","",AQ81))</f>
        <v/>
      </c>
      <c r="AN81" s="1644" t="str">
        <f>IF(AND(AO81&gt;0,COUNTIFS(UomConversion!$D$8:$D$500,MID(AL81,1,3)*1,UomConversion!$J$8:$J$500,1)&gt;1),TEXT(AO81,"000")&amp;"."&amp;VLOOKUP(AO81,uom_list,5,FALSE),"")</f>
        <v/>
      </c>
      <c r="AO81" s="1640" t="str">
        <f t="shared" si="223"/>
        <v/>
      </c>
      <c r="AP81" s="1645" t="str">
        <f t="shared" si="224"/>
        <v/>
      </c>
      <c r="AQ81" s="491" t="str">
        <f t="shared" si="225"/>
        <v/>
      </c>
      <c r="AR81" s="1281" t="str" cm="1">
        <f t="array" ref="AR81">IF(M81="","",IF(ISNA(Slookup(MID(AL81,1,3)*1,UomConversion!$D$8:$J$500,2,UomConversion!$I$8:$I$500,1,UomConversion!$J$8:$J$500,1)),"",Slookup(MID(AL81,1,3)*1,UomConversion!$D$8:$J$500,2,UomConversion!$I$8:$I$500,1,UomConversion!$J$8:$J$500,1)))</f>
        <v/>
      </c>
      <c r="AS81" s="663" t="str">
        <f>IF(M81="","",(SUMIFS('[1]1_inventory_totals'!$I$8:$I$10000,'[1]1_inventory_totals'!$C$8:$C$10000,I81,'[1]1_inventory_totals'!$F$8:$F$10000,"="&amp;Q81,'[1]1_inventory_totals'!$G$8:$G$10000,"="&amp;R81)+SUMIFS('[1]1_inventory_totals'!$N$8:$N$10000,'[1]1_inventory_totals'!$C$8:$C$10000,I81,'[1]1_inventory_totals'!$F$8:$F$10000,"="&amp;Q81,'[1]1_inventory_totals'!$G$8:$G$10000,"="&amp;R81)+SUMIFS('[1]1_inventory_totals'!$P$8:$P$10000,'[1]1_inventory_totals'!$C$8:$C$10000,I81,'[1]1_inventory_totals'!$F$8:$F$10000,"="&amp;Q81,'[1]1_inventory_totals'!$G$8:$G$10000,"="&amp;R81)+SUMIFS('[1]1_inventory_totals'!$Q$8:$Q$10000,'[1]1_inventory_totals'!$C$8:$C$10000,I81,'[1]1_inventory_totals'!$F$8:$F$10000,"="&amp;Q81,'[1]1_inventory_totals'!$G$8:$G$10000,"="&amp;R81)+SUMIFS('[1]1_inventory_totals'!$R$8:$R$10000,'[1]1_inventory_totals'!$C$8:$C$10000,I81,'[1]1_inventory_totals'!$F$8:$F$10000,"="&amp;Q81,'[1]1_inventory_totals'!$G$8:$G$10000,"="&amp;R81))+(SUMIFS('[1]1_inventory_totals'!$J$8:$J$10000,'[1]1_inventory_totals'!$C$8:$C$10000,I81,'[1]1_inventory_totals'!$F$8:$F$10000,"="&amp;Q81,'[1]1_inventory_totals'!$G$8:$G$10000,"="&amp;R81)+SUMIFS('[1]1_inventory_totals'!$K$8:$K$10000,'[1]1_inventory_totals'!$C$8:$C$10000,I81,'[1]1_inventory_totals'!$F$8:$F$10000,"="&amp;Q81,'[1]1_inventory_totals'!$G$8:$G$10000,"="&amp;R81)+SUMIFS('[1]1_inventory_totals'!$L$8:$L$10000,'[1]1_inventory_totals'!$C$8:$C$10000,I81,'[1]1_inventory_totals'!$F$8:$F$10000,"="&amp;Q81,'[1]1_inventory_totals'!$G$8:$G$10000,"="&amp;R81)+SUMIFS('[1]1_inventory_totals'!$M$8:$M$10000,'[1]1_inventory_totals'!$C$8:$C$10000,I81,'[1]1_inventory_totals'!$F$8:$F$10000,"="&amp;Q81,'[1]1_inventory_totals'!$G$8:$G$10000,"="&amp;R81)+SUMIFS('[1]1_inventory_totals'!$O$8:$O$10000,'[1]1_inventory_totals'!$C$8:$C$10000,I81,'[1]1_inventory_totals'!$F$8:$F$10000,"="&amp;Q81,'[1]1_inventory_totals'!$G$8:$G$10000,"="&amp;R81)+SUMIFS('[1]1_inventory_totals'!$S$8:$S$10000,'[1]1_inventory_totals'!$C$8:$C$10000,I81,'[1]1_inventory_totals'!$F$8:$F$10000,"="&amp;Q81,'[1]1_inventory_totals'!$G$8:$G$10000,"="&amp;R81)))</f>
        <v/>
      </c>
      <c r="AT81" s="1281" t="str">
        <f>IF(M81="","",(SUMIFS('[1]1_group_totals'!$K$8:$K$10000,'[1]1_group_totals'!$C$8:$C$10000,I81,'[1]1_group_totals'!$F$8:$F$10000,pb_location_group_id,'[1]1_group_totals'!$G$8:$G$10000,pb_location_id,'[1]1_group_totals'!$H$8:$H$10000,"="&amp;Q81,'[1]1_group_totals'!$I$8:$I$10000,"="&amp;R81)+SUMIFS('[1]1_group_totals'!$N$8:$N$10000,'[1]1_group_totals'!$C$8:$C$10000,I81,'[1]1_group_totals'!$F$8:$F$10000,pb_location_group_id,'[1]1_group_totals'!$G$8:$G$10000,pb_location_id,'[1]1_group_totals'!$H$8:$H$10000,"="&amp;Q81,'[1]1_group_totals'!$I$8:$I$10000,"="&amp;R81)+SUMIFS('[1]1_group_totals'!$P$8:$P$10000,'[1]1_group_totals'!$C$8:$C$10000,I81,'[1]1_group_totals'!$F$8:$F$10000,pb_location_group_id,'[1]1_group_totals'!$G$8:$G$10000,pb_location_id,'[1]1_group_totals'!$H$8:$H$10000,"="&amp;Q81,'[1]1_group_totals'!$I$8:$I$10000,"="&amp;R81)+SUMIFS('[1]1_group_totals'!$Q$8:$Q$10000,'[1]1_group_totals'!$C$8:$C$10000,I81,'[1]1_group_totals'!$F$8:$F$10000,pb_location_group_id,'[1]1_group_totals'!$G$8:$G$10000,pb_location_id,'[1]1_group_totals'!$H$8:$H$10000,"="&amp;Q81,'[1]1_group_totals'!$I$8:$I$10000,"="&amp;R81))+(SUMIFS('[1]1_group_totals'!$L$8:$L$10000,'[1]1_group_totals'!$C$8:$C$10000,I81,'[1]1_group_totals'!$F$8:$F$10000,pb_location_group_id,'[1]1_group_totals'!$G$8:$G$10000,pb_location_id,'[1]1_group_totals'!$H$8:$H$10000,"="&amp;Q81,'[1]1_group_totals'!$I$8:$I$10000,"="&amp;R81)+SUMIFS('[1]1_group_totals'!$M$8:$M$10000,'[1]1_group_totals'!$C$8:$C$10000,I81,'[1]1_group_totals'!$F$8:$F$10000,pb_location_group_id,'[1]1_group_totals'!$G$8:$G$10000,pb_location_id,'[1]1_group_totals'!$H$8:$H$10000,"="&amp;Q81,'[1]1_group_totals'!$I$8:$I$10000,"="&amp;R81)+SUMIFS('[1]1_group_totals'!$O$8:$O$10000,'[1]1_group_totals'!$C$8:$C$10000,I81,'[1]1_group_totals'!$F$8:$F$10000,pb_location_group_id,'[1]1_group_totals'!$G$8:$G$10000,pb_location_id,'[1]1_group_totals'!$H$8:$H$10000,"="&amp;Q81,'[1]1_group_totals'!$I$8:$I$10000,"="&amp;R81)+SUMIFS('[1]1_group_totals'!$R$8:$R$10000,'[1]1_group_totals'!$C$8:$C$10000,I81,'[1]1_group_totals'!$F$8:$F$10000,pb_location_group_id,'[1]1_group_totals'!$G$8:$G$10000,pb_location_id,'[1]1_group_totals'!$H$8:$H$10000,"="&amp;Q81,'[1]1_group_totals'!$I$8:$I$10000,"="&amp;R81)))</f>
        <v/>
      </c>
    </row>
    <row r="82" spans="1:46" ht="27" hidden="1" customHeight="1">
      <c r="A82" s="923"/>
      <c r="B82" s="1028"/>
      <c r="C82" s="950"/>
      <c r="D82" s="950"/>
      <c r="E82" s="950"/>
      <c r="F82" s="1029"/>
      <c r="G82" s="941"/>
      <c r="H82" s="1070"/>
      <c r="I82" s="1610" t="str">
        <f t="shared" si="212"/>
        <v/>
      </c>
      <c r="J82" s="1631" t="str">
        <f t="shared" si="226"/>
        <v/>
      </c>
      <c r="K82" s="1628"/>
      <c r="L82" s="1632"/>
      <c r="M82" s="1069"/>
      <c r="N82" s="1044"/>
      <c r="O82" s="1044"/>
      <c r="P82" s="1046"/>
      <c r="Q82" s="1047"/>
      <c r="R82" s="1053"/>
      <c r="S82" s="1634" t="str">
        <f t="shared" ref="S82" si="251">IF(M82="","",pb_currency_symbol)</f>
        <v/>
      </c>
      <c r="T82" s="1068"/>
      <c r="U82" s="1636" t="str">
        <f t="shared" si="214"/>
        <v/>
      </c>
      <c r="V82" s="1634" t="str">
        <f t="shared" ref="V82" si="252">IF(W82=0,"",pb_currency_symbol)</f>
        <v/>
      </c>
      <c r="W82" s="1054"/>
      <c r="X82" s="1634" t="str">
        <f t="shared" ref="X82" si="253">IF(M82="","",pb_currency_symbol)</f>
        <v/>
      </c>
      <c r="Y82" s="1638" t="str">
        <f t="shared" si="217"/>
        <v/>
      </c>
      <c r="Z82" s="1062"/>
      <c r="AA82" s="1639" t="str" cm="1">
        <f t="array" ref="AA82">IF(M82="","",IF(P82=AL82,1,Slookup(MID(AL82,1,3)*1,UomConversion!$D$8:$J$500,5,UomConversion!$E$8:$E$500,MID(P82,1,3)*1,UomConversion!$J$8:$J$500,1)))</f>
        <v/>
      </c>
      <c r="AB82" s="1640" t="str">
        <f t="shared" si="218"/>
        <v/>
      </c>
      <c r="AC82" s="1641" t="str">
        <f t="shared" si="219"/>
        <v/>
      </c>
      <c r="AD82" s="1642" t="str">
        <f t="shared" si="220"/>
        <v/>
      </c>
      <c r="AE82" s="1643" t="str">
        <f t="shared" si="221"/>
        <v/>
      </c>
      <c r="AF82" s="1640" t="str">
        <f>IF(I82="","",IF(ISNA(MATCH(I82,IF(pb_location_id=1,'[1]1_inventory_totals'!$C$8:$C$10000,IF(pb_location_id=2,'[1]2_inventory_totals'!$C$8:$C$10000,"")),0)),0,IF(AS82&gt;0,1,0)))</f>
        <v/>
      </c>
      <c r="AG82" s="1640" t="str">
        <f>IF(M82="","",IF(pb_location_id=1,SUMIFS('[1]1_inventory_total_details'!$J$8:$J$10000,'[1]1_inventory_total_details'!$C$8:$C$10000,I82,'[1]1_inventory_total_details'!$F$8:$F$10000,pb_location_id,'[1]1_inventory_total_details'!$G$8:$G$10000,"="&amp;Q82,'[1]1_inventory_total_details'!$H$8:$H$10000,"="&amp;R82,'[1]1_inventory_total_details'!$I$8:$I$10000,"="&amp;pb_date)+SUMIFS('[1]1_inventory_total_details'!$M$8:$M$10000,'[1]1_inventory_total_details'!$C$8:$C$10000,I82,'[1]1_inventory_total_details'!$F$8:$F$10000,pb_location_id,'[1]1_inventory_total_details'!$G$8:$G$10000,"="&amp;Q82,'[1]1_inventory_total_details'!$H$8:$H$10000,"="&amp;R82,'[1]1_inventory_total_details'!$I$8:$I$10000,"="&amp;pb_date)+SUMIFS('[1]1_inventory_total_details'!$K$8:$K$10000,'[1]1_inventory_total_details'!$C$8:$C$10000,I82,'[1]1_inventory_total_details'!$F$8:$F$10000,pb_location_id,'[1]1_inventory_total_details'!$G$8:$G$10000,"="&amp;Q82,'[1]1_inventory_total_details'!$H$8:$H$10000,"="&amp;R82,'[1]1_inventory_total_details'!$I$8:$I$10000,"="&amp;pb_date)+SUMIFS('[1]1_inventory_total_details'!$L$8:$L$10000,'[1]1_inventory_total_details'!$C$8:$C$10000,I82,'[1]1_inventory_total_details'!$F$8:$F$10000,pb_location_id,'[1]1_inventory_total_details'!$G$8:$G$10000,"="&amp;Q82,'[1]1_inventory_total_details'!$H$8:$H$10000,"="&amp;R82,'[1]1_inventory_total_details'!$I$8:$I$10000,"="&amp;pb_date),SUMIFS('[1]2_inventory_total_details'!$J$8:$J$10000,'[1]2_inventory_total_details'!$C$8:$C$10000,I82,'[1]1_inventory_total_details'!$F$8:$F$10000,pb_location_id,'[1]2_inventory_total_details'!$G$8:$G$10000,"="&amp;Q82,'[1]2_inventory_total_details'!$H$8:$H$10000,"="&amp;R82,'[1]2_inventory_total_details'!$I$8:$I$10000,"="&amp;pb_date)+SUMIFS('[1]2_inventory_total_details'!$M$8:$M$10000,'[1]2_inventory_total_details'!$C$8:$C$10000,I82,'[1]2_inventory_total_details'!$F$8:$F$10000,pb_location_id,'[1]2_inventory_total_details'!$G$8:$G$10000,"="&amp;Q82,'[1]2_inventory_total_details'!$H$8:$H$10000,"="&amp;R82,'[1]2_inventory_total_details'!$I$8:$I$10000,"="&amp;pb_date)+SUMIFS('[1]2_inventory_total_details'!$K$8:$K$10000,'[1]2_inventory_total_details'!$C$8:$C$10000,I82,'[1]2_inventory_total_details'!$F$8:$F$10000,pb_location_id,'[1]2_inventory_total_details'!$G$8:$G$10000,"="&amp;Q82,'[1]2_inventory_total_details'!$H$8:$H$10000,"="&amp;R82,'[1]2_inventory_total_details'!$I$8:$I$10000,"="&amp;pb_date)+SUMIFS('[1]2_inventory_total_details'!$L$8:$L$10000,'[1]2_inventory_total_details'!$C$8:$C$10000,I82,'[1]2_inventory_total_details'!$F$8:$F$10000,pb_location_id,'[1]2_inventory_total_details'!$G$8:$G$10000,"="&amp;Q82,'[1]2_inventory_total_details'!$H$8:$H$10000,"="&amp;R82,'[1]2_inventory_total_details'!$I$8:$I$10000,"="&amp;pb_date)))</f>
        <v/>
      </c>
      <c r="AH82" s="1640" t="str">
        <f>IF(M82="","",IF(ISNA(MATCH(I82,'[1]1_group_totals'!$C$8:$C$10000)),0,IF(AT82&gt;0,1,0)))</f>
        <v/>
      </c>
      <c r="AI82" s="1640" t="str">
        <f>IF(M82="","",(SUMIFS('[1]1_group_total_details'!$I$8:$I$10000,'[1]1_group_total_details'!$C$8:$C$10000,I82,'[1]1_group_total_details'!$F$8:$F$10000,pb_location_group_id,'[1]1_group_total_details'!$G$8:$G$10000,pb_location_id,'[1]1_group_total_details'!$H$8:$H$10000,"="&amp;pb_date)+SUMIFS('[1]1_group_total_details'!$L$8:$L$10000,'[1]1_group_total_details'!$C$8:$C$10000,I82,'[1]1_group_total_details'!$F$8:$F$10000,pb_location_group_id,'[1]1_group_total_details'!$G$8:$G$10000,pb_location_id,'[1]1_group_total_details'!$H$8:$H$10000,"="&amp;pb_date)+SUMIFS('[1]1_group_total_details'!$N$8:$N$10000,'[1]1_group_total_details'!$C$8:$C$10000,I82,'[1]1_group_total_details'!$F$8:$F$10000,pb_location_group_id,'[1]1_group_total_details'!$G$8:$G$10000,pb_location_id,'[1]1_group_total_details'!$H$8:$H$10000,"="&amp;pb_date)+SUMIFS('[1]1_group_total_details'!$O$8:$O$10000,'[1]1_group_total_details'!$C$8:$C$10000,I82,'[1]1_group_total_details'!$F$8:$F$10000,pb_location_group_id,'[1]1_group_total_details'!$G$8:$G$10000,pb_location_id,'[1]1_group_total_details'!$H$8:$H$10000,"="&amp;pb_date))+(SUMIFS('[1]1_group_total_details'!$J$8:$J$10000,'[1]1_group_total_details'!$C$8:$C$10000,I82,'[1]1_group_total_details'!$F$8:$F$10000,pb_location_group_id,'[1]1_group_total_details'!$G$8:$G$10000,pb_location_id,'[1]1_group_total_details'!$H$8:$H$10000,"="&amp;pb_date)+SUMIFS('[1]1_group_total_details'!$K$8:$K$10000,'[1]1_group_total_details'!$C$8:$C$10000,I82,'[1]1_group_total_details'!$F$8:$F$10000,pb_location_group_id,'[1]1_group_total_details'!$G$8:$G$10000,pb_location_id,'[1]1_group_total_details'!$H$8:$H$10000,"="&amp;pb_date)+SUMIFS('[1]1_group_total_details'!$M$8:$M$10000,'[1]1_group_total_details'!$C$8:$C$10000,I82,'[1]1_group_total_details'!$F$8:$F$10000,pb_location_group_id,'[1]1_group_total_details'!$G$8:$G$10000,pb_location_id,'[1]1_group_total_details'!$H$8:$H$10000,"="&amp;pb_date)+SUMIFS('[1]1_group_total_details'!$P$8:$P$10000,'[1]1_group_total_details'!$C$8:$C$10000,I82,'[1]1_group_total_details'!$F$8:$F$10000,pb_location_group_id,'[1]1_group_total_details'!$G$8:$G$10000,pb_location_id,'[1]1_group_total_details'!$H$8:$H$10000,"="&amp;pb_date)))</f>
        <v/>
      </c>
      <c r="AJ82" s="1640" t="str">
        <f>IF(M82="","",IF(AK82=0,0,(SUMIFS('[1]1_group_total_details'!$I$8:$I$10000,'[1]1_group_total_details'!$C$8:$C$10000,I82,'[1]1_group_total_details'!$F$8:$F$10000,pb_location_group_id,'[1]1_group_total_details'!$G$8:$G$10000,pb_location_id,'[1]1_group_total_details'!$H$8:$H$10000,"&lt;="&amp;pb_date)+SUMIFS('[1]1_group_total_details'!$L$8:$L$10000,'[1]1_group_total_details'!$C$8:$C$10000,I82,'[1]1_group_total_details'!$F$8:$F$10000,pb_location_group_id,'[1]1_group_total_details'!$G$8:$G$10000,pb_location_id,'[1]1_group_total_details'!$H$8:$H$10000,"&lt;="&amp;pb_date)+SUMIFS('[1]1_group_total_details'!$N$8:$N$10000,'[1]1_group_total_details'!$C$8:$C$10000,I82,'[1]1_group_total_details'!$F$8:$F$10000,pb_location_group_id,'[1]1_group_total_details'!$G$8:$G$10000,pb_location_id,'[1]1_group_total_details'!$H$8:$H$10000,"&lt;="&amp;pb_date)+SUMIFS('[1]1_group_total_details'!$O$8:$O$10000,'[1]1_group_total_details'!$C$8:$C$10000,I82,'[1]1_group_total_details'!$F$8:$F$10000,pb_location_group_id,'[1]1_group_total_details'!$G$8:$G$10000,pb_location_id,'[1]1_group_total_details'!$H$8:$H$10000,"&lt;="&amp;pb_date))-(SUMIFS('[1]1_group_total_details'!$J$8:$J$10000,'[1]1_group_total_details'!$C$8:$C$10000,I82,'[1]1_group_total_details'!$F$8:$F$10000,pb_location_group_id,'[1]1_group_total_details'!$G$8:$G$10000,pb_location_id,'[1]1_group_total_details'!$H$8:$H$10000,"&lt;="&amp;pb_date)+SUMIFS('[1]1_group_total_details'!$K$8:$K$10000,'[1]1_group_total_details'!$C$8:$C$10000,I82,'[1]1_group_total_details'!$F$8:$F$10000,pb_location_group_id,'[1]1_group_total_details'!$G$8:$G$10000,invoice_location_id,'[1]1_group_total_details'!$H$8:$H$10000,"&lt;="&amp;pb_date)+SUMIFS('[1]1_group_total_details'!$M$8:$M$10000,'[1]1_group_total_details'!$C$8:$C$10000,I82,'[1]1_group_total_details'!$F$8:$F$10000,pb_location_group_id,'[1]1_group_total_details'!$G$8:$G$10000,pb_location_id,'[1]1_group_total_details'!$H$8:$H$10000,"&lt;="&amp;pb_date)+SUMIFS('[1]1_group_total_details'!$P$8:$P$10000,'[1]1_group_total_details'!$C$8:$C$10000,I82,'[1]1_group_total_details'!$F$8:$F$10000,pb_location_group_id,'[1]1_group_total_details'!$G$8:$G$10000,pb_location_id,'[1]1_group_total_details'!$H$8:$H$10000,"&lt;="&amp;pb_date))))</f>
        <v/>
      </c>
      <c r="AK82" s="1640" t="str">
        <f>IF(M82="","",SUMIFS('[1]1_group_totals'!$J$8:$J$10000,'[1]1_group_totals'!$C$8:$C$10000,I82,'[1]1_group_totals'!$F$8:$F$10000,pb_location_group_id,'[1]1_group_totals'!$G$8:$G$10000,pb_location_id,'[1]1_group_totals'!$H$8:$H$10000,"="&amp;Q82,'[1]1_group_totals'!$I$8:$I$10000,"="&amp;R82))</f>
        <v/>
      </c>
      <c r="AL82" s="1644" t="str">
        <f t="shared" si="222"/>
        <v/>
      </c>
      <c r="AM82" s="1644" t="str">
        <f>IF(OR(ISNA(MATCH(MID(AL82,1,3)*1,UomConversion!$D$8:$D$500,0)),M82=""),"",IF(AQ82="","",AQ82))</f>
        <v/>
      </c>
      <c r="AN82" s="1644" t="str">
        <f>IF(AND(AO82&gt;0,COUNTIFS(UomConversion!$D$8:$D$500,MID(AL82,1,3)*1,UomConversion!$J$8:$J$500,1)&gt;1),TEXT(AO82,"000")&amp;"."&amp;VLOOKUP(AO82,uom_list,5,FALSE),"")</f>
        <v/>
      </c>
      <c r="AO82" s="1640" t="str">
        <f t="shared" si="223"/>
        <v/>
      </c>
      <c r="AP82" s="1645" t="str">
        <f t="shared" si="224"/>
        <v/>
      </c>
      <c r="AQ82" s="491" t="str">
        <f t="shared" si="225"/>
        <v/>
      </c>
      <c r="AR82" s="1281" t="str" cm="1">
        <f t="array" ref="AR82">IF(M82="","",IF(ISNA(Slookup(MID(AL82,1,3)*1,UomConversion!$D$8:$J$500,2,UomConversion!$I$8:$I$500,1,UomConversion!$J$8:$J$500,1)),"",Slookup(MID(AL82,1,3)*1,UomConversion!$D$8:$J$500,2,UomConversion!$I$8:$I$500,1,UomConversion!$J$8:$J$500,1)))</f>
        <v/>
      </c>
      <c r="AS82" s="663" t="str">
        <f>IF(M82="","",(SUMIFS('[1]1_inventory_totals'!$I$8:$I$10000,'[1]1_inventory_totals'!$C$8:$C$10000,I82,'[1]1_inventory_totals'!$F$8:$F$10000,"="&amp;Q82,'[1]1_inventory_totals'!$G$8:$G$10000,"="&amp;R82)+SUMIFS('[1]1_inventory_totals'!$N$8:$N$10000,'[1]1_inventory_totals'!$C$8:$C$10000,I82,'[1]1_inventory_totals'!$F$8:$F$10000,"="&amp;Q82,'[1]1_inventory_totals'!$G$8:$G$10000,"="&amp;R82)+SUMIFS('[1]1_inventory_totals'!$P$8:$P$10000,'[1]1_inventory_totals'!$C$8:$C$10000,I82,'[1]1_inventory_totals'!$F$8:$F$10000,"="&amp;Q82,'[1]1_inventory_totals'!$G$8:$G$10000,"="&amp;R82)+SUMIFS('[1]1_inventory_totals'!$Q$8:$Q$10000,'[1]1_inventory_totals'!$C$8:$C$10000,I82,'[1]1_inventory_totals'!$F$8:$F$10000,"="&amp;Q82,'[1]1_inventory_totals'!$G$8:$G$10000,"="&amp;R82)+SUMIFS('[1]1_inventory_totals'!$R$8:$R$10000,'[1]1_inventory_totals'!$C$8:$C$10000,I82,'[1]1_inventory_totals'!$F$8:$F$10000,"="&amp;Q82,'[1]1_inventory_totals'!$G$8:$G$10000,"="&amp;R82))+(SUMIFS('[1]1_inventory_totals'!$J$8:$J$10000,'[1]1_inventory_totals'!$C$8:$C$10000,I82,'[1]1_inventory_totals'!$F$8:$F$10000,"="&amp;Q82,'[1]1_inventory_totals'!$G$8:$G$10000,"="&amp;R82)+SUMIFS('[1]1_inventory_totals'!$K$8:$K$10000,'[1]1_inventory_totals'!$C$8:$C$10000,I82,'[1]1_inventory_totals'!$F$8:$F$10000,"="&amp;Q82,'[1]1_inventory_totals'!$G$8:$G$10000,"="&amp;R82)+SUMIFS('[1]1_inventory_totals'!$L$8:$L$10000,'[1]1_inventory_totals'!$C$8:$C$10000,I82,'[1]1_inventory_totals'!$F$8:$F$10000,"="&amp;Q82,'[1]1_inventory_totals'!$G$8:$G$10000,"="&amp;R82)+SUMIFS('[1]1_inventory_totals'!$M$8:$M$10000,'[1]1_inventory_totals'!$C$8:$C$10000,I82,'[1]1_inventory_totals'!$F$8:$F$10000,"="&amp;Q82,'[1]1_inventory_totals'!$G$8:$G$10000,"="&amp;R82)+SUMIFS('[1]1_inventory_totals'!$O$8:$O$10000,'[1]1_inventory_totals'!$C$8:$C$10000,I82,'[1]1_inventory_totals'!$F$8:$F$10000,"="&amp;Q82,'[1]1_inventory_totals'!$G$8:$G$10000,"="&amp;R82)+SUMIFS('[1]1_inventory_totals'!$S$8:$S$10000,'[1]1_inventory_totals'!$C$8:$C$10000,I82,'[1]1_inventory_totals'!$F$8:$F$10000,"="&amp;Q82,'[1]1_inventory_totals'!$G$8:$G$10000,"="&amp;R82)))</f>
        <v/>
      </c>
      <c r="AT82" s="1281" t="str">
        <f>IF(M82="","",(SUMIFS('[1]1_group_totals'!$K$8:$K$10000,'[1]1_group_totals'!$C$8:$C$10000,I82,'[1]1_group_totals'!$F$8:$F$10000,pb_location_group_id,'[1]1_group_totals'!$G$8:$G$10000,pb_location_id,'[1]1_group_totals'!$H$8:$H$10000,"="&amp;Q82,'[1]1_group_totals'!$I$8:$I$10000,"="&amp;R82)+SUMIFS('[1]1_group_totals'!$N$8:$N$10000,'[1]1_group_totals'!$C$8:$C$10000,I82,'[1]1_group_totals'!$F$8:$F$10000,pb_location_group_id,'[1]1_group_totals'!$G$8:$G$10000,pb_location_id,'[1]1_group_totals'!$H$8:$H$10000,"="&amp;Q82,'[1]1_group_totals'!$I$8:$I$10000,"="&amp;R82)+SUMIFS('[1]1_group_totals'!$P$8:$P$10000,'[1]1_group_totals'!$C$8:$C$10000,I82,'[1]1_group_totals'!$F$8:$F$10000,pb_location_group_id,'[1]1_group_totals'!$G$8:$G$10000,pb_location_id,'[1]1_group_totals'!$H$8:$H$10000,"="&amp;Q82,'[1]1_group_totals'!$I$8:$I$10000,"="&amp;R82)+SUMIFS('[1]1_group_totals'!$Q$8:$Q$10000,'[1]1_group_totals'!$C$8:$C$10000,I82,'[1]1_group_totals'!$F$8:$F$10000,pb_location_group_id,'[1]1_group_totals'!$G$8:$G$10000,pb_location_id,'[1]1_group_totals'!$H$8:$H$10000,"="&amp;Q82,'[1]1_group_totals'!$I$8:$I$10000,"="&amp;R82))+(SUMIFS('[1]1_group_totals'!$L$8:$L$10000,'[1]1_group_totals'!$C$8:$C$10000,I82,'[1]1_group_totals'!$F$8:$F$10000,pb_location_group_id,'[1]1_group_totals'!$G$8:$G$10000,pb_location_id,'[1]1_group_totals'!$H$8:$H$10000,"="&amp;Q82,'[1]1_group_totals'!$I$8:$I$10000,"="&amp;R82)+SUMIFS('[1]1_group_totals'!$M$8:$M$10000,'[1]1_group_totals'!$C$8:$C$10000,I82,'[1]1_group_totals'!$F$8:$F$10000,pb_location_group_id,'[1]1_group_totals'!$G$8:$G$10000,pb_location_id,'[1]1_group_totals'!$H$8:$H$10000,"="&amp;Q82,'[1]1_group_totals'!$I$8:$I$10000,"="&amp;R82)+SUMIFS('[1]1_group_totals'!$O$8:$O$10000,'[1]1_group_totals'!$C$8:$C$10000,I82,'[1]1_group_totals'!$F$8:$F$10000,pb_location_group_id,'[1]1_group_totals'!$G$8:$G$10000,pb_location_id,'[1]1_group_totals'!$H$8:$H$10000,"="&amp;Q82,'[1]1_group_totals'!$I$8:$I$10000,"="&amp;R82)+SUMIFS('[1]1_group_totals'!$R$8:$R$10000,'[1]1_group_totals'!$C$8:$C$10000,I82,'[1]1_group_totals'!$F$8:$F$10000,pb_location_group_id,'[1]1_group_totals'!$G$8:$G$10000,pb_location_id,'[1]1_group_totals'!$H$8:$H$10000,"="&amp;Q82,'[1]1_group_totals'!$I$8:$I$10000,"="&amp;R82)))</f>
        <v/>
      </c>
    </row>
    <row r="83" spans="1:46" ht="27" hidden="1" customHeight="1">
      <c r="A83" s="923"/>
      <c r="B83" s="1028"/>
      <c r="C83" s="950"/>
      <c r="D83" s="950"/>
      <c r="E83" s="950"/>
      <c r="F83" s="1029"/>
      <c r="G83" s="941"/>
      <c r="H83" s="1070"/>
      <c r="I83" s="1610" t="str">
        <f t="shared" si="212"/>
        <v/>
      </c>
      <c r="J83" s="1631" t="str">
        <f t="shared" si="226"/>
        <v/>
      </c>
      <c r="K83" s="1628"/>
      <c r="L83" s="1632"/>
      <c r="M83" s="1069"/>
      <c r="N83" s="1044"/>
      <c r="O83" s="1044"/>
      <c r="P83" s="1046"/>
      <c r="Q83" s="1047"/>
      <c r="R83" s="1053"/>
      <c r="S83" s="1634" t="str">
        <f t="shared" ref="S83" si="254">IF(M83="","",pb_currency_symbol)</f>
        <v/>
      </c>
      <c r="T83" s="1068"/>
      <c r="U83" s="1636" t="str">
        <f t="shared" si="214"/>
        <v/>
      </c>
      <c r="V83" s="1634" t="str">
        <f t="shared" ref="V83" si="255">IF(W83=0,"",pb_currency_symbol)</f>
        <v/>
      </c>
      <c r="W83" s="1054"/>
      <c r="X83" s="1634" t="str">
        <f t="shared" ref="X83" si="256">IF(M83="","",pb_currency_symbol)</f>
        <v/>
      </c>
      <c r="Y83" s="1638" t="str">
        <f t="shared" si="217"/>
        <v/>
      </c>
      <c r="Z83" s="1062"/>
      <c r="AA83" s="1639" t="str" cm="1">
        <f t="array" ref="AA83">IF(M83="","",IF(P83=AL83,1,Slookup(MID(AL83,1,3)*1,UomConversion!$D$8:$J$500,5,UomConversion!$E$8:$E$500,MID(P83,1,3)*1,UomConversion!$J$8:$J$500,1)))</f>
        <v/>
      </c>
      <c r="AB83" s="1640" t="str">
        <f t="shared" si="218"/>
        <v/>
      </c>
      <c r="AC83" s="1641" t="str">
        <f t="shared" si="219"/>
        <v/>
      </c>
      <c r="AD83" s="1642" t="str">
        <f t="shared" si="220"/>
        <v/>
      </c>
      <c r="AE83" s="1643" t="str">
        <f t="shared" si="221"/>
        <v/>
      </c>
      <c r="AF83" s="1640" t="str">
        <f>IF(I83="","",IF(ISNA(MATCH(I83,IF(pb_location_id=1,'[1]1_inventory_totals'!$C$8:$C$10000,IF(pb_location_id=2,'[1]2_inventory_totals'!$C$8:$C$10000,"")),0)),0,IF(AS83&gt;0,1,0)))</f>
        <v/>
      </c>
      <c r="AG83" s="1640" t="str">
        <f>IF(M83="","",IF(pb_location_id=1,SUMIFS('[1]1_inventory_total_details'!$J$8:$J$10000,'[1]1_inventory_total_details'!$C$8:$C$10000,I83,'[1]1_inventory_total_details'!$F$8:$F$10000,pb_location_id,'[1]1_inventory_total_details'!$G$8:$G$10000,"="&amp;Q83,'[1]1_inventory_total_details'!$H$8:$H$10000,"="&amp;R83,'[1]1_inventory_total_details'!$I$8:$I$10000,"="&amp;pb_date)+SUMIFS('[1]1_inventory_total_details'!$M$8:$M$10000,'[1]1_inventory_total_details'!$C$8:$C$10000,I83,'[1]1_inventory_total_details'!$F$8:$F$10000,pb_location_id,'[1]1_inventory_total_details'!$G$8:$G$10000,"="&amp;Q83,'[1]1_inventory_total_details'!$H$8:$H$10000,"="&amp;R83,'[1]1_inventory_total_details'!$I$8:$I$10000,"="&amp;pb_date)+SUMIFS('[1]1_inventory_total_details'!$K$8:$K$10000,'[1]1_inventory_total_details'!$C$8:$C$10000,I83,'[1]1_inventory_total_details'!$F$8:$F$10000,pb_location_id,'[1]1_inventory_total_details'!$G$8:$G$10000,"="&amp;Q83,'[1]1_inventory_total_details'!$H$8:$H$10000,"="&amp;R83,'[1]1_inventory_total_details'!$I$8:$I$10000,"="&amp;pb_date)+SUMIFS('[1]1_inventory_total_details'!$L$8:$L$10000,'[1]1_inventory_total_details'!$C$8:$C$10000,I83,'[1]1_inventory_total_details'!$F$8:$F$10000,pb_location_id,'[1]1_inventory_total_details'!$G$8:$G$10000,"="&amp;Q83,'[1]1_inventory_total_details'!$H$8:$H$10000,"="&amp;R83,'[1]1_inventory_total_details'!$I$8:$I$10000,"="&amp;pb_date),SUMIFS('[1]2_inventory_total_details'!$J$8:$J$10000,'[1]2_inventory_total_details'!$C$8:$C$10000,I83,'[1]1_inventory_total_details'!$F$8:$F$10000,pb_location_id,'[1]2_inventory_total_details'!$G$8:$G$10000,"="&amp;Q83,'[1]2_inventory_total_details'!$H$8:$H$10000,"="&amp;R83,'[1]2_inventory_total_details'!$I$8:$I$10000,"="&amp;pb_date)+SUMIFS('[1]2_inventory_total_details'!$M$8:$M$10000,'[1]2_inventory_total_details'!$C$8:$C$10000,I83,'[1]2_inventory_total_details'!$F$8:$F$10000,pb_location_id,'[1]2_inventory_total_details'!$G$8:$G$10000,"="&amp;Q83,'[1]2_inventory_total_details'!$H$8:$H$10000,"="&amp;R83,'[1]2_inventory_total_details'!$I$8:$I$10000,"="&amp;pb_date)+SUMIFS('[1]2_inventory_total_details'!$K$8:$K$10000,'[1]2_inventory_total_details'!$C$8:$C$10000,I83,'[1]2_inventory_total_details'!$F$8:$F$10000,pb_location_id,'[1]2_inventory_total_details'!$G$8:$G$10000,"="&amp;Q83,'[1]2_inventory_total_details'!$H$8:$H$10000,"="&amp;R83,'[1]2_inventory_total_details'!$I$8:$I$10000,"="&amp;pb_date)+SUMIFS('[1]2_inventory_total_details'!$L$8:$L$10000,'[1]2_inventory_total_details'!$C$8:$C$10000,I83,'[1]2_inventory_total_details'!$F$8:$F$10000,pb_location_id,'[1]2_inventory_total_details'!$G$8:$G$10000,"="&amp;Q83,'[1]2_inventory_total_details'!$H$8:$H$10000,"="&amp;R83,'[1]2_inventory_total_details'!$I$8:$I$10000,"="&amp;pb_date)))</f>
        <v/>
      </c>
      <c r="AH83" s="1640" t="str">
        <f>IF(M83="","",IF(ISNA(MATCH(I83,'[1]1_group_totals'!$C$8:$C$10000)),0,IF(AT83&gt;0,1,0)))</f>
        <v/>
      </c>
      <c r="AI83" s="1640" t="str">
        <f>IF(M83="","",(SUMIFS('[1]1_group_total_details'!$I$8:$I$10000,'[1]1_group_total_details'!$C$8:$C$10000,I83,'[1]1_group_total_details'!$F$8:$F$10000,pb_location_group_id,'[1]1_group_total_details'!$G$8:$G$10000,pb_location_id,'[1]1_group_total_details'!$H$8:$H$10000,"="&amp;pb_date)+SUMIFS('[1]1_group_total_details'!$L$8:$L$10000,'[1]1_group_total_details'!$C$8:$C$10000,I83,'[1]1_group_total_details'!$F$8:$F$10000,pb_location_group_id,'[1]1_group_total_details'!$G$8:$G$10000,pb_location_id,'[1]1_group_total_details'!$H$8:$H$10000,"="&amp;pb_date)+SUMIFS('[1]1_group_total_details'!$N$8:$N$10000,'[1]1_group_total_details'!$C$8:$C$10000,I83,'[1]1_group_total_details'!$F$8:$F$10000,pb_location_group_id,'[1]1_group_total_details'!$G$8:$G$10000,pb_location_id,'[1]1_group_total_details'!$H$8:$H$10000,"="&amp;pb_date)+SUMIFS('[1]1_group_total_details'!$O$8:$O$10000,'[1]1_group_total_details'!$C$8:$C$10000,I83,'[1]1_group_total_details'!$F$8:$F$10000,pb_location_group_id,'[1]1_group_total_details'!$G$8:$G$10000,pb_location_id,'[1]1_group_total_details'!$H$8:$H$10000,"="&amp;pb_date))+(SUMIFS('[1]1_group_total_details'!$J$8:$J$10000,'[1]1_group_total_details'!$C$8:$C$10000,I83,'[1]1_group_total_details'!$F$8:$F$10000,pb_location_group_id,'[1]1_group_total_details'!$G$8:$G$10000,pb_location_id,'[1]1_group_total_details'!$H$8:$H$10000,"="&amp;pb_date)+SUMIFS('[1]1_group_total_details'!$K$8:$K$10000,'[1]1_group_total_details'!$C$8:$C$10000,I83,'[1]1_group_total_details'!$F$8:$F$10000,pb_location_group_id,'[1]1_group_total_details'!$G$8:$G$10000,pb_location_id,'[1]1_group_total_details'!$H$8:$H$10000,"="&amp;pb_date)+SUMIFS('[1]1_group_total_details'!$M$8:$M$10000,'[1]1_group_total_details'!$C$8:$C$10000,I83,'[1]1_group_total_details'!$F$8:$F$10000,pb_location_group_id,'[1]1_group_total_details'!$G$8:$G$10000,pb_location_id,'[1]1_group_total_details'!$H$8:$H$10000,"="&amp;pb_date)+SUMIFS('[1]1_group_total_details'!$P$8:$P$10000,'[1]1_group_total_details'!$C$8:$C$10000,I83,'[1]1_group_total_details'!$F$8:$F$10000,pb_location_group_id,'[1]1_group_total_details'!$G$8:$G$10000,pb_location_id,'[1]1_group_total_details'!$H$8:$H$10000,"="&amp;pb_date)))</f>
        <v/>
      </c>
      <c r="AJ83" s="1640" t="str">
        <f>IF(M83="","",IF(AK83=0,0,(SUMIFS('[1]1_group_total_details'!$I$8:$I$10000,'[1]1_group_total_details'!$C$8:$C$10000,I83,'[1]1_group_total_details'!$F$8:$F$10000,pb_location_group_id,'[1]1_group_total_details'!$G$8:$G$10000,pb_location_id,'[1]1_group_total_details'!$H$8:$H$10000,"&lt;="&amp;pb_date)+SUMIFS('[1]1_group_total_details'!$L$8:$L$10000,'[1]1_group_total_details'!$C$8:$C$10000,I83,'[1]1_group_total_details'!$F$8:$F$10000,pb_location_group_id,'[1]1_group_total_details'!$G$8:$G$10000,pb_location_id,'[1]1_group_total_details'!$H$8:$H$10000,"&lt;="&amp;pb_date)+SUMIFS('[1]1_group_total_details'!$N$8:$N$10000,'[1]1_group_total_details'!$C$8:$C$10000,I83,'[1]1_group_total_details'!$F$8:$F$10000,pb_location_group_id,'[1]1_group_total_details'!$G$8:$G$10000,pb_location_id,'[1]1_group_total_details'!$H$8:$H$10000,"&lt;="&amp;pb_date)+SUMIFS('[1]1_group_total_details'!$O$8:$O$10000,'[1]1_group_total_details'!$C$8:$C$10000,I83,'[1]1_group_total_details'!$F$8:$F$10000,pb_location_group_id,'[1]1_group_total_details'!$G$8:$G$10000,pb_location_id,'[1]1_group_total_details'!$H$8:$H$10000,"&lt;="&amp;pb_date))-(SUMIFS('[1]1_group_total_details'!$J$8:$J$10000,'[1]1_group_total_details'!$C$8:$C$10000,I83,'[1]1_group_total_details'!$F$8:$F$10000,pb_location_group_id,'[1]1_group_total_details'!$G$8:$G$10000,pb_location_id,'[1]1_group_total_details'!$H$8:$H$10000,"&lt;="&amp;pb_date)+SUMIFS('[1]1_group_total_details'!$K$8:$K$10000,'[1]1_group_total_details'!$C$8:$C$10000,I83,'[1]1_group_total_details'!$F$8:$F$10000,pb_location_group_id,'[1]1_group_total_details'!$G$8:$G$10000,invoice_location_id,'[1]1_group_total_details'!$H$8:$H$10000,"&lt;="&amp;pb_date)+SUMIFS('[1]1_group_total_details'!$M$8:$M$10000,'[1]1_group_total_details'!$C$8:$C$10000,I83,'[1]1_group_total_details'!$F$8:$F$10000,pb_location_group_id,'[1]1_group_total_details'!$G$8:$G$10000,pb_location_id,'[1]1_group_total_details'!$H$8:$H$10000,"&lt;="&amp;pb_date)+SUMIFS('[1]1_group_total_details'!$P$8:$P$10000,'[1]1_group_total_details'!$C$8:$C$10000,I83,'[1]1_group_total_details'!$F$8:$F$10000,pb_location_group_id,'[1]1_group_total_details'!$G$8:$G$10000,pb_location_id,'[1]1_group_total_details'!$H$8:$H$10000,"&lt;="&amp;pb_date))))</f>
        <v/>
      </c>
      <c r="AK83" s="1640" t="str">
        <f>IF(M83="","",SUMIFS('[1]1_group_totals'!$J$8:$J$10000,'[1]1_group_totals'!$C$8:$C$10000,I83,'[1]1_group_totals'!$F$8:$F$10000,pb_location_group_id,'[1]1_group_totals'!$G$8:$G$10000,pb_location_id,'[1]1_group_totals'!$H$8:$H$10000,"="&amp;Q83,'[1]1_group_totals'!$I$8:$I$10000,"="&amp;R83))</f>
        <v/>
      </c>
      <c r="AL83" s="1644" t="str">
        <f t="shared" si="222"/>
        <v/>
      </c>
      <c r="AM83" s="1644" t="str">
        <f>IF(OR(ISNA(MATCH(MID(AL83,1,3)*1,UomConversion!$D$8:$D$500,0)),M83=""),"",IF(AQ83="","",AQ83))</f>
        <v/>
      </c>
      <c r="AN83" s="1644" t="str">
        <f>IF(AND(AO83&gt;0,COUNTIFS(UomConversion!$D$8:$D$500,MID(AL83,1,3)*1,UomConversion!$J$8:$J$500,1)&gt;1),TEXT(AO83,"000")&amp;"."&amp;VLOOKUP(AO83,uom_list,5,FALSE),"")</f>
        <v/>
      </c>
      <c r="AO83" s="1640" t="str">
        <f t="shared" si="223"/>
        <v/>
      </c>
      <c r="AP83" s="1645" t="str">
        <f t="shared" si="224"/>
        <v/>
      </c>
      <c r="AQ83" s="491" t="str">
        <f t="shared" si="225"/>
        <v/>
      </c>
      <c r="AR83" s="1281" t="str" cm="1">
        <f t="array" ref="AR83">IF(M83="","",IF(ISNA(Slookup(MID(AL83,1,3)*1,UomConversion!$D$8:$J$500,2,UomConversion!$I$8:$I$500,1,UomConversion!$J$8:$J$500,1)),"",Slookup(MID(AL83,1,3)*1,UomConversion!$D$8:$J$500,2,UomConversion!$I$8:$I$500,1,UomConversion!$J$8:$J$500,1)))</f>
        <v/>
      </c>
      <c r="AS83" s="663" t="str">
        <f>IF(M83="","",(SUMIFS('[1]1_inventory_totals'!$I$8:$I$10000,'[1]1_inventory_totals'!$C$8:$C$10000,I83,'[1]1_inventory_totals'!$F$8:$F$10000,"="&amp;Q83,'[1]1_inventory_totals'!$G$8:$G$10000,"="&amp;R83)+SUMIFS('[1]1_inventory_totals'!$N$8:$N$10000,'[1]1_inventory_totals'!$C$8:$C$10000,I83,'[1]1_inventory_totals'!$F$8:$F$10000,"="&amp;Q83,'[1]1_inventory_totals'!$G$8:$G$10000,"="&amp;R83)+SUMIFS('[1]1_inventory_totals'!$P$8:$P$10000,'[1]1_inventory_totals'!$C$8:$C$10000,I83,'[1]1_inventory_totals'!$F$8:$F$10000,"="&amp;Q83,'[1]1_inventory_totals'!$G$8:$G$10000,"="&amp;R83)+SUMIFS('[1]1_inventory_totals'!$Q$8:$Q$10000,'[1]1_inventory_totals'!$C$8:$C$10000,I83,'[1]1_inventory_totals'!$F$8:$F$10000,"="&amp;Q83,'[1]1_inventory_totals'!$G$8:$G$10000,"="&amp;R83)+SUMIFS('[1]1_inventory_totals'!$R$8:$R$10000,'[1]1_inventory_totals'!$C$8:$C$10000,I83,'[1]1_inventory_totals'!$F$8:$F$10000,"="&amp;Q83,'[1]1_inventory_totals'!$G$8:$G$10000,"="&amp;R83))+(SUMIFS('[1]1_inventory_totals'!$J$8:$J$10000,'[1]1_inventory_totals'!$C$8:$C$10000,I83,'[1]1_inventory_totals'!$F$8:$F$10000,"="&amp;Q83,'[1]1_inventory_totals'!$G$8:$G$10000,"="&amp;R83)+SUMIFS('[1]1_inventory_totals'!$K$8:$K$10000,'[1]1_inventory_totals'!$C$8:$C$10000,I83,'[1]1_inventory_totals'!$F$8:$F$10000,"="&amp;Q83,'[1]1_inventory_totals'!$G$8:$G$10000,"="&amp;R83)+SUMIFS('[1]1_inventory_totals'!$L$8:$L$10000,'[1]1_inventory_totals'!$C$8:$C$10000,I83,'[1]1_inventory_totals'!$F$8:$F$10000,"="&amp;Q83,'[1]1_inventory_totals'!$G$8:$G$10000,"="&amp;R83)+SUMIFS('[1]1_inventory_totals'!$M$8:$M$10000,'[1]1_inventory_totals'!$C$8:$C$10000,I83,'[1]1_inventory_totals'!$F$8:$F$10000,"="&amp;Q83,'[1]1_inventory_totals'!$G$8:$G$10000,"="&amp;R83)+SUMIFS('[1]1_inventory_totals'!$O$8:$O$10000,'[1]1_inventory_totals'!$C$8:$C$10000,I83,'[1]1_inventory_totals'!$F$8:$F$10000,"="&amp;Q83,'[1]1_inventory_totals'!$G$8:$G$10000,"="&amp;R83)+SUMIFS('[1]1_inventory_totals'!$S$8:$S$10000,'[1]1_inventory_totals'!$C$8:$C$10000,I83,'[1]1_inventory_totals'!$F$8:$F$10000,"="&amp;Q83,'[1]1_inventory_totals'!$G$8:$G$10000,"="&amp;R83)))</f>
        <v/>
      </c>
      <c r="AT83" s="1281" t="str">
        <f>IF(M83="","",(SUMIFS('[1]1_group_totals'!$K$8:$K$10000,'[1]1_group_totals'!$C$8:$C$10000,I83,'[1]1_group_totals'!$F$8:$F$10000,pb_location_group_id,'[1]1_group_totals'!$G$8:$G$10000,pb_location_id,'[1]1_group_totals'!$H$8:$H$10000,"="&amp;Q83,'[1]1_group_totals'!$I$8:$I$10000,"="&amp;R83)+SUMIFS('[1]1_group_totals'!$N$8:$N$10000,'[1]1_group_totals'!$C$8:$C$10000,I83,'[1]1_group_totals'!$F$8:$F$10000,pb_location_group_id,'[1]1_group_totals'!$G$8:$G$10000,pb_location_id,'[1]1_group_totals'!$H$8:$H$10000,"="&amp;Q83,'[1]1_group_totals'!$I$8:$I$10000,"="&amp;R83)+SUMIFS('[1]1_group_totals'!$P$8:$P$10000,'[1]1_group_totals'!$C$8:$C$10000,I83,'[1]1_group_totals'!$F$8:$F$10000,pb_location_group_id,'[1]1_group_totals'!$G$8:$G$10000,pb_location_id,'[1]1_group_totals'!$H$8:$H$10000,"="&amp;Q83,'[1]1_group_totals'!$I$8:$I$10000,"="&amp;R83)+SUMIFS('[1]1_group_totals'!$Q$8:$Q$10000,'[1]1_group_totals'!$C$8:$C$10000,I83,'[1]1_group_totals'!$F$8:$F$10000,pb_location_group_id,'[1]1_group_totals'!$G$8:$G$10000,pb_location_id,'[1]1_group_totals'!$H$8:$H$10000,"="&amp;Q83,'[1]1_group_totals'!$I$8:$I$10000,"="&amp;R83))+(SUMIFS('[1]1_group_totals'!$L$8:$L$10000,'[1]1_group_totals'!$C$8:$C$10000,I83,'[1]1_group_totals'!$F$8:$F$10000,pb_location_group_id,'[1]1_group_totals'!$G$8:$G$10000,pb_location_id,'[1]1_group_totals'!$H$8:$H$10000,"="&amp;Q83,'[1]1_group_totals'!$I$8:$I$10000,"="&amp;R83)+SUMIFS('[1]1_group_totals'!$M$8:$M$10000,'[1]1_group_totals'!$C$8:$C$10000,I83,'[1]1_group_totals'!$F$8:$F$10000,pb_location_group_id,'[1]1_group_totals'!$G$8:$G$10000,pb_location_id,'[1]1_group_totals'!$H$8:$H$10000,"="&amp;Q83,'[1]1_group_totals'!$I$8:$I$10000,"="&amp;R83)+SUMIFS('[1]1_group_totals'!$O$8:$O$10000,'[1]1_group_totals'!$C$8:$C$10000,I83,'[1]1_group_totals'!$F$8:$F$10000,pb_location_group_id,'[1]1_group_totals'!$G$8:$G$10000,pb_location_id,'[1]1_group_totals'!$H$8:$H$10000,"="&amp;Q83,'[1]1_group_totals'!$I$8:$I$10000,"="&amp;R83)+SUMIFS('[1]1_group_totals'!$R$8:$R$10000,'[1]1_group_totals'!$C$8:$C$10000,I83,'[1]1_group_totals'!$F$8:$F$10000,pb_location_group_id,'[1]1_group_totals'!$G$8:$G$10000,pb_location_id,'[1]1_group_totals'!$H$8:$H$10000,"="&amp;Q83,'[1]1_group_totals'!$I$8:$I$10000,"="&amp;R83)))</f>
        <v/>
      </c>
    </row>
    <row r="84" spans="1:46" ht="27" hidden="1" customHeight="1">
      <c r="A84" s="923"/>
      <c r="B84" s="1028"/>
      <c r="C84" s="950"/>
      <c r="D84" s="950"/>
      <c r="E84" s="950"/>
      <c r="F84" s="1029"/>
      <c r="G84" s="941"/>
      <c r="H84" s="1070"/>
      <c r="I84" s="1610" t="str">
        <f t="shared" si="212"/>
        <v/>
      </c>
      <c r="J84" s="1631" t="str">
        <f t="shared" si="226"/>
        <v/>
      </c>
      <c r="K84" s="1628"/>
      <c r="L84" s="1632"/>
      <c r="M84" s="1069"/>
      <c r="N84" s="1044"/>
      <c r="O84" s="1044"/>
      <c r="P84" s="1046"/>
      <c r="Q84" s="1047"/>
      <c r="R84" s="1053"/>
      <c r="S84" s="1634" t="str">
        <f t="shared" ref="S84" si="257">IF(M84="","",pb_currency_symbol)</f>
        <v/>
      </c>
      <c r="T84" s="1068"/>
      <c r="U84" s="1636" t="str">
        <f t="shared" si="214"/>
        <v/>
      </c>
      <c r="V84" s="1634" t="str">
        <f t="shared" ref="V84" si="258">IF(W84=0,"",pb_currency_symbol)</f>
        <v/>
      </c>
      <c r="W84" s="1054"/>
      <c r="X84" s="1634" t="str">
        <f t="shared" ref="X84" si="259">IF(M84="","",pb_currency_symbol)</f>
        <v/>
      </c>
      <c r="Y84" s="1638" t="str">
        <f t="shared" si="217"/>
        <v/>
      </c>
      <c r="Z84" s="1062"/>
      <c r="AA84" s="1639" t="str" cm="1">
        <f t="array" ref="AA84">IF(M84="","",IF(P84=AL84,1,Slookup(MID(AL84,1,3)*1,UomConversion!$D$8:$J$500,5,UomConversion!$E$8:$E$500,MID(P84,1,3)*1,UomConversion!$J$8:$J$500,1)))</f>
        <v/>
      </c>
      <c r="AB84" s="1640" t="str">
        <f t="shared" si="218"/>
        <v/>
      </c>
      <c r="AC84" s="1641" t="str">
        <f t="shared" si="219"/>
        <v/>
      </c>
      <c r="AD84" s="1642" t="str">
        <f t="shared" si="220"/>
        <v/>
      </c>
      <c r="AE84" s="1643" t="str">
        <f t="shared" si="221"/>
        <v/>
      </c>
      <c r="AF84" s="1640" t="str">
        <f>IF(I84="","",IF(ISNA(MATCH(I84,IF(pb_location_id=1,'[1]1_inventory_totals'!$C$8:$C$10000,IF(pb_location_id=2,'[1]2_inventory_totals'!$C$8:$C$10000,"")),0)),0,IF(AS84&gt;0,1,0)))</f>
        <v/>
      </c>
      <c r="AG84" s="1640" t="str">
        <f>IF(M84="","",IF(pb_location_id=1,SUMIFS('[1]1_inventory_total_details'!$J$8:$J$10000,'[1]1_inventory_total_details'!$C$8:$C$10000,I84,'[1]1_inventory_total_details'!$F$8:$F$10000,pb_location_id,'[1]1_inventory_total_details'!$G$8:$G$10000,"="&amp;Q84,'[1]1_inventory_total_details'!$H$8:$H$10000,"="&amp;R84,'[1]1_inventory_total_details'!$I$8:$I$10000,"="&amp;pb_date)+SUMIFS('[1]1_inventory_total_details'!$M$8:$M$10000,'[1]1_inventory_total_details'!$C$8:$C$10000,I84,'[1]1_inventory_total_details'!$F$8:$F$10000,pb_location_id,'[1]1_inventory_total_details'!$G$8:$G$10000,"="&amp;Q84,'[1]1_inventory_total_details'!$H$8:$H$10000,"="&amp;R84,'[1]1_inventory_total_details'!$I$8:$I$10000,"="&amp;pb_date)+SUMIFS('[1]1_inventory_total_details'!$K$8:$K$10000,'[1]1_inventory_total_details'!$C$8:$C$10000,I84,'[1]1_inventory_total_details'!$F$8:$F$10000,pb_location_id,'[1]1_inventory_total_details'!$G$8:$G$10000,"="&amp;Q84,'[1]1_inventory_total_details'!$H$8:$H$10000,"="&amp;R84,'[1]1_inventory_total_details'!$I$8:$I$10000,"="&amp;pb_date)+SUMIFS('[1]1_inventory_total_details'!$L$8:$L$10000,'[1]1_inventory_total_details'!$C$8:$C$10000,I84,'[1]1_inventory_total_details'!$F$8:$F$10000,pb_location_id,'[1]1_inventory_total_details'!$G$8:$G$10000,"="&amp;Q84,'[1]1_inventory_total_details'!$H$8:$H$10000,"="&amp;R84,'[1]1_inventory_total_details'!$I$8:$I$10000,"="&amp;pb_date),SUMIFS('[1]2_inventory_total_details'!$J$8:$J$10000,'[1]2_inventory_total_details'!$C$8:$C$10000,I84,'[1]1_inventory_total_details'!$F$8:$F$10000,pb_location_id,'[1]2_inventory_total_details'!$G$8:$G$10000,"="&amp;Q84,'[1]2_inventory_total_details'!$H$8:$H$10000,"="&amp;R84,'[1]2_inventory_total_details'!$I$8:$I$10000,"="&amp;pb_date)+SUMIFS('[1]2_inventory_total_details'!$M$8:$M$10000,'[1]2_inventory_total_details'!$C$8:$C$10000,I84,'[1]2_inventory_total_details'!$F$8:$F$10000,pb_location_id,'[1]2_inventory_total_details'!$G$8:$G$10000,"="&amp;Q84,'[1]2_inventory_total_details'!$H$8:$H$10000,"="&amp;R84,'[1]2_inventory_total_details'!$I$8:$I$10000,"="&amp;pb_date)+SUMIFS('[1]2_inventory_total_details'!$K$8:$K$10000,'[1]2_inventory_total_details'!$C$8:$C$10000,I84,'[1]2_inventory_total_details'!$F$8:$F$10000,pb_location_id,'[1]2_inventory_total_details'!$G$8:$G$10000,"="&amp;Q84,'[1]2_inventory_total_details'!$H$8:$H$10000,"="&amp;R84,'[1]2_inventory_total_details'!$I$8:$I$10000,"="&amp;pb_date)+SUMIFS('[1]2_inventory_total_details'!$L$8:$L$10000,'[1]2_inventory_total_details'!$C$8:$C$10000,I84,'[1]2_inventory_total_details'!$F$8:$F$10000,pb_location_id,'[1]2_inventory_total_details'!$G$8:$G$10000,"="&amp;Q84,'[1]2_inventory_total_details'!$H$8:$H$10000,"="&amp;R84,'[1]2_inventory_total_details'!$I$8:$I$10000,"="&amp;pb_date)))</f>
        <v/>
      </c>
      <c r="AH84" s="1640" t="str">
        <f>IF(M84="","",IF(ISNA(MATCH(I84,'[1]1_group_totals'!$C$8:$C$10000)),0,IF(AT84&gt;0,1,0)))</f>
        <v/>
      </c>
      <c r="AI84" s="1640" t="str">
        <f>IF(M84="","",(SUMIFS('[1]1_group_total_details'!$I$8:$I$10000,'[1]1_group_total_details'!$C$8:$C$10000,I84,'[1]1_group_total_details'!$F$8:$F$10000,pb_location_group_id,'[1]1_group_total_details'!$G$8:$G$10000,pb_location_id,'[1]1_group_total_details'!$H$8:$H$10000,"="&amp;pb_date)+SUMIFS('[1]1_group_total_details'!$L$8:$L$10000,'[1]1_group_total_details'!$C$8:$C$10000,I84,'[1]1_group_total_details'!$F$8:$F$10000,pb_location_group_id,'[1]1_group_total_details'!$G$8:$G$10000,pb_location_id,'[1]1_group_total_details'!$H$8:$H$10000,"="&amp;pb_date)+SUMIFS('[1]1_group_total_details'!$N$8:$N$10000,'[1]1_group_total_details'!$C$8:$C$10000,I84,'[1]1_group_total_details'!$F$8:$F$10000,pb_location_group_id,'[1]1_group_total_details'!$G$8:$G$10000,pb_location_id,'[1]1_group_total_details'!$H$8:$H$10000,"="&amp;pb_date)+SUMIFS('[1]1_group_total_details'!$O$8:$O$10000,'[1]1_group_total_details'!$C$8:$C$10000,I84,'[1]1_group_total_details'!$F$8:$F$10000,pb_location_group_id,'[1]1_group_total_details'!$G$8:$G$10000,pb_location_id,'[1]1_group_total_details'!$H$8:$H$10000,"="&amp;pb_date))+(SUMIFS('[1]1_group_total_details'!$J$8:$J$10000,'[1]1_group_total_details'!$C$8:$C$10000,I84,'[1]1_group_total_details'!$F$8:$F$10000,pb_location_group_id,'[1]1_group_total_details'!$G$8:$G$10000,pb_location_id,'[1]1_group_total_details'!$H$8:$H$10000,"="&amp;pb_date)+SUMIFS('[1]1_group_total_details'!$K$8:$K$10000,'[1]1_group_total_details'!$C$8:$C$10000,I84,'[1]1_group_total_details'!$F$8:$F$10000,pb_location_group_id,'[1]1_group_total_details'!$G$8:$G$10000,pb_location_id,'[1]1_group_total_details'!$H$8:$H$10000,"="&amp;pb_date)+SUMIFS('[1]1_group_total_details'!$M$8:$M$10000,'[1]1_group_total_details'!$C$8:$C$10000,I84,'[1]1_group_total_details'!$F$8:$F$10000,pb_location_group_id,'[1]1_group_total_details'!$G$8:$G$10000,pb_location_id,'[1]1_group_total_details'!$H$8:$H$10000,"="&amp;pb_date)+SUMIFS('[1]1_group_total_details'!$P$8:$P$10000,'[1]1_group_total_details'!$C$8:$C$10000,I84,'[1]1_group_total_details'!$F$8:$F$10000,pb_location_group_id,'[1]1_group_total_details'!$G$8:$G$10000,pb_location_id,'[1]1_group_total_details'!$H$8:$H$10000,"="&amp;pb_date)))</f>
        <v/>
      </c>
      <c r="AJ84" s="1640" t="str">
        <f>IF(M84="","",IF(AK84=0,0,(SUMIFS('[1]1_group_total_details'!$I$8:$I$10000,'[1]1_group_total_details'!$C$8:$C$10000,I84,'[1]1_group_total_details'!$F$8:$F$10000,pb_location_group_id,'[1]1_group_total_details'!$G$8:$G$10000,pb_location_id,'[1]1_group_total_details'!$H$8:$H$10000,"&lt;="&amp;pb_date)+SUMIFS('[1]1_group_total_details'!$L$8:$L$10000,'[1]1_group_total_details'!$C$8:$C$10000,I84,'[1]1_group_total_details'!$F$8:$F$10000,pb_location_group_id,'[1]1_group_total_details'!$G$8:$G$10000,pb_location_id,'[1]1_group_total_details'!$H$8:$H$10000,"&lt;="&amp;pb_date)+SUMIFS('[1]1_group_total_details'!$N$8:$N$10000,'[1]1_group_total_details'!$C$8:$C$10000,I84,'[1]1_group_total_details'!$F$8:$F$10000,pb_location_group_id,'[1]1_group_total_details'!$G$8:$G$10000,pb_location_id,'[1]1_group_total_details'!$H$8:$H$10000,"&lt;="&amp;pb_date)+SUMIFS('[1]1_group_total_details'!$O$8:$O$10000,'[1]1_group_total_details'!$C$8:$C$10000,I84,'[1]1_group_total_details'!$F$8:$F$10000,pb_location_group_id,'[1]1_group_total_details'!$G$8:$G$10000,pb_location_id,'[1]1_group_total_details'!$H$8:$H$10000,"&lt;="&amp;pb_date))-(SUMIFS('[1]1_group_total_details'!$J$8:$J$10000,'[1]1_group_total_details'!$C$8:$C$10000,I84,'[1]1_group_total_details'!$F$8:$F$10000,pb_location_group_id,'[1]1_group_total_details'!$G$8:$G$10000,pb_location_id,'[1]1_group_total_details'!$H$8:$H$10000,"&lt;="&amp;pb_date)+SUMIFS('[1]1_group_total_details'!$K$8:$K$10000,'[1]1_group_total_details'!$C$8:$C$10000,I84,'[1]1_group_total_details'!$F$8:$F$10000,pb_location_group_id,'[1]1_group_total_details'!$G$8:$G$10000,invoice_location_id,'[1]1_group_total_details'!$H$8:$H$10000,"&lt;="&amp;pb_date)+SUMIFS('[1]1_group_total_details'!$M$8:$M$10000,'[1]1_group_total_details'!$C$8:$C$10000,I84,'[1]1_group_total_details'!$F$8:$F$10000,pb_location_group_id,'[1]1_group_total_details'!$G$8:$G$10000,pb_location_id,'[1]1_group_total_details'!$H$8:$H$10000,"&lt;="&amp;pb_date)+SUMIFS('[1]1_group_total_details'!$P$8:$P$10000,'[1]1_group_total_details'!$C$8:$C$10000,I84,'[1]1_group_total_details'!$F$8:$F$10000,pb_location_group_id,'[1]1_group_total_details'!$G$8:$G$10000,pb_location_id,'[1]1_group_total_details'!$H$8:$H$10000,"&lt;="&amp;pb_date))))</f>
        <v/>
      </c>
      <c r="AK84" s="1640" t="str">
        <f>IF(M84="","",SUMIFS('[1]1_group_totals'!$J$8:$J$10000,'[1]1_group_totals'!$C$8:$C$10000,I84,'[1]1_group_totals'!$F$8:$F$10000,pb_location_group_id,'[1]1_group_totals'!$G$8:$G$10000,pb_location_id,'[1]1_group_totals'!$H$8:$H$10000,"="&amp;Q84,'[1]1_group_totals'!$I$8:$I$10000,"="&amp;R84))</f>
        <v/>
      </c>
      <c r="AL84" s="1644" t="str">
        <f t="shared" si="222"/>
        <v/>
      </c>
      <c r="AM84" s="1644" t="str">
        <f>IF(OR(ISNA(MATCH(MID(AL84,1,3)*1,UomConversion!$D$8:$D$500,0)),M84=""),"",IF(AQ84="","",AQ84))</f>
        <v/>
      </c>
      <c r="AN84" s="1644" t="str">
        <f>IF(AND(AO84&gt;0,COUNTIFS(UomConversion!$D$8:$D$500,MID(AL84,1,3)*1,UomConversion!$J$8:$J$500,1)&gt;1),TEXT(AO84,"000")&amp;"."&amp;VLOOKUP(AO84,uom_list,5,FALSE),"")</f>
        <v/>
      </c>
      <c r="AO84" s="1640" t="str">
        <f t="shared" si="223"/>
        <v/>
      </c>
      <c r="AP84" s="1645" t="str">
        <f t="shared" si="224"/>
        <v/>
      </c>
      <c r="AQ84" s="491" t="str">
        <f t="shared" si="225"/>
        <v/>
      </c>
      <c r="AR84" s="1281" t="str" cm="1">
        <f t="array" ref="AR84">IF(M84="","",IF(ISNA(Slookup(MID(AL84,1,3)*1,UomConversion!$D$8:$J$500,2,UomConversion!$I$8:$I$500,1,UomConversion!$J$8:$J$500,1)),"",Slookup(MID(AL84,1,3)*1,UomConversion!$D$8:$J$500,2,UomConversion!$I$8:$I$500,1,UomConversion!$J$8:$J$500,1)))</f>
        <v/>
      </c>
      <c r="AS84" s="663" t="str">
        <f>IF(M84="","",(SUMIFS('[1]1_inventory_totals'!$I$8:$I$10000,'[1]1_inventory_totals'!$C$8:$C$10000,I84,'[1]1_inventory_totals'!$F$8:$F$10000,"="&amp;Q84,'[1]1_inventory_totals'!$G$8:$G$10000,"="&amp;R84)+SUMIFS('[1]1_inventory_totals'!$N$8:$N$10000,'[1]1_inventory_totals'!$C$8:$C$10000,I84,'[1]1_inventory_totals'!$F$8:$F$10000,"="&amp;Q84,'[1]1_inventory_totals'!$G$8:$G$10000,"="&amp;R84)+SUMIFS('[1]1_inventory_totals'!$P$8:$P$10000,'[1]1_inventory_totals'!$C$8:$C$10000,I84,'[1]1_inventory_totals'!$F$8:$F$10000,"="&amp;Q84,'[1]1_inventory_totals'!$G$8:$G$10000,"="&amp;R84)+SUMIFS('[1]1_inventory_totals'!$Q$8:$Q$10000,'[1]1_inventory_totals'!$C$8:$C$10000,I84,'[1]1_inventory_totals'!$F$8:$F$10000,"="&amp;Q84,'[1]1_inventory_totals'!$G$8:$G$10000,"="&amp;R84)+SUMIFS('[1]1_inventory_totals'!$R$8:$R$10000,'[1]1_inventory_totals'!$C$8:$C$10000,I84,'[1]1_inventory_totals'!$F$8:$F$10000,"="&amp;Q84,'[1]1_inventory_totals'!$G$8:$G$10000,"="&amp;R84))+(SUMIFS('[1]1_inventory_totals'!$J$8:$J$10000,'[1]1_inventory_totals'!$C$8:$C$10000,I84,'[1]1_inventory_totals'!$F$8:$F$10000,"="&amp;Q84,'[1]1_inventory_totals'!$G$8:$G$10000,"="&amp;R84)+SUMIFS('[1]1_inventory_totals'!$K$8:$K$10000,'[1]1_inventory_totals'!$C$8:$C$10000,I84,'[1]1_inventory_totals'!$F$8:$F$10000,"="&amp;Q84,'[1]1_inventory_totals'!$G$8:$G$10000,"="&amp;R84)+SUMIFS('[1]1_inventory_totals'!$L$8:$L$10000,'[1]1_inventory_totals'!$C$8:$C$10000,I84,'[1]1_inventory_totals'!$F$8:$F$10000,"="&amp;Q84,'[1]1_inventory_totals'!$G$8:$G$10000,"="&amp;R84)+SUMIFS('[1]1_inventory_totals'!$M$8:$M$10000,'[1]1_inventory_totals'!$C$8:$C$10000,I84,'[1]1_inventory_totals'!$F$8:$F$10000,"="&amp;Q84,'[1]1_inventory_totals'!$G$8:$G$10000,"="&amp;R84)+SUMIFS('[1]1_inventory_totals'!$O$8:$O$10000,'[1]1_inventory_totals'!$C$8:$C$10000,I84,'[1]1_inventory_totals'!$F$8:$F$10000,"="&amp;Q84,'[1]1_inventory_totals'!$G$8:$G$10000,"="&amp;R84)+SUMIFS('[1]1_inventory_totals'!$S$8:$S$10000,'[1]1_inventory_totals'!$C$8:$C$10000,I84,'[1]1_inventory_totals'!$F$8:$F$10000,"="&amp;Q84,'[1]1_inventory_totals'!$G$8:$G$10000,"="&amp;R84)))</f>
        <v/>
      </c>
      <c r="AT84" s="1281" t="str">
        <f>IF(M84="","",(SUMIFS('[1]1_group_totals'!$K$8:$K$10000,'[1]1_group_totals'!$C$8:$C$10000,I84,'[1]1_group_totals'!$F$8:$F$10000,pb_location_group_id,'[1]1_group_totals'!$G$8:$G$10000,pb_location_id,'[1]1_group_totals'!$H$8:$H$10000,"="&amp;Q84,'[1]1_group_totals'!$I$8:$I$10000,"="&amp;R84)+SUMIFS('[1]1_group_totals'!$N$8:$N$10000,'[1]1_group_totals'!$C$8:$C$10000,I84,'[1]1_group_totals'!$F$8:$F$10000,pb_location_group_id,'[1]1_group_totals'!$G$8:$G$10000,pb_location_id,'[1]1_group_totals'!$H$8:$H$10000,"="&amp;Q84,'[1]1_group_totals'!$I$8:$I$10000,"="&amp;R84)+SUMIFS('[1]1_group_totals'!$P$8:$P$10000,'[1]1_group_totals'!$C$8:$C$10000,I84,'[1]1_group_totals'!$F$8:$F$10000,pb_location_group_id,'[1]1_group_totals'!$G$8:$G$10000,pb_location_id,'[1]1_group_totals'!$H$8:$H$10000,"="&amp;Q84,'[1]1_group_totals'!$I$8:$I$10000,"="&amp;R84)+SUMIFS('[1]1_group_totals'!$Q$8:$Q$10000,'[1]1_group_totals'!$C$8:$C$10000,I84,'[1]1_group_totals'!$F$8:$F$10000,pb_location_group_id,'[1]1_group_totals'!$G$8:$G$10000,pb_location_id,'[1]1_group_totals'!$H$8:$H$10000,"="&amp;Q84,'[1]1_group_totals'!$I$8:$I$10000,"="&amp;R84))+(SUMIFS('[1]1_group_totals'!$L$8:$L$10000,'[1]1_group_totals'!$C$8:$C$10000,I84,'[1]1_group_totals'!$F$8:$F$10000,pb_location_group_id,'[1]1_group_totals'!$G$8:$G$10000,pb_location_id,'[1]1_group_totals'!$H$8:$H$10000,"="&amp;Q84,'[1]1_group_totals'!$I$8:$I$10000,"="&amp;R84)+SUMIFS('[1]1_group_totals'!$M$8:$M$10000,'[1]1_group_totals'!$C$8:$C$10000,I84,'[1]1_group_totals'!$F$8:$F$10000,pb_location_group_id,'[1]1_group_totals'!$G$8:$G$10000,pb_location_id,'[1]1_group_totals'!$H$8:$H$10000,"="&amp;Q84,'[1]1_group_totals'!$I$8:$I$10000,"="&amp;R84)+SUMIFS('[1]1_group_totals'!$O$8:$O$10000,'[1]1_group_totals'!$C$8:$C$10000,I84,'[1]1_group_totals'!$F$8:$F$10000,pb_location_group_id,'[1]1_group_totals'!$G$8:$G$10000,pb_location_id,'[1]1_group_totals'!$H$8:$H$10000,"="&amp;Q84,'[1]1_group_totals'!$I$8:$I$10000,"="&amp;R84)+SUMIFS('[1]1_group_totals'!$R$8:$R$10000,'[1]1_group_totals'!$C$8:$C$10000,I84,'[1]1_group_totals'!$F$8:$F$10000,pb_location_group_id,'[1]1_group_totals'!$G$8:$G$10000,pb_location_id,'[1]1_group_totals'!$H$8:$H$10000,"="&amp;Q84,'[1]1_group_totals'!$I$8:$I$10000,"="&amp;R84)))</f>
        <v/>
      </c>
    </row>
    <row r="85" spans="1:46" ht="27" hidden="1" customHeight="1">
      <c r="A85" s="923"/>
      <c r="B85" s="1028"/>
      <c r="C85" s="950"/>
      <c r="D85" s="950"/>
      <c r="E85" s="950"/>
      <c r="F85" s="1029"/>
      <c r="G85" s="941"/>
      <c r="H85" s="1070"/>
      <c r="I85" s="1610" t="str">
        <f t="shared" si="212"/>
        <v/>
      </c>
      <c r="J85" s="1631" t="str">
        <f t="shared" si="226"/>
        <v/>
      </c>
      <c r="K85" s="1628"/>
      <c r="L85" s="1632"/>
      <c r="M85" s="1069"/>
      <c r="N85" s="1044"/>
      <c r="O85" s="1044"/>
      <c r="P85" s="1046"/>
      <c r="Q85" s="1047"/>
      <c r="R85" s="1053"/>
      <c r="S85" s="1634" t="str">
        <f t="shared" ref="S85" si="260">IF(M85="","",pb_currency_symbol)</f>
        <v/>
      </c>
      <c r="T85" s="1068"/>
      <c r="U85" s="1636" t="str">
        <f t="shared" si="214"/>
        <v/>
      </c>
      <c r="V85" s="1634" t="str">
        <f t="shared" ref="V85" si="261">IF(W85=0,"",pb_currency_symbol)</f>
        <v/>
      </c>
      <c r="W85" s="1054"/>
      <c r="X85" s="1634" t="str">
        <f t="shared" ref="X85" si="262">IF(M85="","",pb_currency_symbol)</f>
        <v/>
      </c>
      <c r="Y85" s="1638" t="str">
        <f t="shared" si="217"/>
        <v/>
      </c>
      <c r="Z85" s="1062"/>
      <c r="AA85" s="1639" t="str" cm="1">
        <f t="array" ref="AA85">IF(M85="","",IF(P85=AL85,1,Slookup(MID(AL85,1,3)*1,UomConversion!$D$8:$J$500,5,UomConversion!$E$8:$E$500,MID(P85,1,3)*1,UomConversion!$J$8:$J$500,1)))</f>
        <v/>
      </c>
      <c r="AB85" s="1640" t="str">
        <f t="shared" si="218"/>
        <v/>
      </c>
      <c r="AC85" s="1641" t="str">
        <f t="shared" si="219"/>
        <v/>
      </c>
      <c r="AD85" s="1642" t="str">
        <f t="shared" si="220"/>
        <v/>
      </c>
      <c r="AE85" s="1643" t="str">
        <f t="shared" si="221"/>
        <v/>
      </c>
      <c r="AF85" s="1640" t="str">
        <f>IF(I85="","",IF(ISNA(MATCH(I85,IF(pb_location_id=1,'[1]1_inventory_totals'!$C$8:$C$10000,IF(pb_location_id=2,'[1]2_inventory_totals'!$C$8:$C$10000,"")),0)),0,IF(AS85&gt;0,1,0)))</f>
        <v/>
      </c>
      <c r="AG85" s="1640" t="str">
        <f>IF(M85="","",IF(pb_location_id=1,SUMIFS('[1]1_inventory_total_details'!$J$8:$J$10000,'[1]1_inventory_total_details'!$C$8:$C$10000,I85,'[1]1_inventory_total_details'!$F$8:$F$10000,pb_location_id,'[1]1_inventory_total_details'!$G$8:$G$10000,"="&amp;Q85,'[1]1_inventory_total_details'!$H$8:$H$10000,"="&amp;R85,'[1]1_inventory_total_details'!$I$8:$I$10000,"="&amp;pb_date)+SUMIFS('[1]1_inventory_total_details'!$M$8:$M$10000,'[1]1_inventory_total_details'!$C$8:$C$10000,I85,'[1]1_inventory_total_details'!$F$8:$F$10000,pb_location_id,'[1]1_inventory_total_details'!$G$8:$G$10000,"="&amp;Q85,'[1]1_inventory_total_details'!$H$8:$H$10000,"="&amp;R85,'[1]1_inventory_total_details'!$I$8:$I$10000,"="&amp;pb_date)+SUMIFS('[1]1_inventory_total_details'!$K$8:$K$10000,'[1]1_inventory_total_details'!$C$8:$C$10000,I85,'[1]1_inventory_total_details'!$F$8:$F$10000,pb_location_id,'[1]1_inventory_total_details'!$G$8:$G$10000,"="&amp;Q85,'[1]1_inventory_total_details'!$H$8:$H$10000,"="&amp;R85,'[1]1_inventory_total_details'!$I$8:$I$10000,"="&amp;pb_date)+SUMIFS('[1]1_inventory_total_details'!$L$8:$L$10000,'[1]1_inventory_total_details'!$C$8:$C$10000,I85,'[1]1_inventory_total_details'!$F$8:$F$10000,pb_location_id,'[1]1_inventory_total_details'!$G$8:$G$10000,"="&amp;Q85,'[1]1_inventory_total_details'!$H$8:$H$10000,"="&amp;R85,'[1]1_inventory_total_details'!$I$8:$I$10000,"="&amp;pb_date),SUMIFS('[1]2_inventory_total_details'!$J$8:$J$10000,'[1]2_inventory_total_details'!$C$8:$C$10000,I85,'[1]1_inventory_total_details'!$F$8:$F$10000,pb_location_id,'[1]2_inventory_total_details'!$G$8:$G$10000,"="&amp;Q85,'[1]2_inventory_total_details'!$H$8:$H$10000,"="&amp;R85,'[1]2_inventory_total_details'!$I$8:$I$10000,"="&amp;pb_date)+SUMIFS('[1]2_inventory_total_details'!$M$8:$M$10000,'[1]2_inventory_total_details'!$C$8:$C$10000,I85,'[1]2_inventory_total_details'!$F$8:$F$10000,pb_location_id,'[1]2_inventory_total_details'!$G$8:$G$10000,"="&amp;Q85,'[1]2_inventory_total_details'!$H$8:$H$10000,"="&amp;R85,'[1]2_inventory_total_details'!$I$8:$I$10000,"="&amp;pb_date)+SUMIFS('[1]2_inventory_total_details'!$K$8:$K$10000,'[1]2_inventory_total_details'!$C$8:$C$10000,I85,'[1]2_inventory_total_details'!$F$8:$F$10000,pb_location_id,'[1]2_inventory_total_details'!$G$8:$G$10000,"="&amp;Q85,'[1]2_inventory_total_details'!$H$8:$H$10000,"="&amp;R85,'[1]2_inventory_total_details'!$I$8:$I$10000,"="&amp;pb_date)+SUMIFS('[1]2_inventory_total_details'!$L$8:$L$10000,'[1]2_inventory_total_details'!$C$8:$C$10000,I85,'[1]2_inventory_total_details'!$F$8:$F$10000,pb_location_id,'[1]2_inventory_total_details'!$G$8:$G$10000,"="&amp;Q85,'[1]2_inventory_total_details'!$H$8:$H$10000,"="&amp;R85,'[1]2_inventory_total_details'!$I$8:$I$10000,"="&amp;pb_date)))</f>
        <v/>
      </c>
      <c r="AH85" s="1640" t="str">
        <f>IF(M85="","",IF(ISNA(MATCH(I85,'[1]1_group_totals'!$C$8:$C$10000)),0,IF(AT85&gt;0,1,0)))</f>
        <v/>
      </c>
      <c r="AI85" s="1640" t="str">
        <f>IF(M85="","",(SUMIFS('[1]1_group_total_details'!$I$8:$I$10000,'[1]1_group_total_details'!$C$8:$C$10000,I85,'[1]1_group_total_details'!$F$8:$F$10000,pb_location_group_id,'[1]1_group_total_details'!$G$8:$G$10000,pb_location_id,'[1]1_group_total_details'!$H$8:$H$10000,"="&amp;pb_date)+SUMIFS('[1]1_group_total_details'!$L$8:$L$10000,'[1]1_group_total_details'!$C$8:$C$10000,I85,'[1]1_group_total_details'!$F$8:$F$10000,pb_location_group_id,'[1]1_group_total_details'!$G$8:$G$10000,pb_location_id,'[1]1_group_total_details'!$H$8:$H$10000,"="&amp;pb_date)+SUMIFS('[1]1_group_total_details'!$N$8:$N$10000,'[1]1_group_total_details'!$C$8:$C$10000,I85,'[1]1_group_total_details'!$F$8:$F$10000,pb_location_group_id,'[1]1_group_total_details'!$G$8:$G$10000,pb_location_id,'[1]1_group_total_details'!$H$8:$H$10000,"="&amp;pb_date)+SUMIFS('[1]1_group_total_details'!$O$8:$O$10000,'[1]1_group_total_details'!$C$8:$C$10000,I85,'[1]1_group_total_details'!$F$8:$F$10000,pb_location_group_id,'[1]1_group_total_details'!$G$8:$G$10000,pb_location_id,'[1]1_group_total_details'!$H$8:$H$10000,"="&amp;pb_date))+(SUMIFS('[1]1_group_total_details'!$J$8:$J$10000,'[1]1_group_total_details'!$C$8:$C$10000,I85,'[1]1_group_total_details'!$F$8:$F$10000,pb_location_group_id,'[1]1_group_total_details'!$G$8:$G$10000,pb_location_id,'[1]1_group_total_details'!$H$8:$H$10000,"="&amp;pb_date)+SUMIFS('[1]1_group_total_details'!$K$8:$K$10000,'[1]1_group_total_details'!$C$8:$C$10000,I85,'[1]1_group_total_details'!$F$8:$F$10000,pb_location_group_id,'[1]1_group_total_details'!$G$8:$G$10000,pb_location_id,'[1]1_group_total_details'!$H$8:$H$10000,"="&amp;pb_date)+SUMIFS('[1]1_group_total_details'!$M$8:$M$10000,'[1]1_group_total_details'!$C$8:$C$10000,I85,'[1]1_group_total_details'!$F$8:$F$10000,pb_location_group_id,'[1]1_group_total_details'!$G$8:$G$10000,pb_location_id,'[1]1_group_total_details'!$H$8:$H$10000,"="&amp;pb_date)+SUMIFS('[1]1_group_total_details'!$P$8:$P$10000,'[1]1_group_total_details'!$C$8:$C$10000,I85,'[1]1_group_total_details'!$F$8:$F$10000,pb_location_group_id,'[1]1_group_total_details'!$G$8:$G$10000,pb_location_id,'[1]1_group_total_details'!$H$8:$H$10000,"="&amp;pb_date)))</f>
        <v/>
      </c>
      <c r="AJ85" s="1640" t="str">
        <f>IF(M85="","",IF(AK85=0,0,(SUMIFS('[1]1_group_total_details'!$I$8:$I$10000,'[1]1_group_total_details'!$C$8:$C$10000,I85,'[1]1_group_total_details'!$F$8:$F$10000,pb_location_group_id,'[1]1_group_total_details'!$G$8:$G$10000,pb_location_id,'[1]1_group_total_details'!$H$8:$H$10000,"&lt;="&amp;pb_date)+SUMIFS('[1]1_group_total_details'!$L$8:$L$10000,'[1]1_group_total_details'!$C$8:$C$10000,I85,'[1]1_group_total_details'!$F$8:$F$10000,pb_location_group_id,'[1]1_group_total_details'!$G$8:$G$10000,pb_location_id,'[1]1_group_total_details'!$H$8:$H$10000,"&lt;="&amp;pb_date)+SUMIFS('[1]1_group_total_details'!$N$8:$N$10000,'[1]1_group_total_details'!$C$8:$C$10000,I85,'[1]1_group_total_details'!$F$8:$F$10000,pb_location_group_id,'[1]1_group_total_details'!$G$8:$G$10000,pb_location_id,'[1]1_group_total_details'!$H$8:$H$10000,"&lt;="&amp;pb_date)+SUMIFS('[1]1_group_total_details'!$O$8:$O$10000,'[1]1_group_total_details'!$C$8:$C$10000,I85,'[1]1_group_total_details'!$F$8:$F$10000,pb_location_group_id,'[1]1_group_total_details'!$G$8:$G$10000,pb_location_id,'[1]1_group_total_details'!$H$8:$H$10000,"&lt;="&amp;pb_date))-(SUMIFS('[1]1_group_total_details'!$J$8:$J$10000,'[1]1_group_total_details'!$C$8:$C$10000,I85,'[1]1_group_total_details'!$F$8:$F$10000,pb_location_group_id,'[1]1_group_total_details'!$G$8:$G$10000,pb_location_id,'[1]1_group_total_details'!$H$8:$H$10000,"&lt;="&amp;pb_date)+SUMIFS('[1]1_group_total_details'!$K$8:$K$10000,'[1]1_group_total_details'!$C$8:$C$10000,I85,'[1]1_group_total_details'!$F$8:$F$10000,pb_location_group_id,'[1]1_group_total_details'!$G$8:$G$10000,invoice_location_id,'[1]1_group_total_details'!$H$8:$H$10000,"&lt;="&amp;pb_date)+SUMIFS('[1]1_group_total_details'!$M$8:$M$10000,'[1]1_group_total_details'!$C$8:$C$10000,I85,'[1]1_group_total_details'!$F$8:$F$10000,pb_location_group_id,'[1]1_group_total_details'!$G$8:$G$10000,pb_location_id,'[1]1_group_total_details'!$H$8:$H$10000,"&lt;="&amp;pb_date)+SUMIFS('[1]1_group_total_details'!$P$8:$P$10000,'[1]1_group_total_details'!$C$8:$C$10000,I85,'[1]1_group_total_details'!$F$8:$F$10000,pb_location_group_id,'[1]1_group_total_details'!$G$8:$G$10000,pb_location_id,'[1]1_group_total_details'!$H$8:$H$10000,"&lt;="&amp;pb_date))))</f>
        <v/>
      </c>
      <c r="AK85" s="1640" t="str">
        <f>IF(M85="","",SUMIFS('[1]1_group_totals'!$J$8:$J$10000,'[1]1_group_totals'!$C$8:$C$10000,I85,'[1]1_group_totals'!$F$8:$F$10000,pb_location_group_id,'[1]1_group_totals'!$G$8:$G$10000,pb_location_id,'[1]1_group_totals'!$H$8:$H$10000,"="&amp;Q85,'[1]1_group_totals'!$I$8:$I$10000,"="&amp;R85))</f>
        <v/>
      </c>
      <c r="AL85" s="1644" t="str">
        <f t="shared" si="222"/>
        <v/>
      </c>
      <c r="AM85" s="1644" t="str">
        <f>IF(OR(ISNA(MATCH(MID(AL85,1,3)*1,UomConversion!$D$8:$D$500,0)),M85=""),"",IF(AQ85="","",AQ85))</f>
        <v/>
      </c>
      <c r="AN85" s="1644" t="str">
        <f>IF(AND(AO85&gt;0,COUNTIFS(UomConversion!$D$8:$D$500,MID(AL85,1,3)*1,UomConversion!$J$8:$J$500,1)&gt;1),TEXT(AO85,"000")&amp;"."&amp;VLOOKUP(AO85,uom_list,5,FALSE),"")</f>
        <v/>
      </c>
      <c r="AO85" s="1640" t="str">
        <f t="shared" si="223"/>
        <v/>
      </c>
      <c r="AP85" s="1645" t="str">
        <f t="shared" si="224"/>
        <v/>
      </c>
      <c r="AQ85" s="491" t="str">
        <f t="shared" si="225"/>
        <v/>
      </c>
      <c r="AR85" s="1281" t="str" cm="1">
        <f t="array" ref="AR85">IF(M85="","",IF(ISNA(Slookup(MID(AL85,1,3)*1,UomConversion!$D$8:$J$500,2,UomConversion!$I$8:$I$500,1,UomConversion!$J$8:$J$500,1)),"",Slookup(MID(AL85,1,3)*1,UomConversion!$D$8:$J$500,2,UomConversion!$I$8:$I$500,1,UomConversion!$J$8:$J$500,1)))</f>
        <v/>
      </c>
      <c r="AS85" s="663" t="str">
        <f>IF(M85="","",(SUMIFS('[1]1_inventory_totals'!$I$8:$I$10000,'[1]1_inventory_totals'!$C$8:$C$10000,I85,'[1]1_inventory_totals'!$F$8:$F$10000,"="&amp;Q85,'[1]1_inventory_totals'!$G$8:$G$10000,"="&amp;R85)+SUMIFS('[1]1_inventory_totals'!$N$8:$N$10000,'[1]1_inventory_totals'!$C$8:$C$10000,I85,'[1]1_inventory_totals'!$F$8:$F$10000,"="&amp;Q85,'[1]1_inventory_totals'!$G$8:$G$10000,"="&amp;R85)+SUMIFS('[1]1_inventory_totals'!$P$8:$P$10000,'[1]1_inventory_totals'!$C$8:$C$10000,I85,'[1]1_inventory_totals'!$F$8:$F$10000,"="&amp;Q85,'[1]1_inventory_totals'!$G$8:$G$10000,"="&amp;R85)+SUMIFS('[1]1_inventory_totals'!$Q$8:$Q$10000,'[1]1_inventory_totals'!$C$8:$C$10000,I85,'[1]1_inventory_totals'!$F$8:$F$10000,"="&amp;Q85,'[1]1_inventory_totals'!$G$8:$G$10000,"="&amp;R85)+SUMIFS('[1]1_inventory_totals'!$R$8:$R$10000,'[1]1_inventory_totals'!$C$8:$C$10000,I85,'[1]1_inventory_totals'!$F$8:$F$10000,"="&amp;Q85,'[1]1_inventory_totals'!$G$8:$G$10000,"="&amp;R85))+(SUMIFS('[1]1_inventory_totals'!$J$8:$J$10000,'[1]1_inventory_totals'!$C$8:$C$10000,I85,'[1]1_inventory_totals'!$F$8:$F$10000,"="&amp;Q85,'[1]1_inventory_totals'!$G$8:$G$10000,"="&amp;R85)+SUMIFS('[1]1_inventory_totals'!$K$8:$K$10000,'[1]1_inventory_totals'!$C$8:$C$10000,I85,'[1]1_inventory_totals'!$F$8:$F$10000,"="&amp;Q85,'[1]1_inventory_totals'!$G$8:$G$10000,"="&amp;R85)+SUMIFS('[1]1_inventory_totals'!$L$8:$L$10000,'[1]1_inventory_totals'!$C$8:$C$10000,I85,'[1]1_inventory_totals'!$F$8:$F$10000,"="&amp;Q85,'[1]1_inventory_totals'!$G$8:$G$10000,"="&amp;R85)+SUMIFS('[1]1_inventory_totals'!$M$8:$M$10000,'[1]1_inventory_totals'!$C$8:$C$10000,I85,'[1]1_inventory_totals'!$F$8:$F$10000,"="&amp;Q85,'[1]1_inventory_totals'!$G$8:$G$10000,"="&amp;R85)+SUMIFS('[1]1_inventory_totals'!$O$8:$O$10000,'[1]1_inventory_totals'!$C$8:$C$10000,I85,'[1]1_inventory_totals'!$F$8:$F$10000,"="&amp;Q85,'[1]1_inventory_totals'!$G$8:$G$10000,"="&amp;R85)+SUMIFS('[1]1_inventory_totals'!$S$8:$S$10000,'[1]1_inventory_totals'!$C$8:$C$10000,I85,'[1]1_inventory_totals'!$F$8:$F$10000,"="&amp;Q85,'[1]1_inventory_totals'!$G$8:$G$10000,"="&amp;R85)))</f>
        <v/>
      </c>
      <c r="AT85" s="1281" t="str">
        <f>IF(M85="","",(SUMIFS('[1]1_group_totals'!$K$8:$K$10000,'[1]1_group_totals'!$C$8:$C$10000,I85,'[1]1_group_totals'!$F$8:$F$10000,pb_location_group_id,'[1]1_group_totals'!$G$8:$G$10000,pb_location_id,'[1]1_group_totals'!$H$8:$H$10000,"="&amp;Q85,'[1]1_group_totals'!$I$8:$I$10000,"="&amp;R85)+SUMIFS('[1]1_group_totals'!$N$8:$N$10000,'[1]1_group_totals'!$C$8:$C$10000,I85,'[1]1_group_totals'!$F$8:$F$10000,pb_location_group_id,'[1]1_group_totals'!$G$8:$G$10000,pb_location_id,'[1]1_group_totals'!$H$8:$H$10000,"="&amp;Q85,'[1]1_group_totals'!$I$8:$I$10000,"="&amp;R85)+SUMIFS('[1]1_group_totals'!$P$8:$P$10000,'[1]1_group_totals'!$C$8:$C$10000,I85,'[1]1_group_totals'!$F$8:$F$10000,pb_location_group_id,'[1]1_group_totals'!$G$8:$G$10000,pb_location_id,'[1]1_group_totals'!$H$8:$H$10000,"="&amp;Q85,'[1]1_group_totals'!$I$8:$I$10000,"="&amp;R85)+SUMIFS('[1]1_group_totals'!$Q$8:$Q$10000,'[1]1_group_totals'!$C$8:$C$10000,I85,'[1]1_group_totals'!$F$8:$F$10000,pb_location_group_id,'[1]1_group_totals'!$G$8:$G$10000,pb_location_id,'[1]1_group_totals'!$H$8:$H$10000,"="&amp;Q85,'[1]1_group_totals'!$I$8:$I$10000,"="&amp;R85))+(SUMIFS('[1]1_group_totals'!$L$8:$L$10000,'[1]1_group_totals'!$C$8:$C$10000,I85,'[1]1_group_totals'!$F$8:$F$10000,pb_location_group_id,'[1]1_group_totals'!$G$8:$G$10000,pb_location_id,'[1]1_group_totals'!$H$8:$H$10000,"="&amp;Q85,'[1]1_group_totals'!$I$8:$I$10000,"="&amp;R85)+SUMIFS('[1]1_group_totals'!$M$8:$M$10000,'[1]1_group_totals'!$C$8:$C$10000,I85,'[1]1_group_totals'!$F$8:$F$10000,pb_location_group_id,'[1]1_group_totals'!$G$8:$G$10000,pb_location_id,'[1]1_group_totals'!$H$8:$H$10000,"="&amp;Q85,'[1]1_group_totals'!$I$8:$I$10000,"="&amp;R85)+SUMIFS('[1]1_group_totals'!$O$8:$O$10000,'[1]1_group_totals'!$C$8:$C$10000,I85,'[1]1_group_totals'!$F$8:$F$10000,pb_location_group_id,'[1]1_group_totals'!$G$8:$G$10000,pb_location_id,'[1]1_group_totals'!$H$8:$H$10000,"="&amp;Q85,'[1]1_group_totals'!$I$8:$I$10000,"="&amp;R85)+SUMIFS('[1]1_group_totals'!$R$8:$R$10000,'[1]1_group_totals'!$C$8:$C$10000,I85,'[1]1_group_totals'!$F$8:$F$10000,pb_location_group_id,'[1]1_group_totals'!$G$8:$G$10000,pb_location_id,'[1]1_group_totals'!$H$8:$H$10000,"="&amp;Q85,'[1]1_group_totals'!$I$8:$I$10000,"="&amp;R85)))</f>
        <v/>
      </c>
    </row>
    <row r="86" spans="1:46" ht="27" hidden="1" customHeight="1">
      <c r="A86" s="923"/>
      <c r="B86" s="1028"/>
      <c r="C86" s="950"/>
      <c r="D86" s="950"/>
      <c r="E86" s="950"/>
      <c r="F86" s="1029"/>
      <c r="G86" s="941"/>
      <c r="H86" s="1070"/>
      <c r="I86" s="1610" t="str">
        <f t="shared" si="212"/>
        <v/>
      </c>
      <c r="J86" s="1631" t="str">
        <f t="shared" si="226"/>
        <v/>
      </c>
      <c r="K86" s="1628"/>
      <c r="L86" s="1632"/>
      <c r="M86" s="1069"/>
      <c r="N86" s="1044"/>
      <c r="O86" s="1044"/>
      <c r="P86" s="1046"/>
      <c r="Q86" s="1047"/>
      <c r="R86" s="1053"/>
      <c r="S86" s="1634" t="str">
        <f t="shared" ref="S86" si="263">IF(M86="","",pb_currency_symbol)</f>
        <v/>
      </c>
      <c r="T86" s="1068"/>
      <c r="U86" s="1636" t="str">
        <f t="shared" si="214"/>
        <v/>
      </c>
      <c r="V86" s="1634" t="str">
        <f t="shared" ref="V86" si="264">IF(W86=0,"",pb_currency_symbol)</f>
        <v/>
      </c>
      <c r="W86" s="1054"/>
      <c r="X86" s="1634" t="str">
        <f t="shared" ref="X86" si="265">IF(M86="","",pb_currency_symbol)</f>
        <v/>
      </c>
      <c r="Y86" s="1638" t="str">
        <f t="shared" si="217"/>
        <v/>
      </c>
      <c r="Z86" s="1062"/>
      <c r="AA86" s="1639" t="str" cm="1">
        <f t="array" ref="AA86">IF(M86="","",IF(P86=AL86,1,Slookup(MID(AL86,1,3)*1,UomConversion!$D$8:$J$500,5,UomConversion!$E$8:$E$500,MID(P86,1,3)*1,UomConversion!$J$8:$J$500,1)))</f>
        <v/>
      </c>
      <c r="AB86" s="1640" t="str">
        <f t="shared" si="218"/>
        <v/>
      </c>
      <c r="AC86" s="1641" t="str">
        <f t="shared" si="219"/>
        <v/>
      </c>
      <c r="AD86" s="1642" t="str">
        <f t="shared" si="220"/>
        <v/>
      </c>
      <c r="AE86" s="1643" t="str">
        <f t="shared" si="221"/>
        <v/>
      </c>
      <c r="AF86" s="1640" t="str">
        <f>IF(I86="","",IF(ISNA(MATCH(I86,IF(pb_location_id=1,'[1]1_inventory_totals'!$C$8:$C$10000,IF(pb_location_id=2,'[1]2_inventory_totals'!$C$8:$C$10000,"")),0)),0,IF(AS86&gt;0,1,0)))</f>
        <v/>
      </c>
      <c r="AG86" s="1640" t="str">
        <f>IF(M86="","",IF(pb_location_id=1,SUMIFS('[1]1_inventory_total_details'!$J$8:$J$10000,'[1]1_inventory_total_details'!$C$8:$C$10000,I86,'[1]1_inventory_total_details'!$F$8:$F$10000,pb_location_id,'[1]1_inventory_total_details'!$G$8:$G$10000,"="&amp;Q86,'[1]1_inventory_total_details'!$H$8:$H$10000,"="&amp;R86,'[1]1_inventory_total_details'!$I$8:$I$10000,"="&amp;pb_date)+SUMIFS('[1]1_inventory_total_details'!$M$8:$M$10000,'[1]1_inventory_total_details'!$C$8:$C$10000,I86,'[1]1_inventory_total_details'!$F$8:$F$10000,pb_location_id,'[1]1_inventory_total_details'!$G$8:$G$10000,"="&amp;Q86,'[1]1_inventory_total_details'!$H$8:$H$10000,"="&amp;R86,'[1]1_inventory_total_details'!$I$8:$I$10000,"="&amp;pb_date)+SUMIFS('[1]1_inventory_total_details'!$K$8:$K$10000,'[1]1_inventory_total_details'!$C$8:$C$10000,I86,'[1]1_inventory_total_details'!$F$8:$F$10000,pb_location_id,'[1]1_inventory_total_details'!$G$8:$G$10000,"="&amp;Q86,'[1]1_inventory_total_details'!$H$8:$H$10000,"="&amp;R86,'[1]1_inventory_total_details'!$I$8:$I$10000,"="&amp;pb_date)+SUMIFS('[1]1_inventory_total_details'!$L$8:$L$10000,'[1]1_inventory_total_details'!$C$8:$C$10000,I86,'[1]1_inventory_total_details'!$F$8:$F$10000,pb_location_id,'[1]1_inventory_total_details'!$G$8:$G$10000,"="&amp;Q86,'[1]1_inventory_total_details'!$H$8:$H$10000,"="&amp;R86,'[1]1_inventory_total_details'!$I$8:$I$10000,"="&amp;pb_date),SUMIFS('[1]2_inventory_total_details'!$J$8:$J$10000,'[1]2_inventory_total_details'!$C$8:$C$10000,I86,'[1]1_inventory_total_details'!$F$8:$F$10000,pb_location_id,'[1]2_inventory_total_details'!$G$8:$G$10000,"="&amp;Q86,'[1]2_inventory_total_details'!$H$8:$H$10000,"="&amp;R86,'[1]2_inventory_total_details'!$I$8:$I$10000,"="&amp;pb_date)+SUMIFS('[1]2_inventory_total_details'!$M$8:$M$10000,'[1]2_inventory_total_details'!$C$8:$C$10000,I86,'[1]2_inventory_total_details'!$F$8:$F$10000,pb_location_id,'[1]2_inventory_total_details'!$G$8:$G$10000,"="&amp;Q86,'[1]2_inventory_total_details'!$H$8:$H$10000,"="&amp;R86,'[1]2_inventory_total_details'!$I$8:$I$10000,"="&amp;pb_date)+SUMIFS('[1]2_inventory_total_details'!$K$8:$K$10000,'[1]2_inventory_total_details'!$C$8:$C$10000,I86,'[1]2_inventory_total_details'!$F$8:$F$10000,pb_location_id,'[1]2_inventory_total_details'!$G$8:$G$10000,"="&amp;Q86,'[1]2_inventory_total_details'!$H$8:$H$10000,"="&amp;R86,'[1]2_inventory_total_details'!$I$8:$I$10000,"="&amp;pb_date)+SUMIFS('[1]2_inventory_total_details'!$L$8:$L$10000,'[1]2_inventory_total_details'!$C$8:$C$10000,I86,'[1]2_inventory_total_details'!$F$8:$F$10000,pb_location_id,'[1]2_inventory_total_details'!$G$8:$G$10000,"="&amp;Q86,'[1]2_inventory_total_details'!$H$8:$H$10000,"="&amp;R86,'[1]2_inventory_total_details'!$I$8:$I$10000,"="&amp;pb_date)))</f>
        <v/>
      </c>
      <c r="AH86" s="1640" t="str">
        <f>IF(M86="","",IF(ISNA(MATCH(I86,'[1]1_group_totals'!$C$8:$C$10000)),0,IF(AT86&gt;0,1,0)))</f>
        <v/>
      </c>
      <c r="AI86" s="1640" t="str">
        <f>IF(M86="","",(SUMIFS('[1]1_group_total_details'!$I$8:$I$10000,'[1]1_group_total_details'!$C$8:$C$10000,I86,'[1]1_group_total_details'!$F$8:$F$10000,pb_location_group_id,'[1]1_group_total_details'!$G$8:$G$10000,pb_location_id,'[1]1_group_total_details'!$H$8:$H$10000,"="&amp;pb_date)+SUMIFS('[1]1_group_total_details'!$L$8:$L$10000,'[1]1_group_total_details'!$C$8:$C$10000,I86,'[1]1_group_total_details'!$F$8:$F$10000,pb_location_group_id,'[1]1_group_total_details'!$G$8:$G$10000,pb_location_id,'[1]1_group_total_details'!$H$8:$H$10000,"="&amp;pb_date)+SUMIFS('[1]1_group_total_details'!$N$8:$N$10000,'[1]1_group_total_details'!$C$8:$C$10000,I86,'[1]1_group_total_details'!$F$8:$F$10000,pb_location_group_id,'[1]1_group_total_details'!$G$8:$G$10000,pb_location_id,'[1]1_group_total_details'!$H$8:$H$10000,"="&amp;pb_date)+SUMIFS('[1]1_group_total_details'!$O$8:$O$10000,'[1]1_group_total_details'!$C$8:$C$10000,I86,'[1]1_group_total_details'!$F$8:$F$10000,pb_location_group_id,'[1]1_group_total_details'!$G$8:$G$10000,pb_location_id,'[1]1_group_total_details'!$H$8:$H$10000,"="&amp;pb_date))+(SUMIFS('[1]1_group_total_details'!$J$8:$J$10000,'[1]1_group_total_details'!$C$8:$C$10000,I86,'[1]1_group_total_details'!$F$8:$F$10000,pb_location_group_id,'[1]1_group_total_details'!$G$8:$G$10000,pb_location_id,'[1]1_group_total_details'!$H$8:$H$10000,"="&amp;pb_date)+SUMIFS('[1]1_group_total_details'!$K$8:$K$10000,'[1]1_group_total_details'!$C$8:$C$10000,I86,'[1]1_group_total_details'!$F$8:$F$10000,pb_location_group_id,'[1]1_group_total_details'!$G$8:$G$10000,pb_location_id,'[1]1_group_total_details'!$H$8:$H$10000,"="&amp;pb_date)+SUMIFS('[1]1_group_total_details'!$M$8:$M$10000,'[1]1_group_total_details'!$C$8:$C$10000,I86,'[1]1_group_total_details'!$F$8:$F$10000,pb_location_group_id,'[1]1_group_total_details'!$G$8:$G$10000,pb_location_id,'[1]1_group_total_details'!$H$8:$H$10000,"="&amp;pb_date)+SUMIFS('[1]1_group_total_details'!$P$8:$P$10000,'[1]1_group_total_details'!$C$8:$C$10000,I86,'[1]1_group_total_details'!$F$8:$F$10000,pb_location_group_id,'[1]1_group_total_details'!$G$8:$G$10000,pb_location_id,'[1]1_group_total_details'!$H$8:$H$10000,"="&amp;pb_date)))</f>
        <v/>
      </c>
      <c r="AJ86" s="1640" t="str">
        <f>IF(M86="","",IF(AK86=0,0,(SUMIFS('[1]1_group_total_details'!$I$8:$I$10000,'[1]1_group_total_details'!$C$8:$C$10000,I86,'[1]1_group_total_details'!$F$8:$F$10000,pb_location_group_id,'[1]1_group_total_details'!$G$8:$G$10000,pb_location_id,'[1]1_group_total_details'!$H$8:$H$10000,"&lt;="&amp;pb_date)+SUMIFS('[1]1_group_total_details'!$L$8:$L$10000,'[1]1_group_total_details'!$C$8:$C$10000,I86,'[1]1_group_total_details'!$F$8:$F$10000,pb_location_group_id,'[1]1_group_total_details'!$G$8:$G$10000,pb_location_id,'[1]1_group_total_details'!$H$8:$H$10000,"&lt;="&amp;pb_date)+SUMIFS('[1]1_group_total_details'!$N$8:$N$10000,'[1]1_group_total_details'!$C$8:$C$10000,I86,'[1]1_group_total_details'!$F$8:$F$10000,pb_location_group_id,'[1]1_group_total_details'!$G$8:$G$10000,pb_location_id,'[1]1_group_total_details'!$H$8:$H$10000,"&lt;="&amp;pb_date)+SUMIFS('[1]1_group_total_details'!$O$8:$O$10000,'[1]1_group_total_details'!$C$8:$C$10000,I86,'[1]1_group_total_details'!$F$8:$F$10000,pb_location_group_id,'[1]1_group_total_details'!$G$8:$G$10000,pb_location_id,'[1]1_group_total_details'!$H$8:$H$10000,"&lt;="&amp;pb_date))-(SUMIFS('[1]1_group_total_details'!$J$8:$J$10000,'[1]1_group_total_details'!$C$8:$C$10000,I86,'[1]1_group_total_details'!$F$8:$F$10000,pb_location_group_id,'[1]1_group_total_details'!$G$8:$G$10000,pb_location_id,'[1]1_group_total_details'!$H$8:$H$10000,"&lt;="&amp;pb_date)+SUMIFS('[1]1_group_total_details'!$K$8:$K$10000,'[1]1_group_total_details'!$C$8:$C$10000,I86,'[1]1_group_total_details'!$F$8:$F$10000,pb_location_group_id,'[1]1_group_total_details'!$G$8:$G$10000,invoice_location_id,'[1]1_group_total_details'!$H$8:$H$10000,"&lt;="&amp;pb_date)+SUMIFS('[1]1_group_total_details'!$M$8:$M$10000,'[1]1_group_total_details'!$C$8:$C$10000,I86,'[1]1_group_total_details'!$F$8:$F$10000,pb_location_group_id,'[1]1_group_total_details'!$G$8:$G$10000,pb_location_id,'[1]1_group_total_details'!$H$8:$H$10000,"&lt;="&amp;pb_date)+SUMIFS('[1]1_group_total_details'!$P$8:$P$10000,'[1]1_group_total_details'!$C$8:$C$10000,I86,'[1]1_group_total_details'!$F$8:$F$10000,pb_location_group_id,'[1]1_group_total_details'!$G$8:$G$10000,pb_location_id,'[1]1_group_total_details'!$H$8:$H$10000,"&lt;="&amp;pb_date))))</f>
        <v/>
      </c>
      <c r="AK86" s="1640" t="str">
        <f>IF(M86="","",SUMIFS('[1]1_group_totals'!$J$8:$J$10000,'[1]1_group_totals'!$C$8:$C$10000,I86,'[1]1_group_totals'!$F$8:$F$10000,pb_location_group_id,'[1]1_group_totals'!$G$8:$G$10000,pb_location_id,'[1]1_group_totals'!$H$8:$H$10000,"="&amp;Q86,'[1]1_group_totals'!$I$8:$I$10000,"="&amp;R86))</f>
        <v/>
      </c>
      <c r="AL86" s="1644" t="str">
        <f t="shared" si="222"/>
        <v/>
      </c>
      <c r="AM86" s="1644" t="str">
        <f>IF(OR(ISNA(MATCH(MID(AL86,1,3)*1,UomConversion!$D$8:$D$500,0)),M86=""),"",IF(AQ86="","",AQ86))</f>
        <v/>
      </c>
      <c r="AN86" s="1644" t="str">
        <f>IF(AND(AO86&gt;0,COUNTIFS(UomConversion!$D$8:$D$500,MID(AL86,1,3)*1,UomConversion!$J$8:$J$500,1)&gt;1),TEXT(AO86,"000")&amp;"."&amp;VLOOKUP(AO86,uom_list,5,FALSE),"")</f>
        <v/>
      </c>
      <c r="AO86" s="1640" t="str">
        <f t="shared" si="223"/>
        <v/>
      </c>
      <c r="AP86" s="1645" t="str">
        <f t="shared" si="224"/>
        <v/>
      </c>
      <c r="AQ86" s="491" t="str">
        <f t="shared" si="225"/>
        <v/>
      </c>
      <c r="AR86" s="1281" t="str" cm="1">
        <f t="array" ref="AR86">IF(M86="","",IF(ISNA(Slookup(MID(AL86,1,3)*1,UomConversion!$D$8:$J$500,2,UomConversion!$I$8:$I$500,1,UomConversion!$J$8:$J$500,1)),"",Slookup(MID(AL86,1,3)*1,UomConversion!$D$8:$J$500,2,UomConversion!$I$8:$I$500,1,UomConversion!$J$8:$J$500,1)))</f>
        <v/>
      </c>
      <c r="AS86" s="663" t="str">
        <f>IF(M86="","",(SUMIFS('[1]1_inventory_totals'!$I$8:$I$10000,'[1]1_inventory_totals'!$C$8:$C$10000,I86,'[1]1_inventory_totals'!$F$8:$F$10000,"="&amp;Q86,'[1]1_inventory_totals'!$G$8:$G$10000,"="&amp;R86)+SUMIFS('[1]1_inventory_totals'!$N$8:$N$10000,'[1]1_inventory_totals'!$C$8:$C$10000,I86,'[1]1_inventory_totals'!$F$8:$F$10000,"="&amp;Q86,'[1]1_inventory_totals'!$G$8:$G$10000,"="&amp;R86)+SUMIFS('[1]1_inventory_totals'!$P$8:$P$10000,'[1]1_inventory_totals'!$C$8:$C$10000,I86,'[1]1_inventory_totals'!$F$8:$F$10000,"="&amp;Q86,'[1]1_inventory_totals'!$G$8:$G$10000,"="&amp;R86)+SUMIFS('[1]1_inventory_totals'!$Q$8:$Q$10000,'[1]1_inventory_totals'!$C$8:$C$10000,I86,'[1]1_inventory_totals'!$F$8:$F$10000,"="&amp;Q86,'[1]1_inventory_totals'!$G$8:$G$10000,"="&amp;R86)+SUMIFS('[1]1_inventory_totals'!$R$8:$R$10000,'[1]1_inventory_totals'!$C$8:$C$10000,I86,'[1]1_inventory_totals'!$F$8:$F$10000,"="&amp;Q86,'[1]1_inventory_totals'!$G$8:$G$10000,"="&amp;R86))+(SUMIFS('[1]1_inventory_totals'!$J$8:$J$10000,'[1]1_inventory_totals'!$C$8:$C$10000,I86,'[1]1_inventory_totals'!$F$8:$F$10000,"="&amp;Q86,'[1]1_inventory_totals'!$G$8:$G$10000,"="&amp;R86)+SUMIFS('[1]1_inventory_totals'!$K$8:$K$10000,'[1]1_inventory_totals'!$C$8:$C$10000,I86,'[1]1_inventory_totals'!$F$8:$F$10000,"="&amp;Q86,'[1]1_inventory_totals'!$G$8:$G$10000,"="&amp;R86)+SUMIFS('[1]1_inventory_totals'!$L$8:$L$10000,'[1]1_inventory_totals'!$C$8:$C$10000,I86,'[1]1_inventory_totals'!$F$8:$F$10000,"="&amp;Q86,'[1]1_inventory_totals'!$G$8:$G$10000,"="&amp;R86)+SUMIFS('[1]1_inventory_totals'!$M$8:$M$10000,'[1]1_inventory_totals'!$C$8:$C$10000,I86,'[1]1_inventory_totals'!$F$8:$F$10000,"="&amp;Q86,'[1]1_inventory_totals'!$G$8:$G$10000,"="&amp;R86)+SUMIFS('[1]1_inventory_totals'!$O$8:$O$10000,'[1]1_inventory_totals'!$C$8:$C$10000,I86,'[1]1_inventory_totals'!$F$8:$F$10000,"="&amp;Q86,'[1]1_inventory_totals'!$G$8:$G$10000,"="&amp;R86)+SUMIFS('[1]1_inventory_totals'!$S$8:$S$10000,'[1]1_inventory_totals'!$C$8:$C$10000,I86,'[1]1_inventory_totals'!$F$8:$F$10000,"="&amp;Q86,'[1]1_inventory_totals'!$G$8:$G$10000,"="&amp;R86)))</f>
        <v/>
      </c>
      <c r="AT86" s="1281" t="str">
        <f>IF(M86="","",(SUMIFS('[1]1_group_totals'!$K$8:$K$10000,'[1]1_group_totals'!$C$8:$C$10000,I86,'[1]1_group_totals'!$F$8:$F$10000,pb_location_group_id,'[1]1_group_totals'!$G$8:$G$10000,pb_location_id,'[1]1_group_totals'!$H$8:$H$10000,"="&amp;Q86,'[1]1_group_totals'!$I$8:$I$10000,"="&amp;R86)+SUMIFS('[1]1_group_totals'!$N$8:$N$10000,'[1]1_group_totals'!$C$8:$C$10000,I86,'[1]1_group_totals'!$F$8:$F$10000,pb_location_group_id,'[1]1_group_totals'!$G$8:$G$10000,pb_location_id,'[1]1_group_totals'!$H$8:$H$10000,"="&amp;Q86,'[1]1_group_totals'!$I$8:$I$10000,"="&amp;R86)+SUMIFS('[1]1_group_totals'!$P$8:$P$10000,'[1]1_group_totals'!$C$8:$C$10000,I86,'[1]1_group_totals'!$F$8:$F$10000,pb_location_group_id,'[1]1_group_totals'!$G$8:$G$10000,pb_location_id,'[1]1_group_totals'!$H$8:$H$10000,"="&amp;Q86,'[1]1_group_totals'!$I$8:$I$10000,"="&amp;R86)+SUMIFS('[1]1_group_totals'!$Q$8:$Q$10000,'[1]1_group_totals'!$C$8:$C$10000,I86,'[1]1_group_totals'!$F$8:$F$10000,pb_location_group_id,'[1]1_group_totals'!$G$8:$G$10000,pb_location_id,'[1]1_group_totals'!$H$8:$H$10000,"="&amp;Q86,'[1]1_group_totals'!$I$8:$I$10000,"="&amp;R86))+(SUMIFS('[1]1_group_totals'!$L$8:$L$10000,'[1]1_group_totals'!$C$8:$C$10000,I86,'[1]1_group_totals'!$F$8:$F$10000,pb_location_group_id,'[1]1_group_totals'!$G$8:$G$10000,pb_location_id,'[1]1_group_totals'!$H$8:$H$10000,"="&amp;Q86,'[1]1_group_totals'!$I$8:$I$10000,"="&amp;R86)+SUMIFS('[1]1_group_totals'!$M$8:$M$10000,'[1]1_group_totals'!$C$8:$C$10000,I86,'[1]1_group_totals'!$F$8:$F$10000,pb_location_group_id,'[1]1_group_totals'!$G$8:$G$10000,pb_location_id,'[1]1_group_totals'!$H$8:$H$10000,"="&amp;Q86,'[1]1_group_totals'!$I$8:$I$10000,"="&amp;R86)+SUMIFS('[1]1_group_totals'!$O$8:$O$10000,'[1]1_group_totals'!$C$8:$C$10000,I86,'[1]1_group_totals'!$F$8:$F$10000,pb_location_group_id,'[1]1_group_totals'!$G$8:$G$10000,pb_location_id,'[1]1_group_totals'!$H$8:$H$10000,"="&amp;Q86,'[1]1_group_totals'!$I$8:$I$10000,"="&amp;R86)+SUMIFS('[1]1_group_totals'!$R$8:$R$10000,'[1]1_group_totals'!$C$8:$C$10000,I86,'[1]1_group_totals'!$F$8:$F$10000,pb_location_group_id,'[1]1_group_totals'!$G$8:$G$10000,pb_location_id,'[1]1_group_totals'!$H$8:$H$10000,"="&amp;Q86,'[1]1_group_totals'!$I$8:$I$10000,"="&amp;R86)))</f>
        <v/>
      </c>
    </row>
    <row r="87" spans="1:46" ht="27" hidden="1" customHeight="1">
      <c r="A87" s="923"/>
      <c r="B87" s="1028"/>
      <c r="C87" s="950"/>
      <c r="D87" s="950"/>
      <c r="E87" s="950"/>
      <c r="F87" s="1029"/>
      <c r="G87" s="941"/>
      <c r="I87" s="1610" t="str">
        <f t="shared" si="212"/>
        <v/>
      </c>
      <c r="J87" s="1631" t="str">
        <f t="shared" si="226"/>
        <v/>
      </c>
      <c r="K87" s="1628"/>
      <c r="L87" s="1632"/>
      <c r="M87" s="1069"/>
      <c r="N87" s="1044"/>
      <c r="O87" s="1044"/>
      <c r="P87" s="1046"/>
      <c r="Q87" s="1047"/>
      <c r="R87" s="1053"/>
      <c r="S87" s="1634" t="str">
        <f t="shared" ref="S87" si="266">IF(M87="","",pb_currency_symbol)</f>
        <v/>
      </c>
      <c r="T87" s="1068"/>
      <c r="U87" s="1636" t="str">
        <f t="shared" si="214"/>
        <v/>
      </c>
      <c r="V87" s="1634" t="str">
        <f t="shared" ref="V87" si="267">IF(W87=0,"",pb_currency_symbol)</f>
        <v/>
      </c>
      <c r="W87" s="1054"/>
      <c r="X87" s="1634" t="str">
        <f t="shared" ref="X87" si="268">IF(M87="","",pb_currency_symbol)</f>
        <v/>
      </c>
      <c r="Y87" s="1638" t="str">
        <f t="shared" si="217"/>
        <v/>
      </c>
      <c r="Z87" s="1062"/>
      <c r="AA87" s="1639" t="str" cm="1">
        <f t="array" ref="AA87">IF(M87="","",IF(P87=AL87,1,Slookup(MID(AL87,1,3)*1,UomConversion!$D$8:$J$500,5,UomConversion!$E$8:$E$500,MID(P87,1,3)*1,UomConversion!$J$8:$J$500,1)))</f>
        <v/>
      </c>
      <c r="AB87" s="1640" t="str">
        <f t="shared" si="218"/>
        <v/>
      </c>
      <c r="AC87" s="1641" t="str">
        <f t="shared" si="219"/>
        <v/>
      </c>
      <c r="AD87" s="1642" t="str">
        <f t="shared" si="220"/>
        <v/>
      </c>
      <c r="AE87" s="1643" t="str">
        <f t="shared" si="221"/>
        <v/>
      </c>
      <c r="AF87" s="1640" t="str">
        <f>IF(I87="","",IF(ISNA(MATCH(I87,IF(pb_location_id=1,'[1]1_inventory_totals'!$C$8:$C$10000,IF(pb_location_id=2,'[1]2_inventory_totals'!$C$8:$C$10000,"")),0)),0,IF(AS87&gt;0,1,0)))</f>
        <v/>
      </c>
      <c r="AG87" s="1640" t="str">
        <f>IF(M87="","",IF(pb_location_id=1,SUMIFS('[1]1_inventory_total_details'!$J$8:$J$10000,'[1]1_inventory_total_details'!$C$8:$C$10000,I87,'[1]1_inventory_total_details'!$F$8:$F$10000,pb_location_id,'[1]1_inventory_total_details'!$G$8:$G$10000,"="&amp;Q87,'[1]1_inventory_total_details'!$H$8:$H$10000,"="&amp;R87,'[1]1_inventory_total_details'!$I$8:$I$10000,"="&amp;pb_date)+SUMIFS('[1]1_inventory_total_details'!$M$8:$M$10000,'[1]1_inventory_total_details'!$C$8:$C$10000,I87,'[1]1_inventory_total_details'!$F$8:$F$10000,pb_location_id,'[1]1_inventory_total_details'!$G$8:$G$10000,"="&amp;Q87,'[1]1_inventory_total_details'!$H$8:$H$10000,"="&amp;R87,'[1]1_inventory_total_details'!$I$8:$I$10000,"="&amp;pb_date)+SUMIFS('[1]1_inventory_total_details'!$K$8:$K$10000,'[1]1_inventory_total_details'!$C$8:$C$10000,I87,'[1]1_inventory_total_details'!$F$8:$F$10000,pb_location_id,'[1]1_inventory_total_details'!$G$8:$G$10000,"="&amp;Q87,'[1]1_inventory_total_details'!$H$8:$H$10000,"="&amp;R87,'[1]1_inventory_total_details'!$I$8:$I$10000,"="&amp;pb_date)+SUMIFS('[1]1_inventory_total_details'!$L$8:$L$10000,'[1]1_inventory_total_details'!$C$8:$C$10000,I87,'[1]1_inventory_total_details'!$F$8:$F$10000,pb_location_id,'[1]1_inventory_total_details'!$G$8:$G$10000,"="&amp;Q87,'[1]1_inventory_total_details'!$H$8:$H$10000,"="&amp;R87,'[1]1_inventory_total_details'!$I$8:$I$10000,"="&amp;pb_date),SUMIFS('[1]2_inventory_total_details'!$J$8:$J$10000,'[1]2_inventory_total_details'!$C$8:$C$10000,I87,'[1]1_inventory_total_details'!$F$8:$F$10000,pb_location_id,'[1]2_inventory_total_details'!$G$8:$G$10000,"="&amp;Q87,'[1]2_inventory_total_details'!$H$8:$H$10000,"="&amp;R87,'[1]2_inventory_total_details'!$I$8:$I$10000,"="&amp;pb_date)+SUMIFS('[1]2_inventory_total_details'!$M$8:$M$10000,'[1]2_inventory_total_details'!$C$8:$C$10000,I87,'[1]2_inventory_total_details'!$F$8:$F$10000,pb_location_id,'[1]2_inventory_total_details'!$G$8:$G$10000,"="&amp;Q87,'[1]2_inventory_total_details'!$H$8:$H$10000,"="&amp;R87,'[1]2_inventory_total_details'!$I$8:$I$10000,"="&amp;pb_date)+SUMIFS('[1]2_inventory_total_details'!$K$8:$K$10000,'[1]2_inventory_total_details'!$C$8:$C$10000,I87,'[1]2_inventory_total_details'!$F$8:$F$10000,pb_location_id,'[1]2_inventory_total_details'!$G$8:$G$10000,"="&amp;Q87,'[1]2_inventory_total_details'!$H$8:$H$10000,"="&amp;R87,'[1]2_inventory_total_details'!$I$8:$I$10000,"="&amp;pb_date)+SUMIFS('[1]2_inventory_total_details'!$L$8:$L$10000,'[1]2_inventory_total_details'!$C$8:$C$10000,I87,'[1]2_inventory_total_details'!$F$8:$F$10000,pb_location_id,'[1]2_inventory_total_details'!$G$8:$G$10000,"="&amp;Q87,'[1]2_inventory_total_details'!$H$8:$H$10000,"="&amp;R87,'[1]2_inventory_total_details'!$I$8:$I$10000,"="&amp;pb_date)))</f>
        <v/>
      </c>
      <c r="AH87" s="1640" t="str">
        <f>IF(M87="","",IF(ISNA(MATCH(I87,'[1]1_group_totals'!$C$8:$C$10000)),0,IF(AT87&gt;0,1,0)))</f>
        <v/>
      </c>
      <c r="AI87" s="1640" t="str">
        <f>IF(M87="","",(SUMIFS('[1]1_group_total_details'!$I$8:$I$10000,'[1]1_group_total_details'!$C$8:$C$10000,I87,'[1]1_group_total_details'!$F$8:$F$10000,pb_location_group_id,'[1]1_group_total_details'!$G$8:$G$10000,pb_location_id,'[1]1_group_total_details'!$H$8:$H$10000,"="&amp;pb_date)+SUMIFS('[1]1_group_total_details'!$L$8:$L$10000,'[1]1_group_total_details'!$C$8:$C$10000,I87,'[1]1_group_total_details'!$F$8:$F$10000,pb_location_group_id,'[1]1_group_total_details'!$G$8:$G$10000,pb_location_id,'[1]1_group_total_details'!$H$8:$H$10000,"="&amp;pb_date)+SUMIFS('[1]1_group_total_details'!$N$8:$N$10000,'[1]1_group_total_details'!$C$8:$C$10000,I87,'[1]1_group_total_details'!$F$8:$F$10000,pb_location_group_id,'[1]1_group_total_details'!$G$8:$G$10000,pb_location_id,'[1]1_group_total_details'!$H$8:$H$10000,"="&amp;pb_date)+SUMIFS('[1]1_group_total_details'!$O$8:$O$10000,'[1]1_group_total_details'!$C$8:$C$10000,I87,'[1]1_group_total_details'!$F$8:$F$10000,pb_location_group_id,'[1]1_group_total_details'!$G$8:$G$10000,pb_location_id,'[1]1_group_total_details'!$H$8:$H$10000,"="&amp;pb_date))+(SUMIFS('[1]1_group_total_details'!$J$8:$J$10000,'[1]1_group_total_details'!$C$8:$C$10000,I87,'[1]1_group_total_details'!$F$8:$F$10000,pb_location_group_id,'[1]1_group_total_details'!$G$8:$G$10000,pb_location_id,'[1]1_group_total_details'!$H$8:$H$10000,"="&amp;pb_date)+SUMIFS('[1]1_group_total_details'!$K$8:$K$10000,'[1]1_group_total_details'!$C$8:$C$10000,I87,'[1]1_group_total_details'!$F$8:$F$10000,pb_location_group_id,'[1]1_group_total_details'!$G$8:$G$10000,pb_location_id,'[1]1_group_total_details'!$H$8:$H$10000,"="&amp;pb_date)+SUMIFS('[1]1_group_total_details'!$M$8:$M$10000,'[1]1_group_total_details'!$C$8:$C$10000,I87,'[1]1_group_total_details'!$F$8:$F$10000,pb_location_group_id,'[1]1_group_total_details'!$G$8:$G$10000,pb_location_id,'[1]1_group_total_details'!$H$8:$H$10000,"="&amp;pb_date)+SUMIFS('[1]1_group_total_details'!$P$8:$P$10000,'[1]1_group_total_details'!$C$8:$C$10000,I87,'[1]1_group_total_details'!$F$8:$F$10000,pb_location_group_id,'[1]1_group_total_details'!$G$8:$G$10000,pb_location_id,'[1]1_group_total_details'!$H$8:$H$10000,"="&amp;pb_date)))</f>
        <v/>
      </c>
      <c r="AJ87" s="1640" t="str">
        <f>IF(M87="","",IF(AK87=0,0,(SUMIFS('[1]1_group_total_details'!$I$8:$I$10000,'[1]1_group_total_details'!$C$8:$C$10000,I87,'[1]1_group_total_details'!$F$8:$F$10000,pb_location_group_id,'[1]1_group_total_details'!$G$8:$G$10000,pb_location_id,'[1]1_group_total_details'!$H$8:$H$10000,"&lt;="&amp;pb_date)+SUMIFS('[1]1_group_total_details'!$L$8:$L$10000,'[1]1_group_total_details'!$C$8:$C$10000,I87,'[1]1_group_total_details'!$F$8:$F$10000,pb_location_group_id,'[1]1_group_total_details'!$G$8:$G$10000,pb_location_id,'[1]1_group_total_details'!$H$8:$H$10000,"&lt;="&amp;pb_date)+SUMIFS('[1]1_group_total_details'!$N$8:$N$10000,'[1]1_group_total_details'!$C$8:$C$10000,I87,'[1]1_group_total_details'!$F$8:$F$10000,pb_location_group_id,'[1]1_group_total_details'!$G$8:$G$10000,pb_location_id,'[1]1_group_total_details'!$H$8:$H$10000,"&lt;="&amp;pb_date)+SUMIFS('[1]1_group_total_details'!$O$8:$O$10000,'[1]1_group_total_details'!$C$8:$C$10000,I87,'[1]1_group_total_details'!$F$8:$F$10000,pb_location_group_id,'[1]1_group_total_details'!$G$8:$G$10000,pb_location_id,'[1]1_group_total_details'!$H$8:$H$10000,"&lt;="&amp;pb_date))-(SUMIFS('[1]1_group_total_details'!$J$8:$J$10000,'[1]1_group_total_details'!$C$8:$C$10000,I87,'[1]1_group_total_details'!$F$8:$F$10000,pb_location_group_id,'[1]1_group_total_details'!$G$8:$G$10000,pb_location_id,'[1]1_group_total_details'!$H$8:$H$10000,"&lt;="&amp;pb_date)+SUMIFS('[1]1_group_total_details'!$K$8:$K$10000,'[1]1_group_total_details'!$C$8:$C$10000,I87,'[1]1_group_total_details'!$F$8:$F$10000,pb_location_group_id,'[1]1_group_total_details'!$G$8:$G$10000,invoice_location_id,'[1]1_group_total_details'!$H$8:$H$10000,"&lt;="&amp;pb_date)+SUMIFS('[1]1_group_total_details'!$M$8:$M$10000,'[1]1_group_total_details'!$C$8:$C$10000,I87,'[1]1_group_total_details'!$F$8:$F$10000,pb_location_group_id,'[1]1_group_total_details'!$G$8:$G$10000,pb_location_id,'[1]1_group_total_details'!$H$8:$H$10000,"&lt;="&amp;pb_date)+SUMIFS('[1]1_group_total_details'!$P$8:$P$10000,'[1]1_group_total_details'!$C$8:$C$10000,I87,'[1]1_group_total_details'!$F$8:$F$10000,pb_location_group_id,'[1]1_group_total_details'!$G$8:$G$10000,pb_location_id,'[1]1_group_total_details'!$H$8:$H$10000,"&lt;="&amp;pb_date))))</f>
        <v/>
      </c>
      <c r="AK87" s="1640" t="str">
        <f>IF(M87="","",SUMIFS('[1]1_group_totals'!$J$8:$J$10000,'[1]1_group_totals'!$C$8:$C$10000,I87,'[1]1_group_totals'!$F$8:$F$10000,pb_location_group_id,'[1]1_group_totals'!$G$8:$G$10000,pb_location_id,'[1]1_group_totals'!$H$8:$H$10000,"="&amp;Q87,'[1]1_group_totals'!$I$8:$I$10000,"="&amp;R87))</f>
        <v/>
      </c>
      <c r="AL87" s="1644" t="str">
        <f t="shared" si="222"/>
        <v/>
      </c>
      <c r="AM87" s="1644" t="str">
        <f>IF(OR(ISNA(MATCH(MID(AL87,1,3)*1,UomConversion!$D$8:$D$500,0)),M87=""),"",IF(AQ87="","",AQ87))</f>
        <v/>
      </c>
      <c r="AN87" s="1644" t="str">
        <f>IF(AND(AO87&gt;0,COUNTIFS(UomConversion!$D$8:$D$500,MID(AL87,1,3)*1,UomConversion!$J$8:$J$500,1)&gt;1),TEXT(AO87,"000")&amp;"."&amp;VLOOKUP(AO87,uom_list,5,FALSE),"")</f>
        <v/>
      </c>
      <c r="AO87" s="1640" t="str">
        <f t="shared" si="223"/>
        <v/>
      </c>
      <c r="AP87" s="1645" t="str">
        <f t="shared" si="224"/>
        <v/>
      </c>
      <c r="AQ87" s="491" t="str">
        <f t="shared" si="225"/>
        <v/>
      </c>
      <c r="AR87" s="1281" t="str" cm="1">
        <f t="array" ref="AR87">IF(M87="","",IF(ISNA(Slookup(MID(AL87,1,3)*1,UomConversion!$D$8:$J$500,2,UomConversion!$I$8:$I$500,1,UomConversion!$J$8:$J$500,1)),"",Slookup(MID(AL87,1,3)*1,UomConversion!$D$8:$J$500,2,UomConversion!$I$8:$I$500,1,UomConversion!$J$8:$J$500,1)))</f>
        <v/>
      </c>
      <c r="AS87" s="663" t="str">
        <f>IF(M87="","",(SUMIFS('[1]1_inventory_totals'!$I$8:$I$10000,'[1]1_inventory_totals'!$C$8:$C$10000,I87,'[1]1_inventory_totals'!$F$8:$F$10000,"="&amp;Q87,'[1]1_inventory_totals'!$G$8:$G$10000,"="&amp;R87)+SUMIFS('[1]1_inventory_totals'!$N$8:$N$10000,'[1]1_inventory_totals'!$C$8:$C$10000,I87,'[1]1_inventory_totals'!$F$8:$F$10000,"="&amp;Q87,'[1]1_inventory_totals'!$G$8:$G$10000,"="&amp;R87)+SUMIFS('[1]1_inventory_totals'!$P$8:$P$10000,'[1]1_inventory_totals'!$C$8:$C$10000,I87,'[1]1_inventory_totals'!$F$8:$F$10000,"="&amp;Q87,'[1]1_inventory_totals'!$G$8:$G$10000,"="&amp;R87)+SUMIFS('[1]1_inventory_totals'!$Q$8:$Q$10000,'[1]1_inventory_totals'!$C$8:$C$10000,I87,'[1]1_inventory_totals'!$F$8:$F$10000,"="&amp;Q87,'[1]1_inventory_totals'!$G$8:$G$10000,"="&amp;R87)+SUMIFS('[1]1_inventory_totals'!$R$8:$R$10000,'[1]1_inventory_totals'!$C$8:$C$10000,I87,'[1]1_inventory_totals'!$F$8:$F$10000,"="&amp;Q87,'[1]1_inventory_totals'!$G$8:$G$10000,"="&amp;R87))+(SUMIFS('[1]1_inventory_totals'!$J$8:$J$10000,'[1]1_inventory_totals'!$C$8:$C$10000,I87,'[1]1_inventory_totals'!$F$8:$F$10000,"="&amp;Q87,'[1]1_inventory_totals'!$G$8:$G$10000,"="&amp;R87)+SUMIFS('[1]1_inventory_totals'!$K$8:$K$10000,'[1]1_inventory_totals'!$C$8:$C$10000,I87,'[1]1_inventory_totals'!$F$8:$F$10000,"="&amp;Q87,'[1]1_inventory_totals'!$G$8:$G$10000,"="&amp;R87)+SUMIFS('[1]1_inventory_totals'!$L$8:$L$10000,'[1]1_inventory_totals'!$C$8:$C$10000,I87,'[1]1_inventory_totals'!$F$8:$F$10000,"="&amp;Q87,'[1]1_inventory_totals'!$G$8:$G$10000,"="&amp;R87)+SUMIFS('[1]1_inventory_totals'!$M$8:$M$10000,'[1]1_inventory_totals'!$C$8:$C$10000,I87,'[1]1_inventory_totals'!$F$8:$F$10000,"="&amp;Q87,'[1]1_inventory_totals'!$G$8:$G$10000,"="&amp;R87)+SUMIFS('[1]1_inventory_totals'!$O$8:$O$10000,'[1]1_inventory_totals'!$C$8:$C$10000,I87,'[1]1_inventory_totals'!$F$8:$F$10000,"="&amp;Q87,'[1]1_inventory_totals'!$G$8:$G$10000,"="&amp;R87)+SUMIFS('[1]1_inventory_totals'!$S$8:$S$10000,'[1]1_inventory_totals'!$C$8:$C$10000,I87,'[1]1_inventory_totals'!$F$8:$F$10000,"="&amp;Q87,'[1]1_inventory_totals'!$G$8:$G$10000,"="&amp;R87)))</f>
        <v/>
      </c>
      <c r="AT87" s="1281" t="str">
        <f>IF(M87="","",(SUMIFS('[1]1_group_totals'!$K$8:$K$10000,'[1]1_group_totals'!$C$8:$C$10000,I87,'[1]1_group_totals'!$F$8:$F$10000,pb_location_group_id,'[1]1_group_totals'!$G$8:$G$10000,pb_location_id,'[1]1_group_totals'!$H$8:$H$10000,"="&amp;Q87,'[1]1_group_totals'!$I$8:$I$10000,"="&amp;R87)+SUMIFS('[1]1_group_totals'!$N$8:$N$10000,'[1]1_group_totals'!$C$8:$C$10000,I87,'[1]1_group_totals'!$F$8:$F$10000,pb_location_group_id,'[1]1_group_totals'!$G$8:$G$10000,pb_location_id,'[1]1_group_totals'!$H$8:$H$10000,"="&amp;Q87,'[1]1_group_totals'!$I$8:$I$10000,"="&amp;R87)+SUMIFS('[1]1_group_totals'!$P$8:$P$10000,'[1]1_group_totals'!$C$8:$C$10000,I87,'[1]1_group_totals'!$F$8:$F$10000,pb_location_group_id,'[1]1_group_totals'!$G$8:$G$10000,pb_location_id,'[1]1_group_totals'!$H$8:$H$10000,"="&amp;Q87,'[1]1_group_totals'!$I$8:$I$10000,"="&amp;R87)+SUMIFS('[1]1_group_totals'!$Q$8:$Q$10000,'[1]1_group_totals'!$C$8:$C$10000,I87,'[1]1_group_totals'!$F$8:$F$10000,pb_location_group_id,'[1]1_group_totals'!$G$8:$G$10000,pb_location_id,'[1]1_group_totals'!$H$8:$H$10000,"="&amp;Q87,'[1]1_group_totals'!$I$8:$I$10000,"="&amp;R87))+(SUMIFS('[1]1_group_totals'!$L$8:$L$10000,'[1]1_group_totals'!$C$8:$C$10000,I87,'[1]1_group_totals'!$F$8:$F$10000,pb_location_group_id,'[1]1_group_totals'!$G$8:$G$10000,pb_location_id,'[1]1_group_totals'!$H$8:$H$10000,"="&amp;Q87,'[1]1_group_totals'!$I$8:$I$10000,"="&amp;R87)+SUMIFS('[1]1_group_totals'!$M$8:$M$10000,'[1]1_group_totals'!$C$8:$C$10000,I87,'[1]1_group_totals'!$F$8:$F$10000,pb_location_group_id,'[1]1_group_totals'!$G$8:$G$10000,pb_location_id,'[1]1_group_totals'!$H$8:$H$10000,"="&amp;Q87,'[1]1_group_totals'!$I$8:$I$10000,"="&amp;R87)+SUMIFS('[1]1_group_totals'!$O$8:$O$10000,'[1]1_group_totals'!$C$8:$C$10000,I87,'[1]1_group_totals'!$F$8:$F$10000,pb_location_group_id,'[1]1_group_totals'!$G$8:$G$10000,pb_location_id,'[1]1_group_totals'!$H$8:$H$10000,"="&amp;Q87,'[1]1_group_totals'!$I$8:$I$10000,"="&amp;R87)+SUMIFS('[1]1_group_totals'!$R$8:$R$10000,'[1]1_group_totals'!$C$8:$C$10000,I87,'[1]1_group_totals'!$F$8:$F$10000,pb_location_group_id,'[1]1_group_totals'!$G$8:$G$10000,pb_location_id,'[1]1_group_totals'!$H$8:$H$10000,"="&amp;Q87,'[1]1_group_totals'!$I$8:$I$10000,"="&amp;R87)))</f>
        <v/>
      </c>
    </row>
    <row r="88" spans="1:46" ht="27" customHeight="1" thickBot="1">
      <c r="A88" s="923"/>
      <c r="B88" s="1028"/>
      <c r="C88" s="950"/>
      <c r="D88" s="950"/>
      <c r="E88" s="950"/>
      <c r="F88" s="1029"/>
      <c r="G88" s="941"/>
      <c r="I88" s="987"/>
      <c r="J88" s="952"/>
      <c r="K88" s="953"/>
      <c r="L88" s="954"/>
      <c r="M88" s="1071" t="str">
        <f>"ជ្រើសរើសប្រភេទបញ្ចុះតម្លៃ"&amp;IF(pb_branch="",""," ("&amp;pb_currency_symbol&amp;")")</f>
        <v>ជ្រើសរើសប្រភេទបញ្ចុះតម្លៃ ($)</v>
      </c>
      <c r="N88" s="1072"/>
      <c r="O88" s="1073" t="s">
        <v>1547</v>
      </c>
      <c r="P88" s="1073" t="s">
        <v>1548</v>
      </c>
      <c r="Q88" s="1073"/>
      <c r="R88" s="1073"/>
      <c r="S88" s="959"/>
      <c r="T88" s="959"/>
      <c r="U88" s="960"/>
      <c r="V88" s="1074"/>
      <c r="W88" s="1075" t="s">
        <v>1549</v>
      </c>
      <c r="X88" s="1076" t="str">
        <f>pb_currency_symbol</f>
        <v>$</v>
      </c>
      <c r="Y88" s="1626">
        <f>SUM(Y8:Y87)</f>
        <v>0</v>
      </c>
      <c r="Z88" s="963"/>
      <c r="AC88" s="964">
        <f>SUM(AC8:AC87)</f>
        <v>0</v>
      </c>
      <c r="AD88" s="965"/>
      <c r="AE88" s="966"/>
    </row>
    <row r="89" spans="1:46" ht="27" customHeight="1" thickBot="1">
      <c r="A89" s="923"/>
      <c r="B89" s="1028"/>
      <c r="C89" s="924"/>
      <c r="D89" s="924"/>
      <c r="E89" s="924"/>
      <c r="F89" s="1029"/>
      <c r="G89" s="941"/>
      <c r="J89" s="967"/>
      <c r="M89" s="968" t="s">
        <v>51</v>
      </c>
      <c r="N89" s="1602">
        <f>MID(pb_discount_option,1,1)*1</f>
        <v>1</v>
      </c>
      <c r="O89" s="969"/>
      <c r="P89" s="1621"/>
      <c r="Q89" s="971"/>
      <c r="R89" s="971"/>
      <c r="U89" s="972">
        <f>IFERROR(IF(pb_discount_option="",0,IF(pb_discount_id*1=1,N(pb_discount_amount),IF(pb_discount_id*1=2,(pb_sub_total_amount*pb_discount_percent)/100,0))),0)</f>
        <v>0</v>
      </c>
      <c r="V89" s="1077" t="str">
        <f>pb_currency_symbol</f>
        <v>$</v>
      </c>
      <c r="W89" s="1078" t="s">
        <v>1550</v>
      </c>
      <c r="X89" s="1079" t="str">
        <f>pb_currency_symbol</f>
        <v>$</v>
      </c>
      <c r="Y89" s="1625">
        <f>IFERROR(IF(pb_discount_option="",0,IF(pb_discount_id=1,N(pb_discount_amount),IF(pb_discount_id=2,(pb_sub_total_amount*pb_discount_percent)/100,0))),0)</f>
        <v>0</v>
      </c>
      <c r="Z89" s="963"/>
      <c r="AC89" s="882" t="s">
        <v>1536</v>
      </c>
      <c r="AD89" s="1080"/>
    </row>
    <row r="90" spans="1:46" ht="27" customHeight="1">
      <c r="B90" s="1028"/>
      <c r="C90" s="974"/>
      <c r="D90" s="974"/>
      <c r="E90" s="974"/>
      <c r="F90" s="1029"/>
      <c r="G90" s="941"/>
      <c r="J90" s="952"/>
      <c r="K90" s="953"/>
      <c r="L90" s="954"/>
      <c r="M90" s="975"/>
      <c r="N90" s="976"/>
      <c r="S90" s="1607">
        <f>VLOOKUP(1,company_list,6,FALSE)</f>
        <v>1</v>
      </c>
      <c r="T90" s="977"/>
      <c r="U90" s="1081" t="s">
        <v>3028</v>
      </c>
      <c r="V90" s="1624">
        <f>IF(U90="","",VLOOKUP(MID(U90,1,2)*1,vat_list,3,FALSE))</f>
        <v>0</v>
      </c>
      <c r="W90" s="1078" t="s">
        <v>1551</v>
      </c>
      <c r="X90" s="1079" t="str">
        <f>pb_currency_symbol</f>
        <v>$</v>
      </c>
      <c r="Y90" s="1625">
        <f>IF(OR(pb_sub_total_amount="",pb_sub_total_amount=0,pb_vat=""),0,IF(pb_vat_cal_id=2,(pb_sub_total_amount-pb_discount)*pb_vat_percent/100,IF(pb_vat_cal_id=1,(pb_sub_total_amount)*pb_vat_percent/100,"")))</f>
        <v>0</v>
      </c>
      <c r="Z90" s="963"/>
      <c r="AC90" s="978" t="s">
        <v>1802</v>
      </c>
      <c r="AD90" s="1082"/>
    </row>
    <row r="91" spans="1:46" ht="27" customHeight="1" thickBot="1">
      <c r="B91" s="1083"/>
      <c r="C91" s="1084"/>
      <c r="D91" s="1085"/>
      <c r="E91" s="1086"/>
      <c r="F91" s="1087"/>
      <c r="J91" s="967"/>
      <c r="K91" s="979"/>
      <c r="L91" s="979"/>
      <c r="P91" s="980"/>
      <c r="Q91" s="980"/>
      <c r="R91" s="933"/>
      <c r="S91" s="1088"/>
      <c r="T91" s="1088"/>
      <c r="U91" s="1089">
        <v>18</v>
      </c>
      <c r="V91" s="1090"/>
      <c r="W91" s="1078" t="s">
        <v>1808</v>
      </c>
      <c r="X91" s="1079" t="str">
        <f>pb_currency_symbol</f>
        <v>$</v>
      </c>
      <c r="Y91" s="1625">
        <v>0</v>
      </c>
      <c r="Z91" s="963"/>
    </row>
    <row r="92" spans="1:46" ht="24.95" customHeight="1">
      <c r="J92" s="983"/>
      <c r="K92" s="983"/>
      <c r="L92" s="983"/>
      <c r="M92" s="984">
        <f>15.07/5</f>
        <v>3.0140000000000002</v>
      </c>
      <c r="N92" s="984"/>
      <c r="P92" s="933" t="s">
        <v>192</v>
      </c>
      <c r="Q92" s="933"/>
      <c r="W92" s="1078" t="s">
        <v>1552</v>
      </c>
      <c r="X92" s="1079" t="str">
        <f>pb_currency_symbol</f>
        <v>$</v>
      </c>
      <c r="Y92" s="1625">
        <f>pb_sub_total_amount-pb_discount-pb_deposit+pb_total_vat</f>
        <v>0</v>
      </c>
      <c r="Z92" s="963"/>
    </row>
    <row r="93" spans="1:46" ht="25.5" customHeight="1"/>
    <row r="101" spans="47:66" ht="30" customHeight="1"/>
    <row r="102" spans="47:66" ht="30" customHeight="1"/>
    <row r="103" spans="47:66" ht="30" customHeight="1"/>
    <row r="104" spans="47:66" ht="30" customHeight="1"/>
    <row r="110" spans="47:66" ht="24.95" customHeight="1">
      <c r="AU110" s="981"/>
    </row>
    <row r="112" spans="47:66" ht="7.5" customHeight="1">
      <c r="AV112" s="1091"/>
      <c r="BN112" s="1092"/>
    </row>
    <row r="113" spans="47:79" ht="24.95" customHeight="1">
      <c r="AU113" s="1093" t="s">
        <v>1527</v>
      </c>
      <c r="BM113" s="1094"/>
    </row>
    <row r="114" spans="47:79" ht="24.95" customHeight="1">
      <c r="AU114" s="1095" t="s">
        <v>193</v>
      </c>
      <c r="AV114" s="1096"/>
      <c r="AW114" s="1096" t="s">
        <v>1521</v>
      </c>
      <c r="AX114" s="1097" t="str">
        <f>VLOOKUP(1,company_list,2,FALSE)</f>
        <v>គោកស្នួល ខនស្រ្តាក់សិន មេធៀរៀល</v>
      </c>
      <c r="AY114" s="1098"/>
      <c r="AZ114" s="1098"/>
      <c r="BA114" s="1098"/>
      <c r="BM114" s="1099"/>
      <c r="BO114" s="1100"/>
      <c r="BP114" s="1100"/>
      <c r="BQ114" s="1100"/>
      <c r="BR114" s="1100"/>
      <c r="BS114" s="1101"/>
    </row>
    <row r="115" spans="47:79" ht="24.95" customHeight="1">
      <c r="AU115" s="1102" t="s">
        <v>106</v>
      </c>
      <c r="AV115" s="1103"/>
      <c r="AW115" s="1103" t="s">
        <v>1521</v>
      </c>
      <c r="AX115" s="1104" t="e">
        <f>IF(C13="","",VLOOKUP(MID(C13,1,2),branch_list,4,FALSE))</f>
        <v>#N/A</v>
      </c>
      <c r="AY115" s="1105"/>
      <c r="AZ115" s="1105"/>
      <c r="BA115" s="1105"/>
      <c r="BM115" s="1891"/>
      <c r="BN115" s="1891"/>
      <c r="BO115" s="1891"/>
      <c r="BP115" s="1891"/>
      <c r="BQ115" s="1891"/>
      <c r="BR115" s="1100"/>
      <c r="BS115" s="1101"/>
    </row>
    <row r="116" spans="47:79" ht="24.95" customHeight="1">
      <c r="AU116" s="1102" t="s">
        <v>104</v>
      </c>
      <c r="AV116" s="1103"/>
      <c r="AW116" s="1103" t="s">
        <v>1521</v>
      </c>
      <c r="AX116" s="1104" t="e">
        <f>IF(C13="","",VLOOKUP(MID(C13,1,2),branch_list,11,FALSE))</f>
        <v>#N/A</v>
      </c>
      <c r="AY116" s="1105"/>
      <c r="AZ116" s="1105"/>
      <c r="BA116" s="1105"/>
      <c r="BC116" s="1892" t="e">
        <f>IF(quote_service_type="","",MID(quote_service_type,5,100))</f>
        <v>#NAME?</v>
      </c>
      <c r="BD116" s="1892"/>
      <c r="BE116" s="1892"/>
      <c r="BF116" s="1892"/>
      <c r="BG116" s="1892"/>
      <c r="BH116" s="1106"/>
      <c r="BI116" s="1879"/>
      <c r="BM116" s="1891"/>
      <c r="BN116" s="1891"/>
      <c r="BO116" s="1891"/>
      <c r="BP116" s="1891"/>
      <c r="BQ116" s="1891"/>
      <c r="BR116" s="1100"/>
      <c r="BS116" s="1101"/>
    </row>
    <row r="117" spans="47:79" ht="24.95" customHeight="1">
      <c r="AU117" s="1093"/>
      <c r="AV117" s="1091"/>
      <c r="BC117" s="1892"/>
      <c r="BD117" s="1892"/>
      <c r="BE117" s="1892"/>
      <c r="BF117" s="1892"/>
      <c r="BG117" s="1892"/>
      <c r="BH117" s="1106"/>
      <c r="BI117" s="1879"/>
      <c r="BM117" s="1107"/>
      <c r="BN117" s="1092"/>
      <c r="BU117" s="1881" t="e">
        <f>IF(quote_service_type="","",MID(quote_service_type,5,100))</f>
        <v>#NAME?</v>
      </c>
      <c r="BV117" s="1881"/>
      <c r="BW117" s="1881"/>
      <c r="BX117" s="1881"/>
      <c r="BY117" s="1881"/>
      <c r="CA117" s="1879"/>
    </row>
    <row r="118" spans="47:79" ht="24.95" customHeight="1">
      <c r="AZ118" s="1108"/>
      <c r="BA118" s="1108"/>
      <c r="BC118" s="1892"/>
      <c r="BD118" s="1892"/>
      <c r="BE118" s="1892"/>
      <c r="BF118" s="1892"/>
      <c r="BG118" s="1892"/>
      <c r="BH118" s="1106"/>
      <c r="BI118" s="1879"/>
      <c r="BR118" s="1108"/>
      <c r="BS118" s="1108"/>
      <c r="BU118" s="1881"/>
      <c r="BV118" s="1881"/>
      <c r="BW118" s="1881"/>
      <c r="BX118" s="1881"/>
      <c r="BY118" s="1881"/>
      <c r="CA118" s="1879"/>
    </row>
    <row r="119" spans="47:79" ht="24.95" customHeight="1">
      <c r="AU119" s="1880" t="s">
        <v>193</v>
      </c>
      <c r="AV119" s="1880"/>
      <c r="AW119" s="1110" t="s">
        <v>1521</v>
      </c>
      <c r="AX119" s="1111" t="e">
        <f>IF(C11="","",VLOOKUP(MID(C11,1,4),customer_list,4,FALSE))</f>
        <v>#N/A</v>
      </c>
      <c r="AY119" s="1108"/>
      <c r="AZ119" s="1112"/>
      <c r="BA119" s="1112"/>
      <c r="BE119" s="1113"/>
      <c r="BF119" s="1114"/>
      <c r="BG119" s="1113"/>
      <c r="BH119" s="1114"/>
      <c r="BM119" s="1880" t="s">
        <v>193</v>
      </c>
      <c r="BN119" s="1880"/>
      <c r="BO119" s="956" t="s">
        <v>1521</v>
      </c>
      <c r="BP119" s="1111" t="e">
        <f>IF(C11="","",VLOOKUP(MID(C11,1,4),customer_list,4,FALSE))</f>
        <v>#N/A</v>
      </c>
      <c r="BQ119" s="1108"/>
      <c r="BR119" s="1112"/>
      <c r="BS119" s="1112"/>
      <c r="CA119" s="1879"/>
    </row>
    <row r="120" spans="47:79" ht="24.95" customHeight="1">
      <c r="AU120" s="1880" t="s">
        <v>106</v>
      </c>
      <c r="AV120" s="1880"/>
      <c r="AW120" s="1110" t="s">
        <v>1521</v>
      </c>
      <c r="AX120" s="1115" t="e">
        <f>IF(C11="","",VLOOKUP(MID(C11,1,4),customer_list,8,FALSE))</f>
        <v>#N/A</v>
      </c>
      <c r="AY120" s="1112"/>
      <c r="AZ120" s="1112"/>
      <c r="BA120" s="1112"/>
      <c r="BE120" s="1109"/>
      <c r="BF120" s="1109" t="s">
        <v>73</v>
      </c>
      <c r="BG120" s="956" t="s">
        <v>1521</v>
      </c>
      <c r="BH120" s="1116"/>
      <c r="BI120" s="1117">
        <f>IF(C9="","",C9)</f>
        <v>46259</v>
      </c>
      <c r="BJ120" s="1117"/>
      <c r="BM120" s="1880" t="s">
        <v>106</v>
      </c>
      <c r="BN120" s="1880"/>
      <c r="BO120" s="956" t="s">
        <v>1521</v>
      </c>
      <c r="BP120" s="1115" t="e">
        <f>IF(C11="","",VLOOKUP(MID(C11,1,4),customer_list,8,FALSE))</f>
        <v>#N/A</v>
      </c>
      <c r="BQ120" s="1112"/>
      <c r="BR120" s="1112"/>
      <c r="BS120" s="1112"/>
      <c r="BW120" s="1109"/>
      <c r="BX120" s="1118"/>
      <c r="BY120" s="1119" t="s">
        <v>1540</v>
      </c>
      <c r="BZ120" s="1116"/>
      <c r="CA120" s="1117">
        <f>IF(C9="","",C9)</f>
        <v>46259</v>
      </c>
    </row>
    <row r="121" spans="47:79" ht="24.95" customHeight="1">
      <c r="AU121" s="1880" t="s">
        <v>104</v>
      </c>
      <c r="AV121" s="1880"/>
      <c r="AW121" s="1110" t="s">
        <v>1521</v>
      </c>
      <c r="AX121" s="1112" t="e">
        <f>IF(C11="","",VLOOKUP(MID(C11,1,4),customer_list,6,FALSE))</f>
        <v>#N/A</v>
      </c>
      <c r="AY121" s="1112"/>
      <c r="BE121" s="1109"/>
      <c r="BF121" s="1109" t="s">
        <v>159</v>
      </c>
      <c r="BG121" s="956" t="s">
        <v>1521</v>
      </c>
      <c r="BH121" s="1120"/>
      <c r="BI121" s="1120" t="e">
        <f>IF(E9="","",E9)</f>
        <v>#VALUE!</v>
      </c>
      <c r="BM121" s="1880" t="s">
        <v>104</v>
      </c>
      <c r="BN121" s="1880"/>
      <c r="BO121" s="956" t="s">
        <v>1521</v>
      </c>
      <c r="BP121" s="1112" t="e">
        <f>IF(C11="","",VLOOKUP(MID(C11,1,4),customer_list,6,FALSE))</f>
        <v>#N/A</v>
      </c>
      <c r="BQ121" s="1112"/>
      <c r="BW121" s="1109"/>
      <c r="BX121" s="1118"/>
      <c r="BY121" s="1118" t="s">
        <v>1541</v>
      </c>
      <c r="BZ121" s="1120"/>
      <c r="CA121" s="1120" t="e">
        <f>IF(E9="","",E9)</f>
        <v>#VALUE!</v>
      </c>
    </row>
    <row r="122" spans="47:79" ht="12" customHeight="1"/>
    <row r="123" spans="47:79" ht="24.95" customHeight="1">
      <c r="AU123" s="1121" t="s">
        <v>47</v>
      </c>
      <c r="AV123" s="2019" t="s">
        <v>159</v>
      </c>
      <c r="AW123" s="2020"/>
      <c r="AX123" s="2020"/>
      <c r="AY123" s="2019" t="s">
        <v>89</v>
      </c>
      <c r="AZ123" s="2021"/>
      <c r="BA123" s="1123" t="s">
        <v>65</v>
      </c>
      <c r="BB123" s="1123" t="s">
        <v>65</v>
      </c>
      <c r="BC123" s="1123" t="s">
        <v>61</v>
      </c>
      <c r="BD123" s="2019" t="s">
        <v>62</v>
      </c>
      <c r="BE123" s="2021"/>
      <c r="BF123" s="2019" t="s">
        <v>46</v>
      </c>
      <c r="BG123" s="2021"/>
      <c r="BH123" s="2019" t="s">
        <v>186</v>
      </c>
      <c r="BI123" s="2021"/>
      <c r="BJ123" s="981"/>
      <c r="BM123" s="1123" t="s">
        <v>47</v>
      </c>
      <c r="BN123" s="2019" t="s">
        <v>159</v>
      </c>
      <c r="BO123" s="2020"/>
      <c r="BP123" s="2020"/>
      <c r="BQ123" s="2019" t="s">
        <v>89</v>
      </c>
      <c r="BR123" s="2021"/>
      <c r="BS123" s="1123" t="s">
        <v>65</v>
      </c>
      <c r="BT123" s="1123" t="s">
        <v>65</v>
      </c>
      <c r="BU123" s="1122" t="s">
        <v>61</v>
      </c>
      <c r="BV123" s="2019" t="s">
        <v>62</v>
      </c>
      <c r="BW123" s="2021"/>
      <c r="BX123" s="2019" t="s">
        <v>46</v>
      </c>
      <c r="BY123" s="2021"/>
      <c r="BZ123" s="2019" t="s">
        <v>186</v>
      </c>
      <c r="CA123" s="2021"/>
    </row>
    <row r="124" spans="47:79" ht="24.95" customHeight="1">
      <c r="AU124" s="1124" t="s">
        <v>9</v>
      </c>
      <c r="AV124" s="2017" t="s">
        <v>94</v>
      </c>
      <c r="AW124" s="2018"/>
      <c r="AX124" s="2018"/>
      <c r="AY124" s="2017" t="s">
        <v>229</v>
      </c>
      <c r="AZ124" s="2022"/>
      <c r="BA124" s="1124" t="s">
        <v>67</v>
      </c>
      <c r="BB124" s="1124" t="s">
        <v>651</v>
      </c>
      <c r="BC124" s="1124" t="s">
        <v>14</v>
      </c>
      <c r="BD124" s="2017" t="s">
        <v>68</v>
      </c>
      <c r="BE124" s="2022"/>
      <c r="BF124" s="2017" t="s">
        <v>83</v>
      </c>
      <c r="BG124" s="2022"/>
      <c r="BH124" s="2017" t="s">
        <v>1522</v>
      </c>
      <c r="BI124" s="2022"/>
      <c r="BM124" s="1124" t="s">
        <v>9</v>
      </c>
      <c r="BN124" s="2017" t="s">
        <v>94</v>
      </c>
      <c r="BO124" s="2018"/>
      <c r="BP124" s="2018"/>
      <c r="BQ124" s="2017" t="s">
        <v>229</v>
      </c>
      <c r="BR124" s="2022"/>
      <c r="BS124" s="1124" t="s">
        <v>67</v>
      </c>
      <c r="BT124" s="1124" t="s">
        <v>651</v>
      </c>
      <c r="BU124" s="1125" t="s">
        <v>14</v>
      </c>
      <c r="BV124" s="2017" t="s">
        <v>68</v>
      </c>
      <c r="BW124" s="2022"/>
      <c r="BX124" s="2017" t="s">
        <v>83</v>
      </c>
      <c r="BY124" s="2022"/>
      <c r="BZ124" s="2017" t="s">
        <v>1522</v>
      </c>
      <c r="CA124" s="2022"/>
    </row>
    <row r="125" spans="47:79" ht="24.95" customHeight="1">
      <c r="AU125" s="1126">
        <f>IF(M8="","",1)</f>
        <v>1</v>
      </c>
      <c r="AV125" s="1127" t="str">
        <f t="shared" ref="AV125:AV156" si="269">IF(K8&lt;&gt;"",K8,"")</f>
        <v>DKS0456</v>
      </c>
      <c r="AW125" s="1127"/>
      <c r="AX125" s="1128"/>
      <c r="AY125" s="1129" t="str">
        <f t="shared" ref="AY125:AY156" si="270">IF(M8&lt;&gt;"",MID(M8,7,200),"")</f>
        <v>ខ្សែភ្លើង 2x16 | DKS0456 | Cost : 147.5 $ | Price : 175 $ | Stock Ending : 0Coil/250m</v>
      </c>
      <c r="AZ125" s="1130"/>
      <c r="BA125" s="1131" t="str">
        <f t="shared" ref="BA125:BA156" si="271">IF(N8&gt;0,N8,"")</f>
        <v/>
      </c>
      <c r="BB125" s="1131" t="str">
        <f t="shared" ref="BB125:BB156" si="272">IF(O8&lt;&gt;"",O8,"")</f>
        <v/>
      </c>
      <c r="BC125" s="1132" t="str">
        <f t="shared" ref="BC125:BC156" si="273">IF(M8&lt;&gt;"",MID(P8,5,100),"")</f>
        <v>Coil/250m</v>
      </c>
      <c r="BD125" s="1133" t="e">
        <f t="shared" ref="BD125:BD188" si="274">IF(AY125="","",quote_currency_symbol)</f>
        <v>#NAME?</v>
      </c>
      <c r="BE125" s="1134">
        <f t="shared" ref="BE125:BE156" si="275">IF(M8&lt;&gt;"",U8,"")</f>
        <v>147.5</v>
      </c>
      <c r="BF125" s="1135" t="str">
        <f>IF(BG125=0,"",quote_currency_symbol)</f>
        <v/>
      </c>
      <c r="BG125" s="1136">
        <f t="shared" ref="BG125:BG156" si="276">IF(M8&lt;&gt;"",W8,"")</f>
        <v>0</v>
      </c>
      <c r="BH125" s="1135" t="e">
        <f t="shared" ref="BH125:BH188" si="277">IF(AY125="","",quote_currency_symbol)</f>
        <v>#NAME?</v>
      </c>
      <c r="BI125" s="1137">
        <f>IF(AND(AY125&lt;&gt;"",BA125&gt;0),(N(BA125))*BE125-BG125,"")</f>
        <v>0</v>
      </c>
      <c r="BM125" s="1127">
        <f>IF(M8="","",1)</f>
        <v>1</v>
      </c>
      <c r="BN125" s="1128" t="str">
        <f t="shared" ref="BN125:BN156" si="278">IF(M8&lt;&gt;"",K8,"")</f>
        <v>DKS0456</v>
      </c>
      <c r="BO125" s="1128"/>
      <c r="BP125" s="1128"/>
      <c r="BQ125" s="1129" t="str">
        <f t="shared" ref="BQ125:BQ156" si="279">IF(M8&lt;&gt;"",MID(M8,7,200),"")</f>
        <v>ខ្សែភ្លើង 2x16 | DKS0456 | Cost : 147.5 $ | Price : 175 $ | Stock Ending : 0Coil/250m</v>
      </c>
      <c r="BR125" s="1130"/>
      <c r="BS125" s="1127" t="str">
        <f t="shared" ref="BS125:BS156" si="280">IF(N8&gt;0,N8,"")</f>
        <v/>
      </c>
      <c r="BT125" s="1127" t="str">
        <f t="shared" ref="BT125:BT156" si="281">IF(O8&lt;&gt;"",O8,"")</f>
        <v/>
      </c>
      <c r="BU125" s="1132" t="str">
        <f t="shared" ref="BU125:BU156" si="282">IF(M8&lt;&gt;"",MID(P8,5,100),"")</f>
        <v>Coil/250m</v>
      </c>
      <c r="BV125" s="1133" t="e">
        <f t="shared" ref="BV125:BV188" si="283">IF(BQ125="","",quote_currency_symbol)</f>
        <v>#NAME?</v>
      </c>
      <c r="BW125" s="1138">
        <f t="shared" ref="BW125:BW156" si="284">IF(M8&lt;&gt;"",U8,"")</f>
        <v>147.5</v>
      </c>
      <c r="BX125" s="1139" t="e">
        <f t="shared" ref="BX125:BX188" si="285">IF(BQ125="","",quote_currency_symbol)</f>
        <v>#NAME?</v>
      </c>
      <c r="BY125" s="1139">
        <f t="shared" ref="BY125:BY156" si="286">IF(M8&lt;&gt;"",W8,"")</f>
        <v>0</v>
      </c>
      <c r="BZ125" s="1140" t="e">
        <f t="shared" ref="BZ125:BZ188" si="287">IF(BQ125="","",quote_currency_symbol)</f>
        <v>#NAME?</v>
      </c>
      <c r="CA125" s="1139">
        <f>IF(AND(BQ125&lt;&gt;"",BS125&gt;0),(N(BS125))*BW125-BY125,"")</f>
        <v>0</v>
      </c>
    </row>
    <row r="126" spans="47:79" ht="24.95" customHeight="1">
      <c r="AU126" s="1141" t="str">
        <f t="shared" ref="AU126:AU157" si="288">IF(M9="","",AU125+1)</f>
        <v/>
      </c>
      <c r="AV126" s="1142" t="str">
        <f t="shared" si="269"/>
        <v/>
      </c>
      <c r="AW126" s="1142"/>
      <c r="AX126" s="1143"/>
      <c r="AY126" s="1129" t="str">
        <f t="shared" si="270"/>
        <v/>
      </c>
      <c r="AZ126" s="1104"/>
      <c r="BA126" s="1103" t="str">
        <f t="shared" si="271"/>
        <v/>
      </c>
      <c r="BB126" s="1103" t="str">
        <f t="shared" si="272"/>
        <v/>
      </c>
      <c r="BC126" s="1132" t="str">
        <f t="shared" si="273"/>
        <v/>
      </c>
      <c r="BD126" s="1144" t="str">
        <f t="shared" si="274"/>
        <v/>
      </c>
      <c r="BE126" s="1136" t="str">
        <f t="shared" si="275"/>
        <v/>
      </c>
      <c r="BF126" s="1145" t="str">
        <f t="shared" ref="BF126:BF189" si="289">IF(AY126="","",quote_currency_symbol)</f>
        <v/>
      </c>
      <c r="BG126" s="1136" t="str">
        <f t="shared" si="276"/>
        <v/>
      </c>
      <c r="BH126" s="1145" t="str">
        <f t="shared" si="277"/>
        <v/>
      </c>
      <c r="BI126" s="1137" t="str">
        <f t="shared" ref="BI126:BI189" si="290">IF(AND(AY126&lt;&gt;"",BA126&gt;0),(N(BA126))*BE126-BG126,"")</f>
        <v/>
      </c>
      <c r="BM126" s="1142" t="str">
        <f t="shared" ref="BM126:BM157" si="291">IF(M9="","",BM125+1)</f>
        <v/>
      </c>
      <c r="BN126" s="1143" t="str">
        <f t="shared" si="278"/>
        <v/>
      </c>
      <c r="BO126" s="1143"/>
      <c r="BP126" s="1143"/>
      <c r="BQ126" s="1129" t="str">
        <f t="shared" si="279"/>
        <v/>
      </c>
      <c r="BR126" s="1104"/>
      <c r="BS126" s="1142" t="str">
        <f t="shared" si="280"/>
        <v/>
      </c>
      <c r="BT126" s="1142" t="str">
        <f t="shared" si="281"/>
        <v/>
      </c>
      <c r="BU126" s="1132" t="str">
        <f t="shared" si="282"/>
        <v/>
      </c>
      <c r="BV126" s="1144" t="str">
        <f t="shared" si="283"/>
        <v/>
      </c>
      <c r="BW126" s="1146" t="str">
        <f t="shared" si="284"/>
        <v/>
      </c>
      <c r="BX126" s="1147" t="str">
        <f t="shared" si="285"/>
        <v/>
      </c>
      <c r="BY126" s="1147" t="str">
        <f t="shared" si="286"/>
        <v/>
      </c>
      <c r="BZ126" s="1148" t="str">
        <f t="shared" si="287"/>
        <v/>
      </c>
      <c r="CA126" s="1139" t="str">
        <f t="shared" ref="CA126:CA189" si="292">IF(AND(BQ126&lt;&gt;"",BS126&gt;0),(N(BS126))*BW126-BY126,"")</f>
        <v/>
      </c>
    </row>
    <row r="127" spans="47:79" ht="24.95" customHeight="1">
      <c r="AU127" s="1141" t="str">
        <f t="shared" si="288"/>
        <v/>
      </c>
      <c r="AV127" s="1142" t="str">
        <f t="shared" si="269"/>
        <v/>
      </c>
      <c r="AW127" s="1142"/>
      <c r="AX127" s="1143"/>
      <c r="AY127" s="1129" t="str">
        <f t="shared" si="270"/>
        <v/>
      </c>
      <c r="AZ127" s="1104"/>
      <c r="BA127" s="1103" t="str">
        <f t="shared" si="271"/>
        <v/>
      </c>
      <c r="BB127" s="1103" t="str">
        <f t="shared" si="272"/>
        <v/>
      </c>
      <c r="BC127" s="1132" t="str">
        <f t="shared" si="273"/>
        <v/>
      </c>
      <c r="BD127" s="1144" t="str">
        <f t="shared" si="274"/>
        <v/>
      </c>
      <c r="BE127" s="1136" t="str">
        <f t="shared" si="275"/>
        <v/>
      </c>
      <c r="BF127" s="1145" t="str">
        <f t="shared" si="289"/>
        <v/>
      </c>
      <c r="BG127" s="1136" t="str">
        <f t="shared" si="276"/>
        <v/>
      </c>
      <c r="BH127" s="1145" t="str">
        <f t="shared" si="277"/>
        <v/>
      </c>
      <c r="BI127" s="1137" t="str">
        <f t="shared" si="290"/>
        <v/>
      </c>
      <c r="BM127" s="1142" t="str">
        <f t="shared" si="291"/>
        <v/>
      </c>
      <c r="BN127" s="1143" t="str">
        <f t="shared" si="278"/>
        <v/>
      </c>
      <c r="BO127" s="1143"/>
      <c r="BP127" s="1143"/>
      <c r="BQ127" s="1129" t="str">
        <f t="shared" si="279"/>
        <v/>
      </c>
      <c r="BR127" s="1104"/>
      <c r="BS127" s="1142" t="str">
        <f t="shared" si="280"/>
        <v/>
      </c>
      <c r="BT127" s="1142" t="str">
        <f t="shared" si="281"/>
        <v/>
      </c>
      <c r="BU127" s="1132" t="str">
        <f t="shared" si="282"/>
        <v/>
      </c>
      <c r="BV127" s="1144" t="str">
        <f t="shared" si="283"/>
        <v/>
      </c>
      <c r="BW127" s="1146" t="str">
        <f t="shared" si="284"/>
        <v/>
      </c>
      <c r="BX127" s="1147" t="str">
        <f t="shared" si="285"/>
        <v/>
      </c>
      <c r="BY127" s="1147" t="str">
        <f t="shared" si="286"/>
        <v/>
      </c>
      <c r="BZ127" s="1148" t="str">
        <f t="shared" si="287"/>
        <v/>
      </c>
      <c r="CA127" s="1139" t="str">
        <f t="shared" si="292"/>
        <v/>
      </c>
    </row>
    <row r="128" spans="47:79" ht="24.95" customHeight="1">
      <c r="AU128" s="1141" t="str">
        <f t="shared" si="288"/>
        <v/>
      </c>
      <c r="AV128" s="1142" t="str">
        <f t="shared" si="269"/>
        <v/>
      </c>
      <c r="AW128" s="1142"/>
      <c r="AX128" s="1143"/>
      <c r="AY128" s="1129" t="str">
        <f t="shared" si="270"/>
        <v/>
      </c>
      <c r="AZ128" s="1104"/>
      <c r="BA128" s="1103" t="str">
        <f t="shared" si="271"/>
        <v/>
      </c>
      <c r="BB128" s="1103" t="str">
        <f t="shared" si="272"/>
        <v/>
      </c>
      <c r="BC128" s="1132" t="str">
        <f t="shared" si="273"/>
        <v/>
      </c>
      <c r="BD128" s="1144" t="str">
        <f t="shared" si="274"/>
        <v/>
      </c>
      <c r="BE128" s="1136" t="str">
        <f t="shared" si="275"/>
        <v/>
      </c>
      <c r="BF128" s="1145" t="str">
        <f t="shared" si="289"/>
        <v/>
      </c>
      <c r="BG128" s="1136" t="str">
        <f t="shared" si="276"/>
        <v/>
      </c>
      <c r="BH128" s="1145" t="str">
        <f t="shared" si="277"/>
        <v/>
      </c>
      <c r="BI128" s="1137" t="str">
        <f t="shared" si="290"/>
        <v/>
      </c>
      <c r="BM128" s="1142" t="str">
        <f t="shared" si="291"/>
        <v/>
      </c>
      <c r="BN128" s="1143" t="str">
        <f t="shared" si="278"/>
        <v/>
      </c>
      <c r="BO128" s="1143"/>
      <c r="BP128" s="1143"/>
      <c r="BQ128" s="1129" t="str">
        <f t="shared" si="279"/>
        <v/>
      </c>
      <c r="BR128" s="1104"/>
      <c r="BS128" s="1142" t="str">
        <f t="shared" si="280"/>
        <v/>
      </c>
      <c r="BT128" s="1142" t="str">
        <f t="shared" si="281"/>
        <v/>
      </c>
      <c r="BU128" s="1132" t="str">
        <f t="shared" si="282"/>
        <v/>
      </c>
      <c r="BV128" s="1144" t="str">
        <f t="shared" si="283"/>
        <v/>
      </c>
      <c r="BW128" s="1146" t="str">
        <f t="shared" si="284"/>
        <v/>
      </c>
      <c r="BX128" s="1147" t="str">
        <f t="shared" si="285"/>
        <v/>
      </c>
      <c r="BY128" s="1147" t="str">
        <f t="shared" si="286"/>
        <v/>
      </c>
      <c r="BZ128" s="1148" t="str">
        <f t="shared" si="287"/>
        <v/>
      </c>
      <c r="CA128" s="1139" t="str">
        <f t="shared" si="292"/>
        <v/>
      </c>
    </row>
    <row r="129" spans="47:79" ht="24.95" customHeight="1">
      <c r="AU129" s="1141" t="str">
        <f t="shared" si="288"/>
        <v/>
      </c>
      <c r="AV129" s="1142" t="str">
        <f t="shared" si="269"/>
        <v/>
      </c>
      <c r="AW129" s="1142"/>
      <c r="AX129" s="1143"/>
      <c r="AY129" s="1129" t="str">
        <f t="shared" si="270"/>
        <v/>
      </c>
      <c r="AZ129" s="1104"/>
      <c r="BA129" s="1103" t="str">
        <f t="shared" si="271"/>
        <v/>
      </c>
      <c r="BB129" s="1103" t="str">
        <f t="shared" si="272"/>
        <v/>
      </c>
      <c r="BC129" s="1132" t="str">
        <f t="shared" si="273"/>
        <v/>
      </c>
      <c r="BD129" s="1144" t="str">
        <f t="shared" si="274"/>
        <v/>
      </c>
      <c r="BE129" s="1136" t="str">
        <f t="shared" si="275"/>
        <v/>
      </c>
      <c r="BF129" s="1145" t="str">
        <f t="shared" si="289"/>
        <v/>
      </c>
      <c r="BG129" s="1136" t="str">
        <f t="shared" si="276"/>
        <v/>
      </c>
      <c r="BH129" s="1145" t="str">
        <f t="shared" si="277"/>
        <v/>
      </c>
      <c r="BI129" s="1137" t="str">
        <f t="shared" si="290"/>
        <v/>
      </c>
      <c r="BM129" s="1142" t="str">
        <f t="shared" si="291"/>
        <v/>
      </c>
      <c r="BN129" s="1143" t="str">
        <f t="shared" si="278"/>
        <v/>
      </c>
      <c r="BO129" s="1143"/>
      <c r="BP129" s="1143"/>
      <c r="BQ129" s="1129" t="str">
        <f t="shared" si="279"/>
        <v/>
      </c>
      <c r="BR129" s="1104"/>
      <c r="BS129" s="1142" t="str">
        <f t="shared" si="280"/>
        <v/>
      </c>
      <c r="BT129" s="1142" t="str">
        <f t="shared" si="281"/>
        <v/>
      </c>
      <c r="BU129" s="1132" t="str">
        <f t="shared" si="282"/>
        <v/>
      </c>
      <c r="BV129" s="1144" t="str">
        <f t="shared" si="283"/>
        <v/>
      </c>
      <c r="BW129" s="1146" t="str">
        <f t="shared" si="284"/>
        <v/>
      </c>
      <c r="BX129" s="1147" t="str">
        <f t="shared" si="285"/>
        <v/>
      </c>
      <c r="BY129" s="1147" t="str">
        <f t="shared" si="286"/>
        <v/>
      </c>
      <c r="BZ129" s="1148" t="str">
        <f t="shared" si="287"/>
        <v/>
      </c>
      <c r="CA129" s="1139" t="str">
        <f t="shared" si="292"/>
        <v/>
      </c>
    </row>
    <row r="130" spans="47:79" ht="24.95" customHeight="1">
      <c r="AU130" s="1141" t="str">
        <f t="shared" si="288"/>
        <v/>
      </c>
      <c r="AV130" s="1142" t="str">
        <f t="shared" si="269"/>
        <v/>
      </c>
      <c r="AW130" s="1142"/>
      <c r="AX130" s="1143"/>
      <c r="AY130" s="1129" t="str">
        <f t="shared" si="270"/>
        <v/>
      </c>
      <c r="AZ130" s="1104"/>
      <c r="BA130" s="1103" t="str">
        <f t="shared" si="271"/>
        <v/>
      </c>
      <c r="BB130" s="1103" t="str">
        <f t="shared" si="272"/>
        <v/>
      </c>
      <c r="BC130" s="1132" t="str">
        <f t="shared" si="273"/>
        <v/>
      </c>
      <c r="BD130" s="1144" t="str">
        <f t="shared" si="274"/>
        <v/>
      </c>
      <c r="BE130" s="1136" t="str">
        <f t="shared" si="275"/>
        <v/>
      </c>
      <c r="BF130" s="1145" t="str">
        <f t="shared" si="289"/>
        <v/>
      </c>
      <c r="BG130" s="1136" t="str">
        <f t="shared" si="276"/>
        <v/>
      </c>
      <c r="BH130" s="1145" t="str">
        <f t="shared" si="277"/>
        <v/>
      </c>
      <c r="BI130" s="1137" t="str">
        <f t="shared" si="290"/>
        <v/>
      </c>
      <c r="BM130" s="1142" t="str">
        <f t="shared" si="291"/>
        <v/>
      </c>
      <c r="BN130" s="1143" t="str">
        <f t="shared" si="278"/>
        <v/>
      </c>
      <c r="BO130" s="1143"/>
      <c r="BP130" s="1143"/>
      <c r="BQ130" s="1129" t="str">
        <f t="shared" si="279"/>
        <v/>
      </c>
      <c r="BR130" s="1104"/>
      <c r="BS130" s="1142" t="str">
        <f t="shared" si="280"/>
        <v/>
      </c>
      <c r="BT130" s="1142" t="str">
        <f t="shared" si="281"/>
        <v/>
      </c>
      <c r="BU130" s="1132" t="str">
        <f t="shared" si="282"/>
        <v/>
      </c>
      <c r="BV130" s="1144" t="str">
        <f t="shared" si="283"/>
        <v/>
      </c>
      <c r="BW130" s="1146" t="str">
        <f t="shared" si="284"/>
        <v/>
      </c>
      <c r="BX130" s="1147" t="str">
        <f t="shared" si="285"/>
        <v/>
      </c>
      <c r="BY130" s="1147" t="str">
        <f t="shared" si="286"/>
        <v/>
      </c>
      <c r="BZ130" s="1148" t="str">
        <f t="shared" si="287"/>
        <v/>
      </c>
      <c r="CA130" s="1139" t="str">
        <f t="shared" si="292"/>
        <v/>
      </c>
    </row>
    <row r="131" spans="47:79" ht="24.95" customHeight="1">
      <c r="AU131" s="1141" t="str">
        <f t="shared" si="288"/>
        <v/>
      </c>
      <c r="AV131" s="1142" t="str">
        <f t="shared" si="269"/>
        <v/>
      </c>
      <c r="AW131" s="1142"/>
      <c r="AX131" s="1143"/>
      <c r="AY131" s="1129" t="str">
        <f t="shared" si="270"/>
        <v/>
      </c>
      <c r="AZ131" s="1104"/>
      <c r="BA131" s="1103" t="str">
        <f t="shared" si="271"/>
        <v/>
      </c>
      <c r="BB131" s="1103" t="str">
        <f t="shared" si="272"/>
        <v/>
      </c>
      <c r="BC131" s="1132" t="str">
        <f t="shared" si="273"/>
        <v/>
      </c>
      <c r="BD131" s="1144" t="str">
        <f t="shared" si="274"/>
        <v/>
      </c>
      <c r="BE131" s="1136" t="str">
        <f t="shared" si="275"/>
        <v/>
      </c>
      <c r="BF131" s="1145" t="str">
        <f t="shared" si="289"/>
        <v/>
      </c>
      <c r="BG131" s="1136" t="str">
        <f t="shared" si="276"/>
        <v/>
      </c>
      <c r="BH131" s="1145" t="str">
        <f t="shared" si="277"/>
        <v/>
      </c>
      <c r="BI131" s="1137" t="str">
        <f t="shared" si="290"/>
        <v/>
      </c>
      <c r="BM131" s="1142" t="str">
        <f t="shared" si="291"/>
        <v/>
      </c>
      <c r="BN131" s="1143" t="str">
        <f t="shared" si="278"/>
        <v/>
      </c>
      <c r="BO131" s="1143"/>
      <c r="BP131" s="1143"/>
      <c r="BQ131" s="1129" t="str">
        <f t="shared" si="279"/>
        <v/>
      </c>
      <c r="BR131" s="1104"/>
      <c r="BS131" s="1142" t="str">
        <f t="shared" si="280"/>
        <v/>
      </c>
      <c r="BT131" s="1142" t="str">
        <f t="shared" si="281"/>
        <v/>
      </c>
      <c r="BU131" s="1132" t="str">
        <f t="shared" si="282"/>
        <v/>
      </c>
      <c r="BV131" s="1144" t="str">
        <f t="shared" si="283"/>
        <v/>
      </c>
      <c r="BW131" s="1146" t="str">
        <f t="shared" si="284"/>
        <v/>
      </c>
      <c r="BX131" s="1147" t="str">
        <f t="shared" si="285"/>
        <v/>
      </c>
      <c r="BY131" s="1147" t="str">
        <f t="shared" si="286"/>
        <v/>
      </c>
      <c r="BZ131" s="1148" t="str">
        <f t="shared" si="287"/>
        <v/>
      </c>
      <c r="CA131" s="1139" t="str">
        <f t="shared" si="292"/>
        <v/>
      </c>
    </row>
    <row r="132" spans="47:79" ht="24.95" customHeight="1">
      <c r="AU132" s="1141" t="str">
        <f t="shared" si="288"/>
        <v/>
      </c>
      <c r="AV132" s="1142" t="str">
        <f t="shared" si="269"/>
        <v/>
      </c>
      <c r="AW132" s="1142"/>
      <c r="AX132" s="1143"/>
      <c r="AY132" s="1129" t="str">
        <f t="shared" si="270"/>
        <v/>
      </c>
      <c r="AZ132" s="1104"/>
      <c r="BA132" s="1103" t="str">
        <f t="shared" si="271"/>
        <v/>
      </c>
      <c r="BB132" s="1103" t="str">
        <f t="shared" si="272"/>
        <v/>
      </c>
      <c r="BC132" s="1132" t="str">
        <f t="shared" si="273"/>
        <v/>
      </c>
      <c r="BD132" s="1144" t="str">
        <f t="shared" si="274"/>
        <v/>
      </c>
      <c r="BE132" s="1136" t="str">
        <f t="shared" si="275"/>
        <v/>
      </c>
      <c r="BF132" s="1145" t="str">
        <f t="shared" si="289"/>
        <v/>
      </c>
      <c r="BG132" s="1136" t="str">
        <f t="shared" si="276"/>
        <v/>
      </c>
      <c r="BH132" s="1145" t="str">
        <f t="shared" si="277"/>
        <v/>
      </c>
      <c r="BI132" s="1137" t="str">
        <f t="shared" si="290"/>
        <v/>
      </c>
      <c r="BM132" s="1142" t="str">
        <f t="shared" si="291"/>
        <v/>
      </c>
      <c r="BN132" s="1143" t="str">
        <f t="shared" si="278"/>
        <v/>
      </c>
      <c r="BO132" s="1143"/>
      <c r="BP132" s="1143"/>
      <c r="BQ132" s="1129" t="str">
        <f t="shared" si="279"/>
        <v/>
      </c>
      <c r="BR132" s="1104"/>
      <c r="BS132" s="1142" t="str">
        <f t="shared" si="280"/>
        <v/>
      </c>
      <c r="BT132" s="1142" t="str">
        <f t="shared" si="281"/>
        <v/>
      </c>
      <c r="BU132" s="1132" t="str">
        <f t="shared" si="282"/>
        <v/>
      </c>
      <c r="BV132" s="1144" t="str">
        <f t="shared" si="283"/>
        <v/>
      </c>
      <c r="BW132" s="1146" t="str">
        <f t="shared" si="284"/>
        <v/>
      </c>
      <c r="BX132" s="1147" t="str">
        <f t="shared" si="285"/>
        <v/>
      </c>
      <c r="BY132" s="1147" t="str">
        <f t="shared" si="286"/>
        <v/>
      </c>
      <c r="BZ132" s="1148" t="str">
        <f t="shared" si="287"/>
        <v/>
      </c>
      <c r="CA132" s="1139" t="str">
        <f t="shared" si="292"/>
        <v/>
      </c>
    </row>
    <row r="133" spans="47:79" ht="24.95" customHeight="1">
      <c r="AU133" s="1141" t="str">
        <f t="shared" si="288"/>
        <v/>
      </c>
      <c r="AV133" s="1142" t="str">
        <f t="shared" si="269"/>
        <v/>
      </c>
      <c r="AW133" s="1142"/>
      <c r="AX133" s="1143"/>
      <c r="AY133" s="1129" t="str">
        <f t="shared" si="270"/>
        <v/>
      </c>
      <c r="AZ133" s="1104"/>
      <c r="BA133" s="1103" t="str">
        <f t="shared" si="271"/>
        <v/>
      </c>
      <c r="BB133" s="1103" t="str">
        <f t="shared" si="272"/>
        <v/>
      </c>
      <c r="BC133" s="1132" t="str">
        <f t="shared" si="273"/>
        <v/>
      </c>
      <c r="BD133" s="1144" t="str">
        <f t="shared" si="274"/>
        <v/>
      </c>
      <c r="BE133" s="1136" t="str">
        <f t="shared" si="275"/>
        <v/>
      </c>
      <c r="BF133" s="1145" t="str">
        <f t="shared" si="289"/>
        <v/>
      </c>
      <c r="BG133" s="1136" t="str">
        <f t="shared" si="276"/>
        <v/>
      </c>
      <c r="BH133" s="1145" t="str">
        <f t="shared" si="277"/>
        <v/>
      </c>
      <c r="BI133" s="1137" t="str">
        <f t="shared" si="290"/>
        <v/>
      </c>
      <c r="BM133" s="1142" t="str">
        <f t="shared" si="291"/>
        <v/>
      </c>
      <c r="BN133" s="1143" t="str">
        <f t="shared" si="278"/>
        <v/>
      </c>
      <c r="BO133" s="1143"/>
      <c r="BP133" s="1143"/>
      <c r="BQ133" s="1129" t="str">
        <f t="shared" si="279"/>
        <v/>
      </c>
      <c r="BR133" s="1104"/>
      <c r="BS133" s="1142" t="str">
        <f t="shared" si="280"/>
        <v/>
      </c>
      <c r="BT133" s="1142" t="str">
        <f t="shared" si="281"/>
        <v/>
      </c>
      <c r="BU133" s="1132" t="str">
        <f t="shared" si="282"/>
        <v/>
      </c>
      <c r="BV133" s="1144" t="str">
        <f t="shared" si="283"/>
        <v/>
      </c>
      <c r="BW133" s="1146" t="str">
        <f t="shared" si="284"/>
        <v/>
      </c>
      <c r="BX133" s="1147" t="str">
        <f t="shared" si="285"/>
        <v/>
      </c>
      <c r="BY133" s="1147" t="str">
        <f t="shared" si="286"/>
        <v/>
      </c>
      <c r="BZ133" s="1148" t="str">
        <f t="shared" si="287"/>
        <v/>
      </c>
      <c r="CA133" s="1139" t="str">
        <f t="shared" si="292"/>
        <v/>
      </c>
    </row>
    <row r="134" spans="47:79" ht="24.95" customHeight="1">
      <c r="AU134" s="1141" t="str">
        <f t="shared" si="288"/>
        <v/>
      </c>
      <c r="AV134" s="1142" t="str">
        <f t="shared" si="269"/>
        <v/>
      </c>
      <c r="AW134" s="1142"/>
      <c r="AX134" s="1143"/>
      <c r="AY134" s="1129" t="str">
        <f t="shared" si="270"/>
        <v/>
      </c>
      <c r="AZ134" s="1104"/>
      <c r="BA134" s="1103" t="str">
        <f t="shared" si="271"/>
        <v/>
      </c>
      <c r="BB134" s="1103" t="str">
        <f t="shared" si="272"/>
        <v/>
      </c>
      <c r="BC134" s="1132" t="str">
        <f t="shared" si="273"/>
        <v/>
      </c>
      <c r="BD134" s="1144" t="str">
        <f t="shared" si="274"/>
        <v/>
      </c>
      <c r="BE134" s="1136" t="str">
        <f t="shared" si="275"/>
        <v/>
      </c>
      <c r="BF134" s="1145" t="str">
        <f t="shared" si="289"/>
        <v/>
      </c>
      <c r="BG134" s="1136" t="str">
        <f t="shared" si="276"/>
        <v/>
      </c>
      <c r="BH134" s="1145" t="str">
        <f t="shared" si="277"/>
        <v/>
      </c>
      <c r="BI134" s="1137" t="str">
        <f t="shared" si="290"/>
        <v/>
      </c>
      <c r="BM134" s="1142" t="str">
        <f t="shared" si="291"/>
        <v/>
      </c>
      <c r="BN134" s="1143" t="str">
        <f t="shared" si="278"/>
        <v/>
      </c>
      <c r="BO134" s="1143"/>
      <c r="BP134" s="1143"/>
      <c r="BQ134" s="1129" t="str">
        <f t="shared" si="279"/>
        <v/>
      </c>
      <c r="BR134" s="1104"/>
      <c r="BS134" s="1142" t="str">
        <f t="shared" si="280"/>
        <v/>
      </c>
      <c r="BT134" s="1142" t="str">
        <f t="shared" si="281"/>
        <v/>
      </c>
      <c r="BU134" s="1132" t="str">
        <f t="shared" si="282"/>
        <v/>
      </c>
      <c r="BV134" s="1144" t="str">
        <f t="shared" si="283"/>
        <v/>
      </c>
      <c r="BW134" s="1146" t="str">
        <f t="shared" si="284"/>
        <v/>
      </c>
      <c r="BX134" s="1147" t="str">
        <f t="shared" si="285"/>
        <v/>
      </c>
      <c r="BY134" s="1147" t="str">
        <f t="shared" si="286"/>
        <v/>
      </c>
      <c r="BZ134" s="1148" t="str">
        <f t="shared" si="287"/>
        <v/>
      </c>
      <c r="CA134" s="1139" t="str">
        <f t="shared" si="292"/>
        <v/>
      </c>
    </row>
    <row r="135" spans="47:79" ht="24.95" customHeight="1">
      <c r="AU135" s="1141" t="str">
        <f t="shared" si="288"/>
        <v/>
      </c>
      <c r="AV135" s="1142" t="str">
        <f t="shared" si="269"/>
        <v/>
      </c>
      <c r="AW135" s="1142"/>
      <c r="AX135" s="1143"/>
      <c r="AY135" s="1129" t="str">
        <f t="shared" si="270"/>
        <v/>
      </c>
      <c r="AZ135" s="1104"/>
      <c r="BA135" s="1103" t="str">
        <f t="shared" si="271"/>
        <v/>
      </c>
      <c r="BB135" s="1103" t="str">
        <f t="shared" si="272"/>
        <v/>
      </c>
      <c r="BC135" s="1132" t="str">
        <f t="shared" si="273"/>
        <v/>
      </c>
      <c r="BD135" s="1144" t="str">
        <f t="shared" si="274"/>
        <v/>
      </c>
      <c r="BE135" s="1136" t="str">
        <f t="shared" si="275"/>
        <v/>
      </c>
      <c r="BF135" s="1145" t="str">
        <f t="shared" si="289"/>
        <v/>
      </c>
      <c r="BG135" s="1136" t="str">
        <f t="shared" si="276"/>
        <v/>
      </c>
      <c r="BH135" s="1145" t="str">
        <f t="shared" si="277"/>
        <v/>
      </c>
      <c r="BI135" s="1137" t="str">
        <f t="shared" si="290"/>
        <v/>
      </c>
      <c r="BM135" s="1142" t="str">
        <f t="shared" si="291"/>
        <v/>
      </c>
      <c r="BN135" s="1143" t="str">
        <f t="shared" si="278"/>
        <v/>
      </c>
      <c r="BO135" s="1143"/>
      <c r="BP135" s="1143"/>
      <c r="BQ135" s="1129" t="str">
        <f t="shared" si="279"/>
        <v/>
      </c>
      <c r="BR135" s="1104"/>
      <c r="BS135" s="1142" t="str">
        <f t="shared" si="280"/>
        <v/>
      </c>
      <c r="BT135" s="1142" t="str">
        <f t="shared" si="281"/>
        <v/>
      </c>
      <c r="BU135" s="1132" t="str">
        <f t="shared" si="282"/>
        <v/>
      </c>
      <c r="BV135" s="1144" t="str">
        <f t="shared" si="283"/>
        <v/>
      </c>
      <c r="BW135" s="1146" t="str">
        <f t="shared" si="284"/>
        <v/>
      </c>
      <c r="BX135" s="1147" t="str">
        <f t="shared" si="285"/>
        <v/>
      </c>
      <c r="BY135" s="1147" t="str">
        <f t="shared" si="286"/>
        <v/>
      </c>
      <c r="BZ135" s="1148" t="str">
        <f t="shared" si="287"/>
        <v/>
      </c>
      <c r="CA135" s="1139" t="str">
        <f t="shared" si="292"/>
        <v/>
      </c>
    </row>
    <row r="136" spans="47:79" ht="24.95" customHeight="1">
      <c r="AU136" s="1141" t="str">
        <f t="shared" si="288"/>
        <v/>
      </c>
      <c r="AV136" s="1142" t="str">
        <f t="shared" si="269"/>
        <v/>
      </c>
      <c r="AW136" s="1142"/>
      <c r="AX136" s="1143"/>
      <c r="AY136" s="1129" t="str">
        <f t="shared" si="270"/>
        <v/>
      </c>
      <c r="AZ136" s="1104"/>
      <c r="BA136" s="1103" t="str">
        <f t="shared" si="271"/>
        <v/>
      </c>
      <c r="BB136" s="1103" t="str">
        <f t="shared" si="272"/>
        <v/>
      </c>
      <c r="BC136" s="1132" t="str">
        <f t="shared" si="273"/>
        <v/>
      </c>
      <c r="BD136" s="1144" t="str">
        <f t="shared" si="274"/>
        <v/>
      </c>
      <c r="BE136" s="1136" t="str">
        <f t="shared" si="275"/>
        <v/>
      </c>
      <c r="BF136" s="1145" t="str">
        <f t="shared" si="289"/>
        <v/>
      </c>
      <c r="BG136" s="1136" t="str">
        <f t="shared" si="276"/>
        <v/>
      </c>
      <c r="BH136" s="1145" t="str">
        <f t="shared" si="277"/>
        <v/>
      </c>
      <c r="BI136" s="1137" t="str">
        <f t="shared" si="290"/>
        <v/>
      </c>
      <c r="BM136" s="1142" t="str">
        <f t="shared" si="291"/>
        <v/>
      </c>
      <c r="BN136" s="1143" t="str">
        <f t="shared" si="278"/>
        <v/>
      </c>
      <c r="BO136" s="1143"/>
      <c r="BP136" s="1143"/>
      <c r="BQ136" s="1129" t="str">
        <f t="shared" si="279"/>
        <v/>
      </c>
      <c r="BR136" s="1104"/>
      <c r="BS136" s="1142" t="str">
        <f t="shared" si="280"/>
        <v/>
      </c>
      <c r="BT136" s="1142" t="str">
        <f t="shared" si="281"/>
        <v/>
      </c>
      <c r="BU136" s="1132" t="str">
        <f t="shared" si="282"/>
        <v/>
      </c>
      <c r="BV136" s="1144" t="str">
        <f t="shared" si="283"/>
        <v/>
      </c>
      <c r="BW136" s="1146" t="str">
        <f t="shared" si="284"/>
        <v/>
      </c>
      <c r="BX136" s="1147" t="str">
        <f t="shared" si="285"/>
        <v/>
      </c>
      <c r="BY136" s="1147" t="str">
        <f t="shared" si="286"/>
        <v/>
      </c>
      <c r="BZ136" s="1148" t="str">
        <f t="shared" si="287"/>
        <v/>
      </c>
      <c r="CA136" s="1139" t="str">
        <f t="shared" si="292"/>
        <v/>
      </c>
    </row>
    <row r="137" spans="47:79" ht="24.95" customHeight="1">
      <c r="AU137" s="1141" t="str">
        <f t="shared" si="288"/>
        <v/>
      </c>
      <c r="AV137" s="1142" t="str">
        <f t="shared" si="269"/>
        <v/>
      </c>
      <c r="AW137" s="1142"/>
      <c r="AX137" s="1143"/>
      <c r="AY137" s="1129" t="str">
        <f t="shared" si="270"/>
        <v/>
      </c>
      <c r="AZ137" s="1104"/>
      <c r="BA137" s="1103" t="str">
        <f t="shared" si="271"/>
        <v/>
      </c>
      <c r="BB137" s="1103" t="str">
        <f t="shared" si="272"/>
        <v/>
      </c>
      <c r="BC137" s="1132" t="str">
        <f t="shared" si="273"/>
        <v/>
      </c>
      <c r="BD137" s="1144" t="str">
        <f t="shared" si="274"/>
        <v/>
      </c>
      <c r="BE137" s="1136" t="str">
        <f t="shared" si="275"/>
        <v/>
      </c>
      <c r="BF137" s="1145" t="str">
        <f t="shared" si="289"/>
        <v/>
      </c>
      <c r="BG137" s="1136" t="str">
        <f t="shared" si="276"/>
        <v/>
      </c>
      <c r="BH137" s="1145" t="str">
        <f t="shared" si="277"/>
        <v/>
      </c>
      <c r="BI137" s="1137" t="str">
        <f t="shared" si="290"/>
        <v/>
      </c>
      <c r="BM137" s="1142" t="str">
        <f t="shared" si="291"/>
        <v/>
      </c>
      <c r="BN137" s="1143" t="str">
        <f t="shared" si="278"/>
        <v/>
      </c>
      <c r="BO137" s="1143"/>
      <c r="BP137" s="1143"/>
      <c r="BQ137" s="1129" t="str">
        <f t="shared" si="279"/>
        <v/>
      </c>
      <c r="BR137" s="1104"/>
      <c r="BS137" s="1142" t="str">
        <f t="shared" si="280"/>
        <v/>
      </c>
      <c r="BT137" s="1142" t="str">
        <f t="shared" si="281"/>
        <v/>
      </c>
      <c r="BU137" s="1132" t="str">
        <f t="shared" si="282"/>
        <v/>
      </c>
      <c r="BV137" s="1144" t="str">
        <f t="shared" si="283"/>
        <v/>
      </c>
      <c r="BW137" s="1146" t="str">
        <f t="shared" si="284"/>
        <v/>
      </c>
      <c r="BX137" s="1147" t="str">
        <f t="shared" si="285"/>
        <v/>
      </c>
      <c r="BY137" s="1147" t="str">
        <f t="shared" si="286"/>
        <v/>
      </c>
      <c r="BZ137" s="1148" t="str">
        <f t="shared" si="287"/>
        <v/>
      </c>
      <c r="CA137" s="1139" t="str">
        <f t="shared" si="292"/>
        <v/>
      </c>
    </row>
    <row r="138" spans="47:79" ht="24.95" customHeight="1">
      <c r="AU138" s="1141" t="str">
        <f t="shared" si="288"/>
        <v/>
      </c>
      <c r="AV138" s="1142" t="str">
        <f t="shared" si="269"/>
        <v/>
      </c>
      <c r="AW138" s="1142"/>
      <c r="AX138" s="1143"/>
      <c r="AY138" s="1129" t="str">
        <f t="shared" si="270"/>
        <v/>
      </c>
      <c r="AZ138" s="1104"/>
      <c r="BA138" s="1103" t="str">
        <f t="shared" si="271"/>
        <v/>
      </c>
      <c r="BB138" s="1103" t="str">
        <f t="shared" si="272"/>
        <v/>
      </c>
      <c r="BC138" s="1132" t="str">
        <f t="shared" si="273"/>
        <v/>
      </c>
      <c r="BD138" s="1144" t="str">
        <f t="shared" si="274"/>
        <v/>
      </c>
      <c r="BE138" s="1136" t="str">
        <f t="shared" si="275"/>
        <v/>
      </c>
      <c r="BF138" s="1145" t="str">
        <f t="shared" si="289"/>
        <v/>
      </c>
      <c r="BG138" s="1136" t="str">
        <f t="shared" si="276"/>
        <v/>
      </c>
      <c r="BH138" s="1145" t="str">
        <f t="shared" si="277"/>
        <v/>
      </c>
      <c r="BI138" s="1137" t="str">
        <f t="shared" si="290"/>
        <v/>
      </c>
      <c r="BM138" s="1142" t="str">
        <f t="shared" si="291"/>
        <v/>
      </c>
      <c r="BN138" s="1143" t="str">
        <f t="shared" si="278"/>
        <v/>
      </c>
      <c r="BO138" s="1143"/>
      <c r="BP138" s="1143"/>
      <c r="BQ138" s="1129" t="str">
        <f t="shared" si="279"/>
        <v/>
      </c>
      <c r="BR138" s="1104"/>
      <c r="BS138" s="1142" t="str">
        <f t="shared" si="280"/>
        <v/>
      </c>
      <c r="BT138" s="1142" t="str">
        <f t="shared" si="281"/>
        <v/>
      </c>
      <c r="BU138" s="1132" t="str">
        <f t="shared" si="282"/>
        <v/>
      </c>
      <c r="BV138" s="1144" t="str">
        <f t="shared" si="283"/>
        <v/>
      </c>
      <c r="BW138" s="1146" t="str">
        <f t="shared" si="284"/>
        <v/>
      </c>
      <c r="BX138" s="1147" t="str">
        <f t="shared" si="285"/>
        <v/>
      </c>
      <c r="BY138" s="1147" t="str">
        <f t="shared" si="286"/>
        <v/>
      </c>
      <c r="BZ138" s="1148" t="str">
        <f t="shared" si="287"/>
        <v/>
      </c>
      <c r="CA138" s="1139" t="str">
        <f t="shared" si="292"/>
        <v/>
      </c>
    </row>
    <row r="139" spans="47:79" ht="24.95" hidden="1" customHeight="1">
      <c r="AU139" s="1141" t="str">
        <f t="shared" si="288"/>
        <v/>
      </c>
      <c r="AV139" s="1142" t="str">
        <f t="shared" si="269"/>
        <v/>
      </c>
      <c r="AW139" s="1142"/>
      <c r="AX139" s="1143"/>
      <c r="AY139" s="1129" t="str">
        <f t="shared" si="270"/>
        <v/>
      </c>
      <c r="AZ139" s="1104"/>
      <c r="BA139" s="1103" t="str">
        <f t="shared" si="271"/>
        <v/>
      </c>
      <c r="BB139" s="1103" t="str">
        <f t="shared" si="272"/>
        <v/>
      </c>
      <c r="BC139" s="1132" t="str">
        <f t="shared" si="273"/>
        <v/>
      </c>
      <c r="BD139" s="1144" t="str">
        <f t="shared" si="274"/>
        <v/>
      </c>
      <c r="BE139" s="1136" t="str">
        <f t="shared" si="275"/>
        <v/>
      </c>
      <c r="BF139" s="1145" t="str">
        <f t="shared" si="289"/>
        <v/>
      </c>
      <c r="BG139" s="1136" t="str">
        <f t="shared" si="276"/>
        <v/>
      </c>
      <c r="BH139" s="1145" t="str">
        <f t="shared" si="277"/>
        <v/>
      </c>
      <c r="BI139" s="1137" t="str">
        <f t="shared" si="290"/>
        <v/>
      </c>
      <c r="BM139" s="1142" t="str">
        <f t="shared" si="291"/>
        <v/>
      </c>
      <c r="BN139" s="1143" t="str">
        <f t="shared" si="278"/>
        <v/>
      </c>
      <c r="BO139" s="1143"/>
      <c r="BP139" s="1143"/>
      <c r="BQ139" s="1129" t="str">
        <f t="shared" si="279"/>
        <v/>
      </c>
      <c r="BR139" s="1104"/>
      <c r="BS139" s="1142" t="str">
        <f t="shared" si="280"/>
        <v/>
      </c>
      <c r="BT139" s="1142" t="str">
        <f t="shared" si="281"/>
        <v/>
      </c>
      <c r="BU139" s="1132" t="str">
        <f t="shared" si="282"/>
        <v/>
      </c>
      <c r="BV139" s="1144" t="str">
        <f t="shared" si="283"/>
        <v/>
      </c>
      <c r="BW139" s="1146" t="str">
        <f t="shared" si="284"/>
        <v/>
      </c>
      <c r="BX139" s="1147" t="str">
        <f t="shared" si="285"/>
        <v/>
      </c>
      <c r="BY139" s="1147" t="str">
        <f t="shared" si="286"/>
        <v/>
      </c>
      <c r="BZ139" s="1148" t="str">
        <f t="shared" si="287"/>
        <v/>
      </c>
      <c r="CA139" s="1139" t="str">
        <f t="shared" si="292"/>
        <v/>
      </c>
    </row>
    <row r="140" spans="47:79" ht="24.95" hidden="1" customHeight="1">
      <c r="AU140" s="1141" t="str">
        <f t="shared" si="288"/>
        <v/>
      </c>
      <c r="AV140" s="1141" t="str">
        <f t="shared" si="269"/>
        <v/>
      </c>
      <c r="AW140" s="1141"/>
      <c r="AX140" s="1149"/>
      <c r="AY140" s="1129" t="str">
        <f t="shared" si="270"/>
        <v/>
      </c>
      <c r="AZ140" s="1150"/>
      <c r="BA140" s="1102" t="str">
        <f t="shared" si="271"/>
        <v/>
      </c>
      <c r="BB140" s="1102" t="str">
        <f t="shared" si="272"/>
        <v/>
      </c>
      <c r="BC140" s="1132" t="str">
        <f t="shared" si="273"/>
        <v/>
      </c>
      <c r="BD140" s="1151" t="str">
        <f t="shared" si="274"/>
        <v/>
      </c>
      <c r="BE140" s="1152" t="str">
        <f t="shared" si="275"/>
        <v/>
      </c>
      <c r="BF140" s="1153" t="str">
        <f t="shared" si="289"/>
        <v/>
      </c>
      <c r="BG140" s="1152" t="str">
        <f t="shared" si="276"/>
        <v/>
      </c>
      <c r="BH140" s="1153" t="str">
        <f t="shared" si="277"/>
        <v/>
      </c>
      <c r="BI140" s="1137" t="str">
        <f t="shared" si="290"/>
        <v/>
      </c>
      <c r="BM140" s="1142" t="str">
        <f t="shared" si="291"/>
        <v/>
      </c>
      <c r="BN140" s="1143" t="str">
        <f t="shared" si="278"/>
        <v/>
      </c>
      <c r="BO140" s="1143"/>
      <c r="BP140" s="1143"/>
      <c r="BQ140" s="1129" t="str">
        <f t="shared" si="279"/>
        <v/>
      </c>
      <c r="BR140" s="1104"/>
      <c r="BS140" s="1142" t="str">
        <f t="shared" si="280"/>
        <v/>
      </c>
      <c r="BT140" s="1142" t="str">
        <f t="shared" si="281"/>
        <v/>
      </c>
      <c r="BU140" s="1132" t="str">
        <f t="shared" si="282"/>
        <v/>
      </c>
      <c r="BV140" s="1144" t="str">
        <f t="shared" si="283"/>
        <v/>
      </c>
      <c r="BW140" s="1146" t="str">
        <f t="shared" si="284"/>
        <v/>
      </c>
      <c r="BX140" s="1147" t="str">
        <f t="shared" si="285"/>
        <v/>
      </c>
      <c r="BY140" s="1147" t="str">
        <f t="shared" si="286"/>
        <v/>
      </c>
      <c r="BZ140" s="1148" t="str">
        <f t="shared" si="287"/>
        <v/>
      </c>
      <c r="CA140" s="1139" t="str">
        <f t="shared" si="292"/>
        <v/>
      </c>
    </row>
    <row r="141" spans="47:79" ht="24.95" hidden="1" customHeight="1">
      <c r="AU141" s="1141" t="str">
        <f t="shared" si="288"/>
        <v/>
      </c>
      <c r="AV141" s="1141" t="str">
        <f t="shared" si="269"/>
        <v/>
      </c>
      <c r="AW141" s="1141"/>
      <c r="AX141" s="1149"/>
      <c r="AY141" s="1129" t="str">
        <f t="shared" si="270"/>
        <v/>
      </c>
      <c r="AZ141" s="1150"/>
      <c r="BA141" s="1102" t="str">
        <f t="shared" si="271"/>
        <v/>
      </c>
      <c r="BB141" s="1102" t="str">
        <f t="shared" si="272"/>
        <v/>
      </c>
      <c r="BC141" s="1132" t="str">
        <f t="shared" si="273"/>
        <v/>
      </c>
      <c r="BD141" s="1151" t="str">
        <f t="shared" si="274"/>
        <v/>
      </c>
      <c r="BE141" s="1152" t="str">
        <f t="shared" si="275"/>
        <v/>
      </c>
      <c r="BF141" s="1153" t="str">
        <f t="shared" si="289"/>
        <v/>
      </c>
      <c r="BG141" s="1152" t="str">
        <f t="shared" si="276"/>
        <v/>
      </c>
      <c r="BH141" s="1153" t="str">
        <f t="shared" si="277"/>
        <v/>
      </c>
      <c r="BI141" s="1137" t="str">
        <f t="shared" si="290"/>
        <v/>
      </c>
      <c r="BM141" s="1142" t="str">
        <f t="shared" si="291"/>
        <v/>
      </c>
      <c r="BN141" s="1143" t="str">
        <f t="shared" si="278"/>
        <v/>
      </c>
      <c r="BO141" s="1143"/>
      <c r="BP141" s="1143"/>
      <c r="BQ141" s="1129" t="str">
        <f t="shared" si="279"/>
        <v/>
      </c>
      <c r="BR141" s="1104"/>
      <c r="BS141" s="1142" t="str">
        <f t="shared" si="280"/>
        <v/>
      </c>
      <c r="BT141" s="1142" t="str">
        <f t="shared" si="281"/>
        <v/>
      </c>
      <c r="BU141" s="1132" t="str">
        <f t="shared" si="282"/>
        <v/>
      </c>
      <c r="BV141" s="1144" t="str">
        <f t="shared" si="283"/>
        <v/>
      </c>
      <c r="BW141" s="1146" t="str">
        <f t="shared" si="284"/>
        <v/>
      </c>
      <c r="BX141" s="1147" t="str">
        <f t="shared" si="285"/>
        <v/>
      </c>
      <c r="BY141" s="1147" t="str">
        <f t="shared" si="286"/>
        <v/>
      </c>
      <c r="BZ141" s="1148" t="str">
        <f t="shared" si="287"/>
        <v/>
      </c>
      <c r="CA141" s="1139" t="str">
        <f t="shared" si="292"/>
        <v/>
      </c>
    </row>
    <row r="142" spans="47:79" ht="24.95" hidden="1" customHeight="1">
      <c r="AU142" s="1141" t="str">
        <f t="shared" si="288"/>
        <v/>
      </c>
      <c r="AV142" s="1141" t="str">
        <f t="shared" si="269"/>
        <v/>
      </c>
      <c r="AW142" s="1141"/>
      <c r="AX142" s="1149"/>
      <c r="AY142" s="1129" t="str">
        <f t="shared" si="270"/>
        <v/>
      </c>
      <c r="AZ142" s="1150"/>
      <c r="BA142" s="1102" t="str">
        <f t="shared" si="271"/>
        <v/>
      </c>
      <c r="BB142" s="1102" t="str">
        <f t="shared" si="272"/>
        <v/>
      </c>
      <c r="BC142" s="1132" t="str">
        <f t="shared" si="273"/>
        <v/>
      </c>
      <c r="BD142" s="1151" t="str">
        <f t="shared" si="274"/>
        <v/>
      </c>
      <c r="BE142" s="1152" t="str">
        <f t="shared" si="275"/>
        <v/>
      </c>
      <c r="BF142" s="1153" t="str">
        <f t="shared" si="289"/>
        <v/>
      </c>
      <c r="BG142" s="1152" t="str">
        <f t="shared" si="276"/>
        <v/>
      </c>
      <c r="BH142" s="1153" t="str">
        <f t="shared" si="277"/>
        <v/>
      </c>
      <c r="BI142" s="1137" t="str">
        <f t="shared" si="290"/>
        <v/>
      </c>
      <c r="BM142" s="1142" t="str">
        <f t="shared" si="291"/>
        <v/>
      </c>
      <c r="BN142" s="1143" t="str">
        <f t="shared" si="278"/>
        <v/>
      </c>
      <c r="BO142" s="1143"/>
      <c r="BP142" s="1143"/>
      <c r="BQ142" s="1129" t="str">
        <f t="shared" si="279"/>
        <v/>
      </c>
      <c r="BR142" s="1104"/>
      <c r="BS142" s="1142" t="str">
        <f t="shared" si="280"/>
        <v/>
      </c>
      <c r="BT142" s="1142" t="str">
        <f t="shared" si="281"/>
        <v/>
      </c>
      <c r="BU142" s="1132" t="str">
        <f t="shared" si="282"/>
        <v/>
      </c>
      <c r="BV142" s="1144" t="str">
        <f t="shared" si="283"/>
        <v/>
      </c>
      <c r="BW142" s="1146" t="str">
        <f t="shared" si="284"/>
        <v/>
      </c>
      <c r="BX142" s="1147" t="str">
        <f t="shared" si="285"/>
        <v/>
      </c>
      <c r="BY142" s="1147" t="str">
        <f t="shared" si="286"/>
        <v/>
      </c>
      <c r="BZ142" s="1148" t="str">
        <f t="shared" si="287"/>
        <v/>
      </c>
      <c r="CA142" s="1139" t="str">
        <f t="shared" si="292"/>
        <v/>
      </c>
    </row>
    <row r="143" spans="47:79" ht="24.95" hidden="1" customHeight="1">
      <c r="AU143" s="1141" t="str">
        <f t="shared" si="288"/>
        <v/>
      </c>
      <c r="AV143" s="1141" t="str">
        <f t="shared" si="269"/>
        <v/>
      </c>
      <c r="AW143" s="1141"/>
      <c r="AX143" s="1149"/>
      <c r="AY143" s="1129" t="str">
        <f t="shared" si="270"/>
        <v/>
      </c>
      <c r="AZ143" s="1150"/>
      <c r="BA143" s="1102" t="str">
        <f t="shared" si="271"/>
        <v/>
      </c>
      <c r="BB143" s="1102" t="str">
        <f t="shared" si="272"/>
        <v/>
      </c>
      <c r="BC143" s="1132" t="str">
        <f t="shared" si="273"/>
        <v/>
      </c>
      <c r="BD143" s="1151" t="str">
        <f t="shared" si="274"/>
        <v/>
      </c>
      <c r="BE143" s="1152" t="str">
        <f t="shared" si="275"/>
        <v/>
      </c>
      <c r="BF143" s="1153" t="str">
        <f t="shared" si="289"/>
        <v/>
      </c>
      <c r="BG143" s="1152" t="str">
        <f t="shared" si="276"/>
        <v/>
      </c>
      <c r="BH143" s="1153" t="str">
        <f t="shared" si="277"/>
        <v/>
      </c>
      <c r="BI143" s="1137" t="str">
        <f t="shared" si="290"/>
        <v/>
      </c>
      <c r="BM143" s="1142" t="str">
        <f t="shared" si="291"/>
        <v/>
      </c>
      <c r="BN143" s="1143" t="str">
        <f t="shared" si="278"/>
        <v/>
      </c>
      <c r="BO143" s="1143"/>
      <c r="BP143" s="1143"/>
      <c r="BQ143" s="1129" t="str">
        <f t="shared" si="279"/>
        <v/>
      </c>
      <c r="BR143" s="1104"/>
      <c r="BS143" s="1142" t="str">
        <f t="shared" si="280"/>
        <v/>
      </c>
      <c r="BT143" s="1142" t="str">
        <f t="shared" si="281"/>
        <v/>
      </c>
      <c r="BU143" s="1132" t="str">
        <f t="shared" si="282"/>
        <v/>
      </c>
      <c r="BV143" s="1144" t="str">
        <f t="shared" si="283"/>
        <v/>
      </c>
      <c r="BW143" s="1146" t="str">
        <f t="shared" si="284"/>
        <v/>
      </c>
      <c r="BX143" s="1147" t="str">
        <f t="shared" si="285"/>
        <v/>
      </c>
      <c r="BY143" s="1147" t="str">
        <f t="shared" si="286"/>
        <v/>
      </c>
      <c r="BZ143" s="1148" t="str">
        <f t="shared" si="287"/>
        <v/>
      </c>
      <c r="CA143" s="1139" t="str">
        <f t="shared" si="292"/>
        <v/>
      </c>
    </row>
    <row r="144" spans="47:79" ht="24.95" hidden="1" customHeight="1">
      <c r="AU144" s="1141" t="str">
        <f t="shared" si="288"/>
        <v/>
      </c>
      <c r="AV144" s="1141" t="str">
        <f t="shared" si="269"/>
        <v/>
      </c>
      <c r="AW144" s="1141"/>
      <c r="AX144" s="1149"/>
      <c r="AY144" s="1129" t="str">
        <f t="shared" si="270"/>
        <v/>
      </c>
      <c r="AZ144" s="1150"/>
      <c r="BA144" s="1102" t="str">
        <f t="shared" si="271"/>
        <v/>
      </c>
      <c r="BB144" s="1102" t="str">
        <f t="shared" si="272"/>
        <v/>
      </c>
      <c r="BC144" s="1132" t="str">
        <f t="shared" si="273"/>
        <v/>
      </c>
      <c r="BD144" s="1151" t="str">
        <f t="shared" si="274"/>
        <v/>
      </c>
      <c r="BE144" s="1152" t="str">
        <f t="shared" si="275"/>
        <v/>
      </c>
      <c r="BF144" s="1153" t="str">
        <f t="shared" si="289"/>
        <v/>
      </c>
      <c r="BG144" s="1152" t="str">
        <f t="shared" si="276"/>
        <v/>
      </c>
      <c r="BH144" s="1153" t="str">
        <f t="shared" si="277"/>
        <v/>
      </c>
      <c r="BI144" s="1137" t="str">
        <f t="shared" si="290"/>
        <v/>
      </c>
      <c r="BM144" s="1142" t="str">
        <f t="shared" si="291"/>
        <v/>
      </c>
      <c r="BN144" s="1143" t="str">
        <f t="shared" si="278"/>
        <v/>
      </c>
      <c r="BO144" s="1143"/>
      <c r="BP144" s="1143"/>
      <c r="BQ144" s="1129" t="str">
        <f t="shared" si="279"/>
        <v/>
      </c>
      <c r="BR144" s="1104"/>
      <c r="BS144" s="1142" t="str">
        <f t="shared" si="280"/>
        <v/>
      </c>
      <c r="BT144" s="1142" t="str">
        <f t="shared" si="281"/>
        <v/>
      </c>
      <c r="BU144" s="1132" t="str">
        <f t="shared" si="282"/>
        <v/>
      </c>
      <c r="BV144" s="1144" t="str">
        <f t="shared" si="283"/>
        <v/>
      </c>
      <c r="BW144" s="1146" t="str">
        <f t="shared" si="284"/>
        <v/>
      </c>
      <c r="BX144" s="1147" t="str">
        <f t="shared" si="285"/>
        <v/>
      </c>
      <c r="BY144" s="1147" t="str">
        <f t="shared" si="286"/>
        <v/>
      </c>
      <c r="BZ144" s="1148" t="str">
        <f t="shared" si="287"/>
        <v/>
      </c>
      <c r="CA144" s="1139" t="str">
        <f t="shared" si="292"/>
        <v/>
      </c>
    </row>
    <row r="145" spans="47:79" ht="24.95" hidden="1" customHeight="1">
      <c r="AU145" s="1141" t="str">
        <f t="shared" si="288"/>
        <v/>
      </c>
      <c r="AV145" s="1141" t="str">
        <f t="shared" si="269"/>
        <v/>
      </c>
      <c r="AW145" s="1141"/>
      <c r="AX145" s="1149"/>
      <c r="AY145" s="1129" t="str">
        <f t="shared" si="270"/>
        <v/>
      </c>
      <c r="AZ145" s="1150"/>
      <c r="BA145" s="1102" t="str">
        <f t="shared" si="271"/>
        <v/>
      </c>
      <c r="BB145" s="1102" t="str">
        <f t="shared" si="272"/>
        <v/>
      </c>
      <c r="BC145" s="1132" t="str">
        <f t="shared" si="273"/>
        <v/>
      </c>
      <c r="BD145" s="1151" t="str">
        <f t="shared" si="274"/>
        <v/>
      </c>
      <c r="BE145" s="1152" t="str">
        <f t="shared" si="275"/>
        <v/>
      </c>
      <c r="BF145" s="1153" t="str">
        <f t="shared" si="289"/>
        <v/>
      </c>
      <c r="BG145" s="1152" t="str">
        <f t="shared" si="276"/>
        <v/>
      </c>
      <c r="BH145" s="1153" t="str">
        <f t="shared" si="277"/>
        <v/>
      </c>
      <c r="BI145" s="1137" t="str">
        <f t="shared" si="290"/>
        <v/>
      </c>
      <c r="BM145" s="1142" t="str">
        <f t="shared" si="291"/>
        <v/>
      </c>
      <c r="BN145" s="1143" t="str">
        <f t="shared" si="278"/>
        <v/>
      </c>
      <c r="BO145" s="1143"/>
      <c r="BP145" s="1143"/>
      <c r="BQ145" s="1129" t="str">
        <f t="shared" si="279"/>
        <v/>
      </c>
      <c r="BR145" s="1104"/>
      <c r="BS145" s="1142" t="str">
        <f t="shared" si="280"/>
        <v/>
      </c>
      <c r="BT145" s="1142" t="str">
        <f t="shared" si="281"/>
        <v/>
      </c>
      <c r="BU145" s="1132" t="str">
        <f t="shared" si="282"/>
        <v/>
      </c>
      <c r="BV145" s="1144" t="str">
        <f t="shared" si="283"/>
        <v/>
      </c>
      <c r="BW145" s="1146" t="str">
        <f t="shared" si="284"/>
        <v/>
      </c>
      <c r="BX145" s="1147" t="str">
        <f t="shared" si="285"/>
        <v/>
      </c>
      <c r="BY145" s="1147" t="str">
        <f t="shared" si="286"/>
        <v/>
      </c>
      <c r="BZ145" s="1148" t="str">
        <f t="shared" si="287"/>
        <v/>
      </c>
      <c r="CA145" s="1139" t="str">
        <f t="shared" si="292"/>
        <v/>
      </c>
    </row>
    <row r="146" spans="47:79" ht="24.95" hidden="1" customHeight="1">
      <c r="AU146" s="1141" t="str">
        <f t="shared" si="288"/>
        <v/>
      </c>
      <c r="AV146" s="1141" t="str">
        <f t="shared" si="269"/>
        <v/>
      </c>
      <c r="AW146" s="1141"/>
      <c r="AX146" s="1149"/>
      <c r="AY146" s="1129" t="str">
        <f t="shared" si="270"/>
        <v/>
      </c>
      <c r="AZ146" s="1150"/>
      <c r="BA146" s="1102" t="str">
        <f t="shared" si="271"/>
        <v/>
      </c>
      <c r="BB146" s="1102" t="str">
        <f t="shared" si="272"/>
        <v/>
      </c>
      <c r="BC146" s="1132" t="str">
        <f t="shared" si="273"/>
        <v/>
      </c>
      <c r="BD146" s="1151" t="str">
        <f t="shared" si="274"/>
        <v/>
      </c>
      <c r="BE146" s="1152" t="str">
        <f t="shared" si="275"/>
        <v/>
      </c>
      <c r="BF146" s="1153" t="str">
        <f t="shared" si="289"/>
        <v/>
      </c>
      <c r="BG146" s="1152" t="str">
        <f t="shared" si="276"/>
        <v/>
      </c>
      <c r="BH146" s="1153" t="str">
        <f t="shared" si="277"/>
        <v/>
      </c>
      <c r="BI146" s="1137" t="str">
        <f t="shared" si="290"/>
        <v/>
      </c>
      <c r="BM146" s="1142" t="str">
        <f t="shared" si="291"/>
        <v/>
      </c>
      <c r="BN146" s="1143" t="str">
        <f t="shared" si="278"/>
        <v/>
      </c>
      <c r="BO146" s="1143"/>
      <c r="BP146" s="1143"/>
      <c r="BQ146" s="1129" t="str">
        <f t="shared" si="279"/>
        <v/>
      </c>
      <c r="BR146" s="1104"/>
      <c r="BS146" s="1142" t="str">
        <f t="shared" si="280"/>
        <v/>
      </c>
      <c r="BT146" s="1142" t="str">
        <f t="shared" si="281"/>
        <v/>
      </c>
      <c r="BU146" s="1132" t="str">
        <f t="shared" si="282"/>
        <v/>
      </c>
      <c r="BV146" s="1144" t="str">
        <f t="shared" si="283"/>
        <v/>
      </c>
      <c r="BW146" s="1146" t="str">
        <f t="shared" si="284"/>
        <v/>
      </c>
      <c r="BX146" s="1147" t="str">
        <f t="shared" si="285"/>
        <v/>
      </c>
      <c r="BY146" s="1147" t="str">
        <f t="shared" si="286"/>
        <v/>
      </c>
      <c r="BZ146" s="1148" t="str">
        <f t="shared" si="287"/>
        <v/>
      </c>
      <c r="CA146" s="1139" t="str">
        <f t="shared" si="292"/>
        <v/>
      </c>
    </row>
    <row r="147" spans="47:79" ht="24.95" hidden="1" customHeight="1">
      <c r="AU147" s="1141" t="str">
        <f t="shared" si="288"/>
        <v/>
      </c>
      <c r="AV147" s="1141" t="str">
        <f t="shared" si="269"/>
        <v/>
      </c>
      <c r="AW147" s="1141"/>
      <c r="AX147" s="1149"/>
      <c r="AY147" s="1129" t="str">
        <f t="shared" si="270"/>
        <v/>
      </c>
      <c r="AZ147" s="1150"/>
      <c r="BA147" s="1102" t="str">
        <f t="shared" si="271"/>
        <v/>
      </c>
      <c r="BB147" s="1102" t="str">
        <f t="shared" si="272"/>
        <v/>
      </c>
      <c r="BC147" s="1132" t="str">
        <f t="shared" si="273"/>
        <v/>
      </c>
      <c r="BD147" s="1151" t="str">
        <f t="shared" si="274"/>
        <v/>
      </c>
      <c r="BE147" s="1152" t="str">
        <f t="shared" si="275"/>
        <v/>
      </c>
      <c r="BF147" s="1153" t="str">
        <f t="shared" si="289"/>
        <v/>
      </c>
      <c r="BG147" s="1152" t="str">
        <f t="shared" si="276"/>
        <v/>
      </c>
      <c r="BH147" s="1153" t="str">
        <f t="shared" si="277"/>
        <v/>
      </c>
      <c r="BI147" s="1137" t="str">
        <f t="shared" si="290"/>
        <v/>
      </c>
      <c r="BM147" s="1142" t="str">
        <f t="shared" si="291"/>
        <v/>
      </c>
      <c r="BN147" s="1143" t="str">
        <f t="shared" si="278"/>
        <v/>
      </c>
      <c r="BO147" s="1143"/>
      <c r="BP147" s="1143"/>
      <c r="BQ147" s="1129" t="str">
        <f t="shared" si="279"/>
        <v/>
      </c>
      <c r="BR147" s="1104"/>
      <c r="BS147" s="1142" t="str">
        <f t="shared" si="280"/>
        <v/>
      </c>
      <c r="BT147" s="1142" t="str">
        <f t="shared" si="281"/>
        <v/>
      </c>
      <c r="BU147" s="1132" t="str">
        <f t="shared" si="282"/>
        <v/>
      </c>
      <c r="BV147" s="1144" t="str">
        <f t="shared" si="283"/>
        <v/>
      </c>
      <c r="BW147" s="1146" t="str">
        <f t="shared" si="284"/>
        <v/>
      </c>
      <c r="BX147" s="1147" t="str">
        <f t="shared" si="285"/>
        <v/>
      </c>
      <c r="BY147" s="1147" t="str">
        <f t="shared" si="286"/>
        <v/>
      </c>
      <c r="BZ147" s="1148" t="str">
        <f t="shared" si="287"/>
        <v/>
      </c>
      <c r="CA147" s="1139" t="str">
        <f t="shared" si="292"/>
        <v/>
      </c>
    </row>
    <row r="148" spans="47:79" ht="24.95" hidden="1" customHeight="1">
      <c r="AU148" s="1141" t="str">
        <f t="shared" si="288"/>
        <v/>
      </c>
      <c r="AV148" s="1141" t="str">
        <f t="shared" si="269"/>
        <v/>
      </c>
      <c r="AW148" s="1141"/>
      <c r="AX148" s="1149"/>
      <c r="AY148" s="1129" t="str">
        <f t="shared" si="270"/>
        <v/>
      </c>
      <c r="AZ148" s="1150"/>
      <c r="BA148" s="1102" t="str">
        <f t="shared" si="271"/>
        <v/>
      </c>
      <c r="BB148" s="1102" t="str">
        <f t="shared" si="272"/>
        <v/>
      </c>
      <c r="BC148" s="1132" t="str">
        <f t="shared" si="273"/>
        <v/>
      </c>
      <c r="BD148" s="1151" t="str">
        <f t="shared" si="274"/>
        <v/>
      </c>
      <c r="BE148" s="1152" t="str">
        <f t="shared" si="275"/>
        <v/>
      </c>
      <c r="BF148" s="1153" t="str">
        <f t="shared" si="289"/>
        <v/>
      </c>
      <c r="BG148" s="1152" t="str">
        <f t="shared" si="276"/>
        <v/>
      </c>
      <c r="BH148" s="1153" t="str">
        <f t="shared" si="277"/>
        <v/>
      </c>
      <c r="BI148" s="1137" t="str">
        <f t="shared" si="290"/>
        <v/>
      </c>
      <c r="BM148" s="1142" t="str">
        <f t="shared" si="291"/>
        <v/>
      </c>
      <c r="BN148" s="1143" t="str">
        <f t="shared" si="278"/>
        <v/>
      </c>
      <c r="BO148" s="1143"/>
      <c r="BP148" s="1143"/>
      <c r="BQ148" s="1129" t="str">
        <f t="shared" si="279"/>
        <v/>
      </c>
      <c r="BR148" s="1104"/>
      <c r="BS148" s="1142" t="str">
        <f t="shared" si="280"/>
        <v/>
      </c>
      <c r="BT148" s="1142" t="str">
        <f t="shared" si="281"/>
        <v/>
      </c>
      <c r="BU148" s="1132" t="str">
        <f t="shared" si="282"/>
        <v/>
      </c>
      <c r="BV148" s="1144" t="str">
        <f t="shared" si="283"/>
        <v/>
      </c>
      <c r="BW148" s="1146" t="str">
        <f t="shared" si="284"/>
        <v/>
      </c>
      <c r="BX148" s="1147" t="str">
        <f t="shared" si="285"/>
        <v/>
      </c>
      <c r="BY148" s="1147" t="str">
        <f t="shared" si="286"/>
        <v/>
      </c>
      <c r="BZ148" s="1148" t="str">
        <f t="shared" si="287"/>
        <v/>
      </c>
      <c r="CA148" s="1139" t="str">
        <f t="shared" si="292"/>
        <v/>
      </c>
    </row>
    <row r="149" spans="47:79" ht="24.95" hidden="1" customHeight="1">
      <c r="AU149" s="1141" t="str">
        <f t="shared" si="288"/>
        <v/>
      </c>
      <c r="AV149" s="1141" t="str">
        <f t="shared" si="269"/>
        <v/>
      </c>
      <c r="AW149" s="1141"/>
      <c r="AX149" s="1149"/>
      <c r="AY149" s="1129" t="str">
        <f t="shared" si="270"/>
        <v/>
      </c>
      <c r="AZ149" s="1150"/>
      <c r="BA149" s="1102" t="str">
        <f t="shared" si="271"/>
        <v/>
      </c>
      <c r="BB149" s="1102" t="str">
        <f t="shared" si="272"/>
        <v/>
      </c>
      <c r="BC149" s="1132" t="str">
        <f t="shared" si="273"/>
        <v/>
      </c>
      <c r="BD149" s="1151" t="str">
        <f t="shared" si="274"/>
        <v/>
      </c>
      <c r="BE149" s="1152" t="str">
        <f t="shared" si="275"/>
        <v/>
      </c>
      <c r="BF149" s="1153" t="str">
        <f t="shared" si="289"/>
        <v/>
      </c>
      <c r="BG149" s="1152" t="str">
        <f t="shared" si="276"/>
        <v/>
      </c>
      <c r="BH149" s="1153" t="str">
        <f t="shared" si="277"/>
        <v/>
      </c>
      <c r="BI149" s="1137" t="str">
        <f t="shared" si="290"/>
        <v/>
      </c>
      <c r="BM149" s="1142" t="str">
        <f t="shared" si="291"/>
        <v/>
      </c>
      <c r="BN149" s="1143" t="str">
        <f t="shared" si="278"/>
        <v/>
      </c>
      <c r="BO149" s="1143"/>
      <c r="BP149" s="1143"/>
      <c r="BQ149" s="1129" t="str">
        <f t="shared" si="279"/>
        <v/>
      </c>
      <c r="BR149" s="1104"/>
      <c r="BS149" s="1142" t="str">
        <f t="shared" si="280"/>
        <v/>
      </c>
      <c r="BT149" s="1142" t="str">
        <f t="shared" si="281"/>
        <v/>
      </c>
      <c r="BU149" s="1132" t="str">
        <f t="shared" si="282"/>
        <v/>
      </c>
      <c r="BV149" s="1144" t="str">
        <f t="shared" si="283"/>
        <v/>
      </c>
      <c r="BW149" s="1146" t="str">
        <f t="shared" si="284"/>
        <v/>
      </c>
      <c r="BX149" s="1147" t="str">
        <f t="shared" si="285"/>
        <v/>
      </c>
      <c r="BY149" s="1147" t="str">
        <f t="shared" si="286"/>
        <v/>
      </c>
      <c r="BZ149" s="1148" t="str">
        <f t="shared" si="287"/>
        <v/>
      </c>
      <c r="CA149" s="1139" t="str">
        <f t="shared" si="292"/>
        <v/>
      </c>
    </row>
    <row r="150" spans="47:79" ht="24.95" hidden="1" customHeight="1">
      <c r="AU150" s="1141" t="str">
        <f t="shared" si="288"/>
        <v/>
      </c>
      <c r="AV150" s="1141" t="str">
        <f t="shared" si="269"/>
        <v/>
      </c>
      <c r="AW150" s="1141"/>
      <c r="AX150" s="1149"/>
      <c r="AY150" s="1129" t="str">
        <f t="shared" si="270"/>
        <v/>
      </c>
      <c r="AZ150" s="1150"/>
      <c r="BA150" s="1102" t="str">
        <f t="shared" si="271"/>
        <v/>
      </c>
      <c r="BB150" s="1102" t="str">
        <f t="shared" si="272"/>
        <v/>
      </c>
      <c r="BC150" s="1132" t="str">
        <f t="shared" si="273"/>
        <v/>
      </c>
      <c r="BD150" s="1151" t="str">
        <f t="shared" si="274"/>
        <v/>
      </c>
      <c r="BE150" s="1152" t="str">
        <f t="shared" si="275"/>
        <v/>
      </c>
      <c r="BF150" s="1153" t="str">
        <f t="shared" si="289"/>
        <v/>
      </c>
      <c r="BG150" s="1152" t="str">
        <f t="shared" si="276"/>
        <v/>
      </c>
      <c r="BH150" s="1153" t="str">
        <f t="shared" si="277"/>
        <v/>
      </c>
      <c r="BI150" s="1137" t="str">
        <f t="shared" si="290"/>
        <v/>
      </c>
      <c r="BM150" s="1142" t="str">
        <f t="shared" si="291"/>
        <v/>
      </c>
      <c r="BN150" s="1143" t="str">
        <f t="shared" si="278"/>
        <v/>
      </c>
      <c r="BO150" s="1143"/>
      <c r="BP150" s="1143"/>
      <c r="BQ150" s="1129" t="str">
        <f t="shared" si="279"/>
        <v/>
      </c>
      <c r="BR150" s="1104"/>
      <c r="BS150" s="1142" t="str">
        <f t="shared" si="280"/>
        <v/>
      </c>
      <c r="BT150" s="1142" t="str">
        <f t="shared" si="281"/>
        <v/>
      </c>
      <c r="BU150" s="1132" t="str">
        <f t="shared" si="282"/>
        <v/>
      </c>
      <c r="BV150" s="1144" t="str">
        <f t="shared" si="283"/>
        <v/>
      </c>
      <c r="BW150" s="1146" t="str">
        <f t="shared" si="284"/>
        <v/>
      </c>
      <c r="BX150" s="1147" t="str">
        <f t="shared" si="285"/>
        <v/>
      </c>
      <c r="BY150" s="1147" t="str">
        <f t="shared" si="286"/>
        <v/>
      </c>
      <c r="BZ150" s="1148" t="str">
        <f t="shared" si="287"/>
        <v/>
      </c>
      <c r="CA150" s="1139" t="str">
        <f t="shared" si="292"/>
        <v/>
      </c>
    </row>
    <row r="151" spans="47:79" ht="24.95" hidden="1" customHeight="1">
      <c r="AU151" s="1141" t="str">
        <f t="shared" si="288"/>
        <v/>
      </c>
      <c r="AV151" s="1141" t="str">
        <f t="shared" si="269"/>
        <v/>
      </c>
      <c r="AW151" s="1141"/>
      <c r="AX151" s="1149"/>
      <c r="AY151" s="1129" t="str">
        <f t="shared" si="270"/>
        <v/>
      </c>
      <c r="AZ151" s="1150"/>
      <c r="BA151" s="1102" t="str">
        <f t="shared" si="271"/>
        <v/>
      </c>
      <c r="BB151" s="1102" t="str">
        <f t="shared" si="272"/>
        <v/>
      </c>
      <c r="BC151" s="1132" t="str">
        <f t="shared" si="273"/>
        <v/>
      </c>
      <c r="BD151" s="1151" t="str">
        <f t="shared" si="274"/>
        <v/>
      </c>
      <c r="BE151" s="1152" t="str">
        <f t="shared" si="275"/>
        <v/>
      </c>
      <c r="BF151" s="1153" t="str">
        <f t="shared" si="289"/>
        <v/>
      </c>
      <c r="BG151" s="1152" t="str">
        <f t="shared" si="276"/>
        <v/>
      </c>
      <c r="BH151" s="1153" t="str">
        <f t="shared" si="277"/>
        <v/>
      </c>
      <c r="BI151" s="1137" t="str">
        <f t="shared" si="290"/>
        <v/>
      </c>
      <c r="BM151" s="1142" t="str">
        <f t="shared" si="291"/>
        <v/>
      </c>
      <c r="BN151" s="1143" t="str">
        <f t="shared" si="278"/>
        <v/>
      </c>
      <c r="BO151" s="1143"/>
      <c r="BP151" s="1143"/>
      <c r="BQ151" s="1129" t="str">
        <f t="shared" si="279"/>
        <v/>
      </c>
      <c r="BR151" s="1104"/>
      <c r="BS151" s="1142" t="str">
        <f t="shared" si="280"/>
        <v/>
      </c>
      <c r="BT151" s="1142" t="str">
        <f t="shared" si="281"/>
        <v/>
      </c>
      <c r="BU151" s="1132" t="str">
        <f t="shared" si="282"/>
        <v/>
      </c>
      <c r="BV151" s="1144" t="str">
        <f t="shared" si="283"/>
        <v/>
      </c>
      <c r="BW151" s="1146" t="str">
        <f t="shared" si="284"/>
        <v/>
      </c>
      <c r="BX151" s="1147" t="str">
        <f t="shared" si="285"/>
        <v/>
      </c>
      <c r="BY151" s="1147" t="str">
        <f t="shared" si="286"/>
        <v/>
      </c>
      <c r="BZ151" s="1148" t="str">
        <f t="shared" si="287"/>
        <v/>
      </c>
      <c r="CA151" s="1139" t="str">
        <f t="shared" si="292"/>
        <v/>
      </c>
    </row>
    <row r="152" spans="47:79" ht="24.95" hidden="1" customHeight="1">
      <c r="AU152" s="1141" t="str">
        <f t="shared" si="288"/>
        <v/>
      </c>
      <c r="AV152" s="1141" t="str">
        <f t="shared" si="269"/>
        <v/>
      </c>
      <c r="AW152" s="1141"/>
      <c r="AX152" s="1149"/>
      <c r="AY152" s="1129" t="str">
        <f t="shared" si="270"/>
        <v/>
      </c>
      <c r="AZ152" s="1150"/>
      <c r="BA152" s="1102" t="str">
        <f t="shared" si="271"/>
        <v/>
      </c>
      <c r="BB152" s="1102" t="str">
        <f t="shared" si="272"/>
        <v/>
      </c>
      <c r="BC152" s="1132" t="str">
        <f t="shared" si="273"/>
        <v/>
      </c>
      <c r="BD152" s="1151" t="str">
        <f t="shared" si="274"/>
        <v/>
      </c>
      <c r="BE152" s="1152" t="str">
        <f t="shared" si="275"/>
        <v/>
      </c>
      <c r="BF152" s="1153" t="str">
        <f t="shared" si="289"/>
        <v/>
      </c>
      <c r="BG152" s="1152" t="str">
        <f t="shared" si="276"/>
        <v/>
      </c>
      <c r="BH152" s="1153" t="str">
        <f t="shared" si="277"/>
        <v/>
      </c>
      <c r="BI152" s="1137" t="str">
        <f t="shared" si="290"/>
        <v/>
      </c>
      <c r="BM152" s="1142" t="str">
        <f t="shared" si="291"/>
        <v/>
      </c>
      <c r="BN152" s="1143" t="str">
        <f t="shared" si="278"/>
        <v/>
      </c>
      <c r="BO152" s="1143"/>
      <c r="BP152" s="1143"/>
      <c r="BQ152" s="1129" t="str">
        <f t="shared" si="279"/>
        <v/>
      </c>
      <c r="BR152" s="1104"/>
      <c r="BS152" s="1142" t="str">
        <f t="shared" si="280"/>
        <v/>
      </c>
      <c r="BT152" s="1142" t="str">
        <f t="shared" si="281"/>
        <v/>
      </c>
      <c r="BU152" s="1132" t="str">
        <f t="shared" si="282"/>
        <v/>
      </c>
      <c r="BV152" s="1144" t="str">
        <f t="shared" si="283"/>
        <v/>
      </c>
      <c r="BW152" s="1146" t="str">
        <f t="shared" si="284"/>
        <v/>
      </c>
      <c r="BX152" s="1147" t="str">
        <f t="shared" si="285"/>
        <v/>
      </c>
      <c r="BY152" s="1147" t="str">
        <f t="shared" si="286"/>
        <v/>
      </c>
      <c r="BZ152" s="1148" t="str">
        <f t="shared" si="287"/>
        <v/>
      </c>
      <c r="CA152" s="1139" t="str">
        <f t="shared" si="292"/>
        <v/>
      </c>
    </row>
    <row r="153" spans="47:79" ht="24.95" hidden="1" customHeight="1">
      <c r="AU153" s="1141" t="str">
        <f t="shared" si="288"/>
        <v/>
      </c>
      <c r="AV153" s="1141" t="str">
        <f t="shared" si="269"/>
        <v/>
      </c>
      <c r="AW153" s="1141"/>
      <c r="AX153" s="1149"/>
      <c r="AY153" s="1129" t="str">
        <f t="shared" si="270"/>
        <v/>
      </c>
      <c r="AZ153" s="1150"/>
      <c r="BA153" s="1102" t="str">
        <f t="shared" si="271"/>
        <v/>
      </c>
      <c r="BB153" s="1102" t="str">
        <f t="shared" si="272"/>
        <v/>
      </c>
      <c r="BC153" s="1132" t="str">
        <f t="shared" si="273"/>
        <v/>
      </c>
      <c r="BD153" s="1151" t="str">
        <f t="shared" si="274"/>
        <v/>
      </c>
      <c r="BE153" s="1152" t="str">
        <f t="shared" si="275"/>
        <v/>
      </c>
      <c r="BF153" s="1153" t="str">
        <f t="shared" si="289"/>
        <v/>
      </c>
      <c r="BG153" s="1152" t="str">
        <f t="shared" si="276"/>
        <v/>
      </c>
      <c r="BH153" s="1153" t="str">
        <f t="shared" si="277"/>
        <v/>
      </c>
      <c r="BI153" s="1137" t="str">
        <f t="shared" si="290"/>
        <v/>
      </c>
      <c r="BM153" s="1142" t="str">
        <f t="shared" si="291"/>
        <v/>
      </c>
      <c r="BN153" s="1143" t="str">
        <f t="shared" si="278"/>
        <v/>
      </c>
      <c r="BO153" s="1143"/>
      <c r="BP153" s="1143"/>
      <c r="BQ153" s="1129" t="str">
        <f t="shared" si="279"/>
        <v/>
      </c>
      <c r="BR153" s="1104"/>
      <c r="BS153" s="1142" t="str">
        <f t="shared" si="280"/>
        <v/>
      </c>
      <c r="BT153" s="1142" t="str">
        <f t="shared" si="281"/>
        <v/>
      </c>
      <c r="BU153" s="1132" t="str">
        <f t="shared" si="282"/>
        <v/>
      </c>
      <c r="BV153" s="1144" t="str">
        <f t="shared" si="283"/>
        <v/>
      </c>
      <c r="BW153" s="1146" t="str">
        <f t="shared" si="284"/>
        <v/>
      </c>
      <c r="BX153" s="1147" t="str">
        <f t="shared" si="285"/>
        <v/>
      </c>
      <c r="BY153" s="1147" t="str">
        <f t="shared" si="286"/>
        <v/>
      </c>
      <c r="BZ153" s="1148" t="str">
        <f t="shared" si="287"/>
        <v/>
      </c>
      <c r="CA153" s="1139" t="str">
        <f t="shared" si="292"/>
        <v/>
      </c>
    </row>
    <row r="154" spans="47:79" ht="24.95" hidden="1" customHeight="1">
      <c r="AU154" s="1141" t="str">
        <f t="shared" si="288"/>
        <v/>
      </c>
      <c r="AV154" s="1141" t="str">
        <f t="shared" si="269"/>
        <v/>
      </c>
      <c r="AW154" s="1141"/>
      <c r="AX154" s="1149"/>
      <c r="AY154" s="1129" t="str">
        <f t="shared" si="270"/>
        <v/>
      </c>
      <c r="AZ154" s="1150"/>
      <c r="BA154" s="1102" t="str">
        <f t="shared" si="271"/>
        <v/>
      </c>
      <c r="BB154" s="1102" t="str">
        <f t="shared" si="272"/>
        <v/>
      </c>
      <c r="BC154" s="1132" t="str">
        <f t="shared" si="273"/>
        <v/>
      </c>
      <c r="BD154" s="1151" t="str">
        <f t="shared" si="274"/>
        <v/>
      </c>
      <c r="BE154" s="1152" t="str">
        <f t="shared" si="275"/>
        <v/>
      </c>
      <c r="BF154" s="1153" t="str">
        <f t="shared" si="289"/>
        <v/>
      </c>
      <c r="BG154" s="1152" t="str">
        <f t="shared" si="276"/>
        <v/>
      </c>
      <c r="BH154" s="1153" t="str">
        <f t="shared" si="277"/>
        <v/>
      </c>
      <c r="BI154" s="1137" t="str">
        <f t="shared" si="290"/>
        <v/>
      </c>
      <c r="BM154" s="1142" t="str">
        <f t="shared" si="291"/>
        <v/>
      </c>
      <c r="BN154" s="1143" t="str">
        <f t="shared" si="278"/>
        <v/>
      </c>
      <c r="BO154" s="1143"/>
      <c r="BP154" s="1143"/>
      <c r="BQ154" s="1129" t="str">
        <f t="shared" si="279"/>
        <v/>
      </c>
      <c r="BR154" s="1104"/>
      <c r="BS154" s="1142" t="str">
        <f t="shared" si="280"/>
        <v/>
      </c>
      <c r="BT154" s="1142" t="str">
        <f t="shared" si="281"/>
        <v/>
      </c>
      <c r="BU154" s="1132" t="str">
        <f t="shared" si="282"/>
        <v/>
      </c>
      <c r="BV154" s="1144" t="str">
        <f t="shared" si="283"/>
        <v/>
      </c>
      <c r="BW154" s="1146" t="str">
        <f t="shared" si="284"/>
        <v/>
      </c>
      <c r="BX154" s="1147" t="str">
        <f t="shared" si="285"/>
        <v/>
      </c>
      <c r="BY154" s="1147" t="str">
        <f t="shared" si="286"/>
        <v/>
      </c>
      <c r="BZ154" s="1148" t="str">
        <f t="shared" si="287"/>
        <v/>
      </c>
      <c r="CA154" s="1139" t="str">
        <f t="shared" si="292"/>
        <v/>
      </c>
    </row>
    <row r="155" spans="47:79" ht="24.95" hidden="1" customHeight="1">
      <c r="AU155" s="1141" t="str">
        <f t="shared" si="288"/>
        <v/>
      </c>
      <c r="AV155" s="1141" t="str">
        <f t="shared" si="269"/>
        <v/>
      </c>
      <c r="AW155" s="1141"/>
      <c r="AX155" s="1149"/>
      <c r="AY155" s="1129" t="str">
        <f t="shared" si="270"/>
        <v/>
      </c>
      <c r="AZ155" s="1150"/>
      <c r="BA155" s="1102" t="str">
        <f t="shared" si="271"/>
        <v/>
      </c>
      <c r="BB155" s="1102" t="str">
        <f t="shared" si="272"/>
        <v/>
      </c>
      <c r="BC155" s="1132" t="str">
        <f t="shared" si="273"/>
        <v/>
      </c>
      <c r="BD155" s="1151" t="str">
        <f t="shared" si="274"/>
        <v/>
      </c>
      <c r="BE155" s="1152" t="str">
        <f t="shared" si="275"/>
        <v/>
      </c>
      <c r="BF155" s="1153" t="str">
        <f t="shared" si="289"/>
        <v/>
      </c>
      <c r="BG155" s="1152" t="str">
        <f t="shared" si="276"/>
        <v/>
      </c>
      <c r="BH155" s="1153" t="str">
        <f t="shared" si="277"/>
        <v/>
      </c>
      <c r="BI155" s="1137" t="str">
        <f t="shared" si="290"/>
        <v/>
      </c>
      <c r="BM155" s="1142" t="str">
        <f t="shared" si="291"/>
        <v/>
      </c>
      <c r="BN155" s="1143" t="str">
        <f t="shared" si="278"/>
        <v/>
      </c>
      <c r="BO155" s="1143"/>
      <c r="BP155" s="1143"/>
      <c r="BQ155" s="1129" t="str">
        <f t="shared" si="279"/>
        <v/>
      </c>
      <c r="BR155" s="1104"/>
      <c r="BS155" s="1142" t="str">
        <f t="shared" si="280"/>
        <v/>
      </c>
      <c r="BT155" s="1142" t="str">
        <f t="shared" si="281"/>
        <v/>
      </c>
      <c r="BU155" s="1132" t="str">
        <f t="shared" si="282"/>
        <v/>
      </c>
      <c r="BV155" s="1144" t="str">
        <f t="shared" si="283"/>
        <v/>
      </c>
      <c r="BW155" s="1146" t="str">
        <f t="shared" si="284"/>
        <v/>
      </c>
      <c r="BX155" s="1147" t="str">
        <f t="shared" si="285"/>
        <v/>
      </c>
      <c r="BY155" s="1147" t="str">
        <f t="shared" si="286"/>
        <v/>
      </c>
      <c r="BZ155" s="1148" t="str">
        <f t="shared" si="287"/>
        <v/>
      </c>
      <c r="CA155" s="1139" t="str">
        <f t="shared" si="292"/>
        <v/>
      </c>
    </row>
    <row r="156" spans="47:79" ht="24.95" hidden="1" customHeight="1">
      <c r="AU156" s="1141" t="str">
        <f t="shared" si="288"/>
        <v/>
      </c>
      <c r="AV156" s="1141" t="str">
        <f t="shared" si="269"/>
        <v/>
      </c>
      <c r="AW156" s="1141"/>
      <c r="AX156" s="1149"/>
      <c r="AY156" s="1129" t="str">
        <f t="shared" si="270"/>
        <v/>
      </c>
      <c r="AZ156" s="1150"/>
      <c r="BA156" s="1102" t="str">
        <f t="shared" si="271"/>
        <v/>
      </c>
      <c r="BB156" s="1102" t="str">
        <f t="shared" si="272"/>
        <v/>
      </c>
      <c r="BC156" s="1132" t="str">
        <f t="shared" si="273"/>
        <v/>
      </c>
      <c r="BD156" s="1151" t="str">
        <f t="shared" si="274"/>
        <v/>
      </c>
      <c r="BE156" s="1152" t="str">
        <f t="shared" si="275"/>
        <v/>
      </c>
      <c r="BF156" s="1153" t="str">
        <f t="shared" si="289"/>
        <v/>
      </c>
      <c r="BG156" s="1152" t="str">
        <f t="shared" si="276"/>
        <v/>
      </c>
      <c r="BH156" s="1153" t="str">
        <f t="shared" si="277"/>
        <v/>
      </c>
      <c r="BI156" s="1137" t="str">
        <f t="shared" si="290"/>
        <v/>
      </c>
      <c r="BM156" s="1142" t="str">
        <f t="shared" si="291"/>
        <v/>
      </c>
      <c r="BN156" s="1143" t="str">
        <f t="shared" si="278"/>
        <v/>
      </c>
      <c r="BO156" s="1143"/>
      <c r="BP156" s="1143"/>
      <c r="BQ156" s="1129" t="str">
        <f t="shared" si="279"/>
        <v/>
      </c>
      <c r="BR156" s="1104"/>
      <c r="BS156" s="1142" t="str">
        <f t="shared" si="280"/>
        <v/>
      </c>
      <c r="BT156" s="1142" t="str">
        <f t="shared" si="281"/>
        <v/>
      </c>
      <c r="BU156" s="1132" t="str">
        <f t="shared" si="282"/>
        <v/>
      </c>
      <c r="BV156" s="1144" t="str">
        <f t="shared" si="283"/>
        <v/>
      </c>
      <c r="BW156" s="1146" t="str">
        <f t="shared" si="284"/>
        <v/>
      </c>
      <c r="BX156" s="1147" t="str">
        <f t="shared" si="285"/>
        <v/>
      </c>
      <c r="BY156" s="1147" t="str">
        <f t="shared" si="286"/>
        <v/>
      </c>
      <c r="BZ156" s="1148" t="str">
        <f t="shared" si="287"/>
        <v/>
      </c>
      <c r="CA156" s="1139" t="str">
        <f t="shared" si="292"/>
        <v/>
      </c>
    </row>
    <row r="157" spans="47:79" ht="24.95" hidden="1" customHeight="1">
      <c r="AU157" s="1141" t="str">
        <f t="shared" si="288"/>
        <v/>
      </c>
      <c r="AV157" s="1141" t="str">
        <f t="shared" ref="AV157:AV188" si="293">IF(K40&lt;&gt;"",K40,"")</f>
        <v/>
      </c>
      <c r="AW157" s="1141"/>
      <c r="AX157" s="1149"/>
      <c r="AY157" s="1129" t="str">
        <f t="shared" ref="AY157:AY188" si="294">IF(M40&lt;&gt;"",MID(M40,7,200),"")</f>
        <v/>
      </c>
      <c r="AZ157" s="1150"/>
      <c r="BA157" s="1102" t="str">
        <f t="shared" ref="BA157:BA188" si="295">IF(N40&gt;0,N40,"")</f>
        <v/>
      </c>
      <c r="BB157" s="1102" t="str">
        <f t="shared" ref="BB157:BB188" si="296">IF(O40&lt;&gt;"",O40,"")</f>
        <v/>
      </c>
      <c r="BC157" s="1132" t="str">
        <f t="shared" ref="BC157:BC188" si="297">IF(M40&lt;&gt;"",MID(P40,5,100),"")</f>
        <v/>
      </c>
      <c r="BD157" s="1151" t="str">
        <f t="shared" si="274"/>
        <v/>
      </c>
      <c r="BE157" s="1152" t="str">
        <f t="shared" ref="BE157:BE188" si="298">IF(M40&lt;&gt;"",U40,"")</f>
        <v/>
      </c>
      <c r="BF157" s="1153" t="str">
        <f t="shared" si="289"/>
        <v/>
      </c>
      <c r="BG157" s="1152" t="str">
        <f t="shared" ref="BG157:BG188" si="299">IF(M40&lt;&gt;"",W40,"")</f>
        <v/>
      </c>
      <c r="BH157" s="1153" t="str">
        <f t="shared" si="277"/>
        <v/>
      </c>
      <c r="BI157" s="1137" t="str">
        <f t="shared" si="290"/>
        <v/>
      </c>
      <c r="BM157" s="1142" t="str">
        <f t="shared" si="291"/>
        <v/>
      </c>
      <c r="BN157" s="1143" t="str">
        <f t="shared" ref="BN157:BN188" si="300">IF(M40&lt;&gt;"",K40,"")</f>
        <v/>
      </c>
      <c r="BO157" s="1143"/>
      <c r="BP157" s="1143"/>
      <c r="BQ157" s="1129" t="str">
        <f t="shared" ref="BQ157:BQ188" si="301">IF(M40&lt;&gt;"",MID(M40,7,200),"")</f>
        <v/>
      </c>
      <c r="BR157" s="1104"/>
      <c r="BS157" s="1142" t="str">
        <f t="shared" ref="BS157:BS188" si="302">IF(N40&gt;0,N40,"")</f>
        <v/>
      </c>
      <c r="BT157" s="1142" t="str">
        <f t="shared" ref="BT157:BT188" si="303">IF(O40&lt;&gt;"",O40,"")</f>
        <v/>
      </c>
      <c r="BU157" s="1132" t="str">
        <f t="shared" ref="BU157:BU188" si="304">IF(M40&lt;&gt;"",MID(P40,5,100),"")</f>
        <v/>
      </c>
      <c r="BV157" s="1144" t="str">
        <f t="shared" si="283"/>
        <v/>
      </c>
      <c r="BW157" s="1146" t="str">
        <f t="shared" ref="BW157:BW188" si="305">IF(M40&lt;&gt;"",U40,"")</f>
        <v/>
      </c>
      <c r="BX157" s="1147" t="str">
        <f t="shared" si="285"/>
        <v/>
      </c>
      <c r="BY157" s="1147" t="str">
        <f t="shared" ref="BY157:BY188" si="306">IF(M40&lt;&gt;"",W40,"")</f>
        <v/>
      </c>
      <c r="BZ157" s="1148" t="str">
        <f t="shared" si="287"/>
        <v/>
      </c>
      <c r="CA157" s="1139" t="str">
        <f t="shared" si="292"/>
        <v/>
      </c>
    </row>
    <row r="158" spans="47:79" ht="24.95" hidden="1" customHeight="1">
      <c r="AU158" s="1141" t="str">
        <f t="shared" ref="AU158:AU189" si="307">IF(M41="","",AU157+1)</f>
        <v/>
      </c>
      <c r="AV158" s="1141" t="str">
        <f t="shared" si="293"/>
        <v/>
      </c>
      <c r="AW158" s="1141"/>
      <c r="AX158" s="1149"/>
      <c r="AY158" s="1129" t="str">
        <f t="shared" si="294"/>
        <v/>
      </c>
      <c r="AZ158" s="1150"/>
      <c r="BA158" s="1102" t="str">
        <f t="shared" si="295"/>
        <v/>
      </c>
      <c r="BB158" s="1102" t="str">
        <f t="shared" si="296"/>
        <v/>
      </c>
      <c r="BC158" s="1132" t="str">
        <f t="shared" si="297"/>
        <v/>
      </c>
      <c r="BD158" s="1151" t="str">
        <f t="shared" si="274"/>
        <v/>
      </c>
      <c r="BE158" s="1152" t="str">
        <f t="shared" si="298"/>
        <v/>
      </c>
      <c r="BF158" s="1153" t="str">
        <f t="shared" si="289"/>
        <v/>
      </c>
      <c r="BG158" s="1152" t="str">
        <f t="shared" si="299"/>
        <v/>
      </c>
      <c r="BH158" s="1153" t="str">
        <f t="shared" si="277"/>
        <v/>
      </c>
      <c r="BI158" s="1137" t="str">
        <f t="shared" si="290"/>
        <v/>
      </c>
      <c r="BM158" s="1142" t="str">
        <f t="shared" ref="BM158:BM189" si="308">IF(M41="","",BM157+1)</f>
        <v/>
      </c>
      <c r="BN158" s="1143" t="str">
        <f t="shared" si="300"/>
        <v/>
      </c>
      <c r="BO158" s="1143"/>
      <c r="BP158" s="1143"/>
      <c r="BQ158" s="1129" t="str">
        <f t="shared" si="301"/>
        <v/>
      </c>
      <c r="BR158" s="1104"/>
      <c r="BS158" s="1142" t="str">
        <f t="shared" si="302"/>
        <v/>
      </c>
      <c r="BT158" s="1142" t="str">
        <f t="shared" si="303"/>
        <v/>
      </c>
      <c r="BU158" s="1132" t="str">
        <f t="shared" si="304"/>
        <v/>
      </c>
      <c r="BV158" s="1144" t="str">
        <f t="shared" si="283"/>
        <v/>
      </c>
      <c r="BW158" s="1146" t="str">
        <f t="shared" si="305"/>
        <v/>
      </c>
      <c r="BX158" s="1147" t="str">
        <f t="shared" si="285"/>
        <v/>
      </c>
      <c r="BY158" s="1147" t="str">
        <f t="shared" si="306"/>
        <v/>
      </c>
      <c r="BZ158" s="1148" t="str">
        <f t="shared" si="287"/>
        <v/>
      </c>
      <c r="CA158" s="1139" t="str">
        <f t="shared" si="292"/>
        <v/>
      </c>
    </row>
    <row r="159" spans="47:79" ht="24.95" hidden="1" customHeight="1">
      <c r="AU159" s="1141" t="str">
        <f t="shared" si="307"/>
        <v/>
      </c>
      <c r="AV159" s="1141" t="str">
        <f t="shared" si="293"/>
        <v/>
      </c>
      <c r="AW159" s="1141"/>
      <c r="AX159" s="1149"/>
      <c r="AY159" s="1129" t="str">
        <f t="shared" si="294"/>
        <v/>
      </c>
      <c r="AZ159" s="1150"/>
      <c r="BA159" s="1102" t="str">
        <f t="shared" si="295"/>
        <v/>
      </c>
      <c r="BB159" s="1102" t="str">
        <f t="shared" si="296"/>
        <v/>
      </c>
      <c r="BC159" s="1132" t="str">
        <f t="shared" si="297"/>
        <v/>
      </c>
      <c r="BD159" s="1151" t="str">
        <f t="shared" si="274"/>
        <v/>
      </c>
      <c r="BE159" s="1152" t="str">
        <f t="shared" si="298"/>
        <v/>
      </c>
      <c r="BF159" s="1153" t="str">
        <f t="shared" si="289"/>
        <v/>
      </c>
      <c r="BG159" s="1152" t="str">
        <f t="shared" si="299"/>
        <v/>
      </c>
      <c r="BH159" s="1153" t="str">
        <f t="shared" si="277"/>
        <v/>
      </c>
      <c r="BI159" s="1137" t="str">
        <f t="shared" si="290"/>
        <v/>
      </c>
      <c r="BM159" s="1142" t="str">
        <f t="shared" si="308"/>
        <v/>
      </c>
      <c r="BN159" s="1143" t="str">
        <f t="shared" si="300"/>
        <v/>
      </c>
      <c r="BO159" s="1143"/>
      <c r="BP159" s="1143"/>
      <c r="BQ159" s="1129" t="str">
        <f t="shared" si="301"/>
        <v/>
      </c>
      <c r="BR159" s="1104"/>
      <c r="BS159" s="1142" t="str">
        <f t="shared" si="302"/>
        <v/>
      </c>
      <c r="BT159" s="1142" t="str">
        <f t="shared" si="303"/>
        <v/>
      </c>
      <c r="BU159" s="1132" t="str">
        <f t="shared" si="304"/>
        <v/>
      </c>
      <c r="BV159" s="1144" t="str">
        <f t="shared" si="283"/>
        <v/>
      </c>
      <c r="BW159" s="1146" t="str">
        <f t="shared" si="305"/>
        <v/>
      </c>
      <c r="BX159" s="1147" t="str">
        <f t="shared" si="285"/>
        <v/>
      </c>
      <c r="BY159" s="1147" t="str">
        <f t="shared" si="306"/>
        <v/>
      </c>
      <c r="BZ159" s="1148" t="str">
        <f t="shared" si="287"/>
        <v/>
      </c>
      <c r="CA159" s="1139" t="str">
        <f t="shared" si="292"/>
        <v/>
      </c>
    </row>
    <row r="160" spans="47:79" ht="24.95" hidden="1" customHeight="1">
      <c r="AU160" s="1141" t="str">
        <f t="shared" si="307"/>
        <v/>
      </c>
      <c r="AV160" s="1141" t="str">
        <f t="shared" si="293"/>
        <v/>
      </c>
      <c r="AW160" s="1141"/>
      <c r="AX160" s="1149"/>
      <c r="AY160" s="1129" t="str">
        <f t="shared" si="294"/>
        <v/>
      </c>
      <c r="AZ160" s="1150"/>
      <c r="BA160" s="1102" t="str">
        <f t="shared" si="295"/>
        <v/>
      </c>
      <c r="BB160" s="1102" t="str">
        <f t="shared" si="296"/>
        <v/>
      </c>
      <c r="BC160" s="1132" t="str">
        <f t="shared" si="297"/>
        <v/>
      </c>
      <c r="BD160" s="1151" t="str">
        <f t="shared" si="274"/>
        <v/>
      </c>
      <c r="BE160" s="1152" t="str">
        <f t="shared" si="298"/>
        <v/>
      </c>
      <c r="BF160" s="1153" t="str">
        <f t="shared" si="289"/>
        <v/>
      </c>
      <c r="BG160" s="1152" t="str">
        <f t="shared" si="299"/>
        <v/>
      </c>
      <c r="BH160" s="1153" t="str">
        <f t="shared" si="277"/>
        <v/>
      </c>
      <c r="BI160" s="1137" t="str">
        <f t="shared" si="290"/>
        <v/>
      </c>
      <c r="BM160" s="1142" t="str">
        <f t="shared" si="308"/>
        <v/>
      </c>
      <c r="BN160" s="1143" t="str">
        <f t="shared" si="300"/>
        <v/>
      </c>
      <c r="BO160" s="1143"/>
      <c r="BP160" s="1143"/>
      <c r="BQ160" s="1129" t="str">
        <f t="shared" si="301"/>
        <v/>
      </c>
      <c r="BR160" s="1104"/>
      <c r="BS160" s="1142" t="str">
        <f t="shared" si="302"/>
        <v/>
      </c>
      <c r="BT160" s="1142" t="str">
        <f t="shared" si="303"/>
        <v/>
      </c>
      <c r="BU160" s="1132" t="str">
        <f t="shared" si="304"/>
        <v/>
      </c>
      <c r="BV160" s="1144" t="str">
        <f t="shared" si="283"/>
        <v/>
      </c>
      <c r="BW160" s="1146" t="str">
        <f t="shared" si="305"/>
        <v/>
      </c>
      <c r="BX160" s="1147" t="str">
        <f t="shared" si="285"/>
        <v/>
      </c>
      <c r="BY160" s="1147" t="str">
        <f t="shared" si="306"/>
        <v/>
      </c>
      <c r="BZ160" s="1148" t="str">
        <f t="shared" si="287"/>
        <v/>
      </c>
      <c r="CA160" s="1139" t="str">
        <f t="shared" si="292"/>
        <v/>
      </c>
    </row>
    <row r="161" spans="47:79" ht="24.95" hidden="1" customHeight="1">
      <c r="AU161" s="1141" t="str">
        <f t="shared" si="307"/>
        <v/>
      </c>
      <c r="AV161" s="1141" t="str">
        <f t="shared" si="293"/>
        <v/>
      </c>
      <c r="AW161" s="1141"/>
      <c r="AX161" s="1149"/>
      <c r="AY161" s="1129" t="str">
        <f t="shared" si="294"/>
        <v/>
      </c>
      <c r="AZ161" s="1150"/>
      <c r="BA161" s="1102" t="str">
        <f t="shared" si="295"/>
        <v/>
      </c>
      <c r="BB161" s="1102" t="str">
        <f t="shared" si="296"/>
        <v/>
      </c>
      <c r="BC161" s="1132" t="str">
        <f t="shared" si="297"/>
        <v/>
      </c>
      <c r="BD161" s="1151" t="str">
        <f t="shared" si="274"/>
        <v/>
      </c>
      <c r="BE161" s="1152" t="str">
        <f t="shared" si="298"/>
        <v/>
      </c>
      <c r="BF161" s="1153" t="str">
        <f t="shared" si="289"/>
        <v/>
      </c>
      <c r="BG161" s="1152" t="str">
        <f t="shared" si="299"/>
        <v/>
      </c>
      <c r="BH161" s="1153" t="str">
        <f t="shared" si="277"/>
        <v/>
      </c>
      <c r="BI161" s="1137" t="str">
        <f t="shared" si="290"/>
        <v/>
      </c>
      <c r="BM161" s="1142" t="str">
        <f t="shared" si="308"/>
        <v/>
      </c>
      <c r="BN161" s="1143" t="str">
        <f t="shared" si="300"/>
        <v/>
      </c>
      <c r="BO161" s="1143"/>
      <c r="BP161" s="1143"/>
      <c r="BQ161" s="1129" t="str">
        <f t="shared" si="301"/>
        <v/>
      </c>
      <c r="BR161" s="1104"/>
      <c r="BS161" s="1142" t="str">
        <f t="shared" si="302"/>
        <v/>
      </c>
      <c r="BT161" s="1142" t="str">
        <f t="shared" si="303"/>
        <v/>
      </c>
      <c r="BU161" s="1132" t="str">
        <f t="shared" si="304"/>
        <v/>
      </c>
      <c r="BV161" s="1144" t="str">
        <f t="shared" si="283"/>
        <v/>
      </c>
      <c r="BW161" s="1146" t="str">
        <f t="shared" si="305"/>
        <v/>
      </c>
      <c r="BX161" s="1147" t="str">
        <f t="shared" si="285"/>
        <v/>
      </c>
      <c r="BY161" s="1147" t="str">
        <f t="shared" si="306"/>
        <v/>
      </c>
      <c r="BZ161" s="1148" t="str">
        <f t="shared" si="287"/>
        <v/>
      </c>
      <c r="CA161" s="1139" t="str">
        <f t="shared" si="292"/>
        <v/>
      </c>
    </row>
    <row r="162" spans="47:79" ht="24.95" hidden="1" customHeight="1">
      <c r="AU162" s="1141" t="str">
        <f t="shared" si="307"/>
        <v/>
      </c>
      <c r="AV162" s="1141" t="str">
        <f t="shared" si="293"/>
        <v/>
      </c>
      <c r="AW162" s="1141"/>
      <c r="AX162" s="1149"/>
      <c r="AY162" s="1129" t="str">
        <f t="shared" si="294"/>
        <v/>
      </c>
      <c r="AZ162" s="1150"/>
      <c r="BA162" s="1102" t="str">
        <f t="shared" si="295"/>
        <v/>
      </c>
      <c r="BB162" s="1102" t="str">
        <f t="shared" si="296"/>
        <v/>
      </c>
      <c r="BC162" s="1132" t="str">
        <f t="shared" si="297"/>
        <v/>
      </c>
      <c r="BD162" s="1151" t="str">
        <f t="shared" si="274"/>
        <v/>
      </c>
      <c r="BE162" s="1152" t="str">
        <f t="shared" si="298"/>
        <v/>
      </c>
      <c r="BF162" s="1153" t="str">
        <f t="shared" si="289"/>
        <v/>
      </c>
      <c r="BG162" s="1152" t="str">
        <f t="shared" si="299"/>
        <v/>
      </c>
      <c r="BH162" s="1153" t="str">
        <f t="shared" si="277"/>
        <v/>
      </c>
      <c r="BI162" s="1137" t="str">
        <f t="shared" si="290"/>
        <v/>
      </c>
      <c r="BM162" s="1142" t="str">
        <f t="shared" si="308"/>
        <v/>
      </c>
      <c r="BN162" s="1143" t="str">
        <f t="shared" si="300"/>
        <v/>
      </c>
      <c r="BO162" s="1143"/>
      <c r="BP162" s="1143"/>
      <c r="BQ162" s="1129" t="str">
        <f t="shared" si="301"/>
        <v/>
      </c>
      <c r="BR162" s="1104"/>
      <c r="BS162" s="1142" t="str">
        <f t="shared" si="302"/>
        <v/>
      </c>
      <c r="BT162" s="1142" t="str">
        <f t="shared" si="303"/>
        <v/>
      </c>
      <c r="BU162" s="1132" t="str">
        <f t="shared" si="304"/>
        <v/>
      </c>
      <c r="BV162" s="1144" t="str">
        <f t="shared" si="283"/>
        <v/>
      </c>
      <c r="BW162" s="1146" t="str">
        <f t="shared" si="305"/>
        <v/>
      </c>
      <c r="BX162" s="1147" t="str">
        <f t="shared" si="285"/>
        <v/>
      </c>
      <c r="BY162" s="1147" t="str">
        <f t="shared" si="306"/>
        <v/>
      </c>
      <c r="BZ162" s="1148" t="str">
        <f t="shared" si="287"/>
        <v/>
      </c>
      <c r="CA162" s="1139" t="str">
        <f t="shared" si="292"/>
        <v/>
      </c>
    </row>
    <row r="163" spans="47:79" ht="24.95" hidden="1" customHeight="1">
      <c r="AU163" s="1141" t="str">
        <f t="shared" si="307"/>
        <v/>
      </c>
      <c r="AV163" s="1141" t="str">
        <f t="shared" si="293"/>
        <v/>
      </c>
      <c r="AW163" s="1141"/>
      <c r="AX163" s="1149"/>
      <c r="AY163" s="1129" t="str">
        <f t="shared" si="294"/>
        <v/>
      </c>
      <c r="AZ163" s="1150"/>
      <c r="BA163" s="1102" t="str">
        <f t="shared" si="295"/>
        <v/>
      </c>
      <c r="BB163" s="1102" t="str">
        <f t="shared" si="296"/>
        <v/>
      </c>
      <c r="BC163" s="1132" t="str">
        <f t="shared" si="297"/>
        <v/>
      </c>
      <c r="BD163" s="1151" t="str">
        <f t="shared" si="274"/>
        <v/>
      </c>
      <c r="BE163" s="1152" t="str">
        <f t="shared" si="298"/>
        <v/>
      </c>
      <c r="BF163" s="1153" t="str">
        <f t="shared" si="289"/>
        <v/>
      </c>
      <c r="BG163" s="1152" t="str">
        <f t="shared" si="299"/>
        <v/>
      </c>
      <c r="BH163" s="1153" t="str">
        <f t="shared" si="277"/>
        <v/>
      </c>
      <c r="BI163" s="1137" t="str">
        <f t="shared" si="290"/>
        <v/>
      </c>
      <c r="BM163" s="1142" t="str">
        <f t="shared" si="308"/>
        <v/>
      </c>
      <c r="BN163" s="1143" t="str">
        <f t="shared" si="300"/>
        <v/>
      </c>
      <c r="BO163" s="1143"/>
      <c r="BP163" s="1143"/>
      <c r="BQ163" s="1129" t="str">
        <f t="shared" si="301"/>
        <v/>
      </c>
      <c r="BR163" s="1104"/>
      <c r="BS163" s="1142" t="str">
        <f t="shared" si="302"/>
        <v/>
      </c>
      <c r="BT163" s="1142" t="str">
        <f t="shared" si="303"/>
        <v/>
      </c>
      <c r="BU163" s="1132" t="str">
        <f t="shared" si="304"/>
        <v/>
      </c>
      <c r="BV163" s="1144" t="str">
        <f t="shared" si="283"/>
        <v/>
      </c>
      <c r="BW163" s="1146" t="str">
        <f t="shared" si="305"/>
        <v/>
      </c>
      <c r="BX163" s="1147" t="str">
        <f t="shared" si="285"/>
        <v/>
      </c>
      <c r="BY163" s="1147" t="str">
        <f t="shared" si="306"/>
        <v/>
      </c>
      <c r="BZ163" s="1148" t="str">
        <f t="shared" si="287"/>
        <v/>
      </c>
      <c r="CA163" s="1139" t="str">
        <f t="shared" si="292"/>
        <v/>
      </c>
    </row>
    <row r="164" spans="47:79" ht="24.95" hidden="1" customHeight="1">
      <c r="AU164" s="1141" t="str">
        <f t="shared" si="307"/>
        <v/>
      </c>
      <c r="AV164" s="1141" t="str">
        <f t="shared" si="293"/>
        <v/>
      </c>
      <c r="AW164" s="1141"/>
      <c r="AX164" s="1149"/>
      <c r="AY164" s="1129" t="str">
        <f t="shared" si="294"/>
        <v/>
      </c>
      <c r="AZ164" s="1150"/>
      <c r="BA164" s="1102" t="str">
        <f t="shared" si="295"/>
        <v/>
      </c>
      <c r="BB164" s="1102" t="str">
        <f t="shared" si="296"/>
        <v/>
      </c>
      <c r="BC164" s="1132" t="str">
        <f t="shared" si="297"/>
        <v/>
      </c>
      <c r="BD164" s="1151" t="str">
        <f t="shared" si="274"/>
        <v/>
      </c>
      <c r="BE164" s="1152" t="str">
        <f t="shared" si="298"/>
        <v/>
      </c>
      <c r="BF164" s="1153" t="str">
        <f t="shared" si="289"/>
        <v/>
      </c>
      <c r="BG164" s="1152" t="str">
        <f t="shared" si="299"/>
        <v/>
      </c>
      <c r="BH164" s="1153" t="str">
        <f t="shared" si="277"/>
        <v/>
      </c>
      <c r="BI164" s="1137" t="str">
        <f t="shared" si="290"/>
        <v/>
      </c>
      <c r="BM164" s="1142" t="str">
        <f t="shared" si="308"/>
        <v/>
      </c>
      <c r="BN164" s="1143" t="str">
        <f t="shared" si="300"/>
        <v/>
      </c>
      <c r="BO164" s="1143"/>
      <c r="BP164" s="1143"/>
      <c r="BQ164" s="1129" t="str">
        <f t="shared" si="301"/>
        <v/>
      </c>
      <c r="BR164" s="1104"/>
      <c r="BS164" s="1142" t="str">
        <f t="shared" si="302"/>
        <v/>
      </c>
      <c r="BT164" s="1142" t="str">
        <f t="shared" si="303"/>
        <v/>
      </c>
      <c r="BU164" s="1132" t="str">
        <f t="shared" si="304"/>
        <v/>
      </c>
      <c r="BV164" s="1144" t="str">
        <f t="shared" si="283"/>
        <v/>
      </c>
      <c r="BW164" s="1146" t="str">
        <f t="shared" si="305"/>
        <v/>
      </c>
      <c r="BX164" s="1147" t="str">
        <f t="shared" si="285"/>
        <v/>
      </c>
      <c r="BY164" s="1147" t="str">
        <f t="shared" si="306"/>
        <v/>
      </c>
      <c r="BZ164" s="1148" t="str">
        <f t="shared" si="287"/>
        <v/>
      </c>
      <c r="CA164" s="1139" t="str">
        <f t="shared" si="292"/>
        <v/>
      </c>
    </row>
    <row r="165" spans="47:79" ht="24.95" hidden="1" customHeight="1">
      <c r="AU165" s="1141" t="str">
        <f t="shared" si="307"/>
        <v/>
      </c>
      <c r="AV165" s="1141" t="str">
        <f t="shared" si="293"/>
        <v/>
      </c>
      <c r="AW165" s="1141"/>
      <c r="AX165" s="1149"/>
      <c r="AY165" s="1129" t="str">
        <f t="shared" si="294"/>
        <v/>
      </c>
      <c r="AZ165" s="1150"/>
      <c r="BA165" s="1102" t="str">
        <f t="shared" si="295"/>
        <v/>
      </c>
      <c r="BB165" s="1102" t="str">
        <f t="shared" si="296"/>
        <v/>
      </c>
      <c r="BC165" s="1132" t="str">
        <f t="shared" si="297"/>
        <v/>
      </c>
      <c r="BD165" s="1151" t="str">
        <f t="shared" si="274"/>
        <v/>
      </c>
      <c r="BE165" s="1152" t="str">
        <f t="shared" si="298"/>
        <v/>
      </c>
      <c r="BF165" s="1153" t="str">
        <f t="shared" si="289"/>
        <v/>
      </c>
      <c r="BG165" s="1152" t="str">
        <f t="shared" si="299"/>
        <v/>
      </c>
      <c r="BH165" s="1153" t="str">
        <f t="shared" si="277"/>
        <v/>
      </c>
      <c r="BI165" s="1137" t="str">
        <f t="shared" si="290"/>
        <v/>
      </c>
      <c r="BM165" s="1142" t="str">
        <f t="shared" si="308"/>
        <v/>
      </c>
      <c r="BN165" s="1143" t="str">
        <f t="shared" si="300"/>
        <v/>
      </c>
      <c r="BO165" s="1143"/>
      <c r="BP165" s="1143"/>
      <c r="BQ165" s="1129" t="str">
        <f t="shared" si="301"/>
        <v/>
      </c>
      <c r="BR165" s="1104"/>
      <c r="BS165" s="1142" t="str">
        <f t="shared" si="302"/>
        <v/>
      </c>
      <c r="BT165" s="1142" t="str">
        <f t="shared" si="303"/>
        <v/>
      </c>
      <c r="BU165" s="1132" t="str">
        <f t="shared" si="304"/>
        <v/>
      </c>
      <c r="BV165" s="1144" t="str">
        <f t="shared" si="283"/>
        <v/>
      </c>
      <c r="BW165" s="1146" t="str">
        <f t="shared" si="305"/>
        <v/>
      </c>
      <c r="BX165" s="1147" t="str">
        <f t="shared" si="285"/>
        <v/>
      </c>
      <c r="BY165" s="1147" t="str">
        <f t="shared" si="306"/>
        <v/>
      </c>
      <c r="BZ165" s="1148" t="str">
        <f t="shared" si="287"/>
        <v/>
      </c>
      <c r="CA165" s="1139" t="str">
        <f t="shared" si="292"/>
        <v/>
      </c>
    </row>
    <row r="166" spans="47:79" ht="24.95" hidden="1" customHeight="1">
      <c r="AU166" s="1141" t="str">
        <f t="shared" si="307"/>
        <v/>
      </c>
      <c r="AV166" s="1141" t="str">
        <f t="shared" si="293"/>
        <v/>
      </c>
      <c r="AW166" s="1141"/>
      <c r="AX166" s="1149"/>
      <c r="AY166" s="1129" t="str">
        <f t="shared" si="294"/>
        <v/>
      </c>
      <c r="AZ166" s="1150"/>
      <c r="BA166" s="1102" t="str">
        <f t="shared" si="295"/>
        <v/>
      </c>
      <c r="BB166" s="1102" t="str">
        <f t="shared" si="296"/>
        <v/>
      </c>
      <c r="BC166" s="1132" t="str">
        <f t="shared" si="297"/>
        <v/>
      </c>
      <c r="BD166" s="1151" t="str">
        <f t="shared" si="274"/>
        <v/>
      </c>
      <c r="BE166" s="1152" t="str">
        <f t="shared" si="298"/>
        <v/>
      </c>
      <c r="BF166" s="1153" t="str">
        <f t="shared" si="289"/>
        <v/>
      </c>
      <c r="BG166" s="1152" t="str">
        <f t="shared" si="299"/>
        <v/>
      </c>
      <c r="BH166" s="1153" t="str">
        <f t="shared" si="277"/>
        <v/>
      </c>
      <c r="BI166" s="1137" t="str">
        <f t="shared" si="290"/>
        <v/>
      </c>
      <c r="BM166" s="1142" t="str">
        <f t="shared" si="308"/>
        <v/>
      </c>
      <c r="BN166" s="1143" t="str">
        <f t="shared" si="300"/>
        <v/>
      </c>
      <c r="BO166" s="1143"/>
      <c r="BP166" s="1143"/>
      <c r="BQ166" s="1129" t="str">
        <f t="shared" si="301"/>
        <v/>
      </c>
      <c r="BR166" s="1104"/>
      <c r="BS166" s="1142" t="str">
        <f t="shared" si="302"/>
        <v/>
      </c>
      <c r="BT166" s="1142" t="str">
        <f t="shared" si="303"/>
        <v/>
      </c>
      <c r="BU166" s="1132" t="str">
        <f t="shared" si="304"/>
        <v/>
      </c>
      <c r="BV166" s="1144" t="str">
        <f t="shared" si="283"/>
        <v/>
      </c>
      <c r="BW166" s="1146" t="str">
        <f t="shared" si="305"/>
        <v/>
      </c>
      <c r="BX166" s="1147" t="str">
        <f t="shared" si="285"/>
        <v/>
      </c>
      <c r="BY166" s="1147" t="str">
        <f t="shared" si="306"/>
        <v/>
      </c>
      <c r="BZ166" s="1148" t="str">
        <f t="shared" si="287"/>
        <v/>
      </c>
      <c r="CA166" s="1139" t="str">
        <f t="shared" si="292"/>
        <v/>
      </c>
    </row>
    <row r="167" spans="47:79" ht="24.95" hidden="1" customHeight="1">
      <c r="AU167" s="1141" t="str">
        <f t="shared" si="307"/>
        <v/>
      </c>
      <c r="AV167" s="1141" t="str">
        <f t="shared" si="293"/>
        <v/>
      </c>
      <c r="AW167" s="1141"/>
      <c r="AX167" s="1149"/>
      <c r="AY167" s="1129" t="str">
        <f t="shared" si="294"/>
        <v/>
      </c>
      <c r="AZ167" s="1150"/>
      <c r="BA167" s="1102" t="str">
        <f t="shared" si="295"/>
        <v/>
      </c>
      <c r="BB167" s="1102" t="str">
        <f t="shared" si="296"/>
        <v/>
      </c>
      <c r="BC167" s="1132" t="str">
        <f t="shared" si="297"/>
        <v/>
      </c>
      <c r="BD167" s="1151" t="str">
        <f t="shared" si="274"/>
        <v/>
      </c>
      <c r="BE167" s="1152" t="str">
        <f t="shared" si="298"/>
        <v/>
      </c>
      <c r="BF167" s="1153" t="str">
        <f t="shared" si="289"/>
        <v/>
      </c>
      <c r="BG167" s="1152" t="str">
        <f t="shared" si="299"/>
        <v/>
      </c>
      <c r="BH167" s="1153" t="str">
        <f t="shared" si="277"/>
        <v/>
      </c>
      <c r="BI167" s="1137" t="str">
        <f t="shared" si="290"/>
        <v/>
      </c>
      <c r="BM167" s="1142" t="str">
        <f t="shared" si="308"/>
        <v/>
      </c>
      <c r="BN167" s="1143" t="str">
        <f t="shared" si="300"/>
        <v/>
      </c>
      <c r="BO167" s="1143"/>
      <c r="BP167" s="1143"/>
      <c r="BQ167" s="1129" t="str">
        <f t="shared" si="301"/>
        <v/>
      </c>
      <c r="BR167" s="1104"/>
      <c r="BS167" s="1142" t="str">
        <f t="shared" si="302"/>
        <v/>
      </c>
      <c r="BT167" s="1142" t="str">
        <f t="shared" si="303"/>
        <v/>
      </c>
      <c r="BU167" s="1132" t="str">
        <f t="shared" si="304"/>
        <v/>
      </c>
      <c r="BV167" s="1144" t="str">
        <f t="shared" si="283"/>
        <v/>
      </c>
      <c r="BW167" s="1146" t="str">
        <f t="shared" si="305"/>
        <v/>
      </c>
      <c r="BX167" s="1147" t="str">
        <f t="shared" si="285"/>
        <v/>
      </c>
      <c r="BY167" s="1147" t="str">
        <f t="shared" si="306"/>
        <v/>
      </c>
      <c r="BZ167" s="1148" t="str">
        <f t="shared" si="287"/>
        <v/>
      </c>
      <c r="CA167" s="1139" t="str">
        <f t="shared" si="292"/>
        <v/>
      </c>
    </row>
    <row r="168" spans="47:79" ht="24.95" hidden="1" customHeight="1">
      <c r="AU168" s="1141" t="str">
        <f t="shared" si="307"/>
        <v/>
      </c>
      <c r="AV168" s="1141" t="str">
        <f t="shared" si="293"/>
        <v/>
      </c>
      <c r="AW168" s="1141"/>
      <c r="AX168" s="1149"/>
      <c r="AY168" s="1129" t="str">
        <f t="shared" si="294"/>
        <v/>
      </c>
      <c r="AZ168" s="1150"/>
      <c r="BA168" s="1102" t="str">
        <f t="shared" si="295"/>
        <v/>
      </c>
      <c r="BB168" s="1102" t="str">
        <f t="shared" si="296"/>
        <v/>
      </c>
      <c r="BC168" s="1132" t="str">
        <f t="shared" si="297"/>
        <v/>
      </c>
      <c r="BD168" s="1151" t="str">
        <f t="shared" si="274"/>
        <v/>
      </c>
      <c r="BE168" s="1152" t="str">
        <f t="shared" si="298"/>
        <v/>
      </c>
      <c r="BF168" s="1153" t="str">
        <f t="shared" si="289"/>
        <v/>
      </c>
      <c r="BG168" s="1152" t="str">
        <f t="shared" si="299"/>
        <v/>
      </c>
      <c r="BH168" s="1153" t="str">
        <f t="shared" si="277"/>
        <v/>
      </c>
      <c r="BI168" s="1137" t="str">
        <f t="shared" si="290"/>
        <v/>
      </c>
      <c r="BM168" s="1142" t="str">
        <f t="shared" si="308"/>
        <v/>
      </c>
      <c r="BN168" s="1143" t="str">
        <f t="shared" si="300"/>
        <v/>
      </c>
      <c r="BO168" s="1143"/>
      <c r="BP168" s="1143"/>
      <c r="BQ168" s="1129" t="str">
        <f t="shared" si="301"/>
        <v/>
      </c>
      <c r="BR168" s="1104"/>
      <c r="BS168" s="1142" t="str">
        <f t="shared" si="302"/>
        <v/>
      </c>
      <c r="BT168" s="1142" t="str">
        <f t="shared" si="303"/>
        <v/>
      </c>
      <c r="BU168" s="1132" t="str">
        <f t="shared" si="304"/>
        <v/>
      </c>
      <c r="BV168" s="1144" t="str">
        <f t="shared" si="283"/>
        <v/>
      </c>
      <c r="BW168" s="1146" t="str">
        <f t="shared" si="305"/>
        <v/>
      </c>
      <c r="BX168" s="1147" t="str">
        <f t="shared" si="285"/>
        <v/>
      </c>
      <c r="BY168" s="1147" t="str">
        <f t="shared" si="306"/>
        <v/>
      </c>
      <c r="BZ168" s="1148" t="str">
        <f t="shared" si="287"/>
        <v/>
      </c>
      <c r="CA168" s="1139" t="str">
        <f t="shared" si="292"/>
        <v/>
      </c>
    </row>
    <row r="169" spans="47:79" ht="24.95" hidden="1" customHeight="1">
      <c r="AU169" s="1141" t="str">
        <f t="shared" si="307"/>
        <v/>
      </c>
      <c r="AV169" s="1141" t="str">
        <f t="shared" si="293"/>
        <v/>
      </c>
      <c r="AW169" s="1141"/>
      <c r="AX169" s="1149"/>
      <c r="AY169" s="1129" t="str">
        <f t="shared" si="294"/>
        <v/>
      </c>
      <c r="AZ169" s="1150"/>
      <c r="BA169" s="1102" t="str">
        <f t="shared" si="295"/>
        <v/>
      </c>
      <c r="BB169" s="1102" t="str">
        <f t="shared" si="296"/>
        <v/>
      </c>
      <c r="BC169" s="1132" t="str">
        <f t="shared" si="297"/>
        <v/>
      </c>
      <c r="BD169" s="1151" t="str">
        <f t="shared" si="274"/>
        <v/>
      </c>
      <c r="BE169" s="1152" t="str">
        <f t="shared" si="298"/>
        <v/>
      </c>
      <c r="BF169" s="1153" t="str">
        <f t="shared" si="289"/>
        <v/>
      </c>
      <c r="BG169" s="1152" t="str">
        <f t="shared" si="299"/>
        <v/>
      </c>
      <c r="BH169" s="1153" t="str">
        <f t="shared" si="277"/>
        <v/>
      </c>
      <c r="BI169" s="1137" t="str">
        <f t="shared" si="290"/>
        <v/>
      </c>
      <c r="BM169" s="1142" t="str">
        <f t="shared" si="308"/>
        <v/>
      </c>
      <c r="BN169" s="1143" t="str">
        <f t="shared" si="300"/>
        <v/>
      </c>
      <c r="BO169" s="1143"/>
      <c r="BP169" s="1143"/>
      <c r="BQ169" s="1129" t="str">
        <f t="shared" si="301"/>
        <v/>
      </c>
      <c r="BR169" s="1104"/>
      <c r="BS169" s="1142" t="str">
        <f t="shared" si="302"/>
        <v/>
      </c>
      <c r="BT169" s="1142" t="str">
        <f t="shared" si="303"/>
        <v/>
      </c>
      <c r="BU169" s="1132" t="str">
        <f t="shared" si="304"/>
        <v/>
      </c>
      <c r="BV169" s="1144" t="str">
        <f t="shared" si="283"/>
        <v/>
      </c>
      <c r="BW169" s="1146" t="str">
        <f t="shared" si="305"/>
        <v/>
      </c>
      <c r="BX169" s="1147" t="str">
        <f t="shared" si="285"/>
        <v/>
      </c>
      <c r="BY169" s="1147" t="str">
        <f t="shared" si="306"/>
        <v/>
      </c>
      <c r="BZ169" s="1148" t="str">
        <f t="shared" si="287"/>
        <v/>
      </c>
      <c r="CA169" s="1139" t="str">
        <f t="shared" si="292"/>
        <v/>
      </c>
    </row>
    <row r="170" spans="47:79" ht="24.95" hidden="1" customHeight="1">
      <c r="AU170" s="1141" t="str">
        <f t="shared" si="307"/>
        <v/>
      </c>
      <c r="AV170" s="1141" t="str">
        <f t="shared" si="293"/>
        <v/>
      </c>
      <c r="AW170" s="1141"/>
      <c r="AX170" s="1149"/>
      <c r="AY170" s="1129" t="str">
        <f t="shared" si="294"/>
        <v/>
      </c>
      <c r="AZ170" s="1150"/>
      <c r="BA170" s="1102" t="str">
        <f t="shared" si="295"/>
        <v/>
      </c>
      <c r="BB170" s="1102" t="str">
        <f t="shared" si="296"/>
        <v/>
      </c>
      <c r="BC170" s="1132" t="str">
        <f t="shared" si="297"/>
        <v/>
      </c>
      <c r="BD170" s="1151" t="str">
        <f t="shared" si="274"/>
        <v/>
      </c>
      <c r="BE170" s="1152" t="str">
        <f t="shared" si="298"/>
        <v/>
      </c>
      <c r="BF170" s="1153" t="str">
        <f t="shared" si="289"/>
        <v/>
      </c>
      <c r="BG170" s="1152" t="str">
        <f t="shared" si="299"/>
        <v/>
      </c>
      <c r="BH170" s="1153" t="str">
        <f t="shared" si="277"/>
        <v/>
      </c>
      <c r="BI170" s="1137" t="str">
        <f t="shared" si="290"/>
        <v/>
      </c>
      <c r="BM170" s="1142" t="str">
        <f t="shared" si="308"/>
        <v/>
      </c>
      <c r="BN170" s="1143" t="str">
        <f t="shared" si="300"/>
        <v/>
      </c>
      <c r="BO170" s="1143"/>
      <c r="BP170" s="1143"/>
      <c r="BQ170" s="1129" t="str">
        <f t="shared" si="301"/>
        <v/>
      </c>
      <c r="BR170" s="1104"/>
      <c r="BS170" s="1142" t="str">
        <f t="shared" si="302"/>
        <v/>
      </c>
      <c r="BT170" s="1142" t="str">
        <f t="shared" si="303"/>
        <v/>
      </c>
      <c r="BU170" s="1132" t="str">
        <f t="shared" si="304"/>
        <v/>
      </c>
      <c r="BV170" s="1144" t="str">
        <f t="shared" si="283"/>
        <v/>
      </c>
      <c r="BW170" s="1146" t="str">
        <f t="shared" si="305"/>
        <v/>
      </c>
      <c r="BX170" s="1147" t="str">
        <f t="shared" si="285"/>
        <v/>
      </c>
      <c r="BY170" s="1147" t="str">
        <f t="shared" si="306"/>
        <v/>
      </c>
      <c r="BZ170" s="1148" t="str">
        <f t="shared" si="287"/>
        <v/>
      </c>
      <c r="CA170" s="1139" t="str">
        <f t="shared" si="292"/>
        <v/>
      </c>
    </row>
    <row r="171" spans="47:79" ht="24.95" hidden="1" customHeight="1">
      <c r="AU171" s="1141" t="str">
        <f t="shared" si="307"/>
        <v/>
      </c>
      <c r="AV171" s="1141" t="str">
        <f t="shared" si="293"/>
        <v/>
      </c>
      <c r="AW171" s="1141"/>
      <c r="AX171" s="1149"/>
      <c r="AY171" s="1129" t="str">
        <f t="shared" si="294"/>
        <v/>
      </c>
      <c r="AZ171" s="1150"/>
      <c r="BA171" s="1102" t="str">
        <f t="shared" si="295"/>
        <v/>
      </c>
      <c r="BB171" s="1102" t="str">
        <f t="shared" si="296"/>
        <v/>
      </c>
      <c r="BC171" s="1132" t="str">
        <f t="shared" si="297"/>
        <v/>
      </c>
      <c r="BD171" s="1151" t="str">
        <f t="shared" si="274"/>
        <v/>
      </c>
      <c r="BE171" s="1152" t="str">
        <f t="shared" si="298"/>
        <v/>
      </c>
      <c r="BF171" s="1153" t="str">
        <f t="shared" si="289"/>
        <v/>
      </c>
      <c r="BG171" s="1152" t="str">
        <f t="shared" si="299"/>
        <v/>
      </c>
      <c r="BH171" s="1153" t="str">
        <f t="shared" si="277"/>
        <v/>
      </c>
      <c r="BI171" s="1137" t="str">
        <f t="shared" si="290"/>
        <v/>
      </c>
      <c r="BM171" s="1142" t="str">
        <f t="shared" si="308"/>
        <v/>
      </c>
      <c r="BN171" s="1143" t="str">
        <f t="shared" si="300"/>
        <v/>
      </c>
      <c r="BO171" s="1143"/>
      <c r="BP171" s="1143"/>
      <c r="BQ171" s="1129" t="str">
        <f t="shared" si="301"/>
        <v/>
      </c>
      <c r="BR171" s="1104"/>
      <c r="BS171" s="1142" t="str">
        <f t="shared" si="302"/>
        <v/>
      </c>
      <c r="BT171" s="1142" t="str">
        <f t="shared" si="303"/>
        <v/>
      </c>
      <c r="BU171" s="1132" t="str">
        <f t="shared" si="304"/>
        <v/>
      </c>
      <c r="BV171" s="1144" t="str">
        <f t="shared" si="283"/>
        <v/>
      </c>
      <c r="BW171" s="1146" t="str">
        <f t="shared" si="305"/>
        <v/>
      </c>
      <c r="BX171" s="1147" t="str">
        <f t="shared" si="285"/>
        <v/>
      </c>
      <c r="BY171" s="1147" t="str">
        <f t="shared" si="306"/>
        <v/>
      </c>
      <c r="BZ171" s="1148" t="str">
        <f t="shared" si="287"/>
        <v/>
      </c>
      <c r="CA171" s="1139" t="str">
        <f t="shared" si="292"/>
        <v/>
      </c>
    </row>
    <row r="172" spans="47:79" ht="24.95" hidden="1" customHeight="1">
      <c r="AU172" s="1141" t="str">
        <f t="shared" si="307"/>
        <v/>
      </c>
      <c r="AV172" s="1141" t="str">
        <f t="shared" si="293"/>
        <v/>
      </c>
      <c r="AW172" s="1141"/>
      <c r="AX172" s="1149"/>
      <c r="AY172" s="1129" t="str">
        <f t="shared" si="294"/>
        <v/>
      </c>
      <c r="AZ172" s="1150"/>
      <c r="BA172" s="1102" t="str">
        <f t="shared" si="295"/>
        <v/>
      </c>
      <c r="BB172" s="1102" t="str">
        <f t="shared" si="296"/>
        <v/>
      </c>
      <c r="BC172" s="1132" t="str">
        <f t="shared" si="297"/>
        <v/>
      </c>
      <c r="BD172" s="1151" t="str">
        <f t="shared" si="274"/>
        <v/>
      </c>
      <c r="BE172" s="1152" t="str">
        <f t="shared" si="298"/>
        <v/>
      </c>
      <c r="BF172" s="1153" t="str">
        <f t="shared" si="289"/>
        <v/>
      </c>
      <c r="BG172" s="1152" t="str">
        <f t="shared" si="299"/>
        <v/>
      </c>
      <c r="BH172" s="1153" t="str">
        <f t="shared" si="277"/>
        <v/>
      </c>
      <c r="BI172" s="1137" t="str">
        <f t="shared" si="290"/>
        <v/>
      </c>
      <c r="BM172" s="1142" t="str">
        <f t="shared" si="308"/>
        <v/>
      </c>
      <c r="BN172" s="1143" t="str">
        <f t="shared" si="300"/>
        <v/>
      </c>
      <c r="BO172" s="1143"/>
      <c r="BP172" s="1143"/>
      <c r="BQ172" s="1129" t="str">
        <f t="shared" si="301"/>
        <v/>
      </c>
      <c r="BR172" s="1104"/>
      <c r="BS172" s="1142" t="str">
        <f t="shared" si="302"/>
        <v/>
      </c>
      <c r="BT172" s="1142" t="str">
        <f t="shared" si="303"/>
        <v/>
      </c>
      <c r="BU172" s="1132" t="str">
        <f t="shared" si="304"/>
        <v/>
      </c>
      <c r="BV172" s="1144" t="str">
        <f t="shared" si="283"/>
        <v/>
      </c>
      <c r="BW172" s="1146" t="str">
        <f t="shared" si="305"/>
        <v/>
      </c>
      <c r="BX172" s="1147" t="str">
        <f t="shared" si="285"/>
        <v/>
      </c>
      <c r="BY172" s="1147" t="str">
        <f t="shared" si="306"/>
        <v/>
      </c>
      <c r="BZ172" s="1148" t="str">
        <f t="shared" si="287"/>
        <v/>
      </c>
      <c r="CA172" s="1139" t="str">
        <f t="shared" si="292"/>
        <v/>
      </c>
    </row>
    <row r="173" spans="47:79" ht="24.95" hidden="1" customHeight="1">
      <c r="AU173" s="1141" t="str">
        <f t="shared" si="307"/>
        <v/>
      </c>
      <c r="AV173" s="1141" t="str">
        <f t="shared" si="293"/>
        <v/>
      </c>
      <c r="AW173" s="1141"/>
      <c r="AX173" s="1149"/>
      <c r="AY173" s="1129" t="str">
        <f t="shared" si="294"/>
        <v/>
      </c>
      <c r="AZ173" s="1150"/>
      <c r="BA173" s="1102" t="str">
        <f t="shared" si="295"/>
        <v/>
      </c>
      <c r="BB173" s="1102" t="str">
        <f t="shared" si="296"/>
        <v/>
      </c>
      <c r="BC173" s="1132" t="str">
        <f t="shared" si="297"/>
        <v/>
      </c>
      <c r="BD173" s="1151" t="str">
        <f t="shared" si="274"/>
        <v/>
      </c>
      <c r="BE173" s="1152" t="str">
        <f t="shared" si="298"/>
        <v/>
      </c>
      <c r="BF173" s="1153" t="str">
        <f t="shared" si="289"/>
        <v/>
      </c>
      <c r="BG173" s="1152" t="str">
        <f t="shared" si="299"/>
        <v/>
      </c>
      <c r="BH173" s="1153" t="str">
        <f t="shared" si="277"/>
        <v/>
      </c>
      <c r="BI173" s="1137" t="str">
        <f t="shared" si="290"/>
        <v/>
      </c>
      <c r="BM173" s="1142" t="str">
        <f t="shared" si="308"/>
        <v/>
      </c>
      <c r="BN173" s="1143" t="str">
        <f t="shared" si="300"/>
        <v/>
      </c>
      <c r="BO173" s="1143"/>
      <c r="BP173" s="1143"/>
      <c r="BQ173" s="1129" t="str">
        <f t="shared" si="301"/>
        <v/>
      </c>
      <c r="BR173" s="1104"/>
      <c r="BS173" s="1142" t="str">
        <f t="shared" si="302"/>
        <v/>
      </c>
      <c r="BT173" s="1142" t="str">
        <f t="shared" si="303"/>
        <v/>
      </c>
      <c r="BU173" s="1132" t="str">
        <f t="shared" si="304"/>
        <v/>
      </c>
      <c r="BV173" s="1144" t="str">
        <f t="shared" si="283"/>
        <v/>
      </c>
      <c r="BW173" s="1146" t="str">
        <f t="shared" si="305"/>
        <v/>
      </c>
      <c r="BX173" s="1147" t="str">
        <f t="shared" si="285"/>
        <v/>
      </c>
      <c r="BY173" s="1147" t="str">
        <f t="shared" si="306"/>
        <v/>
      </c>
      <c r="BZ173" s="1148" t="str">
        <f t="shared" si="287"/>
        <v/>
      </c>
      <c r="CA173" s="1139" t="str">
        <f t="shared" si="292"/>
        <v/>
      </c>
    </row>
    <row r="174" spans="47:79" ht="24.95" hidden="1" customHeight="1">
      <c r="AU174" s="1141" t="str">
        <f t="shared" si="307"/>
        <v/>
      </c>
      <c r="AV174" s="1141" t="str">
        <f t="shared" si="293"/>
        <v/>
      </c>
      <c r="AW174" s="1141"/>
      <c r="AX174" s="1149"/>
      <c r="AY174" s="1129" t="str">
        <f t="shared" si="294"/>
        <v/>
      </c>
      <c r="AZ174" s="1150"/>
      <c r="BA174" s="1102" t="str">
        <f t="shared" si="295"/>
        <v/>
      </c>
      <c r="BB174" s="1102" t="str">
        <f t="shared" si="296"/>
        <v/>
      </c>
      <c r="BC174" s="1132" t="str">
        <f t="shared" si="297"/>
        <v/>
      </c>
      <c r="BD174" s="1151" t="str">
        <f t="shared" si="274"/>
        <v/>
      </c>
      <c r="BE174" s="1152" t="str">
        <f t="shared" si="298"/>
        <v/>
      </c>
      <c r="BF174" s="1153" t="str">
        <f t="shared" si="289"/>
        <v/>
      </c>
      <c r="BG174" s="1152" t="str">
        <f t="shared" si="299"/>
        <v/>
      </c>
      <c r="BH174" s="1153" t="str">
        <f t="shared" si="277"/>
        <v/>
      </c>
      <c r="BI174" s="1137" t="str">
        <f t="shared" si="290"/>
        <v/>
      </c>
      <c r="BM174" s="1142" t="str">
        <f t="shared" si="308"/>
        <v/>
      </c>
      <c r="BN174" s="1143" t="str">
        <f t="shared" si="300"/>
        <v/>
      </c>
      <c r="BO174" s="1143"/>
      <c r="BP174" s="1143"/>
      <c r="BQ174" s="1129" t="str">
        <f t="shared" si="301"/>
        <v/>
      </c>
      <c r="BR174" s="1104"/>
      <c r="BS174" s="1142" t="str">
        <f t="shared" si="302"/>
        <v/>
      </c>
      <c r="BT174" s="1142" t="str">
        <f t="shared" si="303"/>
        <v/>
      </c>
      <c r="BU174" s="1132" t="str">
        <f t="shared" si="304"/>
        <v/>
      </c>
      <c r="BV174" s="1144" t="str">
        <f t="shared" si="283"/>
        <v/>
      </c>
      <c r="BW174" s="1146" t="str">
        <f t="shared" si="305"/>
        <v/>
      </c>
      <c r="BX174" s="1147" t="str">
        <f t="shared" si="285"/>
        <v/>
      </c>
      <c r="BY174" s="1147" t="str">
        <f t="shared" si="306"/>
        <v/>
      </c>
      <c r="BZ174" s="1148" t="str">
        <f t="shared" si="287"/>
        <v/>
      </c>
      <c r="CA174" s="1139" t="str">
        <f t="shared" si="292"/>
        <v/>
      </c>
    </row>
    <row r="175" spans="47:79" ht="24.95" hidden="1" customHeight="1">
      <c r="AU175" s="1141" t="str">
        <f t="shared" si="307"/>
        <v/>
      </c>
      <c r="AV175" s="1141" t="str">
        <f t="shared" si="293"/>
        <v/>
      </c>
      <c r="AW175" s="1141"/>
      <c r="AX175" s="1149"/>
      <c r="AY175" s="1129" t="str">
        <f t="shared" si="294"/>
        <v/>
      </c>
      <c r="AZ175" s="1150"/>
      <c r="BA175" s="1102" t="str">
        <f t="shared" si="295"/>
        <v/>
      </c>
      <c r="BB175" s="1102" t="str">
        <f t="shared" si="296"/>
        <v/>
      </c>
      <c r="BC175" s="1132" t="str">
        <f t="shared" si="297"/>
        <v/>
      </c>
      <c r="BD175" s="1151" t="str">
        <f t="shared" si="274"/>
        <v/>
      </c>
      <c r="BE175" s="1152" t="str">
        <f t="shared" si="298"/>
        <v/>
      </c>
      <c r="BF175" s="1153" t="str">
        <f t="shared" si="289"/>
        <v/>
      </c>
      <c r="BG175" s="1152" t="str">
        <f t="shared" si="299"/>
        <v/>
      </c>
      <c r="BH175" s="1153" t="str">
        <f t="shared" si="277"/>
        <v/>
      </c>
      <c r="BI175" s="1137" t="str">
        <f t="shared" si="290"/>
        <v/>
      </c>
      <c r="BM175" s="1142" t="str">
        <f t="shared" si="308"/>
        <v/>
      </c>
      <c r="BN175" s="1143" t="str">
        <f t="shared" si="300"/>
        <v/>
      </c>
      <c r="BO175" s="1143"/>
      <c r="BP175" s="1143"/>
      <c r="BQ175" s="1129" t="str">
        <f t="shared" si="301"/>
        <v/>
      </c>
      <c r="BR175" s="1104"/>
      <c r="BS175" s="1142" t="str">
        <f t="shared" si="302"/>
        <v/>
      </c>
      <c r="BT175" s="1142" t="str">
        <f t="shared" si="303"/>
        <v/>
      </c>
      <c r="BU175" s="1132" t="str">
        <f t="shared" si="304"/>
        <v/>
      </c>
      <c r="BV175" s="1144" t="str">
        <f t="shared" si="283"/>
        <v/>
      </c>
      <c r="BW175" s="1146" t="str">
        <f t="shared" si="305"/>
        <v/>
      </c>
      <c r="BX175" s="1147" t="str">
        <f t="shared" si="285"/>
        <v/>
      </c>
      <c r="BY175" s="1147" t="str">
        <f t="shared" si="306"/>
        <v/>
      </c>
      <c r="BZ175" s="1148" t="str">
        <f t="shared" si="287"/>
        <v/>
      </c>
      <c r="CA175" s="1139" t="str">
        <f t="shared" si="292"/>
        <v/>
      </c>
    </row>
    <row r="176" spans="47:79" ht="24.95" hidden="1" customHeight="1">
      <c r="AU176" s="1141" t="str">
        <f t="shared" si="307"/>
        <v/>
      </c>
      <c r="AV176" s="1141" t="str">
        <f t="shared" si="293"/>
        <v/>
      </c>
      <c r="AW176" s="1141"/>
      <c r="AX176" s="1149"/>
      <c r="AY176" s="1129" t="str">
        <f t="shared" si="294"/>
        <v/>
      </c>
      <c r="AZ176" s="1150"/>
      <c r="BA176" s="1102" t="str">
        <f t="shared" si="295"/>
        <v/>
      </c>
      <c r="BB176" s="1102" t="str">
        <f t="shared" si="296"/>
        <v/>
      </c>
      <c r="BC176" s="1132" t="str">
        <f t="shared" si="297"/>
        <v/>
      </c>
      <c r="BD176" s="1151" t="str">
        <f t="shared" si="274"/>
        <v/>
      </c>
      <c r="BE176" s="1152" t="str">
        <f t="shared" si="298"/>
        <v/>
      </c>
      <c r="BF176" s="1153" t="str">
        <f t="shared" si="289"/>
        <v/>
      </c>
      <c r="BG176" s="1152" t="str">
        <f t="shared" si="299"/>
        <v/>
      </c>
      <c r="BH176" s="1153" t="str">
        <f t="shared" si="277"/>
        <v/>
      </c>
      <c r="BI176" s="1137" t="str">
        <f t="shared" si="290"/>
        <v/>
      </c>
      <c r="BM176" s="1142" t="str">
        <f t="shared" si="308"/>
        <v/>
      </c>
      <c r="BN176" s="1143" t="str">
        <f t="shared" si="300"/>
        <v/>
      </c>
      <c r="BO176" s="1143"/>
      <c r="BP176" s="1143"/>
      <c r="BQ176" s="1129" t="str">
        <f t="shared" si="301"/>
        <v/>
      </c>
      <c r="BR176" s="1104"/>
      <c r="BS176" s="1142" t="str">
        <f t="shared" si="302"/>
        <v/>
      </c>
      <c r="BT176" s="1142" t="str">
        <f t="shared" si="303"/>
        <v/>
      </c>
      <c r="BU176" s="1132" t="str">
        <f t="shared" si="304"/>
        <v/>
      </c>
      <c r="BV176" s="1144" t="str">
        <f t="shared" si="283"/>
        <v/>
      </c>
      <c r="BW176" s="1146" t="str">
        <f t="shared" si="305"/>
        <v/>
      </c>
      <c r="BX176" s="1147" t="str">
        <f t="shared" si="285"/>
        <v/>
      </c>
      <c r="BY176" s="1147" t="str">
        <f t="shared" si="306"/>
        <v/>
      </c>
      <c r="BZ176" s="1148" t="str">
        <f t="shared" si="287"/>
        <v/>
      </c>
      <c r="CA176" s="1139" t="str">
        <f t="shared" si="292"/>
        <v/>
      </c>
    </row>
    <row r="177" spans="47:79" ht="24.95" hidden="1" customHeight="1">
      <c r="AU177" s="1141" t="str">
        <f t="shared" si="307"/>
        <v/>
      </c>
      <c r="AV177" s="1141" t="str">
        <f t="shared" si="293"/>
        <v/>
      </c>
      <c r="AW177" s="1141"/>
      <c r="AX177" s="1149"/>
      <c r="AY177" s="1129" t="str">
        <f t="shared" si="294"/>
        <v/>
      </c>
      <c r="AZ177" s="1150"/>
      <c r="BA177" s="1102" t="str">
        <f t="shared" si="295"/>
        <v/>
      </c>
      <c r="BB177" s="1102" t="str">
        <f t="shared" si="296"/>
        <v/>
      </c>
      <c r="BC177" s="1132" t="str">
        <f t="shared" si="297"/>
        <v/>
      </c>
      <c r="BD177" s="1151" t="str">
        <f t="shared" si="274"/>
        <v/>
      </c>
      <c r="BE177" s="1152" t="str">
        <f t="shared" si="298"/>
        <v/>
      </c>
      <c r="BF177" s="1153" t="str">
        <f t="shared" si="289"/>
        <v/>
      </c>
      <c r="BG177" s="1152" t="str">
        <f t="shared" si="299"/>
        <v/>
      </c>
      <c r="BH177" s="1153" t="str">
        <f t="shared" si="277"/>
        <v/>
      </c>
      <c r="BI177" s="1137" t="str">
        <f t="shared" si="290"/>
        <v/>
      </c>
      <c r="BM177" s="1142" t="str">
        <f t="shared" si="308"/>
        <v/>
      </c>
      <c r="BN177" s="1143" t="str">
        <f t="shared" si="300"/>
        <v/>
      </c>
      <c r="BO177" s="1143"/>
      <c r="BP177" s="1143"/>
      <c r="BQ177" s="1129" t="str">
        <f t="shared" si="301"/>
        <v/>
      </c>
      <c r="BR177" s="1104"/>
      <c r="BS177" s="1142" t="str">
        <f t="shared" si="302"/>
        <v/>
      </c>
      <c r="BT177" s="1142" t="str">
        <f t="shared" si="303"/>
        <v/>
      </c>
      <c r="BU177" s="1132" t="str">
        <f t="shared" si="304"/>
        <v/>
      </c>
      <c r="BV177" s="1144" t="str">
        <f t="shared" si="283"/>
        <v/>
      </c>
      <c r="BW177" s="1146" t="str">
        <f t="shared" si="305"/>
        <v/>
      </c>
      <c r="BX177" s="1147" t="str">
        <f t="shared" si="285"/>
        <v/>
      </c>
      <c r="BY177" s="1147" t="str">
        <f t="shared" si="306"/>
        <v/>
      </c>
      <c r="BZ177" s="1148" t="str">
        <f t="shared" si="287"/>
        <v/>
      </c>
      <c r="CA177" s="1139" t="str">
        <f t="shared" si="292"/>
        <v/>
      </c>
    </row>
    <row r="178" spans="47:79" ht="24.95" hidden="1" customHeight="1">
      <c r="AU178" s="1141" t="str">
        <f t="shared" si="307"/>
        <v/>
      </c>
      <c r="AV178" s="1141" t="str">
        <f t="shared" si="293"/>
        <v/>
      </c>
      <c r="AW178" s="1141"/>
      <c r="AX178" s="1149"/>
      <c r="AY178" s="1129" t="str">
        <f t="shared" si="294"/>
        <v/>
      </c>
      <c r="AZ178" s="1150"/>
      <c r="BA178" s="1102" t="str">
        <f t="shared" si="295"/>
        <v/>
      </c>
      <c r="BB178" s="1102" t="str">
        <f t="shared" si="296"/>
        <v/>
      </c>
      <c r="BC178" s="1132" t="str">
        <f t="shared" si="297"/>
        <v/>
      </c>
      <c r="BD178" s="1151" t="str">
        <f t="shared" si="274"/>
        <v/>
      </c>
      <c r="BE178" s="1152" t="str">
        <f t="shared" si="298"/>
        <v/>
      </c>
      <c r="BF178" s="1153" t="str">
        <f t="shared" si="289"/>
        <v/>
      </c>
      <c r="BG178" s="1152" t="str">
        <f t="shared" si="299"/>
        <v/>
      </c>
      <c r="BH178" s="1153" t="str">
        <f t="shared" si="277"/>
        <v/>
      </c>
      <c r="BI178" s="1137" t="str">
        <f t="shared" si="290"/>
        <v/>
      </c>
      <c r="BM178" s="1142" t="str">
        <f t="shared" si="308"/>
        <v/>
      </c>
      <c r="BN178" s="1143" t="str">
        <f t="shared" si="300"/>
        <v/>
      </c>
      <c r="BO178" s="1143"/>
      <c r="BP178" s="1143"/>
      <c r="BQ178" s="1129" t="str">
        <f t="shared" si="301"/>
        <v/>
      </c>
      <c r="BR178" s="1104"/>
      <c r="BS178" s="1142" t="str">
        <f t="shared" si="302"/>
        <v/>
      </c>
      <c r="BT178" s="1142" t="str">
        <f t="shared" si="303"/>
        <v/>
      </c>
      <c r="BU178" s="1132" t="str">
        <f t="shared" si="304"/>
        <v/>
      </c>
      <c r="BV178" s="1144" t="str">
        <f t="shared" si="283"/>
        <v/>
      </c>
      <c r="BW178" s="1146" t="str">
        <f t="shared" si="305"/>
        <v/>
      </c>
      <c r="BX178" s="1147" t="str">
        <f t="shared" si="285"/>
        <v/>
      </c>
      <c r="BY178" s="1147" t="str">
        <f t="shared" si="306"/>
        <v/>
      </c>
      <c r="BZ178" s="1148" t="str">
        <f t="shared" si="287"/>
        <v/>
      </c>
      <c r="CA178" s="1139" t="str">
        <f t="shared" si="292"/>
        <v/>
      </c>
    </row>
    <row r="179" spans="47:79" ht="24.95" hidden="1" customHeight="1">
      <c r="AU179" s="1141" t="str">
        <f t="shared" si="307"/>
        <v/>
      </c>
      <c r="AV179" s="1141" t="str">
        <f t="shared" si="293"/>
        <v/>
      </c>
      <c r="AW179" s="1141"/>
      <c r="AX179" s="1149"/>
      <c r="AY179" s="1129" t="str">
        <f t="shared" si="294"/>
        <v/>
      </c>
      <c r="AZ179" s="1150"/>
      <c r="BA179" s="1102" t="str">
        <f t="shared" si="295"/>
        <v/>
      </c>
      <c r="BB179" s="1102" t="str">
        <f t="shared" si="296"/>
        <v/>
      </c>
      <c r="BC179" s="1132" t="str">
        <f t="shared" si="297"/>
        <v/>
      </c>
      <c r="BD179" s="1151" t="str">
        <f t="shared" si="274"/>
        <v/>
      </c>
      <c r="BE179" s="1152" t="str">
        <f t="shared" si="298"/>
        <v/>
      </c>
      <c r="BF179" s="1153" t="str">
        <f t="shared" si="289"/>
        <v/>
      </c>
      <c r="BG179" s="1152" t="str">
        <f t="shared" si="299"/>
        <v/>
      </c>
      <c r="BH179" s="1153" t="str">
        <f t="shared" si="277"/>
        <v/>
      </c>
      <c r="BI179" s="1137" t="str">
        <f t="shared" si="290"/>
        <v/>
      </c>
      <c r="BM179" s="1142" t="str">
        <f t="shared" si="308"/>
        <v/>
      </c>
      <c r="BN179" s="1143" t="str">
        <f t="shared" si="300"/>
        <v/>
      </c>
      <c r="BO179" s="1143"/>
      <c r="BP179" s="1143"/>
      <c r="BQ179" s="1129" t="str">
        <f t="shared" si="301"/>
        <v/>
      </c>
      <c r="BR179" s="1104"/>
      <c r="BS179" s="1142" t="str">
        <f t="shared" si="302"/>
        <v/>
      </c>
      <c r="BT179" s="1142" t="str">
        <f t="shared" si="303"/>
        <v/>
      </c>
      <c r="BU179" s="1132" t="str">
        <f t="shared" si="304"/>
        <v/>
      </c>
      <c r="BV179" s="1144" t="str">
        <f t="shared" si="283"/>
        <v/>
      </c>
      <c r="BW179" s="1146" t="str">
        <f t="shared" si="305"/>
        <v/>
      </c>
      <c r="BX179" s="1147" t="str">
        <f t="shared" si="285"/>
        <v/>
      </c>
      <c r="BY179" s="1147" t="str">
        <f t="shared" si="306"/>
        <v/>
      </c>
      <c r="BZ179" s="1148" t="str">
        <f t="shared" si="287"/>
        <v/>
      </c>
      <c r="CA179" s="1139" t="str">
        <f t="shared" si="292"/>
        <v/>
      </c>
    </row>
    <row r="180" spans="47:79" ht="24.95" hidden="1" customHeight="1">
      <c r="AU180" s="1141" t="str">
        <f t="shared" si="307"/>
        <v/>
      </c>
      <c r="AV180" s="1141" t="str">
        <f t="shared" si="293"/>
        <v/>
      </c>
      <c r="AW180" s="1141"/>
      <c r="AX180" s="1149"/>
      <c r="AY180" s="1129" t="str">
        <f t="shared" si="294"/>
        <v/>
      </c>
      <c r="AZ180" s="1150"/>
      <c r="BA180" s="1102" t="str">
        <f t="shared" si="295"/>
        <v/>
      </c>
      <c r="BB180" s="1102" t="str">
        <f t="shared" si="296"/>
        <v/>
      </c>
      <c r="BC180" s="1132" t="str">
        <f t="shared" si="297"/>
        <v/>
      </c>
      <c r="BD180" s="1151" t="str">
        <f t="shared" si="274"/>
        <v/>
      </c>
      <c r="BE180" s="1152" t="str">
        <f t="shared" si="298"/>
        <v/>
      </c>
      <c r="BF180" s="1153" t="str">
        <f t="shared" si="289"/>
        <v/>
      </c>
      <c r="BG180" s="1152" t="str">
        <f t="shared" si="299"/>
        <v/>
      </c>
      <c r="BH180" s="1153" t="str">
        <f t="shared" si="277"/>
        <v/>
      </c>
      <c r="BI180" s="1137" t="str">
        <f t="shared" si="290"/>
        <v/>
      </c>
      <c r="BM180" s="1142" t="str">
        <f t="shared" si="308"/>
        <v/>
      </c>
      <c r="BN180" s="1143" t="str">
        <f t="shared" si="300"/>
        <v/>
      </c>
      <c r="BO180" s="1143"/>
      <c r="BP180" s="1143"/>
      <c r="BQ180" s="1129" t="str">
        <f t="shared" si="301"/>
        <v/>
      </c>
      <c r="BR180" s="1104"/>
      <c r="BS180" s="1142" t="str">
        <f t="shared" si="302"/>
        <v/>
      </c>
      <c r="BT180" s="1142" t="str">
        <f t="shared" si="303"/>
        <v/>
      </c>
      <c r="BU180" s="1132" t="str">
        <f t="shared" si="304"/>
        <v/>
      </c>
      <c r="BV180" s="1144" t="str">
        <f t="shared" si="283"/>
        <v/>
      </c>
      <c r="BW180" s="1146" t="str">
        <f t="shared" si="305"/>
        <v/>
      </c>
      <c r="BX180" s="1147" t="str">
        <f t="shared" si="285"/>
        <v/>
      </c>
      <c r="BY180" s="1147" t="str">
        <f t="shared" si="306"/>
        <v/>
      </c>
      <c r="BZ180" s="1148" t="str">
        <f t="shared" si="287"/>
        <v/>
      </c>
      <c r="CA180" s="1139" t="str">
        <f t="shared" si="292"/>
        <v/>
      </c>
    </row>
    <row r="181" spans="47:79" ht="24.95" hidden="1" customHeight="1">
      <c r="AU181" s="1141" t="str">
        <f t="shared" si="307"/>
        <v/>
      </c>
      <c r="AV181" s="1141" t="str">
        <f t="shared" si="293"/>
        <v/>
      </c>
      <c r="AW181" s="1141"/>
      <c r="AX181" s="1149"/>
      <c r="AY181" s="1129" t="str">
        <f t="shared" si="294"/>
        <v/>
      </c>
      <c r="AZ181" s="1150"/>
      <c r="BA181" s="1102" t="str">
        <f t="shared" si="295"/>
        <v/>
      </c>
      <c r="BB181" s="1102" t="str">
        <f t="shared" si="296"/>
        <v/>
      </c>
      <c r="BC181" s="1132" t="str">
        <f t="shared" si="297"/>
        <v/>
      </c>
      <c r="BD181" s="1151" t="str">
        <f t="shared" si="274"/>
        <v/>
      </c>
      <c r="BE181" s="1152" t="str">
        <f t="shared" si="298"/>
        <v/>
      </c>
      <c r="BF181" s="1153" t="str">
        <f t="shared" si="289"/>
        <v/>
      </c>
      <c r="BG181" s="1152" t="str">
        <f t="shared" si="299"/>
        <v/>
      </c>
      <c r="BH181" s="1153" t="str">
        <f t="shared" si="277"/>
        <v/>
      </c>
      <c r="BI181" s="1137" t="str">
        <f t="shared" si="290"/>
        <v/>
      </c>
      <c r="BM181" s="1142" t="str">
        <f t="shared" si="308"/>
        <v/>
      </c>
      <c r="BN181" s="1143" t="str">
        <f t="shared" si="300"/>
        <v/>
      </c>
      <c r="BO181" s="1143"/>
      <c r="BP181" s="1143"/>
      <c r="BQ181" s="1129" t="str">
        <f t="shared" si="301"/>
        <v/>
      </c>
      <c r="BR181" s="1104"/>
      <c r="BS181" s="1142" t="str">
        <f t="shared" si="302"/>
        <v/>
      </c>
      <c r="BT181" s="1142" t="str">
        <f t="shared" si="303"/>
        <v/>
      </c>
      <c r="BU181" s="1132" t="str">
        <f t="shared" si="304"/>
        <v/>
      </c>
      <c r="BV181" s="1144" t="str">
        <f t="shared" si="283"/>
        <v/>
      </c>
      <c r="BW181" s="1146" t="str">
        <f t="shared" si="305"/>
        <v/>
      </c>
      <c r="BX181" s="1147" t="str">
        <f t="shared" si="285"/>
        <v/>
      </c>
      <c r="BY181" s="1147" t="str">
        <f t="shared" si="306"/>
        <v/>
      </c>
      <c r="BZ181" s="1148" t="str">
        <f t="shared" si="287"/>
        <v/>
      </c>
      <c r="CA181" s="1139" t="str">
        <f t="shared" si="292"/>
        <v/>
      </c>
    </row>
    <row r="182" spans="47:79" ht="24.95" hidden="1" customHeight="1">
      <c r="AU182" s="1141" t="str">
        <f t="shared" si="307"/>
        <v/>
      </c>
      <c r="AV182" s="1141" t="str">
        <f t="shared" si="293"/>
        <v/>
      </c>
      <c r="AW182" s="1141"/>
      <c r="AX182" s="1149"/>
      <c r="AY182" s="1129" t="str">
        <f t="shared" si="294"/>
        <v/>
      </c>
      <c r="AZ182" s="1150"/>
      <c r="BA182" s="1102" t="str">
        <f t="shared" si="295"/>
        <v/>
      </c>
      <c r="BB182" s="1102" t="str">
        <f t="shared" si="296"/>
        <v/>
      </c>
      <c r="BC182" s="1132" t="str">
        <f t="shared" si="297"/>
        <v/>
      </c>
      <c r="BD182" s="1151" t="str">
        <f t="shared" si="274"/>
        <v/>
      </c>
      <c r="BE182" s="1152" t="str">
        <f t="shared" si="298"/>
        <v/>
      </c>
      <c r="BF182" s="1153" t="str">
        <f t="shared" si="289"/>
        <v/>
      </c>
      <c r="BG182" s="1152" t="str">
        <f t="shared" si="299"/>
        <v/>
      </c>
      <c r="BH182" s="1153" t="str">
        <f t="shared" si="277"/>
        <v/>
      </c>
      <c r="BI182" s="1137" t="str">
        <f t="shared" si="290"/>
        <v/>
      </c>
      <c r="BM182" s="1142" t="str">
        <f t="shared" si="308"/>
        <v/>
      </c>
      <c r="BN182" s="1143" t="str">
        <f t="shared" si="300"/>
        <v/>
      </c>
      <c r="BO182" s="1143"/>
      <c r="BP182" s="1143"/>
      <c r="BQ182" s="1129" t="str">
        <f t="shared" si="301"/>
        <v/>
      </c>
      <c r="BR182" s="1104"/>
      <c r="BS182" s="1142" t="str">
        <f t="shared" si="302"/>
        <v/>
      </c>
      <c r="BT182" s="1142" t="str">
        <f t="shared" si="303"/>
        <v/>
      </c>
      <c r="BU182" s="1132" t="str">
        <f t="shared" si="304"/>
        <v/>
      </c>
      <c r="BV182" s="1144" t="str">
        <f t="shared" si="283"/>
        <v/>
      </c>
      <c r="BW182" s="1146" t="str">
        <f t="shared" si="305"/>
        <v/>
      </c>
      <c r="BX182" s="1147" t="str">
        <f t="shared" si="285"/>
        <v/>
      </c>
      <c r="BY182" s="1147" t="str">
        <f t="shared" si="306"/>
        <v/>
      </c>
      <c r="BZ182" s="1148" t="str">
        <f t="shared" si="287"/>
        <v/>
      </c>
      <c r="CA182" s="1139" t="str">
        <f t="shared" si="292"/>
        <v/>
      </c>
    </row>
    <row r="183" spans="47:79" ht="24.95" hidden="1" customHeight="1">
      <c r="AU183" s="1141" t="str">
        <f t="shared" si="307"/>
        <v/>
      </c>
      <c r="AV183" s="1141" t="str">
        <f t="shared" si="293"/>
        <v/>
      </c>
      <c r="AW183" s="1141"/>
      <c r="AX183" s="1149"/>
      <c r="AY183" s="1129" t="str">
        <f t="shared" si="294"/>
        <v/>
      </c>
      <c r="AZ183" s="1150"/>
      <c r="BA183" s="1102" t="str">
        <f t="shared" si="295"/>
        <v/>
      </c>
      <c r="BB183" s="1102" t="str">
        <f t="shared" si="296"/>
        <v/>
      </c>
      <c r="BC183" s="1132" t="str">
        <f t="shared" si="297"/>
        <v/>
      </c>
      <c r="BD183" s="1151" t="str">
        <f t="shared" si="274"/>
        <v/>
      </c>
      <c r="BE183" s="1152" t="str">
        <f t="shared" si="298"/>
        <v/>
      </c>
      <c r="BF183" s="1153" t="str">
        <f t="shared" si="289"/>
        <v/>
      </c>
      <c r="BG183" s="1152" t="str">
        <f t="shared" si="299"/>
        <v/>
      </c>
      <c r="BH183" s="1153" t="str">
        <f t="shared" si="277"/>
        <v/>
      </c>
      <c r="BI183" s="1137" t="str">
        <f t="shared" si="290"/>
        <v/>
      </c>
      <c r="BM183" s="1142" t="str">
        <f t="shared" si="308"/>
        <v/>
      </c>
      <c r="BN183" s="1143" t="str">
        <f t="shared" si="300"/>
        <v/>
      </c>
      <c r="BO183" s="1143"/>
      <c r="BP183" s="1143"/>
      <c r="BQ183" s="1129" t="str">
        <f t="shared" si="301"/>
        <v/>
      </c>
      <c r="BR183" s="1104"/>
      <c r="BS183" s="1142" t="str">
        <f t="shared" si="302"/>
        <v/>
      </c>
      <c r="BT183" s="1142" t="str">
        <f t="shared" si="303"/>
        <v/>
      </c>
      <c r="BU183" s="1132" t="str">
        <f t="shared" si="304"/>
        <v/>
      </c>
      <c r="BV183" s="1144" t="str">
        <f t="shared" si="283"/>
        <v/>
      </c>
      <c r="BW183" s="1146" t="str">
        <f t="shared" si="305"/>
        <v/>
      </c>
      <c r="BX183" s="1147" t="str">
        <f t="shared" si="285"/>
        <v/>
      </c>
      <c r="BY183" s="1147" t="str">
        <f t="shared" si="306"/>
        <v/>
      </c>
      <c r="BZ183" s="1148" t="str">
        <f t="shared" si="287"/>
        <v/>
      </c>
      <c r="CA183" s="1139" t="str">
        <f t="shared" si="292"/>
        <v/>
      </c>
    </row>
    <row r="184" spans="47:79" ht="24.95" hidden="1" customHeight="1">
      <c r="AU184" s="1141" t="str">
        <f t="shared" si="307"/>
        <v/>
      </c>
      <c r="AV184" s="1141" t="str">
        <f t="shared" si="293"/>
        <v/>
      </c>
      <c r="AW184" s="1141"/>
      <c r="AX184" s="1149"/>
      <c r="AY184" s="1129" t="str">
        <f t="shared" si="294"/>
        <v/>
      </c>
      <c r="AZ184" s="1150"/>
      <c r="BA184" s="1102" t="str">
        <f t="shared" si="295"/>
        <v/>
      </c>
      <c r="BB184" s="1102" t="str">
        <f t="shared" si="296"/>
        <v/>
      </c>
      <c r="BC184" s="1132" t="str">
        <f t="shared" si="297"/>
        <v/>
      </c>
      <c r="BD184" s="1151" t="str">
        <f t="shared" si="274"/>
        <v/>
      </c>
      <c r="BE184" s="1152" t="str">
        <f t="shared" si="298"/>
        <v/>
      </c>
      <c r="BF184" s="1153" t="str">
        <f t="shared" si="289"/>
        <v/>
      </c>
      <c r="BG184" s="1152" t="str">
        <f t="shared" si="299"/>
        <v/>
      </c>
      <c r="BH184" s="1153" t="str">
        <f t="shared" si="277"/>
        <v/>
      </c>
      <c r="BI184" s="1137" t="str">
        <f t="shared" si="290"/>
        <v/>
      </c>
      <c r="BM184" s="1142" t="str">
        <f t="shared" si="308"/>
        <v/>
      </c>
      <c r="BN184" s="1143" t="str">
        <f t="shared" si="300"/>
        <v/>
      </c>
      <c r="BO184" s="1143"/>
      <c r="BP184" s="1143"/>
      <c r="BQ184" s="1129" t="str">
        <f t="shared" si="301"/>
        <v/>
      </c>
      <c r="BR184" s="1104"/>
      <c r="BS184" s="1142" t="str">
        <f t="shared" si="302"/>
        <v/>
      </c>
      <c r="BT184" s="1142" t="str">
        <f t="shared" si="303"/>
        <v/>
      </c>
      <c r="BU184" s="1132" t="str">
        <f t="shared" si="304"/>
        <v/>
      </c>
      <c r="BV184" s="1144" t="str">
        <f t="shared" si="283"/>
        <v/>
      </c>
      <c r="BW184" s="1146" t="str">
        <f t="shared" si="305"/>
        <v/>
      </c>
      <c r="BX184" s="1147" t="str">
        <f t="shared" si="285"/>
        <v/>
      </c>
      <c r="BY184" s="1147" t="str">
        <f t="shared" si="306"/>
        <v/>
      </c>
      <c r="BZ184" s="1148" t="str">
        <f t="shared" si="287"/>
        <v/>
      </c>
      <c r="CA184" s="1139" t="str">
        <f t="shared" si="292"/>
        <v/>
      </c>
    </row>
    <row r="185" spans="47:79" ht="24.95" hidden="1" customHeight="1">
      <c r="AU185" s="1141" t="str">
        <f t="shared" si="307"/>
        <v/>
      </c>
      <c r="AV185" s="1141" t="str">
        <f t="shared" si="293"/>
        <v/>
      </c>
      <c r="AW185" s="1141"/>
      <c r="AX185" s="1149"/>
      <c r="AY185" s="1129" t="str">
        <f t="shared" si="294"/>
        <v/>
      </c>
      <c r="AZ185" s="1150"/>
      <c r="BA185" s="1102" t="str">
        <f t="shared" si="295"/>
        <v/>
      </c>
      <c r="BB185" s="1102" t="str">
        <f t="shared" si="296"/>
        <v/>
      </c>
      <c r="BC185" s="1132" t="str">
        <f t="shared" si="297"/>
        <v/>
      </c>
      <c r="BD185" s="1151" t="str">
        <f t="shared" si="274"/>
        <v/>
      </c>
      <c r="BE185" s="1152" t="str">
        <f t="shared" si="298"/>
        <v/>
      </c>
      <c r="BF185" s="1153" t="str">
        <f t="shared" si="289"/>
        <v/>
      </c>
      <c r="BG185" s="1152" t="str">
        <f t="shared" si="299"/>
        <v/>
      </c>
      <c r="BH185" s="1153" t="str">
        <f t="shared" si="277"/>
        <v/>
      </c>
      <c r="BI185" s="1137" t="str">
        <f t="shared" si="290"/>
        <v/>
      </c>
      <c r="BM185" s="1142" t="str">
        <f t="shared" si="308"/>
        <v/>
      </c>
      <c r="BN185" s="1143" t="str">
        <f t="shared" si="300"/>
        <v/>
      </c>
      <c r="BO185" s="1143"/>
      <c r="BP185" s="1143"/>
      <c r="BQ185" s="1129" t="str">
        <f t="shared" si="301"/>
        <v/>
      </c>
      <c r="BR185" s="1104"/>
      <c r="BS185" s="1142" t="str">
        <f t="shared" si="302"/>
        <v/>
      </c>
      <c r="BT185" s="1142" t="str">
        <f t="shared" si="303"/>
        <v/>
      </c>
      <c r="BU185" s="1132" t="str">
        <f t="shared" si="304"/>
        <v/>
      </c>
      <c r="BV185" s="1144" t="str">
        <f t="shared" si="283"/>
        <v/>
      </c>
      <c r="BW185" s="1146" t="str">
        <f t="shared" si="305"/>
        <v/>
      </c>
      <c r="BX185" s="1147" t="str">
        <f t="shared" si="285"/>
        <v/>
      </c>
      <c r="BY185" s="1147" t="str">
        <f t="shared" si="306"/>
        <v/>
      </c>
      <c r="BZ185" s="1148" t="str">
        <f t="shared" si="287"/>
        <v/>
      </c>
      <c r="CA185" s="1139" t="str">
        <f t="shared" si="292"/>
        <v/>
      </c>
    </row>
    <row r="186" spans="47:79" ht="24.95" hidden="1" customHeight="1">
      <c r="AU186" s="1141" t="str">
        <f t="shared" si="307"/>
        <v/>
      </c>
      <c r="AV186" s="1141" t="str">
        <f t="shared" si="293"/>
        <v/>
      </c>
      <c r="AW186" s="1141"/>
      <c r="AX186" s="1149"/>
      <c r="AY186" s="1129" t="str">
        <f t="shared" si="294"/>
        <v/>
      </c>
      <c r="AZ186" s="1150"/>
      <c r="BA186" s="1102" t="str">
        <f t="shared" si="295"/>
        <v/>
      </c>
      <c r="BB186" s="1102" t="str">
        <f t="shared" si="296"/>
        <v/>
      </c>
      <c r="BC186" s="1132" t="str">
        <f t="shared" si="297"/>
        <v/>
      </c>
      <c r="BD186" s="1151" t="str">
        <f t="shared" si="274"/>
        <v/>
      </c>
      <c r="BE186" s="1152" t="str">
        <f t="shared" si="298"/>
        <v/>
      </c>
      <c r="BF186" s="1153" t="str">
        <f t="shared" si="289"/>
        <v/>
      </c>
      <c r="BG186" s="1152" t="str">
        <f t="shared" si="299"/>
        <v/>
      </c>
      <c r="BH186" s="1153" t="str">
        <f t="shared" si="277"/>
        <v/>
      </c>
      <c r="BI186" s="1137" t="str">
        <f t="shared" si="290"/>
        <v/>
      </c>
      <c r="BM186" s="1142" t="str">
        <f t="shared" si="308"/>
        <v/>
      </c>
      <c r="BN186" s="1143" t="str">
        <f t="shared" si="300"/>
        <v/>
      </c>
      <c r="BO186" s="1143"/>
      <c r="BP186" s="1143"/>
      <c r="BQ186" s="1129" t="str">
        <f t="shared" si="301"/>
        <v/>
      </c>
      <c r="BR186" s="1104"/>
      <c r="BS186" s="1142" t="str">
        <f t="shared" si="302"/>
        <v/>
      </c>
      <c r="BT186" s="1142" t="str">
        <f t="shared" si="303"/>
        <v/>
      </c>
      <c r="BU186" s="1132" t="str">
        <f t="shared" si="304"/>
        <v/>
      </c>
      <c r="BV186" s="1144" t="str">
        <f t="shared" si="283"/>
        <v/>
      </c>
      <c r="BW186" s="1146" t="str">
        <f t="shared" si="305"/>
        <v/>
      </c>
      <c r="BX186" s="1147" t="str">
        <f t="shared" si="285"/>
        <v/>
      </c>
      <c r="BY186" s="1147" t="str">
        <f t="shared" si="306"/>
        <v/>
      </c>
      <c r="BZ186" s="1148" t="str">
        <f t="shared" si="287"/>
        <v/>
      </c>
      <c r="CA186" s="1139" t="str">
        <f t="shared" si="292"/>
        <v/>
      </c>
    </row>
    <row r="187" spans="47:79" ht="24.95" hidden="1" customHeight="1">
      <c r="AU187" s="1141" t="str">
        <f t="shared" si="307"/>
        <v/>
      </c>
      <c r="AV187" s="1141" t="str">
        <f t="shared" si="293"/>
        <v/>
      </c>
      <c r="AW187" s="1141"/>
      <c r="AX187" s="1149"/>
      <c r="AY187" s="1129" t="str">
        <f t="shared" si="294"/>
        <v/>
      </c>
      <c r="AZ187" s="1150"/>
      <c r="BA187" s="1102" t="str">
        <f t="shared" si="295"/>
        <v/>
      </c>
      <c r="BB187" s="1102" t="str">
        <f t="shared" si="296"/>
        <v/>
      </c>
      <c r="BC187" s="1132" t="str">
        <f t="shared" si="297"/>
        <v/>
      </c>
      <c r="BD187" s="1151" t="str">
        <f t="shared" si="274"/>
        <v/>
      </c>
      <c r="BE187" s="1152" t="str">
        <f t="shared" si="298"/>
        <v/>
      </c>
      <c r="BF187" s="1153" t="str">
        <f t="shared" si="289"/>
        <v/>
      </c>
      <c r="BG187" s="1152" t="str">
        <f t="shared" si="299"/>
        <v/>
      </c>
      <c r="BH187" s="1153" t="str">
        <f t="shared" si="277"/>
        <v/>
      </c>
      <c r="BI187" s="1137" t="str">
        <f t="shared" si="290"/>
        <v/>
      </c>
      <c r="BM187" s="1142" t="str">
        <f t="shared" si="308"/>
        <v/>
      </c>
      <c r="BN187" s="1143" t="str">
        <f t="shared" si="300"/>
        <v/>
      </c>
      <c r="BO187" s="1143"/>
      <c r="BP187" s="1143"/>
      <c r="BQ187" s="1129" t="str">
        <f t="shared" si="301"/>
        <v/>
      </c>
      <c r="BR187" s="1104"/>
      <c r="BS187" s="1142" t="str">
        <f t="shared" si="302"/>
        <v/>
      </c>
      <c r="BT187" s="1142" t="str">
        <f t="shared" si="303"/>
        <v/>
      </c>
      <c r="BU187" s="1132" t="str">
        <f t="shared" si="304"/>
        <v/>
      </c>
      <c r="BV187" s="1144" t="str">
        <f t="shared" si="283"/>
        <v/>
      </c>
      <c r="BW187" s="1146" t="str">
        <f t="shared" si="305"/>
        <v/>
      </c>
      <c r="BX187" s="1147" t="str">
        <f t="shared" si="285"/>
        <v/>
      </c>
      <c r="BY187" s="1147" t="str">
        <f t="shared" si="306"/>
        <v/>
      </c>
      <c r="BZ187" s="1148" t="str">
        <f t="shared" si="287"/>
        <v/>
      </c>
      <c r="CA187" s="1139" t="str">
        <f t="shared" si="292"/>
        <v/>
      </c>
    </row>
    <row r="188" spans="47:79" ht="24.95" hidden="1" customHeight="1">
      <c r="AU188" s="1141" t="str">
        <f t="shared" si="307"/>
        <v/>
      </c>
      <c r="AV188" s="1141" t="str">
        <f t="shared" si="293"/>
        <v/>
      </c>
      <c r="AW188" s="1141"/>
      <c r="AX188" s="1149"/>
      <c r="AY188" s="1129" t="str">
        <f t="shared" si="294"/>
        <v/>
      </c>
      <c r="AZ188" s="1150"/>
      <c r="BA188" s="1102" t="str">
        <f t="shared" si="295"/>
        <v/>
      </c>
      <c r="BB188" s="1102" t="str">
        <f t="shared" si="296"/>
        <v/>
      </c>
      <c r="BC188" s="1132" t="str">
        <f t="shared" si="297"/>
        <v/>
      </c>
      <c r="BD188" s="1151" t="str">
        <f t="shared" si="274"/>
        <v/>
      </c>
      <c r="BE188" s="1152" t="str">
        <f t="shared" si="298"/>
        <v/>
      </c>
      <c r="BF188" s="1153" t="str">
        <f t="shared" si="289"/>
        <v/>
      </c>
      <c r="BG188" s="1152" t="str">
        <f t="shared" si="299"/>
        <v/>
      </c>
      <c r="BH188" s="1153" t="str">
        <f t="shared" si="277"/>
        <v/>
      </c>
      <c r="BI188" s="1137" t="str">
        <f t="shared" si="290"/>
        <v/>
      </c>
      <c r="BM188" s="1142" t="str">
        <f t="shared" si="308"/>
        <v/>
      </c>
      <c r="BN188" s="1143" t="str">
        <f t="shared" si="300"/>
        <v/>
      </c>
      <c r="BO188" s="1143"/>
      <c r="BP188" s="1143"/>
      <c r="BQ188" s="1129" t="str">
        <f t="shared" si="301"/>
        <v/>
      </c>
      <c r="BR188" s="1104"/>
      <c r="BS188" s="1142" t="str">
        <f t="shared" si="302"/>
        <v/>
      </c>
      <c r="BT188" s="1142" t="str">
        <f t="shared" si="303"/>
        <v/>
      </c>
      <c r="BU188" s="1132" t="str">
        <f t="shared" si="304"/>
        <v/>
      </c>
      <c r="BV188" s="1144" t="str">
        <f t="shared" si="283"/>
        <v/>
      </c>
      <c r="BW188" s="1146" t="str">
        <f t="shared" si="305"/>
        <v/>
      </c>
      <c r="BX188" s="1147" t="str">
        <f t="shared" si="285"/>
        <v/>
      </c>
      <c r="BY188" s="1147" t="str">
        <f t="shared" si="306"/>
        <v/>
      </c>
      <c r="BZ188" s="1148" t="str">
        <f t="shared" si="287"/>
        <v/>
      </c>
      <c r="CA188" s="1139" t="str">
        <f t="shared" si="292"/>
        <v/>
      </c>
    </row>
    <row r="189" spans="47:79" ht="24.95" hidden="1" customHeight="1">
      <c r="AU189" s="1141" t="str">
        <f t="shared" si="307"/>
        <v/>
      </c>
      <c r="AV189" s="1141" t="str">
        <f t="shared" ref="AV189:AV204" si="309">IF(K72&lt;&gt;"",K72,"")</f>
        <v/>
      </c>
      <c r="AW189" s="1141"/>
      <c r="AX189" s="1149"/>
      <c r="AY189" s="1129" t="str">
        <f t="shared" ref="AY189:AY200" si="310">IF(M72&lt;&gt;"",MID(M72,7,200),"")</f>
        <v/>
      </c>
      <c r="AZ189" s="1150"/>
      <c r="BA189" s="1102" t="str">
        <f t="shared" ref="BA189:BA204" si="311">IF(N72&gt;0,N72,"")</f>
        <v/>
      </c>
      <c r="BB189" s="1102" t="str">
        <f t="shared" ref="BB189:BB204" si="312">IF(O72&lt;&gt;"",O72,"")</f>
        <v/>
      </c>
      <c r="BC189" s="1132" t="str">
        <f t="shared" ref="BC189:BC200" si="313">IF(M72&lt;&gt;"",MID(P72,5,100),"")</f>
        <v/>
      </c>
      <c r="BD189" s="1151" t="str">
        <f t="shared" ref="BD189:BD204" si="314">IF(AY189="","",quote_currency_symbol)</f>
        <v/>
      </c>
      <c r="BE189" s="1152" t="str">
        <f t="shared" ref="BE189:BE204" si="315">IF(M72&lt;&gt;"",U72,"")</f>
        <v/>
      </c>
      <c r="BF189" s="1153" t="str">
        <f t="shared" si="289"/>
        <v/>
      </c>
      <c r="BG189" s="1152" t="str">
        <f t="shared" ref="BG189:BG204" si="316">IF(M72&lt;&gt;"",W72,"")</f>
        <v/>
      </c>
      <c r="BH189" s="1153" t="str">
        <f t="shared" ref="BH189:BH204" si="317">IF(AY189="","",quote_currency_symbol)</f>
        <v/>
      </c>
      <c r="BI189" s="1137" t="str">
        <f t="shared" si="290"/>
        <v/>
      </c>
      <c r="BM189" s="1142" t="str">
        <f t="shared" si="308"/>
        <v/>
      </c>
      <c r="BN189" s="1143" t="str">
        <f t="shared" ref="BN189:BN204" si="318">IF(M72&lt;&gt;"",K72,"")</f>
        <v/>
      </c>
      <c r="BO189" s="1143"/>
      <c r="BP189" s="1143"/>
      <c r="BQ189" s="1129" t="str">
        <f t="shared" ref="BQ189:BQ204" si="319">IF(M72&lt;&gt;"",MID(M72,7,200),"")</f>
        <v/>
      </c>
      <c r="BR189" s="1104"/>
      <c r="BS189" s="1142" t="str">
        <f t="shared" ref="BS189:BS204" si="320">IF(N72&gt;0,N72,"")</f>
        <v/>
      </c>
      <c r="BT189" s="1142" t="str">
        <f t="shared" ref="BT189:BT204" si="321">IF(O72&lt;&gt;"",O72,"")</f>
        <v/>
      </c>
      <c r="BU189" s="1132" t="str">
        <f t="shared" ref="BU189:BU204" si="322">IF(M72&lt;&gt;"",MID(P72,5,100),"")</f>
        <v/>
      </c>
      <c r="BV189" s="1144" t="str">
        <f t="shared" ref="BV189:BV204" si="323">IF(BQ189="","",quote_currency_symbol)</f>
        <v/>
      </c>
      <c r="BW189" s="1146" t="str">
        <f t="shared" ref="BW189:BW204" si="324">IF(M72&lt;&gt;"",U72,"")</f>
        <v/>
      </c>
      <c r="BX189" s="1147" t="str">
        <f t="shared" ref="BX189:BX204" si="325">IF(BQ189="","",quote_currency_symbol)</f>
        <v/>
      </c>
      <c r="BY189" s="1147" t="str">
        <f t="shared" ref="BY189:BY204" si="326">IF(M72&lt;&gt;"",W72,"")</f>
        <v/>
      </c>
      <c r="BZ189" s="1148" t="str">
        <f t="shared" ref="BZ189:BZ204" si="327">IF(BQ189="","",quote_currency_symbol)</f>
        <v/>
      </c>
      <c r="CA189" s="1139" t="str">
        <f t="shared" si="292"/>
        <v/>
      </c>
    </row>
    <row r="190" spans="47:79" ht="24.95" hidden="1" customHeight="1">
      <c r="AU190" s="1141" t="str">
        <f t="shared" ref="AU190:AU204" si="328">IF(M73="","",AU189+1)</f>
        <v/>
      </c>
      <c r="AV190" s="1141" t="str">
        <f t="shared" si="309"/>
        <v/>
      </c>
      <c r="AW190" s="1141"/>
      <c r="AX190" s="1149"/>
      <c r="AY190" s="1129" t="str">
        <f t="shared" si="310"/>
        <v/>
      </c>
      <c r="AZ190" s="1150"/>
      <c r="BA190" s="1102" t="str">
        <f t="shared" si="311"/>
        <v/>
      </c>
      <c r="BB190" s="1102" t="str">
        <f t="shared" si="312"/>
        <v/>
      </c>
      <c r="BC190" s="1132" t="str">
        <f t="shared" si="313"/>
        <v/>
      </c>
      <c r="BD190" s="1151" t="str">
        <f t="shared" si="314"/>
        <v/>
      </c>
      <c r="BE190" s="1152" t="str">
        <f t="shared" si="315"/>
        <v/>
      </c>
      <c r="BF190" s="1153" t="str">
        <f t="shared" ref="BF190:BF204" si="329">IF(AY190="","",quote_currency_symbol)</f>
        <v/>
      </c>
      <c r="BG190" s="1152" t="str">
        <f t="shared" si="316"/>
        <v/>
      </c>
      <c r="BH190" s="1153" t="str">
        <f t="shared" si="317"/>
        <v/>
      </c>
      <c r="BI190" s="1137" t="str">
        <f t="shared" ref="BI190:BI204" si="330">IF(AND(AY190&lt;&gt;"",BA190&gt;0),(N(BA190))*BE190-BG190,"")</f>
        <v/>
      </c>
      <c r="BM190" s="1142" t="str">
        <f t="shared" ref="BM190:BM204" si="331">IF(M73="","",BM189+1)</f>
        <v/>
      </c>
      <c r="BN190" s="1143" t="str">
        <f t="shared" si="318"/>
        <v/>
      </c>
      <c r="BO190" s="1143"/>
      <c r="BP190" s="1143"/>
      <c r="BQ190" s="1129" t="str">
        <f t="shared" si="319"/>
        <v/>
      </c>
      <c r="BR190" s="1104"/>
      <c r="BS190" s="1142" t="str">
        <f t="shared" si="320"/>
        <v/>
      </c>
      <c r="BT190" s="1142" t="str">
        <f t="shared" si="321"/>
        <v/>
      </c>
      <c r="BU190" s="1132" t="str">
        <f t="shared" si="322"/>
        <v/>
      </c>
      <c r="BV190" s="1144" t="str">
        <f t="shared" si="323"/>
        <v/>
      </c>
      <c r="BW190" s="1146" t="str">
        <f t="shared" si="324"/>
        <v/>
      </c>
      <c r="BX190" s="1147" t="str">
        <f t="shared" si="325"/>
        <v/>
      </c>
      <c r="BY190" s="1147" t="str">
        <f t="shared" si="326"/>
        <v/>
      </c>
      <c r="BZ190" s="1148" t="str">
        <f t="shared" si="327"/>
        <v/>
      </c>
      <c r="CA190" s="1139" t="str">
        <f t="shared" ref="CA190:CA204" si="332">IF(AND(BQ190&lt;&gt;"",BS190&gt;0),(N(BS190))*BW190-BY190,"")</f>
        <v/>
      </c>
    </row>
    <row r="191" spans="47:79" ht="24.95" hidden="1" customHeight="1">
      <c r="AU191" s="1141" t="str">
        <f t="shared" si="328"/>
        <v/>
      </c>
      <c r="AV191" s="1141" t="str">
        <f t="shared" si="309"/>
        <v/>
      </c>
      <c r="AW191" s="1141"/>
      <c r="AX191" s="1149"/>
      <c r="AY191" s="1129" t="str">
        <f t="shared" si="310"/>
        <v/>
      </c>
      <c r="AZ191" s="1150"/>
      <c r="BA191" s="1102" t="str">
        <f t="shared" si="311"/>
        <v/>
      </c>
      <c r="BB191" s="1102" t="str">
        <f t="shared" si="312"/>
        <v/>
      </c>
      <c r="BC191" s="1132" t="str">
        <f t="shared" si="313"/>
        <v/>
      </c>
      <c r="BD191" s="1151" t="str">
        <f t="shared" si="314"/>
        <v/>
      </c>
      <c r="BE191" s="1152" t="str">
        <f t="shared" si="315"/>
        <v/>
      </c>
      <c r="BF191" s="1153" t="str">
        <f t="shared" si="329"/>
        <v/>
      </c>
      <c r="BG191" s="1152" t="str">
        <f t="shared" si="316"/>
        <v/>
      </c>
      <c r="BH191" s="1153" t="str">
        <f t="shared" si="317"/>
        <v/>
      </c>
      <c r="BI191" s="1137" t="str">
        <f t="shared" si="330"/>
        <v/>
      </c>
      <c r="BM191" s="1142" t="str">
        <f t="shared" si="331"/>
        <v/>
      </c>
      <c r="BN191" s="1143" t="str">
        <f t="shared" si="318"/>
        <v/>
      </c>
      <c r="BO191" s="1143"/>
      <c r="BP191" s="1143"/>
      <c r="BQ191" s="1129" t="str">
        <f t="shared" si="319"/>
        <v/>
      </c>
      <c r="BR191" s="1104"/>
      <c r="BS191" s="1142" t="str">
        <f t="shared" si="320"/>
        <v/>
      </c>
      <c r="BT191" s="1142" t="str">
        <f t="shared" si="321"/>
        <v/>
      </c>
      <c r="BU191" s="1132" t="str">
        <f t="shared" si="322"/>
        <v/>
      </c>
      <c r="BV191" s="1144" t="str">
        <f t="shared" si="323"/>
        <v/>
      </c>
      <c r="BW191" s="1146" t="str">
        <f t="shared" si="324"/>
        <v/>
      </c>
      <c r="BX191" s="1147" t="str">
        <f t="shared" si="325"/>
        <v/>
      </c>
      <c r="BY191" s="1147" t="str">
        <f t="shared" si="326"/>
        <v/>
      </c>
      <c r="BZ191" s="1148" t="str">
        <f t="shared" si="327"/>
        <v/>
      </c>
      <c r="CA191" s="1139" t="str">
        <f t="shared" si="332"/>
        <v/>
      </c>
    </row>
    <row r="192" spans="47:79" ht="24.95" hidden="1" customHeight="1">
      <c r="AU192" s="1141" t="str">
        <f t="shared" si="328"/>
        <v/>
      </c>
      <c r="AV192" s="1141" t="str">
        <f t="shared" si="309"/>
        <v/>
      </c>
      <c r="AW192" s="1141"/>
      <c r="AX192" s="1149"/>
      <c r="AY192" s="1129" t="str">
        <f t="shared" si="310"/>
        <v/>
      </c>
      <c r="AZ192" s="1150"/>
      <c r="BA192" s="1102" t="str">
        <f t="shared" si="311"/>
        <v/>
      </c>
      <c r="BB192" s="1102" t="str">
        <f t="shared" si="312"/>
        <v/>
      </c>
      <c r="BC192" s="1132" t="str">
        <f t="shared" si="313"/>
        <v/>
      </c>
      <c r="BD192" s="1151" t="str">
        <f t="shared" si="314"/>
        <v/>
      </c>
      <c r="BE192" s="1152" t="str">
        <f t="shared" si="315"/>
        <v/>
      </c>
      <c r="BF192" s="1153" t="str">
        <f t="shared" si="329"/>
        <v/>
      </c>
      <c r="BG192" s="1152" t="str">
        <f t="shared" si="316"/>
        <v/>
      </c>
      <c r="BH192" s="1153" t="str">
        <f t="shared" si="317"/>
        <v/>
      </c>
      <c r="BI192" s="1137" t="str">
        <f t="shared" si="330"/>
        <v/>
      </c>
      <c r="BM192" s="1142" t="str">
        <f t="shared" si="331"/>
        <v/>
      </c>
      <c r="BN192" s="1143" t="str">
        <f t="shared" si="318"/>
        <v/>
      </c>
      <c r="BO192" s="1143"/>
      <c r="BP192" s="1143"/>
      <c r="BQ192" s="1129" t="str">
        <f t="shared" si="319"/>
        <v/>
      </c>
      <c r="BR192" s="1104"/>
      <c r="BS192" s="1142" t="str">
        <f t="shared" si="320"/>
        <v/>
      </c>
      <c r="BT192" s="1142" t="str">
        <f t="shared" si="321"/>
        <v/>
      </c>
      <c r="BU192" s="1132" t="str">
        <f t="shared" si="322"/>
        <v/>
      </c>
      <c r="BV192" s="1144" t="str">
        <f t="shared" si="323"/>
        <v/>
      </c>
      <c r="BW192" s="1146" t="str">
        <f t="shared" si="324"/>
        <v/>
      </c>
      <c r="BX192" s="1147" t="str">
        <f t="shared" si="325"/>
        <v/>
      </c>
      <c r="BY192" s="1147" t="str">
        <f t="shared" si="326"/>
        <v/>
      </c>
      <c r="BZ192" s="1148" t="str">
        <f t="shared" si="327"/>
        <v/>
      </c>
      <c r="CA192" s="1139" t="str">
        <f t="shared" si="332"/>
        <v/>
      </c>
    </row>
    <row r="193" spans="47:79" ht="24.95" hidden="1" customHeight="1">
      <c r="AU193" s="1141" t="str">
        <f t="shared" si="328"/>
        <v/>
      </c>
      <c r="AV193" s="1141" t="str">
        <f t="shared" si="309"/>
        <v/>
      </c>
      <c r="AW193" s="1141"/>
      <c r="AX193" s="1149"/>
      <c r="AY193" s="1129" t="str">
        <f t="shared" si="310"/>
        <v/>
      </c>
      <c r="AZ193" s="1150"/>
      <c r="BA193" s="1102" t="str">
        <f t="shared" si="311"/>
        <v/>
      </c>
      <c r="BB193" s="1102" t="str">
        <f t="shared" si="312"/>
        <v/>
      </c>
      <c r="BC193" s="1132" t="str">
        <f t="shared" si="313"/>
        <v/>
      </c>
      <c r="BD193" s="1151" t="str">
        <f t="shared" si="314"/>
        <v/>
      </c>
      <c r="BE193" s="1152" t="str">
        <f t="shared" si="315"/>
        <v/>
      </c>
      <c r="BF193" s="1153" t="str">
        <f t="shared" si="329"/>
        <v/>
      </c>
      <c r="BG193" s="1152" t="str">
        <f t="shared" si="316"/>
        <v/>
      </c>
      <c r="BH193" s="1153" t="str">
        <f t="shared" si="317"/>
        <v/>
      </c>
      <c r="BI193" s="1137" t="str">
        <f t="shared" si="330"/>
        <v/>
      </c>
      <c r="BM193" s="1142" t="str">
        <f t="shared" si="331"/>
        <v/>
      </c>
      <c r="BN193" s="1143" t="str">
        <f t="shared" si="318"/>
        <v/>
      </c>
      <c r="BO193" s="1143"/>
      <c r="BP193" s="1143"/>
      <c r="BQ193" s="1129" t="str">
        <f t="shared" si="319"/>
        <v/>
      </c>
      <c r="BR193" s="1104"/>
      <c r="BS193" s="1142" t="str">
        <f t="shared" si="320"/>
        <v/>
      </c>
      <c r="BT193" s="1142" t="str">
        <f t="shared" si="321"/>
        <v/>
      </c>
      <c r="BU193" s="1132" t="str">
        <f t="shared" si="322"/>
        <v/>
      </c>
      <c r="BV193" s="1144" t="str">
        <f t="shared" si="323"/>
        <v/>
      </c>
      <c r="BW193" s="1146" t="str">
        <f t="shared" si="324"/>
        <v/>
      </c>
      <c r="BX193" s="1147" t="str">
        <f t="shared" si="325"/>
        <v/>
      </c>
      <c r="BY193" s="1147" t="str">
        <f t="shared" si="326"/>
        <v/>
      </c>
      <c r="BZ193" s="1148" t="str">
        <f t="shared" si="327"/>
        <v/>
      </c>
      <c r="CA193" s="1139" t="str">
        <f t="shared" si="332"/>
        <v/>
      </c>
    </row>
    <row r="194" spans="47:79" ht="24.95" hidden="1" customHeight="1">
      <c r="AU194" s="1141" t="str">
        <f t="shared" si="328"/>
        <v/>
      </c>
      <c r="AV194" s="1141" t="str">
        <f t="shared" si="309"/>
        <v/>
      </c>
      <c r="AW194" s="1141"/>
      <c r="AX194" s="1149"/>
      <c r="AY194" s="1129" t="str">
        <f t="shared" si="310"/>
        <v/>
      </c>
      <c r="AZ194" s="1150"/>
      <c r="BA194" s="1102" t="str">
        <f t="shared" si="311"/>
        <v/>
      </c>
      <c r="BB194" s="1102" t="str">
        <f t="shared" si="312"/>
        <v/>
      </c>
      <c r="BC194" s="1132" t="str">
        <f t="shared" si="313"/>
        <v/>
      </c>
      <c r="BD194" s="1151" t="str">
        <f t="shared" si="314"/>
        <v/>
      </c>
      <c r="BE194" s="1152" t="str">
        <f t="shared" si="315"/>
        <v/>
      </c>
      <c r="BF194" s="1153" t="str">
        <f t="shared" si="329"/>
        <v/>
      </c>
      <c r="BG194" s="1152" t="str">
        <f t="shared" si="316"/>
        <v/>
      </c>
      <c r="BH194" s="1153" t="str">
        <f t="shared" si="317"/>
        <v/>
      </c>
      <c r="BI194" s="1137" t="str">
        <f t="shared" si="330"/>
        <v/>
      </c>
      <c r="BM194" s="1142" t="str">
        <f t="shared" si="331"/>
        <v/>
      </c>
      <c r="BN194" s="1143" t="str">
        <f t="shared" si="318"/>
        <v/>
      </c>
      <c r="BO194" s="1143"/>
      <c r="BP194" s="1143"/>
      <c r="BQ194" s="1129" t="str">
        <f t="shared" si="319"/>
        <v/>
      </c>
      <c r="BR194" s="1104"/>
      <c r="BS194" s="1142" t="str">
        <f t="shared" si="320"/>
        <v/>
      </c>
      <c r="BT194" s="1142" t="str">
        <f t="shared" si="321"/>
        <v/>
      </c>
      <c r="BU194" s="1132" t="str">
        <f t="shared" si="322"/>
        <v/>
      </c>
      <c r="BV194" s="1144" t="str">
        <f t="shared" si="323"/>
        <v/>
      </c>
      <c r="BW194" s="1146" t="str">
        <f t="shared" si="324"/>
        <v/>
      </c>
      <c r="BX194" s="1147" t="str">
        <f t="shared" si="325"/>
        <v/>
      </c>
      <c r="BY194" s="1147" t="str">
        <f t="shared" si="326"/>
        <v/>
      </c>
      <c r="BZ194" s="1148" t="str">
        <f t="shared" si="327"/>
        <v/>
      </c>
      <c r="CA194" s="1139" t="str">
        <f t="shared" si="332"/>
        <v/>
      </c>
    </row>
    <row r="195" spans="47:79" ht="24.95" hidden="1" customHeight="1">
      <c r="AU195" s="1141" t="str">
        <f t="shared" si="328"/>
        <v/>
      </c>
      <c r="AV195" s="1141" t="str">
        <f t="shared" si="309"/>
        <v/>
      </c>
      <c r="AW195" s="1141"/>
      <c r="AX195" s="1149"/>
      <c r="AY195" s="1129" t="str">
        <f t="shared" si="310"/>
        <v/>
      </c>
      <c r="AZ195" s="1150"/>
      <c r="BA195" s="1102" t="str">
        <f t="shared" si="311"/>
        <v/>
      </c>
      <c r="BB195" s="1102" t="str">
        <f t="shared" si="312"/>
        <v/>
      </c>
      <c r="BC195" s="1132" t="str">
        <f t="shared" si="313"/>
        <v/>
      </c>
      <c r="BD195" s="1151" t="str">
        <f t="shared" si="314"/>
        <v/>
      </c>
      <c r="BE195" s="1152" t="str">
        <f t="shared" si="315"/>
        <v/>
      </c>
      <c r="BF195" s="1153" t="str">
        <f t="shared" si="329"/>
        <v/>
      </c>
      <c r="BG195" s="1152" t="str">
        <f t="shared" si="316"/>
        <v/>
      </c>
      <c r="BH195" s="1153" t="str">
        <f t="shared" si="317"/>
        <v/>
      </c>
      <c r="BI195" s="1137" t="str">
        <f t="shared" si="330"/>
        <v/>
      </c>
      <c r="BM195" s="1142" t="str">
        <f t="shared" si="331"/>
        <v/>
      </c>
      <c r="BN195" s="1143" t="str">
        <f t="shared" si="318"/>
        <v/>
      </c>
      <c r="BO195" s="1143"/>
      <c r="BP195" s="1143"/>
      <c r="BQ195" s="1129" t="str">
        <f t="shared" si="319"/>
        <v/>
      </c>
      <c r="BR195" s="1104"/>
      <c r="BS195" s="1142" t="str">
        <f t="shared" si="320"/>
        <v/>
      </c>
      <c r="BT195" s="1142" t="str">
        <f t="shared" si="321"/>
        <v/>
      </c>
      <c r="BU195" s="1132" t="str">
        <f t="shared" si="322"/>
        <v/>
      </c>
      <c r="BV195" s="1144" t="str">
        <f t="shared" si="323"/>
        <v/>
      </c>
      <c r="BW195" s="1146" t="str">
        <f t="shared" si="324"/>
        <v/>
      </c>
      <c r="BX195" s="1147" t="str">
        <f t="shared" si="325"/>
        <v/>
      </c>
      <c r="BY195" s="1147" t="str">
        <f t="shared" si="326"/>
        <v/>
      </c>
      <c r="BZ195" s="1148" t="str">
        <f t="shared" si="327"/>
        <v/>
      </c>
      <c r="CA195" s="1139" t="str">
        <f t="shared" si="332"/>
        <v/>
      </c>
    </row>
    <row r="196" spans="47:79" ht="24.95" hidden="1" customHeight="1">
      <c r="AU196" s="1141" t="str">
        <f t="shared" si="328"/>
        <v/>
      </c>
      <c r="AV196" s="1141" t="str">
        <f t="shared" si="309"/>
        <v/>
      </c>
      <c r="AW196" s="1141"/>
      <c r="AX196" s="1149"/>
      <c r="AY196" s="1129" t="str">
        <f t="shared" si="310"/>
        <v/>
      </c>
      <c r="AZ196" s="1150"/>
      <c r="BA196" s="1102" t="str">
        <f t="shared" si="311"/>
        <v/>
      </c>
      <c r="BB196" s="1102" t="str">
        <f t="shared" si="312"/>
        <v/>
      </c>
      <c r="BC196" s="1132" t="str">
        <f t="shared" si="313"/>
        <v/>
      </c>
      <c r="BD196" s="1151" t="str">
        <f t="shared" si="314"/>
        <v/>
      </c>
      <c r="BE196" s="1152" t="str">
        <f t="shared" si="315"/>
        <v/>
      </c>
      <c r="BF196" s="1153" t="str">
        <f t="shared" si="329"/>
        <v/>
      </c>
      <c r="BG196" s="1152" t="str">
        <f t="shared" si="316"/>
        <v/>
      </c>
      <c r="BH196" s="1153" t="str">
        <f t="shared" si="317"/>
        <v/>
      </c>
      <c r="BI196" s="1137" t="str">
        <f t="shared" si="330"/>
        <v/>
      </c>
      <c r="BM196" s="1142" t="str">
        <f t="shared" si="331"/>
        <v/>
      </c>
      <c r="BN196" s="1143" t="str">
        <f t="shared" si="318"/>
        <v/>
      </c>
      <c r="BO196" s="1143"/>
      <c r="BP196" s="1143"/>
      <c r="BQ196" s="1129" t="str">
        <f t="shared" si="319"/>
        <v/>
      </c>
      <c r="BR196" s="1104"/>
      <c r="BS196" s="1142" t="str">
        <f t="shared" si="320"/>
        <v/>
      </c>
      <c r="BT196" s="1142" t="str">
        <f t="shared" si="321"/>
        <v/>
      </c>
      <c r="BU196" s="1132" t="str">
        <f t="shared" si="322"/>
        <v/>
      </c>
      <c r="BV196" s="1144" t="str">
        <f t="shared" si="323"/>
        <v/>
      </c>
      <c r="BW196" s="1146" t="str">
        <f t="shared" si="324"/>
        <v/>
      </c>
      <c r="BX196" s="1147" t="str">
        <f t="shared" si="325"/>
        <v/>
      </c>
      <c r="BY196" s="1147" t="str">
        <f t="shared" si="326"/>
        <v/>
      </c>
      <c r="BZ196" s="1148" t="str">
        <f t="shared" si="327"/>
        <v/>
      </c>
      <c r="CA196" s="1139" t="str">
        <f t="shared" si="332"/>
        <v/>
      </c>
    </row>
    <row r="197" spans="47:79" ht="24.95" hidden="1" customHeight="1">
      <c r="AU197" s="1141" t="str">
        <f t="shared" si="328"/>
        <v/>
      </c>
      <c r="AV197" s="1141" t="str">
        <f t="shared" si="309"/>
        <v/>
      </c>
      <c r="AW197" s="1141"/>
      <c r="AX197" s="1149"/>
      <c r="AY197" s="1129" t="str">
        <f t="shared" si="310"/>
        <v/>
      </c>
      <c r="AZ197" s="1150"/>
      <c r="BA197" s="1102" t="str">
        <f t="shared" si="311"/>
        <v/>
      </c>
      <c r="BB197" s="1102" t="str">
        <f t="shared" si="312"/>
        <v/>
      </c>
      <c r="BC197" s="1132" t="str">
        <f t="shared" si="313"/>
        <v/>
      </c>
      <c r="BD197" s="1151" t="str">
        <f t="shared" si="314"/>
        <v/>
      </c>
      <c r="BE197" s="1152" t="str">
        <f t="shared" si="315"/>
        <v/>
      </c>
      <c r="BF197" s="1153" t="str">
        <f t="shared" si="329"/>
        <v/>
      </c>
      <c r="BG197" s="1152" t="str">
        <f t="shared" si="316"/>
        <v/>
      </c>
      <c r="BH197" s="1153" t="str">
        <f t="shared" si="317"/>
        <v/>
      </c>
      <c r="BI197" s="1137" t="str">
        <f t="shared" si="330"/>
        <v/>
      </c>
      <c r="BM197" s="1142" t="str">
        <f t="shared" si="331"/>
        <v/>
      </c>
      <c r="BN197" s="1143" t="str">
        <f t="shared" si="318"/>
        <v/>
      </c>
      <c r="BO197" s="1143"/>
      <c r="BP197" s="1143"/>
      <c r="BQ197" s="1129" t="str">
        <f t="shared" si="319"/>
        <v/>
      </c>
      <c r="BR197" s="1104"/>
      <c r="BS197" s="1142" t="str">
        <f t="shared" si="320"/>
        <v/>
      </c>
      <c r="BT197" s="1142" t="str">
        <f t="shared" si="321"/>
        <v/>
      </c>
      <c r="BU197" s="1132" t="str">
        <f t="shared" si="322"/>
        <v/>
      </c>
      <c r="BV197" s="1144" t="str">
        <f t="shared" si="323"/>
        <v/>
      </c>
      <c r="BW197" s="1146" t="str">
        <f t="shared" si="324"/>
        <v/>
      </c>
      <c r="BX197" s="1147" t="str">
        <f t="shared" si="325"/>
        <v/>
      </c>
      <c r="BY197" s="1147" t="str">
        <f t="shared" si="326"/>
        <v/>
      </c>
      <c r="BZ197" s="1148" t="str">
        <f t="shared" si="327"/>
        <v/>
      </c>
      <c r="CA197" s="1139" t="str">
        <f t="shared" si="332"/>
        <v/>
      </c>
    </row>
    <row r="198" spans="47:79" ht="24.95" hidden="1" customHeight="1">
      <c r="AU198" s="1141" t="str">
        <f t="shared" si="328"/>
        <v/>
      </c>
      <c r="AV198" s="1141" t="str">
        <f t="shared" si="309"/>
        <v/>
      </c>
      <c r="AW198" s="1141"/>
      <c r="AX198" s="1149"/>
      <c r="AY198" s="1129" t="str">
        <f t="shared" si="310"/>
        <v/>
      </c>
      <c r="AZ198" s="1150"/>
      <c r="BA198" s="1102" t="str">
        <f t="shared" si="311"/>
        <v/>
      </c>
      <c r="BB198" s="1102" t="str">
        <f t="shared" si="312"/>
        <v/>
      </c>
      <c r="BC198" s="1132" t="str">
        <f t="shared" si="313"/>
        <v/>
      </c>
      <c r="BD198" s="1151" t="str">
        <f t="shared" si="314"/>
        <v/>
      </c>
      <c r="BE198" s="1152" t="str">
        <f t="shared" si="315"/>
        <v/>
      </c>
      <c r="BF198" s="1153" t="str">
        <f t="shared" si="329"/>
        <v/>
      </c>
      <c r="BG198" s="1152" t="str">
        <f t="shared" si="316"/>
        <v/>
      </c>
      <c r="BH198" s="1153" t="str">
        <f t="shared" si="317"/>
        <v/>
      </c>
      <c r="BI198" s="1137" t="str">
        <f t="shared" si="330"/>
        <v/>
      </c>
      <c r="BM198" s="1142" t="str">
        <f t="shared" si="331"/>
        <v/>
      </c>
      <c r="BN198" s="1143" t="str">
        <f t="shared" si="318"/>
        <v/>
      </c>
      <c r="BO198" s="1143"/>
      <c r="BP198" s="1143"/>
      <c r="BQ198" s="1129" t="str">
        <f t="shared" si="319"/>
        <v/>
      </c>
      <c r="BR198" s="1104"/>
      <c r="BS198" s="1142" t="str">
        <f t="shared" si="320"/>
        <v/>
      </c>
      <c r="BT198" s="1142" t="str">
        <f t="shared" si="321"/>
        <v/>
      </c>
      <c r="BU198" s="1132" t="str">
        <f t="shared" si="322"/>
        <v/>
      </c>
      <c r="BV198" s="1144" t="str">
        <f t="shared" si="323"/>
        <v/>
      </c>
      <c r="BW198" s="1146" t="str">
        <f t="shared" si="324"/>
        <v/>
      </c>
      <c r="BX198" s="1147" t="str">
        <f t="shared" si="325"/>
        <v/>
      </c>
      <c r="BY198" s="1147" t="str">
        <f t="shared" si="326"/>
        <v/>
      </c>
      <c r="BZ198" s="1148" t="str">
        <f t="shared" si="327"/>
        <v/>
      </c>
      <c r="CA198" s="1139" t="str">
        <f t="shared" si="332"/>
        <v/>
      </c>
    </row>
    <row r="199" spans="47:79" ht="24.95" hidden="1" customHeight="1">
      <c r="AU199" s="1141" t="str">
        <f t="shared" si="328"/>
        <v/>
      </c>
      <c r="AV199" s="1141" t="str">
        <f t="shared" si="309"/>
        <v/>
      </c>
      <c r="AW199" s="1141"/>
      <c r="AX199" s="1149"/>
      <c r="AY199" s="1129" t="str">
        <f t="shared" si="310"/>
        <v/>
      </c>
      <c r="AZ199" s="1150"/>
      <c r="BA199" s="1102" t="str">
        <f t="shared" si="311"/>
        <v/>
      </c>
      <c r="BB199" s="1102" t="str">
        <f t="shared" si="312"/>
        <v/>
      </c>
      <c r="BC199" s="1132" t="str">
        <f t="shared" si="313"/>
        <v/>
      </c>
      <c r="BD199" s="1151" t="str">
        <f t="shared" si="314"/>
        <v/>
      </c>
      <c r="BE199" s="1152" t="str">
        <f t="shared" si="315"/>
        <v/>
      </c>
      <c r="BF199" s="1153" t="str">
        <f t="shared" si="329"/>
        <v/>
      </c>
      <c r="BG199" s="1152" t="str">
        <f t="shared" si="316"/>
        <v/>
      </c>
      <c r="BH199" s="1153" t="str">
        <f t="shared" si="317"/>
        <v/>
      </c>
      <c r="BI199" s="1137" t="str">
        <f t="shared" si="330"/>
        <v/>
      </c>
      <c r="BM199" s="1142" t="str">
        <f t="shared" si="331"/>
        <v/>
      </c>
      <c r="BN199" s="1143" t="str">
        <f t="shared" si="318"/>
        <v/>
      </c>
      <c r="BO199" s="1143"/>
      <c r="BP199" s="1143"/>
      <c r="BQ199" s="1129" t="str">
        <f t="shared" si="319"/>
        <v/>
      </c>
      <c r="BR199" s="1104"/>
      <c r="BS199" s="1142" t="str">
        <f t="shared" si="320"/>
        <v/>
      </c>
      <c r="BT199" s="1142" t="str">
        <f t="shared" si="321"/>
        <v/>
      </c>
      <c r="BU199" s="1132" t="str">
        <f t="shared" si="322"/>
        <v/>
      </c>
      <c r="BV199" s="1144" t="str">
        <f t="shared" si="323"/>
        <v/>
      </c>
      <c r="BW199" s="1146" t="str">
        <f t="shared" si="324"/>
        <v/>
      </c>
      <c r="BX199" s="1147" t="str">
        <f t="shared" si="325"/>
        <v/>
      </c>
      <c r="BY199" s="1147" t="str">
        <f t="shared" si="326"/>
        <v/>
      </c>
      <c r="BZ199" s="1148" t="str">
        <f t="shared" si="327"/>
        <v/>
      </c>
      <c r="CA199" s="1139" t="str">
        <f t="shared" si="332"/>
        <v/>
      </c>
    </row>
    <row r="200" spans="47:79" ht="24.95" hidden="1" customHeight="1">
      <c r="AU200" s="1141" t="str">
        <f t="shared" si="328"/>
        <v/>
      </c>
      <c r="AV200" s="1141" t="str">
        <f t="shared" si="309"/>
        <v/>
      </c>
      <c r="AW200" s="1141"/>
      <c r="AX200" s="1149"/>
      <c r="AY200" s="1129" t="str">
        <f t="shared" si="310"/>
        <v/>
      </c>
      <c r="AZ200" s="1150"/>
      <c r="BA200" s="1102" t="str">
        <f t="shared" si="311"/>
        <v/>
      </c>
      <c r="BB200" s="1102" t="str">
        <f t="shared" si="312"/>
        <v/>
      </c>
      <c r="BC200" s="1132" t="str">
        <f t="shared" si="313"/>
        <v/>
      </c>
      <c r="BD200" s="1151" t="str">
        <f t="shared" si="314"/>
        <v/>
      </c>
      <c r="BE200" s="1152" t="str">
        <f t="shared" si="315"/>
        <v/>
      </c>
      <c r="BF200" s="1153" t="str">
        <f t="shared" si="329"/>
        <v/>
      </c>
      <c r="BG200" s="1152" t="str">
        <f t="shared" si="316"/>
        <v/>
      </c>
      <c r="BH200" s="1153" t="str">
        <f t="shared" si="317"/>
        <v/>
      </c>
      <c r="BI200" s="1137" t="str">
        <f t="shared" si="330"/>
        <v/>
      </c>
      <c r="BM200" s="1142" t="str">
        <f t="shared" si="331"/>
        <v/>
      </c>
      <c r="BN200" s="1143" t="str">
        <f t="shared" si="318"/>
        <v/>
      </c>
      <c r="BO200" s="1143"/>
      <c r="BP200" s="1143"/>
      <c r="BQ200" s="1129" t="str">
        <f t="shared" si="319"/>
        <v/>
      </c>
      <c r="BR200" s="1104"/>
      <c r="BS200" s="1142" t="str">
        <f t="shared" si="320"/>
        <v/>
      </c>
      <c r="BT200" s="1142" t="str">
        <f t="shared" si="321"/>
        <v/>
      </c>
      <c r="BU200" s="1132" t="str">
        <f t="shared" si="322"/>
        <v/>
      </c>
      <c r="BV200" s="1144" t="str">
        <f t="shared" si="323"/>
        <v/>
      </c>
      <c r="BW200" s="1146" t="str">
        <f t="shared" si="324"/>
        <v/>
      </c>
      <c r="BX200" s="1147" t="str">
        <f t="shared" si="325"/>
        <v/>
      </c>
      <c r="BY200" s="1147" t="str">
        <f t="shared" si="326"/>
        <v/>
      </c>
      <c r="BZ200" s="1148" t="str">
        <f t="shared" si="327"/>
        <v/>
      </c>
      <c r="CA200" s="1139" t="str">
        <f t="shared" si="332"/>
        <v/>
      </c>
    </row>
    <row r="201" spans="47:79" ht="24.95" hidden="1" customHeight="1">
      <c r="AU201" s="1141" t="str">
        <f t="shared" si="328"/>
        <v/>
      </c>
      <c r="AV201" s="1141" t="str">
        <f t="shared" si="309"/>
        <v/>
      </c>
      <c r="AW201" s="1141"/>
      <c r="AX201" s="1149"/>
      <c r="AY201" s="1154" t="str">
        <f t="shared" ref="AY201:AY202" si="333">IF(M84&lt;&gt;"",MID(M84,4,100),"")</f>
        <v/>
      </c>
      <c r="AZ201" s="1150"/>
      <c r="BA201" s="1102" t="str">
        <f t="shared" si="311"/>
        <v/>
      </c>
      <c r="BB201" s="1102" t="str">
        <f t="shared" si="312"/>
        <v/>
      </c>
      <c r="BC201" s="1155" t="str">
        <f t="shared" ref="BC201:BC204" si="334">IF(M84&lt;&gt;"",MID(P84,4,100),"")</f>
        <v/>
      </c>
      <c r="BD201" s="1151" t="str">
        <f t="shared" si="314"/>
        <v/>
      </c>
      <c r="BE201" s="1152" t="str">
        <f t="shared" si="315"/>
        <v/>
      </c>
      <c r="BF201" s="1153" t="str">
        <f t="shared" si="329"/>
        <v/>
      </c>
      <c r="BG201" s="1152" t="str">
        <f t="shared" si="316"/>
        <v/>
      </c>
      <c r="BH201" s="1153" t="str">
        <f t="shared" si="317"/>
        <v/>
      </c>
      <c r="BI201" s="1137" t="str">
        <f t="shared" si="330"/>
        <v/>
      </c>
      <c r="BM201" s="1142" t="str">
        <f t="shared" si="331"/>
        <v/>
      </c>
      <c r="BN201" s="1143" t="str">
        <f t="shared" si="318"/>
        <v/>
      </c>
      <c r="BO201" s="1143"/>
      <c r="BP201" s="1143"/>
      <c r="BQ201" s="1129" t="str">
        <f t="shared" si="319"/>
        <v/>
      </c>
      <c r="BR201" s="1104"/>
      <c r="BS201" s="1142" t="str">
        <f t="shared" si="320"/>
        <v/>
      </c>
      <c r="BT201" s="1142" t="str">
        <f t="shared" si="321"/>
        <v/>
      </c>
      <c r="BU201" s="1132" t="str">
        <f t="shared" si="322"/>
        <v/>
      </c>
      <c r="BV201" s="1144" t="str">
        <f t="shared" si="323"/>
        <v/>
      </c>
      <c r="BW201" s="1146" t="str">
        <f t="shared" si="324"/>
        <v/>
      </c>
      <c r="BX201" s="1147" t="str">
        <f t="shared" si="325"/>
        <v/>
      </c>
      <c r="BY201" s="1147" t="str">
        <f t="shared" si="326"/>
        <v/>
      </c>
      <c r="BZ201" s="1148" t="str">
        <f t="shared" si="327"/>
        <v/>
      </c>
      <c r="CA201" s="1139" t="str">
        <f t="shared" si="332"/>
        <v/>
      </c>
    </row>
    <row r="202" spans="47:79" ht="24.95" hidden="1" customHeight="1">
      <c r="AU202" s="1141" t="str">
        <f t="shared" si="328"/>
        <v/>
      </c>
      <c r="AV202" s="1141" t="str">
        <f t="shared" si="309"/>
        <v/>
      </c>
      <c r="AW202" s="1141"/>
      <c r="AX202" s="1149"/>
      <c r="AY202" s="1154" t="str">
        <f t="shared" si="333"/>
        <v/>
      </c>
      <c r="AZ202" s="1150"/>
      <c r="BA202" s="1102" t="str">
        <f t="shared" si="311"/>
        <v/>
      </c>
      <c r="BB202" s="1102" t="str">
        <f t="shared" si="312"/>
        <v/>
      </c>
      <c r="BC202" s="1155" t="str">
        <f t="shared" si="334"/>
        <v/>
      </c>
      <c r="BD202" s="1151" t="str">
        <f t="shared" si="314"/>
        <v/>
      </c>
      <c r="BE202" s="1152" t="str">
        <f t="shared" si="315"/>
        <v/>
      </c>
      <c r="BF202" s="1153" t="str">
        <f t="shared" si="329"/>
        <v/>
      </c>
      <c r="BG202" s="1152" t="str">
        <f t="shared" si="316"/>
        <v/>
      </c>
      <c r="BH202" s="1153" t="str">
        <f t="shared" si="317"/>
        <v/>
      </c>
      <c r="BI202" s="1137" t="str">
        <f t="shared" si="330"/>
        <v/>
      </c>
      <c r="BM202" s="1142" t="str">
        <f t="shared" si="331"/>
        <v/>
      </c>
      <c r="BN202" s="1143" t="str">
        <f t="shared" si="318"/>
        <v/>
      </c>
      <c r="BO202" s="1143"/>
      <c r="BP202" s="1143"/>
      <c r="BQ202" s="1129" t="str">
        <f t="shared" si="319"/>
        <v/>
      </c>
      <c r="BR202" s="1104"/>
      <c r="BS202" s="1142" t="str">
        <f t="shared" si="320"/>
        <v/>
      </c>
      <c r="BT202" s="1142" t="str">
        <f t="shared" si="321"/>
        <v/>
      </c>
      <c r="BU202" s="1132" t="str">
        <f t="shared" si="322"/>
        <v/>
      </c>
      <c r="BV202" s="1144" t="str">
        <f t="shared" si="323"/>
        <v/>
      </c>
      <c r="BW202" s="1146" t="str">
        <f t="shared" si="324"/>
        <v/>
      </c>
      <c r="BX202" s="1147" t="str">
        <f t="shared" si="325"/>
        <v/>
      </c>
      <c r="BY202" s="1147" t="str">
        <f t="shared" si="326"/>
        <v/>
      </c>
      <c r="BZ202" s="1148" t="str">
        <f t="shared" si="327"/>
        <v/>
      </c>
      <c r="CA202" s="1139" t="str">
        <f t="shared" si="332"/>
        <v/>
      </c>
    </row>
    <row r="203" spans="47:79" ht="24.95" hidden="1" customHeight="1">
      <c r="AU203" s="1141" t="str">
        <f t="shared" si="328"/>
        <v/>
      </c>
      <c r="AV203" s="1141" t="str">
        <f t="shared" si="309"/>
        <v/>
      </c>
      <c r="AW203" s="1141"/>
      <c r="AX203" s="1149"/>
      <c r="AY203" s="1154" t="str">
        <f>IF(M86&lt;&gt;"",MID(M86,4,100),"")</f>
        <v/>
      </c>
      <c r="AZ203" s="1150"/>
      <c r="BA203" s="1102" t="str">
        <f t="shared" si="311"/>
        <v/>
      </c>
      <c r="BB203" s="1102" t="str">
        <f t="shared" si="312"/>
        <v/>
      </c>
      <c r="BC203" s="1155" t="str">
        <f t="shared" si="334"/>
        <v/>
      </c>
      <c r="BD203" s="1151" t="str">
        <f t="shared" si="314"/>
        <v/>
      </c>
      <c r="BE203" s="1152" t="str">
        <f t="shared" si="315"/>
        <v/>
      </c>
      <c r="BF203" s="1153" t="str">
        <f t="shared" si="329"/>
        <v/>
      </c>
      <c r="BG203" s="1152" t="str">
        <f t="shared" si="316"/>
        <v/>
      </c>
      <c r="BH203" s="1153" t="str">
        <f t="shared" si="317"/>
        <v/>
      </c>
      <c r="BI203" s="1137" t="str">
        <f t="shared" si="330"/>
        <v/>
      </c>
      <c r="BM203" s="1142" t="str">
        <f t="shared" si="331"/>
        <v/>
      </c>
      <c r="BN203" s="1143" t="str">
        <f t="shared" si="318"/>
        <v/>
      </c>
      <c r="BO203" s="1143"/>
      <c r="BP203" s="1143"/>
      <c r="BQ203" s="1129" t="str">
        <f t="shared" si="319"/>
        <v/>
      </c>
      <c r="BR203" s="1104"/>
      <c r="BS203" s="1142" t="str">
        <f t="shared" si="320"/>
        <v/>
      </c>
      <c r="BT203" s="1142" t="str">
        <f t="shared" si="321"/>
        <v/>
      </c>
      <c r="BU203" s="1132" t="str">
        <f t="shared" si="322"/>
        <v/>
      </c>
      <c r="BV203" s="1144" t="str">
        <f t="shared" si="323"/>
        <v/>
      </c>
      <c r="BW203" s="1146" t="str">
        <f t="shared" si="324"/>
        <v/>
      </c>
      <c r="BX203" s="1147" t="str">
        <f t="shared" si="325"/>
        <v/>
      </c>
      <c r="BY203" s="1147" t="str">
        <f t="shared" si="326"/>
        <v/>
      </c>
      <c r="BZ203" s="1148" t="str">
        <f t="shared" si="327"/>
        <v/>
      </c>
      <c r="CA203" s="1139" t="str">
        <f t="shared" si="332"/>
        <v/>
      </c>
    </row>
    <row r="204" spans="47:79" ht="24.95" hidden="1" customHeight="1">
      <c r="AU204" s="1141" t="str">
        <f t="shared" si="328"/>
        <v/>
      </c>
      <c r="AV204" s="1141" t="str">
        <f t="shared" si="309"/>
        <v/>
      </c>
      <c r="AW204" s="1141"/>
      <c r="AX204" s="1149"/>
      <c r="AY204" s="1154" t="str">
        <f>IF(M87&lt;&gt;"",MID(M87,4,100),"")</f>
        <v/>
      </c>
      <c r="AZ204" s="1150"/>
      <c r="BA204" s="1102" t="str">
        <f t="shared" si="311"/>
        <v/>
      </c>
      <c r="BB204" s="1102" t="str">
        <f t="shared" si="312"/>
        <v/>
      </c>
      <c r="BC204" s="1155" t="str">
        <f t="shared" si="334"/>
        <v/>
      </c>
      <c r="BD204" s="1151" t="str">
        <f t="shared" si="314"/>
        <v/>
      </c>
      <c r="BE204" s="1152" t="str">
        <f t="shared" si="315"/>
        <v/>
      </c>
      <c r="BF204" s="1153" t="str">
        <f t="shared" si="329"/>
        <v/>
      </c>
      <c r="BG204" s="1152" t="str">
        <f t="shared" si="316"/>
        <v/>
      </c>
      <c r="BH204" s="1153" t="str">
        <f t="shared" si="317"/>
        <v/>
      </c>
      <c r="BI204" s="1137" t="str">
        <f t="shared" si="330"/>
        <v/>
      </c>
      <c r="BM204" s="1142" t="str">
        <f t="shared" si="331"/>
        <v/>
      </c>
      <c r="BN204" s="1143" t="str">
        <f t="shared" si="318"/>
        <v/>
      </c>
      <c r="BO204" s="1143"/>
      <c r="BP204" s="1143"/>
      <c r="BQ204" s="1129" t="str">
        <f t="shared" si="319"/>
        <v/>
      </c>
      <c r="BR204" s="1104"/>
      <c r="BS204" s="1142" t="str">
        <f t="shared" si="320"/>
        <v/>
      </c>
      <c r="BT204" s="1142" t="str">
        <f t="shared" si="321"/>
        <v/>
      </c>
      <c r="BU204" s="1132" t="str">
        <f t="shared" si="322"/>
        <v/>
      </c>
      <c r="BV204" s="1144" t="str">
        <f t="shared" si="323"/>
        <v/>
      </c>
      <c r="BW204" s="1146" t="str">
        <f t="shared" si="324"/>
        <v/>
      </c>
      <c r="BX204" s="1147" t="str">
        <f t="shared" si="325"/>
        <v/>
      </c>
      <c r="BY204" s="1147" t="str">
        <f t="shared" si="326"/>
        <v/>
      </c>
      <c r="BZ204" s="1148" t="str">
        <f t="shared" si="327"/>
        <v/>
      </c>
      <c r="CA204" s="1139" t="str">
        <f t="shared" si="332"/>
        <v/>
      </c>
    </row>
    <row r="205" spans="47:79" ht="24.95" customHeight="1">
      <c r="AU205" s="981"/>
      <c r="BG205" s="1156" t="s">
        <v>1523</v>
      </c>
      <c r="BH205" s="1157" t="e">
        <f>quote_currency_symbol</f>
        <v>#NAME?</v>
      </c>
      <c r="BI205" s="1158">
        <f>SUM(BI125:BI204)</f>
        <v>0</v>
      </c>
      <c r="BM205" s="980"/>
      <c r="BY205" s="1156" t="s">
        <v>1523</v>
      </c>
      <c r="BZ205" s="1156" t="e">
        <f>quote_currency_symbol</f>
        <v>#NAME?</v>
      </c>
      <c r="CA205" s="1159">
        <f>SUM(CA125:CA204)</f>
        <v>0</v>
      </c>
    </row>
    <row r="206" spans="47:79" ht="24.95" customHeight="1">
      <c r="AU206" s="1160" t="s">
        <v>1525</v>
      </c>
      <c r="BG206" s="1161" t="s">
        <v>661</v>
      </c>
      <c r="BH206" s="1157" t="e">
        <f>quote_currency_symbol</f>
        <v>#NAME?</v>
      </c>
      <c r="BI206" s="1162">
        <f>Y89</f>
        <v>0</v>
      </c>
      <c r="BM206" s="1163" t="s">
        <v>1525</v>
      </c>
      <c r="BY206" s="1161" t="s">
        <v>661</v>
      </c>
      <c r="BZ206" s="1156" t="e">
        <f>quote_currency_symbol</f>
        <v>#NAME?</v>
      </c>
      <c r="CA206" s="1147">
        <f>Y89</f>
        <v>0</v>
      </c>
    </row>
    <row r="207" spans="47:79" ht="24.95" customHeight="1">
      <c r="BG207" s="1161" t="s">
        <v>662</v>
      </c>
      <c r="BH207" s="1157" t="e">
        <f>quote_currency_symbol</f>
        <v>#NAME?</v>
      </c>
      <c r="BI207" s="1162">
        <f>Y90</f>
        <v>0</v>
      </c>
      <c r="BY207" s="1161" t="s">
        <v>662</v>
      </c>
      <c r="BZ207" s="1156" t="e">
        <f>quote_currency_symbol</f>
        <v>#NAME?</v>
      </c>
      <c r="CA207" s="1147">
        <f>Y90</f>
        <v>0</v>
      </c>
    </row>
    <row r="208" spans="47:79" ht="24.95" customHeight="1">
      <c r="BG208" s="1161" t="s">
        <v>1524</v>
      </c>
      <c r="BH208" s="1157" t="e">
        <f>quote_currency_symbol</f>
        <v>#NAME?</v>
      </c>
      <c r="BI208" s="1162">
        <f>BI205-BI206-BI207</f>
        <v>0</v>
      </c>
      <c r="BY208" s="1161" t="s">
        <v>1524</v>
      </c>
      <c r="BZ208" s="1156" t="e">
        <f>quote_currency_symbol</f>
        <v>#NAME?</v>
      </c>
      <c r="CA208" s="1147">
        <f>CA205-CA206-CA207</f>
        <v>0</v>
      </c>
    </row>
  </sheetData>
  <sheetProtection algorithmName="SHA-512" hashValue="ZnG5+8w6F3l2/FBg5b/SWQ4PQA/cwGGlPetEwwEr6lWRylSkNNW8STPAK3d1u5lQU+Er59bj5HLYJz1LoFpdog==" saltValue="TBU/M9nmzv8DfVY0z/qYmQ==" spinCount="100000" sheet="1" objects="1" scenarios="1"/>
  <mergeCells count="40">
    <mergeCell ref="BZ124:CA124"/>
    <mergeCell ref="BQ123:BR123"/>
    <mergeCell ref="BV123:BW123"/>
    <mergeCell ref="BX123:BY123"/>
    <mergeCell ref="BZ123:CA123"/>
    <mergeCell ref="BF124:BG124"/>
    <mergeCell ref="BH124:BI124"/>
    <mergeCell ref="BQ124:BR124"/>
    <mergeCell ref="BV124:BW124"/>
    <mergeCell ref="BX124:BY124"/>
    <mergeCell ref="BU117:BY118"/>
    <mergeCell ref="CA117:CA119"/>
    <mergeCell ref="BN124:BP124"/>
    <mergeCell ref="AU120:AV120"/>
    <mergeCell ref="BM120:BN120"/>
    <mergeCell ref="AU121:AV121"/>
    <mergeCell ref="BM121:BN121"/>
    <mergeCell ref="AV123:AX123"/>
    <mergeCell ref="AY123:AZ123"/>
    <mergeCell ref="BD123:BE123"/>
    <mergeCell ref="BF123:BG123"/>
    <mergeCell ref="BH123:BI123"/>
    <mergeCell ref="BN123:BP123"/>
    <mergeCell ref="AV124:AX124"/>
    <mergeCell ref="AY124:AZ124"/>
    <mergeCell ref="BD124:BE124"/>
    <mergeCell ref="S2:T2"/>
    <mergeCell ref="AU119:AV119"/>
    <mergeCell ref="BM119:BN119"/>
    <mergeCell ref="V7:W7"/>
    <mergeCell ref="X7:Y7"/>
    <mergeCell ref="BM115:BQ116"/>
    <mergeCell ref="BC116:BG118"/>
    <mergeCell ref="BI116:BI118"/>
    <mergeCell ref="X6:Y6"/>
    <mergeCell ref="C22:E24"/>
    <mergeCell ref="S4:V4"/>
    <mergeCell ref="K6:L6"/>
    <mergeCell ref="V6:W6"/>
    <mergeCell ref="J4:M4"/>
  </mergeCells>
  <phoneticPr fontId="36" type="noConversion"/>
  <dataValidations count="14">
    <dataValidation type="list" allowBlank="1" showInputMessage="1" showErrorMessage="1" sqref="E20" xr:uid="{7D321F98-8DA2-4FE2-A53F-CD2642892C67}">
      <formula1>payment_term_option</formula1>
    </dataValidation>
    <dataValidation type="list" allowBlank="1" showInputMessage="1" showErrorMessage="1" sqref="AT4" xr:uid="{3BA1E2E6-F949-4F66-BD1B-025D60829048}">
      <formula1>$AT$2</formula1>
    </dataValidation>
    <dataValidation type="list" allowBlank="1" showInputMessage="1" showErrorMessage="1" sqref="C20" xr:uid="{FCC8505D-25AA-42BF-8E98-0BC435B9D17F}">
      <formula1>chart_account_default_option</formula1>
    </dataValidation>
    <dataValidation type="whole" operator="greaterThanOrEqual" allowBlank="1" showInputMessage="1" showErrorMessage="1" sqref="F8:F9 S4:V4 N8:O87" xr:uid="{273F4698-3758-48C8-9115-81C7DA4AC483}">
      <formula1>0</formula1>
    </dataValidation>
    <dataValidation type="list" allowBlank="1" showInputMessage="1" showErrorMessage="1" sqref="U90" xr:uid="{C8306DCF-BA33-4D05-912D-FE58DD961068}">
      <formula1>vat_option</formula1>
    </dataValidation>
    <dataValidation type="list" allowBlank="1" showInputMessage="1" showErrorMessage="1" sqref="M8:M87" xr:uid="{C7A251E6-7EBD-451E-AD16-5CB592DB438A}">
      <formula1>product_name_option</formula1>
    </dataValidation>
    <dataValidation type="list" allowBlank="1" showInputMessage="1" showErrorMessage="1" sqref="E13" xr:uid="{2117077C-B61B-489A-8E52-B304D97D40EF}">
      <formula1>location_option</formula1>
    </dataValidation>
    <dataValidation type="list" allowBlank="1" showInputMessage="1" showErrorMessage="1" sqref="C13" xr:uid="{B162A27E-9466-4EE9-8152-638D2142ACF1}">
      <formula1>branch_option</formula1>
    </dataValidation>
    <dataValidation type="list" allowBlank="1" showInputMessage="1" showErrorMessage="1" sqref="P89" xr:uid="{EB86A336-FAD1-44D6-856D-371A082DB938}">
      <formula1>discount_option</formula1>
    </dataValidation>
    <dataValidation type="list" allowBlank="1" showInputMessage="1" showErrorMessage="1" sqref="M89" xr:uid="{9F97B837-8F01-4428-AD13-6D5190BA4B91}">
      <formula1>discount_type_option</formula1>
    </dataValidation>
    <dataValidation type="list" allowBlank="1" showInputMessage="1" showErrorMessage="1" sqref="C11" xr:uid="{6EA710F9-8CBA-4C3D-AEA7-4F2EDD246DAF}">
      <formula1>vendor_option</formula1>
    </dataValidation>
    <dataValidation type="decimal" operator="greaterThanOrEqual" allowBlank="1" showInputMessage="1" showErrorMessage="1" sqref="W8:W87 U8:U87" xr:uid="{E41AFB89-2229-47D9-A22C-590E922E5D53}">
      <formula1>0</formula1>
    </dataValidation>
    <dataValidation type="list" allowBlank="1" showInputMessage="1" showErrorMessage="1" sqref="E11" xr:uid="{818E3E81-7837-41ED-90CA-C0E0342E3E3F}">
      <formula1>location_group_option</formula1>
    </dataValidation>
    <dataValidation type="list" allowBlank="1" showInputMessage="1" showErrorMessage="1" sqref="P8:P87" xr:uid="{503E54F4-7ED8-462F-A596-47136C60F0A0}">
      <formula1>AL8:AN8</formula1>
    </dataValidation>
  </dataValidations>
  <pageMargins left="0" right="0" top="3.937007874015748E-2" bottom="0.39370078740157483" header="0" footer="0"/>
  <pageSetup paperSize="9" scale="81" orientation="portrait" r:id="rId1"/>
  <headerFooter scaleWithDoc="0" alignWithMargins="0">
    <oddFooter>&amp;CPage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57122" r:id="rId4" name="Button 2">
              <controlPr defaultSize="0" autoFill="0" autoPict="0" macro="[0]!SavePurchaseBill">
                <anchor>
                  <from>
                    <xdr:col>24</xdr:col>
                    <xdr:colOff>923925</xdr:colOff>
                    <xdr:row>2</xdr:row>
                    <xdr:rowOff>9525</xdr:rowOff>
                  </from>
                  <to>
                    <xdr:col>25</xdr:col>
                    <xdr:colOff>1295400</xdr:colOff>
                    <xdr:row>3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7125" r:id="rId5" name="Button 5">
              <controlPr defaultSize="0" print="0" autoFill="0" autoPict="0" macro="[0]!btnAddVendor">
                <anchor moveWithCells="1" sizeWithCells="1">
                  <from>
                    <xdr:col>13</xdr:col>
                    <xdr:colOff>104775</xdr:colOff>
                    <xdr:row>3</xdr:row>
                    <xdr:rowOff>0</xdr:rowOff>
                  </from>
                  <to>
                    <xdr:col>13</xdr:col>
                    <xdr:colOff>552450</xdr:colOff>
                    <xdr:row>3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9CAFA8-5DFA-4762-B003-7BA561D7D34A}">
  <sheetPr codeName="Sheet46"/>
  <dimension ref="A1:BF204"/>
  <sheetViews>
    <sheetView showGridLines="0" tabSelected="1" zoomScale="80" zoomScaleNormal="80" zoomScaleSheetLayoutView="80" workbookViewId="0">
      <pane ySplit="7" topLeftCell="A8" activePane="bottomLeft" state="frozen"/>
      <selection pane="bottomLeft" activeCell="M9" sqref="M9"/>
    </sheetView>
  </sheetViews>
  <sheetFormatPr defaultColWidth="9.140625" defaultRowHeight="24.95" customHeight="1"/>
  <cols>
    <col min="1" max="1" width="1.5703125" style="892" customWidth="1"/>
    <col min="2" max="2" width="1.7109375" style="892" customWidth="1"/>
    <col min="3" max="3" width="32" style="892" customWidth="1"/>
    <col min="4" max="4" width="8.7109375" style="892" customWidth="1"/>
    <col min="5" max="5" width="31.42578125" style="892" customWidth="1"/>
    <col min="6" max="6" width="5.28515625" style="897" customWidth="1"/>
    <col min="7" max="7" width="2.28515625" style="896" hidden="1" customWidth="1"/>
    <col min="8" max="8" width="2.140625" style="897" hidden="1" customWidth="1"/>
    <col min="9" max="9" width="3.28515625" style="933" customWidth="1"/>
    <col min="10" max="10" width="9.7109375" style="882" customWidth="1"/>
    <col min="11" max="11" width="6.28515625" style="882" customWidth="1"/>
    <col min="12" max="12" width="5.85546875" style="898" customWidth="1"/>
    <col min="13" max="13" width="36.28515625" style="899" customWidth="1"/>
    <col min="14" max="14" width="10.7109375" style="900" customWidth="1"/>
    <col min="15" max="15" width="17.28515625" style="882" customWidth="1"/>
    <col min="16" max="16" width="20.7109375" style="882" customWidth="1"/>
    <col min="17" max="17" width="14.5703125" style="882" hidden="1" customWidth="1"/>
    <col min="18" max="18" width="20.7109375" style="882" hidden="1" customWidth="1"/>
    <col min="19" max="19" width="3" style="902" customWidth="1"/>
    <col min="20" max="20" width="18.28515625" style="902" customWidth="1"/>
    <col min="21" max="21" width="17.85546875" style="903" customWidth="1"/>
    <col min="22" max="22" width="3.28515625" style="904" customWidth="1"/>
    <col min="23" max="23" width="12.85546875" style="903" customWidth="1"/>
    <col min="24" max="24" width="2.85546875" style="905" customWidth="1"/>
    <col min="25" max="25" width="20.7109375" style="1798" customWidth="1"/>
    <col min="26" max="26" width="12.42578125" style="903" customWidth="1"/>
    <col min="27" max="27" width="17.42578125" style="892" hidden="1" customWidth="1"/>
    <col min="28" max="28" width="20.85546875" style="892" hidden="1" customWidth="1"/>
    <col min="29" max="29" width="18.140625" style="892" hidden="1" customWidth="1"/>
    <col min="30" max="30" width="20.5703125" style="882" customWidth="1"/>
    <col min="31" max="32" width="17.42578125" style="1804" customWidth="1"/>
    <col min="33" max="33" width="11.28515625" style="882" hidden="1" customWidth="1"/>
    <col min="34" max="34" width="20.7109375" style="892" hidden="1" customWidth="1"/>
    <col min="35" max="35" width="16.28515625" style="892" hidden="1" customWidth="1"/>
    <col min="36" max="37" width="19.140625" style="892" hidden="1" customWidth="1"/>
    <col min="38" max="38" width="14.5703125" style="892" bestFit="1" customWidth="1"/>
    <col min="39" max="39" width="16.42578125" style="892" bestFit="1" customWidth="1"/>
    <col min="40" max="40" width="16.28515625" style="906" hidden="1" customWidth="1"/>
    <col min="41" max="41" width="15.7109375" style="906" hidden="1" customWidth="1"/>
    <col min="42" max="42" width="15.85546875" style="907" hidden="1" customWidth="1"/>
    <col min="43" max="43" width="14.42578125" style="907" hidden="1" customWidth="1"/>
    <col min="44" max="44" width="19.85546875" style="907" hidden="1" customWidth="1"/>
    <col min="45" max="45" width="27.7109375" style="1808" customWidth="1"/>
    <col min="46" max="46" width="17.42578125" style="907" hidden="1" customWidth="1"/>
    <col min="47" max="47" width="18.42578125" style="907" hidden="1" customWidth="1"/>
    <col min="48" max="48" width="14.28515625" style="907" hidden="1" customWidth="1"/>
    <col min="49" max="49" width="20.42578125" style="882" hidden="1" customWidth="1"/>
    <col min="50" max="50" width="12.85546875" style="908" customWidth="1"/>
    <col min="51" max="51" width="13.28515625" style="908" customWidth="1"/>
    <col min="52" max="52" width="10.7109375" style="908" customWidth="1"/>
    <col min="53" max="54" width="17.7109375" style="892" hidden="1" customWidth="1"/>
    <col min="55" max="55" width="18.5703125" style="892" customWidth="1"/>
    <col min="56" max="56" width="18.5703125" style="882" customWidth="1"/>
    <col min="57" max="57" width="17.85546875" style="882" customWidth="1"/>
    <col min="58" max="58" width="15.28515625" style="882" customWidth="1"/>
    <col min="59" max="61" width="9.140625" style="892"/>
    <col min="62" max="62" width="49.7109375" style="892" customWidth="1"/>
    <col min="63" max="16384" width="9.140625" style="892"/>
  </cols>
  <sheetData>
    <row r="1" spans="1:58" ht="8.25" customHeight="1" thickBot="1">
      <c r="B1" s="893"/>
      <c r="C1" s="894"/>
      <c r="D1" s="894"/>
      <c r="E1" s="894"/>
      <c r="F1" s="895"/>
      <c r="R1" s="901"/>
    </row>
    <row r="2" spans="1:58" ht="38.25">
      <c r="B2" s="1246"/>
      <c r="C2" s="1247"/>
      <c r="D2" s="1247"/>
      <c r="E2" s="1247"/>
      <c r="F2" s="1248"/>
      <c r="G2" s="909"/>
      <c r="H2" s="910"/>
      <c r="I2" s="985"/>
      <c r="J2" s="911" t="s">
        <v>1794</v>
      </c>
      <c r="K2" s="912"/>
      <c r="L2" s="912"/>
      <c r="M2" s="912"/>
      <c r="N2" s="912"/>
      <c r="O2" s="1591" t="s">
        <v>4513</v>
      </c>
      <c r="P2" s="1590">
        <f>NBC_Exchange_Rate!J11</f>
        <v>46265</v>
      </c>
      <c r="Q2" s="911"/>
      <c r="R2" s="913"/>
      <c r="S2" s="914"/>
      <c r="T2" s="1280"/>
      <c r="U2" s="915"/>
      <c r="V2" s="914"/>
      <c r="W2" s="915"/>
      <c r="X2" s="914"/>
      <c r="Y2" s="1799"/>
      <c r="Z2" s="915"/>
    </row>
    <row r="3" spans="1:58" ht="8.25" customHeight="1" thickBot="1">
      <c r="B3" s="1249"/>
      <c r="C3" s="916"/>
      <c r="D3" s="916"/>
      <c r="E3" s="916"/>
      <c r="F3" s="1250"/>
      <c r="G3" s="917"/>
      <c r="H3" s="918"/>
      <c r="I3" s="986"/>
      <c r="J3" s="919"/>
      <c r="K3" s="919"/>
      <c r="L3" s="919"/>
      <c r="M3" s="919"/>
      <c r="N3" s="919"/>
      <c r="O3" s="919"/>
      <c r="P3" s="919"/>
      <c r="Q3" s="919"/>
      <c r="R3" s="920"/>
      <c r="S3" s="921"/>
      <c r="T3" s="921"/>
      <c r="U3" s="922"/>
      <c r="V3" s="921"/>
      <c r="W3" s="922"/>
      <c r="X3" s="921"/>
      <c r="Y3" s="1800"/>
      <c r="Z3" s="922"/>
    </row>
    <row r="4" spans="1:58" ht="35.1" customHeight="1" thickBot="1">
      <c r="A4" s="923"/>
      <c r="B4" s="1251"/>
      <c r="C4" s="924"/>
      <c r="D4" s="924"/>
      <c r="E4" s="924"/>
      <c r="F4" s="1252"/>
      <c r="J4" s="925" t="s">
        <v>1892</v>
      </c>
      <c r="K4" s="926"/>
      <c r="L4" s="2023" t="s">
        <v>22</v>
      </c>
      <c r="M4" s="2024"/>
      <c r="N4" s="1601">
        <f>IF(invoice_price_type="","",MID(invoice_price_type,1,2)*1)</f>
        <v>2</v>
      </c>
      <c r="O4" s="1238" t="s">
        <v>3335</v>
      </c>
      <c r="P4" s="1244">
        <v>4047</v>
      </c>
      <c r="T4" s="927"/>
      <c r="U4" s="927"/>
      <c r="V4" s="927"/>
      <c r="AA4" s="903"/>
      <c r="AB4" s="903"/>
      <c r="AC4" s="903"/>
      <c r="AD4" s="903"/>
      <c r="AG4" s="903"/>
      <c r="AH4" s="928"/>
      <c r="AI4" s="928"/>
      <c r="AJ4" s="928"/>
      <c r="AK4" s="928"/>
      <c r="AL4" s="928"/>
      <c r="AM4" s="928"/>
      <c r="AN4" s="928"/>
      <c r="AO4" s="928"/>
      <c r="AP4" s="928"/>
      <c r="AQ4" s="928"/>
      <c r="AR4" s="928"/>
      <c r="AS4" s="1809"/>
      <c r="AT4" s="928"/>
      <c r="AU4" s="928"/>
      <c r="AV4" s="928"/>
      <c r="AW4" s="928"/>
      <c r="AX4" s="928"/>
      <c r="AY4" s="928"/>
      <c r="AZ4" s="928"/>
      <c r="BD4" s="929"/>
      <c r="BE4" s="929"/>
      <c r="BF4" s="929"/>
    </row>
    <row r="5" spans="1:58" s="882" customFormat="1" ht="9" customHeight="1">
      <c r="A5" s="930"/>
      <c r="B5" s="1253"/>
      <c r="C5" s="931"/>
      <c r="D5" s="931"/>
      <c r="E5" s="931"/>
      <c r="F5" s="1254"/>
      <c r="G5" s="932"/>
      <c r="H5" s="933"/>
      <c r="I5" s="933"/>
      <c r="L5" s="898"/>
      <c r="M5" s="899"/>
      <c r="N5" s="900"/>
      <c r="R5" s="901"/>
      <c r="S5" s="902"/>
      <c r="T5" s="902"/>
      <c r="U5" s="934"/>
      <c r="V5" s="935"/>
      <c r="W5" s="934"/>
      <c r="X5" s="902"/>
      <c r="Y5" s="1801"/>
      <c r="Z5" s="934"/>
      <c r="AE5" s="1805"/>
      <c r="AF5" s="1805"/>
      <c r="AH5" s="928"/>
      <c r="AI5" s="928"/>
      <c r="AJ5" s="928"/>
      <c r="AK5" s="928"/>
      <c r="AL5" s="928"/>
      <c r="AM5" s="928"/>
      <c r="AN5" s="906"/>
      <c r="AO5" s="906"/>
      <c r="AP5" s="906"/>
      <c r="AQ5" s="906"/>
      <c r="AR5" s="906"/>
      <c r="AS5" s="1810"/>
      <c r="AT5" s="906"/>
      <c r="AU5" s="906"/>
      <c r="AV5" s="906"/>
      <c r="AW5" s="928"/>
      <c r="AX5" s="936"/>
      <c r="AY5" s="936"/>
      <c r="AZ5" s="936"/>
    </row>
    <row r="6" spans="1:58" s="907" customFormat="1" ht="28.5" customHeight="1">
      <c r="A6" s="937"/>
      <c r="B6" s="1255"/>
      <c r="C6" s="996" t="s">
        <v>1581</v>
      </c>
      <c r="D6" s="1609">
        <v>1</v>
      </c>
      <c r="E6" s="996" t="str">
        <f>IF(invoice_status=-1,"Edit",IF(invoice_status=1,"Issue",IF(invoice_status=2,"Fullfilied",IF(invoice_status=3,"Partial",1))))</f>
        <v>Issue</v>
      </c>
      <c r="F6" s="1252"/>
      <c r="G6" s="938"/>
      <c r="H6" s="939"/>
      <c r="I6" s="939"/>
      <c r="J6" s="990" t="s">
        <v>47</v>
      </c>
      <c r="K6" s="991" t="s">
        <v>660</v>
      </c>
      <c r="L6" s="991"/>
      <c r="M6" s="990" t="s">
        <v>89</v>
      </c>
      <c r="N6" s="990" t="s">
        <v>135</v>
      </c>
      <c r="O6" s="990" t="s">
        <v>1583</v>
      </c>
      <c r="P6" s="990" t="s">
        <v>1884</v>
      </c>
      <c r="Q6" s="990" t="s">
        <v>1956</v>
      </c>
      <c r="R6" s="990" t="s">
        <v>654</v>
      </c>
      <c r="S6" s="992" t="str">
        <f>"តម្លៃឯកតា"&amp;IF(invoice_branch="",""," ("&amp;invoice_currency_symbol&amp;")")</f>
        <v>តម្លៃឯកតា ($)</v>
      </c>
      <c r="T6" s="992"/>
      <c r="U6" s="992"/>
      <c r="V6" s="991" t="str">
        <f>"បញ្ចុះតម្លៃ"&amp;IF(invoice_branch="",""," ("&amp;invoice_currency_symbol&amp;")")</f>
        <v>បញ្ចុះតម្លៃ ($)</v>
      </c>
      <c r="W6" s="991"/>
      <c r="X6" s="991" t="str">
        <f>"សរុបតម្លៃ"&amp;IF(invoice_branch="",""," ("&amp;invoice_currency_symbol&amp;")")</f>
        <v>សរុបតម្លៃ ($)</v>
      </c>
      <c r="Y6" s="1802"/>
      <c r="Z6" s="990" t="s">
        <v>64</v>
      </c>
      <c r="AA6" s="997" t="s">
        <v>1530</v>
      </c>
      <c r="AB6" s="997" t="s">
        <v>1809</v>
      </c>
      <c r="AC6" s="997" t="s">
        <v>46</v>
      </c>
      <c r="AD6" s="997" t="s">
        <v>62</v>
      </c>
      <c r="AE6" s="1806" t="s">
        <v>1822</v>
      </c>
      <c r="AF6" s="1806" t="s">
        <v>226</v>
      </c>
      <c r="AG6" s="997" t="s">
        <v>224</v>
      </c>
      <c r="AH6" s="997" t="s">
        <v>3332</v>
      </c>
      <c r="AI6" s="997" t="s">
        <v>1811</v>
      </c>
      <c r="AJ6" s="997" t="s">
        <v>1952</v>
      </c>
      <c r="AK6" s="997" t="s">
        <v>1952</v>
      </c>
      <c r="AL6" s="997" t="s">
        <v>1949</v>
      </c>
      <c r="AM6" s="997" t="s">
        <v>1883</v>
      </c>
      <c r="AN6" s="997" t="s">
        <v>4479</v>
      </c>
      <c r="AO6" s="997" t="s">
        <v>4480</v>
      </c>
      <c r="AP6" s="997" t="s">
        <v>4481</v>
      </c>
      <c r="AQ6" s="997" t="s">
        <v>1815</v>
      </c>
      <c r="AR6" s="997" t="s">
        <v>1817</v>
      </c>
      <c r="AS6" s="1806" t="s">
        <v>4515</v>
      </c>
      <c r="AT6" s="997"/>
      <c r="AU6" s="997"/>
      <c r="AV6" s="997"/>
      <c r="AW6" s="997"/>
      <c r="AX6" s="1977" t="s">
        <v>2667</v>
      </c>
      <c r="AY6" s="1977" t="s">
        <v>2669</v>
      </c>
      <c r="AZ6" s="1977" t="s">
        <v>2668</v>
      </c>
      <c r="BA6" s="997"/>
      <c r="BB6" s="997"/>
    </row>
    <row r="7" spans="1:58" ht="19.5" customHeight="1">
      <c r="A7" s="923"/>
      <c r="B7" s="1256"/>
      <c r="C7" s="940"/>
      <c r="D7" s="940"/>
      <c r="E7" s="940"/>
      <c r="F7" s="1257"/>
      <c r="G7" s="941"/>
      <c r="I7" s="933" t="s">
        <v>1827</v>
      </c>
      <c r="J7" s="993" t="s">
        <v>9</v>
      </c>
      <c r="K7" s="994" t="s">
        <v>94</v>
      </c>
      <c r="L7" s="994"/>
      <c r="M7" s="993" t="s">
        <v>87</v>
      </c>
      <c r="N7" s="993" t="s">
        <v>67</v>
      </c>
      <c r="O7" s="993" t="s">
        <v>651</v>
      </c>
      <c r="P7" s="993" t="s">
        <v>1885</v>
      </c>
      <c r="Q7" s="993" t="s">
        <v>1955</v>
      </c>
      <c r="R7" s="993" t="s">
        <v>393</v>
      </c>
      <c r="S7" s="994" t="s">
        <v>1950</v>
      </c>
      <c r="T7" s="994"/>
      <c r="U7" s="993" t="s">
        <v>4516</v>
      </c>
      <c r="V7" s="994" t="s">
        <v>83</v>
      </c>
      <c r="W7" s="994"/>
      <c r="X7" s="995" t="s">
        <v>82</v>
      </c>
      <c r="Y7" s="1803"/>
      <c r="Z7" s="993" t="s">
        <v>77</v>
      </c>
      <c r="AA7" s="999" t="s">
        <v>234</v>
      </c>
      <c r="AB7" s="998" t="s">
        <v>1818</v>
      </c>
      <c r="AC7" s="998" t="str">
        <f>"Dis Price"</f>
        <v>Dis Price</v>
      </c>
      <c r="AD7" s="998" t="s">
        <v>1954</v>
      </c>
      <c r="AE7" s="1807" t="s">
        <v>68</v>
      </c>
      <c r="AF7" s="1807" t="s">
        <v>29</v>
      </c>
      <c r="AG7" s="998" t="s">
        <v>637</v>
      </c>
      <c r="AH7" s="998" t="s">
        <v>656</v>
      </c>
      <c r="AI7" s="998" t="s">
        <v>657</v>
      </c>
      <c r="AJ7" s="998" t="s">
        <v>1951</v>
      </c>
      <c r="AK7" s="998" t="s">
        <v>1953</v>
      </c>
      <c r="AL7" s="998" t="s">
        <v>1948</v>
      </c>
      <c r="AM7" s="998" t="s">
        <v>1882</v>
      </c>
      <c r="AN7" s="998" t="s">
        <v>1539</v>
      </c>
      <c r="AO7" s="998" t="s">
        <v>1819</v>
      </c>
      <c r="AP7" s="998" t="s">
        <v>1820</v>
      </c>
      <c r="AQ7" s="998" t="s">
        <v>1821</v>
      </c>
      <c r="AR7" s="998" t="s">
        <v>1816</v>
      </c>
      <c r="AS7" s="1807" t="s">
        <v>1971</v>
      </c>
      <c r="AT7" s="998" t="s">
        <v>1988</v>
      </c>
      <c r="AU7" s="998" t="s">
        <v>1989</v>
      </c>
      <c r="AV7" s="998" t="s">
        <v>656</v>
      </c>
      <c r="AW7" s="998" t="s">
        <v>1951</v>
      </c>
      <c r="AX7" s="1978"/>
      <c r="AY7" s="1978"/>
      <c r="AZ7" s="1978"/>
      <c r="BA7" s="998" t="s">
        <v>2156</v>
      </c>
      <c r="BB7" s="998" t="s">
        <v>2157</v>
      </c>
    </row>
    <row r="8" spans="1:58" ht="27" customHeight="1" thickBot="1">
      <c r="A8" s="923"/>
      <c r="B8" s="1258"/>
      <c r="C8" s="942" t="s">
        <v>2655</v>
      </c>
      <c r="D8" s="943">
        <v>92</v>
      </c>
      <c r="E8" s="944" t="s">
        <v>4602</v>
      </c>
      <c r="F8" s="1259" t="e">
        <f>COUNTIFS([1]SaleInvoiceData!AD8:AD10002,"&gt;0")+191</f>
        <v>#VALUE!</v>
      </c>
      <c r="G8" s="945"/>
      <c r="H8" s="946"/>
      <c r="I8" s="1610">
        <f>IF(M8="","",MID(M8,1,5)*1)</f>
        <v>71</v>
      </c>
      <c r="J8" s="1611">
        <f>IF(M8="","",1)</f>
        <v>1</v>
      </c>
      <c r="K8" s="1612" t="str">
        <f>IF(M8="","",VLOOKUP(I8,product_list,4,FALSE))</f>
        <v>DKS0071</v>
      </c>
      <c r="L8" s="1613"/>
      <c r="M8" s="883" t="s">
        <v>4717</v>
      </c>
      <c r="N8" s="884"/>
      <c r="O8" s="884"/>
      <c r="P8" s="885" t="s">
        <v>2783</v>
      </c>
      <c r="Q8" s="886"/>
      <c r="R8" s="887"/>
      <c r="S8" s="1614" t="str">
        <f t="shared" ref="S8:S71" si="0">IF(M8="","",invoice_currency_symbol)</f>
        <v>$</v>
      </c>
      <c r="T8" s="1536"/>
      <c r="U8" s="1864">
        <f>IF(M8="","",ROUND(IF(T8&gt;0,T8,IF(AS8&gt;0,AS8,IF(P8=AN8,AF8,IF(P8=AO8,ROUND(AF8/AA8,9),IF(P8=AP8,ROUND(AF8/AB8,9),0))))),4))</f>
        <v>0.2</v>
      </c>
      <c r="V8" s="1615" t="str">
        <f t="shared" ref="V8:V39" si="1">IF(W8=0,"",invoice_currency_symbol)</f>
        <v/>
      </c>
      <c r="W8" s="889"/>
      <c r="X8" s="1615" t="str">
        <f t="shared" ref="X8:X39" si="2">IF(M8="","",invoice_currency_symbol)</f>
        <v>$</v>
      </c>
      <c r="Y8" s="1865">
        <f>IF(M8="","",ROUND(IF(T8&gt;0,N8*T8-W8,N8*U8-W8),3))</f>
        <v>0</v>
      </c>
      <c r="Z8" s="890"/>
      <c r="AA8" s="197" cm="1">
        <f t="array" ref="AA8">IF(M8="","",IF(P8=AN8,1,Slookup(MID(AN8,1,3)*1,UomConversion!$D$8:$J$500,5,UomConversion!$E$8:$E$500,MID(P8,1,3)*1,UomConversion!$J$8:$J$500,1)))</f>
        <v>1</v>
      </c>
      <c r="AB8" s="197">
        <f t="shared" ref="AB8" si="3">IF(AND(M8="",ISNA(VLOOKUP(I8,product_list,18,FALSE))),"",VLOOKUP(I8,product_list,18,FALSE))</f>
        <v>1</v>
      </c>
      <c r="AC8" s="197">
        <f>IF(M8="","",W8)</f>
        <v>0</v>
      </c>
      <c r="AD8" s="197">
        <f>IF(M8="","",IF(P8=AN8,AE8,IF(P8=AO8,ROUND(AE8/AA8,9),IF(P8=AP8,ROUND(AE8/AB8,9)))))</f>
        <v>0.11</v>
      </c>
      <c r="AE8" s="1866">
        <f>IF(M8="","",VLOOKUP(I8,product_list,14,FALSE))</f>
        <v>0.11</v>
      </c>
      <c r="AF8" s="1866">
        <f>IF(M8="","",VLOOKUP(I8,product_list,15,FALSE))</f>
        <v>0.2</v>
      </c>
      <c r="AG8" s="197">
        <f t="shared" ref="AG8" si="4">IF(M8="","",VLOOKUP(I8,product_list,23,FALSE))</f>
        <v>1</v>
      </c>
      <c r="AH8" s="197" t="e">
        <f>IF(I8="","",IF(ISNA(MATCH(I8,IF(invoice_location_id=1,'[1]1_inventory_totals'!$C$8:$C$10000,IF(invoice_location_id=2,'[1]2_inventory_totals'!$C$8:$C$10000,0)),0)),0,IF(AV8&gt;0,1,0)))</f>
        <v>#VALUE!</v>
      </c>
      <c r="AI8" s="197" t="e">
        <f>IF(M8="","",IF(invoice_location_id=1,SUMIFS('[1]1_inventory_total_details'!$J$8:$J$10000,'[1]1_inventory_total_details'!$C$8:$C$10000,I8,'[1]1_inventory_total_details'!$F$8:$F$10000,invoice_location_id,'[1]1_inventory_total_details'!$G$8:$G$10000,"="&amp;Q8,'[1]1_inventory_total_details'!$H$8:$H$10000,"="&amp;R8,'[1]1_inventory_total_details'!$I$8:$I$10000,"="&amp;invoice_date)+SUMIFS('[1]1_inventory_total_details'!$M$8:$M$10000,'[1]1_inventory_total_details'!$C$8:$C$10000,I8,'[1]1_inventory_total_details'!$F$8:$F$10000,invoice_location_id,'[1]1_inventory_total_details'!$G$8:$G$10000,"="&amp;Q8,'[1]1_inventory_total_details'!$H$8:$H$10000,"="&amp;R8,'[1]1_inventory_total_details'!$I$8:$I$10000,"="&amp;invoice_date)+SUMIFS('[1]1_inventory_total_details'!$K$8:$K$10000,'[1]1_inventory_total_details'!$C$8:$C$10000,I8,'[1]1_inventory_total_details'!$F$8:$F$10000,invoice_location_id,'[1]1_inventory_total_details'!$G$8:$G$10000,"="&amp;Q8,'[1]1_inventory_total_details'!$H$8:$H$10000,"="&amp;R8,'[1]1_inventory_total_details'!$I$8:$I$10000,"="&amp;invoice_date)+SUMIFS('[1]1_inventory_total_details'!$L$8:$L$10000,'[1]1_inventory_total_details'!$C$8:$C$10000,I8,'[1]1_inventory_total_details'!$F$8:$F$10000,invoice_location_id,'[1]1_inventory_total_details'!$G$8:$G$10000,"="&amp;Q8,'[1]1_inventory_total_details'!$H$8:$H$10000,"="&amp;R8,'[1]1_inventory_total_details'!$I$8:$I$10000,"="&amp;invoice_date),SUMIFS('[1]2_inventory_total_details'!$J$8:$J$10000,'[1]2_inventory_total_details'!$C$8:$C$10000,I8,'[1]2_inventory_total_details'!$F$8:$F$10000,invoice_location_id,'[1]2_inventory_total_details'!$G$8:$G$10000,"="&amp;Q8,'[1]2_inventory_total_details'!$H$8:$H$10000,"="&amp;R8,'[1]2_inventory_total_details'!$I$8:$I$10000,"="&amp;invoice_date)+SUMIFS('[1]2_inventory_total_details'!$M$8:$M$10000,'[1]2_inventory_total_details'!$C$8:$C$10000,I8,'[1]2_inventory_total_details'!$F$8:$F$10000,invoice_location_id,'[1]2_inventory_total_details'!$G$8:$G$10000,"="&amp;Q8,'[1]2_inventory_total_details'!$H$8:$H$10000,"="&amp;R8,'[1]2_inventory_total_details'!$I$8:$I$10000,"="&amp;invoice_date)+SUMIFS('[1]2_inventory_total_details'!$K$8:$K$10000,'[1]2_inventory_total_details'!$C$8:$C$10000,I8,'[1]2_inventory_total_details'!$F$8:$F$10000,invoice_location_id,'[1]2_inventory_total_details'!$G$8:$G$10000,"="&amp;Q8,'[1]2_inventory_total_details'!$H$8:$H$10000,"="&amp;R8,'[1]2_inventory_total_details'!$I$8:$I$10000,"="&amp;invoice_date)+SUMIFS('[1]2_inventory_total_details'!$L$8:$L$10000,'[1]2_inventory_total_details'!$C$8:$C$10000,I8,'[1]2_inventory_total_details'!$F$8:$F$10000,invoice_location_id,'[1]2_inventory_total_details'!$G$8:$G$10000,"="&amp;Q8,'[1]2_inventory_total_details'!$H$8:$H$10000,"="&amp;R8,'[1]2_inventory_total_details'!$I$8:$I$10000,"="&amp;invoice_date)))</f>
        <v>#VALUE!</v>
      </c>
      <c r="AJ8" s="197" t="e">
        <f>IF(M8="","",IF(ISNA(MATCH(I8,'[1]1_group_totals'!$C$8:$C$10000)),0,IF(AW8&gt;0,1,0)))</f>
        <v>#VALUE!</v>
      </c>
      <c r="AK8" s="197" t="e">
        <f>IF(M8="","",(SUMIFS('[1]1_group_total_details'!$I$8:$I$10000,'[1]1_group_total_details'!$C$8:$C$10000,I8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8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8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8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8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8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8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8,'[1]1_group_total_details'!$F$8:$F$10000,invoice_location_group_id,'[1]1_group_total_details'!$G$8:$G$10000,invoice_location_id,'[1]1_group_total_details'!$H$8:$H$10000,"="&amp;invoice_date)))</f>
        <v>#VALUE!</v>
      </c>
      <c r="AL8" s="197" t="e">
        <f>IF(M8="","",(SUMIFS('[1]1_group_total_details'!$I$8:$I$10000,'[1]1_group_total_details'!$C$8:$C$10000,I8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8,'[1]1_group_total_details'!$F$8:$F$10000,invoice_location_group_id,'[1]1_group_total_details'!$G$8:$G$10000,1,'[1]1_group_total_details'!$H$8:$H$10000,"&lt;="&amp;invoice_date)+SUMIFS('[1]1_group_total_details'!$N$8:$N$10000,'[1]1_group_total_details'!$C$8:$C$10000,I8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8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8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8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8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8,'[1]1_group_total_details'!$F$8:$F$10000,invoice_location_group_id,'[1]1_group_total_details'!$G$8:$G$10000,invoice_location_id,'[1]1_group_total_details'!$H$8:$H$10000,"&lt;="&amp;invoice_date)))</f>
        <v>#VALUE!</v>
      </c>
      <c r="AM8" s="197" t="e">
        <f>IF(M8="","",SUMIFS('[1]1_group_totals'!$J$8:$J$10000,'[1]1_group_totals'!$C$8:$C$10000,I8,'[1]1_group_totals'!$F$8:$F$10000,invoice_location_group_id,'[1]1_group_totals'!$G$8:$G$10000,invoice_location_id,'[1]1_group_totals'!$H$8:$H$10000,"="&amp;Q8,'[1]1_group_totals'!$I$8:$I$10000,"="&amp;R8))</f>
        <v>#VALUE!</v>
      </c>
      <c r="AN8" s="197" t="str">
        <f t="shared" ref="AN8" si="5">IF(M8="","",VLOOKUP(I8,product_list,8,FALSE))</f>
        <v>002.pcs</v>
      </c>
      <c r="AO8" s="197" t="str">
        <f>IF(OR(ISNA(MATCH(MID(AN8,1,3)*1,UomConversion!$D$8:$D$500,0)),M8=""),"",IF(AT8="","",AT8))</f>
        <v/>
      </c>
      <c r="AP8" s="197" t="str">
        <f>IF(AND(AQ8&gt;0,COUNTIFS(UomConversion!$D$8:$D$500,MID(AN8,1,3)*1,UomConversion!$J$8:$J$500,1)&gt;1),TEXT(AQ8,"000")&amp;"."&amp;VLOOKUP(AQ8,uom_list,5,FALSE),"")</f>
        <v/>
      </c>
      <c r="AQ8" s="197" t="str">
        <f>IF(AND(AU8&gt;0,M8&lt;&gt;""),AU8,"")</f>
        <v/>
      </c>
      <c r="AR8" s="197">
        <f>IF(M8="","",IF(AA8&gt;0,AB8/AA8,""))</f>
        <v>1</v>
      </c>
      <c r="AS8" s="1866">
        <f>IF(M8="","",SUMIFS(ProductPrice!$N$28:$N$10000,ProductPrice!$D$28:$D$10000,I8,ProductPrice!$G$28:$G$10000,invoice_branch_id,ProductPrice!$H$28:$H$10000,invoice_price_type_id,ProductPrice!$I$28:$I$10000,MID(P8,1,3)*1,ProductPrice!$Q$28:$Q$10000,1,ProductPrice!$T$28:$T$10000,1))</f>
        <v>0.2</v>
      </c>
      <c r="AT8" s="197" t="str">
        <f>IF(OR(ISNA(VLOOKUP(MID(AN8,1,3)*1,uom_converion_list,2,FALSE)),M8=""),"",TEXT(VLOOKUP(MID(AN8,1,3)*1,uom_converion_list,2,FALSE),"000")&amp;"."&amp;VLOOKUP(VLOOKUP(MID(AN8,1,3)*1,uom_converion_list,2,FALSE),uom_list,5,FALSE))</f>
        <v/>
      </c>
      <c r="AU8" s="197" cm="1">
        <f t="array" ref="AU8">IF(M8="","",IF(ISNA(Slookup(MID(AN8,1,3)*1,UomConversion!$D$8:$J$500,2,UomConversion!$I$8:$I$500,1,UomConversion!$J$8:$J$500,1)),"",Slookup(MID(AN8,1,3)*1,UomConversion!$D$8:$J$500,2,UomConversion!$I$8:$I$500,1,UomConversion!$J$8:$J$500,1)))</f>
        <v>0</v>
      </c>
      <c r="AV8" s="197" t="e">
        <f t="shared" ref="AV8:AV39" si="6">IF(M8="","",IF(invoice_location_id=1,BA8,IF(invoice_location_id=2,BB8,0)))</f>
        <v>#VALUE!</v>
      </c>
      <c r="AW8" s="197" t="e">
        <f>IF(M8="","",(SUMIFS('[1]1_group_totals'!$K$8:$K$10000,'[1]1_group_totals'!$C$8:$C$10000,I8,'[1]1_group_totals'!$F$8:$F$10000,invoice_location_group_id,'[1]1_group_totals'!$G$8:$G$10000,invoice_location_id,'[1]1_group_totals'!$H$8:$H$10000,"="&amp;Q8,'[1]1_group_totals'!$I$8:$I$10000,"="&amp;R8)+SUMIFS('[1]1_group_totals'!$N$8:$N$10000,'[1]1_group_totals'!$C$8:$C$10000,I8,'[1]1_group_totals'!$F$8:$F$10000,invoice_location_group_id,'[1]1_group_totals'!$G$8:$G$10000,invoice_location_id,'[1]1_group_totals'!$H$8:$H$10000,"="&amp;Q8,'[1]1_group_totals'!$I$8:$I$10000,"="&amp;R8)+SUMIFS('[1]1_group_totals'!$P$8:$P$10000,'[1]1_group_totals'!$C$8:$C$10000,I8,'[1]1_group_totals'!$F$8:$F$10000,invoice_location_group_id,'[1]1_group_totals'!$G$8:$G$10000,invoice_location_id,'[1]1_group_totals'!$H$8:$H$10000,"="&amp;Q8,'[1]1_group_totals'!$I$8:$I$10000,"="&amp;R8)+SUMIFS('[1]1_group_totals'!$Q$8:$Q$10000,'[1]1_group_totals'!$C$8:$C$10000,I8,'[1]1_group_totals'!$F$8:$F$10000,invoice_location_group_id,'[1]1_group_totals'!$G$8:$G$10000,invoice_location_id,'[1]1_group_totals'!$H$8:$H$10000,"="&amp;Q8,'[1]1_group_totals'!$I$8:$I$10000,"="&amp;R8))+(SUMIFS('[1]1_group_totals'!$L$8:$L$10000,'[1]1_group_totals'!$C$8:$C$10000,I8,'[1]1_group_totals'!$F$8:$F$10000,invoice_location_group_id,'[1]1_group_totals'!$G$8:$G$10000,invoice_location_id,'[1]1_group_totals'!$H$8:$H$10000,"="&amp;Q8,'[1]1_group_totals'!$I$8:$I$10000,"="&amp;R8)+SUMIFS('[1]1_group_totals'!$M$8:$M$10000,'[1]1_group_totals'!$C$8:$C$10000,I8,'[1]1_group_totals'!$F$8:$F$10000,invoice_location_group_id,'[1]1_group_totals'!$G$8:$G$10000,invoice_location_id,'[1]1_group_totals'!$H$8:$H$10000,"="&amp;Q8,'[1]1_group_totals'!$I$8:$I$10000,"="&amp;R8)+SUMIFS('[1]1_group_totals'!$O$8:$O$10000,'[1]1_group_totals'!$C$8:$C$10000,I8,'[1]1_group_totals'!$F$8:$F$10000,invoice_location_group_id,'[1]1_group_totals'!$G$8:$G$10000,invoice_location_id,'[1]1_group_totals'!$H$8:$H$10000,"="&amp;Q8,'[1]1_group_totals'!$I$8:$I$10000,"="&amp;R8)+SUMIFS('[1]1_group_totals'!$R$8:$R$10000,'[1]1_group_totals'!$C$8:$C$10000,I8,'[1]1_group_totals'!$F$8:$F$10000,invoice_location_group_id,'[1]1_group_totals'!$G$8:$G$10000,invoice_location_id,'[1]1_group_totals'!$H$8:$H$10000,"="&amp;Q8,'[1]1_group_totals'!$I$8:$I$10000,"="&amp;R8)))</f>
        <v>#VALUE!</v>
      </c>
      <c r="AX8" s="197">
        <f>IF(M8="","",IF((N8+O8)*(AB8/AA8)&gt;0,(N8+O8)*(AB8/AA8),0))</f>
        <v>0</v>
      </c>
      <c r="AY8" s="197">
        <f>IF(M8="","",SUMIFS($AX$8:AX8,$I$8:I8,I8))</f>
        <v>0</v>
      </c>
      <c r="AZ8" s="197" t="e">
        <f>IF(M8="","",AL8-AY8)</f>
        <v>#VALUE!</v>
      </c>
      <c r="BA8" s="197" t="e">
        <f>IF(M8="","",(SUMIFS('[1]1_inventory_totals'!$I$8:$I$10000,'[1]1_inventory_totals'!$C$8:$C$10000,I8,'[1]1_inventory_totals'!$F$8:$F$10000,"="&amp;Q8,'[1]1_inventory_totals'!$G$8:$G$10000,"="&amp;R8)+SUMIFS('[1]1_inventory_totals'!$N$8:$N$10000,'[1]1_inventory_totals'!$C$8:$C$10000,I8,'[1]1_inventory_totals'!$F$8:$F$10000,"="&amp;Q8,'[1]1_inventory_totals'!$G$8:$G$10000,"="&amp;R8)+SUMIFS('[1]1_inventory_totals'!$P$8:$P$10000,'[1]1_inventory_totals'!$C$8:$C$10000,I8,'[1]1_inventory_totals'!$F$8:$F$10000,"="&amp;Q8,'[1]1_inventory_totals'!$G$8:$G$10000,"="&amp;R8)+SUMIFS('[1]1_inventory_totals'!$Q$8:$Q$10000,'[1]1_inventory_totals'!$C$8:$C$10000,I8,'[1]1_inventory_totals'!$F$8:$F$10000,"="&amp;Q8,'[1]1_inventory_totals'!$G$8:$G$10000,"="&amp;R8)+SUMIFS('[1]1_inventory_totals'!$R$8:$R$10000,'[1]1_inventory_totals'!$C$8:$C$10000,I8,'[1]1_inventory_totals'!$F$8:$F$10000,"="&amp;Q8,'[1]1_inventory_totals'!$G$8:$G$10000,"="&amp;R8))+(SUMIFS('[1]1_inventory_totals'!$J$8:$J$10000,'[1]1_inventory_totals'!$C$8:$C$10000,I8,'[1]1_inventory_totals'!$F$8:$F$10000,"="&amp;Q8,'[1]1_inventory_totals'!$G$8:$G$10000,"="&amp;R8)+SUMIFS('[1]1_inventory_totals'!$K$8:$K$10000,'[1]1_inventory_totals'!$C$8:$C$10000,I8,'[1]1_inventory_totals'!$F$8:$F$10000,"="&amp;Q8,'[1]1_inventory_totals'!$G$8:$G$10000,"="&amp;R8)+SUMIFS('[1]1_inventory_totals'!$L$8:$L$10000,'[1]1_inventory_totals'!$C$8:$C$10000,I8,'[1]1_inventory_totals'!$F$8:$F$10000,"="&amp;Q8,'[1]1_inventory_totals'!$G$8:$G$10000,"="&amp;R8)+SUMIFS('[1]1_inventory_totals'!$M$8:$M$10000,'[1]1_inventory_totals'!$C$8:$C$10000,I8,'[1]1_inventory_totals'!$F$8:$F$10000,"="&amp;Q8,'[1]1_inventory_totals'!$G$8:$G$10000,"="&amp;R8)+SUMIFS('[1]1_inventory_totals'!$O$8:$O$10000,'[1]1_inventory_totals'!$C$8:$C$10000,I8,'[1]1_inventory_totals'!$F$8:$F$10000,"="&amp;Q8,'[1]1_inventory_totals'!$G$8:$G$10000,"="&amp;R8)+SUMIFS('[1]1_inventory_totals'!$S$8:$S$10000,'[1]1_inventory_totals'!$C$8:$C$10000,I8,'[1]1_inventory_totals'!$F$8:$F$10000,"="&amp;Q8,'[1]1_inventory_totals'!$G$8:$G$10000,"="&amp;R8)))</f>
        <v>#VALUE!</v>
      </c>
      <c r="BB8" s="197" t="e">
        <f>IF(M8="","",(SUMIFS('[1]2_inventory_totals'!$I$8:$I$10000,'[1]2_inventory_totals'!$C$8:$C$10000,I8,'[1]2_inventory_totals'!$F$8:$F$10000,"="&amp;Q8,'[1]2_inventory_totals'!$G$8:$G$10000,"="&amp;R8)+SUMIFS('[1]2_inventory_totals'!$N$8:$N$10000,'[1]2_inventory_totals'!$C$8:$C$10000,I8,'[1]2_inventory_totals'!$F$8:$F$10000,"="&amp;Q8,'[1]2_inventory_totals'!$G$8:$G$10000,"="&amp;R8)+SUMIFS('[1]2_inventory_totals'!$P$8:$P$10000,'[1]2_inventory_totals'!$C$8:$C$10000,I8,'[1]2_inventory_totals'!$F$8:$F$10000,"="&amp;Q8,'[1]2_inventory_totals'!$G$8:$G$10000,"="&amp;R8)+SUMIFS('[1]2_inventory_totals'!$Q$8:$Q$10000,'[1]2_inventory_totals'!$C$8:$C$10000,I8,'[1]2_inventory_totals'!$F$8:$F$10000,"="&amp;Q8,'[1]2_inventory_totals'!$G$8:$G$10000,"="&amp;R8)+SUMIFS('[1]2_inventory_totals'!$R$8:$R$10000,'[1]2_inventory_totals'!$C$8:$C$10000,I8,'[1]2_inventory_totals'!$F$8:$F$10000,"="&amp;Q8,'[1]2_inventory_totals'!$G$8:$G$10000,"="&amp;R8))+(SUMIFS('[1]2_inventory_totals'!$J$8:$J$10000,'[1]2_inventory_totals'!$C$8:$C$10000,I8,'[1]2_inventory_totals'!$F$8:$F$10000,"="&amp;Q8,'[1]2_inventory_totals'!$G$8:$G$10000,"="&amp;R8)+SUMIFS('[1]2_inventory_totals'!$K$8:$K$10000,'[1]2_inventory_totals'!$C$8:$C$10000,I8,'[1]2_inventory_totals'!$F$8:$F$10000,"="&amp;Q8,'[1]2_inventory_totals'!$G$8:$G$10000,"="&amp;R8)+SUMIFS('[1]2_inventory_totals'!$L$8:$L$10000,'[1]2_inventory_totals'!$C$8:$C$10000,I8,'[1]2_inventory_totals'!$F$8:$F$10000,"="&amp;Q8,'[1]2_inventory_totals'!$G$8:$G$10000,"="&amp;R8)+SUMIFS('[1]2_inventory_totals'!$M$8:$M$10000,'[1]2_inventory_totals'!$C$8:$C$10000,I8,'[1]2_inventory_totals'!$F$8:$F$10000,"="&amp;Q8,'[1]2_inventory_totals'!$G$8:$G$10000,"="&amp;R8)+SUMIFS('[1]2_inventory_totals'!$O$8:$O$10000,'[1]2_inventory_totals'!$C$8:$C$10000,I8,'[1]2_inventory_totals'!$F$8:$F$10000,"="&amp;Q8,'[1]2_inventory_totals'!$G$8:$G$10000,"="&amp;R8)+SUMIFS('[1]2_inventory_totals'!$S$8:$S$10000,'[1]2_inventory_totals'!$C$8:$C$10000,I8,'[1]2_inventory_totals'!$F$8:$F$10000,"="&amp;Q8,'[1]2_inventory_totals'!$G$8:$G$10000,"="&amp;R8)))</f>
        <v>#VALUE!</v>
      </c>
      <c r="BC8" s="882"/>
      <c r="BD8" s="892"/>
    </row>
    <row r="9" spans="1:58" ht="27" customHeight="1" thickBot="1">
      <c r="A9" s="923"/>
      <c r="B9" s="1256"/>
      <c r="C9" s="1235">
        <v>46295</v>
      </c>
      <c r="D9" s="1605">
        <f>IFERROR(IF(invoice_date="","",IF(AND(DAY(invoice_date)&gt;0,DAY(invoice_date)&lt;8),1,IF(AND(DAY(invoice_date)&gt;7,DAY(invoice_date)&lt;15),2,IF(AND(DAY(invoice_date)&gt;14,DAY(invoice_date)&lt;22),3,IF(AND(DAY(invoice_date)&gt;21,DAY(invoice_date)&lt;32),4,""))))),"")</f>
        <v>4</v>
      </c>
      <c r="E9" s="1596" t="e">
        <f>"CI"&amp;YEAR(C9)&amp;"-"&amp;TEXT(invoice_no,"0000")</f>
        <v>#VALUE!</v>
      </c>
      <c r="F9" s="1597" t="e">
        <f>COUNTIFS([1]SaleInvoiceData!AD8:AD10002,"&gt;0")+192</f>
        <v>#VALUE!</v>
      </c>
      <c r="G9" s="941"/>
      <c r="I9" s="1610" t="str">
        <f t="shared" ref="I9:I72" si="7">IF(M9="","",MID(M9,1,5)*1)</f>
        <v/>
      </c>
      <c r="J9" s="1611" t="str">
        <f>IF(M9="","",J8+1)</f>
        <v/>
      </c>
      <c r="K9" s="1612" t="str">
        <f t="shared" ref="K9:K40" si="8">IF(M9="","",VLOOKUP(I9,product_list,4,FALSE))</f>
        <v/>
      </c>
      <c r="L9" s="1613"/>
      <c r="M9" s="883"/>
      <c r="N9" s="884"/>
      <c r="O9" s="884"/>
      <c r="P9" s="885"/>
      <c r="Q9" s="886"/>
      <c r="R9" s="887"/>
      <c r="S9" s="1614" t="str">
        <f t="shared" si="0"/>
        <v/>
      </c>
      <c r="T9" s="1536"/>
      <c r="U9" s="1864" t="str">
        <f t="shared" ref="U9:U72" si="9">IF(M9="","",ROUND(IF(T9&gt;0,T9,IF(AS9&gt;0,AS9,IF(P9=AN9,AF9,IF(P9=AO9,ROUND(AF9/AA9,9),IF(P9=AP9,ROUND(AF9/AB9,9),0))))),4))</f>
        <v/>
      </c>
      <c r="V9" s="1615" t="str">
        <f t="shared" si="1"/>
        <v/>
      </c>
      <c r="W9" s="889"/>
      <c r="X9" s="1615" t="str">
        <f t="shared" si="2"/>
        <v/>
      </c>
      <c r="Y9" s="1865" t="str">
        <f t="shared" ref="Y9:Y72" si="10">IF(M9="","",ROUND(IF(T9&gt;0,N9*T9-W9,N9*U9-W9),3))</f>
        <v/>
      </c>
      <c r="Z9" s="890"/>
      <c r="AA9" s="197" t="str" cm="1">
        <f t="array" ref="AA9">IF(M9="","",IF(P9=AN9,1,Slookup(MID(AN9,1,3)*1,UomConversion!$D$8:$J$500,5,UomConversion!$E$8:$E$500,MID(P9,1,3)*1,UomConversion!$J$8:$J$500,1)))</f>
        <v/>
      </c>
      <c r="AB9" s="197" t="str">
        <f t="shared" ref="AB9:AB72" si="11">IF(AND(M9="",ISNA(VLOOKUP(I9,product_list,18,FALSE))),"",VLOOKUP(I9,product_list,18,FALSE))</f>
        <v/>
      </c>
      <c r="AC9" s="197" t="str">
        <f t="shared" ref="AC9:AC72" si="12">IF(M9="","",W9)</f>
        <v/>
      </c>
      <c r="AD9" s="197" t="str">
        <f t="shared" ref="AD9:AD72" si="13">IF(M9="","",IF(P9=AN9,AE9,IF(P9=AO9,ROUND(AE9/AA9,9),IF(P9=AP9,ROUND(AE9/AB9,9)))))</f>
        <v/>
      </c>
      <c r="AE9" s="1866" t="str">
        <f t="shared" ref="AE9:AE72" si="14">IF(M9="","",VLOOKUP(I9,product_list,14,FALSE))</f>
        <v/>
      </c>
      <c r="AF9" s="1866" t="str">
        <f t="shared" ref="AF9:AF39" si="15">IF(M9="","",VLOOKUP(I9,product_list,15,FALSE))</f>
        <v/>
      </c>
      <c r="AG9" s="197" t="str">
        <f t="shared" ref="AG9:AG72" si="16">IF(M9="","",VLOOKUP(I9,product_list,23,FALSE))</f>
        <v/>
      </c>
      <c r="AH9" s="197" t="str">
        <f>IF(I9="","",IF(ISNA(MATCH(I9,IF(invoice_location_id=1,'[1]1_inventory_totals'!$C$8:$C$10000,IF(invoice_location_id=2,'[1]2_inventory_totals'!$C$8:$C$10000,0)),0)),0,IF(AV9&gt;0,1,0)))</f>
        <v/>
      </c>
      <c r="AI9" s="197" t="str">
        <f>IF(M9="","",IF(invoice_location_id=1,SUMIFS('[1]1_inventory_total_details'!$J$8:$J$10000,'[1]1_inventory_total_details'!$C$8:$C$10000,I9,'[1]1_inventory_total_details'!$F$8:$F$10000,invoice_location_id,'[1]1_inventory_total_details'!$G$8:$G$10000,"="&amp;Q9,'[1]1_inventory_total_details'!$H$8:$H$10000,"="&amp;R9,'[1]1_inventory_total_details'!$I$8:$I$10000,"="&amp;invoice_date)+SUMIFS('[1]1_inventory_total_details'!$M$8:$M$10000,'[1]1_inventory_total_details'!$C$8:$C$10000,I9,'[1]1_inventory_total_details'!$F$8:$F$10000,invoice_location_id,'[1]1_inventory_total_details'!$G$8:$G$10000,"="&amp;Q9,'[1]1_inventory_total_details'!$H$8:$H$10000,"="&amp;R9,'[1]1_inventory_total_details'!$I$8:$I$10000,"="&amp;invoice_date)+SUMIFS('[1]1_inventory_total_details'!$K$8:$K$10000,'[1]1_inventory_total_details'!$C$8:$C$10000,I9,'[1]1_inventory_total_details'!$F$8:$F$10000,invoice_location_id,'[1]1_inventory_total_details'!$G$8:$G$10000,"="&amp;Q9,'[1]1_inventory_total_details'!$H$8:$H$10000,"="&amp;R9,'[1]1_inventory_total_details'!$I$8:$I$10000,"="&amp;invoice_date)+SUMIFS('[1]1_inventory_total_details'!$L$8:$L$10000,'[1]1_inventory_total_details'!$C$8:$C$10000,I9,'[1]1_inventory_total_details'!$F$8:$F$10000,invoice_location_id,'[1]1_inventory_total_details'!$G$8:$G$10000,"="&amp;Q9,'[1]1_inventory_total_details'!$H$8:$H$10000,"="&amp;R9,'[1]1_inventory_total_details'!$I$8:$I$10000,"="&amp;invoice_date),SUMIFS('[1]2_inventory_total_details'!$J$8:$J$10000,'[1]2_inventory_total_details'!$C$8:$C$10000,I9,'[1]2_inventory_total_details'!$F$8:$F$10000,invoice_location_id,'[1]2_inventory_total_details'!$G$8:$G$10000,"="&amp;Q9,'[1]2_inventory_total_details'!$H$8:$H$10000,"="&amp;R9,'[1]2_inventory_total_details'!$I$8:$I$10000,"="&amp;invoice_date)+SUMIFS('[1]2_inventory_total_details'!$M$8:$M$10000,'[1]2_inventory_total_details'!$C$8:$C$10000,I9,'[1]2_inventory_total_details'!$F$8:$F$10000,invoice_location_id,'[1]2_inventory_total_details'!$G$8:$G$10000,"="&amp;Q9,'[1]2_inventory_total_details'!$H$8:$H$10000,"="&amp;R9,'[1]2_inventory_total_details'!$I$8:$I$10000,"="&amp;invoice_date)+SUMIFS('[1]2_inventory_total_details'!$K$8:$K$10000,'[1]2_inventory_total_details'!$C$8:$C$10000,I9,'[1]2_inventory_total_details'!$F$8:$F$10000,invoice_location_id,'[1]2_inventory_total_details'!$G$8:$G$10000,"="&amp;Q9,'[1]2_inventory_total_details'!$H$8:$H$10000,"="&amp;R9,'[1]2_inventory_total_details'!$I$8:$I$10000,"="&amp;invoice_date)+SUMIFS('[1]2_inventory_total_details'!$L$8:$L$10000,'[1]2_inventory_total_details'!$C$8:$C$10000,I9,'[1]2_inventory_total_details'!$F$8:$F$10000,invoice_location_id,'[1]2_inventory_total_details'!$G$8:$G$10000,"="&amp;Q9,'[1]2_inventory_total_details'!$H$8:$H$10000,"="&amp;R9,'[1]2_inventory_total_details'!$I$8:$I$10000,"="&amp;invoice_date)))</f>
        <v/>
      </c>
      <c r="AJ9" s="197" t="str">
        <f>IF(M9="","",IF(ISNA(MATCH(I9,'[1]1_group_totals'!$C$8:$C$10000)),0,IF(AW9&gt;0,1,0)))</f>
        <v/>
      </c>
      <c r="AK9" s="197" t="str">
        <f>IF(M9="","",(SUMIFS('[1]1_group_total_details'!$I$8:$I$10000,'[1]1_group_total_details'!$C$8:$C$10000,I9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9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9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9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9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9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9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9,'[1]1_group_total_details'!$F$8:$F$10000,invoice_location_group_id,'[1]1_group_total_details'!$G$8:$G$10000,invoice_location_id,'[1]1_group_total_details'!$H$8:$H$10000,"="&amp;invoice_date)))</f>
        <v/>
      </c>
      <c r="AL9" s="197" t="str">
        <f>IF(M9="","",(SUMIFS('[1]1_group_total_details'!$I$8:$I$10000,'[1]1_group_total_details'!$C$8:$C$10000,I9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9,'[1]1_group_total_details'!$F$8:$F$10000,invoice_location_group_id,'[1]1_group_total_details'!$G$8:$G$10000,1,'[1]1_group_total_details'!$H$8:$H$10000,"&lt;="&amp;invoice_date)+SUMIFS('[1]1_group_total_details'!$N$8:$N$10000,'[1]1_group_total_details'!$C$8:$C$10000,I9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9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9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9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9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9,'[1]1_group_total_details'!$F$8:$F$10000,invoice_location_group_id,'[1]1_group_total_details'!$G$8:$G$10000,invoice_location_id,'[1]1_group_total_details'!$H$8:$H$10000,"&lt;="&amp;invoice_date)))</f>
        <v/>
      </c>
      <c r="AM9" s="197" t="str">
        <f>IF(M9="","",SUMIFS('[1]1_group_totals'!$J$8:$J$10000,'[1]1_group_totals'!$C$8:$C$10000,I9,'[1]1_group_totals'!$F$8:$F$10000,invoice_location_group_id,'[1]1_group_totals'!$G$8:$G$10000,invoice_location_id,'[1]1_group_totals'!$H$8:$H$10000,"="&amp;Q9,'[1]1_group_totals'!$I$8:$I$10000,"="&amp;R9))</f>
        <v/>
      </c>
      <c r="AN9" s="197" t="str">
        <f t="shared" ref="AN9:AN72" si="17">IF(M9="","",VLOOKUP(I9,product_list,8,FALSE))</f>
        <v/>
      </c>
      <c r="AO9" s="197" t="str">
        <f>IF(OR(ISNA(MATCH(MID(AN9,1,3)*1,UomConversion!$D$8:$D$500,0)),M9=""),"",IF(AT9="","",AT9))</f>
        <v/>
      </c>
      <c r="AP9" s="197" t="str">
        <f>IF(AND(AQ9&gt;0,COUNTIFS(UomConversion!$D$8:$D$500,MID(AN9,1,3)*1,UomConversion!$J$8:$J$500,1)&gt;1),TEXT(AQ9,"000")&amp;"."&amp;VLOOKUP(AQ9,uom_list,5,FALSE),"")</f>
        <v/>
      </c>
      <c r="AQ9" s="197" t="str">
        <f t="shared" ref="AQ9:AQ72" si="18">IF(AND(AU9&gt;0,M9&lt;&gt;""),AU9,"")</f>
        <v/>
      </c>
      <c r="AR9" s="197" t="str">
        <f t="shared" ref="AR9:AR72" si="19">IF(M9="","",IF(AA9&gt;0,AB9/AA9,""))</f>
        <v/>
      </c>
      <c r="AS9" s="1866" t="str">
        <f>IF(M9="","",SUMIFS(ProductPrice!$N$28:$N$10000,ProductPrice!$D$28:$D$10000,I9,ProductPrice!$G$28:$G$10000,invoice_branch_id,ProductPrice!$H$28:$H$10000,invoice_price_type_id,ProductPrice!$I$28:$I$10000,MID(P9,1,3)*1,ProductPrice!$Q$28:$Q$10000,1,ProductPrice!$T$28:$T$10000,1))</f>
        <v/>
      </c>
      <c r="AT9" s="197" t="str">
        <f t="shared" ref="AT9:AT39" si="20">IF(OR(ISNA(VLOOKUP(MID(AN9,1,3)*1,uom_converion_list,2,FALSE)),M9=""),"",TEXT(VLOOKUP(MID(AN9,1,3)*1,uom_converion_list,2,FALSE),"000")&amp;"."&amp;VLOOKUP(VLOOKUP(MID(AN9,1,3)*1,uom_converion_list,2,FALSE),uom_list,5,FALSE))</f>
        <v/>
      </c>
      <c r="AU9" s="197" t="str" cm="1">
        <f t="array" ref="AU9">IF(M9="","",IF(ISNA(Slookup(MID(AN9,1,3)*1,UomConversion!$D$8:$J$500,2,UomConversion!$I$8:$I$500,1,UomConversion!$J$8:$J$500,1)),"",Slookup(MID(AN9,1,3)*1,UomConversion!$D$8:$J$500,2,UomConversion!$I$8:$I$500,1,UomConversion!$J$8:$J$500,1)))</f>
        <v/>
      </c>
      <c r="AV9" s="197" t="str">
        <f t="shared" si="6"/>
        <v/>
      </c>
      <c r="AW9" s="197" t="str">
        <f>IF(M9="","",(SUMIFS('[1]1_group_totals'!$K$8:$K$10000,'[1]1_group_totals'!$C$8:$C$10000,I9,'[1]1_group_totals'!$F$8:$F$10000,invoice_location_group_id,'[1]1_group_totals'!$G$8:$G$10000,invoice_location_id,'[1]1_group_totals'!$H$8:$H$10000,"="&amp;Q9,'[1]1_group_totals'!$I$8:$I$10000,"="&amp;R9)+SUMIFS('[1]1_group_totals'!$N$8:$N$10000,'[1]1_group_totals'!$C$8:$C$10000,I9,'[1]1_group_totals'!$F$8:$F$10000,invoice_location_group_id,'[1]1_group_totals'!$G$8:$G$10000,invoice_location_id,'[1]1_group_totals'!$H$8:$H$10000,"="&amp;Q9,'[1]1_group_totals'!$I$8:$I$10000,"="&amp;R9)+SUMIFS('[1]1_group_totals'!$P$8:$P$10000,'[1]1_group_totals'!$C$8:$C$10000,I9,'[1]1_group_totals'!$F$8:$F$10000,invoice_location_group_id,'[1]1_group_totals'!$G$8:$G$10000,invoice_location_id,'[1]1_group_totals'!$H$8:$H$10000,"="&amp;Q9,'[1]1_group_totals'!$I$8:$I$10000,"="&amp;R9)+SUMIFS('[1]1_group_totals'!$Q$8:$Q$10000,'[1]1_group_totals'!$C$8:$C$10000,I9,'[1]1_group_totals'!$F$8:$F$10000,invoice_location_group_id,'[1]1_group_totals'!$G$8:$G$10000,invoice_location_id,'[1]1_group_totals'!$H$8:$H$10000,"="&amp;Q9,'[1]1_group_totals'!$I$8:$I$10000,"="&amp;R9))+(SUMIFS('[1]1_group_totals'!$L$8:$L$10000,'[1]1_group_totals'!$C$8:$C$10000,I9,'[1]1_group_totals'!$F$8:$F$10000,invoice_location_group_id,'[1]1_group_totals'!$G$8:$G$10000,invoice_location_id,'[1]1_group_totals'!$H$8:$H$10000,"="&amp;Q9,'[1]1_group_totals'!$I$8:$I$10000,"="&amp;R9)+SUMIFS('[1]1_group_totals'!$M$8:$M$10000,'[1]1_group_totals'!$C$8:$C$10000,I9,'[1]1_group_totals'!$F$8:$F$10000,invoice_location_group_id,'[1]1_group_totals'!$G$8:$G$10000,invoice_location_id,'[1]1_group_totals'!$H$8:$H$10000,"="&amp;Q9,'[1]1_group_totals'!$I$8:$I$10000,"="&amp;R9)+SUMIFS('[1]1_group_totals'!$O$8:$O$10000,'[1]1_group_totals'!$C$8:$C$10000,I9,'[1]1_group_totals'!$F$8:$F$10000,invoice_location_group_id,'[1]1_group_totals'!$G$8:$G$10000,invoice_location_id,'[1]1_group_totals'!$H$8:$H$10000,"="&amp;Q9,'[1]1_group_totals'!$I$8:$I$10000,"="&amp;R9)+SUMIFS('[1]1_group_totals'!$R$8:$R$10000,'[1]1_group_totals'!$C$8:$C$10000,I9,'[1]1_group_totals'!$F$8:$F$10000,invoice_location_group_id,'[1]1_group_totals'!$G$8:$G$10000,invoice_location_id,'[1]1_group_totals'!$H$8:$H$10000,"="&amp;Q9,'[1]1_group_totals'!$I$8:$I$10000,"="&amp;R9)))</f>
        <v/>
      </c>
      <c r="AX9" s="197" t="str">
        <f t="shared" ref="AX9:AX72" si="21">IF(M9="","",IF((N9+O9)*(AB9/AA9)&gt;0,(N9+O9)*(AB9/AA9),0))</f>
        <v/>
      </c>
      <c r="AY9" s="197" t="str">
        <f>IF(M9="","",SUMIFS($AX$8:AX9,$I$8:I9,I9))</f>
        <v/>
      </c>
      <c r="AZ9" s="197" t="str">
        <f t="shared" ref="AZ9:AZ72" si="22">IF(M9="","",AL9-AY9)</f>
        <v/>
      </c>
      <c r="BA9" s="197" t="str">
        <f>IF(M9="","",(SUMIFS('[1]1_inventory_totals'!$I$8:$I$10000,'[1]1_inventory_totals'!$C$8:$C$10000,I9,'[1]1_inventory_totals'!$F$8:$F$10000,"="&amp;Q9,'[1]1_inventory_totals'!$G$8:$G$10000,"="&amp;R9)+SUMIFS('[1]1_inventory_totals'!$N$8:$N$10000,'[1]1_inventory_totals'!$C$8:$C$10000,I9,'[1]1_inventory_totals'!$F$8:$F$10000,"="&amp;Q9,'[1]1_inventory_totals'!$G$8:$G$10000,"="&amp;R9)+SUMIFS('[1]1_inventory_totals'!$P$8:$P$10000,'[1]1_inventory_totals'!$C$8:$C$10000,I9,'[1]1_inventory_totals'!$F$8:$F$10000,"="&amp;Q9,'[1]1_inventory_totals'!$G$8:$G$10000,"="&amp;R9)+SUMIFS('[1]1_inventory_totals'!$Q$8:$Q$10000,'[1]1_inventory_totals'!$C$8:$C$10000,I9,'[1]1_inventory_totals'!$F$8:$F$10000,"="&amp;Q9,'[1]1_inventory_totals'!$G$8:$G$10000,"="&amp;R9)+SUMIFS('[1]1_inventory_totals'!$R$8:$R$10000,'[1]1_inventory_totals'!$C$8:$C$10000,I9,'[1]1_inventory_totals'!$F$8:$F$10000,"="&amp;Q9,'[1]1_inventory_totals'!$G$8:$G$10000,"="&amp;R9))+(SUMIFS('[1]1_inventory_totals'!$J$8:$J$10000,'[1]1_inventory_totals'!$C$8:$C$10000,I9,'[1]1_inventory_totals'!$F$8:$F$10000,"="&amp;Q9,'[1]1_inventory_totals'!$G$8:$G$10000,"="&amp;R9)+SUMIFS('[1]1_inventory_totals'!$K$8:$K$10000,'[1]1_inventory_totals'!$C$8:$C$10000,I9,'[1]1_inventory_totals'!$F$8:$F$10000,"="&amp;Q9,'[1]1_inventory_totals'!$G$8:$G$10000,"="&amp;R9)+SUMIFS('[1]1_inventory_totals'!$L$8:$L$10000,'[1]1_inventory_totals'!$C$8:$C$10000,I9,'[1]1_inventory_totals'!$F$8:$F$10000,"="&amp;Q9,'[1]1_inventory_totals'!$G$8:$G$10000,"="&amp;R9)+SUMIFS('[1]1_inventory_totals'!$M$8:$M$10000,'[1]1_inventory_totals'!$C$8:$C$10000,I9,'[1]1_inventory_totals'!$F$8:$F$10000,"="&amp;Q9,'[1]1_inventory_totals'!$G$8:$G$10000,"="&amp;R9)+SUMIFS('[1]1_inventory_totals'!$O$8:$O$10000,'[1]1_inventory_totals'!$C$8:$C$10000,I9,'[1]1_inventory_totals'!$F$8:$F$10000,"="&amp;Q9,'[1]1_inventory_totals'!$G$8:$G$10000,"="&amp;R9)+SUMIFS('[1]1_inventory_totals'!$S$8:$S$10000,'[1]1_inventory_totals'!$C$8:$C$10000,I9,'[1]1_inventory_totals'!$F$8:$F$10000,"="&amp;Q9,'[1]1_inventory_totals'!$G$8:$G$10000,"="&amp;R9)))</f>
        <v/>
      </c>
      <c r="BB9" s="197" t="str">
        <f>IF(M9="","",(SUMIFS('[1]2_inventory_totals'!$I$8:$I$10000,'[1]2_inventory_totals'!$C$8:$C$10000,I9,'[1]2_inventory_totals'!$F$8:$F$10000,"="&amp;Q9,'[1]2_inventory_totals'!$G$8:$G$10000,"="&amp;R9)+SUMIFS('[1]2_inventory_totals'!$N$8:$N$10000,'[1]2_inventory_totals'!$C$8:$C$10000,I9,'[1]2_inventory_totals'!$F$8:$F$10000,"="&amp;Q9,'[1]2_inventory_totals'!$G$8:$G$10000,"="&amp;R9)+SUMIFS('[1]2_inventory_totals'!$P$8:$P$10000,'[1]2_inventory_totals'!$C$8:$C$10000,I9,'[1]2_inventory_totals'!$F$8:$F$10000,"="&amp;Q9,'[1]2_inventory_totals'!$G$8:$G$10000,"="&amp;R9)+SUMIFS('[1]2_inventory_totals'!$Q$8:$Q$10000,'[1]2_inventory_totals'!$C$8:$C$10000,I9,'[1]2_inventory_totals'!$F$8:$F$10000,"="&amp;Q9,'[1]2_inventory_totals'!$G$8:$G$10000,"="&amp;R9)+SUMIFS('[1]2_inventory_totals'!$R$8:$R$10000,'[1]2_inventory_totals'!$C$8:$C$10000,I9,'[1]2_inventory_totals'!$F$8:$F$10000,"="&amp;Q9,'[1]2_inventory_totals'!$G$8:$G$10000,"="&amp;R9))+(SUMIFS('[1]2_inventory_totals'!$J$8:$J$10000,'[1]2_inventory_totals'!$C$8:$C$10000,I9,'[1]2_inventory_totals'!$F$8:$F$10000,"="&amp;Q9,'[1]2_inventory_totals'!$G$8:$G$10000,"="&amp;R9)+SUMIFS('[1]2_inventory_totals'!$K$8:$K$10000,'[1]2_inventory_totals'!$C$8:$C$10000,I9,'[1]2_inventory_totals'!$F$8:$F$10000,"="&amp;Q9,'[1]2_inventory_totals'!$G$8:$G$10000,"="&amp;R9)+SUMIFS('[1]2_inventory_totals'!$L$8:$L$10000,'[1]2_inventory_totals'!$C$8:$C$10000,I9,'[1]2_inventory_totals'!$F$8:$F$10000,"="&amp;Q9,'[1]2_inventory_totals'!$G$8:$G$10000,"="&amp;R9)+SUMIFS('[1]2_inventory_totals'!$M$8:$M$10000,'[1]2_inventory_totals'!$C$8:$C$10000,I9,'[1]2_inventory_totals'!$F$8:$F$10000,"="&amp;Q9,'[1]2_inventory_totals'!$G$8:$G$10000,"="&amp;R9)+SUMIFS('[1]2_inventory_totals'!$O$8:$O$10000,'[1]2_inventory_totals'!$C$8:$C$10000,I9,'[1]2_inventory_totals'!$F$8:$F$10000,"="&amp;Q9,'[1]2_inventory_totals'!$G$8:$G$10000,"="&amp;R9)+SUMIFS('[1]2_inventory_totals'!$S$8:$S$10000,'[1]2_inventory_totals'!$C$8:$C$10000,I9,'[1]2_inventory_totals'!$F$8:$F$10000,"="&amp;Q9,'[1]2_inventory_totals'!$G$8:$G$10000,"="&amp;R9)))</f>
        <v/>
      </c>
    </row>
    <row r="10" spans="1:58" ht="27" customHeight="1" thickBot="1">
      <c r="A10" s="923"/>
      <c r="B10" s="1256"/>
      <c r="C10" s="947" t="s">
        <v>2656</v>
      </c>
      <c r="D10" s="1260"/>
      <c r="E10" s="1261" t="s">
        <v>3300</v>
      </c>
      <c r="F10" s="1262"/>
      <c r="I10" s="1610" t="str">
        <f t="shared" si="7"/>
        <v/>
      </c>
      <c r="J10" s="1611" t="str">
        <f t="shared" ref="J10:J30" si="23">IF(M10="","",J9+1)</f>
        <v/>
      </c>
      <c r="K10" s="1612" t="str">
        <f>IF(M10="","",VLOOKUP(I10,product_list,4,FALSE))</f>
        <v/>
      </c>
      <c r="L10" s="1613"/>
      <c r="M10" s="883"/>
      <c r="N10" s="884"/>
      <c r="O10" s="884"/>
      <c r="P10" s="885"/>
      <c r="Q10" s="886"/>
      <c r="R10" s="887"/>
      <c r="S10" s="1614" t="str">
        <f t="shared" si="0"/>
        <v/>
      </c>
      <c r="T10" s="1536"/>
      <c r="U10" s="1864" t="str">
        <f t="shared" si="9"/>
        <v/>
      </c>
      <c r="V10" s="1615" t="str">
        <f t="shared" si="1"/>
        <v/>
      </c>
      <c r="W10" s="889"/>
      <c r="X10" s="1615" t="str">
        <f t="shared" si="2"/>
        <v/>
      </c>
      <c r="Y10" s="1865" t="str">
        <f t="shared" si="10"/>
        <v/>
      </c>
      <c r="Z10" s="890"/>
      <c r="AA10" s="197" t="str" cm="1">
        <f t="array" ref="AA10">IF(M10="","",IF(P10=AN10,1,Slookup(MID(AN10,1,3)*1,UomConversion!$D$8:$J$500,5,UomConversion!$E$8:$E$500,MID(P10,1,3)*1,UomConversion!$J$8:$J$500,1)))</f>
        <v/>
      </c>
      <c r="AB10" s="197" t="str">
        <f t="shared" si="11"/>
        <v/>
      </c>
      <c r="AC10" s="197" t="str">
        <f t="shared" si="12"/>
        <v/>
      </c>
      <c r="AD10" s="197" t="str">
        <f t="shared" si="13"/>
        <v/>
      </c>
      <c r="AE10" s="1866" t="str">
        <f t="shared" si="14"/>
        <v/>
      </c>
      <c r="AF10" s="1866" t="str">
        <f t="shared" si="15"/>
        <v/>
      </c>
      <c r="AG10" s="197" t="str">
        <f t="shared" si="16"/>
        <v/>
      </c>
      <c r="AH10" s="197" t="str">
        <f>IF(I10="","",IF(ISNA(MATCH(I10,IF(invoice_location_id=1,'[1]1_inventory_totals'!$C$8:$C$10000,IF(invoice_location_id=2,'[1]2_inventory_totals'!$C$8:$C$10000,0)),0)),0,IF(AV10&gt;0,1,0)))</f>
        <v/>
      </c>
      <c r="AI10" s="197" t="str">
        <f>IF(M10="","",IF(invoice_location_id=1,SUMIFS('[1]1_inventory_total_details'!$J$8:$J$10000,'[1]1_inventory_total_details'!$C$8:$C$10000,I10,'[1]1_inventory_total_details'!$F$8:$F$10000,invoice_location_id,'[1]1_inventory_total_details'!$G$8:$G$10000,"="&amp;Q10,'[1]1_inventory_total_details'!$H$8:$H$10000,"="&amp;R10,'[1]1_inventory_total_details'!$I$8:$I$10000,"="&amp;invoice_date)+SUMIFS('[1]1_inventory_total_details'!$M$8:$M$10000,'[1]1_inventory_total_details'!$C$8:$C$10000,I10,'[1]1_inventory_total_details'!$F$8:$F$10000,invoice_location_id,'[1]1_inventory_total_details'!$G$8:$G$10000,"="&amp;Q10,'[1]1_inventory_total_details'!$H$8:$H$10000,"="&amp;R10,'[1]1_inventory_total_details'!$I$8:$I$10000,"="&amp;invoice_date)+SUMIFS('[1]1_inventory_total_details'!$K$8:$K$10000,'[1]1_inventory_total_details'!$C$8:$C$10000,I10,'[1]1_inventory_total_details'!$F$8:$F$10000,invoice_location_id,'[1]1_inventory_total_details'!$G$8:$G$10000,"="&amp;Q10,'[1]1_inventory_total_details'!$H$8:$H$10000,"="&amp;R10,'[1]1_inventory_total_details'!$I$8:$I$10000,"="&amp;invoice_date)+SUMIFS('[1]1_inventory_total_details'!$L$8:$L$10000,'[1]1_inventory_total_details'!$C$8:$C$10000,I10,'[1]1_inventory_total_details'!$F$8:$F$10000,invoice_location_id,'[1]1_inventory_total_details'!$G$8:$G$10000,"="&amp;Q10,'[1]1_inventory_total_details'!$H$8:$H$10000,"="&amp;R10,'[1]1_inventory_total_details'!$I$8:$I$10000,"="&amp;invoice_date),SUMIFS('[1]2_inventory_total_details'!$J$8:$J$10000,'[1]2_inventory_total_details'!$C$8:$C$10000,I10,'[1]2_inventory_total_details'!$F$8:$F$10000,invoice_location_id,'[1]2_inventory_total_details'!$G$8:$G$10000,"="&amp;Q10,'[1]2_inventory_total_details'!$H$8:$H$10000,"="&amp;R10,'[1]2_inventory_total_details'!$I$8:$I$10000,"="&amp;invoice_date)+SUMIFS('[1]2_inventory_total_details'!$M$8:$M$10000,'[1]2_inventory_total_details'!$C$8:$C$10000,I10,'[1]2_inventory_total_details'!$F$8:$F$10000,invoice_location_id,'[1]2_inventory_total_details'!$G$8:$G$10000,"="&amp;Q10,'[1]2_inventory_total_details'!$H$8:$H$10000,"="&amp;R10,'[1]2_inventory_total_details'!$I$8:$I$10000,"="&amp;invoice_date)+SUMIFS('[1]2_inventory_total_details'!$K$8:$K$10000,'[1]2_inventory_total_details'!$C$8:$C$10000,I10,'[1]2_inventory_total_details'!$F$8:$F$10000,invoice_location_id,'[1]2_inventory_total_details'!$G$8:$G$10000,"="&amp;Q10,'[1]2_inventory_total_details'!$H$8:$H$10000,"="&amp;R10,'[1]2_inventory_total_details'!$I$8:$I$10000,"="&amp;invoice_date)+SUMIFS('[1]2_inventory_total_details'!$L$8:$L$10000,'[1]2_inventory_total_details'!$C$8:$C$10000,I10,'[1]2_inventory_total_details'!$F$8:$F$10000,invoice_location_id,'[1]2_inventory_total_details'!$G$8:$G$10000,"="&amp;Q10,'[1]2_inventory_total_details'!$H$8:$H$10000,"="&amp;R10,'[1]2_inventory_total_details'!$I$8:$I$10000,"="&amp;invoice_date)))</f>
        <v/>
      </c>
      <c r="AJ10" s="197" t="str">
        <f>IF(M10="","",IF(ISNA(MATCH(I10,'[1]1_group_totals'!$C$8:$C$10000)),0,IF(AW10&gt;0,1,0)))</f>
        <v/>
      </c>
      <c r="AK10" s="197" t="str">
        <f>IF(M10="","",(SUMIFS('[1]1_group_total_details'!$I$8:$I$10000,'[1]1_group_total_details'!$C$8:$C$10000,I10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10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10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10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10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10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10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10,'[1]1_group_total_details'!$F$8:$F$10000,invoice_location_group_id,'[1]1_group_total_details'!$G$8:$G$10000,invoice_location_id,'[1]1_group_total_details'!$H$8:$H$10000,"="&amp;invoice_date)))</f>
        <v/>
      </c>
      <c r="AL10" s="197" t="str">
        <f>IF(M10="","",(SUMIFS('[1]1_group_total_details'!$I$8:$I$10000,'[1]1_group_total_details'!$C$8:$C$10000,I10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10,'[1]1_group_total_details'!$F$8:$F$10000,invoice_location_group_id,'[1]1_group_total_details'!$G$8:$G$10000,1,'[1]1_group_total_details'!$H$8:$H$10000,"&lt;="&amp;invoice_date)+SUMIFS('[1]1_group_total_details'!$N$8:$N$10000,'[1]1_group_total_details'!$C$8:$C$10000,I10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10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10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10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10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10,'[1]1_group_total_details'!$F$8:$F$10000,invoice_location_group_id,'[1]1_group_total_details'!$G$8:$G$10000,invoice_location_id,'[1]1_group_total_details'!$H$8:$H$10000,"&lt;="&amp;invoice_date)))</f>
        <v/>
      </c>
      <c r="AM10" s="197" t="str">
        <f>IF(M10="","",SUMIFS('[1]1_group_totals'!$J$8:$J$10000,'[1]1_group_totals'!$C$8:$C$10000,I10,'[1]1_group_totals'!$F$8:$F$10000,invoice_location_group_id,'[1]1_group_totals'!$G$8:$G$10000,invoice_location_id,'[1]1_group_totals'!$H$8:$H$10000,"="&amp;Q10,'[1]1_group_totals'!$I$8:$I$10000,"="&amp;R10))</f>
        <v/>
      </c>
      <c r="AN10" s="197" t="str">
        <f t="shared" si="17"/>
        <v/>
      </c>
      <c r="AO10" s="197" t="str">
        <f>IF(OR(ISNA(MATCH(MID(AN10,1,3)*1,UomConversion!$D$8:$D$500,0)),M10=""),"",IF(AT10="","",AT10))</f>
        <v/>
      </c>
      <c r="AP10" s="197" t="str">
        <f>IF(AND(AQ10&gt;0,COUNTIFS(UomConversion!$D$8:$D$500,MID(AN10,1,3)*1,UomConversion!$J$8:$J$500,1)&gt;1),TEXT(AQ10,"000")&amp;"."&amp;VLOOKUP(AQ10,uom_list,5,FALSE),"")</f>
        <v/>
      </c>
      <c r="AQ10" s="197" t="str">
        <f t="shared" si="18"/>
        <v/>
      </c>
      <c r="AR10" s="197" t="str">
        <f t="shared" si="19"/>
        <v/>
      </c>
      <c r="AS10" s="1866" t="str">
        <f>IF(M10="","",SUMIFS(ProductPrice!$N$28:$N$10000,ProductPrice!$D$28:$D$10000,I10,ProductPrice!$G$28:$G$10000,invoice_branch_id,ProductPrice!$H$28:$H$10000,invoice_price_type_id,ProductPrice!$I$28:$I$10000,MID(P10,1,3)*1,ProductPrice!$Q$28:$Q$10000,1,ProductPrice!$T$28:$T$10000,1))</f>
        <v/>
      </c>
      <c r="AT10" s="197" t="str">
        <f t="shared" si="20"/>
        <v/>
      </c>
      <c r="AU10" s="197" t="str" cm="1">
        <f t="array" ref="AU10">IF(M10="","",IF(ISNA(Slookup(MID(AN10,1,3)*1,UomConversion!$D$8:$J$500,2,UomConversion!$I$8:$I$500,1,UomConversion!$J$8:$J$500,1)),"",Slookup(MID(AN10,1,3)*1,UomConversion!$D$8:$J$500,2,UomConversion!$I$8:$I$500,1,UomConversion!$J$8:$J$500,1)))</f>
        <v/>
      </c>
      <c r="AV10" s="197" t="str">
        <f t="shared" si="6"/>
        <v/>
      </c>
      <c r="AW10" s="197" t="str">
        <f>IF(M10="","",(SUMIFS('[1]1_group_totals'!$K$8:$K$10000,'[1]1_group_totals'!$C$8:$C$10000,I10,'[1]1_group_totals'!$F$8:$F$10000,invoice_location_group_id,'[1]1_group_totals'!$G$8:$G$10000,invoice_location_id,'[1]1_group_totals'!$H$8:$H$10000,"="&amp;Q10,'[1]1_group_totals'!$I$8:$I$10000,"="&amp;R10)+SUMIFS('[1]1_group_totals'!$N$8:$N$10000,'[1]1_group_totals'!$C$8:$C$10000,I10,'[1]1_group_totals'!$F$8:$F$10000,invoice_location_group_id,'[1]1_group_totals'!$G$8:$G$10000,invoice_location_id,'[1]1_group_totals'!$H$8:$H$10000,"="&amp;Q10,'[1]1_group_totals'!$I$8:$I$10000,"="&amp;R10)+SUMIFS('[1]1_group_totals'!$P$8:$P$10000,'[1]1_group_totals'!$C$8:$C$10000,I10,'[1]1_group_totals'!$F$8:$F$10000,invoice_location_group_id,'[1]1_group_totals'!$G$8:$G$10000,invoice_location_id,'[1]1_group_totals'!$H$8:$H$10000,"="&amp;Q10,'[1]1_group_totals'!$I$8:$I$10000,"="&amp;R10)+SUMIFS('[1]1_group_totals'!$Q$8:$Q$10000,'[1]1_group_totals'!$C$8:$C$10000,I10,'[1]1_group_totals'!$F$8:$F$10000,invoice_location_group_id,'[1]1_group_totals'!$G$8:$G$10000,invoice_location_id,'[1]1_group_totals'!$H$8:$H$10000,"="&amp;Q10,'[1]1_group_totals'!$I$8:$I$10000,"="&amp;R10))+(SUMIFS('[1]1_group_totals'!$L$8:$L$10000,'[1]1_group_totals'!$C$8:$C$10000,I10,'[1]1_group_totals'!$F$8:$F$10000,invoice_location_group_id,'[1]1_group_totals'!$G$8:$G$10000,invoice_location_id,'[1]1_group_totals'!$H$8:$H$10000,"="&amp;Q10,'[1]1_group_totals'!$I$8:$I$10000,"="&amp;R10)+SUMIFS('[1]1_group_totals'!$M$8:$M$10000,'[1]1_group_totals'!$C$8:$C$10000,I10,'[1]1_group_totals'!$F$8:$F$10000,invoice_location_group_id,'[1]1_group_totals'!$G$8:$G$10000,invoice_location_id,'[1]1_group_totals'!$H$8:$H$10000,"="&amp;Q10,'[1]1_group_totals'!$I$8:$I$10000,"="&amp;R10)+SUMIFS('[1]1_group_totals'!$O$8:$O$10000,'[1]1_group_totals'!$C$8:$C$10000,I10,'[1]1_group_totals'!$F$8:$F$10000,invoice_location_group_id,'[1]1_group_totals'!$G$8:$G$10000,invoice_location_id,'[1]1_group_totals'!$H$8:$H$10000,"="&amp;Q10,'[1]1_group_totals'!$I$8:$I$10000,"="&amp;R10)+SUMIFS('[1]1_group_totals'!$R$8:$R$10000,'[1]1_group_totals'!$C$8:$C$10000,I10,'[1]1_group_totals'!$F$8:$F$10000,invoice_location_group_id,'[1]1_group_totals'!$G$8:$G$10000,invoice_location_id,'[1]1_group_totals'!$H$8:$H$10000,"="&amp;Q10,'[1]1_group_totals'!$I$8:$I$10000,"="&amp;R10)))</f>
        <v/>
      </c>
      <c r="AX10" s="197" t="str">
        <f t="shared" si="21"/>
        <v/>
      </c>
      <c r="AY10" s="197" t="str">
        <f>IF(M10="","",SUMIFS($AX$8:AX10,$I$8:I10,I10))</f>
        <v/>
      </c>
      <c r="AZ10" s="197" t="str">
        <f t="shared" si="22"/>
        <v/>
      </c>
      <c r="BA10" s="197" t="str">
        <f>IF(M10="","",(SUMIFS('[1]1_inventory_totals'!$I$8:$I$10000,'[1]1_inventory_totals'!$C$8:$C$10000,I10,'[1]1_inventory_totals'!$F$8:$F$10000,"="&amp;Q10,'[1]1_inventory_totals'!$G$8:$G$10000,"="&amp;R10)+SUMIFS('[1]1_inventory_totals'!$N$8:$N$10000,'[1]1_inventory_totals'!$C$8:$C$10000,I10,'[1]1_inventory_totals'!$F$8:$F$10000,"="&amp;Q10,'[1]1_inventory_totals'!$G$8:$G$10000,"="&amp;R10)+SUMIFS('[1]1_inventory_totals'!$P$8:$P$10000,'[1]1_inventory_totals'!$C$8:$C$10000,I10,'[1]1_inventory_totals'!$F$8:$F$10000,"="&amp;Q10,'[1]1_inventory_totals'!$G$8:$G$10000,"="&amp;R10)+SUMIFS('[1]1_inventory_totals'!$Q$8:$Q$10000,'[1]1_inventory_totals'!$C$8:$C$10000,I10,'[1]1_inventory_totals'!$F$8:$F$10000,"="&amp;Q10,'[1]1_inventory_totals'!$G$8:$G$10000,"="&amp;R10)+SUMIFS('[1]1_inventory_totals'!$R$8:$R$10000,'[1]1_inventory_totals'!$C$8:$C$10000,I10,'[1]1_inventory_totals'!$F$8:$F$10000,"="&amp;Q10,'[1]1_inventory_totals'!$G$8:$G$10000,"="&amp;R10))+(SUMIFS('[1]1_inventory_totals'!$J$8:$J$10000,'[1]1_inventory_totals'!$C$8:$C$10000,I10,'[1]1_inventory_totals'!$F$8:$F$10000,"="&amp;Q10,'[1]1_inventory_totals'!$G$8:$G$10000,"="&amp;R10)+SUMIFS('[1]1_inventory_totals'!$K$8:$K$10000,'[1]1_inventory_totals'!$C$8:$C$10000,I10,'[1]1_inventory_totals'!$F$8:$F$10000,"="&amp;Q10,'[1]1_inventory_totals'!$G$8:$G$10000,"="&amp;R10)+SUMIFS('[1]1_inventory_totals'!$L$8:$L$10000,'[1]1_inventory_totals'!$C$8:$C$10000,I10,'[1]1_inventory_totals'!$F$8:$F$10000,"="&amp;Q10,'[1]1_inventory_totals'!$G$8:$G$10000,"="&amp;R10)+SUMIFS('[1]1_inventory_totals'!$M$8:$M$10000,'[1]1_inventory_totals'!$C$8:$C$10000,I10,'[1]1_inventory_totals'!$F$8:$F$10000,"="&amp;Q10,'[1]1_inventory_totals'!$G$8:$G$10000,"="&amp;R10)+SUMIFS('[1]1_inventory_totals'!$O$8:$O$10000,'[1]1_inventory_totals'!$C$8:$C$10000,I10,'[1]1_inventory_totals'!$F$8:$F$10000,"="&amp;Q10,'[1]1_inventory_totals'!$G$8:$G$10000,"="&amp;R10)+SUMIFS('[1]1_inventory_totals'!$S$8:$S$10000,'[1]1_inventory_totals'!$C$8:$C$10000,I10,'[1]1_inventory_totals'!$F$8:$F$10000,"="&amp;Q10,'[1]1_inventory_totals'!$G$8:$G$10000,"="&amp;R10)))</f>
        <v/>
      </c>
      <c r="BB10" s="197" t="str">
        <f>IF(M10="","",(SUMIFS('[1]2_inventory_totals'!$I$8:$I$10000,'[1]2_inventory_totals'!$C$8:$C$10000,I10,'[1]2_inventory_totals'!$F$8:$F$10000,"="&amp;Q10,'[1]2_inventory_totals'!$G$8:$G$10000,"="&amp;R10)+SUMIFS('[1]2_inventory_totals'!$N$8:$N$10000,'[1]2_inventory_totals'!$C$8:$C$10000,I10,'[1]2_inventory_totals'!$F$8:$F$10000,"="&amp;Q10,'[1]2_inventory_totals'!$G$8:$G$10000,"="&amp;R10)+SUMIFS('[1]2_inventory_totals'!$P$8:$P$10000,'[1]2_inventory_totals'!$C$8:$C$10000,I10,'[1]2_inventory_totals'!$F$8:$F$10000,"="&amp;Q10,'[1]2_inventory_totals'!$G$8:$G$10000,"="&amp;R10)+SUMIFS('[1]2_inventory_totals'!$Q$8:$Q$10000,'[1]2_inventory_totals'!$C$8:$C$10000,I10,'[1]2_inventory_totals'!$F$8:$F$10000,"="&amp;Q10,'[1]2_inventory_totals'!$G$8:$G$10000,"="&amp;R10)+SUMIFS('[1]2_inventory_totals'!$R$8:$R$10000,'[1]2_inventory_totals'!$C$8:$C$10000,I10,'[1]2_inventory_totals'!$F$8:$F$10000,"="&amp;Q10,'[1]2_inventory_totals'!$G$8:$G$10000,"="&amp;R10))+(SUMIFS('[1]2_inventory_totals'!$J$8:$J$10000,'[1]2_inventory_totals'!$C$8:$C$10000,I10,'[1]2_inventory_totals'!$F$8:$F$10000,"="&amp;Q10,'[1]2_inventory_totals'!$G$8:$G$10000,"="&amp;R10)+SUMIFS('[1]2_inventory_totals'!$K$8:$K$10000,'[1]2_inventory_totals'!$C$8:$C$10000,I10,'[1]2_inventory_totals'!$F$8:$F$10000,"="&amp;Q10,'[1]2_inventory_totals'!$G$8:$G$10000,"="&amp;R10)+SUMIFS('[1]2_inventory_totals'!$L$8:$L$10000,'[1]2_inventory_totals'!$C$8:$C$10000,I10,'[1]2_inventory_totals'!$F$8:$F$10000,"="&amp;Q10,'[1]2_inventory_totals'!$G$8:$G$10000,"="&amp;R10)+SUMIFS('[1]2_inventory_totals'!$M$8:$M$10000,'[1]2_inventory_totals'!$C$8:$C$10000,I10,'[1]2_inventory_totals'!$F$8:$F$10000,"="&amp;Q10,'[1]2_inventory_totals'!$G$8:$G$10000,"="&amp;R10)+SUMIFS('[1]2_inventory_totals'!$O$8:$O$10000,'[1]2_inventory_totals'!$C$8:$C$10000,I10,'[1]2_inventory_totals'!$F$8:$F$10000,"="&amp;Q10,'[1]2_inventory_totals'!$G$8:$G$10000,"="&amp;R10)+SUMIFS('[1]2_inventory_totals'!$S$8:$S$10000,'[1]2_inventory_totals'!$C$8:$C$10000,I10,'[1]2_inventory_totals'!$F$8:$F$10000,"="&amp;Q10,'[1]2_inventory_totals'!$G$8:$G$10000,"="&amp;R10)))</f>
        <v/>
      </c>
    </row>
    <row r="11" spans="1:58" ht="27" customHeight="1" thickBot="1">
      <c r="A11" s="923"/>
      <c r="B11" s="1256"/>
      <c r="C11" s="1893" t="s">
        <v>3239</v>
      </c>
      <c r="D11" s="1895"/>
      <c r="E11" s="1598">
        <f>MID(invoice_customer,1,4)*1</f>
        <v>1</v>
      </c>
      <c r="F11" s="1263"/>
      <c r="G11" s="941"/>
      <c r="I11" s="1610" t="str">
        <f t="shared" si="7"/>
        <v/>
      </c>
      <c r="J11" s="1611" t="str">
        <f t="shared" si="23"/>
        <v/>
      </c>
      <c r="K11" s="1612" t="str">
        <f t="shared" si="8"/>
        <v/>
      </c>
      <c r="L11" s="1613"/>
      <c r="M11" s="883"/>
      <c r="N11" s="884"/>
      <c r="O11" s="884"/>
      <c r="P11" s="885"/>
      <c r="Q11" s="886"/>
      <c r="R11" s="887"/>
      <c r="S11" s="1614" t="str">
        <f t="shared" si="0"/>
        <v/>
      </c>
      <c r="T11" s="1536"/>
      <c r="U11" s="1864" t="str">
        <f t="shared" si="9"/>
        <v/>
      </c>
      <c r="V11" s="1615" t="str">
        <f t="shared" si="1"/>
        <v/>
      </c>
      <c r="W11" s="889"/>
      <c r="X11" s="1615" t="str">
        <f t="shared" si="2"/>
        <v/>
      </c>
      <c r="Y11" s="1865" t="str">
        <f t="shared" si="10"/>
        <v/>
      </c>
      <c r="Z11" s="890"/>
      <c r="AA11" s="197" t="str" cm="1">
        <f t="array" ref="AA11">IF(M11="","",IF(P11=AN11,1,Slookup(MID(AN11,1,3)*1,UomConversion!$D$8:$J$500,5,UomConversion!$E$8:$E$500,MID(P11,1,3)*1,UomConversion!$J$8:$J$500,1)))</f>
        <v/>
      </c>
      <c r="AB11" s="197" t="str">
        <f t="shared" si="11"/>
        <v/>
      </c>
      <c r="AC11" s="197" t="str">
        <f t="shared" si="12"/>
        <v/>
      </c>
      <c r="AD11" s="197" t="str">
        <f t="shared" si="13"/>
        <v/>
      </c>
      <c r="AE11" s="1866" t="str">
        <f t="shared" si="14"/>
        <v/>
      </c>
      <c r="AF11" s="1866" t="str">
        <f t="shared" si="15"/>
        <v/>
      </c>
      <c r="AG11" s="197" t="str">
        <f t="shared" si="16"/>
        <v/>
      </c>
      <c r="AH11" s="197" t="str">
        <f>IF(I11="","",IF(ISNA(MATCH(I11,IF(invoice_location_id=1,'[1]1_inventory_totals'!$C$8:$C$10000,IF(invoice_location_id=2,'[1]2_inventory_totals'!$C$8:$C$10000,0)),0)),0,IF(AV11&gt;0,1,0)))</f>
        <v/>
      </c>
      <c r="AI11" s="197" t="str">
        <f>IF(M11="","",IF(invoice_location_id=1,SUMIFS('[1]1_inventory_total_details'!$J$8:$J$10000,'[1]1_inventory_total_details'!$C$8:$C$10000,I11,'[1]1_inventory_total_details'!$F$8:$F$10000,invoice_location_id,'[1]1_inventory_total_details'!$G$8:$G$10000,"="&amp;Q11,'[1]1_inventory_total_details'!$H$8:$H$10000,"="&amp;R11,'[1]1_inventory_total_details'!$I$8:$I$10000,"="&amp;invoice_date)+SUMIFS('[1]1_inventory_total_details'!$M$8:$M$10000,'[1]1_inventory_total_details'!$C$8:$C$10000,I11,'[1]1_inventory_total_details'!$F$8:$F$10000,invoice_location_id,'[1]1_inventory_total_details'!$G$8:$G$10000,"="&amp;Q11,'[1]1_inventory_total_details'!$H$8:$H$10000,"="&amp;R11,'[1]1_inventory_total_details'!$I$8:$I$10000,"="&amp;invoice_date)+SUMIFS('[1]1_inventory_total_details'!$K$8:$K$10000,'[1]1_inventory_total_details'!$C$8:$C$10000,I11,'[1]1_inventory_total_details'!$F$8:$F$10000,invoice_location_id,'[1]1_inventory_total_details'!$G$8:$G$10000,"="&amp;Q11,'[1]1_inventory_total_details'!$H$8:$H$10000,"="&amp;R11,'[1]1_inventory_total_details'!$I$8:$I$10000,"="&amp;invoice_date)+SUMIFS('[1]1_inventory_total_details'!$L$8:$L$10000,'[1]1_inventory_total_details'!$C$8:$C$10000,I11,'[1]1_inventory_total_details'!$F$8:$F$10000,invoice_location_id,'[1]1_inventory_total_details'!$G$8:$G$10000,"="&amp;Q11,'[1]1_inventory_total_details'!$H$8:$H$10000,"="&amp;R11,'[1]1_inventory_total_details'!$I$8:$I$10000,"="&amp;invoice_date),SUMIFS('[1]2_inventory_total_details'!$J$8:$J$10000,'[1]2_inventory_total_details'!$C$8:$C$10000,I11,'[1]2_inventory_total_details'!$F$8:$F$10000,invoice_location_id,'[1]2_inventory_total_details'!$G$8:$G$10000,"="&amp;Q11,'[1]2_inventory_total_details'!$H$8:$H$10000,"="&amp;R11,'[1]2_inventory_total_details'!$I$8:$I$10000,"="&amp;invoice_date)+SUMIFS('[1]2_inventory_total_details'!$M$8:$M$10000,'[1]2_inventory_total_details'!$C$8:$C$10000,I11,'[1]2_inventory_total_details'!$F$8:$F$10000,invoice_location_id,'[1]2_inventory_total_details'!$G$8:$G$10000,"="&amp;Q11,'[1]2_inventory_total_details'!$H$8:$H$10000,"="&amp;R11,'[1]2_inventory_total_details'!$I$8:$I$10000,"="&amp;invoice_date)+SUMIFS('[1]2_inventory_total_details'!$K$8:$K$10000,'[1]2_inventory_total_details'!$C$8:$C$10000,I11,'[1]2_inventory_total_details'!$F$8:$F$10000,invoice_location_id,'[1]2_inventory_total_details'!$G$8:$G$10000,"="&amp;Q11,'[1]2_inventory_total_details'!$H$8:$H$10000,"="&amp;R11,'[1]2_inventory_total_details'!$I$8:$I$10000,"="&amp;invoice_date)+SUMIFS('[1]2_inventory_total_details'!$L$8:$L$10000,'[1]2_inventory_total_details'!$C$8:$C$10000,I11,'[1]2_inventory_total_details'!$F$8:$F$10000,invoice_location_id,'[1]2_inventory_total_details'!$G$8:$G$10000,"="&amp;Q11,'[1]2_inventory_total_details'!$H$8:$H$10000,"="&amp;R11,'[1]2_inventory_total_details'!$I$8:$I$10000,"="&amp;invoice_date)))</f>
        <v/>
      </c>
      <c r="AJ11" s="197" t="str">
        <f>IF(M11="","",IF(ISNA(MATCH(I11,'[1]1_group_totals'!$C$8:$C$10000)),0,IF(AW11&gt;0,1,0)))</f>
        <v/>
      </c>
      <c r="AK11" s="197" t="str">
        <f>IF(M11="","",(SUMIFS('[1]1_group_total_details'!$I$8:$I$10000,'[1]1_group_total_details'!$C$8:$C$10000,I11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11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11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11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11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11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11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11,'[1]1_group_total_details'!$F$8:$F$10000,invoice_location_group_id,'[1]1_group_total_details'!$G$8:$G$10000,invoice_location_id,'[1]1_group_total_details'!$H$8:$H$10000,"="&amp;invoice_date)))</f>
        <v/>
      </c>
      <c r="AL11" s="197" t="str">
        <f>IF(M11="","",(SUMIFS('[1]1_group_total_details'!$I$8:$I$10000,'[1]1_group_total_details'!$C$8:$C$10000,I11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11,'[1]1_group_total_details'!$F$8:$F$10000,invoice_location_group_id,'[1]1_group_total_details'!$G$8:$G$10000,1,'[1]1_group_total_details'!$H$8:$H$10000,"&lt;="&amp;invoice_date)+SUMIFS('[1]1_group_total_details'!$N$8:$N$10000,'[1]1_group_total_details'!$C$8:$C$10000,I11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11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11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11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11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11,'[1]1_group_total_details'!$F$8:$F$10000,invoice_location_group_id,'[1]1_group_total_details'!$G$8:$G$10000,invoice_location_id,'[1]1_group_total_details'!$H$8:$H$10000,"&lt;="&amp;invoice_date)))</f>
        <v/>
      </c>
      <c r="AM11" s="197" t="str">
        <f>IF(M11="","",SUMIFS('[1]1_group_totals'!$J$8:$J$10000,'[1]1_group_totals'!$C$8:$C$10000,I11,'[1]1_group_totals'!$F$8:$F$10000,invoice_location_group_id,'[1]1_group_totals'!$G$8:$G$10000,invoice_location_id,'[1]1_group_totals'!$H$8:$H$10000,"="&amp;Q11,'[1]1_group_totals'!$I$8:$I$10000,"="&amp;R11))</f>
        <v/>
      </c>
      <c r="AN11" s="197" t="str">
        <f t="shared" si="17"/>
        <v/>
      </c>
      <c r="AO11" s="197" t="str">
        <f>IF(OR(ISNA(MATCH(MID(AN11,1,3)*1,UomConversion!$D$8:$D$500,0)),M11=""),"",IF(AT11="","",AT11))</f>
        <v/>
      </c>
      <c r="AP11" s="197" t="str">
        <f>IF(AND(AQ11&gt;0,COUNTIFS(UomConversion!$D$8:$D$500,MID(AN11,1,3)*1,UomConversion!$J$8:$J$500,1)&gt;1),TEXT(AQ11,"000")&amp;"."&amp;VLOOKUP(AQ11,uom_list,5,FALSE),"")</f>
        <v/>
      </c>
      <c r="AQ11" s="197" t="str">
        <f t="shared" si="18"/>
        <v/>
      </c>
      <c r="AR11" s="197" t="str">
        <f t="shared" si="19"/>
        <v/>
      </c>
      <c r="AS11" s="1866" t="str">
        <f>IF(M11="","",SUMIFS(ProductPrice!$N$28:$N$10000,ProductPrice!$D$28:$D$10000,I11,ProductPrice!$G$28:$G$10000,invoice_branch_id,ProductPrice!$H$28:$H$10000,invoice_price_type_id,ProductPrice!$I$28:$I$10000,MID(P11,1,3)*1,ProductPrice!$Q$28:$Q$10000,1,ProductPrice!$T$28:$T$10000,1))</f>
        <v/>
      </c>
      <c r="AT11" s="197" t="str">
        <f t="shared" si="20"/>
        <v/>
      </c>
      <c r="AU11" s="197" t="str" cm="1">
        <f t="array" ref="AU11">IF(M11="","",IF(ISNA(Slookup(MID(AN11,1,3)*1,UomConversion!$D$8:$J$500,2,UomConversion!$I$8:$I$500,1,UomConversion!$J$8:$J$500,1)),"",Slookup(MID(AN11,1,3)*1,UomConversion!$D$8:$J$500,2,UomConversion!$I$8:$I$500,1,UomConversion!$J$8:$J$500,1)))</f>
        <v/>
      </c>
      <c r="AV11" s="197" t="str">
        <f t="shared" si="6"/>
        <v/>
      </c>
      <c r="AW11" s="197" t="str">
        <f>IF(M11="","",(SUMIFS('[1]1_group_totals'!$K$8:$K$10000,'[1]1_group_totals'!$C$8:$C$10000,I11,'[1]1_group_totals'!$F$8:$F$10000,invoice_location_group_id,'[1]1_group_totals'!$G$8:$G$10000,invoice_location_id,'[1]1_group_totals'!$H$8:$H$10000,"="&amp;Q11,'[1]1_group_totals'!$I$8:$I$10000,"="&amp;R11)+SUMIFS('[1]1_group_totals'!$N$8:$N$10000,'[1]1_group_totals'!$C$8:$C$10000,I11,'[1]1_group_totals'!$F$8:$F$10000,invoice_location_group_id,'[1]1_group_totals'!$G$8:$G$10000,invoice_location_id,'[1]1_group_totals'!$H$8:$H$10000,"="&amp;Q11,'[1]1_group_totals'!$I$8:$I$10000,"="&amp;R11)+SUMIFS('[1]1_group_totals'!$P$8:$P$10000,'[1]1_group_totals'!$C$8:$C$10000,I11,'[1]1_group_totals'!$F$8:$F$10000,invoice_location_group_id,'[1]1_group_totals'!$G$8:$G$10000,invoice_location_id,'[1]1_group_totals'!$H$8:$H$10000,"="&amp;Q11,'[1]1_group_totals'!$I$8:$I$10000,"="&amp;R11)+SUMIFS('[1]1_group_totals'!$Q$8:$Q$10000,'[1]1_group_totals'!$C$8:$C$10000,I11,'[1]1_group_totals'!$F$8:$F$10000,invoice_location_group_id,'[1]1_group_totals'!$G$8:$G$10000,invoice_location_id,'[1]1_group_totals'!$H$8:$H$10000,"="&amp;Q11,'[1]1_group_totals'!$I$8:$I$10000,"="&amp;R11))+(SUMIFS('[1]1_group_totals'!$L$8:$L$10000,'[1]1_group_totals'!$C$8:$C$10000,I11,'[1]1_group_totals'!$F$8:$F$10000,invoice_location_group_id,'[1]1_group_totals'!$G$8:$G$10000,invoice_location_id,'[1]1_group_totals'!$H$8:$H$10000,"="&amp;Q11,'[1]1_group_totals'!$I$8:$I$10000,"="&amp;R11)+SUMIFS('[1]1_group_totals'!$M$8:$M$10000,'[1]1_group_totals'!$C$8:$C$10000,I11,'[1]1_group_totals'!$F$8:$F$10000,invoice_location_group_id,'[1]1_group_totals'!$G$8:$G$10000,invoice_location_id,'[1]1_group_totals'!$H$8:$H$10000,"="&amp;Q11,'[1]1_group_totals'!$I$8:$I$10000,"="&amp;R11)+SUMIFS('[1]1_group_totals'!$O$8:$O$10000,'[1]1_group_totals'!$C$8:$C$10000,I11,'[1]1_group_totals'!$F$8:$F$10000,invoice_location_group_id,'[1]1_group_totals'!$G$8:$G$10000,invoice_location_id,'[1]1_group_totals'!$H$8:$H$10000,"="&amp;Q11,'[1]1_group_totals'!$I$8:$I$10000,"="&amp;R11)+SUMIFS('[1]1_group_totals'!$R$8:$R$10000,'[1]1_group_totals'!$C$8:$C$10000,I11,'[1]1_group_totals'!$F$8:$F$10000,invoice_location_group_id,'[1]1_group_totals'!$G$8:$G$10000,invoice_location_id,'[1]1_group_totals'!$H$8:$H$10000,"="&amp;Q11,'[1]1_group_totals'!$I$8:$I$10000,"="&amp;R11)))</f>
        <v/>
      </c>
      <c r="AX11" s="197" t="str">
        <f t="shared" si="21"/>
        <v/>
      </c>
      <c r="AY11" s="197" t="str">
        <f>IF(M11="","",SUMIFS($AX$8:AX11,$I$8:I11,I11))</f>
        <v/>
      </c>
      <c r="AZ11" s="197" t="str">
        <f t="shared" si="22"/>
        <v/>
      </c>
      <c r="BA11" s="197" t="str">
        <f>IF(M11="","",(SUMIFS('[1]1_inventory_totals'!$I$8:$I$10000,'[1]1_inventory_totals'!$C$8:$C$10000,I11,'[1]1_inventory_totals'!$F$8:$F$10000,"="&amp;Q11,'[1]1_inventory_totals'!$G$8:$G$10000,"="&amp;R11)+SUMIFS('[1]1_inventory_totals'!$N$8:$N$10000,'[1]1_inventory_totals'!$C$8:$C$10000,I11,'[1]1_inventory_totals'!$F$8:$F$10000,"="&amp;Q11,'[1]1_inventory_totals'!$G$8:$G$10000,"="&amp;R11)+SUMIFS('[1]1_inventory_totals'!$P$8:$P$10000,'[1]1_inventory_totals'!$C$8:$C$10000,I11,'[1]1_inventory_totals'!$F$8:$F$10000,"="&amp;Q11,'[1]1_inventory_totals'!$G$8:$G$10000,"="&amp;R11)+SUMIFS('[1]1_inventory_totals'!$Q$8:$Q$10000,'[1]1_inventory_totals'!$C$8:$C$10000,I11,'[1]1_inventory_totals'!$F$8:$F$10000,"="&amp;Q11,'[1]1_inventory_totals'!$G$8:$G$10000,"="&amp;R11)+SUMIFS('[1]1_inventory_totals'!$R$8:$R$10000,'[1]1_inventory_totals'!$C$8:$C$10000,I11,'[1]1_inventory_totals'!$F$8:$F$10000,"="&amp;Q11,'[1]1_inventory_totals'!$G$8:$G$10000,"="&amp;R11))+(SUMIFS('[1]1_inventory_totals'!$J$8:$J$10000,'[1]1_inventory_totals'!$C$8:$C$10000,I11,'[1]1_inventory_totals'!$F$8:$F$10000,"="&amp;Q11,'[1]1_inventory_totals'!$G$8:$G$10000,"="&amp;R11)+SUMIFS('[1]1_inventory_totals'!$K$8:$K$10000,'[1]1_inventory_totals'!$C$8:$C$10000,I11,'[1]1_inventory_totals'!$F$8:$F$10000,"="&amp;Q11,'[1]1_inventory_totals'!$G$8:$G$10000,"="&amp;R11)+SUMIFS('[1]1_inventory_totals'!$L$8:$L$10000,'[1]1_inventory_totals'!$C$8:$C$10000,I11,'[1]1_inventory_totals'!$F$8:$F$10000,"="&amp;Q11,'[1]1_inventory_totals'!$G$8:$G$10000,"="&amp;R11)+SUMIFS('[1]1_inventory_totals'!$M$8:$M$10000,'[1]1_inventory_totals'!$C$8:$C$10000,I11,'[1]1_inventory_totals'!$F$8:$F$10000,"="&amp;Q11,'[1]1_inventory_totals'!$G$8:$G$10000,"="&amp;R11)+SUMIFS('[1]1_inventory_totals'!$O$8:$O$10000,'[1]1_inventory_totals'!$C$8:$C$10000,I11,'[1]1_inventory_totals'!$F$8:$F$10000,"="&amp;Q11,'[1]1_inventory_totals'!$G$8:$G$10000,"="&amp;R11)+SUMIFS('[1]1_inventory_totals'!$S$8:$S$10000,'[1]1_inventory_totals'!$C$8:$C$10000,I11,'[1]1_inventory_totals'!$F$8:$F$10000,"="&amp;Q11,'[1]1_inventory_totals'!$G$8:$G$10000,"="&amp;R11)))</f>
        <v/>
      </c>
      <c r="BB11" s="197" t="str">
        <f>IF(M11="","",(SUMIFS('[1]2_inventory_totals'!$I$8:$I$10000,'[1]2_inventory_totals'!$C$8:$C$10000,I11,'[1]2_inventory_totals'!$F$8:$F$10000,"="&amp;Q11,'[1]2_inventory_totals'!$G$8:$G$10000,"="&amp;R11)+SUMIFS('[1]2_inventory_totals'!$N$8:$N$10000,'[1]2_inventory_totals'!$C$8:$C$10000,I11,'[1]2_inventory_totals'!$F$8:$F$10000,"="&amp;Q11,'[1]2_inventory_totals'!$G$8:$G$10000,"="&amp;R11)+SUMIFS('[1]2_inventory_totals'!$P$8:$P$10000,'[1]2_inventory_totals'!$C$8:$C$10000,I11,'[1]2_inventory_totals'!$F$8:$F$10000,"="&amp;Q11,'[1]2_inventory_totals'!$G$8:$G$10000,"="&amp;R11)+SUMIFS('[1]2_inventory_totals'!$Q$8:$Q$10000,'[1]2_inventory_totals'!$C$8:$C$10000,I11,'[1]2_inventory_totals'!$F$8:$F$10000,"="&amp;Q11,'[1]2_inventory_totals'!$G$8:$G$10000,"="&amp;R11)+SUMIFS('[1]2_inventory_totals'!$R$8:$R$10000,'[1]2_inventory_totals'!$C$8:$C$10000,I11,'[1]2_inventory_totals'!$F$8:$F$10000,"="&amp;Q11,'[1]2_inventory_totals'!$G$8:$G$10000,"="&amp;R11))+(SUMIFS('[1]2_inventory_totals'!$J$8:$J$10000,'[1]2_inventory_totals'!$C$8:$C$10000,I11,'[1]2_inventory_totals'!$F$8:$F$10000,"="&amp;Q11,'[1]2_inventory_totals'!$G$8:$G$10000,"="&amp;R11)+SUMIFS('[1]2_inventory_totals'!$K$8:$K$10000,'[1]2_inventory_totals'!$C$8:$C$10000,I11,'[1]2_inventory_totals'!$F$8:$F$10000,"="&amp;Q11,'[1]2_inventory_totals'!$G$8:$G$10000,"="&amp;R11)+SUMIFS('[1]2_inventory_totals'!$L$8:$L$10000,'[1]2_inventory_totals'!$C$8:$C$10000,I11,'[1]2_inventory_totals'!$F$8:$F$10000,"="&amp;Q11,'[1]2_inventory_totals'!$G$8:$G$10000,"="&amp;R11)+SUMIFS('[1]2_inventory_totals'!$M$8:$M$10000,'[1]2_inventory_totals'!$C$8:$C$10000,I11,'[1]2_inventory_totals'!$F$8:$F$10000,"="&amp;Q11,'[1]2_inventory_totals'!$G$8:$G$10000,"="&amp;R11)+SUMIFS('[1]2_inventory_totals'!$O$8:$O$10000,'[1]2_inventory_totals'!$C$8:$C$10000,I11,'[1]2_inventory_totals'!$F$8:$F$10000,"="&amp;Q11,'[1]2_inventory_totals'!$G$8:$G$10000,"="&amp;R11)+SUMIFS('[1]2_inventory_totals'!$S$8:$S$10000,'[1]2_inventory_totals'!$C$8:$C$10000,I11,'[1]2_inventory_totals'!$F$8:$F$10000,"="&amp;Q11,'[1]2_inventory_totals'!$G$8:$G$10000,"="&amp;R11)))</f>
        <v/>
      </c>
    </row>
    <row r="12" spans="1:58" ht="27" customHeight="1" thickBot="1">
      <c r="A12" s="923"/>
      <c r="B12" s="1256"/>
      <c r="C12" s="947" t="s">
        <v>2651</v>
      </c>
      <c r="D12" s="1260"/>
      <c r="E12" s="947" t="s">
        <v>2657</v>
      </c>
      <c r="F12" s="1262"/>
      <c r="G12" s="941"/>
      <c r="I12" s="1610" t="str">
        <f t="shared" si="7"/>
        <v/>
      </c>
      <c r="J12" s="1611" t="str">
        <f t="shared" si="23"/>
        <v/>
      </c>
      <c r="K12" s="1612" t="str">
        <f t="shared" si="8"/>
        <v/>
      </c>
      <c r="L12" s="1613"/>
      <c r="M12" s="883"/>
      <c r="N12" s="884"/>
      <c r="O12" s="884"/>
      <c r="P12" s="885"/>
      <c r="Q12" s="886"/>
      <c r="R12" s="887"/>
      <c r="S12" s="1614" t="str">
        <f t="shared" si="0"/>
        <v/>
      </c>
      <c r="T12" s="1536"/>
      <c r="U12" s="1864" t="str">
        <f t="shared" si="9"/>
        <v/>
      </c>
      <c r="V12" s="1615" t="str">
        <f t="shared" si="1"/>
        <v/>
      </c>
      <c r="W12" s="889"/>
      <c r="X12" s="1615" t="str">
        <f t="shared" si="2"/>
        <v/>
      </c>
      <c r="Y12" s="1865" t="str">
        <f t="shared" si="10"/>
        <v/>
      </c>
      <c r="Z12" s="890"/>
      <c r="AA12" s="197" t="str" cm="1">
        <f t="array" ref="AA12">IF(M12="","",IF(P12=AN12,1,Slookup(MID(AN12,1,3)*1,UomConversion!$D$8:$J$500,5,UomConversion!$E$8:$E$500,MID(P12,1,3)*1,UomConversion!$J$8:$J$500,1)))</f>
        <v/>
      </c>
      <c r="AB12" s="197" t="str">
        <f t="shared" si="11"/>
        <v/>
      </c>
      <c r="AC12" s="197" t="str">
        <f t="shared" si="12"/>
        <v/>
      </c>
      <c r="AD12" s="197" t="str">
        <f t="shared" si="13"/>
        <v/>
      </c>
      <c r="AE12" s="1866" t="str">
        <f t="shared" si="14"/>
        <v/>
      </c>
      <c r="AF12" s="1866" t="str">
        <f t="shared" si="15"/>
        <v/>
      </c>
      <c r="AG12" s="197" t="str">
        <f t="shared" si="16"/>
        <v/>
      </c>
      <c r="AH12" s="197" t="str">
        <f>IF(I12="","",IF(ISNA(MATCH(I12,IF(invoice_location_id=1,'[1]1_inventory_totals'!$C$8:$C$10000,IF(invoice_location_id=2,'[1]2_inventory_totals'!$C$8:$C$10000,0)),0)),0,IF(AV12&gt;0,1,0)))</f>
        <v/>
      </c>
      <c r="AI12" s="197" t="str">
        <f>IF(M12="","",IF(invoice_location_id=1,SUMIFS('[1]1_inventory_total_details'!$J$8:$J$10000,'[1]1_inventory_total_details'!$C$8:$C$10000,I12,'[1]1_inventory_total_details'!$F$8:$F$10000,invoice_location_id,'[1]1_inventory_total_details'!$G$8:$G$10000,"="&amp;Q12,'[1]1_inventory_total_details'!$H$8:$H$10000,"="&amp;R12,'[1]1_inventory_total_details'!$I$8:$I$10000,"="&amp;invoice_date)+SUMIFS('[1]1_inventory_total_details'!$M$8:$M$10000,'[1]1_inventory_total_details'!$C$8:$C$10000,I12,'[1]1_inventory_total_details'!$F$8:$F$10000,invoice_location_id,'[1]1_inventory_total_details'!$G$8:$G$10000,"="&amp;Q12,'[1]1_inventory_total_details'!$H$8:$H$10000,"="&amp;R12,'[1]1_inventory_total_details'!$I$8:$I$10000,"="&amp;invoice_date)+SUMIFS('[1]1_inventory_total_details'!$K$8:$K$10000,'[1]1_inventory_total_details'!$C$8:$C$10000,I12,'[1]1_inventory_total_details'!$F$8:$F$10000,invoice_location_id,'[1]1_inventory_total_details'!$G$8:$G$10000,"="&amp;Q12,'[1]1_inventory_total_details'!$H$8:$H$10000,"="&amp;R12,'[1]1_inventory_total_details'!$I$8:$I$10000,"="&amp;invoice_date)+SUMIFS('[1]1_inventory_total_details'!$L$8:$L$10000,'[1]1_inventory_total_details'!$C$8:$C$10000,I12,'[1]1_inventory_total_details'!$F$8:$F$10000,invoice_location_id,'[1]1_inventory_total_details'!$G$8:$G$10000,"="&amp;Q12,'[1]1_inventory_total_details'!$H$8:$H$10000,"="&amp;R12,'[1]1_inventory_total_details'!$I$8:$I$10000,"="&amp;invoice_date),SUMIFS('[1]2_inventory_total_details'!$J$8:$J$10000,'[1]2_inventory_total_details'!$C$8:$C$10000,I12,'[1]2_inventory_total_details'!$F$8:$F$10000,invoice_location_id,'[1]2_inventory_total_details'!$G$8:$G$10000,"="&amp;Q12,'[1]2_inventory_total_details'!$H$8:$H$10000,"="&amp;R12,'[1]2_inventory_total_details'!$I$8:$I$10000,"="&amp;invoice_date)+SUMIFS('[1]2_inventory_total_details'!$M$8:$M$10000,'[1]2_inventory_total_details'!$C$8:$C$10000,I12,'[1]2_inventory_total_details'!$F$8:$F$10000,invoice_location_id,'[1]2_inventory_total_details'!$G$8:$G$10000,"="&amp;Q12,'[1]2_inventory_total_details'!$H$8:$H$10000,"="&amp;R12,'[1]2_inventory_total_details'!$I$8:$I$10000,"="&amp;invoice_date)+SUMIFS('[1]2_inventory_total_details'!$K$8:$K$10000,'[1]2_inventory_total_details'!$C$8:$C$10000,I12,'[1]2_inventory_total_details'!$F$8:$F$10000,invoice_location_id,'[1]2_inventory_total_details'!$G$8:$G$10000,"="&amp;Q12,'[1]2_inventory_total_details'!$H$8:$H$10000,"="&amp;R12,'[1]2_inventory_total_details'!$I$8:$I$10000,"="&amp;invoice_date)+SUMIFS('[1]2_inventory_total_details'!$L$8:$L$10000,'[1]2_inventory_total_details'!$C$8:$C$10000,I12,'[1]2_inventory_total_details'!$F$8:$F$10000,invoice_location_id,'[1]2_inventory_total_details'!$G$8:$G$10000,"="&amp;Q12,'[1]2_inventory_total_details'!$H$8:$H$10000,"="&amp;R12,'[1]2_inventory_total_details'!$I$8:$I$10000,"="&amp;invoice_date)))</f>
        <v/>
      </c>
      <c r="AJ12" s="197" t="str">
        <f>IF(M12="","",IF(ISNA(MATCH(I12,'[1]1_group_totals'!$C$8:$C$10000)),0,IF(AW12&gt;0,1,0)))</f>
        <v/>
      </c>
      <c r="AK12" s="197" t="str">
        <f>IF(M12="","",(SUMIFS('[1]1_group_total_details'!$I$8:$I$10000,'[1]1_group_total_details'!$C$8:$C$10000,I12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12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12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12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12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12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12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12,'[1]1_group_total_details'!$F$8:$F$10000,invoice_location_group_id,'[1]1_group_total_details'!$G$8:$G$10000,invoice_location_id,'[1]1_group_total_details'!$H$8:$H$10000,"="&amp;invoice_date)))</f>
        <v/>
      </c>
      <c r="AL12" s="197" t="str">
        <f>IF(M12="","",(SUMIFS('[1]1_group_total_details'!$I$8:$I$10000,'[1]1_group_total_details'!$C$8:$C$10000,I12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12,'[1]1_group_total_details'!$F$8:$F$10000,invoice_location_group_id,'[1]1_group_total_details'!$G$8:$G$10000,1,'[1]1_group_total_details'!$H$8:$H$10000,"&lt;="&amp;invoice_date)+SUMIFS('[1]1_group_total_details'!$N$8:$N$10000,'[1]1_group_total_details'!$C$8:$C$10000,I12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12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12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12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12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12,'[1]1_group_total_details'!$F$8:$F$10000,invoice_location_group_id,'[1]1_group_total_details'!$G$8:$G$10000,invoice_location_id,'[1]1_group_total_details'!$H$8:$H$10000,"&lt;="&amp;invoice_date)))</f>
        <v/>
      </c>
      <c r="AM12" s="197" t="str">
        <f>IF(M12="","",SUMIFS('[1]1_group_totals'!$J$8:$J$10000,'[1]1_group_totals'!$C$8:$C$10000,I12,'[1]1_group_totals'!$F$8:$F$10000,invoice_location_group_id,'[1]1_group_totals'!$G$8:$G$10000,invoice_location_id,'[1]1_group_totals'!$H$8:$H$10000,"="&amp;Q12,'[1]1_group_totals'!$I$8:$I$10000,"="&amp;R12))</f>
        <v/>
      </c>
      <c r="AN12" s="197" t="str">
        <f t="shared" si="17"/>
        <v/>
      </c>
      <c r="AO12" s="197" t="str">
        <f>IF(OR(ISNA(MATCH(MID(AN12,1,3)*1,UomConversion!$D$8:$D$500,0)),M12=""),"",IF(AT12="","",AT12))</f>
        <v/>
      </c>
      <c r="AP12" s="197" t="str">
        <f>IF(AND(AQ12&gt;0,COUNTIFS(UomConversion!$D$8:$D$500,MID(AN12,1,3)*1,UomConversion!$J$8:$J$500,1)&gt;1),TEXT(AQ12,"000")&amp;"."&amp;VLOOKUP(AQ12,uom_list,5,FALSE),"")</f>
        <v/>
      </c>
      <c r="AQ12" s="197" t="str">
        <f t="shared" si="18"/>
        <v/>
      </c>
      <c r="AR12" s="197" t="str">
        <f t="shared" si="19"/>
        <v/>
      </c>
      <c r="AS12" s="1866" t="str">
        <f>IF(M12="","",SUMIFS(ProductPrice!$N$28:$N$10000,ProductPrice!$D$28:$D$10000,I12,ProductPrice!$G$28:$G$10000,invoice_branch_id,ProductPrice!$H$28:$H$10000,invoice_price_type_id,ProductPrice!$I$28:$I$10000,MID(P12,1,3)*1,ProductPrice!$Q$28:$Q$10000,1,ProductPrice!$T$28:$T$10000,1))</f>
        <v/>
      </c>
      <c r="AT12" s="197" t="str">
        <f t="shared" si="20"/>
        <v/>
      </c>
      <c r="AU12" s="197" t="str" cm="1">
        <f t="array" ref="AU12">IF(M12="","",IF(ISNA(Slookup(MID(AN12,1,3)*1,UomConversion!$D$8:$J$500,2,UomConversion!$I$8:$I$500,1,UomConversion!$J$8:$J$500,1)),"",Slookup(MID(AN12,1,3)*1,UomConversion!$D$8:$J$500,2,UomConversion!$I$8:$I$500,1,UomConversion!$J$8:$J$500,1)))</f>
        <v/>
      </c>
      <c r="AV12" s="197" t="str">
        <f t="shared" si="6"/>
        <v/>
      </c>
      <c r="AW12" s="197" t="str">
        <f>IF(M12="","",(SUMIFS('[1]1_group_totals'!$K$8:$K$10000,'[1]1_group_totals'!$C$8:$C$10000,I12,'[1]1_group_totals'!$F$8:$F$10000,invoice_location_group_id,'[1]1_group_totals'!$G$8:$G$10000,invoice_location_id,'[1]1_group_totals'!$H$8:$H$10000,"="&amp;Q12,'[1]1_group_totals'!$I$8:$I$10000,"="&amp;R12)+SUMIFS('[1]1_group_totals'!$N$8:$N$10000,'[1]1_group_totals'!$C$8:$C$10000,I12,'[1]1_group_totals'!$F$8:$F$10000,invoice_location_group_id,'[1]1_group_totals'!$G$8:$G$10000,invoice_location_id,'[1]1_group_totals'!$H$8:$H$10000,"="&amp;Q12,'[1]1_group_totals'!$I$8:$I$10000,"="&amp;R12)+SUMIFS('[1]1_group_totals'!$P$8:$P$10000,'[1]1_group_totals'!$C$8:$C$10000,I12,'[1]1_group_totals'!$F$8:$F$10000,invoice_location_group_id,'[1]1_group_totals'!$G$8:$G$10000,invoice_location_id,'[1]1_group_totals'!$H$8:$H$10000,"="&amp;Q12,'[1]1_group_totals'!$I$8:$I$10000,"="&amp;R12)+SUMIFS('[1]1_group_totals'!$Q$8:$Q$10000,'[1]1_group_totals'!$C$8:$C$10000,I12,'[1]1_group_totals'!$F$8:$F$10000,invoice_location_group_id,'[1]1_group_totals'!$G$8:$G$10000,invoice_location_id,'[1]1_group_totals'!$H$8:$H$10000,"="&amp;Q12,'[1]1_group_totals'!$I$8:$I$10000,"="&amp;R12))+(SUMIFS('[1]1_group_totals'!$L$8:$L$10000,'[1]1_group_totals'!$C$8:$C$10000,I12,'[1]1_group_totals'!$F$8:$F$10000,invoice_location_group_id,'[1]1_group_totals'!$G$8:$G$10000,invoice_location_id,'[1]1_group_totals'!$H$8:$H$10000,"="&amp;Q12,'[1]1_group_totals'!$I$8:$I$10000,"="&amp;R12)+SUMIFS('[1]1_group_totals'!$M$8:$M$10000,'[1]1_group_totals'!$C$8:$C$10000,I12,'[1]1_group_totals'!$F$8:$F$10000,invoice_location_group_id,'[1]1_group_totals'!$G$8:$G$10000,invoice_location_id,'[1]1_group_totals'!$H$8:$H$10000,"="&amp;Q12,'[1]1_group_totals'!$I$8:$I$10000,"="&amp;R12)+SUMIFS('[1]1_group_totals'!$O$8:$O$10000,'[1]1_group_totals'!$C$8:$C$10000,I12,'[1]1_group_totals'!$F$8:$F$10000,invoice_location_group_id,'[1]1_group_totals'!$G$8:$G$10000,invoice_location_id,'[1]1_group_totals'!$H$8:$H$10000,"="&amp;Q12,'[1]1_group_totals'!$I$8:$I$10000,"="&amp;R12)+SUMIFS('[1]1_group_totals'!$R$8:$R$10000,'[1]1_group_totals'!$C$8:$C$10000,I12,'[1]1_group_totals'!$F$8:$F$10000,invoice_location_group_id,'[1]1_group_totals'!$G$8:$G$10000,invoice_location_id,'[1]1_group_totals'!$H$8:$H$10000,"="&amp;Q12,'[1]1_group_totals'!$I$8:$I$10000,"="&amp;R12)))</f>
        <v/>
      </c>
      <c r="AX12" s="197" t="str">
        <f t="shared" si="21"/>
        <v/>
      </c>
      <c r="AY12" s="197" t="str">
        <f>IF(M12="","",SUMIFS($AX$8:AX12,$I$8:I12,I12))</f>
        <v/>
      </c>
      <c r="AZ12" s="197" t="str">
        <f t="shared" si="22"/>
        <v/>
      </c>
      <c r="BA12" s="197" t="str">
        <f>IF(M12="","",(SUMIFS('[1]1_inventory_totals'!$I$8:$I$10000,'[1]1_inventory_totals'!$C$8:$C$10000,I12,'[1]1_inventory_totals'!$F$8:$F$10000,"="&amp;Q12,'[1]1_inventory_totals'!$G$8:$G$10000,"="&amp;R12)+SUMIFS('[1]1_inventory_totals'!$N$8:$N$10000,'[1]1_inventory_totals'!$C$8:$C$10000,I12,'[1]1_inventory_totals'!$F$8:$F$10000,"="&amp;Q12,'[1]1_inventory_totals'!$G$8:$G$10000,"="&amp;R12)+SUMIFS('[1]1_inventory_totals'!$P$8:$P$10000,'[1]1_inventory_totals'!$C$8:$C$10000,I12,'[1]1_inventory_totals'!$F$8:$F$10000,"="&amp;Q12,'[1]1_inventory_totals'!$G$8:$G$10000,"="&amp;R12)+SUMIFS('[1]1_inventory_totals'!$Q$8:$Q$10000,'[1]1_inventory_totals'!$C$8:$C$10000,I12,'[1]1_inventory_totals'!$F$8:$F$10000,"="&amp;Q12,'[1]1_inventory_totals'!$G$8:$G$10000,"="&amp;R12)+SUMIFS('[1]1_inventory_totals'!$R$8:$R$10000,'[1]1_inventory_totals'!$C$8:$C$10000,I12,'[1]1_inventory_totals'!$F$8:$F$10000,"="&amp;Q12,'[1]1_inventory_totals'!$G$8:$G$10000,"="&amp;R12))+(SUMIFS('[1]1_inventory_totals'!$J$8:$J$10000,'[1]1_inventory_totals'!$C$8:$C$10000,I12,'[1]1_inventory_totals'!$F$8:$F$10000,"="&amp;Q12,'[1]1_inventory_totals'!$G$8:$G$10000,"="&amp;R12)+SUMIFS('[1]1_inventory_totals'!$K$8:$K$10000,'[1]1_inventory_totals'!$C$8:$C$10000,I12,'[1]1_inventory_totals'!$F$8:$F$10000,"="&amp;Q12,'[1]1_inventory_totals'!$G$8:$G$10000,"="&amp;R12)+SUMIFS('[1]1_inventory_totals'!$L$8:$L$10000,'[1]1_inventory_totals'!$C$8:$C$10000,I12,'[1]1_inventory_totals'!$F$8:$F$10000,"="&amp;Q12,'[1]1_inventory_totals'!$G$8:$G$10000,"="&amp;R12)+SUMIFS('[1]1_inventory_totals'!$M$8:$M$10000,'[1]1_inventory_totals'!$C$8:$C$10000,I12,'[1]1_inventory_totals'!$F$8:$F$10000,"="&amp;Q12,'[1]1_inventory_totals'!$G$8:$G$10000,"="&amp;R12)+SUMIFS('[1]1_inventory_totals'!$O$8:$O$10000,'[1]1_inventory_totals'!$C$8:$C$10000,I12,'[1]1_inventory_totals'!$F$8:$F$10000,"="&amp;Q12,'[1]1_inventory_totals'!$G$8:$G$10000,"="&amp;R12)+SUMIFS('[1]1_inventory_totals'!$S$8:$S$10000,'[1]1_inventory_totals'!$C$8:$C$10000,I12,'[1]1_inventory_totals'!$F$8:$F$10000,"="&amp;Q12,'[1]1_inventory_totals'!$G$8:$G$10000,"="&amp;R12)))</f>
        <v/>
      </c>
      <c r="BB12" s="197" t="str">
        <f>IF(M12="","",(SUMIFS('[1]2_inventory_totals'!$I$8:$I$10000,'[1]2_inventory_totals'!$C$8:$C$10000,I12,'[1]2_inventory_totals'!$F$8:$F$10000,"="&amp;Q12,'[1]2_inventory_totals'!$G$8:$G$10000,"="&amp;R12)+SUMIFS('[1]2_inventory_totals'!$N$8:$N$10000,'[1]2_inventory_totals'!$C$8:$C$10000,I12,'[1]2_inventory_totals'!$F$8:$F$10000,"="&amp;Q12,'[1]2_inventory_totals'!$G$8:$G$10000,"="&amp;R12)+SUMIFS('[1]2_inventory_totals'!$P$8:$P$10000,'[1]2_inventory_totals'!$C$8:$C$10000,I12,'[1]2_inventory_totals'!$F$8:$F$10000,"="&amp;Q12,'[1]2_inventory_totals'!$G$8:$G$10000,"="&amp;R12)+SUMIFS('[1]2_inventory_totals'!$Q$8:$Q$10000,'[1]2_inventory_totals'!$C$8:$C$10000,I12,'[1]2_inventory_totals'!$F$8:$F$10000,"="&amp;Q12,'[1]2_inventory_totals'!$G$8:$G$10000,"="&amp;R12)+SUMIFS('[1]2_inventory_totals'!$R$8:$R$10000,'[1]2_inventory_totals'!$C$8:$C$10000,I12,'[1]2_inventory_totals'!$F$8:$F$10000,"="&amp;Q12,'[1]2_inventory_totals'!$G$8:$G$10000,"="&amp;R12))+(SUMIFS('[1]2_inventory_totals'!$J$8:$J$10000,'[1]2_inventory_totals'!$C$8:$C$10000,I12,'[1]2_inventory_totals'!$F$8:$F$10000,"="&amp;Q12,'[1]2_inventory_totals'!$G$8:$G$10000,"="&amp;R12)+SUMIFS('[1]2_inventory_totals'!$K$8:$K$10000,'[1]2_inventory_totals'!$C$8:$C$10000,I12,'[1]2_inventory_totals'!$F$8:$F$10000,"="&amp;Q12,'[1]2_inventory_totals'!$G$8:$G$10000,"="&amp;R12)+SUMIFS('[1]2_inventory_totals'!$L$8:$L$10000,'[1]2_inventory_totals'!$C$8:$C$10000,I12,'[1]2_inventory_totals'!$F$8:$F$10000,"="&amp;Q12,'[1]2_inventory_totals'!$G$8:$G$10000,"="&amp;R12)+SUMIFS('[1]2_inventory_totals'!$M$8:$M$10000,'[1]2_inventory_totals'!$C$8:$C$10000,I12,'[1]2_inventory_totals'!$F$8:$F$10000,"="&amp;Q12,'[1]2_inventory_totals'!$G$8:$G$10000,"="&amp;R12)+SUMIFS('[1]2_inventory_totals'!$O$8:$O$10000,'[1]2_inventory_totals'!$C$8:$C$10000,I12,'[1]2_inventory_totals'!$F$8:$F$10000,"="&amp;Q12,'[1]2_inventory_totals'!$G$8:$G$10000,"="&amp;R12)+SUMIFS('[1]2_inventory_totals'!$S$8:$S$10000,'[1]2_inventory_totals'!$C$8:$C$10000,I12,'[1]2_inventory_totals'!$F$8:$F$10000,"="&amp;Q12,'[1]2_inventory_totals'!$G$8:$G$10000,"="&amp;R12)))</f>
        <v/>
      </c>
    </row>
    <row r="13" spans="1:58" ht="27" customHeight="1" thickBot="1">
      <c r="A13" s="923"/>
      <c r="B13" s="1256"/>
      <c r="C13" s="1242" t="s">
        <v>1858</v>
      </c>
      <c r="D13" s="1599">
        <f>MID(invoice_branch,1,2)*1</f>
        <v>1</v>
      </c>
      <c r="E13" s="1241" t="s">
        <v>2599</v>
      </c>
      <c r="F13" s="1600">
        <f>MID(E13,1,3)*1</f>
        <v>1</v>
      </c>
      <c r="G13" s="941"/>
      <c r="I13" s="1610" t="str">
        <f t="shared" si="7"/>
        <v/>
      </c>
      <c r="J13" s="1611" t="str">
        <f t="shared" si="23"/>
        <v/>
      </c>
      <c r="K13" s="1612" t="str">
        <f t="shared" si="8"/>
        <v/>
      </c>
      <c r="L13" s="1613"/>
      <c r="M13" s="883"/>
      <c r="N13" s="884"/>
      <c r="O13" s="884"/>
      <c r="P13" s="885"/>
      <c r="Q13" s="886"/>
      <c r="R13" s="891"/>
      <c r="S13" s="1614" t="str">
        <f t="shared" si="0"/>
        <v/>
      </c>
      <c r="T13" s="1536"/>
      <c r="U13" s="1864" t="str">
        <f t="shared" si="9"/>
        <v/>
      </c>
      <c r="V13" s="1615" t="str">
        <f t="shared" si="1"/>
        <v/>
      </c>
      <c r="W13" s="889"/>
      <c r="X13" s="1615" t="str">
        <f t="shared" si="2"/>
        <v/>
      </c>
      <c r="Y13" s="1865" t="str">
        <f t="shared" si="10"/>
        <v/>
      </c>
      <c r="Z13" s="890"/>
      <c r="AA13" s="197" t="str" cm="1">
        <f t="array" ref="AA13">IF(M13="","",IF(P13=AN13,1,Slookup(MID(AN13,1,3)*1,UomConversion!$D$8:$J$500,5,UomConversion!$E$8:$E$500,MID(P13,1,3)*1,UomConversion!$J$8:$J$500,1)))</f>
        <v/>
      </c>
      <c r="AB13" s="197" t="str">
        <f t="shared" si="11"/>
        <v/>
      </c>
      <c r="AC13" s="197" t="str">
        <f t="shared" si="12"/>
        <v/>
      </c>
      <c r="AD13" s="197" t="str">
        <f t="shared" si="13"/>
        <v/>
      </c>
      <c r="AE13" s="1866" t="str">
        <f t="shared" si="14"/>
        <v/>
      </c>
      <c r="AF13" s="1866" t="str">
        <f t="shared" si="15"/>
        <v/>
      </c>
      <c r="AG13" s="197" t="str">
        <f t="shared" si="16"/>
        <v/>
      </c>
      <c r="AH13" s="197" t="str">
        <f>IF(I13="","",IF(ISNA(MATCH(I13,IF(invoice_location_id=1,'[1]1_inventory_totals'!$C$8:$C$10000,IF(invoice_location_id=2,'[1]2_inventory_totals'!$C$8:$C$10000,0)),0)),0,IF(AV13&gt;0,1,0)))</f>
        <v/>
      </c>
      <c r="AI13" s="197" t="str">
        <f>IF(M13="","",IF(invoice_location_id=1,SUMIFS('[1]1_inventory_total_details'!$J$8:$J$10000,'[1]1_inventory_total_details'!$C$8:$C$10000,I13,'[1]1_inventory_total_details'!$F$8:$F$10000,invoice_location_id,'[1]1_inventory_total_details'!$G$8:$G$10000,"="&amp;Q13,'[1]1_inventory_total_details'!$H$8:$H$10000,"="&amp;R13,'[1]1_inventory_total_details'!$I$8:$I$10000,"="&amp;invoice_date)+SUMIFS('[1]1_inventory_total_details'!$M$8:$M$10000,'[1]1_inventory_total_details'!$C$8:$C$10000,I13,'[1]1_inventory_total_details'!$F$8:$F$10000,invoice_location_id,'[1]1_inventory_total_details'!$G$8:$G$10000,"="&amp;Q13,'[1]1_inventory_total_details'!$H$8:$H$10000,"="&amp;R13,'[1]1_inventory_total_details'!$I$8:$I$10000,"="&amp;invoice_date)+SUMIFS('[1]1_inventory_total_details'!$K$8:$K$10000,'[1]1_inventory_total_details'!$C$8:$C$10000,I13,'[1]1_inventory_total_details'!$F$8:$F$10000,invoice_location_id,'[1]1_inventory_total_details'!$G$8:$G$10000,"="&amp;Q13,'[1]1_inventory_total_details'!$H$8:$H$10000,"="&amp;R13,'[1]1_inventory_total_details'!$I$8:$I$10000,"="&amp;invoice_date)+SUMIFS('[1]1_inventory_total_details'!$L$8:$L$10000,'[1]1_inventory_total_details'!$C$8:$C$10000,I13,'[1]1_inventory_total_details'!$F$8:$F$10000,invoice_location_id,'[1]1_inventory_total_details'!$G$8:$G$10000,"="&amp;Q13,'[1]1_inventory_total_details'!$H$8:$H$10000,"="&amp;R13,'[1]1_inventory_total_details'!$I$8:$I$10000,"="&amp;invoice_date),SUMIFS('[1]2_inventory_total_details'!$J$8:$J$10000,'[1]2_inventory_total_details'!$C$8:$C$10000,I13,'[1]2_inventory_total_details'!$F$8:$F$10000,invoice_location_id,'[1]2_inventory_total_details'!$G$8:$G$10000,"="&amp;Q13,'[1]2_inventory_total_details'!$H$8:$H$10000,"="&amp;R13,'[1]2_inventory_total_details'!$I$8:$I$10000,"="&amp;invoice_date)+SUMIFS('[1]2_inventory_total_details'!$M$8:$M$10000,'[1]2_inventory_total_details'!$C$8:$C$10000,I13,'[1]2_inventory_total_details'!$F$8:$F$10000,invoice_location_id,'[1]2_inventory_total_details'!$G$8:$G$10000,"="&amp;Q13,'[1]2_inventory_total_details'!$H$8:$H$10000,"="&amp;R13,'[1]2_inventory_total_details'!$I$8:$I$10000,"="&amp;invoice_date)+SUMIFS('[1]2_inventory_total_details'!$K$8:$K$10000,'[1]2_inventory_total_details'!$C$8:$C$10000,I13,'[1]2_inventory_total_details'!$F$8:$F$10000,invoice_location_id,'[1]2_inventory_total_details'!$G$8:$G$10000,"="&amp;Q13,'[1]2_inventory_total_details'!$H$8:$H$10000,"="&amp;R13,'[1]2_inventory_total_details'!$I$8:$I$10000,"="&amp;invoice_date)+SUMIFS('[1]2_inventory_total_details'!$L$8:$L$10000,'[1]2_inventory_total_details'!$C$8:$C$10000,I13,'[1]2_inventory_total_details'!$F$8:$F$10000,invoice_location_id,'[1]2_inventory_total_details'!$G$8:$G$10000,"="&amp;Q13,'[1]2_inventory_total_details'!$H$8:$H$10000,"="&amp;R13,'[1]2_inventory_total_details'!$I$8:$I$10000,"="&amp;invoice_date)))</f>
        <v/>
      </c>
      <c r="AJ13" s="197" t="str">
        <f>IF(M13="","",IF(ISNA(MATCH(I13,'[1]1_group_totals'!$C$8:$C$10000)),0,IF(AW13&gt;0,1,0)))</f>
        <v/>
      </c>
      <c r="AK13" s="197" t="str">
        <f>IF(M13="","",(SUMIFS('[1]1_group_total_details'!$I$8:$I$10000,'[1]1_group_total_details'!$C$8:$C$10000,I13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13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13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13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13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13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13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13,'[1]1_group_total_details'!$F$8:$F$10000,invoice_location_group_id,'[1]1_group_total_details'!$G$8:$G$10000,invoice_location_id,'[1]1_group_total_details'!$H$8:$H$10000,"="&amp;invoice_date)))</f>
        <v/>
      </c>
      <c r="AL13" s="197" t="str">
        <f>IF(M13="","",(SUMIFS('[1]1_group_total_details'!$I$8:$I$10000,'[1]1_group_total_details'!$C$8:$C$10000,I13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13,'[1]1_group_total_details'!$F$8:$F$10000,invoice_location_group_id,'[1]1_group_total_details'!$G$8:$G$10000,1,'[1]1_group_total_details'!$H$8:$H$10000,"&lt;="&amp;invoice_date)+SUMIFS('[1]1_group_total_details'!$N$8:$N$10000,'[1]1_group_total_details'!$C$8:$C$10000,I13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13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13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13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13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13,'[1]1_group_total_details'!$F$8:$F$10000,invoice_location_group_id,'[1]1_group_total_details'!$G$8:$G$10000,invoice_location_id,'[1]1_group_total_details'!$H$8:$H$10000,"&lt;="&amp;invoice_date)))</f>
        <v/>
      </c>
      <c r="AM13" s="197" t="str">
        <f>IF(M13="","",SUMIFS('[1]1_group_totals'!$J$8:$J$10000,'[1]1_group_totals'!$C$8:$C$10000,I13,'[1]1_group_totals'!$F$8:$F$10000,invoice_location_group_id,'[1]1_group_totals'!$G$8:$G$10000,invoice_location_id,'[1]1_group_totals'!$H$8:$H$10000,"="&amp;Q13,'[1]1_group_totals'!$I$8:$I$10000,"="&amp;R13))</f>
        <v/>
      </c>
      <c r="AN13" s="197" t="str">
        <f t="shared" si="17"/>
        <v/>
      </c>
      <c r="AO13" s="197" t="str">
        <f>IF(OR(ISNA(MATCH(MID(AN13,1,3)*1,UomConversion!$D$8:$D$500,0)),M13=""),"",IF(AT13="","",AT13))</f>
        <v/>
      </c>
      <c r="AP13" s="197" t="str">
        <f>IF(AND(AQ13&gt;0,COUNTIFS(UomConversion!$D$8:$D$500,MID(AN13,1,3)*1,UomConversion!$J$8:$J$500,1)&gt;1),TEXT(AQ13,"000")&amp;"."&amp;VLOOKUP(AQ13,uom_list,5,FALSE),"")</f>
        <v/>
      </c>
      <c r="AQ13" s="197" t="str">
        <f t="shared" si="18"/>
        <v/>
      </c>
      <c r="AR13" s="197" t="str">
        <f t="shared" si="19"/>
        <v/>
      </c>
      <c r="AS13" s="1866" t="str">
        <f>IF(M13="","",SUMIFS(ProductPrice!$N$28:$N$10000,ProductPrice!$D$28:$D$10000,I13,ProductPrice!$G$28:$G$10000,invoice_branch_id,ProductPrice!$H$28:$H$10000,invoice_price_type_id,ProductPrice!$I$28:$I$10000,MID(P13,1,3)*1,ProductPrice!$Q$28:$Q$10000,1,ProductPrice!$T$28:$T$10000,1))</f>
        <v/>
      </c>
      <c r="AT13" s="197" t="str">
        <f t="shared" si="20"/>
        <v/>
      </c>
      <c r="AU13" s="197" t="str" cm="1">
        <f t="array" ref="AU13">IF(M13="","",IF(ISNA(Slookup(MID(AN13,1,3)*1,UomConversion!$D$8:$J$500,2,UomConversion!$I$8:$I$500,1,UomConversion!$J$8:$J$500,1)),"",Slookup(MID(AN13,1,3)*1,UomConversion!$D$8:$J$500,2,UomConversion!$I$8:$I$500,1,UomConversion!$J$8:$J$500,1)))</f>
        <v/>
      </c>
      <c r="AV13" s="197" t="str">
        <f t="shared" si="6"/>
        <v/>
      </c>
      <c r="AW13" s="197" t="str">
        <f>IF(M13="","",(SUMIFS('[1]1_group_totals'!$K$8:$K$10000,'[1]1_group_totals'!$C$8:$C$10000,I13,'[1]1_group_totals'!$F$8:$F$10000,invoice_location_group_id,'[1]1_group_totals'!$G$8:$G$10000,invoice_location_id,'[1]1_group_totals'!$H$8:$H$10000,"="&amp;Q13,'[1]1_group_totals'!$I$8:$I$10000,"="&amp;R13)+SUMIFS('[1]1_group_totals'!$N$8:$N$10000,'[1]1_group_totals'!$C$8:$C$10000,I13,'[1]1_group_totals'!$F$8:$F$10000,invoice_location_group_id,'[1]1_group_totals'!$G$8:$G$10000,invoice_location_id,'[1]1_group_totals'!$H$8:$H$10000,"="&amp;Q13,'[1]1_group_totals'!$I$8:$I$10000,"="&amp;R13)+SUMIFS('[1]1_group_totals'!$P$8:$P$10000,'[1]1_group_totals'!$C$8:$C$10000,I13,'[1]1_group_totals'!$F$8:$F$10000,invoice_location_group_id,'[1]1_group_totals'!$G$8:$G$10000,invoice_location_id,'[1]1_group_totals'!$H$8:$H$10000,"="&amp;Q13,'[1]1_group_totals'!$I$8:$I$10000,"="&amp;R13)+SUMIFS('[1]1_group_totals'!$Q$8:$Q$10000,'[1]1_group_totals'!$C$8:$C$10000,I13,'[1]1_group_totals'!$F$8:$F$10000,invoice_location_group_id,'[1]1_group_totals'!$G$8:$G$10000,invoice_location_id,'[1]1_group_totals'!$H$8:$H$10000,"="&amp;Q13,'[1]1_group_totals'!$I$8:$I$10000,"="&amp;R13))+(SUMIFS('[1]1_group_totals'!$L$8:$L$10000,'[1]1_group_totals'!$C$8:$C$10000,I13,'[1]1_group_totals'!$F$8:$F$10000,invoice_location_group_id,'[1]1_group_totals'!$G$8:$G$10000,invoice_location_id,'[1]1_group_totals'!$H$8:$H$10000,"="&amp;Q13,'[1]1_group_totals'!$I$8:$I$10000,"="&amp;R13)+SUMIFS('[1]1_group_totals'!$M$8:$M$10000,'[1]1_group_totals'!$C$8:$C$10000,I13,'[1]1_group_totals'!$F$8:$F$10000,invoice_location_group_id,'[1]1_group_totals'!$G$8:$G$10000,invoice_location_id,'[1]1_group_totals'!$H$8:$H$10000,"="&amp;Q13,'[1]1_group_totals'!$I$8:$I$10000,"="&amp;R13)+SUMIFS('[1]1_group_totals'!$O$8:$O$10000,'[1]1_group_totals'!$C$8:$C$10000,I13,'[1]1_group_totals'!$F$8:$F$10000,invoice_location_group_id,'[1]1_group_totals'!$G$8:$G$10000,invoice_location_id,'[1]1_group_totals'!$H$8:$H$10000,"="&amp;Q13,'[1]1_group_totals'!$I$8:$I$10000,"="&amp;R13)+SUMIFS('[1]1_group_totals'!$R$8:$R$10000,'[1]1_group_totals'!$C$8:$C$10000,I13,'[1]1_group_totals'!$F$8:$F$10000,invoice_location_group_id,'[1]1_group_totals'!$G$8:$G$10000,invoice_location_id,'[1]1_group_totals'!$H$8:$H$10000,"="&amp;Q13,'[1]1_group_totals'!$I$8:$I$10000,"="&amp;R13)))</f>
        <v/>
      </c>
      <c r="AX13" s="197" t="str">
        <f t="shared" si="21"/>
        <v/>
      </c>
      <c r="AY13" s="197" t="str">
        <f>IF(M13="","",SUMIFS($AX$8:AX13,$I$8:I13,I13))</f>
        <v/>
      </c>
      <c r="AZ13" s="197" t="str">
        <f t="shared" si="22"/>
        <v/>
      </c>
      <c r="BA13" s="197" t="str">
        <f>IF(M13="","",(SUMIFS('[1]1_inventory_totals'!$I$8:$I$10000,'[1]1_inventory_totals'!$C$8:$C$10000,I13,'[1]1_inventory_totals'!$F$8:$F$10000,"="&amp;Q13,'[1]1_inventory_totals'!$G$8:$G$10000,"="&amp;R13)+SUMIFS('[1]1_inventory_totals'!$N$8:$N$10000,'[1]1_inventory_totals'!$C$8:$C$10000,I13,'[1]1_inventory_totals'!$F$8:$F$10000,"="&amp;Q13,'[1]1_inventory_totals'!$G$8:$G$10000,"="&amp;R13)+SUMIFS('[1]1_inventory_totals'!$P$8:$P$10000,'[1]1_inventory_totals'!$C$8:$C$10000,I13,'[1]1_inventory_totals'!$F$8:$F$10000,"="&amp;Q13,'[1]1_inventory_totals'!$G$8:$G$10000,"="&amp;R13)+SUMIFS('[1]1_inventory_totals'!$Q$8:$Q$10000,'[1]1_inventory_totals'!$C$8:$C$10000,I13,'[1]1_inventory_totals'!$F$8:$F$10000,"="&amp;Q13,'[1]1_inventory_totals'!$G$8:$G$10000,"="&amp;R13)+SUMIFS('[1]1_inventory_totals'!$R$8:$R$10000,'[1]1_inventory_totals'!$C$8:$C$10000,I13,'[1]1_inventory_totals'!$F$8:$F$10000,"="&amp;Q13,'[1]1_inventory_totals'!$G$8:$G$10000,"="&amp;R13))+(SUMIFS('[1]1_inventory_totals'!$J$8:$J$10000,'[1]1_inventory_totals'!$C$8:$C$10000,I13,'[1]1_inventory_totals'!$F$8:$F$10000,"="&amp;Q13,'[1]1_inventory_totals'!$G$8:$G$10000,"="&amp;R13)+SUMIFS('[1]1_inventory_totals'!$K$8:$K$10000,'[1]1_inventory_totals'!$C$8:$C$10000,I13,'[1]1_inventory_totals'!$F$8:$F$10000,"="&amp;Q13,'[1]1_inventory_totals'!$G$8:$G$10000,"="&amp;R13)+SUMIFS('[1]1_inventory_totals'!$L$8:$L$10000,'[1]1_inventory_totals'!$C$8:$C$10000,I13,'[1]1_inventory_totals'!$F$8:$F$10000,"="&amp;Q13,'[1]1_inventory_totals'!$G$8:$G$10000,"="&amp;R13)+SUMIFS('[1]1_inventory_totals'!$M$8:$M$10000,'[1]1_inventory_totals'!$C$8:$C$10000,I13,'[1]1_inventory_totals'!$F$8:$F$10000,"="&amp;Q13,'[1]1_inventory_totals'!$G$8:$G$10000,"="&amp;R13)+SUMIFS('[1]1_inventory_totals'!$O$8:$O$10000,'[1]1_inventory_totals'!$C$8:$C$10000,I13,'[1]1_inventory_totals'!$F$8:$F$10000,"="&amp;Q13,'[1]1_inventory_totals'!$G$8:$G$10000,"="&amp;R13)+SUMIFS('[1]1_inventory_totals'!$S$8:$S$10000,'[1]1_inventory_totals'!$C$8:$C$10000,I13,'[1]1_inventory_totals'!$F$8:$F$10000,"="&amp;Q13,'[1]1_inventory_totals'!$G$8:$G$10000,"="&amp;R13)))</f>
        <v/>
      </c>
      <c r="BB13" s="197" t="str">
        <f>IF(M13="","",(SUMIFS('[1]2_inventory_totals'!$I$8:$I$10000,'[1]2_inventory_totals'!$C$8:$C$10000,I13,'[1]2_inventory_totals'!$F$8:$F$10000,"="&amp;Q13,'[1]2_inventory_totals'!$G$8:$G$10000,"="&amp;R13)+SUMIFS('[1]2_inventory_totals'!$N$8:$N$10000,'[1]2_inventory_totals'!$C$8:$C$10000,I13,'[1]2_inventory_totals'!$F$8:$F$10000,"="&amp;Q13,'[1]2_inventory_totals'!$G$8:$G$10000,"="&amp;R13)+SUMIFS('[1]2_inventory_totals'!$P$8:$P$10000,'[1]2_inventory_totals'!$C$8:$C$10000,I13,'[1]2_inventory_totals'!$F$8:$F$10000,"="&amp;Q13,'[1]2_inventory_totals'!$G$8:$G$10000,"="&amp;R13)+SUMIFS('[1]2_inventory_totals'!$Q$8:$Q$10000,'[1]2_inventory_totals'!$C$8:$C$10000,I13,'[1]2_inventory_totals'!$F$8:$F$10000,"="&amp;Q13,'[1]2_inventory_totals'!$G$8:$G$10000,"="&amp;R13)+SUMIFS('[1]2_inventory_totals'!$R$8:$R$10000,'[1]2_inventory_totals'!$C$8:$C$10000,I13,'[1]2_inventory_totals'!$F$8:$F$10000,"="&amp;Q13,'[1]2_inventory_totals'!$G$8:$G$10000,"="&amp;R13))+(SUMIFS('[1]2_inventory_totals'!$J$8:$J$10000,'[1]2_inventory_totals'!$C$8:$C$10000,I13,'[1]2_inventory_totals'!$F$8:$F$10000,"="&amp;Q13,'[1]2_inventory_totals'!$G$8:$G$10000,"="&amp;R13)+SUMIFS('[1]2_inventory_totals'!$K$8:$K$10000,'[1]2_inventory_totals'!$C$8:$C$10000,I13,'[1]2_inventory_totals'!$F$8:$F$10000,"="&amp;Q13,'[1]2_inventory_totals'!$G$8:$G$10000,"="&amp;R13)+SUMIFS('[1]2_inventory_totals'!$L$8:$L$10000,'[1]2_inventory_totals'!$C$8:$C$10000,I13,'[1]2_inventory_totals'!$F$8:$F$10000,"="&amp;Q13,'[1]2_inventory_totals'!$G$8:$G$10000,"="&amp;R13)+SUMIFS('[1]2_inventory_totals'!$M$8:$M$10000,'[1]2_inventory_totals'!$C$8:$C$10000,I13,'[1]2_inventory_totals'!$F$8:$F$10000,"="&amp;Q13,'[1]2_inventory_totals'!$G$8:$G$10000,"="&amp;R13)+SUMIFS('[1]2_inventory_totals'!$O$8:$O$10000,'[1]2_inventory_totals'!$C$8:$C$10000,I13,'[1]2_inventory_totals'!$F$8:$F$10000,"="&amp;Q13,'[1]2_inventory_totals'!$G$8:$G$10000,"="&amp;R13)+SUMIFS('[1]2_inventory_totals'!$S$8:$S$10000,'[1]2_inventory_totals'!$C$8:$C$10000,I13,'[1]2_inventory_totals'!$F$8:$F$10000,"="&amp;Q13,'[1]2_inventory_totals'!$G$8:$G$10000,"="&amp;R13)))</f>
        <v/>
      </c>
    </row>
    <row r="14" spans="1:58" ht="27" customHeight="1" thickBot="1">
      <c r="A14" s="923"/>
      <c r="B14" s="1251"/>
      <c r="C14" s="947" t="s">
        <v>2659</v>
      </c>
      <c r="D14" s="1264"/>
      <c r="E14" s="947" t="s">
        <v>2658</v>
      </c>
      <c r="F14" s="1262"/>
      <c r="I14" s="1610" t="str">
        <f t="shared" si="7"/>
        <v/>
      </c>
      <c r="J14" s="1611" t="str">
        <f t="shared" si="23"/>
        <v/>
      </c>
      <c r="K14" s="1612" t="str">
        <f t="shared" si="8"/>
        <v/>
      </c>
      <c r="L14" s="1613"/>
      <c r="M14" s="883"/>
      <c r="N14" s="884"/>
      <c r="O14" s="884"/>
      <c r="P14" s="885"/>
      <c r="Q14" s="886"/>
      <c r="R14" s="891"/>
      <c r="S14" s="1614" t="str">
        <f t="shared" si="0"/>
        <v/>
      </c>
      <c r="T14" s="1536"/>
      <c r="U14" s="1864" t="str">
        <f t="shared" si="9"/>
        <v/>
      </c>
      <c r="V14" s="1615" t="str">
        <f t="shared" si="1"/>
        <v/>
      </c>
      <c r="W14" s="889"/>
      <c r="X14" s="1615" t="str">
        <f t="shared" si="2"/>
        <v/>
      </c>
      <c r="Y14" s="1865" t="str">
        <f t="shared" si="10"/>
        <v/>
      </c>
      <c r="Z14" s="890"/>
      <c r="AA14" s="197" t="str" cm="1">
        <f t="array" ref="AA14">IF(M14="","",IF(P14=AN14,1,Slookup(MID(AN14,1,3)*1,UomConversion!$D$8:$J$500,5,UomConversion!$E$8:$E$500,MID(P14,1,3)*1,UomConversion!$J$8:$J$500,1)))</f>
        <v/>
      </c>
      <c r="AB14" s="197" t="str">
        <f t="shared" si="11"/>
        <v/>
      </c>
      <c r="AC14" s="197" t="str">
        <f t="shared" si="12"/>
        <v/>
      </c>
      <c r="AD14" s="197" t="str">
        <f t="shared" si="13"/>
        <v/>
      </c>
      <c r="AE14" s="1866" t="str">
        <f t="shared" si="14"/>
        <v/>
      </c>
      <c r="AF14" s="1866" t="str">
        <f t="shared" si="15"/>
        <v/>
      </c>
      <c r="AG14" s="197" t="str">
        <f t="shared" si="16"/>
        <v/>
      </c>
      <c r="AH14" s="197" t="str">
        <f>IF(I14="","",IF(ISNA(MATCH(I14,IF(invoice_location_id=1,'[1]1_inventory_totals'!$C$8:$C$10000,IF(invoice_location_id=2,'[1]2_inventory_totals'!$C$8:$C$10000,0)),0)),0,IF(AV14&gt;0,1,0)))</f>
        <v/>
      </c>
      <c r="AI14" s="197" t="str">
        <f>IF(M14="","",IF(invoice_location_id=1,SUMIFS('[1]1_inventory_total_details'!$J$8:$J$10000,'[1]1_inventory_total_details'!$C$8:$C$10000,I14,'[1]1_inventory_total_details'!$F$8:$F$10000,invoice_location_id,'[1]1_inventory_total_details'!$G$8:$G$10000,"="&amp;Q14,'[1]1_inventory_total_details'!$H$8:$H$10000,"="&amp;R14,'[1]1_inventory_total_details'!$I$8:$I$10000,"="&amp;invoice_date)+SUMIFS('[1]1_inventory_total_details'!$M$8:$M$10000,'[1]1_inventory_total_details'!$C$8:$C$10000,I14,'[1]1_inventory_total_details'!$F$8:$F$10000,invoice_location_id,'[1]1_inventory_total_details'!$G$8:$G$10000,"="&amp;Q14,'[1]1_inventory_total_details'!$H$8:$H$10000,"="&amp;R14,'[1]1_inventory_total_details'!$I$8:$I$10000,"="&amp;invoice_date)+SUMIFS('[1]1_inventory_total_details'!$K$8:$K$10000,'[1]1_inventory_total_details'!$C$8:$C$10000,I14,'[1]1_inventory_total_details'!$F$8:$F$10000,invoice_location_id,'[1]1_inventory_total_details'!$G$8:$G$10000,"="&amp;Q14,'[1]1_inventory_total_details'!$H$8:$H$10000,"="&amp;R14,'[1]1_inventory_total_details'!$I$8:$I$10000,"="&amp;invoice_date)+SUMIFS('[1]1_inventory_total_details'!$L$8:$L$10000,'[1]1_inventory_total_details'!$C$8:$C$10000,I14,'[1]1_inventory_total_details'!$F$8:$F$10000,invoice_location_id,'[1]1_inventory_total_details'!$G$8:$G$10000,"="&amp;Q14,'[1]1_inventory_total_details'!$H$8:$H$10000,"="&amp;R14,'[1]1_inventory_total_details'!$I$8:$I$10000,"="&amp;invoice_date),SUMIFS('[1]2_inventory_total_details'!$J$8:$J$10000,'[1]2_inventory_total_details'!$C$8:$C$10000,I14,'[1]2_inventory_total_details'!$F$8:$F$10000,invoice_location_id,'[1]2_inventory_total_details'!$G$8:$G$10000,"="&amp;Q14,'[1]2_inventory_total_details'!$H$8:$H$10000,"="&amp;R14,'[1]2_inventory_total_details'!$I$8:$I$10000,"="&amp;invoice_date)+SUMIFS('[1]2_inventory_total_details'!$M$8:$M$10000,'[1]2_inventory_total_details'!$C$8:$C$10000,I14,'[1]2_inventory_total_details'!$F$8:$F$10000,invoice_location_id,'[1]2_inventory_total_details'!$G$8:$G$10000,"="&amp;Q14,'[1]2_inventory_total_details'!$H$8:$H$10000,"="&amp;R14,'[1]2_inventory_total_details'!$I$8:$I$10000,"="&amp;invoice_date)+SUMIFS('[1]2_inventory_total_details'!$K$8:$K$10000,'[1]2_inventory_total_details'!$C$8:$C$10000,I14,'[1]2_inventory_total_details'!$F$8:$F$10000,invoice_location_id,'[1]2_inventory_total_details'!$G$8:$G$10000,"="&amp;Q14,'[1]2_inventory_total_details'!$H$8:$H$10000,"="&amp;R14,'[1]2_inventory_total_details'!$I$8:$I$10000,"="&amp;invoice_date)+SUMIFS('[1]2_inventory_total_details'!$L$8:$L$10000,'[1]2_inventory_total_details'!$C$8:$C$10000,I14,'[1]2_inventory_total_details'!$F$8:$F$10000,invoice_location_id,'[1]2_inventory_total_details'!$G$8:$G$10000,"="&amp;Q14,'[1]2_inventory_total_details'!$H$8:$H$10000,"="&amp;R14,'[1]2_inventory_total_details'!$I$8:$I$10000,"="&amp;invoice_date)))</f>
        <v/>
      </c>
      <c r="AJ14" s="197" t="str">
        <f>IF(M14="","",IF(ISNA(MATCH(I14,'[1]1_group_totals'!$C$8:$C$10000)),0,IF(AW14&gt;0,1,0)))</f>
        <v/>
      </c>
      <c r="AK14" s="197" t="str">
        <f>IF(M14="","",(SUMIFS('[1]1_group_total_details'!$I$8:$I$10000,'[1]1_group_total_details'!$C$8:$C$10000,I14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14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14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14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14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14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14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14,'[1]1_group_total_details'!$F$8:$F$10000,invoice_location_group_id,'[1]1_group_total_details'!$G$8:$G$10000,invoice_location_id,'[1]1_group_total_details'!$H$8:$H$10000,"="&amp;invoice_date)))</f>
        <v/>
      </c>
      <c r="AL14" s="197" t="str">
        <f>IF(M14="","",(SUMIFS('[1]1_group_total_details'!$I$8:$I$10000,'[1]1_group_total_details'!$C$8:$C$10000,I14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14,'[1]1_group_total_details'!$F$8:$F$10000,invoice_location_group_id,'[1]1_group_total_details'!$G$8:$G$10000,1,'[1]1_group_total_details'!$H$8:$H$10000,"&lt;="&amp;invoice_date)+SUMIFS('[1]1_group_total_details'!$N$8:$N$10000,'[1]1_group_total_details'!$C$8:$C$10000,I14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14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14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14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14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14,'[1]1_group_total_details'!$F$8:$F$10000,invoice_location_group_id,'[1]1_group_total_details'!$G$8:$G$10000,invoice_location_id,'[1]1_group_total_details'!$H$8:$H$10000,"&lt;="&amp;invoice_date)))</f>
        <v/>
      </c>
      <c r="AM14" s="197" t="str">
        <f>IF(M14="","",SUMIFS('[1]1_group_totals'!$J$8:$J$10000,'[1]1_group_totals'!$C$8:$C$10000,I14,'[1]1_group_totals'!$F$8:$F$10000,invoice_location_group_id,'[1]1_group_totals'!$G$8:$G$10000,invoice_location_id,'[1]1_group_totals'!$H$8:$H$10000,"="&amp;Q14,'[1]1_group_totals'!$I$8:$I$10000,"="&amp;R14))</f>
        <v/>
      </c>
      <c r="AN14" s="197" t="str">
        <f t="shared" si="17"/>
        <v/>
      </c>
      <c r="AO14" s="197" t="str">
        <f>IF(OR(ISNA(MATCH(MID(AN14,1,3)*1,UomConversion!$D$8:$D$500,0)),M14=""),"",IF(AT14="","",AT14))</f>
        <v/>
      </c>
      <c r="AP14" s="197" t="str">
        <f>IF(AND(AQ14&gt;0,COUNTIFS(UomConversion!$D$8:$D$500,MID(AN14,1,3)*1,UomConversion!$J$8:$J$500,1)&gt;1),TEXT(AQ14,"000")&amp;"."&amp;VLOOKUP(AQ14,uom_list,5,FALSE),"")</f>
        <v/>
      </c>
      <c r="AQ14" s="197" t="str">
        <f t="shared" si="18"/>
        <v/>
      </c>
      <c r="AR14" s="197" t="str">
        <f t="shared" si="19"/>
        <v/>
      </c>
      <c r="AS14" s="1866" t="str">
        <f>IF(M14="","",SUMIFS(ProductPrice!$N$28:$N$10000,ProductPrice!$D$28:$D$10000,I14,ProductPrice!$G$28:$G$10000,invoice_branch_id,ProductPrice!$H$28:$H$10000,invoice_price_type_id,ProductPrice!$I$28:$I$10000,MID(P14,1,3)*1,ProductPrice!$Q$28:$Q$10000,1,ProductPrice!$T$28:$T$10000,1))</f>
        <v/>
      </c>
      <c r="AT14" s="197" t="str">
        <f t="shared" si="20"/>
        <v/>
      </c>
      <c r="AU14" s="197" t="str" cm="1">
        <f t="array" ref="AU14">IF(M14="","",IF(ISNA(Slookup(MID(AN14,1,3)*1,UomConversion!$D$8:$J$500,2,UomConversion!$I$8:$I$500,1,UomConversion!$J$8:$J$500,1)),"",Slookup(MID(AN14,1,3)*1,UomConversion!$D$8:$J$500,2,UomConversion!$I$8:$I$500,1,UomConversion!$J$8:$J$500,1)))</f>
        <v/>
      </c>
      <c r="AV14" s="197" t="str">
        <f t="shared" si="6"/>
        <v/>
      </c>
      <c r="AW14" s="197" t="str">
        <f>IF(M14="","",(SUMIFS('[1]1_group_totals'!$K$8:$K$10000,'[1]1_group_totals'!$C$8:$C$10000,I14,'[1]1_group_totals'!$F$8:$F$10000,invoice_location_group_id,'[1]1_group_totals'!$G$8:$G$10000,invoice_location_id,'[1]1_group_totals'!$H$8:$H$10000,"="&amp;Q14,'[1]1_group_totals'!$I$8:$I$10000,"="&amp;R14)+SUMIFS('[1]1_group_totals'!$N$8:$N$10000,'[1]1_group_totals'!$C$8:$C$10000,I14,'[1]1_group_totals'!$F$8:$F$10000,invoice_location_group_id,'[1]1_group_totals'!$G$8:$G$10000,invoice_location_id,'[1]1_group_totals'!$H$8:$H$10000,"="&amp;Q14,'[1]1_group_totals'!$I$8:$I$10000,"="&amp;R14)+SUMIFS('[1]1_group_totals'!$P$8:$P$10000,'[1]1_group_totals'!$C$8:$C$10000,I14,'[1]1_group_totals'!$F$8:$F$10000,invoice_location_group_id,'[1]1_group_totals'!$G$8:$G$10000,invoice_location_id,'[1]1_group_totals'!$H$8:$H$10000,"="&amp;Q14,'[1]1_group_totals'!$I$8:$I$10000,"="&amp;R14)+SUMIFS('[1]1_group_totals'!$Q$8:$Q$10000,'[1]1_group_totals'!$C$8:$C$10000,I14,'[1]1_group_totals'!$F$8:$F$10000,invoice_location_group_id,'[1]1_group_totals'!$G$8:$G$10000,invoice_location_id,'[1]1_group_totals'!$H$8:$H$10000,"="&amp;Q14,'[1]1_group_totals'!$I$8:$I$10000,"="&amp;R14))+(SUMIFS('[1]1_group_totals'!$L$8:$L$10000,'[1]1_group_totals'!$C$8:$C$10000,I14,'[1]1_group_totals'!$F$8:$F$10000,invoice_location_group_id,'[1]1_group_totals'!$G$8:$G$10000,invoice_location_id,'[1]1_group_totals'!$H$8:$H$10000,"="&amp;Q14,'[1]1_group_totals'!$I$8:$I$10000,"="&amp;R14)+SUMIFS('[1]1_group_totals'!$M$8:$M$10000,'[1]1_group_totals'!$C$8:$C$10000,I14,'[1]1_group_totals'!$F$8:$F$10000,invoice_location_group_id,'[1]1_group_totals'!$G$8:$G$10000,invoice_location_id,'[1]1_group_totals'!$H$8:$H$10000,"="&amp;Q14,'[1]1_group_totals'!$I$8:$I$10000,"="&amp;R14)+SUMIFS('[1]1_group_totals'!$O$8:$O$10000,'[1]1_group_totals'!$C$8:$C$10000,I14,'[1]1_group_totals'!$F$8:$F$10000,invoice_location_group_id,'[1]1_group_totals'!$G$8:$G$10000,invoice_location_id,'[1]1_group_totals'!$H$8:$H$10000,"="&amp;Q14,'[1]1_group_totals'!$I$8:$I$10000,"="&amp;R14)+SUMIFS('[1]1_group_totals'!$R$8:$R$10000,'[1]1_group_totals'!$C$8:$C$10000,I14,'[1]1_group_totals'!$F$8:$F$10000,invoice_location_group_id,'[1]1_group_totals'!$G$8:$G$10000,invoice_location_id,'[1]1_group_totals'!$H$8:$H$10000,"="&amp;Q14,'[1]1_group_totals'!$I$8:$I$10000,"="&amp;R14)))</f>
        <v/>
      </c>
      <c r="AX14" s="197" t="str">
        <f t="shared" si="21"/>
        <v/>
      </c>
      <c r="AY14" s="197" t="str">
        <f>IF(M14="","",SUMIFS($AX$8:AX14,$I$8:I14,I14))</f>
        <v/>
      </c>
      <c r="AZ14" s="197" t="str">
        <f t="shared" si="22"/>
        <v/>
      </c>
      <c r="BA14" s="197" t="str">
        <f>IF(M14="","",(SUMIFS('[1]1_inventory_totals'!$I$8:$I$10000,'[1]1_inventory_totals'!$C$8:$C$10000,I14,'[1]1_inventory_totals'!$F$8:$F$10000,"="&amp;Q14,'[1]1_inventory_totals'!$G$8:$G$10000,"="&amp;R14)+SUMIFS('[1]1_inventory_totals'!$N$8:$N$10000,'[1]1_inventory_totals'!$C$8:$C$10000,I14,'[1]1_inventory_totals'!$F$8:$F$10000,"="&amp;Q14,'[1]1_inventory_totals'!$G$8:$G$10000,"="&amp;R14)+SUMIFS('[1]1_inventory_totals'!$P$8:$P$10000,'[1]1_inventory_totals'!$C$8:$C$10000,I14,'[1]1_inventory_totals'!$F$8:$F$10000,"="&amp;Q14,'[1]1_inventory_totals'!$G$8:$G$10000,"="&amp;R14)+SUMIFS('[1]1_inventory_totals'!$Q$8:$Q$10000,'[1]1_inventory_totals'!$C$8:$C$10000,I14,'[1]1_inventory_totals'!$F$8:$F$10000,"="&amp;Q14,'[1]1_inventory_totals'!$G$8:$G$10000,"="&amp;R14)+SUMIFS('[1]1_inventory_totals'!$R$8:$R$10000,'[1]1_inventory_totals'!$C$8:$C$10000,I14,'[1]1_inventory_totals'!$F$8:$F$10000,"="&amp;Q14,'[1]1_inventory_totals'!$G$8:$G$10000,"="&amp;R14))+(SUMIFS('[1]1_inventory_totals'!$J$8:$J$10000,'[1]1_inventory_totals'!$C$8:$C$10000,I14,'[1]1_inventory_totals'!$F$8:$F$10000,"="&amp;Q14,'[1]1_inventory_totals'!$G$8:$G$10000,"="&amp;R14)+SUMIFS('[1]1_inventory_totals'!$K$8:$K$10000,'[1]1_inventory_totals'!$C$8:$C$10000,I14,'[1]1_inventory_totals'!$F$8:$F$10000,"="&amp;Q14,'[1]1_inventory_totals'!$G$8:$G$10000,"="&amp;R14)+SUMIFS('[1]1_inventory_totals'!$L$8:$L$10000,'[1]1_inventory_totals'!$C$8:$C$10000,I14,'[1]1_inventory_totals'!$F$8:$F$10000,"="&amp;Q14,'[1]1_inventory_totals'!$G$8:$G$10000,"="&amp;R14)+SUMIFS('[1]1_inventory_totals'!$M$8:$M$10000,'[1]1_inventory_totals'!$C$8:$C$10000,I14,'[1]1_inventory_totals'!$F$8:$F$10000,"="&amp;Q14,'[1]1_inventory_totals'!$G$8:$G$10000,"="&amp;R14)+SUMIFS('[1]1_inventory_totals'!$O$8:$O$10000,'[1]1_inventory_totals'!$C$8:$C$10000,I14,'[1]1_inventory_totals'!$F$8:$F$10000,"="&amp;Q14,'[1]1_inventory_totals'!$G$8:$G$10000,"="&amp;R14)+SUMIFS('[1]1_inventory_totals'!$S$8:$S$10000,'[1]1_inventory_totals'!$C$8:$C$10000,I14,'[1]1_inventory_totals'!$F$8:$F$10000,"="&amp;Q14,'[1]1_inventory_totals'!$G$8:$G$10000,"="&amp;R14)))</f>
        <v/>
      </c>
      <c r="BB14" s="197" t="str">
        <f>IF(M14="","",(SUMIFS('[1]2_inventory_totals'!$I$8:$I$10000,'[1]2_inventory_totals'!$C$8:$C$10000,I14,'[1]2_inventory_totals'!$F$8:$F$10000,"="&amp;Q14,'[1]2_inventory_totals'!$G$8:$G$10000,"="&amp;R14)+SUMIFS('[1]2_inventory_totals'!$N$8:$N$10000,'[1]2_inventory_totals'!$C$8:$C$10000,I14,'[1]2_inventory_totals'!$F$8:$F$10000,"="&amp;Q14,'[1]2_inventory_totals'!$G$8:$G$10000,"="&amp;R14)+SUMIFS('[1]2_inventory_totals'!$P$8:$P$10000,'[1]2_inventory_totals'!$C$8:$C$10000,I14,'[1]2_inventory_totals'!$F$8:$F$10000,"="&amp;Q14,'[1]2_inventory_totals'!$G$8:$G$10000,"="&amp;R14)+SUMIFS('[1]2_inventory_totals'!$Q$8:$Q$10000,'[1]2_inventory_totals'!$C$8:$C$10000,I14,'[1]2_inventory_totals'!$F$8:$F$10000,"="&amp;Q14,'[1]2_inventory_totals'!$G$8:$G$10000,"="&amp;R14)+SUMIFS('[1]2_inventory_totals'!$R$8:$R$10000,'[1]2_inventory_totals'!$C$8:$C$10000,I14,'[1]2_inventory_totals'!$F$8:$F$10000,"="&amp;Q14,'[1]2_inventory_totals'!$G$8:$G$10000,"="&amp;R14))+(SUMIFS('[1]2_inventory_totals'!$J$8:$J$10000,'[1]2_inventory_totals'!$C$8:$C$10000,I14,'[1]2_inventory_totals'!$F$8:$F$10000,"="&amp;Q14,'[1]2_inventory_totals'!$G$8:$G$10000,"="&amp;R14)+SUMIFS('[1]2_inventory_totals'!$K$8:$K$10000,'[1]2_inventory_totals'!$C$8:$C$10000,I14,'[1]2_inventory_totals'!$F$8:$F$10000,"="&amp;Q14,'[1]2_inventory_totals'!$G$8:$G$10000,"="&amp;R14)+SUMIFS('[1]2_inventory_totals'!$L$8:$L$10000,'[1]2_inventory_totals'!$C$8:$C$10000,I14,'[1]2_inventory_totals'!$F$8:$F$10000,"="&amp;Q14,'[1]2_inventory_totals'!$G$8:$G$10000,"="&amp;R14)+SUMIFS('[1]2_inventory_totals'!$M$8:$M$10000,'[1]2_inventory_totals'!$C$8:$C$10000,I14,'[1]2_inventory_totals'!$F$8:$F$10000,"="&amp;Q14,'[1]2_inventory_totals'!$G$8:$G$10000,"="&amp;R14)+SUMIFS('[1]2_inventory_totals'!$O$8:$O$10000,'[1]2_inventory_totals'!$C$8:$C$10000,I14,'[1]2_inventory_totals'!$F$8:$F$10000,"="&amp;Q14,'[1]2_inventory_totals'!$G$8:$G$10000,"="&amp;R14)+SUMIFS('[1]2_inventory_totals'!$S$8:$S$10000,'[1]2_inventory_totals'!$C$8:$C$10000,I14,'[1]2_inventory_totals'!$F$8:$F$10000,"="&amp;Q14,'[1]2_inventory_totals'!$G$8:$G$10000,"="&amp;R14)))</f>
        <v/>
      </c>
    </row>
    <row r="15" spans="1:58" ht="27" customHeight="1" thickBot="1">
      <c r="A15" s="923"/>
      <c r="B15" s="1256"/>
      <c r="C15" s="1243" t="s">
        <v>3242</v>
      </c>
      <c r="D15" s="1603">
        <f>MID(invoice_seller,1,3)*1</f>
        <v>1</v>
      </c>
      <c r="E15" s="1242" t="s">
        <v>2599</v>
      </c>
      <c r="F15" s="1600">
        <f>MID(invoice_location,1,3)*1</f>
        <v>1</v>
      </c>
      <c r="G15" s="941"/>
      <c r="I15" s="1610" t="str">
        <f t="shared" si="7"/>
        <v/>
      </c>
      <c r="J15" s="1611" t="str">
        <f t="shared" si="23"/>
        <v/>
      </c>
      <c r="K15" s="1612" t="str">
        <f t="shared" si="8"/>
        <v/>
      </c>
      <c r="L15" s="1613"/>
      <c r="M15" s="883"/>
      <c r="N15" s="884"/>
      <c r="O15" s="884"/>
      <c r="P15" s="885"/>
      <c r="Q15" s="886"/>
      <c r="R15" s="891"/>
      <c r="S15" s="1614" t="str">
        <f t="shared" si="0"/>
        <v/>
      </c>
      <c r="T15" s="1536"/>
      <c r="U15" s="1864" t="str">
        <f t="shared" si="9"/>
        <v/>
      </c>
      <c r="V15" s="1615" t="str">
        <f t="shared" si="1"/>
        <v/>
      </c>
      <c r="W15" s="889"/>
      <c r="X15" s="1615" t="str">
        <f t="shared" si="2"/>
        <v/>
      </c>
      <c r="Y15" s="1865" t="str">
        <f t="shared" si="10"/>
        <v/>
      </c>
      <c r="Z15" s="890"/>
      <c r="AA15" s="197" t="str" cm="1">
        <f t="array" ref="AA15">IF(M15="","",IF(P15=AN15,1,Slookup(MID(AN15,1,3)*1,UomConversion!$D$8:$J$500,5,UomConversion!$E$8:$E$500,MID(P15,1,3)*1,UomConversion!$J$8:$J$500,1)))</f>
        <v/>
      </c>
      <c r="AB15" s="197" t="str">
        <f t="shared" si="11"/>
        <v/>
      </c>
      <c r="AC15" s="197" t="str">
        <f t="shared" si="12"/>
        <v/>
      </c>
      <c r="AD15" s="197" t="str">
        <f t="shared" si="13"/>
        <v/>
      </c>
      <c r="AE15" s="1866" t="str">
        <f t="shared" si="14"/>
        <v/>
      </c>
      <c r="AF15" s="1866" t="str">
        <f t="shared" si="15"/>
        <v/>
      </c>
      <c r="AG15" s="197" t="str">
        <f t="shared" si="16"/>
        <v/>
      </c>
      <c r="AH15" s="197" t="str">
        <f>IF(I15="","",IF(ISNA(MATCH(I15,IF(invoice_location_id=1,'[1]1_inventory_totals'!$C$8:$C$10000,IF(invoice_location_id=2,'[1]2_inventory_totals'!$C$8:$C$10000,0)),0)),0,IF(AV15&gt;0,1,0)))</f>
        <v/>
      </c>
      <c r="AI15" s="197" t="str">
        <f>IF(M15="","",IF(invoice_location_id=1,SUMIFS('[1]1_inventory_total_details'!$J$8:$J$10000,'[1]1_inventory_total_details'!$C$8:$C$10000,I15,'[1]1_inventory_total_details'!$F$8:$F$10000,invoice_location_id,'[1]1_inventory_total_details'!$G$8:$G$10000,"="&amp;Q15,'[1]1_inventory_total_details'!$H$8:$H$10000,"="&amp;R15,'[1]1_inventory_total_details'!$I$8:$I$10000,"="&amp;invoice_date)+SUMIFS('[1]1_inventory_total_details'!$M$8:$M$10000,'[1]1_inventory_total_details'!$C$8:$C$10000,I15,'[1]1_inventory_total_details'!$F$8:$F$10000,invoice_location_id,'[1]1_inventory_total_details'!$G$8:$G$10000,"="&amp;Q15,'[1]1_inventory_total_details'!$H$8:$H$10000,"="&amp;R15,'[1]1_inventory_total_details'!$I$8:$I$10000,"="&amp;invoice_date)+SUMIFS('[1]1_inventory_total_details'!$K$8:$K$10000,'[1]1_inventory_total_details'!$C$8:$C$10000,I15,'[1]1_inventory_total_details'!$F$8:$F$10000,invoice_location_id,'[1]1_inventory_total_details'!$G$8:$G$10000,"="&amp;Q15,'[1]1_inventory_total_details'!$H$8:$H$10000,"="&amp;R15,'[1]1_inventory_total_details'!$I$8:$I$10000,"="&amp;invoice_date)+SUMIFS('[1]1_inventory_total_details'!$L$8:$L$10000,'[1]1_inventory_total_details'!$C$8:$C$10000,I15,'[1]1_inventory_total_details'!$F$8:$F$10000,invoice_location_id,'[1]1_inventory_total_details'!$G$8:$G$10000,"="&amp;Q15,'[1]1_inventory_total_details'!$H$8:$H$10000,"="&amp;R15,'[1]1_inventory_total_details'!$I$8:$I$10000,"="&amp;invoice_date),SUMIFS('[1]2_inventory_total_details'!$J$8:$J$10000,'[1]2_inventory_total_details'!$C$8:$C$10000,I15,'[1]2_inventory_total_details'!$F$8:$F$10000,invoice_location_id,'[1]2_inventory_total_details'!$G$8:$G$10000,"="&amp;Q15,'[1]2_inventory_total_details'!$H$8:$H$10000,"="&amp;R15,'[1]2_inventory_total_details'!$I$8:$I$10000,"="&amp;invoice_date)+SUMIFS('[1]2_inventory_total_details'!$M$8:$M$10000,'[1]2_inventory_total_details'!$C$8:$C$10000,I15,'[1]2_inventory_total_details'!$F$8:$F$10000,invoice_location_id,'[1]2_inventory_total_details'!$G$8:$G$10000,"="&amp;Q15,'[1]2_inventory_total_details'!$H$8:$H$10000,"="&amp;R15,'[1]2_inventory_total_details'!$I$8:$I$10000,"="&amp;invoice_date)+SUMIFS('[1]2_inventory_total_details'!$K$8:$K$10000,'[1]2_inventory_total_details'!$C$8:$C$10000,I15,'[1]2_inventory_total_details'!$F$8:$F$10000,invoice_location_id,'[1]2_inventory_total_details'!$G$8:$G$10000,"="&amp;Q15,'[1]2_inventory_total_details'!$H$8:$H$10000,"="&amp;R15,'[1]2_inventory_total_details'!$I$8:$I$10000,"="&amp;invoice_date)+SUMIFS('[1]2_inventory_total_details'!$L$8:$L$10000,'[1]2_inventory_total_details'!$C$8:$C$10000,I15,'[1]2_inventory_total_details'!$F$8:$F$10000,invoice_location_id,'[1]2_inventory_total_details'!$G$8:$G$10000,"="&amp;Q15,'[1]2_inventory_total_details'!$H$8:$H$10000,"="&amp;R15,'[1]2_inventory_total_details'!$I$8:$I$10000,"="&amp;invoice_date)))</f>
        <v/>
      </c>
      <c r="AJ15" s="197" t="str">
        <f>IF(M15="","",IF(ISNA(MATCH(I15,'[1]1_group_totals'!$C$8:$C$10000)),0,IF(AW15&gt;0,1,0)))</f>
        <v/>
      </c>
      <c r="AK15" s="197" t="str">
        <f>IF(M15="","",(SUMIFS('[1]1_group_total_details'!$I$8:$I$10000,'[1]1_group_total_details'!$C$8:$C$10000,I15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15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15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15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15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15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15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15,'[1]1_group_total_details'!$F$8:$F$10000,invoice_location_group_id,'[1]1_group_total_details'!$G$8:$G$10000,invoice_location_id,'[1]1_group_total_details'!$H$8:$H$10000,"="&amp;invoice_date)))</f>
        <v/>
      </c>
      <c r="AL15" s="197" t="str">
        <f>IF(M15="","",(SUMIFS('[1]1_group_total_details'!$I$8:$I$10000,'[1]1_group_total_details'!$C$8:$C$10000,I15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15,'[1]1_group_total_details'!$F$8:$F$10000,invoice_location_group_id,'[1]1_group_total_details'!$G$8:$G$10000,1,'[1]1_group_total_details'!$H$8:$H$10000,"&lt;="&amp;invoice_date)+SUMIFS('[1]1_group_total_details'!$N$8:$N$10000,'[1]1_group_total_details'!$C$8:$C$10000,I15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15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15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15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15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15,'[1]1_group_total_details'!$F$8:$F$10000,invoice_location_group_id,'[1]1_group_total_details'!$G$8:$G$10000,invoice_location_id,'[1]1_group_total_details'!$H$8:$H$10000,"&lt;="&amp;invoice_date)))</f>
        <v/>
      </c>
      <c r="AM15" s="197" t="str">
        <f>IF(M15="","",SUMIFS('[1]1_group_totals'!$J$8:$J$10000,'[1]1_group_totals'!$C$8:$C$10000,I15,'[1]1_group_totals'!$F$8:$F$10000,invoice_location_group_id,'[1]1_group_totals'!$G$8:$G$10000,invoice_location_id,'[1]1_group_totals'!$H$8:$H$10000,"="&amp;Q15,'[1]1_group_totals'!$I$8:$I$10000,"="&amp;R15))</f>
        <v/>
      </c>
      <c r="AN15" s="197" t="str">
        <f t="shared" si="17"/>
        <v/>
      </c>
      <c r="AO15" s="197" t="str">
        <f>IF(OR(ISNA(MATCH(MID(AN15,1,3)*1,UomConversion!$D$8:$D$500,0)),M15=""),"",IF(AT15="","",AT15))</f>
        <v/>
      </c>
      <c r="AP15" s="197" t="str">
        <f>IF(AND(AQ15&gt;0,COUNTIFS(UomConversion!$D$8:$D$500,MID(AN15,1,3)*1,UomConversion!$J$8:$J$500,1)&gt;1),TEXT(AQ15,"000")&amp;"."&amp;VLOOKUP(AQ15,uom_list,5,FALSE),"")</f>
        <v/>
      </c>
      <c r="AQ15" s="197" t="str">
        <f t="shared" si="18"/>
        <v/>
      </c>
      <c r="AR15" s="197" t="str">
        <f t="shared" si="19"/>
        <v/>
      </c>
      <c r="AS15" s="1866" t="str">
        <f>IF(M15="","",SUMIFS(ProductPrice!$N$28:$N$10000,ProductPrice!$D$28:$D$10000,I15,ProductPrice!$G$28:$G$10000,invoice_branch_id,ProductPrice!$H$28:$H$10000,invoice_price_type_id,ProductPrice!$I$28:$I$10000,MID(P15,1,3)*1,ProductPrice!$Q$28:$Q$10000,1,ProductPrice!$T$28:$T$10000,1))</f>
        <v/>
      </c>
      <c r="AT15" s="197" t="str">
        <f t="shared" si="20"/>
        <v/>
      </c>
      <c r="AU15" s="197" t="str" cm="1">
        <f t="array" ref="AU15">IF(M15="","",IF(ISNA(Slookup(MID(AN15,1,3)*1,UomConversion!$D$8:$J$500,2,UomConversion!$I$8:$I$500,1,UomConversion!$J$8:$J$500,1)),"",Slookup(MID(AN15,1,3)*1,UomConversion!$D$8:$J$500,2,UomConversion!$I$8:$I$500,1,UomConversion!$J$8:$J$500,1)))</f>
        <v/>
      </c>
      <c r="AV15" s="197" t="str">
        <f t="shared" si="6"/>
        <v/>
      </c>
      <c r="AW15" s="197" t="str">
        <f>IF(M15="","",(SUMIFS('[1]1_group_totals'!$K$8:$K$10000,'[1]1_group_totals'!$C$8:$C$10000,I15,'[1]1_group_totals'!$F$8:$F$10000,invoice_location_group_id,'[1]1_group_totals'!$G$8:$G$10000,invoice_location_id,'[1]1_group_totals'!$H$8:$H$10000,"="&amp;Q15,'[1]1_group_totals'!$I$8:$I$10000,"="&amp;R15)+SUMIFS('[1]1_group_totals'!$N$8:$N$10000,'[1]1_group_totals'!$C$8:$C$10000,I15,'[1]1_group_totals'!$F$8:$F$10000,invoice_location_group_id,'[1]1_group_totals'!$G$8:$G$10000,invoice_location_id,'[1]1_group_totals'!$H$8:$H$10000,"="&amp;Q15,'[1]1_group_totals'!$I$8:$I$10000,"="&amp;R15)+SUMIFS('[1]1_group_totals'!$P$8:$P$10000,'[1]1_group_totals'!$C$8:$C$10000,I15,'[1]1_group_totals'!$F$8:$F$10000,invoice_location_group_id,'[1]1_group_totals'!$G$8:$G$10000,invoice_location_id,'[1]1_group_totals'!$H$8:$H$10000,"="&amp;Q15,'[1]1_group_totals'!$I$8:$I$10000,"="&amp;R15)+SUMIFS('[1]1_group_totals'!$Q$8:$Q$10000,'[1]1_group_totals'!$C$8:$C$10000,I15,'[1]1_group_totals'!$F$8:$F$10000,invoice_location_group_id,'[1]1_group_totals'!$G$8:$G$10000,invoice_location_id,'[1]1_group_totals'!$H$8:$H$10000,"="&amp;Q15,'[1]1_group_totals'!$I$8:$I$10000,"="&amp;R15))+(SUMIFS('[1]1_group_totals'!$L$8:$L$10000,'[1]1_group_totals'!$C$8:$C$10000,I15,'[1]1_group_totals'!$F$8:$F$10000,invoice_location_group_id,'[1]1_group_totals'!$G$8:$G$10000,invoice_location_id,'[1]1_group_totals'!$H$8:$H$10000,"="&amp;Q15,'[1]1_group_totals'!$I$8:$I$10000,"="&amp;R15)+SUMIFS('[1]1_group_totals'!$M$8:$M$10000,'[1]1_group_totals'!$C$8:$C$10000,I15,'[1]1_group_totals'!$F$8:$F$10000,invoice_location_group_id,'[1]1_group_totals'!$G$8:$G$10000,invoice_location_id,'[1]1_group_totals'!$H$8:$H$10000,"="&amp;Q15,'[1]1_group_totals'!$I$8:$I$10000,"="&amp;R15)+SUMIFS('[1]1_group_totals'!$O$8:$O$10000,'[1]1_group_totals'!$C$8:$C$10000,I15,'[1]1_group_totals'!$F$8:$F$10000,invoice_location_group_id,'[1]1_group_totals'!$G$8:$G$10000,invoice_location_id,'[1]1_group_totals'!$H$8:$H$10000,"="&amp;Q15,'[1]1_group_totals'!$I$8:$I$10000,"="&amp;R15)+SUMIFS('[1]1_group_totals'!$R$8:$R$10000,'[1]1_group_totals'!$C$8:$C$10000,I15,'[1]1_group_totals'!$F$8:$F$10000,invoice_location_group_id,'[1]1_group_totals'!$G$8:$G$10000,invoice_location_id,'[1]1_group_totals'!$H$8:$H$10000,"="&amp;Q15,'[1]1_group_totals'!$I$8:$I$10000,"="&amp;R15)))</f>
        <v/>
      </c>
      <c r="AX15" s="197" t="str">
        <f t="shared" si="21"/>
        <v/>
      </c>
      <c r="AY15" s="197" t="str">
        <f>IF(M15="","",SUMIFS($AX$8:AX15,$I$8:I15,I15))</f>
        <v/>
      </c>
      <c r="AZ15" s="197" t="str">
        <f t="shared" si="22"/>
        <v/>
      </c>
      <c r="BA15" s="197" t="str">
        <f>IF(M15="","",(SUMIFS('[1]1_inventory_totals'!$I$8:$I$10000,'[1]1_inventory_totals'!$C$8:$C$10000,I15,'[1]1_inventory_totals'!$F$8:$F$10000,"="&amp;Q15,'[1]1_inventory_totals'!$G$8:$G$10000,"="&amp;R15)+SUMIFS('[1]1_inventory_totals'!$N$8:$N$10000,'[1]1_inventory_totals'!$C$8:$C$10000,I15,'[1]1_inventory_totals'!$F$8:$F$10000,"="&amp;Q15,'[1]1_inventory_totals'!$G$8:$G$10000,"="&amp;R15)+SUMIFS('[1]1_inventory_totals'!$P$8:$P$10000,'[1]1_inventory_totals'!$C$8:$C$10000,I15,'[1]1_inventory_totals'!$F$8:$F$10000,"="&amp;Q15,'[1]1_inventory_totals'!$G$8:$G$10000,"="&amp;R15)+SUMIFS('[1]1_inventory_totals'!$Q$8:$Q$10000,'[1]1_inventory_totals'!$C$8:$C$10000,I15,'[1]1_inventory_totals'!$F$8:$F$10000,"="&amp;Q15,'[1]1_inventory_totals'!$G$8:$G$10000,"="&amp;R15)+SUMIFS('[1]1_inventory_totals'!$R$8:$R$10000,'[1]1_inventory_totals'!$C$8:$C$10000,I15,'[1]1_inventory_totals'!$F$8:$F$10000,"="&amp;Q15,'[1]1_inventory_totals'!$G$8:$G$10000,"="&amp;R15))+(SUMIFS('[1]1_inventory_totals'!$J$8:$J$10000,'[1]1_inventory_totals'!$C$8:$C$10000,I15,'[1]1_inventory_totals'!$F$8:$F$10000,"="&amp;Q15,'[1]1_inventory_totals'!$G$8:$G$10000,"="&amp;R15)+SUMIFS('[1]1_inventory_totals'!$K$8:$K$10000,'[1]1_inventory_totals'!$C$8:$C$10000,I15,'[1]1_inventory_totals'!$F$8:$F$10000,"="&amp;Q15,'[1]1_inventory_totals'!$G$8:$G$10000,"="&amp;R15)+SUMIFS('[1]1_inventory_totals'!$L$8:$L$10000,'[1]1_inventory_totals'!$C$8:$C$10000,I15,'[1]1_inventory_totals'!$F$8:$F$10000,"="&amp;Q15,'[1]1_inventory_totals'!$G$8:$G$10000,"="&amp;R15)+SUMIFS('[1]1_inventory_totals'!$M$8:$M$10000,'[1]1_inventory_totals'!$C$8:$C$10000,I15,'[1]1_inventory_totals'!$F$8:$F$10000,"="&amp;Q15,'[1]1_inventory_totals'!$G$8:$G$10000,"="&amp;R15)+SUMIFS('[1]1_inventory_totals'!$O$8:$O$10000,'[1]1_inventory_totals'!$C$8:$C$10000,I15,'[1]1_inventory_totals'!$F$8:$F$10000,"="&amp;Q15,'[1]1_inventory_totals'!$G$8:$G$10000,"="&amp;R15)+SUMIFS('[1]1_inventory_totals'!$S$8:$S$10000,'[1]1_inventory_totals'!$C$8:$C$10000,I15,'[1]1_inventory_totals'!$F$8:$F$10000,"="&amp;Q15,'[1]1_inventory_totals'!$G$8:$G$10000,"="&amp;R15)))</f>
        <v/>
      </c>
      <c r="BB15" s="197" t="str">
        <f>IF(M15="","",(SUMIFS('[1]2_inventory_totals'!$I$8:$I$10000,'[1]2_inventory_totals'!$C$8:$C$10000,I15,'[1]2_inventory_totals'!$F$8:$F$10000,"="&amp;Q15,'[1]2_inventory_totals'!$G$8:$G$10000,"="&amp;R15)+SUMIFS('[1]2_inventory_totals'!$N$8:$N$10000,'[1]2_inventory_totals'!$C$8:$C$10000,I15,'[1]2_inventory_totals'!$F$8:$F$10000,"="&amp;Q15,'[1]2_inventory_totals'!$G$8:$G$10000,"="&amp;R15)+SUMIFS('[1]2_inventory_totals'!$P$8:$P$10000,'[1]2_inventory_totals'!$C$8:$C$10000,I15,'[1]2_inventory_totals'!$F$8:$F$10000,"="&amp;Q15,'[1]2_inventory_totals'!$G$8:$G$10000,"="&amp;R15)+SUMIFS('[1]2_inventory_totals'!$Q$8:$Q$10000,'[1]2_inventory_totals'!$C$8:$C$10000,I15,'[1]2_inventory_totals'!$F$8:$F$10000,"="&amp;Q15,'[1]2_inventory_totals'!$G$8:$G$10000,"="&amp;R15)+SUMIFS('[1]2_inventory_totals'!$R$8:$R$10000,'[1]2_inventory_totals'!$C$8:$C$10000,I15,'[1]2_inventory_totals'!$F$8:$F$10000,"="&amp;Q15,'[1]2_inventory_totals'!$G$8:$G$10000,"="&amp;R15))+(SUMIFS('[1]2_inventory_totals'!$J$8:$J$10000,'[1]2_inventory_totals'!$C$8:$C$10000,I15,'[1]2_inventory_totals'!$F$8:$F$10000,"="&amp;Q15,'[1]2_inventory_totals'!$G$8:$G$10000,"="&amp;R15)+SUMIFS('[1]2_inventory_totals'!$K$8:$K$10000,'[1]2_inventory_totals'!$C$8:$C$10000,I15,'[1]2_inventory_totals'!$F$8:$F$10000,"="&amp;Q15,'[1]2_inventory_totals'!$G$8:$G$10000,"="&amp;R15)+SUMIFS('[1]2_inventory_totals'!$L$8:$L$10000,'[1]2_inventory_totals'!$C$8:$C$10000,I15,'[1]2_inventory_totals'!$F$8:$F$10000,"="&amp;Q15,'[1]2_inventory_totals'!$G$8:$G$10000,"="&amp;R15)+SUMIFS('[1]2_inventory_totals'!$M$8:$M$10000,'[1]2_inventory_totals'!$C$8:$C$10000,I15,'[1]2_inventory_totals'!$F$8:$F$10000,"="&amp;Q15,'[1]2_inventory_totals'!$G$8:$G$10000,"="&amp;R15)+SUMIFS('[1]2_inventory_totals'!$O$8:$O$10000,'[1]2_inventory_totals'!$C$8:$C$10000,I15,'[1]2_inventory_totals'!$F$8:$F$10000,"="&amp;Q15,'[1]2_inventory_totals'!$G$8:$G$10000,"="&amp;R15)+SUMIFS('[1]2_inventory_totals'!$S$8:$S$10000,'[1]2_inventory_totals'!$C$8:$C$10000,I15,'[1]2_inventory_totals'!$F$8:$F$10000,"="&amp;Q15,'[1]2_inventory_totals'!$G$8:$G$10000,"="&amp;R15)))</f>
        <v/>
      </c>
    </row>
    <row r="16" spans="1:58" ht="27" customHeight="1" thickBot="1">
      <c r="A16" s="923"/>
      <c r="B16" s="1251"/>
      <c r="C16" s="947" t="s">
        <v>1542</v>
      </c>
      <c r="D16" s="1265"/>
      <c r="E16" s="947" t="s">
        <v>2654</v>
      </c>
      <c r="F16" s="1262"/>
      <c r="I16" s="1610" t="str">
        <f t="shared" si="7"/>
        <v/>
      </c>
      <c r="J16" s="1611" t="str">
        <f t="shared" si="23"/>
        <v/>
      </c>
      <c r="K16" s="1612" t="str">
        <f t="shared" si="8"/>
        <v/>
      </c>
      <c r="L16" s="1613"/>
      <c r="M16" s="883"/>
      <c r="N16" s="884"/>
      <c r="O16" s="884"/>
      <c r="P16" s="885"/>
      <c r="Q16" s="886"/>
      <c r="R16" s="891"/>
      <c r="S16" s="1614" t="str">
        <f t="shared" si="0"/>
        <v/>
      </c>
      <c r="T16" s="1536"/>
      <c r="U16" s="1864" t="str">
        <f t="shared" si="9"/>
        <v/>
      </c>
      <c r="V16" s="1615" t="str">
        <f t="shared" si="1"/>
        <v/>
      </c>
      <c r="W16" s="889"/>
      <c r="X16" s="1615" t="str">
        <f t="shared" si="2"/>
        <v/>
      </c>
      <c r="Y16" s="1865" t="str">
        <f t="shared" si="10"/>
        <v/>
      </c>
      <c r="Z16" s="890"/>
      <c r="AA16" s="197" t="str" cm="1">
        <f t="array" ref="AA16">IF(M16="","",IF(P16=AN16,1,Slookup(MID(AN16,1,3)*1,UomConversion!$D$8:$J$500,5,UomConversion!$E$8:$E$500,MID(P16,1,3)*1,UomConversion!$J$8:$J$500,1)))</f>
        <v/>
      </c>
      <c r="AB16" s="197" t="str">
        <f t="shared" si="11"/>
        <v/>
      </c>
      <c r="AC16" s="197" t="str">
        <f t="shared" si="12"/>
        <v/>
      </c>
      <c r="AD16" s="197" t="str">
        <f t="shared" si="13"/>
        <v/>
      </c>
      <c r="AE16" s="1866" t="str">
        <f t="shared" si="14"/>
        <v/>
      </c>
      <c r="AF16" s="1866" t="str">
        <f t="shared" si="15"/>
        <v/>
      </c>
      <c r="AG16" s="197" t="str">
        <f t="shared" si="16"/>
        <v/>
      </c>
      <c r="AH16" s="197" t="str">
        <f>IF(I16="","",IF(ISNA(MATCH(I16,IF(invoice_location_id=1,'[1]1_inventory_totals'!$C$8:$C$10000,IF(invoice_location_id=2,'[1]2_inventory_totals'!$C$8:$C$10000,0)),0)),0,IF(AV16&gt;0,1,0)))</f>
        <v/>
      </c>
      <c r="AI16" s="197" t="str">
        <f>IF(M16="","",IF(invoice_location_id=1,SUMIFS('[1]1_inventory_total_details'!$J$8:$J$10000,'[1]1_inventory_total_details'!$C$8:$C$10000,I16,'[1]1_inventory_total_details'!$F$8:$F$10000,invoice_location_id,'[1]1_inventory_total_details'!$G$8:$G$10000,"="&amp;Q16,'[1]1_inventory_total_details'!$H$8:$H$10000,"="&amp;R16,'[1]1_inventory_total_details'!$I$8:$I$10000,"="&amp;invoice_date)+SUMIFS('[1]1_inventory_total_details'!$M$8:$M$10000,'[1]1_inventory_total_details'!$C$8:$C$10000,I16,'[1]1_inventory_total_details'!$F$8:$F$10000,invoice_location_id,'[1]1_inventory_total_details'!$G$8:$G$10000,"="&amp;Q16,'[1]1_inventory_total_details'!$H$8:$H$10000,"="&amp;R16,'[1]1_inventory_total_details'!$I$8:$I$10000,"="&amp;invoice_date)+SUMIFS('[1]1_inventory_total_details'!$K$8:$K$10000,'[1]1_inventory_total_details'!$C$8:$C$10000,I16,'[1]1_inventory_total_details'!$F$8:$F$10000,invoice_location_id,'[1]1_inventory_total_details'!$G$8:$G$10000,"="&amp;Q16,'[1]1_inventory_total_details'!$H$8:$H$10000,"="&amp;R16,'[1]1_inventory_total_details'!$I$8:$I$10000,"="&amp;invoice_date)+SUMIFS('[1]1_inventory_total_details'!$L$8:$L$10000,'[1]1_inventory_total_details'!$C$8:$C$10000,I16,'[1]1_inventory_total_details'!$F$8:$F$10000,invoice_location_id,'[1]1_inventory_total_details'!$G$8:$G$10000,"="&amp;Q16,'[1]1_inventory_total_details'!$H$8:$H$10000,"="&amp;R16,'[1]1_inventory_total_details'!$I$8:$I$10000,"="&amp;invoice_date),SUMIFS('[1]2_inventory_total_details'!$J$8:$J$10000,'[1]2_inventory_total_details'!$C$8:$C$10000,I16,'[1]2_inventory_total_details'!$F$8:$F$10000,invoice_location_id,'[1]2_inventory_total_details'!$G$8:$G$10000,"="&amp;Q16,'[1]2_inventory_total_details'!$H$8:$H$10000,"="&amp;R16,'[1]2_inventory_total_details'!$I$8:$I$10000,"="&amp;invoice_date)+SUMIFS('[1]2_inventory_total_details'!$M$8:$M$10000,'[1]2_inventory_total_details'!$C$8:$C$10000,I16,'[1]2_inventory_total_details'!$F$8:$F$10000,invoice_location_id,'[1]2_inventory_total_details'!$G$8:$G$10000,"="&amp;Q16,'[1]2_inventory_total_details'!$H$8:$H$10000,"="&amp;R16,'[1]2_inventory_total_details'!$I$8:$I$10000,"="&amp;invoice_date)+SUMIFS('[1]2_inventory_total_details'!$K$8:$K$10000,'[1]2_inventory_total_details'!$C$8:$C$10000,I16,'[1]2_inventory_total_details'!$F$8:$F$10000,invoice_location_id,'[1]2_inventory_total_details'!$G$8:$G$10000,"="&amp;Q16,'[1]2_inventory_total_details'!$H$8:$H$10000,"="&amp;R16,'[1]2_inventory_total_details'!$I$8:$I$10000,"="&amp;invoice_date)+SUMIFS('[1]2_inventory_total_details'!$L$8:$L$10000,'[1]2_inventory_total_details'!$C$8:$C$10000,I16,'[1]2_inventory_total_details'!$F$8:$F$10000,invoice_location_id,'[1]2_inventory_total_details'!$G$8:$G$10000,"="&amp;Q16,'[1]2_inventory_total_details'!$H$8:$H$10000,"="&amp;R16,'[1]2_inventory_total_details'!$I$8:$I$10000,"="&amp;invoice_date)))</f>
        <v/>
      </c>
      <c r="AJ16" s="197" t="str">
        <f>IF(M16="","",IF(ISNA(MATCH(I16,'[1]1_group_totals'!$C$8:$C$10000)),0,IF(AW16&gt;0,1,0)))</f>
        <v/>
      </c>
      <c r="AK16" s="197" t="str">
        <f>IF(M16="","",(SUMIFS('[1]1_group_total_details'!$I$8:$I$10000,'[1]1_group_total_details'!$C$8:$C$10000,I16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16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16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16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16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16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16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16,'[1]1_group_total_details'!$F$8:$F$10000,invoice_location_group_id,'[1]1_group_total_details'!$G$8:$G$10000,invoice_location_id,'[1]1_group_total_details'!$H$8:$H$10000,"="&amp;invoice_date)))</f>
        <v/>
      </c>
      <c r="AL16" s="197" t="str">
        <f>IF(M16="","",(SUMIFS('[1]1_group_total_details'!$I$8:$I$10000,'[1]1_group_total_details'!$C$8:$C$10000,I16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16,'[1]1_group_total_details'!$F$8:$F$10000,invoice_location_group_id,'[1]1_group_total_details'!$G$8:$G$10000,1,'[1]1_group_total_details'!$H$8:$H$10000,"&lt;="&amp;invoice_date)+SUMIFS('[1]1_group_total_details'!$N$8:$N$10000,'[1]1_group_total_details'!$C$8:$C$10000,I16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16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16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16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16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16,'[1]1_group_total_details'!$F$8:$F$10000,invoice_location_group_id,'[1]1_group_total_details'!$G$8:$G$10000,invoice_location_id,'[1]1_group_total_details'!$H$8:$H$10000,"&lt;="&amp;invoice_date)))</f>
        <v/>
      </c>
      <c r="AM16" s="197" t="str">
        <f>IF(M16="","",SUMIFS('[1]1_group_totals'!$J$8:$J$10000,'[1]1_group_totals'!$C$8:$C$10000,I16,'[1]1_group_totals'!$F$8:$F$10000,invoice_location_group_id,'[1]1_group_totals'!$G$8:$G$10000,invoice_location_id,'[1]1_group_totals'!$H$8:$H$10000,"="&amp;Q16,'[1]1_group_totals'!$I$8:$I$10000,"="&amp;R16))</f>
        <v/>
      </c>
      <c r="AN16" s="197" t="str">
        <f t="shared" si="17"/>
        <v/>
      </c>
      <c r="AO16" s="197" t="str">
        <f>IF(OR(ISNA(MATCH(MID(AN16,1,3)*1,UomConversion!$D$8:$D$500,0)),M16=""),"",IF(AT16="","",AT16))</f>
        <v/>
      </c>
      <c r="AP16" s="197" t="str">
        <f>IF(AND(AQ16&gt;0,COUNTIFS(UomConversion!$D$8:$D$500,MID(AN16,1,3)*1,UomConversion!$J$8:$J$500,1)&gt;1),TEXT(AQ16,"000")&amp;"."&amp;VLOOKUP(AQ16,uom_list,5,FALSE),"")</f>
        <v/>
      </c>
      <c r="AQ16" s="197" t="str">
        <f t="shared" si="18"/>
        <v/>
      </c>
      <c r="AR16" s="197" t="str">
        <f t="shared" si="19"/>
        <v/>
      </c>
      <c r="AS16" s="1866" t="str">
        <f>IF(M16="","",SUMIFS(ProductPrice!$N$28:$N$10000,ProductPrice!$D$28:$D$10000,I16,ProductPrice!$G$28:$G$10000,invoice_branch_id,ProductPrice!$H$28:$H$10000,invoice_price_type_id,ProductPrice!$I$28:$I$10000,MID(P16,1,3)*1,ProductPrice!$Q$28:$Q$10000,1,ProductPrice!$T$28:$T$10000,1))</f>
        <v/>
      </c>
      <c r="AT16" s="197" t="str">
        <f t="shared" si="20"/>
        <v/>
      </c>
      <c r="AU16" s="197" t="str" cm="1">
        <f t="array" ref="AU16">IF(M16="","",IF(ISNA(Slookup(MID(AN16,1,3)*1,UomConversion!$D$8:$J$500,2,UomConversion!$I$8:$I$500,1,UomConversion!$J$8:$J$500,1)),"",Slookup(MID(AN16,1,3)*1,UomConversion!$D$8:$J$500,2,UomConversion!$I$8:$I$500,1,UomConversion!$J$8:$J$500,1)))</f>
        <v/>
      </c>
      <c r="AV16" s="197" t="str">
        <f t="shared" si="6"/>
        <v/>
      </c>
      <c r="AW16" s="197" t="str">
        <f>IF(M16="","",(SUMIFS('[1]1_group_totals'!$K$8:$K$10000,'[1]1_group_totals'!$C$8:$C$10000,I16,'[1]1_group_totals'!$F$8:$F$10000,invoice_location_group_id,'[1]1_group_totals'!$G$8:$G$10000,invoice_location_id,'[1]1_group_totals'!$H$8:$H$10000,"="&amp;Q16,'[1]1_group_totals'!$I$8:$I$10000,"="&amp;R16)+SUMIFS('[1]1_group_totals'!$N$8:$N$10000,'[1]1_group_totals'!$C$8:$C$10000,I16,'[1]1_group_totals'!$F$8:$F$10000,invoice_location_group_id,'[1]1_group_totals'!$G$8:$G$10000,invoice_location_id,'[1]1_group_totals'!$H$8:$H$10000,"="&amp;Q16,'[1]1_group_totals'!$I$8:$I$10000,"="&amp;R16)+SUMIFS('[1]1_group_totals'!$P$8:$P$10000,'[1]1_group_totals'!$C$8:$C$10000,I16,'[1]1_group_totals'!$F$8:$F$10000,invoice_location_group_id,'[1]1_group_totals'!$G$8:$G$10000,invoice_location_id,'[1]1_group_totals'!$H$8:$H$10000,"="&amp;Q16,'[1]1_group_totals'!$I$8:$I$10000,"="&amp;R16)+SUMIFS('[1]1_group_totals'!$Q$8:$Q$10000,'[1]1_group_totals'!$C$8:$C$10000,I16,'[1]1_group_totals'!$F$8:$F$10000,invoice_location_group_id,'[1]1_group_totals'!$G$8:$G$10000,invoice_location_id,'[1]1_group_totals'!$H$8:$H$10000,"="&amp;Q16,'[1]1_group_totals'!$I$8:$I$10000,"="&amp;R16))+(SUMIFS('[1]1_group_totals'!$L$8:$L$10000,'[1]1_group_totals'!$C$8:$C$10000,I16,'[1]1_group_totals'!$F$8:$F$10000,invoice_location_group_id,'[1]1_group_totals'!$G$8:$G$10000,invoice_location_id,'[1]1_group_totals'!$H$8:$H$10000,"="&amp;Q16,'[1]1_group_totals'!$I$8:$I$10000,"="&amp;R16)+SUMIFS('[1]1_group_totals'!$M$8:$M$10000,'[1]1_group_totals'!$C$8:$C$10000,I16,'[1]1_group_totals'!$F$8:$F$10000,invoice_location_group_id,'[1]1_group_totals'!$G$8:$G$10000,invoice_location_id,'[1]1_group_totals'!$H$8:$H$10000,"="&amp;Q16,'[1]1_group_totals'!$I$8:$I$10000,"="&amp;R16)+SUMIFS('[1]1_group_totals'!$O$8:$O$10000,'[1]1_group_totals'!$C$8:$C$10000,I16,'[1]1_group_totals'!$F$8:$F$10000,invoice_location_group_id,'[1]1_group_totals'!$G$8:$G$10000,invoice_location_id,'[1]1_group_totals'!$H$8:$H$10000,"="&amp;Q16,'[1]1_group_totals'!$I$8:$I$10000,"="&amp;R16)+SUMIFS('[1]1_group_totals'!$R$8:$R$10000,'[1]1_group_totals'!$C$8:$C$10000,I16,'[1]1_group_totals'!$F$8:$F$10000,invoice_location_group_id,'[1]1_group_totals'!$G$8:$G$10000,invoice_location_id,'[1]1_group_totals'!$H$8:$H$10000,"="&amp;Q16,'[1]1_group_totals'!$I$8:$I$10000,"="&amp;R16)))</f>
        <v/>
      </c>
      <c r="AX16" s="197" t="str">
        <f t="shared" si="21"/>
        <v/>
      </c>
      <c r="AY16" s="197" t="str">
        <f>IF(M16="","",SUMIFS($AX$8:AX16,$I$8:I16,I16))</f>
        <v/>
      </c>
      <c r="AZ16" s="197" t="str">
        <f t="shared" si="22"/>
        <v/>
      </c>
      <c r="BA16" s="197" t="str">
        <f>IF(M16="","",(SUMIFS('[1]1_inventory_totals'!$I$8:$I$10000,'[1]1_inventory_totals'!$C$8:$C$10000,I16,'[1]1_inventory_totals'!$F$8:$F$10000,"="&amp;Q16,'[1]1_inventory_totals'!$G$8:$G$10000,"="&amp;R16)+SUMIFS('[1]1_inventory_totals'!$N$8:$N$10000,'[1]1_inventory_totals'!$C$8:$C$10000,I16,'[1]1_inventory_totals'!$F$8:$F$10000,"="&amp;Q16,'[1]1_inventory_totals'!$G$8:$G$10000,"="&amp;R16)+SUMIFS('[1]1_inventory_totals'!$P$8:$P$10000,'[1]1_inventory_totals'!$C$8:$C$10000,I16,'[1]1_inventory_totals'!$F$8:$F$10000,"="&amp;Q16,'[1]1_inventory_totals'!$G$8:$G$10000,"="&amp;R16)+SUMIFS('[1]1_inventory_totals'!$Q$8:$Q$10000,'[1]1_inventory_totals'!$C$8:$C$10000,I16,'[1]1_inventory_totals'!$F$8:$F$10000,"="&amp;Q16,'[1]1_inventory_totals'!$G$8:$G$10000,"="&amp;R16)+SUMIFS('[1]1_inventory_totals'!$R$8:$R$10000,'[1]1_inventory_totals'!$C$8:$C$10000,I16,'[1]1_inventory_totals'!$F$8:$F$10000,"="&amp;Q16,'[1]1_inventory_totals'!$G$8:$G$10000,"="&amp;R16))+(SUMIFS('[1]1_inventory_totals'!$J$8:$J$10000,'[1]1_inventory_totals'!$C$8:$C$10000,I16,'[1]1_inventory_totals'!$F$8:$F$10000,"="&amp;Q16,'[1]1_inventory_totals'!$G$8:$G$10000,"="&amp;R16)+SUMIFS('[1]1_inventory_totals'!$K$8:$K$10000,'[1]1_inventory_totals'!$C$8:$C$10000,I16,'[1]1_inventory_totals'!$F$8:$F$10000,"="&amp;Q16,'[1]1_inventory_totals'!$G$8:$G$10000,"="&amp;R16)+SUMIFS('[1]1_inventory_totals'!$L$8:$L$10000,'[1]1_inventory_totals'!$C$8:$C$10000,I16,'[1]1_inventory_totals'!$F$8:$F$10000,"="&amp;Q16,'[1]1_inventory_totals'!$G$8:$G$10000,"="&amp;R16)+SUMIFS('[1]1_inventory_totals'!$M$8:$M$10000,'[1]1_inventory_totals'!$C$8:$C$10000,I16,'[1]1_inventory_totals'!$F$8:$F$10000,"="&amp;Q16,'[1]1_inventory_totals'!$G$8:$G$10000,"="&amp;R16)+SUMIFS('[1]1_inventory_totals'!$O$8:$O$10000,'[1]1_inventory_totals'!$C$8:$C$10000,I16,'[1]1_inventory_totals'!$F$8:$F$10000,"="&amp;Q16,'[1]1_inventory_totals'!$G$8:$G$10000,"="&amp;R16)+SUMIFS('[1]1_inventory_totals'!$S$8:$S$10000,'[1]1_inventory_totals'!$C$8:$C$10000,I16,'[1]1_inventory_totals'!$F$8:$F$10000,"="&amp;Q16,'[1]1_inventory_totals'!$G$8:$G$10000,"="&amp;R16)))</f>
        <v/>
      </c>
      <c r="BB16" s="197" t="str">
        <f>IF(M16="","",(SUMIFS('[1]2_inventory_totals'!$I$8:$I$10000,'[1]2_inventory_totals'!$C$8:$C$10000,I16,'[1]2_inventory_totals'!$F$8:$F$10000,"="&amp;Q16,'[1]2_inventory_totals'!$G$8:$G$10000,"="&amp;R16)+SUMIFS('[1]2_inventory_totals'!$N$8:$N$10000,'[1]2_inventory_totals'!$C$8:$C$10000,I16,'[1]2_inventory_totals'!$F$8:$F$10000,"="&amp;Q16,'[1]2_inventory_totals'!$G$8:$G$10000,"="&amp;R16)+SUMIFS('[1]2_inventory_totals'!$P$8:$P$10000,'[1]2_inventory_totals'!$C$8:$C$10000,I16,'[1]2_inventory_totals'!$F$8:$F$10000,"="&amp;Q16,'[1]2_inventory_totals'!$G$8:$G$10000,"="&amp;R16)+SUMIFS('[1]2_inventory_totals'!$Q$8:$Q$10000,'[1]2_inventory_totals'!$C$8:$C$10000,I16,'[1]2_inventory_totals'!$F$8:$F$10000,"="&amp;Q16,'[1]2_inventory_totals'!$G$8:$G$10000,"="&amp;R16)+SUMIFS('[1]2_inventory_totals'!$R$8:$R$10000,'[1]2_inventory_totals'!$C$8:$C$10000,I16,'[1]2_inventory_totals'!$F$8:$F$10000,"="&amp;Q16,'[1]2_inventory_totals'!$G$8:$G$10000,"="&amp;R16))+(SUMIFS('[1]2_inventory_totals'!$J$8:$J$10000,'[1]2_inventory_totals'!$C$8:$C$10000,I16,'[1]2_inventory_totals'!$F$8:$F$10000,"="&amp;Q16,'[1]2_inventory_totals'!$G$8:$G$10000,"="&amp;R16)+SUMIFS('[1]2_inventory_totals'!$K$8:$K$10000,'[1]2_inventory_totals'!$C$8:$C$10000,I16,'[1]2_inventory_totals'!$F$8:$F$10000,"="&amp;Q16,'[1]2_inventory_totals'!$G$8:$G$10000,"="&amp;R16)+SUMIFS('[1]2_inventory_totals'!$L$8:$L$10000,'[1]2_inventory_totals'!$C$8:$C$10000,I16,'[1]2_inventory_totals'!$F$8:$F$10000,"="&amp;Q16,'[1]2_inventory_totals'!$G$8:$G$10000,"="&amp;R16)+SUMIFS('[1]2_inventory_totals'!$M$8:$M$10000,'[1]2_inventory_totals'!$C$8:$C$10000,I16,'[1]2_inventory_totals'!$F$8:$F$10000,"="&amp;Q16,'[1]2_inventory_totals'!$G$8:$G$10000,"="&amp;R16)+SUMIFS('[1]2_inventory_totals'!$O$8:$O$10000,'[1]2_inventory_totals'!$C$8:$C$10000,I16,'[1]2_inventory_totals'!$F$8:$F$10000,"="&amp;Q16,'[1]2_inventory_totals'!$G$8:$G$10000,"="&amp;R16)+SUMIFS('[1]2_inventory_totals'!$S$8:$S$10000,'[1]2_inventory_totals'!$C$8:$C$10000,I16,'[1]2_inventory_totals'!$F$8:$F$10000,"="&amp;Q16,'[1]2_inventory_totals'!$G$8:$G$10000,"="&amp;R16)))</f>
        <v/>
      </c>
    </row>
    <row r="17" spans="1:54" ht="27" customHeight="1" thickBot="1">
      <c r="A17" s="923"/>
      <c r="B17" s="1256"/>
      <c r="C17" s="1245" t="str">
        <f>IF(invoice_currency_id="","",VLOOKUP(invoice_currency_id,currency_list,2,FALSE))</f>
        <v>USD - US Dollar</v>
      </c>
      <c r="D17" s="1266" t="str">
        <f>IF(invoice_currency_id="","",VLOOKUP(invoice_currency_id,currency_list,3,FALSE))</f>
        <v>$</v>
      </c>
      <c r="E17" s="1245" t="s">
        <v>3331</v>
      </c>
      <c r="F17" s="1862">
        <f>MID(E17,1,1)*1</f>
        <v>1</v>
      </c>
      <c r="G17" s="941"/>
      <c r="I17" s="1610" t="str">
        <f t="shared" si="7"/>
        <v/>
      </c>
      <c r="J17" s="1611" t="str">
        <f t="shared" si="23"/>
        <v/>
      </c>
      <c r="K17" s="1612" t="str">
        <f t="shared" si="8"/>
        <v/>
      </c>
      <c r="L17" s="1613"/>
      <c r="M17" s="883"/>
      <c r="N17" s="884"/>
      <c r="O17" s="884"/>
      <c r="P17" s="885"/>
      <c r="Q17" s="886"/>
      <c r="R17" s="891"/>
      <c r="S17" s="1614" t="str">
        <f t="shared" si="0"/>
        <v/>
      </c>
      <c r="T17" s="1536"/>
      <c r="U17" s="1864" t="str">
        <f t="shared" si="9"/>
        <v/>
      </c>
      <c r="V17" s="1615" t="str">
        <f t="shared" si="1"/>
        <v/>
      </c>
      <c r="W17" s="889"/>
      <c r="X17" s="1615" t="str">
        <f t="shared" si="2"/>
        <v/>
      </c>
      <c r="Y17" s="1865" t="str">
        <f t="shared" si="10"/>
        <v/>
      </c>
      <c r="Z17" s="890"/>
      <c r="AA17" s="197" t="str" cm="1">
        <f t="array" ref="AA17">IF(M17="","",IF(P17=AN17,1,Slookup(MID(AN17,1,3)*1,UomConversion!$D$8:$J$500,5,UomConversion!$E$8:$E$500,MID(P17,1,3)*1,UomConversion!$J$8:$J$500,1)))</f>
        <v/>
      </c>
      <c r="AB17" s="197" t="str">
        <f t="shared" si="11"/>
        <v/>
      </c>
      <c r="AC17" s="197" t="str">
        <f t="shared" si="12"/>
        <v/>
      </c>
      <c r="AD17" s="197" t="str">
        <f t="shared" si="13"/>
        <v/>
      </c>
      <c r="AE17" s="1866" t="str">
        <f t="shared" si="14"/>
        <v/>
      </c>
      <c r="AF17" s="1866" t="str">
        <f t="shared" si="15"/>
        <v/>
      </c>
      <c r="AG17" s="197" t="str">
        <f t="shared" si="16"/>
        <v/>
      </c>
      <c r="AH17" s="197" t="str">
        <f>IF(I17="","",IF(ISNA(MATCH(I17,IF(invoice_location_id=1,'[1]1_inventory_totals'!$C$8:$C$10000,IF(invoice_location_id=2,'[1]2_inventory_totals'!$C$8:$C$10000,0)),0)),0,IF(AV17&gt;0,1,0)))</f>
        <v/>
      </c>
      <c r="AI17" s="197" t="str">
        <f>IF(M17="","",IF(invoice_location_id=1,SUMIFS('[1]1_inventory_total_details'!$J$8:$J$10000,'[1]1_inventory_total_details'!$C$8:$C$10000,I17,'[1]1_inventory_total_details'!$F$8:$F$10000,invoice_location_id,'[1]1_inventory_total_details'!$G$8:$G$10000,"="&amp;Q17,'[1]1_inventory_total_details'!$H$8:$H$10000,"="&amp;R17,'[1]1_inventory_total_details'!$I$8:$I$10000,"="&amp;invoice_date)+SUMIFS('[1]1_inventory_total_details'!$M$8:$M$10000,'[1]1_inventory_total_details'!$C$8:$C$10000,I17,'[1]1_inventory_total_details'!$F$8:$F$10000,invoice_location_id,'[1]1_inventory_total_details'!$G$8:$G$10000,"="&amp;Q17,'[1]1_inventory_total_details'!$H$8:$H$10000,"="&amp;R17,'[1]1_inventory_total_details'!$I$8:$I$10000,"="&amp;invoice_date)+SUMIFS('[1]1_inventory_total_details'!$K$8:$K$10000,'[1]1_inventory_total_details'!$C$8:$C$10000,I17,'[1]1_inventory_total_details'!$F$8:$F$10000,invoice_location_id,'[1]1_inventory_total_details'!$G$8:$G$10000,"="&amp;Q17,'[1]1_inventory_total_details'!$H$8:$H$10000,"="&amp;R17,'[1]1_inventory_total_details'!$I$8:$I$10000,"="&amp;invoice_date)+SUMIFS('[1]1_inventory_total_details'!$L$8:$L$10000,'[1]1_inventory_total_details'!$C$8:$C$10000,I17,'[1]1_inventory_total_details'!$F$8:$F$10000,invoice_location_id,'[1]1_inventory_total_details'!$G$8:$G$10000,"="&amp;Q17,'[1]1_inventory_total_details'!$H$8:$H$10000,"="&amp;R17,'[1]1_inventory_total_details'!$I$8:$I$10000,"="&amp;invoice_date),SUMIFS('[1]2_inventory_total_details'!$J$8:$J$10000,'[1]2_inventory_total_details'!$C$8:$C$10000,I17,'[1]2_inventory_total_details'!$F$8:$F$10000,invoice_location_id,'[1]2_inventory_total_details'!$G$8:$G$10000,"="&amp;Q17,'[1]2_inventory_total_details'!$H$8:$H$10000,"="&amp;R17,'[1]2_inventory_total_details'!$I$8:$I$10000,"="&amp;invoice_date)+SUMIFS('[1]2_inventory_total_details'!$M$8:$M$10000,'[1]2_inventory_total_details'!$C$8:$C$10000,I17,'[1]2_inventory_total_details'!$F$8:$F$10000,invoice_location_id,'[1]2_inventory_total_details'!$G$8:$G$10000,"="&amp;Q17,'[1]2_inventory_total_details'!$H$8:$H$10000,"="&amp;R17,'[1]2_inventory_total_details'!$I$8:$I$10000,"="&amp;invoice_date)+SUMIFS('[1]2_inventory_total_details'!$K$8:$K$10000,'[1]2_inventory_total_details'!$C$8:$C$10000,I17,'[1]2_inventory_total_details'!$F$8:$F$10000,invoice_location_id,'[1]2_inventory_total_details'!$G$8:$G$10000,"="&amp;Q17,'[1]2_inventory_total_details'!$H$8:$H$10000,"="&amp;R17,'[1]2_inventory_total_details'!$I$8:$I$10000,"="&amp;invoice_date)+SUMIFS('[1]2_inventory_total_details'!$L$8:$L$10000,'[1]2_inventory_total_details'!$C$8:$C$10000,I17,'[1]2_inventory_total_details'!$F$8:$F$10000,invoice_location_id,'[1]2_inventory_total_details'!$G$8:$G$10000,"="&amp;Q17,'[1]2_inventory_total_details'!$H$8:$H$10000,"="&amp;R17,'[1]2_inventory_total_details'!$I$8:$I$10000,"="&amp;invoice_date)))</f>
        <v/>
      </c>
      <c r="AJ17" s="197" t="str">
        <f>IF(M17="","",IF(ISNA(MATCH(I17,'[1]1_group_totals'!$C$8:$C$10000)),0,IF(AW17&gt;0,1,0)))</f>
        <v/>
      </c>
      <c r="AK17" s="197" t="str">
        <f>IF(M17="","",(SUMIFS('[1]1_group_total_details'!$I$8:$I$10000,'[1]1_group_total_details'!$C$8:$C$10000,I17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17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17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17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17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17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17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17,'[1]1_group_total_details'!$F$8:$F$10000,invoice_location_group_id,'[1]1_group_total_details'!$G$8:$G$10000,invoice_location_id,'[1]1_group_total_details'!$H$8:$H$10000,"="&amp;invoice_date)))</f>
        <v/>
      </c>
      <c r="AL17" s="197" t="str">
        <f>IF(M17="","",(SUMIFS('[1]1_group_total_details'!$I$8:$I$10000,'[1]1_group_total_details'!$C$8:$C$10000,I17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17,'[1]1_group_total_details'!$F$8:$F$10000,invoice_location_group_id,'[1]1_group_total_details'!$G$8:$G$10000,1,'[1]1_group_total_details'!$H$8:$H$10000,"&lt;="&amp;invoice_date)+SUMIFS('[1]1_group_total_details'!$N$8:$N$10000,'[1]1_group_total_details'!$C$8:$C$10000,I17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17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17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17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17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17,'[1]1_group_total_details'!$F$8:$F$10000,invoice_location_group_id,'[1]1_group_total_details'!$G$8:$G$10000,invoice_location_id,'[1]1_group_total_details'!$H$8:$H$10000,"&lt;="&amp;invoice_date)))</f>
        <v/>
      </c>
      <c r="AM17" s="197" t="str">
        <f>IF(M17="","",SUMIFS('[1]1_group_totals'!$J$8:$J$10000,'[1]1_group_totals'!$C$8:$C$10000,I17,'[1]1_group_totals'!$F$8:$F$10000,invoice_location_group_id,'[1]1_group_totals'!$G$8:$G$10000,invoice_location_id,'[1]1_group_totals'!$H$8:$H$10000,"="&amp;Q17,'[1]1_group_totals'!$I$8:$I$10000,"="&amp;R17))</f>
        <v/>
      </c>
      <c r="AN17" s="197" t="str">
        <f t="shared" si="17"/>
        <v/>
      </c>
      <c r="AO17" s="197" t="str">
        <f>IF(OR(ISNA(MATCH(MID(AN17,1,3)*1,UomConversion!$D$8:$D$500,0)),M17=""),"",IF(AT17="","",AT17))</f>
        <v/>
      </c>
      <c r="AP17" s="197" t="str">
        <f>IF(AND(AQ17&gt;0,COUNTIFS(UomConversion!$D$8:$D$500,MID(AN17,1,3)*1,UomConversion!$J$8:$J$500,1)&gt;1),TEXT(AQ17,"000")&amp;"."&amp;VLOOKUP(AQ17,uom_list,5,FALSE),"")</f>
        <v/>
      </c>
      <c r="AQ17" s="197" t="str">
        <f t="shared" si="18"/>
        <v/>
      </c>
      <c r="AR17" s="197" t="str">
        <f t="shared" si="19"/>
        <v/>
      </c>
      <c r="AS17" s="1866" t="str">
        <f>IF(M17="","",SUMIFS(ProductPrice!$N$28:$N$10000,ProductPrice!$D$28:$D$10000,I17,ProductPrice!$G$28:$G$10000,invoice_branch_id,ProductPrice!$H$28:$H$10000,invoice_price_type_id,ProductPrice!$I$28:$I$10000,MID(P17,1,3)*1,ProductPrice!$Q$28:$Q$10000,1,ProductPrice!$T$28:$T$10000,1))</f>
        <v/>
      </c>
      <c r="AT17" s="197" t="str">
        <f t="shared" si="20"/>
        <v/>
      </c>
      <c r="AU17" s="197" t="str" cm="1">
        <f t="array" ref="AU17">IF(M17="","",IF(ISNA(Slookup(MID(AN17,1,3)*1,UomConversion!$D$8:$J$500,2,UomConversion!$I$8:$I$500,1,UomConversion!$J$8:$J$500,1)),"",Slookup(MID(AN17,1,3)*1,UomConversion!$D$8:$J$500,2,UomConversion!$I$8:$I$500,1,UomConversion!$J$8:$J$500,1)))</f>
        <v/>
      </c>
      <c r="AV17" s="197" t="str">
        <f t="shared" si="6"/>
        <v/>
      </c>
      <c r="AW17" s="197" t="str">
        <f>IF(M17="","",(SUMIFS('[1]1_group_totals'!$K$8:$K$10000,'[1]1_group_totals'!$C$8:$C$10000,I17,'[1]1_group_totals'!$F$8:$F$10000,invoice_location_group_id,'[1]1_group_totals'!$G$8:$G$10000,invoice_location_id,'[1]1_group_totals'!$H$8:$H$10000,"="&amp;Q17,'[1]1_group_totals'!$I$8:$I$10000,"="&amp;R17)+SUMIFS('[1]1_group_totals'!$N$8:$N$10000,'[1]1_group_totals'!$C$8:$C$10000,I17,'[1]1_group_totals'!$F$8:$F$10000,invoice_location_group_id,'[1]1_group_totals'!$G$8:$G$10000,invoice_location_id,'[1]1_group_totals'!$H$8:$H$10000,"="&amp;Q17,'[1]1_group_totals'!$I$8:$I$10000,"="&amp;R17)+SUMIFS('[1]1_group_totals'!$P$8:$P$10000,'[1]1_group_totals'!$C$8:$C$10000,I17,'[1]1_group_totals'!$F$8:$F$10000,invoice_location_group_id,'[1]1_group_totals'!$G$8:$G$10000,invoice_location_id,'[1]1_group_totals'!$H$8:$H$10000,"="&amp;Q17,'[1]1_group_totals'!$I$8:$I$10000,"="&amp;R17)+SUMIFS('[1]1_group_totals'!$Q$8:$Q$10000,'[1]1_group_totals'!$C$8:$C$10000,I17,'[1]1_group_totals'!$F$8:$F$10000,invoice_location_group_id,'[1]1_group_totals'!$G$8:$G$10000,invoice_location_id,'[1]1_group_totals'!$H$8:$H$10000,"="&amp;Q17,'[1]1_group_totals'!$I$8:$I$10000,"="&amp;R17))+(SUMIFS('[1]1_group_totals'!$L$8:$L$10000,'[1]1_group_totals'!$C$8:$C$10000,I17,'[1]1_group_totals'!$F$8:$F$10000,invoice_location_group_id,'[1]1_group_totals'!$G$8:$G$10000,invoice_location_id,'[1]1_group_totals'!$H$8:$H$10000,"="&amp;Q17,'[1]1_group_totals'!$I$8:$I$10000,"="&amp;R17)+SUMIFS('[1]1_group_totals'!$M$8:$M$10000,'[1]1_group_totals'!$C$8:$C$10000,I17,'[1]1_group_totals'!$F$8:$F$10000,invoice_location_group_id,'[1]1_group_totals'!$G$8:$G$10000,invoice_location_id,'[1]1_group_totals'!$H$8:$H$10000,"="&amp;Q17,'[1]1_group_totals'!$I$8:$I$10000,"="&amp;R17)+SUMIFS('[1]1_group_totals'!$O$8:$O$10000,'[1]1_group_totals'!$C$8:$C$10000,I17,'[1]1_group_totals'!$F$8:$F$10000,invoice_location_group_id,'[1]1_group_totals'!$G$8:$G$10000,invoice_location_id,'[1]1_group_totals'!$H$8:$H$10000,"="&amp;Q17,'[1]1_group_totals'!$I$8:$I$10000,"="&amp;R17)+SUMIFS('[1]1_group_totals'!$R$8:$R$10000,'[1]1_group_totals'!$C$8:$C$10000,I17,'[1]1_group_totals'!$F$8:$F$10000,invoice_location_group_id,'[1]1_group_totals'!$G$8:$G$10000,invoice_location_id,'[1]1_group_totals'!$H$8:$H$10000,"="&amp;Q17,'[1]1_group_totals'!$I$8:$I$10000,"="&amp;R17)))</f>
        <v/>
      </c>
      <c r="AX17" s="197" t="str">
        <f t="shared" si="21"/>
        <v/>
      </c>
      <c r="AY17" s="197" t="str">
        <f>IF(M17="","",SUMIFS($AX$8:AX17,$I$8:I17,I17))</f>
        <v/>
      </c>
      <c r="AZ17" s="197" t="str">
        <f t="shared" si="22"/>
        <v/>
      </c>
      <c r="BA17" s="197" t="str">
        <f>IF(M17="","",(SUMIFS('[1]1_inventory_totals'!$I$8:$I$10000,'[1]1_inventory_totals'!$C$8:$C$10000,I17,'[1]1_inventory_totals'!$F$8:$F$10000,"="&amp;Q17,'[1]1_inventory_totals'!$G$8:$G$10000,"="&amp;R17)+SUMIFS('[1]1_inventory_totals'!$N$8:$N$10000,'[1]1_inventory_totals'!$C$8:$C$10000,I17,'[1]1_inventory_totals'!$F$8:$F$10000,"="&amp;Q17,'[1]1_inventory_totals'!$G$8:$G$10000,"="&amp;R17)+SUMIFS('[1]1_inventory_totals'!$P$8:$P$10000,'[1]1_inventory_totals'!$C$8:$C$10000,I17,'[1]1_inventory_totals'!$F$8:$F$10000,"="&amp;Q17,'[1]1_inventory_totals'!$G$8:$G$10000,"="&amp;R17)+SUMIFS('[1]1_inventory_totals'!$Q$8:$Q$10000,'[1]1_inventory_totals'!$C$8:$C$10000,I17,'[1]1_inventory_totals'!$F$8:$F$10000,"="&amp;Q17,'[1]1_inventory_totals'!$G$8:$G$10000,"="&amp;R17)+SUMIFS('[1]1_inventory_totals'!$R$8:$R$10000,'[1]1_inventory_totals'!$C$8:$C$10000,I17,'[1]1_inventory_totals'!$F$8:$F$10000,"="&amp;Q17,'[1]1_inventory_totals'!$G$8:$G$10000,"="&amp;R17))+(SUMIFS('[1]1_inventory_totals'!$J$8:$J$10000,'[1]1_inventory_totals'!$C$8:$C$10000,I17,'[1]1_inventory_totals'!$F$8:$F$10000,"="&amp;Q17,'[1]1_inventory_totals'!$G$8:$G$10000,"="&amp;R17)+SUMIFS('[1]1_inventory_totals'!$K$8:$K$10000,'[1]1_inventory_totals'!$C$8:$C$10000,I17,'[1]1_inventory_totals'!$F$8:$F$10000,"="&amp;Q17,'[1]1_inventory_totals'!$G$8:$G$10000,"="&amp;R17)+SUMIFS('[1]1_inventory_totals'!$L$8:$L$10000,'[1]1_inventory_totals'!$C$8:$C$10000,I17,'[1]1_inventory_totals'!$F$8:$F$10000,"="&amp;Q17,'[1]1_inventory_totals'!$G$8:$G$10000,"="&amp;R17)+SUMIFS('[1]1_inventory_totals'!$M$8:$M$10000,'[1]1_inventory_totals'!$C$8:$C$10000,I17,'[1]1_inventory_totals'!$F$8:$F$10000,"="&amp;Q17,'[1]1_inventory_totals'!$G$8:$G$10000,"="&amp;R17)+SUMIFS('[1]1_inventory_totals'!$O$8:$O$10000,'[1]1_inventory_totals'!$C$8:$C$10000,I17,'[1]1_inventory_totals'!$F$8:$F$10000,"="&amp;Q17,'[1]1_inventory_totals'!$G$8:$G$10000,"="&amp;R17)+SUMIFS('[1]1_inventory_totals'!$S$8:$S$10000,'[1]1_inventory_totals'!$C$8:$C$10000,I17,'[1]1_inventory_totals'!$F$8:$F$10000,"="&amp;Q17,'[1]1_inventory_totals'!$G$8:$G$10000,"="&amp;R17)))</f>
        <v/>
      </c>
      <c r="BB17" s="197" t="str">
        <f>IF(M17="","",(SUMIFS('[1]2_inventory_totals'!$I$8:$I$10000,'[1]2_inventory_totals'!$C$8:$C$10000,I17,'[1]2_inventory_totals'!$F$8:$F$10000,"="&amp;Q17,'[1]2_inventory_totals'!$G$8:$G$10000,"="&amp;R17)+SUMIFS('[1]2_inventory_totals'!$N$8:$N$10000,'[1]2_inventory_totals'!$C$8:$C$10000,I17,'[1]2_inventory_totals'!$F$8:$F$10000,"="&amp;Q17,'[1]2_inventory_totals'!$G$8:$G$10000,"="&amp;R17)+SUMIFS('[1]2_inventory_totals'!$P$8:$P$10000,'[1]2_inventory_totals'!$C$8:$C$10000,I17,'[1]2_inventory_totals'!$F$8:$F$10000,"="&amp;Q17,'[1]2_inventory_totals'!$G$8:$G$10000,"="&amp;R17)+SUMIFS('[1]2_inventory_totals'!$Q$8:$Q$10000,'[1]2_inventory_totals'!$C$8:$C$10000,I17,'[1]2_inventory_totals'!$F$8:$F$10000,"="&amp;Q17,'[1]2_inventory_totals'!$G$8:$G$10000,"="&amp;R17)+SUMIFS('[1]2_inventory_totals'!$R$8:$R$10000,'[1]2_inventory_totals'!$C$8:$C$10000,I17,'[1]2_inventory_totals'!$F$8:$F$10000,"="&amp;Q17,'[1]2_inventory_totals'!$G$8:$G$10000,"="&amp;R17))+(SUMIFS('[1]2_inventory_totals'!$J$8:$J$10000,'[1]2_inventory_totals'!$C$8:$C$10000,I17,'[1]2_inventory_totals'!$F$8:$F$10000,"="&amp;Q17,'[1]2_inventory_totals'!$G$8:$G$10000,"="&amp;R17)+SUMIFS('[1]2_inventory_totals'!$K$8:$K$10000,'[1]2_inventory_totals'!$C$8:$C$10000,I17,'[1]2_inventory_totals'!$F$8:$F$10000,"="&amp;Q17,'[1]2_inventory_totals'!$G$8:$G$10000,"="&amp;R17)+SUMIFS('[1]2_inventory_totals'!$L$8:$L$10000,'[1]2_inventory_totals'!$C$8:$C$10000,I17,'[1]2_inventory_totals'!$F$8:$F$10000,"="&amp;Q17,'[1]2_inventory_totals'!$G$8:$G$10000,"="&amp;R17)+SUMIFS('[1]2_inventory_totals'!$M$8:$M$10000,'[1]2_inventory_totals'!$C$8:$C$10000,I17,'[1]2_inventory_totals'!$F$8:$F$10000,"="&amp;Q17,'[1]2_inventory_totals'!$G$8:$G$10000,"="&amp;R17)+SUMIFS('[1]2_inventory_totals'!$O$8:$O$10000,'[1]2_inventory_totals'!$C$8:$C$10000,I17,'[1]2_inventory_totals'!$F$8:$F$10000,"="&amp;Q17,'[1]2_inventory_totals'!$G$8:$G$10000,"="&amp;R17)+SUMIFS('[1]2_inventory_totals'!$S$8:$S$10000,'[1]2_inventory_totals'!$C$8:$C$10000,I17,'[1]2_inventory_totals'!$F$8:$F$10000,"="&amp;Q17,'[1]2_inventory_totals'!$G$8:$G$10000,"="&amp;R17)))</f>
        <v/>
      </c>
    </row>
    <row r="18" spans="1:54" ht="27" customHeight="1">
      <c r="A18" s="923"/>
      <c r="B18" s="1256"/>
      <c r="C18" s="1604">
        <f>IF(invoice_branch="","",VLOOKUP(MID(invoice_branch,1,2)*1,branch_list,24,FALSE))</f>
        <v>1</v>
      </c>
      <c r="D18" s="897"/>
      <c r="E18" s="924"/>
      <c r="F18" s="1257"/>
      <c r="G18" s="941"/>
      <c r="I18" s="1610" t="str">
        <f t="shared" si="7"/>
        <v/>
      </c>
      <c r="J18" s="1611" t="str">
        <f t="shared" si="23"/>
        <v/>
      </c>
      <c r="K18" s="1612" t="str">
        <f t="shared" si="8"/>
        <v/>
      </c>
      <c r="L18" s="1613"/>
      <c r="M18" s="883"/>
      <c r="N18" s="884"/>
      <c r="O18" s="884"/>
      <c r="P18" s="885"/>
      <c r="Q18" s="886"/>
      <c r="R18" s="891"/>
      <c r="S18" s="1614" t="str">
        <f t="shared" si="0"/>
        <v/>
      </c>
      <c r="T18" s="1536"/>
      <c r="U18" s="1864" t="str">
        <f t="shared" si="9"/>
        <v/>
      </c>
      <c r="V18" s="1615" t="str">
        <f t="shared" si="1"/>
        <v/>
      </c>
      <c r="W18" s="889"/>
      <c r="X18" s="1615" t="str">
        <f t="shared" si="2"/>
        <v/>
      </c>
      <c r="Y18" s="1865" t="str">
        <f t="shared" si="10"/>
        <v/>
      </c>
      <c r="Z18" s="890"/>
      <c r="AA18" s="197" t="str" cm="1">
        <f t="array" ref="AA18">IF(M18="","",IF(P18=AN18,1,Slookup(MID(AN18,1,3)*1,UomConversion!$D$8:$J$500,5,UomConversion!$E$8:$E$500,MID(P18,1,3)*1,UomConversion!$J$8:$J$500,1)))</f>
        <v/>
      </c>
      <c r="AB18" s="197" t="str">
        <f t="shared" si="11"/>
        <v/>
      </c>
      <c r="AC18" s="197" t="str">
        <f t="shared" si="12"/>
        <v/>
      </c>
      <c r="AD18" s="197" t="str">
        <f t="shared" si="13"/>
        <v/>
      </c>
      <c r="AE18" s="1866" t="str">
        <f t="shared" si="14"/>
        <v/>
      </c>
      <c r="AF18" s="1866" t="str">
        <f t="shared" si="15"/>
        <v/>
      </c>
      <c r="AG18" s="197" t="str">
        <f t="shared" si="16"/>
        <v/>
      </c>
      <c r="AH18" s="197" t="str">
        <f>IF(I18="","",IF(ISNA(MATCH(I18,IF(invoice_location_id=1,'[1]1_inventory_totals'!$C$8:$C$10000,IF(invoice_location_id=2,'[1]2_inventory_totals'!$C$8:$C$10000,0)),0)),0,IF(AV18&gt;0,1,0)))</f>
        <v/>
      </c>
      <c r="AI18" s="197" t="str">
        <f>IF(M18="","",IF(invoice_location_id=1,SUMIFS('[1]1_inventory_total_details'!$J$8:$J$10000,'[1]1_inventory_total_details'!$C$8:$C$10000,I18,'[1]1_inventory_total_details'!$F$8:$F$10000,invoice_location_id,'[1]1_inventory_total_details'!$G$8:$G$10000,"="&amp;Q18,'[1]1_inventory_total_details'!$H$8:$H$10000,"="&amp;R18,'[1]1_inventory_total_details'!$I$8:$I$10000,"="&amp;invoice_date)+SUMIFS('[1]1_inventory_total_details'!$M$8:$M$10000,'[1]1_inventory_total_details'!$C$8:$C$10000,I18,'[1]1_inventory_total_details'!$F$8:$F$10000,invoice_location_id,'[1]1_inventory_total_details'!$G$8:$G$10000,"="&amp;Q18,'[1]1_inventory_total_details'!$H$8:$H$10000,"="&amp;R18,'[1]1_inventory_total_details'!$I$8:$I$10000,"="&amp;invoice_date)+SUMIFS('[1]1_inventory_total_details'!$K$8:$K$10000,'[1]1_inventory_total_details'!$C$8:$C$10000,I18,'[1]1_inventory_total_details'!$F$8:$F$10000,invoice_location_id,'[1]1_inventory_total_details'!$G$8:$G$10000,"="&amp;Q18,'[1]1_inventory_total_details'!$H$8:$H$10000,"="&amp;R18,'[1]1_inventory_total_details'!$I$8:$I$10000,"="&amp;invoice_date)+SUMIFS('[1]1_inventory_total_details'!$L$8:$L$10000,'[1]1_inventory_total_details'!$C$8:$C$10000,I18,'[1]1_inventory_total_details'!$F$8:$F$10000,invoice_location_id,'[1]1_inventory_total_details'!$G$8:$G$10000,"="&amp;Q18,'[1]1_inventory_total_details'!$H$8:$H$10000,"="&amp;R18,'[1]1_inventory_total_details'!$I$8:$I$10000,"="&amp;invoice_date),SUMIFS('[1]2_inventory_total_details'!$J$8:$J$10000,'[1]2_inventory_total_details'!$C$8:$C$10000,I18,'[1]2_inventory_total_details'!$F$8:$F$10000,invoice_location_id,'[1]2_inventory_total_details'!$G$8:$G$10000,"="&amp;Q18,'[1]2_inventory_total_details'!$H$8:$H$10000,"="&amp;R18,'[1]2_inventory_total_details'!$I$8:$I$10000,"="&amp;invoice_date)+SUMIFS('[1]2_inventory_total_details'!$M$8:$M$10000,'[1]2_inventory_total_details'!$C$8:$C$10000,I18,'[1]2_inventory_total_details'!$F$8:$F$10000,invoice_location_id,'[1]2_inventory_total_details'!$G$8:$G$10000,"="&amp;Q18,'[1]2_inventory_total_details'!$H$8:$H$10000,"="&amp;R18,'[1]2_inventory_total_details'!$I$8:$I$10000,"="&amp;invoice_date)+SUMIFS('[1]2_inventory_total_details'!$K$8:$K$10000,'[1]2_inventory_total_details'!$C$8:$C$10000,I18,'[1]2_inventory_total_details'!$F$8:$F$10000,invoice_location_id,'[1]2_inventory_total_details'!$G$8:$G$10000,"="&amp;Q18,'[1]2_inventory_total_details'!$H$8:$H$10000,"="&amp;R18,'[1]2_inventory_total_details'!$I$8:$I$10000,"="&amp;invoice_date)+SUMIFS('[1]2_inventory_total_details'!$L$8:$L$10000,'[1]2_inventory_total_details'!$C$8:$C$10000,I18,'[1]2_inventory_total_details'!$F$8:$F$10000,invoice_location_id,'[1]2_inventory_total_details'!$G$8:$G$10000,"="&amp;Q18,'[1]2_inventory_total_details'!$H$8:$H$10000,"="&amp;R18,'[1]2_inventory_total_details'!$I$8:$I$10000,"="&amp;invoice_date)))</f>
        <v/>
      </c>
      <c r="AJ18" s="197" t="str">
        <f>IF(M18="","",IF(ISNA(MATCH(I18,'[1]1_group_totals'!$C$8:$C$10000)),0,IF(AW18&gt;0,1,0)))</f>
        <v/>
      </c>
      <c r="AK18" s="197" t="str">
        <f>IF(M18="","",(SUMIFS('[1]1_group_total_details'!$I$8:$I$10000,'[1]1_group_total_details'!$C$8:$C$10000,I18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18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18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18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18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18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18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18,'[1]1_group_total_details'!$F$8:$F$10000,invoice_location_group_id,'[1]1_group_total_details'!$G$8:$G$10000,invoice_location_id,'[1]1_group_total_details'!$H$8:$H$10000,"="&amp;invoice_date)))</f>
        <v/>
      </c>
      <c r="AL18" s="197" t="str">
        <f>IF(M18="","",(SUMIFS('[1]1_group_total_details'!$I$8:$I$10000,'[1]1_group_total_details'!$C$8:$C$10000,I18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18,'[1]1_group_total_details'!$F$8:$F$10000,invoice_location_group_id,'[1]1_group_total_details'!$G$8:$G$10000,1,'[1]1_group_total_details'!$H$8:$H$10000,"&lt;="&amp;invoice_date)+SUMIFS('[1]1_group_total_details'!$N$8:$N$10000,'[1]1_group_total_details'!$C$8:$C$10000,I18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18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18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18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18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18,'[1]1_group_total_details'!$F$8:$F$10000,invoice_location_group_id,'[1]1_group_total_details'!$G$8:$G$10000,invoice_location_id,'[1]1_group_total_details'!$H$8:$H$10000,"&lt;="&amp;invoice_date)))</f>
        <v/>
      </c>
      <c r="AM18" s="197" t="str">
        <f>IF(M18="","",SUMIFS('[1]1_group_totals'!$J$8:$J$10000,'[1]1_group_totals'!$C$8:$C$10000,I18,'[1]1_group_totals'!$F$8:$F$10000,invoice_location_group_id,'[1]1_group_totals'!$G$8:$G$10000,invoice_location_id,'[1]1_group_totals'!$H$8:$H$10000,"="&amp;Q18,'[1]1_group_totals'!$I$8:$I$10000,"="&amp;R18))</f>
        <v/>
      </c>
      <c r="AN18" s="197" t="str">
        <f t="shared" si="17"/>
        <v/>
      </c>
      <c r="AO18" s="197" t="str">
        <f>IF(OR(ISNA(MATCH(MID(AN18,1,3)*1,UomConversion!$D$8:$D$500,0)),M18=""),"",IF(AT18="","",AT18))</f>
        <v/>
      </c>
      <c r="AP18" s="197" t="str">
        <f>IF(AND(AQ18&gt;0,COUNTIFS(UomConversion!$D$8:$D$500,MID(AN18,1,3)*1,UomConversion!$J$8:$J$500,1)&gt;1),TEXT(AQ18,"000")&amp;"."&amp;VLOOKUP(AQ18,uom_list,5,FALSE),"")</f>
        <v/>
      </c>
      <c r="AQ18" s="197" t="str">
        <f t="shared" si="18"/>
        <v/>
      </c>
      <c r="AR18" s="197" t="str">
        <f t="shared" si="19"/>
        <v/>
      </c>
      <c r="AS18" s="1866" t="str">
        <f>IF(M18="","",SUMIFS(ProductPrice!$N$28:$N$10000,ProductPrice!$D$28:$D$10000,I18,ProductPrice!$G$28:$G$10000,invoice_branch_id,ProductPrice!$H$28:$H$10000,invoice_price_type_id,ProductPrice!$I$28:$I$10000,MID(P18,1,3)*1,ProductPrice!$Q$28:$Q$10000,1,ProductPrice!$T$28:$T$10000,1))</f>
        <v/>
      </c>
      <c r="AT18" s="197" t="str">
        <f t="shared" si="20"/>
        <v/>
      </c>
      <c r="AU18" s="197" t="str" cm="1">
        <f t="array" ref="AU18">IF(M18="","",IF(ISNA(Slookup(MID(AN18,1,3)*1,UomConversion!$D$8:$J$500,2,UomConversion!$I$8:$I$500,1,UomConversion!$J$8:$J$500,1)),"",Slookup(MID(AN18,1,3)*1,UomConversion!$D$8:$J$500,2,UomConversion!$I$8:$I$500,1,UomConversion!$J$8:$J$500,1)))</f>
        <v/>
      </c>
      <c r="AV18" s="197" t="str">
        <f t="shared" si="6"/>
        <v/>
      </c>
      <c r="AW18" s="197" t="str">
        <f>IF(M18="","",(SUMIFS('[1]1_group_totals'!$K$8:$K$10000,'[1]1_group_totals'!$C$8:$C$10000,I18,'[1]1_group_totals'!$F$8:$F$10000,invoice_location_group_id,'[1]1_group_totals'!$G$8:$G$10000,invoice_location_id,'[1]1_group_totals'!$H$8:$H$10000,"="&amp;Q18,'[1]1_group_totals'!$I$8:$I$10000,"="&amp;R18)+SUMIFS('[1]1_group_totals'!$N$8:$N$10000,'[1]1_group_totals'!$C$8:$C$10000,I18,'[1]1_group_totals'!$F$8:$F$10000,invoice_location_group_id,'[1]1_group_totals'!$G$8:$G$10000,invoice_location_id,'[1]1_group_totals'!$H$8:$H$10000,"="&amp;Q18,'[1]1_group_totals'!$I$8:$I$10000,"="&amp;R18)+SUMIFS('[1]1_group_totals'!$P$8:$P$10000,'[1]1_group_totals'!$C$8:$C$10000,I18,'[1]1_group_totals'!$F$8:$F$10000,invoice_location_group_id,'[1]1_group_totals'!$G$8:$G$10000,invoice_location_id,'[1]1_group_totals'!$H$8:$H$10000,"="&amp;Q18,'[1]1_group_totals'!$I$8:$I$10000,"="&amp;R18)+SUMIFS('[1]1_group_totals'!$Q$8:$Q$10000,'[1]1_group_totals'!$C$8:$C$10000,I18,'[1]1_group_totals'!$F$8:$F$10000,invoice_location_group_id,'[1]1_group_totals'!$G$8:$G$10000,invoice_location_id,'[1]1_group_totals'!$H$8:$H$10000,"="&amp;Q18,'[1]1_group_totals'!$I$8:$I$10000,"="&amp;R18))+(SUMIFS('[1]1_group_totals'!$L$8:$L$10000,'[1]1_group_totals'!$C$8:$C$10000,I18,'[1]1_group_totals'!$F$8:$F$10000,invoice_location_group_id,'[1]1_group_totals'!$G$8:$G$10000,invoice_location_id,'[1]1_group_totals'!$H$8:$H$10000,"="&amp;Q18,'[1]1_group_totals'!$I$8:$I$10000,"="&amp;R18)+SUMIFS('[1]1_group_totals'!$M$8:$M$10000,'[1]1_group_totals'!$C$8:$C$10000,I18,'[1]1_group_totals'!$F$8:$F$10000,invoice_location_group_id,'[1]1_group_totals'!$G$8:$G$10000,invoice_location_id,'[1]1_group_totals'!$H$8:$H$10000,"="&amp;Q18,'[1]1_group_totals'!$I$8:$I$10000,"="&amp;R18)+SUMIFS('[1]1_group_totals'!$O$8:$O$10000,'[1]1_group_totals'!$C$8:$C$10000,I18,'[1]1_group_totals'!$F$8:$F$10000,invoice_location_group_id,'[1]1_group_totals'!$G$8:$G$10000,invoice_location_id,'[1]1_group_totals'!$H$8:$H$10000,"="&amp;Q18,'[1]1_group_totals'!$I$8:$I$10000,"="&amp;R18)+SUMIFS('[1]1_group_totals'!$R$8:$R$10000,'[1]1_group_totals'!$C$8:$C$10000,I18,'[1]1_group_totals'!$F$8:$F$10000,invoice_location_group_id,'[1]1_group_totals'!$G$8:$G$10000,invoice_location_id,'[1]1_group_totals'!$H$8:$H$10000,"="&amp;Q18,'[1]1_group_totals'!$I$8:$I$10000,"="&amp;R18)))</f>
        <v/>
      </c>
      <c r="AX18" s="197" t="str">
        <f t="shared" si="21"/>
        <v/>
      </c>
      <c r="AY18" s="197" t="str">
        <f>IF(M18="","",SUMIFS($AX$8:AX18,$I$8:I18,I18))</f>
        <v/>
      </c>
      <c r="AZ18" s="197" t="str">
        <f t="shared" si="22"/>
        <v/>
      </c>
      <c r="BA18" s="197" t="str">
        <f>IF(M18="","",(SUMIFS('[1]1_inventory_totals'!$I$8:$I$10000,'[1]1_inventory_totals'!$C$8:$C$10000,I18,'[1]1_inventory_totals'!$F$8:$F$10000,"="&amp;Q18,'[1]1_inventory_totals'!$G$8:$G$10000,"="&amp;R18)+SUMIFS('[1]1_inventory_totals'!$N$8:$N$10000,'[1]1_inventory_totals'!$C$8:$C$10000,I18,'[1]1_inventory_totals'!$F$8:$F$10000,"="&amp;Q18,'[1]1_inventory_totals'!$G$8:$G$10000,"="&amp;R18)+SUMIFS('[1]1_inventory_totals'!$P$8:$P$10000,'[1]1_inventory_totals'!$C$8:$C$10000,I18,'[1]1_inventory_totals'!$F$8:$F$10000,"="&amp;Q18,'[1]1_inventory_totals'!$G$8:$G$10000,"="&amp;R18)+SUMIFS('[1]1_inventory_totals'!$Q$8:$Q$10000,'[1]1_inventory_totals'!$C$8:$C$10000,I18,'[1]1_inventory_totals'!$F$8:$F$10000,"="&amp;Q18,'[1]1_inventory_totals'!$G$8:$G$10000,"="&amp;R18)+SUMIFS('[1]1_inventory_totals'!$R$8:$R$10000,'[1]1_inventory_totals'!$C$8:$C$10000,I18,'[1]1_inventory_totals'!$F$8:$F$10000,"="&amp;Q18,'[1]1_inventory_totals'!$G$8:$G$10000,"="&amp;R18))+(SUMIFS('[1]1_inventory_totals'!$J$8:$J$10000,'[1]1_inventory_totals'!$C$8:$C$10000,I18,'[1]1_inventory_totals'!$F$8:$F$10000,"="&amp;Q18,'[1]1_inventory_totals'!$G$8:$G$10000,"="&amp;R18)+SUMIFS('[1]1_inventory_totals'!$K$8:$K$10000,'[1]1_inventory_totals'!$C$8:$C$10000,I18,'[1]1_inventory_totals'!$F$8:$F$10000,"="&amp;Q18,'[1]1_inventory_totals'!$G$8:$G$10000,"="&amp;R18)+SUMIFS('[1]1_inventory_totals'!$L$8:$L$10000,'[1]1_inventory_totals'!$C$8:$C$10000,I18,'[1]1_inventory_totals'!$F$8:$F$10000,"="&amp;Q18,'[1]1_inventory_totals'!$G$8:$G$10000,"="&amp;R18)+SUMIFS('[1]1_inventory_totals'!$M$8:$M$10000,'[1]1_inventory_totals'!$C$8:$C$10000,I18,'[1]1_inventory_totals'!$F$8:$F$10000,"="&amp;Q18,'[1]1_inventory_totals'!$G$8:$G$10000,"="&amp;R18)+SUMIFS('[1]1_inventory_totals'!$O$8:$O$10000,'[1]1_inventory_totals'!$C$8:$C$10000,I18,'[1]1_inventory_totals'!$F$8:$F$10000,"="&amp;Q18,'[1]1_inventory_totals'!$G$8:$G$10000,"="&amp;R18)+SUMIFS('[1]1_inventory_totals'!$S$8:$S$10000,'[1]1_inventory_totals'!$C$8:$C$10000,I18,'[1]1_inventory_totals'!$F$8:$F$10000,"="&amp;Q18,'[1]1_inventory_totals'!$G$8:$G$10000,"="&amp;R18)))</f>
        <v/>
      </c>
      <c r="BB18" s="197" t="str">
        <f>IF(M18="","",(SUMIFS('[1]2_inventory_totals'!$I$8:$I$10000,'[1]2_inventory_totals'!$C$8:$C$10000,I18,'[1]2_inventory_totals'!$F$8:$F$10000,"="&amp;Q18,'[1]2_inventory_totals'!$G$8:$G$10000,"="&amp;R18)+SUMIFS('[1]2_inventory_totals'!$N$8:$N$10000,'[1]2_inventory_totals'!$C$8:$C$10000,I18,'[1]2_inventory_totals'!$F$8:$F$10000,"="&amp;Q18,'[1]2_inventory_totals'!$G$8:$G$10000,"="&amp;R18)+SUMIFS('[1]2_inventory_totals'!$P$8:$P$10000,'[1]2_inventory_totals'!$C$8:$C$10000,I18,'[1]2_inventory_totals'!$F$8:$F$10000,"="&amp;Q18,'[1]2_inventory_totals'!$G$8:$G$10000,"="&amp;R18)+SUMIFS('[1]2_inventory_totals'!$Q$8:$Q$10000,'[1]2_inventory_totals'!$C$8:$C$10000,I18,'[1]2_inventory_totals'!$F$8:$F$10000,"="&amp;Q18,'[1]2_inventory_totals'!$G$8:$G$10000,"="&amp;R18)+SUMIFS('[1]2_inventory_totals'!$R$8:$R$10000,'[1]2_inventory_totals'!$C$8:$C$10000,I18,'[1]2_inventory_totals'!$F$8:$F$10000,"="&amp;Q18,'[1]2_inventory_totals'!$G$8:$G$10000,"="&amp;R18))+(SUMIFS('[1]2_inventory_totals'!$J$8:$J$10000,'[1]2_inventory_totals'!$C$8:$C$10000,I18,'[1]2_inventory_totals'!$F$8:$F$10000,"="&amp;Q18,'[1]2_inventory_totals'!$G$8:$G$10000,"="&amp;R18)+SUMIFS('[1]2_inventory_totals'!$K$8:$K$10000,'[1]2_inventory_totals'!$C$8:$C$10000,I18,'[1]2_inventory_totals'!$F$8:$F$10000,"="&amp;Q18,'[1]2_inventory_totals'!$G$8:$G$10000,"="&amp;R18)+SUMIFS('[1]2_inventory_totals'!$L$8:$L$10000,'[1]2_inventory_totals'!$C$8:$C$10000,I18,'[1]2_inventory_totals'!$F$8:$F$10000,"="&amp;Q18,'[1]2_inventory_totals'!$G$8:$G$10000,"="&amp;R18)+SUMIFS('[1]2_inventory_totals'!$M$8:$M$10000,'[1]2_inventory_totals'!$C$8:$C$10000,I18,'[1]2_inventory_totals'!$F$8:$F$10000,"="&amp;Q18,'[1]2_inventory_totals'!$G$8:$G$10000,"="&amp;R18)+SUMIFS('[1]2_inventory_totals'!$O$8:$O$10000,'[1]2_inventory_totals'!$C$8:$C$10000,I18,'[1]2_inventory_totals'!$F$8:$F$10000,"="&amp;Q18,'[1]2_inventory_totals'!$G$8:$G$10000,"="&amp;R18)+SUMIFS('[1]2_inventory_totals'!$S$8:$S$10000,'[1]2_inventory_totals'!$C$8:$C$10000,I18,'[1]2_inventory_totals'!$F$8:$F$10000,"="&amp;Q18,'[1]2_inventory_totals'!$G$8:$G$10000,"="&amp;R18)))</f>
        <v/>
      </c>
    </row>
    <row r="19" spans="1:54" ht="27" customHeight="1" thickBot="1">
      <c r="A19" s="923"/>
      <c r="B19" s="1256"/>
      <c r="C19" s="947" t="s">
        <v>1788</v>
      </c>
      <c r="D19" s="948">
        <f>VLOOKUP(13, chart_account_default_list, 5, FALSE)</f>
        <v>17</v>
      </c>
      <c r="E19" s="947" t="s">
        <v>1879</v>
      </c>
      <c r="F19" s="1262"/>
      <c r="G19" s="941"/>
      <c r="I19" s="1610" t="str">
        <f t="shared" si="7"/>
        <v/>
      </c>
      <c r="J19" s="1611" t="str">
        <f t="shared" si="23"/>
        <v/>
      </c>
      <c r="K19" s="1612" t="str">
        <f t="shared" si="8"/>
        <v/>
      </c>
      <c r="L19" s="1613"/>
      <c r="M19" s="883"/>
      <c r="N19" s="884"/>
      <c r="O19" s="884"/>
      <c r="P19" s="885"/>
      <c r="Q19" s="886"/>
      <c r="R19" s="891"/>
      <c r="S19" s="1614" t="str">
        <f t="shared" si="0"/>
        <v/>
      </c>
      <c r="T19" s="1536"/>
      <c r="U19" s="1864" t="str">
        <f t="shared" si="9"/>
        <v/>
      </c>
      <c r="V19" s="1615" t="str">
        <f t="shared" si="1"/>
        <v/>
      </c>
      <c r="W19" s="889"/>
      <c r="X19" s="1615" t="str">
        <f t="shared" si="2"/>
        <v/>
      </c>
      <c r="Y19" s="1865" t="str">
        <f t="shared" si="10"/>
        <v/>
      </c>
      <c r="Z19" s="890"/>
      <c r="AA19" s="197" t="str" cm="1">
        <f t="array" ref="AA19">IF(M19="","",IF(P19=AN19,1,Slookup(MID(AN19,1,3)*1,UomConversion!$D$8:$J$500,5,UomConversion!$E$8:$E$500,MID(P19,1,3)*1,UomConversion!$J$8:$J$500,1)))</f>
        <v/>
      </c>
      <c r="AB19" s="197" t="str">
        <f t="shared" si="11"/>
        <v/>
      </c>
      <c r="AC19" s="197" t="str">
        <f t="shared" si="12"/>
        <v/>
      </c>
      <c r="AD19" s="197" t="str">
        <f t="shared" si="13"/>
        <v/>
      </c>
      <c r="AE19" s="1866" t="str">
        <f t="shared" si="14"/>
        <v/>
      </c>
      <c r="AF19" s="1866" t="str">
        <f t="shared" si="15"/>
        <v/>
      </c>
      <c r="AG19" s="197" t="str">
        <f t="shared" si="16"/>
        <v/>
      </c>
      <c r="AH19" s="197" t="str">
        <f>IF(I19="","",IF(ISNA(MATCH(I19,IF(invoice_location_id=1,'[1]1_inventory_totals'!$C$8:$C$10000,IF(invoice_location_id=2,'[1]2_inventory_totals'!$C$8:$C$10000,0)),0)),0,IF(AV19&gt;0,1,0)))</f>
        <v/>
      </c>
      <c r="AI19" s="197" t="str">
        <f>IF(M19="","",IF(invoice_location_id=1,SUMIFS('[1]1_inventory_total_details'!$J$8:$J$10000,'[1]1_inventory_total_details'!$C$8:$C$10000,I19,'[1]1_inventory_total_details'!$F$8:$F$10000,invoice_location_id,'[1]1_inventory_total_details'!$G$8:$G$10000,"="&amp;Q19,'[1]1_inventory_total_details'!$H$8:$H$10000,"="&amp;R19,'[1]1_inventory_total_details'!$I$8:$I$10000,"="&amp;invoice_date)+SUMIFS('[1]1_inventory_total_details'!$M$8:$M$10000,'[1]1_inventory_total_details'!$C$8:$C$10000,I19,'[1]1_inventory_total_details'!$F$8:$F$10000,invoice_location_id,'[1]1_inventory_total_details'!$G$8:$G$10000,"="&amp;Q19,'[1]1_inventory_total_details'!$H$8:$H$10000,"="&amp;R19,'[1]1_inventory_total_details'!$I$8:$I$10000,"="&amp;invoice_date)+SUMIFS('[1]1_inventory_total_details'!$K$8:$K$10000,'[1]1_inventory_total_details'!$C$8:$C$10000,I19,'[1]1_inventory_total_details'!$F$8:$F$10000,invoice_location_id,'[1]1_inventory_total_details'!$G$8:$G$10000,"="&amp;Q19,'[1]1_inventory_total_details'!$H$8:$H$10000,"="&amp;R19,'[1]1_inventory_total_details'!$I$8:$I$10000,"="&amp;invoice_date)+SUMIFS('[1]1_inventory_total_details'!$L$8:$L$10000,'[1]1_inventory_total_details'!$C$8:$C$10000,I19,'[1]1_inventory_total_details'!$F$8:$F$10000,invoice_location_id,'[1]1_inventory_total_details'!$G$8:$G$10000,"="&amp;Q19,'[1]1_inventory_total_details'!$H$8:$H$10000,"="&amp;R19,'[1]1_inventory_total_details'!$I$8:$I$10000,"="&amp;invoice_date),SUMIFS('[1]2_inventory_total_details'!$J$8:$J$10000,'[1]2_inventory_total_details'!$C$8:$C$10000,I19,'[1]2_inventory_total_details'!$F$8:$F$10000,invoice_location_id,'[1]2_inventory_total_details'!$G$8:$G$10000,"="&amp;Q19,'[1]2_inventory_total_details'!$H$8:$H$10000,"="&amp;R19,'[1]2_inventory_total_details'!$I$8:$I$10000,"="&amp;invoice_date)+SUMIFS('[1]2_inventory_total_details'!$M$8:$M$10000,'[1]2_inventory_total_details'!$C$8:$C$10000,I19,'[1]2_inventory_total_details'!$F$8:$F$10000,invoice_location_id,'[1]2_inventory_total_details'!$G$8:$G$10000,"="&amp;Q19,'[1]2_inventory_total_details'!$H$8:$H$10000,"="&amp;R19,'[1]2_inventory_total_details'!$I$8:$I$10000,"="&amp;invoice_date)+SUMIFS('[1]2_inventory_total_details'!$K$8:$K$10000,'[1]2_inventory_total_details'!$C$8:$C$10000,I19,'[1]2_inventory_total_details'!$F$8:$F$10000,invoice_location_id,'[1]2_inventory_total_details'!$G$8:$G$10000,"="&amp;Q19,'[1]2_inventory_total_details'!$H$8:$H$10000,"="&amp;R19,'[1]2_inventory_total_details'!$I$8:$I$10000,"="&amp;invoice_date)+SUMIFS('[1]2_inventory_total_details'!$L$8:$L$10000,'[1]2_inventory_total_details'!$C$8:$C$10000,I19,'[1]2_inventory_total_details'!$F$8:$F$10000,invoice_location_id,'[1]2_inventory_total_details'!$G$8:$G$10000,"="&amp;Q19,'[1]2_inventory_total_details'!$H$8:$H$10000,"="&amp;R19,'[1]2_inventory_total_details'!$I$8:$I$10000,"="&amp;invoice_date)))</f>
        <v/>
      </c>
      <c r="AJ19" s="197" t="str">
        <f>IF(M19="","",IF(ISNA(MATCH(I19,'[1]1_group_totals'!$C$8:$C$10000)),0,IF(AW19&gt;0,1,0)))</f>
        <v/>
      </c>
      <c r="AK19" s="197" t="str">
        <f>IF(M19="","",(SUMIFS('[1]1_group_total_details'!$I$8:$I$10000,'[1]1_group_total_details'!$C$8:$C$10000,I19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19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19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19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19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19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19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19,'[1]1_group_total_details'!$F$8:$F$10000,invoice_location_group_id,'[1]1_group_total_details'!$G$8:$G$10000,invoice_location_id,'[1]1_group_total_details'!$H$8:$H$10000,"="&amp;invoice_date)))</f>
        <v/>
      </c>
      <c r="AL19" s="197" t="str">
        <f>IF(M19="","",(SUMIFS('[1]1_group_total_details'!$I$8:$I$10000,'[1]1_group_total_details'!$C$8:$C$10000,I19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19,'[1]1_group_total_details'!$F$8:$F$10000,invoice_location_group_id,'[1]1_group_total_details'!$G$8:$G$10000,1,'[1]1_group_total_details'!$H$8:$H$10000,"&lt;="&amp;invoice_date)+SUMIFS('[1]1_group_total_details'!$N$8:$N$10000,'[1]1_group_total_details'!$C$8:$C$10000,I19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19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19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19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19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19,'[1]1_group_total_details'!$F$8:$F$10000,invoice_location_group_id,'[1]1_group_total_details'!$G$8:$G$10000,invoice_location_id,'[1]1_group_total_details'!$H$8:$H$10000,"&lt;="&amp;invoice_date)))</f>
        <v/>
      </c>
      <c r="AM19" s="197" t="str">
        <f>IF(M19="","",SUMIFS('[1]1_group_totals'!$J$8:$J$10000,'[1]1_group_totals'!$C$8:$C$10000,I19,'[1]1_group_totals'!$F$8:$F$10000,invoice_location_group_id,'[1]1_group_totals'!$G$8:$G$10000,invoice_location_id,'[1]1_group_totals'!$H$8:$H$10000,"="&amp;Q19,'[1]1_group_totals'!$I$8:$I$10000,"="&amp;R19))</f>
        <v/>
      </c>
      <c r="AN19" s="197" t="str">
        <f t="shared" si="17"/>
        <v/>
      </c>
      <c r="AO19" s="197" t="str">
        <f>IF(OR(ISNA(MATCH(MID(AN19,1,3)*1,UomConversion!$D$8:$D$500,0)),M19=""),"",IF(AT19="","",AT19))</f>
        <v/>
      </c>
      <c r="AP19" s="197" t="str">
        <f>IF(AND(AQ19&gt;0,COUNTIFS(UomConversion!$D$8:$D$500,MID(AN19,1,3)*1,UomConversion!$J$8:$J$500,1)&gt;1),TEXT(AQ19,"000")&amp;"."&amp;VLOOKUP(AQ19,uom_list,5,FALSE),"")</f>
        <v/>
      </c>
      <c r="AQ19" s="197" t="str">
        <f t="shared" si="18"/>
        <v/>
      </c>
      <c r="AR19" s="197" t="str">
        <f t="shared" si="19"/>
        <v/>
      </c>
      <c r="AS19" s="1866" t="str">
        <f>IF(M19="","",SUMIFS(ProductPrice!$N$28:$N$10000,ProductPrice!$D$28:$D$10000,I19,ProductPrice!$G$28:$G$10000,invoice_branch_id,ProductPrice!$H$28:$H$10000,invoice_price_type_id,ProductPrice!$I$28:$I$10000,MID(P19,1,3)*1,ProductPrice!$Q$28:$Q$10000,1,ProductPrice!$T$28:$T$10000,1))</f>
        <v/>
      </c>
      <c r="AT19" s="197" t="str">
        <f t="shared" si="20"/>
        <v/>
      </c>
      <c r="AU19" s="197" t="str" cm="1">
        <f t="array" ref="AU19">IF(M19="","",IF(ISNA(Slookup(MID(AN19,1,3)*1,UomConversion!$D$8:$J$500,2,UomConversion!$I$8:$I$500,1,UomConversion!$J$8:$J$500,1)),"",Slookup(MID(AN19,1,3)*1,UomConversion!$D$8:$J$500,2,UomConversion!$I$8:$I$500,1,UomConversion!$J$8:$J$500,1)))</f>
        <v/>
      </c>
      <c r="AV19" s="197" t="str">
        <f t="shared" si="6"/>
        <v/>
      </c>
      <c r="AW19" s="197" t="str">
        <f>IF(M19="","",(SUMIFS('[1]1_group_totals'!$K$8:$K$10000,'[1]1_group_totals'!$C$8:$C$10000,I19,'[1]1_group_totals'!$F$8:$F$10000,invoice_location_group_id,'[1]1_group_totals'!$G$8:$G$10000,invoice_location_id,'[1]1_group_totals'!$H$8:$H$10000,"="&amp;Q19,'[1]1_group_totals'!$I$8:$I$10000,"="&amp;R19)+SUMIFS('[1]1_group_totals'!$N$8:$N$10000,'[1]1_group_totals'!$C$8:$C$10000,I19,'[1]1_group_totals'!$F$8:$F$10000,invoice_location_group_id,'[1]1_group_totals'!$G$8:$G$10000,invoice_location_id,'[1]1_group_totals'!$H$8:$H$10000,"="&amp;Q19,'[1]1_group_totals'!$I$8:$I$10000,"="&amp;R19)+SUMIFS('[1]1_group_totals'!$P$8:$P$10000,'[1]1_group_totals'!$C$8:$C$10000,I19,'[1]1_group_totals'!$F$8:$F$10000,invoice_location_group_id,'[1]1_group_totals'!$G$8:$G$10000,invoice_location_id,'[1]1_group_totals'!$H$8:$H$10000,"="&amp;Q19,'[1]1_group_totals'!$I$8:$I$10000,"="&amp;R19)+SUMIFS('[1]1_group_totals'!$Q$8:$Q$10000,'[1]1_group_totals'!$C$8:$C$10000,I19,'[1]1_group_totals'!$F$8:$F$10000,invoice_location_group_id,'[1]1_group_totals'!$G$8:$G$10000,invoice_location_id,'[1]1_group_totals'!$H$8:$H$10000,"="&amp;Q19,'[1]1_group_totals'!$I$8:$I$10000,"="&amp;R19))+(SUMIFS('[1]1_group_totals'!$L$8:$L$10000,'[1]1_group_totals'!$C$8:$C$10000,I19,'[1]1_group_totals'!$F$8:$F$10000,invoice_location_group_id,'[1]1_group_totals'!$G$8:$G$10000,invoice_location_id,'[1]1_group_totals'!$H$8:$H$10000,"="&amp;Q19,'[1]1_group_totals'!$I$8:$I$10000,"="&amp;R19)+SUMIFS('[1]1_group_totals'!$M$8:$M$10000,'[1]1_group_totals'!$C$8:$C$10000,I19,'[1]1_group_totals'!$F$8:$F$10000,invoice_location_group_id,'[1]1_group_totals'!$G$8:$G$10000,invoice_location_id,'[1]1_group_totals'!$H$8:$H$10000,"="&amp;Q19,'[1]1_group_totals'!$I$8:$I$10000,"="&amp;R19)+SUMIFS('[1]1_group_totals'!$O$8:$O$10000,'[1]1_group_totals'!$C$8:$C$10000,I19,'[1]1_group_totals'!$F$8:$F$10000,invoice_location_group_id,'[1]1_group_totals'!$G$8:$G$10000,invoice_location_id,'[1]1_group_totals'!$H$8:$H$10000,"="&amp;Q19,'[1]1_group_totals'!$I$8:$I$10000,"="&amp;R19)+SUMIFS('[1]1_group_totals'!$R$8:$R$10000,'[1]1_group_totals'!$C$8:$C$10000,I19,'[1]1_group_totals'!$F$8:$F$10000,invoice_location_group_id,'[1]1_group_totals'!$G$8:$G$10000,invoice_location_id,'[1]1_group_totals'!$H$8:$H$10000,"="&amp;Q19,'[1]1_group_totals'!$I$8:$I$10000,"="&amp;R19)))</f>
        <v/>
      </c>
      <c r="AX19" s="197" t="str">
        <f t="shared" si="21"/>
        <v/>
      </c>
      <c r="AY19" s="197" t="str">
        <f>IF(M19="","",SUMIFS($AX$8:AX19,$I$8:I19,I19))</f>
        <v/>
      </c>
      <c r="AZ19" s="197" t="str">
        <f t="shared" si="22"/>
        <v/>
      </c>
      <c r="BA19" s="197" t="str">
        <f>IF(M19="","",(SUMIFS('[1]1_inventory_totals'!$I$8:$I$10000,'[1]1_inventory_totals'!$C$8:$C$10000,I19,'[1]1_inventory_totals'!$F$8:$F$10000,"="&amp;Q19,'[1]1_inventory_totals'!$G$8:$G$10000,"="&amp;R19)+SUMIFS('[1]1_inventory_totals'!$N$8:$N$10000,'[1]1_inventory_totals'!$C$8:$C$10000,I19,'[1]1_inventory_totals'!$F$8:$F$10000,"="&amp;Q19,'[1]1_inventory_totals'!$G$8:$G$10000,"="&amp;R19)+SUMIFS('[1]1_inventory_totals'!$P$8:$P$10000,'[1]1_inventory_totals'!$C$8:$C$10000,I19,'[1]1_inventory_totals'!$F$8:$F$10000,"="&amp;Q19,'[1]1_inventory_totals'!$G$8:$G$10000,"="&amp;R19)+SUMIFS('[1]1_inventory_totals'!$Q$8:$Q$10000,'[1]1_inventory_totals'!$C$8:$C$10000,I19,'[1]1_inventory_totals'!$F$8:$F$10000,"="&amp;Q19,'[1]1_inventory_totals'!$G$8:$G$10000,"="&amp;R19)+SUMIFS('[1]1_inventory_totals'!$R$8:$R$10000,'[1]1_inventory_totals'!$C$8:$C$10000,I19,'[1]1_inventory_totals'!$F$8:$F$10000,"="&amp;Q19,'[1]1_inventory_totals'!$G$8:$G$10000,"="&amp;R19))+(SUMIFS('[1]1_inventory_totals'!$J$8:$J$10000,'[1]1_inventory_totals'!$C$8:$C$10000,I19,'[1]1_inventory_totals'!$F$8:$F$10000,"="&amp;Q19,'[1]1_inventory_totals'!$G$8:$G$10000,"="&amp;R19)+SUMIFS('[1]1_inventory_totals'!$K$8:$K$10000,'[1]1_inventory_totals'!$C$8:$C$10000,I19,'[1]1_inventory_totals'!$F$8:$F$10000,"="&amp;Q19,'[1]1_inventory_totals'!$G$8:$G$10000,"="&amp;R19)+SUMIFS('[1]1_inventory_totals'!$L$8:$L$10000,'[1]1_inventory_totals'!$C$8:$C$10000,I19,'[1]1_inventory_totals'!$F$8:$F$10000,"="&amp;Q19,'[1]1_inventory_totals'!$G$8:$G$10000,"="&amp;R19)+SUMIFS('[1]1_inventory_totals'!$M$8:$M$10000,'[1]1_inventory_totals'!$C$8:$C$10000,I19,'[1]1_inventory_totals'!$F$8:$F$10000,"="&amp;Q19,'[1]1_inventory_totals'!$G$8:$G$10000,"="&amp;R19)+SUMIFS('[1]1_inventory_totals'!$O$8:$O$10000,'[1]1_inventory_totals'!$C$8:$C$10000,I19,'[1]1_inventory_totals'!$F$8:$F$10000,"="&amp;Q19,'[1]1_inventory_totals'!$G$8:$G$10000,"="&amp;R19)+SUMIFS('[1]1_inventory_totals'!$S$8:$S$10000,'[1]1_inventory_totals'!$C$8:$C$10000,I19,'[1]1_inventory_totals'!$F$8:$F$10000,"="&amp;Q19,'[1]1_inventory_totals'!$G$8:$G$10000,"="&amp;R19)))</f>
        <v/>
      </c>
      <c r="BB19" s="197" t="str">
        <f>IF(M19="","",(SUMIFS('[1]2_inventory_totals'!$I$8:$I$10000,'[1]2_inventory_totals'!$C$8:$C$10000,I19,'[1]2_inventory_totals'!$F$8:$F$10000,"="&amp;Q19,'[1]2_inventory_totals'!$G$8:$G$10000,"="&amp;R19)+SUMIFS('[1]2_inventory_totals'!$N$8:$N$10000,'[1]2_inventory_totals'!$C$8:$C$10000,I19,'[1]2_inventory_totals'!$F$8:$F$10000,"="&amp;Q19,'[1]2_inventory_totals'!$G$8:$G$10000,"="&amp;R19)+SUMIFS('[1]2_inventory_totals'!$P$8:$P$10000,'[1]2_inventory_totals'!$C$8:$C$10000,I19,'[1]2_inventory_totals'!$F$8:$F$10000,"="&amp;Q19,'[1]2_inventory_totals'!$G$8:$G$10000,"="&amp;R19)+SUMIFS('[1]2_inventory_totals'!$Q$8:$Q$10000,'[1]2_inventory_totals'!$C$8:$C$10000,I19,'[1]2_inventory_totals'!$F$8:$F$10000,"="&amp;Q19,'[1]2_inventory_totals'!$G$8:$G$10000,"="&amp;R19)+SUMIFS('[1]2_inventory_totals'!$R$8:$R$10000,'[1]2_inventory_totals'!$C$8:$C$10000,I19,'[1]2_inventory_totals'!$F$8:$F$10000,"="&amp;Q19,'[1]2_inventory_totals'!$G$8:$G$10000,"="&amp;R19))+(SUMIFS('[1]2_inventory_totals'!$J$8:$J$10000,'[1]2_inventory_totals'!$C$8:$C$10000,I19,'[1]2_inventory_totals'!$F$8:$F$10000,"="&amp;Q19,'[1]2_inventory_totals'!$G$8:$G$10000,"="&amp;R19)+SUMIFS('[1]2_inventory_totals'!$K$8:$K$10000,'[1]2_inventory_totals'!$C$8:$C$10000,I19,'[1]2_inventory_totals'!$F$8:$F$10000,"="&amp;Q19,'[1]2_inventory_totals'!$G$8:$G$10000,"="&amp;R19)+SUMIFS('[1]2_inventory_totals'!$L$8:$L$10000,'[1]2_inventory_totals'!$C$8:$C$10000,I19,'[1]2_inventory_totals'!$F$8:$F$10000,"="&amp;Q19,'[1]2_inventory_totals'!$G$8:$G$10000,"="&amp;R19)+SUMIFS('[1]2_inventory_totals'!$M$8:$M$10000,'[1]2_inventory_totals'!$C$8:$C$10000,I19,'[1]2_inventory_totals'!$F$8:$F$10000,"="&amp;Q19,'[1]2_inventory_totals'!$G$8:$G$10000,"="&amp;R19)+SUMIFS('[1]2_inventory_totals'!$O$8:$O$10000,'[1]2_inventory_totals'!$C$8:$C$10000,I19,'[1]2_inventory_totals'!$F$8:$F$10000,"="&amp;Q19,'[1]2_inventory_totals'!$G$8:$G$10000,"="&amp;R19)+SUMIFS('[1]2_inventory_totals'!$S$8:$S$10000,'[1]2_inventory_totals'!$C$8:$C$10000,I19,'[1]2_inventory_totals'!$F$8:$F$10000,"="&amp;Q19,'[1]2_inventory_totals'!$G$8:$G$10000,"="&amp;R19)))</f>
        <v/>
      </c>
    </row>
    <row r="20" spans="1:54" ht="27" customHeight="1" thickBot="1">
      <c r="A20" s="923"/>
      <c r="B20" s="1251"/>
      <c r="C20" s="1245" t="s">
        <v>1793</v>
      </c>
      <c r="D20" s="948">
        <f>VLOOKUP(MID(C20,1,3)*1,chart_account_default_list,5,FALSE)</f>
        <v>18</v>
      </c>
      <c r="E20" s="1245" t="s">
        <v>1907</v>
      </c>
      <c r="F20" s="1862">
        <f>MID(E20,1,2)*1</f>
        <v>1</v>
      </c>
      <c r="I20" s="1610" t="str">
        <f t="shared" si="7"/>
        <v/>
      </c>
      <c r="J20" s="1611" t="str">
        <f t="shared" si="23"/>
        <v/>
      </c>
      <c r="K20" s="1612" t="str">
        <f t="shared" si="8"/>
        <v/>
      </c>
      <c r="L20" s="1613"/>
      <c r="M20" s="883"/>
      <c r="N20" s="884"/>
      <c r="O20" s="884"/>
      <c r="P20" s="885"/>
      <c r="Q20" s="886"/>
      <c r="R20" s="891"/>
      <c r="S20" s="1614" t="str">
        <f t="shared" si="0"/>
        <v/>
      </c>
      <c r="T20" s="1536"/>
      <c r="U20" s="1864" t="str">
        <f t="shared" si="9"/>
        <v/>
      </c>
      <c r="V20" s="1615" t="str">
        <f t="shared" si="1"/>
        <v/>
      </c>
      <c r="W20" s="889"/>
      <c r="X20" s="1615" t="str">
        <f t="shared" si="2"/>
        <v/>
      </c>
      <c r="Y20" s="1865" t="str">
        <f t="shared" si="10"/>
        <v/>
      </c>
      <c r="Z20" s="890"/>
      <c r="AA20" s="197" t="str" cm="1">
        <f t="array" ref="AA20">IF(M20="","",IF(P20=AN20,1,Slookup(MID(AN20,1,3)*1,UomConversion!$D$8:$J$500,5,UomConversion!$E$8:$E$500,MID(P20,1,3)*1,UomConversion!$J$8:$J$500,1)))</f>
        <v/>
      </c>
      <c r="AB20" s="197" t="str">
        <f t="shared" si="11"/>
        <v/>
      </c>
      <c r="AC20" s="197" t="str">
        <f t="shared" si="12"/>
        <v/>
      </c>
      <c r="AD20" s="197" t="str">
        <f t="shared" si="13"/>
        <v/>
      </c>
      <c r="AE20" s="1866" t="str">
        <f t="shared" si="14"/>
        <v/>
      </c>
      <c r="AF20" s="1866" t="str">
        <f t="shared" si="15"/>
        <v/>
      </c>
      <c r="AG20" s="197" t="str">
        <f t="shared" si="16"/>
        <v/>
      </c>
      <c r="AH20" s="197" t="str">
        <f>IF(I20="","",IF(ISNA(MATCH(I20,IF(invoice_location_id=1,'[1]1_inventory_totals'!$C$8:$C$10000,IF(invoice_location_id=2,'[1]2_inventory_totals'!$C$8:$C$10000,0)),0)),0,IF(AV20&gt;0,1,0)))</f>
        <v/>
      </c>
      <c r="AI20" s="197" t="str">
        <f>IF(M20="","",IF(invoice_location_id=1,SUMIFS('[1]1_inventory_total_details'!$J$8:$J$10000,'[1]1_inventory_total_details'!$C$8:$C$10000,I20,'[1]1_inventory_total_details'!$F$8:$F$10000,invoice_location_id,'[1]1_inventory_total_details'!$G$8:$G$10000,"="&amp;Q20,'[1]1_inventory_total_details'!$H$8:$H$10000,"="&amp;R20,'[1]1_inventory_total_details'!$I$8:$I$10000,"="&amp;invoice_date)+SUMIFS('[1]1_inventory_total_details'!$M$8:$M$10000,'[1]1_inventory_total_details'!$C$8:$C$10000,I20,'[1]1_inventory_total_details'!$F$8:$F$10000,invoice_location_id,'[1]1_inventory_total_details'!$G$8:$G$10000,"="&amp;Q20,'[1]1_inventory_total_details'!$H$8:$H$10000,"="&amp;R20,'[1]1_inventory_total_details'!$I$8:$I$10000,"="&amp;invoice_date)+SUMIFS('[1]1_inventory_total_details'!$K$8:$K$10000,'[1]1_inventory_total_details'!$C$8:$C$10000,I20,'[1]1_inventory_total_details'!$F$8:$F$10000,invoice_location_id,'[1]1_inventory_total_details'!$G$8:$G$10000,"="&amp;Q20,'[1]1_inventory_total_details'!$H$8:$H$10000,"="&amp;R20,'[1]1_inventory_total_details'!$I$8:$I$10000,"="&amp;invoice_date)+SUMIFS('[1]1_inventory_total_details'!$L$8:$L$10000,'[1]1_inventory_total_details'!$C$8:$C$10000,I20,'[1]1_inventory_total_details'!$F$8:$F$10000,invoice_location_id,'[1]1_inventory_total_details'!$G$8:$G$10000,"="&amp;Q20,'[1]1_inventory_total_details'!$H$8:$H$10000,"="&amp;R20,'[1]1_inventory_total_details'!$I$8:$I$10000,"="&amp;invoice_date),SUMIFS('[1]2_inventory_total_details'!$J$8:$J$10000,'[1]2_inventory_total_details'!$C$8:$C$10000,I20,'[1]2_inventory_total_details'!$F$8:$F$10000,invoice_location_id,'[1]2_inventory_total_details'!$G$8:$G$10000,"="&amp;Q20,'[1]2_inventory_total_details'!$H$8:$H$10000,"="&amp;R20,'[1]2_inventory_total_details'!$I$8:$I$10000,"="&amp;invoice_date)+SUMIFS('[1]2_inventory_total_details'!$M$8:$M$10000,'[1]2_inventory_total_details'!$C$8:$C$10000,I20,'[1]2_inventory_total_details'!$F$8:$F$10000,invoice_location_id,'[1]2_inventory_total_details'!$G$8:$G$10000,"="&amp;Q20,'[1]2_inventory_total_details'!$H$8:$H$10000,"="&amp;R20,'[1]2_inventory_total_details'!$I$8:$I$10000,"="&amp;invoice_date)+SUMIFS('[1]2_inventory_total_details'!$K$8:$K$10000,'[1]2_inventory_total_details'!$C$8:$C$10000,I20,'[1]2_inventory_total_details'!$F$8:$F$10000,invoice_location_id,'[1]2_inventory_total_details'!$G$8:$G$10000,"="&amp;Q20,'[1]2_inventory_total_details'!$H$8:$H$10000,"="&amp;R20,'[1]2_inventory_total_details'!$I$8:$I$10000,"="&amp;invoice_date)+SUMIFS('[1]2_inventory_total_details'!$L$8:$L$10000,'[1]2_inventory_total_details'!$C$8:$C$10000,I20,'[1]2_inventory_total_details'!$F$8:$F$10000,invoice_location_id,'[1]2_inventory_total_details'!$G$8:$G$10000,"="&amp;Q20,'[1]2_inventory_total_details'!$H$8:$H$10000,"="&amp;R20,'[1]2_inventory_total_details'!$I$8:$I$10000,"="&amp;invoice_date)))</f>
        <v/>
      </c>
      <c r="AJ20" s="197" t="str">
        <f>IF(M20="","",IF(ISNA(MATCH(I20,'[1]1_group_totals'!$C$8:$C$10000)),0,IF(AW20&gt;0,1,0)))</f>
        <v/>
      </c>
      <c r="AK20" s="197" t="str">
        <f>IF(M20="","",(SUMIFS('[1]1_group_total_details'!$I$8:$I$10000,'[1]1_group_total_details'!$C$8:$C$10000,I20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20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20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20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20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20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20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20,'[1]1_group_total_details'!$F$8:$F$10000,invoice_location_group_id,'[1]1_group_total_details'!$G$8:$G$10000,invoice_location_id,'[1]1_group_total_details'!$H$8:$H$10000,"="&amp;invoice_date)))</f>
        <v/>
      </c>
      <c r="AL20" s="197" t="str">
        <f>IF(M20="","",(SUMIFS('[1]1_group_total_details'!$I$8:$I$10000,'[1]1_group_total_details'!$C$8:$C$10000,I20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20,'[1]1_group_total_details'!$F$8:$F$10000,invoice_location_group_id,'[1]1_group_total_details'!$G$8:$G$10000,1,'[1]1_group_total_details'!$H$8:$H$10000,"&lt;="&amp;invoice_date)+SUMIFS('[1]1_group_total_details'!$N$8:$N$10000,'[1]1_group_total_details'!$C$8:$C$10000,I20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20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20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20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20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20,'[1]1_group_total_details'!$F$8:$F$10000,invoice_location_group_id,'[1]1_group_total_details'!$G$8:$G$10000,invoice_location_id,'[1]1_group_total_details'!$H$8:$H$10000,"&lt;="&amp;invoice_date)))</f>
        <v/>
      </c>
      <c r="AM20" s="197" t="str">
        <f>IF(M20="","",SUMIFS('[1]1_group_totals'!$J$8:$J$10000,'[1]1_group_totals'!$C$8:$C$10000,I20,'[1]1_group_totals'!$F$8:$F$10000,invoice_location_group_id,'[1]1_group_totals'!$G$8:$G$10000,invoice_location_id,'[1]1_group_totals'!$H$8:$H$10000,"="&amp;Q20,'[1]1_group_totals'!$I$8:$I$10000,"="&amp;R20))</f>
        <v/>
      </c>
      <c r="AN20" s="197" t="str">
        <f t="shared" si="17"/>
        <v/>
      </c>
      <c r="AO20" s="197" t="str">
        <f>IF(OR(ISNA(MATCH(MID(AN20,1,3)*1,UomConversion!$D$8:$D$500,0)),M20=""),"",IF(AT20="","",AT20))</f>
        <v/>
      </c>
      <c r="AP20" s="197" t="str">
        <f>IF(AND(AQ20&gt;0,COUNTIFS(UomConversion!$D$8:$D$500,MID(AN20,1,3)*1,UomConversion!$J$8:$J$500,1)&gt;1),TEXT(AQ20,"000")&amp;"."&amp;VLOOKUP(AQ20,uom_list,5,FALSE),"")</f>
        <v/>
      </c>
      <c r="AQ20" s="197" t="str">
        <f t="shared" si="18"/>
        <v/>
      </c>
      <c r="AR20" s="197" t="str">
        <f t="shared" si="19"/>
        <v/>
      </c>
      <c r="AS20" s="1866" t="str">
        <f>IF(M20="","",SUMIFS(ProductPrice!$N$28:$N$10000,ProductPrice!$D$28:$D$10000,I20,ProductPrice!$G$28:$G$10000,invoice_branch_id,ProductPrice!$H$28:$H$10000,invoice_price_type_id,ProductPrice!$I$28:$I$10000,MID(P20,1,3)*1,ProductPrice!$Q$28:$Q$10000,1,ProductPrice!$T$28:$T$10000,1))</f>
        <v/>
      </c>
      <c r="AT20" s="197" t="str">
        <f t="shared" si="20"/>
        <v/>
      </c>
      <c r="AU20" s="197" t="str" cm="1">
        <f t="array" ref="AU20">IF(M20="","",IF(ISNA(Slookup(MID(AN20,1,3)*1,UomConversion!$D$8:$J$500,2,UomConversion!$I$8:$I$500,1,UomConversion!$J$8:$J$500,1)),"",Slookup(MID(AN20,1,3)*1,UomConversion!$D$8:$J$500,2,UomConversion!$I$8:$I$500,1,UomConversion!$J$8:$J$500,1)))</f>
        <v/>
      </c>
      <c r="AV20" s="197" t="str">
        <f t="shared" si="6"/>
        <v/>
      </c>
      <c r="AW20" s="197" t="str">
        <f>IF(M20="","",(SUMIFS('[1]1_group_totals'!$K$8:$K$10000,'[1]1_group_totals'!$C$8:$C$10000,I20,'[1]1_group_totals'!$F$8:$F$10000,invoice_location_group_id,'[1]1_group_totals'!$G$8:$G$10000,invoice_location_id,'[1]1_group_totals'!$H$8:$H$10000,"="&amp;Q20,'[1]1_group_totals'!$I$8:$I$10000,"="&amp;R20)+SUMIFS('[1]1_group_totals'!$N$8:$N$10000,'[1]1_group_totals'!$C$8:$C$10000,I20,'[1]1_group_totals'!$F$8:$F$10000,invoice_location_group_id,'[1]1_group_totals'!$G$8:$G$10000,invoice_location_id,'[1]1_group_totals'!$H$8:$H$10000,"="&amp;Q20,'[1]1_group_totals'!$I$8:$I$10000,"="&amp;R20)+SUMIFS('[1]1_group_totals'!$P$8:$P$10000,'[1]1_group_totals'!$C$8:$C$10000,I20,'[1]1_group_totals'!$F$8:$F$10000,invoice_location_group_id,'[1]1_group_totals'!$G$8:$G$10000,invoice_location_id,'[1]1_group_totals'!$H$8:$H$10000,"="&amp;Q20,'[1]1_group_totals'!$I$8:$I$10000,"="&amp;R20)+SUMIFS('[1]1_group_totals'!$Q$8:$Q$10000,'[1]1_group_totals'!$C$8:$C$10000,I20,'[1]1_group_totals'!$F$8:$F$10000,invoice_location_group_id,'[1]1_group_totals'!$G$8:$G$10000,invoice_location_id,'[1]1_group_totals'!$H$8:$H$10000,"="&amp;Q20,'[1]1_group_totals'!$I$8:$I$10000,"="&amp;R20))+(SUMIFS('[1]1_group_totals'!$L$8:$L$10000,'[1]1_group_totals'!$C$8:$C$10000,I20,'[1]1_group_totals'!$F$8:$F$10000,invoice_location_group_id,'[1]1_group_totals'!$G$8:$G$10000,invoice_location_id,'[1]1_group_totals'!$H$8:$H$10000,"="&amp;Q20,'[1]1_group_totals'!$I$8:$I$10000,"="&amp;R20)+SUMIFS('[1]1_group_totals'!$M$8:$M$10000,'[1]1_group_totals'!$C$8:$C$10000,I20,'[1]1_group_totals'!$F$8:$F$10000,invoice_location_group_id,'[1]1_group_totals'!$G$8:$G$10000,invoice_location_id,'[1]1_group_totals'!$H$8:$H$10000,"="&amp;Q20,'[1]1_group_totals'!$I$8:$I$10000,"="&amp;R20)+SUMIFS('[1]1_group_totals'!$O$8:$O$10000,'[1]1_group_totals'!$C$8:$C$10000,I20,'[1]1_group_totals'!$F$8:$F$10000,invoice_location_group_id,'[1]1_group_totals'!$G$8:$G$10000,invoice_location_id,'[1]1_group_totals'!$H$8:$H$10000,"="&amp;Q20,'[1]1_group_totals'!$I$8:$I$10000,"="&amp;R20)+SUMIFS('[1]1_group_totals'!$R$8:$R$10000,'[1]1_group_totals'!$C$8:$C$10000,I20,'[1]1_group_totals'!$F$8:$F$10000,invoice_location_group_id,'[1]1_group_totals'!$G$8:$G$10000,invoice_location_id,'[1]1_group_totals'!$H$8:$H$10000,"="&amp;Q20,'[1]1_group_totals'!$I$8:$I$10000,"="&amp;R20)))</f>
        <v/>
      </c>
      <c r="AX20" s="197" t="str">
        <f t="shared" si="21"/>
        <v/>
      </c>
      <c r="AY20" s="197" t="str">
        <f>IF(M20="","",SUMIFS($AX$8:AX20,$I$8:I20,I20))</f>
        <v/>
      </c>
      <c r="AZ20" s="197" t="str">
        <f t="shared" si="22"/>
        <v/>
      </c>
      <c r="BA20" s="197" t="str">
        <f>IF(M20="","",(SUMIFS('[1]1_inventory_totals'!$I$8:$I$10000,'[1]1_inventory_totals'!$C$8:$C$10000,I20,'[1]1_inventory_totals'!$F$8:$F$10000,"="&amp;Q20,'[1]1_inventory_totals'!$G$8:$G$10000,"="&amp;R20)+SUMIFS('[1]1_inventory_totals'!$N$8:$N$10000,'[1]1_inventory_totals'!$C$8:$C$10000,I20,'[1]1_inventory_totals'!$F$8:$F$10000,"="&amp;Q20,'[1]1_inventory_totals'!$G$8:$G$10000,"="&amp;R20)+SUMIFS('[1]1_inventory_totals'!$P$8:$P$10000,'[1]1_inventory_totals'!$C$8:$C$10000,I20,'[1]1_inventory_totals'!$F$8:$F$10000,"="&amp;Q20,'[1]1_inventory_totals'!$G$8:$G$10000,"="&amp;R20)+SUMIFS('[1]1_inventory_totals'!$Q$8:$Q$10000,'[1]1_inventory_totals'!$C$8:$C$10000,I20,'[1]1_inventory_totals'!$F$8:$F$10000,"="&amp;Q20,'[1]1_inventory_totals'!$G$8:$G$10000,"="&amp;R20)+SUMIFS('[1]1_inventory_totals'!$R$8:$R$10000,'[1]1_inventory_totals'!$C$8:$C$10000,I20,'[1]1_inventory_totals'!$F$8:$F$10000,"="&amp;Q20,'[1]1_inventory_totals'!$G$8:$G$10000,"="&amp;R20))+(SUMIFS('[1]1_inventory_totals'!$J$8:$J$10000,'[1]1_inventory_totals'!$C$8:$C$10000,I20,'[1]1_inventory_totals'!$F$8:$F$10000,"="&amp;Q20,'[1]1_inventory_totals'!$G$8:$G$10000,"="&amp;R20)+SUMIFS('[1]1_inventory_totals'!$K$8:$K$10000,'[1]1_inventory_totals'!$C$8:$C$10000,I20,'[1]1_inventory_totals'!$F$8:$F$10000,"="&amp;Q20,'[1]1_inventory_totals'!$G$8:$G$10000,"="&amp;R20)+SUMIFS('[1]1_inventory_totals'!$L$8:$L$10000,'[1]1_inventory_totals'!$C$8:$C$10000,I20,'[1]1_inventory_totals'!$F$8:$F$10000,"="&amp;Q20,'[1]1_inventory_totals'!$G$8:$G$10000,"="&amp;R20)+SUMIFS('[1]1_inventory_totals'!$M$8:$M$10000,'[1]1_inventory_totals'!$C$8:$C$10000,I20,'[1]1_inventory_totals'!$F$8:$F$10000,"="&amp;Q20,'[1]1_inventory_totals'!$G$8:$G$10000,"="&amp;R20)+SUMIFS('[1]1_inventory_totals'!$O$8:$O$10000,'[1]1_inventory_totals'!$C$8:$C$10000,I20,'[1]1_inventory_totals'!$F$8:$F$10000,"="&amp;Q20,'[1]1_inventory_totals'!$G$8:$G$10000,"="&amp;R20)+SUMIFS('[1]1_inventory_totals'!$S$8:$S$10000,'[1]1_inventory_totals'!$C$8:$C$10000,I20,'[1]1_inventory_totals'!$F$8:$F$10000,"="&amp;Q20,'[1]1_inventory_totals'!$G$8:$G$10000,"="&amp;R20)))</f>
        <v/>
      </c>
      <c r="BB20" s="197" t="str">
        <f>IF(M20="","",(SUMIFS('[1]2_inventory_totals'!$I$8:$I$10000,'[1]2_inventory_totals'!$C$8:$C$10000,I20,'[1]2_inventory_totals'!$F$8:$F$10000,"="&amp;Q20,'[1]2_inventory_totals'!$G$8:$G$10000,"="&amp;R20)+SUMIFS('[1]2_inventory_totals'!$N$8:$N$10000,'[1]2_inventory_totals'!$C$8:$C$10000,I20,'[1]2_inventory_totals'!$F$8:$F$10000,"="&amp;Q20,'[1]2_inventory_totals'!$G$8:$G$10000,"="&amp;R20)+SUMIFS('[1]2_inventory_totals'!$P$8:$P$10000,'[1]2_inventory_totals'!$C$8:$C$10000,I20,'[1]2_inventory_totals'!$F$8:$F$10000,"="&amp;Q20,'[1]2_inventory_totals'!$G$8:$G$10000,"="&amp;R20)+SUMIFS('[1]2_inventory_totals'!$Q$8:$Q$10000,'[1]2_inventory_totals'!$C$8:$C$10000,I20,'[1]2_inventory_totals'!$F$8:$F$10000,"="&amp;Q20,'[1]2_inventory_totals'!$G$8:$G$10000,"="&amp;R20)+SUMIFS('[1]2_inventory_totals'!$R$8:$R$10000,'[1]2_inventory_totals'!$C$8:$C$10000,I20,'[1]2_inventory_totals'!$F$8:$F$10000,"="&amp;Q20,'[1]2_inventory_totals'!$G$8:$G$10000,"="&amp;R20))+(SUMIFS('[1]2_inventory_totals'!$J$8:$J$10000,'[1]2_inventory_totals'!$C$8:$C$10000,I20,'[1]2_inventory_totals'!$F$8:$F$10000,"="&amp;Q20,'[1]2_inventory_totals'!$G$8:$G$10000,"="&amp;R20)+SUMIFS('[1]2_inventory_totals'!$K$8:$K$10000,'[1]2_inventory_totals'!$C$8:$C$10000,I20,'[1]2_inventory_totals'!$F$8:$F$10000,"="&amp;Q20,'[1]2_inventory_totals'!$G$8:$G$10000,"="&amp;R20)+SUMIFS('[1]2_inventory_totals'!$L$8:$L$10000,'[1]2_inventory_totals'!$C$8:$C$10000,I20,'[1]2_inventory_totals'!$F$8:$F$10000,"="&amp;Q20,'[1]2_inventory_totals'!$G$8:$G$10000,"="&amp;R20)+SUMIFS('[1]2_inventory_totals'!$M$8:$M$10000,'[1]2_inventory_totals'!$C$8:$C$10000,I20,'[1]2_inventory_totals'!$F$8:$F$10000,"="&amp;Q20,'[1]2_inventory_totals'!$G$8:$G$10000,"="&amp;R20)+SUMIFS('[1]2_inventory_totals'!$O$8:$O$10000,'[1]2_inventory_totals'!$C$8:$C$10000,I20,'[1]2_inventory_totals'!$F$8:$F$10000,"="&amp;Q20,'[1]2_inventory_totals'!$G$8:$G$10000,"="&amp;R20)+SUMIFS('[1]2_inventory_totals'!$S$8:$S$10000,'[1]2_inventory_totals'!$C$8:$C$10000,I20,'[1]2_inventory_totals'!$F$8:$F$10000,"="&amp;Q20,'[1]2_inventory_totals'!$G$8:$G$10000,"="&amp;R20)))</f>
        <v/>
      </c>
    </row>
    <row r="21" spans="1:54" ht="27" customHeight="1" thickBot="1">
      <c r="A21" s="923"/>
      <c r="B21" s="1251"/>
      <c r="C21" s="947" t="s">
        <v>3347</v>
      </c>
      <c r="D21" s="949"/>
      <c r="E21" s="950"/>
      <c r="F21" s="1262"/>
      <c r="I21" s="1610" t="str">
        <f t="shared" si="7"/>
        <v/>
      </c>
      <c r="J21" s="1611" t="str">
        <f t="shared" si="23"/>
        <v/>
      </c>
      <c r="K21" s="1612" t="str">
        <f t="shared" si="8"/>
        <v/>
      </c>
      <c r="L21" s="1613"/>
      <c r="M21" s="883"/>
      <c r="N21" s="884"/>
      <c r="O21" s="884"/>
      <c r="P21" s="885"/>
      <c r="Q21" s="886"/>
      <c r="R21" s="891"/>
      <c r="S21" s="1614" t="str">
        <f t="shared" si="0"/>
        <v/>
      </c>
      <c r="T21" s="1536"/>
      <c r="U21" s="1864" t="str">
        <f t="shared" si="9"/>
        <v/>
      </c>
      <c r="V21" s="1615" t="str">
        <f t="shared" si="1"/>
        <v/>
      </c>
      <c r="W21" s="889"/>
      <c r="X21" s="1615" t="str">
        <f t="shared" si="2"/>
        <v/>
      </c>
      <c r="Y21" s="1865" t="str">
        <f t="shared" si="10"/>
        <v/>
      </c>
      <c r="Z21" s="890"/>
      <c r="AA21" s="197" t="str" cm="1">
        <f t="array" ref="AA21">IF(M21="","",IF(P21=AN21,1,Slookup(MID(AN21,1,3)*1,UomConversion!$D$8:$J$500,5,UomConversion!$E$8:$E$500,MID(P21,1,3)*1,UomConversion!$J$8:$J$500,1)))</f>
        <v/>
      </c>
      <c r="AB21" s="197" t="str">
        <f t="shared" si="11"/>
        <v/>
      </c>
      <c r="AC21" s="197" t="str">
        <f t="shared" si="12"/>
        <v/>
      </c>
      <c r="AD21" s="197" t="str">
        <f t="shared" si="13"/>
        <v/>
      </c>
      <c r="AE21" s="1866" t="str">
        <f t="shared" si="14"/>
        <v/>
      </c>
      <c r="AF21" s="1866" t="str">
        <f t="shared" si="15"/>
        <v/>
      </c>
      <c r="AG21" s="197" t="str">
        <f t="shared" si="16"/>
        <v/>
      </c>
      <c r="AH21" s="197" t="str">
        <f>IF(I21="","",IF(ISNA(MATCH(I21,IF(invoice_location_id=1,'[1]1_inventory_totals'!$C$8:$C$10000,IF(invoice_location_id=2,'[1]2_inventory_totals'!$C$8:$C$10000,0)),0)),0,IF(AV21&gt;0,1,0)))</f>
        <v/>
      </c>
      <c r="AI21" s="197" t="str">
        <f>IF(M21="","",IF(invoice_location_id=1,SUMIFS('[1]1_inventory_total_details'!$J$8:$J$10000,'[1]1_inventory_total_details'!$C$8:$C$10000,I21,'[1]1_inventory_total_details'!$F$8:$F$10000,invoice_location_id,'[1]1_inventory_total_details'!$G$8:$G$10000,"="&amp;Q21,'[1]1_inventory_total_details'!$H$8:$H$10000,"="&amp;R21,'[1]1_inventory_total_details'!$I$8:$I$10000,"="&amp;invoice_date)+SUMIFS('[1]1_inventory_total_details'!$M$8:$M$10000,'[1]1_inventory_total_details'!$C$8:$C$10000,I21,'[1]1_inventory_total_details'!$F$8:$F$10000,invoice_location_id,'[1]1_inventory_total_details'!$G$8:$G$10000,"="&amp;Q21,'[1]1_inventory_total_details'!$H$8:$H$10000,"="&amp;R21,'[1]1_inventory_total_details'!$I$8:$I$10000,"="&amp;invoice_date)+SUMIFS('[1]1_inventory_total_details'!$K$8:$K$10000,'[1]1_inventory_total_details'!$C$8:$C$10000,I21,'[1]1_inventory_total_details'!$F$8:$F$10000,invoice_location_id,'[1]1_inventory_total_details'!$G$8:$G$10000,"="&amp;Q21,'[1]1_inventory_total_details'!$H$8:$H$10000,"="&amp;R21,'[1]1_inventory_total_details'!$I$8:$I$10000,"="&amp;invoice_date)+SUMIFS('[1]1_inventory_total_details'!$L$8:$L$10000,'[1]1_inventory_total_details'!$C$8:$C$10000,I21,'[1]1_inventory_total_details'!$F$8:$F$10000,invoice_location_id,'[1]1_inventory_total_details'!$G$8:$G$10000,"="&amp;Q21,'[1]1_inventory_total_details'!$H$8:$H$10000,"="&amp;R21,'[1]1_inventory_total_details'!$I$8:$I$10000,"="&amp;invoice_date),SUMIFS('[1]2_inventory_total_details'!$J$8:$J$10000,'[1]2_inventory_total_details'!$C$8:$C$10000,I21,'[1]2_inventory_total_details'!$F$8:$F$10000,invoice_location_id,'[1]2_inventory_total_details'!$G$8:$G$10000,"="&amp;Q21,'[1]2_inventory_total_details'!$H$8:$H$10000,"="&amp;R21,'[1]2_inventory_total_details'!$I$8:$I$10000,"="&amp;invoice_date)+SUMIFS('[1]2_inventory_total_details'!$M$8:$M$10000,'[1]2_inventory_total_details'!$C$8:$C$10000,I21,'[1]2_inventory_total_details'!$F$8:$F$10000,invoice_location_id,'[1]2_inventory_total_details'!$G$8:$G$10000,"="&amp;Q21,'[1]2_inventory_total_details'!$H$8:$H$10000,"="&amp;R21,'[1]2_inventory_total_details'!$I$8:$I$10000,"="&amp;invoice_date)+SUMIFS('[1]2_inventory_total_details'!$K$8:$K$10000,'[1]2_inventory_total_details'!$C$8:$C$10000,I21,'[1]2_inventory_total_details'!$F$8:$F$10000,invoice_location_id,'[1]2_inventory_total_details'!$G$8:$G$10000,"="&amp;Q21,'[1]2_inventory_total_details'!$H$8:$H$10000,"="&amp;R21,'[1]2_inventory_total_details'!$I$8:$I$10000,"="&amp;invoice_date)+SUMIFS('[1]2_inventory_total_details'!$L$8:$L$10000,'[1]2_inventory_total_details'!$C$8:$C$10000,I21,'[1]2_inventory_total_details'!$F$8:$F$10000,invoice_location_id,'[1]2_inventory_total_details'!$G$8:$G$10000,"="&amp;Q21,'[1]2_inventory_total_details'!$H$8:$H$10000,"="&amp;R21,'[1]2_inventory_total_details'!$I$8:$I$10000,"="&amp;invoice_date)))</f>
        <v/>
      </c>
      <c r="AJ21" s="197" t="str">
        <f>IF(M21="","",IF(ISNA(MATCH(I21,'[1]1_group_totals'!$C$8:$C$10000)),0,IF(AW21&gt;0,1,0)))</f>
        <v/>
      </c>
      <c r="AK21" s="197" t="str">
        <f>IF(M21="","",(SUMIFS('[1]1_group_total_details'!$I$8:$I$10000,'[1]1_group_total_details'!$C$8:$C$10000,I21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21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21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21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21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21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21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21,'[1]1_group_total_details'!$F$8:$F$10000,invoice_location_group_id,'[1]1_group_total_details'!$G$8:$G$10000,invoice_location_id,'[1]1_group_total_details'!$H$8:$H$10000,"="&amp;invoice_date)))</f>
        <v/>
      </c>
      <c r="AL21" s="197" t="str">
        <f>IF(M21="","",(SUMIFS('[1]1_group_total_details'!$I$8:$I$10000,'[1]1_group_total_details'!$C$8:$C$10000,I21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21,'[1]1_group_total_details'!$F$8:$F$10000,invoice_location_group_id,'[1]1_group_total_details'!$G$8:$G$10000,1,'[1]1_group_total_details'!$H$8:$H$10000,"&lt;="&amp;invoice_date)+SUMIFS('[1]1_group_total_details'!$N$8:$N$10000,'[1]1_group_total_details'!$C$8:$C$10000,I21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21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21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21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21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21,'[1]1_group_total_details'!$F$8:$F$10000,invoice_location_group_id,'[1]1_group_total_details'!$G$8:$G$10000,invoice_location_id,'[1]1_group_total_details'!$H$8:$H$10000,"&lt;="&amp;invoice_date)))</f>
        <v/>
      </c>
      <c r="AM21" s="197" t="str">
        <f>IF(M21="","",SUMIFS('[1]1_group_totals'!$J$8:$J$10000,'[1]1_group_totals'!$C$8:$C$10000,I21,'[1]1_group_totals'!$F$8:$F$10000,invoice_location_group_id,'[1]1_group_totals'!$G$8:$G$10000,invoice_location_id,'[1]1_group_totals'!$H$8:$H$10000,"="&amp;Q21,'[1]1_group_totals'!$I$8:$I$10000,"="&amp;R21))</f>
        <v/>
      </c>
      <c r="AN21" s="197" t="str">
        <f t="shared" si="17"/>
        <v/>
      </c>
      <c r="AO21" s="197" t="str">
        <f>IF(OR(ISNA(MATCH(MID(AN21,1,3)*1,UomConversion!$D$8:$D$500,0)),M21=""),"",IF(AT21="","",AT21))</f>
        <v/>
      </c>
      <c r="AP21" s="197" t="str">
        <f>IF(AND(AQ21&gt;0,COUNTIFS(UomConversion!$D$8:$D$500,MID(AN21,1,3)*1,UomConversion!$J$8:$J$500,1)&gt;1),TEXT(AQ21,"000")&amp;"."&amp;VLOOKUP(AQ21,uom_list,5,FALSE),"")</f>
        <v/>
      </c>
      <c r="AQ21" s="197" t="str">
        <f t="shared" si="18"/>
        <v/>
      </c>
      <c r="AR21" s="197" t="str">
        <f t="shared" si="19"/>
        <v/>
      </c>
      <c r="AS21" s="1866" t="str">
        <f>IF(M21="","",SUMIFS(ProductPrice!$N$28:$N$10000,ProductPrice!$D$28:$D$10000,I21,ProductPrice!$G$28:$G$10000,invoice_branch_id,ProductPrice!$H$28:$H$10000,invoice_price_type_id,ProductPrice!$I$28:$I$10000,MID(P21,1,3)*1,ProductPrice!$Q$28:$Q$10000,1,ProductPrice!$T$28:$T$10000,1))</f>
        <v/>
      </c>
      <c r="AT21" s="197" t="str">
        <f t="shared" si="20"/>
        <v/>
      </c>
      <c r="AU21" s="197" t="str" cm="1">
        <f t="array" ref="AU21">IF(M21="","",IF(ISNA(Slookup(MID(AN21,1,3)*1,UomConversion!$D$8:$J$500,2,UomConversion!$I$8:$I$500,1,UomConversion!$J$8:$J$500,1)),"",Slookup(MID(AN21,1,3)*1,UomConversion!$D$8:$J$500,2,UomConversion!$I$8:$I$500,1,UomConversion!$J$8:$J$500,1)))</f>
        <v/>
      </c>
      <c r="AV21" s="197" t="str">
        <f t="shared" si="6"/>
        <v/>
      </c>
      <c r="AW21" s="197" t="str">
        <f>IF(M21="","",(SUMIFS('[1]1_group_totals'!$K$8:$K$10000,'[1]1_group_totals'!$C$8:$C$10000,I21,'[1]1_group_totals'!$F$8:$F$10000,invoice_location_group_id,'[1]1_group_totals'!$G$8:$G$10000,invoice_location_id,'[1]1_group_totals'!$H$8:$H$10000,"="&amp;Q21,'[1]1_group_totals'!$I$8:$I$10000,"="&amp;R21)+SUMIFS('[1]1_group_totals'!$N$8:$N$10000,'[1]1_group_totals'!$C$8:$C$10000,I21,'[1]1_group_totals'!$F$8:$F$10000,invoice_location_group_id,'[1]1_group_totals'!$G$8:$G$10000,invoice_location_id,'[1]1_group_totals'!$H$8:$H$10000,"="&amp;Q21,'[1]1_group_totals'!$I$8:$I$10000,"="&amp;R21)+SUMIFS('[1]1_group_totals'!$P$8:$P$10000,'[1]1_group_totals'!$C$8:$C$10000,I21,'[1]1_group_totals'!$F$8:$F$10000,invoice_location_group_id,'[1]1_group_totals'!$G$8:$G$10000,invoice_location_id,'[1]1_group_totals'!$H$8:$H$10000,"="&amp;Q21,'[1]1_group_totals'!$I$8:$I$10000,"="&amp;R21)+SUMIFS('[1]1_group_totals'!$Q$8:$Q$10000,'[1]1_group_totals'!$C$8:$C$10000,I21,'[1]1_group_totals'!$F$8:$F$10000,invoice_location_group_id,'[1]1_group_totals'!$G$8:$G$10000,invoice_location_id,'[1]1_group_totals'!$H$8:$H$10000,"="&amp;Q21,'[1]1_group_totals'!$I$8:$I$10000,"="&amp;R21))+(SUMIFS('[1]1_group_totals'!$L$8:$L$10000,'[1]1_group_totals'!$C$8:$C$10000,I21,'[1]1_group_totals'!$F$8:$F$10000,invoice_location_group_id,'[1]1_group_totals'!$G$8:$G$10000,invoice_location_id,'[1]1_group_totals'!$H$8:$H$10000,"="&amp;Q21,'[1]1_group_totals'!$I$8:$I$10000,"="&amp;R21)+SUMIFS('[1]1_group_totals'!$M$8:$M$10000,'[1]1_group_totals'!$C$8:$C$10000,I21,'[1]1_group_totals'!$F$8:$F$10000,invoice_location_group_id,'[1]1_group_totals'!$G$8:$G$10000,invoice_location_id,'[1]1_group_totals'!$H$8:$H$10000,"="&amp;Q21,'[1]1_group_totals'!$I$8:$I$10000,"="&amp;R21)+SUMIFS('[1]1_group_totals'!$O$8:$O$10000,'[1]1_group_totals'!$C$8:$C$10000,I21,'[1]1_group_totals'!$F$8:$F$10000,invoice_location_group_id,'[1]1_group_totals'!$G$8:$G$10000,invoice_location_id,'[1]1_group_totals'!$H$8:$H$10000,"="&amp;Q21,'[1]1_group_totals'!$I$8:$I$10000,"="&amp;R21)+SUMIFS('[1]1_group_totals'!$R$8:$R$10000,'[1]1_group_totals'!$C$8:$C$10000,I21,'[1]1_group_totals'!$F$8:$F$10000,invoice_location_group_id,'[1]1_group_totals'!$G$8:$G$10000,invoice_location_id,'[1]1_group_totals'!$H$8:$H$10000,"="&amp;Q21,'[1]1_group_totals'!$I$8:$I$10000,"="&amp;R21)))</f>
        <v/>
      </c>
      <c r="AX21" s="197" t="str">
        <f t="shared" si="21"/>
        <v/>
      </c>
      <c r="AY21" s="197" t="str">
        <f>IF(M21="","",SUMIFS($AX$8:AX21,$I$8:I21,I21))</f>
        <v/>
      </c>
      <c r="AZ21" s="197" t="str">
        <f t="shared" si="22"/>
        <v/>
      </c>
      <c r="BA21" s="197" t="str">
        <f>IF(M21="","",(SUMIFS('[1]1_inventory_totals'!$I$8:$I$10000,'[1]1_inventory_totals'!$C$8:$C$10000,I21,'[1]1_inventory_totals'!$F$8:$F$10000,"="&amp;Q21,'[1]1_inventory_totals'!$G$8:$G$10000,"="&amp;R21)+SUMIFS('[1]1_inventory_totals'!$N$8:$N$10000,'[1]1_inventory_totals'!$C$8:$C$10000,I21,'[1]1_inventory_totals'!$F$8:$F$10000,"="&amp;Q21,'[1]1_inventory_totals'!$G$8:$G$10000,"="&amp;R21)+SUMIFS('[1]1_inventory_totals'!$P$8:$P$10000,'[1]1_inventory_totals'!$C$8:$C$10000,I21,'[1]1_inventory_totals'!$F$8:$F$10000,"="&amp;Q21,'[1]1_inventory_totals'!$G$8:$G$10000,"="&amp;R21)+SUMIFS('[1]1_inventory_totals'!$Q$8:$Q$10000,'[1]1_inventory_totals'!$C$8:$C$10000,I21,'[1]1_inventory_totals'!$F$8:$F$10000,"="&amp;Q21,'[1]1_inventory_totals'!$G$8:$G$10000,"="&amp;R21)+SUMIFS('[1]1_inventory_totals'!$R$8:$R$10000,'[1]1_inventory_totals'!$C$8:$C$10000,I21,'[1]1_inventory_totals'!$F$8:$F$10000,"="&amp;Q21,'[1]1_inventory_totals'!$G$8:$G$10000,"="&amp;R21))+(SUMIFS('[1]1_inventory_totals'!$J$8:$J$10000,'[1]1_inventory_totals'!$C$8:$C$10000,I21,'[1]1_inventory_totals'!$F$8:$F$10000,"="&amp;Q21,'[1]1_inventory_totals'!$G$8:$G$10000,"="&amp;R21)+SUMIFS('[1]1_inventory_totals'!$K$8:$K$10000,'[1]1_inventory_totals'!$C$8:$C$10000,I21,'[1]1_inventory_totals'!$F$8:$F$10000,"="&amp;Q21,'[1]1_inventory_totals'!$G$8:$G$10000,"="&amp;R21)+SUMIFS('[1]1_inventory_totals'!$L$8:$L$10000,'[1]1_inventory_totals'!$C$8:$C$10000,I21,'[1]1_inventory_totals'!$F$8:$F$10000,"="&amp;Q21,'[1]1_inventory_totals'!$G$8:$G$10000,"="&amp;R21)+SUMIFS('[1]1_inventory_totals'!$M$8:$M$10000,'[1]1_inventory_totals'!$C$8:$C$10000,I21,'[1]1_inventory_totals'!$F$8:$F$10000,"="&amp;Q21,'[1]1_inventory_totals'!$G$8:$G$10000,"="&amp;R21)+SUMIFS('[1]1_inventory_totals'!$O$8:$O$10000,'[1]1_inventory_totals'!$C$8:$C$10000,I21,'[1]1_inventory_totals'!$F$8:$F$10000,"="&amp;Q21,'[1]1_inventory_totals'!$G$8:$G$10000,"="&amp;R21)+SUMIFS('[1]1_inventory_totals'!$S$8:$S$10000,'[1]1_inventory_totals'!$C$8:$C$10000,I21,'[1]1_inventory_totals'!$F$8:$F$10000,"="&amp;Q21,'[1]1_inventory_totals'!$G$8:$G$10000,"="&amp;R21)))</f>
        <v/>
      </c>
      <c r="BB21" s="197" t="str">
        <f>IF(M21="","",(SUMIFS('[1]2_inventory_totals'!$I$8:$I$10000,'[1]2_inventory_totals'!$C$8:$C$10000,I21,'[1]2_inventory_totals'!$F$8:$F$10000,"="&amp;Q21,'[1]2_inventory_totals'!$G$8:$G$10000,"="&amp;R21)+SUMIFS('[1]2_inventory_totals'!$N$8:$N$10000,'[1]2_inventory_totals'!$C$8:$C$10000,I21,'[1]2_inventory_totals'!$F$8:$F$10000,"="&amp;Q21,'[1]2_inventory_totals'!$G$8:$G$10000,"="&amp;R21)+SUMIFS('[1]2_inventory_totals'!$P$8:$P$10000,'[1]2_inventory_totals'!$C$8:$C$10000,I21,'[1]2_inventory_totals'!$F$8:$F$10000,"="&amp;Q21,'[1]2_inventory_totals'!$G$8:$G$10000,"="&amp;R21)+SUMIFS('[1]2_inventory_totals'!$Q$8:$Q$10000,'[1]2_inventory_totals'!$C$8:$C$10000,I21,'[1]2_inventory_totals'!$F$8:$F$10000,"="&amp;Q21,'[1]2_inventory_totals'!$G$8:$G$10000,"="&amp;R21)+SUMIFS('[1]2_inventory_totals'!$R$8:$R$10000,'[1]2_inventory_totals'!$C$8:$C$10000,I21,'[1]2_inventory_totals'!$F$8:$F$10000,"="&amp;Q21,'[1]2_inventory_totals'!$G$8:$G$10000,"="&amp;R21))+(SUMIFS('[1]2_inventory_totals'!$J$8:$J$10000,'[1]2_inventory_totals'!$C$8:$C$10000,I21,'[1]2_inventory_totals'!$F$8:$F$10000,"="&amp;Q21,'[1]2_inventory_totals'!$G$8:$G$10000,"="&amp;R21)+SUMIFS('[1]2_inventory_totals'!$K$8:$K$10000,'[1]2_inventory_totals'!$C$8:$C$10000,I21,'[1]2_inventory_totals'!$F$8:$F$10000,"="&amp;Q21,'[1]2_inventory_totals'!$G$8:$G$10000,"="&amp;R21)+SUMIFS('[1]2_inventory_totals'!$L$8:$L$10000,'[1]2_inventory_totals'!$C$8:$C$10000,I21,'[1]2_inventory_totals'!$F$8:$F$10000,"="&amp;Q21,'[1]2_inventory_totals'!$G$8:$G$10000,"="&amp;R21)+SUMIFS('[1]2_inventory_totals'!$M$8:$M$10000,'[1]2_inventory_totals'!$C$8:$C$10000,I21,'[1]2_inventory_totals'!$F$8:$F$10000,"="&amp;Q21,'[1]2_inventory_totals'!$G$8:$G$10000,"="&amp;R21)+SUMIFS('[1]2_inventory_totals'!$O$8:$O$10000,'[1]2_inventory_totals'!$C$8:$C$10000,I21,'[1]2_inventory_totals'!$F$8:$F$10000,"="&amp;Q21,'[1]2_inventory_totals'!$G$8:$G$10000,"="&amp;R21)+SUMIFS('[1]2_inventory_totals'!$S$8:$S$10000,'[1]2_inventory_totals'!$C$8:$C$10000,I21,'[1]2_inventory_totals'!$F$8:$F$10000,"="&amp;Q21,'[1]2_inventory_totals'!$G$8:$G$10000,"="&amp;R21)))</f>
        <v/>
      </c>
    </row>
    <row r="22" spans="1:54" ht="27" customHeight="1">
      <c r="A22" s="923"/>
      <c r="B22" s="1251"/>
      <c r="C22" s="1882" t="s">
        <v>180</v>
      </c>
      <c r="D22" s="1883"/>
      <c r="E22" s="1884"/>
      <c r="F22" s="1262"/>
      <c r="I22" s="1610" t="str">
        <f t="shared" si="7"/>
        <v/>
      </c>
      <c r="J22" s="1611" t="str">
        <f t="shared" si="23"/>
        <v/>
      </c>
      <c r="K22" s="1612" t="str">
        <f t="shared" si="8"/>
        <v/>
      </c>
      <c r="L22" s="1613"/>
      <c r="M22" s="883"/>
      <c r="N22" s="884"/>
      <c r="O22" s="884"/>
      <c r="P22" s="885"/>
      <c r="Q22" s="886"/>
      <c r="R22" s="891"/>
      <c r="S22" s="1614" t="str">
        <f t="shared" si="0"/>
        <v/>
      </c>
      <c r="T22" s="1536"/>
      <c r="U22" s="1864" t="str">
        <f t="shared" si="9"/>
        <v/>
      </c>
      <c r="V22" s="1615" t="str">
        <f t="shared" si="1"/>
        <v/>
      </c>
      <c r="W22" s="889"/>
      <c r="X22" s="1615" t="str">
        <f t="shared" si="2"/>
        <v/>
      </c>
      <c r="Y22" s="1865" t="str">
        <f t="shared" si="10"/>
        <v/>
      </c>
      <c r="Z22" s="890"/>
      <c r="AA22" s="197" t="str" cm="1">
        <f t="array" ref="AA22">IF(M22="","",IF(P22=AN22,1,Slookup(MID(AN22,1,3)*1,UomConversion!$D$8:$J$500,5,UomConversion!$E$8:$E$500,MID(P22,1,3)*1,UomConversion!$J$8:$J$500,1)))</f>
        <v/>
      </c>
      <c r="AB22" s="197" t="str">
        <f t="shared" si="11"/>
        <v/>
      </c>
      <c r="AC22" s="197" t="str">
        <f t="shared" si="12"/>
        <v/>
      </c>
      <c r="AD22" s="197" t="str">
        <f t="shared" si="13"/>
        <v/>
      </c>
      <c r="AE22" s="1866" t="str">
        <f t="shared" si="14"/>
        <v/>
      </c>
      <c r="AF22" s="1866" t="str">
        <f t="shared" si="15"/>
        <v/>
      </c>
      <c r="AG22" s="197" t="str">
        <f t="shared" si="16"/>
        <v/>
      </c>
      <c r="AH22" s="197" t="str">
        <f>IF(I22="","",IF(ISNA(MATCH(I22,IF(invoice_location_id=1,'[1]1_inventory_totals'!$C$8:$C$10000,IF(invoice_location_id=2,'[1]2_inventory_totals'!$C$8:$C$10000,0)),0)),0,IF(AV22&gt;0,1,0)))</f>
        <v/>
      </c>
      <c r="AI22" s="197" t="str">
        <f>IF(M22="","",IF(invoice_location_id=1,SUMIFS('[1]1_inventory_total_details'!$J$8:$J$10000,'[1]1_inventory_total_details'!$C$8:$C$10000,I22,'[1]1_inventory_total_details'!$F$8:$F$10000,invoice_location_id,'[1]1_inventory_total_details'!$G$8:$G$10000,"="&amp;Q22,'[1]1_inventory_total_details'!$H$8:$H$10000,"="&amp;R22,'[1]1_inventory_total_details'!$I$8:$I$10000,"="&amp;invoice_date)+SUMIFS('[1]1_inventory_total_details'!$M$8:$M$10000,'[1]1_inventory_total_details'!$C$8:$C$10000,I22,'[1]1_inventory_total_details'!$F$8:$F$10000,invoice_location_id,'[1]1_inventory_total_details'!$G$8:$G$10000,"="&amp;Q22,'[1]1_inventory_total_details'!$H$8:$H$10000,"="&amp;R22,'[1]1_inventory_total_details'!$I$8:$I$10000,"="&amp;invoice_date)+SUMIFS('[1]1_inventory_total_details'!$K$8:$K$10000,'[1]1_inventory_total_details'!$C$8:$C$10000,I22,'[1]1_inventory_total_details'!$F$8:$F$10000,invoice_location_id,'[1]1_inventory_total_details'!$G$8:$G$10000,"="&amp;Q22,'[1]1_inventory_total_details'!$H$8:$H$10000,"="&amp;R22,'[1]1_inventory_total_details'!$I$8:$I$10000,"="&amp;invoice_date)+SUMIFS('[1]1_inventory_total_details'!$L$8:$L$10000,'[1]1_inventory_total_details'!$C$8:$C$10000,I22,'[1]1_inventory_total_details'!$F$8:$F$10000,invoice_location_id,'[1]1_inventory_total_details'!$G$8:$G$10000,"="&amp;Q22,'[1]1_inventory_total_details'!$H$8:$H$10000,"="&amp;R22,'[1]1_inventory_total_details'!$I$8:$I$10000,"="&amp;invoice_date),SUMIFS('[1]2_inventory_total_details'!$J$8:$J$10000,'[1]2_inventory_total_details'!$C$8:$C$10000,I22,'[1]2_inventory_total_details'!$F$8:$F$10000,invoice_location_id,'[1]2_inventory_total_details'!$G$8:$G$10000,"="&amp;Q22,'[1]2_inventory_total_details'!$H$8:$H$10000,"="&amp;R22,'[1]2_inventory_total_details'!$I$8:$I$10000,"="&amp;invoice_date)+SUMIFS('[1]2_inventory_total_details'!$M$8:$M$10000,'[1]2_inventory_total_details'!$C$8:$C$10000,I22,'[1]2_inventory_total_details'!$F$8:$F$10000,invoice_location_id,'[1]2_inventory_total_details'!$G$8:$G$10000,"="&amp;Q22,'[1]2_inventory_total_details'!$H$8:$H$10000,"="&amp;R22,'[1]2_inventory_total_details'!$I$8:$I$10000,"="&amp;invoice_date)+SUMIFS('[1]2_inventory_total_details'!$K$8:$K$10000,'[1]2_inventory_total_details'!$C$8:$C$10000,I22,'[1]2_inventory_total_details'!$F$8:$F$10000,invoice_location_id,'[1]2_inventory_total_details'!$G$8:$G$10000,"="&amp;Q22,'[1]2_inventory_total_details'!$H$8:$H$10000,"="&amp;R22,'[1]2_inventory_total_details'!$I$8:$I$10000,"="&amp;invoice_date)+SUMIFS('[1]2_inventory_total_details'!$L$8:$L$10000,'[1]2_inventory_total_details'!$C$8:$C$10000,I22,'[1]2_inventory_total_details'!$F$8:$F$10000,invoice_location_id,'[1]2_inventory_total_details'!$G$8:$G$10000,"="&amp;Q22,'[1]2_inventory_total_details'!$H$8:$H$10000,"="&amp;R22,'[1]2_inventory_total_details'!$I$8:$I$10000,"="&amp;invoice_date)))</f>
        <v/>
      </c>
      <c r="AJ22" s="197" t="str">
        <f>IF(M22="","",IF(ISNA(MATCH(I22,'[1]1_group_totals'!$C$8:$C$10000)),0,IF(AW22&gt;0,1,0)))</f>
        <v/>
      </c>
      <c r="AK22" s="197" t="str">
        <f>IF(M22="","",(SUMIFS('[1]1_group_total_details'!$I$8:$I$10000,'[1]1_group_total_details'!$C$8:$C$10000,I22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22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22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22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22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22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22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22,'[1]1_group_total_details'!$F$8:$F$10000,invoice_location_group_id,'[1]1_group_total_details'!$G$8:$G$10000,invoice_location_id,'[1]1_group_total_details'!$H$8:$H$10000,"="&amp;invoice_date)))</f>
        <v/>
      </c>
      <c r="AL22" s="197" t="str">
        <f>IF(M22="","",(SUMIFS('[1]1_group_total_details'!$I$8:$I$10000,'[1]1_group_total_details'!$C$8:$C$10000,I22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22,'[1]1_group_total_details'!$F$8:$F$10000,invoice_location_group_id,'[1]1_group_total_details'!$G$8:$G$10000,1,'[1]1_group_total_details'!$H$8:$H$10000,"&lt;="&amp;invoice_date)+SUMIFS('[1]1_group_total_details'!$N$8:$N$10000,'[1]1_group_total_details'!$C$8:$C$10000,I22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22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22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22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22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22,'[1]1_group_total_details'!$F$8:$F$10000,invoice_location_group_id,'[1]1_group_total_details'!$G$8:$G$10000,invoice_location_id,'[1]1_group_total_details'!$H$8:$H$10000,"&lt;="&amp;invoice_date)))</f>
        <v/>
      </c>
      <c r="AM22" s="197" t="str">
        <f>IF(M22="","",SUMIFS('[1]1_group_totals'!$J$8:$J$10000,'[1]1_group_totals'!$C$8:$C$10000,I22,'[1]1_group_totals'!$F$8:$F$10000,invoice_location_group_id,'[1]1_group_totals'!$G$8:$G$10000,invoice_location_id,'[1]1_group_totals'!$H$8:$H$10000,"="&amp;Q22,'[1]1_group_totals'!$I$8:$I$10000,"="&amp;R22))</f>
        <v/>
      </c>
      <c r="AN22" s="197" t="str">
        <f t="shared" si="17"/>
        <v/>
      </c>
      <c r="AO22" s="197" t="str">
        <f>IF(OR(ISNA(MATCH(MID(AN22,1,3)*1,UomConversion!$D$8:$D$500,0)),M22=""),"",IF(AT22="","",AT22))</f>
        <v/>
      </c>
      <c r="AP22" s="197" t="str">
        <f>IF(AND(AQ22&gt;0,COUNTIFS(UomConversion!$D$8:$D$500,MID(AN22,1,3)*1,UomConversion!$J$8:$J$500,1)&gt;1),TEXT(AQ22,"000")&amp;"."&amp;VLOOKUP(AQ22,uom_list,5,FALSE),"")</f>
        <v/>
      </c>
      <c r="AQ22" s="197" t="str">
        <f t="shared" si="18"/>
        <v/>
      </c>
      <c r="AR22" s="197" t="str">
        <f t="shared" si="19"/>
        <v/>
      </c>
      <c r="AS22" s="1866" t="str">
        <f>IF(M22="","",SUMIFS(ProductPrice!$N$28:$N$10000,ProductPrice!$D$28:$D$10000,I22,ProductPrice!$G$28:$G$10000,invoice_branch_id,ProductPrice!$H$28:$H$10000,invoice_price_type_id,ProductPrice!$I$28:$I$10000,MID(P22,1,3)*1,ProductPrice!$Q$28:$Q$10000,1,ProductPrice!$T$28:$T$10000,1))</f>
        <v/>
      </c>
      <c r="AT22" s="197" t="str">
        <f t="shared" si="20"/>
        <v/>
      </c>
      <c r="AU22" s="197" t="str" cm="1">
        <f t="array" ref="AU22">IF(M22="","",IF(ISNA(Slookup(MID(AN22,1,3)*1,UomConversion!$D$8:$J$500,2,UomConversion!$I$8:$I$500,1,UomConversion!$J$8:$J$500,1)),"",Slookup(MID(AN22,1,3)*1,UomConversion!$D$8:$J$500,2,UomConversion!$I$8:$I$500,1,UomConversion!$J$8:$J$500,1)))</f>
        <v/>
      </c>
      <c r="AV22" s="197" t="str">
        <f t="shared" si="6"/>
        <v/>
      </c>
      <c r="AW22" s="197" t="str">
        <f>IF(M22="","",(SUMIFS('[1]1_group_totals'!$K$8:$K$10000,'[1]1_group_totals'!$C$8:$C$10000,I22,'[1]1_group_totals'!$F$8:$F$10000,invoice_location_group_id,'[1]1_group_totals'!$G$8:$G$10000,invoice_location_id,'[1]1_group_totals'!$H$8:$H$10000,"="&amp;Q22,'[1]1_group_totals'!$I$8:$I$10000,"="&amp;R22)+SUMIFS('[1]1_group_totals'!$N$8:$N$10000,'[1]1_group_totals'!$C$8:$C$10000,I22,'[1]1_group_totals'!$F$8:$F$10000,invoice_location_group_id,'[1]1_group_totals'!$G$8:$G$10000,invoice_location_id,'[1]1_group_totals'!$H$8:$H$10000,"="&amp;Q22,'[1]1_group_totals'!$I$8:$I$10000,"="&amp;R22)+SUMIFS('[1]1_group_totals'!$P$8:$P$10000,'[1]1_group_totals'!$C$8:$C$10000,I22,'[1]1_group_totals'!$F$8:$F$10000,invoice_location_group_id,'[1]1_group_totals'!$G$8:$G$10000,invoice_location_id,'[1]1_group_totals'!$H$8:$H$10000,"="&amp;Q22,'[1]1_group_totals'!$I$8:$I$10000,"="&amp;R22)+SUMIFS('[1]1_group_totals'!$Q$8:$Q$10000,'[1]1_group_totals'!$C$8:$C$10000,I22,'[1]1_group_totals'!$F$8:$F$10000,invoice_location_group_id,'[1]1_group_totals'!$G$8:$G$10000,invoice_location_id,'[1]1_group_totals'!$H$8:$H$10000,"="&amp;Q22,'[1]1_group_totals'!$I$8:$I$10000,"="&amp;R22))+(SUMIFS('[1]1_group_totals'!$L$8:$L$10000,'[1]1_group_totals'!$C$8:$C$10000,I22,'[1]1_group_totals'!$F$8:$F$10000,invoice_location_group_id,'[1]1_group_totals'!$G$8:$G$10000,invoice_location_id,'[1]1_group_totals'!$H$8:$H$10000,"="&amp;Q22,'[1]1_group_totals'!$I$8:$I$10000,"="&amp;R22)+SUMIFS('[1]1_group_totals'!$M$8:$M$10000,'[1]1_group_totals'!$C$8:$C$10000,I22,'[1]1_group_totals'!$F$8:$F$10000,invoice_location_group_id,'[1]1_group_totals'!$G$8:$G$10000,invoice_location_id,'[1]1_group_totals'!$H$8:$H$10000,"="&amp;Q22,'[1]1_group_totals'!$I$8:$I$10000,"="&amp;R22)+SUMIFS('[1]1_group_totals'!$O$8:$O$10000,'[1]1_group_totals'!$C$8:$C$10000,I22,'[1]1_group_totals'!$F$8:$F$10000,invoice_location_group_id,'[1]1_group_totals'!$G$8:$G$10000,invoice_location_id,'[1]1_group_totals'!$H$8:$H$10000,"="&amp;Q22,'[1]1_group_totals'!$I$8:$I$10000,"="&amp;R22)+SUMIFS('[1]1_group_totals'!$R$8:$R$10000,'[1]1_group_totals'!$C$8:$C$10000,I22,'[1]1_group_totals'!$F$8:$F$10000,invoice_location_group_id,'[1]1_group_totals'!$G$8:$G$10000,invoice_location_id,'[1]1_group_totals'!$H$8:$H$10000,"="&amp;Q22,'[1]1_group_totals'!$I$8:$I$10000,"="&amp;R22)))</f>
        <v/>
      </c>
      <c r="AX22" s="197" t="str">
        <f t="shared" si="21"/>
        <v/>
      </c>
      <c r="AY22" s="197" t="str">
        <f>IF(M22="","",SUMIFS($AX$8:AX22,$I$8:I22,I22))</f>
        <v/>
      </c>
      <c r="AZ22" s="197" t="str">
        <f t="shared" si="22"/>
        <v/>
      </c>
      <c r="BA22" s="197" t="str">
        <f>IF(M22="","",(SUMIFS('[1]1_inventory_totals'!$I$8:$I$10000,'[1]1_inventory_totals'!$C$8:$C$10000,I22,'[1]1_inventory_totals'!$F$8:$F$10000,"="&amp;Q22,'[1]1_inventory_totals'!$G$8:$G$10000,"="&amp;R22)+SUMIFS('[1]1_inventory_totals'!$N$8:$N$10000,'[1]1_inventory_totals'!$C$8:$C$10000,I22,'[1]1_inventory_totals'!$F$8:$F$10000,"="&amp;Q22,'[1]1_inventory_totals'!$G$8:$G$10000,"="&amp;R22)+SUMIFS('[1]1_inventory_totals'!$P$8:$P$10000,'[1]1_inventory_totals'!$C$8:$C$10000,I22,'[1]1_inventory_totals'!$F$8:$F$10000,"="&amp;Q22,'[1]1_inventory_totals'!$G$8:$G$10000,"="&amp;R22)+SUMIFS('[1]1_inventory_totals'!$Q$8:$Q$10000,'[1]1_inventory_totals'!$C$8:$C$10000,I22,'[1]1_inventory_totals'!$F$8:$F$10000,"="&amp;Q22,'[1]1_inventory_totals'!$G$8:$G$10000,"="&amp;R22)+SUMIFS('[1]1_inventory_totals'!$R$8:$R$10000,'[1]1_inventory_totals'!$C$8:$C$10000,I22,'[1]1_inventory_totals'!$F$8:$F$10000,"="&amp;Q22,'[1]1_inventory_totals'!$G$8:$G$10000,"="&amp;R22))+(SUMIFS('[1]1_inventory_totals'!$J$8:$J$10000,'[1]1_inventory_totals'!$C$8:$C$10000,I22,'[1]1_inventory_totals'!$F$8:$F$10000,"="&amp;Q22,'[1]1_inventory_totals'!$G$8:$G$10000,"="&amp;R22)+SUMIFS('[1]1_inventory_totals'!$K$8:$K$10000,'[1]1_inventory_totals'!$C$8:$C$10000,I22,'[1]1_inventory_totals'!$F$8:$F$10000,"="&amp;Q22,'[1]1_inventory_totals'!$G$8:$G$10000,"="&amp;R22)+SUMIFS('[1]1_inventory_totals'!$L$8:$L$10000,'[1]1_inventory_totals'!$C$8:$C$10000,I22,'[1]1_inventory_totals'!$F$8:$F$10000,"="&amp;Q22,'[1]1_inventory_totals'!$G$8:$G$10000,"="&amp;R22)+SUMIFS('[1]1_inventory_totals'!$M$8:$M$10000,'[1]1_inventory_totals'!$C$8:$C$10000,I22,'[1]1_inventory_totals'!$F$8:$F$10000,"="&amp;Q22,'[1]1_inventory_totals'!$G$8:$G$10000,"="&amp;R22)+SUMIFS('[1]1_inventory_totals'!$O$8:$O$10000,'[1]1_inventory_totals'!$C$8:$C$10000,I22,'[1]1_inventory_totals'!$F$8:$F$10000,"="&amp;Q22,'[1]1_inventory_totals'!$G$8:$G$10000,"="&amp;R22)+SUMIFS('[1]1_inventory_totals'!$S$8:$S$10000,'[1]1_inventory_totals'!$C$8:$C$10000,I22,'[1]1_inventory_totals'!$F$8:$F$10000,"="&amp;Q22,'[1]1_inventory_totals'!$G$8:$G$10000,"="&amp;R22)))</f>
        <v/>
      </c>
      <c r="BB22" s="197" t="str">
        <f>IF(M22="","",(SUMIFS('[1]2_inventory_totals'!$I$8:$I$10000,'[1]2_inventory_totals'!$C$8:$C$10000,I22,'[1]2_inventory_totals'!$F$8:$F$10000,"="&amp;Q22,'[1]2_inventory_totals'!$G$8:$G$10000,"="&amp;R22)+SUMIFS('[1]2_inventory_totals'!$N$8:$N$10000,'[1]2_inventory_totals'!$C$8:$C$10000,I22,'[1]2_inventory_totals'!$F$8:$F$10000,"="&amp;Q22,'[1]2_inventory_totals'!$G$8:$G$10000,"="&amp;R22)+SUMIFS('[1]2_inventory_totals'!$P$8:$P$10000,'[1]2_inventory_totals'!$C$8:$C$10000,I22,'[1]2_inventory_totals'!$F$8:$F$10000,"="&amp;Q22,'[1]2_inventory_totals'!$G$8:$G$10000,"="&amp;R22)+SUMIFS('[1]2_inventory_totals'!$Q$8:$Q$10000,'[1]2_inventory_totals'!$C$8:$C$10000,I22,'[1]2_inventory_totals'!$F$8:$F$10000,"="&amp;Q22,'[1]2_inventory_totals'!$G$8:$G$10000,"="&amp;R22)+SUMIFS('[1]2_inventory_totals'!$R$8:$R$10000,'[1]2_inventory_totals'!$C$8:$C$10000,I22,'[1]2_inventory_totals'!$F$8:$F$10000,"="&amp;Q22,'[1]2_inventory_totals'!$G$8:$G$10000,"="&amp;R22))+(SUMIFS('[1]2_inventory_totals'!$J$8:$J$10000,'[1]2_inventory_totals'!$C$8:$C$10000,I22,'[1]2_inventory_totals'!$F$8:$F$10000,"="&amp;Q22,'[1]2_inventory_totals'!$G$8:$G$10000,"="&amp;R22)+SUMIFS('[1]2_inventory_totals'!$K$8:$K$10000,'[1]2_inventory_totals'!$C$8:$C$10000,I22,'[1]2_inventory_totals'!$F$8:$F$10000,"="&amp;Q22,'[1]2_inventory_totals'!$G$8:$G$10000,"="&amp;R22)+SUMIFS('[1]2_inventory_totals'!$L$8:$L$10000,'[1]2_inventory_totals'!$C$8:$C$10000,I22,'[1]2_inventory_totals'!$F$8:$F$10000,"="&amp;Q22,'[1]2_inventory_totals'!$G$8:$G$10000,"="&amp;R22)+SUMIFS('[1]2_inventory_totals'!$M$8:$M$10000,'[1]2_inventory_totals'!$C$8:$C$10000,I22,'[1]2_inventory_totals'!$F$8:$F$10000,"="&amp;Q22,'[1]2_inventory_totals'!$G$8:$G$10000,"="&amp;R22)+SUMIFS('[1]2_inventory_totals'!$O$8:$O$10000,'[1]2_inventory_totals'!$C$8:$C$10000,I22,'[1]2_inventory_totals'!$F$8:$F$10000,"="&amp;Q22,'[1]2_inventory_totals'!$G$8:$G$10000,"="&amp;R22)+SUMIFS('[1]2_inventory_totals'!$S$8:$S$10000,'[1]2_inventory_totals'!$C$8:$C$10000,I22,'[1]2_inventory_totals'!$F$8:$F$10000,"="&amp;Q22,'[1]2_inventory_totals'!$G$8:$G$10000,"="&amp;R22)))</f>
        <v/>
      </c>
    </row>
    <row r="23" spans="1:54" ht="27" customHeight="1">
      <c r="A23" s="923"/>
      <c r="B23" s="1251"/>
      <c r="C23" s="1885"/>
      <c r="D23" s="1886"/>
      <c r="E23" s="1887"/>
      <c r="F23" s="1262"/>
      <c r="I23" s="1610" t="str">
        <f t="shared" si="7"/>
        <v/>
      </c>
      <c r="J23" s="1611" t="str">
        <f t="shared" si="23"/>
        <v/>
      </c>
      <c r="K23" s="1612" t="str">
        <f t="shared" si="8"/>
        <v/>
      </c>
      <c r="L23" s="1613"/>
      <c r="M23" s="883"/>
      <c r="N23" s="884"/>
      <c r="O23" s="884"/>
      <c r="P23" s="885"/>
      <c r="Q23" s="886"/>
      <c r="R23" s="891"/>
      <c r="S23" s="1614" t="str">
        <f t="shared" si="0"/>
        <v/>
      </c>
      <c r="T23" s="1536"/>
      <c r="U23" s="1864" t="str">
        <f t="shared" si="9"/>
        <v/>
      </c>
      <c r="V23" s="1615" t="str">
        <f t="shared" si="1"/>
        <v/>
      </c>
      <c r="W23" s="889"/>
      <c r="X23" s="1615" t="str">
        <f t="shared" si="2"/>
        <v/>
      </c>
      <c r="Y23" s="1865" t="str">
        <f t="shared" si="10"/>
        <v/>
      </c>
      <c r="Z23" s="890"/>
      <c r="AA23" s="197" t="str" cm="1">
        <f t="array" ref="AA23">IF(M23="","",IF(P23=AN23,1,Slookup(MID(AN23,1,3)*1,UomConversion!$D$8:$J$500,5,UomConversion!$E$8:$E$500,MID(P23,1,3)*1,UomConversion!$J$8:$J$500,1)))</f>
        <v/>
      </c>
      <c r="AB23" s="197" t="str">
        <f t="shared" si="11"/>
        <v/>
      </c>
      <c r="AC23" s="197" t="str">
        <f t="shared" si="12"/>
        <v/>
      </c>
      <c r="AD23" s="197" t="str">
        <f t="shared" si="13"/>
        <v/>
      </c>
      <c r="AE23" s="1866" t="str">
        <f t="shared" si="14"/>
        <v/>
      </c>
      <c r="AF23" s="1866" t="str">
        <f t="shared" si="15"/>
        <v/>
      </c>
      <c r="AG23" s="197" t="str">
        <f t="shared" si="16"/>
        <v/>
      </c>
      <c r="AH23" s="197" t="str">
        <f>IF(I23="","",IF(ISNA(MATCH(I23,IF(invoice_location_id=1,'[1]1_inventory_totals'!$C$8:$C$10000,IF(invoice_location_id=2,'[1]2_inventory_totals'!$C$8:$C$10000,0)),0)),0,IF(AV23&gt;0,1,0)))</f>
        <v/>
      </c>
      <c r="AI23" s="197" t="str">
        <f>IF(M23="","",IF(invoice_location_id=1,SUMIFS('[1]1_inventory_total_details'!$J$8:$J$10000,'[1]1_inventory_total_details'!$C$8:$C$10000,I23,'[1]1_inventory_total_details'!$F$8:$F$10000,invoice_location_id,'[1]1_inventory_total_details'!$G$8:$G$10000,"="&amp;Q23,'[1]1_inventory_total_details'!$H$8:$H$10000,"="&amp;R23,'[1]1_inventory_total_details'!$I$8:$I$10000,"="&amp;invoice_date)+SUMIFS('[1]1_inventory_total_details'!$M$8:$M$10000,'[1]1_inventory_total_details'!$C$8:$C$10000,I23,'[1]1_inventory_total_details'!$F$8:$F$10000,invoice_location_id,'[1]1_inventory_total_details'!$G$8:$G$10000,"="&amp;Q23,'[1]1_inventory_total_details'!$H$8:$H$10000,"="&amp;R23,'[1]1_inventory_total_details'!$I$8:$I$10000,"="&amp;invoice_date)+SUMIFS('[1]1_inventory_total_details'!$K$8:$K$10000,'[1]1_inventory_total_details'!$C$8:$C$10000,I23,'[1]1_inventory_total_details'!$F$8:$F$10000,invoice_location_id,'[1]1_inventory_total_details'!$G$8:$G$10000,"="&amp;Q23,'[1]1_inventory_total_details'!$H$8:$H$10000,"="&amp;R23,'[1]1_inventory_total_details'!$I$8:$I$10000,"="&amp;invoice_date)+SUMIFS('[1]1_inventory_total_details'!$L$8:$L$10000,'[1]1_inventory_total_details'!$C$8:$C$10000,I23,'[1]1_inventory_total_details'!$F$8:$F$10000,invoice_location_id,'[1]1_inventory_total_details'!$G$8:$G$10000,"="&amp;Q23,'[1]1_inventory_total_details'!$H$8:$H$10000,"="&amp;R23,'[1]1_inventory_total_details'!$I$8:$I$10000,"="&amp;invoice_date),SUMIFS('[1]2_inventory_total_details'!$J$8:$J$10000,'[1]2_inventory_total_details'!$C$8:$C$10000,I23,'[1]2_inventory_total_details'!$F$8:$F$10000,invoice_location_id,'[1]2_inventory_total_details'!$G$8:$G$10000,"="&amp;Q23,'[1]2_inventory_total_details'!$H$8:$H$10000,"="&amp;R23,'[1]2_inventory_total_details'!$I$8:$I$10000,"="&amp;invoice_date)+SUMIFS('[1]2_inventory_total_details'!$M$8:$M$10000,'[1]2_inventory_total_details'!$C$8:$C$10000,I23,'[1]2_inventory_total_details'!$F$8:$F$10000,invoice_location_id,'[1]2_inventory_total_details'!$G$8:$G$10000,"="&amp;Q23,'[1]2_inventory_total_details'!$H$8:$H$10000,"="&amp;R23,'[1]2_inventory_total_details'!$I$8:$I$10000,"="&amp;invoice_date)+SUMIFS('[1]2_inventory_total_details'!$K$8:$K$10000,'[1]2_inventory_total_details'!$C$8:$C$10000,I23,'[1]2_inventory_total_details'!$F$8:$F$10000,invoice_location_id,'[1]2_inventory_total_details'!$G$8:$G$10000,"="&amp;Q23,'[1]2_inventory_total_details'!$H$8:$H$10000,"="&amp;R23,'[1]2_inventory_total_details'!$I$8:$I$10000,"="&amp;invoice_date)+SUMIFS('[1]2_inventory_total_details'!$L$8:$L$10000,'[1]2_inventory_total_details'!$C$8:$C$10000,I23,'[1]2_inventory_total_details'!$F$8:$F$10000,invoice_location_id,'[1]2_inventory_total_details'!$G$8:$G$10000,"="&amp;Q23,'[1]2_inventory_total_details'!$H$8:$H$10000,"="&amp;R23,'[1]2_inventory_total_details'!$I$8:$I$10000,"="&amp;invoice_date)))</f>
        <v/>
      </c>
      <c r="AJ23" s="197" t="str">
        <f>IF(M23="","",IF(ISNA(MATCH(I23,'[1]1_group_totals'!$C$8:$C$10000)),0,IF(AW23&gt;0,1,0)))</f>
        <v/>
      </c>
      <c r="AK23" s="197" t="str">
        <f>IF(M23="","",(SUMIFS('[1]1_group_total_details'!$I$8:$I$10000,'[1]1_group_total_details'!$C$8:$C$10000,I23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23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23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23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23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23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23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23,'[1]1_group_total_details'!$F$8:$F$10000,invoice_location_group_id,'[1]1_group_total_details'!$G$8:$G$10000,invoice_location_id,'[1]1_group_total_details'!$H$8:$H$10000,"="&amp;invoice_date)))</f>
        <v/>
      </c>
      <c r="AL23" s="197" t="str">
        <f>IF(M23="","",(SUMIFS('[1]1_group_total_details'!$I$8:$I$10000,'[1]1_group_total_details'!$C$8:$C$10000,I23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23,'[1]1_group_total_details'!$F$8:$F$10000,invoice_location_group_id,'[1]1_group_total_details'!$G$8:$G$10000,1,'[1]1_group_total_details'!$H$8:$H$10000,"&lt;="&amp;invoice_date)+SUMIFS('[1]1_group_total_details'!$N$8:$N$10000,'[1]1_group_total_details'!$C$8:$C$10000,I23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23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23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23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23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23,'[1]1_group_total_details'!$F$8:$F$10000,invoice_location_group_id,'[1]1_group_total_details'!$G$8:$G$10000,invoice_location_id,'[1]1_group_total_details'!$H$8:$H$10000,"&lt;="&amp;invoice_date)))</f>
        <v/>
      </c>
      <c r="AM23" s="197" t="str">
        <f>IF(M23="","",SUMIFS('[1]1_group_totals'!$J$8:$J$10000,'[1]1_group_totals'!$C$8:$C$10000,I23,'[1]1_group_totals'!$F$8:$F$10000,invoice_location_group_id,'[1]1_group_totals'!$G$8:$G$10000,invoice_location_id,'[1]1_group_totals'!$H$8:$H$10000,"="&amp;Q23,'[1]1_group_totals'!$I$8:$I$10000,"="&amp;R23))</f>
        <v/>
      </c>
      <c r="AN23" s="197" t="str">
        <f t="shared" si="17"/>
        <v/>
      </c>
      <c r="AO23" s="197" t="str">
        <f>IF(OR(ISNA(MATCH(MID(AN23,1,3)*1,UomConversion!$D$8:$D$500,0)),M23=""),"",IF(AT23="","",AT23))</f>
        <v/>
      </c>
      <c r="AP23" s="197" t="str">
        <f>IF(AND(AQ23&gt;0,COUNTIFS(UomConversion!$D$8:$D$500,MID(AN23,1,3)*1,UomConversion!$J$8:$J$500,1)&gt;1),TEXT(AQ23,"000")&amp;"."&amp;VLOOKUP(AQ23,uom_list,5,FALSE),"")</f>
        <v/>
      </c>
      <c r="AQ23" s="197" t="str">
        <f t="shared" si="18"/>
        <v/>
      </c>
      <c r="AR23" s="197" t="str">
        <f t="shared" si="19"/>
        <v/>
      </c>
      <c r="AS23" s="1866" t="str">
        <f>IF(M23="","",SUMIFS(ProductPrice!$N$28:$N$10000,ProductPrice!$D$28:$D$10000,I23,ProductPrice!$G$28:$G$10000,invoice_branch_id,ProductPrice!$H$28:$H$10000,invoice_price_type_id,ProductPrice!$I$28:$I$10000,MID(P23,1,3)*1,ProductPrice!$Q$28:$Q$10000,1,ProductPrice!$T$28:$T$10000,1))</f>
        <v/>
      </c>
      <c r="AT23" s="197" t="str">
        <f t="shared" si="20"/>
        <v/>
      </c>
      <c r="AU23" s="197" t="str" cm="1">
        <f t="array" ref="AU23">IF(M23="","",IF(ISNA(Slookup(MID(AN23,1,3)*1,UomConversion!$D$8:$J$500,2,UomConversion!$I$8:$I$500,1,UomConversion!$J$8:$J$500,1)),"",Slookup(MID(AN23,1,3)*1,UomConversion!$D$8:$J$500,2,UomConversion!$I$8:$I$500,1,UomConversion!$J$8:$J$500,1)))</f>
        <v/>
      </c>
      <c r="AV23" s="197" t="str">
        <f t="shared" si="6"/>
        <v/>
      </c>
      <c r="AW23" s="197" t="str">
        <f>IF(M23="","",(SUMIFS('[1]1_group_totals'!$K$8:$K$10000,'[1]1_group_totals'!$C$8:$C$10000,I23,'[1]1_group_totals'!$F$8:$F$10000,invoice_location_group_id,'[1]1_group_totals'!$G$8:$G$10000,invoice_location_id,'[1]1_group_totals'!$H$8:$H$10000,"="&amp;Q23,'[1]1_group_totals'!$I$8:$I$10000,"="&amp;R23)+SUMIFS('[1]1_group_totals'!$N$8:$N$10000,'[1]1_group_totals'!$C$8:$C$10000,I23,'[1]1_group_totals'!$F$8:$F$10000,invoice_location_group_id,'[1]1_group_totals'!$G$8:$G$10000,invoice_location_id,'[1]1_group_totals'!$H$8:$H$10000,"="&amp;Q23,'[1]1_group_totals'!$I$8:$I$10000,"="&amp;R23)+SUMIFS('[1]1_group_totals'!$P$8:$P$10000,'[1]1_group_totals'!$C$8:$C$10000,I23,'[1]1_group_totals'!$F$8:$F$10000,invoice_location_group_id,'[1]1_group_totals'!$G$8:$G$10000,invoice_location_id,'[1]1_group_totals'!$H$8:$H$10000,"="&amp;Q23,'[1]1_group_totals'!$I$8:$I$10000,"="&amp;R23)+SUMIFS('[1]1_group_totals'!$Q$8:$Q$10000,'[1]1_group_totals'!$C$8:$C$10000,I23,'[1]1_group_totals'!$F$8:$F$10000,invoice_location_group_id,'[1]1_group_totals'!$G$8:$G$10000,invoice_location_id,'[1]1_group_totals'!$H$8:$H$10000,"="&amp;Q23,'[1]1_group_totals'!$I$8:$I$10000,"="&amp;R23))+(SUMIFS('[1]1_group_totals'!$L$8:$L$10000,'[1]1_group_totals'!$C$8:$C$10000,I23,'[1]1_group_totals'!$F$8:$F$10000,invoice_location_group_id,'[1]1_group_totals'!$G$8:$G$10000,invoice_location_id,'[1]1_group_totals'!$H$8:$H$10000,"="&amp;Q23,'[1]1_group_totals'!$I$8:$I$10000,"="&amp;R23)+SUMIFS('[1]1_group_totals'!$M$8:$M$10000,'[1]1_group_totals'!$C$8:$C$10000,I23,'[1]1_group_totals'!$F$8:$F$10000,invoice_location_group_id,'[1]1_group_totals'!$G$8:$G$10000,invoice_location_id,'[1]1_group_totals'!$H$8:$H$10000,"="&amp;Q23,'[1]1_group_totals'!$I$8:$I$10000,"="&amp;R23)+SUMIFS('[1]1_group_totals'!$O$8:$O$10000,'[1]1_group_totals'!$C$8:$C$10000,I23,'[1]1_group_totals'!$F$8:$F$10000,invoice_location_group_id,'[1]1_group_totals'!$G$8:$G$10000,invoice_location_id,'[1]1_group_totals'!$H$8:$H$10000,"="&amp;Q23,'[1]1_group_totals'!$I$8:$I$10000,"="&amp;R23)+SUMIFS('[1]1_group_totals'!$R$8:$R$10000,'[1]1_group_totals'!$C$8:$C$10000,I23,'[1]1_group_totals'!$F$8:$F$10000,invoice_location_group_id,'[1]1_group_totals'!$G$8:$G$10000,invoice_location_id,'[1]1_group_totals'!$H$8:$H$10000,"="&amp;Q23,'[1]1_group_totals'!$I$8:$I$10000,"="&amp;R23)))</f>
        <v/>
      </c>
      <c r="AX23" s="197" t="str">
        <f t="shared" si="21"/>
        <v/>
      </c>
      <c r="AY23" s="197" t="str">
        <f>IF(M23="","",SUMIFS($AX$8:AX23,$I$8:I23,I23))</f>
        <v/>
      </c>
      <c r="AZ23" s="197" t="str">
        <f t="shared" si="22"/>
        <v/>
      </c>
      <c r="BA23" s="197" t="str">
        <f>IF(M23="","",(SUMIFS('[1]1_inventory_totals'!$I$8:$I$10000,'[1]1_inventory_totals'!$C$8:$C$10000,I23,'[1]1_inventory_totals'!$F$8:$F$10000,"="&amp;Q23,'[1]1_inventory_totals'!$G$8:$G$10000,"="&amp;R23)+SUMIFS('[1]1_inventory_totals'!$N$8:$N$10000,'[1]1_inventory_totals'!$C$8:$C$10000,I23,'[1]1_inventory_totals'!$F$8:$F$10000,"="&amp;Q23,'[1]1_inventory_totals'!$G$8:$G$10000,"="&amp;R23)+SUMIFS('[1]1_inventory_totals'!$P$8:$P$10000,'[1]1_inventory_totals'!$C$8:$C$10000,I23,'[1]1_inventory_totals'!$F$8:$F$10000,"="&amp;Q23,'[1]1_inventory_totals'!$G$8:$G$10000,"="&amp;R23)+SUMIFS('[1]1_inventory_totals'!$Q$8:$Q$10000,'[1]1_inventory_totals'!$C$8:$C$10000,I23,'[1]1_inventory_totals'!$F$8:$F$10000,"="&amp;Q23,'[1]1_inventory_totals'!$G$8:$G$10000,"="&amp;R23)+SUMIFS('[1]1_inventory_totals'!$R$8:$R$10000,'[1]1_inventory_totals'!$C$8:$C$10000,I23,'[1]1_inventory_totals'!$F$8:$F$10000,"="&amp;Q23,'[1]1_inventory_totals'!$G$8:$G$10000,"="&amp;R23))+(SUMIFS('[1]1_inventory_totals'!$J$8:$J$10000,'[1]1_inventory_totals'!$C$8:$C$10000,I23,'[1]1_inventory_totals'!$F$8:$F$10000,"="&amp;Q23,'[1]1_inventory_totals'!$G$8:$G$10000,"="&amp;R23)+SUMIFS('[1]1_inventory_totals'!$K$8:$K$10000,'[1]1_inventory_totals'!$C$8:$C$10000,I23,'[1]1_inventory_totals'!$F$8:$F$10000,"="&amp;Q23,'[1]1_inventory_totals'!$G$8:$G$10000,"="&amp;R23)+SUMIFS('[1]1_inventory_totals'!$L$8:$L$10000,'[1]1_inventory_totals'!$C$8:$C$10000,I23,'[1]1_inventory_totals'!$F$8:$F$10000,"="&amp;Q23,'[1]1_inventory_totals'!$G$8:$G$10000,"="&amp;R23)+SUMIFS('[1]1_inventory_totals'!$M$8:$M$10000,'[1]1_inventory_totals'!$C$8:$C$10000,I23,'[1]1_inventory_totals'!$F$8:$F$10000,"="&amp;Q23,'[1]1_inventory_totals'!$G$8:$G$10000,"="&amp;R23)+SUMIFS('[1]1_inventory_totals'!$O$8:$O$10000,'[1]1_inventory_totals'!$C$8:$C$10000,I23,'[1]1_inventory_totals'!$F$8:$F$10000,"="&amp;Q23,'[1]1_inventory_totals'!$G$8:$G$10000,"="&amp;R23)+SUMIFS('[1]1_inventory_totals'!$S$8:$S$10000,'[1]1_inventory_totals'!$C$8:$C$10000,I23,'[1]1_inventory_totals'!$F$8:$F$10000,"="&amp;Q23,'[1]1_inventory_totals'!$G$8:$G$10000,"="&amp;R23)))</f>
        <v/>
      </c>
      <c r="BB23" s="197" t="str">
        <f>IF(M23="","",(SUMIFS('[1]2_inventory_totals'!$I$8:$I$10000,'[1]2_inventory_totals'!$C$8:$C$10000,I23,'[1]2_inventory_totals'!$F$8:$F$10000,"="&amp;Q23,'[1]2_inventory_totals'!$G$8:$G$10000,"="&amp;R23)+SUMIFS('[1]2_inventory_totals'!$N$8:$N$10000,'[1]2_inventory_totals'!$C$8:$C$10000,I23,'[1]2_inventory_totals'!$F$8:$F$10000,"="&amp;Q23,'[1]2_inventory_totals'!$G$8:$G$10000,"="&amp;R23)+SUMIFS('[1]2_inventory_totals'!$P$8:$P$10000,'[1]2_inventory_totals'!$C$8:$C$10000,I23,'[1]2_inventory_totals'!$F$8:$F$10000,"="&amp;Q23,'[1]2_inventory_totals'!$G$8:$G$10000,"="&amp;R23)+SUMIFS('[1]2_inventory_totals'!$Q$8:$Q$10000,'[1]2_inventory_totals'!$C$8:$C$10000,I23,'[1]2_inventory_totals'!$F$8:$F$10000,"="&amp;Q23,'[1]2_inventory_totals'!$G$8:$G$10000,"="&amp;R23)+SUMIFS('[1]2_inventory_totals'!$R$8:$R$10000,'[1]2_inventory_totals'!$C$8:$C$10000,I23,'[1]2_inventory_totals'!$F$8:$F$10000,"="&amp;Q23,'[1]2_inventory_totals'!$G$8:$G$10000,"="&amp;R23))+(SUMIFS('[1]2_inventory_totals'!$J$8:$J$10000,'[1]2_inventory_totals'!$C$8:$C$10000,I23,'[1]2_inventory_totals'!$F$8:$F$10000,"="&amp;Q23,'[1]2_inventory_totals'!$G$8:$G$10000,"="&amp;R23)+SUMIFS('[1]2_inventory_totals'!$K$8:$K$10000,'[1]2_inventory_totals'!$C$8:$C$10000,I23,'[1]2_inventory_totals'!$F$8:$F$10000,"="&amp;Q23,'[1]2_inventory_totals'!$G$8:$G$10000,"="&amp;R23)+SUMIFS('[1]2_inventory_totals'!$L$8:$L$10000,'[1]2_inventory_totals'!$C$8:$C$10000,I23,'[1]2_inventory_totals'!$F$8:$F$10000,"="&amp;Q23,'[1]2_inventory_totals'!$G$8:$G$10000,"="&amp;R23)+SUMIFS('[1]2_inventory_totals'!$M$8:$M$10000,'[1]2_inventory_totals'!$C$8:$C$10000,I23,'[1]2_inventory_totals'!$F$8:$F$10000,"="&amp;Q23,'[1]2_inventory_totals'!$G$8:$G$10000,"="&amp;R23)+SUMIFS('[1]2_inventory_totals'!$O$8:$O$10000,'[1]2_inventory_totals'!$C$8:$C$10000,I23,'[1]2_inventory_totals'!$F$8:$F$10000,"="&amp;Q23,'[1]2_inventory_totals'!$G$8:$G$10000,"="&amp;R23)+SUMIFS('[1]2_inventory_totals'!$S$8:$S$10000,'[1]2_inventory_totals'!$C$8:$C$10000,I23,'[1]2_inventory_totals'!$F$8:$F$10000,"="&amp;Q23,'[1]2_inventory_totals'!$G$8:$G$10000,"="&amp;R23)))</f>
        <v/>
      </c>
    </row>
    <row r="24" spans="1:54" ht="27" customHeight="1" thickBot="1">
      <c r="A24" s="923"/>
      <c r="B24" s="1251"/>
      <c r="C24" s="1888"/>
      <c r="D24" s="1889"/>
      <c r="E24" s="1890"/>
      <c r="F24" s="1262"/>
      <c r="I24" s="1610" t="str">
        <f t="shared" si="7"/>
        <v/>
      </c>
      <c r="J24" s="1611" t="str">
        <f t="shared" si="23"/>
        <v/>
      </c>
      <c r="K24" s="1612" t="str">
        <f t="shared" si="8"/>
        <v/>
      </c>
      <c r="L24" s="1613"/>
      <c r="M24" s="883"/>
      <c r="N24" s="884"/>
      <c r="O24" s="884"/>
      <c r="P24" s="885"/>
      <c r="Q24" s="886"/>
      <c r="R24" s="891"/>
      <c r="S24" s="1614" t="str">
        <f t="shared" si="0"/>
        <v/>
      </c>
      <c r="T24" s="1536"/>
      <c r="U24" s="1864" t="str">
        <f t="shared" si="9"/>
        <v/>
      </c>
      <c r="V24" s="1615" t="str">
        <f t="shared" si="1"/>
        <v/>
      </c>
      <c r="W24" s="889"/>
      <c r="X24" s="1615" t="str">
        <f t="shared" si="2"/>
        <v/>
      </c>
      <c r="Y24" s="1865" t="str">
        <f t="shared" si="10"/>
        <v/>
      </c>
      <c r="Z24" s="890"/>
      <c r="AA24" s="197" t="str" cm="1">
        <f t="array" ref="AA24">IF(M24="","",IF(P24=AN24,1,Slookup(MID(AN24,1,3)*1,UomConversion!$D$8:$J$500,5,UomConversion!$E$8:$E$500,MID(P24,1,3)*1,UomConversion!$J$8:$J$500,1)))</f>
        <v/>
      </c>
      <c r="AB24" s="197" t="str">
        <f t="shared" si="11"/>
        <v/>
      </c>
      <c r="AC24" s="197" t="str">
        <f t="shared" si="12"/>
        <v/>
      </c>
      <c r="AD24" s="197" t="str">
        <f t="shared" si="13"/>
        <v/>
      </c>
      <c r="AE24" s="1866" t="str">
        <f t="shared" si="14"/>
        <v/>
      </c>
      <c r="AF24" s="1866" t="str">
        <f t="shared" si="15"/>
        <v/>
      </c>
      <c r="AG24" s="197" t="str">
        <f t="shared" si="16"/>
        <v/>
      </c>
      <c r="AH24" s="197" t="str">
        <f>IF(I24="","",IF(ISNA(MATCH(I24,IF(invoice_location_id=1,'[1]1_inventory_totals'!$C$8:$C$10000,IF(invoice_location_id=2,'[1]2_inventory_totals'!$C$8:$C$10000,0)),0)),0,IF(AV24&gt;0,1,0)))</f>
        <v/>
      </c>
      <c r="AI24" s="197" t="str">
        <f>IF(M24="","",IF(invoice_location_id=1,SUMIFS('[1]1_inventory_total_details'!$J$8:$J$10000,'[1]1_inventory_total_details'!$C$8:$C$10000,I24,'[1]1_inventory_total_details'!$F$8:$F$10000,invoice_location_id,'[1]1_inventory_total_details'!$G$8:$G$10000,"="&amp;Q24,'[1]1_inventory_total_details'!$H$8:$H$10000,"="&amp;R24,'[1]1_inventory_total_details'!$I$8:$I$10000,"="&amp;invoice_date)+SUMIFS('[1]1_inventory_total_details'!$M$8:$M$10000,'[1]1_inventory_total_details'!$C$8:$C$10000,I24,'[1]1_inventory_total_details'!$F$8:$F$10000,invoice_location_id,'[1]1_inventory_total_details'!$G$8:$G$10000,"="&amp;Q24,'[1]1_inventory_total_details'!$H$8:$H$10000,"="&amp;R24,'[1]1_inventory_total_details'!$I$8:$I$10000,"="&amp;invoice_date)+SUMIFS('[1]1_inventory_total_details'!$K$8:$K$10000,'[1]1_inventory_total_details'!$C$8:$C$10000,I24,'[1]1_inventory_total_details'!$F$8:$F$10000,invoice_location_id,'[1]1_inventory_total_details'!$G$8:$G$10000,"="&amp;Q24,'[1]1_inventory_total_details'!$H$8:$H$10000,"="&amp;R24,'[1]1_inventory_total_details'!$I$8:$I$10000,"="&amp;invoice_date)+SUMIFS('[1]1_inventory_total_details'!$L$8:$L$10000,'[1]1_inventory_total_details'!$C$8:$C$10000,I24,'[1]1_inventory_total_details'!$F$8:$F$10000,invoice_location_id,'[1]1_inventory_total_details'!$G$8:$G$10000,"="&amp;Q24,'[1]1_inventory_total_details'!$H$8:$H$10000,"="&amp;R24,'[1]1_inventory_total_details'!$I$8:$I$10000,"="&amp;invoice_date),SUMIFS('[1]2_inventory_total_details'!$J$8:$J$10000,'[1]2_inventory_total_details'!$C$8:$C$10000,I24,'[1]2_inventory_total_details'!$F$8:$F$10000,invoice_location_id,'[1]2_inventory_total_details'!$G$8:$G$10000,"="&amp;Q24,'[1]2_inventory_total_details'!$H$8:$H$10000,"="&amp;R24,'[1]2_inventory_total_details'!$I$8:$I$10000,"="&amp;invoice_date)+SUMIFS('[1]2_inventory_total_details'!$M$8:$M$10000,'[1]2_inventory_total_details'!$C$8:$C$10000,I24,'[1]2_inventory_total_details'!$F$8:$F$10000,invoice_location_id,'[1]2_inventory_total_details'!$G$8:$G$10000,"="&amp;Q24,'[1]2_inventory_total_details'!$H$8:$H$10000,"="&amp;R24,'[1]2_inventory_total_details'!$I$8:$I$10000,"="&amp;invoice_date)+SUMIFS('[1]2_inventory_total_details'!$K$8:$K$10000,'[1]2_inventory_total_details'!$C$8:$C$10000,I24,'[1]2_inventory_total_details'!$F$8:$F$10000,invoice_location_id,'[1]2_inventory_total_details'!$G$8:$G$10000,"="&amp;Q24,'[1]2_inventory_total_details'!$H$8:$H$10000,"="&amp;R24,'[1]2_inventory_total_details'!$I$8:$I$10000,"="&amp;invoice_date)+SUMIFS('[1]2_inventory_total_details'!$L$8:$L$10000,'[1]2_inventory_total_details'!$C$8:$C$10000,I24,'[1]2_inventory_total_details'!$F$8:$F$10000,invoice_location_id,'[1]2_inventory_total_details'!$G$8:$G$10000,"="&amp;Q24,'[1]2_inventory_total_details'!$H$8:$H$10000,"="&amp;R24,'[1]2_inventory_total_details'!$I$8:$I$10000,"="&amp;invoice_date)))</f>
        <v/>
      </c>
      <c r="AJ24" s="197" t="str">
        <f>IF(M24="","",IF(ISNA(MATCH(I24,'[1]1_group_totals'!$C$8:$C$10000)),0,IF(AW24&gt;0,1,0)))</f>
        <v/>
      </c>
      <c r="AK24" s="197" t="str">
        <f>IF(M24="","",(SUMIFS('[1]1_group_total_details'!$I$8:$I$10000,'[1]1_group_total_details'!$C$8:$C$10000,I24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24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24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24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24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24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24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24,'[1]1_group_total_details'!$F$8:$F$10000,invoice_location_group_id,'[1]1_group_total_details'!$G$8:$G$10000,invoice_location_id,'[1]1_group_total_details'!$H$8:$H$10000,"="&amp;invoice_date)))</f>
        <v/>
      </c>
      <c r="AL24" s="197" t="str">
        <f>IF(M24="","",(SUMIFS('[1]1_group_total_details'!$I$8:$I$10000,'[1]1_group_total_details'!$C$8:$C$10000,I24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24,'[1]1_group_total_details'!$F$8:$F$10000,invoice_location_group_id,'[1]1_group_total_details'!$G$8:$G$10000,1,'[1]1_group_total_details'!$H$8:$H$10000,"&lt;="&amp;invoice_date)+SUMIFS('[1]1_group_total_details'!$N$8:$N$10000,'[1]1_group_total_details'!$C$8:$C$10000,I24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24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24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24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24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24,'[1]1_group_total_details'!$F$8:$F$10000,invoice_location_group_id,'[1]1_group_total_details'!$G$8:$G$10000,invoice_location_id,'[1]1_group_total_details'!$H$8:$H$10000,"&lt;="&amp;invoice_date)))</f>
        <v/>
      </c>
      <c r="AM24" s="197" t="str">
        <f>IF(M24="","",SUMIFS('[1]1_group_totals'!$J$8:$J$10000,'[1]1_group_totals'!$C$8:$C$10000,I24,'[1]1_group_totals'!$F$8:$F$10000,invoice_location_group_id,'[1]1_group_totals'!$G$8:$G$10000,invoice_location_id,'[1]1_group_totals'!$H$8:$H$10000,"="&amp;Q24,'[1]1_group_totals'!$I$8:$I$10000,"="&amp;R24))</f>
        <v/>
      </c>
      <c r="AN24" s="197" t="str">
        <f t="shared" si="17"/>
        <v/>
      </c>
      <c r="AO24" s="197" t="str">
        <f>IF(OR(ISNA(MATCH(MID(AN24,1,3)*1,UomConversion!$D$8:$D$500,0)),M24=""),"",IF(AT24="","",AT24))</f>
        <v/>
      </c>
      <c r="AP24" s="197" t="str">
        <f>IF(AND(AQ24&gt;0,COUNTIFS(UomConversion!$D$8:$D$500,MID(AN24,1,3)*1,UomConversion!$J$8:$J$500,1)&gt;1),TEXT(AQ24,"000")&amp;"."&amp;VLOOKUP(AQ24,uom_list,5,FALSE),"")</f>
        <v/>
      </c>
      <c r="AQ24" s="197" t="str">
        <f t="shared" si="18"/>
        <v/>
      </c>
      <c r="AR24" s="197" t="str">
        <f t="shared" si="19"/>
        <v/>
      </c>
      <c r="AS24" s="1866" t="str">
        <f>IF(M24="","",SUMIFS(ProductPrice!$N$28:$N$10000,ProductPrice!$D$28:$D$10000,I24,ProductPrice!$G$28:$G$10000,invoice_branch_id,ProductPrice!$H$28:$H$10000,invoice_price_type_id,ProductPrice!$I$28:$I$10000,MID(P24,1,3)*1,ProductPrice!$Q$28:$Q$10000,1,ProductPrice!$T$28:$T$10000,1))</f>
        <v/>
      </c>
      <c r="AT24" s="197" t="str">
        <f t="shared" si="20"/>
        <v/>
      </c>
      <c r="AU24" s="197" t="str" cm="1">
        <f t="array" ref="AU24">IF(M24="","",IF(ISNA(Slookup(MID(AN24,1,3)*1,UomConversion!$D$8:$J$500,2,UomConversion!$I$8:$I$500,1,UomConversion!$J$8:$J$500,1)),"",Slookup(MID(AN24,1,3)*1,UomConversion!$D$8:$J$500,2,UomConversion!$I$8:$I$500,1,UomConversion!$J$8:$J$500,1)))</f>
        <v/>
      </c>
      <c r="AV24" s="197" t="str">
        <f t="shared" si="6"/>
        <v/>
      </c>
      <c r="AW24" s="197" t="str">
        <f>IF(M24="","",(SUMIFS('[1]1_group_totals'!$K$8:$K$10000,'[1]1_group_totals'!$C$8:$C$10000,I24,'[1]1_group_totals'!$F$8:$F$10000,invoice_location_group_id,'[1]1_group_totals'!$G$8:$G$10000,invoice_location_id,'[1]1_group_totals'!$H$8:$H$10000,"="&amp;Q24,'[1]1_group_totals'!$I$8:$I$10000,"="&amp;R24)+SUMIFS('[1]1_group_totals'!$N$8:$N$10000,'[1]1_group_totals'!$C$8:$C$10000,I24,'[1]1_group_totals'!$F$8:$F$10000,invoice_location_group_id,'[1]1_group_totals'!$G$8:$G$10000,invoice_location_id,'[1]1_group_totals'!$H$8:$H$10000,"="&amp;Q24,'[1]1_group_totals'!$I$8:$I$10000,"="&amp;R24)+SUMIFS('[1]1_group_totals'!$P$8:$P$10000,'[1]1_group_totals'!$C$8:$C$10000,I24,'[1]1_group_totals'!$F$8:$F$10000,invoice_location_group_id,'[1]1_group_totals'!$G$8:$G$10000,invoice_location_id,'[1]1_group_totals'!$H$8:$H$10000,"="&amp;Q24,'[1]1_group_totals'!$I$8:$I$10000,"="&amp;R24)+SUMIFS('[1]1_group_totals'!$Q$8:$Q$10000,'[1]1_group_totals'!$C$8:$C$10000,I24,'[1]1_group_totals'!$F$8:$F$10000,invoice_location_group_id,'[1]1_group_totals'!$G$8:$G$10000,invoice_location_id,'[1]1_group_totals'!$H$8:$H$10000,"="&amp;Q24,'[1]1_group_totals'!$I$8:$I$10000,"="&amp;R24))+(SUMIFS('[1]1_group_totals'!$L$8:$L$10000,'[1]1_group_totals'!$C$8:$C$10000,I24,'[1]1_group_totals'!$F$8:$F$10000,invoice_location_group_id,'[1]1_group_totals'!$G$8:$G$10000,invoice_location_id,'[1]1_group_totals'!$H$8:$H$10000,"="&amp;Q24,'[1]1_group_totals'!$I$8:$I$10000,"="&amp;R24)+SUMIFS('[1]1_group_totals'!$M$8:$M$10000,'[1]1_group_totals'!$C$8:$C$10000,I24,'[1]1_group_totals'!$F$8:$F$10000,invoice_location_group_id,'[1]1_group_totals'!$G$8:$G$10000,invoice_location_id,'[1]1_group_totals'!$H$8:$H$10000,"="&amp;Q24,'[1]1_group_totals'!$I$8:$I$10000,"="&amp;R24)+SUMIFS('[1]1_group_totals'!$O$8:$O$10000,'[1]1_group_totals'!$C$8:$C$10000,I24,'[1]1_group_totals'!$F$8:$F$10000,invoice_location_group_id,'[1]1_group_totals'!$G$8:$G$10000,invoice_location_id,'[1]1_group_totals'!$H$8:$H$10000,"="&amp;Q24,'[1]1_group_totals'!$I$8:$I$10000,"="&amp;R24)+SUMIFS('[1]1_group_totals'!$R$8:$R$10000,'[1]1_group_totals'!$C$8:$C$10000,I24,'[1]1_group_totals'!$F$8:$F$10000,invoice_location_group_id,'[1]1_group_totals'!$G$8:$G$10000,invoice_location_id,'[1]1_group_totals'!$H$8:$H$10000,"="&amp;Q24,'[1]1_group_totals'!$I$8:$I$10000,"="&amp;R24)))</f>
        <v/>
      </c>
      <c r="AX24" s="197" t="str">
        <f t="shared" si="21"/>
        <v/>
      </c>
      <c r="AY24" s="197" t="str">
        <f>IF(M24="","",SUMIFS($AX$8:AX24,$I$8:I24,I24))</f>
        <v/>
      </c>
      <c r="AZ24" s="197" t="str">
        <f t="shared" si="22"/>
        <v/>
      </c>
      <c r="BA24" s="197" t="str">
        <f>IF(M24="","",(SUMIFS('[1]1_inventory_totals'!$I$8:$I$10000,'[1]1_inventory_totals'!$C$8:$C$10000,I24,'[1]1_inventory_totals'!$F$8:$F$10000,"="&amp;Q24,'[1]1_inventory_totals'!$G$8:$G$10000,"="&amp;R24)+SUMIFS('[1]1_inventory_totals'!$N$8:$N$10000,'[1]1_inventory_totals'!$C$8:$C$10000,I24,'[1]1_inventory_totals'!$F$8:$F$10000,"="&amp;Q24,'[1]1_inventory_totals'!$G$8:$G$10000,"="&amp;R24)+SUMIFS('[1]1_inventory_totals'!$P$8:$P$10000,'[1]1_inventory_totals'!$C$8:$C$10000,I24,'[1]1_inventory_totals'!$F$8:$F$10000,"="&amp;Q24,'[1]1_inventory_totals'!$G$8:$G$10000,"="&amp;R24)+SUMIFS('[1]1_inventory_totals'!$Q$8:$Q$10000,'[1]1_inventory_totals'!$C$8:$C$10000,I24,'[1]1_inventory_totals'!$F$8:$F$10000,"="&amp;Q24,'[1]1_inventory_totals'!$G$8:$G$10000,"="&amp;R24)+SUMIFS('[1]1_inventory_totals'!$R$8:$R$10000,'[1]1_inventory_totals'!$C$8:$C$10000,I24,'[1]1_inventory_totals'!$F$8:$F$10000,"="&amp;Q24,'[1]1_inventory_totals'!$G$8:$G$10000,"="&amp;R24))+(SUMIFS('[1]1_inventory_totals'!$J$8:$J$10000,'[1]1_inventory_totals'!$C$8:$C$10000,I24,'[1]1_inventory_totals'!$F$8:$F$10000,"="&amp;Q24,'[1]1_inventory_totals'!$G$8:$G$10000,"="&amp;R24)+SUMIFS('[1]1_inventory_totals'!$K$8:$K$10000,'[1]1_inventory_totals'!$C$8:$C$10000,I24,'[1]1_inventory_totals'!$F$8:$F$10000,"="&amp;Q24,'[1]1_inventory_totals'!$G$8:$G$10000,"="&amp;R24)+SUMIFS('[1]1_inventory_totals'!$L$8:$L$10000,'[1]1_inventory_totals'!$C$8:$C$10000,I24,'[1]1_inventory_totals'!$F$8:$F$10000,"="&amp;Q24,'[1]1_inventory_totals'!$G$8:$G$10000,"="&amp;R24)+SUMIFS('[1]1_inventory_totals'!$M$8:$M$10000,'[1]1_inventory_totals'!$C$8:$C$10000,I24,'[1]1_inventory_totals'!$F$8:$F$10000,"="&amp;Q24,'[1]1_inventory_totals'!$G$8:$G$10000,"="&amp;R24)+SUMIFS('[1]1_inventory_totals'!$O$8:$O$10000,'[1]1_inventory_totals'!$C$8:$C$10000,I24,'[1]1_inventory_totals'!$F$8:$F$10000,"="&amp;Q24,'[1]1_inventory_totals'!$G$8:$G$10000,"="&amp;R24)+SUMIFS('[1]1_inventory_totals'!$S$8:$S$10000,'[1]1_inventory_totals'!$C$8:$C$10000,I24,'[1]1_inventory_totals'!$F$8:$F$10000,"="&amp;Q24,'[1]1_inventory_totals'!$G$8:$G$10000,"="&amp;R24)))</f>
        <v/>
      </c>
      <c r="BB24" s="197" t="str">
        <f>IF(M24="","",(SUMIFS('[1]2_inventory_totals'!$I$8:$I$10000,'[1]2_inventory_totals'!$C$8:$C$10000,I24,'[1]2_inventory_totals'!$F$8:$F$10000,"="&amp;Q24,'[1]2_inventory_totals'!$G$8:$G$10000,"="&amp;R24)+SUMIFS('[1]2_inventory_totals'!$N$8:$N$10000,'[1]2_inventory_totals'!$C$8:$C$10000,I24,'[1]2_inventory_totals'!$F$8:$F$10000,"="&amp;Q24,'[1]2_inventory_totals'!$G$8:$G$10000,"="&amp;R24)+SUMIFS('[1]2_inventory_totals'!$P$8:$P$10000,'[1]2_inventory_totals'!$C$8:$C$10000,I24,'[1]2_inventory_totals'!$F$8:$F$10000,"="&amp;Q24,'[1]2_inventory_totals'!$G$8:$G$10000,"="&amp;R24)+SUMIFS('[1]2_inventory_totals'!$Q$8:$Q$10000,'[1]2_inventory_totals'!$C$8:$C$10000,I24,'[1]2_inventory_totals'!$F$8:$F$10000,"="&amp;Q24,'[1]2_inventory_totals'!$G$8:$G$10000,"="&amp;R24)+SUMIFS('[1]2_inventory_totals'!$R$8:$R$10000,'[1]2_inventory_totals'!$C$8:$C$10000,I24,'[1]2_inventory_totals'!$F$8:$F$10000,"="&amp;Q24,'[1]2_inventory_totals'!$G$8:$G$10000,"="&amp;R24))+(SUMIFS('[1]2_inventory_totals'!$J$8:$J$10000,'[1]2_inventory_totals'!$C$8:$C$10000,I24,'[1]2_inventory_totals'!$F$8:$F$10000,"="&amp;Q24,'[1]2_inventory_totals'!$G$8:$G$10000,"="&amp;R24)+SUMIFS('[1]2_inventory_totals'!$K$8:$K$10000,'[1]2_inventory_totals'!$C$8:$C$10000,I24,'[1]2_inventory_totals'!$F$8:$F$10000,"="&amp;Q24,'[1]2_inventory_totals'!$G$8:$G$10000,"="&amp;R24)+SUMIFS('[1]2_inventory_totals'!$L$8:$L$10000,'[1]2_inventory_totals'!$C$8:$C$10000,I24,'[1]2_inventory_totals'!$F$8:$F$10000,"="&amp;Q24,'[1]2_inventory_totals'!$G$8:$G$10000,"="&amp;R24)+SUMIFS('[1]2_inventory_totals'!$M$8:$M$10000,'[1]2_inventory_totals'!$C$8:$C$10000,I24,'[1]2_inventory_totals'!$F$8:$F$10000,"="&amp;Q24,'[1]2_inventory_totals'!$G$8:$G$10000,"="&amp;R24)+SUMIFS('[1]2_inventory_totals'!$O$8:$O$10000,'[1]2_inventory_totals'!$C$8:$C$10000,I24,'[1]2_inventory_totals'!$F$8:$F$10000,"="&amp;Q24,'[1]2_inventory_totals'!$G$8:$G$10000,"="&amp;R24)+SUMIFS('[1]2_inventory_totals'!$S$8:$S$10000,'[1]2_inventory_totals'!$C$8:$C$10000,I24,'[1]2_inventory_totals'!$F$8:$F$10000,"="&amp;Q24,'[1]2_inventory_totals'!$G$8:$G$10000,"="&amp;R24)))</f>
        <v/>
      </c>
    </row>
    <row r="25" spans="1:54" ht="27" customHeight="1">
      <c r="A25" s="923"/>
      <c r="B25" s="1251"/>
      <c r="C25" s="1267" t="s">
        <v>3239</v>
      </c>
      <c r="D25" s="950"/>
      <c r="E25" s="950"/>
      <c r="F25" s="1262"/>
      <c r="I25" s="1610" t="str">
        <f t="shared" si="7"/>
        <v/>
      </c>
      <c r="J25" s="1611" t="str">
        <f t="shared" si="23"/>
        <v/>
      </c>
      <c r="K25" s="1612" t="str">
        <f t="shared" si="8"/>
        <v/>
      </c>
      <c r="L25" s="1613"/>
      <c r="M25" s="883"/>
      <c r="N25" s="884"/>
      <c r="O25" s="884"/>
      <c r="P25" s="885"/>
      <c r="Q25" s="886"/>
      <c r="R25" s="891"/>
      <c r="S25" s="1614" t="str">
        <f t="shared" si="0"/>
        <v/>
      </c>
      <c r="T25" s="1536"/>
      <c r="U25" s="1864" t="str">
        <f t="shared" si="9"/>
        <v/>
      </c>
      <c r="V25" s="1615" t="str">
        <f t="shared" si="1"/>
        <v/>
      </c>
      <c r="W25" s="889"/>
      <c r="X25" s="1615" t="str">
        <f t="shared" si="2"/>
        <v/>
      </c>
      <c r="Y25" s="1865" t="str">
        <f t="shared" si="10"/>
        <v/>
      </c>
      <c r="Z25" s="890"/>
      <c r="AA25" s="197" t="str" cm="1">
        <f t="array" ref="AA25">IF(M25="","",IF(P25=AN25,1,Slookup(MID(AN25,1,3)*1,UomConversion!$D$8:$J$500,5,UomConversion!$E$8:$E$500,MID(P25,1,3)*1,UomConversion!$J$8:$J$500,1)))</f>
        <v/>
      </c>
      <c r="AB25" s="197" t="str">
        <f t="shared" si="11"/>
        <v/>
      </c>
      <c r="AC25" s="197" t="str">
        <f t="shared" si="12"/>
        <v/>
      </c>
      <c r="AD25" s="197" t="str">
        <f t="shared" si="13"/>
        <v/>
      </c>
      <c r="AE25" s="1866" t="str">
        <f t="shared" si="14"/>
        <v/>
      </c>
      <c r="AF25" s="1866" t="str">
        <f t="shared" si="15"/>
        <v/>
      </c>
      <c r="AG25" s="197" t="str">
        <f t="shared" si="16"/>
        <v/>
      </c>
      <c r="AH25" s="197" t="str">
        <f>IF(I25="","",IF(ISNA(MATCH(I25,IF(invoice_location_id=1,'[1]1_inventory_totals'!$C$8:$C$10000,IF(invoice_location_id=2,'[1]2_inventory_totals'!$C$8:$C$10000,0)),0)),0,IF(AV25&gt;0,1,0)))</f>
        <v/>
      </c>
      <c r="AI25" s="197" t="str">
        <f>IF(M25="","",IF(invoice_location_id=1,SUMIFS('[1]1_inventory_total_details'!$J$8:$J$10000,'[1]1_inventory_total_details'!$C$8:$C$10000,I25,'[1]1_inventory_total_details'!$F$8:$F$10000,invoice_location_id,'[1]1_inventory_total_details'!$G$8:$G$10000,"="&amp;Q25,'[1]1_inventory_total_details'!$H$8:$H$10000,"="&amp;R25,'[1]1_inventory_total_details'!$I$8:$I$10000,"="&amp;invoice_date)+SUMIFS('[1]1_inventory_total_details'!$M$8:$M$10000,'[1]1_inventory_total_details'!$C$8:$C$10000,I25,'[1]1_inventory_total_details'!$F$8:$F$10000,invoice_location_id,'[1]1_inventory_total_details'!$G$8:$G$10000,"="&amp;Q25,'[1]1_inventory_total_details'!$H$8:$H$10000,"="&amp;R25,'[1]1_inventory_total_details'!$I$8:$I$10000,"="&amp;invoice_date)+SUMIFS('[1]1_inventory_total_details'!$K$8:$K$10000,'[1]1_inventory_total_details'!$C$8:$C$10000,I25,'[1]1_inventory_total_details'!$F$8:$F$10000,invoice_location_id,'[1]1_inventory_total_details'!$G$8:$G$10000,"="&amp;Q25,'[1]1_inventory_total_details'!$H$8:$H$10000,"="&amp;R25,'[1]1_inventory_total_details'!$I$8:$I$10000,"="&amp;invoice_date)+SUMIFS('[1]1_inventory_total_details'!$L$8:$L$10000,'[1]1_inventory_total_details'!$C$8:$C$10000,I25,'[1]1_inventory_total_details'!$F$8:$F$10000,invoice_location_id,'[1]1_inventory_total_details'!$G$8:$G$10000,"="&amp;Q25,'[1]1_inventory_total_details'!$H$8:$H$10000,"="&amp;R25,'[1]1_inventory_total_details'!$I$8:$I$10000,"="&amp;invoice_date),SUMIFS('[1]2_inventory_total_details'!$J$8:$J$10000,'[1]2_inventory_total_details'!$C$8:$C$10000,I25,'[1]2_inventory_total_details'!$F$8:$F$10000,invoice_location_id,'[1]2_inventory_total_details'!$G$8:$G$10000,"="&amp;Q25,'[1]2_inventory_total_details'!$H$8:$H$10000,"="&amp;R25,'[1]2_inventory_total_details'!$I$8:$I$10000,"="&amp;invoice_date)+SUMIFS('[1]2_inventory_total_details'!$M$8:$M$10000,'[1]2_inventory_total_details'!$C$8:$C$10000,I25,'[1]2_inventory_total_details'!$F$8:$F$10000,invoice_location_id,'[1]2_inventory_total_details'!$G$8:$G$10000,"="&amp;Q25,'[1]2_inventory_total_details'!$H$8:$H$10000,"="&amp;R25,'[1]2_inventory_total_details'!$I$8:$I$10000,"="&amp;invoice_date)+SUMIFS('[1]2_inventory_total_details'!$K$8:$K$10000,'[1]2_inventory_total_details'!$C$8:$C$10000,I25,'[1]2_inventory_total_details'!$F$8:$F$10000,invoice_location_id,'[1]2_inventory_total_details'!$G$8:$G$10000,"="&amp;Q25,'[1]2_inventory_total_details'!$H$8:$H$10000,"="&amp;R25,'[1]2_inventory_total_details'!$I$8:$I$10000,"="&amp;invoice_date)+SUMIFS('[1]2_inventory_total_details'!$L$8:$L$10000,'[1]2_inventory_total_details'!$C$8:$C$10000,I25,'[1]2_inventory_total_details'!$F$8:$F$10000,invoice_location_id,'[1]2_inventory_total_details'!$G$8:$G$10000,"="&amp;Q25,'[1]2_inventory_total_details'!$H$8:$H$10000,"="&amp;R25,'[1]2_inventory_total_details'!$I$8:$I$10000,"="&amp;invoice_date)))</f>
        <v/>
      </c>
      <c r="AJ25" s="197" t="str">
        <f>IF(M25="","",IF(ISNA(MATCH(I25,'[1]1_group_totals'!$C$8:$C$10000)),0,IF(AW25&gt;0,1,0)))</f>
        <v/>
      </c>
      <c r="AK25" s="197" t="str">
        <f>IF(M25="","",(SUMIFS('[1]1_group_total_details'!$I$8:$I$10000,'[1]1_group_total_details'!$C$8:$C$10000,I25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25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25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25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25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25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25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25,'[1]1_group_total_details'!$F$8:$F$10000,invoice_location_group_id,'[1]1_group_total_details'!$G$8:$G$10000,invoice_location_id,'[1]1_group_total_details'!$H$8:$H$10000,"="&amp;invoice_date)))</f>
        <v/>
      </c>
      <c r="AL25" s="197" t="str">
        <f>IF(M25="","",(SUMIFS('[1]1_group_total_details'!$I$8:$I$10000,'[1]1_group_total_details'!$C$8:$C$10000,I25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25,'[1]1_group_total_details'!$F$8:$F$10000,invoice_location_group_id,'[1]1_group_total_details'!$G$8:$G$10000,1,'[1]1_group_total_details'!$H$8:$H$10000,"&lt;="&amp;invoice_date)+SUMIFS('[1]1_group_total_details'!$N$8:$N$10000,'[1]1_group_total_details'!$C$8:$C$10000,I25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25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25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25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25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25,'[1]1_group_total_details'!$F$8:$F$10000,invoice_location_group_id,'[1]1_group_total_details'!$G$8:$G$10000,invoice_location_id,'[1]1_group_total_details'!$H$8:$H$10000,"&lt;="&amp;invoice_date)))</f>
        <v/>
      </c>
      <c r="AM25" s="197" t="str">
        <f>IF(M25="","",SUMIFS('[1]1_group_totals'!$J$8:$J$10000,'[1]1_group_totals'!$C$8:$C$10000,I25,'[1]1_group_totals'!$F$8:$F$10000,invoice_location_group_id,'[1]1_group_totals'!$G$8:$G$10000,invoice_location_id,'[1]1_group_totals'!$H$8:$H$10000,"="&amp;Q25,'[1]1_group_totals'!$I$8:$I$10000,"="&amp;R25))</f>
        <v/>
      </c>
      <c r="AN25" s="197" t="str">
        <f t="shared" si="17"/>
        <v/>
      </c>
      <c r="AO25" s="197" t="str">
        <f>IF(OR(ISNA(MATCH(MID(AN25,1,3)*1,UomConversion!$D$8:$D$500,0)),M25=""),"",IF(AT25="","",AT25))</f>
        <v/>
      </c>
      <c r="AP25" s="197" t="str">
        <f>IF(AND(AQ25&gt;0,COUNTIFS(UomConversion!$D$8:$D$500,MID(AN25,1,3)*1,UomConversion!$J$8:$J$500,1)&gt;1),TEXT(AQ25,"000")&amp;"."&amp;VLOOKUP(AQ25,uom_list,5,FALSE),"")</f>
        <v/>
      </c>
      <c r="AQ25" s="197" t="str">
        <f t="shared" si="18"/>
        <v/>
      </c>
      <c r="AR25" s="197" t="str">
        <f t="shared" si="19"/>
        <v/>
      </c>
      <c r="AS25" s="1866" t="str">
        <f>IF(M25="","",SUMIFS(ProductPrice!$N$28:$N$10000,ProductPrice!$D$28:$D$10000,I25,ProductPrice!$G$28:$G$10000,invoice_branch_id,ProductPrice!$H$28:$H$10000,invoice_price_type_id,ProductPrice!$I$28:$I$10000,MID(P25,1,3)*1,ProductPrice!$Q$28:$Q$10000,1,ProductPrice!$T$28:$T$10000,1))</f>
        <v/>
      </c>
      <c r="AT25" s="197" t="str">
        <f t="shared" si="20"/>
        <v/>
      </c>
      <c r="AU25" s="197" t="str" cm="1">
        <f t="array" ref="AU25">IF(M25="","",IF(ISNA(Slookup(MID(AN25,1,3)*1,UomConversion!$D$8:$J$500,2,UomConversion!$I$8:$I$500,1,UomConversion!$J$8:$J$500,1)),"",Slookup(MID(AN25,1,3)*1,UomConversion!$D$8:$J$500,2,UomConversion!$I$8:$I$500,1,UomConversion!$J$8:$J$500,1)))</f>
        <v/>
      </c>
      <c r="AV25" s="197" t="str">
        <f t="shared" si="6"/>
        <v/>
      </c>
      <c r="AW25" s="197" t="str">
        <f>IF(M25="","",(SUMIFS('[1]1_group_totals'!$K$8:$K$10000,'[1]1_group_totals'!$C$8:$C$10000,I25,'[1]1_group_totals'!$F$8:$F$10000,invoice_location_group_id,'[1]1_group_totals'!$G$8:$G$10000,invoice_location_id,'[1]1_group_totals'!$H$8:$H$10000,"="&amp;Q25,'[1]1_group_totals'!$I$8:$I$10000,"="&amp;R25)+SUMIFS('[1]1_group_totals'!$N$8:$N$10000,'[1]1_group_totals'!$C$8:$C$10000,I25,'[1]1_group_totals'!$F$8:$F$10000,invoice_location_group_id,'[1]1_group_totals'!$G$8:$G$10000,invoice_location_id,'[1]1_group_totals'!$H$8:$H$10000,"="&amp;Q25,'[1]1_group_totals'!$I$8:$I$10000,"="&amp;R25)+SUMIFS('[1]1_group_totals'!$P$8:$P$10000,'[1]1_group_totals'!$C$8:$C$10000,I25,'[1]1_group_totals'!$F$8:$F$10000,invoice_location_group_id,'[1]1_group_totals'!$G$8:$G$10000,invoice_location_id,'[1]1_group_totals'!$H$8:$H$10000,"="&amp;Q25,'[1]1_group_totals'!$I$8:$I$10000,"="&amp;R25)+SUMIFS('[1]1_group_totals'!$Q$8:$Q$10000,'[1]1_group_totals'!$C$8:$C$10000,I25,'[1]1_group_totals'!$F$8:$F$10000,invoice_location_group_id,'[1]1_group_totals'!$G$8:$G$10000,invoice_location_id,'[1]1_group_totals'!$H$8:$H$10000,"="&amp;Q25,'[1]1_group_totals'!$I$8:$I$10000,"="&amp;R25))+(SUMIFS('[1]1_group_totals'!$L$8:$L$10000,'[1]1_group_totals'!$C$8:$C$10000,I25,'[1]1_group_totals'!$F$8:$F$10000,invoice_location_group_id,'[1]1_group_totals'!$G$8:$G$10000,invoice_location_id,'[1]1_group_totals'!$H$8:$H$10000,"="&amp;Q25,'[1]1_group_totals'!$I$8:$I$10000,"="&amp;R25)+SUMIFS('[1]1_group_totals'!$M$8:$M$10000,'[1]1_group_totals'!$C$8:$C$10000,I25,'[1]1_group_totals'!$F$8:$F$10000,invoice_location_group_id,'[1]1_group_totals'!$G$8:$G$10000,invoice_location_id,'[1]1_group_totals'!$H$8:$H$10000,"="&amp;Q25,'[1]1_group_totals'!$I$8:$I$10000,"="&amp;R25)+SUMIFS('[1]1_group_totals'!$O$8:$O$10000,'[1]1_group_totals'!$C$8:$C$10000,I25,'[1]1_group_totals'!$F$8:$F$10000,invoice_location_group_id,'[1]1_group_totals'!$G$8:$G$10000,invoice_location_id,'[1]1_group_totals'!$H$8:$H$10000,"="&amp;Q25,'[1]1_group_totals'!$I$8:$I$10000,"="&amp;R25)+SUMIFS('[1]1_group_totals'!$R$8:$R$10000,'[1]1_group_totals'!$C$8:$C$10000,I25,'[1]1_group_totals'!$F$8:$F$10000,invoice_location_group_id,'[1]1_group_totals'!$G$8:$G$10000,invoice_location_id,'[1]1_group_totals'!$H$8:$H$10000,"="&amp;Q25,'[1]1_group_totals'!$I$8:$I$10000,"="&amp;R25)))</f>
        <v/>
      </c>
      <c r="AX25" s="197" t="str">
        <f t="shared" si="21"/>
        <v/>
      </c>
      <c r="AY25" s="197" t="str">
        <f>IF(M25="","",SUMIFS($AX$8:AX25,$I$8:I25,I25))</f>
        <v/>
      </c>
      <c r="AZ25" s="197" t="str">
        <f t="shared" si="22"/>
        <v/>
      </c>
      <c r="BA25" s="197" t="str">
        <f>IF(M25="","",(SUMIFS('[1]1_inventory_totals'!$I$8:$I$10000,'[1]1_inventory_totals'!$C$8:$C$10000,I25,'[1]1_inventory_totals'!$F$8:$F$10000,"="&amp;Q25,'[1]1_inventory_totals'!$G$8:$G$10000,"="&amp;R25)+SUMIFS('[1]1_inventory_totals'!$N$8:$N$10000,'[1]1_inventory_totals'!$C$8:$C$10000,I25,'[1]1_inventory_totals'!$F$8:$F$10000,"="&amp;Q25,'[1]1_inventory_totals'!$G$8:$G$10000,"="&amp;R25)+SUMIFS('[1]1_inventory_totals'!$P$8:$P$10000,'[1]1_inventory_totals'!$C$8:$C$10000,I25,'[1]1_inventory_totals'!$F$8:$F$10000,"="&amp;Q25,'[1]1_inventory_totals'!$G$8:$G$10000,"="&amp;R25)+SUMIFS('[1]1_inventory_totals'!$Q$8:$Q$10000,'[1]1_inventory_totals'!$C$8:$C$10000,I25,'[1]1_inventory_totals'!$F$8:$F$10000,"="&amp;Q25,'[1]1_inventory_totals'!$G$8:$G$10000,"="&amp;R25)+SUMIFS('[1]1_inventory_totals'!$R$8:$R$10000,'[1]1_inventory_totals'!$C$8:$C$10000,I25,'[1]1_inventory_totals'!$F$8:$F$10000,"="&amp;Q25,'[1]1_inventory_totals'!$G$8:$G$10000,"="&amp;R25))+(SUMIFS('[1]1_inventory_totals'!$J$8:$J$10000,'[1]1_inventory_totals'!$C$8:$C$10000,I25,'[1]1_inventory_totals'!$F$8:$F$10000,"="&amp;Q25,'[1]1_inventory_totals'!$G$8:$G$10000,"="&amp;R25)+SUMIFS('[1]1_inventory_totals'!$K$8:$K$10000,'[1]1_inventory_totals'!$C$8:$C$10000,I25,'[1]1_inventory_totals'!$F$8:$F$10000,"="&amp;Q25,'[1]1_inventory_totals'!$G$8:$G$10000,"="&amp;R25)+SUMIFS('[1]1_inventory_totals'!$L$8:$L$10000,'[1]1_inventory_totals'!$C$8:$C$10000,I25,'[1]1_inventory_totals'!$F$8:$F$10000,"="&amp;Q25,'[1]1_inventory_totals'!$G$8:$G$10000,"="&amp;R25)+SUMIFS('[1]1_inventory_totals'!$M$8:$M$10000,'[1]1_inventory_totals'!$C$8:$C$10000,I25,'[1]1_inventory_totals'!$F$8:$F$10000,"="&amp;Q25,'[1]1_inventory_totals'!$G$8:$G$10000,"="&amp;R25)+SUMIFS('[1]1_inventory_totals'!$O$8:$O$10000,'[1]1_inventory_totals'!$C$8:$C$10000,I25,'[1]1_inventory_totals'!$F$8:$F$10000,"="&amp;Q25,'[1]1_inventory_totals'!$G$8:$G$10000,"="&amp;R25)+SUMIFS('[1]1_inventory_totals'!$S$8:$S$10000,'[1]1_inventory_totals'!$C$8:$C$10000,I25,'[1]1_inventory_totals'!$F$8:$F$10000,"="&amp;Q25,'[1]1_inventory_totals'!$G$8:$G$10000,"="&amp;R25)))</f>
        <v/>
      </c>
      <c r="BB25" s="197" t="str">
        <f>IF(M25="","",(SUMIFS('[1]2_inventory_totals'!$I$8:$I$10000,'[1]2_inventory_totals'!$C$8:$C$10000,I25,'[1]2_inventory_totals'!$F$8:$F$10000,"="&amp;Q25,'[1]2_inventory_totals'!$G$8:$G$10000,"="&amp;R25)+SUMIFS('[1]2_inventory_totals'!$N$8:$N$10000,'[1]2_inventory_totals'!$C$8:$C$10000,I25,'[1]2_inventory_totals'!$F$8:$F$10000,"="&amp;Q25,'[1]2_inventory_totals'!$G$8:$G$10000,"="&amp;R25)+SUMIFS('[1]2_inventory_totals'!$P$8:$P$10000,'[1]2_inventory_totals'!$C$8:$C$10000,I25,'[1]2_inventory_totals'!$F$8:$F$10000,"="&amp;Q25,'[1]2_inventory_totals'!$G$8:$G$10000,"="&amp;R25)+SUMIFS('[1]2_inventory_totals'!$Q$8:$Q$10000,'[1]2_inventory_totals'!$C$8:$C$10000,I25,'[1]2_inventory_totals'!$F$8:$F$10000,"="&amp;Q25,'[1]2_inventory_totals'!$G$8:$G$10000,"="&amp;R25)+SUMIFS('[1]2_inventory_totals'!$R$8:$R$10000,'[1]2_inventory_totals'!$C$8:$C$10000,I25,'[1]2_inventory_totals'!$F$8:$F$10000,"="&amp;Q25,'[1]2_inventory_totals'!$G$8:$G$10000,"="&amp;R25))+(SUMIFS('[1]2_inventory_totals'!$J$8:$J$10000,'[1]2_inventory_totals'!$C$8:$C$10000,I25,'[1]2_inventory_totals'!$F$8:$F$10000,"="&amp;Q25,'[1]2_inventory_totals'!$G$8:$G$10000,"="&amp;R25)+SUMIFS('[1]2_inventory_totals'!$K$8:$K$10000,'[1]2_inventory_totals'!$C$8:$C$10000,I25,'[1]2_inventory_totals'!$F$8:$F$10000,"="&amp;Q25,'[1]2_inventory_totals'!$G$8:$G$10000,"="&amp;R25)+SUMIFS('[1]2_inventory_totals'!$L$8:$L$10000,'[1]2_inventory_totals'!$C$8:$C$10000,I25,'[1]2_inventory_totals'!$F$8:$F$10000,"="&amp;Q25,'[1]2_inventory_totals'!$G$8:$G$10000,"="&amp;R25)+SUMIFS('[1]2_inventory_totals'!$M$8:$M$10000,'[1]2_inventory_totals'!$C$8:$C$10000,I25,'[1]2_inventory_totals'!$F$8:$F$10000,"="&amp;Q25,'[1]2_inventory_totals'!$G$8:$G$10000,"="&amp;R25)+SUMIFS('[1]2_inventory_totals'!$O$8:$O$10000,'[1]2_inventory_totals'!$C$8:$C$10000,I25,'[1]2_inventory_totals'!$F$8:$F$10000,"="&amp;Q25,'[1]2_inventory_totals'!$G$8:$G$10000,"="&amp;R25)+SUMIFS('[1]2_inventory_totals'!$S$8:$S$10000,'[1]2_inventory_totals'!$C$8:$C$10000,I25,'[1]2_inventory_totals'!$F$8:$F$10000,"="&amp;Q25,'[1]2_inventory_totals'!$G$8:$G$10000,"="&amp;R25)))</f>
        <v/>
      </c>
    </row>
    <row r="26" spans="1:54" ht="27" hidden="1" customHeight="1">
      <c r="A26" s="923"/>
      <c r="B26" s="1251"/>
      <c r="C26" s="950"/>
      <c r="D26" s="950"/>
      <c r="E26" s="950"/>
      <c r="F26" s="1262"/>
      <c r="I26" s="1610" t="str">
        <f t="shared" si="7"/>
        <v/>
      </c>
      <c r="J26" s="1611" t="str">
        <f t="shared" si="23"/>
        <v/>
      </c>
      <c r="K26" s="1612" t="str">
        <f t="shared" si="8"/>
        <v/>
      </c>
      <c r="L26" s="1613"/>
      <c r="M26" s="883"/>
      <c r="N26" s="884"/>
      <c r="O26" s="884"/>
      <c r="P26" s="885"/>
      <c r="Q26" s="886"/>
      <c r="R26" s="891"/>
      <c r="S26" s="1614" t="str">
        <f t="shared" si="0"/>
        <v/>
      </c>
      <c r="T26" s="1536"/>
      <c r="U26" s="1864" t="str">
        <f t="shared" si="9"/>
        <v/>
      </c>
      <c r="V26" s="1615" t="str">
        <f t="shared" si="1"/>
        <v/>
      </c>
      <c r="W26" s="889"/>
      <c r="X26" s="1615" t="str">
        <f t="shared" si="2"/>
        <v/>
      </c>
      <c r="Y26" s="1865" t="str">
        <f t="shared" si="10"/>
        <v/>
      </c>
      <c r="Z26" s="890"/>
      <c r="AA26" s="197" t="str" cm="1">
        <f t="array" ref="AA26">IF(M26="","",IF(P26=AN26,1,Slookup(MID(AN26,1,3)*1,UomConversion!$D$8:$J$500,5,UomConversion!$E$8:$E$500,MID(P26,1,3)*1,UomConversion!$J$8:$J$500,1)))</f>
        <v/>
      </c>
      <c r="AB26" s="197" t="str">
        <f t="shared" si="11"/>
        <v/>
      </c>
      <c r="AC26" s="197" t="str">
        <f t="shared" si="12"/>
        <v/>
      </c>
      <c r="AD26" s="197" t="str">
        <f t="shared" si="13"/>
        <v/>
      </c>
      <c r="AE26" s="1866" t="str">
        <f t="shared" si="14"/>
        <v/>
      </c>
      <c r="AF26" s="1866" t="str">
        <f t="shared" si="15"/>
        <v/>
      </c>
      <c r="AG26" s="197" t="str">
        <f t="shared" si="16"/>
        <v/>
      </c>
      <c r="AH26" s="197" t="str">
        <f>IF(I26="","",IF(ISNA(MATCH(I26,IF(invoice_location_id=1,'[1]1_inventory_totals'!$C$8:$C$10000,IF(invoice_location_id=2,'[1]2_inventory_totals'!$C$8:$C$10000,0)),0)),0,IF(AV26&gt;0,1,0)))</f>
        <v/>
      </c>
      <c r="AI26" s="197" t="str">
        <f>IF(M26="","",IF(invoice_location_id=1,SUMIFS('[1]1_inventory_total_details'!$J$8:$J$10000,'[1]1_inventory_total_details'!$C$8:$C$10000,I26,'[1]1_inventory_total_details'!$F$8:$F$10000,invoice_location_id,'[1]1_inventory_total_details'!$G$8:$G$10000,"="&amp;Q26,'[1]1_inventory_total_details'!$H$8:$H$10000,"="&amp;R26,'[1]1_inventory_total_details'!$I$8:$I$10000,"="&amp;invoice_date)+SUMIFS('[1]1_inventory_total_details'!$M$8:$M$10000,'[1]1_inventory_total_details'!$C$8:$C$10000,I26,'[1]1_inventory_total_details'!$F$8:$F$10000,invoice_location_id,'[1]1_inventory_total_details'!$G$8:$G$10000,"="&amp;Q26,'[1]1_inventory_total_details'!$H$8:$H$10000,"="&amp;R26,'[1]1_inventory_total_details'!$I$8:$I$10000,"="&amp;invoice_date)+SUMIFS('[1]1_inventory_total_details'!$K$8:$K$10000,'[1]1_inventory_total_details'!$C$8:$C$10000,I26,'[1]1_inventory_total_details'!$F$8:$F$10000,invoice_location_id,'[1]1_inventory_total_details'!$G$8:$G$10000,"="&amp;Q26,'[1]1_inventory_total_details'!$H$8:$H$10000,"="&amp;R26,'[1]1_inventory_total_details'!$I$8:$I$10000,"="&amp;invoice_date)+SUMIFS('[1]1_inventory_total_details'!$L$8:$L$10000,'[1]1_inventory_total_details'!$C$8:$C$10000,I26,'[1]1_inventory_total_details'!$F$8:$F$10000,invoice_location_id,'[1]1_inventory_total_details'!$G$8:$G$10000,"="&amp;Q26,'[1]1_inventory_total_details'!$H$8:$H$10000,"="&amp;R26,'[1]1_inventory_total_details'!$I$8:$I$10000,"="&amp;invoice_date),SUMIFS('[1]2_inventory_total_details'!$J$8:$J$10000,'[1]2_inventory_total_details'!$C$8:$C$10000,I26,'[1]2_inventory_total_details'!$F$8:$F$10000,invoice_location_id,'[1]2_inventory_total_details'!$G$8:$G$10000,"="&amp;Q26,'[1]2_inventory_total_details'!$H$8:$H$10000,"="&amp;R26,'[1]2_inventory_total_details'!$I$8:$I$10000,"="&amp;invoice_date)+SUMIFS('[1]2_inventory_total_details'!$M$8:$M$10000,'[1]2_inventory_total_details'!$C$8:$C$10000,I26,'[1]2_inventory_total_details'!$F$8:$F$10000,invoice_location_id,'[1]2_inventory_total_details'!$G$8:$G$10000,"="&amp;Q26,'[1]2_inventory_total_details'!$H$8:$H$10000,"="&amp;R26,'[1]2_inventory_total_details'!$I$8:$I$10000,"="&amp;invoice_date)+SUMIFS('[1]2_inventory_total_details'!$K$8:$K$10000,'[1]2_inventory_total_details'!$C$8:$C$10000,I26,'[1]2_inventory_total_details'!$F$8:$F$10000,invoice_location_id,'[1]2_inventory_total_details'!$G$8:$G$10000,"="&amp;Q26,'[1]2_inventory_total_details'!$H$8:$H$10000,"="&amp;R26,'[1]2_inventory_total_details'!$I$8:$I$10000,"="&amp;invoice_date)+SUMIFS('[1]2_inventory_total_details'!$L$8:$L$10000,'[1]2_inventory_total_details'!$C$8:$C$10000,I26,'[1]2_inventory_total_details'!$F$8:$F$10000,invoice_location_id,'[1]2_inventory_total_details'!$G$8:$G$10000,"="&amp;Q26,'[1]2_inventory_total_details'!$H$8:$H$10000,"="&amp;R26,'[1]2_inventory_total_details'!$I$8:$I$10000,"="&amp;invoice_date)))</f>
        <v/>
      </c>
      <c r="AJ26" s="197" t="str">
        <f>IF(M26="","",IF(ISNA(MATCH(I26,'[1]1_group_totals'!$C$8:$C$10000)),0,IF(AW26&gt;0,1,0)))</f>
        <v/>
      </c>
      <c r="AK26" s="197" t="str">
        <f>IF(M26="","",(SUMIFS('[1]1_group_total_details'!$I$8:$I$10000,'[1]1_group_total_details'!$C$8:$C$10000,I26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26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26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26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26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26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26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26,'[1]1_group_total_details'!$F$8:$F$10000,invoice_location_group_id,'[1]1_group_total_details'!$G$8:$G$10000,invoice_location_id,'[1]1_group_total_details'!$H$8:$H$10000,"="&amp;invoice_date)))</f>
        <v/>
      </c>
      <c r="AL26" s="197" t="str">
        <f>IF(M26="","",(SUMIFS('[1]1_group_total_details'!$I$8:$I$10000,'[1]1_group_total_details'!$C$8:$C$10000,I26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26,'[1]1_group_total_details'!$F$8:$F$10000,invoice_location_group_id,'[1]1_group_total_details'!$G$8:$G$10000,1,'[1]1_group_total_details'!$H$8:$H$10000,"&lt;="&amp;invoice_date)+SUMIFS('[1]1_group_total_details'!$N$8:$N$10000,'[1]1_group_total_details'!$C$8:$C$10000,I26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26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26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26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26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26,'[1]1_group_total_details'!$F$8:$F$10000,invoice_location_group_id,'[1]1_group_total_details'!$G$8:$G$10000,invoice_location_id,'[1]1_group_total_details'!$H$8:$H$10000,"&lt;="&amp;invoice_date)))</f>
        <v/>
      </c>
      <c r="AM26" s="197" t="str">
        <f>IF(M26="","",SUMIFS('[1]1_group_totals'!$J$8:$J$10000,'[1]1_group_totals'!$C$8:$C$10000,I26,'[1]1_group_totals'!$F$8:$F$10000,invoice_location_group_id,'[1]1_group_totals'!$G$8:$G$10000,invoice_location_id,'[1]1_group_totals'!$H$8:$H$10000,"="&amp;Q26,'[1]1_group_totals'!$I$8:$I$10000,"="&amp;R26))</f>
        <v/>
      </c>
      <c r="AN26" s="197" t="str">
        <f t="shared" si="17"/>
        <v/>
      </c>
      <c r="AO26" s="197" t="str">
        <f>IF(OR(ISNA(MATCH(MID(AN26,1,3)*1,UomConversion!$D$8:$D$500,0)),M26=""),"",IF(AT26="","",AT26))</f>
        <v/>
      </c>
      <c r="AP26" s="197" t="str">
        <f>IF(AND(AQ26&gt;0,COUNTIFS(UomConversion!$D$8:$D$500,MID(AN26,1,3)*1,UomConversion!$J$8:$J$500,1)&gt;1),TEXT(AQ26,"000")&amp;"."&amp;VLOOKUP(AQ26,uom_list,5,FALSE),"")</f>
        <v/>
      </c>
      <c r="AQ26" s="197" t="str">
        <f t="shared" si="18"/>
        <v/>
      </c>
      <c r="AR26" s="197" t="str">
        <f t="shared" si="19"/>
        <v/>
      </c>
      <c r="AS26" s="1866" t="str">
        <f>IF(M26="","",SUMIFS(ProductPrice!$N$28:$N$10000,ProductPrice!$D$28:$D$10000,I26,ProductPrice!$G$28:$G$10000,invoice_branch_id,ProductPrice!$H$28:$H$10000,invoice_price_type_id,ProductPrice!$I$28:$I$10000,MID(P26,1,3)*1,ProductPrice!$Q$28:$Q$10000,1,ProductPrice!$T$28:$T$10000,1))</f>
        <v/>
      </c>
      <c r="AT26" s="197" t="str">
        <f t="shared" si="20"/>
        <v/>
      </c>
      <c r="AU26" s="197" t="str" cm="1">
        <f t="array" ref="AU26">IF(M26="","",IF(ISNA(Slookup(MID(AN26,1,3)*1,UomConversion!$D$8:$J$500,2,UomConversion!$I$8:$I$500,1,UomConversion!$J$8:$J$500,1)),"",Slookup(MID(AN26,1,3)*1,UomConversion!$D$8:$J$500,2,UomConversion!$I$8:$I$500,1,UomConversion!$J$8:$J$500,1)))</f>
        <v/>
      </c>
      <c r="AV26" s="197" t="str">
        <f t="shared" si="6"/>
        <v/>
      </c>
      <c r="AW26" s="197" t="str">
        <f>IF(M26="","",(SUMIFS('[1]1_group_totals'!$K$8:$K$10000,'[1]1_group_totals'!$C$8:$C$10000,I26,'[1]1_group_totals'!$F$8:$F$10000,invoice_location_group_id,'[1]1_group_totals'!$G$8:$G$10000,invoice_location_id,'[1]1_group_totals'!$H$8:$H$10000,"="&amp;Q26,'[1]1_group_totals'!$I$8:$I$10000,"="&amp;R26)+SUMIFS('[1]1_group_totals'!$N$8:$N$10000,'[1]1_group_totals'!$C$8:$C$10000,I26,'[1]1_group_totals'!$F$8:$F$10000,invoice_location_group_id,'[1]1_group_totals'!$G$8:$G$10000,invoice_location_id,'[1]1_group_totals'!$H$8:$H$10000,"="&amp;Q26,'[1]1_group_totals'!$I$8:$I$10000,"="&amp;R26)+SUMIFS('[1]1_group_totals'!$P$8:$P$10000,'[1]1_group_totals'!$C$8:$C$10000,I26,'[1]1_group_totals'!$F$8:$F$10000,invoice_location_group_id,'[1]1_group_totals'!$G$8:$G$10000,invoice_location_id,'[1]1_group_totals'!$H$8:$H$10000,"="&amp;Q26,'[1]1_group_totals'!$I$8:$I$10000,"="&amp;R26)+SUMIFS('[1]1_group_totals'!$Q$8:$Q$10000,'[1]1_group_totals'!$C$8:$C$10000,I26,'[1]1_group_totals'!$F$8:$F$10000,invoice_location_group_id,'[1]1_group_totals'!$G$8:$G$10000,invoice_location_id,'[1]1_group_totals'!$H$8:$H$10000,"="&amp;Q26,'[1]1_group_totals'!$I$8:$I$10000,"="&amp;R26))+(SUMIFS('[1]1_group_totals'!$L$8:$L$10000,'[1]1_group_totals'!$C$8:$C$10000,I26,'[1]1_group_totals'!$F$8:$F$10000,invoice_location_group_id,'[1]1_group_totals'!$G$8:$G$10000,invoice_location_id,'[1]1_group_totals'!$H$8:$H$10000,"="&amp;Q26,'[1]1_group_totals'!$I$8:$I$10000,"="&amp;R26)+SUMIFS('[1]1_group_totals'!$M$8:$M$10000,'[1]1_group_totals'!$C$8:$C$10000,I26,'[1]1_group_totals'!$F$8:$F$10000,invoice_location_group_id,'[1]1_group_totals'!$G$8:$G$10000,invoice_location_id,'[1]1_group_totals'!$H$8:$H$10000,"="&amp;Q26,'[1]1_group_totals'!$I$8:$I$10000,"="&amp;R26)+SUMIFS('[1]1_group_totals'!$O$8:$O$10000,'[1]1_group_totals'!$C$8:$C$10000,I26,'[1]1_group_totals'!$F$8:$F$10000,invoice_location_group_id,'[1]1_group_totals'!$G$8:$G$10000,invoice_location_id,'[1]1_group_totals'!$H$8:$H$10000,"="&amp;Q26,'[1]1_group_totals'!$I$8:$I$10000,"="&amp;R26)+SUMIFS('[1]1_group_totals'!$R$8:$R$10000,'[1]1_group_totals'!$C$8:$C$10000,I26,'[1]1_group_totals'!$F$8:$F$10000,invoice_location_group_id,'[1]1_group_totals'!$G$8:$G$10000,invoice_location_id,'[1]1_group_totals'!$H$8:$H$10000,"="&amp;Q26,'[1]1_group_totals'!$I$8:$I$10000,"="&amp;R26)))</f>
        <v/>
      </c>
      <c r="AX26" s="197" t="str">
        <f t="shared" si="21"/>
        <v/>
      </c>
      <c r="AY26" s="197" t="str">
        <f>IF(M26="","",SUMIFS($AX$8:AX26,$I$8:I26,I26))</f>
        <v/>
      </c>
      <c r="AZ26" s="197" t="str">
        <f t="shared" si="22"/>
        <v/>
      </c>
      <c r="BA26" s="197" t="str">
        <f>IF(M26="","",(SUMIFS('[1]1_inventory_totals'!$I$8:$I$10000,'[1]1_inventory_totals'!$C$8:$C$10000,I26,'[1]1_inventory_totals'!$F$8:$F$10000,"="&amp;Q26,'[1]1_inventory_totals'!$G$8:$G$10000,"="&amp;R26)+SUMIFS('[1]1_inventory_totals'!$N$8:$N$10000,'[1]1_inventory_totals'!$C$8:$C$10000,I26,'[1]1_inventory_totals'!$F$8:$F$10000,"="&amp;Q26,'[1]1_inventory_totals'!$G$8:$G$10000,"="&amp;R26)+SUMIFS('[1]1_inventory_totals'!$P$8:$P$10000,'[1]1_inventory_totals'!$C$8:$C$10000,I26,'[1]1_inventory_totals'!$F$8:$F$10000,"="&amp;Q26,'[1]1_inventory_totals'!$G$8:$G$10000,"="&amp;R26)+SUMIFS('[1]1_inventory_totals'!$Q$8:$Q$10000,'[1]1_inventory_totals'!$C$8:$C$10000,I26,'[1]1_inventory_totals'!$F$8:$F$10000,"="&amp;Q26,'[1]1_inventory_totals'!$G$8:$G$10000,"="&amp;R26)+SUMIFS('[1]1_inventory_totals'!$R$8:$R$10000,'[1]1_inventory_totals'!$C$8:$C$10000,I26,'[1]1_inventory_totals'!$F$8:$F$10000,"="&amp;Q26,'[1]1_inventory_totals'!$G$8:$G$10000,"="&amp;R26))+(SUMIFS('[1]1_inventory_totals'!$J$8:$J$10000,'[1]1_inventory_totals'!$C$8:$C$10000,I26,'[1]1_inventory_totals'!$F$8:$F$10000,"="&amp;Q26,'[1]1_inventory_totals'!$G$8:$G$10000,"="&amp;R26)+SUMIFS('[1]1_inventory_totals'!$K$8:$K$10000,'[1]1_inventory_totals'!$C$8:$C$10000,I26,'[1]1_inventory_totals'!$F$8:$F$10000,"="&amp;Q26,'[1]1_inventory_totals'!$G$8:$G$10000,"="&amp;R26)+SUMIFS('[1]1_inventory_totals'!$L$8:$L$10000,'[1]1_inventory_totals'!$C$8:$C$10000,I26,'[1]1_inventory_totals'!$F$8:$F$10000,"="&amp;Q26,'[1]1_inventory_totals'!$G$8:$G$10000,"="&amp;R26)+SUMIFS('[1]1_inventory_totals'!$M$8:$M$10000,'[1]1_inventory_totals'!$C$8:$C$10000,I26,'[1]1_inventory_totals'!$F$8:$F$10000,"="&amp;Q26,'[1]1_inventory_totals'!$G$8:$G$10000,"="&amp;R26)+SUMIFS('[1]1_inventory_totals'!$O$8:$O$10000,'[1]1_inventory_totals'!$C$8:$C$10000,I26,'[1]1_inventory_totals'!$F$8:$F$10000,"="&amp;Q26,'[1]1_inventory_totals'!$G$8:$G$10000,"="&amp;R26)+SUMIFS('[1]1_inventory_totals'!$S$8:$S$10000,'[1]1_inventory_totals'!$C$8:$C$10000,I26,'[1]1_inventory_totals'!$F$8:$F$10000,"="&amp;Q26,'[1]1_inventory_totals'!$G$8:$G$10000,"="&amp;R26)))</f>
        <v/>
      </c>
      <c r="BB26" s="197" t="str">
        <f>IF(M26="","",(SUMIFS('[1]2_inventory_totals'!$I$8:$I$10000,'[1]2_inventory_totals'!$C$8:$C$10000,I26,'[1]2_inventory_totals'!$F$8:$F$10000,"="&amp;Q26,'[1]2_inventory_totals'!$G$8:$G$10000,"="&amp;R26)+SUMIFS('[1]2_inventory_totals'!$N$8:$N$10000,'[1]2_inventory_totals'!$C$8:$C$10000,I26,'[1]2_inventory_totals'!$F$8:$F$10000,"="&amp;Q26,'[1]2_inventory_totals'!$G$8:$G$10000,"="&amp;R26)+SUMIFS('[1]2_inventory_totals'!$P$8:$P$10000,'[1]2_inventory_totals'!$C$8:$C$10000,I26,'[1]2_inventory_totals'!$F$8:$F$10000,"="&amp;Q26,'[1]2_inventory_totals'!$G$8:$G$10000,"="&amp;R26)+SUMIFS('[1]2_inventory_totals'!$Q$8:$Q$10000,'[1]2_inventory_totals'!$C$8:$C$10000,I26,'[1]2_inventory_totals'!$F$8:$F$10000,"="&amp;Q26,'[1]2_inventory_totals'!$G$8:$G$10000,"="&amp;R26)+SUMIFS('[1]2_inventory_totals'!$R$8:$R$10000,'[1]2_inventory_totals'!$C$8:$C$10000,I26,'[1]2_inventory_totals'!$F$8:$F$10000,"="&amp;Q26,'[1]2_inventory_totals'!$G$8:$G$10000,"="&amp;R26))+(SUMIFS('[1]2_inventory_totals'!$J$8:$J$10000,'[1]2_inventory_totals'!$C$8:$C$10000,I26,'[1]2_inventory_totals'!$F$8:$F$10000,"="&amp;Q26,'[1]2_inventory_totals'!$G$8:$G$10000,"="&amp;R26)+SUMIFS('[1]2_inventory_totals'!$K$8:$K$10000,'[1]2_inventory_totals'!$C$8:$C$10000,I26,'[1]2_inventory_totals'!$F$8:$F$10000,"="&amp;Q26,'[1]2_inventory_totals'!$G$8:$G$10000,"="&amp;R26)+SUMIFS('[1]2_inventory_totals'!$L$8:$L$10000,'[1]2_inventory_totals'!$C$8:$C$10000,I26,'[1]2_inventory_totals'!$F$8:$F$10000,"="&amp;Q26,'[1]2_inventory_totals'!$G$8:$G$10000,"="&amp;R26)+SUMIFS('[1]2_inventory_totals'!$M$8:$M$10000,'[1]2_inventory_totals'!$C$8:$C$10000,I26,'[1]2_inventory_totals'!$F$8:$F$10000,"="&amp;Q26,'[1]2_inventory_totals'!$G$8:$G$10000,"="&amp;R26)+SUMIFS('[1]2_inventory_totals'!$O$8:$O$10000,'[1]2_inventory_totals'!$C$8:$C$10000,I26,'[1]2_inventory_totals'!$F$8:$F$10000,"="&amp;Q26,'[1]2_inventory_totals'!$G$8:$G$10000,"="&amp;R26)+SUMIFS('[1]2_inventory_totals'!$S$8:$S$10000,'[1]2_inventory_totals'!$C$8:$C$10000,I26,'[1]2_inventory_totals'!$F$8:$F$10000,"="&amp;Q26,'[1]2_inventory_totals'!$G$8:$G$10000,"="&amp;R26)))</f>
        <v/>
      </c>
    </row>
    <row r="27" spans="1:54" ht="27" hidden="1" customHeight="1">
      <c r="A27" s="923"/>
      <c r="B27" s="1251"/>
      <c r="C27" s="950"/>
      <c r="D27" s="950"/>
      <c r="E27" s="950"/>
      <c r="F27" s="1262"/>
      <c r="I27" s="1610" t="str">
        <f t="shared" si="7"/>
        <v/>
      </c>
      <c r="J27" s="1611" t="str">
        <f t="shared" si="23"/>
        <v/>
      </c>
      <c r="K27" s="1612" t="str">
        <f t="shared" si="8"/>
        <v/>
      </c>
      <c r="L27" s="1613"/>
      <c r="M27" s="883"/>
      <c r="N27" s="884"/>
      <c r="O27" s="884"/>
      <c r="P27" s="885"/>
      <c r="Q27" s="886"/>
      <c r="R27" s="891"/>
      <c r="S27" s="1614" t="str">
        <f t="shared" si="0"/>
        <v/>
      </c>
      <c r="T27" s="1536"/>
      <c r="U27" s="1864" t="str">
        <f t="shared" si="9"/>
        <v/>
      </c>
      <c r="V27" s="1615" t="str">
        <f t="shared" si="1"/>
        <v/>
      </c>
      <c r="W27" s="889"/>
      <c r="X27" s="1615" t="str">
        <f t="shared" si="2"/>
        <v/>
      </c>
      <c r="Y27" s="1865" t="str">
        <f t="shared" si="10"/>
        <v/>
      </c>
      <c r="Z27" s="890"/>
      <c r="AA27" s="197" t="str" cm="1">
        <f t="array" ref="AA27">IF(M27="","",IF(P27=AN27,1,Slookup(MID(AN27,1,3)*1,UomConversion!$D$8:$J$500,5,UomConversion!$E$8:$E$500,MID(P27,1,3)*1,UomConversion!$J$8:$J$500,1)))</f>
        <v/>
      </c>
      <c r="AB27" s="197" t="str">
        <f t="shared" si="11"/>
        <v/>
      </c>
      <c r="AC27" s="197" t="str">
        <f t="shared" si="12"/>
        <v/>
      </c>
      <c r="AD27" s="197" t="str">
        <f t="shared" si="13"/>
        <v/>
      </c>
      <c r="AE27" s="1866" t="str">
        <f t="shared" si="14"/>
        <v/>
      </c>
      <c r="AF27" s="1866" t="str">
        <f t="shared" si="15"/>
        <v/>
      </c>
      <c r="AG27" s="197" t="str">
        <f t="shared" si="16"/>
        <v/>
      </c>
      <c r="AH27" s="197" t="str">
        <f>IF(I27="","",IF(ISNA(MATCH(I27,IF(invoice_location_id=1,'[1]1_inventory_totals'!$C$8:$C$10000,IF(invoice_location_id=2,'[1]2_inventory_totals'!$C$8:$C$10000,0)),0)),0,IF(AV27&gt;0,1,0)))</f>
        <v/>
      </c>
      <c r="AI27" s="197" t="str">
        <f>IF(M27="","",IF(invoice_location_id=1,SUMIFS('[1]1_inventory_total_details'!$J$8:$J$10000,'[1]1_inventory_total_details'!$C$8:$C$10000,I27,'[1]1_inventory_total_details'!$F$8:$F$10000,invoice_location_id,'[1]1_inventory_total_details'!$G$8:$G$10000,"="&amp;Q27,'[1]1_inventory_total_details'!$H$8:$H$10000,"="&amp;R27,'[1]1_inventory_total_details'!$I$8:$I$10000,"="&amp;invoice_date)+SUMIFS('[1]1_inventory_total_details'!$M$8:$M$10000,'[1]1_inventory_total_details'!$C$8:$C$10000,I27,'[1]1_inventory_total_details'!$F$8:$F$10000,invoice_location_id,'[1]1_inventory_total_details'!$G$8:$G$10000,"="&amp;Q27,'[1]1_inventory_total_details'!$H$8:$H$10000,"="&amp;R27,'[1]1_inventory_total_details'!$I$8:$I$10000,"="&amp;invoice_date)+SUMIFS('[1]1_inventory_total_details'!$K$8:$K$10000,'[1]1_inventory_total_details'!$C$8:$C$10000,I27,'[1]1_inventory_total_details'!$F$8:$F$10000,invoice_location_id,'[1]1_inventory_total_details'!$G$8:$G$10000,"="&amp;Q27,'[1]1_inventory_total_details'!$H$8:$H$10000,"="&amp;R27,'[1]1_inventory_total_details'!$I$8:$I$10000,"="&amp;invoice_date)+SUMIFS('[1]1_inventory_total_details'!$L$8:$L$10000,'[1]1_inventory_total_details'!$C$8:$C$10000,I27,'[1]1_inventory_total_details'!$F$8:$F$10000,invoice_location_id,'[1]1_inventory_total_details'!$G$8:$G$10000,"="&amp;Q27,'[1]1_inventory_total_details'!$H$8:$H$10000,"="&amp;R27,'[1]1_inventory_total_details'!$I$8:$I$10000,"="&amp;invoice_date),SUMIFS('[1]2_inventory_total_details'!$J$8:$J$10000,'[1]2_inventory_total_details'!$C$8:$C$10000,I27,'[1]2_inventory_total_details'!$F$8:$F$10000,invoice_location_id,'[1]2_inventory_total_details'!$G$8:$G$10000,"="&amp;Q27,'[1]2_inventory_total_details'!$H$8:$H$10000,"="&amp;R27,'[1]2_inventory_total_details'!$I$8:$I$10000,"="&amp;invoice_date)+SUMIFS('[1]2_inventory_total_details'!$M$8:$M$10000,'[1]2_inventory_total_details'!$C$8:$C$10000,I27,'[1]2_inventory_total_details'!$F$8:$F$10000,invoice_location_id,'[1]2_inventory_total_details'!$G$8:$G$10000,"="&amp;Q27,'[1]2_inventory_total_details'!$H$8:$H$10000,"="&amp;R27,'[1]2_inventory_total_details'!$I$8:$I$10000,"="&amp;invoice_date)+SUMIFS('[1]2_inventory_total_details'!$K$8:$K$10000,'[1]2_inventory_total_details'!$C$8:$C$10000,I27,'[1]2_inventory_total_details'!$F$8:$F$10000,invoice_location_id,'[1]2_inventory_total_details'!$G$8:$G$10000,"="&amp;Q27,'[1]2_inventory_total_details'!$H$8:$H$10000,"="&amp;R27,'[1]2_inventory_total_details'!$I$8:$I$10000,"="&amp;invoice_date)+SUMIFS('[1]2_inventory_total_details'!$L$8:$L$10000,'[1]2_inventory_total_details'!$C$8:$C$10000,I27,'[1]2_inventory_total_details'!$F$8:$F$10000,invoice_location_id,'[1]2_inventory_total_details'!$G$8:$G$10000,"="&amp;Q27,'[1]2_inventory_total_details'!$H$8:$H$10000,"="&amp;R27,'[1]2_inventory_total_details'!$I$8:$I$10000,"="&amp;invoice_date)))</f>
        <v/>
      </c>
      <c r="AJ27" s="197" t="str">
        <f>IF(M27="","",IF(ISNA(MATCH(I27,'[1]1_group_totals'!$C$8:$C$10000)),0,IF(AW27&gt;0,1,0)))</f>
        <v/>
      </c>
      <c r="AK27" s="197" t="str">
        <f>IF(M27="","",(SUMIFS('[1]1_group_total_details'!$I$8:$I$10000,'[1]1_group_total_details'!$C$8:$C$10000,I27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27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27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27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27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27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27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27,'[1]1_group_total_details'!$F$8:$F$10000,invoice_location_group_id,'[1]1_group_total_details'!$G$8:$G$10000,invoice_location_id,'[1]1_group_total_details'!$H$8:$H$10000,"="&amp;invoice_date)))</f>
        <v/>
      </c>
      <c r="AL27" s="197" t="str">
        <f>IF(M27="","",(SUMIFS('[1]1_group_total_details'!$I$8:$I$10000,'[1]1_group_total_details'!$C$8:$C$10000,I27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27,'[1]1_group_total_details'!$F$8:$F$10000,invoice_location_group_id,'[1]1_group_total_details'!$G$8:$G$10000,1,'[1]1_group_total_details'!$H$8:$H$10000,"&lt;="&amp;invoice_date)+SUMIFS('[1]1_group_total_details'!$N$8:$N$10000,'[1]1_group_total_details'!$C$8:$C$10000,I27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27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27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27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27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27,'[1]1_group_total_details'!$F$8:$F$10000,invoice_location_group_id,'[1]1_group_total_details'!$G$8:$G$10000,invoice_location_id,'[1]1_group_total_details'!$H$8:$H$10000,"&lt;="&amp;invoice_date)))</f>
        <v/>
      </c>
      <c r="AM27" s="197" t="str">
        <f>IF(M27="","",SUMIFS('[1]1_group_totals'!$J$8:$J$10000,'[1]1_group_totals'!$C$8:$C$10000,I27,'[1]1_group_totals'!$F$8:$F$10000,invoice_location_group_id,'[1]1_group_totals'!$G$8:$G$10000,invoice_location_id,'[1]1_group_totals'!$H$8:$H$10000,"="&amp;Q27,'[1]1_group_totals'!$I$8:$I$10000,"="&amp;R27))</f>
        <v/>
      </c>
      <c r="AN27" s="197" t="str">
        <f t="shared" si="17"/>
        <v/>
      </c>
      <c r="AO27" s="197" t="str">
        <f>IF(OR(ISNA(MATCH(MID(AN27,1,3)*1,UomConversion!$D$8:$D$500,0)),M27=""),"",IF(AT27="","",AT27))</f>
        <v/>
      </c>
      <c r="AP27" s="197" t="str">
        <f>IF(AND(AQ27&gt;0,COUNTIFS(UomConversion!$D$8:$D$500,MID(AN27,1,3)*1,UomConversion!$J$8:$J$500,1)&gt;1),TEXT(AQ27,"000")&amp;"."&amp;VLOOKUP(AQ27,uom_list,5,FALSE),"")</f>
        <v/>
      </c>
      <c r="AQ27" s="197" t="str">
        <f t="shared" si="18"/>
        <v/>
      </c>
      <c r="AR27" s="197" t="str">
        <f t="shared" si="19"/>
        <v/>
      </c>
      <c r="AS27" s="1866" t="str">
        <f>IF(M27="","",SUMIFS(ProductPrice!$N$28:$N$10000,ProductPrice!$D$28:$D$10000,I27,ProductPrice!$G$28:$G$10000,invoice_branch_id,ProductPrice!$H$28:$H$10000,invoice_price_type_id,ProductPrice!$I$28:$I$10000,MID(P27,1,3)*1,ProductPrice!$Q$28:$Q$10000,1,ProductPrice!$T$28:$T$10000,1))</f>
        <v/>
      </c>
      <c r="AT27" s="197" t="str">
        <f t="shared" si="20"/>
        <v/>
      </c>
      <c r="AU27" s="197" t="str" cm="1">
        <f t="array" ref="AU27">IF(M27="","",IF(ISNA(Slookup(MID(AN27,1,3)*1,UomConversion!$D$8:$J$500,2,UomConversion!$I$8:$I$500,1,UomConversion!$J$8:$J$500,1)),"",Slookup(MID(AN27,1,3)*1,UomConversion!$D$8:$J$500,2,UomConversion!$I$8:$I$500,1,UomConversion!$J$8:$J$500,1)))</f>
        <v/>
      </c>
      <c r="AV27" s="197" t="str">
        <f t="shared" si="6"/>
        <v/>
      </c>
      <c r="AW27" s="197" t="str">
        <f>IF(M27="","",(SUMIFS('[1]1_group_totals'!$K$8:$K$10000,'[1]1_group_totals'!$C$8:$C$10000,I27,'[1]1_group_totals'!$F$8:$F$10000,invoice_location_group_id,'[1]1_group_totals'!$G$8:$G$10000,invoice_location_id,'[1]1_group_totals'!$H$8:$H$10000,"="&amp;Q27,'[1]1_group_totals'!$I$8:$I$10000,"="&amp;R27)+SUMIFS('[1]1_group_totals'!$N$8:$N$10000,'[1]1_group_totals'!$C$8:$C$10000,I27,'[1]1_group_totals'!$F$8:$F$10000,invoice_location_group_id,'[1]1_group_totals'!$G$8:$G$10000,invoice_location_id,'[1]1_group_totals'!$H$8:$H$10000,"="&amp;Q27,'[1]1_group_totals'!$I$8:$I$10000,"="&amp;R27)+SUMIFS('[1]1_group_totals'!$P$8:$P$10000,'[1]1_group_totals'!$C$8:$C$10000,I27,'[1]1_group_totals'!$F$8:$F$10000,invoice_location_group_id,'[1]1_group_totals'!$G$8:$G$10000,invoice_location_id,'[1]1_group_totals'!$H$8:$H$10000,"="&amp;Q27,'[1]1_group_totals'!$I$8:$I$10000,"="&amp;R27)+SUMIFS('[1]1_group_totals'!$Q$8:$Q$10000,'[1]1_group_totals'!$C$8:$C$10000,I27,'[1]1_group_totals'!$F$8:$F$10000,invoice_location_group_id,'[1]1_group_totals'!$G$8:$G$10000,invoice_location_id,'[1]1_group_totals'!$H$8:$H$10000,"="&amp;Q27,'[1]1_group_totals'!$I$8:$I$10000,"="&amp;R27))+(SUMIFS('[1]1_group_totals'!$L$8:$L$10000,'[1]1_group_totals'!$C$8:$C$10000,I27,'[1]1_group_totals'!$F$8:$F$10000,invoice_location_group_id,'[1]1_group_totals'!$G$8:$G$10000,invoice_location_id,'[1]1_group_totals'!$H$8:$H$10000,"="&amp;Q27,'[1]1_group_totals'!$I$8:$I$10000,"="&amp;R27)+SUMIFS('[1]1_group_totals'!$M$8:$M$10000,'[1]1_group_totals'!$C$8:$C$10000,I27,'[1]1_group_totals'!$F$8:$F$10000,invoice_location_group_id,'[1]1_group_totals'!$G$8:$G$10000,invoice_location_id,'[1]1_group_totals'!$H$8:$H$10000,"="&amp;Q27,'[1]1_group_totals'!$I$8:$I$10000,"="&amp;R27)+SUMIFS('[1]1_group_totals'!$O$8:$O$10000,'[1]1_group_totals'!$C$8:$C$10000,I27,'[1]1_group_totals'!$F$8:$F$10000,invoice_location_group_id,'[1]1_group_totals'!$G$8:$G$10000,invoice_location_id,'[1]1_group_totals'!$H$8:$H$10000,"="&amp;Q27,'[1]1_group_totals'!$I$8:$I$10000,"="&amp;R27)+SUMIFS('[1]1_group_totals'!$R$8:$R$10000,'[1]1_group_totals'!$C$8:$C$10000,I27,'[1]1_group_totals'!$F$8:$F$10000,invoice_location_group_id,'[1]1_group_totals'!$G$8:$G$10000,invoice_location_id,'[1]1_group_totals'!$H$8:$H$10000,"="&amp;Q27,'[1]1_group_totals'!$I$8:$I$10000,"="&amp;R27)))</f>
        <v/>
      </c>
      <c r="AX27" s="197" t="str">
        <f t="shared" si="21"/>
        <v/>
      </c>
      <c r="AY27" s="197" t="str">
        <f>IF(M27="","",SUMIFS($AX$8:AX27,$I$8:I27,I27))</f>
        <v/>
      </c>
      <c r="AZ27" s="197" t="str">
        <f t="shared" si="22"/>
        <v/>
      </c>
      <c r="BA27" s="197" t="str">
        <f>IF(M27="","",(SUMIFS('[1]1_inventory_totals'!$I$8:$I$10000,'[1]1_inventory_totals'!$C$8:$C$10000,I27,'[1]1_inventory_totals'!$F$8:$F$10000,"="&amp;Q27,'[1]1_inventory_totals'!$G$8:$G$10000,"="&amp;R27)+SUMIFS('[1]1_inventory_totals'!$N$8:$N$10000,'[1]1_inventory_totals'!$C$8:$C$10000,I27,'[1]1_inventory_totals'!$F$8:$F$10000,"="&amp;Q27,'[1]1_inventory_totals'!$G$8:$G$10000,"="&amp;R27)+SUMIFS('[1]1_inventory_totals'!$P$8:$P$10000,'[1]1_inventory_totals'!$C$8:$C$10000,I27,'[1]1_inventory_totals'!$F$8:$F$10000,"="&amp;Q27,'[1]1_inventory_totals'!$G$8:$G$10000,"="&amp;R27)+SUMIFS('[1]1_inventory_totals'!$Q$8:$Q$10000,'[1]1_inventory_totals'!$C$8:$C$10000,I27,'[1]1_inventory_totals'!$F$8:$F$10000,"="&amp;Q27,'[1]1_inventory_totals'!$G$8:$G$10000,"="&amp;R27)+SUMIFS('[1]1_inventory_totals'!$R$8:$R$10000,'[1]1_inventory_totals'!$C$8:$C$10000,I27,'[1]1_inventory_totals'!$F$8:$F$10000,"="&amp;Q27,'[1]1_inventory_totals'!$G$8:$G$10000,"="&amp;R27))+(SUMIFS('[1]1_inventory_totals'!$J$8:$J$10000,'[1]1_inventory_totals'!$C$8:$C$10000,I27,'[1]1_inventory_totals'!$F$8:$F$10000,"="&amp;Q27,'[1]1_inventory_totals'!$G$8:$G$10000,"="&amp;R27)+SUMIFS('[1]1_inventory_totals'!$K$8:$K$10000,'[1]1_inventory_totals'!$C$8:$C$10000,I27,'[1]1_inventory_totals'!$F$8:$F$10000,"="&amp;Q27,'[1]1_inventory_totals'!$G$8:$G$10000,"="&amp;R27)+SUMIFS('[1]1_inventory_totals'!$L$8:$L$10000,'[1]1_inventory_totals'!$C$8:$C$10000,I27,'[1]1_inventory_totals'!$F$8:$F$10000,"="&amp;Q27,'[1]1_inventory_totals'!$G$8:$G$10000,"="&amp;R27)+SUMIFS('[1]1_inventory_totals'!$M$8:$M$10000,'[1]1_inventory_totals'!$C$8:$C$10000,I27,'[1]1_inventory_totals'!$F$8:$F$10000,"="&amp;Q27,'[1]1_inventory_totals'!$G$8:$G$10000,"="&amp;R27)+SUMIFS('[1]1_inventory_totals'!$O$8:$O$10000,'[1]1_inventory_totals'!$C$8:$C$10000,I27,'[1]1_inventory_totals'!$F$8:$F$10000,"="&amp;Q27,'[1]1_inventory_totals'!$G$8:$G$10000,"="&amp;R27)+SUMIFS('[1]1_inventory_totals'!$S$8:$S$10000,'[1]1_inventory_totals'!$C$8:$C$10000,I27,'[1]1_inventory_totals'!$F$8:$F$10000,"="&amp;Q27,'[1]1_inventory_totals'!$G$8:$G$10000,"="&amp;R27)))</f>
        <v/>
      </c>
      <c r="BB27" s="197" t="str">
        <f>IF(M27="","",(SUMIFS('[1]2_inventory_totals'!$I$8:$I$10000,'[1]2_inventory_totals'!$C$8:$C$10000,I27,'[1]2_inventory_totals'!$F$8:$F$10000,"="&amp;Q27,'[1]2_inventory_totals'!$G$8:$G$10000,"="&amp;R27)+SUMIFS('[1]2_inventory_totals'!$N$8:$N$10000,'[1]2_inventory_totals'!$C$8:$C$10000,I27,'[1]2_inventory_totals'!$F$8:$F$10000,"="&amp;Q27,'[1]2_inventory_totals'!$G$8:$G$10000,"="&amp;R27)+SUMIFS('[1]2_inventory_totals'!$P$8:$P$10000,'[1]2_inventory_totals'!$C$8:$C$10000,I27,'[1]2_inventory_totals'!$F$8:$F$10000,"="&amp;Q27,'[1]2_inventory_totals'!$G$8:$G$10000,"="&amp;R27)+SUMIFS('[1]2_inventory_totals'!$Q$8:$Q$10000,'[1]2_inventory_totals'!$C$8:$C$10000,I27,'[1]2_inventory_totals'!$F$8:$F$10000,"="&amp;Q27,'[1]2_inventory_totals'!$G$8:$G$10000,"="&amp;R27)+SUMIFS('[1]2_inventory_totals'!$R$8:$R$10000,'[1]2_inventory_totals'!$C$8:$C$10000,I27,'[1]2_inventory_totals'!$F$8:$F$10000,"="&amp;Q27,'[1]2_inventory_totals'!$G$8:$G$10000,"="&amp;R27))+(SUMIFS('[1]2_inventory_totals'!$J$8:$J$10000,'[1]2_inventory_totals'!$C$8:$C$10000,I27,'[1]2_inventory_totals'!$F$8:$F$10000,"="&amp;Q27,'[1]2_inventory_totals'!$G$8:$G$10000,"="&amp;R27)+SUMIFS('[1]2_inventory_totals'!$K$8:$K$10000,'[1]2_inventory_totals'!$C$8:$C$10000,I27,'[1]2_inventory_totals'!$F$8:$F$10000,"="&amp;Q27,'[1]2_inventory_totals'!$G$8:$G$10000,"="&amp;R27)+SUMIFS('[1]2_inventory_totals'!$L$8:$L$10000,'[1]2_inventory_totals'!$C$8:$C$10000,I27,'[1]2_inventory_totals'!$F$8:$F$10000,"="&amp;Q27,'[1]2_inventory_totals'!$G$8:$G$10000,"="&amp;R27)+SUMIFS('[1]2_inventory_totals'!$M$8:$M$10000,'[1]2_inventory_totals'!$C$8:$C$10000,I27,'[1]2_inventory_totals'!$F$8:$F$10000,"="&amp;Q27,'[1]2_inventory_totals'!$G$8:$G$10000,"="&amp;R27)+SUMIFS('[1]2_inventory_totals'!$O$8:$O$10000,'[1]2_inventory_totals'!$C$8:$C$10000,I27,'[1]2_inventory_totals'!$F$8:$F$10000,"="&amp;Q27,'[1]2_inventory_totals'!$G$8:$G$10000,"="&amp;R27)+SUMIFS('[1]2_inventory_totals'!$S$8:$S$10000,'[1]2_inventory_totals'!$C$8:$C$10000,I27,'[1]2_inventory_totals'!$F$8:$F$10000,"="&amp;Q27,'[1]2_inventory_totals'!$G$8:$G$10000,"="&amp;R27)))</f>
        <v/>
      </c>
    </row>
    <row r="28" spans="1:54" ht="27" hidden="1" customHeight="1">
      <c r="A28" s="923"/>
      <c r="B28" s="1251"/>
      <c r="C28" s="950"/>
      <c r="D28" s="950"/>
      <c r="E28" s="950"/>
      <c r="F28" s="1262"/>
      <c r="I28" s="1610" t="str">
        <f t="shared" si="7"/>
        <v/>
      </c>
      <c r="J28" s="1611" t="str">
        <f t="shared" si="23"/>
        <v/>
      </c>
      <c r="K28" s="1612" t="str">
        <f t="shared" si="8"/>
        <v/>
      </c>
      <c r="L28" s="1613"/>
      <c r="M28" s="883"/>
      <c r="N28" s="884"/>
      <c r="O28" s="884"/>
      <c r="P28" s="885"/>
      <c r="Q28" s="886"/>
      <c r="R28" s="891"/>
      <c r="S28" s="1614" t="str">
        <f t="shared" si="0"/>
        <v/>
      </c>
      <c r="T28" s="1536"/>
      <c r="U28" s="1864" t="str">
        <f t="shared" si="9"/>
        <v/>
      </c>
      <c r="V28" s="1615" t="str">
        <f t="shared" si="1"/>
        <v/>
      </c>
      <c r="W28" s="889"/>
      <c r="X28" s="1615" t="str">
        <f t="shared" si="2"/>
        <v/>
      </c>
      <c r="Y28" s="1865" t="str">
        <f t="shared" si="10"/>
        <v/>
      </c>
      <c r="Z28" s="890"/>
      <c r="AA28" s="197" t="str" cm="1">
        <f t="array" ref="AA28">IF(M28="","",IF(P28=AN28,1,Slookup(MID(AN28,1,3)*1,UomConversion!$D$8:$J$500,5,UomConversion!$E$8:$E$500,MID(P28,1,3)*1,UomConversion!$J$8:$J$500,1)))</f>
        <v/>
      </c>
      <c r="AB28" s="197" t="str">
        <f t="shared" si="11"/>
        <v/>
      </c>
      <c r="AC28" s="197" t="str">
        <f t="shared" si="12"/>
        <v/>
      </c>
      <c r="AD28" s="197" t="str">
        <f t="shared" si="13"/>
        <v/>
      </c>
      <c r="AE28" s="1866" t="str">
        <f t="shared" si="14"/>
        <v/>
      </c>
      <c r="AF28" s="1866" t="str">
        <f t="shared" si="15"/>
        <v/>
      </c>
      <c r="AG28" s="197" t="str">
        <f t="shared" si="16"/>
        <v/>
      </c>
      <c r="AH28" s="197" t="str">
        <f>IF(I28="","",IF(ISNA(MATCH(I28,IF(invoice_location_id=1,'[1]1_inventory_totals'!$C$8:$C$10000,IF(invoice_location_id=2,'[1]2_inventory_totals'!$C$8:$C$10000,0)),0)),0,IF(AV28&gt;0,1,0)))</f>
        <v/>
      </c>
      <c r="AI28" s="197" t="str">
        <f>IF(M28="","",IF(invoice_location_id=1,SUMIFS('[1]1_inventory_total_details'!$J$8:$J$10000,'[1]1_inventory_total_details'!$C$8:$C$10000,I28,'[1]1_inventory_total_details'!$F$8:$F$10000,invoice_location_id,'[1]1_inventory_total_details'!$G$8:$G$10000,"="&amp;Q28,'[1]1_inventory_total_details'!$H$8:$H$10000,"="&amp;R28,'[1]1_inventory_total_details'!$I$8:$I$10000,"="&amp;invoice_date)+SUMIFS('[1]1_inventory_total_details'!$M$8:$M$10000,'[1]1_inventory_total_details'!$C$8:$C$10000,I28,'[1]1_inventory_total_details'!$F$8:$F$10000,invoice_location_id,'[1]1_inventory_total_details'!$G$8:$G$10000,"="&amp;Q28,'[1]1_inventory_total_details'!$H$8:$H$10000,"="&amp;R28,'[1]1_inventory_total_details'!$I$8:$I$10000,"="&amp;invoice_date)+SUMIFS('[1]1_inventory_total_details'!$K$8:$K$10000,'[1]1_inventory_total_details'!$C$8:$C$10000,I28,'[1]1_inventory_total_details'!$F$8:$F$10000,invoice_location_id,'[1]1_inventory_total_details'!$G$8:$G$10000,"="&amp;Q28,'[1]1_inventory_total_details'!$H$8:$H$10000,"="&amp;R28,'[1]1_inventory_total_details'!$I$8:$I$10000,"="&amp;invoice_date)+SUMIFS('[1]1_inventory_total_details'!$L$8:$L$10000,'[1]1_inventory_total_details'!$C$8:$C$10000,I28,'[1]1_inventory_total_details'!$F$8:$F$10000,invoice_location_id,'[1]1_inventory_total_details'!$G$8:$G$10000,"="&amp;Q28,'[1]1_inventory_total_details'!$H$8:$H$10000,"="&amp;R28,'[1]1_inventory_total_details'!$I$8:$I$10000,"="&amp;invoice_date),SUMIFS('[1]2_inventory_total_details'!$J$8:$J$10000,'[1]2_inventory_total_details'!$C$8:$C$10000,I28,'[1]2_inventory_total_details'!$F$8:$F$10000,invoice_location_id,'[1]2_inventory_total_details'!$G$8:$G$10000,"="&amp;Q28,'[1]2_inventory_total_details'!$H$8:$H$10000,"="&amp;R28,'[1]2_inventory_total_details'!$I$8:$I$10000,"="&amp;invoice_date)+SUMIFS('[1]2_inventory_total_details'!$M$8:$M$10000,'[1]2_inventory_total_details'!$C$8:$C$10000,I28,'[1]2_inventory_total_details'!$F$8:$F$10000,invoice_location_id,'[1]2_inventory_total_details'!$G$8:$G$10000,"="&amp;Q28,'[1]2_inventory_total_details'!$H$8:$H$10000,"="&amp;R28,'[1]2_inventory_total_details'!$I$8:$I$10000,"="&amp;invoice_date)+SUMIFS('[1]2_inventory_total_details'!$K$8:$K$10000,'[1]2_inventory_total_details'!$C$8:$C$10000,I28,'[1]2_inventory_total_details'!$F$8:$F$10000,invoice_location_id,'[1]2_inventory_total_details'!$G$8:$G$10000,"="&amp;Q28,'[1]2_inventory_total_details'!$H$8:$H$10000,"="&amp;R28,'[1]2_inventory_total_details'!$I$8:$I$10000,"="&amp;invoice_date)+SUMIFS('[1]2_inventory_total_details'!$L$8:$L$10000,'[1]2_inventory_total_details'!$C$8:$C$10000,I28,'[1]2_inventory_total_details'!$F$8:$F$10000,invoice_location_id,'[1]2_inventory_total_details'!$G$8:$G$10000,"="&amp;Q28,'[1]2_inventory_total_details'!$H$8:$H$10000,"="&amp;R28,'[1]2_inventory_total_details'!$I$8:$I$10000,"="&amp;invoice_date)))</f>
        <v/>
      </c>
      <c r="AJ28" s="197" t="str">
        <f>IF(M28="","",IF(ISNA(MATCH(I28,'[1]1_group_totals'!$C$8:$C$10000)),0,IF(AW28&gt;0,1,0)))</f>
        <v/>
      </c>
      <c r="AK28" s="197" t="str">
        <f>IF(M28="","",(SUMIFS('[1]1_group_total_details'!$I$8:$I$10000,'[1]1_group_total_details'!$C$8:$C$10000,I28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28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28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28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28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28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28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28,'[1]1_group_total_details'!$F$8:$F$10000,invoice_location_group_id,'[1]1_group_total_details'!$G$8:$G$10000,invoice_location_id,'[1]1_group_total_details'!$H$8:$H$10000,"="&amp;invoice_date)))</f>
        <v/>
      </c>
      <c r="AL28" s="197" t="str">
        <f>IF(M28="","",(SUMIFS('[1]1_group_total_details'!$I$8:$I$10000,'[1]1_group_total_details'!$C$8:$C$10000,I28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28,'[1]1_group_total_details'!$F$8:$F$10000,invoice_location_group_id,'[1]1_group_total_details'!$G$8:$G$10000,1,'[1]1_group_total_details'!$H$8:$H$10000,"&lt;="&amp;invoice_date)+SUMIFS('[1]1_group_total_details'!$N$8:$N$10000,'[1]1_group_total_details'!$C$8:$C$10000,I28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28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28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28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28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28,'[1]1_group_total_details'!$F$8:$F$10000,invoice_location_group_id,'[1]1_group_total_details'!$G$8:$G$10000,invoice_location_id,'[1]1_group_total_details'!$H$8:$H$10000,"&lt;="&amp;invoice_date)))</f>
        <v/>
      </c>
      <c r="AM28" s="197" t="str">
        <f>IF(M28="","",SUMIFS('[1]1_group_totals'!$J$8:$J$10000,'[1]1_group_totals'!$C$8:$C$10000,I28,'[1]1_group_totals'!$F$8:$F$10000,invoice_location_group_id,'[1]1_group_totals'!$G$8:$G$10000,invoice_location_id,'[1]1_group_totals'!$H$8:$H$10000,"="&amp;Q28,'[1]1_group_totals'!$I$8:$I$10000,"="&amp;R28))</f>
        <v/>
      </c>
      <c r="AN28" s="197" t="str">
        <f t="shared" si="17"/>
        <v/>
      </c>
      <c r="AO28" s="197" t="str">
        <f>IF(OR(ISNA(MATCH(MID(AN28,1,3)*1,UomConversion!$D$8:$D$500,0)),M28=""),"",IF(AT28="","",AT28))</f>
        <v/>
      </c>
      <c r="AP28" s="197" t="str">
        <f>IF(AND(AQ28&gt;0,COUNTIFS(UomConversion!$D$8:$D$500,MID(AN28,1,3)*1,UomConversion!$J$8:$J$500,1)&gt;1),TEXT(AQ28,"000")&amp;"."&amp;VLOOKUP(AQ28,uom_list,5,FALSE),"")</f>
        <v/>
      </c>
      <c r="AQ28" s="197" t="str">
        <f t="shared" si="18"/>
        <v/>
      </c>
      <c r="AR28" s="197" t="str">
        <f t="shared" si="19"/>
        <v/>
      </c>
      <c r="AS28" s="1866" t="str">
        <f>IF(M28="","",SUMIFS(ProductPrice!$N$28:$N$10000,ProductPrice!$D$28:$D$10000,I28,ProductPrice!$G$28:$G$10000,invoice_branch_id,ProductPrice!$H$28:$H$10000,invoice_price_type_id,ProductPrice!$I$28:$I$10000,MID(P28,1,3)*1,ProductPrice!$Q$28:$Q$10000,1,ProductPrice!$T$28:$T$10000,1))</f>
        <v/>
      </c>
      <c r="AT28" s="197" t="str">
        <f t="shared" si="20"/>
        <v/>
      </c>
      <c r="AU28" s="197" t="str" cm="1">
        <f t="array" ref="AU28">IF(M28="","",IF(ISNA(Slookup(MID(AN28,1,3)*1,UomConversion!$D$8:$J$500,2,UomConversion!$I$8:$I$500,1,UomConversion!$J$8:$J$500,1)),"",Slookup(MID(AN28,1,3)*1,UomConversion!$D$8:$J$500,2,UomConversion!$I$8:$I$500,1,UomConversion!$J$8:$J$500,1)))</f>
        <v/>
      </c>
      <c r="AV28" s="197" t="str">
        <f t="shared" si="6"/>
        <v/>
      </c>
      <c r="AW28" s="197" t="str">
        <f>IF(M28="","",(SUMIFS('[1]1_group_totals'!$K$8:$K$10000,'[1]1_group_totals'!$C$8:$C$10000,I28,'[1]1_group_totals'!$F$8:$F$10000,invoice_location_group_id,'[1]1_group_totals'!$G$8:$G$10000,invoice_location_id,'[1]1_group_totals'!$H$8:$H$10000,"="&amp;Q28,'[1]1_group_totals'!$I$8:$I$10000,"="&amp;R28)+SUMIFS('[1]1_group_totals'!$N$8:$N$10000,'[1]1_group_totals'!$C$8:$C$10000,I28,'[1]1_group_totals'!$F$8:$F$10000,invoice_location_group_id,'[1]1_group_totals'!$G$8:$G$10000,invoice_location_id,'[1]1_group_totals'!$H$8:$H$10000,"="&amp;Q28,'[1]1_group_totals'!$I$8:$I$10000,"="&amp;R28)+SUMIFS('[1]1_group_totals'!$P$8:$P$10000,'[1]1_group_totals'!$C$8:$C$10000,I28,'[1]1_group_totals'!$F$8:$F$10000,invoice_location_group_id,'[1]1_group_totals'!$G$8:$G$10000,invoice_location_id,'[1]1_group_totals'!$H$8:$H$10000,"="&amp;Q28,'[1]1_group_totals'!$I$8:$I$10000,"="&amp;R28)+SUMIFS('[1]1_group_totals'!$Q$8:$Q$10000,'[1]1_group_totals'!$C$8:$C$10000,I28,'[1]1_group_totals'!$F$8:$F$10000,invoice_location_group_id,'[1]1_group_totals'!$G$8:$G$10000,invoice_location_id,'[1]1_group_totals'!$H$8:$H$10000,"="&amp;Q28,'[1]1_group_totals'!$I$8:$I$10000,"="&amp;R28))+(SUMIFS('[1]1_group_totals'!$L$8:$L$10000,'[1]1_group_totals'!$C$8:$C$10000,I28,'[1]1_group_totals'!$F$8:$F$10000,invoice_location_group_id,'[1]1_group_totals'!$G$8:$G$10000,invoice_location_id,'[1]1_group_totals'!$H$8:$H$10000,"="&amp;Q28,'[1]1_group_totals'!$I$8:$I$10000,"="&amp;R28)+SUMIFS('[1]1_group_totals'!$M$8:$M$10000,'[1]1_group_totals'!$C$8:$C$10000,I28,'[1]1_group_totals'!$F$8:$F$10000,invoice_location_group_id,'[1]1_group_totals'!$G$8:$G$10000,invoice_location_id,'[1]1_group_totals'!$H$8:$H$10000,"="&amp;Q28,'[1]1_group_totals'!$I$8:$I$10000,"="&amp;R28)+SUMIFS('[1]1_group_totals'!$O$8:$O$10000,'[1]1_group_totals'!$C$8:$C$10000,I28,'[1]1_group_totals'!$F$8:$F$10000,invoice_location_group_id,'[1]1_group_totals'!$G$8:$G$10000,invoice_location_id,'[1]1_group_totals'!$H$8:$H$10000,"="&amp;Q28,'[1]1_group_totals'!$I$8:$I$10000,"="&amp;R28)+SUMIFS('[1]1_group_totals'!$R$8:$R$10000,'[1]1_group_totals'!$C$8:$C$10000,I28,'[1]1_group_totals'!$F$8:$F$10000,invoice_location_group_id,'[1]1_group_totals'!$G$8:$G$10000,invoice_location_id,'[1]1_group_totals'!$H$8:$H$10000,"="&amp;Q28,'[1]1_group_totals'!$I$8:$I$10000,"="&amp;R28)))</f>
        <v/>
      </c>
      <c r="AX28" s="197" t="str">
        <f t="shared" si="21"/>
        <v/>
      </c>
      <c r="AY28" s="197" t="str">
        <f>IF(M28="","",SUMIFS($AX$8:AX28,$I$8:I28,I28))</f>
        <v/>
      </c>
      <c r="AZ28" s="197" t="str">
        <f t="shared" si="22"/>
        <v/>
      </c>
      <c r="BA28" s="197" t="str">
        <f>IF(M28="","",(SUMIFS('[1]1_inventory_totals'!$I$8:$I$10000,'[1]1_inventory_totals'!$C$8:$C$10000,I28,'[1]1_inventory_totals'!$F$8:$F$10000,"="&amp;Q28,'[1]1_inventory_totals'!$G$8:$G$10000,"="&amp;R28)+SUMIFS('[1]1_inventory_totals'!$N$8:$N$10000,'[1]1_inventory_totals'!$C$8:$C$10000,I28,'[1]1_inventory_totals'!$F$8:$F$10000,"="&amp;Q28,'[1]1_inventory_totals'!$G$8:$G$10000,"="&amp;R28)+SUMIFS('[1]1_inventory_totals'!$P$8:$P$10000,'[1]1_inventory_totals'!$C$8:$C$10000,I28,'[1]1_inventory_totals'!$F$8:$F$10000,"="&amp;Q28,'[1]1_inventory_totals'!$G$8:$G$10000,"="&amp;R28)+SUMIFS('[1]1_inventory_totals'!$Q$8:$Q$10000,'[1]1_inventory_totals'!$C$8:$C$10000,I28,'[1]1_inventory_totals'!$F$8:$F$10000,"="&amp;Q28,'[1]1_inventory_totals'!$G$8:$G$10000,"="&amp;R28)+SUMIFS('[1]1_inventory_totals'!$R$8:$R$10000,'[1]1_inventory_totals'!$C$8:$C$10000,I28,'[1]1_inventory_totals'!$F$8:$F$10000,"="&amp;Q28,'[1]1_inventory_totals'!$G$8:$G$10000,"="&amp;R28))+(SUMIFS('[1]1_inventory_totals'!$J$8:$J$10000,'[1]1_inventory_totals'!$C$8:$C$10000,I28,'[1]1_inventory_totals'!$F$8:$F$10000,"="&amp;Q28,'[1]1_inventory_totals'!$G$8:$G$10000,"="&amp;R28)+SUMIFS('[1]1_inventory_totals'!$K$8:$K$10000,'[1]1_inventory_totals'!$C$8:$C$10000,I28,'[1]1_inventory_totals'!$F$8:$F$10000,"="&amp;Q28,'[1]1_inventory_totals'!$G$8:$G$10000,"="&amp;R28)+SUMIFS('[1]1_inventory_totals'!$L$8:$L$10000,'[1]1_inventory_totals'!$C$8:$C$10000,I28,'[1]1_inventory_totals'!$F$8:$F$10000,"="&amp;Q28,'[1]1_inventory_totals'!$G$8:$G$10000,"="&amp;R28)+SUMIFS('[1]1_inventory_totals'!$M$8:$M$10000,'[1]1_inventory_totals'!$C$8:$C$10000,I28,'[1]1_inventory_totals'!$F$8:$F$10000,"="&amp;Q28,'[1]1_inventory_totals'!$G$8:$G$10000,"="&amp;R28)+SUMIFS('[1]1_inventory_totals'!$O$8:$O$10000,'[1]1_inventory_totals'!$C$8:$C$10000,I28,'[1]1_inventory_totals'!$F$8:$F$10000,"="&amp;Q28,'[1]1_inventory_totals'!$G$8:$G$10000,"="&amp;R28)+SUMIFS('[1]1_inventory_totals'!$S$8:$S$10000,'[1]1_inventory_totals'!$C$8:$C$10000,I28,'[1]1_inventory_totals'!$F$8:$F$10000,"="&amp;Q28,'[1]1_inventory_totals'!$G$8:$G$10000,"="&amp;R28)))</f>
        <v/>
      </c>
      <c r="BB28" s="197" t="str">
        <f>IF(M28="","",(SUMIFS('[1]2_inventory_totals'!$I$8:$I$10000,'[1]2_inventory_totals'!$C$8:$C$10000,I28,'[1]2_inventory_totals'!$F$8:$F$10000,"="&amp;Q28,'[1]2_inventory_totals'!$G$8:$G$10000,"="&amp;R28)+SUMIFS('[1]2_inventory_totals'!$N$8:$N$10000,'[1]2_inventory_totals'!$C$8:$C$10000,I28,'[1]2_inventory_totals'!$F$8:$F$10000,"="&amp;Q28,'[1]2_inventory_totals'!$G$8:$G$10000,"="&amp;R28)+SUMIFS('[1]2_inventory_totals'!$P$8:$P$10000,'[1]2_inventory_totals'!$C$8:$C$10000,I28,'[1]2_inventory_totals'!$F$8:$F$10000,"="&amp;Q28,'[1]2_inventory_totals'!$G$8:$G$10000,"="&amp;R28)+SUMIFS('[1]2_inventory_totals'!$Q$8:$Q$10000,'[1]2_inventory_totals'!$C$8:$C$10000,I28,'[1]2_inventory_totals'!$F$8:$F$10000,"="&amp;Q28,'[1]2_inventory_totals'!$G$8:$G$10000,"="&amp;R28)+SUMIFS('[1]2_inventory_totals'!$R$8:$R$10000,'[1]2_inventory_totals'!$C$8:$C$10000,I28,'[1]2_inventory_totals'!$F$8:$F$10000,"="&amp;Q28,'[1]2_inventory_totals'!$G$8:$G$10000,"="&amp;R28))+(SUMIFS('[1]2_inventory_totals'!$J$8:$J$10000,'[1]2_inventory_totals'!$C$8:$C$10000,I28,'[1]2_inventory_totals'!$F$8:$F$10000,"="&amp;Q28,'[1]2_inventory_totals'!$G$8:$G$10000,"="&amp;R28)+SUMIFS('[1]2_inventory_totals'!$K$8:$K$10000,'[1]2_inventory_totals'!$C$8:$C$10000,I28,'[1]2_inventory_totals'!$F$8:$F$10000,"="&amp;Q28,'[1]2_inventory_totals'!$G$8:$G$10000,"="&amp;R28)+SUMIFS('[1]2_inventory_totals'!$L$8:$L$10000,'[1]2_inventory_totals'!$C$8:$C$10000,I28,'[1]2_inventory_totals'!$F$8:$F$10000,"="&amp;Q28,'[1]2_inventory_totals'!$G$8:$G$10000,"="&amp;R28)+SUMIFS('[1]2_inventory_totals'!$M$8:$M$10000,'[1]2_inventory_totals'!$C$8:$C$10000,I28,'[1]2_inventory_totals'!$F$8:$F$10000,"="&amp;Q28,'[1]2_inventory_totals'!$G$8:$G$10000,"="&amp;R28)+SUMIFS('[1]2_inventory_totals'!$O$8:$O$10000,'[1]2_inventory_totals'!$C$8:$C$10000,I28,'[1]2_inventory_totals'!$F$8:$F$10000,"="&amp;Q28,'[1]2_inventory_totals'!$G$8:$G$10000,"="&amp;R28)+SUMIFS('[1]2_inventory_totals'!$S$8:$S$10000,'[1]2_inventory_totals'!$C$8:$C$10000,I28,'[1]2_inventory_totals'!$F$8:$F$10000,"="&amp;Q28,'[1]2_inventory_totals'!$G$8:$G$10000,"="&amp;R28)))</f>
        <v/>
      </c>
    </row>
    <row r="29" spans="1:54" ht="27" hidden="1" customHeight="1">
      <c r="A29" s="923"/>
      <c r="B29" s="1251"/>
      <c r="C29" s="950"/>
      <c r="D29" s="950"/>
      <c r="E29" s="950"/>
      <c r="F29" s="1262"/>
      <c r="I29" s="1610" t="str">
        <f t="shared" si="7"/>
        <v/>
      </c>
      <c r="J29" s="1611" t="str">
        <f t="shared" si="23"/>
        <v/>
      </c>
      <c r="K29" s="1612" t="str">
        <f t="shared" si="8"/>
        <v/>
      </c>
      <c r="L29" s="1613"/>
      <c r="M29" s="883"/>
      <c r="N29" s="884"/>
      <c r="O29" s="884"/>
      <c r="P29" s="885"/>
      <c r="Q29" s="886"/>
      <c r="R29" s="891"/>
      <c r="S29" s="1614" t="str">
        <f t="shared" si="0"/>
        <v/>
      </c>
      <c r="T29" s="1536"/>
      <c r="U29" s="1864" t="str">
        <f t="shared" si="9"/>
        <v/>
      </c>
      <c r="V29" s="1615" t="str">
        <f t="shared" si="1"/>
        <v/>
      </c>
      <c r="W29" s="889"/>
      <c r="X29" s="1615" t="str">
        <f t="shared" si="2"/>
        <v/>
      </c>
      <c r="Y29" s="1865" t="str">
        <f t="shared" si="10"/>
        <v/>
      </c>
      <c r="Z29" s="890"/>
      <c r="AA29" s="197" t="str" cm="1">
        <f t="array" ref="AA29">IF(M29="","",IF(P29=AN29,1,Slookup(MID(AN29,1,3)*1,UomConversion!$D$8:$J$500,5,UomConversion!$E$8:$E$500,MID(P29,1,3)*1,UomConversion!$J$8:$J$500,1)))</f>
        <v/>
      </c>
      <c r="AB29" s="197" t="str">
        <f t="shared" si="11"/>
        <v/>
      </c>
      <c r="AC29" s="197" t="str">
        <f t="shared" si="12"/>
        <v/>
      </c>
      <c r="AD29" s="197" t="str">
        <f t="shared" si="13"/>
        <v/>
      </c>
      <c r="AE29" s="1866" t="str">
        <f t="shared" si="14"/>
        <v/>
      </c>
      <c r="AF29" s="1866" t="str">
        <f t="shared" si="15"/>
        <v/>
      </c>
      <c r="AG29" s="197" t="str">
        <f t="shared" si="16"/>
        <v/>
      </c>
      <c r="AH29" s="197" t="str">
        <f>IF(I29="","",IF(ISNA(MATCH(I29,IF(invoice_location_id=1,'[1]1_inventory_totals'!$C$8:$C$10000,IF(invoice_location_id=2,'[1]2_inventory_totals'!$C$8:$C$10000,0)),0)),0,IF(AV29&gt;0,1,0)))</f>
        <v/>
      </c>
      <c r="AI29" s="197" t="str">
        <f>IF(M29="","",IF(invoice_location_id=1,SUMIFS('[1]1_inventory_total_details'!$J$8:$J$10000,'[1]1_inventory_total_details'!$C$8:$C$10000,I29,'[1]1_inventory_total_details'!$F$8:$F$10000,invoice_location_id,'[1]1_inventory_total_details'!$G$8:$G$10000,"="&amp;Q29,'[1]1_inventory_total_details'!$H$8:$H$10000,"="&amp;R29,'[1]1_inventory_total_details'!$I$8:$I$10000,"="&amp;invoice_date)+SUMIFS('[1]1_inventory_total_details'!$M$8:$M$10000,'[1]1_inventory_total_details'!$C$8:$C$10000,I29,'[1]1_inventory_total_details'!$F$8:$F$10000,invoice_location_id,'[1]1_inventory_total_details'!$G$8:$G$10000,"="&amp;Q29,'[1]1_inventory_total_details'!$H$8:$H$10000,"="&amp;R29,'[1]1_inventory_total_details'!$I$8:$I$10000,"="&amp;invoice_date)+SUMIFS('[1]1_inventory_total_details'!$K$8:$K$10000,'[1]1_inventory_total_details'!$C$8:$C$10000,I29,'[1]1_inventory_total_details'!$F$8:$F$10000,invoice_location_id,'[1]1_inventory_total_details'!$G$8:$G$10000,"="&amp;Q29,'[1]1_inventory_total_details'!$H$8:$H$10000,"="&amp;R29,'[1]1_inventory_total_details'!$I$8:$I$10000,"="&amp;invoice_date)+SUMIFS('[1]1_inventory_total_details'!$L$8:$L$10000,'[1]1_inventory_total_details'!$C$8:$C$10000,I29,'[1]1_inventory_total_details'!$F$8:$F$10000,invoice_location_id,'[1]1_inventory_total_details'!$G$8:$G$10000,"="&amp;Q29,'[1]1_inventory_total_details'!$H$8:$H$10000,"="&amp;R29,'[1]1_inventory_total_details'!$I$8:$I$10000,"="&amp;invoice_date),SUMIFS('[1]2_inventory_total_details'!$J$8:$J$10000,'[1]2_inventory_total_details'!$C$8:$C$10000,I29,'[1]2_inventory_total_details'!$F$8:$F$10000,invoice_location_id,'[1]2_inventory_total_details'!$G$8:$G$10000,"="&amp;Q29,'[1]2_inventory_total_details'!$H$8:$H$10000,"="&amp;R29,'[1]2_inventory_total_details'!$I$8:$I$10000,"="&amp;invoice_date)+SUMIFS('[1]2_inventory_total_details'!$M$8:$M$10000,'[1]2_inventory_total_details'!$C$8:$C$10000,I29,'[1]2_inventory_total_details'!$F$8:$F$10000,invoice_location_id,'[1]2_inventory_total_details'!$G$8:$G$10000,"="&amp;Q29,'[1]2_inventory_total_details'!$H$8:$H$10000,"="&amp;R29,'[1]2_inventory_total_details'!$I$8:$I$10000,"="&amp;invoice_date)+SUMIFS('[1]2_inventory_total_details'!$K$8:$K$10000,'[1]2_inventory_total_details'!$C$8:$C$10000,I29,'[1]2_inventory_total_details'!$F$8:$F$10000,invoice_location_id,'[1]2_inventory_total_details'!$G$8:$G$10000,"="&amp;Q29,'[1]2_inventory_total_details'!$H$8:$H$10000,"="&amp;R29,'[1]2_inventory_total_details'!$I$8:$I$10000,"="&amp;invoice_date)+SUMIFS('[1]2_inventory_total_details'!$L$8:$L$10000,'[1]2_inventory_total_details'!$C$8:$C$10000,I29,'[1]2_inventory_total_details'!$F$8:$F$10000,invoice_location_id,'[1]2_inventory_total_details'!$G$8:$G$10000,"="&amp;Q29,'[1]2_inventory_total_details'!$H$8:$H$10000,"="&amp;R29,'[1]2_inventory_total_details'!$I$8:$I$10000,"="&amp;invoice_date)))</f>
        <v/>
      </c>
      <c r="AJ29" s="197" t="str">
        <f>IF(M29="","",IF(ISNA(MATCH(I29,'[1]1_group_totals'!$C$8:$C$10000)),0,IF(AW29&gt;0,1,0)))</f>
        <v/>
      </c>
      <c r="AK29" s="197" t="str">
        <f>IF(M29="","",(SUMIFS('[1]1_group_total_details'!$I$8:$I$10000,'[1]1_group_total_details'!$C$8:$C$10000,I29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29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29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29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29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29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29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29,'[1]1_group_total_details'!$F$8:$F$10000,invoice_location_group_id,'[1]1_group_total_details'!$G$8:$G$10000,invoice_location_id,'[1]1_group_total_details'!$H$8:$H$10000,"="&amp;invoice_date)))</f>
        <v/>
      </c>
      <c r="AL29" s="197" t="str">
        <f>IF(M29="","",(SUMIFS('[1]1_group_total_details'!$I$8:$I$10000,'[1]1_group_total_details'!$C$8:$C$10000,I29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29,'[1]1_group_total_details'!$F$8:$F$10000,invoice_location_group_id,'[1]1_group_total_details'!$G$8:$G$10000,1,'[1]1_group_total_details'!$H$8:$H$10000,"&lt;="&amp;invoice_date)+SUMIFS('[1]1_group_total_details'!$N$8:$N$10000,'[1]1_group_total_details'!$C$8:$C$10000,I29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29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29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29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29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29,'[1]1_group_total_details'!$F$8:$F$10000,invoice_location_group_id,'[1]1_group_total_details'!$G$8:$G$10000,invoice_location_id,'[1]1_group_total_details'!$H$8:$H$10000,"&lt;="&amp;invoice_date)))</f>
        <v/>
      </c>
      <c r="AM29" s="197" t="str">
        <f>IF(M29="","",SUMIFS('[1]1_group_totals'!$J$8:$J$10000,'[1]1_group_totals'!$C$8:$C$10000,I29,'[1]1_group_totals'!$F$8:$F$10000,invoice_location_group_id,'[1]1_group_totals'!$G$8:$G$10000,invoice_location_id,'[1]1_group_totals'!$H$8:$H$10000,"="&amp;Q29,'[1]1_group_totals'!$I$8:$I$10000,"="&amp;R29))</f>
        <v/>
      </c>
      <c r="AN29" s="197" t="str">
        <f t="shared" si="17"/>
        <v/>
      </c>
      <c r="AO29" s="197" t="str">
        <f>IF(OR(ISNA(MATCH(MID(AN29,1,3)*1,UomConversion!$D$8:$D$500,0)),M29=""),"",IF(AT29="","",AT29))</f>
        <v/>
      </c>
      <c r="AP29" s="197" t="str">
        <f>IF(AND(AQ29&gt;0,COUNTIFS(UomConversion!$D$8:$D$500,MID(AN29,1,3)*1,UomConversion!$J$8:$J$500,1)&gt;1),TEXT(AQ29,"000")&amp;"."&amp;VLOOKUP(AQ29,uom_list,5,FALSE),"")</f>
        <v/>
      </c>
      <c r="AQ29" s="197" t="str">
        <f t="shared" si="18"/>
        <v/>
      </c>
      <c r="AR29" s="197" t="str">
        <f t="shared" si="19"/>
        <v/>
      </c>
      <c r="AS29" s="1866" t="str">
        <f>IF(M29="","",SUMIFS(ProductPrice!$N$28:$N$10000,ProductPrice!$D$28:$D$10000,I29,ProductPrice!$G$28:$G$10000,invoice_branch_id,ProductPrice!$H$28:$H$10000,invoice_price_type_id,ProductPrice!$I$28:$I$10000,MID(P29,1,3)*1,ProductPrice!$Q$28:$Q$10000,1,ProductPrice!$T$28:$T$10000,1))</f>
        <v/>
      </c>
      <c r="AT29" s="197" t="str">
        <f t="shared" si="20"/>
        <v/>
      </c>
      <c r="AU29" s="197" t="str" cm="1">
        <f t="array" ref="AU29">IF(M29="","",IF(ISNA(Slookup(MID(AN29,1,3)*1,UomConversion!$D$8:$J$500,2,UomConversion!$I$8:$I$500,1,UomConversion!$J$8:$J$500,1)),"",Slookup(MID(AN29,1,3)*1,UomConversion!$D$8:$J$500,2,UomConversion!$I$8:$I$500,1,UomConversion!$J$8:$J$500,1)))</f>
        <v/>
      </c>
      <c r="AV29" s="197" t="str">
        <f t="shared" si="6"/>
        <v/>
      </c>
      <c r="AW29" s="197" t="str">
        <f>IF(M29="","",(SUMIFS('[1]1_group_totals'!$K$8:$K$10000,'[1]1_group_totals'!$C$8:$C$10000,I29,'[1]1_group_totals'!$F$8:$F$10000,invoice_location_group_id,'[1]1_group_totals'!$G$8:$G$10000,invoice_location_id,'[1]1_group_totals'!$H$8:$H$10000,"="&amp;Q29,'[1]1_group_totals'!$I$8:$I$10000,"="&amp;R29)+SUMIFS('[1]1_group_totals'!$N$8:$N$10000,'[1]1_group_totals'!$C$8:$C$10000,I29,'[1]1_group_totals'!$F$8:$F$10000,invoice_location_group_id,'[1]1_group_totals'!$G$8:$G$10000,invoice_location_id,'[1]1_group_totals'!$H$8:$H$10000,"="&amp;Q29,'[1]1_group_totals'!$I$8:$I$10000,"="&amp;R29)+SUMIFS('[1]1_group_totals'!$P$8:$P$10000,'[1]1_group_totals'!$C$8:$C$10000,I29,'[1]1_group_totals'!$F$8:$F$10000,invoice_location_group_id,'[1]1_group_totals'!$G$8:$G$10000,invoice_location_id,'[1]1_group_totals'!$H$8:$H$10000,"="&amp;Q29,'[1]1_group_totals'!$I$8:$I$10000,"="&amp;R29)+SUMIFS('[1]1_group_totals'!$Q$8:$Q$10000,'[1]1_group_totals'!$C$8:$C$10000,I29,'[1]1_group_totals'!$F$8:$F$10000,invoice_location_group_id,'[1]1_group_totals'!$G$8:$G$10000,invoice_location_id,'[1]1_group_totals'!$H$8:$H$10000,"="&amp;Q29,'[1]1_group_totals'!$I$8:$I$10000,"="&amp;R29))+(SUMIFS('[1]1_group_totals'!$L$8:$L$10000,'[1]1_group_totals'!$C$8:$C$10000,I29,'[1]1_group_totals'!$F$8:$F$10000,invoice_location_group_id,'[1]1_group_totals'!$G$8:$G$10000,invoice_location_id,'[1]1_group_totals'!$H$8:$H$10000,"="&amp;Q29,'[1]1_group_totals'!$I$8:$I$10000,"="&amp;R29)+SUMIFS('[1]1_group_totals'!$M$8:$M$10000,'[1]1_group_totals'!$C$8:$C$10000,I29,'[1]1_group_totals'!$F$8:$F$10000,invoice_location_group_id,'[1]1_group_totals'!$G$8:$G$10000,invoice_location_id,'[1]1_group_totals'!$H$8:$H$10000,"="&amp;Q29,'[1]1_group_totals'!$I$8:$I$10000,"="&amp;R29)+SUMIFS('[1]1_group_totals'!$O$8:$O$10000,'[1]1_group_totals'!$C$8:$C$10000,I29,'[1]1_group_totals'!$F$8:$F$10000,invoice_location_group_id,'[1]1_group_totals'!$G$8:$G$10000,invoice_location_id,'[1]1_group_totals'!$H$8:$H$10000,"="&amp;Q29,'[1]1_group_totals'!$I$8:$I$10000,"="&amp;R29)+SUMIFS('[1]1_group_totals'!$R$8:$R$10000,'[1]1_group_totals'!$C$8:$C$10000,I29,'[1]1_group_totals'!$F$8:$F$10000,invoice_location_group_id,'[1]1_group_totals'!$G$8:$G$10000,invoice_location_id,'[1]1_group_totals'!$H$8:$H$10000,"="&amp;Q29,'[1]1_group_totals'!$I$8:$I$10000,"="&amp;R29)))</f>
        <v/>
      </c>
      <c r="AX29" s="197" t="str">
        <f t="shared" si="21"/>
        <v/>
      </c>
      <c r="AY29" s="197" t="str">
        <f>IF(M29="","",SUMIFS($AX$8:AX29,$I$8:I29,I29))</f>
        <v/>
      </c>
      <c r="AZ29" s="197" t="str">
        <f t="shared" si="22"/>
        <v/>
      </c>
      <c r="BA29" s="197" t="str">
        <f>IF(M29="","",(SUMIFS('[1]1_inventory_totals'!$I$8:$I$10000,'[1]1_inventory_totals'!$C$8:$C$10000,I29,'[1]1_inventory_totals'!$F$8:$F$10000,"="&amp;Q29,'[1]1_inventory_totals'!$G$8:$G$10000,"="&amp;R29)+SUMIFS('[1]1_inventory_totals'!$N$8:$N$10000,'[1]1_inventory_totals'!$C$8:$C$10000,I29,'[1]1_inventory_totals'!$F$8:$F$10000,"="&amp;Q29,'[1]1_inventory_totals'!$G$8:$G$10000,"="&amp;R29)+SUMIFS('[1]1_inventory_totals'!$P$8:$P$10000,'[1]1_inventory_totals'!$C$8:$C$10000,I29,'[1]1_inventory_totals'!$F$8:$F$10000,"="&amp;Q29,'[1]1_inventory_totals'!$G$8:$G$10000,"="&amp;R29)+SUMIFS('[1]1_inventory_totals'!$Q$8:$Q$10000,'[1]1_inventory_totals'!$C$8:$C$10000,I29,'[1]1_inventory_totals'!$F$8:$F$10000,"="&amp;Q29,'[1]1_inventory_totals'!$G$8:$G$10000,"="&amp;R29)+SUMIFS('[1]1_inventory_totals'!$R$8:$R$10000,'[1]1_inventory_totals'!$C$8:$C$10000,I29,'[1]1_inventory_totals'!$F$8:$F$10000,"="&amp;Q29,'[1]1_inventory_totals'!$G$8:$G$10000,"="&amp;R29))+(SUMIFS('[1]1_inventory_totals'!$J$8:$J$10000,'[1]1_inventory_totals'!$C$8:$C$10000,I29,'[1]1_inventory_totals'!$F$8:$F$10000,"="&amp;Q29,'[1]1_inventory_totals'!$G$8:$G$10000,"="&amp;R29)+SUMIFS('[1]1_inventory_totals'!$K$8:$K$10000,'[1]1_inventory_totals'!$C$8:$C$10000,I29,'[1]1_inventory_totals'!$F$8:$F$10000,"="&amp;Q29,'[1]1_inventory_totals'!$G$8:$G$10000,"="&amp;R29)+SUMIFS('[1]1_inventory_totals'!$L$8:$L$10000,'[1]1_inventory_totals'!$C$8:$C$10000,I29,'[1]1_inventory_totals'!$F$8:$F$10000,"="&amp;Q29,'[1]1_inventory_totals'!$G$8:$G$10000,"="&amp;R29)+SUMIFS('[1]1_inventory_totals'!$M$8:$M$10000,'[1]1_inventory_totals'!$C$8:$C$10000,I29,'[1]1_inventory_totals'!$F$8:$F$10000,"="&amp;Q29,'[1]1_inventory_totals'!$G$8:$G$10000,"="&amp;R29)+SUMIFS('[1]1_inventory_totals'!$O$8:$O$10000,'[1]1_inventory_totals'!$C$8:$C$10000,I29,'[1]1_inventory_totals'!$F$8:$F$10000,"="&amp;Q29,'[1]1_inventory_totals'!$G$8:$G$10000,"="&amp;R29)+SUMIFS('[1]1_inventory_totals'!$S$8:$S$10000,'[1]1_inventory_totals'!$C$8:$C$10000,I29,'[1]1_inventory_totals'!$F$8:$F$10000,"="&amp;Q29,'[1]1_inventory_totals'!$G$8:$G$10000,"="&amp;R29)))</f>
        <v/>
      </c>
      <c r="BB29" s="197" t="str">
        <f>IF(M29="","",(SUMIFS('[1]2_inventory_totals'!$I$8:$I$10000,'[1]2_inventory_totals'!$C$8:$C$10000,I29,'[1]2_inventory_totals'!$F$8:$F$10000,"="&amp;Q29,'[1]2_inventory_totals'!$G$8:$G$10000,"="&amp;R29)+SUMIFS('[1]2_inventory_totals'!$N$8:$N$10000,'[1]2_inventory_totals'!$C$8:$C$10000,I29,'[1]2_inventory_totals'!$F$8:$F$10000,"="&amp;Q29,'[1]2_inventory_totals'!$G$8:$G$10000,"="&amp;R29)+SUMIFS('[1]2_inventory_totals'!$P$8:$P$10000,'[1]2_inventory_totals'!$C$8:$C$10000,I29,'[1]2_inventory_totals'!$F$8:$F$10000,"="&amp;Q29,'[1]2_inventory_totals'!$G$8:$G$10000,"="&amp;R29)+SUMIFS('[1]2_inventory_totals'!$Q$8:$Q$10000,'[1]2_inventory_totals'!$C$8:$C$10000,I29,'[1]2_inventory_totals'!$F$8:$F$10000,"="&amp;Q29,'[1]2_inventory_totals'!$G$8:$G$10000,"="&amp;R29)+SUMIFS('[1]2_inventory_totals'!$R$8:$R$10000,'[1]2_inventory_totals'!$C$8:$C$10000,I29,'[1]2_inventory_totals'!$F$8:$F$10000,"="&amp;Q29,'[1]2_inventory_totals'!$G$8:$G$10000,"="&amp;R29))+(SUMIFS('[1]2_inventory_totals'!$J$8:$J$10000,'[1]2_inventory_totals'!$C$8:$C$10000,I29,'[1]2_inventory_totals'!$F$8:$F$10000,"="&amp;Q29,'[1]2_inventory_totals'!$G$8:$G$10000,"="&amp;R29)+SUMIFS('[1]2_inventory_totals'!$K$8:$K$10000,'[1]2_inventory_totals'!$C$8:$C$10000,I29,'[1]2_inventory_totals'!$F$8:$F$10000,"="&amp;Q29,'[1]2_inventory_totals'!$G$8:$G$10000,"="&amp;R29)+SUMIFS('[1]2_inventory_totals'!$L$8:$L$10000,'[1]2_inventory_totals'!$C$8:$C$10000,I29,'[1]2_inventory_totals'!$F$8:$F$10000,"="&amp;Q29,'[1]2_inventory_totals'!$G$8:$G$10000,"="&amp;R29)+SUMIFS('[1]2_inventory_totals'!$M$8:$M$10000,'[1]2_inventory_totals'!$C$8:$C$10000,I29,'[1]2_inventory_totals'!$F$8:$F$10000,"="&amp;Q29,'[1]2_inventory_totals'!$G$8:$G$10000,"="&amp;R29)+SUMIFS('[1]2_inventory_totals'!$O$8:$O$10000,'[1]2_inventory_totals'!$C$8:$C$10000,I29,'[1]2_inventory_totals'!$F$8:$F$10000,"="&amp;Q29,'[1]2_inventory_totals'!$G$8:$G$10000,"="&amp;R29)+SUMIFS('[1]2_inventory_totals'!$S$8:$S$10000,'[1]2_inventory_totals'!$C$8:$C$10000,I29,'[1]2_inventory_totals'!$F$8:$F$10000,"="&amp;Q29,'[1]2_inventory_totals'!$G$8:$G$10000,"="&amp;R29)))</f>
        <v/>
      </c>
    </row>
    <row r="30" spans="1:54" ht="27" hidden="1" customHeight="1">
      <c r="A30" s="923"/>
      <c r="B30" s="1251"/>
      <c r="C30" s="950"/>
      <c r="D30" s="950"/>
      <c r="E30" s="950"/>
      <c r="F30" s="1262"/>
      <c r="I30" s="1610" t="str">
        <f t="shared" si="7"/>
        <v/>
      </c>
      <c r="J30" s="1611" t="str">
        <f t="shared" si="23"/>
        <v/>
      </c>
      <c r="K30" s="1612" t="str">
        <f t="shared" si="8"/>
        <v/>
      </c>
      <c r="L30" s="1613"/>
      <c r="M30" s="883"/>
      <c r="N30" s="884"/>
      <c r="O30" s="884"/>
      <c r="P30" s="885"/>
      <c r="Q30" s="886"/>
      <c r="R30" s="891"/>
      <c r="S30" s="1614" t="str">
        <f t="shared" si="0"/>
        <v/>
      </c>
      <c r="T30" s="1536"/>
      <c r="U30" s="1864" t="str">
        <f t="shared" si="9"/>
        <v/>
      </c>
      <c r="V30" s="1615" t="str">
        <f t="shared" si="1"/>
        <v/>
      </c>
      <c r="W30" s="889"/>
      <c r="X30" s="1615" t="str">
        <f t="shared" si="2"/>
        <v/>
      </c>
      <c r="Y30" s="1865" t="str">
        <f t="shared" si="10"/>
        <v/>
      </c>
      <c r="Z30" s="890"/>
      <c r="AA30" s="197" t="str" cm="1">
        <f t="array" ref="AA30">IF(M30="","",IF(P30=AN30,1,Slookup(MID(AN30,1,3)*1,UomConversion!$D$8:$J$500,5,UomConversion!$E$8:$E$500,MID(P30,1,3)*1,UomConversion!$J$8:$J$500,1)))</f>
        <v/>
      </c>
      <c r="AB30" s="197" t="str">
        <f t="shared" si="11"/>
        <v/>
      </c>
      <c r="AC30" s="197" t="str">
        <f t="shared" si="12"/>
        <v/>
      </c>
      <c r="AD30" s="197" t="str">
        <f t="shared" si="13"/>
        <v/>
      </c>
      <c r="AE30" s="1866" t="str">
        <f t="shared" si="14"/>
        <v/>
      </c>
      <c r="AF30" s="1866" t="str">
        <f t="shared" si="15"/>
        <v/>
      </c>
      <c r="AG30" s="197" t="str">
        <f t="shared" si="16"/>
        <v/>
      </c>
      <c r="AH30" s="197" t="str">
        <f>IF(I30="","",IF(ISNA(MATCH(I30,IF(invoice_location_id=1,'[1]1_inventory_totals'!$C$8:$C$10000,IF(invoice_location_id=2,'[1]2_inventory_totals'!$C$8:$C$10000,0)),0)),0,IF(AV30&gt;0,1,0)))</f>
        <v/>
      </c>
      <c r="AI30" s="197" t="str">
        <f>IF(M30="","",IF(invoice_location_id=1,SUMIFS('[1]1_inventory_total_details'!$J$8:$J$10000,'[1]1_inventory_total_details'!$C$8:$C$10000,I30,'[1]1_inventory_total_details'!$F$8:$F$10000,invoice_location_id,'[1]1_inventory_total_details'!$G$8:$G$10000,"="&amp;Q30,'[1]1_inventory_total_details'!$H$8:$H$10000,"="&amp;R30,'[1]1_inventory_total_details'!$I$8:$I$10000,"="&amp;invoice_date)+SUMIFS('[1]1_inventory_total_details'!$M$8:$M$10000,'[1]1_inventory_total_details'!$C$8:$C$10000,I30,'[1]1_inventory_total_details'!$F$8:$F$10000,invoice_location_id,'[1]1_inventory_total_details'!$G$8:$G$10000,"="&amp;Q30,'[1]1_inventory_total_details'!$H$8:$H$10000,"="&amp;R30,'[1]1_inventory_total_details'!$I$8:$I$10000,"="&amp;invoice_date)+SUMIFS('[1]1_inventory_total_details'!$K$8:$K$10000,'[1]1_inventory_total_details'!$C$8:$C$10000,I30,'[1]1_inventory_total_details'!$F$8:$F$10000,invoice_location_id,'[1]1_inventory_total_details'!$G$8:$G$10000,"="&amp;Q30,'[1]1_inventory_total_details'!$H$8:$H$10000,"="&amp;R30,'[1]1_inventory_total_details'!$I$8:$I$10000,"="&amp;invoice_date)+SUMIFS('[1]1_inventory_total_details'!$L$8:$L$10000,'[1]1_inventory_total_details'!$C$8:$C$10000,I30,'[1]1_inventory_total_details'!$F$8:$F$10000,invoice_location_id,'[1]1_inventory_total_details'!$G$8:$G$10000,"="&amp;Q30,'[1]1_inventory_total_details'!$H$8:$H$10000,"="&amp;R30,'[1]1_inventory_total_details'!$I$8:$I$10000,"="&amp;invoice_date),SUMIFS('[1]2_inventory_total_details'!$J$8:$J$10000,'[1]2_inventory_total_details'!$C$8:$C$10000,I30,'[1]2_inventory_total_details'!$F$8:$F$10000,invoice_location_id,'[1]2_inventory_total_details'!$G$8:$G$10000,"="&amp;Q30,'[1]2_inventory_total_details'!$H$8:$H$10000,"="&amp;R30,'[1]2_inventory_total_details'!$I$8:$I$10000,"="&amp;invoice_date)+SUMIFS('[1]2_inventory_total_details'!$M$8:$M$10000,'[1]2_inventory_total_details'!$C$8:$C$10000,I30,'[1]2_inventory_total_details'!$F$8:$F$10000,invoice_location_id,'[1]2_inventory_total_details'!$G$8:$G$10000,"="&amp;Q30,'[1]2_inventory_total_details'!$H$8:$H$10000,"="&amp;R30,'[1]2_inventory_total_details'!$I$8:$I$10000,"="&amp;invoice_date)+SUMIFS('[1]2_inventory_total_details'!$K$8:$K$10000,'[1]2_inventory_total_details'!$C$8:$C$10000,I30,'[1]2_inventory_total_details'!$F$8:$F$10000,invoice_location_id,'[1]2_inventory_total_details'!$G$8:$G$10000,"="&amp;Q30,'[1]2_inventory_total_details'!$H$8:$H$10000,"="&amp;R30,'[1]2_inventory_total_details'!$I$8:$I$10000,"="&amp;invoice_date)+SUMIFS('[1]2_inventory_total_details'!$L$8:$L$10000,'[1]2_inventory_total_details'!$C$8:$C$10000,I30,'[1]2_inventory_total_details'!$F$8:$F$10000,invoice_location_id,'[1]2_inventory_total_details'!$G$8:$G$10000,"="&amp;Q30,'[1]2_inventory_total_details'!$H$8:$H$10000,"="&amp;R30,'[1]2_inventory_total_details'!$I$8:$I$10000,"="&amp;invoice_date)))</f>
        <v/>
      </c>
      <c r="AJ30" s="197" t="str">
        <f>IF(M30="","",IF(ISNA(MATCH(I30,'[1]1_group_totals'!$C$8:$C$10000)),0,IF(AW30&gt;0,1,0)))</f>
        <v/>
      </c>
      <c r="AK30" s="197" t="str">
        <f>IF(M30="","",(SUMIFS('[1]1_group_total_details'!$I$8:$I$10000,'[1]1_group_total_details'!$C$8:$C$10000,I30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30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30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30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30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30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30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30,'[1]1_group_total_details'!$F$8:$F$10000,invoice_location_group_id,'[1]1_group_total_details'!$G$8:$G$10000,invoice_location_id,'[1]1_group_total_details'!$H$8:$H$10000,"="&amp;invoice_date)))</f>
        <v/>
      </c>
      <c r="AL30" s="197" t="str">
        <f>IF(M30="","",(SUMIFS('[1]1_group_total_details'!$I$8:$I$10000,'[1]1_group_total_details'!$C$8:$C$10000,I30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30,'[1]1_group_total_details'!$F$8:$F$10000,invoice_location_group_id,'[1]1_group_total_details'!$G$8:$G$10000,1,'[1]1_group_total_details'!$H$8:$H$10000,"&lt;="&amp;invoice_date)+SUMIFS('[1]1_group_total_details'!$N$8:$N$10000,'[1]1_group_total_details'!$C$8:$C$10000,I30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30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30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30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30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30,'[1]1_group_total_details'!$F$8:$F$10000,invoice_location_group_id,'[1]1_group_total_details'!$G$8:$G$10000,invoice_location_id,'[1]1_group_total_details'!$H$8:$H$10000,"&lt;="&amp;invoice_date)))</f>
        <v/>
      </c>
      <c r="AM30" s="197" t="str">
        <f>IF(M30="","",SUMIFS('[1]1_group_totals'!$J$8:$J$10000,'[1]1_group_totals'!$C$8:$C$10000,I30,'[1]1_group_totals'!$F$8:$F$10000,invoice_location_group_id,'[1]1_group_totals'!$G$8:$G$10000,invoice_location_id,'[1]1_group_totals'!$H$8:$H$10000,"="&amp;Q30,'[1]1_group_totals'!$I$8:$I$10000,"="&amp;R30))</f>
        <v/>
      </c>
      <c r="AN30" s="197" t="str">
        <f t="shared" si="17"/>
        <v/>
      </c>
      <c r="AO30" s="197" t="str">
        <f>IF(OR(ISNA(MATCH(MID(AN30,1,3)*1,UomConversion!$D$8:$D$500,0)),M30=""),"",IF(AT30="","",AT30))</f>
        <v/>
      </c>
      <c r="AP30" s="197" t="str">
        <f>IF(AND(AQ30&gt;0,COUNTIFS(UomConversion!$D$8:$D$500,MID(AN30,1,3)*1,UomConversion!$J$8:$J$500,1)&gt;1),TEXT(AQ30,"000")&amp;"."&amp;VLOOKUP(AQ30,uom_list,5,FALSE),"")</f>
        <v/>
      </c>
      <c r="AQ30" s="197" t="str">
        <f t="shared" si="18"/>
        <v/>
      </c>
      <c r="AR30" s="197" t="str">
        <f t="shared" si="19"/>
        <v/>
      </c>
      <c r="AS30" s="1866" t="str">
        <f>IF(M30="","",SUMIFS(ProductPrice!$N$28:$N$10000,ProductPrice!$D$28:$D$10000,I30,ProductPrice!$G$28:$G$10000,invoice_branch_id,ProductPrice!$H$28:$H$10000,invoice_price_type_id,ProductPrice!$I$28:$I$10000,MID(P30,1,3)*1,ProductPrice!$Q$28:$Q$10000,1,ProductPrice!$T$28:$T$10000,1))</f>
        <v/>
      </c>
      <c r="AT30" s="197" t="str">
        <f t="shared" si="20"/>
        <v/>
      </c>
      <c r="AU30" s="197" t="str" cm="1">
        <f t="array" ref="AU30">IF(M30="","",IF(ISNA(Slookup(MID(AN30,1,3)*1,UomConversion!$D$8:$J$500,2,UomConversion!$I$8:$I$500,1,UomConversion!$J$8:$J$500,1)),"",Slookup(MID(AN30,1,3)*1,UomConversion!$D$8:$J$500,2,UomConversion!$I$8:$I$500,1,UomConversion!$J$8:$J$500,1)))</f>
        <v/>
      </c>
      <c r="AV30" s="197" t="str">
        <f t="shared" si="6"/>
        <v/>
      </c>
      <c r="AW30" s="197" t="str">
        <f>IF(M30="","",(SUMIFS('[1]1_group_totals'!$K$8:$K$10000,'[1]1_group_totals'!$C$8:$C$10000,I30,'[1]1_group_totals'!$F$8:$F$10000,invoice_location_group_id,'[1]1_group_totals'!$G$8:$G$10000,invoice_location_id,'[1]1_group_totals'!$H$8:$H$10000,"="&amp;Q30,'[1]1_group_totals'!$I$8:$I$10000,"="&amp;R30)+SUMIFS('[1]1_group_totals'!$N$8:$N$10000,'[1]1_group_totals'!$C$8:$C$10000,I30,'[1]1_group_totals'!$F$8:$F$10000,invoice_location_group_id,'[1]1_group_totals'!$G$8:$G$10000,invoice_location_id,'[1]1_group_totals'!$H$8:$H$10000,"="&amp;Q30,'[1]1_group_totals'!$I$8:$I$10000,"="&amp;R30)+SUMIFS('[1]1_group_totals'!$P$8:$P$10000,'[1]1_group_totals'!$C$8:$C$10000,I30,'[1]1_group_totals'!$F$8:$F$10000,invoice_location_group_id,'[1]1_group_totals'!$G$8:$G$10000,invoice_location_id,'[1]1_group_totals'!$H$8:$H$10000,"="&amp;Q30,'[1]1_group_totals'!$I$8:$I$10000,"="&amp;R30)+SUMIFS('[1]1_group_totals'!$Q$8:$Q$10000,'[1]1_group_totals'!$C$8:$C$10000,I30,'[1]1_group_totals'!$F$8:$F$10000,invoice_location_group_id,'[1]1_group_totals'!$G$8:$G$10000,invoice_location_id,'[1]1_group_totals'!$H$8:$H$10000,"="&amp;Q30,'[1]1_group_totals'!$I$8:$I$10000,"="&amp;R30))+(SUMIFS('[1]1_group_totals'!$L$8:$L$10000,'[1]1_group_totals'!$C$8:$C$10000,I30,'[1]1_group_totals'!$F$8:$F$10000,invoice_location_group_id,'[1]1_group_totals'!$G$8:$G$10000,invoice_location_id,'[1]1_group_totals'!$H$8:$H$10000,"="&amp;Q30,'[1]1_group_totals'!$I$8:$I$10000,"="&amp;R30)+SUMIFS('[1]1_group_totals'!$M$8:$M$10000,'[1]1_group_totals'!$C$8:$C$10000,I30,'[1]1_group_totals'!$F$8:$F$10000,invoice_location_group_id,'[1]1_group_totals'!$G$8:$G$10000,invoice_location_id,'[1]1_group_totals'!$H$8:$H$10000,"="&amp;Q30,'[1]1_group_totals'!$I$8:$I$10000,"="&amp;R30)+SUMIFS('[1]1_group_totals'!$O$8:$O$10000,'[1]1_group_totals'!$C$8:$C$10000,I30,'[1]1_group_totals'!$F$8:$F$10000,invoice_location_group_id,'[1]1_group_totals'!$G$8:$G$10000,invoice_location_id,'[1]1_group_totals'!$H$8:$H$10000,"="&amp;Q30,'[1]1_group_totals'!$I$8:$I$10000,"="&amp;R30)+SUMIFS('[1]1_group_totals'!$R$8:$R$10000,'[1]1_group_totals'!$C$8:$C$10000,I30,'[1]1_group_totals'!$F$8:$F$10000,invoice_location_group_id,'[1]1_group_totals'!$G$8:$G$10000,invoice_location_id,'[1]1_group_totals'!$H$8:$H$10000,"="&amp;Q30,'[1]1_group_totals'!$I$8:$I$10000,"="&amp;R30)))</f>
        <v/>
      </c>
      <c r="AX30" s="197" t="str">
        <f t="shared" si="21"/>
        <v/>
      </c>
      <c r="AY30" s="197" t="str">
        <f>IF(M30="","",SUMIFS($AX$8:AX30,$I$8:I30,I30))</f>
        <v/>
      </c>
      <c r="AZ30" s="197" t="str">
        <f t="shared" si="22"/>
        <v/>
      </c>
      <c r="BA30" s="197" t="str">
        <f>IF(M30="","",(SUMIFS('[1]1_inventory_totals'!$I$8:$I$10000,'[1]1_inventory_totals'!$C$8:$C$10000,I30,'[1]1_inventory_totals'!$F$8:$F$10000,"="&amp;Q30,'[1]1_inventory_totals'!$G$8:$G$10000,"="&amp;R30)+SUMIFS('[1]1_inventory_totals'!$N$8:$N$10000,'[1]1_inventory_totals'!$C$8:$C$10000,I30,'[1]1_inventory_totals'!$F$8:$F$10000,"="&amp;Q30,'[1]1_inventory_totals'!$G$8:$G$10000,"="&amp;R30)+SUMIFS('[1]1_inventory_totals'!$P$8:$P$10000,'[1]1_inventory_totals'!$C$8:$C$10000,I30,'[1]1_inventory_totals'!$F$8:$F$10000,"="&amp;Q30,'[1]1_inventory_totals'!$G$8:$G$10000,"="&amp;R30)+SUMIFS('[1]1_inventory_totals'!$Q$8:$Q$10000,'[1]1_inventory_totals'!$C$8:$C$10000,I30,'[1]1_inventory_totals'!$F$8:$F$10000,"="&amp;Q30,'[1]1_inventory_totals'!$G$8:$G$10000,"="&amp;R30)+SUMIFS('[1]1_inventory_totals'!$R$8:$R$10000,'[1]1_inventory_totals'!$C$8:$C$10000,I30,'[1]1_inventory_totals'!$F$8:$F$10000,"="&amp;Q30,'[1]1_inventory_totals'!$G$8:$G$10000,"="&amp;R30))+(SUMIFS('[1]1_inventory_totals'!$J$8:$J$10000,'[1]1_inventory_totals'!$C$8:$C$10000,I30,'[1]1_inventory_totals'!$F$8:$F$10000,"="&amp;Q30,'[1]1_inventory_totals'!$G$8:$G$10000,"="&amp;R30)+SUMIFS('[1]1_inventory_totals'!$K$8:$K$10000,'[1]1_inventory_totals'!$C$8:$C$10000,I30,'[1]1_inventory_totals'!$F$8:$F$10000,"="&amp;Q30,'[1]1_inventory_totals'!$G$8:$G$10000,"="&amp;R30)+SUMIFS('[1]1_inventory_totals'!$L$8:$L$10000,'[1]1_inventory_totals'!$C$8:$C$10000,I30,'[1]1_inventory_totals'!$F$8:$F$10000,"="&amp;Q30,'[1]1_inventory_totals'!$G$8:$G$10000,"="&amp;R30)+SUMIFS('[1]1_inventory_totals'!$M$8:$M$10000,'[1]1_inventory_totals'!$C$8:$C$10000,I30,'[1]1_inventory_totals'!$F$8:$F$10000,"="&amp;Q30,'[1]1_inventory_totals'!$G$8:$G$10000,"="&amp;R30)+SUMIFS('[1]1_inventory_totals'!$O$8:$O$10000,'[1]1_inventory_totals'!$C$8:$C$10000,I30,'[1]1_inventory_totals'!$F$8:$F$10000,"="&amp;Q30,'[1]1_inventory_totals'!$G$8:$G$10000,"="&amp;R30)+SUMIFS('[1]1_inventory_totals'!$S$8:$S$10000,'[1]1_inventory_totals'!$C$8:$C$10000,I30,'[1]1_inventory_totals'!$F$8:$F$10000,"="&amp;Q30,'[1]1_inventory_totals'!$G$8:$G$10000,"="&amp;R30)))</f>
        <v/>
      </c>
      <c r="BB30" s="197" t="str">
        <f>IF(M30="","",(SUMIFS('[1]2_inventory_totals'!$I$8:$I$10000,'[1]2_inventory_totals'!$C$8:$C$10000,I30,'[1]2_inventory_totals'!$F$8:$F$10000,"="&amp;Q30,'[1]2_inventory_totals'!$G$8:$G$10000,"="&amp;R30)+SUMIFS('[1]2_inventory_totals'!$N$8:$N$10000,'[1]2_inventory_totals'!$C$8:$C$10000,I30,'[1]2_inventory_totals'!$F$8:$F$10000,"="&amp;Q30,'[1]2_inventory_totals'!$G$8:$G$10000,"="&amp;R30)+SUMIFS('[1]2_inventory_totals'!$P$8:$P$10000,'[1]2_inventory_totals'!$C$8:$C$10000,I30,'[1]2_inventory_totals'!$F$8:$F$10000,"="&amp;Q30,'[1]2_inventory_totals'!$G$8:$G$10000,"="&amp;R30)+SUMIFS('[1]2_inventory_totals'!$Q$8:$Q$10000,'[1]2_inventory_totals'!$C$8:$C$10000,I30,'[1]2_inventory_totals'!$F$8:$F$10000,"="&amp;Q30,'[1]2_inventory_totals'!$G$8:$G$10000,"="&amp;R30)+SUMIFS('[1]2_inventory_totals'!$R$8:$R$10000,'[1]2_inventory_totals'!$C$8:$C$10000,I30,'[1]2_inventory_totals'!$F$8:$F$10000,"="&amp;Q30,'[1]2_inventory_totals'!$G$8:$G$10000,"="&amp;R30))+(SUMIFS('[1]2_inventory_totals'!$J$8:$J$10000,'[1]2_inventory_totals'!$C$8:$C$10000,I30,'[1]2_inventory_totals'!$F$8:$F$10000,"="&amp;Q30,'[1]2_inventory_totals'!$G$8:$G$10000,"="&amp;R30)+SUMIFS('[1]2_inventory_totals'!$K$8:$K$10000,'[1]2_inventory_totals'!$C$8:$C$10000,I30,'[1]2_inventory_totals'!$F$8:$F$10000,"="&amp;Q30,'[1]2_inventory_totals'!$G$8:$G$10000,"="&amp;R30)+SUMIFS('[1]2_inventory_totals'!$L$8:$L$10000,'[1]2_inventory_totals'!$C$8:$C$10000,I30,'[1]2_inventory_totals'!$F$8:$F$10000,"="&amp;Q30,'[1]2_inventory_totals'!$G$8:$G$10000,"="&amp;R30)+SUMIFS('[1]2_inventory_totals'!$M$8:$M$10000,'[1]2_inventory_totals'!$C$8:$C$10000,I30,'[1]2_inventory_totals'!$F$8:$F$10000,"="&amp;Q30,'[1]2_inventory_totals'!$G$8:$G$10000,"="&amp;R30)+SUMIFS('[1]2_inventory_totals'!$O$8:$O$10000,'[1]2_inventory_totals'!$C$8:$C$10000,I30,'[1]2_inventory_totals'!$F$8:$F$10000,"="&amp;Q30,'[1]2_inventory_totals'!$G$8:$G$10000,"="&amp;R30)+SUMIFS('[1]2_inventory_totals'!$S$8:$S$10000,'[1]2_inventory_totals'!$C$8:$C$10000,I30,'[1]2_inventory_totals'!$F$8:$F$10000,"="&amp;Q30,'[1]2_inventory_totals'!$G$8:$G$10000,"="&amp;R30)))</f>
        <v/>
      </c>
    </row>
    <row r="31" spans="1:54" ht="27" hidden="1" customHeight="1">
      <c r="A31" s="923"/>
      <c r="B31" s="1251"/>
      <c r="C31" s="950"/>
      <c r="D31" s="950"/>
      <c r="E31" s="950"/>
      <c r="F31" s="1262"/>
      <c r="I31" s="1610" t="str">
        <f t="shared" si="7"/>
        <v/>
      </c>
      <c r="J31" s="1611" t="str">
        <f t="shared" ref="J31:J72" si="24">IF(M31="","",1)</f>
        <v/>
      </c>
      <c r="K31" s="1612" t="str">
        <f t="shared" si="8"/>
        <v/>
      </c>
      <c r="L31" s="1613"/>
      <c r="M31" s="883"/>
      <c r="N31" s="884"/>
      <c r="O31" s="884"/>
      <c r="P31" s="885"/>
      <c r="Q31" s="886"/>
      <c r="R31" s="891"/>
      <c r="S31" s="1614" t="str">
        <f t="shared" si="0"/>
        <v/>
      </c>
      <c r="T31" s="1536"/>
      <c r="U31" s="1864" t="str">
        <f t="shared" si="9"/>
        <v/>
      </c>
      <c r="V31" s="1615" t="str">
        <f t="shared" si="1"/>
        <v/>
      </c>
      <c r="W31" s="889"/>
      <c r="X31" s="1615" t="str">
        <f t="shared" si="2"/>
        <v/>
      </c>
      <c r="Y31" s="1865" t="str">
        <f t="shared" si="10"/>
        <v/>
      </c>
      <c r="Z31" s="890"/>
      <c r="AA31" s="197" t="str" cm="1">
        <f t="array" ref="AA31">IF(M31="","",IF(P31=AN31,1,Slookup(MID(AN31,1,3)*1,UomConversion!$D$8:$J$500,5,UomConversion!$E$8:$E$500,MID(P31,1,3)*1,UomConversion!$J$8:$J$500,1)))</f>
        <v/>
      </c>
      <c r="AB31" s="197" t="str">
        <f t="shared" si="11"/>
        <v/>
      </c>
      <c r="AC31" s="197" t="str">
        <f t="shared" si="12"/>
        <v/>
      </c>
      <c r="AD31" s="197" t="str">
        <f t="shared" si="13"/>
        <v/>
      </c>
      <c r="AE31" s="1866" t="str">
        <f t="shared" si="14"/>
        <v/>
      </c>
      <c r="AF31" s="1866" t="str">
        <f t="shared" si="15"/>
        <v/>
      </c>
      <c r="AG31" s="197" t="str">
        <f t="shared" si="16"/>
        <v/>
      </c>
      <c r="AH31" s="197" t="str">
        <f>IF(I31="","",IF(ISNA(MATCH(I31,IF(invoice_location_id=1,'[1]1_inventory_totals'!$C$8:$C$10000,IF(invoice_location_id=2,'[1]2_inventory_totals'!$C$8:$C$10000,0)),0)),0,IF(AV31&gt;0,1,0)))</f>
        <v/>
      </c>
      <c r="AI31" s="197" t="str">
        <f>IF(M31="","",IF(invoice_location_id=1,SUMIFS('[1]1_inventory_total_details'!$J$8:$J$10000,'[1]1_inventory_total_details'!$C$8:$C$10000,I31,'[1]1_inventory_total_details'!$F$8:$F$10000,invoice_location_id,'[1]1_inventory_total_details'!$G$8:$G$10000,"="&amp;Q31,'[1]1_inventory_total_details'!$H$8:$H$10000,"="&amp;R31,'[1]1_inventory_total_details'!$I$8:$I$10000,"="&amp;invoice_date)+SUMIFS('[1]1_inventory_total_details'!$M$8:$M$10000,'[1]1_inventory_total_details'!$C$8:$C$10000,I31,'[1]1_inventory_total_details'!$F$8:$F$10000,invoice_location_id,'[1]1_inventory_total_details'!$G$8:$G$10000,"="&amp;Q31,'[1]1_inventory_total_details'!$H$8:$H$10000,"="&amp;R31,'[1]1_inventory_total_details'!$I$8:$I$10000,"="&amp;invoice_date)+SUMIFS('[1]1_inventory_total_details'!$K$8:$K$10000,'[1]1_inventory_total_details'!$C$8:$C$10000,I31,'[1]1_inventory_total_details'!$F$8:$F$10000,invoice_location_id,'[1]1_inventory_total_details'!$G$8:$G$10000,"="&amp;Q31,'[1]1_inventory_total_details'!$H$8:$H$10000,"="&amp;R31,'[1]1_inventory_total_details'!$I$8:$I$10000,"="&amp;invoice_date)+SUMIFS('[1]1_inventory_total_details'!$L$8:$L$10000,'[1]1_inventory_total_details'!$C$8:$C$10000,I31,'[1]1_inventory_total_details'!$F$8:$F$10000,invoice_location_id,'[1]1_inventory_total_details'!$G$8:$G$10000,"="&amp;Q31,'[1]1_inventory_total_details'!$H$8:$H$10000,"="&amp;R31,'[1]1_inventory_total_details'!$I$8:$I$10000,"="&amp;invoice_date),SUMIFS('[1]2_inventory_total_details'!$J$8:$J$10000,'[1]2_inventory_total_details'!$C$8:$C$10000,I31,'[1]2_inventory_total_details'!$F$8:$F$10000,invoice_location_id,'[1]2_inventory_total_details'!$G$8:$G$10000,"="&amp;Q31,'[1]2_inventory_total_details'!$H$8:$H$10000,"="&amp;R31,'[1]2_inventory_total_details'!$I$8:$I$10000,"="&amp;invoice_date)+SUMIFS('[1]2_inventory_total_details'!$M$8:$M$10000,'[1]2_inventory_total_details'!$C$8:$C$10000,I31,'[1]2_inventory_total_details'!$F$8:$F$10000,invoice_location_id,'[1]2_inventory_total_details'!$G$8:$G$10000,"="&amp;Q31,'[1]2_inventory_total_details'!$H$8:$H$10000,"="&amp;R31,'[1]2_inventory_total_details'!$I$8:$I$10000,"="&amp;invoice_date)+SUMIFS('[1]2_inventory_total_details'!$K$8:$K$10000,'[1]2_inventory_total_details'!$C$8:$C$10000,I31,'[1]2_inventory_total_details'!$F$8:$F$10000,invoice_location_id,'[1]2_inventory_total_details'!$G$8:$G$10000,"="&amp;Q31,'[1]2_inventory_total_details'!$H$8:$H$10000,"="&amp;R31,'[1]2_inventory_total_details'!$I$8:$I$10000,"="&amp;invoice_date)+SUMIFS('[1]2_inventory_total_details'!$L$8:$L$10000,'[1]2_inventory_total_details'!$C$8:$C$10000,I31,'[1]2_inventory_total_details'!$F$8:$F$10000,invoice_location_id,'[1]2_inventory_total_details'!$G$8:$G$10000,"="&amp;Q31,'[1]2_inventory_total_details'!$H$8:$H$10000,"="&amp;R31,'[1]2_inventory_total_details'!$I$8:$I$10000,"="&amp;invoice_date)))</f>
        <v/>
      </c>
      <c r="AJ31" s="197" t="str">
        <f>IF(M31="","",IF(ISNA(MATCH(I31,'[1]1_group_totals'!$C$8:$C$10000)),0,IF(AW31&gt;0,1,0)))</f>
        <v/>
      </c>
      <c r="AK31" s="197" t="str">
        <f>IF(M31="","",(SUMIFS('[1]1_group_total_details'!$I$8:$I$10000,'[1]1_group_total_details'!$C$8:$C$10000,I31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31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31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31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31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31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31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31,'[1]1_group_total_details'!$F$8:$F$10000,invoice_location_group_id,'[1]1_group_total_details'!$G$8:$G$10000,invoice_location_id,'[1]1_group_total_details'!$H$8:$H$10000,"="&amp;invoice_date)))</f>
        <v/>
      </c>
      <c r="AL31" s="197" t="str">
        <f>IF(M31="","",(SUMIFS('[1]1_group_total_details'!$I$8:$I$10000,'[1]1_group_total_details'!$C$8:$C$10000,I31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31,'[1]1_group_total_details'!$F$8:$F$10000,invoice_location_group_id,'[1]1_group_total_details'!$G$8:$G$10000,1,'[1]1_group_total_details'!$H$8:$H$10000,"&lt;="&amp;invoice_date)+SUMIFS('[1]1_group_total_details'!$N$8:$N$10000,'[1]1_group_total_details'!$C$8:$C$10000,I31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31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31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31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31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31,'[1]1_group_total_details'!$F$8:$F$10000,invoice_location_group_id,'[1]1_group_total_details'!$G$8:$G$10000,invoice_location_id,'[1]1_group_total_details'!$H$8:$H$10000,"&lt;="&amp;invoice_date)))</f>
        <v/>
      </c>
      <c r="AM31" s="197" t="str">
        <f>IF(M31="","",SUMIFS('[1]1_group_totals'!$J$8:$J$10000,'[1]1_group_totals'!$C$8:$C$10000,I31,'[1]1_group_totals'!$F$8:$F$10000,invoice_location_group_id,'[1]1_group_totals'!$G$8:$G$10000,invoice_location_id,'[1]1_group_totals'!$H$8:$H$10000,"="&amp;Q31,'[1]1_group_totals'!$I$8:$I$10000,"="&amp;R31))</f>
        <v/>
      </c>
      <c r="AN31" s="197" t="str">
        <f t="shared" si="17"/>
        <v/>
      </c>
      <c r="AO31" s="197" t="str">
        <f>IF(OR(ISNA(MATCH(MID(AN31,1,3)*1,UomConversion!$D$8:$D$500,0)),M31=""),"",IF(AT31="","",AT31))</f>
        <v/>
      </c>
      <c r="AP31" s="197" t="str">
        <f>IF(AND(AQ31&gt;0,COUNTIFS(UomConversion!$D$8:$D$500,MID(AN31,1,3)*1,UomConversion!$J$8:$J$500,1)&gt;1),TEXT(AQ31,"000")&amp;"."&amp;VLOOKUP(AQ31,uom_list,5,FALSE),"")</f>
        <v/>
      </c>
      <c r="AQ31" s="197" t="str">
        <f t="shared" si="18"/>
        <v/>
      </c>
      <c r="AR31" s="197" t="str">
        <f t="shared" si="19"/>
        <v/>
      </c>
      <c r="AS31" s="1866" t="str">
        <f>IF(M31="","",SUMIFS(ProductPrice!$N$28:$N$10000,ProductPrice!$D$28:$D$10000,I31,ProductPrice!$G$28:$G$10000,invoice_branch_id,ProductPrice!$H$28:$H$10000,invoice_price_type_id,ProductPrice!$I$28:$I$10000,MID(P31,1,3)*1,ProductPrice!$Q$28:$Q$10000,1,ProductPrice!$T$28:$T$10000,1))</f>
        <v/>
      </c>
      <c r="AT31" s="197" t="str">
        <f t="shared" si="20"/>
        <v/>
      </c>
      <c r="AU31" s="197" t="str" cm="1">
        <f t="array" ref="AU31">IF(M31="","",IF(ISNA(Slookup(MID(AN31,1,3)*1,UomConversion!$D$8:$J$500,2,UomConversion!$I$8:$I$500,1,UomConversion!$J$8:$J$500,1)),"",Slookup(MID(AN31,1,3)*1,UomConversion!$D$8:$J$500,2,UomConversion!$I$8:$I$500,1,UomConversion!$J$8:$J$500,1)))</f>
        <v/>
      </c>
      <c r="AV31" s="197" t="str">
        <f t="shared" si="6"/>
        <v/>
      </c>
      <c r="AW31" s="197" t="str">
        <f>IF(M31="","",(SUMIFS('[1]1_group_totals'!$K$8:$K$10000,'[1]1_group_totals'!$C$8:$C$10000,I31,'[1]1_group_totals'!$F$8:$F$10000,invoice_location_group_id,'[1]1_group_totals'!$G$8:$G$10000,invoice_location_id,'[1]1_group_totals'!$H$8:$H$10000,"="&amp;Q31,'[1]1_group_totals'!$I$8:$I$10000,"="&amp;R31)+SUMIFS('[1]1_group_totals'!$N$8:$N$10000,'[1]1_group_totals'!$C$8:$C$10000,I31,'[1]1_group_totals'!$F$8:$F$10000,invoice_location_group_id,'[1]1_group_totals'!$G$8:$G$10000,invoice_location_id,'[1]1_group_totals'!$H$8:$H$10000,"="&amp;Q31,'[1]1_group_totals'!$I$8:$I$10000,"="&amp;R31)+SUMIFS('[1]1_group_totals'!$P$8:$P$10000,'[1]1_group_totals'!$C$8:$C$10000,I31,'[1]1_group_totals'!$F$8:$F$10000,invoice_location_group_id,'[1]1_group_totals'!$G$8:$G$10000,invoice_location_id,'[1]1_group_totals'!$H$8:$H$10000,"="&amp;Q31,'[1]1_group_totals'!$I$8:$I$10000,"="&amp;R31)+SUMIFS('[1]1_group_totals'!$Q$8:$Q$10000,'[1]1_group_totals'!$C$8:$C$10000,I31,'[1]1_group_totals'!$F$8:$F$10000,invoice_location_group_id,'[1]1_group_totals'!$G$8:$G$10000,invoice_location_id,'[1]1_group_totals'!$H$8:$H$10000,"="&amp;Q31,'[1]1_group_totals'!$I$8:$I$10000,"="&amp;R31))+(SUMIFS('[1]1_group_totals'!$L$8:$L$10000,'[1]1_group_totals'!$C$8:$C$10000,I31,'[1]1_group_totals'!$F$8:$F$10000,invoice_location_group_id,'[1]1_group_totals'!$G$8:$G$10000,invoice_location_id,'[1]1_group_totals'!$H$8:$H$10000,"="&amp;Q31,'[1]1_group_totals'!$I$8:$I$10000,"="&amp;R31)+SUMIFS('[1]1_group_totals'!$M$8:$M$10000,'[1]1_group_totals'!$C$8:$C$10000,I31,'[1]1_group_totals'!$F$8:$F$10000,invoice_location_group_id,'[1]1_group_totals'!$G$8:$G$10000,invoice_location_id,'[1]1_group_totals'!$H$8:$H$10000,"="&amp;Q31,'[1]1_group_totals'!$I$8:$I$10000,"="&amp;R31)+SUMIFS('[1]1_group_totals'!$O$8:$O$10000,'[1]1_group_totals'!$C$8:$C$10000,I31,'[1]1_group_totals'!$F$8:$F$10000,invoice_location_group_id,'[1]1_group_totals'!$G$8:$G$10000,invoice_location_id,'[1]1_group_totals'!$H$8:$H$10000,"="&amp;Q31,'[1]1_group_totals'!$I$8:$I$10000,"="&amp;R31)+SUMIFS('[1]1_group_totals'!$R$8:$R$10000,'[1]1_group_totals'!$C$8:$C$10000,I31,'[1]1_group_totals'!$F$8:$F$10000,invoice_location_group_id,'[1]1_group_totals'!$G$8:$G$10000,invoice_location_id,'[1]1_group_totals'!$H$8:$H$10000,"="&amp;Q31,'[1]1_group_totals'!$I$8:$I$10000,"="&amp;R31)))</f>
        <v/>
      </c>
      <c r="AX31" s="197" t="str">
        <f t="shared" si="21"/>
        <v/>
      </c>
      <c r="AY31" s="197" t="str">
        <f>IF(M31="","",SUMIFS($AX$8:AX31,$I$8:I31,I31))</f>
        <v/>
      </c>
      <c r="AZ31" s="197" t="str">
        <f t="shared" si="22"/>
        <v/>
      </c>
      <c r="BA31" s="197" t="str">
        <f>IF(M31="","",(SUMIFS('[1]1_inventory_totals'!$I$8:$I$10000,'[1]1_inventory_totals'!$C$8:$C$10000,I31,'[1]1_inventory_totals'!$F$8:$F$10000,"="&amp;Q31,'[1]1_inventory_totals'!$G$8:$G$10000,"="&amp;R31)+SUMIFS('[1]1_inventory_totals'!$N$8:$N$10000,'[1]1_inventory_totals'!$C$8:$C$10000,I31,'[1]1_inventory_totals'!$F$8:$F$10000,"="&amp;Q31,'[1]1_inventory_totals'!$G$8:$G$10000,"="&amp;R31)+SUMIFS('[1]1_inventory_totals'!$P$8:$P$10000,'[1]1_inventory_totals'!$C$8:$C$10000,I31,'[1]1_inventory_totals'!$F$8:$F$10000,"="&amp;Q31,'[1]1_inventory_totals'!$G$8:$G$10000,"="&amp;R31)+SUMIFS('[1]1_inventory_totals'!$Q$8:$Q$10000,'[1]1_inventory_totals'!$C$8:$C$10000,I31,'[1]1_inventory_totals'!$F$8:$F$10000,"="&amp;Q31,'[1]1_inventory_totals'!$G$8:$G$10000,"="&amp;R31)+SUMIFS('[1]1_inventory_totals'!$R$8:$R$10000,'[1]1_inventory_totals'!$C$8:$C$10000,I31,'[1]1_inventory_totals'!$F$8:$F$10000,"="&amp;Q31,'[1]1_inventory_totals'!$G$8:$G$10000,"="&amp;R31))+(SUMIFS('[1]1_inventory_totals'!$J$8:$J$10000,'[1]1_inventory_totals'!$C$8:$C$10000,I31,'[1]1_inventory_totals'!$F$8:$F$10000,"="&amp;Q31,'[1]1_inventory_totals'!$G$8:$G$10000,"="&amp;R31)+SUMIFS('[1]1_inventory_totals'!$K$8:$K$10000,'[1]1_inventory_totals'!$C$8:$C$10000,I31,'[1]1_inventory_totals'!$F$8:$F$10000,"="&amp;Q31,'[1]1_inventory_totals'!$G$8:$G$10000,"="&amp;R31)+SUMIFS('[1]1_inventory_totals'!$L$8:$L$10000,'[1]1_inventory_totals'!$C$8:$C$10000,I31,'[1]1_inventory_totals'!$F$8:$F$10000,"="&amp;Q31,'[1]1_inventory_totals'!$G$8:$G$10000,"="&amp;R31)+SUMIFS('[1]1_inventory_totals'!$M$8:$M$10000,'[1]1_inventory_totals'!$C$8:$C$10000,I31,'[1]1_inventory_totals'!$F$8:$F$10000,"="&amp;Q31,'[1]1_inventory_totals'!$G$8:$G$10000,"="&amp;R31)+SUMIFS('[1]1_inventory_totals'!$O$8:$O$10000,'[1]1_inventory_totals'!$C$8:$C$10000,I31,'[1]1_inventory_totals'!$F$8:$F$10000,"="&amp;Q31,'[1]1_inventory_totals'!$G$8:$G$10000,"="&amp;R31)+SUMIFS('[1]1_inventory_totals'!$S$8:$S$10000,'[1]1_inventory_totals'!$C$8:$C$10000,I31,'[1]1_inventory_totals'!$F$8:$F$10000,"="&amp;Q31,'[1]1_inventory_totals'!$G$8:$G$10000,"="&amp;R31)))</f>
        <v/>
      </c>
      <c r="BB31" s="197" t="str">
        <f>IF(M31="","",(SUMIFS('[1]2_inventory_totals'!$I$8:$I$10000,'[1]2_inventory_totals'!$C$8:$C$10000,I31,'[1]2_inventory_totals'!$F$8:$F$10000,"="&amp;Q31,'[1]2_inventory_totals'!$G$8:$G$10000,"="&amp;R31)+SUMIFS('[1]2_inventory_totals'!$N$8:$N$10000,'[1]2_inventory_totals'!$C$8:$C$10000,I31,'[1]2_inventory_totals'!$F$8:$F$10000,"="&amp;Q31,'[1]2_inventory_totals'!$G$8:$G$10000,"="&amp;R31)+SUMIFS('[1]2_inventory_totals'!$P$8:$P$10000,'[1]2_inventory_totals'!$C$8:$C$10000,I31,'[1]2_inventory_totals'!$F$8:$F$10000,"="&amp;Q31,'[1]2_inventory_totals'!$G$8:$G$10000,"="&amp;R31)+SUMIFS('[1]2_inventory_totals'!$Q$8:$Q$10000,'[1]2_inventory_totals'!$C$8:$C$10000,I31,'[1]2_inventory_totals'!$F$8:$F$10000,"="&amp;Q31,'[1]2_inventory_totals'!$G$8:$G$10000,"="&amp;R31)+SUMIFS('[1]2_inventory_totals'!$R$8:$R$10000,'[1]2_inventory_totals'!$C$8:$C$10000,I31,'[1]2_inventory_totals'!$F$8:$F$10000,"="&amp;Q31,'[1]2_inventory_totals'!$G$8:$G$10000,"="&amp;R31))+(SUMIFS('[1]2_inventory_totals'!$J$8:$J$10000,'[1]2_inventory_totals'!$C$8:$C$10000,I31,'[1]2_inventory_totals'!$F$8:$F$10000,"="&amp;Q31,'[1]2_inventory_totals'!$G$8:$G$10000,"="&amp;R31)+SUMIFS('[1]2_inventory_totals'!$K$8:$K$10000,'[1]2_inventory_totals'!$C$8:$C$10000,I31,'[1]2_inventory_totals'!$F$8:$F$10000,"="&amp;Q31,'[1]2_inventory_totals'!$G$8:$G$10000,"="&amp;R31)+SUMIFS('[1]2_inventory_totals'!$L$8:$L$10000,'[1]2_inventory_totals'!$C$8:$C$10000,I31,'[1]2_inventory_totals'!$F$8:$F$10000,"="&amp;Q31,'[1]2_inventory_totals'!$G$8:$G$10000,"="&amp;R31)+SUMIFS('[1]2_inventory_totals'!$M$8:$M$10000,'[1]2_inventory_totals'!$C$8:$C$10000,I31,'[1]2_inventory_totals'!$F$8:$F$10000,"="&amp;Q31,'[1]2_inventory_totals'!$G$8:$G$10000,"="&amp;R31)+SUMIFS('[1]2_inventory_totals'!$O$8:$O$10000,'[1]2_inventory_totals'!$C$8:$C$10000,I31,'[1]2_inventory_totals'!$F$8:$F$10000,"="&amp;Q31,'[1]2_inventory_totals'!$G$8:$G$10000,"="&amp;R31)+SUMIFS('[1]2_inventory_totals'!$S$8:$S$10000,'[1]2_inventory_totals'!$C$8:$C$10000,I31,'[1]2_inventory_totals'!$F$8:$F$10000,"="&amp;Q31,'[1]2_inventory_totals'!$G$8:$G$10000,"="&amp;R31)))</f>
        <v/>
      </c>
    </row>
    <row r="32" spans="1:54" ht="27" hidden="1" customHeight="1">
      <c r="A32" s="923"/>
      <c r="B32" s="1251"/>
      <c r="C32" s="950"/>
      <c r="D32" s="950"/>
      <c r="E32" s="950"/>
      <c r="F32" s="1262"/>
      <c r="I32" s="1610" t="str">
        <f t="shared" si="7"/>
        <v/>
      </c>
      <c r="J32" s="1611" t="str">
        <f t="shared" si="24"/>
        <v/>
      </c>
      <c r="K32" s="1612" t="str">
        <f t="shared" si="8"/>
        <v/>
      </c>
      <c r="L32" s="1613"/>
      <c r="M32" s="883"/>
      <c r="N32" s="884"/>
      <c r="O32" s="884"/>
      <c r="P32" s="885"/>
      <c r="Q32" s="886"/>
      <c r="R32" s="891"/>
      <c r="S32" s="1614" t="str">
        <f t="shared" si="0"/>
        <v/>
      </c>
      <c r="T32" s="1536"/>
      <c r="U32" s="1864" t="str">
        <f t="shared" si="9"/>
        <v/>
      </c>
      <c r="V32" s="1615" t="str">
        <f t="shared" si="1"/>
        <v/>
      </c>
      <c r="W32" s="889"/>
      <c r="X32" s="1615" t="str">
        <f t="shared" si="2"/>
        <v/>
      </c>
      <c r="Y32" s="1865" t="str">
        <f t="shared" si="10"/>
        <v/>
      </c>
      <c r="Z32" s="890"/>
      <c r="AA32" s="197" t="str" cm="1">
        <f t="array" ref="AA32">IF(M32="","",IF(P32=AN32,1,Slookup(MID(AN32,1,3)*1,UomConversion!$D$8:$J$500,5,UomConversion!$E$8:$E$500,MID(P32,1,3)*1,UomConversion!$J$8:$J$500,1)))</f>
        <v/>
      </c>
      <c r="AB32" s="197" t="str">
        <f t="shared" si="11"/>
        <v/>
      </c>
      <c r="AC32" s="197" t="str">
        <f t="shared" si="12"/>
        <v/>
      </c>
      <c r="AD32" s="197" t="str">
        <f t="shared" si="13"/>
        <v/>
      </c>
      <c r="AE32" s="1866" t="str">
        <f t="shared" si="14"/>
        <v/>
      </c>
      <c r="AF32" s="1866" t="str">
        <f t="shared" si="15"/>
        <v/>
      </c>
      <c r="AG32" s="197" t="str">
        <f t="shared" si="16"/>
        <v/>
      </c>
      <c r="AH32" s="197" t="str">
        <f>IF(I32="","",IF(ISNA(MATCH(I32,IF(invoice_location_id=1,'[1]1_inventory_totals'!$C$8:$C$10000,IF(invoice_location_id=2,'[1]2_inventory_totals'!$C$8:$C$10000,0)),0)),0,IF(AV32&gt;0,1,0)))</f>
        <v/>
      </c>
      <c r="AI32" s="197" t="str">
        <f>IF(M32="","",IF(invoice_location_id=1,SUMIFS('[1]1_inventory_total_details'!$J$8:$J$10000,'[1]1_inventory_total_details'!$C$8:$C$10000,I32,'[1]1_inventory_total_details'!$F$8:$F$10000,invoice_location_id,'[1]1_inventory_total_details'!$G$8:$G$10000,"="&amp;Q32,'[1]1_inventory_total_details'!$H$8:$H$10000,"="&amp;R32,'[1]1_inventory_total_details'!$I$8:$I$10000,"="&amp;invoice_date)+SUMIFS('[1]1_inventory_total_details'!$M$8:$M$10000,'[1]1_inventory_total_details'!$C$8:$C$10000,I32,'[1]1_inventory_total_details'!$F$8:$F$10000,invoice_location_id,'[1]1_inventory_total_details'!$G$8:$G$10000,"="&amp;Q32,'[1]1_inventory_total_details'!$H$8:$H$10000,"="&amp;R32,'[1]1_inventory_total_details'!$I$8:$I$10000,"="&amp;invoice_date)+SUMIFS('[1]1_inventory_total_details'!$K$8:$K$10000,'[1]1_inventory_total_details'!$C$8:$C$10000,I32,'[1]1_inventory_total_details'!$F$8:$F$10000,invoice_location_id,'[1]1_inventory_total_details'!$G$8:$G$10000,"="&amp;Q32,'[1]1_inventory_total_details'!$H$8:$H$10000,"="&amp;R32,'[1]1_inventory_total_details'!$I$8:$I$10000,"="&amp;invoice_date)+SUMIFS('[1]1_inventory_total_details'!$L$8:$L$10000,'[1]1_inventory_total_details'!$C$8:$C$10000,I32,'[1]1_inventory_total_details'!$F$8:$F$10000,invoice_location_id,'[1]1_inventory_total_details'!$G$8:$G$10000,"="&amp;Q32,'[1]1_inventory_total_details'!$H$8:$H$10000,"="&amp;R32,'[1]1_inventory_total_details'!$I$8:$I$10000,"="&amp;invoice_date),SUMIFS('[1]2_inventory_total_details'!$J$8:$J$10000,'[1]2_inventory_total_details'!$C$8:$C$10000,I32,'[1]2_inventory_total_details'!$F$8:$F$10000,invoice_location_id,'[1]2_inventory_total_details'!$G$8:$G$10000,"="&amp;Q32,'[1]2_inventory_total_details'!$H$8:$H$10000,"="&amp;R32,'[1]2_inventory_total_details'!$I$8:$I$10000,"="&amp;invoice_date)+SUMIFS('[1]2_inventory_total_details'!$M$8:$M$10000,'[1]2_inventory_total_details'!$C$8:$C$10000,I32,'[1]2_inventory_total_details'!$F$8:$F$10000,invoice_location_id,'[1]2_inventory_total_details'!$G$8:$G$10000,"="&amp;Q32,'[1]2_inventory_total_details'!$H$8:$H$10000,"="&amp;R32,'[1]2_inventory_total_details'!$I$8:$I$10000,"="&amp;invoice_date)+SUMIFS('[1]2_inventory_total_details'!$K$8:$K$10000,'[1]2_inventory_total_details'!$C$8:$C$10000,I32,'[1]2_inventory_total_details'!$F$8:$F$10000,invoice_location_id,'[1]2_inventory_total_details'!$G$8:$G$10000,"="&amp;Q32,'[1]2_inventory_total_details'!$H$8:$H$10000,"="&amp;R32,'[1]2_inventory_total_details'!$I$8:$I$10000,"="&amp;invoice_date)+SUMIFS('[1]2_inventory_total_details'!$L$8:$L$10000,'[1]2_inventory_total_details'!$C$8:$C$10000,I32,'[1]2_inventory_total_details'!$F$8:$F$10000,invoice_location_id,'[1]2_inventory_total_details'!$G$8:$G$10000,"="&amp;Q32,'[1]2_inventory_total_details'!$H$8:$H$10000,"="&amp;R32,'[1]2_inventory_total_details'!$I$8:$I$10000,"="&amp;invoice_date)))</f>
        <v/>
      </c>
      <c r="AJ32" s="197" t="str">
        <f>IF(M32="","",IF(ISNA(MATCH(I32,'[1]1_group_totals'!$C$8:$C$10000)),0,IF(AW32&gt;0,1,0)))</f>
        <v/>
      </c>
      <c r="AK32" s="197" t="str">
        <f>IF(M32="","",(SUMIFS('[1]1_group_total_details'!$I$8:$I$10000,'[1]1_group_total_details'!$C$8:$C$10000,I32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32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32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32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32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32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32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32,'[1]1_group_total_details'!$F$8:$F$10000,invoice_location_group_id,'[1]1_group_total_details'!$G$8:$G$10000,invoice_location_id,'[1]1_group_total_details'!$H$8:$H$10000,"="&amp;invoice_date)))</f>
        <v/>
      </c>
      <c r="AL32" s="197" t="str">
        <f>IF(M32="","",(SUMIFS('[1]1_group_total_details'!$I$8:$I$10000,'[1]1_group_total_details'!$C$8:$C$10000,I32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32,'[1]1_group_total_details'!$F$8:$F$10000,invoice_location_group_id,'[1]1_group_total_details'!$G$8:$G$10000,1,'[1]1_group_total_details'!$H$8:$H$10000,"&lt;="&amp;invoice_date)+SUMIFS('[1]1_group_total_details'!$N$8:$N$10000,'[1]1_group_total_details'!$C$8:$C$10000,I32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32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32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32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32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32,'[1]1_group_total_details'!$F$8:$F$10000,invoice_location_group_id,'[1]1_group_total_details'!$G$8:$G$10000,invoice_location_id,'[1]1_group_total_details'!$H$8:$H$10000,"&lt;="&amp;invoice_date)))</f>
        <v/>
      </c>
      <c r="AM32" s="197" t="str">
        <f>IF(M32="","",SUMIFS('[1]1_group_totals'!$J$8:$J$10000,'[1]1_group_totals'!$C$8:$C$10000,I32,'[1]1_group_totals'!$F$8:$F$10000,invoice_location_group_id,'[1]1_group_totals'!$G$8:$G$10000,invoice_location_id,'[1]1_group_totals'!$H$8:$H$10000,"="&amp;Q32,'[1]1_group_totals'!$I$8:$I$10000,"="&amp;R32))</f>
        <v/>
      </c>
      <c r="AN32" s="197" t="str">
        <f t="shared" si="17"/>
        <v/>
      </c>
      <c r="AO32" s="197" t="str">
        <f>IF(OR(ISNA(MATCH(MID(AN32,1,3)*1,UomConversion!$D$8:$D$500,0)),M32=""),"",IF(AT32="","",AT32))</f>
        <v/>
      </c>
      <c r="AP32" s="197" t="str">
        <f>IF(AND(AQ32&gt;0,COUNTIFS(UomConversion!$D$8:$D$500,MID(AN32,1,3)*1,UomConversion!$J$8:$J$500,1)&gt;1),TEXT(AQ32,"000")&amp;"."&amp;VLOOKUP(AQ32,uom_list,5,FALSE),"")</f>
        <v/>
      </c>
      <c r="AQ32" s="197" t="str">
        <f t="shared" si="18"/>
        <v/>
      </c>
      <c r="AR32" s="197" t="str">
        <f t="shared" si="19"/>
        <v/>
      </c>
      <c r="AS32" s="1866" t="str">
        <f>IF(M32="","",SUMIFS(ProductPrice!$N$28:$N$10000,ProductPrice!$D$28:$D$10000,I32,ProductPrice!$G$28:$G$10000,invoice_branch_id,ProductPrice!$H$28:$H$10000,invoice_price_type_id,ProductPrice!$I$28:$I$10000,MID(P32,1,3)*1,ProductPrice!$Q$28:$Q$10000,1,ProductPrice!$T$28:$T$10000,1))</f>
        <v/>
      </c>
      <c r="AT32" s="197" t="str">
        <f t="shared" si="20"/>
        <v/>
      </c>
      <c r="AU32" s="197" t="str" cm="1">
        <f t="array" ref="AU32">IF(M32="","",IF(ISNA(Slookup(MID(AN32,1,3)*1,UomConversion!$D$8:$J$500,2,UomConversion!$I$8:$I$500,1,UomConversion!$J$8:$J$500,1)),"",Slookup(MID(AN32,1,3)*1,UomConversion!$D$8:$J$500,2,UomConversion!$I$8:$I$500,1,UomConversion!$J$8:$J$500,1)))</f>
        <v/>
      </c>
      <c r="AV32" s="197" t="str">
        <f t="shared" si="6"/>
        <v/>
      </c>
      <c r="AW32" s="197" t="str">
        <f>IF(M32="","",(SUMIFS('[1]1_group_totals'!$K$8:$K$10000,'[1]1_group_totals'!$C$8:$C$10000,I32,'[1]1_group_totals'!$F$8:$F$10000,invoice_location_group_id,'[1]1_group_totals'!$G$8:$G$10000,invoice_location_id,'[1]1_group_totals'!$H$8:$H$10000,"="&amp;Q32,'[1]1_group_totals'!$I$8:$I$10000,"="&amp;R32)+SUMIFS('[1]1_group_totals'!$N$8:$N$10000,'[1]1_group_totals'!$C$8:$C$10000,I32,'[1]1_group_totals'!$F$8:$F$10000,invoice_location_group_id,'[1]1_group_totals'!$G$8:$G$10000,invoice_location_id,'[1]1_group_totals'!$H$8:$H$10000,"="&amp;Q32,'[1]1_group_totals'!$I$8:$I$10000,"="&amp;R32)+SUMIFS('[1]1_group_totals'!$P$8:$P$10000,'[1]1_group_totals'!$C$8:$C$10000,I32,'[1]1_group_totals'!$F$8:$F$10000,invoice_location_group_id,'[1]1_group_totals'!$G$8:$G$10000,invoice_location_id,'[1]1_group_totals'!$H$8:$H$10000,"="&amp;Q32,'[1]1_group_totals'!$I$8:$I$10000,"="&amp;R32)+SUMIFS('[1]1_group_totals'!$Q$8:$Q$10000,'[1]1_group_totals'!$C$8:$C$10000,I32,'[1]1_group_totals'!$F$8:$F$10000,invoice_location_group_id,'[1]1_group_totals'!$G$8:$G$10000,invoice_location_id,'[1]1_group_totals'!$H$8:$H$10000,"="&amp;Q32,'[1]1_group_totals'!$I$8:$I$10000,"="&amp;R32))+(SUMIFS('[1]1_group_totals'!$L$8:$L$10000,'[1]1_group_totals'!$C$8:$C$10000,I32,'[1]1_group_totals'!$F$8:$F$10000,invoice_location_group_id,'[1]1_group_totals'!$G$8:$G$10000,invoice_location_id,'[1]1_group_totals'!$H$8:$H$10000,"="&amp;Q32,'[1]1_group_totals'!$I$8:$I$10000,"="&amp;R32)+SUMIFS('[1]1_group_totals'!$M$8:$M$10000,'[1]1_group_totals'!$C$8:$C$10000,I32,'[1]1_group_totals'!$F$8:$F$10000,invoice_location_group_id,'[1]1_group_totals'!$G$8:$G$10000,invoice_location_id,'[1]1_group_totals'!$H$8:$H$10000,"="&amp;Q32,'[1]1_group_totals'!$I$8:$I$10000,"="&amp;R32)+SUMIFS('[1]1_group_totals'!$O$8:$O$10000,'[1]1_group_totals'!$C$8:$C$10000,I32,'[1]1_group_totals'!$F$8:$F$10000,invoice_location_group_id,'[1]1_group_totals'!$G$8:$G$10000,invoice_location_id,'[1]1_group_totals'!$H$8:$H$10000,"="&amp;Q32,'[1]1_group_totals'!$I$8:$I$10000,"="&amp;R32)+SUMIFS('[1]1_group_totals'!$R$8:$R$10000,'[1]1_group_totals'!$C$8:$C$10000,I32,'[1]1_group_totals'!$F$8:$F$10000,invoice_location_group_id,'[1]1_group_totals'!$G$8:$G$10000,invoice_location_id,'[1]1_group_totals'!$H$8:$H$10000,"="&amp;Q32,'[1]1_group_totals'!$I$8:$I$10000,"="&amp;R32)))</f>
        <v/>
      </c>
      <c r="AX32" s="197" t="str">
        <f t="shared" si="21"/>
        <v/>
      </c>
      <c r="AY32" s="197" t="str">
        <f>IF(M32="","",SUMIFS($AX$8:AX32,$I$8:I32,I32))</f>
        <v/>
      </c>
      <c r="AZ32" s="197" t="str">
        <f t="shared" si="22"/>
        <v/>
      </c>
      <c r="BA32" s="197" t="str">
        <f>IF(M32="","",(SUMIFS('[1]1_inventory_totals'!$I$8:$I$10000,'[1]1_inventory_totals'!$C$8:$C$10000,I32,'[1]1_inventory_totals'!$F$8:$F$10000,"="&amp;Q32,'[1]1_inventory_totals'!$G$8:$G$10000,"="&amp;R32)+SUMIFS('[1]1_inventory_totals'!$N$8:$N$10000,'[1]1_inventory_totals'!$C$8:$C$10000,I32,'[1]1_inventory_totals'!$F$8:$F$10000,"="&amp;Q32,'[1]1_inventory_totals'!$G$8:$G$10000,"="&amp;R32)+SUMIFS('[1]1_inventory_totals'!$P$8:$P$10000,'[1]1_inventory_totals'!$C$8:$C$10000,I32,'[1]1_inventory_totals'!$F$8:$F$10000,"="&amp;Q32,'[1]1_inventory_totals'!$G$8:$G$10000,"="&amp;R32)+SUMIFS('[1]1_inventory_totals'!$Q$8:$Q$10000,'[1]1_inventory_totals'!$C$8:$C$10000,I32,'[1]1_inventory_totals'!$F$8:$F$10000,"="&amp;Q32,'[1]1_inventory_totals'!$G$8:$G$10000,"="&amp;R32)+SUMIFS('[1]1_inventory_totals'!$R$8:$R$10000,'[1]1_inventory_totals'!$C$8:$C$10000,I32,'[1]1_inventory_totals'!$F$8:$F$10000,"="&amp;Q32,'[1]1_inventory_totals'!$G$8:$G$10000,"="&amp;R32))+(SUMIFS('[1]1_inventory_totals'!$J$8:$J$10000,'[1]1_inventory_totals'!$C$8:$C$10000,I32,'[1]1_inventory_totals'!$F$8:$F$10000,"="&amp;Q32,'[1]1_inventory_totals'!$G$8:$G$10000,"="&amp;R32)+SUMIFS('[1]1_inventory_totals'!$K$8:$K$10000,'[1]1_inventory_totals'!$C$8:$C$10000,I32,'[1]1_inventory_totals'!$F$8:$F$10000,"="&amp;Q32,'[1]1_inventory_totals'!$G$8:$G$10000,"="&amp;R32)+SUMIFS('[1]1_inventory_totals'!$L$8:$L$10000,'[1]1_inventory_totals'!$C$8:$C$10000,I32,'[1]1_inventory_totals'!$F$8:$F$10000,"="&amp;Q32,'[1]1_inventory_totals'!$G$8:$G$10000,"="&amp;R32)+SUMIFS('[1]1_inventory_totals'!$M$8:$M$10000,'[1]1_inventory_totals'!$C$8:$C$10000,I32,'[1]1_inventory_totals'!$F$8:$F$10000,"="&amp;Q32,'[1]1_inventory_totals'!$G$8:$G$10000,"="&amp;R32)+SUMIFS('[1]1_inventory_totals'!$O$8:$O$10000,'[1]1_inventory_totals'!$C$8:$C$10000,I32,'[1]1_inventory_totals'!$F$8:$F$10000,"="&amp;Q32,'[1]1_inventory_totals'!$G$8:$G$10000,"="&amp;R32)+SUMIFS('[1]1_inventory_totals'!$S$8:$S$10000,'[1]1_inventory_totals'!$C$8:$C$10000,I32,'[1]1_inventory_totals'!$F$8:$F$10000,"="&amp;Q32,'[1]1_inventory_totals'!$G$8:$G$10000,"="&amp;R32)))</f>
        <v/>
      </c>
      <c r="BB32" s="197" t="str">
        <f>IF(M32="","",(SUMIFS('[1]2_inventory_totals'!$I$8:$I$10000,'[1]2_inventory_totals'!$C$8:$C$10000,I32,'[1]2_inventory_totals'!$F$8:$F$10000,"="&amp;Q32,'[1]2_inventory_totals'!$G$8:$G$10000,"="&amp;R32)+SUMIFS('[1]2_inventory_totals'!$N$8:$N$10000,'[1]2_inventory_totals'!$C$8:$C$10000,I32,'[1]2_inventory_totals'!$F$8:$F$10000,"="&amp;Q32,'[1]2_inventory_totals'!$G$8:$G$10000,"="&amp;R32)+SUMIFS('[1]2_inventory_totals'!$P$8:$P$10000,'[1]2_inventory_totals'!$C$8:$C$10000,I32,'[1]2_inventory_totals'!$F$8:$F$10000,"="&amp;Q32,'[1]2_inventory_totals'!$G$8:$G$10000,"="&amp;R32)+SUMIFS('[1]2_inventory_totals'!$Q$8:$Q$10000,'[1]2_inventory_totals'!$C$8:$C$10000,I32,'[1]2_inventory_totals'!$F$8:$F$10000,"="&amp;Q32,'[1]2_inventory_totals'!$G$8:$G$10000,"="&amp;R32)+SUMIFS('[1]2_inventory_totals'!$R$8:$R$10000,'[1]2_inventory_totals'!$C$8:$C$10000,I32,'[1]2_inventory_totals'!$F$8:$F$10000,"="&amp;Q32,'[1]2_inventory_totals'!$G$8:$G$10000,"="&amp;R32))+(SUMIFS('[1]2_inventory_totals'!$J$8:$J$10000,'[1]2_inventory_totals'!$C$8:$C$10000,I32,'[1]2_inventory_totals'!$F$8:$F$10000,"="&amp;Q32,'[1]2_inventory_totals'!$G$8:$G$10000,"="&amp;R32)+SUMIFS('[1]2_inventory_totals'!$K$8:$K$10000,'[1]2_inventory_totals'!$C$8:$C$10000,I32,'[1]2_inventory_totals'!$F$8:$F$10000,"="&amp;Q32,'[1]2_inventory_totals'!$G$8:$G$10000,"="&amp;R32)+SUMIFS('[1]2_inventory_totals'!$L$8:$L$10000,'[1]2_inventory_totals'!$C$8:$C$10000,I32,'[1]2_inventory_totals'!$F$8:$F$10000,"="&amp;Q32,'[1]2_inventory_totals'!$G$8:$G$10000,"="&amp;R32)+SUMIFS('[1]2_inventory_totals'!$M$8:$M$10000,'[1]2_inventory_totals'!$C$8:$C$10000,I32,'[1]2_inventory_totals'!$F$8:$F$10000,"="&amp;Q32,'[1]2_inventory_totals'!$G$8:$G$10000,"="&amp;R32)+SUMIFS('[1]2_inventory_totals'!$O$8:$O$10000,'[1]2_inventory_totals'!$C$8:$C$10000,I32,'[1]2_inventory_totals'!$F$8:$F$10000,"="&amp;Q32,'[1]2_inventory_totals'!$G$8:$G$10000,"="&amp;R32)+SUMIFS('[1]2_inventory_totals'!$S$8:$S$10000,'[1]2_inventory_totals'!$C$8:$C$10000,I32,'[1]2_inventory_totals'!$F$8:$F$10000,"="&amp;Q32,'[1]2_inventory_totals'!$G$8:$G$10000,"="&amp;R32)))</f>
        <v/>
      </c>
    </row>
    <row r="33" spans="1:54" ht="27" hidden="1" customHeight="1">
      <c r="A33" s="923"/>
      <c r="B33" s="1251"/>
      <c r="C33" s="950"/>
      <c r="D33" s="950"/>
      <c r="E33" s="950"/>
      <c r="F33" s="1262"/>
      <c r="I33" s="1610" t="str">
        <f t="shared" si="7"/>
        <v/>
      </c>
      <c r="J33" s="1611" t="str">
        <f t="shared" si="24"/>
        <v/>
      </c>
      <c r="K33" s="1612" t="str">
        <f t="shared" si="8"/>
        <v/>
      </c>
      <c r="L33" s="1613"/>
      <c r="M33" s="883"/>
      <c r="N33" s="884"/>
      <c r="O33" s="884"/>
      <c r="P33" s="885"/>
      <c r="Q33" s="886"/>
      <c r="R33" s="891"/>
      <c r="S33" s="1614" t="str">
        <f t="shared" si="0"/>
        <v/>
      </c>
      <c r="T33" s="1536"/>
      <c r="U33" s="1864" t="str">
        <f t="shared" si="9"/>
        <v/>
      </c>
      <c r="V33" s="1615" t="str">
        <f t="shared" si="1"/>
        <v/>
      </c>
      <c r="W33" s="889"/>
      <c r="X33" s="1615" t="str">
        <f t="shared" si="2"/>
        <v/>
      </c>
      <c r="Y33" s="1865" t="str">
        <f t="shared" si="10"/>
        <v/>
      </c>
      <c r="Z33" s="890"/>
      <c r="AA33" s="197" t="str" cm="1">
        <f t="array" ref="AA33">IF(M33="","",IF(P33=AN33,1,Slookup(MID(AN33,1,3)*1,UomConversion!$D$8:$J$500,5,UomConversion!$E$8:$E$500,MID(P33,1,3)*1,UomConversion!$J$8:$J$500,1)))</f>
        <v/>
      </c>
      <c r="AB33" s="197" t="str">
        <f t="shared" si="11"/>
        <v/>
      </c>
      <c r="AC33" s="197" t="str">
        <f t="shared" si="12"/>
        <v/>
      </c>
      <c r="AD33" s="197" t="str">
        <f t="shared" si="13"/>
        <v/>
      </c>
      <c r="AE33" s="1866" t="str">
        <f t="shared" si="14"/>
        <v/>
      </c>
      <c r="AF33" s="1866" t="str">
        <f t="shared" si="15"/>
        <v/>
      </c>
      <c r="AG33" s="197" t="str">
        <f t="shared" si="16"/>
        <v/>
      </c>
      <c r="AH33" s="197" t="str">
        <f>IF(I33="","",IF(ISNA(MATCH(I33,IF(invoice_location_id=1,'[1]1_inventory_totals'!$C$8:$C$10000,IF(invoice_location_id=2,'[1]2_inventory_totals'!$C$8:$C$10000,0)),0)),0,IF(AV33&gt;0,1,0)))</f>
        <v/>
      </c>
      <c r="AI33" s="197" t="str">
        <f>IF(M33="","",IF(invoice_location_id=1,SUMIFS('[1]1_inventory_total_details'!$J$8:$J$10000,'[1]1_inventory_total_details'!$C$8:$C$10000,I33,'[1]1_inventory_total_details'!$F$8:$F$10000,invoice_location_id,'[1]1_inventory_total_details'!$G$8:$G$10000,"="&amp;Q33,'[1]1_inventory_total_details'!$H$8:$H$10000,"="&amp;R33,'[1]1_inventory_total_details'!$I$8:$I$10000,"="&amp;invoice_date)+SUMIFS('[1]1_inventory_total_details'!$M$8:$M$10000,'[1]1_inventory_total_details'!$C$8:$C$10000,I33,'[1]1_inventory_total_details'!$F$8:$F$10000,invoice_location_id,'[1]1_inventory_total_details'!$G$8:$G$10000,"="&amp;Q33,'[1]1_inventory_total_details'!$H$8:$H$10000,"="&amp;R33,'[1]1_inventory_total_details'!$I$8:$I$10000,"="&amp;invoice_date)+SUMIFS('[1]1_inventory_total_details'!$K$8:$K$10000,'[1]1_inventory_total_details'!$C$8:$C$10000,I33,'[1]1_inventory_total_details'!$F$8:$F$10000,invoice_location_id,'[1]1_inventory_total_details'!$G$8:$G$10000,"="&amp;Q33,'[1]1_inventory_total_details'!$H$8:$H$10000,"="&amp;R33,'[1]1_inventory_total_details'!$I$8:$I$10000,"="&amp;invoice_date)+SUMIFS('[1]1_inventory_total_details'!$L$8:$L$10000,'[1]1_inventory_total_details'!$C$8:$C$10000,I33,'[1]1_inventory_total_details'!$F$8:$F$10000,invoice_location_id,'[1]1_inventory_total_details'!$G$8:$G$10000,"="&amp;Q33,'[1]1_inventory_total_details'!$H$8:$H$10000,"="&amp;R33,'[1]1_inventory_total_details'!$I$8:$I$10000,"="&amp;invoice_date),SUMIFS('[1]2_inventory_total_details'!$J$8:$J$10000,'[1]2_inventory_total_details'!$C$8:$C$10000,I33,'[1]2_inventory_total_details'!$F$8:$F$10000,invoice_location_id,'[1]2_inventory_total_details'!$G$8:$G$10000,"="&amp;Q33,'[1]2_inventory_total_details'!$H$8:$H$10000,"="&amp;R33,'[1]2_inventory_total_details'!$I$8:$I$10000,"="&amp;invoice_date)+SUMIFS('[1]2_inventory_total_details'!$M$8:$M$10000,'[1]2_inventory_total_details'!$C$8:$C$10000,I33,'[1]2_inventory_total_details'!$F$8:$F$10000,invoice_location_id,'[1]2_inventory_total_details'!$G$8:$G$10000,"="&amp;Q33,'[1]2_inventory_total_details'!$H$8:$H$10000,"="&amp;R33,'[1]2_inventory_total_details'!$I$8:$I$10000,"="&amp;invoice_date)+SUMIFS('[1]2_inventory_total_details'!$K$8:$K$10000,'[1]2_inventory_total_details'!$C$8:$C$10000,I33,'[1]2_inventory_total_details'!$F$8:$F$10000,invoice_location_id,'[1]2_inventory_total_details'!$G$8:$G$10000,"="&amp;Q33,'[1]2_inventory_total_details'!$H$8:$H$10000,"="&amp;R33,'[1]2_inventory_total_details'!$I$8:$I$10000,"="&amp;invoice_date)+SUMIFS('[1]2_inventory_total_details'!$L$8:$L$10000,'[1]2_inventory_total_details'!$C$8:$C$10000,I33,'[1]2_inventory_total_details'!$F$8:$F$10000,invoice_location_id,'[1]2_inventory_total_details'!$G$8:$G$10000,"="&amp;Q33,'[1]2_inventory_total_details'!$H$8:$H$10000,"="&amp;R33,'[1]2_inventory_total_details'!$I$8:$I$10000,"="&amp;invoice_date)))</f>
        <v/>
      </c>
      <c r="AJ33" s="197" t="str">
        <f>IF(M33="","",IF(ISNA(MATCH(I33,'[1]1_group_totals'!$C$8:$C$10000)),0,IF(AW33&gt;0,1,0)))</f>
        <v/>
      </c>
      <c r="AK33" s="197" t="str">
        <f>IF(M33="","",(SUMIFS('[1]1_group_total_details'!$I$8:$I$10000,'[1]1_group_total_details'!$C$8:$C$10000,I33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33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33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33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33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33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33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33,'[1]1_group_total_details'!$F$8:$F$10000,invoice_location_group_id,'[1]1_group_total_details'!$G$8:$G$10000,invoice_location_id,'[1]1_group_total_details'!$H$8:$H$10000,"="&amp;invoice_date)))</f>
        <v/>
      </c>
      <c r="AL33" s="197" t="str">
        <f>IF(M33="","",(SUMIFS('[1]1_group_total_details'!$I$8:$I$10000,'[1]1_group_total_details'!$C$8:$C$10000,I33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33,'[1]1_group_total_details'!$F$8:$F$10000,invoice_location_group_id,'[1]1_group_total_details'!$G$8:$G$10000,1,'[1]1_group_total_details'!$H$8:$H$10000,"&lt;="&amp;invoice_date)+SUMIFS('[1]1_group_total_details'!$N$8:$N$10000,'[1]1_group_total_details'!$C$8:$C$10000,I33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33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33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33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33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33,'[1]1_group_total_details'!$F$8:$F$10000,invoice_location_group_id,'[1]1_group_total_details'!$G$8:$G$10000,invoice_location_id,'[1]1_group_total_details'!$H$8:$H$10000,"&lt;="&amp;invoice_date)))</f>
        <v/>
      </c>
      <c r="AM33" s="197" t="str">
        <f>IF(M33="","",SUMIFS('[1]1_group_totals'!$J$8:$J$10000,'[1]1_group_totals'!$C$8:$C$10000,I33,'[1]1_group_totals'!$F$8:$F$10000,invoice_location_group_id,'[1]1_group_totals'!$G$8:$G$10000,invoice_location_id,'[1]1_group_totals'!$H$8:$H$10000,"="&amp;Q33,'[1]1_group_totals'!$I$8:$I$10000,"="&amp;R33))</f>
        <v/>
      </c>
      <c r="AN33" s="197" t="str">
        <f t="shared" si="17"/>
        <v/>
      </c>
      <c r="AO33" s="197" t="str">
        <f>IF(OR(ISNA(MATCH(MID(AN33,1,3)*1,UomConversion!$D$8:$D$500,0)),M33=""),"",IF(AT33="","",AT33))</f>
        <v/>
      </c>
      <c r="AP33" s="197" t="str">
        <f>IF(AND(AQ33&gt;0,COUNTIFS(UomConversion!$D$8:$D$500,MID(AN33,1,3)*1,UomConversion!$J$8:$J$500,1)&gt;1),TEXT(AQ33,"000")&amp;"."&amp;VLOOKUP(AQ33,uom_list,5,FALSE),"")</f>
        <v/>
      </c>
      <c r="AQ33" s="197" t="str">
        <f t="shared" si="18"/>
        <v/>
      </c>
      <c r="AR33" s="197" t="str">
        <f t="shared" si="19"/>
        <v/>
      </c>
      <c r="AS33" s="1866" t="str">
        <f>IF(M33="","",SUMIFS(ProductPrice!$N$28:$N$10000,ProductPrice!$D$28:$D$10000,I33,ProductPrice!$G$28:$G$10000,invoice_branch_id,ProductPrice!$H$28:$H$10000,invoice_price_type_id,ProductPrice!$I$28:$I$10000,MID(P33,1,3)*1,ProductPrice!$Q$28:$Q$10000,1,ProductPrice!$T$28:$T$10000,1))</f>
        <v/>
      </c>
      <c r="AT33" s="197" t="str">
        <f t="shared" si="20"/>
        <v/>
      </c>
      <c r="AU33" s="197" t="str" cm="1">
        <f t="array" ref="AU33">IF(M33="","",IF(ISNA(Slookup(MID(AN33,1,3)*1,UomConversion!$D$8:$J$500,2,UomConversion!$I$8:$I$500,1,UomConversion!$J$8:$J$500,1)),"",Slookup(MID(AN33,1,3)*1,UomConversion!$D$8:$J$500,2,UomConversion!$I$8:$I$500,1,UomConversion!$J$8:$J$500,1)))</f>
        <v/>
      </c>
      <c r="AV33" s="197" t="str">
        <f t="shared" si="6"/>
        <v/>
      </c>
      <c r="AW33" s="197" t="str">
        <f>IF(M33="","",(SUMIFS('[1]1_group_totals'!$K$8:$K$10000,'[1]1_group_totals'!$C$8:$C$10000,I33,'[1]1_group_totals'!$F$8:$F$10000,invoice_location_group_id,'[1]1_group_totals'!$G$8:$G$10000,invoice_location_id,'[1]1_group_totals'!$H$8:$H$10000,"="&amp;Q33,'[1]1_group_totals'!$I$8:$I$10000,"="&amp;R33)+SUMIFS('[1]1_group_totals'!$N$8:$N$10000,'[1]1_group_totals'!$C$8:$C$10000,I33,'[1]1_group_totals'!$F$8:$F$10000,invoice_location_group_id,'[1]1_group_totals'!$G$8:$G$10000,invoice_location_id,'[1]1_group_totals'!$H$8:$H$10000,"="&amp;Q33,'[1]1_group_totals'!$I$8:$I$10000,"="&amp;R33)+SUMIFS('[1]1_group_totals'!$P$8:$P$10000,'[1]1_group_totals'!$C$8:$C$10000,I33,'[1]1_group_totals'!$F$8:$F$10000,invoice_location_group_id,'[1]1_group_totals'!$G$8:$G$10000,invoice_location_id,'[1]1_group_totals'!$H$8:$H$10000,"="&amp;Q33,'[1]1_group_totals'!$I$8:$I$10000,"="&amp;R33)+SUMIFS('[1]1_group_totals'!$Q$8:$Q$10000,'[1]1_group_totals'!$C$8:$C$10000,I33,'[1]1_group_totals'!$F$8:$F$10000,invoice_location_group_id,'[1]1_group_totals'!$G$8:$G$10000,invoice_location_id,'[1]1_group_totals'!$H$8:$H$10000,"="&amp;Q33,'[1]1_group_totals'!$I$8:$I$10000,"="&amp;R33))+(SUMIFS('[1]1_group_totals'!$L$8:$L$10000,'[1]1_group_totals'!$C$8:$C$10000,I33,'[1]1_group_totals'!$F$8:$F$10000,invoice_location_group_id,'[1]1_group_totals'!$G$8:$G$10000,invoice_location_id,'[1]1_group_totals'!$H$8:$H$10000,"="&amp;Q33,'[1]1_group_totals'!$I$8:$I$10000,"="&amp;R33)+SUMIFS('[1]1_group_totals'!$M$8:$M$10000,'[1]1_group_totals'!$C$8:$C$10000,I33,'[1]1_group_totals'!$F$8:$F$10000,invoice_location_group_id,'[1]1_group_totals'!$G$8:$G$10000,invoice_location_id,'[1]1_group_totals'!$H$8:$H$10000,"="&amp;Q33,'[1]1_group_totals'!$I$8:$I$10000,"="&amp;R33)+SUMIFS('[1]1_group_totals'!$O$8:$O$10000,'[1]1_group_totals'!$C$8:$C$10000,I33,'[1]1_group_totals'!$F$8:$F$10000,invoice_location_group_id,'[1]1_group_totals'!$G$8:$G$10000,invoice_location_id,'[1]1_group_totals'!$H$8:$H$10000,"="&amp;Q33,'[1]1_group_totals'!$I$8:$I$10000,"="&amp;R33)+SUMIFS('[1]1_group_totals'!$R$8:$R$10000,'[1]1_group_totals'!$C$8:$C$10000,I33,'[1]1_group_totals'!$F$8:$F$10000,invoice_location_group_id,'[1]1_group_totals'!$G$8:$G$10000,invoice_location_id,'[1]1_group_totals'!$H$8:$H$10000,"="&amp;Q33,'[1]1_group_totals'!$I$8:$I$10000,"="&amp;R33)))</f>
        <v/>
      </c>
      <c r="AX33" s="197" t="str">
        <f t="shared" si="21"/>
        <v/>
      </c>
      <c r="AY33" s="197" t="str">
        <f>IF(M33="","",SUMIFS($AX$8:AX33,$I$8:I33,I33))</f>
        <v/>
      </c>
      <c r="AZ33" s="197" t="str">
        <f t="shared" si="22"/>
        <v/>
      </c>
      <c r="BA33" s="197" t="str">
        <f>IF(M33="","",(SUMIFS('[1]1_inventory_totals'!$I$8:$I$10000,'[1]1_inventory_totals'!$C$8:$C$10000,I33,'[1]1_inventory_totals'!$F$8:$F$10000,"="&amp;Q33,'[1]1_inventory_totals'!$G$8:$G$10000,"="&amp;R33)+SUMIFS('[1]1_inventory_totals'!$N$8:$N$10000,'[1]1_inventory_totals'!$C$8:$C$10000,I33,'[1]1_inventory_totals'!$F$8:$F$10000,"="&amp;Q33,'[1]1_inventory_totals'!$G$8:$G$10000,"="&amp;R33)+SUMIFS('[1]1_inventory_totals'!$P$8:$P$10000,'[1]1_inventory_totals'!$C$8:$C$10000,I33,'[1]1_inventory_totals'!$F$8:$F$10000,"="&amp;Q33,'[1]1_inventory_totals'!$G$8:$G$10000,"="&amp;R33)+SUMIFS('[1]1_inventory_totals'!$Q$8:$Q$10000,'[1]1_inventory_totals'!$C$8:$C$10000,I33,'[1]1_inventory_totals'!$F$8:$F$10000,"="&amp;Q33,'[1]1_inventory_totals'!$G$8:$G$10000,"="&amp;R33)+SUMIFS('[1]1_inventory_totals'!$R$8:$R$10000,'[1]1_inventory_totals'!$C$8:$C$10000,I33,'[1]1_inventory_totals'!$F$8:$F$10000,"="&amp;Q33,'[1]1_inventory_totals'!$G$8:$G$10000,"="&amp;R33))+(SUMIFS('[1]1_inventory_totals'!$J$8:$J$10000,'[1]1_inventory_totals'!$C$8:$C$10000,I33,'[1]1_inventory_totals'!$F$8:$F$10000,"="&amp;Q33,'[1]1_inventory_totals'!$G$8:$G$10000,"="&amp;R33)+SUMIFS('[1]1_inventory_totals'!$K$8:$K$10000,'[1]1_inventory_totals'!$C$8:$C$10000,I33,'[1]1_inventory_totals'!$F$8:$F$10000,"="&amp;Q33,'[1]1_inventory_totals'!$G$8:$G$10000,"="&amp;R33)+SUMIFS('[1]1_inventory_totals'!$L$8:$L$10000,'[1]1_inventory_totals'!$C$8:$C$10000,I33,'[1]1_inventory_totals'!$F$8:$F$10000,"="&amp;Q33,'[1]1_inventory_totals'!$G$8:$G$10000,"="&amp;R33)+SUMIFS('[1]1_inventory_totals'!$M$8:$M$10000,'[1]1_inventory_totals'!$C$8:$C$10000,I33,'[1]1_inventory_totals'!$F$8:$F$10000,"="&amp;Q33,'[1]1_inventory_totals'!$G$8:$G$10000,"="&amp;R33)+SUMIFS('[1]1_inventory_totals'!$O$8:$O$10000,'[1]1_inventory_totals'!$C$8:$C$10000,I33,'[1]1_inventory_totals'!$F$8:$F$10000,"="&amp;Q33,'[1]1_inventory_totals'!$G$8:$G$10000,"="&amp;R33)+SUMIFS('[1]1_inventory_totals'!$S$8:$S$10000,'[1]1_inventory_totals'!$C$8:$C$10000,I33,'[1]1_inventory_totals'!$F$8:$F$10000,"="&amp;Q33,'[1]1_inventory_totals'!$G$8:$G$10000,"="&amp;R33)))</f>
        <v/>
      </c>
      <c r="BB33" s="197" t="str">
        <f>IF(M33="","",(SUMIFS('[1]2_inventory_totals'!$I$8:$I$10000,'[1]2_inventory_totals'!$C$8:$C$10000,I33,'[1]2_inventory_totals'!$F$8:$F$10000,"="&amp;Q33,'[1]2_inventory_totals'!$G$8:$G$10000,"="&amp;R33)+SUMIFS('[1]2_inventory_totals'!$N$8:$N$10000,'[1]2_inventory_totals'!$C$8:$C$10000,I33,'[1]2_inventory_totals'!$F$8:$F$10000,"="&amp;Q33,'[1]2_inventory_totals'!$G$8:$G$10000,"="&amp;R33)+SUMIFS('[1]2_inventory_totals'!$P$8:$P$10000,'[1]2_inventory_totals'!$C$8:$C$10000,I33,'[1]2_inventory_totals'!$F$8:$F$10000,"="&amp;Q33,'[1]2_inventory_totals'!$G$8:$G$10000,"="&amp;R33)+SUMIFS('[1]2_inventory_totals'!$Q$8:$Q$10000,'[1]2_inventory_totals'!$C$8:$C$10000,I33,'[1]2_inventory_totals'!$F$8:$F$10000,"="&amp;Q33,'[1]2_inventory_totals'!$G$8:$G$10000,"="&amp;R33)+SUMIFS('[1]2_inventory_totals'!$R$8:$R$10000,'[1]2_inventory_totals'!$C$8:$C$10000,I33,'[1]2_inventory_totals'!$F$8:$F$10000,"="&amp;Q33,'[1]2_inventory_totals'!$G$8:$G$10000,"="&amp;R33))+(SUMIFS('[1]2_inventory_totals'!$J$8:$J$10000,'[1]2_inventory_totals'!$C$8:$C$10000,I33,'[1]2_inventory_totals'!$F$8:$F$10000,"="&amp;Q33,'[1]2_inventory_totals'!$G$8:$G$10000,"="&amp;R33)+SUMIFS('[1]2_inventory_totals'!$K$8:$K$10000,'[1]2_inventory_totals'!$C$8:$C$10000,I33,'[1]2_inventory_totals'!$F$8:$F$10000,"="&amp;Q33,'[1]2_inventory_totals'!$G$8:$G$10000,"="&amp;R33)+SUMIFS('[1]2_inventory_totals'!$L$8:$L$10000,'[1]2_inventory_totals'!$C$8:$C$10000,I33,'[1]2_inventory_totals'!$F$8:$F$10000,"="&amp;Q33,'[1]2_inventory_totals'!$G$8:$G$10000,"="&amp;R33)+SUMIFS('[1]2_inventory_totals'!$M$8:$M$10000,'[1]2_inventory_totals'!$C$8:$C$10000,I33,'[1]2_inventory_totals'!$F$8:$F$10000,"="&amp;Q33,'[1]2_inventory_totals'!$G$8:$G$10000,"="&amp;R33)+SUMIFS('[1]2_inventory_totals'!$O$8:$O$10000,'[1]2_inventory_totals'!$C$8:$C$10000,I33,'[1]2_inventory_totals'!$F$8:$F$10000,"="&amp;Q33,'[1]2_inventory_totals'!$G$8:$G$10000,"="&amp;R33)+SUMIFS('[1]2_inventory_totals'!$S$8:$S$10000,'[1]2_inventory_totals'!$C$8:$C$10000,I33,'[1]2_inventory_totals'!$F$8:$F$10000,"="&amp;Q33,'[1]2_inventory_totals'!$G$8:$G$10000,"="&amp;R33)))</f>
        <v/>
      </c>
    </row>
    <row r="34" spans="1:54" ht="27" hidden="1" customHeight="1">
      <c r="A34" s="923"/>
      <c r="B34" s="1251"/>
      <c r="C34" s="950"/>
      <c r="D34" s="950"/>
      <c r="E34" s="950"/>
      <c r="F34" s="1262"/>
      <c r="I34" s="1610" t="str">
        <f t="shared" si="7"/>
        <v/>
      </c>
      <c r="J34" s="1611" t="str">
        <f t="shared" si="24"/>
        <v/>
      </c>
      <c r="K34" s="1612" t="str">
        <f t="shared" si="8"/>
        <v/>
      </c>
      <c r="L34" s="1613"/>
      <c r="M34" s="883"/>
      <c r="N34" s="884"/>
      <c r="O34" s="884"/>
      <c r="P34" s="885"/>
      <c r="Q34" s="886"/>
      <c r="R34" s="891"/>
      <c r="S34" s="1614" t="str">
        <f t="shared" si="0"/>
        <v/>
      </c>
      <c r="T34" s="1536"/>
      <c r="U34" s="1864" t="str">
        <f t="shared" si="9"/>
        <v/>
      </c>
      <c r="V34" s="1615" t="str">
        <f t="shared" si="1"/>
        <v/>
      </c>
      <c r="W34" s="889"/>
      <c r="X34" s="1615" t="str">
        <f t="shared" si="2"/>
        <v/>
      </c>
      <c r="Y34" s="1865" t="str">
        <f t="shared" si="10"/>
        <v/>
      </c>
      <c r="Z34" s="890"/>
      <c r="AA34" s="197" t="str" cm="1">
        <f t="array" ref="AA34">IF(M34="","",IF(P34=AN34,1,Slookup(MID(AN34,1,3)*1,UomConversion!$D$8:$J$500,5,UomConversion!$E$8:$E$500,MID(P34,1,3)*1,UomConversion!$J$8:$J$500,1)))</f>
        <v/>
      </c>
      <c r="AB34" s="197" t="str">
        <f t="shared" si="11"/>
        <v/>
      </c>
      <c r="AC34" s="197" t="str">
        <f t="shared" si="12"/>
        <v/>
      </c>
      <c r="AD34" s="197" t="str">
        <f t="shared" si="13"/>
        <v/>
      </c>
      <c r="AE34" s="1866" t="str">
        <f t="shared" si="14"/>
        <v/>
      </c>
      <c r="AF34" s="1866" t="str">
        <f t="shared" si="15"/>
        <v/>
      </c>
      <c r="AG34" s="197" t="str">
        <f t="shared" si="16"/>
        <v/>
      </c>
      <c r="AH34" s="197" t="str">
        <f>IF(I34="","",IF(ISNA(MATCH(I34,IF(invoice_location_id=1,'[1]1_inventory_totals'!$C$8:$C$10000,IF(invoice_location_id=2,'[1]2_inventory_totals'!$C$8:$C$10000,0)),0)),0,IF(AV34&gt;0,1,0)))</f>
        <v/>
      </c>
      <c r="AI34" s="197" t="str">
        <f>IF(M34="","",IF(invoice_location_id=1,SUMIFS('[1]1_inventory_total_details'!$J$8:$J$10000,'[1]1_inventory_total_details'!$C$8:$C$10000,I34,'[1]1_inventory_total_details'!$F$8:$F$10000,invoice_location_id,'[1]1_inventory_total_details'!$G$8:$G$10000,"="&amp;Q34,'[1]1_inventory_total_details'!$H$8:$H$10000,"="&amp;R34,'[1]1_inventory_total_details'!$I$8:$I$10000,"="&amp;invoice_date)+SUMIFS('[1]1_inventory_total_details'!$M$8:$M$10000,'[1]1_inventory_total_details'!$C$8:$C$10000,I34,'[1]1_inventory_total_details'!$F$8:$F$10000,invoice_location_id,'[1]1_inventory_total_details'!$G$8:$G$10000,"="&amp;Q34,'[1]1_inventory_total_details'!$H$8:$H$10000,"="&amp;R34,'[1]1_inventory_total_details'!$I$8:$I$10000,"="&amp;invoice_date)+SUMIFS('[1]1_inventory_total_details'!$K$8:$K$10000,'[1]1_inventory_total_details'!$C$8:$C$10000,I34,'[1]1_inventory_total_details'!$F$8:$F$10000,invoice_location_id,'[1]1_inventory_total_details'!$G$8:$G$10000,"="&amp;Q34,'[1]1_inventory_total_details'!$H$8:$H$10000,"="&amp;R34,'[1]1_inventory_total_details'!$I$8:$I$10000,"="&amp;invoice_date)+SUMIFS('[1]1_inventory_total_details'!$L$8:$L$10000,'[1]1_inventory_total_details'!$C$8:$C$10000,I34,'[1]1_inventory_total_details'!$F$8:$F$10000,invoice_location_id,'[1]1_inventory_total_details'!$G$8:$G$10000,"="&amp;Q34,'[1]1_inventory_total_details'!$H$8:$H$10000,"="&amp;R34,'[1]1_inventory_total_details'!$I$8:$I$10000,"="&amp;invoice_date),SUMIFS('[1]2_inventory_total_details'!$J$8:$J$10000,'[1]2_inventory_total_details'!$C$8:$C$10000,I34,'[1]2_inventory_total_details'!$F$8:$F$10000,invoice_location_id,'[1]2_inventory_total_details'!$G$8:$G$10000,"="&amp;Q34,'[1]2_inventory_total_details'!$H$8:$H$10000,"="&amp;R34,'[1]2_inventory_total_details'!$I$8:$I$10000,"="&amp;invoice_date)+SUMIFS('[1]2_inventory_total_details'!$M$8:$M$10000,'[1]2_inventory_total_details'!$C$8:$C$10000,I34,'[1]2_inventory_total_details'!$F$8:$F$10000,invoice_location_id,'[1]2_inventory_total_details'!$G$8:$G$10000,"="&amp;Q34,'[1]2_inventory_total_details'!$H$8:$H$10000,"="&amp;R34,'[1]2_inventory_total_details'!$I$8:$I$10000,"="&amp;invoice_date)+SUMIFS('[1]2_inventory_total_details'!$K$8:$K$10000,'[1]2_inventory_total_details'!$C$8:$C$10000,I34,'[1]2_inventory_total_details'!$F$8:$F$10000,invoice_location_id,'[1]2_inventory_total_details'!$G$8:$G$10000,"="&amp;Q34,'[1]2_inventory_total_details'!$H$8:$H$10000,"="&amp;R34,'[1]2_inventory_total_details'!$I$8:$I$10000,"="&amp;invoice_date)+SUMIFS('[1]2_inventory_total_details'!$L$8:$L$10000,'[1]2_inventory_total_details'!$C$8:$C$10000,I34,'[1]2_inventory_total_details'!$F$8:$F$10000,invoice_location_id,'[1]2_inventory_total_details'!$G$8:$G$10000,"="&amp;Q34,'[1]2_inventory_total_details'!$H$8:$H$10000,"="&amp;R34,'[1]2_inventory_total_details'!$I$8:$I$10000,"="&amp;invoice_date)))</f>
        <v/>
      </c>
      <c r="AJ34" s="197" t="str">
        <f>IF(M34="","",IF(ISNA(MATCH(I34,'[1]1_group_totals'!$C$8:$C$10000)),0,IF(AW34&gt;0,1,0)))</f>
        <v/>
      </c>
      <c r="AK34" s="197" t="str">
        <f>IF(M34="","",(SUMIFS('[1]1_group_total_details'!$I$8:$I$10000,'[1]1_group_total_details'!$C$8:$C$10000,I34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34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34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34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34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34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34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34,'[1]1_group_total_details'!$F$8:$F$10000,invoice_location_group_id,'[1]1_group_total_details'!$G$8:$G$10000,invoice_location_id,'[1]1_group_total_details'!$H$8:$H$10000,"="&amp;invoice_date)))</f>
        <v/>
      </c>
      <c r="AL34" s="197" t="str">
        <f>IF(M34="","",(SUMIFS('[1]1_group_total_details'!$I$8:$I$10000,'[1]1_group_total_details'!$C$8:$C$10000,I34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34,'[1]1_group_total_details'!$F$8:$F$10000,invoice_location_group_id,'[1]1_group_total_details'!$G$8:$G$10000,1,'[1]1_group_total_details'!$H$8:$H$10000,"&lt;="&amp;invoice_date)+SUMIFS('[1]1_group_total_details'!$N$8:$N$10000,'[1]1_group_total_details'!$C$8:$C$10000,I34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34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34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34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34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34,'[1]1_group_total_details'!$F$8:$F$10000,invoice_location_group_id,'[1]1_group_total_details'!$G$8:$G$10000,invoice_location_id,'[1]1_group_total_details'!$H$8:$H$10000,"&lt;="&amp;invoice_date)))</f>
        <v/>
      </c>
      <c r="AM34" s="197" t="str">
        <f>IF(M34="","",SUMIFS('[1]1_group_totals'!$J$8:$J$10000,'[1]1_group_totals'!$C$8:$C$10000,I34,'[1]1_group_totals'!$F$8:$F$10000,invoice_location_group_id,'[1]1_group_totals'!$G$8:$G$10000,invoice_location_id,'[1]1_group_totals'!$H$8:$H$10000,"="&amp;Q34,'[1]1_group_totals'!$I$8:$I$10000,"="&amp;R34))</f>
        <v/>
      </c>
      <c r="AN34" s="197" t="str">
        <f t="shared" si="17"/>
        <v/>
      </c>
      <c r="AO34" s="197" t="str">
        <f>IF(OR(ISNA(MATCH(MID(AN34,1,3)*1,UomConversion!$D$8:$D$500,0)),M34=""),"",IF(AT34="","",AT34))</f>
        <v/>
      </c>
      <c r="AP34" s="197" t="str">
        <f>IF(AND(AQ34&gt;0,COUNTIFS(UomConversion!$D$8:$D$500,MID(AN34,1,3)*1,UomConversion!$J$8:$J$500,1)&gt;1),TEXT(AQ34,"000")&amp;"."&amp;VLOOKUP(AQ34,uom_list,5,FALSE),"")</f>
        <v/>
      </c>
      <c r="AQ34" s="197" t="str">
        <f t="shared" si="18"/>
        <v/>
      </c>
      <c r="AR34" s="197" t="str">
        <f t="shared" si="19"/>
        <v/>
      </c>
      <c r="AS34" s="1866" t="str">
        <f>IF(M34="","",SUMIFS(ProductPrice!$N$28:$N$10000,ProductPrice!$D$28:$D$10000,I34,ProductPrice!$G$28:$G$10000,invoice_branch_id,ProductPrice!$H$28:$H$10000,invoice_price_type_id,ProductPrice!$I$28:$I$10000,MID(P34,1,3)*1,ProductPrice!$Q$28:$Q$10000,1,ProductPrice!$T$28:$T$10000,1))</f>
        <v/>
      </c>
      <c r="AT34" s="197" t="str">
        <f t="shared" si="20"/>
        <v/>
      </c>
      <c r="AU34" s="197" t="str" cm="1">
        <f t="array" ref="AU34">IF(M34="","",IF(ISNA(Slookup(MID(AN34,1,3)*1,UomConversion!$D$8:$J$500,2,UomConversion!$I$8:$I$500,1,UomConversion!$J$8:$J$500,1)),"",Slookup(MID(AN34,1,3)*1,UomConversion!$D$8:$J$500,2,UomConversion!$I$8:$I$500,1,UomConversion!$J$8:$J$500,1)))</f>
        <v/>
      </c>
      <c r="AV34" s="197" t="str">
        <f t="shared" si="6"/>
        <v/>
      </c>
      <c r="AW34" s="197" t="str">
        <f>IF(M34="","",(SUMIFS('[1]1_group_totals'!$K$8:$K$10000,'[1]1_group_totals'!$C$8:$C$10000,I34,'[1]1_group_totals'!$F$8:$F$10000,invoice_location_group_id,'[1]1_group_totals'!$G$8:$G$10000,invoice_location_id,'[1]1_group_totals'!$H$8:$H$10000,"="&amp;Q34,'[1]1_group_totals'!$I$8:$I$10000,"="&amp;R34)+SUMIFS('[1]1_group_totals'!$N$8:$N$10000,'[1]1_group_totals'!$C$8:$C$10000,I34,'[1]1_group_totals'!$F$8:$F$10000,invoice_location_group_id,'[1]1_group_totals'!$G$8:$G$10000,invoice_location_id,'[1]1_group_totals'!$H$8:$H$10000,"="&amp;Q34,'[1]1_group_totals'!$I$8:$I$10000,"="&amp;R34)+SUMIFS('[1]1_group_totals'!$P$8:$P$10000,'[1]1_group_totals'!$C$8:$C$10000,I34,'[1]1_group_totals'!$F$8:$F$10000,invoice_location_group_id,'[1]1_group_totals'!$G$8:$G$10000,invoice_location_id,'[1]1_group_totals'!$H$8:$H$10000,"="&amp;Q34,'[1]1_group_totals'!$I$8:$I$10000,"="&amp;R34)+SUMIFS('[1]1_group_totals'!$Q$8:$Q$10000,'[1]1_group_totals'!$C$8:$C$10000,I34,'[1]1_group_totals'!$F$8:$F$10000,invoice_location_group_id,'[1]1_group_totals'!$G$8:$G$10000,invoice_location_id,'[1]1_group_totals'!$H$8:$H$10000,"="&amp;Q34,'[1]1_group_totals'!$I$8:$I$10000,"="&amp;R34))+(SUMIFS('[1]1_group_totals'!$L$8:$L$10000,'[1]1_group_totals'!$C$8:$C$10000,I34,'[1]1_group_totals'!$F$8:$F$10000,invoice_location_group_id,'[1]1_group_totals'!$G$8:$G$10000,invoice_location_id,'[1]1_group_totals'!$H$8:$H$10000,"="&amp;Q34,'[1]1_group_totals'!$I$8:$I$10000,"="&amp;R34)+SUMIFS('[1]1_group_totals'!$M$8:$M$10000,'[1]1_group_totals'!$C$8:$C$10000,I34,'[1]1_group_totals'!$F$8:$F$10000,invoice_location_group_id,'[1]1_group_totals'!$G$8:$G$10000,invoice_location_id,'[1]1_group_totals'!$H$8:$H$10000,"="&amp;Q34,'[1]1_group_totals'!$I$8:$I$10000,"="&amp;R34)+SUMIFS('[1]1_group_totals'!$O$8:$O$10000,'[1]1_group_totals'!$C$8:$C$10000,I34,'[1]1_group_totals'!$F$8:$F$10000,invoice_location_group_id,'[1]1_group_totals'!$G$8:$G$10000,invoice_location_id,'[1]1_group_totals'!$H$8:$H$10000,"="&amp;Q34,'[1]1_group_totals'!$I$8:$I$10000,"="&amp;R34)+SUMIFS('[1]1_group_totals'!$R$8:$R$10000,'[1]1_group_totals'!$C$8:$C$10000,I34,'[1]1_group_totals'!$F$8:$F$10000,invoice_location_group_id,'[1]1_group_totals'!$G$8:$G$10000,invoice_location_id,'[1]1_group_totals'!$H$8:$H$10000,"="&amp;Q34,'[1]1_group_totals'!$I$8:$I$10000,"="&amp;R34)))</f>
        <v/>
      </c>
      <c r="AX34" s="197" t="str">
        <f t="shared" si="21"/>
        <v/>
      </c>
      <c r="AY34" s="197" t="str">
        <f>IF(M34="","",SUMIFS($AX$8:AX34,$I$8:I34,I34))</f>
        <v/>
      </c>
      <c r="AZ34" s="197" t="str">
        <f t="shared" si="22"/>
        <v/>
      </c>
      <c r="BA34" s="197" t="str">
        <f>IF(M34="","",(SUMIFS('[1]1_inventory_totals'!$I$8:$I$10000,'[1]1_inventory_totals'!$C$8:$C$10000,I34,'[1]1_inventory_totals'!$F$8:$F$10000,"="&amp;Q34,'[1]1_inventory_totals'!$G$8:$G$10000,"="&amp;R34)+SUMIFS('[1]1_inventory_totals'!$N$8:$N$10000,'[1]1_inventory_totals'!$C$8:$C$10000,I34,'[1]1_inventory_totals'!$F$8:$F$10000,"="&amp;Q34,'[1]1_inventory_totals'!$G$8:$G$10000,"="&amp;R34)+SUMIFS('[1]1_inventory_totals'!$P$8:$P$10000,'[1]1_inventory_totals'!$C$8:$C$10000,I34,'[1]1_inventory_totals'!$F$8:$F$10000,"="&amp;Q34,'[1]1_inventory_totals'!$G$8:$G$10000,"="&amp;R34)+SUMIFS('[1]1_inventory_totals'!$Q$8:$Q$10000,'[1]1_inventory_totals'!$C$8:$C$10000,I34,'[1]1_inventory_totals'!$F$8:$F$10000,"="&amp;Q34,'[1]1_inventory_totals'!$G$8:$G$10000,"="&amp;R34)+SUMIFS('[1]1_inventory_totals'!$R$8:$R$10000,'[1]1_inventory_totals'!$C$8:$C$10000,I34,'[1]1_inventory_totals'!$F$8:$F$10000,"="&amp;Q34,'[1]1_inventory_totals'!$G$8:$G$10000,"="&amp;R34))+(SUMIFS('[1]1_inventory_totals'!$J$8:$J$10000,'[1]1_inventory_totals'!$C$8:$C$10000,I34,'[1]1_inventory_totals'!$F$8:$F$10000,"="&amp;Q34,'[1]1_inventory_totals'!$G$8:$G$10000,"="&amp;R34)+SUMIFS('[1]1_inventory_totals'!$K$8:$K$10000,'[1]1_inventory_totals'!$C$8:$C$10000,I34,'[1]1_inventory_totals'!$F$8:$F$10000,"="&amp;Q34,'[1]1_inventory_totals'!$G$8:$G$10000,"="&amp;R34)+SUMIFS('[1]1_inventory_totals'!$L$8:$L$10000,'[1]1_inventory_totals'!$C$8:$C$10000,I34,'[1]1_inventory_totals'!$F$8:$F$10000,"="&amp;Q34,'[1]1_inventory_totals'!$G$8:$G$10000,"="&amp;R34)+SUMIFS('[1]1_inventory_totals'!$M$8:$M$10000,'[1]1_inventory_totals'!$C$8:$C$10000,I34,'[1]1_inventory_totals'!$F$8:$F$10000,"="&amp;Q34,'[1]1_inventory_totals'!$G$8:$G$10000,"="&amp;R34)+SUMIFS('[1]1_inventory_totals'!$O$8:$O$10000,'[1]1_inventory_totals'!$C$8:$C$10000,I34,'[1]1_inventory_totals'!$F$8:$F$10000,"="&amp;Q34,'[1]1_inventory_totals'!$G$8:$G$10000,"="&amp;R34)+SUMIFS('[1]1_inventory_totals'!$S$8:$S$10000,'[1]1_inventory_totals'!$C$8:$C$10000,I34,'[1]1_inventory_totals'!$F$8:$F$10000,"="&amp;Q34,'[1]1_inventory_totals'!$G$8:$G$10000,"="&amp;R34)))</f>
        <v/>
      </c>
      <c r="BB34" s="197" t="str">
        <f>IF(M34="","",(SUMIFS('[1]2_inventory_totals'!$I$8:$I$10000,'[1]2_inventory_totals'!$C$8:$C$10000,I34,'[1]2_inventory_totals'!$F$8:$F$10000,"="&amp;Q34,'[1]2_inventory_totals'!$G$8:$G$10000,"="&amp;R34)+SUMIFS('[1]2_inventory_totals'!$N$8:$N$10000,'[1]2_inventory_totals'!$C$8:$C$10000,I34,'[1]2_inventory_totals'!$F$8:$F$10000,"="&amp;Q34,'[1]2_inventory_totals'!$G$8:$G$10000,"="&amp;R34)+SUMIFS('[1]2_inventory_totals'!$P$8:$P$10000,'[1]2_inventory_totals'!$C$8:$C$10000,I34,'[1]2_inventory_totals'!$F$8:$F$10000,"="&amp;Q34,'[1]2_inventory_totals'!$G$8:$G$10000,"="&amp;R34)+SUMIFS('[1]2_inventory_totals'!$Q$8:$Q$10000,'[1]2_inventory_totals'!$C$8:$C$10000,I34,'[1]2_inventory_totals'!$F$8:$F$10000,"="&amp;Q34,'[1]2_inventory_totals'!$G$8:$G$10000,"="&amp;R34)+SUMIFS('[1]2_inventory_totals'!$R$8:$R$10000,'[1]2_inventory_totals'!$C$8:$C$10000,I34,'[1]2_inventory_totals'!$F$8:$F$10000,"="&amp;Q34,'[1]2_inventory_totals'!$G$8:$G$10000,"="&amp;R34))+(SUMIFS('[1]2_inventory_totals'!$J$8:$J$10000,'[1]2_inventory_totals'!$C$8:$C$10000,I34,'[1]2_inventory_totals'!$F$8:$F$10000,"="&amp;Q34,'[1]2_inventory_totals'!$G$8:$G$10000,"="&amp;R34)+SUMIFS('[1]2_inventory_totals'!$K$8:$K$10000,'[1]2_inventory_totals'!$C$8:$C$10000,I34,'[1]2_inventory_totals'!$F$8:$F$10000,"="&amp;Q34,'[1]2_inventory_totals'!$G$8:$G$10000,"="&amp;R34)+SUMIFS('[1]2_inventory_totals'!$L$8:$L$10000,'[1]2_inventory_totals'!$C$8:$C$10000,I34,'[1]2_inventory_totals'!$F$8:$F$10000,"="&amp;Q34,'[1]2_inventory_totals'!$G$8:$G$10000,"="&amp;R34)+SUMIFS('[1]2_inventory_totals'!$M$8:$M$10000,'[1]2_inventory_totals'!$C$8:$C$10000,I34,'[1]2_inventory_totals'!$F$8:$F$10000,"="&amp;Q34,'[1]2_inventory_totals'!$G$8:$G$10000,"="&amp;R34)+SUMIFS('[1]2_inventory_totals'!$O$8:$O$10000,'[1]2_inventory_totals'!$C$8:$C$10000,I34,'[1]2_inventory_totals'!$F$8:$F$10000,"="&amp;Q34,'[1]2_inventory_totals'!$G$8:$G$10000,"="&amp;R34)+SUMIFS('[1]2_inventory_totals'!$S$8:$S$10000,'[1]2_inventory_totals'!$C$8:$C$10000,I34,'[1]2_inventory_totals'!$F$8:$F$10000,"="&amp;Q34,'[1]2_inventory_totals'!$G$8:$G$10000,"="&amp;R34)))</f>
        <v/>
      </c>
    </row>
    <row r="35" spans="1:54" ht="27" hidden="1" customHeight="1">
      <c r="A35" s="923"/>
      <c r="B35" s="1251"/>
      <c r="C35" s="1268"/>
      <c r="D35" s="950"/>
      <c r="E35" s="950"/>
      <c r="F35" s="1262"/>
      <c r="I35" s="1610" t="str">
        <f t="shared" si="7"/>
        <v/>
      </c>
      <c r="J35" s="1611" t="str">
        <f t="shared" si="24"/>
        <v/>
      </c>
      <c r="K35" s="1612" t="str">
        <f t="shared" si="8"/>
        <v/>
      </c>
      <c r="L35" s="1613"/>
      <c r="M35" s="883"/>
      <c r="N35" s="884"/>
      <c r="O35" s="884"/>
      <c r="P35" s="885"/>
      <c r="Q35" s="886"/>
      <c r="R35" s="891"/>
      <c r="S35" s="1614" t="str">
        <f t="shared" si="0"/>
        <v/>
      </c>
      <c r="T35" s="1536"/>
      <c r="U35" s="1864" t="str">
        <f t="shared" si="9"/>
        <v/>
      </c>
      <c r="V35" s="1615" t="str">
        <f t="shared" si="1"/>
        <v/>
      </c>
      <c r="W35" s="889"/>
      <c r="X35" s="1615" t="str">
        <f t="shared" si="2"/>
        <v/>
      </c>
      <c r="Y35" s="1865" t="str">
        <f t="shared" si="10"/>
        <v/>
      </c>
      <c r="Z35" s="890"/>
      <c r="AA35" s="197" t="str" cm="1">
        <f t="array" ref="AA35">IF(M35="","",IF(P35=AN35,1,Slookup(MID(AN35,1,3)*1,UomConversion!$D$8:$J$500,5,UomConversion!$E$8:$E$500,MID(P35,1,3)*1,UomConversion!$J$8:$J$500,1)))</f>
        <v/>
      </c>
      <c r="AB35" s="197" t="str">
        <f t="shared" si="11"/>
        <v/>
      </c>
      <c r="AC35" s="197" t="str">
        <f t="shared" si="12"/>
        <v/>
      </c>
      <c r="AD35" s="197" t="str">
        <f t="shared" si="13"/>
        <v/>
      </c>
      <c r="AE35" s="1866" t="str">
        <f t="shared" si="14"/>
        <v/>
      </c>
      <c r="AF35" s="1866" t="str">
        <f t="shared" si="15"/>
        <v/>
      </c>
      <c r="AG35" s="197" t="str">
        <f t="shared" si="16"/>
        <v/>
      </c>
      <c r="AH35" s="197" t="str">
        <f>IF(I35="","",IF(ISNA(MATCH(I35,IF(invoice_location_id=1,'[1]1_inventory_totals'!$C$8:$C$10000,IF(invoice_location_id=2,'[1]2_inventory_totals'!$C$8:$C$10000,0)),0)),0,IF(AV35&gt;0,1,0)))</f>
        <v/>
      </c>
      <c r="AI35" s="197" t="str">
        <f>IF(M35="","",IF(invoice_location_id=1,SUMIFS('[1]1_inventory_total_details'!$J$8:$J$10000,'[1]1_inventory_total_details'!$C$8:$C$10000,I35,'[1]1_inventory_total_details'!$F$8:$F$10000,invoice_location_id,'[1]1_inventory_total_details'!$G$8:$G$10000,"="&amp;Q35,'[1]1_inventory_total_details'!$H$8:$H$10000,"="&amp;R35,'[1]1_inventory_total_details'!$I$8:$I$10000,"="&amp;invoice_date)+SUMIFS('[1]1_inventory_total_details'!$M$8:$M$10000,'[1]1_inventory_total_details'!$C$8:$C$10000,I35,'[1]1_inventory_total_details'!$F$8:$F$10000,invoice_location_id,'[1]1_inventory_total_details'!$G$8:$G$10000,"="&amp;Q35,'[1]1_inventory_total_details'!$H$8:$H$10000,"="&amp;R35,'[1]1_inventory_total_details'!$I$8:$I$10000,"="&amp;invoice_date)+SUMIFS('[1]1_inventory_total_details'!$K$8:$K$10000,'[1]1_inventory_total_details'!$C$8:$C$10000,I35,'[1]1_inventory_total_details'!$F$8:$F$10000,invoice_location_id,'[1]1_inventory_total_details'!$G$8:$G$10000,"="&amp;Q35,'[1]1_inventory_total_details'!$H$8:$H$10000,"="&amp;R35,'[1]1_inventory_total_details'!$I$8:$I$10000,"="&amp;invoice_date)+SUMIFS('[1]1_inventory_total_details'!$L$8:$L$10000,'[1]1_inventory_total_details'!$C$8:$C$10000,I35,'[1]1_inventory_total_details'!$F$8:$F$10000,invoice_location_id,'[1]1_inventory_total_details'!$G$8:$G$10000,"="&amp;Q35,'[1]1_inventory_total_details'!$H$8:$H$10000,"="&amp;R35,'[1]1_inventory_total_details'!$I$8:$I$10000,"="&amp;invoice_date),SUMIFS('[1]2_inventory_total_details'!$J$8:$J$10000,'[1]2_inventory_total_details'!$C$8:$C$10000,I35,'[1]2_inventory_total_details'!$F$8:$F$10000,invoice_location_id,'[1]2_inventory_total_details'!$G$8:$G$10000,"="&amp;Q35,'[1]2_inventory_total_details'!$H$8:$H$10000,"="&amp;R35,'[1]2_inventory_total_details'!$I$8:$I$10000,"="&amp;invoice_date)+SUMIFS('[1]2_inventory_total_details'!$M$8:$M$10000,'[1]2_inventory_total_details'!$C$8:$C$10000,I35,'[1]2_inventory_total_details'!$F$8:$F$10000,invoice_location_id,'[1]2_inventory_total_details'!$G$8:$G$10000,"="&amp;Q35,'[1]2_inventory_total_details'!$H$8:$H$10000,"="&amp;R35,'[1]2_inventory_total_details'!$I$8:$I$10000,"="&amp;invoice_date)+SUMIFS('[1]2_inventory_total_details'!$K$8:$K$10000,'[1]2_inventory_total_details'!$C$8:$C$10000,I35,'[1]2_inventory_total_details'!$F$8:$F$10000,invoice_location_id,'[1]2_inventory_total_details'!$G$8:$G$10000,"="&amp;Q35,'[1]2_inventory_total_details'!$H$8:$H$10000,"="&amp;R35,'[1]2_inventory_total_details'!$I$8:$I$10000,"="&amp;invoice_date)+SUMIFS('[1]2_inventory_total_details'!$L$8:$L$10000,'[1]2_inventory_total_details'!$C$8:$C$10000,I35,'[1]2_inventory_total_details'!$F$8:$F$10000,invoice_location_id,'[1]2_inventory_total_details'!$G$8:$G$10000,"="&amp;Q35,'[1]2_inventory_total_details'!$H$8:$H$10000,"="&amp;R35,'[1]2_inventory_total_details'!$I$8:$I$10000,"="&amp;invoice_date)))</f>
        <v/>
      </c>
      <c r="AJ35" s="197" t="str">
        <f>IF(M35="","",IF(ISNA(MATCH(I35,'[1]1_group_totals'!$C$8:$C$10000)),0,IF(AW35&gt;0,1,0)))</f>
        <v/>
      </c>
      <c r="AK35" s="197" t="str">
        <f>IF(M35="","",(SUMIFS('[1]1_group_total_details'!$I$8:$I$10000,'[1]1_group_total_details'!$C$8:$C$10000,I35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35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35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35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35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35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35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35,'[1]1_group_total_details'!$F$8:$F$10000,invoice_location_group_id,'[1]1_group_total_details'!$G$8:$G$10000,invoice_location_id,'[1]1_group_total_details'!$H$8:$H$10000,"="&amp;invoice_date)))</f>
        <v/>
      </c>
      <c r="AL35" s="197" t="str">
        <f>IF(M35="","",(SUMIFS('[1]1_group_total_details'!$I$8:$I$10000,'[1]1_group_total_details'!$C$8:$C$10000,I35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35,'[1]1_group_total_details'!$F$8:$F$10000,invoice_location_group_id,'[1]1_group_total_details'!$G$8:$G$10000,1,'[1]1_group_total_details'!$H$8:$H$10000,"&lt;="&amp;invoice_date)+SUMIFS('[1]1_group_total_details'!$N$8:$N$10000,'[1]1_group_total_details'!$C$8:$C$10000,I35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35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35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35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35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35,'[1]1_group_total_details'!$F$8:$F$10000,invoice_location_group_id,'[1]1_group_total_details'!$G$8:$G$10000,invoice_location_id,'[1]1_group_total_details'!$H$8:$H$10000,"&lt;="&amp;invoice_date)))</f>
        <v/>
      </c>
      <c r="AM35" s="197" t="str">
        <f>IF(M35="","",SUMIFS('[1]1_group_totals'!$J$8:$J$10000,'[1]1_group_totals'!$C$8:$C$10000,I35,'[1]1_group_totals'!$F$8:$F$10000,invoice_location_group_id,'[1]1_group_totals'!$G$8:$G$10000,invoice_location_id,'[1]1_group_totals'!$H$8:$H$10000,"="&amp;Q35,'[1]1_group_totals'!$I$8:$I$10000,"="&amp;R35))</f>
        <v/>
      </c>
      <c r="AN35" s="197" t="str">
        <f t="shared" si="17"/>
        <v/>
      </c>
      <c r="AO35" s="197" t="str">
        <f>IF(OR(ISNA(MATCH(MID(AN35,1,3)*1,UomConversion!$D$8:$D$500,0)),M35=""),"",IF(AT35="","",AT35))</f>
        <v/>
      </c>
      <c r="AP35" s="197" t="str">
        <f>IF(AND(AQ35&gt;0,COUNTIFS(UomConversion!$D$8:$D$500,MID(AN35,1,3)*1,UomConversion!$J$8:$J$500,1)&gt;1),TEXT(AQ35,"000")&amp;"."&amp;VLOOKUP(AQ35,uom_list,5,FALSE),"")</f>
        <v/>
      </c>
      <c r="AQ35" s="197" t="str">
        <f t="shared" si="18"/>
        <v/>
      </c>
      <c r="AR35" s="197" t="str">
        <f t="shared" si="19"/>
        <v/>
      </c>
      <c r="AS35" s="1866" t="str">
        <f>IF(M35="","",SUMIFS(ProductPrice!$N$28:$N$10000,ProductPrice!$D$28:$D$10000,I35,ProductPrice!$G$28:$G$10000,invoice_branch_id,ProductPrice!$H$28:$H$10000,invoice_price_type_id,ProductPrice!$I$28:$I$10000,MID(P35,1,3)*1,ProductPrice!$Q$28:$Q$10000,1,ProductPrice!$T$28:$T$10000,1))</f>
        <v/>
      </c>
      <c r="AT35" s="197" t="str">
        <f t="shared" si="20"/>
        <v/>
      </c>
      <c r="AU35" s="197" t="str" cm="1">
        <f t="array" ref="AU35">IF(M35="","",IF(ISNA(Slookup(MID(AN35,1,3)*1,UomConversion!$D$8:$J$500,2,UomConversion!$I$8:$I$500,1,UomConversion!$J$8:$J$500,1)),"",Slookup(MID(AN35,1,3)*1,UomConversion!$D$8:$J$500,2,UomConversion!$I$8:$I$500,1,UomConversion!$J$8:$J$500,1)))</f>
        <v/>
      </c>
      <c r="AV35" s="197" t="str">
        <f t="shared" si="6"/>
        <v/>
      </c>
      <c r="AW35" s="197" t="str">
        <f>IF(M35="","",(SUMIFS('[1]1_group_totals'!$K$8:$K$10000,'[1]1_group_totals'!$C$8:$C$10000,I35,'[1]1_group_totals'!$F$8:$F$10000,invoice_location_group_id,'[1]1_group_totals'!$G$8:$G$10000,invoice_location_id,'[1]1_group_totals'!$H$8:$H$10000,"="&amp;Q35,'[1]1_group_totals'!$I$8:$I$10000,"="&amp;R35)+SUMIFS('[1]1_group_totals'!$N$8:$N$10000,'[1]1_group_totals'!$C$8:$C$10000,I35,'[1]1_group_totals'!$F$8:$F$10000,invoice_location_group_id,'[1]1_group_totals'!$G$8:$G$10000,invoice_location_id,'[1]1_group_totals'!$H$8:$H$10000,"="&amp;Q35,'[1]1_group_totals'!$I$8:$I$10000,"="&amp;R35)+SUMIFS('[1]1_group_totals'!$P$8:$P$10000,'[1]1_group_totals'!$C$8:$C$10000,I35,'[1]1_group_totals'!$F$8:$F$10000,invoice_location_group_id,'[1]1_group_totals'!$G$8:$G$10000,invoice_location_id,'[1]1_group_totals'!$H$8:$H$10000,"="&amp;Q35,'[1]1_group_totals'!$I$8:$I$10000,"="&amp;R35)+SUMIFS('[1]1_group_totals'!$Q$8:$Q$10000,'[1]1_group_totals'!$C$8:$C$10000,I35,'[1]1_group_totals'!$F$8:$F$10000,invoice_location_group_id,'[1]1_group_totals'!$G$8:$G$10000,invoice_location_id,'[1]1_group_totals'!$H$8:$H$10000,"="&amp;Q35,'[1]1_group_totals'!$I$8:$I$10000,"="&amp;R35))+(SUMIFS('[1]1_group_totals'!$L$8:$L$10000,'[1]1_group_totals'!$C$8:$C$10000,I35,'[1]1_group_totals'!$F$8:$F$10000,invoice_location_group_id,'[1]1_group_totals'!$G$8:$G$10000,invoice_location_id,'[1]1_group_totals'!$H$8:$H$10000,"="&amp;Q35,'[1]1_group_totals'!$I$8:$I$10000,"="&amp;R35)+SUMIFS('[1]1_group_totals'!$M$8:$M$10000,'[1]1_group_totals'!$C$8:$C$10000,I35,'[1]1_group_totals'!$F$8:$F$10000,invoice_location_group_id,'[1]1_group_totals'!$G$8:$G$10000,invoice_location_id,'[1]1_group_totals'!$H$8:$H$10000,"="&amp;Q35,'[1]1_group_totals'!$I$8:$I$10000,"="&amp;R35)+SUMIFS('[1]1_group_totals'!$O$8:$O$10000,'[1]1_group_totals'!$C$8:$C$10000,I35,'[1]1_group_totals'!$F$8:$F$10000,invoice_location_group_id,'[1]1_group_totals'!$G$8:$G$10000,invoice_location_id,'[1]1_group_totals'!$H$8:$H$10000,"="&amp;Q35,'[1]1_group_totals'!$I$8:$I$10000,"="&amp;R35)+SUMIFS('[1]1_group_totals'!$R$8:$R$10000,'[1]1_group_totals'!$C$8:$C$10000,I35,'[1]1_group_totals'!$F$8:$F$10000,invoice_location_group_id,'[1]1_group_totals'!$G$8:$G$10000,invoice_location_id,'[1]1_group_totals'!$H$8:$H$10000,"="&amp;Q35,'[1]1_group_totals'!$I$8:$I$10000,"="&amp;R35)))</f>
        <v/>
      </c>
      <c r="AX35" s="197" t="str">
        <f t="shared" si="21"/>
        <v/>
      </c>
      <c r="AY35" s="197" t="str">
        <f>IF(M35="","",SUMIFS($AX$8:AX35,$I$8:I35,I35))</f>
        <v/>
      </c>
      <c r="AZ35" s="197" t="str">
        <f t="shared" si="22"/>
        <v/>
      </c>
      <c r="BA35" s="197" t="str">
        <f>IF(M35="","",(SUMIFS('[1]1_inventory_totals'!$I$8:$I$10000,'[1]1_inventory_totals'!$C$8:$C$10000,I35,'[1]1_inventory_totals'!$F$8:$F$10000,"="&amp;Q35,'[1]1_inventory_totals'!$G$8:$G$10000,"="&amp;R35)+SUMIFS('[1]1_inventory_totals'!$N$8:$N$10000,'[1]1_inventory_totals'!$C$8:$C$10000,I35,'[1]1_inventory_totals'!$F$8:$F$10000,"="&amp;Q35,'[1]1_inventory_totals'!$G$8:$G$10000,"="&amp;R35)+SUMIFS('[1]1_inventory_totals'!$P$8:$P$10000,'[1]1_inventory_totals'!$C$8:$C$10000,I35,'[1]1_inventory_totals'!$F$8:$F$10000,"="&amp;Q35,'[1]1_inventory_totals'!$G$8:$G$10000,"="&amp;R35)+SUMIFS('[1]1_inventory_totals'!$Q$8:$Q$10000,'[1]1_inventory_totals'!$C$8:$C$10000,I35,'[1]1_inventory_totals'!$F$8:$F$10000,"="&amp;Q35,'[1]1_inventory_totals'!$G$8:$G$10000,"="&amp;R35)+SUMIFS('[1]1_inventory_totals'!$R$8:$R$10000,'[1]1_inventory_totals'!$C$8:$C$10000,I35,'[1]1_inventory_totals'!$F$8:$F$10000,"="&amp;Q35,'[1]1_inventory_totals'!$G$8:$G$10000,"="&amp;R35))+(SUMIFS('[1]1_inventory_totals'!$J$8:$J$10000,'[1]1_inventory_totals'!$C$8:$C$10000,I35,'[1]1_inventory_totals'!$F$8:$F$10000,"="&amp;Q35,'[1]1_inventory_totals'!$G$8:$G$10000,"="&amp;R35)+SUMIFS('[1]1_inventory_totals'!$K$8:$K$10000,'[1]1_inventory_totals'!$C$8:$C$10000,I35,'[1]1_inventory_totals'!$F$8:$F$10000,"="&amp;Q35,'[1]1_inventory_totals'!$G$8:$G$10000,"="&amp;R35)+SUMIFS('[1]1_inventory_totals'!$L$8:$L$10000,'[1]1_inventory_totals'!$C$8:$C$10000,I35,'[1]1_inventory_totals'!$F$8:$F$10000,"="&amp;Q35,'[1]1_inventory_totals'!$G$8:$G$10000,"="&amp;R35)+SUMIFS('[1]1_inventory_totals'!$M$8:$M$10000,'[1]1_inventory_totals'!$C$8:$C$10000,I35,'[1]1_inventory_totals'!$F$8:$F$10000,"="&amp;Q35,'[1]1_inventory_totals'!$G$8:$G$10000,"="&amp;R35)+SUMIFS('[1]1_inventory_totals'!$O$8:$O$10000,'[1]1_inventory_totals'!$C$8:$C$10000,I35,'[1]1_inventory_totals'!$F$8:$F$10000,"="&amp;Q35,'[1]1_inventory_totals'!$G$8:$G$10000,"="&amp;R35)+SUMIFS('[1]1_inventory_totals'!$S$8:$S$10000,'[1]1_inventory_totals'!$C$8:$C$10000,I35,'[1]1_inventory_totals'!$F$8:$F$10000,"="&amp;Q35,'[1]1_inventory_totals'!$G$8:$G$10000,"="&amp;R35)))</f>
        <v/>
      </c>
      <c r="BB35" s="197" t="str">
        <f>IF(M35="","",(SUMIFS('[1]2_inventory_totals'!$I$8:$I$10000,'[1]2_inventory_totals'!$C$8:$C$10000,I35,'[1]2_inventory_totals'!$F$8:$F$10000,"="&amp;Q35,'[1]2_inventory_totals'!$G$8:$G$10000,"="&amp;R35)+SUMIFS('[1]2_inventory_totals'!$N$8:$N$10000,'[1]2_inventory_totals'!$C$8:$C$10000,I35,'[1]2_inventory_totals'!$F$8:$F$10000,"="&amp;Q35,'[1]2_inventory_totals'!$G$8:$G$10000,"="&amp;R35)+SUMIFS('[1]2_inventory_totals'!$P$8:$P$10000,'[1]2_inventory_totals'!$C$8:$C$10000,I35,'[1]2_inventory_totals'!$F$8:$F$10000,"="&amp;Q35,'[1]2_inventory_totals'!$G$8:$G$10000,"="&amp;R35)+SUMIFS('[1]2_inventory_totals'!$Q$8:$Q$10000,'[1]2_inventory_totals'!$C$8:$C$10000,I35,'[1]2_inventory_totals'!$F$8:$F$10000,"="&amp;Q35,'[1]2_inventory_totals'!$G$8:$G$10000,"="&amp;R35)+SUMIFS('[1]2_inventory_totals'!$R$8:$R$10000,'[1]2_inventory_totals'!$C$8:$C$10000,I35,'[1]2_inventory_totals'!$F$8:$F$10000,"="&amp;Q35,'[1]2_inventory_totals'!$G$8:$G$10000,"="&amp;R35))+(SUMIFS('[1]2_inventory_totals'!$J$8:$J$10000,'[1]2_inventory_totals'!$C$8:$C$10000,I35,'[1]2_inventory_totals'!$F$8:$F$10000,"="&amp;Q35,'[1]2_inventory_totals'!$G$8:$G$10000,"="&amp;R35)+SUMIFS('[1]2_inventory_totals'!$K$8:$K$10000,'[1]2_inventory_totals'!$C$8:$C$10000,I35,'[1]2_inventory_totals'!$F$8:$F$10000,"="&amp;Q35,'[1]2_inventory_totals'!$G$8:$G$10000,"="&amp;R35)+SUMIFS('[1]2_inventory_totals'!$L$8:$L$10000,'[1]2_inventory_totals'!$C$8:$C$10000,I35,'[1]2_inventory_totals'!$F$8:$F$10000,"="&amp;Q35,'[1]2_inventory_totals'!$G$8:$G$10000,"="&amp;R35)+SUMIFS('[1]2_inventory_totals'!$M$8:$M$10000,'[1]2_inventory_totals'!$C$8:$C$10000,I35,'[1]2_inventory_totals'!$F$8:$F$10000,"="&amp;Q35,'[1]2_inventory_totals'!$G$8:$G$10000,"="&amp;R35)+SUMIFS('[1]2_inventory_totals'!$O$8:$O$10000,'[1]2_inventory_totals'!$C$8:$C$10000,I35,'[1]2_inventory_totals'!$F$8:$F$10000,"="&amp;Q35,'[1]2_inventory_totals'!$G$8:$G$10000,"="&amp;R35)+SUMIFS('[1]2_inventory_totals'!$S$8:$S$10000,'[1]2_inventory_totals'!$C$8:$C$10000,I35,'[1]2_inventory_totals'!$F$8:$F$10000,"="&amp;Q35,'[1]2_inventory_totals'!$G$8:$G$10000,"="&amp;R35)))</f>
        <v/>
      </c>
    </row>
    <row r="36" spans="1:54" ht="27" hidden="1" customHeight="1">
      <c r="A36" s="923"/>
      <c r="B36" s="1251"/>
      <c r="C36" s="1268"/>
      <c r="D36" s="950"/>
      <c r="E36" s="950"/>
      <c r="F36" s="1262"/>
      <c r="I36" s="1610" t="str">
        <f t="shared" si="7"/>
        <v/>
      </c>
      <c r="J36" s="1611" t="str">
        <f t="shared" si="24"/>
        <v/>
      </c>
      <c r="K36" s="1612" t="str">
        <f t="shared" si="8"/>
        <v/>
      </c>
      <c r="L36" s="1613"/>
      <c r="M36" s="883"/>
      <c r="N36" s="884"/>
      <c r="O36" s="884"/>
      <c r="P36" s="885"/>
      <c r="Q36" s="886"/>
      <c r="R36" s="891"/>
      <c r="S36" s="1614" t="str">
        <f t="shared" si="0"/>
        <v/>
      </c>
      <c r="T36" s="1536"/>
      <c r="U36" s="1864" t="str">
        <f t="shared" si="9"/>
        <v/>
      </c>
      <c r="V36" s="1615" t="str">
        <f t="shared" si="1"/>
        <v/>
      </c>
      <c r="W36" s="889"/>
      <c r="X36" s="1615" t="str">
        <f t="shared" si="2"/>
        <v/>
      </c>
      <c r="Y36" s="1865" t="str">
        <f t="shared" si="10"/>
        <v/>
      </c>
      <c r="Z36" s="890"/>
      <c r="AA36" s="197" t="str" cm="1">
        <f t="array" ref="AA36">IF(M36="","",IF(P36=AN36,1,Slookup(MID(AN36,1,3)*1,UomConversion!$D$8:$J$500,5,UomConversion!$E$8:$E$500,MID(P36,1,3)*1,UomConversion!$J$8:$J$500,1)))</f>
        <v/>
      </c>
      <c r="AB36" s="197" t="str">
        <f t="shared" si="11"/>
        <v/>
      </c>
      <c r="AC36" s="197" t="str">
        <f t="shared" si="12"/>
        <v/>
      </c>
      <c r="AD36" s="197" t="str">
        <f t="shared" si="13"/>
        <v/>
      </c>
      <c r="AE36" s="1866" t="str">
        <f t="shared" si="14"/>
        <v/>
      </c>
      <c r="AF36" s="1866" t="str">
        <f t="shared" si="15"/>
        <v/>
      </c>
      <c r="AG36" s="197" t="str">
        <f t="shared" si="16"/>
        <v/>
      </c>
      <c r="AH36" s="197" t="str">
        <f>IF(I36="","",IF(ISNA(MATCH(I36,IF(invoice_location_id=1,'[1]1_inventory_totals'!$C$8:$C$10000,IF(invoice_location_id=2,'[1]2_inventory_totals'!$C$8:$C$10000,0)),0)),0,IF(AV36&gt;0,1,0)))</f>
        <v/>
      </c>
      <c r="AI36" s="197" t="str">
        <f>IF(M36="","",IF(invoice_location_id=1,SUMIFS('[1]1_inventory_total_details'!$J$8:$J$10000,'[1]1_inventory_total_details'!$C$8:$C$10000,I36,'[1]1_inventory_total_details'!$F$8:$F$10000,invoice_location_id,'[1]1_inventory_total_details'!$G$8:$G$10000,"="&amp;Q36,'[1]1_inventory_total_details'!$H$8:$H$10000,"="&amp;R36,'[1]1_inventory_total_details'!$I$8:$I$10000,"="&amp;invoice_date)+SUMIFS('[1]1_inventory_total_details'!$M$8:$M$10000,'[1]1_inventory_total_details'!$C$8:$C$10000,I36,'[1]1_inventory_total_details'!$F$8:$F$10000,invoice_location_id,'[1]1_inventory_total_details'!$G$8:$G$10000,"="&amp;Q36,'[1]1_inventory_total_details'!$H$8:$H$10000,"="&amp;R36,'[1]1_inventory_total_details'!$I$8:$I$10000,"="&amp;invoice_date)+SUMIFS('[1]1_inventory_total_details'!$K$8:$K$10000,'[1]1_inventory_total_details'!$C$8:$C$10000,I36,'[1]1_inventory_total_details'!$F$8:$F$10000,invoice_location_id,'[1]1_inventory_total_details'!$G$8:$G$10000,"="&amp;Q36,'[1]1_inventory_total_details'!$H$8:$H$10000,"="&amp;R36,'[1]1_inventory_total_details'!$I$8:$I$10000,"="&amp;invoice_date)+SUMIFS('[1]1_inventory_total_details'!$L$8:$L$10000,'[1]1_inventory_total_details'!$C$8:$C$10000,I36,'[1]1_inventory_total_details'!$F$8:$F$10000,invoice_location_id,'[1]1_inventory_total_details'!$G$8:$G$10000,"="&amp;Q36,'[1]1_inventory_total_details'!$H$8:$H$10000,"="&amp;R36,'[1]1_inventory_total_details'!$I$8:$I$10000,"="&amp;invoice_date),SUMIFS('[1]2_inventory_total_details'!$J$8:$J$10000,'[1]2_inventory_total_details'!$C$8:$C$10000,I36,'[1]2_inventory_total_details'!$F$8:$F$10000,invoice_location_id,'[1]2_inventory_total_details'!$G$8:$G$10000,"="&amp;Q36,'[1]2_inventory_total_details'!$H$8:$H$10000,"="&amp;R36,'[1]2_inventory_total_details'!$I$8:$I$10000,"="&amp;invoice_date)+SUMIFS('[1]2_inventory_total_details'!$M$8:$M$10000,'[1]2_inventory_total_details'!$C$8:$C$10000,I36,'[1]2_inventory_total_details'!$F$8:$F$10000,invoice_location_id,'[1]2_inventory_total_details'!$G$8:$G$10000,"="&amp;Q36,'[1]2_inventory_total_details'!$H$8:$H$10000,"="&amp;R36,'[1]2_inventory_total_details'!$I$8:$I$10000,"="&amp;invoice_date)+SUMIFS('[1]2_inventory_total_details'!$K$8:$K$10000,'[1]2_inventory_total_details'!$C$8:$C$10000,I36,'[1]2_inventory_total_details'!$F$8:$F$10000,invoice_location_id,'[1]2_inventory_total_details'!$G$8:$G$10000,"="&amp;Q36,'[1]2_inventory_total_details'!$H$8:$H$10000,"="&amp;R36,'[1]2_inventory_total_details'!$I$8:$I$10000,"="&amp;invoice_date)+SUMIFS('[1]2_inventory_total_details'!$L$8:$L$10000,'[1]2_inventory_total_details'!$C$8:$C$10000,I36,'[1]2_inventory_total_details'!$F$8:$F$10000,invoice_location_id,'[1]2_inventory_total_details'!$G$8:$G$10000,"="&amp;Q36,'[1]2_inventory_total_details'!$H$8:$H$10000,"="&amp;R36,'[1]2_inventory_total_details'!$I$8:$I$10000,"="&amp;invoice_date)))</f>
        <v/>
      </c>
      <c r="AJ36" s="197" t="str">
        <f>IF(M36="","",IF(ISNA(MATCH(I36,'[1]1_group_totals'!$C$8:$C$10000)),0,IF(AW36&gt;0,1,0)))</f>
        <v/>
      </c>
      <c r="AK36" s="197" t="str">
        <f>IF(M36="","",(SUMIFS('[1]1_group_total_details'!$I$8:$I$10000,'[1]1_group_total_details'!$C$8:$C$10000,I36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36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36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36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36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36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36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36,'[1]1_group_total_details'!$F$8:$F$10000,invoice_location_group_id,'[1]1_group_total_details'!$G$8:$G$10000,invoice_location_id,'[1]1_group_total_details'!$H$8:$H$10000,"="&amp;invoice_date)))</f>
        <v/>
      </c>
      <c r="AL36" s="197" t="str">
        <f>IF(M36="","",(SUMIFS('[1]1_group_total_details'!$I$8:$I$10000,'[1]1_group_total_details'!$C$8:$C$10000,I36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36,'[1]1_group_total_details'!$F$8:$F$10000,invoice_location_group_id,'[1]1_group_total_details'!$G$8:$G$10000,1,'[1]1_group_total_details'!$H$8:$H$10000,"&lt;="&amp;invoice_date)+SUMIFS('[1]1_group_total_details'!$N$8:$N$10000,'[1]1_group_total_details'!$C$8:$C$10000,I36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36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36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36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36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36,'[1]1_group_total_details'!$F$8:$F$10000,invoice_location_group_id,'[1]1_group_total_details'!$G$8:$G$10000,invoice_location_id,'[1]1_group_total_details'!$H$8:$H$10000,"&lt;="&amp;invoice_date)))</f>
        <v/>
      </c>
      <c r="AM36" s="197" t="str">
        <f>IF(M36="","",SUMIFS('[1]1_group_totals'!$J$8:$J$10000,'[1]1_group_totals'!$C$8:$C$10000,I36,'[1]1_group_totals'!$F$8:$F$10000,invoice_location_group_id,'[1]1_group_totals'!$G$8:$G$10000,invoice_location_id,'[1]1_group_totals'!$H$8:$H$10000,"="&amp;Q36,'[1]1_group_totals'!$I$8:$I$10000,"="&amp;R36))</f>
        <v/>
      </c>
      <c r="AN36" s="197" t="str">
        <f t="shared" si="17"/>
        <v/>
      </c>
      <c r="AO36" s="197" t="str">
        <f>IF(OR(ISNA(MATCH(MID(AN36,1,3)*1,UomConversion!$D$8:$D$500,0)),M36=""),"",IF(AT36="","",AT36))</f>
        <v/>
      </c>
      <c r="AP36" s="197" t="str">
        <f>IF(AND(AQ36&gt;0,COUNTIFS(UomConversion!$D$8:$D$500,MID(AN36,1,3)*1,UomConversion!$J$8:$J$500,1)&gt;1),TEXT(AQ36,"000")&amp;"."&amp;VLOOKUP(AQ36,uom_list,5,FALSE),"")</f>
        <v/>
      </c>
      <c r="AQ36" s="197" t="str">
        <f t="shared" si="18"/>
        <v/>
      </c>
      <c r="AR36" s="197" t="str">
        <f t="shared" si="19"/>
        <v/>
      </c>
      <c r="AS36" s="1866" t="str">
        <f>IF(M36="","",SUMIFS(ProductPrice!$N$28:$N$10000,ProductPrice!$D$28:$D$10000,I36,ProductPrice!$G$28:$G$10000,invoice_branch_id,ProductPrice!$H$28:$H$10000,invoice_price_type_id,ProductPrice!$I$28:$I$10000,MID(P36,1,3)*1,ProductPrice!$Q$28:$Q$10000,1,ProductPrice!$T$28:$T$10000,1))</f>
        <v/>
      </c>
      <c r="AT36" s="197" t="str">
        <f t="shared" si="20"/>
        <v/>
      </c>
      <c r="AU36" s="197" t="str" cm="1">
        <f t="array" ref="AU36">IF(M36="","",IF(ISNA(Slookup(MID(AN36,1,3)*1,UomConversion!$D$8:$J$500,2,UomConversion!$I$8:$I$500,1,UomConversion!$J$8:$J$500,1)),"",Slookup(MID(AN36,1,3)*1,UomConversion!$D$8:$J$500,2,UomConversion!$I$8:$I$500,1,UomConversion!$J$8:$J$500,1)))</f>
        <v/>
      </c>
      <c r="AV36" s="197" t="str">
        <f t="shared" si="6"/>
        <v/>
      </c>
      <c r="AW36" s="197" t="str">
        <f>IF(M36="","",(SUMIFS('[1]1_group_totals'!$K$8:$K$10000,'[1]1_group_totals'!$C$8:$C$10000,I36,'[1]1_group_totals'!$F$8:$F$10000,invoice_location_group_id,'[1]1_group_totals'!$G$8:$G$10000,invoice_location_id,'[1]1_group_totals'!$H$8:$H$10000,"="&amp;Q36,'[1]1_group_totals'!$I$8:$I$10000,"="&amp;R36)+SUMIFS('[1]1_group_totals'!$N$8:$N$10000,'[1]1_group_totals'!$C$8:$C$10000,I36,'[1]1_group_totals'!$F$8:$F$10000,invoice_location_group_id,'[1]1_group_totals'!$G$8:$G$10000,invoice_location_id,'[1]1_group_totals'!$H$8:$H$10000,"="&amp;Q36,'[1]1_group_totals'!$I$8:$I$10000,"="&amp;R36)+SUMIFS('[1]1_group_totals'!$P$8:$P$10000,'[1]1_group_totals'!$C$8:$C$10000,I36,'[1]1_group_totals'!$F$8:$F$10000,invoice_location_group_id,'[1]1_group_totals'!$G$8:$G$10000,invoice_location_id,'[1]1_group_totals'!$H$8:$H$10000,"="&amp;Q36,'[1]1_group_totals'!$I$8:$I$10000,"="&amp;R36)+SUMIFS('[1]1_group_totals'!$Q$8:$Q$10000,'[1]1_group_totals'!$C$8:$C$10000,I36,'[1]1_group_totals'!$F$8:$F$10000,invoice_location_group_id,'[1]1_group_totals'!$G$8:$G$10000,invoice_location_id,'[1]1_group_totals'!$H$8:$H$10000,"="&amp;Q36,'[1]1_group_totals'!$I$8:$I$10000,"="&amp;R36))+(SUMIFS('[1]1_group_totals'!$L$8:$L$10000,'[1]1_group_totals'!$C$8:$C$10000,I36,'[1]1_group_totals'!$F$8:$F$10000,invoice_location_group_id,'[1]1_group_totals'!$G$8:$G$10000,invoice_location_id,'[1]1_group_totals'!$H$8:$H$10000,"="&amp;Q36,'[1]1_group_totals'!$I$8:$I$10000,"="&amp;R36)+SUMIFS('[1]1_group_totals'!$M$8:$M$10000,'[1]1_group_totals'!$C$8:$C$10000,I36,'[1]1_group_totals'!$F$8:$F$10000,invoice_location_group_id,'[1]1_group_totals'!$G$8:$G$10000,invoice_location_id,'[1]1_group_totals'!$H$8:$H$10000,"="&amp;Q36,'[1]1_group_totals'!$I$8:$I$10000,"="&amp;R36)+SUMIFS('[1]1_group_totals'!$O$8:$O$10000,'[1]1_group_totals'!$C$8:$C$10000,I36,'[1]1_group_totals'!$F$8:$F$10000,invoice_location_group_id,'[1]1_group_totals'!$G$8:$G$10000,invoice_location_id,'[1]1_group_totals'!$H$8:$H$10000,"="&amp;Q36,'[1]1_group_totals'!$I$8:$I$10000,"="&amp;R36)+SUMIFS('[1]1_group_totals'!$R$8:$R$10000,'[1]1_group_totals'!$C$8:$C$10000,I36,'[1]1_group_totals'!$F$8:$F$10000,invoice_location_group_id,'[1]1_group_totals'!$G$8:$G$10000,invoice_location_id,'[1]1_group_totals'!$H$8:$H$10000,"="&amp;Q36,'[1]1_group_totals'!$I$8:$I$10000,"="&amp;R36)))</f>
        <v/>
      </c>
      <c r="AX36" s="197" t="str">
        <f t="shared" si="21"/>
        <v/>
      </c>
      <c r="AY36" s="197" t="str">
        <f>IF(M36="","",SUMIFS($AX$8:AX36,$I$8:I36,I36))</f>
        <v/>
      </c>
      <c r="AZ36" s="197" t="str">
        <f t="shared" si="22"/>
        <v/>
      </c>
      <c r="BA36" s="197" t="str">
        <f>IF(M36="","",(SUMIFS('[1]1_inventory_totals'!$I$8:$I$10000,'[1]1_inventory_totals'!$C$8:$C$10000,I36,'[1]1_inventory_totals'!$F$8:$F$10000,"="&amp;Q36,'[1]1_inventory_totals'!$G$8:$G$10000,"="&amp;R36)+SUMIFS('[1]1_inventory_totals'!$N$8:$N$10000,'[1]1_inventory_totals'!$C$8:$C$10000,I36,'[1]1_inventory_totals'!$F$8:$F$10000,"="&amp;Q36,'[1]1_inventory_totals'!$G$8:$G$10000,"="&amp;R36)+SUMIFS('[1]1_inventory_totals'!$P$8:$P$10000,'[1]1_inventory_totals'!$C$8:$C$10000,I36,'[1]1_inventory_totals'!$F$8:$F$10000,"="&amp;Q36,'[1]1_inventory_totals'!$G$8:$G$10000,"="&amp;R36)+SUMIFS('[1]1_inventory_totals'!$Q$8:$Q$10000,'[1]1_inventory_totals'!$C$8:$C$10000,I36,'[1]1_inventory_totals'!$F$8:$F$10000,"="&amp;Q36,'[1]1_inventory_totals'!$G$8:$G$10000,"="&amp;R36)+SUMIFS('[1]1_inventory_totals'!$R$8:$R$10000,'[1]1_inventory_totals'!$C$8:$C$10000,I36,'[1]1_inventory_totals'!$F$8:$F$10000,"="&amp;Q36,'[1]1_inventory_totals'!$G$8:$G$10000,"="&amp;R36))+(SUMIFS('[1]1_inventory_totals'!$J$8:$J$10000,'[1]1_inventory_totals'!$C$8:$C$10000,I36,'[1]1_inventory_totals'!$F$8:$F$10000,"="&amp;Q36,'[1]1_inventory_totals'!$G$8:$G$10000,"="&amp;R36)+SUMIFS('[1]1_inventory_totals'!$K$8:$K$10000,'[1]1_inventory_totals'!$C$8:$C$10000,I36,'[1]1_inventory_totals'!$F$8:$F$10000,"="&amp;Q36,'[1]1_inventory_totals'!$G$8:$G$10000,"="&amp;R36)+SUMIFS('[1]1_inventory_totals'!$L$8:$L$10000,'[1]1_inventory_totals'!$C$8:$C$10000,I36,'[1]1_inventory_totals'!$F$8:$F$10000,"="&amp;Q36,'[1]1_inventory_totals'!$G$8:$G$10000,"="&amp;R36)+SUMIFS('[1]1_inventory_totals'!$M$8:$M$10000,'[1]1_inventory_totals'!$C$8:$C$10000,I36,'[1]1_inventory_totals'!$F$8:$F$10000,"="&amp;Q36,'[1]1_inventory_totals'!$G$8:$G$10000,"="&amp;R36)+SUMIFS('[1]1_inventory_totals'!$O$8:$O$10000,'[1]1_inventory_totals'!$C$8:$C$10000,I36,'[1]1_inventory_totals'!$F$8:$F$10000,"="&amp;Q36,'[1]1_inventory_totals'!$G$8:$G$10000,"="&amp;R36)+SUMIFS('[1]1_inventory_totals'!$S$8:$S$10000,'[1]1_inventory_totals'!$C$8:$C$10000,I36,'[1]1_inventory_totals'!$F$8:$F$10000,"="&amp;Q36,'[1]1_inventory_totals'!$G$8:$G$10000,"="&amp;R36)))</f>
        <v/>
      </c>
      <c r="BB36" s="197" t="str">
        <f>IF(M36="","",(SUMIFS('[1]2_inventory_totals'!$I$8:$I$10000,'[1]2_inventory_totals'!$C$8:$C$10000,I36,'[1]2_inventory_totals'!$F$8:$F$10000,"="&amp;Q36,'[1]2_inventory_totals'!$G$8:$G$10000,"="&amp;R36)+SUMIFS('[1]2_inventory_totals'!$N$8:$N$10000,'[1]2_inventory_totals'!$C$8:$C$10000,I36,'[1]2_inventory_totals'!$F$8:$F$10000,"="&amp;Q36,'[1]2_inventory_totals'!$G$8:$G$10000,"="&amp;R36)+SUMIFS('[1]2_inventory_totals'!$P$8:$P$10000,'[1]2_inventory_totals'!$C$8:$C$10000,I36,'[1]2_inventory_totals'!$F$8:$F$10000,"="&amp;Q36,'[1]2_inventory_totals'!$G$8:$G$10000,"="&amp;R36)+SUMIFS('[1]2_inventory_totals'!$Q$8:$Q$10000,'[1]2_inventory_totals'!$C$8:$C$10000,I36,'[1]2_inventory_totals'!$F$8:$F$10000,"="&amp;Q36,'[1]2_inventory_totals'!$G$8:$G$10000,"="&amp;R36)+SUMIFS('[1]2_inventory_totals'!$R$8:$R$10000,'[1]2_inventory_totals'!$C$8:$C$10000,I36,'[1]2_inventory_totals'!$F$8:$F$10000,"="&amp;Q36,'[1]2_inventory_totals'!$G$8:$G$10000,"="&amp;R36))+(SUMIFS('[1]2_inventory_totals'!$J$8:$J$10000,'[1]2_inventory_totals'!$C$8:$C$10000,I36,'[1]2_inventory_totals'!$F$8:$F$10000,"="&amp;Q36,'[1]2_inventory_totals'!$G$8:$G$10000,"="&amp;R36)+SUMIFS('[1]2_inventory_totals'!$K$8:$K$10000,'[1]2_inventory_totals'!$C$8:$C$10000,I36,'[1]2_inventory_totals'!$F$8:$F$10000,"="&amp;Q36,'[1]2_inventory_totals'!$G$8:$G$10000,"="&amp;R36)+SUMIFS('[1]2_inventory_totals'!$L$8:$L$10000,'[1]2_inventory_totals'!$C$8:$C$10000,I36,'[1]2_inventory_totals'!$F$8:$F$10000,"="&amp;Q36,'[1]2_inventory_totals'!$G$8:$G$10000,"="&amp;R36)+SUMIFS('[1]2_inventory_totals'!$M$8:$M$10000,'[1]2_inventory_totals'!$C$8:$C$10000,I36,'[1]2_inventory_totals'!$F$8:$F$10000,"="&amp;Q36,'[1]2_inventory_totals'!$G$8:$G$10000,"="&amp;R36)+SUMIFS('[1]2_inventory_totals'!$O$8:$O$10000,'[1]2_inventory_totals'!$C$8:$C$10000,I36,'[1]2_inventory_totals'!$F$8:$F$10000,"="&amp;Q36,'[1]2_inventory_totals'!$G$8:$G$10000,"="&amp;R36)+SUMIFS('[1]2_inventory_totals'!$S$8:$S$10000,'[1]2_inventory_totals'!$C$8:$C$10000,I36,'[1]2_inventory_totals'!$F$8:$F$10000,"="&amp;Q36,'[1]2_inventory_totals'!$G$8:$G$10000,"="&amp;R36)))</f>
        <v/>
      </c>
    </row>
    <row r="37" spans="1:54" ht="27" hidden="1" customHeight="1">
      <c r="A37" s="923"/>
      <c r="B37" s="1251"/>
      <c r="C37" s="1268"/>
      <c r="D37" s="950"/>
      <c r="E37" s="950"/>
      <c r="F37" s="1262"/>
      <c r="I37" s="1610" t="str">
        <f t="shared" si="7"/>
        <v/>
      </c>
      <c r="J37" s="1611" t="str">
        <f t="shared" si="24"/>
        <v/>
      </c>
      <c r="K37" s="1612" t="str">
        <f t="shared" si="8"/>
        <v/>
      </c>
      <c r="L37" s="1613"/>
      <c r="M37" s="883"/>
      <c r="N37" s="884"/>
      <c r="O37" s="884"/>
      <c r="P37" s="885"/>
      <c r="Q37" s="886"/>
      <c r="R37" s="891"/>
      <c r="S37" s="1614" t="str">
        <f t="shared" si="0"/>
        <v/>
      </c>
      <c r="T37" s="1536"/>
      <c r="U37" s="1864" t="str">
        <f t="shared" si="9"/>
        <v/>
      </c>
      <c r="V37" s="1615" t="str">
        <f t="shared" si="1"/>
        <v/>
      </c>
      <c r="W37" s="889"/>
      <c r="X37" s="1615" t="str">
        <f t="shared" si="2"/>
        <v/>
      </c>
      <c r="Y37" s="1865" t="str">
        <f t="shared" si="10"/>
        <v/>
      </c>
      <c r="Z37" s="890"/>
      <c r="AA37" s="197" t="str" cm="1">
        <f t="array" ref="AA37">IF(M37="","",IF(P37=AN37,1,Slookup(MID(AN37,1,3)*1,UomConversion!$D$8:$J$500,5,UomConversion!$E$8:$E$500,MID(P37,1,3)*1,UomConversion!$J$8:$J$500,1)))</f>
        <v/>
      </c>
      <c r="AB37" s="197" t="str">
        <f t="shared" si="11"/>
        <v/>
      </c>
      <c r="AC37" s="197" t="str">
        <f t="shared" si="12"/>
        <v/>
      </c>
      <c r="AD37" s="197" t="str">
        <f t="shared" si="13"/>
        <v/>
      </c>
      <c r="AE37" s="1866" t="str">
        <f t="shared" si="14"/>
        <v/>
      </c>
      <c r="AF37" s="1866" t="str">
        <f t="shared" si="15"/>
        <v/>
      </c>
      <c r="AG37" s="197" t="str">
        <f t="shared" si="16"/>
        <v/>
      </c>
      <c r="AH37" s="197" t="str">
        <f>IF(I37="","",IF(ISNA(MATCH(I37,IF(invoice_location_id=1,'[1]1_inventory_totals'!$C$8:$C$10000,IF(invoice_location_id=2,'[1]2_inventory_totals'!$C$8:$C$10000,0)),0)),0,IF(AV37&gt;0,1,0)))</f>
        <v/>
      </c>
      <c r="AI37" s="197" t="str">
        <f>IF(M37="","",IF(invoice_location_id=1,SUMIFS('[1]1_inventory_total_details'!$J$8:$J$10000,'[1]1_inventory_total_details'!$C$8:$C$10000,I37,'[1]1_inventory_total_details'!$F$8:$F$10000,invoice_location_id,'[1]1_inventory_total_details'!$G$8:$G$10000,"="&amp;Q37,'[1]1_inventory_total_details'!$H$8:$H$10000,"="&amp;R37,'[1]1_inventory_total_details'!$I$8:$I$10000,"="&amp;invoice_date)+SUMIFS('[1]1_inventory_total_details'!$M$8:$M$10000,'[1]1_inventory_total_details'!$C$8:$C$10000,I37,'[1]1_inventory_total_details'!$F$8:$F$10000,invoice_location_id,'[1]1_inventory_total_details'!$G$8:$G$10000,"="&amp;Q37,'[1]1_inventory_total_details'!$H$8:$H$10000,"="&amp;R37,'[1]1_inventory_total_details'!$I$8:$I$10000,"="&amp;invoice_date)+SUMIFS('[1]1_inventory_total_details'!$K$8:$K$10000,'[1]1_inventory_total_details'!$C$8:$C$10000,I37,'[1]1_inventory_total_details'!$F$8:$F$10000,invoice_location_id,'[1]1_inventory_total_details'!$G$8:$G$10000,"="&amp;Q37,'[1]1_inventory_total_details'!$H$8:$H$10000,"="&amp;R37,'[1]1_inventory_total_details'!$I$8:$I$10000,"="&amp;invoice_date)+SUMIFS('[1]1_inventory_total_details'!$L$8:$L$10000,'[1]1_inventory_total_details'!$C$8:$C$10000,I37,'[1]1_inventory_total_details'!$F$8:$F$10000,invoice_location_id,'[1]1_inventory_total_details'!$G$8:$G$10000,"="&amp;Q37,'[1]1_inventory_total_details'!$H$8:$H$10000,"="&amp;R37,'[1]1_inventory_total_details'!$I$8:$I$10000,"="&amp;invoice_date),SUMIFS('[1]2_inventory_total_details'!$J$8:$J$10000,'[1]2_inventory_total_details'!$C$8:$C$10000,I37,'[1]2_inventory_total_details'!$F$8:$F$10000,invoice_location_id,'[1]2_inventory_total_details'!$G$8:$G$10000,"="&amp;Q37,'[1]2_inventory_total_details'!$H$8:$H$10000,"="&amp;R37,'[1]2_inventory_total_details'!$I$8:$I$10000,"="&amp;invoice_date)+SUMIFS('[1]2_inventory_total_details'!$M$8:$M$10000,'[1]2_inventory_total_details'!$C$8:$C$10000,I37,'[1]2_inventory_total_details'!$F$8:$F$10000,invoice_location_id,'[1]2_inventory_total_details'!$G$8:$G$10000,"="&amp;Q37,'[1]2_inventory_total_details'!$H$8:$H$10000,"="&amp;R37,'[1]2_inventory_total_details'!$I$8:$I$10000,"="&amp;invoice_date)+SUMIFS('[1]2_inventory_total_details'!$K$8:$K$10000,'[1]2_inventory_total_details'!$C$8:$C$10000,I37,'[1]2_inventory_total_details'!$F$8:$F$10000,invoice_location_id,'[1]2_inventory_total_details'!$G$8:$G$10000,"="&amp;Q37,'[1]2_inventory_total_details'!$H$8:$H$10000,"="&amp;R37,'[1]2_inventory_total_details'!$I$8:$I$10000,"="&amp;invoice_date)+SUMIFS('[1]2_inventory_total_details'!$L$8:$L$10000,'[1]2_inventory_total_details'!$C$8:$C$10000,I37,'[1]2_inventory_total_details'!$F$8:$F$10000,invoice_location_id,'[1]2_inventory_total_details'!$G$8:$G$10000,"="&amp;Q37,'[1]2_inventory_total_details'!$H$8:$H$10000,"="&amp;R37,'[1]2_inventory_total_details'!$I$8:$I$10000,"="&amp;invoice_date)))</f>
        <v/>
      </c>
      <c r="AJ37" s="197" t="str">
        <f>IF(M37="","",IF(ISNA(MATCH(I37,'[1]1_group_totals'!$C$8:$C$10000)),0,IF(AW37&gt;0,1,0)))</f>
        <v/>
      </c>
      <c r="AK37" s="197" t="str">
        <f>IF(M37="","",(SUMIFS('[1]1_group_total_details'!$I$8:$I$10000,'[1]1_group_total_details'!$C$8:$C$10000,I37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37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37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37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37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37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37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37,'[1]1_group_total_details'!$F$8:$F$10000,invoice_location_group_id,'[1]1_group_total_details'!$G$8:$G$10000,invoice_location_id,'[1]1_group_total_details'!$H$8:$H$10000,"="&amp;invoice_date)))</f>
        <v/>
      </c>
      <c r="AL37" s="197" t="str">
        <f>IF(M37="","",(SUMIFS('[1]1_group_total_details'!$I$8:$I$10000,'[1]1_group_total_details'!$C$8:$C$10000,I37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37,'[1]1_group_total_details'!$F$8:$F$10000,invoice_location_group_id,'[1]1_group_total_details'!$G$8:$G$10000,1,'[1]1_group_total_details'!$H$8:$H$10000,"&lt;="&amp;invoice_date)+SUMIFS('[1]1_group_total_details'!$N$8:$N$10000,'[1]1_group_total_details'!$C$8:$C$10000,I37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37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37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37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37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37,'[1]1_group_total_details'!$F$8:$F$10000,invoice_location_group_id,'[1]1_group_total_details'!$G$8:$G$10000,invoice_location_id,'[1]1_group_total_details'!$H$8:$H$10000,"&lt;="&amp;invoice_date)))</f>
        <v/>
      </c>
      <c r="AM37" s="197" t="str">
        <f>IF(M37="","",SUMIFS('[1]1_group_totals'!$J$8:$J$10000,'[1]1_group_totals'!$C$8:$C$10000,I37,'[1]1_group_totals'!$F$8:$F$10000,invoice_location_group_id,'[1]1_group_totals'!$G$8:$G$10000,invoice_location_id,'[1]1_group_totals'!$H$8:$H$10000,"="&amp;Q37,'[1]1_group_totals'!$I$8:$I$10000,"="&amp;R37))</f>
        <v/>
      </c>
      <c r="AN37" s="197" t="str">
        <f t="shared" si="17"/>
        <v/>
      </c>
      <c r="AO37" s="197" t="str">
        <f>IF(OR(ISNA(MATCH(MID(AN37,1,3)*1,UomConversion!$D$8:$D$500,0)),M37=""),"",IF(AT37="","",AT37))</f>
        <v/>
      </c>
      <c r="AP37" s="197" t="str">
        <f>IF(AND(AQ37&gt;0,COUNTIFS(UomConversion!$D$8:$D$500,MID(AN37,1,3)*1,UomConversion!$J$8:$J$500,1)&gt;1),TEXT(AQ37,"000")&amp;"."&amp;VLOOKUP(AQ37,uom_list,5,FALSE),"")</f>
        <v/>
      </c>
      <c r="AQ37" s="197" t="str">
        <f t="shared" si="18"/>
        <v/>
      </c>
      <c r="AR37" s="197" t="str">
        <f t="shared" si="19"/>
        <v/>
      </c>
      <c r="AS37" s="1866" t="str">
        <f>IF(M37="","",SUMIFS(ProductPrice!$N$28:$N$10000,ProductPrice!$D$28:$D$10000,I37,ProductPrice!$G$28:$G$10000,invoice_branch_id,ProductPrice!$H$28:$H$10000,invoice_price_type_id,ProductPrice!$I$28:$I$10000,MID(P37,1,3)*1,ProductPrice!$Q$28:$Q$10000,1,ProductPrice!$T$28:$T$10000,1))</f>
        <v/>
      </c>
      <c r="AT37" s="197" t="str">
        <f t="shared" si="20"/>
        <v/>
      </c>
      <c r="AU37" s="197" t="str" cm="1">
        <f t="array" ref="AU37">IF(M37="","",IF(ISNA(Slookup(MID(AN37,1,3)*1,UomConversion!$D$8:$J$500,2,UomConversion!$I$8:$I$500,1,UomConversion!$J$8:$J$500,1)),"",Slookup(MID(AN37,1,3)*1,UomConversion!$D$8:$J$500,2,UomConversion!$I$8:$I$500,1,UomConversion!$J$8:$J$500,1)))</f>
        <v/>
      </c>
      <c r="AV37" s="197" t="str">
        <f t="shared" si="6"/>
        <v/>
      </c>
      <c r="AW37" s="197" t="str">
        <f>IF(M37="","",(SUMIFS('[1]1_group_totals'!$K$8:$K$10000,'[1]1_group_totals'!$C$8:$C$10000,I37,'[1]1_group_totals'!$F$8:$F$10000,invoice_location_group_id,'[1]1_group_totals'!$G$8:$G$10000,invoice_location_id,'[1]1_group_totals'!$H$8:$H$10000,"="&amp;Q37,'[1]1_group_totals'!$I$8:$I$10000,"="&amp;R37)+SUMIFS('[1]1_group_totals'!$N$8:$N$10000,'[1]1_group_totals'!$C$8:$C$10000,I37,'[1]1_group_totals'!$F$8:$F$10000,invoice_location_group_id,'[1]1_group_totals'!$G$8:$G$10000,invoice_location_id,'[1]1_group_totals'!$H$8:$H$10000,"="&amp;Q37,'[1]1_group_totals'!$I$8:$I$10000,"="&amp;R37)+SUMIFS('[1]1_group_totals'!$P$8:$P$10000,'[1]1_group_totals'!$C$8:$C$10000,I37,'[1]1_group_totals'!$F$8:$F$10000,invoice_location_group_id,'[1]1_group_totals'!$G$8:$G$10000,invoice_location_id,'[1]1_group_totals'!$H$8:$H$10000,"="&amp;Q37,'[1]1_group_totals'!$I$8:$I$10000,"="&amp;R37)+SUMIFS('[1]1_group_totals'!$Q$8:$Q$10000,'[1]1_group_totals'!$C$8:$C$10000,I37,'[1]1_group_totals'!$F$8:$F$10000,invoice_location_group_id,'[1]1_group_totals'!$G$8:$G$10000,invoice_location_id,'[1]1_group_totals'!$H$8:$H$10000,"="&amp;Q37,'[1]1_group_totals'!$I$8:$I$10000,"="&amp;R37))+(SUMIFS('[1]1_group_totals'!$L$8:$L$10000,'[1]1_group_totals'!$C$8:$C$10000,I37,'[1]1_group_totals'!$F$8:$F$10000,invoice_location_group_id,'[1]1_group_totals'!$G$8:$G$10000,invoice_location_id,'[1]1_group_totals'!$H$8:$H$10000,"="&amp;Q37,'[1]1_group_totals'!$I$8:$I$10000,"="&amp;R37)+SUMIFS('[1]1_group_totals'!$M$8:$M$10000,'[1]1_group_totals'!$C$8:$C$10000,I37,'[1]1_group_totals'!$F$8:$F$10000,invoice_location_group_id,'[1]1_group_totals'!$G$8:$G$10000,invoice_location_id,'[1]1_group_totals'!$H$8:$H$10000,"="&amp;Q37,'[1]1_group_totals'!$I$8:$I$10000,"="&amp;R37)+SUMIFS('[1]1_group_totals'!$O$8:$O$10000,'[1]1_group_totals'!$C$8:$C$10000,I37,'[1]1_group_totals'!$F$8:$F$10000,invoice_location_group_id,'[1]1_group_totals'!$G$8:$G$10000,invoice_location_id,'[1]1_group_totals'!$H$8:$H$10000,"="&amp;Q37,'[1]1_group_totals'!$I$8:$I$10000,"="&amp;R37)+SUMIFS('[1]1_group_totals'!$R$8:$R$10000,'[1]1_group_totals'!$C$8:$C$10000,I37,'[1]1_group_totals'!$F$8:$F$10000,invoice_location_group_id,'[1]1_group_totals'!$G$8:$G$10000,invoice_location_id,'[1]1_group_totals'!$H$8:$H$10000,"="&amp;Q37,'[1]1_group_totals'!$I$8:$I$10000,"="&amp;R37)))</f>
        <v/>
      </c>
      <c r="AX37" s="197" t="str">
        <f t="shared" si="21"/>
        <v/>
      </c>
      <c r="AY37" s="197" t="str">
        <f>IF(M37="","",SUMIFS($AX$8:AX37,$I$8:I37,I37))</f>
        <v/>
      </c>
      <c r="AZ37" s="197" t="str">
        <f t="shared" si="22"/>
        <v/>
      </c>
      <c r="BA37" s="197" t="str">
        <f>IF(M37="","",(SUMIFS('[1]1_inventory_totals'!$I$8:$I$10000,'[1]1_inventory_totals'!$C$8:$C$10000,I37,'[1]1_inventory_totals'!$F$8:$F$10000,"="&amp;Q37,'[1]1_inventory_totals'!$G$8:$G$10000,"="&amp;R37)+SUMIFS('[1]1_inventory_totals'!$N$8:$N$10000,'[1]1_inventory_totals'!$C$8:$C$10000,I37,'[1]1_inventory_totals'!$F$8:$F$10000,"="&amp;Q37,'[1]1_inventory_totals'!$G$8:$G$10000,"="&amp;R37)+SUMIFS('[1]1_inventory_totals'!$P$8:$P$10000,'[1]1_inventory_totals'!$C$8:$C$10000,I37,'[1]1_inventory_totals'!$F$8:$F$10000,"="&amp;Q37,'[1]1_inventory_totals'!$G$8:$G$10000,"="&amp;R37)+SUMIFS('[1]1_inventory_totals'!$Q$8:$Q$10000,'[1]1_inventory_totals'!$C$8:$C$10000,I37,'[1]1_inventory_totals'!$F$8:$F$10000,"="&amp;Q37,'[1]1_inventory_totals'!$G$8:$G$10000,"="&amp;R37)+SUMIFS('[1]1_inventory_totals'!$R$8:$R$10000,'[1]1_inventory_totals'!$C$8:$C$10000,I37,'[1]1_inventory_totals'!$F$8:$F$10000,"="&amp;Q37,'[1]1_inventory_totals'!$G$8:$G$10000,"="&amp;R37))+(SUMIFS('[1]1_inventory_totals'!$J$8:$J$10000,'[1]1_inventory_totals'!$C$8:$C$10000,I37,'[1]1_inventory_totals'!$F$8:$F$10000,"="&amp;Q37,'[1]1_inventory_totals'!$G$8:$G$10000,"="&amp;R37)+SUMIFS('[1]1_inventory_totals'!$K$8:$K$10000,'[1]1_inventory_totals'!$C$8:$C$10000,I37,'[1]1_inventory_totals'!$F$8:$F$10000,"="&amp;Q37,'[1]1_inventory_totals'!$G$8:$G$10000,"="&amp;R37)+SUMIFS('[1]1_inventory_totals'!$L$8:$L$10000,'[1]1_inventory_totals'!$C$8:$C$10000,I37,'[1]1_inventory_totals'!$F$8:$F$10000,"="&amp;Q37,'[1]1_inventory_totals'!$G$8:$G$10000,"="&amp;R37)+SUMIFS('[1]1_inventory_totals'!$M$8:$M$10000,'[1]1_inventory_totals'!$C$8:$C$10000,I37,'[1]1_inventory_totals'!$F$8:$F$10000,"="&amp;Q37,'[1]1_inventory_totals'!$G$8:$G$10000,"="&amp;R37)+SUMIFS('[1]1_inventory_totals'!$O$8:$O$10000,'[1]1_inventory_totals'!$C$8:$C$10000,I37,'[1]1_inventory_totals'!$F$8:$F$10000,"="&amp;Q37,'[1]1_inventory_totals'!$G$8:$G$10000,"="&amp;R37)+SUMIFS('[1]1_inventory_totals'!$S$8:$S$10000,'[1]1_inventory_totals'!$C$8:$C$10000,I37,'[1]1_inventory_totals'!$F$8:$F$10000,"="&amp;Q37,'[1]1_inventory_totals'!$G$8:$G$10000,"="&amp;R37)))</f>
        <v/>
      </c>
      <c r="BB37" s="197" t="str">
        <f>IF(M37="","",(SUMIFS('[1]2_inventory_totals'!$I$8:$I$10000,'[1]2_inventory_totals'!$C$8:$C$10000,I37,'[1]2_inventory_totals'!$F$8:$F$10000,"="&amp;Q37,'[1]2_inventory_totals'!$G$8:$G$10000,"="&amp;R37)+SUMIFS('[1]2_inventory_totals'!$N$8:$N$10000,'[1]2_inventory_totals'!$C$8:$C$10000,I37,'[1]2_inventory_totals'!$F$8:$F$10000,"="&amp;Q37,'[1]2_inventory_totals'!$G$8:$G$10000,"="&amp;R37)+SUMIFS('[1]2_inventory_totals'!$P$8:$P$10000,'[1]2_inventory_totals'!$C$8:$C$10000,I37,'[1]2_inventory_totals'!$F$8:$F$10000,"="&amp;Q37,'[1]2_inventory_totals'!$G$8:$G$10000,"="&amp;R37)+SUMIFS('[1]2_inventory_totals'!$Q$8:$Q$10000,'[1]2_inventory_totals'!$C$8:$C$10000,I37,'[1]2_inventory_totals'!$F$8:$F$10000,"="&amp;Q37,'[1]2_inventory_totals'!$G$8:$G$10000,"="&amp;R37)+SUMIFS('[1]2_inventory_totals'!$R$8:$R$10000,'[1]2_inventory_totals'!$C$8:$C$10000,I37,'[1]2_inventory_totals'!$F$8:$F$10000,"="&amp;Q37,'[1]2_inventory_totals'!$G$8:$G$10000,"="&amp;R37))+(SUMIFS('[1]2_inventory_totals'!$J$8:$J$10000,'[1]2_inventory_totals'!$C$8:$C$10000,I37,'[1]2_inventory_totals'!$F$8:$F$10000,"="&amp;Q37,'[1]2_inventory_totals'!$G$8:$G$10000,"="&amp;R37)+SUMIFS('[1]2_inventory_totals'!$K$8:$K$10000,'[1]2_inventory_totals'!$C$8:$C$10000,I37,'[1]2_inventory_totals'!$F$8:$F$10000,"="&amp;Q37,'[1]2_inventory_totals'!$G$8:$G$10000,"="&amp;R37)+SUMIFS('[1]2_inventory_totals'!$L$8:$L$10000,'[1]2_inventory_totals'!$C$8:$C$10000,I37,'[1]2_inventory_totals'!$F$8:$F$10000,"="&amp;Q37,'[1]2_inventory_totals'!$G$8:$G$10000,"="&amp;R37)+SUMIFS('[1]2_inventory_totals'!$M$8:$M$10000,'[1]2_inventory_totals'!$C$8:$C$10000,I37,'[1]2_inventory_totals'!$F$8:$F$10000,"="&amp;Q37,'[1]2_inventory_totals'!$G$8:$G$10000,"="&amp;R37)+SUMIFS('[1]2_inventory_totals'!$O$8:$O$10000,'[1]2_inventory_totals'!$C$8:$C$10000,I37,'[1]2_inventory_totals'!$F$8:$F$10000,"="&amp;Q37,'[1]2_inventory_totals'!$G$8:$G$10000,"="&amp;R37)+SUMIFS('[1]2_inventory_totals'!$S$8:$S$10000,'[1]2_inventory_totals'!$C$8:$C$10000,I37,'[1]2_inventory_totals'!$F$8:$F$10000,"="&amp;Q37,'[1]2_inventory_totals'!$G$8:$G$10000,"="&amp;R37)))</f>
        <v/>
      </c>
    </row>
    <row r="38" spans="1:54" ht="27" hidden="1" customHeight="1">
      <c r="A38" s="923"/>
      <c r="B38" s="1251"/>
      <c r="C38" s="1268"/>
      <c r="D38" s="950"/>
      <c r="E38" s="950"/>
      <c r="F38" s="1262"/>
      <c r="I38" s="1610" t="str">
        <f t="shared" si="7"/>
        <v/>
      </c>
      <c r="J38" s="1611" t="str">
        <f t="shared" si="24"/>
        <v/>
      </c>
      <c r="K38" s="1612" t="str">
        <f t="shared" si="8"/>
        <v/>
      </c>
      <c r="L38" s="1613"/>
      <c r="M38" s="883"/>
      <c r="N38" s="884"/>
      <c r="O38" s="884"/>
      <c r="P38" s="885"/>
      <c r="Q38" s="886"/>
      <c r="R38" s="891"/>
      <c r="S38" s="1614" t="str">
        <f t="shared" si="0"/>
        <v/>
      </c>
      <c r="T38" s="1536"/>
      <c r="U38" s="1864" t="str">
        <f t="shared" si="9"/>
        <v/>
      </c>
      <c r="V38" s="1615" t="str">
        <f t="shared" si="1"/>
        <v/>
      </c>
      <c r="W38" s="889"/>
      <c r="X38" s="1615" t="str">
        <f t="shared" si="2"/>
        <v/>
      </c>
      <c r="Y38" s="1865" t="str">
        <f t="shared" si="10"/>
        <v/>
      </c>
      <c r="Z38" s="890"/>
      <c r="AA38" s="197" t="str" cm="1">
        <f t="array" ref="AA38">IF(M38="","",IF(P38=AN38,1,Slookup(MID(AN38,1,3)*1,UomConversion!$D$8:$J$500,5,UomConversion!$E$8:$E$500,MID(P38,1,3)*1,UomConversion!$J$8:$J$500,1)))</f>
        <v/>
      </c>
      <c r="AB38" s="197" t="str">
        <f t="shared" si="11"/>
        <v/>
      </c>
      <c r="AC38" s="197" t="str">
        <f t="shared" si="12"/>
        <v/>
      </c>
      <c r="AD38" s="197" t="str">
        <f t="shared" si="13"/>
        <v/>
      </c>
      <c r="AE38" s="1866" t="str">
        <f t="shared" si="14"/>
        <v/>
      </c>
      <c r="AF38" s="1866" t="str">
        <f t="shared" si="15"/>
        <v/>
      </c>
      <c r="AG38" s="197" t="str">
        <f t="shared" si="16"/>
        <v/>
      </c>
      <c r="AH38" s="197" t="str">
        <f>IF(I38="","",IF(ISNA(MATCH(I38,IF(invoice_location_id=1,'[1]1_inventory_totals'!$C$8:$C$10000,IF(invoice_location_id=2,'[1]2_inventory_totals'!$C$8:$C$10000,0)),0)),0,IF(AV38&gt;0,1,0)))</f>
        <v/>
      </c>
      <c r="AI38" s="197" t="str">
        <f>IF(M38="","",IF(invoice_location_id=1,SUMIFS('[1]1_inventory_total_details'!$J$8:$J$10000,'[1]1_inventory_total_details'!$C$8:$C$10000,I38,'[1]1_inventory_total_details'!$F$8:$F$10000,invoice_location_id,'[1]1_inventory_total_details'!$G$8:$G$10000,"="&amp;Q38,'[1]1_inventory_total_details'!$H$8:$H$10000,"="&amp;R38,'[1]1_inventory_total_details'!$I$8:$I$10000,"="&amp;invoice_date)+SUMIFS('[1]1_inventory_total_details'!$M$8:$M$10000,'[1]1_inventory_total_details'!$C$8:$C$10000,I38,'[1]1_inventory_total_details'!$F$8:$F$10000,invoice_location_id,'[1]1_inventory_total_details'!$G$8:$G$10000,"="&amp;Q38,'[1]1_inventory_total_details'!$H$8:$H$10000,"="&amp;R38,'[1]1_inventory_total_details'!$I$8:$I$10000,"="&amp;invoice_date)+SUMIFS('[1]1_inventory_total_details'!$K$8:$K$10000,'[1]1_inventory_total_details'!$C$8:$C$10000,I38,'[1]1_inventory_total_details'!$F$8:$F$10000,invoice_location_id,'[1]1_inventory_total_details'!$G$8:$G$10000,"="&amp;Q38,'[1]1_inventory_total_details'!$H$8:$H$10000,"="&amp;R38,'[1]1_inventory_total_details'!$I$8:$I$10000,"="&amp;invoice_date)+SUMIFS('[1]1_inventory_total_details'!$L$8:$L$10000,'[1]1_inventory_total_details'!$C$8:$C$10000,I38,'[1]1_inventory_total_details'!$F$8:$F$10000,invoice_location_id,'[1]1_inventory_total_details'!$G$8:$G$10000,"="&amp;Q38,'[1]1_inventory_total_details'!$H$8:$H$10000,"="&amp;R38,'[1]1_inventory_total_details'!$I$8:$I$10000,"="&amp;invoice_date),SUMIFS('[1]2_inventory_total_details'!$J$8:$J$10000,'[1]2_inventory_total_details'!$C$8:$C$10000,I38,'[1]2_inventory_total_details'!$F$8:$F$10000,invoice_location_id,'[1]2_inventory_total_details'!$G$8:$G$10000,"="&amp;Q38,'[1]2_inventory_total_details'!$H$8:$H$10000,"="&amp;R38,'[1]2_inventory_total_details'!$I$8:$I$10000,"="&amp;invoice_date)+SUMIFS('[1]2_inventory_total_details'!$M$8:$M$10000,'[1]2_inventory_total_details'!$C$8:$C$10000,I38,'[1]2_inventory_total_details'!$F$8:$F$10000,invoice_location_id,'[1]2_inventory_total_details'!$G$8:$G$10000,"="&amp;Q38,'[1]2_inventory_total_details'!$H$8:$H$10000,"="&amp;R38,'[1]2_inventory_total_details'!$I$8:$I$10000,"="&amp;invoice_date)+SUMIFS('[1]2_inventory_total_details'!$K$8:$K$10000,'[1]2_inventory_total_details'!$C$8:$C$10000,I38,'[1]2_inventory_total_details'!$F$8:$F$10000,invoice_location_id,'[1]2_inventory_total_details'!$G$8:$G$10000,"="&amp;Q38,'[1]2_inventory_total_details'!$H$8:$H$10000,"="&amp;R38,'[1]2_inventory_total_details'!$I$8:$I$10000,"="&amp;invoice_date)+SUMIFS('[1]2_inventory_total_details'!$L$8:$L$10000,'[1]2_inventory_total_details'!$C$8:$C$10000,I38,'[1]2_inventory_total_details'!$F$8:$F$10000,invoice_location_id,'[1]2_inventory_total_details'!$G$8:$G$10000,"="&amp;Q38,'[1]2_inventory_total_details'!$H$8:$H$10000,"="&amp;R38,'[1]2_inventory_total_details'!$I$8:$I$10000,"="&amp;invoice_date)))</f>
        <v/>
      </c>
      <c r="AJ38" s="197" t="str">
        <f>IF(M38="","",IF(ISNA(MATCH(I38,'[1]1_group_totals'!$C$8:$C$10000)),0,IF(AW38&gt;0,1,0)))</f>
        <v/>
      </c>
      <c r="AK38" s="197" t="str">
        <f>IF(M38="","",(SUMIFS('[1]1_group_total_details'!$I$8:$I$10000,'[1]1_group_total_details'!$C$8:$C$10000,I38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38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38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38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38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38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38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38,'[1]1_group_total_details'!$F$8:$F$10000,invoice_location_group_id,'[1]1_group_total_details'!$G$8:$G$10000,invoice_location_id,'[1]1_group_total_details'!$H$8:$H$10000,"="&amp;invoice_date)))</f>
        <v/>
      </c>
      <c r="AL38" s="197" t="str">
        <f>IF(M38="","",(SUMIFS('[1]1_group_total_details'!$I$8:$I$10000,'[1]1_group_total_details'!$C$8:$C$10000,I38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38,'[1]1_group_total_details'!$F$8:$F$10000,invoice_location_group_id,'[1]1_group_total_details'!$G$8:$G$10000,1,'[1]1_group_total_details'!$H$8:$H$10000,"&lt;="&amp;invoice_date)+SUMIFS('[1]1_group_total_details'!$N$8:$N$10000,'[1]1_group_total_details'!$C$8:$C$10000,I38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38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38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38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38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38,'[1]1_group_total_details'!$F$8:$F$10000,invoice_location_group_id,'[1]1_group_total_details'!$G$8:$G$10000,invoice_location_id,'[1]1_group_total_details'!$H$8:$H$10000,"&lt;="&amp;invoice_date)))</f>
        <v/>
      </c>
      <c r="AM38" s="197" t="str">
        <f>IF(M38="","",SUMIFS('[1]1_group_totals'!$J$8:$J$10000,'[1]1_group_totals'!$C$8:$C$10000,I38,'[1]1_group_totals'!$F$8:$F$10000,invoice_location_group_id,'[1]1_group_totals'!$G$8:$G$10000,invoice_location_id,'[1]1_group_totals'!$H$8:$H$10000,"="&amp;Q38,'[1]1_group_totals'!$I$8:$I$10000,"="&amp;R38))</f>
        <v/>
      </c>
      <c r="AN38" s="197" t="str">
        <f t="shared" si="17"/>
        <v/>
      </c>
      <c r="AO38" s="197" t="str">
        <f>IF(OR(ISNA(MATCH(MID(AN38,1,3)*1,UomConversion!$D$8:$D$500,0)),M38=""),"",IF(AT38="","",AT38))</f>
        <v/>
      </c>
      <c r="AP38" s="197" t="str">
        <f>IF(AND(AQ38&gt;0,COUNTIFS(UomConversion!$D$8:$D$500,MID(AN38,1,3)*1,UomConversion!$J$8:$J$500,1)&gt;1),TEXT(AQ38,"000")&amp;"."&amp;VLOOKUP(AQ38,uom_list,5,FALSE),"")</f>
        <v/>
      </c>
      <c r="AQ38" s="197" t="str">
        <f t="shared" si="18"/>
        <v/>
      </c>
      <c r="AR38" s="197" t="str">
        <f t="shared" si="19"/>
        <v/>
      </c>
      <c r="AS38" s="1866" t="str">
        <f>IF(M38="","",SUMIFS(ProductPrice!$N$28:$N$10000,ProductPrice!$D$28:$D$10000,I38,ProductPrice!$G$28:$G$10000,invoice_branch_id,ProductPrice!$H$28:$H$10000,invoice_price_type_id,ProductPrice!$I$28:$I$10000,MID(P38,1,3)*1,ProductPrice!$Q$28:$Q$10000,1,ProductPrice!$T$28:$T$10000,1))</f>
        <v/>
      </c>
      <c r="AT38" s="197" t="str">
        <f t="shared" si="20"/>
        <v/>
      </c>
      <c r="AU38" s="197" t="str" cm="1">
        <f t="array" ref="AU38">IF(M38="","",IF(ISNA(Slookup(MID(AN38,1,3)*1,UomConversion!$D$8:$J$500,2,UomConversion!$I$8:$I$500,1,UomConversion!$J$8:$J$500,1)),"",Slookup(MID(AN38,1,3)*1,UomConversion!$D$8:$J$500,2,UomConversion!$I$8:$I$500,1,UomConversion!$J$8:$J$500,1)))</f>
        <v/>
      </c>
      <c r="AV38" s="197" t="str">
        <f t="shared" si="6"/>
        <v/>
      </c>
      <c r="AW38" s="197" t="str">
        <f>IF(M38="","",(SUMIFS('[1]1_group_totals'!$K$8:$K$10000,'[1]1_group_totals'!$C$8:$C$10000,I38,'[1]1_group_totals'!$F$8:$F$10000,invoice_location_group_id,'[1]1_group_totals'!$G$8:$G$10000,invoice_location_id,'[1]1_group_totals'!$H$8:$H$10000,"="&amp;Q38,'[1]1_group_totals'!$I$8:$I$10000,"="&amp;R38)+SUMIFS('[1]1_group_totals'!$N$8:$N$10000,'[1]1_group_totals'!$C$8:$C$10000,I38,'[1]1_group_totals'!$F$8:$F$10000,invoice_location_group_id,'[1]1_group_totals'!$G$8:$G$10000,invoice_location_id,'[1]1_group_totals'!$H$8:$H$10000,"="&amp;Q38,'[1]1_group_totals'!$I$8:$I$10000,"="&amp;R38)+SUMIFS('[1]1_group_totals'!$P$8:$P$10000,'[1]1_group_totals'!$C$8:$C$10000,I38,'[1]1_group_totals'!$F$8:$F$10000,invoice_location_group_id,'[1]1_group_totals'!$G$8:$G$10000,invoice_location_id,'[1]1_group_totals'!$H$8:$H$10000,"="&amp;Q38,'[1]1_group_totals'!$I$8:$I$10000,"="&amp;R38)+SUMIFS('[1]1_group_totals'!$Q$8:$Q$10000,'[1]1_group_totals'!$C$8:$C$10000,I38,'[1]1_group_totals'!$F$8:$F$10000,invoice_location_group_id,'[1]1_group_totals'!$G$8:$G$10000,invoice_location_id,'[1]1_group_totals'!$H$8:$H$10000,"="&amp;Q38,'[1]1_group_totals'!$I$8:$I$10000,"="&amp;R38))+(SUMIFS('[1]1_group_totals'!$L$8:$L$10000,'[1]1_group_totals'!$C$8:$C$10000,I38,'[1]1_group_totals'!$F$8:$F$10000,invoice_location_group_id,'[1]1_group_totals'!$G$8:$G$10000,invoice_location_id,'[1]1_group_totals'!$H$8:$H$10000,"="&amp;Q38,'[1]1_group_totals'!$I$8:$I$10000,"="&amp;R38)+SUMIFS('[1]1_group_totals'!$M$8:$M$10000,'[1]1_group_totals'!$C$8:$C$10000,I38,'[1]1_group_totals'!$F$8:$F$10000,invoice_location_group_id,'[1]1_group_totals'!$G$8:$G$10000,invoice_location_id,'[1]1_group_totals'!$H$8:$H$10000,"="&amp;Q38,'[1]1_group_totals'!$I$8:$I$10000,"="&amp;R38)+SUMIFS('[1]1_group_totals'!$O$8:$O$10000,'[1]1_group_totals'!$C$8:$C$10000,I38,'[1]1_group_totals'!$F$8:$F$10000,invoice_location_group_id,'[1]1_group_totals'!$G$8:$G$10000,invoice_location_id,'[1]1_group_totals'!$H$8:$H$10000,"="&amp;Q38,'[1]1_group_totals'!$I$8:$I$10000,"="&amp;R38)+SUMIFS('[1]1_group_totals'!$R$8:$R$10000,'[1]1_group_totals'!$C$8:$C$10000,I38,'[1]1_group_totals'!$F$8:$F$10000,invoice_location_group_id,'[1]1_group_totals'!$G$8:$G$10000,invoice_location_id,'[1]1_group_totals'!$H$8:$H$10000,"="&amp;Q38,'[1]1_group_totals'!$I$8:$I$10000,"="&amp;R38)))</f>
        <v/>
      </c>
      <c r="AX38" s="197" t="str">
        <f t="shared" si="21"/>
        <v/>
      </c>
      <c r="AY38" s="197" t="str">
        <f>IF(M38="","",SUMIFS($AX$8:AX38,$I$8:I38,I38))</f>
        <v/>
      </c>
      <c r="AZ38" s="197" t="str">
        <f t="shared" si="22"/>
        <v/>
      </c>
      <c r="BA38" s="197" t="str">
        <f>IF(M38="","",(SUMIFS('[1]1_inventory_totals'!$I$8:$I$10000,'[1]1_inventory_totals'!$C$8:$C$10000,I38,'[1]1_inventory_totals'!$F$8:$F$10000,"="&amp;Q38,'[1]1_inventory_totals'!$G$8:$G$10000,"="&amp;R38)+SUMIFS('[1]1_inventory_totals'!$N$8:$N$10000,'[1]1_inventory_totals'!$C$8:$C$10000,I38,'[1]1_inventory_totals'!$F$8:$F$10000,"="&amp;Q38,'[1]1_inventory_totals'!$G$8:$G$10000,"="&amp;R38)+SUMIFS('[1]1_inventory_totals'!$P$8:$P$10000,'[1]1_inventory_totals'!$C$8:$C$10000,I38,'[1]1_inventory_totals'!$F$8:$F$10000,"="&amp;Q38,'[1]1_inventory_totals'!$G$8:$G$10000,"="&amp;R38)+SUMIFS('[1]1_inventory_totals'!$Q$8:$Q$10000,'[1]1_inventory_totals'!$C$8:$C$10000,I38,'[1]1_inventory_totals'!$F$8:$F$10000,"="&amp;Q38,'[1]1_inventory_totals'!$G$8:$G$10000,"="&amp;R38)+SUMIFS('[1]1_inventory_totals'!$R$8:$R$10000,'[1]1_inventory_totals'!$C$8:$C$10000,I38,'[1]1_inventory_totals'!$F$8:$F$10000,"="&amp;Q38,'[1]1_inventory_totals'!$G$8:$G$10000,"="&amp;R38))+(SUMIFS('[1]1_inventory_totals'!$J$8:$J$10000,'[1]1_inventory_totals'!$C$8:$C$10000,I38,'[1]1_inventory_totals'!$F$8:$F$10000,"="&amp;Q38,'[1]1_inventory_totals'!$G$8:$G$10000,"="&amp;R38)+SUMIFS('[1]1_inventory_totals'!$K$8:$K$10000,'[1]1_inventory_totals'!$C$8:$C$10000,I38,'[1]1_inventory_totals'!$F$8:$F$10000,"="&amp;Q38,'[1]1_inventory_totals'!$G$8:$G$10000,"="&amp;R38)+SUMIFS('[1]1_inventory_totals'!$L$8:$L$10000,'[1]1_inventory_totals'!$C$8:$C$10000,I38,'[1]1_inventory_totals'!$F$8:$F$10000,"="&amp;Q38,'[1]1_inventory_totals'!$G$8:$G$10000,"="&amp;R38)+SUMIFS('[1]1_inventory_totals'!$M$8:$M$10000,'[1]1_inventory_totals'!$C$8:$C$10000,I38,'[1]1_inventory_totals'!$F$8:$F$10000,"="&amp;Q38,'[1]1_inventory_totals'!$G$8:$G$10000,"="&amp;R38)+SUMIFS('[1]1_inventory_totals'!$O$8:$O$10000,'[1]1_inventory_totals'!$C$8:$C$10000,I38,'[1]1_inventory_totals'!$F$8:$F$10000,"="&amp;Q38,'[1]1_inventory_totals'!$G$8:$G$10000,"="&amp;R38)+SUMIFS('[1]1_inventory_totals'!$S$8:$S$10000,'[1]1_inventory_totals'!$C$8:$C$10000,I38,'[1]1_inventory_totals'!$F$8:$F$10000,"="&amp;Q38,'[1]1_inventory_totals'!$G$8:$G$10000,"="&amp;R38)))</f>
        <v/>
      </c>
      <c r="BB38" s="197" t="str">
        <f>IF(M38="","",(SUMIFS('[1]2_inventory_totals'!$I$8:$I$10000,'[1]2_inventory_totals'!$C$8:$C$10000,I38,'[1]2_inventory_totals'!$F$8:$F$10000,"="&amp;Q38,'[1]2_inventory_totals'!$G$8:$G$10000,"="&amp;R38)+SUMIFS('[1]2_inventory_totals'!$N$8:$N$10000,'[1]2_inventory_totals'!$C$8:$C$10000,I38,'[1]2_inventory_totals'!$F$8:$F$10000,"="&amp;Q38,'[1]2_inventory_totals'!$G$8:$G$10000,"="&amp;R38)+SUMIFS('[1]2_inventory_totals'!$P$8:$P$10000,'[1]2_inventory_totals'!$C$8:$C$10000,I38,'[1]2_inventory_totals'!$F$8:$F$10000,"="&amp;Q38,'[1]2_inventory_totals'!$G$8:$G$10000,"="&amp;R38)+SUMIFS('[1]2_inventory_totals'!$Q$8:$Q$10000,'[1]2_inventory_totals'!$C$8:$C$10000,I38,'[1]2_inventory_totals'!$F$8:$F$10000,"="&amp;Q38,'[1]2_inventory_totals'!$G$8:$G$10000,"="&amp;R38)+SUMIFS('[1]2_inventory_totals'!$R$8:$R$10000,'[1]2_inventory_totals'!$C$8:$C$10000,I38,'[1]2_inventory_totals'!$F$8:$F$10000,"="&amp;Q38,'[1]2_inventory_totals'!$G$8:$G$10000,"="&amp;R38))+(SUMIFS('[1]2_inventory_totals'!$J$8:$J$10000,'[1]2_inventory_totals'!$C$8:$C$10000,I38,'[1]2_inventory_totals'!$F$8:$F$10000,"="&amp;Q38,'[1]2_inventory_totals'!$G$8:$G$10000,"="&amp;R38)+SUMIFS('[1]2_inventory_totals'!$K$8:$K$10000,'[1]2_inventory_totals'!$C$8:$C$10000,I38,'[1]2_inventory_totals'!$F$8:$F$10000,"="&amp;Q38,'[1]2_inventory_totals'!$G$8:$G$10000,"="&amp;R38)+SUMIFS('[1]2_inventory_totals'!$L$8:$L$10000,'[1]2_inventory_totals'!$C$8:$C$10000,I38,'[1]2_inventory_totals'!$F$8:$F$10000,"="&amp;Q38,'[1]2_inventory_totals'!$G$8:$G$10000,"="&amp;R38)+SUMIFS('[1]2_inventory_totals'!$M$8:$M$10000,'[1]2_inventory_totals'!$C$8:$C$10000,I38,'[1]2_inventory_totals'!$F$8:$F$10000,"="&amp;Q38,'[1]2_inventory_totals'!$G$8:$G$10000,"="&amp;R38)+SUMIFS('[1]2_inventory_totals'!$O$8:$O$10000,'[1]2_inventory_totals'!$C$8:$C$10000,I38,'[1]2_inventory_totals'!$F$8:$F$10000,"="&amp;Q38,'[1]2_inventory_totals'!$G$8:$G$10000,"="&amp;R38)+SUMIFS('[1]2_inventory_totals'!$S$8:$S$10000,'[1]2_inventory_totals'!$C$8:$C$10000,I38,'[1]2_inventory_totals'!$F$8:$F$10000,"="&amp;Q38,'[1]2_inventory_totals'!$G$8:$G$10000,"="&amp;R38)))</f>
        <v/>
      </c>
    </row>
    <row r="39" spans="1:54" ht="27" hidden="1" customHeight="1">
      <c r="A39" s="923"/>
      <c r="B39" s="1251"/>
      <c r="C39" s="1268"/>
      <c r="D39" s="950"/>
      <c r="E39" s="950"/>
      <c r="F39" s="1262"/>
      <c r="I39" s="1610" t="str">
        <f t="shared" si="7"/>
        <v/>
      </c>
      <c r="J39" s="1611" t="str">
        <f t="shared" si="24"/>
        <v/>
      </c>
      <c r="K39" s="1612" t="str">
        <f t="shared" si="8"/>
        <v/>
      </c>
      <c r="L39" s="1613"/>
      <c r="M39" s="883"/>
      <c r="N39" s="884"/>
      <c r="O39" s="884"/>
      <c r="P39" s="885"/>
      <c r="Q39" s="886"/>
      <c r="R39" s="891"/>
      <c r="S39" s="1614" t="str">
        <f t="shared" si="0"/>
        <v/>
      </c>
      <c r="T39" s="1536"/>
      <c r="U39" s="1864" t="str">
        <f t="shared" si="9"/>
        <v/>
      </c>
      <c r="V39" s="1615" t="str">
        <f t="shared" si="1"/>
        <v/>
      </c>
      <c r="W39" s="889"/>
      <c r="X39" s="1615" t="str">
        <f t="shared" si="2"/>
        <v/>
      </c>
      <c r="Y39" s="1865" t="str">
        <f t="shared" si="10"/>
        <v/>
      </c>
      <c r="Z39" s="890"/>
      <c r="AA39" s="197" t="str" cm="1">
        <f t="array" ref="AA39">IF(M39="","",IF(P39=AN39,1,Slookup(MID(AN39,1,3)*1,UomConversion!$D$8:$J$500,5,UomConversion!$E$8:$E$500,MID(P39,1,3)*1,UomConversion!$J$8:$J$500,1)))</f>
        <v/>
      </c>
      <c r="AB39" s="197" t="str">
        <f t="shared" si="11"/>
        <v/>
      </c>
      <c r="AC39" s="197" t="str">
        <f t="shared" si="12"/>
        <v/>
      </c>
      <c r="AD39" s="197" t="str">
        <f t="shared" si="13"/>
        <v/>
      </c>
      <c r="AE39" s="1866" t="str">
        <f t="shared" si="14"/>
        <v/>
      </c>
      <c r="AF39" s="1866" t="str">
        <f t="shared" si="15"/>
        <v/>
      </c>
      <c r="AG39" s="197" t="str">
        <f t="shared" si="16"/>
        <v/>
      </c>
      <c r="AH39" s="197" t="str">
        <f>IF(I39="","",IF(ISNA(MATCH(I39,IF(invoice_location_id=1,'[1]1_inventory_totals'!$C$8:$C$10000,IF(invoice_location_id=2,'[1]2_inventory_totals'!$C$8:$C$10000,0)),0)),0,IF(AV39&gt;0,1,0)))</f>
        <v/>
      </c>
      <c r="AI39" s="197" t="str">
        <f>IF(M39="","",IF(invoice_location_id=1,SUMIFS('[1]1_inventory_total_details'!$J$8:$J$10000,'[1]1_inventory_total_details'!$C$8:$C$10000,I39,'[1]1_inventory_total_details'!$F$8:$F$10000,invoice_location_id,'[1]1_inventory_total_details'!$G$8:$G$10000,"="&amp;Q39,'[1]1_inventory_total_details'!$H$8:$H$10000,"="&amp;R39,'[1]1_inventory_total_details'!$I$8:$I$10000,"="&amp;invoice_date)+SUMIFS('[1]1_inventory_total_details'!$M$8:$M$10000,'[1]1_inventory_total_details'!$C$8:$C$10000,I39,'[1]1_inventory_total_details'!$F$8:$F$10000,invoice_location_id,'[1]1_inventory_total_details'!$G$8:$G$10000,"="&amp;Q39,'[1]1_inventory_total_details'!$H$8:$H$10000,"="&amp;R39,'[1]1_inventory_total_details'!$I$8:$I$10000,"="&amp;invoice_date)+SUMIFS('[1]1_inventory_total_details'!$K$8:$K$10000,'[1]1_inventory_total_details'!$C$8:$C$10000,I39,'[1]1_inventory_total_details'!$F$8:$F$10000,invoice_location_id,'[1]1_inventory_total_details'!$G$8:$G$10000,"="&amp;Q39,'[1]1_inventory_total_details'!$H$8:$H$10000,"="&amp;R39,'[1]1_inventory_total_details'!$I$8:$I$10000,"="&amp;invoice_date)+SUMIFS('[1]1_inventory_total_details'!$L$8:$L$10000,'[1]1_inventory_total_details'!$C$8:$C$10000,I39,'[1]1_inventory_total_details'!$F$8:$F$10000,invoice_location_id,'[1]1_inventory_total_details'!$G$8:$G$10000,"="&amp;Q39,'[1]1_inventory_total_details'!$H$8:$H$10000,"="&amp;R39,'[1]1_inventory_total_details'!$I$8:$I$10000,"="&amp;invoice_date),SUMIFS('[1]2_inventory_total_details'!$J$8:$J$10000,'[1]2_inventory_total_details'!$C$8:$C$10000,I39,'[1]2_inventory_total_details'!$F$8:$F$10000,invoice_location_id,'[1]2_inventory_total_details'!$G$8:$G$10000,"="&amp;Q39,'[1]2_inventory_total_details'!$H$8:$H$10000,"="&amp;R39,'[1]2_inventory_total_details'!$I$8:$I$10000,"="&amp;invoice_date)+SUMIFS('[1]2_inventory_total_details'!$M$8:$M$10000,'[1]2_inventory_total_details'!$C$8:$C$10000,I39,'[1]2_inventory_total_details'!$F$8:$F$10000,invoice_location_id,'[1]2_inventory_total_details'!$G$8:$G$10000,"="&amp;Q39,'[1]2_inventory_total_details'!$H$8:$H$10000,"="&amp;R39,'[1]2_inventory_total_details'!$I$8:$I$10000,"="&amp;invoice_date)+SUMIFS('[1]2_inventory_total_details'!$K$8:$K$10000,'[1]2_inventory_total_details'!$C$8:$C$10000,I39,'[1]2_inventory_total_details'!$F$8:$F$10000,invoice_location_id,'[1]2_inventory_total_details'!$G$8:$G$10000,"="&amp;Q39,'[1]2_inventory_total_details'!$H$8:$H$10000,"="&amp;R39,'[1]2_inventory_total_details'!$I$8:$I$10000,"="&amp;invoice_date)+SUMIFS('[1]2_inventory_total_details'!$L$8:$L$10000,'[1]2_inventory_total_details'!$C$8:$C$10000,I39,'[1]2_inventory_total_details'!$F$8:$F$10000,invoice_location_id,'[1]2_inventory_total_details'!$G$8:$G$10000,"="&amp;Q39,'[1]2_inventory_total_details'!$H$8:$H$10000,"="&amp;R39,'[1]2_inventory_total_details'!$I$8:$I$10000,"="&amp;invoice_date)))</f>
        <v/>
      </c>
      <c r="AJ39" s="197" t="str">
        <f>IF(M39="","",IF(ISNA(MATCH(I39,'[1]1_group_totals'!$C$8:$C$10000)),0,IF(AW39&gt;0,1,0)))</f>
        <v/>
      </c>
      <c r="AK39" s="197" t="str">
        <f>IF(M39="","",(SUMIFS('[1]1_group_total_details'!$I$8:$I$10000,'[1]1_group_total_details'!$C$8:$C$10000,I39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39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39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39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39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39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39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39,'[1]1_group_total_details'!$F$8:$F$10000,invoice_location_group_id,'[1]1_group_total_details'!$G$8:$G$10000,invoice_location_id,'[1]1_group_total_details'!$H$8:$H$10000,"="&amp;invoice_date)))</f>
        <v/>
      </c>
      <c r="AL39" s="197" t="str">
        <f>IF(M39="","",(SUMIFS('[1]1_group_total_details'!$I$8:$I$10000,'[1]1_group_total_details'!$C$8:$C$10000,I39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39,'[1]1_group_total_details'!$F$8:$F$10000,invoice_location_group_id,'[1]1_group_total_details'!$G$8:$G$10000,1,'[1]1_group_total_details'!$H$8:$H$10000,"&lt;="&amp;invoice_date)+SUMIFS('[1]1_group_total_details'!$N$8:$N$10000,'[1]1_group_total_details'!$C$8:$C$10000,I39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39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39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39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39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39,'[1]1_group_total_details'!$F$8:$F$10000,invoice_location_group_id,'[1]1_group_total_details'!$G$8:$G$10000,invoice_location_id,'[1]1_group_total_details'!$H$8:$H$10000,"&lt;="&amp;invoice_date)))</f>
        <v/>
      </c>
      <c r="AM39" s="197" t="str">
        <f>IF(M39="","",SUMIFS('[1]1_group_totals'!$J$8:$J$10000,'[1]1_group_totals'!$C$8:$C$10000,I39,'[1]1_group_totals'!$F$8:$F$10000,invoice_location_group_id,'[1]1_group_totals'!$G$8:$G$10000,invoice_location_id,'[1]1_group_totals'!$H$8:$H$10000,"="&amp;Q39,'[1]1_group_totals'!$I$8:$I$10000,"="&amp;R39))</f>
        <v/>
      </c>
      <c r="AN39" s="197" t="str">
        <f t="shared" si="17"/>
        <v/>
      </c>
      <c r="AO39" s="197" t="str">
        <f>IF(OR(ISNA(MATCH(MID(AN39,1,3)*1,UomConversion!$D$8:$D$500,0)),M39=""),"",IF(AT39="","",AT39))</f>
        <v/>
      </c>
      <c r="AP39" s="197" t="str">
        <f>IF(AND(AQ39&gt;0,COUNTIFS(UomConversion!$D$8:$D$500,MID(AN39,1,3)*1,UomConversion!$J$8:$J$500,1)&gt;1),TEXT(AQ39,"000")&amp;"."&amp;VLOOKUP(AQ39,uom_list,5,FALSE),"")</f>
        <v/>
      </c>
      <c r="AQ39" s="197" t="str">
        <f t="shared" si="18"/>
        <v/>
      </c>
      <c r="AR39" s="197" t="str">
        <f t="shared" si="19"/>
        <v/>
      </c>
      <c r="AS39" s="1866" t="str">
        <f>IF(M39="","",SUMIFS(ProductPrice!$N$28:$N$10000,ProductPrice!$D$28:$D$10000,I39,ProductPrice!$G$28:$G$10000,invoice_branch_id,ProductPrice!$H$28:$H$10000,invoice_price_type_id,ProductPrice!$I$28:$I$10000,MID(P39,1,3)*1,ProductPrice!$Q$28:$Q$10000,1,ProductPrice!$T$28:$T$10000,1))</f>
        <v/>
      </c>
      <c r="AT39" s="197" t="str">
        <f t="shared" si="20"/>
        <v/>
      </c>
      <c r="AU39" s="197" t="str" cm="1">
        <f t="array" ref="AU39">IF(M39="","",IF(ISNA(Slookup(MID(AN39,1,3)*1,UomConversion!$D$8:$J$500,2,UomConversion!$I$8:$I$500,1,UomConversion!$J$8:$J$500,1)),"",Slookup(MID(AN39,1,3)*1,UomConversion!$D$8:$J$500,2,UomConversion!$I$8:$I$500,1,UomConversion!$J$8:$J$500,1)))</f>
        <v/>
      </c>
      <c r="AV39" s="197" t="str">
        <f t="shared" si="6"/>
        <v/>
      </c>
      <c r="AW39" s="197" t="str">
        <f>IF(M39="","",(SUMIFS('[1]1_group_totals'!$K$8:$K$10000,'[1]1_group_totals'!$C$8:$C$10000,I39,'[1]1_group_totals'!$F$8:$F$10000,invoice_location_group_id,'[1]1_group_totals'!$G$8:$G$10000,invoice_location_id,'[1]1_group_totals'!$H$8:$H$10000,"="&amp;Q39,'[1]1_group_totals'!$I$8:$I$10000,"="&amp;R39)+SUMIFS('[1]1_group_totals'!$N$8:$N$10000,'[1]1_group_totals'!$C$8:$C$10000,I39,'[1]1_group_totals'!$F$8:$F$10000,invoice_location_group_id,'[1]1_group_totals'!$G$8:$G$10000,invoice_location_id,'[1]1_group_totals'!$H$8:$H$10000,"="&amp;Q39,'[1]1_group_totals'!$I$8:$I$10000,"="&amp;R39)+SUMIFS('[1]1_group_totals'!$P$8:$P$10000,'[1]1_group_totals'!$C$8:$C$10000,I39,'[1]1_group_totals'!$F$8:$F$10000,invoice_location_group_id,'[1]1_group_totals'!$G$8:$G$10000,invoice_location_id,'[1]1_group_totals'!$H$8:$H$10000,"="&amp;Q39,'[1]1_group_totals'!$I$8:$I$10000,"="&amp;R39)+SUMIFS('[1]1_group_totals'!$Q$8:$Q$10000,'[1]1_group_totals'!$C$8:$C$10000,I39,'[1]1_group_totals'!$F$8:$F$10000,invoice_location_group_id,'[1]1_group_totals'!$G$8:$G$10000,invoice_location_id,'[1]1_group_totals'!$H$8:$H$10000,"="&amp;Q39,'[1]1_group_totals'!$I$8:$I$10000,"="&amp;R39))+(SUMIFS('[1]1_group_totals'!$L$8:$L$10000,'[1]1_group_totals'!$C$8:$C$10000,I39,'[1]1_group_totals'!$F$8:$F$10000,invoice_location_group_id,'[1]1_group_totals'!$G$8:$G$10000,invoice_location_id,'[1]1_group_totals'!$H$8:$H$10000,"="&amp;Q39,'[1]1_group_totals'!$I$8:$I$10000,"="&amp;R39)+SUMIFS('[1]1_group_totals'!$M$8:$M$10000,'[1]1_group_totals'!$C$8:$C$10000,I39,'[1]1_group_totals'!$F$8:$F$10000,invoice_location_group_id,'[1]1_group_totals'!$G$8:$G$10000,invoice_location_id,'[1]1_group_totals'!$H$8:$H$10000,"="&amp;Q39,'[1]1_group_totals'!$I$8:$I$10000,"="&amp;R39)+SUMIFS('[1]1_group_totals'!$O$8:$O$10000,'[1]1_group_totals'!$C$8:$C$10000,I39,'[1]1_group_totals'!$F$8:$F$10000,invoice_location_group_id,'[1]1_group_totals'!$G$8:$G$10000,invoice_location_id,'[1]1_group_totals'!$H$8:$H$10000,"="&amp;Q39,'[1]1_group_totals'!$I$8:$I$10000,"="&amp;R39)+SUMIFS('[1]1_group_totals'!$R$8:$R$10000,'[1]1_group_totals'!$C$8:$C$10000,I39,'[1]1_group_totals'!$F$8:$F$10000,invoice_location_group_id,'[1]1_group_totals'!$G$8:$G$10000,invoice_location_id,'[1]1_group_totals'!$H$8:$H$10000,"="&amp;Q39,'[1]1_group_totals'!$I$8:$I$10000,"="&amp;R39)))</f>
        <v/>
      </c>
      <c r="AX39" s="197" t="str">
        <f t="shared" si="21"/>
        <v/>
      </c>
      <c r="AY39" s="197" t="str">
        <f>IF(M39="","",SUMIFS($AX$8:AX39,$I$8:I39,I39))</f>
        <v/>
      </c>
      <c r="AZ39" s="197" t="str">
        <f t="shared" si="22"/>
        <v/>
      </c>
      <c r="BA39" s="197" t="str">
        <f>IF(M39="","",(SUMIFS('[1]1_inventory_totals'!$I$8:$I$10000,'[1]1_inventory_totals'!$C$8:$C$10000,I39,'[1]1_inventory_totals'!$F$8:$F$10000,"="&amp;Q39,'[1]1_inventory_totals'!$G$8:$G$10000,"="&amp;R39)+SUMIFS('[1]1_inventory_totals'!$N$8:$N$10000,'[1]1_inventory_totals'!$C$8:$C$10000,I39,'[1]1_inventory_totals'!$F$8:$F$10000,"="&amp;Q39,'[1]1_inventory_totals'!$G$8:$G$10000,"="&amp;R39)+SUMIFS('[1]1_inventory_totals'!$P$8:$P$10000,'[1]1_inventory_totals'!$C$8:$C$10000,I39,'[1]1_inventory_totals'!$F$8:$F$10000,"="&amp;Q39,'[1]1_inventory_totals'!$G$8:$G$10000,"="&amp;R39)+SUMIFS('[1]1_inventory_totals'!$Q$8:$Q$10000,'[1]1_inventory_totals'!$C$8:$C$10000,I39,'[1]1_inventory_totals'!$F$8:$F$10000,"="&amp;Q39,'[1]1_inventory_totals'!$G$8:$G$10000,"="&amp;R39)+SUMIFS('[1]1_inventory_totals'!$R$8:$R$10000,'[1]1_inventory_totals'!$C$8:$C$10000,I39,'[1]1_inventory_totals'!$F$8:$F$10000,"="&amp;Q39,'[1]1_inventory_totals'!$G$8:$G$10000,"="&amp;R39))+(SUMIFS('[1]1_inventory_totals'!$J$8:$J$10000,'[1]1_inventory_totals'!$C$8:$C$10000,I39,'[1]1_inventory_totals'!$F$8:$F$10000,"="&amp;Q39,'[1]1_inventory_totals'!$G$8:$G$10000,"="&amp;R39)+SUMIFS('[1]1_inventory_totals'!$K$8:$K$10000,'[1]1_inventory_totals'!$C$8:$C$10000,I39,'[1]1_inventory_totals'!$F$8:$F$10000,"="&amp;Q39,'[1]1_inventory_totals'!$G$8:$G$10000,"="&amp;R39)+SUMIFS('[1]1_inventory_totals'!$L$8:$L$10000,'[1]1_inventory_totals'!$C$8:$C$10000,I39,'[1]1_inventory_totals'!$F$8:$F$10000,"="&amp;Q39,'[1]1_inventory_totals'!$G$8:$G$10000,"="&amp;R39)+SUMIFS('[1]1_inventory_totals'!$M$8:$M$10000,'[1]1_inventory_totals'!$C$8:$C$10000,I39,'[1]1_inventory_totals'!$F$8:$F$10000,"="&amp;Q39,'[1]1_inventory_totals'!$G$8:$G$10000,"="&amp;R39)+SUMIFS('[1]1_inventory_totals'!$O$8:$O$10000,'[1]1_inventory_totals'!$C$8:$C$10000,I39,'[1]1_inventory_totals'!$F$8:$F$10000,"="&amp;Q39,'[1]1_inventory_totals'!$G$8:$G$10000,"="&amp;R39)+SUMIFS('[1]1_inventory_totals'!$S$8:$S$10000,'[1]1_inventory_totals'!$C$8:$C$10000,I39,'[1]1_inventory_totals'!$F$8:$F$10000,"="&amp;Q39,'[1]1_inventory_totals'!$G$8:$G$10000,"="&amp;R39)))</f>
        <v/>
      </c>
      <c r="BB39" s="197" t="str">
        <f>IF(M39="","",(SUMIFS('[1]2_inventory_totals'!$I$8:$I$10000,'[1]2_inventory_totals'!$C$8:$C$10000,I39,'[1]2_inventory_totals'!$F$8:$F$10000,"="&amp;Q39,'[1]2_inventory_totals'!$G$8:$G$10000,"="&amp;R39)+SUMIFS('[1]2_inventory_totals'!$N$8:$N$10000,'[1]2_inventory_totals'!$C$8:$C$10000,I39,'[1]2_inventory_totals'!$F$8:$F$10000,"="&amp;Q39,'[1]2_inventory_totals'!$G$8:$G$10000,"="&amp;R39)+SUMIFS('[1]2_inventory_totals'!$P$8:$P$10000,'[1]2_inventory_totals'!$C$8:$C$10000,I39,'[1]2_inventory_totals'!$F$8:$F$10000,"="&amp;Q39,'[1]2_inventory_totals'!$G$8:$G$10000,"="&amp;R39)+SUMIFS('[1]2_inventory_totals'!$Q$8:$Q$10000,'[1]2_inventory_totals'!$C$8:$C$10000,I39,'[1]2_inventory_totals'!$F$8:$F$10000,"="&amp;Q39,'[1]2_inventory_totals'!$G$8:$G$10000,"="&amp;R39)+SUMIFS('[1]2_inventory_totals'!$R$8:$R$10000,'[1]2_inventory_totals'!$C$8:$C$10000,I39,'[1]2_inventory_totals'!$F$8:$F$10000,"="&amp;Q39,'[1]2_inventory_totals'!$G$8:$G$10000,"="&amp;R39))+(SUMIFS('[1]2_inventory_totals'!$J$8:$J$10000,'[1]2_inventory_totals'!$C$8:$C$10000,I39,'[1]2_inventory_totals'!$F$8:$F$10000,"="&amp;Q39,'[1]2_inventory_totals'!$G$8:$G$10000,"="&amp;R39)+SUMIFS('[1]2_inventory_totals'!$K$8:$K$10000,'[1]2_inventory_totals'!$C$8:$C$10000,I39,'[1]2_inventory_totals'!$F$8:$F$10000,"="&amp;Q39,'[1]2_inventory_totals'!$G$8:$G$10000,"="&amp;R39)+SUMIFS('[1]2_inventory_totals'!$L$8:$L$10000,'[1]2_inventory_totals'!$C$8:$C$10000,I39,'[1]2_inventory_totals'!$F$8:$F$10000,"="&amp;Q39,'[1]2_inventory_totals'!$G$8:$G$10000,"="&amp;R39)+SUMIFS('[1]2_inventory_totals'!$M$8:$M$10000,'[1]2_inventory_totals'!$C$8:$C$10000,I39,'[1]2_inventory_totals'!$F$8:$F$10000,"="&amp;Q39,'[1]2_inventory_totals'!$G$8:$G$10000,"="&amp;R39)+SUMIFS('[1]2_inventory_totals'!$O$8:$O$10000,'[1]2_inventory_totals'!$C$8:$C$10000,I39,'[1]2_inventory_totals'!$F$8:$F$10000,"="&amp;Q39,'[1]2_inventory_totals'!$G$8:$G$10000,"="&amp;R39)+SUMIFS('[1]2_inventory_totals'!$S$8:$S$10000,'[1]2_inventory_totals'!$C$8:$C$10000,I39,'[1]2_inventory_totals'!$F$8:$F$10000,"="&amp;Q39,'[1]2_inventory_totals'!$G$8:$G$10000,"="&amp;R39)))</f>
        <v/>
      </c>
    </row>
    <row r="40" spans="1:54" ht="27" hidden="1" customHeight="1">
      <c r="A40" s="923"/>
      <c r="B40" s="1251"/>
      <c r="C40" s="1268"/>
      <c r="D40" s="950"/>
      <c r="E40" s="950"/>
      <c r="F40" s="1262"/>
      <c r="I40" s="1610" t="str">
        <f t="shared" si="7"/>
        <v/>
      </c>
      <c r="J40" s="1611" t="str">
        <f t="shared" si="24"/>
        <v/>
      </c>
      <c r="K40" s="1612" t="str">
        <f t="shared" si="8"/>
        <v/>
      </c>
      <c r="L40" s="1613"/>
      <c r="M40" s="883"/>
      <c r="N40" s="884"/>
      <c r="O40" s="884"/>
      <c r="P40" s="885"/>
      <c r="Q40" s="886"/>
      <c r="R40" s="891"/>
      <c r="S40" s="1614" t="str">
        <f t="shared" si="0"/>
        <v/>
      </c>
      <c r="T40" s="1536"/>
      <c r="U40" s="1864" t="str">
        <f t="shared" si="9"/>
        <v/>
      </c>
      <c r="V40" s="1615" t="str">
        <f t="shared" ref="V40:V71" si="25">IF(W40=0,"",invoice_currency_symbol)</f>
        <v/>
      </c>
      <c r="W40" s="889"/>
      <c r="X40" s="1615" t="str">
        <f t="shared" ref="X40:X71" si="26">IF(M40="","",invoice_currency_symbol)</f>
        <v/>
      </c>
      <c r="Y40" s="1865" t="str">
        <f t="shared" si="10"/>
        <v/>
      </c>
      <c r="Z40" s="890"/>
      <c r="AA40" s="197" t="str" cm="1">
        <f t="array" ref="AA40">IF(M40="","",IF(P40=AN40,1,Slookup(MID(AN40,1,3)*1,UomConversion!$D$8:$J$500,5,UomConversion!$E$8:$E$500,MID(P40,1,3)*1,UomConversion!$J$8:$J$500,1)))</f>
        <v/>
      </c>
      <c r="AB40" s="197" t="str">
        <f t="shared" si="11"/>
        <v/>
      </c>
      <c r="AC40" s="197" t="str">
        <f t="shared" si="12"/>
        <v/>
      </c>
      <c r="AD40" s="197" t="str">
        <f t="shared" si="13"/>
        <v/>
      </c>
      <c r="AE40" s="1866" t="str">
        <f t="shared" si="14"/>
        <v/>
      </c>
      <c r="AF40" s="1866" t="str">
        <f t="shared" ref="AF40:AF71" si="27">IF(M40="","",VLOOKUP(I40,product_list,15,FALSE))</f>
        <v/>
      </c>
      <c r="AG40" s="197" t="str">
        <f t="shared" si="16"/>
        <v/>
      </c>
      <c r="AH40" s="197" t="str">
        <f>IF(I40="","",IF(ISNA(MATCH(I40,IF(invoice_location_id=1,'[1]1_inventory_totals'!$C$8:$C$10000,IF(invoice_location_id=2,'[1]2_inventory_totals'!$C$8:$C$10000,0)),0)),0,IF(AV40&gt;0,1,0)))</f>
        <v/>
      </c>
      <c r="AI40" s="197" t="str">
        <f>IF(M40="","",IF(invoice_location_id=1,SUMIFS('[1]1_inventory_total_details'!$J$8:$J$10000,'[1]1_inventory_total_details'!$C$8:$C$10000,I40,'[1]1_inventory_total_details'!$F$8:$F$10000,invoice_location_id,'[1]1_inventory_total_details'!$G$8:$G$10000,"="&amp;Q40,'[1]1_inventory_total_details'!$H$8:$H$10000,"="&amp;R40,'[1]1_inventory_total_details'!$I$8:$I$10000,"="&amp;invoice_date)+SUMIFS('[1]1_inventory_total_details'!$M$8:$M$10000,'[1]1_inventory_total_details'!$C$8:$C$10000,I40,'[1]1_inventory_total_details'!$F$8:$F$10000,invoice_location_id,'[1]1_inventory_total_details'!$G$8:$G$10000,"="&amp;Q40,'[1]1_inventory_total_details'!$H$8:$H$10000,"="&amp;R40,'[1]1_inventory_total_details'!$I$8:$I$10000,"="&amp;invoice_date)+SUMIFS('[1]1_inventory_total_details'!$K$8:$K$10000,'[1]1_inventory_total_details'!$C$8:$C$10000,I40,'[1]1_inventory_total_details'!$F$8:$F$10000,invoice_location_id,'[1]1_inventory_total_details'!$G$8:$G$10000,"="&amp;Q40,'[1]1_inventory_total_details'!$H$8:$H$10000,"="&amp;R40,'[1]1_inventory_total_details'!$I$8:$I$10000,"="&amp;invoice_date)+SUMIFS('[1]1_inventory_total_details'!$L$8:$L$10000,'[1]1_inventory_total_details'!$C$8:$C$10000,I40,'[1]1_inventory_total_details'!$F$8:$F$10000,invoice_location_id,'[1]1_inventory_total_details'!$G$8:$G$10000,"="&amp;Q40,'[1]1_inventory_total_details'!$H$8:$H$10000,"="&amp;R40,'[1]1_inventory_total_details'!$I$8:$I$10000,"="&amp;invoice_date),SUMIFS('[1]2_inventory_total_details'!$J$8:$J$10000,'[1]2_inventory_total_details'!$C$8:$C$10000,I40,'[1]2_inventory_total_details'!$F$8:$F$10000,invoice_location_id,'[1]2_inventory_total_details'!$G$8:$G$10000,"="&amp;Q40,'[1]2_inventory_total_details'!$H$8:$H$10000,"="&amp;R40,'[1]2_inventory_total_details'!$I$8:$I$10000,"="&amp;invoice_date)+SUMIFS('[1]2_inventory_total_details'!$M$8:$M$10000,'[1]2_inventory_total_details'!$C$8:$C$10000,I40,'[1]2_inventory_total_details'!$F$8:$F$10000,invoice_location_id,'[1]2_inventory_total_details'!$G$8:$G$10000,"="&amp;Q40,'[1]2_inventory_total_details'!$H$8:$H$10000,"="&amp;R40,'[1]2_inventory_total_details'!$I$8:$I$10000,"="&amp;invoice_date)+SUMIFS('[1]2_inventory_total_details'!$K$8:$K$10000,'[1]2_inventory_total_details'!$C$8:$C$10000,I40,'[1]2_inventory_total_details'!$F$8:$F$10000,invoice_location_id,'[1]2_inventory_total_details'!$G$8:$G$10000,"="&amp;Q40,'[1]2_inventory_total_details'!$H$8:$H$10000,"="&amp;R40,'[1]2_inventory_total_details'!$I$8:$I$10000,"="&amp;invoice_date)+SUMIFS('[1]2_inventory_total_details'!$L$8:$L$10000,'[1]2_inventory_total_details'!$C$8:$C$10000,I40,'[1]2_inventory_total_details'!$F$8:$F$10000,invoice_location_id,'[1]2_inventory_total_details'!$G$8:$G$10000,"="&amp;Q40,'[1]2_inventory_total_details'!$H$8:$H$10000,"="&amp;R40,'[1]2_inventory_total_details'!$I$8:$I$10000,"="&amp;invoice_date)))</f>
        <v/>
      </c>
      <c r="AJ40" s="197" t="str">
        <f>IF(M40="","",IF(ISNA(MATCH(I40,'[1]1_group_totals'!$C$8:$C$10000)),0,IF(AW40&gt;0,1,0)))</f>
        <v/>
      </c>
      <c r="AK40" s="197" t="str">
        <f>IF(M40="","",(SUMIFS('[1]1_group_total_details'!$I$8:$I$10000,'[1]1_group_total_details'!$C$8:$C$10000,I40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40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40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40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40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40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40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40,'[1]1_group_total_details'!$F$8:$F$10000,invoice_location_group_id,'[1]1_group_total_details'!$G$8:$G$10000,invoice_location_id,'[1]1_group_total_details'!$H$8:$H$10000,"="&amp;invoice_date)))</f>
        <v/>
      </c>
      <c r="AL40" s="197" t="str">
        <f>IF(M40="","",(SUMIFS('[1]1_group_total_details'!$I$8:$I$10000,'[1]1_group_total_details'!$C$8:$C$10000,I40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40,'[1]1_group_total_details'!$F$8:$F$10000,invoice_location_group_id,'[1]1_group_total_details'!$G$8:$G$10000,1,'[1]1_group_total_details'!$H$8:$H$10000,"&lt;="&amp;invoice_date)+SUMIFS('[1]1_group_total_details'!$N$8:$N$10000,'[1]1_group_total_details'!$C$8:$C$10000,I40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40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40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40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40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40,'[1]1_group_total_details'!$F$8:$F$10000,invoice_location_group_id,'[1]1_group_total_details'!$G$8:$G$10000,invoice_location_id,'[1]1_group_total_details'!$H$8:$H$10000,"&lt;="&amp;invoice_date)))</f>
        <v/>
      </c>
      <c r="AM40" s="197" t="str">
        <f>IF(M40="","",SUMIFS('[1]1_group_totals'!$J$8:$J$10000,'[1]1_group_totals'!$C$8:$C$10000,I40,'[1]1_group_totals'!$F$8:$F$10000,invoice_location_group_id,'[1]1_group_totals'!$G$8:$G$10000,invoice_location_id,'[1]1_group_totals'!$H$8:$H$10000,"="&amp;Q40,'[1]1_group_totals'!$I$8:$I$10000,"="&amp;R40))</f>
        <v/>
      </c>
      <c r="AN40" s="197" t="str">
        <f t="shared" si="17"/>
        <v/>
      </c>
      <c r="AO40" s="197" t="str">
        <f>IF(OR(ISNA(MATCH(MID(AN40,1,3)*1,UomConversion!$D$8:$D$500,0)),M40=""),"",IF(AT40="","",AT40))</f>
        <v/>
      </c>
      <c r="AP40" s="197" t="str">
        <f>IF(AND(AQ40&gt;0,COUNTIFS(UomConversion!$D$8:$D$500,MID(AN40,1,3)*1,UomConversion!$J$8:$J$500,1)&gt;1),TEXT(AQ40,"000")&amp;"."&amp;VLOOKUP(AQ40,uom_list,5,FALSE),"")</f>
        <v/>
      </c>
      <c r="AQ40" s="197" t="str">
        <f t="shared" si="18"/>
        <v/>
      </c>
      <c r="AR40" s="197" t="str">
        <f t="shared" si="19"/>
        <v/>
      </c>
      <c r="AS40" s="1866" t="str">
        <f>IF(M40="","",SUMIFS(ProductPrice!$N$28:$N$10000,ProductPrice!$D$28:$D$10000,I40,ProductPrice!$G$28:$G$10000,invoice_branch_id,ProductPrice!$H$28:$H$10000,invoice_price_type_id,ProductPrice!$I$28:$I$10000,MID(P40,1,3)*1,ProductPrice!$Q$28:$Q$10000,1,ProductPrice!$T$28:$T$10000,1))</f>
        <v/>
      </c>
      <c r="AT40" s="197" t="str">
        <f t="shared" ref="AT40:AT71" si="28">IF(OR(ISNA(VLOOKUP(MID(AN40,1,3)*1,uom_converion_list,2,FALSE)),M40=""),"",TEXT(VLOOKUP(MID(AN40,1,3)*1,uom_converion_list,2,FALSE),"000")&amp;"."&amp;VLOOKUP(VLOOKUP(MID(AN40,1,3)*1,uom_converion_list,2,FALSE),uom_list,5,FALSE))</f>
        <v/>
      </c>
      <c r="AU40" s="197" t="str" cm="1">
        <f t="array" ref="AU40">IF(M40="","",IF(ISNA(Slookup(MID(AN40,1,3)*1,UomConversion!$D$8:$J$500,2,UomConversion!$I$8:$I$500,1,UomConversion!$J$8:$J$500,1)),"",Slookup(MID(AN40,1,3)*1,UomConversion!$D$8:$J$500,2,UomConversion!$I$8:$I$500,1,UomConversion!$J$8:$J$500,1)))</f>
        <v/>
      </c>
      <c r="AV40" s="197" t="str">
        <f t="shared" ref="AV40:AV71" si="29">IF(M40="","",IF(invoice_location_id=1,BA40,IF(invoice_location_id=2,BB40,0)))</f>
        <v/>
      </c>
      <c r="AW40" s="197" t="str">
        <f>IF(M40="","",(SUMIFS('[1]1_group_totals'!$K$8:$K$10000,'[1]1_group_totals'!$C$8:$C$10000,I40,'[1]1_group_totals'!$F$8:$F$10000,invoice_location_group_id,'[1]1_group_totals'!$G$8:$G$10000,invoice_location_id,'[1]1_group_totals'!$H$8:$H$10000,"="&amp;Q40,'[1]1_group_totals'!$I$8:$I$10000,"="&amp;R40)+SUMIFS('[1]1_group_totals'!$N$8:$N$10000,'[1]1_group_totals'!$C$8:$C$10000,I40,'[1]1_group_totals'!$F$8:$F$10000,invoice_location_group_id,'[1]1_group_totals'!$G$8:$G$10000,invoice_location_id,'[1]1_group_totals'!$H$8:$H$10000,"="&amp;Q40,'[1]1_group_totals'!$I$8:$I$10000,"="&amp;R40)+SUMIFS('[1]1_group_totals'!$P$8:$P$10000,'[1]1_group_totals'!$C$8:$C$10000,I40,'[1]1_group_totals'!$F$8:$F$10000,invoice_location_group_id,'[1]1_group_totals'!$G$8:$G$10000,invoice_location_id,'[1]1_group_totals'!$H$8:$H$10000,"="&amp;Q40,'[1]1_group_totals'!$I$8:$I$10000,"="&amp;R40)+SUMIFS('[1]1_group_totals'!$Q$8:$Q$10000,'[1]1_group_totals'!$C$8:$C$10000,I40,'[1]1_group_totals'!$F$8:$F$10000,invoice_location_group_id,'[1]1_group_totals'!$G$8:$G$10000,invoice_location_id,'[1]1_group_totals'!$H$8:$H$10000,"="&amp;Q40,'[1]1_group_totals'!$I$8:$I$10000,"="&amp;R40))+(SUMIFS('[1]1_group_totals'!$L$8:$L$10000,'[1]1_group_totals'!$C$8:$C$10000,I40,'[1]1_group_totals'!$F$8:$F$10000,invoice_location_group_id,'[1]1_group_totals'!$G$8:$G$10000,invoice_location_id,'[1]1_group_totals'!$H$8:$H$10000,"="&amp;Q40,'[1]1_group_totals'!$I$8:$I$10000,"="&amp;R40)+SUMIFS('[1]1_group_totals'!$M$8:$M$10000,'[1]1_group_totals'!$C$8:$C$10000,I40,'[1]1_group_totals'!$F$8:$F$10000,invoice_location_group_id,'[1]1_group_totals'!$G$8:$G$10000,invoice_location_id,'[1]1_group_totals'!$H$8:$H$10000,"="&amp;Q40,'[1]1_group_totals'!$I$8:$I$10000,"="&amp;R40)+SUMIFS('[1]1_group_totals'!$O$8:$O$10000,'[1]1_group_totals'!$C$8:$C$10000,I40,'[1]1_group_totals'!$F$8:$F$10000,invoice_location_group_id,'[1]1_group_totals'!$G$8:$G$10000,invoice_location_id,'[1]1_group_totals'!$H$8:$H$10000,"="&amp;Q40,'[1]1_group_totals'!$I$8:$I$10000,"="&amp;R40)+SUMIFS('[1]1_group_totals'!$R$8:$R$10000,'[1]1_group_totals'!$C$8:$C$10000,I40,'[1]1_group_totals'!$F$8:$F$10000,invoice_location_group_id,'[1]1_group_totals'!$G$8:$G$10000,invoice_location_id,'[1]1_group_totals'!$H$8:$H$10000,"="&amp;Q40,'[1]1_group_totals'!$I$8:$I$10000,"="&amp;R40)))</f>
        <v/>
      </c>
      <c r="AX40" s="197" t="str">
        <f t="shared" si="21"/>
        <v/>
      </c>
      <c r="AY40" s="197" t="str">
        <f>IF(M40="","",SUMIFS($AX$8:AX40,$I$8:I40,I40))</f>
        <v/>
      </c>
      <c r="AZ40" s="197" t="str">
        <f t="shared" si="22"/>
        <v/>
      </c>
      <c r="BA40" s="197" t="str">
        <f>IF(M40="","",(SUMIFS('[1]1_inventory_totals'!$I$8:$I$10000,'[1]1_inventory_totals'!$C$8:$C$10000,I40,'[1]1_inventory_totals'!$F$8:$F$10000,"="&amp;Q40,'[1]1_inventory_totals'!$G$8:$G$10000,"="&amp;R40)+SUMIFS('[1]1_inventory_totals'!$N$8:$N$10000,'[1]1_inventory_totals'!$C$8:$C$10000,I40,'[1]1_inventory_totals'!$F$8:$F$10000,"="&amp;Q40,'[1]1_inventory_totals'!$G$8:$G$10000,"="&amp;R40)+SUMIFS('[1]1_inventory_totals'!$P$8:$P$10000,'[1]1_inventory_totals'!$C$8:$C$10000,I40,'[1]1_inventory_totals'!$F$8:$F$10000,"="&amp;Q40,'[1]1_inventory_totals'!$G$8:$G$10000,"="&amp;R40)+SUMIFS('[1]1_inventory_totals'!$Q$8:$Q$10000,'[1]1_inventory_totals'!$C$8:$C$10000,I40,'[1]1_inventory_totals'!$F$8:$F$10000,"="&amp;Q40,'[1]1_inventory_totals'!$G$8:$G$10000,"="&amp;R40)+SUMIFS('[1]1_inventory_totals'!$R$8:$R$10000,'[1]1_inventory_totals'!$C$8:$C$10000,I40,'[1]1_inventory_totals'!$F$8:$F$10000,"="&amp;Q40,'[1]1_inventory_totals'!$G$8:$G$10000,"="&amp;R40))+(SUMIFS('[1]1_inventory_totals'!$J$8:$J$10000,'[1]1_inventory_totals'!$C$8:$C$10000,I40,'[1]1_inventory_totals'!$F$8:$F$10000,"="&amp;Q40,'[1]1_inventory_totals'!$G$8:$G$10000,"="&amp;R40)+SUMIFS('[1]1_inventory_totals'!$K$8:$K$10000,'[1]1_inventory_totals'!$C$8:$C$10000,I40,'[1]1_inventory_totals'!$F$8:$F$10000,"="&amp;Q40,'[1]1_inventory_totals'!$G$8:$G$10000,"="&amp;R40)+SUMIFS('[1]1_inventory_totals'!$L$8:$L$10000,'[1]1_inventory_totals'!$C$8:$C$10000,I40,'[1]1_inventory_totals'!$F$8:$F$10000,"="&amp;Q40,'[1]1_inventory_totals'!$G$8:$G$10000,"="&amp;R40)+SUMIFS('[1]1_inventory_totals'!$M$8:$M$10000,'[1]1_inventory_totals'!$C$8:$C$10000,I40,'[1]1_inventory_totals'!$F$8:$F$10000,"="&amp;Q40,'[1]1_inventory_totals'!$G$8:$G$10000,"="&amp;R40)+SUMIFS('[1]1_inventory_totals'!$O$8:$O$10000,'[1]1_inventory_totals'!$C$8:$C$10000,I40,'[1]1_inventory_totals'!$F$8:$F$10000,"="&amp;Q40,'[1]1_inventory_totals'!$G$8:$G$10000,"="&amp;R40)+SUMIFS('[1]1_inventory_totals'!$S$8:$S$10000,'[1]1_inventory_totals'!$C$8:$C$10000,I40,'[1]1_inventory_totals'!$F$8:$F$10000,"="&amp;Q40,'[1]1_inventory_totals'!$G$8:$G$10000,"="&amp;R40)))</f>
        <v/>
      </c>
      <c r="BB40" s="197" t="str">
        <f>IF(M40="","",(SUMIFS('[1]2_inventory_totals'!$I$8:$I$10000,'[1]2_inventory_totals'!$C$8:$C$10000,I40,'[1]2_inventory_totals'!$F$8:$F$10000,"="&amp;Q40,'[1]2_inventory_totals'!$G$8:$G$10000,"="&amp;R40)+SUMIFS('[1]2_inventory_totals'!$N$8:$N$10000,'[1]2_inventory_totals'!$C$8:$C$10000,I40,'[1]2_inventory_totals'!$F$8:$F$10000,"="&amp;Q40,'[1]2_inventory_totals'!$G$8:$G$10000,"="&amp;R40)+SUMIFS('[1]2_inventory_totals'!$P$8:$P$10000,'[1]2_inventory_totals'!$C$8:$C$10000,I40,'[1]2_inventory_totals'!$F$8:$F$10000,"="&amp;Q40,'[1]2_inventory_totals'!$G$8:$G$10000,"="&amp;R40)+SUMIFS('[1]2_inventory_totals'!$Q$8:$Q$10000,'[1]2_inventory_totals'!$C$8:$C$10000,I40,'[1]2_inventory_totals'!$F$8:$F$10000,"="&amp;Q40,'[1]2_inventory_totals'!$G$8:$G$10000,"="&amp;R40)+SUMIFS('[1]2_inventory_totals'!$R$8:$R$10000,'[1]2_inventory_totals'!$C$8:$C$10000,I40,'[1]2_inventory_totals'!$F$8:$F$10000,"="&amp;Q40,'[1]2_inventory_totals'!$G$8:$G$10000,"="&amp;R40))+(SUMIFS('[1]2_inventory_totals'!$J$8:$J$10000,'[1]2_inventory_totals'!$C$8:$C$10000,I40,'[1]2_inventory_totals'!$F$8:$F$10000,"="&amp;Q40,'[1]2_inventory_totals'!$G$8:$G$10000,"="&amp;R40)+SUMIFS('[1]2_inventory_totals'!$K$8:$K$10000,'[1]2_inventory_totals'!$C$8:$C$10000,I40,'[1]2_inventory_totals'!$F$8:$F$10000,"="&amp;Q40,'[1]2_inventory_totals'!$G$8:$G$10000,"="&amp;R40)+SUMIFS('[1]2_inventory_totals'!$L$8:$L$10000,'[1]2_inventory_totals'!$C$8:$C$10000,I40,'[1]2_inventory_totals'!$F$8:$F$10000,"="&amp;Q40,'[1]2_inventory_totals'!$G$8:$G$10000,"="&amp;R40)+SUMIFS('[1]2_inventory_totals'!$M$8:$M$10000,'[1]2_inventory_totals'!$C$8:$C$10000,I40,'[1]2_inventory_totals'!$F$8:$F$10000,"="&amp;Q40,'[1]2_inventory_totals'!$G$8:$G$10000,"="&amp;R40)+SUMIFS('[1]2_inventory_totals'!$O$8:$O$10000,'[1]2_inventory_totals'!$C$8:$C$10000,I40,'[1]2_inventory_totals'!$F$8:$F$10000,"="&amp;Q40,'[1]2_inventory_totals'!$G$8:$G$10000,"="&amp;R40)+SUMIFS('[1]2_inventory_totals'!$S$8:$S$10000,'[1]2_inventory_totals'!$C$8:$C$10000,I40,'[1]2_inventory_totals'!$F$8:$F$10000,"="&amp;Q40,'[1]2_inventory_totals'!$G$8:$G$10000,"="&amp;R40)))</f>
        <v/>
      </c>
    </row>
    <row r="41" spans="1:54" ht="27" hidden="1" customHeight="1">
      <c r="A41" s="923"/>
      <c r="B41" s="1251"/>
      <c r="C41" s="1268"/>
      <c r="D41" s="950"/>
      <c r="E41" s="950"/>
      <c r="F41" s="1262"/>
      <c r="I41" s="1610" t="str">
        <f t="shared" si="7"/>
        <v/>
      </c>
      <c r="J41" s="1611" t="str">
        <f t="shared" si="24"/>
        <v/>
      </c>
      <c r="K41" s="1612" t="str">
        <f t="shared" ref="K41:K71" si="30">IF(M41="","",VLOOKUP(I41,product_list,4,FALSE))</f>
        <v/>
      </c>
      <c r="L41" s="1613"/>
      <c r="M41" s="883"/>
      <c r="N41" s="884"/>
      <c r="O41" s="884"/>
      <c r="P41" s="885"/>
      <c r="Q41" s="886"/>
      <c r="R41" s="891"/>
      <c r="S41" s="1614" t="str">
        <f t="shared" si="0"/>
        <v/>
      </c>
      <c r="T41" s="1536"/>
      <c r="U41" s="1864" t="str">
        <f t="shared" si="9"/>
        <v/>
      </c>
      <c r="V41" s="1615" t="str">
        <f t="shared" si="25"/>
        <v/>
      </c>
      <c r="W41" s="889"/>
      <c r="X41" s="1615" t="str">
        <f t="shared" si="26"/>
        <v/>
      </c>
      <c r="Y41" s="1865" t="str">
        <f t="shared" si="10"/>
        <v/>
      </c>
      <c r="Z41" s="890"/>
      <c r="AA41" s="197" t="str" cm="1">
        <f t="array" ref="AA41">IF(M41="","",IF(P41=AN41,1,Slookup(MID(AN41,1,3)*1,UomConversion!$D$8:$J$500,5,UomConversion!$E$8:$E$500,MID(P41,1,3)*1,UomConversion!$J$8:$J$500,1)))</f>
        <v/>
      </c>
      <c r="AB41" s="197" t="str">
        <f t="shared" si="11"/>
        <v/>
      </c>
      <c r="AC41" s="197" t="str">
        <f t="shared" si="12"/>
        <v/>
      </c>
      <c r="AD41" s="197" t="str">
        <f t="shared" si="13"/>
        <v/>
      </c>
      <c r="AE41" s="1866" t="str">
        <f t="shared" si="14"/>
        <v/>
      </c>
      <c r="AF41" s="1866" t="str">
        <f t="shared" si="27"/>
        <v/>
      </c>
      <c r="AG41" s="197" t="str">
        <f t="shared" si="16"/>
        <v/>
      </c>
      <c r="AH41" s="197" t="str">
        <f>IF(I41="","",IF(ISNA(MATCH(I41,IF(invoice_location_id=1,'[1]1_inventory_totals'!$C$8:$C$10000,IF(invoice_location_id=2,'[1]2_inventory_totals'!$C$8:$C$10000,0)),0)),0,IF(AV41&gt;0,1,0)))</f>
        <v/>
      </c>
      <c r="AI41" s="197" t="str">
        <f>IF(M41="","",IF(invoice_location_id=1,SUMIFS('[1]1_inventory_total_details'!$J$8:$J$10000,'[1]1_inventory_total_details'!$C$8:$C$10000,I41,'[1]1_inventory_total_details'!$F$8:$F$10000,invoice_location_id,'[1]1_inventory_total_details'!$G$8:$G$10000,"="&amp;Q41,'[1]1_inventory_total_details'!$H$8:$H$10000,"="&amp;R41,'[1]1_inventory_total_details'!$I$8:$I$10000,"="&amp;invoice_date)+SUMIFS('[1]1_inventory_total_details'!$M$8:$M$10000,'[1]1_inventory_total_details'!$C$8:$C$10000,I41,'[1]1_inventory_total_details'!$F$8:$F$10000,invoice_location_id,'[1]1_inventory_total_details'!$G$8:$G$10000,"="&amp;Q41,'[1]1_inventory_total_details'!$H$8:$H$10000,"="&amp;R41,'[1]1_inventory_total_details'!$I$8:$I$10000,"="&amp;invoice_date)+SUMIFS('[1]1_inventory_total_details'!$K$8:$K$10000,'[1]1_inventory_total_details'!$C$8:$C$10000,I41,'[1]1_inventory_total_details'!$F$8:$F$10000,invoice_location_id,'[1]1_inventory_total_details'!$G$8:$G$10000,"="&amp;Q41,'[1]1_inventory_total_details'!$H$8:$H$10000,"="&amp;R41,'[1]1_inventory_total_details'!$I$8:$I$10000,"="&amp;invoice_date)+SUMIFS('[1]1_inventory_total_details'!$L$8:$L$10000,'[1]1_inventory_total_details'!$C$8:$C$10000,I41,'[1]1_inventory_total_details'!$F$8:$F$10000,invoice_location_id,'[1]1_inventory_total_details'!$G$8:$G$10000,"="&amp;Q41,'[1]1_inventory_total_details'!$H$8:$H$10000,"="&amp;R41,'[1]1_inventory_total_details'!$I$8:$I$10000,"="&amp;invoice_date),SUMIFS('[1]2_inventory_total_details'!$J$8:$J$10000,'[1]2_inventory_total_details'!$C$8:$C$10000,I41,'[1]2_inventory_total_details'!$F$8:$F$10000,invoice_location_id,'[1]2_inventory_total_details'!$G$8:$G$10000,"="&amp;Q41,'[1]2_inventory_total_details'!$H$8:$H$10000,"="&amp;R41,'[1]2_inventory_total_details'!$I$8:$I$10000,"="&amp;invoice_date)+SUMIFS('[1]2_inventory_total_details'!$M$8:$M$10000,'[1]2_inventory_total_details'!$C$8:$C$10000,I41,'[1]2_inventory_total_details'!$F$8:$F$10000,invoice_location_id,'[1]2_inventory_total_details'!$G$8:$G$10000,"="&amp;Q41,'[1]2_inventory_total_details'!$H$8:$H$10000,"="&amp;R41,'[1]2_inventory_total_details'!$I$8:$I$10000,"="&amp;invoice_date)+SUMIFS('[1]2_inventory_total_details'!$K$8:$K$10000,'[1]2_inventory_total_details'!$C$8:$C$10000,I41,'[1]2_inventory_total_details'!$F$8:$F$10000,invoice_location_id,'[1]2_inventory_total_details'!$G$8:$G$10000,"="&amp;Q41,'[1]2_inventory_total_details'!$H$8:$H$10000,"="&amp;R41,'[1]2_inventory_total_details'!$I$8:$I$10000,"="&amp;invoice_date)+SUMIFS('[1]2_inventory_total_details'!$L$8:$L$10000,'[1]2_inventory_total_details'!$C$8:$C$10000,I41,'[1]2_inventory_total_details'!$F$8:$F$10000,invoice_location_id,'[1]2_inventory_total_details'!$G$8:$G$10000,"="&amp;Q41,'[1]2_inventory_total_details'!$H$8:$H$10000,"="&amp;R41,'[1]2_inventory_total_details'!$I$8:$I$10000,"="&amp;invoice_date)))</f>
        <v/>
      </c>
      <c r="AJ41" s="197" t="str">
        <f>IF(M41="","",IF(ISNA(MATCH(I41,'[1]1_group_totals'!$C$8:$C$10000)),0,IF(AW41&gt;0,1,0)))</f>
        <v/>
      </c>
      <c r="AK41" s="197" t="str">
        <f>IF(M41="","",(SUMIFS('[1]1_group_total_details'!$I$8:$I$10000,'[1]1_group_total_details'!$C$8:$C$10000,I41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41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41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41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41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41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41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41,'[1]1_group_total_details'!$F$8:$F$10000,invoice_location_group_id,'[1]1_group_total_details'!$G$8:$G$10000,invoice_location_id,'[1]1_group_total_details'!$H$8:$H$10000,"="&amp;invoice_date)))</f>
        <v/>
      </c>
      <c r="AL41" s="197" t="str">
        <f>IF(M41="","",(SUMIFS('[1]1_group_total_details'!$I$8:$I$10000,'[1]1_group_total_details'!$C$8:$C$10000,I41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41,'[1]1_group_total_details'!$F$8:$F$10000,invoice_location_group_id,'[1]1_group_total_details'!$G$8:$G$10000,1,'[1]1_group_total_details'!$H$8:$H$10000,"&lt;="&amp;invoice_date)+SUMIFS('[1]1_group_total_details'!$N$8:$N$10000,'[1]1_group_total_details'!$C$8:$C$10000,I41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41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41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41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41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41,'[1]1_group_total_details'!$F$8:$F$10000,invoice_location_group_id,'[1]1_group_total_details'!$G$8:$G$10000,invoice_location_id,'[1]1_group_total_details'!$H$8:$H$10000,"&lt;="&amp;invoice_date)))</f>
        <v/>
      </c>
      <c r="AM41" s="197" t="str">
        <f>IF(M41="","",SUMIFS('[1]1_group_totals'!$J$8:$J$10000,'[1]1_group_totals'!$C$8:$C$10000,I41,'[1]1_group_totals'!$F$8:$F$10000,invoice_location_group_id,'[1]1_group_totals'!$G$8:$G$10000,invoice_location_id,'[1]1_group_totals'!$H$8:$H$10000,"="&amp;Q41,'[1]1_group_totals'!$I$8:$I$10000,"="&amp;R41))</f>
        <v/>
      </c>
      <c r="AN41" s="197" t="str">
        <f t="shared" si="17"/>
        <v/>
      </c>
      <c r="AO41" s="197" t="str">
        <f>IF(OR(ISNA(MATCH(MID(AN41,1,3)*1,UomConversion!$D$8:$D$500,0)),M41=""),"",IF(AT41="","",AT41))</f>
        <v/>
      </c>
      <c r="AP41" s="197" t="str">
        <f>IF(AND(AQ41&gt;0,COUNTIFS(UomConversion!$D$8:$D$500,MID(AN41,1,3)*1,UomConversion!$J$8:$J$500,1)&gt;1),TEXT(AQ41,"000")&amp;"."&amp;VLOOKUP(AQ41,uom_list,5,FALSE),"")</f>
        <v/>
      </c>
      <c r="AQ41" s="197" t="str">
        <f t="shared" si="18"/>
        <v/>
      </c>
      <c r="AR41" s="197" t="str">
        <f t="shared" si="19"/>
        <v/>
      </c>
      <c r="AS41" s="1866" t="str">
        <f>IF(M41="","",SUMIFS(ProductPrice!$N$28:$N$10000,ProductPrice!$D$28:$D$10000,I41,ProductPrice!$G$28:$G$10000,invoice_branch_id,ProductPrice!$H$28:$H$10000,invoice_price_type_id,ProductPrice!$I$28:$I$10000,MID(P41,1,3)*1,ProductPrice!$Q$28:$Q$10000,1,ProductPrice!$T$28:$T$10000,1))</f>
        <v/>
      </c>
      <c r="AT41" s="197" t="str">
        <f t="shared" si="28"/>
        <v/>
      </c>
      <c r="AU41" s="197" t="str" cm="1">
        <f t="array" ref="AU41">IF(M41="","",IF(ISNA(Slookup(MID(AN41,1,3)*1,UomConversion!$D$8:$J$500,2,UomConversion!$I$8:$I$500,1,UomConversion!$J$8:$J$500,1)),"",Slookup(MID(AN41,1,3)*1,UomConversion!$D$8:$J$500,2,UomConversion!$I$8:$I$500,1,UomConversion!$J$8:$J$500,1)))</f>
        <v/>
      </c>
      <c r="AV41" s="197" t="str">
        <f t="shared" si="29"/>
        <v/>
      </c>
      <c r="AW41" s="197" t="str">
        <f>IF(M41="","",(SUMIFS('[1]1_group_totals'!$K$8:$K$10000,'[1]1_group_totals'!$C$8:$C$10000,I41,'[1]1_group_totals'!$F$8:$F$10000,invoice_location_group_id,'[1]1_group_totals'!$G$8:$G$10000,invoice_location_id,'[1]1_group_totals'!$H$8:$H$10000,"="&amp;Q41,'[1]1_group_totals'!$I$8:$I$10000,"="&amp;R41)+SUMIFS('[1]1_group_totals'!$N$8:$N$10000,'[1]1_group_totals'!$C$8:$C$10000,I41,'[1]1_group_totals'!$F$8:$F$10000,invoice_location_group_id,'[1]1_group_totals'!$G$8:$G$10000,invoice_location_id,'[1]1_group_totals'!$H$8:$H$10000,"="&amp;Q41,'[1]1_group_totals'!$I$8:$I$10000,"="&amp;R41)+SUMIFS('[1]1_group_totals'!$P$8:$P$10000,'[1]1_group_totals'!$C$8:$C$10000,I41,'[1]1_group_totals'!$F$8:$F$10000,invoice_location_group_id,'[1]1_group_totals'!$G$8:$G$10000,invoice_location_id,'[1]1_group_totals'!$H$8:$H$10000,"="&amp;Q41,'[1]1_group_totals'!$I$8:$I$10000,"="&amp;R41)+SUMIFS('[1]1_group_totals'!$Q$8:$Q$10000,'[1]1_group_totals'!$C$8:$C$10000,I41,'[1]1_group_totals'!$F$8:$F$10000,invoice_location_group_id,'[1]1_group_totals'!$G$8:$G$10000,invoice_location_id,'[1]1_group_totals'!$H$8:$H$10000,"="&amp;Q41,'[1]1_group_totals'!$I$8:$I$10000,"="&amp;R41))+(SUMIFS('[1]1_group_totals'!$L$8:$L$10000,'[1]1_group_totals'!$C$8:$C$10000,I41,'[1]1_group_totals'!$F$8:$F$10000,invoice_location_group_id,'[1]1_group_totals'!$G$8:$G$10000,invoice_location_id,'[1]1_group_totals'!$H$8:$H$10000,"="&amp;Q41,'[1]1_group_totals'!$I$8:$I$10000,"="&amp;R41)+SUMIFS('[1]1_group_totals'!$M$8:$M$10000,'[1]1_group_totals'!$C$8:$C$10000,I41,'[1]1_group_totals'!$F$8:$F$10000,invoice_location_group_id,'[1]1_group_totals'!$G$8:$G$10000,invoice_location_id,'[1]1_group_totals'!$H$8:$H$10000,"="&amp;Q41,'[1]1_group_totals'!$I$8:$I$10000,"="&amp;R41)+SUMIFS('[1]1_group_totals'!$O$8:$O$10000,'[1]1_group_totals'!$C$8:$C$10000,I41,'[1]1_group_totals'!$F$8:$F$10000,invoice_location_group_id,'[1]1_group_totals'!$G$8:$G$10000,invoice_location_id,'[1]1_group_totals'!$H$8:$H$10000,"="&amp;Q41,'[1]1_group_totals'!$I$8:$I$10000,"="&amp;R41)+SUMIFS('[1]1_group_totals'!$R$8:$R$10000,'[1]1_group_totals'!$C$8:$C$10000,I41,'[1]1_group_totals'!$F$8:$F$10000,invoice_location_group_id,'[1]1_group_totals'!$G$8:$G$10000,invoice_location_id,'[1]1_group_totals'!$H$8:$H$10000,"="&amp;Q41,'[1]1_group_totals'!$I$8:$I$10000,"="&amp;R41)))</f>
        <v/>
      </c>
      <c r="AX41" s="197" t="str">
        <f t="shared" si="21"/>
        <v/>
      </c>
      <c r="AY41" s="197" t="str">
        <f>IF(M41="","",SUMIFS($AX$8:AX41,$I$8:I41,I41))</f>
        <v/>
      </c>
      <c r="AZ41" s="197" t="str">
        <f t="shared" si="22"/>
        <v/>
      </c>
      <c r="BA41" s="197" t="str">
        <f>IF(M41="","",(SUMIFS('[1]1_inventory_totals'!$I$8:$I$10000,'[1]1_inventory_totals'!$C$8:$C$10000,I41,'[1]1_inventory_totals'!$F$8:$F$10000,"="&amp;Q41,'[1]1_inventory_totals'!$G$8:$G$10000,"="&amp;R41)+SUMIFS('[1]1_inventory_totals'!$N$8:$N$10000,'[1]1_inventory_totals'!$C$8:$C$10000,I41,'[1]1_inventory_totals'!$F$8:$F$10000,"="&amp;Q41,'[1]1_inventory_totals'!$G$8:$G$10000,"="&amp;R41)+SUMIFS('[1]1_inventory_totals'!$P$8:$P$10000,'[1]1_inventory_totals'!$C$8:$C$10000,I41,'[1]1_inventory_totals'!$F$8:$F$10000,"="&amp;Q41,'[1]1_inventory_totals'!$G$8:$G$10000,"="&amp;R41)+SUMIFS('[1]1_inventory_totals'!$Q$8:$Q$10000,'[1]1_inventory_totals'!$C$8:$C$10000,I41,'[1]1_inventory_totals'!$F$8:$F$10000,"="&amp;Q41,'[1]1_inventory_totals'!$G$8:$G$10000,"="&amp;R41)+SUMIFS('[1]1_inventory_totals'!$R$8:$R$10000,'[1]1_inventory_totals'!$C$8:$C$10000,I41,'[1]1_inventory_totals'!$F$8:$F$10000,"="&amp;Q41,'[1]1_inventory_totals'!$G$8:$G$10000,"="&amp;R41))+(SUMIFS('[1]1_inventory_totals'!$J$8:$J$10000,'[1]1_inventory_totals'!$C$8:$C$10000,I41,'[1]1_inventory_totals'!$F$8:$F$10000,"="&amp;Q41,'[1]1_inventory_totals'!$G$8:$G$10000,"="&amp;R41)+SUMIFS('[1]1_inventory_totals'!$K$8:$K$10000,'[1]1_inventory_totals'!$C$8:$C$10000,I41,'[1]1_inventory_totals'!$F$8:$F$10000,"="&amp;Q41,'[1]1_inventory_totals'!$G$8:$G$10000,"="&amp;R41)+SUMIFS('[1]1_inventory_totals'!$L$8:$L$10000,'[1]1_inventory_totals'!$C$8:$C$10000,I41,'[1]1_inventory_totals'!$F$8:$F$10000,"="&amp;Q41,'[1]1_inventory_totals'!$G$8:$G$10000,"="&amp;R41)+SUMIFS('[1]1_inventory_totals'!$M$8:$M$10000,'[1]1_inventory_totals'!$C$8:$C$10000,I41,'[1]1_inventory_totals'!$F$8:$F$10000,"="&amp;Q41,'[1]1_inventory_totals'!$G$8:$G$10000,"="&amp;R41)+SUMIFS('[1]1_inventory_totals'!$O$8:$O$10000,'[1]1_inventory_totals'!$C$8:$C$10000,I41,'[1]1_inventory_totals'!$F$8:$F$10000,"="&amp;Q41,'[1]1_inventory_totals'!$G$8:$G$10000,"="&amp;R41)+SUMIFS('[1]1_inventory_totals'!$S$8:$S$10000,'[1]1_inventory_totals'!$C$8:$C$10000,I41,'[1]1_inventory_totals'!$F$8:$F$10000,"="&amp;Q41,'[1]1_inventory_totals'!$G$8:$G$10000,"="&amp;R41)))</f>
        <v/>
      </c>
      <c r="BB41" s="197" t="str">
        <f>IF(M41="","",(SUMIFS('[1]2_inventory_totals'!$I$8:$I$10000,'[1]2_inventory_totals'!$C$8:$C$10000,I41,'[1]2_inventory_totals'!$F$8:$F$10000,"="&amp;Q41,'[1]2_inventory_totals'!$G$8:$G$10000,"="&amp;R41)+SUMIFS('[1]2_inventory_totals'!$N$8:$N$10000,'[1]2_inventory_totals'!$C$8:$C$10000,I41,'[1]2_inventory_totals'!$F$8:$F$10000,"="&amp;Q41,'[1]2_inventory_totals'!$G$8:$G$10000,"="&amp;R41)+SUMIFS('[1]2_inventory_totals'!$P$8:$P$10000,'[1]2_inventory_totals'!$C$8:$C$10000,I41,'[1]2_inventory_totals'!$F$8:$F$10000,"="&amp;Q41,'[1]2_inventory_totals'!$G$8:$G$10000,"="&amp;R41)+SUMIFS('[1]2_inventory_totals'!$Q$8:$Q$10000,'[1]2_inventory_totals'!$C$8:$C$10000,I41,'[1]2_inventory_totals'!$F$8:$F$10000,"="&amp;Q41,'[1]2_inventory_totals'!$G$8:$G$10000,"="&amp;R41)+SUMIFS('[1]2_inventory_totals'!$R$8:$R$10000,'[1]2_inventory_totals'!$C$8:$C$10000,I41,'[1]2_inventory_totals'!$F$8:$F$10000,"="&amp;Q41,'[1]2_inventory_totals'!$G$8:$G$10000,"="&amp;R41))+(SUMIFS('[1]2_inventory_totals'!$J$8:$J$10000,'[1]2_inventory_totals'!$C$8:$C$10000,I41,'[1]2_inventory_totals'!$F$8:$F$10000,"="&amp;Q41,'[1]2_inventory_totals'!$G$8:$G$10000,"="&amp;R41)+SUMIFS('[1]2_inventory_totals'!$K$8:$K$10000,'[1]2_inventory_totals'!$C$8:$C$10000,I41,'[1]2_inventory_totals'!$F$8:$F$10000,"="&amp;Q41,'[1]2_inventory_totals'!$G$8:$G$10000,"="&amp;R41)+SUMIFS('[1]2_inventory_totals'!$L$8:$L$10000,'[1]2_inventory_totals'!$C$8:$C$10000,I41,'[1]2_inventory_totals'!$F$8:$F$10000,"="&amp;Q41,'[1]2_inventory_totals'!$G$8:$G$10000,"="&amp;R41)+SUMIFS('[1]2_inventory_totals'!$M$8:$M$10000,'[1]2_inventory_totals'!$C$8:$C$10000,I41,'[1]2_inventory_totals'!$F$8:$F$10000,"="&amp;Q41,'[1]2_inventory_totals'!$G$8:$G$10000,"="&amp;R41)+SUMIFS('[1]2_inventory_totals'!$O$8:$O$10000,'[1]2_inventory_totals'!$C$8:$C$10000,I41,'[1]2_inventory_totals'!$F$8:$F$10000,"="&amp;Q41,'[1]2_inventory_totals'!$G$8:$G$10000,"="&amp;R41)+SUMIFS('[1]2_inventory_totals'!$S$8:$S$10000,'[1]2_inventory_totals'!$C$8:$C$10000,I41,'[1]2_inventory_totals'!$F$8:$F$10000,"="&amp;Q41,'[1]2_inventory_totals'!$G$8:$G$10000,"="&amp;R41)))</f>
        <v/>
      </c>
    </row>
    <row r="42" spans="1:54" ht="27" hidden="1" customHeight="1">
      <c r="A42" s="923"/>
      <c r="B42" s="1251"/>
      <c r="C42" s="1268"/>
      <c r="D42" s="950"/>
      <c r="E42" s="950"/>
      <c r="F42" s="1262"/>
      <c r="I42" s="1610" t="str">
        <f t="shared" si="7"/>
        <v/>
      </c>
      <c r="J42" s="1611" t="str">
        <f t="shared" si="24"/>
        <v/>
      </c>
      <c r="K42" s="1612" t="str">
        <f t="shared" si="30"/>
        <v/>
      </c>
      <c r="L42" s="1613"/>
      <c r="M42" s="883"/>
      <c r="N42" s="884"/>
      <c r="O42" s="884"/>
      <c r="P42" s="885"/>
      <c r="Q42" s="886"/>
      <c r="R42" s="891"/>
      <c r="S42" s="1614" t="str">
        <f t="shared" si="0"/>
        <v/>
      </c>
      <c r="T42" s="1536"/>
      <c r="U42" s="1864" t="str">
        <f t="shared" si="9"/>
        <v/>
      </c>
      <c r="V42" s="1615" t="str">
        <f t="shared" si="25"/>
        <v/>
      </c>
      <c r="W42" s="889"/>
      <c r="X42" s="1615" t="str">
        <f t="shared" si="26"/>
        <v/>
      </c>
      <c r="Y42" s="1865" t="str">
        <f t="shared" si="10"/>
        <v/>
      </c>
      <c r="Z42" s="890"/>
      <c r="AA42" s="197" t="str" cm="1">
        <f t="array" ref="AA42">IF(M42="","",IF(P42=AN42,1,Slookup(MID(AN42,1,3)*1,UomConversion!$D$8:$J$500,5,UomConversion!$E$8:$E$500,MID(P42,1,3)*1,UomConversion!$J$8:$J$500,1)))</f>
        <v/>
      </c>
      <c r="AB42" s="197" t="str">
        <f t="shared" si="11"/>
        <v/>
      </c>
      <c r="AC42" s="197" t="str">
        <f t="shared" si="12"/>
        <v/>
      </c>
      <c r="AD42" s="197" t="str">
        <f t="shared" si="13"/>
        <v/>
      </c>
      <c r="AE42" s="1866" t="str">
        <f t="shared" si="14"/>
        <v/>
      </c>
      <c r="AF42" s="1866" t="str">
        <f t="shared" si="27"/>
        <v/>
      </c>
      <c r="AG42" s="197" t="str">
        <f t="shared" si="16"/>
        <v/>
      </c>
      <c r="AH42" s="197" t="str">
        <f>IF(I42="","",IF(ISNA(MATCH(I42,IF(invoice_location_id=1,'[1]1_inventory_totals'!$C$8:$C$10000,IF(invoice_location_id=2,'[1]2_inventory_totals'!$C$8:$C$10000,0)),0)),0,IF(AV42&gt;0,1,0)))</f>
        <v/>
      </c>
      <c r="AI42" s="197" t="str">
        <f>IF(M42="","",IF(invoice_location_id=1,SUMIFS('[1]1_inventory_total_details'!$J$8:$J$10000,'[1]1_inventory_total_details'!$C$8:$C$10000,I42,'[1]1_inventory_total_details'!$F$8:$F$10000,invoice_location_id,'[1]1_inventory_total_details'!$G$8:$G$10000,"="&amp;Q42,'[1]1_inventory_total_details'!$H$8:$H$10000,"="&amp;R42,'[1]1_inventory_total_details'!$I$8:$I$10000,"="&amp;invoice_date)+SUMIFS('[1]1_inventory_total_details'!$M$8:$M$10000,'[1]1_inventory_total_details'!$C$8:$C$10000,I42,'[1]1_inventory_total_details'!$F$8:$F$10000,invoice_location_id,'[1]1_inventory_total_details'!$G$8:$G$10000,"="&amp;Q42,'[1]1_inventory_total_details'!$H$8:$H$10000,"="&amp;R42,'[1]1_inventory_total_details'!$I$8:$I$10000,"="&amp;invoice_date)+SUMIFS('[1]1_inventory_total_details'!$K$8:$K$10000,'[1]1_inventory_total_details'!$C$8:$C$10000,I42,'[1]1_inventory_total_details'!$F$8:$F$10000,invoice_location_id,'[1]1_inventory_total_details'!$G$8:$G$10000,"="&amp;Q42,'[1]1_inventory_total_details'!$H$8:$H$10000,"="&amp;R42,'[1]1_inventory_total_details'!$I$8:$I$10000,"="&amp;invoice_date)+SUMIFS('[1]1_inventory_total_details'!$L$8:$L$10000,'[1]1_inventory_total_details'!$C$8:$C$10000,I42,'[1]1_inventory_total_details'!$F$8:$F$10000,invoice_location_id,'[1]1_inventory_total_details'!$G$8:$G$10000,"="&amp;Q42,'[1]1_inventory_total_details'!$H$8:$H$10000,"="&amp;R42,'[1]1_inventory_total_details'!$I$8:$I$10000,"="&amp;invoice_date),SUMIFS('[1]2_inventory_total_details'!$J$8:$J$10000,'[1]2_inventory_total_details'!$C$8:$C$10000,I42,'[1]2_inventory_total_details'!$F$8:$F$10000,invoice_location_id,'[1]2_inventory_total_details'!$G$8:$G$10000,"="&amp;Q42,'[1]2_inventory_total_details'!$H$8:$H$10000,"="&amp;R42,'[1]2_inventory_total_details'!$I$8:$I$10000,"="&amp;invoice_date)+SUMIFS('[1]2_inventory_total_details'!$M$8:$M$10000,'[1]2_inventory_total_details'!$C$8:$C$10000,I42,'[1]2_inventory_total_details'!$F$8:$F$10000,invoice_location_id,'[1]2_inventory_total_details'!$G$8:$G$10000,"="&amp;Q42,'[1]2_inventory_total_details'!$H$8:$H$10000,"="&amp;R42,'[1]2_inventory_total_details'!$I$8:$I$10000,"="&amp;invoice_date)+SUMIFS('[1]2_inventory_total_details'!$K$8:$K$10000,'[1]2_inventory_total_details'!$C$8:$C$10000,I42,'[1]2_inventory_total_details'!$F$8:$F$10000,invoice_location_id,'[1]2_inventory_total_details'!$G$8:$G$10000,"="&amp;Q42,'[1]2_inventory_total_details'!$H$8:$H$10000,"="&amp;R42,'[1]2_inventory_total_details'!$I$8:$I$10000,"="&amp;invoice_date)+SUMIFS('[1]2_inventory_total_details'!$L$8:$L$10000,'[1]2_inventory_total_details'!$C$8:$C$10000,I42,'[1]2_inventory_total_details'!$F$8:$F$10000,invoice_location_id,'[1]2_inventory_total_details'!$G$8:$G$10000,"="&amp;Q42,'[1]2_inventory_total_details'!$H$8:$H$10000,"="&amp;R42,'[1]2_inventory_total_details'!$I$8:$I$10000,"="&amp;invoice_date)))</f>
        <v/>
      </c>
      <c r="AJ42" s="197" t="str">
        <f>IF(M42="","",IF(ISNA(MATCH(I42,'[1]1_group_totals'!$C$8:$C$10000)),0,IF(AW42&gt;0,1,0)))</f>
        <v/>
      </c>
      <c r="AK42" s="197" t="str">
        <f>IF(M42="","",(SUMIFS('[1]1_group_total_details'!$I$8:$I$10000,'[1]1_group_total_details'!$C$8:$C$10000,I42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42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42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42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42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42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42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42,'[1]1_group_total_details'!$F$8:$F$10000,invoice_location_group_id,'[1]1_group_total_details'!$G$8:$G$10000,invoice_location_id,'[1]1_group_total_details'!$H$8:$H$10000,"="&amp;invoice_date)))</f>
        <v/>
      </c>
      <c r="AL42" s="197" t="str">
        <f>IF(M42="","",(SUMIFS('[1]1_group_total_details'!$I$8:$I$10000,'[1]1_group_total_details'!$C$8:$C$10000,I42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42,'[1]1_group_total_details'!$F$8:$F$10000,invoice_location_group_id,'[1]1_group_total_details'!$G$8:$G$10000,1,'[1]1_group_total_details'!$H$8:$H$10000,"&lt;="&amp;invoice_date)+SUMIFS('[1]1_group_total_details'!$N$8:$N$10000,'[1]1_group_total_details'!$C$8:$C$10000,I42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42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42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42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42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42,'[1]1_group_total_details'!$F$8:$F$10000,invoice_location_group_id,'[1]1_group_total_details'!$G$8:$G$10000,invoice_location_id,'[1]1_group_total_details'!$H$8:$H$10000,"&lt;="&amp;invoice_date)))</f>
        <v/>
      </c>
      <c r="AM42" s="197" t="str">
        <f>IF(M42="","",SUMIFS('[1]1_group_totals'!$J$8:$J$10000,'[1]1_group_totals'!$C$8:$C$10000,I42,'[1]1_group_totals'!$F$8:$F$10000,invoice_location_group_id,'[1]1_group_totals'!$G$8:$G$10000,invoice_location_id,'[1]1_group_totals'!$H$8:$H$10000,"="&amp;Q42,'[1]1_group_totals'!$I$8:$I$10000,"="&amp;R42))</f>
        <v/>
      </c>
      <c r="AN42" s="197" t="str">
        <f t="shared" si="17"/>
        <v/>
      </c>
      <c r="AO42" s="197" t="str">
        <f>IF(OR(ISNA(MATCH(MID(AN42,1,3)*1,UomConversion!$D$8:$D$500,0)),M42=""),"",IF(AT42="","",AT42))</f>
        <v/>
      </c>
      <c r="AP42" s="197" t="str">
        <f>IF(AND(AQ42&gt;0,COUNTIFS(UomConversion!$D$8:$D$500,MID(AN42,1,3)*1,UomConversion!$J$8:$J$500,1)&gt;1),TEXT(AQ42,"000")&amp;"."&amp;VLOOKUP(AQ42,uom_list,5,FALSE),"")</f>
        <v/>
      </c>
      <c r="AQ42" s="197" t="str">
        <f t="shared" si="18"/>
        <v/>
      </c>
      <c r="AR42" s="197" t="str">
        <f t="shared" si="19"/>
        <v/>
      </c>
      <c r="AS42" s="1866" t="str">
        <f>IF(M42="","",SUMIFS(ProductPrice!$N$28:$N$10000,ProductPrice!$D$28:$D$10000,I42,ProductPrice!$G$28:$G$10000,invoice_branch_id,ProductPrice!$H$28:$H$10000,invoice_price_type_id,ProductPrice!$I$28:$I$10000,MID(P42,1,3)*1,ProductPrice!$Q$28:$Q$10000,1,ProductPrice!$T$28:$T$10000,1))</f>
        <v/>
      </c>
      <c r="AT42" s="197" t="str">
        <f t="shared" si="28"/>
        <v/>
      </c>
      <c r="AU42" s="197" t="str" cm="1">
        <f t="array" ref="AU42">IF(M42="","",IF(ISNA(Slookup(MID(AN42,1,3)*1,UomConversion!$D$8:$J$500,2,UomConversion!$I$8:$I$500,1,UomConversion!$J$8:$J$500,1)),"",Slookup(MID(AN42,1,3)*1,UomConversion!$D$8:$J$500,2,UomConversion!$I$8:$I$500,1,UomConversion!$J$8:$J$500,1)))</f>
        <v/>
      </c>
      <c r="AV42" s="197" t="str">
        <f t="shared" si="29"/>
        <v/>
      </c>
      <c r="AW42" s="197" t="str">
        <f>IF(M42="","",(SUMIFS('[1]1_group_totals'!$K$8:$K$10000,'[1]1_group_totals'!$C$8:$C$10000,I42,'[1]1_group_totals'!$F$8:$F$10000,invoice_location_group_id,'[1]1_group_totals'!$G$8:$G$10000,invoice_location_id,'[1]1_group_totals'!$H$8:$H$10000,"="&amp;Q42,'[1]1_group_totals'!$I$8:$I$10000,"="&amp;R42)+SUMIFS('[1]1_group_totals'!$N$8:$N$10000,'[1]1_group_totals'!$C$8:$C$10000,I42,'[1]1_group_totals'!$F$8:$F$10000,invoice_location_group_id,'[1]1_group_totals'!$G$8:$G$10000,invoice_location_id,'[1]1_group_totals'!$H$8:$H$10000,"="&amp;Q42,'[1]1_group_totals'!$I$8:$I$10000,"="&amp;R42)+SUMIFS('[1]1_group_totals'!$P$8:$P$10000,'[1]1_group_totals'!$C$8:$C$10000,I42,'[1]1_group_totals'!$F$8:$F$10000,invoice_location_group_id,'[1]1_group_totals'!$G$8:$G$10000,invoice_location_id,'[1]1_group_totals'!$H$8:$H$10000,"="&amp;Q42,'[1]1_group_totals'!$I$8:$I$10000,"="&amp;R42)+SUMIFS('[1]1_group_totals'!$Q$8:$Q$10000,'[1]1_group_totals'!$C$8:$C$10000,I42,'[1]1_group_totals'!$F$8:$F$10000,invoice_location_group_id,'[1]1_group_totals'!$G$8:$G$10000,invoice_location_id,'[1]1_group_totals'!$H$8:$H$10000,"="&amp;Q42,'[1]1_group_totals'!$I$8:$I$10000,"="&amp;R42))+(SUMIFS('[1]1_group_totals'!$L$8:$L$10000,'[1]1_group_totals'!$C$8:$C$10000,I42,'[1]1_group_totals'!$F$8:$F$10000,invoice_location_group_id,'[1]1_group_totals'!$G$8:$G$10000,invoice_location_id,'[1]1_group_totals'!$H$8:$H$10000,"="&amp;Q42,'[1]1_group_totals'!$I$8:$I$10000,"="&amp;R42)+SUMIFS('[1]1_group_totals'!$M$8:$M$10000,'[1]1_group_totals'!$C$8:$C$10000,I42,'[1]1_group_totals'!$F$8:$F$10000,invoice_location_group_id,'[1]1_group_totals'!$G$8:$G$10000,invoice_location_id,'[1]1_group_totals'!$H$8:$H$10000,"="&amp;Q42,'[1]1_group_totals'!$I$8:$I$10000,"="&amp;R42)+SUMIFS('[1]1_group_totals'!$O$8:$O$10000,'[1]1_group_totals'!$C$8:$C$10000,I42,'[1]1_group_totals'!$F$8:$F$10000,invoice_location_group_id,'[1]1_group_totals'!$G$8:$G$10000,invoice_location_id,'[1]1_group_totals'!$H$8:$H$10000,"="&amp;Q42,'[1]1_group_totals'!$I$8:$I$10000,"="&amp;R42)+SUMIFS('[1]1_group_totals'!$R$8:$R$10000,'[1]1_group_totals'!$C$8:$C$10000,I42,'[1]1_group_totals'!$F$8:$F$10000,invoice_location_group_id,'[1]1_group_totals'!$G$8:$G$10000,invoice_location_id,'[1]1_group_totals'!$H$8:$H$10000,"="&amp;Q42,'[1]1_group_totals'!$I$8:$I$10000,"="&amp;R42)))</f>
        <v/>
      </c>
      <c r="AX42" s="197" t="str">
        <f t="shared" si="21"/>
        <v/>
      </c>
      <c r="AY42" s="197" t="str">
        <f>IF(M42="","",SUMIFS($AX$8:AX42,$I$8:I42,I42))</f>
        <v/>
      </c>
      <c r="AZ42" s="197" t="str">
        <f t="shared" si="22"/>
        <v/>
      </c>
      <c r="BA42" s="197" t="str">
        <f>IF(M42="","",(SUMIFS('[1]1_inventory_totals'!$I$8:$I$10000,'[1]1_inventory_totals'!$C$8:$C$10000,I42,'[1]1_inventory_totals'!$F$8:$F$10000,"="&amp;Q42,'[1]1_inventory_totals'!$G$8:$G$10000,"="&amp;R42)+SUMIFS('[1]1_inventory_totals'!$N$8:$N$10000,'[1]1_inventory_totals'!$C$8:$C$10000,I42,'[1]1_inventory_totals'!$F$8:$F$10000,"="&amp;Q42,'[1]1_inventory_totals'!$G$8:$G$10000,"="&amp;R42)+SUMIFS('[1]1_inventory_totals'!$P$8:$P$10000,'[1]1_inventory_totals'!$C$8:$C$10000,I42,'[1]1_inventory_totals'!$F$8:$F$10000,"="&amp;Q42,'[1]1_inventory_totals'!$G$8:$G$10000,"="&amp;R42)+SUMIFS('[1]1_inventory_totals'!$Q$8:$Q$10000,'[1]1_inventory_totals'!$C$8:$C$10000,I42,'[1]1_inventory_totals'!$F$8:$F$10000,"="&amp;Q42,'[1]1_inventory_totals'!$G$8:$G$10000,"="&amp;R42)+SUMIFS('[1]1_inventory_totals'!$R$8:$R$10000,'[1]1_inventory_totals'!$C$8:$C$10000,I42,'[1]1_inventory_totals'!$F$8:$F$10000,"="&amp;Q42,'[1]1_inventory_totals'!$G$8:$G$10000,"="&amp;R42))+(SUMIFS('[1]1_inventory_totals'!$J$8:$J$10000,'[1]1_inventory_totals'!$C$8:$C$10000,I42,'[1]1_inventory_totals'!$F$8:$F$10000,"="&amp;Q42,'[1]1_inventory_totals'!$G$8:$G$10000,"="&amp;R42)+SUMIFS('[1]1_inventory_totals'!$K$8:$K$10000,'[1]1_inventory_totals'!$C$8:$C$10000,I42,'[1]1_inventory_totals'!$F$8:$F$10000,"="&amp;Q42,'[1]1_inventory_totals'!$G$8:$G$10000,"="&amp;R42)+SUMIFS('[1]1_inventory_totals'!$L$8:$L$10000,'[1]1_inventory_totals'!$C$8:$C$10000,I42,'[1]1_inventory_totals'!$F$8:$F$10000,"="&amp;Q42,'[1]1_inventory_totals'!$G$8:$G$10000,"="&amp;R42)+SUMIFS('[1]1_inventory_totals'!$M$8:$M$10000,'[1]1_inventory_totals'!$C$8:$C$10000,I42,'[1]1_inventory_totals'!$F$8:$F$10000,"="&amp;Q42,'[1]1_inventory_totals'!$G$8:$G$10000,"="&amp;R42)+SUMIFS('[1]1_inventory_totals'!$O$8:$O$10000,'[1]1_inventory_totals'!$C$8:$C$10000,I42,'[1]1_inventory_totals'!$F$8:$F$10000,"="&amp;Q42,'[1]1_inventory_totals'!$G$8:$G$10000,"="&amp;R42)+SUMIFS('[1]1_inventory_totals'!$S$8:$S$10000,'[1]1_inventory_totals'!$C$8:$C$10000,I42,'[1]1_inventory_totals'!$F$8:$F$10000,"="&amp;Q42,'[1]1_inventory_totals'!$G$8:$G$10000,"="&amp;R42)))</f>
        <v/>
      </c>
      <c r="BB42" s="197" t="str">
        <f>IF(M42="","",(SUMIFS('[1]2_inventory_totals'!$I$8:$I$10000,'[1]2_inventory_totals'!$C$8:$C$10000,I42,'[1]2_inventory_totals'!$F$8:$F$10000,"="&amp;Q42,'[1]2_inventory_totals'!$G$8:$G$10000,"="&amp;R42)+SUMIFS('[1]2_inventory_totals'!$N$8:$N$10000,'[1]2_inventory_totals'!$C$8:$C$10000,I42,'[1]2_inventory_totals'!$F$8:$F$10000,"="&amp;Q42,'[1]2_inventory_totals'!$G$8:$G$10000,"="&amp;R42)+SUMIFS('[1]2_inventory_totals'!$P$8:$P$10000,'[1]2_inventory_totals'!$C$8:$C$10000,I42,'[1]2_inventory_totals'!$F$8:$F$10000,"="&amp;Q42,'[1]2_inventory_totals'!$G$8:$G$10000,"="&amp;R42)+SUMIFS('[1]2_inventory_totals'!$Q$8:$Q$10000,'[1]2_inventory_totals'!$C$8:$C$10000,I42,'[1]2_inventory_totals'!$F$8:$F$10000,"="&amp;Q42,'[1]2_inventory_totals'!$G$8:$G$10000,"="&amp;R42)+SUMIFS('[1]2_inventory_totals'!$R$8:$R$10000,'[1]2_inventory_totals'!$C$8:$C$10000,I42,'[1]2_inventory_totals'!$F$8:$F$10000,"="&amp;Q42,'[1]2_inventory_totals'!$G$8:$G$10000,"="&amp;R42))+(SUMIFS('[1]2_inventory_totals'!$J$8:$J$10000,'[1]2_inventory_totals'!$C$8:$C$10000,I42,'[1]2_inventory_totals'!$F$8:$F$10000,"="&amp;Q42,'[1]2_inventory_totals'!$G$8:$G$10000,"="&amp;R42)+SUMIFS('[1]2_inventory_totals'!$K$8:$K$10000,'[1]2_inventory_totals'!$C$8:$C$10000,I42,'[1]2_inventory_totals'!$F$8:$F$10000,"="&amp;Q42,'[1]2_inventory_totals'!$G$8:$G$10000,"="&amp;R42)+SUMIFS('[1]2_inventory_totals'!$L$8:$L$10000,'[1]2_inventory_totals'!$C$8:$C$10000,I42,'[1]2_inventory_totals'!$F$8:$F$10000,"="&amp;Q42,'[1]2_inventory_totals'!$G$8:$G$10000,"="&amp;R42)+SUMIFS('[1]2_inventory_totals'!$M$8:$M$10000,'[1]2_inventory_totals'!$C$8:$C$10000,I42,'[1]2_inventory_totals'!$F$8:$F$10000,"="&amp;Q42,'[1]2_inventory_totals'!$G$8:$G$10000,"="&amp;R42)+SUMIFS('[1]2_inventory_totals'!$O$8:$O$10000,'[1]2_inventory_totals'!$C$8:$C$10000,I42,'[1]2_inventory_totals'!$F$8:$F$10000,"="&amp;Q42,'[1]2_inventory_totals'!$G$8:$G$10000,"="&amp;R42)+SUMIFS('[1]2_inventory_totals'!$S$8:$S$10000,'[1]2_inventory_totals'!$C$8:$C$10000,I42,'[1]2_inventory_totals'!$F$8:$F$10000,"="&amp;Q42,'[1]2_inventory_totals'!$G$8:$G$10000,"="&amp;R42)))</f>
        <v/>
      </c>
    </row>
    <row r="43" spans="1:54" ht="27" hidden="1" customHeight="1">
      <c r="A43" s="923"/>
      <c r="B43" s="1251"/>
      <c r="C43" s="1268"/>
      <c r="D43" s="950"/>
      <c r="E43" s="950"/>
      <c r="F43" s="1262"/>
      <c r="I43" s="1610" t="str">
        <f t="shared" si="7"/>
        <v/>
      </c>
      <c r="J43" s="1611" t="str">
        <f t="shared" si="24"/>
        <v/>
      </c>
      <c r="K43" s="1612" t="str">
        <f t="shared" si="30"/>
        <v/>
      </c>
      <c r="L43" s="1613"/>
      <c r="M43" s="883"/>
      <c r="N43" s="884"/>
      <c r="O43" s="884"/>
      <c r="P43" s="885"/>
      <c r="Q43" s="886"/>
      <c r="R43" s="891"/>
      <c r="S43" s="1614" t="str">
        <f t="shared" si="0"/>
        <v/>
      </c>
      <c r="T43" s="1536"/>
      <c r="U43" s="1864" t="str">
        <f t="shared" si="9"/>
        <v/>
      </c>
      <c r="V43" s="1615" t="str">
        <f t="shared" si="25"/>
        <v/>
      </c>
      <c r="W43" s="889"/>
      <c r="X43" s="1615" t="str">
        <f t="shared" si="26"/>
        <v/>
      </c>
      <c r="Y43" s="1865" t="str">
        <f t="shared" si="10"/>
        <v/>
      </c>
      <c r="Z43" s="890"/>
      <c r="AA43" s="197" t="str" cm="1">
        <f t="array" ref="AA43">IF(M43="","",IF(P43=AN43,1,Slookup(MID(AN43,1,3)*1,UomConversion!$D$8:$J$500,5,UomConversion!$E$8:$E$500,MID(P43,1,3)*1,UomConversion!$J$8:$J$500,1)))</f>
        <v/>
      </c>
      <c r="AB43" s="197" t="str">
        <f t="shared" si="11"/>
        <v/>
      </c>
      <c r="AC43" s="197" t="str">
        <f t="shared" si="12"/>
        <v/>
      </c>
      <c r="AD43" s="197" t="str">
        <f t="shared" si="13"/>
        <v/>
      </c>
      <c r="AE43" s="1866" t="str">
        <f t="shared" si="14"/>
        <v/>
      </c>
      <c r="AF43" s="1866" t="str">
        <f t="shared" si="27"/>
        <v/>
      </c>
      <c r="AG43" s="197" t="str">
        <f t="shared" si="16"/>
        <v/>
      </c>
      <c r="AH43" s="197" t="str">
        <f>IF(I43="","",IF(ISNA(MATCH(I43,IF(invoice_location_id=1,'[1]1_inventory_totals'!$C$8:$C$10000,IF(invoice_location_id=2,'[1]2_inventory_totals'!$C$8:$C$10000,0)),0)),0,IF(AV43&gt;0,1,0)))</f>
        <v/>
      </c>
      <c r="AI43" s="197" t="str">
        <f>IF(M43="","",IF(invoice_location_id=1,SUMIFS('[1]1_inventory_total_details'!$J$8:$J$10000,'[1]1_inventory_total_details'!$C$8:$C$10000,I43,'[1]1_inventory_total_details'!$F$8:$F$10000,invoice_location_id,'[1]1_inventory_total_details'!$G$8:$G$10000,"="&amp;Q43,'[1]1_inventory_total_details'!$H$8:$H$10000,"="&amp;R43,'[1]1_inventory_total_details'!$I$8:$I$10000,"="&amp;invoice_date)+SUMIFS('[1]1_inventory_total_details'!$M$8:$M$10000,'[1]1_inventory_total_details'!$C$8:$C$10000,I43,'[1]1_inventory_total_details'!$F$8:$F$10000,invoice_location_id,'[1]1_inventory_total_details'!$G$8:$G$10000,"="&amp;Q43,'[1]1_inventory_total_details'!$H$8:$H$10000,"="&amp;R43,'[1]1_inventory_total_details'!$I$8:$I$10000,"="&amp;invoice_date)+SUMIFS('[1]1_inventory_total_details'!$K$8:$K$10000,'[1]1_inventory_total_details'!$C$8:$C$10000,I43,'[1]1_inventory_total_details'!$F$8:$F$10000,invoice_location_id,'[1]1_inventory_total_details'!$G$8:$G$10000,"="&amp;Q43,'[1]1_inventory_total_details'!$H$8:$H$10000,"="&amp;R43,'[1]1_inventory_total_details'!$I$8:$I$10000,"="&amp;invoice_date)+SUMIFS('[1]1_inventory_total_details'!$L$8:$L$10000,'[1]1_inventory_total_details'!$C$8:$C$10000,I43,'[1]1_inventory_total_details'!$F$8:$F$10000,invoice_location_id,'[1]1_inventory_total_details'!$G$8:$G$10000,"="&amp;Q43,'[1]1_inventory_total_details'!$H$8:$H$10000,"="&amp;R43,'[1]1_inventory_total_details'!$I$8:$I$10000,"="&amp;invoice_date),SUMIFS('[1]2_inventory_total_details'!$J$8:$J$10000,'[1]2_inventory_total_details'!$C$8:$C$10000,I43,'[1]2_inventory_total_details'!$F$8:$F$10000,invoice_location_id,'[1]2_inventory_total_details'!$G$8:$G$10000,"="&amp;Q43,'[1]2_inventory_total_details'!$H$8:$H$10000,"="&amp;R43,'[1]2_inventory_total_details'!$I$8:$I$10000,"="&amp;invoice_date)+SUMIFS('[1]2_inventory_total_details'!$M$8:$M$10000,'[1]2_inventory_total_details'!$C$8:$C$10000,I43,'[1]2_inventory_total_details'!$F$8:$F$10000,invoice_location_id,'[1]2_inventory_total_details'!$G$8:$G$10000,"="&amp;Q43,'[1]2_inventory_total_details'!$H$8:$H$10000,"="&amp;R43,'[1]2_inventory_total_details'!$I$8:$I$10000,"="&amp;invoice_date)+SUMIFS('[1]2_inventory_total_details'!$K$8:$K$10000,'[1]2_inventory_total_details'!$C$8:$C$10000,I43,'[1]2_inventory_total_details'!$F$8:$F$10000,invoice_location_id,'[1]2_inventory_total_details'!$G$8:$G$10000,"="&amp;Q43,'[1]2_inventory_total_details'!$H$8:$H$10000,"="&amp;R43,'[1]2_inventory_total_details'!$I$8:$I$10000,"="&amp;invoice_date)+SUMIFS('[1]2_inventory_total_details'!$L$8:$L$10000,'[1]2_inventory_total_details'!$C$8:$C$10000,I43,'[1]2_inventory_total_details'!$F$8:$F$10000,invoice_location_id,'[1]2_inventory_total_details'!$G$8:$G$10000,"="&amp;Q43,'[1]2_inventory_total_details'!$H$8:$H$10000,"="&amp;R43,'[1]2_inventory_total_details'!$I$8:$I$10000,"="&amp;invoice_date)))</f>
        <v/>
      </c>
      <c r="AJ43" s="197" t="str">
        <f>IF(M43="","",IF(ISNA(MATCH(I43,'[1]1_group_totals'!$C$8:$C$10000)),0,IF(AW43&gt;0,1,0)))</f>
        <v/>
      </c>
      <c r="AK43" s="197" t="str">
        <f>IF(M43="","",(SUMIFS('[1]1_group_total_details'!$I$8:$I$10000,'[1]1_group_total_details'!$C$8:$C$10000,I43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43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43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43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43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43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43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43,'[1]1_group_total_details'!$F$8:$F$10000,invoice_location_group_id,'[1]1_group_total_details'!$G$8:$G$10000,invoice_location_id,'[1]1_group_total_details'!$H$8:$H$10000,"="&amp;invoice_date)))</f>
        <v/>
      </c>
      <c r="AL43" s="197" t="str">
        <f>IF(M43="","",(SUMIFS('[1]1_group_total_details'!$I$8:$I$10000,'[1]1_group_total_details'!$C$8:$C$10000,I43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43,'[1]1_group_total_details'!$F$8:$F$10000,invoice_location_group_id,'[1]1_group_total_details'!$G$8:$G$10000,1,'[1]1_group_total_details'!$H$8:$H$10000,"&lt;="&amp;invoice_date)+SUMIFS('[1]1_group_total_details'!$N$8:$N$10000,'[1]1_group_total_details'!$C$8:$C$10000,I43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43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43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43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43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43,'[1]1_group_total_details'!$F$8:$F$10000,invoice_location_group_id,'[1]1_group_total_details'!$G$8:$G$10000,invoice_location_id,'[1]1_group_total_details'!$H$8:$H$10000,"&lt;="&amp;invoice_date)))</f>
        <v/>
      </c>
      <c r="AM43" s="197" t="str">
        <f>IF(M43="","",SUMIFS('[1]1_group_totals'!$J$8:$J$10000,'[1]1_group_totals'!$C$8:$C$10000,I43,'[1]1_group_totals'!$F$8:$F$10000,invoice_location_group_id,'[1]1_group_totals'!$G$8:$G$10000,invoice_location_id,'[1]1_group_totals'!$H$8:$H$10000,"="&amp;Q43,'[1]1_group_totals'!$I$8:$I$10000,"="&amp;R43))</f>
        <v/>
      </c>
      <c r="AN43" s="197" t="str">
        <f t="shared" si="17"/>
        <v/>
      </c>
      <c r="AO43" s="197" t="str">
        <f>IF(OR(ISNA(MATCH(MID(AN43,1,3)*1,UomConversion!$D$8:$D$500,0)),M43=""),"",IF(AT43="","",AT43))</f>
        <v/>
      </c>
      <c r="AP43" s="197" t="str">
        <f>IF(AND(AQ43&gt;0,COUNTIFS(UomConversion!$D$8:$D$500,MID(AN43,1,3)*1,UomConversion!$J$8:$J$500,1)&gt;1),TEXT(AQ43,"000")&amp;"."&amp;VLOOKUP(AQ43,uom_list,5,FALSE),"")</f>
        <v/>
      </c>
      <c r="AQ43" s="197" t="str">
        <f t="shared" si="18"/>
        <v/>
      </c>
      <c r="AR43" s="197" t="str">
        <f t="shared" si="19"/>
        <v/>
      </c>
      <c r="AS43" s="1866" t="str">
        <f>IF(M43="","",SUMIFS(ProductPrice!$N$28:$N$10000,ProductPrice!$D$28:$D$10000,I43,ProductPrice!$G$28:$G$10000,invoice_branch_id,ProductPrice!$H$28:$H$10000,invoice_price_type_id,ProductPrice!$I$28:$I$10000,MID(P43,1,3)*1,ProductPrice!$Q$28:$Q$10000,1,ProductPrice!$T$28:$T$10000,1))</f>
        <v/>
      </c>
      <c r="AT43" s="197" t="str">
        <f t="shared" si="28"/>
        <v/>
      </c>
      <c r="AU43" s="197" t="str" cm="1">
        <f t="array" ref="AU43">IF(M43="","",IF(ISNA(Slookup(MID(AN43,1,3)*1,UomConversion!$D$8:$J$500,2,UomConversion!$I$8:$I$500,1,UomConversion!$J$8:$J$500,1)),"",Slookup(MID(AN43,1,3)*1,UomConversion!$D$8:$J$500,2,UomConversion!$I$8:$I$500,1,UomConversion!$J$8:$J$500,1)))</f>
        <v/>
      </c>
      <c r="AV43" s="197" t="str">
        <f t="shared" si="29"/>
        <v/>
      </c>
      <c r="AW43" s="197" t="str">
        <f>IF(M43="","",(SUMIFS('[1]1_group_totals'!$K$8:$K$10000,'[1]1_group_totals'!$C$8:$C$10000,I43,'[1]1_group_totals'!$F$8:$F$10000,invoice_location_group_id,'[1]1_group_totals'!$G$8:$G$10000,invoice_location_id,'[1]1_group_totals'!$H$8:$H$10000,"="&amp;Q43,'[1]1_group_totals'!$I$8:$I$10000,"="&amp;R43)+SUMIFS('[1]1_group_totals'!$N$8:$N$10000,'[1]1_group_totals'!$C$8:$C$10000,I43,'[1]1_group_totals'!$F$8:$F$10000,invoice_location_group_id,'[1]1_group_totals'!$G$8:$G$10000,invoice_location_id,'[1]1_group_totals'!$H$8:$H$10000,"="&amp;Q43,'[1]1_group_totals'!$I$8:$I$10000,"="&amp;R43)+SUMIFS('[1]1_group_totals'!$P$8:$P$10000,'[1]1_group_totals'!$C$8:$C$10000,I43,'[1]1_group_totals'!$F$8:$F$10000,invoice_location_group_id,'[1]1_group_totals'!$G$8:$G$10000,invoice_location_id,'[1]1_group_totals'!$H$8:$H$10000,"="&amp;Q43,'[1]1_group_totals'!$I$8:$I$10000,"="&amp;R43)+SUMIFS('[1]1_group_totals'!$Q$8:$Q$10000,'[1]1_group_totals'!$C$8:$C$10000,I43,'[1]1_group_totals'!$F$8:$F$10000,invoice_location_group_id,'[1]1_group_totals'!$G$8:$G$10000,invoice_location_id,'[1]1_group_totals'!$H$8:$H$10000,"="&amp;Q43,'[1]1_group_totals'!$I$8:$I$10000,"="&amp;R43))+(SUMIFS('[1]1_group_totals'!$L$8:$L$10000,'[1]1_group_totals'!$C$8:$C$10000,I43,'[1]1_group_totals'!$F$8:$F$10000,invoice_location_group_id,'[1]1_group_totals'!$G$8:$G$10000,invoice_location_id,'[1]1_group_totals'!$H$8:$H$10000,"="&amp;Q43,'[1]1_group_totals'!$I$8:$I$10000,"="&amp;R43)+SUMIFS('[1]1_group_totals'!$M$8:$M$10000,'[1]1_group_totals'!$C$8:$C$10000,I43,'[1]1_group_totals'!$F$8:$F$10000,invoice_location_group_id,'[1]1_group_totals'!$G$8:$G$10000,invoice_location_id,'[1]1_group_totals'!$H$8:$H$10000,"="&amp;Q43,'[1]1_group_totals'!$I$8:$I$10000,"="&amp;R43)+SUMIFS('[1]1_group_totals'!$O$8:$O$10000,'[1]1_group_totals'!$C$8:$C$10000,I43,'[1]1_group_totals'!$F$8:$F$10000,invoice_location_group_id,'[1]1_group_totals'!$G$8:$G$10000,invoice_location_id,'[1]1_group_totals'!$H$8:$H$10000,"="&amp;Q43,'[1]1_group_totals'!$I$8:$I$10000,"="&amp;R43)+SUMIFS('[1]1_group_totals'!$R$8:$R$10000,'[1]1_group_totals'!$C$8:$C$10000,I43,'[1]1_group_totals'!$F$8:$F$10000,invoice_location_group_id,'[1]1_group_totals'!$G$8:$G$10000,invoice_location_id,'[1]1_group_totals'!$H$8:$H$10000,"="&amp;Q43,'[1]1_group_totals'!$I$8:$I$10000,"="&amp;R43)))</f>
        <v/>
      </c>
      <c r="AX43" s="197" t="str">
        <f t="shared" si="21"/>
        <v/>
      </c>
      <c r="AY43" s="197" t="str">
        <f>IF(M43="","",SUMIFS($AX$8:AX43,$I$8:I43,I43))</f>
        <v/>
      </c>
      <c r="AZ43" s="197" t="str">
        <f t="shared" si="22"/>
        <v/>
      </c>
      <c r="BA43" s="197" t="str">
        <f>IF(M43="","",(SUMIFS('[1]1_inventory_totals'!$I$8:$I$10000,'[1]1_inventory_totals'!$C$8:$C$10000,I43,'[1]1_inventory_totals'!$F$8:$F$10000,"="&amp;Q43,'[1]1_inventory_totals'!$G$8:$G$10000,"="&amp;R43)+SUMIFS('[1]1_inventory_totals'!$N$8:$N$10000,'[1]1_inventory_totals'!$C$8:$C$10000,I43,'[1]1_inventory_totals'!$F$8:$F$10000,"="&amp;Q43,'[1]1_inventory_totals'!$G$8:$G$10000,"="&amp;R43)+SUMIFS('[1]1_inventory_totals'!$P$8:$P$10000,'[1]1_inventory_totals'!$C$8:$C$10000,I43,'[1]1_inventory_totals'!$F$8:$F$10000,"="&amp;Q43,'[1]1_inventory_totals'!$G$8:$G$10000,"="&amp;R43)+SUMIFS('[1]1_inventory_totals'!$Q$8:$Q$10000,'[1]1_inventory_totals'!$C$8:$C$10000,I43,'[1]1_inventory_totals'!$F$8:$F$10000,"="&amp;Q43,'[1]1_inventory_totals'!$G$8:$G$10000,"="&amp;R43)+SUMIFS('[1]1_inventory_totals'!$R$8:$R$10000,'[1]1_inventory_totals'!$C$8:$C$10000,I43,'[1]1_inventory_totals'!$F$8:$F$10000,"="&amp;Q43,'[1]1_inventory_totals'!$G$8:$G$10000,"="&amp;R43))+(SUMIFS('[1]1_inventory_totals'!$J$8:$J$10000,'[1]1_inventory_totals'!$C$8:$C$10000,I43,'[1]1_inventory_totals'!$F$8:$F$10000,"="&amp;Q43,'[1]1_inventory_totals'!$G$8:$G$10000,"="&amp;R43)+SUMIFS('[1]1_inventory_totals'!$K$8:$K$10000,'[1]1_inventory_totals'!$C$8:$C$10000,I43,'[1]1_inventory_totals'!$F$8:$F$10000,"="&amp;Q43,'[1]1_inventory_totals'!$G$8:$G$10000,"="&amp;R43)+SUMIFS('[1]1_inventory_totals'!$L$8:$L$10000,'[1]1_inventory_totals'!$C$8:$C$10000,I43,'[1]1_inventory_totals'!$F$8:$F$10000,"="&amp;Q43,'[1]1_inventory_totals'!$G$8:$G$10000,"="&amp;R43)+SUMIFS('[1]1_inventory_totals'!$M$8:$M$10000,'[1]1_inventory_totals'!$C$8:$C$10000,I43,'[1]1_inventory_totals'!$F$8:$F$10000,"="&amp;Q43,'[1]1_inventory_totals'!$G$8:$G$10000,"="&amp;R43)+SUMIFS('[1]1_inventory_totals'!$O$8:$O$10000,'[1]1_inventory_totals'!$C$8:$C$10000,I43,'[1]1_inventory_totals'!$F$8:$F$10000,"="&amp;Q43,'[1]1_inventory_totals'!$G$8:$G$10000,"="&amp;R43)+SUMIFS('[1]1_inventory_totals'!$S$8:$S$10000,'[1]1_inventory_totals'!$C$8:$C$10000,I43,'[1]1_inventory_totals'!$F$8:$F$10000,"="&amp;Q43,'[1]1_inventory_totals'!$G$8:$G$10000,"="&amp;R43)))</f>
        <v/>
      </c>
      <c r="BB43" s="197" t="str">
        <f>IF(M43="","",(SUMIFS('[1]2_inventory_totals'!$I$8:$I$10000,'[1]2_inventory_totals'!$C$8:$C$10000,I43,'[1]2_inventory_totals'!$F$8:$F$10000,"="&amp;Q43,'[1]2_inventory_totals'!$G$8:$G$10000,"="&amp;R43)+SUMIFS('[1]2_inventory_totals'!$N$8:$N$10000,'[1]2_inventory_totals'!$C$8:$C$10000,I43,'[1]2_inventory_totals'!$F$8:$F$10000,"="&amp;Q43,'[1]2_inventory_totals'!$G$8:$G$10000,"="&amp;R43)+SUMIFS('[1]2_inventory_totals'!$P$8:$P$10000,'[1]2_inventory_totals'!$C$8:$C$10000,I43,'[1]2_inventory_totals'!$F$8:$F$10000,"="&amp;Q43,'[1]2_inventory_totals'!$G$8:$G$10000,"="&amp;R43)+SUMIFS('[1]2_inventory_totals'!$Q$8:$Q$10000,'[1]2_inventory_totals'!$C$8:$C$10000,I43,'[1]2_inventory_totals'!$F$8:$F$10000,"="&amp;Q43,'[1]2_inventory_totals'!$G$8:$G$10000,"="&amp;R43)+SUMIFS('[1]2_inventory_totals'!$R$8:$R$10000,'[1]2_inventory_totals'!$C$8:$C$10000,I43,'[1]2_inventory_totals'!$F$8:$F$10000,"="&amp;Q43,'[1]2_inventory_totals'!$G$8:$G$10000,"="&amp;R43))+(SUMIFS('[1]2_inventory_totals'!$J$8:$J$10000,'[1]2_inventory_totals'!$C$8:$C$10000,I43,'[1]2_inventory_totals'!$F$8:$F$10000,"="&amp;Q43,'[1]2_inventory_totals'!$G$8:$G$10000,"="&amp;R43)+SUMIFS('[1]2_inventory_totals'!$K$8:$K$10000,'[1]2_inventory_totals'!$C$8:$C$10000,I43,'[1]2_inventory_totals'!$F$8:$F$10000,"="&amp;Q43,'[1]2_inventory_totals'!$G$8:$G$10000,"="&amp;R43)+SUMIFS('[1]2_inventory_totals'!$L$8:$L$10000,'[1]2_inventory_totals'!$C$8:$C$10000,I43,'[1]2_inventory_totals'!$F$8:$F$10000,"="&amp;Q43,'[1]2_inventory_totals'!$G$8:$G$10000,"="&amp;R43)+SUMIFS('[1]2_inventory_totals'!$M$8:$M$10000,'[1]2_inventory_totals'!$C$8:$C$10000,I43,'[1]2_inventory_totals'!$F$8:$F$10000,"="&amp;Q43,'[1]2_inventory_totals'!$G$8:$G$10000,"="&amp;R43)+SUMIFS('[1]2_inventory_totals'!$O$8:$O$10000,'[1]2_inventory_totals'!$C$8:$C$10000,I43,'[1]2_inventory_totals'!$F$8:$F$10000,"="&amp;Q43,'[1]2_inventory_totals'!$G$8:$G$10000,"="&amp;R43)+SUMIFS('[1]2_inventory_totals'!$S$8:$S$10000,'[1]2_inventory_totals'!$C$8:$C$10000,I43,'[1]2_inventory_totals'!$F$8:$F$10000,"="&amp;Q43,'[1]2_inventory_totals'!$G$8:$G$10000,"="&amp;R43)))</f>
        <v/>
      </c>
    </row>
    <row r="44" spans="1:54" ht="27" hidden="1" customHeight="1">
      <c r="A44" s="923"/>
      <c r="B44" s="1251"/>
      <c r="C44" s="1268"/>
      <c r="D44" s="950"/>
      <c r="E44" s="950"/>
      <c r="F44" s="1262"/>
      <c r="I44" s="1610" t="str">
        <f t="shared" si="7"/>
        <v/>
      </c>
      <c r="J44" s="1611" t="str">
        <f t="shared" si="24"/>
        <v/>
      </c>
      <c r="K44" s="1612" t="str">
        <f t="shared" si="30"/>
        <v/>
      </c>
      <c r="L44" s="1613"/>
      <c r="M44" s="883"/>
      <c r="N44" s="884"/>
      <c r="O44" s="884"/>
      <c r="P44" s="885"/>
      <c r="Q44" s="886"/>
      <c r="R44" s="891"/>
      <c r="S44" s="1614" t="str">
        <f t="shared" si="0"/>
        <v/>
      </c>
      <c r="T44" s="1536"/>
      <c r="U44" s="1864" t="str">
        <f t="shared" si="9"/>
        <v/>
      </c>
      <c r="V44" s="1615" t="str">
        <f t="shared" si="25"/>
        <v/>
      </c>
      <c r="W44" s="889"/>
      <c r="X44" s="1615" t="str">
        <f t="shared" si="26"/>
        <v/>
      </c>
      <c r="Y44" s="1865" t="str">
        <f t="shared" si="10"/>
        <v/>
      </c>
      <c r="Z44" s="890"/>
      <c r="AA44" s="197" t="str" cm="1">
        <f t="array" ref="AA44">IF(M44="","",IF(P44=AN44,1,Slookup(MID(AN44,1,3)*1,UomConversion!$D$8:$J$500,5,UomConversion!$E$8:$E$500,MID(P44,1,3)*1,UomConversion!$J$8:$J$500,1)))</f>
        <v/>
      </c>
      <c r="AB44" s="197" t="str">
        <f t="shared" si="11"/>
        <v/>
      </c>
      <c r="AC44" s="197" t="str">
        <f t="shared" si="12"/>
        <v/>
      </c>
      <c r="AD44" s="197" t="str">
        <f t="shared" si="13"/>
        <v/>
      </c>
      <c r="AE44" s="1866" t="str">
        <f t="shared" si="14"/>
        <v/>
      </c>
      <c r="AF44" s="1866" t="str">
        <f t="shared" si="27"/>
        <v/>
      </c>
      <c r="AG44" s="197" t="str">
        <f t="shared" si="16"/>
        <v/>
      </c>
      <c r="AH44" s="197" t="str">
        <f>IF(I44="","",IF(ISNA(MATCH(I44,IF(invoice_location_id=1,'[1]1_inventory_totals'!$C$8:$C$10000,IF(invoice_location_id=2,'[1]2_inventory_totals'!$C$8:$C$10000,0)),0)),0,IF(AV44&gt;0,1,0)))</f>
        <v/>
      </c>
      <c r="AI44" s="197" t="str">
        <f>IF(M44="","",IF(invoice_location_id=1,SUMIFS('[1]1_inventory_total_details'!$J$8:$J$10000,'[1]1_inventory_total_details'!$C$8:$C$10000,I44,'[1]1_inventory_total_details'!$F$8:$F$10000,invoice_location_id,'[1]1_inventory_total_details'!$G$8:$G$10000,"="&amp;Q44,'[1]1_inventory_total_details'!$H$8:$H$10000,"="&amp;R44,'[1]1_inventory_total_details'!$I$8:$I$10000,"="&amp;invoice_date)+SUMIFS('[1]1_inventory_total_details'!$M$8:$M$10000,'[1]1_inventory_total_details'!$C$8:$C$10000,I44,'[1]1_inventory_total_details'!$F$8:$F$10000,invoice_location_id,'[1]1_inventory_total_details'!$G$8:$G$10000,"="&amp;Q44,'[1]1_inventory_total_details'!$H$8:$H$10000,"="&amp;R44,'[1]1_inventory_total_details'!$I$8:$I$10000,"="&amp;invoice_date)+SUMIFS('[1]1_inventory_total_details'!$K$8:$K$10000,'[1]1_inventory_total_details'!$C$8:$C$10000,I44,'[1]1_inventory_total_details'!$F$8:$F$10000,invoice_location_id,'[1]1_inventory_total_details'!$G$8:$G$10000,"="&amp;Q44,'[1]1_inventory_total_details'!$H$8:$H$10000,"="&amp;R44,'[1]1_inventory_total_details'!$I$8:$I$10000,"="&amp;invoice_date)+SUMIFS('[1]1_inventory_total_details'!$L$8:$L$10000,'[1]1_inventory_total_details'!$C$8:$C$10000,I44,'[1]1_inventory_total_details'!$F$8:$F$10000,invoice_location_id,'[1]1_inventory_total_details'!$G$8:$G$10000,"="&amp;Q44,'[1]1_inventory_total_details'!$H$8:$H$10000,"="&amp;R44,'[1]1_inventory_total_details'!$I$8:$I$10000,"="&amp;invoice_date),SUMIFS('[1]2_inventory_total_details'!$J$8:$J$10000,'[1]2_inventory_total_details'!$C$8:$C$10000,I44,'[1]2_inventory_total_details'!$F$8:$F$10000,invoice_location_id,'[1]2_inventory_total_details'!$G$8:$G$10000,"="&amp;Q44,'[1]2_inventory_total_details'!$H$8:$H$10000,"="&amp;R44,'[1]2_inventory_total_details'!$I$8:$I$10000,"="&amp;invoice_date)+SUMIFS('[1]2_inventory_total_details'!$M$8:$M$10000,'[1]2_inventory_total_details'!$C$8:$C$10000,I44,'[1]2_inventory_total_details'!$F$8:$F$10000,invoice_location_id,'[1]2_inventory_total_details'!$G$8:$G$10000,"="&amp;Q44,'[1]2_inventory_total_details'!$H$8:$H$10000,"="&amp;R44,'[1]2_inventory_total_details'!$I$8:$I$10000,"="&amp;invoice_date)+SUMIFS('[1]2_inventory_total_details'!$K$8:$K$10000,'[1]2_inventory_total_details'!$C$8:$C$10000,I44,'[1]2_inventory_total_details'!$F$8:$F$10000,invoice_location_id,'[1]2_inventory_total_details'!$G$8:$G$10000,"="&amp;Q44,'[1]2_inventory_total_details'!$H$8:$H$10000,"="&amp;R44,'[1]2_inventory_total_details'!$I$8:$I$10000,"="&amp;invoice_date)+SUMIFS('[1]2_inventory_total_details'!$L$8:$L$10000,'[1]2_inventory_total_details'!$C$8:$C$10000,I44,'[1]2_inventory_total_details'!$F$8:$F$10000,invoice_location_id,'[1]2_inventory_total_details'!$G$8:$G$10000,"="&amp;Q44,'[1]2_inventory_total_details'!$H$8:$H$10000,"="&amp;R44,'[1]2_inventory_total_details'!$I$8:$I$10000,"="&amp;invoice_date)))</f>
        <v/>
      </c>
      <c r="AJ44" s="197" t="str">
        <f>IF(M44="","",IF(ISNA(MATCH(I44,'[1]1_group_totals'!$C$8:$C$10000)),0,IF(AW44&gt;0,1,0)))</f>
        <v/>
      </c>
      <c r="AK44" s="197" t="str">
        <f>IF(M44="","",(SUMIFS('[1]1_group_total_details'!$I$8:$I$10000,'[1]1_group_total_details'!$C$8:$C$10000,I44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44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44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44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44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44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44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44,'[1]1_group_total_details'!$F$8:$F$10000,invoice_location_group_id,'[1]1_group_total_details'!$G$8:$G$10000,invoice_location_id,'[1]1_group_total_details'!$H$8:$H$10000,"="&amp;invoice_date)))</f>
        <v/>
      </c>
      <c r="AL44" s="197" t="str">
        <f>IF(M44="","",(SUMIFS('[1]1_group_total_details'!$I$8:$I$10000,'[1]1_group_total_details'!$C$8:$C$10000,I44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44,'[1]1_group_total_details'!$F$8:$F$10000,invoice_location_group_id,'[1]1_group_total_details'!$G$8:$G$10000,1,'[1]1_group_total_details'!$H$8:$H$10000,"&lt;="&amp;invoice_date)+SUMIFS('[1]1_group_total_details'!$N$8:$N$10000,'[1]1_group_total_details'!$C$8:$C$10000,I44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44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44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44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44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44,'[1]1_group_total_details'!$F$8:$F$10000,invoice_location_group_id,'[1]1_group_total_details'!$G$8:$G$10000,invoice_location_id,'[1]1_group_total_details'!$H$8:$H$10000,"&lt;="&amp;invoice_date)))</f>
        <v/>
      </c>
      <c r="AM44" s="197" t="str">
        <f>IF(M44="","",SUMIFS('[1]1_group_totals'!$J$8:$J$10000,'[1]1_group_totals'!$C$8:$C$10000,I44,'[1]1_group_totals'!$F$8:$F$10000,invoice_location_group_id,'[1]1_group_totals'!$G$8:$G$10000,invoice_location_id,'[1]1_group_totals'!$H$8:$H$10000,"="&amp;Q44,'[1]1_group_totals'!$I$8:$I$10000,"="&amp;R44))</f>
        <v/>
      </c>
      <c r="AN44" s="197" t="str">
        <f t="shared" si="17"/>
        <v/>
      </c>
      <c r="AO44" s="197" t="str">
        <f>IF(OR(ISNA(MATCH(MID(AN44,1,3)*1,UomConversion!$D$8:$D$500,0)),M44=""),"",IF(AT44="","",AT44))</f>
        <v/>
      </c>
      <c r="AP44" s="197" t="str">
        <f>IF(AND(AQ44&gt;0,COUNTIFS(UomConversion!$D$8:$D$500,MID(AN44,1,3)*1,UomConversion!$J$8:$J$500,1)&gt;1),TEXT(AQ44,"000")&amp;"."&amp;VLOOKUP(AQ44,uom_list,5,FALSE),"")</f>
        <v/>
      </c>
      <c r="AQ44" s="197" t="str">
        <f t="shared" si="18"/>
        <v/>
      </c>
      <c r="AR44" s="197" t="str">
        <f t="shared" si="19"/>
        <v/>
      </c>
      <c r="AS44" s="1866" t="str">
        <f>IF(M44="","",SUMIFS(ProductPrice!$N$28:$N$10000,ProductPrice!$D$28:$D$10000,I44,ProductPrice!$G$28:$G$10000,invoice_branch_id,ProductPrice!$H$28:$H$10000,invoice_price_type_id,ProductPrice!$I$28:$I$10000,MID(P44,1,3)*1,ProductPrice!$Q$28:$Q$10000,1,ProductPrice!$T$28:$T$10000,1))</f>
        <v/>
      </c>
      <c r="AT44" s="197" t="str">
        <f t="shared" si="28"/>
        <v/>
      </c>
      <c r="AU44" s="197" t="str" cm="1">
        <f t="array" ref="AU44">IF(M44="","",IF(ISNA(Slookup(MID(AN44,1,3)*1,UomConversion!$D$8:$J$500,2,UomConversion!$I$8:$I$500,1,UomConversion!$J$8:$J$500,1)),"",Slookup(MID(AN44,1,3)*1,UomConversion!$D$8:$J$500,2,UomConversion!$I$8:$I$500,1,UomConversion!$J$8:$J$500,1)))</f>
        <v/>
      </c>
      <c r="AV44" s="197" t="str">
        <f t="shared" si="29"/>
        <v/>
      </c>
      <c r="AW44" s="197" t="str">
        <f>IF(M44="","",(SUMIFS('[1]1_group_totals'!$K$8:$K$10000,'[1]1_group_totals'!$C$8:$C$10000,I44,'[1]1_group_totals'!$F$8:$F$10000,invoice_location_group_id,'[1]1_group_totals'!$G$8:$G$10000,invoice_location_id,'[1]1_group_totals'!$H$8:$H$10000,"="&amp;Q44,'[1]1_group_totals'!$I$8:$I$10000,"="&amp;R44)+SUMIFS('[1]1_group_totals'!$N$8:$N$10000,'[1]1_group_totals'!$C$8:$C$10000,I44,'[1]1_group_totals'!$F$8:$F$10000,invoice_location_group_id,'[1]1_group_totals'!$G$8:$G$10000,invoice_location_id,'[1]1_group_totals'!$H$8:$H$10000,"="&amp;Q44,'[1]1_group_totals'!$I$8:$I$10000,"="&amp;R44)+SUMIFS('[1]1_group_totals'!$P$8:$P$10000,'[1]1_group_totals'!$C$8:$C$10000,I44,'[1]1_group_totals'!$F$8:$F$10000,invoice_location_group_id,'[1]1_group_totals'!$G$8:$G$10000,invoice_location_id,'[1]1_group_totals'!$H$8:$H$10000,"="&amp;Q44,'[1]1_group_totals'!$I$8:$I$10000,"="&amp;R44)+SUMIFS('[1]1_group_totals'!$Q$8:$Q$10000,'[1]1_group_totals'!$C$8:$C$10000,I44,'[1]1_group_totals'!$F$8:$F$10000,invoice_location_group_id,'[1]1_group_totals'!$G$8:$G$10000,invoice_location_id,'[1]1_group_totals'!$H$8:$H$10000,"="&amp;Q44,'[1]1_group_totals'!$I$8:$I$10000,"="&amp;R44))+(SUMIFS('[1]1_group_totals'!$L$8:$L$10000,'[1]1_group_totals'!$C$8:$C$10000,I44,'[1]1_group_totals'!$F$8:$F$10000,invoice_location_group_id,'[1]1_group_totals'!$G$8:$G$10000,invoice_location_id,'[1]1_group_totals'!$H$8:$H$10000,"="&amp;Q44,'[1]1_group_totals'!$I$8:$I$10000,"="&amp;R44)+SUMIFS('[1]1_group_totals'!$M$8:$M$10000,'[1]1_group_totals'!$C$8:$C$10000,I44,'[1]1_group_totals'!$F$8:$F$10000,invoice_location_group_id,'[1]1_group_totals'!$G$8:$G$10000,invoice_location_id,'[1]1_group_totals'!$H$8:$H$10000,"="&amp;Q44,'[1]1_group_totals'!$I$8:$I$10000,"="&amp;R44)+SUMIFS('[1]1_group_totals'!$O$8:$O$10000,'[1]1_group_totals'!$C$8:$C$10000,I44,'[1]1_group_totals'!$F$8:$F$10000,invoice_location_group_id,'[1]1_group_totals'!$G$8:$G$10000,invoice_location_id,'[1]1_group_totals'!$H$8:$H$10000,"="&amp;Q44,'[1]1_group_totals'!$I$8:$I$10000,"="&amp;R44)+SUMIFS('[1]1_group_totals'!$R$8:$R$10000,'[1]1_group_totals'!$C$8:$C$10000,I44,'[1]1_group_totals'!$F$8:$F$10000,invoice_location_group_id,'[1]1_group_totals'!$G$8:$G$10000,invoice_location_id,'[1]1_group_totals'!$H$8:$H$10000,"="&amp;Q44,'[1]1_group_totals'!$I$8:$I$10000,"="&amp;R44)))</f>
        <v/>
      </c>
      <c r="AX44" s="197" t="str">
        <f t="shared" si="21"/>
        <v/>
      </c>
      <c r="AY44" s="197" t="str">
        <f>IF(M44="","",SUMIFS($AX$8:AX44,$I$8:I44,I44))</f>
        <v/>
      </c>
      <c r="AZ44" s="197" t="str">
        <f t="shared" si="22"/>
        <v/>
      </c>
      <c r="BA44" s="197" t="str">
        <f>IF(M44="","",(SUMIFS('[1]1_inventory_totals'!$I$8:$I$10000,'[1]1_inventory_totals'!$C$8:$C$10000,I44,'[1]1_inventory_totals'!$F$8:$F$10000,"="&amp;Q44,'[1]1_inventory_totals'!$G$8:$G$10000,"="&amp;R44)+SUMIFS('[1]1_inventory_totals'!$N$8:$N$10000,'[1]1_inventory_totals'!$C$8:$C$10000,I44,'[1]1_inventory_totals'!$F$8:$F$10000,"="&amp;Q44,'[1]1_inventory_totals'!$G$8:$G$10000,"="&amp;R44)+SUMIFS('[1]1_inventory_totals'!$P$8:$P$10000,'[1]1_inventory_totals'!$C$8:$C$10000,I44,'[1]1_inventory_totals'!$F$8:$F$10000,"="&amp;Q44,'[1]1_inventory_totals'!$G$8:$G$10000,"="&amp;R44)+SUMIFS('[1]1_inventory_totals'!$Q$8:$Q$10000,'[1]1_inventory_totals'!$C$8:$C$10000,I44,'[1]1_inventory_totals'!$F$8:$F$10000,"="&amp;Q44,'[1]1_inventory_totals'!$G$8:$G$10000,"="&amp;R44)+SUMIFS('[1]1_inventory_totals'!$R$8:$R$10000,'[1]1_inventory_totals'!$C$8:$C$10000,I44,'[1]1_inventory_totals'!$F$8:$F$10000,"="&amp;Q44,'[1]1_inventory_totals'!$G$8:$G$10000,"="&amp;R44))+(SUMIFS('[1]1_inventory_totals'!$J$8:$J$10000,'[1]1_inventory_totals'!$C$8:$C$10000,I44,'[1]1_inventory_totals'!$F$8:$F$10000,"="&amp;Q44,'[1]1_inventory_totals'!$G$8:$G$10000,"="&amp;R44)+SUMIFS('[1]1_inventory_totals'!$K$8:$K$10000,'[1]1_inventory_totals'!$C$8:$C$10000,I44,'[1]1_inventory_totals'!$F$8:$F$10000,"="&amp;Q44,'[1]1_inventory_totals'!$G$8:$G$10000,"="&amp;R44)+SUMIFS('[1]1_inventory_totals'!$L$8:$L$10000,'[1]1_inventory_totals'!$C$8:$C$10000,I44,'[1]1_inventory_totals'!$F$8:$F$10000,"="&amp;Q44,'[1]1_inventory_totals'!$G$8:$G$10000,"="&amp;R44)+SUMIFS('[1]1_inventory_totals'!$M$8:$M$10000,'[1]1_inventory_totals'!$C$8:$C$10000,I44,'[1]1_inventory_totals'!$F$8:$F$10000,"="&amp;Q44,'[1]1_inventory_totals'!$G$8:$G$10000,"="&amp;R44)+SUMIFS('[1]1_inventory_totals'!$O$8:$O$10000,'[1]1_inventory_totals'!$C$8:$C$10000,I44,'[1]1_inventory_totals'!$F$8:$F$10000,"="&amp;Q44,'[1]1_inventory_totals'!$G$8:$G$10000,"="&amp;R44)+SUMIFS('[1]1_inventory_totals'!$S$8:$S$10000,'[1]1_inventory_totals'!$C$8:$C$10000,I44,'[1]1_inventory_totals'!$F$8:$F$10000,"="&amp;Q44,'[1]1_inventory_totals'!$G$8:$G$10000,"="&amp;R44)))</f>
        <v/>
      </c>
      <c r="BB44" s="197" t="str">
        <f>IF(M44="","",(SUMIFS('[1]2_inventory_totals'!$I$8:$I$10000,'[1]2_inventory_totals'!$C$8:$C$10000,I44,'[1]2_inventory_totals'!$F$8:$F$10000,"="&amp;Q44,'[1]2_inventory_totals'!$G$8:$G$10000,"="&amp;R44)+SUMIFS('[1]2_inventory_totals'!$N$8:$N$10000,'[1]2_inventory_totals'!$C$8:$C$10000,I44,'[1]2_inventory_totals'!$F$8:$F$10000,"="&amp;Q44,'[1]2_inventory_totals'!$G$8:$G$10000,"="&amp;R44)+SUMIFS('[1]2_inventory_totals'!$P$8:$P$10000,'[1]2_inventory_totals'!$C$8:$C$10000,I44,'[1]2_inventory_totals'!$F$8:$F$10000,"="&amp;Q44,'[1]2_inventory_totals'!$G$8:$G$10000,"="&amp;R44)+SUMIFS('[1]2_inventory_totals'!$Q$8:$Q$10000,'[1]2_inventory_totals'!$C$8:$C$10000,I44,'[1]2_inventory_totals'!$F$8:$F$10000,"="&amp;Q44,'[1]2_inventory_totals'!$G$8:$G$10000,"="&amp;R44)+SUMIFS('[1]2_inventory_totals'!$R$8:$R$10000,'[1]2_inventory_totals'!$C$8:$C$10000,I44,'[1]2_inventory_totals'!$F$8:$F$10000,"="&amp;Q44,'[1]2_inventory_totals'!$G$8:$G$10000,"="&amp;R44))+(SUMIFS('[1]2_inventory_totals'!$J$8:$J$10000,'[1]2_inventory_totals'!$C$8:$C$10000,I44,'[1]2_inventory_totals'!$F$8:$F$10000,"="&amp;Q44,'[1]2_inventory_totals'!$G$8:$G$10000,"="&amp;R44)+SUMIFS('[1]2_inventory_totals'!$K$8:$K$10000,'[1]2_inventory_totals'!$C$8:$C$10000,I44,'[1]2_inventory_totals'!$F$8:$F$10000,"="&amp;Q44,'[1]2_inventory_totals'!$G$8:$G$10000,"="&amp;R44)+SUMIFS('[1]2_inventory_totals'!$L$8:$L$10000,'[1]2_inventory_totals'!$C$8:$C$10000,I44,'[1]2_inventory_totals'!$F$8:$F$10000,"="&amp;Q44,'[1]2_inventory_totals'!$G$8:$G$10000,"="&amp;R44)+SUMIFS('[1]2_inventory_totals'!$M$8:$M$10000,'[1]2_inventory_totals'!$C$8:$C$10000,I44,'[1]2_inventory_totals'!$F$8:$F$10000,"="&amp;Q44,'[1]2_inventory_totals'!$G$8:$G$10000,"="&amp;R44)+SUMIFS('[1]2_inventory_totals'!$O$8:$O$10000,'[1]2_inventory_totals'!$C$8:$C$10000,I44,'[1]2_inventory_totals'!$F$8:$F$10000,"="&amp;Q44,'[1]2_inventory_totals'!$G$8:$G$10000,"="&amp;R44)+SUMIFS('[1]2_inventory_totals'!$S$8:$S$10000,'[1]2_inventory_totals'!$C$8:$C$10000,I44,'[1]2_inventory_totals'!$F$8:$F$10000,"="&amp;Q44,'[1]2_inventory_totals'!$G$8:$G$10000,"="&amp;R44)))</f>
        <v/>
      </c>
    </row>
    <row r="45" spans="1:54" ht="27" hidden="1" customHeight="1">
      <c r="A45" s="923"/>
      <c r="B45" s="1251"/>
      <c r="C45" s="1268"/>
      <c r="D45" s="950"/>
      <c r="E45" s="950"/>
      <c r="F45" s="1262"/>
      <c r="I45" s="1610" t="str">
        <f t="shared" si="7"/>
        <v/>
      </c>
      <c r="J45" s="1611" t="str">
        <f t="shared" si="24"/>
        <v/>
      </c>
      <c r="K45" s="1612" t="str">
        <f t="shared" si="30"/>
        <v/>
      </c>
      <c r="L45" s="1613"/>
      <c r="M45" s="883"/>
      <c r="N45" s="884"/>
      <c r="O45" s="884"/>
      <c r="P45" s="885"/>
      <c r="Q45" s="886"/>
      <c r="R45" s="891"/>
      <c r="S45" s="1614" t="str">
        <f t="shared" si="0"/>
        <v/>
      </c>
      <c r="T45" s="1536"/>
      <c r="U45" s="1864" t="str">
        <f t="shared" si="9"/>
        <v/>
      </c>
      <c r="V45" s="1615" t="str">
        <f t="shared" si="25"/>
        <v/>
      </c>
      <c r="W45" s="889"/>
      <c r="X45" s="1615" t="str">
        <f t="shared" si="26"/>
        <v/>
      </c>
      <c r="Y45" s="1865" t="str">
        <f t="shared" si="10"/>
        <v/>
      </c>
      <c r="Z45" s="890"/>
      <c r="AA45" s="197" t="str" cm="1">
        <f t="array" ref="AA45">IF(M45="","",IF(P45=AN45,1,Slookup(MID(AN45,1,3)*1,UomConversion!$D$8:$J$500,5,UomConversion!$E$8:$E$500,MID(P45,1,3)*1,UomConversion!$J$8:$J$500,1)))</f>
        <v/>
      </c>
      <c r="AB45" s="197" t="str">
        <f t="shared" si="11"/>
        <v/>
      </c>
      <c r="AC45" s="197" t="str">
        <f t="shared" si="12"/>
        <v/>
      </c>
      <c r="AD45" s="197" t="str">
        <f t="shared" si="13"/>
        <v/>
      </c>
      <c r="AE45" s="1866" t="str">
        <f t="shared" si="14"/>
        <v/>
      </c>
      <c r="AF45" s="1866" t="str">
        <f t="shared" si="27"/>
        <v/>
      </c>
      <c r="AG45" s="197" t="str">
        <f t="shared" si="16"/>
        <v/>
      </c>
      <c r="AH45" s="197" t="str">
        <f>IF(I45="","",IF(ISNA(MATCH(I45,IF(invoice_location_id=1,'[1]1_inventory_totals'!$C$8:$C$10000,IF(invoice_location_id=2,'[1]2_inventory_totals'!$C$8:$C$10000,0)),0)),0,IF(AV45&gt;0,1,0)))</f>
        <v/>
      </c>
      <c r="AI45" s="197" t="str">
        <f>IF(M45="","",IF(invoice_location_id=1,SUMIFS('[1]1_inventory_total_details'!$J$8:$J$10000,'[1]1_inventory_total_details'!$C$8:$C$10000,I45,'[1]1_inventory_total_details'!$F$8:$F$10000,invoice_location_id,'[1]1_inventory_total_details'!$G$8:$G$10000,"="&amp;Q45,'[1]1_inventory_total_details'!$H$8:$H$10000,"="&amp;R45,'[1]1_inventory_total_details'!$I$8:$I$10000,"="&amp;invoice_date)+SUMIFS('[1]1_inventory_total_details'!$M$8:$M$10000,'[1]1_inventory_total_details'!$C$8:$C$10000,I45,'[1]1_inventory_total_details'!$F$8:$F$10000,invoice_location_id,'[1]1_inventory_total_details'!$G$8:$G$10000,"="&amp;Q45,'[1]1_inventory_total_details'!$H$8:$H$10000,"="&amp;R45,'[1]1_inventory_total_details'!$I$8:$I$10000,"="&amp;invoice_date)+SUMIFS('[1]1_inventory_total_details'!$K$8:$K$10000,'[1]1_inventory_total_details'!$C$8:$C$10000,I45,'[1]1_inventory_total_details'!$F$8:$F$10000,invoice_location_id,'[1]1_inventory_total_details'!$G$8:$G$10000,"="&amp;Q45,'[1]1_inventory_total_details'!$H$8:$H$10000,"="&amp;R45,'[1]1_inventory_total_details'!$I$8:$I$10000,"="&amp;invoice_date)+SUMIFS('[1]1_inventory_total_details'!$L$8:$L$10000,'[1]1_inventory_total_details'!$C$8:$C$10000,I45,'[1]1_inventory_total_details'!$F$8:$F$10000,invoice_location_id,'[1]1_inventory_total_details'!$G$8:$G$10000,"="&amp;Q45,'[1]1_inventory_total_details'!$H$8:$H$10000,"="&amp;R45,'[1]1_inventory_total_details'!$I$8:$I$10000,"="&amp;invoice_date),SUMIFS('[1]2_inventory_total_details'!$J$8:$J$10000,'[1]2_inventory_total_details'!$C$8:$C$10000,I45,'[1]2_inventory_total_details'!$F$8:$F$10000,invoice_location_id,'[1]2_inventory_total_details'!$G$8:$G$10000,"="&amp;Q45,'[1]2_inventory_total_details'!$H$8:$H$10000,"="&amp;R45,'[1]2_inventory_total_details'!$I$8:$I$10000,"="&amp;invoice_date)+SUMIFS('[1]2_inventory_total_details'!$M$8:$M$10000,'[1]2_inventory_total_details'!$C$8:$C$10000,I45,'[1]2_inventory_total_details'!$F$8:$F$10000,invoice_location_id,'[1]2_inventory_total_details'!$G$8:$G$10000,"="&amp;Q45,'[1]2_inventory_total_details'!$H$8:$H$10000,"="&amp;R45,'[1]2_inventory_total_details'!$I$8:$I$10000,"="&amp;invoice_date)+SUMIFS('[1]2_inventory_total_details'!$K$8:$K$10000,'[1]2_inventory_total_details'!$C$8:$C$10000,I45,'[1]2_inventory_total_details'!$F$8:$F$10000,invoice_location_id,'[1]2_inventory_total_details'!$G$8:$G$10000,"="&amp;Q45,'[1]2_inventory_total_details'!$H$8:$H$10000,"="&amp;R45,'[1]2_inventory_total_details'!$I$8:$I$10000,"="&amp;invoice_date)+SUMIFS('[1]2_inventory_total_details'!$L$8:$L$10000,'[1]2_inventory_total_details'!$C$8:$C$10000,I45,'[1]2_inventory_total_details'!$F$8:$F$10000,invoice_location_id,'[1]2_inventory_total_details'!$G$8:$G$10000,"="&amp;Q45,'[1]2_inventory_total_details'!$H$8:$H$10000,"="&amp;R45,'[1]2_inventory_total_details'!$I$8:$I$10000,"="&amp;invoice_date)))</f>
        <v/>
      </c>
      <c r="AJ45" s="197" t="str">
        <f>IF(M45="","",IF(ISNA(MATCH(I45,'[1]1_group_totals'!$C$8:$C$10000)),0,IF(AW45&gt;0,1,0)))</f>
        <v/>
      </c>
      <c r="AK45" s="197" t="str">
        <f>IF(M45="","",(SUMIFS('[1]1_group_total_details'!$I$8:$I$10000,'[1]1_group_total_details'!$C$8:$C$10000,I45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45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45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45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45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45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45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45,'[1]1_group_total_details'!$F$8:$F$10000,invoice_location_group_id,'[1]1_group_total_details'!$G$8:$G$10000,invoice_location_id,'[1]1_group_total_details'!$H$8:$H$10000,"="&amp;invoice_date)))</f>
        <v/>
      </c>
      <c r="AL45" s="197" t="str">
        <f>IF(M45="","",(SUMIFS('[1]1_group_total_details'!$I$8:$I$10000,'[1]1_group_total_details'!$C$8:$C$10000,I45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45,'[1]1_group_total_details'!$F$8:$F$10000,invoice_location_group_id,'[1]1_group_total_details'!$G$8:$G$10000,1,'[1]1_group_total_details'!$H$8:$H$10000,"&lt;="&amp;invoice_date)+SUMIFS('[1]1_group_total_details'!$N$8:$N$10000,'[1]1_group_total_details'!$C$8:$C$10000,I45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45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45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45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45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45,'[1]1_group_total_details'!$F$8:$F$10000,invoice_location_group_id,'[1]1_group_total_details'!$G$8:$G$10000,invoice_location_id,'[1]1_group_total_details'!$H$8:$H$10000,"&lt;="&amp;invoice_date)))</f>
        <v/>
      </c>
      <c r="AM45" s="197" t="str">
        <f>IF(M45="","",SUMIFS('[1]1_group_totals'!$J$8:$J$10000,'[1]1_group_totals'!$C$8:$C$10000,I45,'[1]1_group_totals'!$F$8:$F$10000,invoice_location_group_id,'[1]1_group_totals'!$G$8:$G$10000,invoice_location_id,'[1]1_group_totals'!$H$8:$H$10000,"="&amp;Q45,'[1]1_group_totals'!$I$8:$I$10000,"="&amp;R45))</f>
        <v/>
      </c>
      <c r="AN45" s="197" t="str">
        <f t="shared" si="17"/>
        <v/>
      </c>
      <c r="AO45" s="197" t="str">
        <f>IF(OR(ISNA(MATCH(MID(AN45,1,3)*1,UomConversion!$D$8:$D$500,0)),M45=""),"",IF(AT45="","",AT45))</f>
        <v/>
      </c>
      <c r="AP45" s="197" t="str">
        <f>IF(AND(AQ45&gt;0,COUNTIFS(UomConversion!$D$8:$D$500,MID(AN45,1,3)*1,UomConversion!$J$8:$J$500,1)&gt;1),TEXT(AQ45,"000")&amp;"."&amp;VLOOKUP(AQ45,uom_list,5,FALSE),"")</f>
        <v/>
      </c>
      <c r="AQ45" s="197" t="str">
        <f t="shared" si="18"/>
        <v/>
      </c>
      <c r="AR45" s="197" t="str">
        <f t="shared" si="19"/>
        <v/>
      </c>
      <c r="AS45" s="1866" t="str">
        <f>IF(M45="","",SUMIFS(ProductPrice!$N$28:$N$10000,ProductPrice!$D$28:$D$10000,I45,ProductPrice!$G$28:$G$10000,invoice_branch_id,ProductPrice!$H$28:$H$10000,invoice_price_type_id,ProductPrice!$I$28:$I$10000,MID(P45,1,3)*1,ProductPrice!$Q$28:$Q$10000,1,ProductPrice!$T$28:$T$10000,1))</f>
        <v/>
      </c>
      <c r="AT45" s="197" t="str">
        <f t="shared" si="28"/>
        <v/>
      </c>
      <c r="AU45" s="197" t="str" cm="1">
        <f t="array" ref="AU45">IF(M45="","",IF(ISNA(Slookup(MID(AN45,1,3)*1,UomConversion!$D$8:$J$500,2,UomConversion!$I$8:$I$500,1,UomConversion!$J$8:$J$500,1)),"",Slookup(MID(AN45,1,3)*1,UomConversion!$D$8:$J$500,2,UomConversion!$I$8:$I$500,1,UomConversion!$J$8:$J$500,1)))</f>
        <v/>
      </c>
      <c r="AV45" s="197" t="str">
        <f t="shared" si="29"/>
        <v/>
      </c>
      <c r="AW45" s="197" t="str">
        <f>IF(M45="","",(SUMIFS('[1]1_group_totals'!$K$8:$K$10000,'[1]1_group_totals'!$C$8:$C$10000,I45,'[1]1_group_totals'!$F$8:$F$10000,invoice_location_group_id,'[1]1_group_totals'!$G$8:$G$10000,invoice_location_id,'[1]1_group_totals'!$H$8:$H$10000,"="&amp;Q45,'[1]1_group_totals'!$I$8:$I$10000,"="&amp;R45)+SUMIFS('[1]1_group_totals'!$N$8:$N$10000,'[1]1_group_totals'!$C$8:$C$10000,I45,'[1]1_group_totals'!$F$8:$F$10000,invoice_location_group_id,'[1]1_group_totals'!$G$8:$G$10000,invoice_location_id,'[1]1_group_totals'!$H$8:$H$10000,"="&amp;Q45,'[1]1_group_totals'!$I$8:$I$10000,"="&amp;R45)+SUMIFS('[1]1_group_totals'!$P$8:$P$10000,'[1]1_group_totals'!$C$8:$C$10000,I45,'[1]1_group_totals'!$F$8:$F$10000,invoice_location_group_id,'[1]1_group_totals'!$G$8:$G$10000,invoice_location_id,'[1]1_group_totals'!$H$8:$H$10000,"="&amp;Q45,'[1]1_group_totals'!$I$8:$I$10000,"="&amp;R45)+SUMIFS('[1]1_group_totals'!$Q$8:$Q$10000,'[1]1_group_totals'!$C$8:$C$10000,I45,'[1]1_group_totals'!$F$8:$F$10000,invoice_location_group_id,'[1]1_group_totals'!$G$8:$G$10000,invoice_location_id,'[1]1_group_totals'!$H$8:$H$10000,"="&amp;Q45,'[1]1_group_totals'!$I$8:$I$10000,"="&amp;R45))+(SUMIFS('[1]1_group_totals'!$L$8:$L$10000,'[1]1_group_totals'!$C$8:$C$10000,I45,'[1]1_group_totals'!$F$8:$F$10000,invoice_location_group_id,'[1]1_group_totals'!$G$8:$G$10000,invoice_location_id,'[1]1_group_totals'!$H$8:$H$10000,"="&amp;Q45,'[1]1_group_totals'!$I$8:$I$10000,"="&amp;R45)+SUMIFS('[1]1_group_totals'!$M$8:$M$10000,'[1]1_group_totals'!$C$8:$C$10000,I45,'[1]1_group_totals'!$F$8:$F$10000,invoice_location_group_id,'[1]1_group_totals'!$G$8:$G$10000,invoice_location_id,'[1]1_group_totals'!$H$8:$H$10000,"="&amp;Q45,'[1]1_group_totals'!$I$8:$I$10000,"="&amp;R45)+SUMIFS('[1]1_group_totals'!$O$8:$O$10000,'[1]1_group_totals'!$C$8:$C$10000,I45,'[1]1_group_totals'!$F$8:$F$10000,invoice_location_group_id,'[1]1_group_totals'!$G$8:$G$10000,invoice_location_id,'[1]1_group_totals'!$H$8:$H$10000,"="&amp;Q45,'[1]1_group_totals'!$I$8:$I$10000,"="&amp;R45)+SUMIFS('[1]1_group_totals'!$R$8:$R$10000,'[1]1_group_totals'!$C$8:$C$10000,I45,'[1]1_group_totals'!$F$8:$F$10000,invoice_location_group_id,'[1]1_group_totals'!$G$8:$G$10000,invoice_location_id,'[1]1_group_totals'!$H$8:$H$10000,"="&amp;Q45,'[1]1_group_totals'!$I$8:$I$10000,"="&amp;R45)))</f>
        <v/>
      </c>
      <c r="AX45" s="197" t="str">
        <f t="shared" si="21"/>
        <v/>
      </c>
      <c r="AY45" s="197" t="str">
        <f>IF(M45="","",SUMIFS($AX$8:AX45,$I$8:I45,I45))</f>
        <v/>
      </c>
      <c r="AZ45" s="197" t="str">
        <f t="shared" si="22"/>
        <v/>
      </c>
      <c r="BA45" s="197" t="str">
        <f>IF(M45="","",(SUMIFS('[1]1_inventory_totals'!$I$8:$I$10000,'[1]1_inventory_totals'!$C$8:$C$10000,I45,'[1]1_inventory_totals'!$F$8:$F$10000,"="&amp;Q45,'[1]1_inventory_totals'!$G$8:$G$10000,"="&amp;R45)+SUMIFS('[1]1_inventory_totals'!$N$8:$N$10000,'[1]1_inventory_totals'!$C$8:$C$10000,I45,'[1]1_inventory_totals'!$F$8:$F$10000,"="&amp;Q45,'[1]1_inventory_totals'!$G$8:$G$10000,"="&amp;R45)+SUMIFS('[1]1_inventory_totals'!$P$8:$P$10000,'[1]1_inventory_totals'!$C$8:$C$10000,I45,'[1]1_inventory_totals'!$F$8:$F$10000,"="&amp;Q45,'[1]1_inventory_totals'!$G$8:$G$10000,"="&amp;R45)+SUMIFS('[1]1_inventory_totals'!$Q$8:$Q$10000,'[1]1_inventory_totals'!$C$8:$C$10000,I45,'[1]1_inventory_totals'!$F$8:$F$10000,"="&amp;Q45,'[1]1_inventory_totals'!$G$8:$G$10000,"="&amp;R45)+SUMIFS('[1]1_inventory_totals'!$R$8:$R$10000,'[1]1_inventory_totals'!$C$8:$C$10000,I45,'[1]1_inventory_totals'!$F$8:$F$10000,"="&amp;Q45,'[1]1_inventory_totals'!$G$8:$G$10000,"="&amp;R45))+(SUMIFS('[1]1_inventory_totals'!$J$8:$J$10000,'[1]1_inventory_totals'!$C$8:$C$10000,I45,'[1]1_inventory_totals'!$F$8:$F$10000,"="&amp;Q45,'[1]1_inventory_totals'!$G$8:$G$10000,"="&amp;R45)+SUMIFS('[1]1_inventory_totals'!$K$8:$K$10000,'[1]1_inventory_totals'!$C$8:$C$10000,I45,'[1]1_inventory_totals'!$F$8:$F$10000,"="&amp;Q45,'[1]1_inventory_totals'!$G$8:$G$10000,"="&amp;R45)+SUMIFS('[1]1_inventory_totals'!$L$8:$L$10000,'[1]1_inventory_totals'!$C$8:$C$10000,I45,'[1]1_inventory_totals'!$F$8:$F$10000,"="&amp;Q45,'[1]1_inventory_totals'!$G$8:$G$10000,"="&amp;R45)+SUMIFS('[1]1_inventory_totals'!$M$8:$M$10000,'[1]1_inventory_totals'!$C$8:$C$10000,I45,'[1]1_inventory_totals'!$F$8:$F$10000,"="&amp;Q45,'[1]1_inventory_totals'!$G$8:$G$10000,"="&amp;R45)+SUMIFS('[1]1_inventory_totals'!$O$8:$O$10000,'[1]1_inventory_totals'!$C$8:$C$10000,I45,'[1]1_inventory_totals'!$F$8:$F$10000,"="&amp;Q45,'[1]1_inventory_totals'!$G$8:$G$10000,"="&amp;R45)+SUMIFS('[1]1_inventory_totals'!$S$8:$S$10000,'[1]1_inventory_totals'!$C$8:$C$10000,I45,'[1]1_inventory_totals'!$F$8:$F$10000,"="&amp;Q45,'[1]1_inventory_totals'!$G$8:$G$10000,"="&amp;R45)))</f>
        <v/>
      </c>
      <c r="BB45" s="197" t="str">
        <f>IF(M45="","",(SUMIFS('[1]2_inventory_totals'!$I$8:$I$10000,'[1]2_inventory_totals'!$C$8:$C$10000,I45,'[1]2_inventory_totals'!$F$8:$F$10000,"="&amp;Q45,'[1]2_inventory_totals'!$G$8:$G$10000,"="&amp;R45)+SUMIFS('[1]2_inventory_totals'!$N$8:$N$10000,'[1]2_inventory_totals'!$C$8:$C$10000,I45,'[1]2_inventory_totals'!$F$8:$F$10000,"="&amp;Q45,'[1]2_inventory_totals'!$G$8:$G$10000,"="&amp;R45)+SUMIFS('[1]2_inventory_totals'!$P$8:$P$10000,'[1]2_inventory_totals'!$C$8:$C$10000,I45,'[1]2_inventory_totals'!$F$8:$F$10000,"="&amp;Q45,'[1]2_inventory_totals'!$G$8:$G$10000,"="&amp;R45)+SUMIFS('[1]2_inventory_totals'!$Q$8:$Q$10000,'[1]2_inventory_totals'!$C$8:$C$10000,I45,'[1]2_inventory_totals'!$F$8:$F$10000,"="&amp;Q45,'[1]2_inventory_totals'!$G$8:$G$10000,"="&amp;R45)+SUMIFS('[1]2_inventory_totals'!$R$8:$R$10000,'[1]2_inventory_totals'!$C$8:$C$10000,I45,'[1]2_inventory_totals'!$F$8:$F$10000,"="&amp;Q45,'[1]2_inventory_totals'!$G$8:$G$10000,"="&amp;R45))+(SUMIFS('[1]2_inventory_totals'!$J$8:$J$10000,'[1]2_inventory_totals'!$C$8:$C$10000,I45,'[1]2_inventory_totals'!$F$8:$F$10000,"="&amp;Q45,'[1]2_inventory_totals'!$G$8:$G$10000,"="&amp;R45)+SUMIFS('[1]2_inventory_totals'!$K$8:$K$10000,'[1]2_inventory_totals'!$C$8:$C$10000,I45,'[1]2_inventory_totals'!$F$8:$F$10000,"="&amp;Q45,'[1]2_inventory_totals'!$G$8:$G$10000,"="&amp;R45)+SUMIFS('[1]2_inventory_totals'!$L$8:$L$10000,'[1]2_inventory_totals'!$C$8:$C$10000,I45,'[1]2_inventory_totals'!$F$8:$F$10000,"="&amp;Q45,'[1]2_inventory_totals'!$G$8:$G$10000,"="&amp;R45)+SUMIFS('[1]2_inventory_totals'!$M$8:$M$10000,'[1]2_inventory_totals'!$C$8:$C$10000,I45,'[1]2_inventory_totals'!$F$8:$F$10000,"="&amp;Q45,'[1]2_inventory_totals'!$G$8:$G$10000,"="&amp;R45)+SUMIFS('[1]2_inventory_totals'!$O$8:$O$10000,'[1]2_inventory_totals'!$C$8:$C$10000,I45,'[1]2_inventory_totals'!$F$8:$F$10000,"="&amp;Q45,'[1]2_inventory_totals'!$G$8:$G$10000,"="&amp;R45)+SUMIFS('[1]2_inventory_totals'!$S$8:$S$10000,'[1]2_inventory_totals'!$C$8:$C$10000,I45,'[1]2_inventory_totals'!$F$8:$F$10000,"="&amp;Q45,'[1]2_inventory_totals'!$G$8:$G$10000,"="&amp;R45)))</f>
        <v/>
      </c>
    </row>
    <row r="46" spans="1:54" ht="27" hidden="1" customHeight="1">
      <c r="A46" s="923"/>
      <c r="B46" s="1251"/>
      <c r="C46" s="1268"/>
      <c r="D46" s="950"/>
      <c r="E46" s="950"/>
      <c r="F46" s="1262"/>
      <c r="I46" s="1610" t="str">
        <f t="shared" si="7"/>
        <v/>
      </c>
      <c r="J46" s="1611" t="str">
        <f t="shared" si="24"/>
        <v/>
      </c>
      <c r="K46" s="1612" t="str">
        <f t="shared" si="30"/>
        <v/>
      </c>
      <c r="L46" s="1613"/>
      <c r="M46" s="883"/>
      <c r="N46" s="884"/>
      <c r="O46" s="884"/>
      <c r="P46" s="885"/>
      <c r="Q46" s="886"/>
      <c r="R46" s="891"/>
      <c r="S46" s="1614" t="str">
        <f t="shared" si="0"/>
        <v/>
      </c>
      <c r="T46" s="1536"/>
      <c r="U46" s="1864" t="str">
        <f t="shared" si="9"/>
        <v/>
      </c>
      <c r="V46" s="1615" t="str">
        <f t="shared" si="25"/>
        <v/>
      </c>
      <c r="W46" s="889"/>
      <c r="X46" s="1615" t="str">
        <f t="shared" si="26"/>
        <v/>
      </c>
      <c r="Y46" s="1865" t="str">
        <f t="shared" si="10"/>
        <v/>
      </c>
      <c r="Z46" s="890"/>
      <c r="AA46" s="197" t="str" cm="1">
        <f t="array" ref="AA46">IF(M46="","",IF(P46=AN46,1,Slookup(MID(AN46,1,3)*1,UomConversion!$D$8:$J$500,5,UomConversion!$E$8:$E$500,MID(P46,1,3)*1,UomConversion!$J$8:$J$500,1)))</f>
        <v/>
      </c>
      <c r="AB46" s="197" t="str">
        <f t="shared" si="11"/>
        <v/>
      </c>
      <c r="AC46" s="197" t="str">
        <f t="shared" si="12"/>
        <v/>
      </c>
      <c r="AD46" s="197" t="str">
        <f t="shared" si="13"/>
        <v/>
      </c>
      <c r="AE46" s="1866" t="str">
        <f t="shared" si="14"/>
        <v/>
      </c>
      <c r="AF46" s="1866" t="str">
        <f t="shared" si="27"/>
        <v/>
      </c>
      <c r="AG46" s="197" t="str">
        <f t="shared" si="16"/>
        <v/>
      </c>
      <c r="AH46" s="197" t="str">
        <f>IF(I46="","",IF(ISNA(MATCH(I46,IF(invoice_location_id=1,'[1]1_inventory_totals'!$C$8:$C$10000,IF(invoice_location_id=2,'[1]2_inventory_totals'!$C$8:$C$10000,0)),0)),0,IF(AV46&gt;0,1,0)))</f>
        <v/>
      </c>
      <c r="AI46" s="197" t="str">
        <f>IF(M46="","",IF(invoice_location_id=1,SUMIFS('[1]1_inventory_total_details'!$J$8:$J$10000,'[1]1_inventory_total_details'!$C$8:$C$10000,I46,'[1]1_inventory_total_details'!$F$8:$F$10000,invoice_location_id,'[1]1_inventory_total_details'!$G$8:$G$10000,"="&amp;Q46,'[1]1_inventory_total_details'!$H$8:$H$10000,"="&amp;R46,'[1]1_inventory_total_details'!$I$8:$I$10000,"="&amp;invoice_date)+SUMIFS('[1]1_inventory_total_details'!$M$8:$M$10000,'[1]1_inventory_total_details'!$C$8:$C$10000,I46,'[1]1_inventory_total_details'!$F$8:$F$10000,invoice_location_id,'[1]1_inventory_total_details'!$G$8:$G$10000,"="&amp;Q46,'[1]1_inventory_total_details'!$H$8:$H$10000,"="&amp;R46,'[1]1_inventory_total_details'!$I$8:$I$10000,"="&amp;invoice_date)+SUMIFS('[1]1_inventory_total_details'!$K$8:$K$10000,'[1]1_inventory_total_details'!$C$8:$C$10000,I46,'[1]1_inventory_total_details'!$F$8:$F$10000,invoice_location_id,'[1]1_inventory_total_details'!$G$8:$G$10000,"="&amp;Q46,'[1]1_inventory_total_details'!$H$8:$H$10000,"="&amp;R46,'[1]1_inventory_total_details'!$I$8:$I$10000,"="&amp;invoice_date)+SUMIFS('[1]1_inventory_total_details'!$L$8:$L$10000,'[1]1_inventory_total_details'!$C$8:$C$10000,I46,'[1]1_inventory_total_details'!$F$8:$F$10000,invoice_location_id,'[1]1_inventory_total_details'!$G$8:$G$10000,"="&amp;Q46,'[1]1_inventory_total_details'!$H$8:$H$10000,"="&amp;R46,'[1]1_inventory_total_details'!$I$8:$I$10000,"="&amp;invoice_date),SUMIFS('[1]2_inventory_total_details'!$J$8:$J$10000,'[1]2_inventory_total_details'!$C$8:$C$10000,I46,'[1]2_inventory_total_details'!$F$8:$F$10000,invoice_location_id,'[1]2_inventory_total_details'!$G$8:$G$10000,"="&amp;Q46,'[1]2_inventory_total_details'!$H$8:$H$10000,"="&amp;R46,'[1]2_inventory_total_details'!$I$8:$I$10000,"="&amp;invoice_date)+SUMIFS('[1]2_inventory_total_details'!$M$8:$M$10000,'[1]2_inventory_total_details'!$C$8:$C$10000,I46,'[1]2_inventory_total_details'!$F$8:$F$10000,invoice_location_id,'[1]2_inventory_total_details'!$G$8:$G$10000,"="&amp;Q46,'[1]2_inventory_total_details'!$H$8:$H$10000,"="&amp;R46,'[1]2_inventory_total_details'!$I$8:$I$10000,"="&amp;invoice_date)+SUMIFS('[1]2_inventory_total_details'!$K$8:$K$10000,'[1]2_inventory_total_details'!$C$8:$C$10000,I46,'[1]2_inventory_total_details'!$F$8:$F$10000,invoice_location_id,'[1]2_inventory_total_details'!$G$8:$G$10000,"="&amp;Q46,'[1]2_inventory_total_details'!$H$8:$H$10000,"="&amp;R46,'[1]2_inventory_total_details'!$I$8:$I$10000,"="&amp;invoice_date)+SUMIFS('[1]2_inventory_total_details'!$L$8:$L$10000,'[1]2_inventory_total_details'!$C$8:$C$10000,I46,'[1]2_inventory_total_details'!$F$8:$F$10000,invoice_location_id,'[1]2_inventory_total_details'!$G$8:$G$10000,"="&amp;Q46,'[1]2_inventory_total_details'!$H$8:$H$10000,"="&amp;R46,'[1]2_inventory_total_details'!$I$8:$I$10000,"="&amp;invoice_date)))</f>
        <v/>
      </c>
      <c r="AJ46" s="197" t="str">
        <f>IF(M46="","",IF(ISNA(MATCH(I46,'[1]1_group_totals'!$C$8:$C$10000)),0,IF(AW46&gt;0,1,0)))</f>
        <v/>
      </c>
      <c r="AK46" s="197" t="str">
        <f>IF(M46="","",(SUMIFS('[1]1_group_total_details'!$I$8:$I$10000,'[1]1_group_total_details'!$C$8:$C$10000,I46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46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46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46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46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46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46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46,'[1]1_group_total_details'!$F$8:$F$10000,invoice_location_group_id,'[1]1_group_total_details'!$G$8:$G$10000,invoice_location_id,'[1]1_group_total_details'!$H$8:$H$10000,"="&amp;invoice_date)))</f>
        <v/>
      </c>
      <c r="AL46" s="197" t="str">
        <f>IF(M46="","",(SUMIFS('[1]1_group_total_details'!$I$8:$I$10000,'[1]1_group_total_details'!$C$8:$C$10000,I46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46,'[1]1_group_total_details'!$F$8:$F$10000,invoice_location_group_id,'[1]1_group_total_details'!$G$8:$G$10000,1,'[1]1_group_total_details'!$H$8:$H$10000,"&lt;="&amp;invoice_date)+SUMIFS('[1]1_group_total_details'!$N$8:$N$10000,'[1]1_group_total_details'!$C$8:$C$10000,I46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46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46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46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46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46,'[1]1_group_total_details'!$F$8:$F$10000,invoice_location_group_id,'[1]1_group_total_details'!$G$8:$G$10000,invoice_location_id,'[1]1_group_total_details'!$H$8:$H$10000,"&lt;="&amp;invoice_date)))</f>
        <v/>
      </c>
      <c r="AM46" s="197" t="str">
        <f>IF(M46="","",SUMIFS('[1]1_group_totals'!$J$8:$J$10000,'[1]1_group_totals'!$C$8:$C$10000,I46,'[1]1_group_totals'!$F$8:$F$10000,invoice_location_group_id,'[1]1_group_totals'!$G$8:$G$10000,invoice_location_id,'[1]1_group_totals'!$H$8:$H$10000,"="&amp;Q46,'[1]1_group_totals'!$I$8:$I$10000,"="&amp;R46))</f>
        <v/>
      </c>
      <c r="AN46" s="197" t="str">
        <f t="shared" si="17"/>
        <v/>
      </c>
      <c r="AO46" s="197" t="str">
        <f>IF(OR(ISNA(MATCH(MID(AN46,1,3)*1,UomConversion!$D$8:$D$500,0)),M46=""),"",IF(AT46="","",AT46))</f>
        <v/>
      </c>
      <c r="AP46" s="197" t="str">
        <f>IF(AND(AQ46&gt;0,COUNTIFS(UomConversion!$D$8:$D$500,MID(AN46,1,3)*1,UomConversion!$J$8:$J$500,1)&gt;1),TEXT(AQ46,"000")&amp;"."&amp;VLOOKUP(AQ46,uom_list,5,FALSE),"")</f>
        <v/>
      </c>
      <c r="AQ46" s="197" t="str">
        <f t="shared" si="18"/>
        <v/>
      </c>
      <c r="AR46" s="197" t="str">
        <f t="shared" si="19"/>
        <v/>
      </c>
      <c r="AS46" s="1866" t="str">
        <f>IF(M46="","",SUMIFS(ProductPrice!$N$28:$N$10000,ProductPrice!$D$28:$D$10000,I46,ProductPrice!$G$28:$G$10000,invoice_branch_id,ProductPrice!$H$28:$H$10000,invoice_price_type_id,ProductPrice!$I$28:$I$10000,MID(P46,1,3)*1,ProductPrice!$Q$28:$Q$10000,1,ProductPrice!$T$28:$T$10000,1))</f>
        <v/>
      </c>
      <c r="AT46" s="197" t="str">
        <f t="shared" si="28"/>
        <v/>
      </c>
      <c r="AU46" s="197" t="str" cm="1">
        <f t="array" ref="AU46">IF(M46="","",IF(ISNA(Slookup(MID(AN46,1,3)*1,UomConversion!$D$8:$J$500,2,UomConversion!$I$8:$I$500,1,UomConversion!$J$8:$J$500,1)),"",Slookup(MID(AN46,1,3)*1,UomConversion!$D$8:$J$500,2,UomConversion!$I$8:$I$500,1,UomConversion!$J$8:$J$500,1)))</f>
        <v/>
      </c>
      <c r="AV46" s="197" t="str">
        <f t="shared" si="29"/>
        <v/>
      </c>
      <c r="AW46" s="197" t="str">
        <f>IF(M46="","",(SUMIFS('[1]1_group_totals'!$K$8:$K$10000,'[1]1_group_totals'!$C$8:$C$10000,I46,'[1]1_group_totals'!$F$8:$F$10000,invoice_location_group_id,'[1]1_group_totals'!$G$8:$G$10000,invoice_location_id,'[1]1_group_totals'!$H$8:$H$10000,"="&amp;Q46,'[1]1_group_totals'!$I$8:$I$10000,"="&amp;R46)+SUMIFS('[1]1_group_totals'!$N$8:$N$10000,'[1]1_group_totals'!$C$8:$C$10000,I46,'[1]1_group_totals'!$F$8:$F$10000,invoice_location_group_id,'[1]1_group_totals'!$G$8:$G$10000,invoice_location_id,'[1]1_group_totals'!$H$8:$H$10000,"="&amp;Q46,'[1]1_group_totals'!$I$8:$I$10000,"="&amp;R46)+SUMIFS('[1]1_group_totals'!$P$8:$P$10000,'[1]1_group_totals'!$C$8:$C$10000,I46,'[1]1_group_totals'!$F$8:$F$10000,invoice_location_group_id,'[1]1_group_totals'!$G$8:$G$10000,invoice_location_id,'[1]1_group_totals'!$H$8:$H$10000,"="&amp;Q46,'[1]1_group_totals'!$I$8:$I$10000,"="&amp;R46)+SUMIFS('[1]1_group_totals'!$Q$8:$Q$10000,'[1]1_group_totals'!$C$8:$C$10000,I46,'[1]1_group_totals'!$F$8:$F$10000,invoice_location_group_id,'[1]1_group_totals'!$G$8:$G$10000,invoice_location_id,'[1]1_group_totals'!$H$8:$H$10000,"="&amp;Q46,'[1]1_group_totals'!$I$8:$I$10000,"="&amp;R46))+(SUMIFS('[1]1_group_totals'!$L$8:$L$10000,'[1]1_group_totals'!$C$8:$C$10000,I46,'[1]1_group_totals'!$F$8:$F$10000,invoice_location_group_id,'[1]1_group_totals'!$G$8:$G$10000,invoice_location_id,'[1]1_group_totals'!$H$8:$H$10000,"="&amp;Q46,'[1]1_group_totals'!$I$8:$I$10000,"="&amp;R46)+SUMIFS('[1]1_group_totals'!$M$8:$M$10000,'[1]1_group_totals'!$C$8:$C$10000,I46,'[1]1_group_totals'!$F$8:$F$10000,invoice_location_group_id,'[1]1_group_totals'!$G$8:$G$10000,invoice_location_id,'[1]1_group_totals'!$H$8:$H$10000,"="&amp;Q46,'[1]1_group_totals'!$I$8:$I$10000,"="&amp;R46)+SUMIFS('[1]1_group_totals'!$O$8:$O$10000,'[1]1_group_totals'!$C$8:$C$10000,I46,'[1]1_group_totals'!$F$8:$F$10000,invoice_location_group_id,'[1]1_group_totals'!$G$8:$G$10000,invoice_location_id,'[1]1_group_totals'!$H$8:$H$10000,"="&amp;Q46,'[1]1_group_totals'!$I$8:$I$10000,"="&amp;R46)+SUMIFS('[1]1_group_totals'!$R$8:$R$10000,'[1]1_group_totals'!$C$8:$C$10000,I46,'[1]1_group_totals'!$F$8:$F$10000,invoice_location_group_id,'[1]1_group_totals'!$G$8:$G$10000,invoice_location_id,'[1]1_group_totals'!$H$8:$H$10000,"="&amp;Q46,'[1]1_group_totals'!$I$8:$I$10000,"="&amp;R46)))</f>
        <v/>
      </c>
      <c r="AX46" s="197" t="str">
        <f t="shared" si="21"/>
        <v/>
      </c>
      <c r="AY46" s="197" t="str">
        <f>IF(M46="","",SUMIFS($AX$8:AX46,$I$8:I46,I46))</f>
        <v/>
      </c>
      <c r="AZ46" s="197" t="str">
        <f t="shared" si="22"/>
        <v/>
      </c>
      <c r="BA46" s="197" t="str">
        <f>IF(M46="","",(SUMIFS('[1]1_inventory_totals'!$I$8:$I$10000,'[1]1_inventory_totals'!$C$8:$C$10000,I46,'[1]1_inventory_totals'!$F$8:$F$10000,"="&amp;Q46,'[1]1_inventory_totals'!$G$8:$G$10000,"="&amp;R46)+SUMIFS('[1]1_inventory_totals'!$N$8:$N$10000,'[1]1_inventory_totals'!$C$8:$C$10000,I46,'[1]1_inventory_totals'!$F$8:$F$10000,"="&amp;Q46,'[1]1_inventory_totals'!$G$8:$G$10000,"="&amp;R46)+SUMIFS('[1]1_inventory_totals'!$P$8:$P$10000,'[1]1_inventory_totals'!$C$8:$C$10000,I46,'[1]1_inventory_totals'!$F$8:$F$10000,"="&amp;Q46,'[1]1_inventory_totals'!$G$8:$G$10000,"="&amp;R46)+SUMIFS('[1]1_inventory_totals'!$Q$8:$Q$10000,'[1]1_inventory_totals'!$C$8:$C$10000,I46,'[1]1_inventory_totals'!$F$8:$F$10000,"="&amp;Q46,'[1]1_inventory_totals'!$G$8:$G$10000,"="&amp;R46)+SUMIFS('[1]1_inventory_totals'!$R$8:$R$10000,'[1]1_inventory_totals'!$C$8:$C$10000,I46,'[1]1_inventory_totals'!$F$8:$F$10000,"="&amp;Q46,'[1]1_inventory_totals'!$G$8:$G$10000,"="&amp;R46))+(SUMIFS('[1]1_inventory_totals'!$J$8:$J$10000,'[1]1_inventory_totals'!$C$8:$C$10000,I46,'[1]1_inventory_totals'!$F$8:$F$10000,"="&amp;Q46,'[1]1_inventory_totals'!$G$8:$G$10000,"="&amp;R46)+SUMIFS('[1]1_inventory_totals'!$K$8:$K$10000,'[1]1_inventory_totals'!$C$8:$C$10000,I46,'[1]1_inventory_totals'!$F$8:$F$10000,"="&amp;Q46,'[1]1_inventory_totals'!$G$8:$G$10000,"="&amp;R46)+SUMIFS('[1]1_inventory_totals'!$L$8:$L$10000,'[1]1_inventory_totals'!$C$8:$C$10000,I46,'[1]1_inventory_totals'!$F$8:$F$10000,"="&amp;Q46,'[1]1_inventory_totals'!$G$8:$G$10000,"="&amp;R46)+SUMIFS('[1]1_inventory_totals'!$M$8:$M$10000,'[1]1_inventory_totals'!$C$8:$C$10000,I46,'[1]1_inventory_totals'!$F$8:$F$10000,"="&amp;Q46,'[1]1_inventory_totals'!$G$8:$G$10000,"="&amp;R46)+SUMIFS('[1]1_inventory_totals'!$O$8:$O$10000,'[1]1_inventory_totals'!$C$8:$C$10000,I46,'[1]1_inventory_totals'!$F$8:$F$10000,"="&amp;Q46,'[1]1_inventory_totals'!$G$8:$G$10000,"="&amp;R46)+SUMIFS('[1]1_inventory_totals'!$S$8:$S$10000,'[1]1_inventory_totals'!$C$8:$C$10000,I46,'[1]1_inventory_totals'!$F$8:$F$10000,"="&amp;Q46,'[1]1_inventory_totals'!$G$8:$G$10000,"="&amp;R46)))</f>
        <v/>
      </c>
      <c r="BB46" s="197" t="str">
        <f>IF(M46="","",(SUMIFS('[1]2_inventory_totals'!$I$8:$I$10000,'[1]2_inventory_totals'!$C$8:$C$10000,I46,'[1]2_inventory_totals'!$F$8:$F$10000,"="&amp;Q46,'[1]2_inventory_totals'!$G$8:$G$10000,"="&amp;R46)+SUMIFS('[1]2_inventory_totals'!$N$8:$N$10000,'[1]2_inventory_totals'!$C$8:$C$10000,I46,'[1]2_inventory_totals'!$F$8:$F$10000,"="&amp;Q46,'[1]2_inventory_totals'!$G$8:$G$10000,"="&amp;R46)+SUMIFS('[1]2_inventory_totals'!$P$8:$P$10000,'[1]2_inventory_totals'!$C$8:$C$10000,I46,'[1]2_inventory_totals'!$F$8:$F$10000,"="&amp;Q46,'[1]2_inventory_totals'!$G$8:$G$10000,"="&amp;R46)+SUMIFS('[1]2_inventory_totals'!$Q$8:$Q$10000,'[1]2_inventory_totals'!$C$8:$C$10000,I46,'[1]2_inventory_totals'!$F$8:$F$10000,"="&amp;Q46,'[1]2_inventory_totals'!$G$8:$G$10000,"="&amp;R46)+SUMIFS('[1]2_inventory_totals'!$R$8:$R$10000,'[1]2_inventory_totals'!$C$8:$C$10000,I46,'[1]2_inventory_totals'!$F$8:$F$10000,"="&amp;Q46,'[1]2_inventory_totals'!$G$8:$G$10000,"="&amp;R46))+(SUMIFS('[1]2_inventory_totals'!$J$8:$J$10000,'[1]2_inventory_totals'!$C$8:$C$10000,I46,'[1]2_inventory_totals'!$F$8:$F$10000,"="&amp;Q46,'[1]2_inventory_totals'!$G$8:$G$10000,"="&amp;R46)+SUMIFS('[1]2_inventory_totals'!$K$8:$K$10000,'[1]2_inventory_totals'!$C$8:$C$10000,I46,'[1]2_inventory_totals'!$F$8:$F$10000,"="&amp;Q46,'[1]2_inventory_totals'!$G$8:$G$10000,"="&amp;R46)+SUMIFS('[1]2_inventory_totals'!$L$8:$L$10000,'[1]2_inventory_totals'!$C$8:$C$10000,I46,'[1]2_inventory_totals'!$F$8:$F$10000,"="&amp;Q46,'[1]2_inventory_totals'!$G$8:$G$10000,"="&amp;R46)+SUMIFS('[1]2_inventory_totals'!$M$8:$M$10000,'[1]2_inventory_totals'!$C$8:$C$10000,I46,'[1]2_inventory_totals'!$F$8:$F$10000,"="&amp;Q46,'[1]2_inventory_totals'!$G$8:$G$10000,"="&amp;R46)+SUMIFS('[1]2_inventory_totals'!$O$8:$O$10000,'[1]2_inventory_totals'!$C$8:$C$10000,I46,'[1]2_inventory_totals'!$F$8:$F$10000,"="&amp;Q46,'[1]2_inventory_totals'!$G$8:$G$10000,"="&amp;R46)+SUMIFS('[1]2_inventory_totals'!$S$8:$S$10000,'[1]2_inventory_totals'!$C$8:$C$10000,I46,'[1]2_inventory_totals'!$F$8:$F$10000,"="&amp;Q46,'[1]2_inventory_totals'!$G$8:$G$10000,"="&amp;R46)))</f>
        <v/>
      </c>
    </row>
    <row r="47" spans="1:54" ht="27" hidden="1" customHeight="1">
      <c r="A47" s="923"/>
      <c r="B47" s="1251"/>
      <c r="C47" s="1268"/>
      <c r="D47" s="950"/>
      <c r="E47" s="950"/>
      <c r="F47" s="1262"/>
      <c r="I47" s="1610" t="str">
        <f t="shared" si="7"/>
        <v/>
      </c>
      <c r="J47" s="1611" t="str">
        <f t="shared" si="24"/>
        <v/>
      </c>
      <c r="K47" s="1612" t="str">
        <f t="shared" si="30"/>
        <v/>
      </c>
      <c r="L47" s="1613"/>
      <c r="M47" s="883"/>
      <c r="N47" s="884"/>
      <c r="O47" s="884"/>
      <c r="P47" s="885"/>
      <c r="Q47" s="886"/>
      <c r="R47" s="891"/>
      <c r="S47" s="1614" t="str">
        <f t="shared" si="0"/>
        <v/>
      </c>
      <c r="T47" s="1536"/>
      <c r="U47" s="1864" t="str">
        <f t="shared" si="9"/>
        <v/>
      </c>
      <c r="V47" s="1615" t="str">
        <f t="shared" si="25"/>
        <v/>
      </c>
      <c r="W47" s="889"/>
      <c r="X47" s="1615" t="str">
        <f t="shared" si="26"/>
        <v/>
      </c>
      <c r="Y47" s="1865" t="str">
        <f t="shared" si="10"/>
        <v/>
      </c>
      <c r="Z47" s="890"/>
      <c r="AA47" s="197" t="str" cm="1">
        <f t="array" ref="AA47">IF(M47="","",IF(P47=AN47,1,Slookup(MID(AN47,1,3)*1,UomConversion!$D$8:$J$500,5,UomConversion!$E$8:$E$500,MID(P47,1,3)*1,UomConversion!$J$8:$J$500,1)))</f>
        <v/>
      </c>
      <c r="AB47" s="197" t="str">
        <f t="shared" si="11"/>
        <v/>
      </c>
      <c r="AC47" s="197" t="str">
        <f t="shared" si="12"/>
        <v/>
      </c>
      <c r="AD47" s="197" t="str">
        <f t="shared" si="13"/>
        <v/>
      </c>
      <c r="AE47" s="1866" t="str">
        <f t="shared" si="14"/>
        <v/>
      </c>
      <c r="AF47" s="1866" t="str">
        <f t="shared" si="27"/>
        <v/>
      </c>
      <c r="AG47" s="197" t="str">
        <f t="shared" si="16"/>
        <v/>
      </c>
      <c r="AH47" s="197" t="str">
        <f>IF(I47="","",IF(ISNA(MATCH(I47,IF(invoice_location_id=1,'[1]1_inventory_totals'!$C$8:$C$10000,IF(invoice_location_id=2,'[1]2_inventory_totals'!$C$8:$C$10000,0)),0)),0,IF(AV47&gt;0,1,0)))</f>
        <v/>
      </c>
      <c r="AI47" s="197" t="str">
        <f>IF(M47="","",IF(invoice_location_id=1,SUMIFS('[1]1_inventory_total_details'!$J$8:$J$10000,'[1]1_inventory_total_details'!$C$8:$C$10000,I47,'[1]1_inventory_total_details'!$F$8:$F$10000,invoice_location_id,'[1]1_inventory_total_details'!$G$8:$G$10000,"="&amp;Q47,'[1]1_inventory_total_details'!$H$8:$H$10000,"="&amp;R47,'[1]1_inventory_total_details'!$I$8:$I$10000,"="&amp;invoice_date)+SUMIFS('[1]1_inventory_total_details'!$M$8:$M$10000,'[1]1_inventory_total_details'!$C$8:$C$10000,I47,'[1]1_inventory_total_details'!$F$8:$F$10000,invoice_location_id,'[1]1_inventory_total_details'!$G$8:$G$10000,"="&amp;Q47,'[1]1_inventory_total_details'!$H$8:$H$10000,"="&amp;R47,'[1]1_inventory_total_details'!$I$8:$I$10000,"="&amp;invoice_date)+SUMIFS('[1]1_inventory_total_details'!$K$8:$K$10000,'[1]1_inventory_total_details'!$C$8:$C$10000,I47,'[1]1_inventory_total_details'!$F$8:$F$10000,invoice_location_id,'[1]1_inventory_total_details'!$G$8:$G$10000,"="&amp;Q47,'[1]1_inventory_total_details'!$H$8:$H$10000,"="&amp;R47,'[1]1_inventory_total_details'!$I$8:$I$10000,"="&amp;invoice_date)+SUMIFS('[1]1_inventory_total_details'!$L$8:$L$10000,'[1]1_inventory_total_details'!$C$8:$C$10000,I47,'[1]1_inventory_total_details'!$F$8:$F$10000,invoice_location_id,'[1]1_inventory_total_details'!$G$8:$G$10000,"="&amp;Q47,'[1]1_inventory_total_details'!$H$8:$H$10000,"="&amp;R47,'[1]1_inventory_total_details'!$I$8:$I$10000,"="&amp;invoice_date),SUMIFS('[1]2_inventory_total_details'!$J$8:$J$10000,'[1]2_inventory_total_details'!$C$8:$C$10000,I47,'[1]2_inventory_total_details'!$F$8:$F$10000,invoice_location_id,'[1]2_inventory_total_details'!$G$8:$G$10000,"="&amp;Q47,'[1]2_inventory_total_details'!$H$8:$H$10000,"="&amp;R47,'[1]2_inventory_total_details'!$I$8:$I$10000,"="&amp;invoice_date)+SUMIFS('[1]2_inventory_total_details'!$M$8:$M$10000,'[1]2_inventory_total_details'!$C$8:$C$10000,I47,'[1]2_inventory_total_details'!$F$8:$F$10000,invoice_location_id,'[1]2_inventory_total_details'!$G$8:$G$10000,"="&amp;Q47,'[1]2_inventory_total_details'!$H$8:$H$10000,"="&amp;R47,'[1]2_inventory_total_details'!$I$8:$I$10000,"="&amp;invoice_date)+SUMIFS('[1]2_inventory_total_details'!$K$8:$K$10000,'[1]2_inventory_total_details'!$C$8:$C$10000,I47,'[1]2_inventory_total_details'!$F$8:$F$10000,invoice_location_id,'[1]2_inventory_total_details'!$G$8:$G$10000,"="&amp;Q47,'[1]2_inventory_total_details'!$H$8:$H$10000,"="&amp;R47,'[1]2_inventory_total_details'!$I$8:$I$10000,"="&amp;invoice_date)+SUMIFS('[1]2_inventory_total_details'!$L$8:$L$10000,'[1]2_inventory_total_details'!$C$8:$C$10000,I47,'[1]2_inventory_total_details'!$F$8:$F$10000,invoice_location_id,'[1]2_inventory_total_details'!$G$8:$G$10000,"="&amp;Q47,'[1]2_inventory_total_details'!$H$8:$H$10000,"="&amp;R47,'[1]2_inventory_total_details'!$I$8:$I$10000,"="&amp;invoice_date)))</f>
        <v/>
      </c>
      <c r="AJ47" s="197" t="str">
        <f>IF(M47="","",IF(ISNA(MATCH(I47,'[1]1_group_totals'!$C$8:$C$10000)),0,IF(AW47&gt;0,1,0)))</f>
        <v/>
      </c>
      <c r="AK47" s="197" t="str">
        <f>IF(M47="","",(SUMIFS('[1]1_group_total_details'!$I$8:$I$10000,'[1]1_group_total_details'!$C$8:$C$10000,I47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47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47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47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47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47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47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47,'[1]1_group_total_details'!$F$8:$F$10000,invoice_location_group_id,'[1]1_group_total_details'!$G$8:$G$10000,invoice_location_id,'[1]1_group_total_details'!$H$8:$H$10000,"="&amp;invoice_date)))</f>
        <v/>
      </c>
      <c r="AL47" s="197" t="str">
        <f>IF(M47="","",(SUMIFS('[1]1_group_total_details'!$I$8:$I$10000,'[1]1_group_total_details'!$C$8:$C$10000,I47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47,'[1]1_group_total_details'!$F$8:$F$10000,invoice_location_group_id,'[1]1_group_total_details'!$G$8:$G$10000,1,'[1]1_group_total_details'!$H$8:$H$10000,"&lt;="&amp;invoice_date)+SUMIFS('[1]1_group_total_details'!$N$8:$N$10000,'[1]1_group_total_details'!$C$8:$C$10000,I47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47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47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47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47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47,'[1]1_group_total_details'!$F$8:$F$10000,invoice_location_group_id,'[1]1_group_total_details'!$G$8:$G$10000,invoice_location_id,'[1]1_group_total_details'!$H$8:$H$10000,"&lt;="&amp;invoice_date)))</f>
        <v/>
      </c>
      <c r="AM47" s="197" t="str">
        <f>IF(M47="","",SUMIFS('[1]1_group_totals'!$J$8:$J$10000,'[1]1_group_totals'!$C$8:$C$10000,I47,'[1]1_group_totals'!$F$8:$F$10000,invoice_location_group_id,'[1]1_group_totals'!$G$8:$G$10000,invoice_location_id,'[1]1_group_totals'!$H$8:$H$10000,"="&amp;Q47,'[1]1_group_totals'!$I$8:$I$10000,"="&amp;R47))</f>
        <v/>
      </c>
      <c r="AN47" s="197" t="str">
        <f t="shared" si="17"/>
        <v/>
      </c>
      <c r="AO47" s="197" t="str">
        <f>IF(OR(ISNA(MATCH(MID(AN47,1,3)*1,UomConversion!$D$8:$D$500,0)),M47=""),"",IF(AT47="","",AT47))</f>
        <v/>
      </c>
      <c r="AP47" s="197" t="str">
        <f>IF(AND(AQ47&gt;0,COUNTIFS(UomConversion!$D$8:$D$500,MID(AN47,1,3)*1,UomConversion!$J$8:$J$500,1)&gt;1),TEXT(AQ47,"000")&amp;"."&amp;VLOOKUP(AQ47,uom_list,5,FALSE),"")</f>
        <v/>
      </c>
      <c r="AQ47" s="197" t="str">
        <f t="shared" si="18"/>
        <v/>
      </c>
      <c r="AR47" s="197" t="str">
        <f t="shared" si="19"/>
        <v/>
      </c>
      <c r="AS47" s="1866" t="str">
        <f>IF(M47="","",SUMIFS(ProductPrice!$N$28:$N$10000,ProductPrice!$D$28:$D$10000,I47,ProductPrice!$G$28:$G$10000,invoice_branch_id,ProductPrice!$H$28:$H$10000,invoice_price_type_id,ProductPrice!$I$28:$I$10000,MID(P47,1,3)*1,ProductPrice!$Q$28:$Q$10000,1,ProductPrice!$T$28:$T$10000,1))</f>
        <v/>
      </c>
      <c r="AT47" s="197" t="str">
        <f t="shared" si="28"/>
        <v/>
      </c>
      <c r="AU47" s="197" t="str" cm="1">
        <f t="array" ref="AU47">IF(M47="","",IF(ISNA(Slookup(MID(AN47,1,3)*1,UomConversion!$D$8:$J$500,2,UomConversion!$I$8:$I$500,1,UomConversion!$J$8:$J$500,1)),"",Slookup(MID(AN47,1,3)*1,UomConversion!$D$8:$J$500,2,UomConversion!$I$8:$I$500,1,UomConversion!$J$8:$J$500,1)))</f>
        <v/>
      </c>
      <c r="AV47" s="197" t="str">
        <f t="shared" si="29"/>
        <v/>
      </c>
      <c r="AW47" s="197" t="str">
        <f>IF(M47="","",(SUMIFS('[1]1_group_totals'!$K$8:$K$10000,'[1]1_group_totals'!$C$8:$C$10000,I47,'[1]1_group_totals'!$F$8:$F$10000,invoice_location_group_id,'[1]1_group_totals'!$G$8:$G$10000,invoice_location_id,'[1]1_group_totals'!$H$8:$H$10000,"="&amp;Q47,'[1]1_group_totals'!$I$8:$I$10000,"="&amp;R47)+SUMIFS('[1]1_group_totals'!$N$8:$N$10000,'[1]1_group_totals'!$C$8:$C$10000,I47,'[1]1_group_totals'!$F$8:$F$10000,invoice_location_group_id,'[1]1_group_totals'!$G$8:$G$10000,invoice_location_id,'[1]1_group_totals'!$H$8:$H$10000,"="&amp;Q47,'[1]1_group_totals'!$I$8:$I$10000,"="&amp;R47)+SUMIFS('[1]1_group_totals'!$P$8:$P$10000,'[1]1_group_totals'!$C$8:$C$10000,I47,'[1]1_group_totals'!$F$8:$F$10000,invoice_location_group_id,'[1]1_group_totals'!$G$8:$G$10000,invoice_location_id,'[1]1_group_totals'!$H$8:$H$10000,"="&amp;Q47,'[1]1_group_totals'!$I$8:$I$10000,"="&amp;R47)+SUMIFS('[1]1_group_totals'!$Q$8:$Q$10000,'[1]1_group_totals'!$C$8:$C$10000,I47,'[1]1_group_totals'!$F$8:$F$10000,invoice_location_group_id,'[1]1_group_totals'!$G$8:$G$10000,invoice_location_id,'[1]1_group_totals'!$H$8:$H$10000,"="&amp;Q47,'[1]1_group_totals'!$I$8:$I$10000,"="&amp;R47))+(SUMIFS('[1]1_group_totals'!$L$8:$L$10000,'[1]1_group_totals'!$C$8:$C$10000,I47,'[1]1_group_totals'!$F$8:$F$10000,invoice_location_group_id,'[1]1_group_totals'!$G$8:$G$10000,invoice_location_id,'[1]1_group_totals'!$H$8:$H$10000,"="&amp;Q47,'[1]1_group_totals'!$I$8:$I$10000,"="&amp;R47)+SUMIFS('[1]1_group_totals'!$M$8:$M$10000,'[1]1_group_totals'!$C$8:$C$10000,I47,'[1]1_group_totals'!$F$8:$F$10000,invoice_location_group_id,'[1]1_group_totals'!$G$8:$G$10000,invoice_location_id,'[1]1_group_totals'!$H$8:$H$10000,"="&amp;Q47,'[1]1_group_totals'!$I$8:$I$10000,"="&amp;R47)+SUMIFS('[1]1_group_totals'!$O$8:$O$10000,'[1]1_group_totals'!$C$8:$C$10000,I47,'[1]1_group_totals'!$F$8:$F$10000,invoice_location_group_id,'[1]1_group_totals'!$G$8:$G$10000,invoice_location_id,'[1]1_group_totals'!$H$8:$H$10000,"="&amp;Q47,'[1]1_group_totals'!$I$8:$I$10000,"="&amp;R47)+SUMIFS('[1]1_group_totals'!$R$8:$R$10000,'[1]1_group_totals'!$C$8:$C$10000,I47,'[1]1_group_totals'!$F$8:$F$10000,invoice_location_group_id,'[1]1_group_totals'!$G$8:$G$10000,invoice_location_id,'[1]1_group_totals'!$H$8:$H$10000,"="&amp;Q47,'[1]1_group_totals'!$I$8:$I$10000,"="&amp;R47)))</f>
        <v/>
      </c>
      <c r="AX47" s="197" t="str">
        <f t="shared" si="21"/>
        <v/>
      </c>
      <c r="AY47" s="197" t="str">
        <f>IF(M47="","",SUMIFS($AX$8:AX47,$I$8:I47,I47))</f>
        <v/>
      </c>
      <c r="AZ47" s="197" t="str">
        <f t="shared" si="22"/>
        <v/>
      </c>
      <c r="BA47" s="197" t="str">
        <f>IF(M47="","",(SUMIFS('[1]1_inventory_totals'!$I$8:$I$10000,'[1]1_inventory_totals'!$C$8:$C$10000,I47,'[1]1_inventory_totals'!$F$8:$F$10000,"="&amp;Q47,'[1]1_inventory_totals'!$G$8:$G$10000,"="&amp;R47)+SUMIFS('[1]1_inventory_totals'!$N$8:$N$10000,'[1]1_inventory_totals'!$C$8:$C$10000,I47,'[1]1_inventory_totals'!$F$8:$F$10000,"="&amp;Q47,'[1]1_inventory_totals'!$G$8:$G$10000,"="&amp;R47)+SUMIFS('[1]1_inventory_totals'!$P$8:$P$10000,'[1]1_inventory_totals'!$C$8:$C$10000,I47,'[1]1_inventory_totals'!$F$8:$F$10000,"="&amp;Q47,'[1]1_inventory_totals'!$G$8:$G$10000,"="&amp;R47)+SUMIFS('[1]1_inventory_totals'!$Q$8:$Q$10000,'[1]1_inventory_totals'!$C$8:$C$10000,I47,'[1]1_inventory_totals'!$F$8:$F$10000,"="&amp;Q47,'[1]1_inventory_totals'!$G$8:$G$10000,"="&amp;R47)+SUMIFS('[1]1_inventory_totals'!$R$8:$R$10000,'[1]1_inventory_totals'!$C$8:$C$10000,I47,'[1]1_inventory_totals'!$F$8:$F$10000,"="&amp;Q47,'[1]1_inventory_totals'!$G$8:$G$10000,"="&amp;R47))+(SUMIFS('[1]1_inventory_totals'!$J$8:$J$10000,'[1]1_inventory_totals'!$C$8:$C$10000,I47,'[1]1_inventory_totals'!$F$8:$F$10000,"="&amp;Q47,'[1]1_inventory_totals'!$G$8:$G$10000,"="&amp;R47)+SUMIFS('[1]1_inventory_totals'!$K$8:$K$10000,'[1]1_inventory_totals'!$C$8:$C$10000,I47,'[1]1_inventory_totals'!$F$8:$F$10000,"="&amp;Q47,'[1]1_inventory_totals'!$G$8:$G$10000,"="&amp;R47)+SUMIFS('[1]1_inventory_totals'!$L$8:$L$10000,'[1]1_inventory_totals'!$C$8:$C$10000,I47,'[1]1_inventory_totals'!$F$8:$F$10000,"="&amp;Q47,'[1]1_inventory_totals'!$G$8:$G$10000,"="&amp;R47)+SUMIFS('[1]1_inventory_totals'!$M$8:$M$10000,'[1]1_inventory_totals'!$C$8:$C$10000,I47,'[1]1_inventory_totals'!$F$8:$F$10000,"="&amp;Q47,'[1]1_inventory_totals'!$G$8:$G$10000,"="&amp;R47)+SUMIFS('[1]1_inventory_totals'!$O$8:$O$10000,'[1]1_inventory_totals'!$C$8:$C$10000,I47,'[1]1_inventory_totals'!$F$8:$F$10000,"="&amp;Q47,'[1]1_inventory_totals'!$G$8:$G$10000,"="&amp;R47)+SUMIFS('[1]1_inventory_totals'!$S$8:$S$10000,'[1]1_inventory_totals'!$C$8:$C$10000,I47,'[1]1_inventory_totals'!$F$8:$F$10000,"="&amp;Q47,'[1]1_inventory_totals'!$G$8:$G$10000,"="&amp;R47)))</f>
        <v/>
      </c>
      <c r="BB47" s="197" t="str">
        <f>IF(M47="","",(SUMIFS('[1]2_inventory_totals'!$I$8:$I$10000,'[1]2_inventory_totals'!$C$8:$C$10000,I47,'[1]2_inventory_totals'!$F$8:$F$10000,"="&amp;Q47,'[1]2_inventory_totals'!$G$8:$G$10000,"="&amp;R47)+SUMIFS('[1]2_inventory_totals'!$N$8:$N$10000,'[1]2_inventory_totals'!$C$8:$C$10000,I47,'[1]2_inventory_totals'!$F$8:$F$10000,"="&amp;Q47,'[1]2_inventory_totals'!$G$8:$G$10000,"="&amp;R47)+SUMIFS('[1]2_inventory_totals'!$P$8:$P$10000,'[1]2_inventory_totals'!$C$8:$C$10000,I47,'[1]2_inventory_totals'!$F$8:$F$10000,"="&amp;Q47,'[1]2_inventory_totals'!$G$8:$G$10000,"="&amp;R47)+SUMIFS('[1]2_inventory_totals'!$Q$8:$Q$10000,'[1]2_inventory_totals'!$C$8:$C$10000,I47,'[1]2_inventory_totals'!$F$8:$F$10000,"="&amp;Q47,'[1]2_inventory_totals'!$G$8:$G$10000,"="&amp;R47)+SUMIFS('[1]2_inventory_totals'!$R$8:$R$10000,'[1]2_inventory_totals'!$C$8:$C$10000,I47,'[1]2_inventory_totals'!$F$8:$F$10000,"="&amp;Q47,'[1]2_inventory_totals'!$G$8:$G$10000,"="&amp;R47))+(SUMIFS('[1]2_inventory_totals'!$J$8:$J$10000,'[1]2_inventory_totals'!$C$8:$C$10000,I47,'[1]2_inventory_totals'!$F$8:$F$10000,"="&amp;Q47,'[1]2_inventory_totals'!$G$8:$G$10000,"="&amp;R47)+SUMIFS('[1]2_inventory_totals'!$K$8:$K$10000,'[1]2_inventory_totals'!$C$8:$C$10000,I47,'[1]2_inventory_totals'!$F$8:$F$10000,"="&amp;Q47,'[1]2_inventory_totals'!$G$8:$G$10000,"="&amp;R47)+SUMIFS('[1]2_inventory_totals'!$L$8:$L$10000,'[1]2_inventory_totals'!$C$8:$C$10000,I47,'[1]2_inventory_totals'!$F$8:$F$10000,"="&amp;Q47,'[1]2_inventory_totals'!$G$8:$G$10000,"="&amp;R47)+SUMIFS('[1]2_inventory_totals'!$M$8:$M$10000,'[1]2_inventory_totals'!$C$8:$C$10000,I47,'[1]2_inventory_totals'!$F$8:$F$10000,"="&amp;Q47,'[1]2_inventory_totals'!$G$8:$G$10000,"="&amp;R47)+SUMIFS('[1]2_inventory_totals'!$O$8:$O$10000,'[1]2_inventory_totals'!$C$8:$C$10000,I47,'[1]2_inventory_totals'!$F$8:$F$10000,"="&amp;Q47,'[1]2_inventory_totals'!$G$8:$G$10000,"="&amp;R47)+SUMIFS('[1]2_inventory_totals'!$S$8:$S$10000,'[1]2_inventory_totals'!$C$8:$C$10000,I47,'[1]2_inventory_totals'!$F$8:$F$10000,"="&amp;Q47,'[1]2_inventory_totals'!$G$8:$G$10000,"="&amp;R47)))</f>
        <v/>
      </c>
    </row>
    <row r="48" spans="1:54" ht="27" hidden="1" customHeight="1">
      <c r="A48" s="923"/>
      <c r="B48" s="1251"/>
      <c r="C48" s="1268"/>
      <c r="D48" s="950"/>
      <c r="E48" s="950"/>
      <c r="F48" s="1262"/>
      <c r="I48" s="1610" t="str">
        <f t="shared" si="7"/>
        <v/>
      </c>
      <c r="J48" s="1611" t="str">
        <f t="shared" si="24"/>
        <v/>
      </c>
      <c r="K48" s="1612" t="str">
        <f t="shared" si="30"/>
        <v/>
      </c>
      <c r="L48" s="1613"/>
      <c r="M48" s="883"/>
      <c r="N48" s="884"/>
      <c r="O48" s="884"/>
      <c r="P48" s="885"/>
      <c r="Q48" s="886"/>
      <c r="R48" s="891"/>
      <c r="S48" s="1614" t="str">
        <f t="shared" si="0"/>
        <v/>
      </c>
      <c r="T48" s="1536"/>
      <c r="U48" s="1864" t="str">
        <f t="shared" si="9"/>
        <v/>
      </c>
      <c r="V48" s="1615" t="str">
        <f t="shared" si="25"/>
        <v/>
      </c>
      <c r="W48" s="889"/>
      <c r="X48" s="1615" t="str">
        <f t="shared" si="26"/>
        <v/>
      </c>
      <c r="Y48" s="1865" t="str">
        <f t="shared" si="10"/>
        <v/>
      </c>
      <c r="Z48" s="890"/>
      <c r="AA48" s="197" t="str" cm="1">
        <f t="array" ref="AA48">IF(M48="","",IF(P48=AN48,1,Slookup(MID(AN48,1,3)*1,UomConversion!$D$8:$J$500,5,UomConversion!$E$8:$E$500,MID(P48,1,3)*1,UomConversion!$J$8:$J$500,1)))</f>
        <v/>
      </c>
      <c r="AB48" s="197" t="str">
        <f t="shared" si="11"/>
        <v/>
      </c>
      <c r="AC48" s="197" t="str">
        <f t="shared" si="12"/>
        <v/>
      </c>
      <c r="AD48" s="197" t="str">
        <f t="shared" si="13"/>
        <v/>
      </c>
      <c r="AE48" s="1866" t="str">
        <f t="shared" si="14"/>
        <v/>
      </c>
      <c r="AF48" s="1866" t="str">
        <f t="shared" si="27"/>
        <v/>
      </c>
      <c r="AG48" s="197" t="str">
        <f t="shared" si="16"/>
        <v/>
      </c>
      <c r="AH48" s="197" t="str">
        <f>IF(I48="","",IF(ISNA(MATCH(I48,IF(invoice_location_id=1,'[1]1_inventory_totals'!$C$8:$C$10000,IF(invoice_location_id=2,'[1]2_inventory_totals'!$C$8:$C$10000,0)),0)),0,IF(AV48&gt;0,1,0)))</f>
        <v/>
      </c>
      <c r="AI48" s="197" t="str">
        <f>IF(M48="","",IF(invoice_location_id=1,SUMIFS('[1]1_inventory_total_details'!$J$8:$J$10000,'[1]1_inventory_total_details'!$C$8:$C$10000,I48,'[1]1_inventory_total_details'!$F$8:$F$10000,invoice_location_id,'[1]1_inventory_total_details'!$G$8:$G$10000,"="&amp;Q48,'[1]1_inventory_total_details'!$H$8:$H$10000,"="&amp;R48,'[1]1_inventory_total_details'!$I$8:$I$10000,"="&amp;invoice_date)+SUMIFS('[1]1_inventory_total_details'!$M$8:$M$10000,'[1]1_inventory_total_details'!$C$8:$C$10000,I48,'[1]1_inventory_total_details'!$F$8:$F$10000,invoice_location_id,'[1]1_inventory_total_details'!$G$8:$G$10000,"="&amp;Q48,'[1]1_inventory_total_details'!$H$8:$H$10000,"="&amp;R48,'[1]1_inventory_total_details'!$I$8:$I$10000,"="&amp;invoice_date)+SUMIFS('[1]1_inventory_total_details'!$K$8:$K$10000,'[1]1_inventory_total_details'!$C$8:$C$10000,I48,'[1]1_inventory_total_details'!$F$8:$F$10000,invoice_location_id,'[1]1_inventory_total_details'!$G$8:$G$10000,"="&amp;Q48,'[1]1_inventory_total_details'!$H$8:$H$10000,"="&amp;R48,'[1]1_inventory_total_details'!$I$8:$I$10000,"="&amp;invoice_date)+SUMIFS('[1]1_inventory_total_details'!$L$8:$L$10000,'[1]1_inventory_total_details'!$C$8:$C$10000,I48,'[1]1_inventory_total_details'!$F$8:$F$10000,invoice_location_id,'[1]1_inventory_total_details'!$G$8:$G$10000,"="&amp;Q48,'[1]1_inventory_total_details'!$H$8:$H$10000,"="&amp;R48,'[1]1_inventory_total_details'!$I$8:$I$10000,"="&amp;invoice_date),SUMIFS('[1]2_inventory_total_details'!$J$8:$J$10000,'[1]2_inventory_total_details'!$C$8:$C$10000,I48,'[1]2_inventory_total_details'!$F$8:$F$10000,invoice_location_id,'[1]2_inventory_total_details'!$G$8:$G$10000,"="&amp;Q48,'[1]2_inventory_total_details'!$H$8:$H$10000,"="&amp;R48,'[1]2_inventory_total_details'!$I$8:$I$10000,"="&amp;invoice_date)+SUMIFS('[1]2_inventory_total_details'!$M$8:$M$10000,'[1]2_inventory_total_details'!$C$8:$C$10000,I48,'[1]2_inventory_total_details'!$F$8:$F$10000,invoice_location_id,'[1]2_inventory_total_details'!$G$8:$G$10000,"="&amp;Q48,'[1]2_inventory_total_details'!$H$8:$H$10000,"="&amp;R48,'[1]2_inventory_total_details'!$I$8:$I$10000,"="&amp;invoice_date)+SUMIFS('[1]2_inventory_total_details'!$K$8:$K$10000,'[1]2_inventory_total_details'!$C$8:$C$10000,I48,'[1]2_inventory_total_details'!$F$8:$F$10000,invoice_location_id,'[1]2_inventory_total_details'!$G$8:$G$10000,"="&amp;Q48,'[1]2_inventory_total_details'!$H$8:$H$10000,"="&amp;R48,'[1]2_inventory_total_details'!$I$8:$I$10000,"="&amp;invoice_date)+SUMIFS('[1]2_inventory_total_details'!$L$8:$L$10000,'[1]2_inventory_total_details'!$C$8:$C$10000,I48,'[1]2_inventory_total_details'!$F$8:$F$10000,invoice_location_id,'[1]2_inventory_total_details'!$G$8:$G$10000,"="&amp;Q48,'[1]2_inventory_total_details'!$H$8:$H$10000,"="&amp;R48,'[1]2_inventory_total_details'!$I$8:$I$10000,"="&amp;invoice_date)))</f>
        <v/>
      </c>
      <c r="AJ48" s="197" t="str">
        <f>IF(M48="","",IF(ISNA(MATCH(I48,'[1]1_group_totals'!$C$8:$C$10000)),0,IF(AW48&gt;0,1,0)))</f>
        <v/>
      </c>
      <c r="AK48" s="197" t="str">
        <f>IF(M48="","",(SUMIFS('[1]1_group_total_details'!$I$8:$I$10000,'[1]1_group_total_details'!$C$8:$C$10000,I48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48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48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48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48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48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48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48,'[1]1_group_total_details'!$F$8:$F$10000,invoice_location_group_id,'[1]1_group_total_details'!$G$8:$G$10000,invoice_location_id,'[1]1_group_total_details'!$H$8:$H$10000,"="&amp;invoice_date)))</f>
        <v/>
      </c>
      <c r="AL48" s="197" t="str">
        <f>IF(M48="","",(SUMIFS('[1]1_group_total_details'!$I$8:$I$10000,'[1]1_group_total_details'!$C$8:$C$10000,I48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48,'[1]1_group_total_details'!$F$8:$F$10000,invoice_location_group_id,'[1]1_group_total_details'!$G$8:$G$10000,1,'[1]1_group_total_details'!$H$8:$H$10000,"&lt;="&amp;invoice_date)+SUMIFS('[1]1_group_total_details'!$N$8:$N$10000,'[1]1_group_total_details'!$C$8:$C$10000,I48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48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48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48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48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48,'[1]1_group_total_details'!$F$8:$F$10000,invoice_location_group_id,'[1]1_group_total_details'!$G$8:$G$10000,invoice_location_id,'[1]1_group_total_details'!$H$8:$H$10000,"&lt;="&amp;invoice_date)))</f>
        <v/>
      </c>
      <c r="AM48" s="197" t="str">
        <f>IF(M48="","",SUMIFS('[1]1_group_totals'!$J$8:$J$10000,'[1]1_group_totals'!$C$8:$C$10000,I48,'[1]1_group_totals'!$F$8:$F$10000,invoice_location_group_id,'[1]1_group_totals'!$G$8:$G$10000,invoice_location_id,'[1]1_group_totals'!$H$8:$H$10000,"="&amp;Q48,'[1]1_group_totals'!$I$8:$I$10000,"="&amp;R48))</f>
        <v/>
      </c>
      <c r="AN48" s="197" t="str">
        <f t="shared" si="17"/>
        <v/>
      </c>
      <c r="AO48" s="197" t="str">
        <f>IF(OR(ISNA(MATCH(MID(AN48,1,3)*1,UomConversion!$D$8:$D$500,0)),M48=""),"",IF(AT48="","",AT48))</f>
        <v/>
      </c>
      <c r="AP48" s="197" t="str">
        <f>IF(AND(AQ48&gt;0,COUNTIFS(UomConversion!$D$8:$D$500,MID(AN48,1,3)*1,UomConversion!$J$8:$J$500,1)&gt;1),TEXT(AQ48,"000")&amp;"."&amp;VLOOKUP(AQ48,uom_list,5,FALSE),"")</f>
        <v/>
      </c>
      <c r="AQ48" s="197" t="str">
        <f t="shared" si="18"/>
        <v/>
      </c>
      <c r="AR48" s="197" t="str">
        <f t="shared" si="19"/>
        <v/>
      </c>
      <c r="AS48" s="1866" t="str">
        <f>IF(M48="","",SUMIFS(ProductPrice!$N$28:$N$10000,ProductPrice!$D$28:$D$10000,I48,ProductPrice!$G$28:$G$10000,invoice_branch_id,ProductPrice!$H$28:$H$10000,invoice_price_type_id,ProductPrice!$I$28:$I$10000,MID(P48,1,3)*1,ProductPrice!$Q$28:$Q$10000,1,ProductPrice!$T$28:$T$10000,1))</f>
        <v/>
      </c>
      <c r="AT48" s="197" t="str">
        <f t="shared" si="28"/>
        <v/>
      </c>
      <c r="AU48" s="197" t="str" cm="1">
        <f t="array" ref="AU48">IF(M48="","",IF(ISNA(Slookup(MID(AN48,1,3)*1,UomConversion!$D$8:$J$500,2,UomConversion!$I$8:$I$500,1,UomConversion!$J$8:$J$500,1)),"",Slookup(MID(AN48,1,3)*1,UomConversion!$D$8:$J$500,2,UomConversion!$I$8:$I$500,1,UomConversion!$J$8:$J$500,1)))</f>
        <v/>
      </c>
      <c r="AV48" s="197" t="str">
        <f t="shared" si="29"/>
        <v/>
      </c>
      <c r="AW48" s="197" t="str">
        <f>IF(M48="","",(SUMIFS('[1]1_group_totals'!$K$8:$K$10000,'[1]1_group_totals'!$C$8:$C$10000,I48,'[1]1_group_totals'!$F$8:$F$10000,invoice_location_group_id,'[1]1_group_totals'!$G$8:$G$10000,invoice_location_id,'[1]1_group_totals'!$H$8:$H$10000,"="&amp;Q48,'[1]1_group_totals'!$I$8:$I$10000,"="&amp;R48)+SUMIFS('[1]1_group_totals'!$N$8:$N$10000,'[1]1_group_totals'!$C$8:$C$10000,I48,'[1]1_group_totals'!$F$8:$F$10000,invoice_location_group_id,'[1]1_group_totals'!$G$8:$G$10000,invoice_location_id,'[1]1_group_totals'!$H$8:$H$10000,"="&amp;Q48,'[1]1_group_totals'!$I$8:$I$10000,"="&amp;R48)+SUMIFS('[1]1_group_totals'!$P$8:$P$10000,'[1]1_group_totals'!$C$8:$C$10000,I48,'[1]1_group_totals'!$F$8:$F$10000,invoice_location_group_id,'[1]1_group_totals'!$G$8:$G$10000,invoice_location_id,'[1]1_group_totals'!$H$8:$H$10000,"="&amp;Q48,'[1]1_group_totals'!$I$8:$I$10000,"="&amp;R48)+SUMIFS('[1]1_group_totals'!$Q$8:$Q$10000,'[1]1_group_totals'!$C$8:$C$10000,I48,'[1]1_group_totals'!$F$8:$F$10000,invoice_location_group_id,'[1]1_group_totals'!$G$8:$G$10000,invoice_location_id,'[1]1_group_totals'!$H$8:$H$10000,"="&amp;Q48,'[1]1_group_totals'!$I$8:$I$10000,"="&amp;R48))+(SUMIFS('[1]1_group_totals'!$L$8:$L$10000,'[1]1_group_totals'!$C$8:$C$10000,I48,'[1]1_group_totals'!$F$8:$F$10000,invoice_location_group_id,'[1]1_group_totals'!$G$8:$G$10000,invoice_location_id,'[1]1_group_totals'!$H$8:$H$10000,"="&amp;Q48,'[1]1_group_totals'!$I$8:$I$10000,"="&amp;R48)+SUMIFS('[1]1_group_totals'!$M$8:$M$10000,'[1]1_group_totals'!$C$8:$C$10000,I48,'[1]1_group_totals'!$F$8:$F$10000,invoice_location_group_id,'[1]1_group_totals'!$G$8:$G$10000,invoice_location_id,'[1]1_group_totals'!$H$8:$H$10000,"="&amp;Q48,'[1]1_group_totals'!$I$8:$I$10000,"="&amp;R48)+SUMIFS('[1]1_group_totals'!$O$8:$O$10000,'[1]1_group_totals'!$C$8:$C$10000,I48,'[1]1_group_totals'!$F$8:$F$10000,invoice_location_group_id,'[1]1_group_totals'!$G$8:$G$10000,invoice_location_id,'[1]1_group_totals'!$H$8:$H$10000,"="&amp;Q48,'[1]1_group_totals'!$I$8:$I$10000,"="&amp;R48)+SUMIFS('[1]1_group_totals'!$R$8:$R$10000,'[1]1_group_totals'!$C$8:$C$10000,I48,'[1]1_group_totals'!$F$8:$F$10000,invoice_location_group_id,'[1]1_group_totals'!$G$8:$G$10000,invoice_location_id,'[1]1_group_totals'!$H$8:$H$10000,"="&amp;Q48,'[1]1_group_totals'!$I$8:$I$10000,"="&amp;R48)))</f>
        <v/>
      </c>
      <c r="AX48" s="197" t="str">
        <f t="shared" si="21"/>
        <v/>
      </c>
      <c r="AY48" s="197" t="str">
        <f>IF(M48="","",SUMIFS($AX$8:AX48,$I$8:I48,I48))</f>
        <v/>
      </c>
      <c r="AZ48" s="197" t="str">
        <f t="shared" si="22"/>
        <v/>
      </c>
      <c r="BA48" s="197" t="str">
        <f>IF(M48="","",(SUMIFS('[1]1_inventory_totals'!$I$8:$I$10000,'[1]1_inventory_totals'!$C$8:$C$10000,I48,'[1]1_inventory_totals'!$F$8:$F$10000,"="&amp;Q48,'[1]1_inventory_totals'!$G$8:$G$10000,"="&amp;R48)+SUMIFS('[1]1_inventory_totals'!$N$8:$N$10000,'[1]1_inventory_totals'!$C$8:$C$10000,I48,'[1]1_inventory_totals'!$F$8:$F$10000,"="&amp;Q48,'[1]1_inventory_totals'!$G$8:$G$10000,"="&amp;R48)+SUMIFS('[1]1_inventory_totals'!$P$8:$P$10000,'[1]1_inventory_totals'!$C$8:$C$10000,I48,'[1]1_inventory_totals'!$F$8:$F$10000,"="&amp;Q48,'[1]1_inventory_totals'!$G$8:$G$10000,"="&amp;R48)+SUMIFS('[1]1_inventory_totals'!$Q$8:$Q$10000,'[1]1_inventory_totals'!$C$8:$C$10000,I48,'[1]1_inventory_totals'!$F$8:$F$10000,"="&amp;Q48,'[1]1_inventory_totals'!$G$8:$G$10000,"="&amp;R48)+SUMIFS('[1]1_inventory_totals'!$R$8:$R$10000,'[1]1_inventory_totals'!$C$8:$C$10000,I48,'[1]1_inventory_totals'!$F$8:$F$10000,"="&amp;Q48,'[1]1_inventory_totals'!$G$8:$G$10000,"="&amp;R48))+(SUMIFS('[1]1_inventory_totals'!$J$8:$J$10000,'[1]1_inventory_totals'!$C$8:$C$10000,I48,'[1]1_inventory_totals'!$F$8:$F$10000,"="&amp;Q48,'[1]1_inventory_totals'!$G$8:$G$10000,"="&amp;R48)+SUMIFS('[1]1_inventory_totals'!$K$8:$K$10000,'[1]1_inventory_totals'!$C$8:$C$10000,I48,'[1]1_inventory_totals'!$F$8:$F$10000,"="&amp;Q48,'[1]1_inventory_totals'!$G$8:$G$10000,"="&amp;R48)+SUMIFS('[1]1_inventory_totals'!$L$8:$L$10000,'[1]1_inventory_totals'!$C$8:$C$10000,I48,'[1]1_inventory_totals'!$F$8:$F$10000,"="&amp;Q48,'[1]1_inventory_totals'!$G$8:$G$10000,"="&amp;R48)+SUMIFS('[1]1_inventory_totals'!$M$8:$M$10000,'[1]1_inventory_totals'!$C$8:$C$10000,I48,'[1]1_inventory_totals'!$F$8:$F$10000,"="&amp;Q48,'[1]1_inventory_totals'!$G$8:$G$10000,"="&amp;R48)+SUMIFS('[1]1_inventory_totals'!$O$8:$O$10000,'[1]1_inventory_totals'!$C$8:$C$10000,I48,'[1]1_inventory_totals'!$F$8:$F$10000,"="&amp;Q48,'[1]1_inventory_totals'!$G$8:$G$10000,"="&amp;R48)+SUMIFS('[1]1_inventory_totals'!$S$8:$S$10000,'[1]1_inventory_totals'!$C$8:$C$10000,I48,'[1]1_inventory_totals'!$F$8:$F$10000,"="&amp;Q48,'[1]1_inventory_totals'!$G$8:$G$10000,"="&amp;R48)))</f>
        <v/>
      </c>
      <c r="BB48" s="197" t="str">
        <f>IF(M48="","",(SUMIFS('[1]2_inventory_totals'!$I$8:$I$10000,'[1]2_inventory_totals'!$C$8:$C$10000,I48,'[1]2_inventory_totals'!$F$8:$F$10000,"="&amp;Q48,'[1]2_inventory_totals'!$G$8:$G$10000,"="&amp;R48)+SUMIFS('[1]2_inventory_totals'!$N$8:$N$10000,'[1]2_inventory_totals'!$C$8:$C$10000,I48,'[1]2_inventory_totals'!$F$8:$F$10000,"="&amp;Q48,'[1]2_inventory_totals'!$G$8:$G$10000,"="&amp;R48)+SUMIFS('[1]2_inventory_totals'!$P$8:$P$10000,'[1]2_inventory_totals'!$C$8:$C$10000,I48,'[1]2_inventory_totals'!$F$8:$F$10000,"="&amp;Q48,'[1]2_inventory_totals'!$G$8:$G$10000,"="&amp;R48)+SUMIFS('[1]2_inventory_totals'!$Q$8:$Q$10000,'[1]2_inventory_totals'!$C$8:$C$10000,I48,'[1]2_inventory_totals'!$F$8:$F$10000,"="&amp;Q48,'[1]2_inventory_totals'!$G$8:$G$10000,"="&amp;R48)+SUMIFS('[1]2_inventory_totals'!$R$8:$R$10000,'[1]2_inventory_totals'!$C$8:$C$10000,I48,'[1]2_inventory_totals'!$F$8:$F$10000,"="&amp;Q48,'[1]2_inventory_totals'!$G$8:$G$10000,"="&amp;R48))+(SUMIFS('[1]2_inventory_totals'!$J$8:$J$10000,'[1]2_inventory_totals'!$C$8:$C$10000,I48,'[1]2_inventory_totals'!$F$8:$F$10000,"="&amp;Q48,'[1]2_inventory_totals'!$G$8:$G$10000,"="&amp;R48)+SUMIFS('[1]2_inventory_totals'!$K$8:$K$10000,'[1]2_inventory_totals'!$C$8:$C$10000,I48,'[1]2_inventory_totals'!$F$8:$F$10000,"="&amp;Q48,'[1]2_inventory_totals'!$G$8:$G$10000,"="&amp;R48)+SUMIFS('[1]2_inventory_totals'!$L$8:$L$10000,'[1]2_inventory_totals'!$C$8:$C$10000,I48,'[1]2_inventory_totals'!$F$8:$F$10000,"="&amp;Q48,'[1]2_inventory_totals'!$G$8:$G$10000,"="&amp;R48)+SUMIFS('[1]2_inventory_totals'!$M$8:$M$10000,'[1]2_inventory_totals'!$C$8:$C$10000,I48,'[1]2_inventory_totals'!$F$8:$F$10000,"="&amp;Q48,'[1]2_inventory_totals'!$G$8:$G$10000,"="&amp;R48)+SUMIFS('[1]2_inventory_totals'!$O$8:$O$10000,'[1]2_inventory_totals'!$C$8:$C$10000,I48,'[1]2_inventory_totals'!$F$8:$F$10000,"="&amp;Q48,'[1]2_inventory_totals'!$G$8:$G$10000,"="&amp;R48)+SUMIFS('[1]2_inventory_totals'!$S$8:$S$10000,'[1]2_inventory_totals'!$C$8:$C$10000,I48,'[1]2_inventory_totals'!$F$8:$F$10000,"="&amp;Q48,'[1]2_inventory_totals'!$G$8:$G$10000,"="&amp;R48)))</f>
        <v/>
      </c>
    </row>
    <row r="49" spans="1:54" ht="27" hidden="1" customHeight="1">
      <c r="A49" s="923"/>
      <c r="B49" s="1251"/>
      <c r="C49" s="1268"/>
      <c r="D49" s="950"/>
      <c r="E49" s="950"/>
      <c r="F49" s="1262"/>
      <c r="I49" s="1610" t="str">
        <f t="shared" si="7"/>
        <v/>
      </c>
      <c r="J49" s="1611" t="str">
        <f t="shared" si="24"/>
        <v/>
      </c>
      <c r="K49" s="1612" t="str">
        <f t="shared" si="30"/>
        <v/>
      </c>
      <c r="L49" s="1613"/>
      <c r="M49" s="883"/>
      <c r="N49" s="884"/>
      <c r="O49" s="884"/>
      <c r="P49" s="885"/>
      <c r="Q49" s="886"/>
      <c r="R49" s="891"/>
      <c r="S49" s="1614" t="str">
        <f t="shared" si="0"/>
        <v/>
      </c>
      <c r="T49" s="1536"/>
      <c r="U49" s="1864" t="str">
        <f t="shared" si="9"/>
        <v/>
      </c>
      <c r="V49" s="1615" t="str">
        <f t="shared" si="25"/>
        <v/>
      </c>
      <c r="W49" s="889"/>
      <c r="X49" s="1615" t="str">
        <f t="shared" si="26"/>
        <v/>
      </c>
      <c r="Y49" s="1865" t="str">
        <f t="shared" si="10"/>
        <v/>
      </c>
      <c r="Z49" s="890"/>
      <c r="AA49" s="197" t="str" cm="1">
        <f t="array" ref="AA49">IF(M49="","",IF(P49=AN49,1,Slookup(MID(AN49,1,3)*1,UomConversion!$D$8:$J$500,5,UomConversion!$E$8:$E$500,MID(P49,1,3)*1,UomConversion!$J$8:$J$500,1)))</f>
        <v/>
      </c>
      <c r="AB49" s="197" t="str">
        <f t="shared" si="11"/>
        <v/>
      </c>
      <c r="AC49" s="197" t="str">
        <f t="shared" si="12"/>
        <v/>
      </c>
      <c r="AD49" s="197" t="str">
        <f t="shared" si="13"/>
        <v/>
      </c>
      <c r="AE49" s="1866" t="str">
        <f t="shared" si="14"/>
        <v/>
      </c>
      <c r="AF49" s="1866" t="str">
        <f t="shared" si="27"/>
        <v/>
      </c>
      <c r="AG49" s="197" t="str">
        <f t="shared" si="16"/>
        <v/>
      </c>
      <c r="AH49" s="197" t="str">
        <f>IF(I49="","",IF(ISNA(MATCH(I49,IF(invoice_location_id=1,'[1]1_inventory_totals'!$C$8:$C$10000,IF(invoice_location_id=2,'[1]2_inventory_totals'!$C$8:$C$10000,0)),0)),0,IF(AV49&gt;0,1,0)))</f>
        <v/>
      </c>
      <c r="AI49" s="197" t="str">
        <f>IF(M49="","",IF(invoice_location_id=1,SUMIFS('[1]1_inventory_total_details'!$J$8:$J$10000,'[1]1_inventory_total_details'!$C$8:$C$10000,I49,'[1]1_inventory_total_details'!$F$8:$F$10000,invoice_location_id,'[1]1_inventory_total_details'!$G$8:$G$10000,"="&amp;Q49,'[1]1_inventory_total_details'!$H$8:$H$10000,"="&amp;R49,'[1]1_inventory_total_details'!$I$8:$I$10000,"="&amp;invoice_date)+SUMIFS('[1]1_inventory_total_details'!$M$8:$M$10000,'[1]1_inventory_total_details'!$C$8:$C$10000,I49,'[1]1_inventory_total_details'!$F$8:$F$10000,invoice_location_id,'[1]1_inventory_total_details'!$G$8:$G$10000,"="&amp;Q49,'[1]1_inventory_total_details'!$H$8:$H$10000,"="&amp;R49,'[1]1_inventory_total_details'!$I$8:$I$10000,"="&amp;invoice_date)+SUMIFS('[1]1_inventory_total_details'!$K$8:$K$10000,'[1]1_inventory_total_details'!$C$8:$C$10000,I49,'[1]1_inventory_total_details'!$F$8:$F$10000,invoice_location_id,'[1]1_inventory_total_details'!$G$8:$G$10000,"="&amp;Q49,'[1]1_inventory_total_details'!$H$8:$H$10000,"="&amp;R49,'[1]1_inventory_total_details'!$I$8:$I$10000,"="&amp;invoice_date)+SUMIFS('[1]1_inventory_total_details'!$L$8:$L$10000,'[1]1_inventory_total_details'!$C$8:$C$10000,I49,'[1]1_inventory_total_details'!$F$8:$F$10000,invoice_location_id,'[1]1_inventory_total_details'!$G$8:$G$10000,"="&amp;Q49,'[1]1_inventory_total_details'!$H$8:$H$10000,"="&amp;R49,'[1]1_inventory_total_details'!$I$8:$I$10000,"="&amp;invoice_date),SUMIFS('[1]2_inventory_total_details'!$J$8:$J$10000,'[1]2_inventory_total_details'!$C$8:$C$10000,I49,'[1]2_inventory_total_details'!$F$8:$F$10000,invoice_location_id,'[1]2_inventory_total_details'!$G$8:$G$10000,"="&amp;Q49,'[1]2_inventory_total_details'!$H$8:$H$10000,"="&amp;R49,'[1]2_inventory_total_details'!$I$8:$I$10000,"="&amp;invoice_date)+SUMIFS('[1]2_inventory_total_details'!$M$8:$M$10000,'[1]2_inventory_total_details'!$C$8:$C$10000,I49,'[1]2_inventory_total_details'!$F$8:$F$10000,invoice_location_id,'[1]2_inventory_total_details'!$G$8:$G$10000,"="&amp;Q49,'[1]2_inventory_total_details'!$H$8:$H$10000,"="&amp;R49,'[1]2_inventory_total_details'!$I$8:$I$10000,"="&amp;invoice_date)+SUMIFS('[1]2_inventory_total_details'!$K$8:$K$10000,'[1]2_inventory_total_details'!$C$8:$C$10000,I49,'[1]2_inventory_total_details'!$F$8:$F$10000,invoice_location_id,'[1]2_inventory_total_details'!$G$8:$G$10000,"="&amp;Q49,'[1]2_inventory_total_details'!$H$8:$H$10000,"="&amp;R49,'[1]2_inventory_total_details'!$I$8:$I$10000,"="&amp;invoice_date)+SUMIFS('[1]2_inventory_total_details'!$L$8:$L$10000,'[1]2_inventory_total_details'!$C$8:$C$10000,I49,'[1]2_inventory_total_details'!$F$8:$F$10000,invoice_location_id,'[1]2_inventory_total_details'!$G$8:$G$10000,"="&amp;Q49,'[1]2_inventory_total_details'!$H$8:$H$10000,"="&amp;R49,'[1]2_inventory_total_details'!$I$8:$I$10000,"="&amp;invoice_date)))</f>
        <v/>
      </c>
      <c r="AJ49" s="197" t="str">
        <f>IF(M49="","",IF(ISNA(MATCH(I49,'[1]1_group_totals'!$C$8:$C$10000)),0,IF(AW49&gt;0,1,0)))</f>
        <v/>
      </c>
      <c r="AK49" s="197" t="str">
        <f>IF(M49="","",(SUMIFS('[1]1_group_total_details'!$I$8:$I$10000,'[1]1_group_total_details'!$C$8:$C$10000,I49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49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49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49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49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49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49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49,'[1]1_group_total_details'!$F$8:$F$10000,invoice_location_group_id,'[1]1_group_total_details'!$G$8:$G$10000,invoice_location_id,'[1]1_group_total_details'!$H$8:$H$10000,"="&amp;invoice_date)))</f>
        <v/>
      </c>
      <c r="AL49" s="197" t="str">
        <f>IF(M49="","",(SUMIFS('[1]1_group_total_details'!$I$8:$I$10000,'[1]1_group_total_details'!$C$8:$C$10000,I49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49,'[1]1_group_total_details'!$F$8:$F$10000,invoice_location_group_id,'[1]1_group_total_details'!$G$8:$G$10000,1,'[1]1_group_total_details'!$H$8:$H$10000,"&lt;="&amp;invoice_date)+SUMIFS('[1]1_group_total_details'!$N$8:$N$10000,'[1]1_group_total_details'!$C$8:$C$10000,I49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49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49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49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49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49,'[1]1_group_total_details'!$F$8:$F$10000,invoice_location_group_id,'[1]1_group_total_details'!$G$8:$G$10000,invoice_location_id,'[1]1_group_total_details'!$H$8:$H$10000,"&lt;="&amp;invoice_date)))</f>
        <v/>
      </c>
      <c r="AM49" s="197" t="str">
        <f>IF(M49="","",SUMIFS('[1]1_group_totals'!$J$8:$J$10000,'[1]1_group_totals'!$C$8:$C$10000,I49,'[1]1_group_totals'!$F$8:$F$10000,invoice_location_group_id,'[1]1_group_totals'!$G$8:$G$10000,invoice_location_id,'[1]1_group_totals'!$H$8:$H$10000,"="&amp;Q49,'[1]1_group_totals'!$I$8:$I$10000,"="&amp;R49))</f>
        <v/>
      </c>
      <c r="AN49" s="197" t="str">
        <f t="shared" si="17"/>
        <v/>
      </c>
      <c r="AO49" s="197" t="str">
        <f>IF(OR(ISNA(MATCH(MID(AN49,1,3)*1,UomConversion!$D$8:$D$500,0)),M49=""),"",IF(AT49="","",AT49))</f>
        <v/>
      </c>
      <c r="AP49" s="197" t="str">
        <f>IF(AND(AQ49&gt;0,COUNTIFS(UomConversion!$D$8:$D$500,MID(AN49,1,3)*1,UomConversion!$J$8:$J$500,1)&gt;1),TEXT(AQ49,"000")&amp;"."&amp;VLOOKUP(AQ49,uom_list,5,FALSE),"")</f>
        <v/>
      </c>
      <c r="AQ49" s="197" t="str">
        <f t="shared" si="18"/>
        <v/>
      </c>
      <c r="AR49" s="197" t="str">
        <f t="shared" si="19"/>
        <v/>
      </c>
      <c r="AS49" s="1866" t="str">
        <f>IF(M49="","",SUMIFS(ProductPrice!$N$28:$N$10000,ProductPrice!$D$28:$D$10000,I49,ProductPrice!$G$28:$G$10000,invoice_branch_id,ProductPrice!$H$28:$H$10000,invoice_price_type_id,ProductPrice!$I$28:$I$10000,MID(P49,1,3)*1,ProductPrice!$Q$28:$Q$10000,1,ProductPrice!$T$28:$T$10000,1))</f>
        <v/>
      </c>
      <c r="AT49" s="197" t="str">
        <f t="shared" si="28"/>
        <v/>
      </c>
      <c r="AU49" s="197" t="str" cm="1">
        <f t="array" ref="AU49">IF(M49="","",IF(ISNA(Slookup(MID(AN49,1,3)*1,UomConversion!$D$8:$J$500,2,UomConversion!$I$8:$I$500,1,UomConversion!$J$8:$J$500,1)),"",Slookup(MID(AN49,1,3)*1,UomConversion!$D$8:$J$500,2,UomConversion!$I$8:$I$500,1,UomConversion!$J$8:$J$500,1)))</f>
        <v/>
      </c>
      <c r="AV49" s="197" t="str">
        <f t="shared" si="29"/>
        <v/>
      </c>
      <c r="AW49" s="197" t="str">
        <f>IF(M49="","",(SUMIFS('[1]1_group_totals'!$K$8:$K$10000,'[1]1_group_totals'!$C$8:$C$10000,I49,'[1]1_group_totals'!$F$8:$F$10000,invoice_location_group_id,'[1]1_group_totals'!$G$8:$G$10000,invoice_location_id,'[1]1_group_totals'!$H$8:$H$10000,"="&amp;Q49,'[1]1_group_totals'!$I$8:$I$10000,"="&amp;R49)+SUMIFS('[1]1_group_totals'!$N$8:$N$10000,'[1]1_group_totals'!$C$8:$C$10000,I49,'[1]1_group_totals'!$F$8:$F$10000,invoice_location_group_id,'[1]1_group_totals'!$G$8:$G$10000,invoice_location_id,'[1]1_group_totals'!$H$8:$H$10000,"="&amp;Q49,'[1]1_group_totals'!$I$8:$I$10000,"="&amp;R49)+SUMIFS('[1]1_group_totals'!$P$8:$P$10000,'[1]1_group_totals'!$C$8:$C$10000,I49,'[1]1_group_totals'!$F$8:$F$10000,invoice_location_group_id,'[1]1_group_totals'!$G$8:$G$10000,invoice_location_id,'[1]1_group_totals'!$H$8:$H$10000,"="&amp;Q49,'[1]1_group_totals'!$I$8:$I$10000,"="&amp;R49)+SUMIFS('[1]1_group_totals'!$Q$8:$Q$10000,'[1]1_group_totals'!$C$8:$C$10000,I49,'[1]1_group_totals'!$F$8:$F$10000,invoice_location_group_id,'[1]1_group_totals'!$G$8:$G$10000,invoice_location_id,'[1]1_group_totals'!$H$8:$H$10000,"="&amp;Q49,'[1]1_group_totals'!$I$8:$I$10000,"="&amp;R49))+(SUMIFS('[1]1_group_totals'!$L$8:$L$10000,'[1]1_group_totals'!$C$8:$C$10000,I49,'[1]1_group_totals'!$F$8:$F$10000,invoice_location_group_id,'[1]1_group_totals'!$G$8:$G$10000,invoice_location_id,'[1]1_group_totals'!$H$8:$H$10000,"="&amp;Q49,'[1]1_group_totals'!$I$8:$I$10000,"="&amp;R49)+SUMIFS('[1]1_group_totals'!$M$8:$M$10000,'[1]1_group_totals'!$C$8:$C$10000,I49,'[1]1_group_totals'!$F$8:$F$10000,invoice_location_group_id,'[1]1_group_totals'!$G$8:$G$10000,invoice_location_id,'[1]1_group_totals'!$H$8:$H$10000,"="&amp;Q49,'[1]1_group_totals'!$I$8:$I$10000,"="&amp;R49)+SUMIFS('[1]1_group_totals'!$O$8:$O$10000,'[1]1_group_totals'!$C$8:$C$10000,I49,'[1]1_group_totals'!$F$8:$F$10000,invoice_location_group_id,'[1]1_group_totals'!$G$8:$G$10000,invoice_location_id,'[1]1_group_totals'!$H$8:$H$10000,"="&amp;Q49,'[1]1_group_totals'!$I$8:$I$10000,"="&amp;R49)+SUMIFS('[1]1_group_totals'!$R$8:$R$10000,'[1]1_group_totals'!$C$8:$C$10000,I49,'[1]1_group_totals'!$F$8:$F$10000,invoice_location_group_id,'[1]1_group_totals'!$G$8:$G$10000,invoice_location_id,'[1]1_group_totals'!$H$8:$H$10000,"="&amp;Q49,'[1]1_group_totals'!$I$8:$I$10000,"="&amp;R49)))</f>
        <v/>
      </c>
      <c r="AX49" s="197" t="str">
        <f t="shared" si="21"/>
        <v/>
      </c>
      <c r="AY49" s="197" t="str">
        <f>IF(M49="","",SUMIFS($AX$8:AX49,$I$8:I49,I49))</f>
        <v/>
      </c>
      <c r="AZ49" s="197" t="str">
        <f t="shared" si="22"/>
        <v/>
      </c>
      <c r="BA49" s="197" t="str">
        <f>IF(M49="","",(SUMIFS('[1]1_inventory_totals'!$I$8:$I$10000,'[1]1_inventory_totals'!$C$8:$C$10000,I49,'[1]1_inventory_totals'!$F$8:$F$10000,"="&amp;Q49,'[1]1_inventory_totals'!$G$8:$G$10000,"="&amp;R49)+SUMIFS('[1]1_inventory_totals'!$N$8:$N$10000,'[1]1_inventory_totals'!$C$8:$C$10000,I49,'[1]1_inventory_totals'!$F$8:$F$10000,"="&amp;Q49,'[1]1_inventory_totals'!$G$8:$G$10000,"="&amp;R49)+SUMIFS('[1]1_inventory_totals'!$P$8:$P$10000,'[1]1_inventory_totals'!$C$8:$C$10000,I49,'[1]1_inventory_totals'!$F$8:$F$10000,"="&amp;Q49,'[1]1_inventory_totals'!$G$8:$G$10000,"="&amp;R49)+SUMIFS('[1]1_inventory_totals'!$Q$8:$Q$10000,'[1]1_inventory_totals'!$C$8:$C$10000,I49,'[1]1_inventory_totals'!$F$8:$F$10000,"="&amp;Q49,'[1]1_inventory_totals'!$G$8:$G$10000,"="&amp;R49)+SUMIFS('[1]1_inventory_totals'!$R$8:$R$10000,'[1]1_inventory_totals'!$C$8:$C$10000,I49,'[1]1_inventory_totals'!$F$8:$F$10000,"="&amp;Q49,'[1]1_inventory_totals'!$G$8:$G$10000,"="&amp;R49))+(SUMIFS('[1]1_inventory_totals'!$J$8:$J$10000,'[1]1_inventory_totals'!$C$8:$C$10000,I49,'[1]1_inventory_totals'!$F$8:$F$10000,"="&amp;Q49,'[1]1_inventory_totals'!$G$8:$G$10000,"="&amp;R49)+SUMIFS('[1]1_inventory_totals'!$K$8:$K$10000,'[1]1_inventory_totals'!$C$8:$C$10000,I49,'[1]1_inventory_totals'!$F$8:$F$10000,"="&amp;Q49,'[1]1_inventory_totals'!$G$8:$G$10000,"="&amp;R49)+SUMIFS('[1]1_inventory_totals'!$L$8:$L$10000,'[1]1_inventory_totals'!$C$8:$C$10000,I49,'[1]1_inventory_totals'!$F$8:$F$10000,"="&amp;Q49,'[1]1_inventory_totals'!$G$8:$G$10000,"="&amp;R49)+SUMIFS('[1]1_inventory_totals'!$M$8:$M$10000,'[1]1_inventory_totals'!$C$8:$C$10000,I49,'[1]1_inventory_totals'!$F$8:$F$10000,"="&amp;Q49,'[1]1_inventory_totals'!$G$8:$G$10000,"="&amp;R49)+SUMIFS('[1]1_inventory_totals'!$O$8:$O$10000,'[1]1_inventory_totals'!$C$8:$C$10000,I49,'[1]1_inventory_totals'!$F$8:$F$10000,"="&amp;Q49,'[1]1_inventory_totals'!$G$8:$G$10000,"="&amp;R49)+SUMIFS('[1]1_inventory_totals'!$S$8:$S$10000,'[1]1_inventory_totals'!$C$8:$C$10000,I49,'[1]1_inventory_totals'!$F$8:$F$10000,"="&amp;Q49,'[1]1_inventory_totals'!$G$8:$G$10000,"="&amp;R49)))</f>
        <v/>
      </c>
      <c r="BB49" s="197" t="str">
        <f>IF(M49="","",(SUMIFS('[1]2_inventory_totals'!$I$8:$I$10000,'[1]2_inventory_totals'!$C$8:$C$10000,I49,'[1]2_inventory_totals'!$F$8:$F$10000,"="&amp;Q49,'[1]2_inventory_totals'!$G$8:$G$10000,"="&amp;R49)+SUMIFS('[1]2_inventory_totals'!$N$8:$N$10000,'[1]2_inventory_totals'!$C$8:$C$10000,I49,'[1]2_inventory_totals'!$F$8:$F$10000,"="&amp;Q49,'[1]2_inventory_totals'!$G$8:$G$10000,"="&amp;R49)+SUMIFS('[1]2_inventory_totals'!$P$8:$P$10000,'[1]2_inventory_totals'!$C$8:$C$10000,I49,'[1]2_inventory_totals'!$F$8:$F$10000,"="&amp;Q49,'[1]2_inventory_totals'!$G$8:$G$10000,"="&amp;R49)+SUMIFS('[1]2_inventory_totals'!$Q$8:$Q$10000,'[1]2_inventory_totals'!$C$8:$C$10000,I49,'[1]2_inventory_totals'!$F$8:$F$10000,"="&amp;Q49,'[1]2_inventory_totals'!$G$8:$G$10000,"="&amp;R49)+SUMIFS('[1]2_inventory_totals'!$R$8:$R$10000,'[1]2_inventory_totals'!$C$8:$C$10000,I49,'[1]2_inventory_totals'!$F$8:$F$10000,"="&amp;Q49,'[1]2_inventory_totals'!$G$8:$G$10000,"="&amp;R49))+(SUMIFS('[1]2_inventory_totals'!$J$8:$J$10000,'[1]2_inventory_totals'!$C$8:$C$10000,I49,'[1]2_inventory_totals'!$F$8:$F$10000,"="&amp;Q49,'[1]2_inventory_totals'!$G$8:$G$10000,"="&amp;R49)+SUMIFS('[1]2_inventory_totals'!$K$8:$K$10000,'[1]2_inventory_totals'!$C$8:$C$10000,I49,'[1]2_inventory_totals'!$F$8:$F$10000,"="&amp;Q49,'[1]2_inventory_totals'!$G$8:$G$10000,"="&amp;R49)+SUMIFS('[1]2_inventory_totals'!$L$8:$L$10000,'[1]2_inventory_totals'!$C$8:$C$10000,I49,'[1]2_inventory_totals'!$F$8:$F$10000,"="&amp;Q49,'[1]2_inventory_totals'!$G$8:$G$10000,"="&amp;R49)+SUMIFS('[1]2_inventory_totals'!$M$8:$M$10000,'[1]2_inventory_totals'!$C$8:$C$10000,I49,'[1]2_inventory_totals'!$F$8:$F$10000,"="&amp;Q49,'[1]2_inventory_totals'!$G$8:$G$10000,"="&amp;R49)+SUMIFS('[1]2_inventory_totals'!$O$8:$O$10000,'[1]2_inventory_totals'!$C$8:$C$10000,I49,'[1]2_inventory_totals'!$F$8:$F$10000,"="&amp;Q49,'[1]2_inventory_totals'!$G$8:$G$10000,"="&amp;R49)+SUMIFS('[1]2_inventory_totals'!$S$8:$S$10000,'[1]2_inventory_totals'!$C$8:$C$10000,I49,'[1]2_inventory_totals'!$F$8:$F$10000,"="&amp;Q49,'[1]2_inventory_totals'!$G$8:$G$10000,"="&amp;R49)))</f>
        <v/>
      </c>
    </row>
    <row r="50" spans="1:54" ht="27" hidden="1" customHeight="1">
      <c r="A50" s="923"/>
      <c r="B50" s="1251"/>
      <c r="C50" s="1268"/>
      <c r="D50" s="950"/>
      <c r="E50" s="950"/>
      <c r="F50" s="1262"/>
      <c r="I50" s="1610" t="str">
        <f t="shared" si="7"/>
        <v/>
      </c>
      <c r="J50" s="1611" t="str">
        <f t="shared" si="24"/>
        <v/>
      </c>
      <c r="K50" s="1612" t="str">
        <f t="shared" si="30"/>
        <v/>
      </c>
      <c r="L50" s="1613"/>
      <c r="M50" s="883"/>
      <c r="N50" s="884"/>
      <c r="O50" s="884"/>
      <c r="P50" s="885"/>
      <c r="Q50" s="886"/>
      <c r="R50" s="891"/>
      <c r="S50" s="1614" t="str">
        <f t="shared" si="0"/>
        <v/>
      </c>
      <c r="T50" s="1536"/>
      <c r="U50" s="1864" t="str">
        <f t="shared" si="9"/>
        <v/>
      </c>
      <c r="V50" s="1615" t="str">
        <f t="shared" si="25"/>
        <v/>
      </c>
      <c r="W50" s="889"/>
      <c r="X50" s="1615" t="str">
        <f t="shared" si="26"/>
        <v/>
      </c>
      <c r="Y50" s="1865" t="str">
        <f t="shared" si="10"/>
        <v/>
      </c>
      <c r="Z50" s="890"/>
      <c r="AA50" s="197" t="str" cm="1">
        <f t="array" ref="AA50">IF(M50="","",IF(P50=AN50,1,Slookup(MID(AN50,1,3)*1,UomConversion!$D$8:$J$500,5,UomConversion!$E$8:$E$500,MID(P50,1,3)*1,UomConversion!$J$8:$J$500,1)))</f>
        <v/>
      </c>
      <c r="AB50" s="197" t="str">
        <f t="shared" si="11"/>
        <v/>
      </c>
      <c r="AC50" s="197" t="str">
        <f t="shared" si="12"/>
        <v/>
      </c>
      <c r="AD50" s="197" t="str">
        <f t="shared" si="13"/>
        <v/>
      </c>
      <c r="AE50" s="1866" t="str">
        <f t="shared" si="14"/>
        <v/>
      </c>
      <c r="AF50" s="1866" t="str">
        <f t="shared" si="27"/>
        <v/>
      </c>
      <c r="AG50" s="197" t="str">
        <f t="shared" si="16"/>
        <v/>
      </c>
      <c r="AH50" s="197" t="str">
        <f>IF(I50="","",IF(ISNA(MATCH(I50,IF(invoice_location_id=1,'[1]1_inventory_totals'!$C$8:$C$10000,IF(invoice_location_id=2,'[1]2_inventory_totals'!$C$8:$C$10000,0)),0)),0,IF(AV50&gt;0,1,0)))</f>
        <v/>
      </c>
      <c r="AI50" s="197" t="str">
        <f>IF(M50="","",IF(invoice_location_id=1,SUMIFS('[1]1_inventory_total_details'!$J$8:$J$10000,'[1]1_inventory_total_details'!$C$8:$C$10000,I50,'[1]1_inventory_total_details'!$F$8:$F$10000,invoice_location_id,'[1]1_inventory_total_details'!$G$8:$G$10000,"="&amp;Q50,'[1]1_inventory_total_details'!$H$8:$H$10000,"="&amp;R50,'[1]1_inventory_total_details'!$I$8:$I$10000,"="&amp;invoice_date)+SUMIFS('[1]1_inventory_total_details'!$M$8:$M$10000,'[1]1_inventory_total_details'!$C$8:$C$10000,I50,'[1]1_inventory_total_details'!$F$8:$F$10000,invoice_location_id,'[1]1_inventory_total_details'!$G$8:$G$10000,"="&amp;Q50,'[1]1_inventory_total_details'!$H$8:$H$10000,"="&amp;R50,'[1]1_inventory_total_details'!$I$8:$I$10000,"="&amp;invoice_date)+SUMIFS('[1]1_inventory_total_details'!$K$8:$K$10000,'[1]1_inventory_total_details'!$C$8:$C$10000,I50,'[1]1_inventory_total_details'!$F$8:$F$10000,invoice_location_id,'[1]1_inventory_total_details'!$G$8:$G$10000,"="&amp;Q50,'[1]1_inventory_total_details'!$H$8:$H$10000,"="&amp;R50,'[1]1_inventory_total_details'!$I$8:$I$10000,"="&amp;invoice_date)+SUMIFS('[1]1_inventory_total_details'!$L$8:$L$10000,'[1]1_inventory_total_details'!$C$8:$C$10000,I50,'[1]1_inventory_total_details'!$F$8:$F$10000,invoice_location_id,'[1]1_inventory_total_details'!$G$8:$G$10000,"="&amp;Q50,'[1]1_inventory_total_details'!$H$8:$H$10000,"="&amp;R50,'[1]1_inventory_total_details'!$I$8:$I$10000,"="&amp;invoice_date),SUMIFS('[1]2_inventory_total_details'!$J$8:$J$10000,'[1]2_inventory_total_details'!$C$8:$C$10000,I50,'[1]2_inventory_total_details'!$F$8:$F$10000,invoice_location_id,'[1]2_inventory_total_details'!$G$8:$G$10000,"="&amp;Q50,'[1]2_inventory_total_details'!$H$8:$H$10000,"="&amp;R50,'[1]2_inventory_total_details'!$I$8:$I$10000,"="&amp;invoice_date)+SUMIFS('[1]2_inventory_total_details'!$M$8:$M$10000,'[1]2_inventory_total_details'!$C$8:$C$10000,I50,'[1]2_inventory_total_details'!$F$8:$F$10000,invoice_location_id,'[1]2_inventory_total_details'!$G$8:$G$10000,"="&amp;Q50,'[1]2_inventory_total_details'!$H$8:$H$10000,"="&amp;R50,'[1]2_inventory_total_details'!$I$8:$I$10000,"="&amp;invoice_date)+SUMIFS('[1]2_inventory_total_details'!$K$8:$K$10000,'[1]2_inventory_total_details'!$C$8:$C$10000,I50,'[1]2_inventory_total_details'!$F$8:$F$10000,invoice_location_id,'[1]2_inventory_total_details'!$G$8:$G$10000,"="&amp;Q50,'[1]2_inventory_total_details'!$H$8:$H$10000,"="&amp;R50,'[1]2_inventory_total_details'!$I$8:$I$10000,"="&amp;invoice_date)+SUMIFS('[1]2_inventory_total_details'!$L$8:$L$10000,'[1]2_inventory_total_details'!$C$8:$C$10000,I50,'[1]2_inventory_total_details'!$F$8:$F$10000,invoice_location_id,'[1]2_inventory_total_details'!$G$8:$G$10000,"="&amp;Q50,'[1]2_inventory_total_details'!$H$8:$H$10000,"="&amp;R50,'[1]2_inventory_total_details'!$I$8:$I$10000,"="&amp;invoice_date)))</f>
        <v/>
      </c>
      <c r="AJ50" s="197" t="str">
        <f>IF(M50="","",IF(ISNA(MATCH(I50,'[1]1_group_totals'!$C$8:$C$10000)),0,IF(AW50&gt;0,1,0)))</f>
        <v/>
      </c>
      <c r="AK50" s="197" t="str">
        <f>IF(M50="","",(SUMIFS('[1]1_group_total_details'!$I$8:$I$10000,'[1]1_group_total_details'!$C$8:$C$10000,I50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50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50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50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50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50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50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50,'[1]1_group_total_details'!$F$8:$F$10000,invoice_location_group_id,'[1]1_group_total_details'!$G$8:$G$10000,invoice_location_id,'[1]1_group_total_details'!$H$8:$H$10000,"="&amp;invoice_date)))</f>
        <v/>
      </c>
      <c r="AL50" s="197" t="str">
        <f>IF(M50="","",(SUMIFS('[1]1_group_total_details'!$I$8:$I$10000,'[1]1_group_total_details'!$C$8:$C$10000,I50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50,'[1]1_group_total_details'!$F$8:$F$10000,invoice_location_group_id,'[1]1_group_total_details'!$G$8:$G$10000,1,'[1]1_group_total_details'!$H$8:$H$10000,"&lt;="&amp;invoice_date)+SUMIFS('[1]1_group_total_details'!$N$8:$N$10000,'[1]1_group_total_details'!$C$8:$C$10000,I50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50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50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50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50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50,'[1]1_group_total_details'!$F$8:$F$10000,invoice_location_group_id,'[1]1_group_total_details'!$G$8:$G$10000,invoice_location_id,'[1]1_group_total_details'!$H$8:$H$10000,"&lt;="&amp;invoice_date)))</f>
        <v/>
      </c>
      <c r="AM50" s="197" t="str">
        <f>IF(M50="","",SUMIFS('[1]1_group_totals'!$J$8:$J$10000,'[1]1_group_totals'!$C$8:$C$10000,I50,'[1]1_group_totals'!$F$8:$F$10000,invoice_location_group_id,'[1]1_group_totals'!$G$8:$G$10000,invoice_location_id,'[1]1_group_totals'!$H$8:$H$10000,"="&amp;Q50,'[1]1_group_totals'!$I$8:$I$10000,"="&amp;R50))</f>
        <v/>
      </c>
      <c r="AN50" s="197" t="str">
        <f t="shared" si="17"/>
        <v/>
      </c>
      <c r="AO50" s="197" t="str">
        <f>IF(OR(ISNA(MATCH(MID(AN50,1,3)*1,UomConversion!$D$8:$D$500,0)),M50=""),"",IF(AT50="","",AT50))</f>
        <v/>
      </c>
      <c r="AP50" s="197" t="str">
        <f>IF(AND(AQ50&gt;0,COUNTIFS(UomConversion!$D$8:$D$500,MID(AN50,1,3)*1,UomConversion!$J$8:$J$500,1)&gt;1),TEXT(AQ50,"000")&amp;"."&amp;VLOOKUP(AQ50,uom_list,5,FALSE),"")</f>
        <v/>
      </c>
      <c r="AQ50" s="197" t="str">
        <f t="shared" si="18"/>
        <v/>
      </c>
      <c r="AR50" s="197" t="str">
        <f t="shared" si="19"/>
        <v/>
      </c>
      <c r="AS50" s="1866" t="str">
        <f>IF(M50="","",SUMIFS(ProductPrice!$N$28:$N$10000,ProductPrice!$D$28:$D$10000,I50,ProductPrice!$G$28:$G$10000,invoice_branch_id,ProductPrice!$H$28:$H$10000,invoice_price_type_id,ProductPrice!$I$28:$I$10000,MID(P50,1,3)*1,ProductPrice!$Q$28:$Q$10000,1,ProductPrice!$T$28:$T$10000,1))</f>
        <v/>
      </c>
      <c r="AT50" s="197" t="str">
        <f t="shared" si="28"/>
        <v/>
      </c>
      <c r="AU50" s="197" t="str" cm="1">
        <f t="array" ref="AU50">IF(M50="","",IF(ISNA(Slookup(MID(AN50,1,3)*1,UomConversion!$D$8:$J$500,2,UomConversion!$I$8:$I$500,1,UomConversion!$J$8:$J$500,1)),"",Slookup(MID(AN50,1,3)*1,UomConversion!$D$8:$J$500,2,UomConversion!$I$8:$I$500,1,UomConversion!$J$8:$J$500,1)))</f>
        <v/>
      </c>
      <c r="AV50" s="197" t="str">
        <f t="shared" si="29"/>
        <v/>
      </c>
      <c r="AW50" s="197" t="str">
        <f>IF(M50="","",(SUMIFS('[1]1_group_totals'!$K$8:$K$10000,'[1]1_group_totals'!$C$8:$C$10000,I50,'[1]1_group_totals'!$F$8:$F$10000,invoice_location_group_id,'[1]1_group_totals'!$G$8:$G$10000,invoice_location_id,'[1]1_group_totals'!$H$8:$H$10000,"="&amp;Q50,'[1]1_group_totals'!$I$8:$I$10000,"="&amp;R50)+SUMIFS('[1]1_group_totals'!$N$8:$N$10000,'[1]1_group_totals'!$C$8:$C$10000,I50,'[1]1_group_totals'!$F$8:$F$10000,invoice_location_group_id,'[1]1_group_totals'!$G$8:$G$10000,invoice_location_id,'[1]1_group_totals'!$H$8:$H$10000,"="&amp;Q50,'[1]1_group_totals'!$I$8:$I$10000,"="&amp;R50)+SUMIFS('[1]1_group_totals'!$P$8:$P$10000,'[1]1_group_totals'!$C$8:$C$10000,I50,'[1]1_group_totals'!$F$8:$F$10000,invoice_location_group_id,'[1]1_group_totals'!$G$8:$G$10000,invoice_location_id,'[1]1_group_totals'!$H$8:$H$10000,"="&amp;Q50,'[1]1_group_totals'!$I$8:$I$10000,"="&amp;R50)+SUMIFS('[1]1_group_totals'!$Q$8:$Q$10000,'[1]1_group_totals'!$C$8:$C$10000,I50,'[1]1_group_totals'!$F$8:$F$10000,invoice_location_group_id,'[1]1_group_totals'!$G$8:$G$10000,invoice_location_id,'[1]1_group_totals'!$H$8:$H$10000,"="&amp;Q50,'[1]1_group_totals'!$I$8:$I$10000,"="&amp;R50))+(SUMIFS('[1]1_group_totals'!$L$8:$L$10000,'[1]1_group_totals'!$C$8:$C$10000,I50,'[1]1_group_totals'!$F$8:$F$10000,invoice_location_group_id,'[1]1_group_totals'!$G$8:$G$10000,invoice_location_id,'[1]1_group_totals'!$H$8:$H$10000,"="&amp;Q50,'[1]1_group_totals'!$I$8:$I$10000,"="&amp;R50)+SUMIFS('[1]1_group_totals'!$M$8:$M$10000,'[1]1_group_totals'!$C$8:$C$10000,I50,'[1]1_group_totals'!$F$8:$F$10000,invoice_location_group_id,'[1]1_group_totals'!$G$8:$G$10000,invoice_location_id,'[1]1_group_totals'!$H$8:$H$10000,"="&amp;Q50,'[1]1_group_totals'!$I$8:$I$10000,"="&amp;R50)+SUMIFS('[1]1_group_totals'!$O$8:$O$10000,'[1]1_group_totals'!$C$8:$C$10000,I50,'[1]1_group_totals'!$F$8:$F$10000,invoice_location_group_id,'[1]1_group_totals'!$G$8:$G$10000,invoice_location_id,'[1]1_group_totals'!$H$8:$H$10000,"="&amp;Q50,'[1]1_group_totals'!$I$8:$I$10000,"="&amp;R50)+SUMIFS('[1]1_group_totals'!$R$8:$R$10000,'[1]1_group_totals'!$C$8:$C$10000,I50,'[1]1_group_totals'!$F$8:$F$10000,invoice_location_group_id,'[1]1_group_totals'!$G$8:$G$10000,invoice_location_id,'[1]1_group_totals'!$H$8:$H$10000,"="&amp;Q50,'[1]1_group_totals'!$I$8:$I$10000,"="&amp;R50)))</f>
        <v/>
      </c>
      <c r="AX50" s="197" t="str">
        <f t="shared" si="21"/>
        <v/>
      </c>
      <c r="AY50" s="197" t="str">
        <f>IF(M50="","",SUMIFS($AX$8:AX50,$I$8:I50,I50))</f>
        <v/>
      </c>
      <c r="AZ50" s="197" t="str">
        <f t="shared" si="22"/>
        <v/>
      </c>
      <c r="BA50" s="197" t="str">
        <f>IF(M50="","",(SUMIFS('[1]1_inventory_totals'!$I$8:$I$10000,'[1]1_inventory_totals'!$C$8:$C$10000,I50,'[1]1_inventory_totals'!$F$8:$F$10000,"="&amp;Q50,'[1]1_inventory_totals'!$G$8:$G$10000,"="&amp;R50)+SUMIFS('[1]1_inventory_totals'!$N$8:$N$10000,'[1]1_inventory_totals'!$C$8:$C$10000,I50,'[1]1_inventory_totals'!$F$8:$F$10000,"="&amp;Q50,'[1]1_inventory_totals'!$G$8:$G$10000,"="&amp;R50)+SUMIFS('[1]1_inventory_totals'!$P$8:$P$10000,'[1]1_inventory_totals'!$C$8:$C$10000,I50,'[1]1_inventory_totals'!$F$8:$F$10000,"="&amp;Q50,'[1]1_inventory_totals'!$G$8:$G$10000,"="&amp;R50)+SUMIFS('[1]1_inventory_totals'!$Q$8:$Q$10000,'[1]1_inventory_totals'!$C$8:$C$10000,I50,'[1]1_inventory_totals'!$F$8:$F$10000,"="&amp;Q50,'[1]1_inventory_totals'!$G$8:$G$10000,"="&amp;R50)+SUMIFS('[1]1_inventory_totals'!$R$8:$R$10000,'[1]1_inventory_totals'!$C$8:$C$10000,I50,'[1]1_inventory_totals'!$F$8:$F$10000,"="&amp;Q50,'[1]1_inventory_totals'!$G$8:$G$10000,"="&amp;R50))+(SUMIFS('[1]1_inventory_totals'!$J$8:$J$10000,'[1]1_inventory_totals'!$C$8:$C$10000,I50,'[1]1_inventory_totals'!$F$8:$F$10000,"="&amp;Q50,'[1]1_inventory_totals'!$G$8:$G$10000,"="&amp;R50)+SUMIFS('[1]1_inventory_totals'!$K$8:$K$10000,'[1]1_inventory_totals'!$C$8:$C$10000,I50,'[1]1_inventory_totals'!$F$8:$F$10000,"="&amp;Q50,'[1]1_inventory_totals'!$G$8:$G$10000,"="&amp;R50)+SUMIFS('[1]1_inventory_totals'!$L$8:$L$10000,'[1]1_inventory_totals'!$C$8:$C$10000,I50,'[1]1_inventory_totals'!$F$8:$F$10000,"="&amp;Q50,'[1]1_inventory_totals'!$G$8:$G$10000,"="&amp;R50)+SUMIFS('[1]1_inventory_totals'!$M$8:$M$10000,'[1]1_inventory_totals'!$C$8:$C$10000,I50,'[1]1_inventory_totals'!$F$8:$F$10000,"="&amp;Q50,'[1]1_inventory_totals'!$G$8:$G$10000,"="&amp;R50)+SUMIFS('[1]1_inventory_totals'!$O$8:$O$10000,'[1]1_inventory_totals'!$C$8:$C$10000,I50,'[1]1_inventory_totals'!$F$8:$F$10000,"="&amp;Q50,'[1]1_inventory_totals'!$G$8:$G$10000,"="&amp;R50)+SUMIFS('[1]1_inventory_totals'!$S$8:$S$10000,'[1]1_inventory_totals'!$C$8:$C$10000,I50,'[1]1_inventory_totals'!$F$8:$F$10000,"="&amp;Q50,'[1]1_inventory_totals'!$G$8:$G$10000,"="&amp;R50)))</f>
        <v/>
      </c>
      <c r="BB50" s="197" t="str">
        <f>IF(M50="","",(SUMIFS('[1]2_inventory_totals'!$I$8:$I$10000,'[1]2_inventory_totals'!$C$8:$C$10000,I50,'[1]2_inventory_totals'!$F$8:$F$10000,"="&amp;Q50,'[1]2_inventory_totals'!$G$8:$G$10000,"="&amp;R50)+SUMIFS('[1]2_inventory_totals'!$N$8:$N$10000,'[1]2_inventory_totals'!$C$8:$C$10000,I50,'[1]2_inventory_totals'!$F$8:$F$10000,"="&amp;Q50,'[1]2_inventory_totals'!$G$8:$G$10000,"="&amp;R50)+SUMIFS('[1]2_inventory_totals'!$P$8:$P$10000,'[1]2_inventory_totals'!$C$8:$C$10000,I50,'[1]2_inventory_totals'!$F$8:$F$10000,"="&amp;Q50,'[1]2_inventory_totals'!$G$8:$G$10000,"="&amp;R50)+SUMIFS('[1]2_inventory_totals'!$Q$8:$Q$10000,'[1]2_inventory_totals'!$C$8:$C$10000,I50,'[1]2_inventory_totals'!$F$8:$F$10000,"="&amp;Q50,'[1]2_inventory_totals'!$G$8:$G$10000,"="&amp;R50)+SUMIFS('[1]2_inventory_totals'!$R$8:$R$10000,'[1]2_inventory_totals'!$C$8:$C$10000,I50,'[1]2_inventory_totals'!$F$8:$F$10000,"="&amp;Q50,'[1]2_inventory_totals'!$G$8:$G$10000,"="&amp;R50))+(SUMIFS('[1]2_inventory_totals'!$J$8:$J$10000,'[1]2_inventory_totals'!$C$8:$C$10000,I50,'[1]2_inventory_totals'!$F$8:$F$10000,"="&amp;Q50,'[1]2_inventory_totals'!$G$8:$G$10000,"="&amp;R50)+SUMIFS('[1]2_inventory_totals'!$K$8:$K$10000,'[1]2_inventory_totals'!$C$8:$C$10000,I50,'[1]2_inventory_totals'!$F$8:$F$10000,"="&amp;Q50,'[1]2_inventory_totals'!$G$8:$G$10000,"="&amp;R50)+SUMIFS('[1]2_inventory_totals'!$L$8:$L$10000,'[1]2_inventory_totals'!$C$8:$C$10000,I50,'[1]2_inventory_totals'!$F$8:$F$10000,"="&amp;Q50,'[1]2_inventory_totals'!$G$8:$G$10000,"="&amp;R50)+SUMIFS('[1]2_inventory_totals'!$M$8:$M$10000,'[1]2_inventory_totals'!$C$8:$C$10000,I50,'[1]2_inventory_totals'!$F$8:$F$10000,"="&amp;Q50,'[1]2_inventory_totals'!$G$8:$G$10000,"="&amp;R50)+SUMIFS('[1]2_inventory_totals'!$O$8:$O$10000,'[1]2_inventory_totals'!$C$8:$C$10000,I50,'[1]2_inventory_totals'!$F$8:$F$10000,"="&amp;Q50,'[1]2_inventory_totals'!$G$8:$G$10000,"="&amp;R50)+SUMIFS('[1]2_inventory_totals'!$S$8:$S$10000,'[1]2_inventory_totals'!$C$8:$C$10000,I50,'[1]2_inventory_totals'!$F$8:$F$10000,"="&amp;Q50,'[1]2_inventory_totals'!$G$8:$G$10000,"="&amp;R50)))</f>
        <v/>
      </c>
    </row>
    <row r="51" spans="1:54" ht="27" hidden="1" customHeight="1">
      <c r="A51" s="923"/>
      <c r="B51" s="1251"/>
      <c r="C51" s="1268"/>
      <c r="D51" s="950"/>
      <c r="E51" s="950"/>
      <c r="F51" s="1262"/>
      <c r="I51" s="1610" t="str">
        <f t="shared" si="7"/>
        <v/>
      </c>
      <c r="J51" s="1611" t="str">
        <f t="shared" si="24"/>
        <v/>
      </c>
      <c r="K51" s="1612" t="str">
        <f t="shared" si="30"/>
        <v/>
      </c>
      <c r="L51" s="1613"/>
      <c r="M51" s="883"/>
      <c r="N51" s="884"/>
      <c r="O51" s="884"/>
      <c r="P51" s="885"/>
      <c r="Q51" s="886"/>
      <c r="R51" s="891"/>
      <c r="S51" s="1614" t="str">
        <f t="shared" si="0"/>
        <v/>
      </c>
      <c r="T51" s="1536"/>
      <c r="U51" s="1864" t="str">
        <f t="shared" si="9"/>
        <v/>
      </c>
      <c r="V51" s="1615" t="str">
        <f t="shared" si="25"/>
        <v/>
      </c>
      <c r="W51" s="889"/>
      <c r="X51" s="1615" t="str">
        <f t="shared" si="26"/>
        <v/>
      </c>
      <c r="Y51" s="1865" t="str">
        <f t="shared" si="10"/>
        <v/>
      </c>
      <c r="Z51" s="890"/>
      <c r="AA51" s="197" t="str" cm="1">
        <f t="array" ref="AA51">IF(M51="","",IF(P51=AN51,1,Slookup(MID(AN51,1,3)*1,UomConversion!$D$8:$J$500,5,UomConversion!$E$8:$E$500,MID(P51,1,3)*1,UomConversion!$J$8:$J$500,1)))</f>
        <v/>
      </c>
      <c r="AB51" s="197" t="str">
        <f t="shared" si="11"/>
        <v/>
      </c>
      <c r="AC51" s="197" t="str">
        <f t="shared" si="12"/>
        <v/>
      </c>
      <c r="AD51" s="197" t="str">
        <f t="shared" si="13"/>
        <v/>
      </c>
      <c r="AE51" s="1866" t="str">
        <f t="shared" si="14"/>
        <v/>
      </c>
      <c r="AF51" s="1866" t="str">
        <f t="shared" si="27"/>
        <v/>
      </c>
      <c r="AG51" s="197" t="str">
        <f t="shared" si="16"/>
        <v/>
      </c>
      <c r="AH51" s="197" t="str">
        <f>IF(I51="","",IF(ISNA(MATCH(I51,IF(invoice_location_id=1,'[1]1_inventory_totals'!$C$8:$C$10000,IF(invoice_location_id=2,'[1]2_inventory_totals'!$C$8:$C$10000,0)),0)),0,IF(AV51&gt;0,1,0)))</f>
        <v/>
      </c>
      <c r="AI51" s="197" t="str">
        <f>IF(M51="","",IF(invoice_location_id=1,SUMIFS('[1]1_inventory_total_details'!$J$8:$J$10000,'[1]1_inventory_total_details'!$C$8:$C$10000,I51,'[1]1_inventory_total_details'!$F$8:$F$10000,invoice_location_id,'[1]1_inventory_total_details'!$G$8:$G$10000,"="&amp;Q51,'[1]1_inventory_total_details'!$H$8:$H$10000,"="&amp;R51,'[1]1_inventory_total_details'!$I$8:$I$10000,"="&amp;invoice_date)+SUMIFS('[1]1_inventory_total_details'!$M$8:$M$10000,'[1]1_inventory_total_details'!$C$8:$C$10000,I51,'[1]1_inventory_total_details'!$F$8:$F$10000,invoice_location_id,'[1]1_inventory_total_details'!$G$8:$G$10000,"="&amp;Q51,'[1]1_inventory_total_details'!$H$8:$H$10000,"="&amp;R51,'[1]1_inventory_total_details'!$I$8:$I$10000,"="&amp;invoice_date)+SUMIFS('[1]1_inventory_total_details'!$K$8:$K$10000,'[1]1_inventory_total_details'!$C$8:$C$10000,I51,'[1]1_inventory_total_details'!$F$8:$F$10000,invoice_location_id,'[1]1_inventory_total_details'!$G$8:$G$10000,"="&amp;Q51,'[1]1_inventory_total_details'!$H$8:$H$10000,"="&amp;R51,'[1]1_inventory_total_details'!$I$8:$I$10000,"="&amp;invoice_date)+SUMIFS('[1]1_inventory_total_details'!$L$8:$L$10000,'[1]1_inventory_total_details'!$C$8:$C$10000,I51,'[1]1_inventory_total_details'!$F$8:$F$10000,invoice_location_id,'[1]1_inventory_total_details'!$G$8:$G$10000,"="&amp;Q51,'[1]1_inventory_total_details'!$H$8:$H$10000,"="&amp;R51,'[1]1_inventory_total_details'!$I$8:$I$10000,"="&amp;invoice_date),SUMIFS('[1]2_inventory_total_details'!$J$8:$J$10000,'[1]2_inventory_total_details'!$C$8:$C$10000,I51,'[1]2_inventory_total_details'!$F$8:$F$10000,invoice_location_id,'[1]2_inventory_total_details'!$G$8:$G$10000,"="&amp;Q51,'[1]2_inventory_total_details'!$H$8:$H$10000,"="&amp;R51,'[1]2_inventory_total_details'!$I$8:$I$10000,"="&amp;invoice_date)+SUMIFS('[1]2_inventory_total_details'!$M$8:$M$10000,'[1]2_inventory_total_details'!$C$8:$C$10000,I51,'[1]2_inventory_total_details'!$F$8:$F$10000,invoice_location_id,'[1]2_inventory_total_details'!$G$8:$G$10000,"="&amp;Q51,'[1]2_inventory_total_details'!$H$8:$H$10000,"="&amp;R51,'[1]2_inventory_total_details'!$I$8:$I$10000,"="&amp;invoice_date)+SUMIFS('[1]2_inventory_total_details'!$K$8:$K$10000,'[1]2_inventory_total_details'!$C$8:$C$10000,I51,'[1]2_inventory_total_details'!$F$8:$F$10000,invoice_location_id,'[1]2_inventory_total_details'!$G$8:$G$10000,"="&amp;Q51,'[1]2_inventory_total_details'!$H$8:$H$10000,"="&amp;R51,'[1]2_inventory_total_details'!$I$8:$I$10000,"="&amp;invoice_date)+SUMIFS('[1]2_inventory_total_details'!$L$8:$L$10000,'[1]2_inventory_total_details'!$C$8:$C$10000,I51,'[1]2_inventory_total_details'!$F$8:$F$10000,invoice_location_id,'[1]2_inventory_total_details'!$G$8:$G$10000,"="&amp;Q51,'[1]2_inventory_total_details'!$H$8:$H$10000,"="&amp;R51,'[1]2_inventory_total_details'!$I$8:$I$10000,"="&amp;invoice_date)))</f>
        <v/>
      </c>
      <c r="AJ51" s="197" t="str">
        <f>IF(M51="","",IF(ISNA(MATCH(I51,'[1]1_group_totals'!$C$8:$C$10000)),0,IF(AW51&gt;0,1,0)))</f>
        <v/>
      </c>
      <c r="AK51" s="197" t="str">
        <f>IF(M51="","",(SUMIFS('[1]1_group_total_details'!$I$8:$I$10000,'[1]1_group_total_details'!$C$8:$C$10000,I51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51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51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51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51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51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51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51,'[1]1_group_total_details'!$F$8:$F$10000,invoice_location_group_id,'[1]1_group_total_details'!$G$8:$G$10000,invoice_location_id,'[1]1_group_total_details'!$H$8:$H$10000,"="&amp;invoice_date)))</f>
        <v/>
      </c>
      <c r="AL51" s="197" t="str">
        <f>IF(M51="","",(SUMIFS('[1]1_group_total_details'!$I$8:$I$10000,'[1]1_group_total_details'!$C$8:$C$10000,I51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51,'[1]1_group_total_details'!$F$8:$F$10000,invoice_location_group_id,'[1]1_group_total_details'!$G$8:$G$10000,1,'[1]1_group_total_details'!$H$8:$H$10000,"&lt;="&amp;invoice_date)+SUMIFS('[1]1_group_total_details'!$N$8:$N$10000,'[1]1_group_total_details'!$C$8:$C$10000,I51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51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51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51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51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51,'[1]1_group_total_details'!$F$8:$F$10000,invoice_location_group_id,'[1]1_group_total_details'!$G$8:$G$10000,invoice_location_id,'[1]1_group_total_details'!$H$8:$H$10000,"&lt;="&amp;invoice_date)))</f>
        <v/>
      </c>
      <c r="AM51" s="197" t="str">
        <f>IF(M51="","",SUMIFS('[1]1_group_totals'!$J$8:$J$10000,'[1]1_group_totals'!$C$8:$C$10000,I51,'[1]1_group_totals'!$F$8:$F$10000,invoice_location_group_id,'[1]1_group_totals'!$G$8:$G$10000,invoice_location_id,'[1]1_group_totals'!$H$8:$H$10000,"="&amp;Q51,'[1]1_group_totals'!$I$8:$I$10000,"="&amp;R51))</f>
        <v/>
      </c>
      <c r="AN51" s="197" t="str">
        <f t="shared" si="17"/>
        <v/>
      </c>
      <c r="AO51" s="197" t="str">
        <f>IF(OR(ISNA(MATCH(MID(AN51,1,3)*1,UomConversion!$D$8:$D$500,0)),M51=""),"",IF(AT51="","",AT51))</f>
        <v/>
      </c>
      <c r="AP51" s="197" t="str">
        <f>IF(AND(AQ51&gt;0,COUNTIFS(UomConversion!$D$8:$D$500,MID(AN51,1,3)*1,UomConversion!$J$8:$J$500,1)&gt;1),TEXT(AQ51,"000")&amp;"."&amp;VLOOKUP(AQ51,uom_list,5,FALSE),"")</f>
        <v/>
      </c>
      <c r="AQ51" s="197" t="str">
        <f t="shared" si="18"/>
        <v/>
      </c>
      <c r="AR51" s="197" t="str">
        <f t="shared" si="19"/>
        <v/>
      </c>
      <c r="AS51" s="1866" t="str">
        <f>IF(M51="","",SUMIFS(ProductPrice!$N$28:$N$10000,ProductPrice!$D$28:$D$10000,I51,ProductPrice!$G$28:$G$10000,invoice_branch_id,ProductPrice!$H$28:$H$10000,invoice_price_type_id,ProductPrice!$I$28:$I$10000,MID(P51,1,3)*1,ProductPrice!$Q$28:$Q$10000,1,ProductPrice!$T$28:$T$10000,1))</f>
        <v/>
      </c>
      <c r="AT51" s="197" t="str">
        <f t="shared" si="28"/>
        <v/>
      </c>
      <c r="AU51" s="197" t="str" cm="1">
        <f t="array" ref="AU51">IF(M51="","",IF(ISNA(Slookup(MID(AN51,1,3)*1,UomConversion!$D$8:$J$500,2,UomConversion!$I$8:$I$500,1,UomConversion!$J$8:$J$500,1)),"",Slookup(MID(AN51,1,3)*1,UomConversion!$D$8:$J$500,2,UomConversion!$I$8:$I$500,1,UomConversion!$J$8:$J$500,1)))</f>
        <v/>
      </c>
      <c r="AV51" s="197" t="str">
        <f t="shared" si="29"/>
        <v/>
      </c>
      <c r="AW51" s="197" t="str">
        <f>IF(M51="","",(SUMIFS('[1]1_group_totals'!$K$8:$K$10000,'[1]1_group_totals'!$C$8:$C$10000,I51,'[1]1_group_totals'!$F$8:$F$10000,invoice_location_group_id,'[1]1_group_totals'!$G$8:$G$10000,invoice_location_id,'[1]1_group_totals'!$H$8:$H$10000,"="&amp;Q51,'[1]1_group_totals'!$I$8:$I$10000,"="&amp;R51)+SUMIFS('[1]1_group_totals'!$N$8:$N$10000,'[1]1_group_totals'!$C$8:$C$10000,I51,'[1]1_group_totals'!$F$8:$F$10000,invoice_location_group_id,'[1]1_group_totals'!$G$8:$G$10000,invoice_location_id,'[1]1_group_totals'!$H$8:$H$10000,"="&amp;Q51,'[1]1_group_totals'!$I$8:$I$10000,"="&amp;R51)+SUMIFS('[1]1_group_totals'!$P$8:$P$10000,'[1]1_group_totals'!$C$8:$C$10000,I51,'[1]1_group_totals'!$F$8:$F$10000,invoice_location_group_id,'[1]1_group_totals'!$G$8:$G$10000,invoice_location_id,'[1]1_group_totals'!$H$8:$H$10000,"="&amp;Q51,'[1]1_group_totals'!$I$8:$I$10000,"="&amp;R51)+SUMIFS('[1]1_group_totals'!$Q$8:$Q$10000,'[1]1_group_totals'!$C$8:$C$10000,I51,'[1]1_group_totals'!$F$8:$F$10000,invoice_location_group_id,'[1]1_group_totals'!$G$8:$G$10000,invoice_location_id,'[1]1_group_totals'!$H$8:$H$10000,"="&amp;Q51,'[1]1_group_totals'!$I$8:$I$10000,"="&amp;R51))+(SUMIFS('[1]1_group_totals'!$L$8:$L$10000,'[1]1_group_totals'!$C$8:$C$10000,I51,'[1]1_group_totals'!$F$8:$F$10000,invoice_location_group_id,'[1]1_group_totals'!$G$8:$G$10000,invoice_location_id,'[1]1_group_totals'!$H$8:$H$10000,"="&amp;Q51,'[1]1_group_totals'!$I$8:$I$10000,"="&amp;R51)+SUMIFS('[1]1_group_totals'!$M$8:$M$10000,'[1]1_group_totals'!$C$8:$C$10000,I51,'[1]1_group_totals'!$F$8:$F$10000,invoice_location_group_id,'[1]1_group_totals'!$G$8:$G$10000,invoice_location_id,'[1]1_group_totals'!$H$8:$H$10000,"="&amp;Q51,'[1]1_group_totals'!$I$8:$I$10000,"="&amp;R51)+SUMIFS('[1]1_group_totals'!$O$8:$O$10000,'[1]1_group_totals'!$C$8:$C$10000,I51,'[1]1_group_totals'!$F$8:$F$10000,invoice_location_group_id,'[1]1_group_totals'!$G$8:$G$10000,invoice_location_id,'[1]1_group_totals'!$H$8:$H$10000,"="&amp;Q51,'[1]1_group_totals'!$I$8:$I$10000,"="&amp;R51)+SUMIFS('[1]1_group_totals'!$R$8:$R$10000,'[1]1_group_totals'!$C$8:$C$10000,I51,'[1]1_group_totals'!$F$8:$F$10000,invoice_location_group_id,'[1]1_group_totals'!$G$8:$G$10000,invoice_location_id,'[1]1_group_totals'!$H$8:$H$10000,"="&amp;Q51,'[1]1_group_totals'!$I$8:$I$10000,"="&amp;R51)))</f>
        <v/>
      </c>
      <c r="AX51" s="197" t="str">
        <f t="shared" si="21"/>
        <v/>
      </c>
      <c r="AY51" s="197" t="str">
        <f>IF(M51="","",SUMIFS($AX$8:AX51,$I$8:I51,I51))</f>
        <v/>
      </c>
      <c r="AZ51" s="197" t="str">
        <f t="shared" si="22"/>
        <v/>
      </c>
      <c r="BA51" s="197" t="str">
        <f>IF(M51="","",(SUMIFS('[1]1_inventory_totals'!$I$8:$I$10000,'[1]1_inventory_totals'!$C$8:$C$10000,I51,'[1]1_inventory_totals'!$F$8:$F$10000,"="&amp;Q51,'[1]1_inventory_totals'!$G$8:$G$10000,"="&amp;R51)+SUMIFS('[1]1_inventory_totals'!$N$8:$N$10000,'[1]1_inventory_totals'!$C$8:$C$10000,I51,'[1]1_inventory_totals'!$F$8:$F$10000,"="&amp;Q51,'[1]1_inventory_totals'!$G$8:$G$10000,"="&amp;R51)+SUMIFS('[1]1_inventory_totals'!$P$8:$P$10000,'[1]1_inventory_totals'!$C$8:$C$10000,I51,'[1]1_inventory_totals'!$F$8:$F$10000,"="&amp;Q51,'[1]1_inventory_totals'!$G$8:$G$10000,"="&amp;R51)+SUMIFS('[1]1_inventory_totals'!$Q$8:$Q$10000,'[1]1_inventory_totals'!$C$8:$C$10000,I51,'[1]1_inventory_totals'!$F$8:$F$10000,"="&amp;Q51,'[1]1_inventory_totals'!$G$8:$G$10000,"="&amp;R51)+SUMIFS('[1]1_inventory_totals'!$R$8:$R$10000,'[1]1_inventory_totals'!$C$8:$C$10000,I51,'[1]1_inventory_totals'!$F$8:$F$10000,"="&amp;Q51,'[1]1_inventory_totals'!$G$8:$G$10000,"="&amp;R51))+(SUMIFS('[1]1_inventory_totals'!$J$8:$J$10000,'[1]1_inventory_totals'!$C$8:$C$10000,I51,'[1]1_inventory_totals'!$F$8:$F$10000,"="&amp;Q51,'[1]1_inventory_totals'!$G$8:$G$10000,"="&amp;R51)+SUMIFS('[1]1_inventory_totals'!$K$8:$K$10000,'[1]1_inventory_totals'!$C$8:$C$10000,I51,'[1]1_inventory_totals'!$F$8:$F$10000,"="&amp;Q51,'[1]1_inventory_totals'!$G$8:$G$10000,"="&amp;R51)+SUMIFS('[1]1_inventory_totals'!$L$8:$L$10000,'[1]1_inventory_totals'!$C$8:$C$10000,I51,'[1]1_inventory_totals'!$F$8:$F$10000,"="&amp;Q51,'[1]1_inventory_totals'!$G$8:$G$10000,"="&amp;R51)+SUMIFS('[1]1_inventory_totals'!$M$8:$M$10000,'[1]1_inventory_totals'!$C$8:$C$10000,I51,'[1]1_inventory_totals'!$F$8:$F$10000,"="&amp;Q51,'[1]1_inventory_totals'!$G$8:$G$10000,"="&amp;R51)+SUMIFS('[1]1_inventory_totals'!$O$8:$O$10000,'[1]1_inventory_totals'!$C$8:$C$10000,I51,'[1]1_inventory_totals'!$F$8:$F$10000,"="&amp;Q51,'[1]1_inventory_totals'!$G$8:$G$10000,"="&amp;R51)+SUMIFS('[1]1_inventory_totals'!$S$8:$S$10000,'[1]1_inventory_totals'!$C$8:$C$10000,I51,'[1]1_inventory_totals'!$F$8:$F$10000,"="&amp;Q51,'[1]1_inventory_totals'!$G$8:$G$10000,"="&amp;R51)))</f>
        <v/>
      </c>
      <c r="BB51" s="197" t="str">
        <f>IF(M51="","",(SUMIFS('[1]2_inventory_totals'!$I$8:$I$10000,'[1]2_inventory_totals'!$C$8:$C$10000,I51,'[1]2_inventory_totals'!$F$8:$F$10000,"="&amp;Q51,'[1]2_inventory_totals'!$G$8:$G$10000,"="&amp;R51)+SUMIFS('[1]2_inventory_totals'!$N$8:$N$10000,'[1]2_inventory_totals'!$C$8:$C$10000,I51,'[1]2_inventory_totals'!$F$8:$F$10000,"="&amp;Q51,'[1]2_inventory_totals'!$G$8:$G$10000,"="&amp;R51)+SUMIFS('[1]2_inventory_totals'!$P$8:$P$10000,'[1]2_inventory_totals'!$C$8:$C$10000,I51,'[1]2_inventory_totals'!$F$8:$F$10000,"="&amp;Q51,'[1]2_inventory_totals'!$G$8:$G$10000,"="&amp;R51)+SUMIFS('[1]2_inventory_totals'!$Q$8:$Q$10000,'[1]2_inventory_totals'!$C$8:$C$10000,I51,'[1]2_inventory_totals'!$F$8:$F$10000,"="&amp;Q51,'[1]2_inventory_totals'!$G$8:$G$10000,"="&amp;R51)+SUMIFS('[1]2_inventory_totals'!$R$8:$R$10000,'[1]2_inventory_totals'!$C$8:$C$10000,I51,'[1]2_inventory_totals'!$F$8:$F$10000,"="&amp;Q51,'[1]2_inventory_totals'!$G$8:$G$10000,"="&amp;R51))+(SUMIFS('[1]2_inventory_totals'!$J$8:$J$10000,'[1]2_inventory_totals'!$C$8:$C$10000,I51,'[1]2_inventory_totals'!$F$8:$F$10000,"="&amp;Q51,'[1]2_inventory_totals'!$G$8:$G$10000,"="&amp;R51)+SUMIFS('[1]2_inventory_totals'!$K$8:$K$10000,'[1]2_inventory_totals'!$C$8:$C$10000,I51,'[1]2_inventory_totals'!$F$8:$F$10000,"="&amp;Q51,'[1]2_inventory_totals'!$G$8:$G$10000,"="&amp;R51)+SUMIFS('[1]2_inventory_totals'!$L$8:$L$10000,'[1]2_inventory_totals'!$C$8:$C$10000,I51,'[1]2_inventory_totals'!$F$8:$F$10000,"="&amp;Q51,'[1]2_inventory_totals'!$G$8:$G$10000,"="&amp;R51)+SUMIFS('[1]2_inventory_totals'!$M$8:$M$10000,'[1]2_inventory_totals'!$C$8:$C$10000,I51,'[1]2_inventory_totals'!$F$8:$F$10000,"="&amp;Q51,'[1]2_inventory_totals'!$G$8:$G$10000,"="&amp;R51)+SUMIFS('[1]2_inventory_totals'!$O$8:$O$10000,'[1]2_inventory_totals'!$C$8:$C$10000,I51,'[1]2_inventory_totals'!$F$8:$F$10000,"="&amp;Q51,'[1]2_inventory_totals'!$G$8:$G$10000,"="&amp;R51)+SUMIFS('[1]2_inventory_totals'!$S$8:$S$10000,'[1]2_inventory_totals'!$C$8:$C$10000,I51,'[1]2_inventory_totals'!$F$8:$F$10000,"="&amp;Q51,'[1]2_inventory_totals'!$G$8:$G$10000,"="&amp;R51)))</f>
        <v/>
      </c>
    </row>
    <row r="52" spans="1:54" ht="27" hidden="1" customHeight="1">
      <c r="A52" s="923"/>
      <c r="B52" s="1251"/>
      <c r="C52" s="1268"/>
      <c r="D52" s="950"/>
      <c r="E52" s="950"/>
      <c r="F52" s="1262"/>
      <c r="I52" s="1610" t="str">
        <f t="shared" si="7"/>
        <v/>
      </c>
      <c r="J52" s="1611" t="str">
        <f t="shared" si="24"/>
        <v/>
      </c>
      <c r="K52" s="1612" t="str">
        <f t="shared" si="30"/>
        <v/>
      </c>
      <c r="L52" s="1613"/>
      <c r="M52" s="883"/>
      <c r="N52" s="884"/>
      <c r="O52" s="884"/>
      <c r="P52" s="885"/>
      <c r="Q52" s="886"/>
      <c r="R52" s="891"/>
      <c r="S52" s="1614" t="str">
        <f t="shared" si="0"/>
        <v/>
      </c>
      <c r="T52" s="1536"/>
      <c r="U52" s="1864" t="str">
        <f t="shared" si="9"/>
        <v/>
      </c>
      <c r="V52" s="1615" t="str">
        <f t="shared" si="25"/>
        <v/>
      </c>
      <c r="W52" s="889"/>
      <c r="X52" s="1615" t="str">
        <f t="shared" si="26"/>
        <v/>
      </c>
      <c r="Y52" s="1865" t="str">
        <f t="shared" si="10"/>
        <v/>
      </c>
      <c r="Z52" s="890"/>
      <c r="AA52" s="197" t="str" cm="1">
        <f t="array" ref="AA52">IF(M52="","",IF(P52=AN52,1,Slookup(MID(AN52,1,3)*1,UomConversion!$D$8:$J$500,5,UomConversion!$E$8:$E$500,MID(P52,1,3)*1,UomConversion!$J$8:$J$500,1)))</f>
        <v/>
      </c>
      <c r="AB52" s="197" t="str">
        <f t="shared" si="11"/>
        <v/>
      </c>
      <c r="AC52" s="197" t="str">
        <f t="shared" si="12"/>
        <v/>
      </c>
      <c r="AD52" s="197" t="str">
        <f t="shared" si="13"/>
        <v/>
      </c>
      <c r="AE52" s="1866" t="str">
        <f t="shared" si="14"/>
        <v/>
      </c>
      <c r="AF52" s="1866" t="str">
        <f t="shared" si="27"/>
        <v/>
      </c>
      <c r="AG52" s="197" t="str">
        <f t="shared" si="16"/>
        <v/>
      </c>
      <c r="AH52" s="197" t="str">
        <f>IF(I52="","",IF(ISNA(MATCH(I52,IF(invoice_location_id=1,'[1]1_inventory_totals'!$C$8:$C$10000,IF(invoice_location_id=2,'[1]2_inventory_totals'!$C$8:$C$10000,0)),0)),0,IF(AV52&gt;0,1,0)))</f>
        <v/>
      </c>
      <c r="AI52" s="197" t="str">
        <f>IF(M52="","",IF(invoice_location_id=1,SUMIFS('[1]1_inventory_total_details'!$J$8:$J$10000,'[1]1_inventory_total_details'!$C$8:$C$10000,I52,'[1]1_inventory_total_details'!$F$8:$F$10000,invoice_location_id,'[1]1_inventory_total_details'!$G$8:$G$10000,"="&amp;Q52,'[1]1_inventory_total_details'!$H$8:$H$10000,"="&amp;R52,'[1]1_inventory_total_details'!$I$8:$I$10000,"="&amp;invoice_date)+SUMIFS('[1]1_inventory_total_details'!$M$8:$M$10000,'[1]1_inventory_total_details'!$C$8:$C$10000,I52,'[1]1_inventory_total_details'!$F$8:$F$10000,invoice_location_id,'[1]1_inventory_total_details'!$G$8:$G$10000,"="&amp;Q52,'[1]1_inventory_total_details'!$H$8:$H$10000,"="&amp;R52,'[1]1_inventory_total_details'!$I$8:$I$10000,"="&amp;invoice_date)+SUMIFS('[1]1_inventory_total_details'!$K$8:$K$10000,'[1]1_inventory_total_details'!$C$8:$C$10000,I52,'[1]1_inventory_total_details'!$F$8:$F$10000,invoice_location_id,'[1]1_inventory_total_details'!$G$8:$G$10000,"="&amp;Q52,'[1]1_inventory_total_details'!$H$8:$H$10000,"="&amp;R52,'[1]1_inventory_total_details'!$I$8:$I$10000,"="&amp;invoice_date)+SUMIFS('[1]1_inventory_total_details'!$L$8:$L$10000,'[1]1_inventory_total_details'!$C$8:$C$10000,I52,'[1]1_inventory_total_details'!$F$8:$F$10000,invoice_location_id,'[1]1_inventory_total_details'!$G$8:$G$10000,"="&amp;Q52,'[1]1_inventory_total_details'!$H$8:$H$10000,"="&amp;R52,'[1]1_inventory_total_details'!$I$8:$I$10000,"="&amp;invoice_date),SUMIFS('[1]2_inventory_total_details'!$J$8:$J$10000,'[1]2_inventory_total_details'!$C$8:$C$10000,I52,'[1]2_inventory_total_details'!$F$8:$F$10000,invoice_location_id,'[1]2_inventory_total_details'!$G$8:$G$10000,"="&amp;Q52,'[1]2_inventory_total_details'!$H$8:$H$10000,"="&amp;R52,'[1]2_inventory_total_details'!$I$8:$I$10000,"="&amp;invoice_date)+SUMIFS('[1]2_inventory_total_details'!$M$8:$M$10000,'[1]2_inventory_total_details'!$C$8:$C$10000,I52,'[1]2_inventory_total_details'!$F$8:$F$10000,invoice_location_id,'[1]2_inventory_total_details'!$G$8:$G$10000,"="&amp;Q52,'[1]2_inventory_total_details'!$H$8:$H$10000,"="&amp;R52,'[1]2_inventory_total_details'!$I$8:$I$10000,"="&amp;invoice_date)+SUMIFS('[1]2_inventory_total_details'!$K$8:$K$10000,'[1]2_inventory_total_details'!$C$8:$C$10000,I52,'[1]2_inventory_total_details'!$F$8:$F$10000,invoice_location_id,'[1]2_inventory_total_details'!$G$8:$G$10000,"="&amp;Q52,'[1]2_inventory_total_details'!$H$8:$H$10000,"="&amp;R52,'[1]2_inventory_total_details'!$I$8:$I$10000,"="&amp;invoice_date)+SUMIFS('[1]2_inventory_total_details'!$L$8:$L$10000,'[1]2_inventory_total_details'!$C$8:$C$10000,I52,'[1]2_inventory_total_details'!$F$8:$F$10000,invoice_location_id,'[1]2_inventory_total_details'!$G$8:$G$10000,"="&amp;Q52,'[1]2_inventory_total_details'!$H$8:$H$10000,"="&amp;R52,'[1]2_inventory_total_details'!$I$8:$I$10000,"="&amp;invoice_date)))</f>
        <v/>
      </c>
      <c r="AJ52" s="197" t="str">
        <f>IF(M52="","",IF(ISNA(MATCH(I52,'[1]1_group_totals'!$C$8:$C$10000)),0,IF(AW52&gt;0,1,0)))</f>
        <v/>
      </c>
      <c r="AK52" s="197" t="str">
        <f>IF(M52="","",(SUMIFS('[1]1_group_total_details'!$I$8:$I$10000,'[1]1_group_total_details'!$C$8:$C$10000,I52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52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52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52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52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52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52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52,'[1]1_group_total_details'!$F$8:$F$10000,invoice_location_group_id,'[1]1_group_total_details'!$G$8:$G$10000,invoice_location_id,'[1]1_group_total_details'!$H$8:$H$10000,"="&amp;invoice_date)))</f>
        <v/>
      </c>
      <c r="AL52" s="197" t="str">
        <f>IF(M52="","",(SUMIFS('[1]1_group_total_details'!$I$8:$I$10000,'[1]1_group_total_details'!$C$8:$C$10000,I52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52,'[1]1_group_total_details'!$F$8:$F$10000,invoice_location_group_id,'[1]1_group_total_details'!$G$8:$G$10000,1,'[1]1_group_total_details'!$H$8:$H$10000,"&lt;="&amp;invoice_date)+SUMIFS('[1]1_group_total_details'!$N$8:$N$10000,'[1]1_group_total_details'!$C$8:$C$10000,I52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52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52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52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52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52,'[1]1_group_total_details'!$F$8:$F$10000,invoice_location_group_id,'[1]1_group_total_details'!$G$8:$G$10000,invoice_location_id,'[1]1_group_total_details'!$H$8:$H$10000,"&lt;="&amp;invoice_date)))</f>
        <v/>
      </c>
      <c r="AM52" s="197" t="str">
        <f>IF(M52="","",SUMIFS('[1]1_group_totals'!$J$8:$J$10000,'[1]1_group_totals'!$C$8:$C$10000,I52,'[1]1_group_totals'!$F$8:$F$10000,invoice_location_group_id,'[1]1_group_totals'!$G$8:$G$10000,invoice_location_id,'[1]1_group_totals'!$H$8:$H$10000,"="&amp;Q52,'[1]1_group_totals'!$I$8:$I$10000,"="&amp;R52))</f>
        <v/>
      </c>
      <c r="AN52" s="197" t="str">
        <f t="shared" si="17"/>
        <v/>
      </c>
      <c r="AO52" s="197" t="str">
        <f>IF(OR(ISNA(MATCH(MID(AN52,1,3)*1,UomConversion!$D$8:$D$500,0)),M52=""),"",IF(AT52="","",AT52))</f>
        <v/>
      </c>
      <c r="AP52" s="197" t="str">
        <f>IF(AND(AQ52&gt;0,COUNTIFS(UomConversion!$D$8:$D$500,MID(AN52,1,3)*1,UomConversion!$J$8:$J$500,1)&gt;1),TEXT(AQ52,"000")&amp;"."&amp;VLOOKUP(AQ52,uom_list,5,FALSE),"")</f>
        <v/>
      </c>
      <c r="AQ52" s="197" t="str">
        <f t="shared" si="18"/>
        <v/>
      </c>
      <c r="AR52" s="197" t="str">
        <f t="shared" si="19"/>
        <v/>
      </c>
      <c r="AS52" s="1866" t="str">
        <f>IF(M52="","",SUMIFS(ProductPrice!$N$28:$N$10000,ProductPrice!$D$28:$D$10000,I52,ProductPrice!$G$28:$G$10000,invoice_branch_id,ProductPrice!$H$28:$H$10000,invoice_price_type_id,ProductPrice!$I$28:$I$10000,MID(P52,1,3)*1,ProductPrice!$Q$28:$Q$10000,1,ProductPrice!$T$28:$T$10000,1))</f>
        <v/>
      </c>
      <c r="AT52" s="197" t="str">
        <f t="shared" si="28"/>
        <v/>
      </c>
      <c r="AU52" s="197" t="str" cm="1">
        <f t="array" ref="AU52">IF(M52="","",IF(ISNA(Slookup(MID(AN52,1,3)*1,UomConversion!$D$8:$J$500,2,UomConversion!$I$8:$I$500,1,UomConversion!$J$8:$J$500,1)),"",Slookup(MID(AN52,1,3)*1,UomConversion!$D$8:$J$500,2,UomConversion!$I$8:$I$500,1,UomConversion!$J$8:$J$500,1)))</f>
        <v/>
      </c>
      <c r="AV52" s="197" t="str">
        <f t="shared" si="29"/>
        <v/>
      </c>
      <c r="AW52" s="197" t="str">
        <f>IF(M52="","",(SUMIFS('[1]1_group_totals'!$K$8:$K$10000,'[1]1_group_totals'!$C$8:$C$10000,I52,'[1]1_group_totals'!$F$8:$F$10000,invoice_location_group_id,'[1]1_group_totals'!$G$8:$G$10000,invoice_location_id,'[1]1_group_totals'!$H$8:$H$10000,"="&amp;Q52,'[1]1_group_totals'!$I$8:$I$10000,"="&amp;R52)+SUMIFS('[1]1_group_totals'!$N$8:$N$10000,'[1]1_group_totals'!$C$8:$C$10000,I52,'[1]1_group_totals'!$F$8:$F$10000,invoice_location_group_id,'[1]1_group_totals'!$G$8:$G$10000,invoice_location_id,'[1]1_group_totals'!$H$8:$H$10000,"="&amp;Q52,'[1]1_group_totals'!$I$8:$I$10000,"="&amp;R52)+SUMIFS('[1]1_group_totals'!$P$8:$P$10000,'[1]1_group_totals'!$C$8:$C$10000,I52,'[1]1_group_totals'!$F$8:$F$10000,invoice_location_group_id,'[1]1_group_totals'!$G$8:$G$10000,invoice_location_id,'[1]1_group_totals'!$H$8:$H$10000,"="&amp;Q52,'[1]1_group_totals'!$I$8:$I$10000,"="&amp;R52)+SUMIFS('[1]1_group_totals'!$Q$8:$Q$10000,'[1]1_group_totals'!$C$8:$C$10000,I52,'[1]1_group_totals'!$F$8:$F$10000,invoice_location_group_id,'[1]1_group_totals'!$G$8:$G$10000,invoice_location_id,'[1]1_group_totals'!$H$8:$H$10000,"="&amp;Q52,'[1]1_group_totals'!$I$8:$I$10000,"="&amp;R52))+(SUMIFS('[1]1_group_totals'!$L$8:$L$10000,'[1]1_group_totals'!$C$8:$C$10000,I52,'[1]1_group_totals'!$F$8:$F$10000,invoice_location_group_id,'[1]1_group_totals'!$G$8:$G$10000,invoice_location_id,'[1]1_group_totals'!$H$8:$H$10000,"="&amp;Q52,'[1]1_group_totals'!$I$8:$I$10000,"="&amp;R52)+SUMIFS('[1]1_group_totals'!$M$8:$M$10000,'[1]1_group_totals'!$C$8:$C$10000,I52,'[1]1_group_totals'!$F$8:$F$10000,invoice_location_group_id,'[1]1_group_totals'!$G$8:$G$10000,invoice_location_id,'[1]1_group_totals'!$H$8:$H$10000,"="&amp;Q52,'[1]1_group_totals'!$I$8:$I$10000,"="&amp;R52)+SUMIFS('[1]1_group_totals'!$O$8:$O$10000,'[1]1_group_totals'!$C$8:$C$10000,I52,'[1]1_group_totals'!$F$8:$F$10000,invoice_location_group_id,'[1]1_group_totals'!$G$8:$G$10000,invoice_location_id,'[1]1_group_totals'!$H$8:$H$10000,"="&amp;Q52,'[1]1_group_totals'!$I$8:$I$10000,"="&amp;R52)+SUMIFS('[1]1_group_totals'!$R$8:$R$10000,'[1]1_group_totals'!$C$8:$C$10000,I52,'[1]1_group_totals'!$F$8:$F$10000,invoice_location_group_id,'[1]1_group_totals'!$G$8:$G$10000,invoice_location_id,'[1]1_group_totals'!$H$8:$H$10000,"="&amp;Q52,'[1]1_group_totals'!$I$8:$I$10000,"="&amp;R52)))</f>
        <v/>
      </c>
      <c r="AX52" s="197" t="str">
        <f t="shared" si="21"/>
        <v/>
      </c>
      <c r="AY52" s="197" t="str">
        <f>IF(M52="","",SUMIFS($AX$8:AX52,$I$8:I52,I52))</f>
        <v/>
      </c>
      <c r="AZ52" s="197" t="str">
        <f t="shared" si="22"/>
        <v/>
      </c>
      <c r="BA52" s="197" t="str">
        <f>IF(M52="","",(SUMIFS('[1]1_inventory_totals'!$I$8:$I$10000,'[1]1_inventory_totals'!$C$8:$C$10000,I52,'[1]1_inventory_totals'!$F$8:$F$10000,"="&amp;Q52,'[1]1_inventory_totals'!$G$8:$G$10000,"="&amp;R52)+SUMIFS('[1]1_inventory_totals'!$N$8:$N$10000,'[1]1_inventory_totals'!$C$8:$C$10000,I52,'[1]1_inventory_totals'!$F$8:$F$10000,"="&amp;Q52,'[1]1_inventory_totals'!$G$8:$G$10000,"="&amp;R52)+SUMIFS('[1]1_inventory_totals'!$P$8:$P$10000,'[1]1_inventory_totals'!$C$8:$C$10000,I52,'[1]1_inventory_totals'!$F$8:$F$10000,"="&amp;Q52,'[1]1_inventory_totals'!$G$8:$G$10000,"="&amp;R52)+SUMIFS('[1]1_inventory_totals'!$Q$8:$Q$10000,'[1]1_inventory_totals'!$C$8:$C$10000,I52,'[1]1_inventory_totals'!$F$8:$F$10000,"="&amp;Q52,'[1]1_inventory_totals'!$G$8:$G$10000,"="&amp;R52)+SUMIFS('[1]1_inventory_totals'!$R$8:$R$10000,'[1]1_inventory_totals'!$C$8:$C$10000,I52,'[1]1_inventory_totals'!$F$8:$F$10000,"="&amp;Q52,'[1]1_inventory_totals'!$G$8:$G$10000,"="&amp;R52))+(SUMIFS('[1]1_inventory_totals'!$J$8:$J$10000,'[1]1_inventory_totals'!$C$8:$C$10000,I52,'[1]1_inventory_totals'!$F$8:$F$10000,"="&amp;Q52,'[1]1_inventory_totals'!$G$8:$G$10000,"="&amp;R52)+SUMIFS('[1]1_inventory_totals'!$K$8:$K$10000,'[1]1_inventory_totals'!$C$8:$C$10000,I52,'[1]1_inventory_totals'!$F$8:$F$10000,"="&amp;Q52,'[1]1_inventory_totals'!$G$8:$G$10000,"="&amp;R52)+SUMIFS('[1]1_inventory_totals'!$L$8:$L$10000,'[1]1_inventory_totals'!$C$8:$C$10000,I52,'[1]1_inventory_totals'!$F$8:$F$10000,"="&amp;Q52,'[1]1_inventory_totals'!$G$8:$G$10000,"="&amp;R52)+SUMIFS('[1]1_inventory_totals'!$M$8:$M$10000,'[1]1_inventory_totals'!$C$8:$C$10000,I52,'[1]1_inventory_totals'!$F$8:$F$10000,"="&amp;Q52,'[1]1_inventory_totals'!$G$8:$G$10000,"="&amp;R52)+SUMIFS('[1]1_inventory_totals'!$O$8:$O$10000,'[1]1_inventory_totals'!$C$8:$C$10000,I52,'[1]1_inventory_totals'!$F$8:$F$10000,"="&amp;Q52,'[1]1_inventory_totals'!$G$8:$G$10000,"="&amp;R52)+SUMIFS('[1]1_inventory_totals'!$S$8:$S$10000,'[1]1_inventory_totals'!$C$8:$C$10000,I52,'[1]1_inventory_totals'!$F$8:$F$10000,"="&amp;Q52,'[1]1_inventory_totals'!$G$8:$G$10000,"="&amp;R52)))</f>
        <v/>
      </c>
      <c r="BB52" s="197" t="str">
        <f>IF(M52="","",(SUMIFS('[1]2_inventory_totals'!$I$8:$I$10000,'[1]2_inventory_totals'!$C$8:$C$10000,I52,'[1]2_inventory_totals'!$F$8:$F$10000,"="&amp;Q52,'[1]2_inventory_totals'!$G$8:$G$10000,"="&amp;R52)+SUMIFS('[1]2_inventory_totals'!$N$8:$N$10000,'[1]2_inventory_totals'!$C$8:$C$10000,I52,'[1]2_inventory_totals'!$F$8:$F$10000,"="&amp;Q52,'[1]2_inventory_totals'!$G$8:$G$10000,"="&amp;R52)+SUMIFS('[1]2_inventory_totals'!$P$8:$P$10000,'[1]2_inventory_totals'!$C$8:$C$10000,I52,'[1]2_inventory_totals'!$F$8:$F$10000,"="&amp;Q52,'[1]2_inventory_totals'!$G$8:$G$10000,"="&amp;R52)+SUMIFS('[1]2_inventory_totals'!$Q$8:$Q$10000,'[1]2_inventory_totals'!$C$8:$C$10000,I52,'[1]2_inventory_totals'!$F$8:$F$10000,"="&amp;Q52,'[1]2_inventory_totals'!$G$8:$G$10000,"="&amp;R52)+SUMIFS('[1]2_inventory_totals'!$R$8:$R$10000,'[1]2_inventory_totals'!$C$8:$C$10000,I52,'[1]2_inventory_totals'!$F$8:$F$10000,"="&amp;Q52,'[1]2_inventory_totals'!$G$8:$G$10000,"="&amp;R52))+(SUMIFS('[1]2_inventory_totals'!$J$8:$J$10000,'[1]2_inventory_totals'!$C$8:$C$10000,I52,'[1]2_inventory_totals'!$F$8:$F$10000,"="&amp;Q52,'[1]2_inventory_totals'!$G$8:$G$10000,"="&amp;R52)+SUMIFS('[1]2_inventory_totals'!$K$8:$K$10000,'[1]2_inventory_totals'!$C$8:$C$10000,I52,'[1]2_inventory_totals'!$F$8:$F$10000,"="&amp;Q52,'[1]2_inventory_totals'!$G$8:$G$10000,"="&amp;R52)+SUMIFS('[1]2_inventory_totals'!$L$8:$L$10000,'[1]2_inventory_totals'!$C$8:$C$10000,I52,'[1]2_inventory_totals'!$F$8:$F$10000,"="&amp;Q52,'[1]2_inventory_totals'!$G$8:$G$10000,"="&amp;R52)+SUMIFS('[1]2_inventory_totals'!$M$8:$M$10000,'[1]2_inventory_totals'!$C$8:$C$10000,I52,'[1]2_inventory_totals'!$F$8:$F$10000,"="&amp;Q52,'[1]2_inventory_totals'!$G$8:$G$10000,"="&amp;R52)+SUMIFS('[1]2_inventory_totals'!$O$8:$O$10000,'[1]2_inventory_totals'!$C$8:$C$10000,I52,'[1]2_inventory_totals'!$F$8:$F$10000,"="&amp;Q52,'[1]2_inventory_totals'!$G$8:$G$10000,"="&amp;R52)+SUMIFS('[1]2_inventory_totals'!$S$8:$S$10000,'[1]2_inventory_totals'!$C$8:$C$10000,I52,'[1]2_inventory_totals'!$F$8:$F$10000,"="&amp;Q52,'[1]2_inventory_totals'!$G$8:$G$10000,"="&amp;R52)))</f>
        <v/>
      </c>
    </row>
    <row r="53" spans="1:54" ht="27" hidden="1" customHeight="1">
      <c r="A53" s="923"/>
      <c r="B53" s="1256"/>
      <c r="C53" s="1268"/>
      <c r="D53" s="950"/>
      <c r="E53" s="950"/>
      <c r="F53" s="1257"/>
      <c r="G53" s="941"/>
      <c r="H53" s="951"/>
      <c r="I53" s="1610" t="str">
        <f t="shared" si="7"/>
        <v/>
      </c>
      <c r="J53" s="1611" t="str">
        <f t="shared" si="24"/>
        <v/>
      </c>
      <c r="K53" s="1612" t="str">
        <f t="shared" si="30"/>
        <v/>
      </c>
      <c r="L53" s="1613"/>
      <c r="M53" s="883"/>
      <c r="N53" s="884"/>
      <c r="O53" s="884"/>
      <c r="P53" s="885"/>
      <c r="Q53" s="886"/>
      <c r="R53" s="891"/>
      <c r="S53" s="1614" t="str">
        <f t="shared" si="0"/>
        <v/>
      </c>
      <c r="T53" s="1536"/>
      <c r="U53" s="1864" t="str">
        <f t="shared" si="9"/>
        <v/>
      </c>
      <c r="V53" s="1615" t="str">
        <f t="shared" si="25"/>
        <v/>
      </c>
      <c r="W53" s="889"/>
      <c r="X53" s="1615" t="str">
        <f t="shared" si="26"/>
        <v/>
      </c>
      <c r="Y53" s="1865" t="str">
        <f t="shared" si="10"/>
        <v/>
      </c>
      <c r="Z53" s="890"/>
      <c r="AA53" s="197" t="str" cm="1">
        <f t="array" ref="AA53">IF(M53="","",IF(P53=AN53,1,Slookup(MID(AN53,1,3)*1,UomConversion!$D$8:$J$500,5,UomConversion!$E$8:$E$500,MID(P53,1,3)*1,UomConversion!$J$8:$J$500,1)))</f>
        <v/>
      </c>
      <c r="AB53" s="197" t="str">
        <f t="shared" si="11"/>
        <v/>
      </c>
      <c r="AC53" s="197" t="str">
        <f t="shared" si="12"/>
        <v/>
      </c>
      <c r="AD53" s="197" t="str">
        <f t="shared" si="13"/>
        <v/>
      </c>
      <c r="AE53" s="1866" t="str">
        <f t="shared" si="14"/>
        <v/>
      </c>
      <c r="AF53" s="1866" t="str">
        <f t="shared" si="27"/>
        <v/>
      </c>
      <c r="AG53" s="197" t="str">
        <f t="shared" si="16"/>
        <v/>
      </c>
      <c r="AH53" s="197" t="str">
        <f>IF(I53="","",IF(ISNA(MATCH(I53,IF(invoice_location_id=1,'[1]1_inventory_totals'!$C$8:$C$10000,IF(invoice_location_id=2,'[1]2_inventory_totals'!$C$8:$C$10000,0)),0)),0,IF(AV53&gt;0,1,0)))</f>
        <v/>
      </c>
      <c r="AI53" s="197" t="str">
        <f>IF(M53="","",IF(invoice_location_id=1,SUMIFS('[1]1_inventory_total_details'!$J$8:$J$10000,'[1]1_inventory_total_details'!$C$8:$C$10000,I53,'[1]1_inventory_total_details'!$F$8:$F$10000,invoice_location_id,'[1]1_inventory_total_details'!$G$8:$G$10000,"="&amp;Q53,'[1]1_inventory_total_details'!$H$8:$H$10000,"="&amp;R53,'[1]1_inventory_total_details'!$I$8:$I$10000,"="&amp;invoice_date)+SUMIFS('[1]1_inventory_total_details'!$M$8:$M$10000,'[1]1_inventory_total_details'!$C$8:$C$10000,I53,'[1]1_inventory_total_details'!$F$8:$F$10000,invoice_location_id,'[1]1_inventory_total_details'!$G$8:$G$10000,"="&amp;Q53,'[1]1_inventory_total_details'!$H$8:$H$10000,"="&amp;R53,'[1]1_inventory_total_details'!$I$8:$I$10000,"="&amp;invoice_date)+SUMIFS('[1]1_inventory_total_details'!$K$8:$K$10000,'[1]1_inventory_total_details'!$C$8:$C$10000,I53,'[1]1_inventory_total_details'!$F$8:$F$10000,invoice_location_id,'[1]1_inventory_total_details'!$G$8:$G$10000,"="&amp;Q53,'[1]1_inventory_total_details'!$H$8:$H$10000,"="&amp;R53,'[1]1_inventory_total_details'!$I$8:$I$10000,"="&amp;invoice_date)+SUMIFS('[1]1_inventory_total_details'!$L$8:$L$10000,'[1]1_inventory_total_details'!$C$8:$C$10000,I53,'[1]1_inventory_total_details'!$F$8:$F$10000,invoice_location_id,'[1]1_inventory_total_details'!$G$8:$G$10000,"="&amp;Q53,'[1]1_inventory_total_details'!$H$8:$H$10000,"="&amp;R53,'[1]1_inventory_total_details'!$I$8:$I$10000,"="&amp;invoice_date),SUMIFS('[1]2_inventory_total_details'!$J$8:$J$10000,'[1]2_inventory_total_details'!$C$8:$C$10000,I53,'[1]2_inventory_total_details'!$F$8:$F$10000,invoice_location_id,'[1]2_inventory_total_details'!$G$8:$G$10000,"="&amp;Q53,'[1]2_inventory_total_details'!$H$8:$H$10000,"="&amp;R53,'[1]2_inventory_total_details'!$I$8:$I$10000,"="&amp;invoice_date)+SUMIFS('[1]2_inventory_total_details'!$M$8:$M$10000,'[1]2_inventory_total_details'!$C$8:$C$10000,I53,'[1]2_inventory_total_details'!$F$8:$F$10000,invoice_location_id,'[1]2_inventory_total_details'!$G$8:$G$10000,"="&amp;Q53,'[1]2_inventory_total_details'!$H$8:$H$10000,"="&amp;R53,'[1]2_inventory_total_details'!$I$8:$I$10000,"="&amp;invoice_date)+SUMIFS('[1]2_inventory_total_details'!$K$8:$K$10000,'[1]2_inventory_total_details'!$C$8:$C$10000,I53,'[1]2_inventory_total_details'!$F$8:$F$10000,invoice_location_id,'[1]2_inventory_total_details'!$G$8:$G$10000,"="&amp;Q53,'[1]2_inventory_total_details'!$H$8:$H$10000,"="&amp;R53,'[1]2_inventory_total_details'!$I$8:$I$10000,"="&amp;invoice_date)+SUMIFS('[1]2_inventory_total_details'!$L$8:$L$10000,'[1]2_inventory_total_details'!$C$8:$C$10000,I53,'[1]2_inventory_total_details'!$F$8:$F$10000,invoice_location_id,'[1]2_inventory_total_details'!$G$8:$G$10000,"="&amp;Q53,'[1]2_inventory_total_details'!$H$8:$H$10000,"="&amp;R53,'[1]2_inventory_total_details'!$I$8:$I$10000,"="&amp;invoice_date)))</f>
        <v/>
      </c>
      <c r="AJ53" s="197" t="str">
        <f>IF(M53="","",IF(ISNA(MATCH(I53,'[1]1_group_totals'!$C$8:$C$10000)),0,IF(AW53&gt;0,1,0)))</f>
        <v/>
      </c>
      <c r="AK53" s="197" t="str">
        <f>IF(M53="","",(SUMIFS('[1]1_group_total_details'!$I$8:$I$10000,'[1]1_group_total_details'!$C$8:$C$10000,I53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53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53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53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53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53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53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53,'[1]1_group_total_details'!$F$8:$F$10000,invoice_location_group_id,'[1]1_group_total_details'!$G$8:$G$10000,invoice_location_id,'[1]1_group_total_details'!$H$8:$H$10000,"="&amp;invoice_date)))</f>
        <v/>
      </c>
      <c r="AL53" s="197" t="str">
        <f>IF(M53="","",(SUMIFS('[1]1_group_total_details'!$I$8:$I$10000,'[1]1_group_total_details'!$C$8:$C$10000,I53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53,'[1]1_group_total_details'!$F$8:$F$10000,invoice_location_group_id,'[1]1_group_total_details'!$G$8:$G$10000,1,'[1]1_group_total_details'!$H$8:$H$10000,"&lt;="&amp;invoice_date)+SUMIFS('[1]1_group_total_details'!$N$8:$N$10000,'[1]1_group_total_details'!$C$8:$C$10000,I53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53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53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53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53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53,'[1]1_group_total_details'!$F$8:$F$10000,invoice_location_group_id,'[1]1_group_total_details'!$G$8:$G$10000,invoice_location_id,'[1]1_group_total_details'!$H$8:$H$10000,"&lt;="&amp;invoice_date)))</f>
        <v/>
      </c>
      <c r="AM53" s="197" t="str">
        <f>IF(M53="","",SUMIFS('[1]1_group_totals'!$J$8:$J$10000,'[1]1_group_totals'!$C$8:$C$10000,I53,'[1]1_group_totals'!$F$8:$F$10000,invoice_location_group_id,'[1]1_group_totals'!$G$8:$G$10000,invoice_location_id,'[1]1_group_totals'!$H$8:$H$10000,"="&amp;Q53,'[1]1_group_totals'!$I$8:$I$10000,"="&amp;R53))</f>
        <v/>
      </c>
      <c r="AN53" s="197" t="str">
        <f t="shared" si="17"/>
        <v/>
      </c>
      <c r="AO53" s="197" t="str">
        <f>IF(OR(ISNA(MATCH(MID(AN53,1,3)*1,UomConversion!$D$8:$D$500,0)),M53=""),"",IF(AT53="","",AT53))</f>
        <v/>
      </c>
      <c r="AP53" s="197" t="str">
        <f>IF(AND(AQ53&gt;0,COUNTIFS(UomConversion!$D$8:$D$500,MID(AN53,1,3)*1,UomConversion!$J$8:$J$500,1)&gt;1),TEXT(AQ53,"000")&amp;"."&amp;VLOOKUP(AQ53,uom_list,5,FALSE),"")</f>
        <v/>
      </c>
      <c r="AQ53" s="197" t="str">
        <f t="shared" si="18"/>
        <v/>
      </c>
      <c r="AR53" s="197" t="str">
        <f t="shared" si="19"/>
        <v/>
      </c>
      <c r="AS53" s="1866" t="str">
        <f>IF(M53="","",SUMIFS(ProductPrice!$N$28:$N$10000,ProductPrice!$D$28:$D$10000,I53,ProductPrice!$G$28:$G$10000,invoice_branch_id,ProductPrice!$H$28:$H$10000,invoice_price_type_id,ProductPrice!$I$28:$I$10000,MID(P53,1,3)*1,ProductPrice!$Q$28:$Q$10000,1,ProductPrice!$T$28:$T$10000,1))</f>
        <v/>
      </c>
      <c r="AT53" s="197" t="str">
        <f t="shared" si="28"/>
        <v/>
      </c>
      <c r="AU53" s="197" t="str" cm="1">
        <f t="array" ref="AU53">IF(M53="","",IF(ISNA(Slookup(MID(AN53,1,3)*1,UomConversion!$D$8:$J$500,2,UomConversion!$I$8:$I$500,1,UomConversion!$J$8:$J$500,1)),"",Slookup(MID(AN53,1,3)*1,UomConversion!$D$8:$J$500,2,UomConversion!$I$8:$I$500,1,UomConversion!$J$8:$J$500,1)))</f>
        <v/>
      </c>
      <c r="AV53" s="197" t="str">
        <f t="shared" si="29"/>
        <v/>
      </c>
      <c r="AW53" s="197" t="str">
        <f>IF(M53="","",(SUMIFS('[1]1_group_totals'!$K$8:$K$10000,'[1]1_group_totals'!$C$8:$C$10000,I53,'[1]1_group_totals'!$F$8:$F$10000,invoice_location_group_id,'[1]1_group_totals'!$G$8:$G$10000,invoice_location_id,'[1]1_group_totals'!$H$8:$H$10000,"="&amp;Q53,'[1]1_group_totals'!$I$8:$I$10000,"="&amp;R53)+SUMIFS('[1]1_group_totals'!$N$8:$N$10000,'[1]1_group_totals'!$C$8:$C$10000,I53,'[1]1_group_totals'!$F$8:$F$10000,invoice_location_group_id,'[1]1_group_totals'!$G$8:$G$10000,invoice_location_id,'[1]1_group_totals'!$H$8:$H$10000,"="&amp;Q53,'[1]1_group_totals'!$I$8:$I$10000,"="&amp;R53)+SUMIFS('[1]1_group_totals'!$P$8:$P$10000,'[1]1_group_totals'!$C$8:$C$10000,I53,'[1]1_group_totals'!$F$8:$F$10000,invoice_location_group_id,'[1]1_group_totals'!$G$8:$G$10000,invoice_location_id,'[1]1_group_totals'!$H$8:$H$10000,"="&amp;Q53,'[1]1_group_totals'!$I$8:$I$10000,"="&amp;R53)+SUMIFS('[1]1_group_totals'!$Q$8:$Q$10000,'[1]1_group_totals'!$C$8:$C$10000,I53,'[1]1_group_totals'!$F$8:$F$10000,invoice_location_group_id,'[1]1_group_totals'!$G$8:$G$10000,invoice_location_id,'[1]1_group_totals'!$H$8:$H$10000,"="&amp;Q53,'[1]1_group_totals'!$I$8:$I$10000,"="&amp;R53))+(SUMIFS('[1]1_group_totals'!$L$8:$L$10000,'[1]1_group_totals'!$C$8:$C$10000,I53,'[1]1_group_totals'!$F$8:$F$10000,invoice_location_group_id,'[1]1_group_totals'!$G$8:$G$10000,invoice_location_id,'[1]1_group_totals'!$H$8:$H$10000,"="&amp;Q53,'[1]1_group_totals'!$I$8:$I$10000,"="&amp;R53)+SUMIFS('[1]1_group_totals'!$M$8:$M$10000,'[1]1_group_totals'!$C$8:$C$10000,I53,'[1]1_group_totals'!$F$8:$F$10000,invoice_location_group_id,'[1]1_group_totals'!$G$8:$G$10000,invoice_location_id,'[1]1_group_totals'!$H$8:$H$10000,"="&amp;Q53,'[1]1_group_totals'!$I$8:$I$10000,"="&amp;R53)+SUMIFS('[1]1_group_totals'!$O$8:$O$10000,'[1]1_group_totals'!$C$8:$C$10000,I53,'[1]1_group_totals'!$F$8:$F$10000,invoice_location_group_id,'[1]1_group_totals'!$G$8:$G$10000,invoice_location_id,'[1]1_group_totals'!$H$8:$H$10000,"="&amp;Q53,'[1]1_group_totals'!$I$8:$I$10000,"="&amp;R53)+SUMIFS('[1]1_group_totals'!$R$8:$R$10000,'[1]1_group_totals'!$C$8:$C$10000,I53,'[1]1_group_totals'!$F$8:$F$10000,invoice_location_group_id,'[1]1_group_totals'!$G$8:$G$10000,invoice_location_id,'[1]1_group_totals'!$H$8:$H$10000,"="&amp;Q53,'[1]1_group_totals'!$I$8:$I$10000,"="&amp;R53)))</f>
        <v/>
      </c>
      <c r="AX53" s="197" t="str">
        <f t="shared" si="21"/>
        <v/>
      </c>
      <c r="AY53" s="197" t="str">
        <f>IF(M53="","",SUMIFS($AX$8:AX53,$I$8:I53,I53))</f>
        <v/>
      </c>
      <c r="AZ53" s="197" t="str">
        <f t="shared" si="22"/>
        <v/>
      </c>
      <c r="BA53" s="197" t="str">
        <f>IF(M53="","",(SUMIFS('[1]1_inventory_totals'!$I$8:$I$10000,'[1]1_inventory_totals'!$C$8:$C$10000,I53,'[1]1_inventory_totals'!$F$8:$F$10000,"="&amp;Q53,'[1]1_inventory_totals'!$G$8:$G$10000,"="&amp;R53)+SUMIFS('[1]1_inventory_totals'!$N$8:$N$10000,'[1]1_inventory_totals'!$C$8:$C$10000,I53,'[1]1_inventory_totals'!$F$8:$F$10000,"="&amp;Q53,'[1]1_inventory_totals'!$G$8:$G$10000,"="&amp;R53)+SUMIFS('[1]1_inventory_totals'!$P$8:$P$10000,'[1]1_inventory_totals'!$C$8:$C$10000,I53,'[1]1_inventory_totals'!$F$8:$F$10000,"="&amp;Q53,'[1]1_inventory_totals'!$G$8:$G$10000,"="&amp;R53)+SUMIFS('[1]1_inventory_totals'!$Q$8:$Q$10000,'[1]1_inventory_totals'!$C$8:$C$10000,I53,'[1]1_inventory_totals'!$F$8:$F$10000,"="&amp;Q53,'[1]1_inventory_totals'!$G$8:$G$10000,"="&amp;R53)+SUMIFS('[1]1_inventory_totals'!$R$8:$R$10000,'[1]1_inventory_totals'!$C$8:$C$10000,I53,'[1]1_inventory_totals'!$F$8:$F$10000,"="&amp;Q53,'[1]1_inventory_totals'!$G$8:$G$10000,"="&amp;R53))+(SUMIFS('[1]1_inventory_totals'!$J$8:$J$10000,'[1]1_inventory_totals'!$C$8:$C$10000,I53,'[1]1_inventory_totals'!$F$8:$F$10000,"="&amp;Q53,'[1]1_inventory_totals'!$G$8:$G$10000,"="&amp;R53)+SUMIFS('[1]1_inventory_totals'!$K$8:$K$10000,'[1]1_inventory_totals'!$C$8:$C$10000,I53,'[1]1_inventory_totals'!$F$8:$F$10000,"="&amp;Q53,'[1]1_inventory_totals'!$G$8:$G$10000,"="&amp;R53)+SUMIFS('[1]1_inventory_totals'!$L$8:$L$10000,'[1]1_inventory_totals'!$C$8:$C$10000,I53,'[1]1_inventory_totals'!$F$8:$F$10000,"="&amp;Q53,'[1]1_inventory_totals'!$G$8:$G$10000,"="&amp;R53)+SUMIFS('[1]1_inventory_totals'!$M$8:$M$10000,'[1]1_inventory_totals'!$C$8:$C$10000,I53,'[1]1_inventory_totals'!$F$8:$F$10000,"="&amp;Q53,'[1]1_inventory_totals'!$G$8:$G$10000,"="&amp;R53)+SUMIFS('[1]1_inventory_totals'!$O$8:$O$10000,'[1]1_inventory_totals'!$C$8:$C$10000,I53,'[1]1_inventory_totals'!$F$8:$F$10000,"="&amp;Q53,'[1]1_inventory_totals'!$G$8:$G$10000,"="&amp;R53)+SUMIFS('[1]1_inventory_totals'!$S$8:$S$10000,'[1]1_inventory_totals'!$C$8:$C$10000,I53,'[1]1_inventory_totals'!$F$8:$F$10000,"="&amp;Q53,'[1]1_inventory_totals'!$G$8:$G$10000,"="&amp;R53)))</f>
        <v/>
      </c>
      <c r="BB53" s="197" t="str">
        <f>IF(M53="","",(SUMIFS('[1]2_inventory_totals'!$I$8:$I$10000,'[1]2_inventory_totals'!$C$8:$C$10000,I53,'[1]2_inventory_totals'!$F$8:$F$10000,"="&amp;Q53,'[1]2_inventory_totals'!$G$8:$G$10000,"="&amp;R53)+SUMIFS('[1]2_inventory_totals'!$N$8:$N$10000,'[1]2_inventory_totals'!$C$8:$C$10000,I53,'[1]2_inventory_totals'!$F$8:$F$10000,"="&amp;Q53,'[1]2_inventory_totals'!$G$8:$G$10000,"="&amp;R53)+SUMIFS('[1]2_inventory_totals'!$P$8:$P$10000,'[1]2_inventory_totals'!$C$8:$C$10000,I53,'[1]2_inventory_totals'!$F$8:$F$10000,"="&amp;Q53,'[1]2_inventory_totals'!$G$8:$G$10000,"="&amp;R53)+SUMIFS('[1]2_inventory_totals'!$Q$8:$Q$10000,'[1]2_inventory_totals'!$C$8:$C$10000,I53,'[1]2_inventory_totals'!$F$8:$F$10000,"="&amp;Q53,'[1]2_inventory_totals'!$G$8:$G$10000,"="&amp;R53)+SUMIFS('[1]2_inventory_totals'!$R$8:$R$10000,'[1]2_inventory_totals'!$C$8:$C$10000,I53,'[1]2_inventory_totals'!$F$8:$F$10000,"="&amp;Q53,'[1]2_inventory_totals'!$G$8:$G$10000,"="&amp;R53))+(SUMIFS('[1]2_inventory_totals'!$J$8:$J$10000,'[1]2_inventory_totals'!$C$8:$C$10000,I53,'[1]2_inventory_totals'!$F$8:$F$10000,"="&amp;Q53,'[1]2_inventory_totals'!$G$8:$G$10000,"="&amp;R53)+SUMIFS('[1]2_inventory_totals'!$K$8:$K$10000,'[1]2_inventory_totals'!$C$8:$C$10000,I53,'[1]2_inventory_totals'!$F$8:$F$10000,"="&amp;Q53,'[1]2_inventory_totals'!$G$8:$G$10000,"="&amp;R53)+SUMIFS('[1]2_inventory_totals'!$L$8:$L$10000,'[1]2_inventory_totals'!$C$8:$C$10000,I53,'[1]2_inventory_totals'!$F$8:$F$10000,"="&amp;Q53,'[1]2_inventory_totals'!$G$8:$G$10000,"="&amp;R53)+SUMIFS('[1]2_inventory_totals'!$M$8:$M$10000,'[1]2_inventory_totals'!$C$8:$C$10000,I53,'[1]2_inventory_totals'!$F$8:$F$10000,"="&amp;Q53,'[1]2_inventory_totals'!$G$8:$G$10000,"="&amp;R53)+SUMIFS('[1]2_inventory_totals'!$O$8:$O$10000,'[1]2_inventory_totals'!$C$8:$C$10000,I53,'[1]2_inventory_totals'!$F$8:$F$10000,"="&amp;Q53,'[1]2_inventory_totals'!$G$8:$G$10000,"="&amp;R53)+SUMIFS('[1]2_inventory_totals'!$S$8:$S$10000,'[1]2_inventory_totals'!$C$8:$C$10000,I53,'[1]2_inventory_totals'!$F$8:$F$10000,"="&amp;Q53,'[1]2_inventory_totals'!$G$8:$G$10000,"="&amp;R53)))</f>
        <v/>
      </c>
    </row>
    <row r="54" spans="1:54" ht="27" hidden="1" customHeight="1">
      <c r="A54" s="923"/>
      <c r="B54" s="1256"/>
      <c r="C54" s="1268"/>
      <c r="D54" s="950"/>
      <c r="E54" s="950"/>
      <c r="F54" s="1257"/>
      <c r="G54" s="941"/>
      <c r="H54" s="951"/>
      <c r="I54" s="1610" t="str">
        <f t="shared" si="7"/>
        <v/>
      </c>
      <c r="J54" s="1611" t="str">
        <f t="shared" si="24"/>
        <v/>
      </c>
      <c r="K54" s="1612" t="str">
        <f t="shared" si="30"/>
        <v/>
      </c>
      <c r="L54" s="1613"/>
      <c r="M54" s="883"/>
      <c r="N54" s="884"/>
      <c r="O54" s="884"/>
      <c r="P54" s="885"/>
      <c r="Q54" s="886"/>
      <c r="R54" s="891"/>
      <c r="S54" s="1614" t="str">
        <f t="shared" si="0"/>
        <v/>
      </c>
      <c r="T54" s="1536"/>
      <c r="U54" s="1864" t="str">
        <f t="shared" si="9"/>
        <v/>
      </c>
      <c r="V54" s="1615" t="str">
        <f t="shared" si="25"/>
        <v/>
      </c>
      <c r="W54" s="889"/>
      <c r="X54" s="1615" t="str">
        <f t="shared" si="26"/>
        <v/>
      </c>
      <c r="Y54" s="1865" t="str">
        <f t="shared" si="10"/>
        <v/>
      </c>
      <c r="Z54" s="890"/>
      <c r="AA54" s="197" t="str" cm="1">
        <f t="array" ref="AA54">IF(M54="","",IF(P54=AN54,1,Slookup(MID(AN54,1,3)*1,UomConversion!$D$8:$J$500,5,UomConversion!$E$8:$E$500,MID(P54,1,3)*1,UomConversion!$J$8:$J$500,1)))</f>
        <v/>
      </c>
      <c r="AB54" s="197" t="str">
        <f t="shared" si="11"/>
        <v/>
      </c>
      <c r="AC54" s="197" t="str">
        <f t="shared" si="12"/>
        <v/>
      </c>
      <c r="AD54" s="197" t="str">
        <f t="shared" si="13"/>
        <v/>
      </c>
      <c r="AE54" s="1866" t="str">
        <f t="shared" si="14"/>
        <v/>
      </c>
      <c r="AF54" s="1866" t="str">
        <f t="shared" si="27"/>
        <v/>
      </c>
      <c r="AG54" s="197" t="str">
        <f t="shared" si="16"/>
        <v/>
      </c>
      <c r="AH54" s="197" t="str">
        <f>IF(I54="","",IF(ISNA(MATCH(I54,IF(invoice_location_id=1,'[1]1_inventory_totals'!$C$8:$C$10000,IF(invoice_location_id=2,'[1]2_inventory_totals'!$C$8:$C$10000,0)),0)),0,IF(AV54&gt;0,1,0)))</f>
        <v/>
      </c>
      <c r="AI54" s="197" t="str">
        <f>IF(M54="","",IF(invoice_location_id=1,SUMIFS('[1]1_inventory_total_details'!$J$8:$J$10000,'[1]1_inventory_total_details'!$C$8:$C$10000,I54,'[1]1_inventory_total_details'!$F$8:$F$10000,invoice_location_id,'[1]1_inventory_total_details'!$G$8:$G$10000,"="&amp;Q54,'[1]1_inventory_total_details'!$H$8:$H$10000,"="&amp;R54,'[1]1_inventory_total_details'!$I$8:$I$10000,"="&amp;invoice_date)+SUMIFS('[1]1_inventory_total_details'!$M$8:$M$10000,'[1]1_inventory_total_details'!$C$8:$C$10000,I54,'[1]1_inventory_total_details'!$F$8:$F$10000,invoice_location_id,'[1]1_inventory_total_details'!$G$8:$G$10000,"="&amp;Q54,'[1]1_inventory_total_details'!$H$8:$H$10000,"="&amp;R54,'[1]1_inventory_total_details'!$I$8:$I$10000,"="&amp;invoice_date)+SUMIFS('[1]1_inventory_total_details'!$K$8:$K$10000,'[1]1_inventory_total_details'!$C$8:$C$10000,I54,'[1]1_inventory_total_details'!$F$8:$F$10000,invoice_location_id,'[1]1_inventory_total_details'!$G$8:$G$10000,"="&amp;Q54,'[1]1_inventory_total_details'!$H$8:$H$10000,"="&amp;R54,'[1]1_inventory_total_details'!$I$8:$I$10000,"="&amp;invoice_date)+SUMIFS('[1]1_inventory_total_details'!$L$8:$L$10000,'[1]1_inventory_total_details'!$C$8:$C$10000,I54,'[1]1_inventory_total_details'!$F$8:$F$10000,invoice_location_id,'[1]1_inventory_total_details'!$G$8:$G$10000,"="&amp;Q54,'[1]1_inventory_total_details'!$H$8:$H$10000,"="&amp;R54,'[1]1_inventory_total_details'!$I$8:$I$10000,"="&amp;invoice_date),SUMIFS('[1]2_inventory_total_details'!$J$8:$J$10000,'[1]2_inventory_total_details'!$C$8:$C$10000,I54,'[1]2_inventory_total_details'!$F$8:$F$10000,invoice_location_id,'[1]2_inventory_total_details'!$G$8:$G$10000,"="&amp;Q54,'[1]2_inventory_total_details'!$H$8:$H$10000,"="&amp;R54,'[1]2_inventory_total_details'!$I$8:$I$10000,"="&amp;invoice_date)+SUMIFS('[1]2_inventory_total_details'!$M$8:$M$10000,'[1]2_inventory_total_details'!$C$8:$C$10000,I54,'[1]2_inventory_total_details'!$F$8:$F$10000,invoice_location_id,'[1]2_inventory_total_details'!$G$8:$G$10000,"="&amp;Q54,'[1]2_inventory_total_details'!$H$8:$H$10000,"="&amp;R54,'[1]2_inventory_total_details'!$I$8:$I$10000,"="&amp;invoice_date)+SUMIFS('[1]2_inventory_total_details'!$K$8:$K$10000,'[1]2_inventory_total_details'!$C$8:$C$10000,I54,'[1]2_inventory_total_details'!$F$8:$F$10000,invoice_location_id,'[1]2_inventory_total_details'!$G$8:$G$10000,"="&amp;Q54,'[1]2_inventory_total_details'!$H$8:$H$10000,"="&amp;R54,'[1]2_inventory_total_details'!$I$8:$I$10000,"="&amp;invoice_date)+SUMIFS('[1]2_inventory_total_details'!$L$8:$L$10000,'[1]2_inventory_total_details'!$C$8:$C$10000,I54,'[1]2_inventory_total_details'!$F$8:$F$10000,invoice_location_id,'[1]2_inventory_total_details'!$G$8:$G$10000,"="&amp;Q54,'[1]2_inventory_total_details'!$H$8:$H$10000,"="&amp;R54,'[1]2_inventory_total_details'!$I$8:$I$10000,"="&amp;invoice_date)))</f>
        <v/>
      </c>
      <c r="AJ54" s="197" t="str">
        <f>IF(M54="","",IF(ISNA(MATCH(I54,'[1]1_group_totals'!$C$8:$C$10000)),0,IF(AW54&gt;0,1,0)))</f>
        <v/>
      </c>
      <c r="AK54" s="197" t="str">
        <f>IF(M54="","",(SUMIFS('[1]1_group_total_details'!$I$8:$I$10000,'[1]1_group_total_details'!$C$8:$C$10000,I54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54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54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54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54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54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54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54,'[1]1_group_total_details'!$F$8:$F$10000,invoice_location_group_id,'[1]1_group_total_details'!$G$8:$G$10000,invoice_location_id,'[1]1_group_total_details'!$H$8:$H$10000,"="&amp;invoice_date)))</f>
        <v/>
      </c>
      <c r="AL54" s="197" t="str">
        <f>IF(M54="","",(SUMIFS('[1]1_group_total_details'!$I$8:$I$10000,'[1]1_group_total_details'!$C$8:$C$10000,I54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54,'[1]1_group_total_details'!$F$8:$F$10000,invoice_location_group_id,'[1]1_group_total_details'!$G$8:$G$10000,1,'[1]1_group_total_details'!$H$8:$H$10000,"&lt;="&amp;invoice_date)+SUMIFS('[1]1_group_total_details'!$N$8:$N$10000,'[1]1_group_total_details'!$C$8:$C$10000,I54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54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54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54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54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54,'[1]1_group_total_details'!$F$8:$F$10000,invoice_location_group_id,'[1]1_group_total_details'!$G$8:$G$10000,invoice_location_id,'[1]1_group_total_details'!$H$8:$H$10000,"&lt;="&amp;invoice_date)))</f>
        <v/>
      </c>
      <c r="AM54" s="197" t="str">
        <f>IF(M54="","",SUMIFS('[1]1_group_totals'!$J$8:$J$10000,'[1]1_group_totals'!$C$8:$C$10000,I54,'[1]1_group_totals'!$F$8:$F$10000,invoice_location_group_id,'[1]1_group_totals'!$G$8:$G$10000,invoice_location_id,'[1]1_group_totals'!$H$8:$H$10000,"="&amp;Q54,'[1]1_group_totals'!$I$8:$I$10000,"="&amp;R54))</f>
        <v/>
      </c>
      <c r="AN54" s="197" t="str">
        <f t="shared" si="17"/>
        <v/>
      </c>
      <c r="AO54" s="197" t="str">
        <f>IF(OR(ISNA(MATCH(MID(AN54,1,3)*1,UomConversion!$D$8:$D$500,0)),M54=""),"",IF(AT54="","",AT54))</f>
        <v/>
      </c>
      <c r="AP54" s="197" t="str">
        <f>IF(AND(AQ54&gt;0,COUNTIFS(UomConversion!$D$8:$D$500,MID(AN54,1,3)*1,UomConversion!$J$8:$J$500,1)&gt;1),TEXT(AQ54,"000")&amp;"."&amp;VLOOKUP(AQ54,uom_list,5,FALSE),"")</f>
        <v/>
      </c>
      <c r="AQ54" s="197" t="str">
        <f t="shared" si="18"/>
        <v/>
      </c>
      <c r="AR54" s="197" t="str">
        <f t="shared" si="19"/>
        <v/>
      </c>
      <c r="AS54" s="1866" t="str">
        <f>IF(M54="","",SUMIFS(ProductPrice!$N$28:$N$10000,ProductPrice!$D$28:$D$10000,I54,ProductPrice!$G$28:$G$10000,invoice_branch_id,ProductPrice!$H$28:$H$10000,invoice_price_type_id,ProductPrice!$I$28:$I$10000,MID(P54,1,3)*1,ProductPrice!$Q$28:$Q$10000,1,ProductPrice!$T$28:$T$10000,1))</f>
        <v/>
      </c>
      <c r="AT54" s="197" t="str">
        <f t="shared" si="28"/>
        <v/>
      </c>
      <c r="AU54" s="197" t="str" cm="1">
        <f t="array" ref="AU54">IF(M54="","",IF(ISNA(Slookup(MID(AN54,1,3)*1,UomConversion!$D$8:$J$500,2,UomConversion!$I$8:$I$500,1,UomConversion!$J$8:$J$500,1)),"",Slookup(MID(AN54,1,3)*1,UomConversion!$D$8:$J$500,2,UomConversion!$I$8:$I$500,1,UomConversion!$J$8:$J$500,1)))</f>
        <v/>
      </c>
      <c r="AV54" s="197" t="str">
        <f t="shared" si="29"/>
        <v/>
      </c>
      <c r="AW54" s="197" t="str">
        <f>IF(M54="","",(SUMIFS('[1]1_group_totals'!$K$8:$K$10000,'[1]1_group_totals'!$C$8:$C$10000,I54,'[1]1_group_totals'!$F$8:$F$10000,invoice_location_group_id,'[1]1_group_totals'!$G$8:$G$10000,invoice_location_id,'[1]1_group_totals'!$H$8:$H$10000,"="&amp;Q54,'[1]1_group_totals'!$I$8:$I$10000,"="&amp;R54)+SUMIFS('[1]1_group_totals'!$N$8:$N$10000,'[1]1_group_totals'!$C$8:$C$10000,I54,'[1]1_group_totals'!$F$8:$F$10000,invoice_location_group_id,'[1]1_group_totals'!$G$8:$G$10000,invoice_location_id,'[1]1_group_totals'!$H$8:$H$10000,"="&amp;Q54,'[1]1_group_totals'!$I$8:$I$10000,"="&amp;R54)+SUMIFS('[1]1_group_totals'!$P$8:$P$10000,'[1]1_group_totals'!$C$8:$C$10000,I54,'[1]1_group_totals'!$F$8:$F$10000,invoice_location_group_id,'[1]1_group_totals'!$G$8:$G$10000,invoice_location_id,'[1]1_group_totals'!$H$8:$H$10000,"="&amp;Q54,'[1]1_group_totals'!$I$8:$I$10000,"="&amp;R54)+SUMIFS('[1]1_group_totals'!$Q$8:$Q$10000,'[1]1_group_totals'!$C$8:$C$10000,I54,'[1]1_group_totals'!$F$8:$F$10000,invoice_location_group_id,'[1]1_group_totals'!$G$8:$G$10000,invoice_location_id,'[1]1_group_totals'!$H$8:$H$10000,"="&amp;Q54,'[1]1_group_totals'!$I$8:$I$10000,"="&amp;R54))+(SUMIFS('[1]1_group_totals'!$L$8:$L$10000,'[1]1_group_totals'!$C$8:$C$10000,I54,'[1]1_group_totals'!$F$8:$F$10000,invoice_location_group_id,'[1]1_group_totals'!$G$8:$G$10000,invoice_location_id,'[1]1_group_totals'!$H$8:$H$10000,"="&amp;Q54,'[1]1_group_totals'!$I$8:$I$10000,"="&amp;R54)+SUMIFS('[1]1_group_totals'!$M$8:$M$10000,'[1]1_group_totals'!$C$8:$C$10000,I54,'[1]1_group_totals'!$F$8:$F$10000,invoice_location_group_id,'[1]1_group_totals'!$G$8:$G$10000,invoice_location_id,'[1]1_group_totals'!$H$8:$H$10000,"="&amp;Q54,'[1]1_group_totals'!$I$8:$I$10000,"="&amp;R54)+SUMIFS('[1]1_group_totals'!$O$8:$O$10000,'[1]1_group_totals'!$C$8:$C$10000,I54,'[1]1_group_totals'!$F$8:$F$10000,invoice_location_group_id,'[1]1_group_totals'!$G$8:$G$10000,invoice_location_id,'[1]1_group_totals'!$H$8:$H$10000,"="&amp;Q54,'[1]1_group_totals'!$I$8:$I$10000,"="&amp;R54)+SUMIFS('[1]1_group_totals'!$R$8:$R$10000,'[1]1_group_totals'!$C$8:$C$10000,I54,'[1]1_group_totals'!$F$8:$F$10000,invoice_location_group_id,'[1]1_group_totals'!$G$8:$G$10000,invoice_location_id,'[1]1_group_totals'!$H$8:$H$10000,"="&amp;Q54,'[1]1_group_totals'!$I$8:$I$10000,"="&amp;R54)))</f>
        <v/>
      </c>
      <c r="AX54" s="197" t="str">
        <f t="shared" si="21"/>
        <v/>
      </c>
      <c r="AY54" s="197" t="str">
        <f>IF(M54="","",SUMIFS($AX$8:AX54,$I$8:I54,I54))</f>
        <v/>
      </c>
      <c r="AZ54" s="197" t="str">
        <f t="shared" si="22"/>
        <v/>
      </c>
      <c r="BA54" s="197" t="str">
        <f>IF(M54="","",(SUMIFS('[1]1_inventory_totals'!$I$8:$I$10000,'[1]1_inventory_totals'!$C$8:$C$10000,I54,'[1]1_inventory_totals'!$F$8:$F$10000,"="&amp;Q54,'[1]1_inventory_totals'!$G$8:$G$10000,"="&amp;R54)+SUMIFS('[1]1_inventory_totals'!$N$8:$N$10000,'[1]1_inventory_totals'!$C$8:$C$10000,I54,'[1]1_inventory_totals'!$F$8:$F$10000,"="&amp;Q54,'[1]1_inventory_totals'!$G$8:$G$10000,"="&amp;R54)+SUMIFS('[1]1_inventory_totals'!$P$8:$P$10000,'[1]1_inventory_totals'!$C$8:$C$10000,I54,'[1]1_inventory_totals'!$F$8:$F$10000,"="&amp;Q54,'[1]1_inventory_totals'!$G$8:$G$10000,"="&amp;R54)+SUMIFS('[1]1_inventory_totals'!$Q$8:$Q$10000,'[1]1_inventory_totals'!$C$8:$C$10000,I54,'[1]1_inventory_totals'!$F$8:$F$10000,"="&amp;Q54,'[1]1_inventory_totals'!$G$8:$G$10000,"="&amp;R54)+SUMIFS('[1]1_inventory_totals'!$R$8:$R$10000,'[1]1_inventory_totals'!$C$8:$C$10000,I54,'[1]1_inventory_totals'!$F$8:$F$10000,"="&amp;Q54,'[1]1_inventory_totals'!$G$8:$G$10000,"="&amp;R54))+(SUMIFS('[1]1_inventory_totals'!$J$8:$J$10000,'[1]1_inventory_totals'!$C$8:$C$10000,I54,'[1]1_inventory_totals'!$F$8:$F$10000,"="&amp;Q54,'[1]1_inventory_totals'!$G$8:$G$10000,"="&amp;R54)+SUMIFS('[1]1_inventory_totals'!$K$8:$K$10000,'[1]1_inventory_totals'!$C$8:$C$10000,I54,'[1]1_inventory_totals'!$F$8:$F$10000,"="&amp;Q54,'[1]1_inventory_totals'!$G$8:$G$10000,"="&amp;R54)+SUMIFS('[1]1_inventory_totals'!$L$8:$L$10000,'[1]1_inventory_totals'!$C$8:$C$10000,I54,'[1]1_inventory_totals'!$F$8:$F$10000,"="&amp;Q54,'[1]1_inventory_totals'!$G$8:$G$10000,"="&amp;R54)+SUMIFS('[1]1_inventory_totals'!$M$8:$M$10000,'[1]1_inventory_totals'!$C$8:$C$10000,I54,'[1]1_inventory_totals'!$F$8:$F$10000,"="&amp;Q54,'[1]1_inventory_totals'!$G$8:$G$10000,"="&amp;R54)+SUMIFS('[1]1_inventory_totals'!$O$8:$O$10000,'[1]1_inventory_totals'!$C$8:$C$10000,I54,'[1]1_inventory_totals'!$F$8:$F$10000,"="&amp;Q54,'[1]1_inventory_totals'!$G$8:$G$10000,"="&amp;R54)+SUMIFS('[1]1_inventory_totals'!$S$8:$S$10000,'[1]1_inventory_totals'!$C$8:$C$10000,I54,'[1]1_inventory_totals'!$F$8:$F$10000,"="&amp;Q54,'[1]1_inventory_totals'!$G$8:$G$10000,"="&amp;R54)))</f>
        <v/>
      </c>
      <c r="BB54" s="197" t="str">
        <f>IF(M54="","",(SUMIFS('[1]2_inventory_totals'!$I$8:$I$10000,'[1]2_inventory_totals'!$C$8:$C$10000,I54,'[1]2_inventory_totals'!$F$8:$F$10000,"="&amp;Q54,'[1]2_inventory_totals'!$G$8:$G$10000,"="&amp;R54)+SUMIFS('[1]2_inventory_totals'!$N$8:$N$10000,'[1]2_inventory_totals'!$C$8:$C$10000,I54,'[1]2_inventory_totals'!$F$8:$F$10000,"="&amp;Q54,'[1]2_inventory_totals'!$G$8:$G$10000,"="&amp;R54)+SUMIFS('[1]2_inventory_totals'!$P$8:$P$10000,'[1]2_inventory_totals'!$C$8:$C$10000,I54,'[1]2_inventory_totals'!$F$8:$F$10000,"="&amp;Q54,'[1]2_inventory_totals'!$G$8:$G$10000,"="&amp;R54)+SUMIFS('[1]2_inventory_totals'!$Q$8:$Q$10000,'[1]2_inventory_totals'!$C$8:$C$10000,I54,'[1]2_inventory_totals'!$F$8:$F$10000,"="&amp;Q54,'[1]2_inventory_totals'!$G$8:$G$10000,"="&amp;R54)+SUMIFS('[1]2_inventory_totals'!$R$8:$R$10000,'[1]2_inventory_totals'!$C$8:$C$10000,I54,'[1]2_inventory_totals'!$F$8:$F$10000,"="&amp;Q54,'[1]2_inventory_totals'!$G$8:$G$10000,"="&amp;R54))+(SUMIFS('[1]2_inventory_totals'!$J$8:$J$10000,'[1]2_inventory_totals'!$C$8:$C$10000,I54,'[1]2_inventory_totals'!$F$8:$F$10000,"="&amp;Q54,'[1]2_inventory_totals'!$G$8:$G$10000,"="&amp;R54)+SUMIFS('[1]2_inventory_totals'!$K$8:$K$10000,'[1]2_inventory_totals'!$C$8:$C$10000,I54,'[1]2_inventory_totals'!$F$8:$F$10000,"="&amp;Q54,'[1]2_inventory_totals'!$G$8:$G$10000,"="&amp;R54)+SUMIFS('[1]2_inventory_totals'!$L$8:$L$10000,'[1]2_inventory_totals'!$C$8:$C$10000,I54,'[1]2_inventory_totals'!$F$8:$F$10000,"="&amp;Q54,'[1]2_inventory_totals'!$G$8:$G$10000,"="&amp;R54)+SUMIFS('[1]2_inventory_totals'!$M$8:$M$10000,'[1]2_inventory_totals'!$C$8:$C$10000,I54,'[1]2_inventory_totals'!$F$8:$F$10000,"="&amp;Q54,'[1]2_inventory_totals'!$G$8:$G$10000,"="&amp;R54)+SUMIFS('[1]2_inventory_totals'!$O$8:$O$10000,'[1]2_inventory_totals'!$C$8:$C$10000,I54,'[1]2_inventory_totals'!$F$8:$F$10000,"="&amp;Q54,'[1]2_inventory_totals'!$G$8:$G$10000,"="&amp;R54)+SUMIFS('[1]2_inventory_totals'!$S$8:$S$10000,'[1]2_inventory_totals'!$C$8:$C$10000,I54,'[1]2_inventory_totals'!$F$8:$F$10000,"="&amp;Q54,'[1]2_inventory_totals'!$G$8:$G$10000,"="&amp;R54)))</f>
        <v/>
      </c>
    </row>
    <row r="55" spans="1:54" ht="27" hidden="1" customHeight="1">
      <c r="A55" s="923"/>
      <c r="B55" s="1256"/>
      <c r="C55" s="1268"/>
      <c r="D55" s="950"/>
      <c r="E55" s="950"/>
      <c r="F55" s="1257"/>
      <c r="G55" s="941"/>
      <c r="H55" s="951"/>
      <c r="I55" s="1610" t="str">
        <f t="shared" si="7"/>
        <v/>
      </c>
      <c r="J55" s="1611" t="str">
        <f t="shared" si="24"/>
        <v/>
      </c>
      <c r="K55" s="1612" t="str">
        <f t="shared" si="30"/>
        <v/>
      </c>
      <c r="L55" s="1613"/>
      <c r="M55" s="883"/>
      <c r="N55" s="884"/>
      <c r="O55" s="884"/>
      <c r="P55" s="885"/>
      <c r="Q55" s="886"/>
      <c r="R55" s="891"/>
      <c r="S55" s="1614" t="str">
        <f t="shared" si="0"/>
        <v/>
      </c>
      <c r="T55" s="1536"/>
      <c r="U55" s="1864" t="str">
        <f t="shared" si="9"/>
        <v/>
      </c>
      <c r="V55" s="1615" t="str">
        <f t="shared" si="25"/>
        <v/>
      </c>
      <c r="W55" s="889"/>
      <c r="X55" s="1615" t="str">
        <f t="shared" si="26"/>
        <v/>
      </c>
      <c r="Y55" s="1865" t="str">
        <f t="shared" si="10"/>
        <v/>
      </c>
      <c r="Z55" s="890"/>
      <c r="AA55" s="197" t="str" cm="1">
        <f t="array" ref="AA55">IF(M55="","",IF(P55=AN55,1,Slookup(MID(AN55,1,3)*1,UomConversion!$D$8:$J$500,5,UomConversion!$E$8:$E$500,MID(P55,1,3)*1,UomConversion!$J$8:$J$500,1)))</f>
        <v/>
      </c>
      <c r="AB55" s="197" t="str">
        <f t="shared" si="11"/>
        <v/>
      </c>
      <c r="AC55" s="197" t="str">
        <f t="shared" si="12"/>
        <v/>
      </c>
      <c r="AD55" s="197" t="str">
        <f t="shared" si="13"/>
        <v/>
      </c>
      <c r="AE55" s="1866" t="str">
        <f t="shared" si="14"/>
        <v/>
      </c>
      <c r="AF55" s="1866" t="str">
        <f t="shared" si="27"/>
        <v/>
      </c>
      <c r="AG55" s="197" t="str">
        <f t="shared" si="16"/>
        <v/>
      </c>
      <c r="AH55" s="197" t="str">
        <f>IF(I55="","",IF(ISNA(MATCH(I55,IF(invoice_location_id=1,'[1]1_inventory_totals'!$C$8:$C$10000,IF(invoice_location_id=2,'[1]2_inventory_totals'!$C$8:$C$10000,0)),0)),0,IF(AV55&gt;0,1,0)))</f>
        <v/>
      </c>
      <c r="AI55" s="197" t="str">
        <f>IF(M55="","",IF(invoice_location_id=1,SUMIFS('[1]1_inventory_total_details'!$J$8:$J$10000,'[1]1_inventory_total_details'!$C$8:$C$10000,I55,'[1]1_inventory_total_details'!$F$8:$F$10000,invoice_location_id,'[1]1_inventory_total_details'!$G$8:$G$10000,"="&amp;Q55,'[1]1_inventory_total_details'!$H$8:$H$10000,"="&amp;R55,'[1]1_inventory_total_details'!$I$8:$I$10000,"="&amp;invoice_date)+SUMIFS('[1]1_inventory_total_details'!$M$8:$M$10000,'[1]1_inventory_total_details'!$C$8:$C$10000,I55,'[1]1_inventory_total_details'!$F$8:$F$10000,invoice_location_id,'[1]1_inventory_total_details'!$G$8:$G$10000,"="&amp;Q55,'[1]1_inventory_total_details'!$H$8:$H$10000,"="&amp;R55,'[1]1_inventory_total_details'!$I$8:$I$10000,"="&amp;invoice_date)+SUMIFS('[1]1_inventory_total_details'!$K$8:$K$10000,'[1]1_inventory_total_details'!$C$8:$C$10000,I55,'[1]1_inventory_total_details'!$F$8:$F$10000,invoice_location_id,'[1]1_inventory_total_details'!$G$8:$G$10000,"="&amp;Q55,'[1]1_inventory_total_details'!$H$8:$H$10000,"="&amp;R55,'[1]1_inventory_total_details'!$I$8:$I$10000,"="&amp;invoice_date)+SUMIFS('[1]1_inventory_total_details'!$L$8:$L$10000,'[1]1_inventory_total_details'!$C$8:$C$10000,I55,'[1]1_inventory_total_details'!$F$8:$F$10000,invoice_location_id,'[1]1_inventory_total_details'!$G$8:$G$10000,"="&amp;Q55,'[1]1_inventory_total_details'!$H$8:$H$10000,"="&amp;R55,'[1]1_inventory_total_details'!$I$8:$I$10000,"="&amp;invoice_date),SUMIFS('[1]2_inventory_total_details'!$J$8:$J$10000,'[1]2_inventory_total_details'!$C$8:$C$10000,I55,'[1]2_inventory_total_details'!$F$8:$F$10000,invoice_location_id,'[1]2_inventory_total_details'!$G$8:$G$10000,"="&amp;Q55,'[1]2_inventory_total_details'!$H$8:$H$10000,"="&amp;R55,'[1]2_inventory_total_details'!$I$8:$I$10000,"="&amp;invoice_date)+SUMIFS('[1]2_inventory_total_details'!$M$8:$M$10000,'[1]2_inventory_total_details'!$C$8:$C$10000,I55,'[1]2_inventory_total_details'!$F$8:$F$10000,invoice_location_id,'[1]2_inventory_total_details'!$G$8:$G$10000,"="&amp;Q55,'[1]2_inventory_total_details'!$H$8:$H$10000,"="&amp;R55,'[1]2_inventory_total_details'!$I$8:$I$10000,"="&amp;invoice_date)+SUMIFS('[1]2_inventory_total_details'!$K$8:$K$10000,'[1]2_inventory_total_details'!$C$8:$C$10000,I55,'[1]2_inventory_total_details'!$F$8:$F$10000,invoice_location_id,'[1]2_inventory_total_details'!$G$8:$G$10000,"="&amp;Q55,'[1]2_inventory_total_details'!$H$8:$H$10000,"="&amp;R55,'[1]2_inventory_total_details'!$I$8:$I$10000,"="&amp;invoice_date)+SUMIFS('[1]2_inventory_total_details'!$L$8:$L$10000,'[1]2_inventory_total_details'!$C$8:$C$10000,I55,'[1]2_inventory_total_details'!$F$8:$F$10000,invoice_location_id,'[1]2_inventory_total_details'!$G$8:$G$10000,"="&amp;Q55,'[1]2_inventory_total_details'!$H$8:$H$10000,"="&amp;R55,'[1]2_inventory_total_details'!$I$8:$I$10000,"="&amp;invoice_date)))</f>
        <v/>
      </c>
      <c r="AJ55" s="197" t="str">
        <f>IF(M55="","",IF(ISNA(MATCH(I55,'[1]1_group_totals'!$C$8:$C$10000)),0,IF(AW55&gt;0,1,0)))</f>
        <v/>
      </c>
      <c r="AK55" s="197" t="str">
        <f>IF(M55="","",(SUMIFS('[1]1_group_total_details'!$I$8:$I$10000,'[1]1_group_total_details'!$C$8:$C$10000,I55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55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55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55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55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55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55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55,'[1]1_group_total_details'!$F$8:$F$10000,invoice_location_group_id,'[1]1_group_total_details'!$G$8:$G$10000,invoice_location_id,'[1]1_group_total_details'!$H$8:$H$10000,"="&amp;invoice_date)))</f>
        <v/>
      </c>
      <c r="AL55" s="197" t="str">
        <f>IF(M55="","",(SUMIFS('[1]1_group_total_details'!$I$8:$I$10000,'[1]1_group_total_details'!$C$8:$C$10000,I55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55,'[1]1_group_total_details'!$F$8:$F$10000,invoice_location_group_id,'[1]1_group_total_details'!$G$8:$G$10000,1,'[1]1_group_total_details'!$H$8:$H$10000,"&lt;="&amp;invoice_date)+SUMIFS('[1]1_group_total_details'!$N$8:$N$10000,'[1]1_group_total_details'!$C$8:$C$10000,I55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55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55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55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55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55,'[1]1_group_total_details'!$F$8:$F$10000,invoice_location_group_id,'[1]1_group_total_details'!$G$8:$G$10000,invoice_location_id,'[1]1_group_total_details'!$H$8:$H$10000,"&lt;="&amp;invoice_date)))</f>
        <v/>
      </c>
      <c r="AM55" s="197" t="str">
        <f>IF(M55="","",SUMIFS('[1]1_group_totals'!$J$8:$J$10000,'[1]1_group_totals'!$C$8:$C$10000,I55,'[1]1_group_totals'!$F$8:$F$10000,invoice_location_group_id,'[1]1_group_totals'!$G$8:$G$10000,invoice_location_id,'[1]1_group_totals'!$H$8:$H$10000,"="&amp;Q55,'[1]1_group_totals'!$I$8:$I$10000,"="&amp;R55))</f>
        <v/>
      </c>
      <c r="AN55" s="197" t="str">
        <f t="shared" si="17"/>
        <v/>
      </c>
      <c r="AO55" s="197" t="str">
        <f>IF(OR(ISNA(MATCH(MID(AN55,1,3)*1,UomConversion!$D$8:$D$500,0)),M55=""),"",IF(AT55="","",AT55))</f>
        <v/>
      </c>
      <c r="AP55" s="197" t="str">
        <f>IF(AND(AQ55&gt;0,COUNTIFS(UomConversion!$D$8:$D$500,MID(AN55,1,3)*1,UomConversion!$J$8:$J$500,1)&gt;1),TEXT(AQ55,"000")&amp;"."&amp;VLOOKUP(AQ55,uom_list,5,FALSE),"")</f>
        <v/>
      </c>
      <c r="AQ55" s="197" t="str">
        <f t="shared" si="18"/>
        <v/>
      </c>
      <c r="AR55" s="197" t="str">
        <f t="shared" si="19"/>
        <v/>
      </c>
      <c r="AS55" s="1866" t="str">
        <f>IF(M55="","",SUMIFS(ProductPrice!$N$28:$N$10000,ProductPrice!$D$28:$D$10000,I55,ProductPrice!$G$28:$G$10000,invoice_branch_id,ProductPrice!$H$28:$H$10000,invoice_price_type_id,ProductPrice!$I$28:$I$10000,MID(P55,1,3)*1,ProductPrice!$Q$28:$Q$10000,1,ProductPrice!$T$28:$T$10000,1))</f>
        <v/>
      </c>
      <c r="AT55" s="197" t="str">
        <f t="shared" si="28"/>
        <v/>
      </c>
      <c r="AU55" s="197" t="str" cm="1">
        <f t="array" ref="AU55">IF(M55="","",IF(ISNA(Slookup(MID(AN55,1,3)*1,UomConversion!$D$8:$J$500,2,UomConversion!$I$8:$I$500,1,UomConversion!$J$8:$J$500,1)),"",Slookup(MID(AN55,1,3)*1,UomConversion!$D$8:$J$500,2,UomConversion!$I$8:$I$500,1,UomConversion!$J$8:$J$500,1)))</f>
        <v/>
      </c>
      <c r="AV55" s="197" t="str">
        <f t="shared" si="29"/>
        <v/>
      </c>
      <c r="AW55" s="197" t="str">
        <f>IF(M55="","",(SUMIFS('[1]1_group_totals'!$K$8:$K$10000,'[1]1_group_totals'!$C$8:$C$10000,I55,'[1]1_group_totals'!$F$8:$F$10000,invoice_location_group_id,'[1]1_group_totals'!$G$8:$G$10000,invoice_location_id,'[1]1_group_totals'!$H$8:$H$10000,"="&amp;Q55,'[1]1_group_totals'!$I$8:$I$10000,"="&amp;R55)+SUMIFS('[1]1_group_totals'!$N$8:$N$10000,'[1]1_group_totals'!$C$8:$C$10000,I55,'[1]1_group_totals'!$F$8:$F$10000,invoice_location_group_id,'[1]1_group_totals'!$G$8:$G$10000,invoice_location_id,'[1]1_group_totals'!$H$8:$H$10000,"="&amp;Q55,'[1]1_group_totals'!$I$8:$I$10000,"="&amp;R55)+SUMIFS('[1]1_group_totals'!$P$8:$P$10000,'[1]1_group_totals'!$C$8:$C$10000,I55,'[1]1_group_totals'!$F$8:$F$10000,invoice_location_group_id,'[1]1_group_totals'!$G$8:$G$10000,invoice_location_id,'[1]1_group_totals'!$H$8:$H$10000,"="&amp;Q55,'[1]1_group_totals'!$I$8:$I$10000,"="&amp;R55)+SUMIFS('[1]1_group_totals'!$Q$8:$Q$10000,'[1]1_group_totals'!$C$8:$C$10000,I55,'[1]1_group_totals'!$F$8:$F$10000,invoice_location_group_id,'[1]1_group_totals'!$G$8:$G$10000,invoice_location_id,'[1]1_group_totals'!$H$8:$H$10000,"="&amp;Q55,'[1]1_group_totals'!$I$8:$I$10000,"="&amp;R55))+(SUMIFS('[1]1_group_totals'!$L$8:$L$10000,'[1]1_group_totals'!$C$8:$C$10000,I55,'[1]1_group_totals'!$F$8:$F$10000,invoice_location_group_id,'[1]1_group_totals'!$G$8:$G$10000,invoice_location_id,'[1]1_group_totals'!$H$8:$H$10000,"="&amp;Q55,'[1]1_group_totals'!$I$8:$I$10000,"="&amp;R55)+SUMIFS('[1]1_group_totals'!$M$8:$M$10000,'[1]1_group_totals'!$C$8:$C$10000,I55,'[1]1_group_totals'!$F$8:$F$10000,invoice_location_group_id,'[1]1_group_totals'!$G$8:$G$10000,invoice_location_id,'[1]1_group_totals'!$H$8:$H$10000,"="&amp;Q55,'[1]1_group_totals'!$I$8:$I$10000,"="&amp;R55)+SUMIFS('[1]1_group_totals'!$O$8:$O$10000,'[1]1_group_totals'!$C$8:$C$10000,I55,'[1]1_group_totals'!$F$8:$F$10000,invoice_location_group_id,'[1]1_group_totals'!$G$8:$G$10000,invoice_location_id,'[1]1_group_totals'!$H$8:$H$10000,"="&amp;Q55,'[1]1_group_totals'!$I$8:$I$10000,"="&amp;R55)+SUMIFS('[1]1_group_totals'!$R$8:$R$10000,'[1]1_group_totals'!$C$8:$C$10000,I55,'[1]1_group_totals'!$F$8:$F$10000,invoice_location_group_id,'[1]1_group_totals'!$G$8:$G$10000,invoice_location_id,'[1]1_group_totals'!$H$8:$H$10000,"="&amp;Q55,'[1]1_group_totals'!$I$8:$I$10000,"="&amp;R55)))</f>
        <v/>
      </c>
      <c r="AX55" s="197" t="str">
        <f t="shared" si="21"/>
        <v/>
      </c>
      <c r="AY55" s="197" t="str">
        <f>IF(M55="","",SUMIFS($AX$8:AX55,$I$8:I55,I55))</f>
        <v/>
      </c>
      <c r="AZ55" s="197" t="str">
        <f t="shared" si="22"/>
        <v/>
      </c>
      <c r="BA55" s="197" t="str">
        <f>IF(M55="","",(SUMIFS('[1]1_inventory_totals'!$I$8:$I$10000,'[1]1_inventory_totals'!$C$8:$C$10000,I55,'[1]1_inventory_totals'!$F$8:$F$10000,"="&amp;Q55,'[1]1_inventory_totals'!$G$8:$G$10000,"="&amp;R55)+SUMIFS('[1]1_inventory_totals'!$N$8:$N$10000,'[1]1_inventory_totals'!$C$8:$C$10000,I55,'[1]1_inventory_totals'!$F$8:$F$10000,"="&amp;Q55,'[1]1_inventory_totals'!$G$8:$G$10000,"="&amp;R55)+SUMIFS('[1]1_inventory_totals'!$P$8:$P$10000,'[1]1_inventory_totals'!$C$8:$C$10000,I55,'[1]1_inventory_totals'!$F$8:$F$10000,"="&amp;Q55,'[1]1_inventory_totals'!$G$8:$G$10000,"="&amp;R55)+SUMIFS('[1]1_inventory_totals'!$Q$8:$Q$10000,'[1]1_inventory_totals'!$C$8:$C$10000,I55,'[1]1_inventory_totals'!$F$8:$F$10000,"="&amp;Q55,'[1]1_inventory_totals'!$G$8:$G$10000,"="&amp;R55)+SUMIFS('[1]1_inventory_totals'!$R$8:$R$10000,'[1]1_inventory_totals'!$C$8:$C$10000,I55,'[1]1_inventory_totals'!$F$8:$F$10000,"="&amp;Q55,'[1]1_inventory_totals'!$G$8:$G$10000,"="&amp;R55))+(SUMIFS('[1]1_inventory_totals'!$J$8:$J$10000,'[1]1_inventory_totals'!$C$8:$C$10000,I55,'[1]1_inventory_totals'!$F$8:$F$10000,"="&amp;Q55,'[1]1_inventory_totals'!$G$8:$G$10000,"="&amp;R55)+SUMIFS('[1]1_inventory_totals'!$K$8:$K$10000,'[1]1_inventory_totals'!$C$8:$C$10000,I55,'[1]1_inventory_totals'!$F$8:$F$10000,"="&amp;Q55,'[1]1_inventory_totals'!$G$8:$G$10000,"="&amp;R55)+SUMIFS('[1]1_inventory_totals'!$L$8:$L$10000,'[1]1_inventory_totals'!$C$8:$C$10000,I55,'[1]1_inventory_totals'!$F$8:$F$10000,"="&amp;Q55,'[1]1_inventory_totals'!$G$8:$G$10000,"="&amp;R55)+SUMIFS('[1]1_inventory_totals'!$M$8:$M$10000,'[1]1_inventory_totals'!$C$8:$C$10000,I55,'[1]1_inventory_totals'!$F$8:$F$10000,"="&amp;Q55,'[1]1_inventory_totals'!$G$8:$G$10000,"="&amp;R55)+SUMIFS('[1]1_inventory_totals'!$O$8:$O$10000,'[1]1_inventory_totals'!$C$8:$C$10000,I55,'[1]1_inventory_totals'!$F$8:$F$10000,"="&amp;Q55,'[1]1_inventory_totals'!$G$8:$G$10000,"="&amp;R55)+SUMIFS('[1]1_inventory_totals'!$S$8:$S$10000,'[1]1_inventory_totals'!$C$8:$C$10000,I55,'[1]1_inventory_totals'!$F$8:$F$10000,"="&amp;Q55,'[1]1_inventory_totals'!$G$8:$G$10000,"="&amp;R55)))</f>
        <v/>
      </c>
      <c r="BB55" s="197" t="str">
        <f>IF(M55="","",(SUMIFS('[1]2_inventory_totals'!$I$8:$I$10000,'[1]2_inventory_totals'!$C$8:$C$10000,I55,'[1]2_inventory_totals'!$F$8:$F$10000,"="&amp;Q55,'[1]2_inventory_totals'!$G$8:$G$10000,"="&amp;R55)+SUMIFS('[1]2_inventory_totals'!$N$8:$N$10000,'[1]2_inventory_totals'!$C$8:$C$10000,I55,'[1]2_inventory_totals'!$F$8:$F$10000,"="&amp;Q55,'[1]2_inventory_totals'!$G$8:$G$10000,"="&amp;R55)+SUMIFS('[1]2_inventory_totals'!$P$8:$P$10000,'[1]2_inventory_totals'!$C$8:$C$10000,I55,'[1]2_inventory_totals'!$F$8:$F$10000,"="&amp;Q55,'[1]2_inventory_totals'!$G$8:$G$10000,"="&amp;R55)+SUMIFS('[1]2_inventory_totals'!$Q$8:$Q$10000,'[1]2_inventory_totals'!$C$8:$C$10000,I55,'[1]2_inventory_totals'!$F$8:$F$10000,"="&amp;Q55,'[1]2_inventory_totals'!$G$8:$G$10000,"="&amp;R55)+SUMIFS('[1]2_inventory_totals'!$R$8:$R$10000,'[1]2_inventory_totals'!$C$8:$C$10000,I55,'[1]2_inventory_totals'!$F$8:$F$10000,"="&amp;Q55,'[1]2_inventory_totals'!$G$8:$G$10000,"="&amp;R55))+(SUMIFS('[1]2_inventory_totals'!$J$8:$J$10000,'[1]2_inventory_totals'!$C$8:$C$10000,I55,'[1]2_inventory_totals'!$F$8:$F$10000,"="&amp;Q55,'[1]2_inventory_totals'!$G$8:$G$10000,"="&amp;R55)+SUMIFS('[1]2_inventory_totals'!$K$8:$K$10000,'[1]2_inventory_totals'!$C$8:$C$10000,I55,'[1]2_inventory_totals'!$F$8:$F$10000,"="&amp;Q55,'[1]2_inventory_totals'!$G$8:$G$10000,"="&amp;R55)+SUMIFS('[1]2_inventory_totals'!$L$8:$L$10000,'[1]2_inventory_totals'!$C$8:$C$10000,I55,'[1]2_inventory_totals'!$F$8:$F$10000,"="&amp;Q55,'[1]2_inventory_totals'!$G$8:$G$10000,"="&amp;R55)+SUMIFS('[1]2_inventory_totals'!$M$8:$M$10000,'[1]2_inventory_totals'!$C$8:$C$10000,I55,'[1]2_inventory_totals'!$F$8:$F$10000,"="&amp;Q55,'[1]2_inventory_totals'!$G$8:$G$10000,"="&amp;R55)+SUMIFS('[1]2_inventory_totals'!$O$8:$O$10000,'[1]2_inventory_totals'!$C$8:$C$10000,I55,'[1]2_inventory_totals'!$F$8:$F$10000,"="&amp;Q55,'[1]2_inventory_totals'!$G$8:$G$10000,"="&amp;R55)+SUMIFS('[1]2_inventory_totals'!$S$8:$S$10000,'[1]2_inventory_totals'!$C$8:$C$10000,I55,'[1]2_inventory_totals'!$F$8:$F$10000,"="&amp;Q55,'[1]2_inventory_totals'!$G$8:$G$10000,"="&amp;R55)))</f>
        <v/>
      </c>
    </row>
    <row r="56" spans="1:54" ht="27" hidden="1" customHeight="1">
      <c r="A56" s="923"/>
      <c r="B56" s="1256"/>
      <c r="C56" s="1268"/>
      <c r="D56" s="950"/>
      <c r="E56" s="950"/>
      <c r="F56" s="1257"/>
      <c r="G56" s="941"/>
      <c r="H56" s="951"/>
      <c r="I56" s="1610" t="str">
        <f t="shared" si="7"/>
        <v/>
      </c>
      <c r="J56" s="1611" t="str">
        <f t="shared" si="24"/>
        <v/>
      </c>
      <c r="K56" s="1612" t="str">
        <f t="shared" si="30"/>
        <v/>
      </c>
      <c r="L56" s="1613"/>
      <c r="M56" s="883"/>
      <c r="N56" s="884"/>
      <c r="O56" s="884"/>
      <c r="P56" s="885"/>
      <c r="Q56" s="886"/>
      <c r="R56" s="891"/>
      <c r="S56" s="1614" t="str">
        <f t="shared" si="0"/>
        <v/>
      </c>
      <c r="T56" s="1536"/>
      <c r="U56" s="1864" t="str">
        <f t="shared" si="9"/>
        <v/>
      </c>
      <c r="V56" s="1615" t="str">
        <f t="shared" si="25"/>
        <v/>
      </c>
      <c r="W56" s="889"/>
      <c r="X56" s="1615" t="str">
        <f t="shared" si="26"/>
        <v/>
      </c>
      <c r="Y56" s="1865" t="str">
        <f t="shared" si="10"/>
        <v/>
      </c>
      <c r="Z56" s="890"/>
      <c r="AA56" s="197" t="str" cm="1">
        <f t="array" ref="AA56">IF(M56="","",IF(P56=AN56,1,Slookup(MID(AN56,1,3)*1,UomConversion!$D$8:$J$500,5,UomConversion!$E$8:$E$500,MID(P56,1,3)*1,UomConversion!$J$8:$J$500,1)))</f>
        <v/>
      </c>
      <c r="AB56" s="197" t="str">
        <f t="shared" si="11"/>
        <v/>
      </c>
      <c r="AC56" s="197" t="str">
        <f t="shared" si="12"/>
        <v/>
      </c>
      <c r="AD56" s="197" t="str">
        <f t="shared" si="13"/>
        <v/>
      </c>
      <c r="AE56" s="1866" t="str">
        <f t="shared" si="14"/>
        <v/>
      </c>
      <c r="AF56" s="1866" t="str">
        <f t="shared" si="27"/>
        <v/>
      </c>
      <c r="AG56" s="197" t="str">
        <f t="shared" si="16"/>
        <v/>
      </c>
      <c r="AH56" s="197" t="str">
        <f>IF(I56="","",IF(ISNA(MATCH(I56,IF(invoice_location_id=1,'[1]1_inventory_totals'!$C$8:$C$10000,IF(invoice_location_id=2,'[1]2_inventory_totals'!$C$8:$C$10000,0)),0)),0,IF(AV56&gt;0,1,0)))</f>
        <v/>
      </c>
      <c r="AI56" s="197" t="str">
        <f>IF(M56="","",IF(invoice_location_id=1,SUMIFS('[1]1_inventory_total_details'!$J$8:$J$10000,'[1]1_inventory_total_details'!$C$8:$C$10000,I56,'[1]1_inventory_total_details'!$F$8:$F$10000,invoice_location_id,'[1]1_inventory_total_details'!$G$8:$G$10000,"="&amp;Q56,'[1]1_inventory_total_details'!$H$8:$H$10000,"="&amp;R56,'[1]1_inventory_total_details'!$I$8:$I$10000,"="&amp;invoice_date)+SUMIFS('[1]1_inventory_total_details'!$M$8:$M$10000,'[1]1_inventory_total_details'!$C$8:$C$10000,I56,'[1]1_inventory_total_details'!$F$8:$F$10000,invoice_location_id,'[1]1_inventory_total_details'!$G$8:$G$10000,"="&amp;Q56,'[1]1_inventory_total_details'!$H$8:$H$10000,"="&amp;R56,'[1]1_inventory_total_details'!$I$8:$I$10000,"="&amp;invoice_date)+SUMIFS('[1]1_inventory_total_details'!$K$8:$K$10000,'[1]1_inventory_total_details'!$C$8:$C$10000,I56,'[1]1_inventory_total_details'!$F$8:$F$10000,invoice_location_id,'[1]1_inventory_total_details'!$G$8:$G$10000,"="&amp;Q56,'[1]1_inventory_total_details'!$H$8:$H$10000,"="&amp;R56,'[1]1_inventory_total_details'!$I$8:$I$10000,"="&amp;invoice_date)+SUMIFS('[1]1_inventory_total_details'!$L$8:$L$10000,'[1]1_inventory_total_details'!$C$8:$C$10000,I56,'[1]1_inventory_total_details'!$F$8:$F$10000,invoice_location_id,'[1]1_inventory_total_details'!$G$8:$G$10000,"="&amp;Q56,'[1]1_inventory_total_details'!$H$8:$H$10000,"="&amp;R56,'[1]1_inventory_total_details'!$I$8:$I$10000,"="&amp;invoice_date),SUMIFS('[1]2_inventory_total_details'!$J$8:$J$10000,'[1]2_inventory_total_details'!$C$8:$C$10000,I56,'[1]2_inventory_total_details'!$F$8:$F$10000,invoice_location_id,'[1]2_inventory_total_details'!$G$8:$G$10000,"="&amp;Q56,'[1]2_inventory_total_details'!$H$8:$H$10000,"="&amp;R56,'[1]2_inventory_total_details'!$I$8:$I$10000,"="&amp;invoice_date)+SUMIFS('[1]2_inventory_total_details'!$M$8:$M$10000,'[1]2_inventory_total_details'!$C$8:$C$10000,I56,'[1]2_inventory_total_details'!$F$8:$F$10000,invoice_location_id,'[1]2_inventory_total_details'!$G$8:$G$10000,"="&amp;Q56,'[1]2_inventory_total_details'!$H$8:$H$10000,"="&amp;R56,'[1]2_inventory_total_details'!$I$8:$I$10000,"="&amp;invoice_date)+SUMIFS('[1]2_inventory_total_details'!$K$8:$K$10000,'[1]2_inventory_total_details'!$C$8:$C$10000,I56,'[1]2_inventory_total_details'!$F$8:$F$10000,invoice_location_id,'[1]2_inventory_total_details'!$G$8:$G$10000,"="&amp;Q56,'[1]2_inventory_total_details'!$H$8:$H$10000,"="&amp;R56,'[1]2_inventory_total_details'!$I$8:$I$10000,"="&amp;invoice_date)+SUMIFS('[1]2_inventory_total_details'!$L$8:$L$10000,'[1]2_inventory_total_details'!$C$8:$C$10000,I56,'[1]2_inventory_total_details'!$F$8:$F$10000,invoice_location_id,'[1]2_inventory_total_details'!$G$8:$G$10000,"="&amp;Q56,'[1]2_inventory_total_details'!$H$8:$H$10000,"="&amp;R56,'[1]2_inventory_total_details'!$I$8:$I$10000,"="&amp;invoice_date)))</f>
        <v/>
      </c>
      <c r="AJ56" s="197" t="str">
        <f>IF(M56="","",IF(ISNA(MATCH(I56,'[1]1_group_totals'!$C$8:$C$10000)),0,IF(AW56&gt;0,1,0)))</f>
        <v/>
      </c>
      <c r="AK56" s="197" t="str">
        <f>IF(M56="","",(SUMIFS('[1]1_group_total_details'!$I$8:$I$10000,'[1]1_group_total_details'!$C$8:$C$10000,I56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56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56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56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56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56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56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56,'[1]1_group_total_details'!$F$8:$F$10000,invoice_location_group_id,'[1]1_group_total_details'!$G$8:$G$10000,invoice_location_id,'[1]1_group_total_details'!$H$8:$H$10000,"="&amp;invoice_date)))</f>
        <v/>
      </c>
      <c r="AL56" s="197" t="str">
        <f>IF(M56="","",(SUMIFS('[1]1_group_total_details'!$I$8:$I$10000,'[1]1_group_total_details'!$C$8:$C$10000,I56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56,'[1]1_group_total_details'!$F$8:$F$10000,invoice_location_group_id,'[1]1_group_total_details'!$G$8:$G$10000,1,'[1]1_group_total_details'!$H$8:$H$10000,"&lt;="&amp;invoice_date)+SUMIFS('[1]1_group_total_details'!$N$8:$N$10000,'[1]1_group_total_details'!$C$8:$C$10000,I56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56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56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56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56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56,'[1]1_group_total_details'!$F$8:$F$10000,invoice_location_group_id,'[1]1_group_total_details'!$G$8:$G$10000,invoice_location_id,'[1]1_group_total_details'!$H$8:$H$10000,"&lt;="&amp;invoice_date)))</f>
        <v/>
      </c>
      <c r="AM56" s="197" t="str">
        <f>IF(M56="","",SUMIFS('[1]1_group_totals'!$J$8:$J$10000,'[1]1_group_totals'!$C$8:$C$10000,I56,'[1]1_group_totals'!$F$8:$F$10000,invoice_location_group_id,'[1]1_group_totals'!$G$8:$G$10000,invoice_location_id,'[1]1_group_totals'!$H$8:$H$10000,"="&amp;Q56,'[1]1_group_totals'!$I$8:$I$10000,"="&amp;R56))</f>
        <v/>
      </c>
      <c r="AN56" s="197" t="str">
        <f t="shared" si="17"/>
        <v/>
      </c>
      <c r="AO56" s="197" t="str">
        <f>IF(OR(ISNA(MATCH(MID(AN56,1,3)*1,UomConversion!$D$8:$D$500,0)),M56=""),"",IF(AT56="","",AT56))</f>
        <v/>
      </c>
      <c r="AP56" s="197" t="str">
        <f>IF(AND(AQ56&gt;0,COUNTIFS(UomConversion!$D$8:$D$500,MID(AN56,1,3)*1,UomConversion!$J$8:$J$500,1)&gt;1),TEXT(AQ56,"000")&amp;"."&amp;VLOOKUP(AQ56,uom_list,5,FALSE),"")</f>
        <v/>
      </c>
      <c r="AQ56" s="197" t="str">
        <f t="shared" si="18"/>
        <v/>
      </c>
      <c r="AR56" s="197" t="str">
        <f t="shared" si="19"/>
        <v/>
      </c>
      <c r="AS56" s="1866" t="str">
        <f>IF(M56="","",SUMIFS(ProductPrice!$N$28:$N$10000,ProductPrice!$D$28:$D$10000,I56,ProductPrice!$G$28:$G$10000,invoice_branch_id,ProductPrice!$H$28:$H$10000,invoice_price_type_id,ProductPrice!$I$28:$I$10000,MID(P56,1,3)*1,ProductPrice!$Q$28:$Q$10000,1,ProductPrice!$T$28:$T$10000,1))</f>
        <v/>
      </c>
      <c r="AT56" s="197" t="str">
        <f t="shared" si="28"/>
        <v/>
      </c>
      <c r="AU56" s="197" t="str" cm="1">
        <f t="array" ref="AU56">IF(M56="","",IF(ISNA(Slookup(MID(AN56,1,3)*1,UomConversion!$D$8:$J$500,2,UomConversion!$I$8:$I$500,1,UomConversion!$J$8:$J$500,1)),"",Slookup(MID(AN56,1,3)*1,UomConversion!$D$8:$J$500,2,UomConversion!$I$8:$I$500,1,UomConversion!$J$8:$J$500,1)))</f>
        <v/>
      </c>
      <c r="AV56" s="197" t="str">
        <f t="shared" si="29"/>
        <v/>
      </c>
      <c r="AW56" s="197" t="str">
        <f>IF(M56="","",(SUMIFS('[1]1_group_totals'!$K$8:$K$10000,'[1]1_group_totals'!$C$8:$C$10000,I56,'[1]1_group_totals'!$F$8:$F$10000,invoice_location_group_id,'[1]1_group_totals'!$G$8:$G$10000,invoice_location_id,'[1]1_group_totals'!$H$8:$H$10000,"="&amp;Q56,'[1]1_group_totals'!$I$8:$I$10000,"="&amp;R56)+SUMIFS('[1]1_group_totals'!$N$8:$N$10000,'[1]1_group_totals'!$C$8:$C$10000,I56,'[1]1_group_totals'!$F$8:$F$10000,invoice_location_group_id,'[1]1_group_totals'!$G$8:$G$10000,invoice_location_id,'[1]1_group_totals'!$H$8:$H$10000,"="&amp;Q56,'[1]1_group_totals'!$I$8:$I$10000,"="&amp;R56)+SUMIFS('[1]1_group_totals'!$P$8:$P$10000,'[1]1_group_totals'!$C$8:$C$10000,I56,'[1]1_group_totals'!$F$8:$F$10000,invoice_location_group_id,'[1]1_group_totals'!$G$8:$G$10000,invoice_location_id,'[1]1_group_totals'!$H$8:$H$10000,"="&amp;Q56,'[1]1_group_totals'!$I$8:$I$10000,"="&amp;R56)+SUMIFS('[1]1_group_totals'!$Q$8:$Q$10000,'[1]1_group_totals'!$C$8:$C$10000,I56,'[1]1_group_totals'!$F$8:$F$10000,invoice_location_group_id,'[1]1_group_totals'!$G$8:$G$10000,invoice_location_id,'[1]1_group_totals'!$H$8:$H$10000,"="&amp;Q56,'[1]1_group_totals'!$I$8:$I$10000,"="&amp;R56))+(SUMIFS('[1]1_group_totals'!$L$8:$L$10000,'[1]1_group_totals'!$C$8:$C$10000,I56,'[1]1_group_totals'!$F$8:$F$10000,invoice_location_group_id,'[1]1_group_totals'!$G$8:$G$10000,invoice_location_id,'[1]1_group_totals'!$H$8:$H$10000,"="&amp;Q56,'[1]1_group_totals'!$I$8:$I$10000,"="&amp;R56)+SUMIFS('[1]1_group_totals'!$M$8:$M$10000,'[1]1_group_totals'!$C$8:$C$10000,I56,'[1]1_group_totals'!$F$8:$F$10000,invoice_location_group_id,'[1]1_group_totals'!$G$8:$G$10000,invoice_location_id,'[1]1_group_totals'!$H$8:$H$10000,"="&amp;Q56,'[1]1_group_totals'!$I$8:$I$10000,"="&amp;R56)+SUMIFS('[1]1_group_totals'!$O$8:$O$10000,'[1]1_group_totals'!$C$8:$C$10000,I56,'[1]1_group_totals'!$F$8:$F$10000,invoice_location_group_id,'[1]1_group_totals'!$G$8:$G$10000,invoice_location_id,'[1]1_group_totals'!$H$8:$H$10000,"="&amp;Q56,'[1]1_group_totals'!$I$8:$I$10000,"="&amp;R56)+SUMIFS('[1]1_group_totals'!$R$8:$R$10000,'[1]1_group_totals'!$C$8:$C$10000,I56,'[1]1_group_totals'!$F$8:$F$10000,invoice_location_group_id,'[1]1_group_totals'!$G$8:$G$10000,invoice_location_id,'[1]1_group_totals'!$H$8:$H$10000,"="&amp;Q56,'[1]1_group_totals'!$I$8:$I$10000,"="&amp;R56)))</f>
        <v/>
      </c>
      <c r="AX56" s="197" t="str">
        <f t="shared" si="21"/>
        <v/>
      </c>
      <c r="AY56" s="197" t="str">
        <f>IF(M56="","",SUMIFS($AX$8:AX56,$I$8:I56,I56))</f>
        <v/>
      </c>
      <c r="AZ56" s="197" t="str">
        <f t="shared" si="22"/>
        <v/>
      </c>
      <c r="BA56" s="197" t="str">
        <f>IF(M56="","",(SUMIFS('[1]1_inventory_totals'!$I$8:$I$10000,'[1]1_inventory_totals'!$C$8:$C$10000,I56,'[1]1_inventory_totals'!$F$8:$F$10000,"="&amp;Q56,'[1]1_inventory_totals'!$G$8:$G$10000,"="&amp;R56)+SUMIFS('[1]1_inventory_totals'!$N$8:$N$10000,'[1]1_inventory_totals'!$C$8:$C$10000,I56,'[1]1_inventory_totals'!$F$8:$F$10000,"="&amp;Q56,'[1]1_inventory_totals'!$G$8:$G$10000,"="&amp;R56)+SUMIFS('[1]1_inventory_totals'!$P$8:$P$10000,'[1]1_inventory_totals'!$C$8:$C$10000,I56,'[1]1_inventory_totals'!$F$8:$F$10000,"="&amp;Q56,'[1]1_inventory_totals'!$G$8:$G$10000,"="&amp;R56)+SUMIFS('[1]1_inventory_totals'!$Q$8:$Q$10000,'[1]1_inventory_totals'!$C$8:$C$10000,I56,'[1]1_inventory_totals'!$F$8:$F$10000,"="&amp;Q56,'[1]1_inventory_totals'!$G$8:$G$10000,"="&amp;R56)+SUMIFS('[1]1_inventory_totals'!$R$8:$R$10000,'[1]1_inventory_totals'!$C$8:$C$10000,I56,'[1]1_inventory_totals'!$F$8:$F$10000,"="&amp;Q56,'[1]1_inventory_totals'!$G$8:$G$10000,"="&amp;R56))+(SUMIFS('[1]1_inventory_totals'!$J$8:$J$10000,'[1]1_inventory_totals'!$C$8:$C$10000,I56,'[1]1_inventory_totals'!$F$8:$F$10000,"="&amp;Q56,'[1]1_inventory_totals'!$G$8:$G$10000,"="&amp;R56)+SUMIFS('[1]1_inventory_totals'!$K$8:$K$10000,'[1]1_inventory_totals'!$C$8:$C$10000,I56,'[1]1_inventory_totals'!$F$8:$F$10000,"="&amp;Q56,'[1]1_inventory_totals'!$G$8:$G$10000,"="&amp;R56)+SUMIFS('[1]1_inventory_totals'!$L$8:$L$10000,'[1]1_inventory_totals'!$C$8:$C$10000,I56,'[1]1_inventory_totals'!$F$8:$F$10000,"="&amp;Q56,'[1]1_inventory_totals'!$G$8:$G$10000,"="&amp;R56)+SUMIFS('[1]1_inventory_totals'!$M$8:$M$10000,'[1]1_inventory_totals'!$C$8:$C$10000,I56,'[1]1_inventory_totals'!$F$8:$F$10000,"="&amp;Q56,'[1]1_inventory_totals'!$G$8:$G$10000,"="&amp;R56)+SUMIFS('[1]1_inventory_totals'!$O$8:$O$10000,'[1]1_inventory_totals'!$C$8:$C$10000,I56,'[1]1_inventory_totals'!$F$8:$F$10000,"="&amp;Q56,'[1]1_inventory_totals'!$G$8:$G$10000,"="&amp;R56)+SUMIFS('[1]1_inventory_totals'!$S$8:$S$10000,'[1]1_inventory_totals'!$C$8:$C$10000,I56,'[1]1_inventory_totals'!$F$8:$F$10000,"="&amp;Q56,'[1]1_inventory_totals'!$G$8:$G$10000,"="&amp;R56)))</f>
        <v/>
      </c>
      <c r="BB56" s="197" t="str">
        <f>IF(M56="","",(SUMIFS('[1]2_inventory_totals'!$I$8:$I$10000,'[1]2_inventory_totals'!$C$8:$C$10000,I56,'[1]2_inventory_totals'!$F$8:$F$10000,"="&amp;Q56,'[1]2_inventory_totals'!$G$8:$G$10000,"="&amp;R56)+SUMIFS('[1]2_inventory_totals'!$N$8:$N$10000,'[1]2_inventory_totals'!$C$8:$C$10000,I56,'[1]2_inventory_totals'!$F$8:$F$10000,"="&amp;Q56,'[1]2_inventory_totals'!$G$8:$G$10000,"="&amp;R56)+SUMIFS('[1]2_inventory_totals'!$P$8:$P$10000,'[1]2_inventory_totals'!$C$8:$C$10000,I56,'[1]2_inventory_totals'!$F$8:$F$10000,"="&amp;Q56,'[1]2_inventory_totals'!$G$8:$G$10000,"="&amp;R56)+SUMIFS('[1]2_inventory_totals'!$Q$8:$Q$10000,'[1]2_inventory_totals'!$C$8:$C$10000,I56,'[1]2_inventory_totals'!$F$8:$F$10000,"="&amp;Q56,'[1]2_inventory_totals'!$G$8:$G$10000,"="&amp;R56)+SUMIFS('[1]2_inventory_totals'!$R$8:$R$10000,'[1]2_inventory_totals'!$C$8:$C$10000,I56,'[1]2_inventory_totals'!$F$8:$F$10000,"="&amp;Q56,'[1]2_inventory_totals'!$G$8:$G$10000,"="&amp;R56))+(SUMIFS('[1]2_inventory_totals'!$J$8:$J$10000,'[1]2_inventory_totals'!$C$8:$C$10000,I56,'[1]2_inventory_totals'!$F$8:$F$10000,"="&amp;Q56,'[1]2_inventory_totals'!$G$8:$G$10000,"="&amp;R56)+SUMIFS('[1]2_inventory_totals'!$K$8:$K$10000,'[1]2_inventory_totals'!$C$8:$C$10000,I56,'[1]2_inventory_totals'!$F$8:$F$10000,"="&amp;Q56,'[1]2_inventory_totals'!$G$8:$G$10000,"="&amp;R56)+SUMIFS('[1]2_inventory_totals'!$L$8:$L$10000,'[1]2_inventory_totals'!$C$8:$C$10000,I56,'[1]2_inventory_totals'!$F$8:$F$10000,"="&amp;Q56,'[1]2_inventory_totals'!$G$8:$G$10000,"="&amp;R56)+SUMIFS('[1]2_inventory_totals'!$M$8:$M$10000,'[1]2_inventory_totals'!$C$8:$C$10000,I56,'[1]2_inventory_totals'!$F$8:$F$10000,"="&amp;Q56,'[1]2_inventory_totals'!$G$8:$G$10000,"="&amp;R56)+SUMIFS('[1]2_inventory_totals'!$O$8:$O$10000,'[1]2_inventory_totals'!$C$8:$C$10000,I56,'[1]2_inventory_totals'!$F$8:$F$10000,"="&amp;Q56,'[1]2_inventory_totals'!$G$8:$G$10000,"="&amp;R56)+SUMIFS('[1]2_inventory_totals'!$S$8:$S$10000,'[1]2_inventory_totals'!$C$8:$C$10000,I56,'[1]2_inventory_totals'!$F$8:$F$10000,"="&amp;Q56,'[1]2_inventory_totals'!$G$8:$G$10000,"="&amp;R56)))</f>
        <v/>
      </c>
    </row>
    <row r="57" spans="1:54" ht="27" hidden="1" customHeight="1">
      <c r="A57" s="923"/>
      <c r="B57" s="1256"/>
      <c r="C57" s="950"/>
      <c r="D57" s="950"/>
      <c r="E57" s="950"/>
      <c r="F57" s="1257"/>
      <c r="G57" s="941"/>
      <c r="H57" s="951"/>
      <c r="I57" s="1610" t="str">
        <f t="shared" si="7"/>
        <v/>
      </c>
      <c r="J57" s="1611" t="str">
        <f t="shared" si="24"/>
        <v/>
      </c>
      <c r="K57" s="1612" t="str">
        <f t="shared" si="30"/>
        <v/>
      </c>
      <c r="L57" s="1613"/>
      <c r="M57" s="883"/>
      <c r="N57" s="884"/>
      <c r="O57" s="884"/>
      <c r="P57" s="885"/>
      <c r="Q57" s="886"/>
      <c r="R57" s="891"/>
      <c r="S57" s="1614" t="str">
        <f t="shared" si="0"/>
        <v/>
      </c>
      <c r="T57" s="1536"/>
      <c r="U57" s="1864" t="str">
        <f t="shared" si="9"/>
        <v/>
      </c>
      <c r="V57" s="1615" t="str">
        <f t="shared" si="25"/>
        <v/>
      </c>
      <c r="W57" s="889"/>
      <c r="X57" s="1615" t="str">
        <f t="shared" si="26"/>
        <v/>
      </c>
      <c r="Y57" s="1865" t="str">
        <f t="shared" si="10"/>
        <v/>
      </c>
      <c r="Z57" s="890"/>
      <c r="AA57" s="197" t="str" cm="1">
        <f t="array" ref="AA57">IF(M57="","",IF(P57=AN57,1,Slookup(MID(AN57,1,3)*1,UomConversion!$D$8:$J$500,5,UomConversion!$E$8:$E$500,MID(P57,1,3)*1,UomConversion!$J$8:$J$500,1)))</f>
        <v/>
      </c>
      <c r="AB57" s="197" t="str">
        <f t="shared" si="11"/>
        <v/>
      </c>
      <c r="AC57" s="197" t="str">
        <f t="shared" si="12"/>
        <v/>
      </c>
      <c r="AD57" s="197" t="str">
        <f t="shared" si="13"/>
        <v/>
      </c>
      <c r="AE57" s="1866" t="str">
        <f t="shared" si="14"/>
        <v/>
      </c>
      <c r="AF57" s="1866" t="str">
        <f t="shared" si="27"/>
        <v/>
      </c>
      <c r="AG57" s="197" t="str">
        <f t="shared" si="16"/>
        <v/>
      </c>
      <c r="AH57" s="197" t="str">
        <f>IF(I57="","",IF(ISNA(MATCH(I57,IF(invoice_location_id=1,'[1]1_inventory_totals'!$C$8:$C$10000,IF(invoice_location_id=2,'[1]2_inventory_totals'!$C$8:$C$10000,0)),0)),0,IF(AV57&gt;0,1,0)))</f>
        <v/>
      </c>
      <c r="AI57" s="197" t="str">
        <f>IF(M57="","",IF(invoice_location_id=1,SUMIFS('[1]1_inventory_total_details'!$J$8:$J$10000,'[1]1_inventory_total_details'!$C$8:$C$10000,I57,'[1]1_inventory_total_details'!$F$8:$F$10000,invoice_location_id,'[1]1_inventory_total_details'!$G$8:$G$10000,"="&amp;Q57,'[1]1_inventory_total_details'!$H$8:$H$10000,"="&amp;R57,'[1]1_inventory_total_details'!$I$8:$I$10000,"="&amp;invoice_date)+SUMIFS('[1]1_inventory_total_details'!$M$8:$M$10000,'[1]1_inventory_total_details'!$C$8:$C$10000,I57,'[1]1_inventory_total_details'!$F$8:$F$10000,invoice_location_id,'[1]1_inventory_total_details'!$G$8:$G$10000,"="&amp;Q57,'[1]1_inventory_total_details'!$H$8:$H$10000,"="&amp;R57,'[1]1_inventory_total_details'!$I$8:$I$10000,"="&amp;invoice_date)+SUMIFS('[1]1_inventory_total_details'!$K$8:$K$10000,'[1]1_inventory_total_details'!$C$8:$C$10000,I57,'[1]1_inventory_total_details'!$F$8:$F$10000,invoice_location_id,'[1]1_inventory_total_details'!$G$8:$G$10000,"="&amp;Q57,'[1]1_inventory_total_details'!$H$8:$H$10000,"="&amp;R57,'[1]1_inventory_total_details'!$I$8:$I$10000,"="&amp;invoice_date)+SUMIFS('[1]1_inventory_total_details'!$L$8:$L$10000,'[1]1_inventory_total_details'!$C$8:$C$10000,I57,'[1]1_inventory_total_details'!$F$8:$F$10000,invoice_location_id,'[1]1_inventory_total_details'!$G$8:$G$10000,"="&amp;Q57,'[1]1_inventory_total_details'!$H$8:$H$10000,"="&amp;R57,'[1]1_inventory_total_details'!$I$8:$I$10000,"="&amp;invoice_date),SUMIFS('[1]2_inventory_total_details'!$J$8:$J$10000,'[1]2_inventory_total_details'!$C$8:$C$10000,I57,'[1]2_inventory_total_details'!$F$8:$F$10000,invoice_location_id,'[1]2_inventory_total_details'!$G$8:$G$10000,"="&amp;Q57,'[1]2_inventory_total_details'!$H$8:$H$10000,"="&amp;R57,'[1]2_inventory_total_details'!$I$8:$I$10000,"="&amp;invoice_date)+SUMIFS('[1]2_inventory_total_details'!$M$8:$M$10000,'[1]2_inventory_total_details'!$C$8:$C$10000,I57,'[1]2_inventory_total_details'!$F$8:$F$10000,invoice_location_id,'[1]2_inventory_total_details'!$G$8:$G$10000,"="&amp;Q57,'[1]2_inventory_total_details'!$H$8:$H$10000,"="&amp;R57,'[1]2_inventory_total_details'!$I$8:$I$10000,"="&amp;invoice_date)+SUMIFS('[1]2_inventory_total_details'!$K$8:$K$10000,'[1]2_inventory_total_details'!$C$8:$C$10000,I57,'[1]2_inventory_total_details'!$F$8:$F$10000,invoice_location_id,'[1]2_inventory_total_details'!$G$8:$G$10000,"="&amp;Q57,'[1]2_inventory_total_details'!$H$8:$H$10000,"="&amp;R57,'[1]2_inventory_total_details'!$I$8:$I$10000,"="&amp;invoice_date)+SUMIFS('[1]2_inventory_total_details'!$L$8:$L$10000,'[1]2_inventory_total_details'!$C$8:$C$10000,I57,'[1]2_inventory_total_details'!$F$8:$F$10000,invoice_location_id,'[1]2_inventory_total_details'!$G$8:$G$10000,"="&amp;Q57,'[1]2_inventory_total_details'!$H$8:$H$10000,"="&amp;R57,'[1]2_inventory_total_details'!$I$8:$I$10000,"="&amp;invoice_date)))</f>
        <v/>
      </c>
      <c r="AJ57" s="197" t="str">
        <f>IF(M57="","",IF(ISNA(MATCH(I57,'[1]1_group_totals'!$C$8:$C$10000)),0,IF(AW57&gt;0,1,0)))</f>
        <v/>
      </c>
      <c r="AK57" s="197" t="str">
        <f>IF(M57="","",(SUMIFS('[1]1_group_total_details'!$I$8:$I$10000,'[1]1_group_total_details'!$C$8:$C$10000,I57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57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57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57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57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57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57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57,'[1]1_group_total_details'!$F$8:$F$10000,invoice_location_group_id,'[1]1_group_total_details'!$G$8:$G$10000,invoice_location_id,'[1]1_group_total_details'!$H$8:$H$10000,"="&amp;invoice_date)))</f>
        <v/>
      </c>
      <c r="AL57" s="197" t="str">
        <f>IF(M57="","",(SUMIFS('[1]1_group_total_details'!$I$8:$I$10000,'[1]1_group_total_details'!$C$8:$C$10000,I57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57,'[1]1_group_total_details'!$F$8:$F$10000,invoice_location_group_id,'[1]1_group_total_details'!$G$8:$G$10000,1,'[1]1_group_total_details'!$H$8:$H$10000,"&lt;="&amp;invoice_date)+SUMIFS('[1]1_group_total_details'!$N$8:$N$10000,'[1]1_group_total_details'!$C$8:$C$10000,I57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57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57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57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57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57,'[1]1_group_total_details'!$F$8:$F$10000,invoice_location_group_id,'[1]1_group_total_details'!$G$8:$G$10000,invoice_location_id,'[1]1_group_total_details'!$H$8:$H$10000,"&lt;="&amp;invoice_date)))</f>
        <v/>
      </c>
      <c r="AM57" s="197" t="str">
        <f>IF(M57="","",SUMIFS('[1]1_group_totals'!$J$8:$J$10000,'[1]1_group_totals'!$C$8:$C$10000,I57,'[1]1_group_totals'!$F$8:$F$10000,invoice_location_group_id,'[1]1_group_totals'!$G$8:$G$10000,invoice_location_id,'[1]1_group_totals'!$H$8:$H$10000,"="&amp;Q57,'[1]1_group_totals'!$I$8:$I$10000,"="&amp;R57))</f>
        <v/>
      </c>
      <c r="AN57" s="197" t="str">
        <f t="shared" si="17"/>
        <v/>
      </c>
      <c r="AO57" s="197" t="str">
        <f>IF(OR(ISNA(MATCH(MID(AN57,1,3)*1,UomConversion!$D$8:$D$500,0)),M57=""),"",IF(AT57="","",AT57))</f>
        <v/>
      </c>
      <c r="AP57" s="197" t="str">
        <f>IF(AND(AQ57&gt;0,COUNTIFS(UomConversion!$D$8:$D$500,MID(AN57,1,3)*1,UomConversion!$J$8:$J$500,1)&gt;1),TEXT(AQ57,"000")&amp;"."&amp;VLOOKUP(AQ57,uom_list,5,FALSE),"")</f>
        <v/>
      </c>
      <c r="AQ57" s="197" t="str">
        <f t="shared" si="18"/>
        <v/>
      </c>
      <c r="AR57" s="197" t="str">
        <f t="shared" si="19"/>
        <v/>
      </c>
      <c r="AS57" s="1866" t="str">
        <f>IF(M57="","",SUMIFS(ProductPrice!$N$28:$N$10000,ProductPrice!$D$28:$D$10000,I57,ProductPrice!$G$28:$G$10000,invoice_branch_id,ProductPrice!$H$28:$H$10000,invoice_price_type_id,ProductPrice!$I$28:$I$10000,MID(P57,1,3)*1,ProductPrice!$Q$28:$Q$10000,1,ProductPrice!$T$28:$T$10000,1))</f>
        <v/>
      </c>
      <c r="AT57" s="197" t="str">
        <f t="shared" si="28"/>
        <v/>
      </c>
      <c r="AU57" s="197" t="str" cm="1">
        <f t="array" ref="AU57">IF(M57="","",IF(ISNA(Slookup(MID(AN57,1,3)*1,UomConversion!$D$8:$J$500,2,UomConversion!$I$8:$I$500,1,UomConversion!$J$8:$J$500,1)),"",Slookup(MID(AN57,1,3)*1,UomConversion!$D$8:$J$500,2,UomConversion!$I$8:$I$500,1,UomConversion!$J$8:$J$500,1)))</f>
        <v/>
      </c>
      <c r="AV57" s="197" t="str">
        <f t="shared" si="29"/>
        <v/>
      </c>
      <c r="AW57" s="197" t="str">
        <f>IF(M57="","",(SUMIFS('[1]1_group_totals'!$K$8:$K$10000,'[1]1_group_totals'!$C$8:$C$10000,I57,'[1]1_group_totals'!$F$8:$F$10000,invoice_location_group_id,'[1]1_group_totals'!$G$8:$G$10000,invoice_location_id,'[1]1_group_totals'!$H$8:$H$10000,"="&amp;Q57,'[1]1_group_totals'!$I$8:$I$10000,"="&amp;R57)+SUMIFS('[1]1_group_totals'!$N$8:$N$10000,'[1]1_group_totals'!$C$8:$C$10000,I57,'[1]1_group_totals'!$F$8:$F$10000,invoice_location_group_id,'[1]1_group_totals'!$G$8:$G$10000,invoice_location_id,'[1]1_group_totals'!$H$8:$H$10000,"="&amp;Q57,'[1]1_group_totals'!$I$8:$I$10000,"="&amp;R57)+SUMIFS('[1]1_group_totals'!$P$8:$P$10000,'[1]1_group_totals'!$C$8:$C$10000,I57,'[1]1_group_totals'!$F$8:$F$10000,invoice_location_group_id,'[1]1_group_totals'!$G$8:$G$10000,invoice_location_id,'[1]1_group_totals'!$H$8:$H$10000,"="&amp;Q57,'[1]1_group_totals'!$I$8:$I$10000,"="&amp;R57)+SUMIFS('[1]1_group_totals'!$Q$8:$Q$10000,'[1]1_group_totals'!$C$8:$C$10000,I57,'[1]1_group_totals'!$F$8:$F$10000,invoice_location_group_id,'[1]1_group_totals'!$G$8:$G$10000,invoice_location_id,'[1]1_group_totals'!$H$8:$H$10000,"="&amp;Q57,'[1]1_group_totals'!$I$8:$I$10000,"="&amp;R57))+(SUMIFS('[1]1_group_totals'!$L$8:$L$10000,'[1]1_group_totals'!$C$8:$C$10000,I57,'[1]1_group_totals'!$F$8:$F$10000,invoice_location_group_id,'[1]1_group_totals'!$G$8:$G$10000,invoice_location_id,'[1]1_group_totals'!$H$8:$H$10000,"="&amp;Q57,'[1]1_group_totals'!$I$8:$I$10000,"="&amp;R57)+SUMIFS('[1]1_group_totals'!$M$8:$M$10000,'[1]1_group_totals'!$C$8:$C$10000,I57,'[1]1_group_totals'!$F$8:$F$10000,invoice_location_group_id,'[1]1_group_totals'!$G$8:$G$10000,invoice_location_id,'[1]1_group_totals'!$H$8:$H$10000,"="&amp;Q57,'[1]1_group_totals'!$I$8:$I$10000,"="&amp;R57)+SUMIFS('[1]1_group_totals'!$O$8:$O$10000,'[1]1_group_totals'!$C$8:$C$10000,I57,'[1]1_group_totals'!$F$8:$F$10000,invoice_location_group_id,'[1]1_group_totals'!$G$8:$G$10000,invoice_location_id,'[1]1_group_totals'!$H$8:$H$10000,"="&amp;Q57,'[1]1_group_totals'!$I$8:$I$10000,"="&amp;R57)+SUMIFS('[1]1_group_totals'!$R$8:$R$10000,'[1]1_group_totals'!$C$8:$C$10000,I57,'[1]1_group_totals'!$F$8:$F$10000,invoice_location_group_id,'[1]1_group_totals'!$G$8:$G$10000,invoice_location_id,'[1]1_group_totals'!$H$8:$H$10000,"="&amp;Q57,'[1]1_group_totals'!$I$8:$I$10000,"="&amp;R57)))</f>
        <v/>
      </c>
      <c r="AX57" s="197" t="str">
        <f t="shared" si="21"/>
        <v/>
      </c>
      <c r="AY57" s="197" t="str">
        <f>IF(M57="","",SUMIFS($AX$8:AX57,$I$8:I57,I57))</f>
        <v/>
      </c>
      <c r="AZ57" s="197" t="str">
        <f t="shared" si="22"/>
        <v/>
      </c>
      <c r="BA57" s="197" t="str">
        <f>IF(M57="","",(SUMIFS('[1]1_inventory_totals'!$I$8:$I$10000,'[1]1_inventory_totals'!$C$8:$C$10000,I57,'[1]1_inventory_totals'!$F$8:$F$10000,"="&amp;Q57,'[1]1_inventory_totals'!$G$8:$G$10000,"="&amp;R57)+SUMIFS('[1]1_inventory_totals'!$N$8:$N$10000,'[1]1_inventory_totals'!$C$8:$C$10000,I57,'[1]1_inventory_totals'!$F$8:$F$10000,"="&amp;Q57,'[1]1_inventory_totals'!$G$8:$G$10000,"="&amp;R57)+SUMIFS('[1]1_inventory_totals'!$P$8:$P$10000,'[1]1_inventory_totals'!$C$8:$C$10000,I57,'[1]1_inventory_totals'!$F$8:$F$10000,"="&amp;Q57,'[1]1_inventory_totals'!$G$8:$G$10000,"="&amp;R57)+SUMIFS('[1]1_inventory_totals'!$Q$8:$Q$10000,'[1]1_inventory_totals'!$C$8:$C$10000,I57,'[1]1_inventory_totals'!$F$8:$F$10000,"="&amp;Q57,'[1]1_inventory_totals'!$G$8:$G$10000,"="&amp;R57)+SUMIFS('[1]1_inventory_totals'!$R$8:$R$10000,'[1]1_inventory_totals'!$C$8:$C$10000,I57,'[1]1_inventory_totals'!$F$8:$F$10000,"="&amp;Q57,'[1]1_inventory_totals'!$G$8:$G$10000,"="&amp;R57))+(SUMIFS('[1]1_inventory_totals'!$J$8:$J$10000,'[1]1_inventory_totals'!$C$8:$C$10000,I57,'[1]1_inventory_totals'!$F$8:$F$10000,"="&amp;Q57,'[1]1_inventory_totals'!$G$8:$G$10000,"="&amp;R57)+SUMIFS('[1]1_inventory_totals'!$K$8:$K$10000,'[1]1_inventory_totals'!$C$8:$C$10000,I57,'[1]1_inventory_totals'!$F$8:$F$10000,"="&amp;Q57,'[1]1_inventory_totals'!$G$8:$G$10000,"="&amp;R57)+SUMIFS('[1]1_inventory_totals'!$L$8:$L$10000,'[1]1_inventory_totals'!$C$8:$C$10000,I57,'[1]1_inventory_totals'!$F$8:$F$10000,"="&amp;Q57,'[1]1_inventory_totals'!$G$8:$G$10000,"="&amp;R57)+SUMIFS('[1]1_inventory_totals'!$M$8:$M$10000,'[1]1_inventory_totals'!$C$8:$C$10000,I57,'[1]1_inventory_totals'!$F$8:$F$10000,"="&amp;Q57,'[1]1_inventory_totals'!$G$8:$G$10000,"="&amp;R57)+SUMIFS('[1]1_inventory_totals'!$O$8:$O$10000,'[1]1_inventory_totals'!$C$8:$C$10000,I57,'[1]1_inventory_totals'!$F$8:$F$10000,"="&amp;Q57,'[1]1_inventory_totals'!$G$8:$G$10000,"="&amp;R57)+SUMIFS('[1]1_inventory_totals'!$S$8:$S$10000,'[1]1_inventory_totals'!$C$8:$C$10000,I57,'[1]1_inventory_totals'!$F$8:$F$10000,"="&amp;Q57,'[1]1_inventory_totals'!$G$8:$G$10000,"="&amp;R57)))</f>
        <v/>
      </c>
      <c r="BB57" s="197" t="str">
        <f>IF(M57="","",(SUMIFS('[1]2_inventory_totals'!$I$8:$I$10000,'[1]2_inventory_totals'!$C$8:$C$10000,I57,'[1]2_inventory_totals'!$F$8:$F$10000,"="&amp;Q57,'[1]2_inventory_totals'!$G$8:$G$10000,"="&amp;R57)+SUMIFS('[1]2_inventory_totals'!$N$8:$N$10000,'[1]2_inventory_totals'!$C$8:$C$10000,I57,'[1]2_inventory_totals'!$F$8:$F$10000,"="&amp;Q57,'[1]2_inventory_totals'!$G$8:$G$10000,"="&amp;R57)+SUMIFS('[1]2_inventory_totals'!$P$8:$P$10000,'[1]2_inventory_totals'!$C$8:$C$10000,I57,'[1]2_inventory_totals'!$F$8:$F$10000,"="&amp;Q57,'[1]2_inventory_totals'!$G$8:$G$10000,"="&amp;R57)+SUMIFS('[1]2_inventory_totals'!$Q$8:$Q$10000,'[1]2_inventory_totals'!$C$8:$C$10000,I57,'[1]2_inventory_totals'!$F$8:$F$10000,"="&amp;Q57,'[1]2_inventory_totals'!$G$8:$G$10000,"="&amp;R57)+SUMIFS('[1]2_inventory_totals'!$R$8:$R$10000,'[1]2_inventory_totals'!$C$8:$C$10000,I57,'[1]2_inventory_totals'!$F$8:$F$10000,"="&amp;Q57,'[1]2_inventory_totals'!$G$8:$G$10000,"="&amp;R57))+(SUMIFS('[1]2_inventory_totals'!$J$8:$J$10000,'[1]2_inventory_totals'!$C$8:$C$10000,I57,'[1]2_inventory_totals'!$F$8:$F$10000,"="&amp;Q57,'[1]2_inventory_totals'!$G$8:$G$10000,"="&amp;R57)+SUMIFS('[1]2_inventory_totals'!$K$8:$K$10000,'[1]2_inventory_totals'!$C$8:$C$10000,I57,'[1]2_inventory_totals'!$F$8:$F$10000,"="&amp;Q57,'[1]2_inventory_totals'!$G$8:$G$10000,"="&amp;R57)+SUMIFS('[1]2_inventory_totals'!$L$8:$L$10000,'[1]2_inventory_totals'!$C$8:$C$10000,I57,'[1]2_inventory_totals'!$F$8:$F$10000,"="&amp;Q57,'[1]2_inventory_totals'!$G$8:$G$10000,"="&amp;R57)+SUMIFS('[1]2_inventory_totals'!$M$8:$M$10000,'[1]2_inventory_totals'!$C$8:$C$10000,I57,'[1]2_inventory_totals'!$F$8:$F$10000,"="&amp;Q57,'[1]2_inventory_totals'!$G$8:$G$10000,"="&amp;R57)+SUMIFS('[1]2_inventory_totals'!$O$8:$O$10000,'[1]2_inventory_totals'!$C$8:$C$10000,I57,'[1]2_inventory_totals'!$F$8:$F$10000,"="&amp;Q57,'[1]2_inventory_totals'!$G$8:$G$10000,"="&amp;R57)+SUMIFS('[1]2_inventory_totals'!$S$8:$S$10000,'[1]2_inventory_totals'!$C$8:$C$10000,I57,'[1]2_inventory_totals'!$F$8:$F$10000,"="&amp;Q57,'[1]2_inventory_totals'!$G$8:$G$10000,"="&amp;R57)))</f>
        <v/>
      </c>
    </row>
    <row r="58" spans="1:54" ht="27" hidden="1" customHeight="1">
      <c r="A58" s="923"/>
      <c r="B58" s="1256"/>
      <c r="C58" s="950"/>
      <c r="D58" s="950"/>
      <c r="E58" s="950"/>
      <c r="F58" s="1257"/>
      <c r="G58" s="941"/>
      <c r="H58" s="951"/>
      <c r="I58" s="1610" t="str">
        <f t="shared" si="7"/>
        <v/>
      </c>
      <c r="J58" s="1611" t="str">
        <f t="shared" si="24"/>
        <v/>
      </c>
      <c r="K58" s="1612" t="str">
        <f t="shared" si="30"/>
        <v/>
      </c>
      <c r="L58" s="1613"/>
      <c r="M58" s="883"/>
      <c r="N58" s="884"/>
      <c r="O58" s="884"/>
      <c r="P58" s="885"/>
      <c r="Q58" s="886"/>
      <c r="R58" s="891"/>
      <c r="S58" s="1614" t="str">
        <f t="shared" si="0"/>
        <v/>
      </c>
      <c r="T58" s="1536"/>
      <c r="U58" s="1864" t="str">
        <f t="shared" si="9"/>
        <v/>
      </c>
      <c r="V58" s="1615" t="str">
        <f t="shared" si="25"/>
        <v/>
      </c>
      <c r="W58" s="889"/>
      <c r="X58" s="1615" t="str">
        <f t="shared" si="26"/>
        <v/>
      </c>
      <c r="Y58" s="1865" t="str">
        <f t="shared" si="10"/>
        <v/>
      </c>
      <c r="Z58" s="890"/>
      <c r="AA58" s="197" t="str" cm="1">
        <f t="array" ref="AA58">IF(M58="","",IF(P58=AN58,1,Slookup(MID(AN58,1,3)*1,UomConversion!$D$8:$J$500,5,UomConversion!$E$8:$E$500,MID(P58,1,3)*1,UomConversion!$J$8:$J$500,1)))</f>
        <v/>
      </c>
      <c r="AB58" s="197" t="str">
        <f t="shared" si="11"/>
        <v/>
      </c>
      <c r="AC58" s="197" t="str">
        <f t="shared" si="12"/>
        <v/>
      </c>
      <c r="AD58" s="197" t="str">
        <f t="shared" si="13"/>
        <v/>
      </c>
      <c r="AE58" s="1866" t="str">
        <f t="shared" si="14"/>
        <v/>
      </c>
      <c r="AF58" s="1866" t="str">
        <f t="shared" si="27"/>
        <v/>
      </c>
      <c r="AG58" s="197" t="str">
        <f t="shared" si="16"/>
        <v/>
      </c>
      <c r="AH58" s="197" t="str">
        <f>IF(I58="","",IF(ISNA(MATCH(I58,IF(invoice_location_id=1,'[1]1_inventory_totals'!$C$8:$C$10000,IF(invoice_location_id=2,'[1]2_inventory_totals'!$C$8:$C$10000,0)),0)),0,IF(AV58&gt;0,1,0)))</f>
        <v/>
      </c>
      <c r="AI58" s="197" t="str">
        <f>IF(M58="","",IF(invoice_location_id=1,SUMIFS('[1]1_inventory_total_details'!$J$8:$J$10000,'[1]1_inventory_total_details'!$C$8:$C$10000,I58,'[1]1_inventory_total_details'!$F$8:$F$10000,invoice_location_id,'[1]1_inventory_total_details'!$G$8:$G$10000,"="&amp;Q58,'[1]1_inventory_total_details'!$H$8:$H$10000,"="&amp;R58,'[1]1_inventory_total_details'!$I$8:$I$10000,"="&amp;invoice_date)+SUMIFS('[1]1_inventory_total_details'!$M$8:$M$10000,'[1]1_inventory_total_details'!$C$8:$C$10000,I58,'[1]1_inventory_total_details'!$F$8:$F$10000,invoice_location_id,'[1]1_inventory_total_details'!$G$8:$G$10000,"="&amp;Q58,'[1]1_inventory_total_details'!$H$8:$H$10000,"="&amp;R58,'[1]1_inventory_total_details'!$I$8:$I$10000,"="&amp;invoice_date)+SUMIFS('[1]1_inventory_total_details'!$K$8:$K$10000,'[1]1_inventory_total_details'!$C$8:$C$10000,I58,'[1]1_inventory_total_details'!$F$8:$F$10000,invoice_location_id,'[1]1_inventory_total_details'!$G$8:$G$10000,"="&amp;Q58,'[1]1_inventory_total_details'!$H$8:$H$10000,"="&amp;R58,'[1]1_inventory_total_details'!$I$8:$I$10000,"="&amp;invoice_date)+SUMIFS('[1]1_inventory_total_details'!$L$8:$L$10000,'[1]1_inventory_total_details'!$C$8:$C$10000,I58,'[1]1_inventory_total_details'!$F$8:$F$10000,invoice_location_id,'[1]1_inventory_total_details'!$G$8:$G$10000,"="&amp;Q58,'[1]1_inventory_total_details'!$H$8:$H$10000,"="&amp;R58,'[1]1_inventory_total_details'!$I$8:$I$10000,"="&amp;invoice_date),SUMIFS('[1]2_inventory_total_details'!$J$8:$J$10000,'[1]2_inventory_total_details'!$C$8:$C$10000,I58,'[1]2_inventory_total_details'!$F$8:$F$10000,invoice_location_id,'[1]2_inventory_total_details'!$G$8:$G$10000,"="&amp;Q58,'[1]2_inventory_total_details'!$H$8:$H$10000,"="&amp;R58,'[1]2_inventory_total_details'!$I$8:$I$10000,"="&amp;invoice_date)+SUMIFS('[1]2_inventory_total_details'!$M$8:$M$10000,'[1]2_inventory_total_details'!$C$8:$C$10000,I58,'[1]2_inventory_total_details'!$F$8:$F$10000,invoice_location_id,'[1]2_inventory_total_details'!$G$8:$G$10000,"="&amp;Q58,'[1]2_inventory_total_details'!$H$8:$H$10000,"="&amp;R58,'[1]2_inventory_total_details'!$I$8:$I$10000,"="&amp;invoice_date)+SUMIFS('[1]2_inventory_total_details'!$K$8:$K$10000,'[1]2_inventory_total_details'!$C$8:$C$10000,I58,'[1]2_inventory_total_details'!$F$8:$F$10000,invoice_location_id,'[1]2_inventory_total_details'!$G$8:$G$10000,"="&amp;Q58,'[1]2_inventory_total_details'!$H$8:$H$10000,"="&amp;R58,'[1]2_inventory_total_details'!$I$8:$I$10000,"="&amp;invoice_date)+SUMIFS('[1]2_inventory_total_details'!$L$8:$L$10000,'[1]2_inventory_total_details'!$C$8:$C$10000,I58,'[1]2_inventory_total_details'!$F$8:$F$10000,invoice_location_id,'[1]2_inventory_total_details'!$G$8:$G$10000,"="&amp;Q58,'[1]2_inventory_total_details'!$H$8:$H$10000,"="&amp;R58,'[1]2_inventory_total_details'!$I$8:$I$10000,"="&amp;invoice_date)))</f>
        <v/>
      </c>
      <c r="AJ58" s="197" t="str">
        <f>IF(M58="","",IF(ISNA(MATCH(I58,'[1]1_group_totals'!$C$8:$C$10000)),0,IF(AW58&gt;0,1,0)))</f>
        <v/>
      </c>
      <c r="AK58" s="197" t="str">
        <f>IF(M58="","",(SUMIFS('[1]1_group_total_details'!$I$8:$I$10000,'[1]1_group_total_details'!$C$8:$C$10000,I58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58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58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58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58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58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58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58,'[1]1_group_total_details'!$F$8:$F$10000,invoice_location_group_id,'[1]1_group_total_details'!$G$8:$G$10000,invoice_location_id,'[1]1_group_total_details'!$H$8:$H$10000,"="&amp;invoice_date)))</f>
        <v/>
      </c>
      <c r="AL58" s="197" t="str">
        <f>IF(M58="","",(SUMIFS('[1]1_group_total_details'!$I$8:$I$10000,'[1]1_group_total_details'!$C$8:$C$10000,I58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58,'[1]1_group_total_details'!$F$8:$F$10000,invoice_location_group_id,'[1]1_group_total_details'!$G$8:$G$10000,1,'[1]1_group_total_details'!$H$8:$H$10000,"&lt;="&amp;invoice_date)+SUMIFS('[1]1_group_total_details'!$N$8:$N$10000,'[1]1_group_total_details'!$C$8:$C$10000,I58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58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58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58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58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58,'[1]1_group_total_details'!$F$8:$F$10000,invoice_location_group_id,'[1]1_group_total_details'!$G$8:$G$10000,invoice_location_id,'[1]1_group_total_details'!$H$8:$H$10000,"&lt;="&amp;invoice_date)))</f>
        <v/>
      </c>
      <c r="AM58" s="197" t="str">
        <f>IF(M58="","",SUMIFS('[1]1_group_totals'!$J$8:$J$10000,'[1]1_group_totals'!$C$8:$C$10000,I58,'[1]1_group_totals'!$F$8:$F$10000,invoice_location_group_id,'[1]1_group_totals'!$G$8:$G$10000,invoice_location_id,'[1]1_group_totals'!$H$8:$H$10000,"="&amp;Q58,'[1]1_group_totals'!$I$8:$I$10000,"="&amp;R58))</f>
        <v/>
      </c>
      <c r="AN58" s="197" t="str">
        <f t="shared" si="17"/>
        <v/>
      </c>
      <c r="AO58" s="197" t="str">
        <f>IF(OR(ISNA(MATCH(MID(AN58,1,3)*1,UomConversion!$D$8:$D$500,0)),M58=""),"",IF(AT58="","",AT58))</f>
        <v/>
      </c>
      <c r="AP58" s="197" t="str">
        <f>IF(AND(AQ58&gt;0,COUNTIFS(UomConversion!$D$8:$D$500,MID(AN58,1,3)*1,UomConversion!$J$8:$J$500,1)&gt;1),TEXT(AQ58,"000")&amp;"."&amp;VLOOKUP(AQ58,uom_list,5,FALSE),"")</f>
        <v/>
      </c>
      <c r="AQ58" s="197" t="str">
        <f t="shared" si="18"/>
        <v/>
      </c>
      <c r="AR58" s="197" t="str">
        <f t="shared" si="19"/>
        <v/>
      </c>
      <c r="AS58" s="1866" t="str">
        <f>IF(M58="","",SUMIFS(ProductPrice!$N$28:$N$10000,ProductPrice!$D$28:$D$10000,I58,ProductPrice!$G$28:$G$10000,invoice_branch_id,ProductPrice!$H$28:$H$10000,invoice_price_type_id,ProductPrice!$I$28:$I$10000,MID(P58,1,3)*1,ProductPrice!$Q$28:$Q$10000,1,ProductPrice!$T$28:$T$10000,1))</f>
        <v/>
      </c>
      <c r="AT58" s="197" t="str">
        <f t="shared" si="28"/>
        <v/>
      </c>
      <c r="AU58" s="197" t="str" cm="1">
        <f t="array" ref="AU58">IF(M58="","",IF(ISNA(Slookup(MID(AN58,1,3)*1,UomConversion!$D$8:$J$500,2,UomConversion!$I$8:$I$500,1,UomConversion!$J$8:$J$500,1)),"",Slookup(MID(AN58,1,3)*1,UomConversion!$D$8:$J$500,2,UomConversion!$I$8:$I$500,1,UomConversion!$J$8:$J$500,1)))</f>
        <v/>
      </c>
      <c r="AV58" s="197" t="str">
        <f t="shared" si="29"/>
        <v/>
      </c>
      <c r="AW58" s="197" t="str">
        <f>IF(M58="","",(SUMIFS('[1]1_group_totals'!$K$8:$K$10000,'[1]1_group_totals'!$C$8:$C$10000,I58,'[1]1_group_totals'!$F$8:$F$10000,invoice_location_group_id,'[1]1_group_totals'!$G$8:$G$10000,invoice_location_id,'[1]1_group_totals'!$H$8:$H$10000,"="&amp;Q58,'[1]1_group_totals'!$I$8:$I$10000,"="&amp;R58)+SUMIFS('[1]1_group_totals'!$N$8:$N$10000,'[1]1_group_totals'!$C$8:$C$10000,I58,'[1]1_group_totals'!$F$8:$F$10000,invoice_location_group_id,'[1]1_group_totals'!$G$8:$G$10000,invoice_location_id,'[1]1_group_totals'!$H$8:$H$10000,"="&amp;Q58,'[1]1_group_totals'!$I$8:$I$10000,"="&amp;R58)+SUMIFS('[1]1_group_totals'!$P$8:$P$10000,'[1]1_group_totals'!$C$8:$C$10000,I58,'[1]1_group_totals'!$F$8:$F$10000,invoice_location_group_id,'[1]1_group_totals'!$G$8:$G$10000,invoice_location_id,'[1]1_group_totals'!$H$8:$H$10000,"="&amp;Q58,'[1]1_group_totals'!$I$8:$I$10000,"="&amp;R58)+SUMIFS('[1]1_group_totals'!$Q$8:$Q$10000,'[1]1_group_totals'!$C$8:$C$10000,I58,'[1]1_group_totals'!$F$8:$F$10000,invoice_location_group_id,'[1]1_group_totals'!$G$8:$G$10000,invoice_location_id,'[1]1_group_totals'!$H$8:$H$10000,"="&amp;Q58,'[1]1_group_totals'!$I$8:$I$10000,"="&amp;R58))+(SUMIFS('[1]1_group_totals'!$L$8:$L$10000,'[1]1_group_totals'!$C$8:$C$10000,I58,'[1]1_group_totals'!$F$8:$F$10000,invoice_location_group_id,'[1]1_group_totals'!$G$8:$G$10000,invoice_location_id,'[1]1_group_totals'!$H$8:$H$10000,"="&amp;Q58,'[1]1_group_totals'!$I$8:$I$10000,"="&amp;R58)+SUMIFS('[1]1_group_totals'!$M$8:$M$10000,'[1]1_group_totals'!$C$8:$C$10000,I58,'[1]1_group_totals'!$F$8:$F$10000,invoice_location_group_id,'[1]1_group_totals'!$G$8:$G$10000,invoice_location_id,'[1]1_group_totals'!$H$8:$H$10000,"="&amp;Q58,'[1]1_group_totals'!$I$8:$I$10000,"="&amp;R58)+SUMIFS('[1]1_group_totals'!$O$8:$O$10000,'[1]1_group_totals'!$C$8:$C$10000,I58,'[1]1_group_totals'!$F$8:$F$10000,invoice_location_group_id,'[1]1_group_totals'!$G$8:$G$10000,invoice_location_id,'[1]1_group_totals'!$H$8:$H$10000,"="&amp;Q58,'[1]1_group_totals'!$I$8:$I$10000,"="&amp;R58)+SUMIFS('[1]1_group_totals'!$R$8:$R$10000,'[1]1_group_totals'!$C$8:$C$10000,I58,'[1]1_group_totals'!$F$8:$F$10000,invoice_location_group_id,'[1]1_group_totals'!$G$8:$G$10000,invoice_location_id,'[1]1_group_totals'!$H$8:$H$10000,"="&amp;Q58,'[1]1_group_totals'!$I$8:$I$10000,"="&amp;R58)))</f>
        <v/>
      </c>
      <c r="AX58" s="197" t="str">
        <f t="shared" si="21"/>
        <v/>
      </c>
      <c r="AY58" s="197" t="str">
        <f>IF(M58="","",SUMIFS($AX$8:AX58,$I$8:I58,I58))</f>
        <v/>
      </c>
      <c r="AZ58" s="197" t="str">
        <f t="shared" si="22"/>
        <v/>
      </c>
      <c r="BA58" s="197" t="str">
        <f>IF(M58="","",(SUMIFS('[1]1_inventory_totals'!$I$8:$I$10000,'[1]1_inventory_totals'!$C$8:$C$10000,I58,'[1]1_inventory_totals'!$F$8:$F$10000,"="&amp;Q58,'[1]1_inventory_totals'!$G$8:$G$10000,"="&amp;R58)+SUMIFS('[1]1_inventory_totals'!$N$8:$N$10000,'[1]1_inventory_totals'!$C$8:$C$10000,I58,'[1]1_inventory_totals'!$F$8:$F$10000,"="&amp;Q58,'[1]1_inventory_totals'!$G$8:$G$10000,"="&amp;R58)+SUMIFS('[1]1_inventory_totals'!$P$8:$P$10000,'[1]1_inventory_totals'!$C$8:$C$10000,I58,'[1]1_inventory_totals'!$F$8:$F$10000,"="&amp;Q58,'[1]1_inventory_totals'!$G$8:$G$10000,"="&amp;R58)+SUMIFS('[1]1_inventory_totals'!$Q$8:$Q$10000,'[1]1_inventory_totals'!$C$8:$C$10000,I58,'[1]1_inventory_totals'!$F$8:$F$10000,"="&amp;Q58,'[1]1_inventory_totals'!$G$8:$G$10000,"="&amp;R58)+SUMIFS('[1]1_inventory_totals'!$R$8:$R$10000,'[1]1_inventory_totals'!$C$8:$C$10000,I58,'[1]1_inventory_totals'!$F$8:$F$10000,"="&amp;Q58,'[1]1_inventory_totals'!$G$8:$G$10000,"="&amp;R58))+(SUMIFS('[1]1_inventory_totals'!$J$8:$J$10000,'[1]1_inventory_totals'!$C$8:$C$10000,I58,'[1]1_inventory_totals'!$F$8:$F$10000,"="&amp;Q58,'[1]1_inventory_totals'!$G$8:$G$10000,"="&amp;R58)+SUMIFS('[1]1_inventory_totals'!$K$8:$K$10000,'[1]1_inventory_totals'!$C$8:$C$10000,I58,'[1]1_inventory_totals'!$F$8:$F$10000,"="&amp;Q58,'[1]1_inventory_totals'!$G$8:$G$10000,"="&amp;R58)+SUMIFS('[1]1_inventory_totals'!$L$8:$L$10000,'[1]1_inventory_totals'!$C$8:$C$10000,I58,'[1]1_inventory_totals'!$F$8:$F$10000,"="&amp;Q58,'[1]1_inventory_totals'!$G$8:$G$10000,"="&amp;R58)+SUMIFS('[1]1_inventory_totals'!$M$8:$M$10000,'[1]1_inventory_totals'!$C$8:$C$10000,I58,'[1]1_inventory_totals'!$F$8:$F$10000,"="&amp;Q58,'[1]1_inventory_totals'!$G$8:$G$10000,"="&amp;R58)+SUMIFS('[1]1_inventory_totals'!$O$8:$O$10000,'[1]1_inventory_totals'!$C$8:$C$10000,I58,'[1]1_inventory_totals'!$F$8:$F$10000,"="&amp;Q58,'[1]1_inventory_totals'!$G$8:$G$10000,"="&amp;R58)+SUMIFS('[1]1_inventory_totals'!$S$8:$S$10000,'[1]1_inventory_totals'!$C$8:$C$10000,I58,'[1]1_inventory_totals'!$F$8:$F$10000,"="&amp;Q58,'[1]1_inventory_totals'!$G$8:$G$10000,"="&amp;R58)))</f>
        <v/>
      </c>
      <c r="BB58" s="197" t="str">
        <f>IF(M58="","",(SUMIFS('[1]2_inventory_totals'!$I$8:$I$10000,'[1]2_inventory_totals'!$C$8:$C$10000,I58,'[1]2_inventory_totals'!$F$8:$F$10000,"="&amp;Q58,'[1]2_inventory_totals'!$G$8:$G$10000,"="&amp;R58)+SUMIFS('[1]2_inventory_totals'!$N$8:$N$10000,'[1]2_inventory_totals'!$C$8:$C$10000,I58,'[1]2_inventory_totals'!$F$8:$F$10000,"="&amp;Q58,'[1]2_inventory_totals'!$G$8:$G$10000,"="&amp;R58)+SUMIFS('[1]2_inventory_totals'!$P$8:$P$10000,'[1]2_inventory_totals'!$C$8:$C$10000,I58,'[1]2_inventory_totals'!$F$8:$F$10000,"="&amp;Q58,'[1]2_inventory_totals'!$G$8:$G$10000,"="&amp;R58)+SUMIFS('[1]2_inventory_totals'!$Q$8:$Q$10000,'[1]2_inventory_totals'!$C$8:$C$10000,I58,'[1]2_inventory_totals'!$F$8:$F$10000,"="&amp;Q58,'[1]2_inventory_totals'!$G$8:$G$10000,"="&amp;R58)+SUMIFS('[1]2_inventory_totals'!$R$8:$R$10000,'[1]2_inventory_totals'!$C$8:$C$10000,I58,'[1]2_inventory_totals'!$F$8:$F$10000,"="&amp;Q58,'[1]2_inventory_totals'!$G$8:$G$10000,"="&amp;R58))+(SUMIFS('[1]2_inventory_totals'!$J$8:$J$10000,'[1]2_inventory_totals'!$C$8:$C$10000,I58,'[1]2_inventory_totals'!$F$8:$F$10000,"="&amp;Q58,'[1]2_inventory_totals'!$G$8:$G$10000,"="&amp;R58)+SUMIFS('[1]2_inventory_totals'!$K$8:$K$10000,'[1]2_inventory_totals'!$C$8:$C$10000,I58,'[1]2_inventory_totals'!$F$8:$F$10000,"="&amp;Q58,'[1]2_inventory_totals'!$G$8:$G$10000,"="&amp;R58)+SUMIFS('[1]2_inventory_totals'!$L$8:$L$10000,'[1]2_inventory_totals'!$C$8:$C$10000,I58,'[1]2_inventory_totals'!$F$8:$F$10000,"="&amp;Q58,'[1]2_inventory_totals'!$G$8:$G$10000,"="&amp;R58)+SUMIFS('[1]2_inventory_totals'!$M$8:$M$10000,'[1]2_inventory_totals'!$C$8:$C$10000,I58,'[1]2_inventory_totals'!$F$8:$F$10000,"="&amp;Q58,'[1]2_inventory_totals'!$G$8:$G$10000,"="&amp;R58)+SUMIFS('[1]2_inventory_totals'!$O$8:$O$10000,'[1]2_inventory_totals'!$C$8:$C$10000,I58,'[1]2_inventory_totals'!$F$8:$F$10000,"="&amp;Q58,'[1]2_inventory_totals'!$G$8:$G$10000,"="&amp;R58)+SUMIFS('[1]2_inventory_totals'!$S$8:$S$10000,'[1]2_inventory_totals'!$C$8:$C$10000,I58,'[1]2_inventory_totals'!$F$8:$F$10000,"="&amp;Q58,'[1]2_inventory_totals'!$G$8:$G$10000,"="&amp;R58)))</f>
        <v/>
      </c>
    </row>
    <row r="59" spans="1:54" ht="27" hidden="1" customHeight="1">
      <c r="A59" s="923"/>
      <c r="B59" s="1256"/>
      <c r="C59" s="950"/>
      <c r="D59" s="950"/>
      <c r="E59" s="950"/>
      <c r="F59" s="1257"/>
      <c r="G59" s="941"/>
      <c r="H59" s="951"/>
      <c r="I59" s="1610" t="str">
        <f t="shared" si="7"/>
        <v/>
      </c>
      <c r="J59" s="1611" t="str">
        <f t="shared" si="24"/>
        <v/>
      </c>
      <c r="K59" s="1612" t="str">
        <f t="shared" si="30"/>
        <v/>
      </c>
      <c r="L59" s="1613"/>
      <c r="M59" s="883"/>
      <c r="N59" s="884"/>
      <c r="O59" s="884"/>
      <c r="P59" s="885"/>
      <c r="Q59" s="886"/>
      <c r="R59" s="891"/>
      <c r="S59" s="1614" t="str">
        <f t="shared" si="0"/>
        <v/>
      </c>
      <c r="T59" s="1536"/>
      <c r="U59" s="1864" t="str">
        <f t="shared" si="9"/>
        <v/>
      </c>
      <c r="V59" s="1615" t="str">
        <f t="shared" si="25"/>
        <v/>
      </c>
      <c r="W59" s="889"/>
      <c r="X59" s="1615" t="str">
        <f t="shared" si="26"/>
        <v/>
      </c>
      <c r="Y59" s="1865" t="str">
        <f t="shared" si="10"/>
        <v/>
      </c>
      <c r="Z59" s="890"/>
      <c r="AA59" s="197" t="str" cm="1">
        <f t="array" ref="AA59">IF(M59="","",IF(P59=AN59,1,Slookup(MID(AN59,1,3)*1,UomConversion!$D$8:$J$500,5,UomConversion!$E$8:$E$500,MID(P59,1,3)*1,UomConversion!$J$8:$J$500,1)))</f>
        <v/>
      </c>
      <c r="AB59" s="197" t="str">
        <f t="shared" si="11"/>
        <v/>
      </c>
      <c r="AC59" s="197" t="str">
        <f t="shared" si="12"/>
        <v/>
      </c>
      <c r="AD59" s="197" t="str">
        <f t="shared" si="13"/>
        <v/>
      </c>
      <c r="AE59" s="1866" t="str">
        <f t="shared" si="14"/>
        <v/>
      </c>
      <c r="AF59" s="1866" t="str">
        <f t="shared" si="27"/>
        <v/>
      </c>
      <c r="AG59" s="197" t="str">
        <f t="shared" si="16"/>
        <v/>
      </c>
      <c r="AH59" s="197" t="str">
        <f>IF(I59="","",IF(ISNA(MATCH(I59,IF(invoice_location_id=1,'[1]1_inventory_totals'!$C$8:$C$10000,IF(invoice_location_id=2,'[1]2_inventory_totals'!$C$8:$C$10000,0)),0)),0,IF(AV59&gt;0,1,0)))</f>
        <v/>
      </c>
      <c r="AI59" s="197" t="str">
        <f>IF(M59="","",IF(invoice_location_id=1,SUMIFS('[1]1_inventory_total_details'!$J$8:$J$10000,'[1]1_inventory_total_details'!$C$8:$C$10000,I59,'[1]1_inventory_total_details'!$F$8:$F$10000,invoice_location_id,'[1]1_inventory_total_details'!$G$8:$G$10000,"="&amp;Q59,'[1]1_inventory_total_details'!$H$8:$H$10000,"="&amp;R59,'[1]1_inventory_total_details'!$I$8:$I$10000,"="&amp;invoice_date)+SUMIFS('[1]1_inventory_total_details'!$M$8:$M$10000,'[1]1_inventory_total_details'!$C$8:$C$10000,I59,'[1]1_inventory_total_details'!$F$8:$F$10000,invoice_location_id,'[1]1_inventory_total_details'!$G$8:$G$10000,"="&amp;Q59,'[1]1_inventory_total_details'!$H$8:$H$10000,"="&amp;R59,'[1]1_inventory_total_details'!$I$8:$I$10000,"="&amp;invoice_date)+SUMIFS('[1]1_inventory_total_details'!$K$8:$K$10000,'[1]1_inventory_total_details'!$C$8:$C$10000,I59,'[1]1_inventory_total_details'!$F$8:$F$10000,invoice_location_id,'[1]1_inventory_total_details'!$G$8:$G$10000,"="&amp;Q59,'[1]1_inventory_total_details'!$H$8:$H$10000,"="&amp;R59,'[1]1_inventory_total_details'!$I$8:$I$10000,"="&amp;invoice_date)+SUMIFS('[1]1_inventory_total_details'!$L$8:$L$10000,'[1]1_inventory_total_details'!$C$8:$C$10000,I59,'[1]1_inventory_total_details'!$F$8:$F$10000,invoice_location_id,'[1]1_inventory_total_details'!$G$8:$G$10000,"="&amp;Q59,'[1]1_inventory_total_details'!$H$8:$H$10000,"="&amp;R59,'[1]1_inventory_total_details'!$I$8:$I$10000,"="&amp;invoice_date),SUMIFS('[1]2_inventory_total_details'!$J$8:$J$10000,'[1]2_inventory_total_details'!$C$8:$C$10000,I59,'[1]2_inventory_total_details'!$F$8:$F$10000,invoice_location_id,'[1]2_inventory_total_details'!$G$8:$G$10000,"="&amp;Q59,'[1]2_inventory_total_details'!$H$8:$H$10000,"="&amp;R59,'[1]2_inventory_total_details'!$I$8:$I$10000,"="&amp;invoice_date)+SUMIFS('[1]2_inventory_total_details'!$M$8:$M$10000,'[1]2_inventory_total_details'!$C$8:$C$10000,I59,'[1]2_inventory_total_details'!$F$8:$F$10000,invoice_location_id,'[1]2_inventory_total_details'!$G$8:$G$10000,"="&amp;Q59,'[1]2_inventory_total_details'!$H$8:$H$10000,"="&amp;R59,'[1]2_inventory_total_details'!$I$8:$I$10000,"="&amp;invoice_date)+SUMIFS('[1]2_inventory_total_details'!$K$8:$K$10000,'[1]2_inventory_total_details'!$C$8:$C$10000,I59,'[1]2_inventory_total_details'!$F$8:$F$10000,invoice_location_id,'[1]2_inventory_total_details'!$G$8:$G$10000,"="&amp;Q59,'[1]2_inventory_total_details'!$H$8:$H$10000,"="&amp;R59,'[1]2_inventory_total_details'!$I$8:$I$10000,"="&amp;invoice_date)+SUMIFS('[1]2_inventory_total_details'!$L$8:$L$10000,'[1]2_inventory_total_details'!$C$8:$C$10000,I59,'[1]2_inventory_total_details'!$F$8:$F$10000,invoice_location_id,'[1]2_inventory_total_details'!$G$8:$G$10000,"="&amp;Q59,'[1]2_inventory_total_details'!$H$8:$H$10000,"="&amp;R59,'[1]2_inventory_total_details'!$I$8:$I$10000,"="&amp;invoice_date)))</f>
        <v/>
      </c>
      <c r="AJ59" s="197" t="str">
        <f>IF(M59="","",IF(ISNA(MATCH(I59,'[1]1_group_totals'!$C$8:$C$10000)),0,IF(AW59&gt;0,1,0)))</f>
        <v/>
      </c>
      <c r="AK59" s="197" t="str">
        <f>IF(M59="","",(SUMIFS('[1]1_group_total_details'!$I$8:$I$10000,'[1]1_group_total_details'!$C$8:$C$10000,I59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59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59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59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59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59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59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59,'[1]1_group_total_details'!$F$8:$F$10000,invoice_location_group_id,'[1]1_group_total_details'!$G$8:$G$10000,invoice_location_id,'[1]1_group_total_details'!$H$8:$H$10000,"="&amp;invoice_date)))</f>
        <v/>
      </c>
      <c r="AL59" s="197" t="str">
        <f>IF(M59="","",(SUMIFS('[1]1_group_total_details'!$I$8:$I$10000,'[1]1_group_total_details'!$C$8:$C$10000,I59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59,'[1]1_group_total_details'!$F$8:$F$10000,invoice_location_group_id,'[1]1_group_total_details'!$G$8:$G$10000,1,'[1]1_group_total_details'!$H$8:$H$10000,"&lt;="&amp;invoice_date)+SUMIFS('[1]1_group_total_details'!$N$8:$N$10000,'[1]1_group_total_details'!$C$8:$C$10000,I59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59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59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59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59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59,'[1]1_group_total_details'!$F$8:$F$10000,invoice_location_group_id,'[1]1_group_total_details'!$G$8:$G$10000,invoice_location_id,'[1]1_group_total_details'!$H$8:$H$10000,"&lt;="&amp;invoice_date)))</f>
        <v/>
      </c>
      <c r="AM59" s="197" t="str">
        <f>IF(M59="","",SUMIFS('[1]1_group_totals'!$J$8:$J$10000,'[1]1_group_totals'!$C$8:$C$10000,I59,'[1]1_group_totals'!$F$8:$F$10000,invoice_location_group_id,'[1]1_group_totals'!$G$8:$G$10000,invoice_location_id,'[1]1_group_totals'!$H$8:$H$10000,"="&amp;Q59,'[1]1_group_totals'!$I$8:$I$10000,"="&amp;R59))</f>
        <v/>
      </c>
      <c r="AN59" s="197" t="str">
        <f t="shared" si="17"/>
        <v/>
      </c>
      <c r="AO59" s="197" t="str">
        <f>IF(OR(ISNA(MATCH(MID(AN59,1,3)*1,UomConversion!$D$8:$D$500,0)),M59=""),"",IF(AT59="","",AT59))</f>
        <v/>
      </c>
      <c r="AP59" s="197" t="str">
        <f>IF(AND(AQ59&gt;0,COUNTIFS(UomConversion!$D$8:$D$500,MID(AN59,1,3)*1,UomConversion!$J$8:$J$500,1)&gt;1),TEXT(AQ59,"000")&amp;"."&amp;VLOOKUP(AQ59,uom_list,5,FALSE),"")</f>
        <v/>
      </c>
      <c r="AQ59" s="197" t="str">
        <f t="shared" si="18"/>
        <v/>
      </c>
      <c r="AR59" s="197" t="str">
        <f t="shared" si="19"/>
        <v/>
      </c>
      <c r="AS59" s="1866" t="str">
        <f>IF(M59="","",SUMIFS(ProductPrice!$N$28:$N$10000,ProductPrice!$D$28:$D$10000,I59,ProductPrice!$G$28:$G$10000,invoice_branch_id,ProductPrice!$H$28:$H$10000,invoice_price_type_id,ProductPrice!$I$28:$I$10000,MID(P59,1,3)*1,ProductPrice!$Q$28:$Q$10000,1,ProductPrice!$T$28:$T$10000,1))</f>
        <v/>
      </c>
      <c r="AT59" s="197" t="str">
        <f t="shared" si="28"/>
        <v/>
      </c>
      <c r="AU59" s="197" t="str" cm="1">
        <f t="array" ref="AU59">IF(M59="","",IF(ISNA(Slookup(MID(AN59,1,3)*1,UomConversion!$D$8:$J$500,2,UomConversion!$I$8:$I$500,1,UomConversion!$J$8:$J$500,1)),"",Slookup(MID(AN59,1,3)*1,UomConversion!$D$8:$J$500,2,UomConversion!$I$8:$I$500,1,UomConversion!$J$8:$J$500,1)))</f>
        <v/>
      </c>
      <c r="AV59" s="197" t="str">
        <f t="shared" si="29"/>
        <v/>
      </c>
      <c r="AW59" s="197" t="str">
        <f>IF(M59="","",(SUMIFS('[1]1_group_totals'!$K$8:$K$10000,'[1]1_group_totals'!$C$8:$C$10000,I59,'[1]1_group_totals'!$F$8:$F$10000,invoice_location_group_id,'[1]1_group_totals'!$G$8:$G$10000,invoice_location_id,'[1]1_group_totals'!$H$8:$H$10000,"="&amp;Q59,'[1]1_group_totals'!$I$8:$I$10000,"="&amp;R59)+SUMIFS('[1]1_group_totals'!$N$8:$N$10000,'[1]1_group_totals'!$C$8:$C$10000,I59,'[1]1_group_totals'!$F$8:$F$10000,invoice_location_group_id,'[1]1_group_totals'!$G$8:$G$10000,invoice_location_id,'[1]1_group_totals'!$H$8:$H$10000,"="&amp;Q59,'[1]1_group_totals'!$I$8:$I$10000,"="&amp;R59)+SUMIFS('[1]1_group_totals'!$P$8:$P$10000,'[1]1_group_totals'!$C$8:$C$10000,I59,'[1]1_group_totals'!$F$8:$F$10000,invoice_location_group_id,'[1]1_group_totals'!$G$8:$G$10000,invoice_location_id,'[1]1_group_totals'!$H$8:$H$10000,"="&amp;Q59,'[1]1_group_totals'!$I$8:$I$10000,"="&amp;R59)+SUMIFS('[1]1_group_totals'!$Q$8:$Q$10000,'[1]1_group_totals'!$C$8:$C$10000,I59,'[1]1_group_totals'!$F$8:$F$10000,invoice_location_group_id,'[1]1_group_totals'!$G$8:$G$10000,invoice_location_id,'[1]1_group_totals'!$H$8:$H$10000,"="&amp;Q59,'[1]1_group_totals'!$I$8:$I$10000,"="&amp;R59))+(SUMIFS('[1]1_group_totals'!$L$8:$L$10000,'[1]1_group_totals'!$C$8:$C$10000,I59,'[1]1_group_totals'!$F$8:$F$10000,invoice_location_group_id,'[1]1_group_totals'!$G$8:$G$10000,invoice_location_id,'[1]1_group_totals'!$H$8:$H$10000,"="&amp;Q59,'[1]1_group_totals'!$I$8:$I$10000,"="&amp;R59)+SUMIFS('[1]1_group_totals'!$M$8:$M$10000,'[1]1_group_totals'!$C$8:$C$10000,I59,'[1]1_group_totals'!$F$8:$F$10000,invoice_location_group_id,'[1]1_group_totals'!$G$8:$G$10000,invoice_location_id,'[1]1_group_totals'!$H$8:$H$10000,"="&amp;Q59,'[1]1_group_totals'!$I$8:$I$10000,"="&amp;R59)+SUMIFS('[1]1_group_totals'!$O$8:$O$10000,'[1]1_group_totals'!$C$8:$C$10000,I59,'[1]1_group_totals'!$F$8:$F$10000,invoice_location_group_id,'[1]1_group_totals'!$G$8:$G$10000,invoice_location_id,'[1]1_group_totals'!$H$8:$H$10000,"="&amp;Q59,'[1]1_group_totals'!$I$8:$I$10000,"="&amp;R59)+SUMIFS('[1]1_group_totals'!$R$8:$R$10000,'[1]1_group_totals'!$C$8:$C$10000,I59,'[1]1_group_totals'!$F$8:$F$10000,invoice_location_group_id,'[1]1_group_totals'!$G$8:$G$10000,invoice_location_id,'[1]1_group_totals'!$H$8:$H$10000,"="&amp;Q59,'[1]1_group_totals'!$I$8:$I$10000,"="&amp;R59)))</f>
        <v/>
      </c>
      <c r="AX59" s="197" t="str">
        <f t="shared" si="21"/>
        <v/>
      </c>
      <c r="AY59" s="197" t="str">
        <f>IF(M59="","",SUMIFS($AX$8:AX59,$I$8:I59,I59))</f>
        <v/>
      </c>
      <c r="AZ59" s="197" t="str">
        <f t="shared" si="22"/>
        <v/>
      </c>
      <c r="BA59" s="197" t="str">
        <f>IF(M59="","",(SUMIFS('[1]1_inventory_totals'!$I$8:$I$10000,'[1]1_inventory_totals'!$C$8:$C$10000,I59,'[1]1_inventory_totals'!$F$8:$F$10000,"="&amp;Q59,'[1]1_inventory_totals'!$G$8:$G$10000,"="&amp;R59)+SUMIFS('[1]1_inventory_totals'!$N$8:$N$10000,'[1]1_inventory_totals'!$C$8:$C$10000,I59,'[1]1_inventory_totals'!$F$8:$F$10000,"="&amp;Q59,'[1]1_inventory_totals'!$G$8:$G$10000,"="&amp;R59)+SUMIFS('[1]1_inventory_totals'!$P$8:$P$10000,'[1]1_inventory_totals'!$C$8:$C$10000,I59,'[1]1_inventory_totals'!$F$8:$F$10000,"="&amp;Q59,'[1]1_inventory_totals'!$G$8:$G$10000,"="&amp;R59)+SUMIFS('[1]1_inventory_totals'!$Q$8:$Q$10000,'[1]1_inventory_totals'!$C$8:$C$10000,I59,'[1]1_inventory_totals'!$F$8:$F$10000,"="&amp;Q59,'[1]1_inventory_totals'!$G$8:$G$10000,"="&amp;R59)+SUMIFS('[1]1_inventory_totals'!$R$8:$R$10000,'[1]1_inventory_totals'!$C$8:$C$10000,I59,'[1]1_inventory_totals'!$F$8:$F$10000,"="&amp;Q59,'[1]1_inventory_totals'!$G$8:$G$10000,"="&amp;R59))+(SUMIFS('[1]1_inventory_totals'!$J$8:$J$10000,'[1]1_inventory_totals'!$C$8:$C$10000,I59,'[1]1_inventory_totals'!$F$8:$F$10000,"="&amp;Q59,'[1]1_inventory_totals'!$G$8:$G$10000,"="&amp;R59)+SUMIFS('[1]1_inventory_totals'!$K$8:$K$10000,'[1]1_inventory_totals'!$C$8:$C$10000,I59,'[1]1_inventory_totals'!$F$8:$F$10000,"="&amp;Q59,'[1]1_inventory_totals'!$G$8:$G$10000,"="&amp;R59)+SUMIFS('[1]1_inventory_totals'!$L$8:$L$10000,'[1]1_inventory_totals'!$C$8:$C$10000,I59,'[1]1_inventory_totals'!$F$8:$F$10000,"="&amp;Q59,'[1]1_inventory_totals'!$G$8:$G$10000,"="&amp;R59)+SUMIFS('[1]1_inventory_totals'!$M$8:$M$10000,'[1]1_inventory_totals'!$C$8:$C$10000,I59,'[1]1_inventory_totals'!$F$8:$F$10000,"="&amp;Q59,'[1]1_inventory_totals'!$G$8:$G$10000,"="&amp;R59)+SUMIFS('[1]1_inventory_totals'!$O$8:$O$10000,'[1]1_inventory_totals'!$C$8:$C$10000,I59,'[1]1_inventory_totals'!$F$8:$F$10000,"="&amp;Q59,'[1]1_inventory_totals'!$G$8:$G$10000,"="&amp;R59)+SUMIFS('[1]1_inventory_totals'!$S$8:$S$10000,'[1]1_inventory_totals'!$C$8:$C$10000,I59,'[1]1_inventory_totals'!$F$8:$F$10000,"="&amp;Q59,'[1]1_inventory_totals'!$G$8:$G$10000,"="&amp;R59)))</f>
        <v/>
      </c>
      <c r="BB59" s="197" t="str">
        <f>IF(M59="","",(SUMIFS('[1]2_inventory_totals'!$I$8:$I$10000,'[1]2_inventory_totals'!$C$8:$C$10000,I59,'[1]2_inventory_totals'!$F$8:$F$10000,"="&amp;Q59,'[1]2_inventory_totals'!$G$8:$G$10000,"="&amp;R59)+SUMIFS('[1]2_inventory_totals'!$N$8:$N$10000,'[1]2_inventory_totals'!$C$8:$C$10000,I59,'[1]2_inventory_totals'!$F$8:$F$10000,"="&amp;Q59,'[1]2_inventory_totals'!$G$8:$G$10000,"="&amp;R59)+SUMIFS('[1]2_inventory_totals'!$P$8:$P$10000,'[1]2_inventory_totals'!$C$8:$C$10000,I59,'[1]2_inventory_totals'!$F$8:$F$10000,"="&amp;Q59,'[1]2_inventory_totals'!$G$8:$G$10000,"="&amp;R59)+SUMIFS('[1]2_inventory_totals'!$Q$8:$Q$10000,'[1]2_inventory_totals'!$C$8:$C$10000,I59,'[1]2_inventory_totals'!$F$8:$F$10000,"="&amp;Q59,'[1]2_inventory_totals'!$G$8:$G$10000,"="&amp;R59)+SUMIFS('[1]2_inventory_totals'!$R$8:$R$10000,'[1]2_inventory_totals'!$C$8:$C$10000,I59,'[1]2_inventory_totals'!$F$8:$F$10000,"="&amp;Q59,'[1]2_inventory_totals'!$G$8:$G$10000,"="&amp;R59))+(SUMIFS('[1]2_inventory_totals'!$J$8:$J$10000,'[1]2_inventory_totals'!$C$8:$C$10000,I59,'[1]2_inventory_totals'!$F$8:$F$10000,"="&amp;Q59,'[1]2_inventory_totals'!$G$8:$G$10000,"="&amp;R59)+SUMIFS('[1]2_inventory_totals'!$K$8:$K$10000,'[1]2_inventory_totals'!$C$8:$C$10000,I59,'[1]2_inventory_totals'!$F$8:$F$10000,"="&amp;Q59,'[1]2_inventory_totals'!$G$8:$G$10000,"="&amp;R59)+SUMIFS('[1]2_inventory_totals'!$L$8:$L$10000,'[1]2_inventory_totals'!$C$8:$C$10000,I59,'[1]2_inventory_totals'!$F$8:$F$10000,"="&amp;Q59,'[1]2_inventory_totals'!$G$8:$G$10000,"="&amp;R59)+SUMIFS('[1]2_inventory_totals'!$M$8:$M$10000,'[1]2_inventory_totals'!$C$8:$C$10000,I59,'[1]2_inventory_totals'!$F$8:$F$10000,"="&amp;Q59,'[1]2_inventory_totals'!$G$8:$G$10000,"="&amp;R59)+SUMIFS('[1]2_inventory_totals'!$O$8:$O$10000,'[1]2_inventory_totals'!$C$8:$C$10000,I59,'[1]2_inventory_totals'!$F$8:$F$10000,"="&amp;Q59,'[1]2_inventory_totals'!$G$8:$G$10000,"="&amp;R59)+SUMIFS('[1]2_inventory_totals'!$S$8:$S$10000,'[1]2_inventory_totals'!$C$8:$C$10000,I59,'[1]2_inventory_totals'!$F$8:$F$10000,"="&amp;Q59,'[1]2_inventory_totals'!$G$8:$G$10000,"="&amp;R59)))</f>
        <v/>
      </c>
    </row>
    <row r="60" spans="1:54" ht="27" hidden="1" customHeight="1">
      <c r="A60" s="923"/>
      <c r="B60" s="1256"/>
      <c r="C60" s="950"/>
      <c r="D60" s="950"/>
      <c r="E60" s="950"/>
      <c r="F60" s="1257"/>
      <c r="G60" s="941"/>
      <c r="H60" s="951"/>
      <c r="I60" s="1610" t="str">
        <f t="shared" si="7"/>
        <v/>
      </c>
      <c r="J60" s="1611" t="str">
        <f t="shared" si="24"/>
        <v/>
      </c>
      <c r="K60" s="1612" t="str">
        <f t="shared" si="30"/>
        <v/>
      </c>
      <c r="L60" s="1613"/>
      <c r="M60" s="883"/>
      <c r="N60" s="884"/>
      <c r="O60" s="884"/>
      <c r="P60" s="885"/>
      <c r="Q60" s="886"/>
      <c r="R60" s="891"/>
      <c r="S60" s="1614" t="str">
        <f t="shared" si="0"/>
        <v/>
      </c>
      <c r="T60" s="1536"/>
      <c r="U60" s="1864" t="str">
        <f t="shared" si="9"/>
        <v/>
      </c>
      <c r="V60" s="1615" t="str">
        <f t="shared" si="25"/>
        <v/>
      </c>
      <c r="W60" s="889"/>
      <c r="X60" s="1615" t="str">
        <f t="shared" si="26"/>
        <v/>
      </c>
      <c r="Y60" s="1865" t="str">
        <f t="shared" si="10"/>
        <v/>
      </c>
      <c r="Z60" s="890"/>
      <c r="AA60" s="197" t="str" cm="1">
        <f t="array" ref="AA60">IF(M60="","",IF(P60=AN60,1,Slookup(MID(AN60,1,3)*1,UomConversion!$D$8:$J$500,5,UomConversion!$E$8:$E$500,MID(P60,1,3)*1,UomConversion!$J$8:$J$500,1)))</f>
        <v/>
      </c>
      <c r="AB60" s="197" t="str">
        <f t="shared" si="11"/>
        <v/>
      </c>
      <c r="AC60" s="197" t="str">
        <f t="shared" si="12"/>
        <v/>
      </c>
      <c r="AD60" s="197" t="str">
        <f t="shared" si="13"/>
        <v/>
      </c>
      <c r="AE60" s="1866" t="str">
        <f t="shared" si="14"/>
        <v/>
      </c>
      <c r="AF60" s="1866" t="str">
        <f t="shared" si="27"/>
        <v/>
      </c>
      <c r="AG60" s="197" t="str">
        <f t="shared" si="16"/>
        <v/>
      </c>
      <c r="AH60" s="197" t="str">
        <f>IF(I60="","",IF(ISNA(MATCH(I60,IF(invoice_location_id=1,'[1]1_inventory_totals'!$C$8:$C$10000,IF(invoice_location_id=2,'[1]2_inventory_totals'!$C$8:$C$10000,0)),0)),0,IF(AV60&gt;0,1,0)))</f>
        <v/>
      </c>
      <c r="AI60" s="197" t="str">
        <f>IF(M60="","",IF(invoice_location_id=1,SUMIFS('[1]1_inventory_total_details'!$J$8:$J$10000,'[1]1_inventory_total_details'!$C$8:$C$10000,I60,'[1]1_inventory_total_details'!$F$8:$F$10000,invoice_location_id,'[1]1_inventory_total_details'!$G$8:$G$10000,"="&amp;Q60,'[1]1_inventory_total_details'!$H$8:$H$10000,"="&amp;R60,'[1]1_inventory_total_details'!$I$8:$I$10000,"="&amp;invoice_date)+SUMIFS('[1]1_inventory_total_details'!$M$8:$M$10000,'[1]1_inventory_total_details'!$C$8:$C$10000,I60,'[1]1_inventory_total_details'!$F$8:$F$10000,invoice_location_id,'[1]1_inventory_total_details'!$G$8:$G$10000,"="&amp;Q60,'[1]1_inventory_total_details'!$H$8:$H$10000,"="&amp;R60,'[1]1_inventory_total_details'!$I$8:$I$10000,"="&amp;invoice_date)+SUMIFS('[1]1_inventory_total_details'!$K$8:$K$10000,'[1]1_inventory_total_details'!$C$8:$C$10000,I60,'[1]1_inventory_total_details'!$F$8:$F$10000,invoice_location_id,'[1]1_inventory_total_details'!$G$8:$G$10000,"="&amp;Q60,'[1]1_inventory_total_details'!$H$8:$H$10000,"="&amp;R60,'[1]1_inventory_total_details'!$I$8:$I$10000,"="&amp;invoice_date)+SUMIFS('[1]1_inventory_total_details'!$L$8:$L$10000,'[1]1_inventory_total_details'!$C$8:$C$10000,I60,'[1]1_inventory_total_details'!$F$8:$F$10000,invoice_location_id,'[1]1_inventory_total_details'!$G$8:$G$10000,"="&amp;Q60,'[1]1_inventory_total_details'!$H$8:$H$10000,"="&amp;R60,'[1]1_inventory_total_details'!$I$8:$I$10000,"="&amp;invoice_date),SUMIFS('[1]2_inventory_total_details'!$J$8:$J$10000,'[1]2_inventory_total_details'!$C$8:$C$10000,I60,'[1]2_inventory_total_details'!$F$8:$F$10000,invoice_location_id,'[1]2_inventory_total_details'!$G$8:$G$10000,"="&amp;Q60,'[1]2_inventory_total_details'!$H$8:$H$10000,"="&amp;R60,'[1]2_inventory_total_details'!$I$8:$I$10000,"="&amp;invoice_date)+SUMIFS('[1]2_inventory_total_details'!$M$8:$M$10000,'[1]2_inventory_total_details'!$C$8:$C$10000,I60,'[1]2_inventory_total_details'!$F$8:$F$10000,invoice_location_id,'[1]2_inventory_total_details'!$G$8:$G$10000,"="&amp;Q60,'[1]2_inventory_total_details'!$H$8:$H$10000,"="&amp;R60,'[1]2_inventory_total_details'!$I$8:$I$10000,"="&amp;invoice_date)+SUMIFS('[1]2_inventory_total_details'!$K$8:$K$10000,'[1]2_inventory_total_details'!$C$8:$C$10000,I60,'[1]2_inventory_total_details'!$F$8:$F$10000,invoice_location_id,'[1]2_inventory_total_details'!$G$8:$G$10000,"="&amp;Q60,'[1]2_inventory_total_details'!$H$8:$H$10000,"="&amp;R60,'[1]2_inventory_total_details'!$I$8:$I$10000,"="&amp;invoice_date)+SUMIFS('[1]2_inventory_total_details'!$L$8:$L$10000,'[1]2_inventory_total_details'!$C$8:$C$10000,I60,'[1]2_inventory_total_details'!$F$8:$F$10000,invoice_location_id,'[1]2_inventory_total_details'!$G$8:$G$10000,"="&amp;Q60,'[1]2_inventory_total_details'!$H$8:$H$10000,"="&amp;R60,'[1]2_inventory_total_details'!$I$8:$I$10000,"="&amp;invoice_date)))</f>
        <v/>
      </c>
      <c r="AJ60" s="197" t="str">
        <f>IF(M60="","",IF(ISNA(MATCH(I60,'[1]1_group_totals'!$C$8:$C$10000)),0,IF(AW60&gt;0,1,0)))</f>
        <v/>
      </c>
      <c r="AK60" s="197" t="str">
        <f>IF(M60="","",(SUMIFS('[1]1_group_total_details'!$I$8:$I$10000,'[1]1_group_total_details'!$C$8:$C$10000,I60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60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60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60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60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60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60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60,'[1]1_group_total_details'!$F$8:$F$10000,invoice_location_group_id,'[1]1_group_total_details'!$G$8:$G$10000,invoice_location_id,'[1]1_group_total_details'!$H$8:$H$10000,"="&amp;invoice_date)))</f>
        <v/>
      </c>
      <c r="AL60" s="197" t="str">
        <f>IF(M60="","",(SUMIFS('[1]1_group_total_details'!$I$8:$I$10000,'[1]1_group_total_details'!$C$8:$C$10000,I60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60,'[1]1_group_total_details'!$F$8:$F$10000,invoice_location_group_id,'[1]1_group_total_details'!$G$8:$G$10000,1,'[1]1_group_total_details'!$H$8:$H$10000,"&lt;="&amp;invoice_date)+SUMIFS('[1]1_group_total_details'!$N$8:$N$10000,'[1]1_group_total_details'!$C$8:$C$10000,I60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60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60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60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60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60,'[1]1_group_total_details'!$F$8:$F$10000,invoice_location_group_id,'[1]1_group_total_details'!$G$8:$G$10000,invoice_location_id,'[1]1_group_total_details'!$H$8:$H$10000,"&lt;="&amp;invoice_date)))</f>
        <v/>
      </c>
      <c r="AM60" s="197" t="str">
        <f>IF(M60="","",SUMIFS('[1]1_group_totals'!$J$8:$J$10000,'[1]1_group_totals'!$C$8:$C$10000,I60,'[1]1_group_totals'!$F$8:$F$10000,invoice_location_group_id,'[1]1_group_totals'!$G$8:$G$10000,invoice_location_id,'[1]1_group_totals'!$H$8:$H$10000,"="&amp;Q60,'[1]1_group_totals'!$I$8:$I$10000,"="&amp;R60))</f>
        <v/>
      </c>
      <c r="AN60" s="197" t="str">
        <f t="shared" si="17"/>
        <v/>
      </c>
      <c r="AO60" s="197" t="str">
        <f>IF(OR(ISNA(MATCH(MID(AN60,1,3)*1,UomConversion!$D$8:$D$500,0)),M60=""),"",IF(AT60="","",AT60))</f>
        <v/>
      </c>
      <c r="AP60" s="197" t="str">
        <f>IF(AND(AQ60&gt;0,COUNTIFS(UomConversion!$D$8:$D$500,MID(AN60,1,3)*1,UomConversion!$J$8:$J$500,1)&gt;1),TEXT(AQ60,"000")&amp;"."&amp;VLOOKUP(AQ60,uom_list,5,FALSE),"")</f>
        <v/>
      </c>
      <c r="AQ60" s="197" t="str">
        <f t="shared" si="18"/>
        <v/>
      </c>
      <c r="AR60" s="197" t="str">
        <f t="shared" si="19"/>
        <v/>
      </c>
      <c r="AS60" s="1866" t="str">
        <f>IF(M60="","",SUMIFS(ProductPrice!$N$28:$N$10000,ProductPrice!$D$28:$D$10000,I60,ProductPrice!$G$28:$G$10000,invoice_branch_id,ProductPrice!$H$28:$H$10000,invoice_price_type_id,ProductPrice!$I$28:$I$10000,MID(P60,1,3)*1,ProductPrice!$Q$28:$Q$10000,1,ProductPrice!$T$28:$T$10000,1))</f>
        <v/>
      </c>
      <c r="AT60" s="197" t="str">
        <f t="shared" si="28"/>
        <v/>
      </c>
      <c r="AU60" s="197" t="str" cm="1">
        <f t="array" ref="AU60">IF(M60="","",IF(ISNA(Slookup(MID(AN60,1,3)*1,UomConversion!$D$8:$J$500,2,UomConversion!$I$8:$I$500,1,UomConversion!$J$8:$J$500,1)),"",Slookup(MID(AN60,1,3)*1,UomConversion!$D$8:$J$500,2,UomConversion!$I$8:$I$500,1,UomConversion!$J$8:$J$500,1)))</f>
        <v/>
      </c>
      <c r="AV60" s="197" t="str">
        <f t="shared" si="29"/>
        <v/>
      </c>
      <c r="AW60" s="197" t="str">
        <f>IF(M60="","",(SUMIFS('[1]1_group_totals'!$K$8:$K$10000,'[1]1_group_totals'!$C$8:$C$10000,I60,'[1]1_group_totals'!$F$8:$F$10000,invoice_location_group_id,'[1]1_group_totals'!$G$8:$G$10000,invoice_location_id,'[1]1_group_totals'!$H$8:$H$10000,"="&amp;Q60,'[1]1_group_totals'!$I$8:$I$10000,"="&amp;R60)+SUMIFS('[1]1_group_totals'!$N$8:$N$10000,'[1]1_group_totals'!$C$8:$C$10000,I60,'[1]1_group_totals'!$F$8:$F$10000,invoice_location_group_id,'[1]1_group_totals'!$G$8:$G$10000,invoice_location_id,'[1]1_group_totals'!$H$8:$H$10000,"="&amp;Q60,'[1]1_group_totals'!$I$8:$I$10000,"="&amp;R60)+SUMIFS('[1]1_group_totals'!$P$8:$P$10000,'[1]1_group_totals'!$C$8:$C$10000,I60,'[1]1_group_totals'!$F$8:$F$10000,invoice_location_group_id,'[1]1_group_totals'!$G$8:$G$10000,invoice_location_id,'[1]1_group_totals'!$H$8:$H$10000,"="&amp;Q60,'[1]1_group_totals'!$I$8:$I$10000,"="&amp;R60)+SUMIFS('[1]1_group_totals'!$Q$8:$Q$10000,'[1]1_group_totals'!$C$8:$C$10000,I60,'[1]1_group_totals'!$F$8:$F$10000,invoice_location_group_id,'[1]1_group_totals'!$G$8:$G$10000,invoice_location_id,'[1]1_group_totals'!$H$8:$H$10000,"="&amp;Q60,'[1]1_group_totals'!$I$8:$I$10000,"="&amp;R60))+(SUMIFS('[1]1_group_totals'!$L$8:$L$10000,'[1]1_group_totals'!$C$8:$C$10000,I60,'[1]1_group_totals'!$F$8:$F$10000,invoice_location_group_id,'[1]1_group_totals'!$G$8:$G$10000,invoice_location_id,'[1]1_group_totals'!$H$8:$H$10000,"="&amp;Q60,'[1]1_group_totals'!$I$8:$I$10000,"="&amp;R60)+SUMIFS('[1]1_group_totals'!$M$8:$M$10000,'[1]1_group_totals'!$C$8:$C$10000,I60,'[1]1_group_totals'!$F$8:$F$10000,invoice_location_group_id,'[1]1_group_totals'!$G$8:$G$10000,invoice_location_id,'[1]1_group_totals'!$H$8:$H$10000,"="&amp;Q60,'[1]1_group_totals'!$I$8:$I$10000,"="&amp;R60)+SUMIFS('[1]1_group_totals'!$O$8:$O$10000,'[1]1_group_totals'!$C$8:$C$10000,I60,'[1]1_group_totals'!$F$8:$F$10000,invoice_location_group_id,'[1]1_group_totals'!$G$8:$G$10000,invoice_location_id,'[1]1_group_totals'!$H$8:$H$10000,"="&amp;Q60,'[1]1_group_totals'!$I$8:$I$10000,"="&amp;R60)+SUMIFS('[1]1_group_totals'!$R$8:$R$10000,'[1]1_group_totals'!$C$8:$C$10000,I60,'[1]1_group_totals'!$F$8:$F$10000,invoice_location_group_id,'[1]1_group_totals'!$G$8:$G$10000,invoice_location_id,'[1]1_group_totals'!$H$8:$H$10000,"="&amp;Q60,'[1]1_group_totals'!$I$8:$I$10000,"="&amp;R60)))</f>
        <v/>
      </c>
      <c r="AX60" s="197" t="str">
        <f t="shared" si="21"/>
        <v/>
      </c>
      <c r="AY60" s="197" t="str">
        <f>IF(M60="","",SUMIFS($AX$8:AX60,$I$8:I60,I60))</f>
        <v/>
      </c>
      <c r="AZ60" s="197" t="str">
        <f t="shared" si="22"/>
        <v/>
      </c>
      <c r="BA60" s="197" t="str">
        <f>IF(M60="","",(SUMIFS('[1]1_inventory_totals'!$I$8:$I$10000,'[1]1_inventory_totals'!$C$8:$C$10000,I60,'[1]1_inventory_totals'!$F$8:$F$10000,"="&amp;Q60,'[1]1_inventory_totals'!$G$8:$G$10000,"="&amp;R60)+SUMIFS('[1]1_inventory_totals'!$N$8:$N$10000,'[1]1_inventory_totals'!$C$8:$C$10000,I60,'[1]1_inventory_totals'!$F$8:$F$10000,"="&amp;Q60,'[1]1_inventory_totals'!$G$8:$G$10000,"="&amp;R60)+SUMIFS('[1]1_inventory_totals'!$P$8:$P$10000,'[1]1_inventory_totals'!$C$8:$C$10000,I60,'[1]1_inventory_totals'!$F$8:$F$10000,"="&amp;Q60,'[1]1_inventory_totals'!$G$8:$G$10000,"="&amp;R60)+SUMIFS('[1]1_inventory_totals'!$Q$8:$Q$10000,'[1]1_inventory_totals'!$C$8:$C$10000,I60,'[1]1_inventory_totals'!$F$8:$F$10000,"="&amp;Q60,'[1]1_inventory_totals'!$G$8:$G$10000,"="&amp;R60)+SUMIFS('[1]1_inventory_totals'!$R$8:$R$10000,'[1]1_inventory_totals'!$C$8:$C$10000,I60,'[1]1_inventory_totals'!$F$8:$F$10000,"="&amp;Q60,'[1]1_inventory_totals'!$G$8:$G$10000,"="&amp;R60))+(SUMIFS('[1]1_inventory_totals'!$J$8:$J$10000,'[1]1_inventory_totals'!$C$8:$C$10000,I60,'[1]1_inventory_totals'!$F$8:$F$10000,"="&amp;Q60,'[1]1_inventory_totals'!$G$8:$G$10000,"="&amp;R60)+SUMIFS('[1]1_inventory_totals'!$K$8:$K$10000,'[1]1_inventory_totals'!$C$8:$C$10000,I60,'[1]1_inventory_totals'!$F$8:$F$10000,"="&amp;Q60,'[1]1_inventory_totals'!$G$8:$G$10000,"="&amp;R60)+SUMIFS('[1]1_inventory_totals'!$L$8:$L$10000,'[1]1_inventory_totals'!$C$8:$C$10000,I60,'[1]1_inventory_totals'!$F$8:$F$10000,"="&amp;Q60,'[1]1_inventory_totals'!$G$8:$G$10000,"="&amp;R60)+SUMIFS('[1]1_inventory_totals'!$M$8:$M$10000,'[1]1_inventory_totals'!$C$8:$C$10000,I60,'[1]1_inventory_totals'!$F$8:$F$10000,"="&amp;Q60,'[1]1_inventory_totals'!$G$8:$G$10000,"="&amp;R60)+SUMIFS('[1]1_inventory_totals'!$O$8:$O$10000,'[1]1_inventory_totals'!$C$8:$C$10000,I60,'[1]1_inventory_totals'!$F$8:$F$10000,"="&amp;Q60,'[1]1_inventory_totals'!$G$8:$G$10000,"="&amp;R60)+SUMIFS('[1]1_inventory_totals'!$S$8:$S$10000,'[1]1_inventory_totals'!$C$8:$C$10000,I60,'[1]1_inventory_totals'!$F$8:$F$10000,"="&amp;Q60,'[1]1_inventory_totals'!$G$8:$G$10000,"="&amp;R60)))</f>
        <v/>
      </c>
      <c r="BB60" s="197" t="str">
        <f>IF(M60="","",(SUMIFS('[1]2_inventory_totals'!$I$8:$I$10000,'[1]2_inventory_totals'!$C$8:$C$10000,I60,'[1]2_inventory_totals'!$F$8:$F$10000,"="&amp;Q60,'[1]2_inventory_totals'!$G$8:$G$10000,"="&amp;R60)+SUMIFS('[1]2_inventory_totals'!$N$8:$N$10000,'[1]2_inventory_totals'!$C$8:$C$10000,I60,'[1]2_inventory_totals'!$F$8:$F$10000,"="&amp;Q60,'[1]2_inventory_totals'!$G$8:$G$10000,"="&amp;R60)+SUMIFS('[1]2_inventory_totals'!$P$8:$P$10000,'[1]2_inventory_totals'!$C$8:$C$10000,I60,'[1]2_inventory_totals'!$F$8:$F$10000,"="&amp;Q60,'[1]2_inventory_totals'!$G$8:$G$10000,"="&amp;R60)+SUMIFS('[1]2_inventory_totals'!$Q$8:$Q$10000,'[1]2_inventory_totals'!$C$8:$C$10000,I60,'[1]2_inventory_totals'!$F$8:$F$10000,"="&amp;Q60,'[1]2_inventory_totals'!$G$8:$G$10000,"="&amp;R60)+SUMIFS('[1]2_inventory_totals'!$R$8:$R$10000,'[1]2_inventory_totals'!$C$8:$C$10000,I60,'[1]2_inventory_totals'!$F$8:$F$10000,"="&amp;Q60,'[1]2_inventory_totals'!$G$8:$G$10000,"="&amp;R60))+(SUMIFS('[1]2_inventory_totals'!$J$8:$J$10000,'[1]2_inventory_totals'!$C$8:$C$10000,I60,'[1]2_inventory_totals'!$F$8:$F$10000,"="&amp;Q60,'[1]2_inventory_totals'!$G$8:$G$10000,"="&amp;R60)+SUMIFS('[1]2_inventory_totals'!$K$8:$K$10000,'[1]2_inventory_totals'!$C$8:$C$10000,I60,'[1]2_inventory_totals'!$F$8:$F$10000,"="&amp;Q60,'[1]2_inventory_totals'!$G$8:$G$10000,"="&amp;R60)+SUMIFS('[1]2_inventory_totals'!$L$8:$L$10000,'[1]2_inventory_totals'!$C$8:$C$10000,I60,'[1]2_inventory_totals'!$F$8:$F$10000,"="&amp;Q60,'[1]2_inventory_totals'!$G$8:$G$10000,"="&amp;R60)+SUMIFS('[1]2_inventory_totals'!$M$8:$M$10000,'[1]2_inventory_totals'!$C$8:$C$10000,I60,'[1]2_inventory_totals'!$F$8:$F$10000,"="&amp;Q60,'[1]2_inventory_totals'!$G$8:$G$10000,"="&amp;R60)+SUMIFS('[1]2_inventory_totals'!$O$8:$O$10000,'[1]2_inventory_totals'!$C$8:$C$10000,I60,'[1]2_inventory_totals'!$F$8:$F$10000,"="&amp;Q60,'[1]2_inventory_totals'!$G$8:$G$10000,"="&amp;R60)+SUMIFS('[1]2_inventory_totals'!$S$8:$S$10000,'[1]2_inventory_totals'!$C$8:$C$10000,I60,'[1]2_inventory_totals'!$F$8:$F$10000,"="&amp;Q60,'[1]2_inventory_totals'!$G$8:$G$10000,"="&amp;R60)))</f>
        <v/>
      </c>
    </row>
    <row r="61" spans="1:54" ht="27" hidden="1" customHeight="1">
      <c r="A61" s="923"/>
      <c r="B61" s="1256"/>
      <c r="C61" s="950"/>
      <c r="D61" s="950"/>
      <c r="E61" s="950"/>
      <c r="F61" s="1257"/>
      <c r="G61" s="941"/>
      <c r="H61" s="951"/>
      <c r="I61" s="1610" t="str">
        <f t="shared" si="7"/>
        <v/>
      </c>
      <c r="J61" s="1611" t="str">
        <f t="shared" si="24"/>
        <v/>
      </c>
      <c r="K61" s="1612" t="str">
        <f t="shared" si="30"/>
        <v/>
      </c>
      <c r="L61" s="1613"/>
      <c r="M61" s="883"/>
      <c r="N61" s="884"/>
      <c r="O61" s="884"/>
      <c r="P61" s="885"/>
      <c r="Q61" s="886"/>
      <c r="R61" s="891"/>
      <c r="S61" s="1614" t="str">
        <f t="shared" si="0"/>
        <v/>
      </c>
      <c r="T61" s="1536"/>
      <c r="U61" s="1864" t="str">
        <f t="shared" si="9"/>
        <v/>
      </c>
      <c r="V61" s="1615" t="str">
        <f t="shared" si="25"/>
        <v/>
      </c>
      <c r="W61" s="889"/>
      <c r="X61" s="1615" t="str">
        <f t="shared" si="26"/>
        <v/>
      </c>
      <c r="Y61" s="1865" t="str">
        <f t="shared" si="10"/>
        <v/>
      </c>
      <c r="Z61" s="890"/>
      <c r="AA61" s="197" t="str" cm="1">
        <f t="array" ref="AA61">IF(M61="","",IF(P61=AN61,1,Slookup(MID(AN61,1,3)*1,UomConversion!$D$8:$J$500,5,UomConversion!$E$8:$E$500,MID(P61,1,3)*1,UomConversion!$J$8:$J$500,1)))</f>
        <v/>
      </c>
      <c r="AB61" s="197" t="str">
        <f t="shared" si="11"/>
        <v/>
      </c>
      <c r="AC61" s="197" t="str">
        <f t="shared" si="12"/>
        <v/>
      </c>
      <c r="AD61" s="197" t="str">
        <f t="shared" si="13"/>
        <v/>
      </c>
      <c r="AE61" s="1866" t="str">
        <f t="shared" si="14"/>
        <v/>
      </c>
      <c r="AF61" s="1866" t="str">
        <f t="shared" si="27"/>
        <v/>
      </c>
      <c r="AG61" s="197" t="str">
        <f t="shared" si="16"/>
        <v/>
      </c>
      <c r="AH61" s="197" t="str">
        <f>IF(I61="","",IF(ISNA(MATCH(I61,IF(invoice_location_id=1,'[1]1_inventory_totals'!$C$8:$C$10000,IF(invoice_location_id=2,'[1]2_inventory_totals'!$C$8:$C$10000,0)),0)),0,IF(AV61&gt;0,1,0)))</f>
        <v/>
      </c>
      <c r="AI61" s="197" t="str">
        <f>IF(M61="","",IF(invoice_location_id=1,SUMIFS('[1]1_inventory_total_details'!$J$8:$J$10000,'[1]1_inventory_total_details'!$C$8:$C$10000,I61,'[1]1_inventory_total_details'!$F$8:$F$10000,invoice_location_id,'[1]1_inventory_total_details'!$G$8:$G$10000,"="&amp;Q61,'[1]1_inventory_total_details'!$H$8:$H$10000,"="&amp;R61,'[1]1_inventory_total_details'!$I$8:$I$10000,"="&amp;invoice_date)+SUMIFS('[1]1_inventory_total_details'!$M$8:$M$10000,'[1]1_inventory_total_details'!$C$8:$C$10000,I61,'[1]1_inventory_total_details'!$F$8:$F$10000,invoice_location_id,'[1]1_inventory_total_details'!$G$8:$G$10000,"="&amp;Q61,'[1]1_inventory_total_details'!$H$8:$H$10000,"="&amp;R61,'[1]1_inventory_total_details'!$I$8:$I$10000,"="&amp;invoice_date)+SUMIFS('[1]1_inventory_total_details'!$K$8:$K$10000,'[1]1_inventory_total_details'!$C$8:$C$10000,I61,'[1]1_inventory_total_details'!$F$8:$F$10000,invoice_location_id,'[1]1_inventory_total_details'!$G$8:$G$10000,"="&amp;Q61,'[1]1_inventory_total_details'!$H$8:$H$10000,"="&amp;R61,'[1]1_inventory_total_details'!$I$8:$I$10000,"="&amp;invoice_date)+SUMIFS('[1]1_inventory_total_details'!$L$8:$L$10000,'[1]1_inventory_total_details'!$C$8:$C$10000,I61,'[1]1_inventory_total_details'!$F$8:$F$10000,invoice_location_id,'[1]1_inventory_total_details'!$G$8:$G$10000,"="&amp;Q61,'[1]1_inventory_total_details'!$H$8:$H$10000,"="&amp;R61,'[1]1_inventory_total_details'!$I$8:$I$10000,"="&amp;invoice_date),SUMIFS('[1]2_inventory_total_details'!$J$8:$J$10000,'[1]2_inventory_total_details'!$C$8:$C$10000,I61,'[1]2_inventory_total_details'!$F$8:$F$10000,invoice_location_id,'[1]2_inventory_total_details'!$G$8:$G$10000,"="&amp;Q61,'[1]2_inventory_total_details'!$H$8:$H$10000,"="&amp;R61,'[1]2_inventory_total_details'!$I$8:$I$10000,"="&amp;invoice_date)+SUMIFS('[1]2_inventory_total_details'!$M$8:$M$10000,'[1]2_inventory_total_details'!$C$8:$C$10000,I61,'[1]2_inventory_total_details'!$F$8:$F$10000,invoice_location_id,'[1]2_inventory_total_details'!$G$8:$G$10000,"="&amp;Q61,'[1]2_inventory_total_details'!$H$8:$H$10000,"="&amp;R61,'[1]2_inventory_total_details'!$I$8:$I$10000,"="&amp;invoice_date)+SUMIFS('[1]2_inventory_total_details'!$K$8:$K$10000,'[1]2_inventory_total_details'!$C$8:$C$10000,I61,'[1]2_inventory_total_details'!$F$8:$F$10000,invoice_location_id,'[1]2_inventory_total_details'!$G$8:$G$10000,"="&amp;Q61,'[1]2_inventory_total_details'!$H$8:$H$10000,"="&amp;R61,'[1]2_inventory_total_details'!$I$8:$I$10000,"="&amp;invoice_date)+SUMIFS('[1]2_inventory_total_details'!$L$8:$L$10000,'[1]2_inventory_total_details'!$C$8:$C$10000,I61,'[1]2_inventory_total_details'!$F$8:$F$10000,invoice_location_id,'[1]2_inventory_total_details'!$G$8:$G$10000,"="&amp;Q61,'[1]2_inventory_total_details'!$H$8:$H$10000,"="&amp;R61,'[1]2_inventory_total_details'!$I$8:$I$10000,"="&amp;invoice_date)))</f>
        <v/>
      </c>
      <c r="AJ61" s="197" t="str">
        <f>IF(M61="","",IF(ISNA(MATCH(I61,'[1]1_group_totals'!$C$8:$C$10000)),0,IF(AW61&gt;0,1,0)))</f>
        <v/>
      </c>
      <c r="AK61" s="197" t="str">
        <f>IF(M61="","",(SUMIFS('[1]1_group_total_details'!$I$8:$I$10000,'[1]1_group_total_details'!$C$8:$C$10000,I61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61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61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61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61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61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61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61,'[1]1_group_total_details'!$F$8:$F$10000,invoice_location_group_id,'[1]1_group_total_details'!$G$8:$G$10000,invoice_location_id,'[1]1_group_total_details'!$H$8:$H$10000,"="&amp;invoice_date)))</f>
        <v/>
      </c>
      <c r="AL61" s="197" t="str">
        <f>IF(M61="","",(SUMIFS('[1]1_group_total_details'!$I$8:$I$10000,'[1]1_group_total_details'!$C$8:$C$10000,I61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61,'[1]1_group_total_details'!$F$8:$F$10000,invoice_location_group_id,'[1]1_group_total_details'!$G$8:$G$10000,1,'[1]1_group_total_details'!$H$8:$H$10000,"&lt;="&amp;invoice_date)+SUMIFS('[1]1_group_total_details'!$N$8:$N$10000,'[1]1_group_total_details'!$C$8:$C$10000,I61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61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61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61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61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61,'[1]1_group_total_details'!$F$8:$F$10000,invoice_location_group_id,'[1]1_group_total_details'!$G$8:$G$10000,invoice_location_id,'[1]1_group_total_details'!$H$8:$H$10000,"&lt;="&amp;invoice_date)))</f>
        <v/>
      </c>
      <c r="AM61" s="197" t="str">
        <f>IF(M61="","",SUMIFS('[1]1_group_totals'!$J$8:$J$10000,'[1]1_group_totals'!$C$8:$C$10000,I61,'[1]1_group_totals'!$F$8:$F$10000,invoice_location_group_id,'[1]1_group_totals'!$G$8:$G$10000,invoice_location_id,'[1]1_group_totals'!$H$8:$H$10000,"="&amp;Q61,'[1]1_group_totals'!$I$8:$I$10000,"="&amp;R61))</f>
        <v/>
      </c>
      <c r="AN61" s="197" t="str">
        <f t="shared" si="17"/>
        <v/>
      </c>
      <c r="AO61" s="197" t="str">
        <f>IF(OR(ISNA(MATCH(MID(AN61,1,3)*1,UomConversion!$D$8:$D$500,0)),M61=""),"",IF(AT61="","",AT61))</f>
        <v/>
      </c>
      <c r="AP61" s="197" t="str">
        <f>IF(AND(AQ61&gt;0,COUNTIFS(UomConversion!$D$8:$D$500,MID(AN61,1,3)*1,UomConversion!$J$8:$J$500,1)&gt;1),TEXT(AQ61,"000")&amp;"."&amp;VLOOKUP(AQ61,uom_list,5,FALSE),"")</f>
        <v/>
      </c>
      <c r="AQ61" s="197" t="str">
        <f t="shared" si="18"/>
        <v/>
      </c>
      <c r="AR61" s="197" t="str">
        <f t="shared" si="19"/>
        <v/>
      </c>
      <c r="AS61" s="1866" t="str">
        <f>IF(M61="","",SUMIFS(ProductPrice!$N$28:$N$10000,ProductPrice!$D$28:$D$10000,I61,ProductPrice!$G$28:$G$10000,invoice_branch_id,ProductPrice!$H$28:$H$10000,invoice_price_type_id,ProductPrice!$I$28:$I$10000,MID(P61,1,3)*1,ProductPrice!$Q$28:$Q$10000,1,ProductPrice!$T$28:$T$10000,1))</f>
        <v/>
      </c>
      <c r="AT61" s="197" t="str">
        <f t="shared" si="28"/>
        <v/>
      </c>
      <c r="AU61" s="197" t="str" cm="1">
        <f t="array" ref="AU61">IF(M61="","",IF(ISNA(Slookup(MID(AN61,1,3)*1,UomConversion!$D$8:$J$500,2,UomConversion!$I$8:$I$500,1,UomConversion!$J$8:$J$500,1)),"",Slookup(MID(AN61,1,3)*1,UomConversion!$D$8:$J$500,2,UomConversion!$I$8:$I$500,1,UomConversion!$J$8:$J$500,1)))</f>
        <v/>
      </c>
      <c r="AV61" s="197" t="str">
        <f t="shared" si="29"/>
        <v/>
      </c>
      <c r="AW61" s="197" t="str">
        <f>IF(M61="","",(SUMIFS('[1]1_group_totals'!$K$8:$K$10000,'[1]1_group_totals'!$C$8:$C$10000,I61,'[1]1_group_totals'!$F$8:$F$10000,invoice_location_group_id,'[1]1_group_totals'!$G$8:$G$10000,invoice_location_id,'[1]1_group_totals'!$H$8:$H$10000,"="&amp;Q61,'[1]1_group_totals'!$I$8:$I$10000,"="&amp;R61)+SUMIFS('[1]1_group_totals'!$N$8:$N$10000,'[1]1_group_totals'!$C$8:$C$10000,I61,'[1]1_group_totals'!$F$8:$F$10000,invoice_location_group_id,'[1]1_group_totals'!$G$8:$G$10000,invoice_location_id,'[1]1_group_totals'!$H$8:$H$10000,"="&amp;Q61,'[1]1_group_totals'!$I$8:$I$10000,"="&amp;R61)+SUMIFS('[1]1_group_totals'!$P$8:$P$10000,'[1]1_group_totals'!$C$8:$C$10000,I61,'[1]1_group_totals'!$F$8:$F$10000,invoice_location_group_id,'[1]1_group_totals'!$G$8:$G$10000,invoice_location_id,'[1]1_group_totals'!$H$8:$H$10000,"="&amp;Q61,'[1]1_group_totals'!$I$8:$I$10000,"="&amp;R61)+SUMIFS('[1]1_group_totals'!$Q$8:$Q$10000,'[1]1_group_totals'!$C$8:$C$10000,I61,'[1]1_group_totals'!$F$8:$F$10000,invoice_location_group_id,'[1]1_group_totals'!$G$8:$G$10000,invoice_location_id,'[1]1_group_totals'!$H$8:$H$10000,"="&amp;Q61,'[1]1_group_totals'!$I$8:$I$10000,"="&amp;R61))+(SUMIFS('[1]1_group_totals'!$L$8:$L$10000,'[1]1_group_totals'!$C$8:$C$10000,I61,'[1]1_group_totals'!$F$8:$F$10000,invoice_location_group_id,'[1]1_group_totals'!$G$8:$G$10000,invoice_location_id,'[1]1_group_totals'!$H$8:$H$10000,"="&amp;Q61,'[1]1_group_totals'!$I$8:$I$10000,"="&amp;R61)+SUMIFS('[1]1_group_totals'!$M$8:$M$10000,'[1]1_group_totals'!$C$8:$C$10000,I61,'[1]1_group_totals'!$F$8:$F$10000,invoice_location_group_id,'[1]1_group_totals'!$G$8:$G$10000,invoice_location_id,'[1]1_group_totals'!$H$8:$H$10000,"="&amp;Q61,'[1]1_group_totals'!$I$8:$I$10000,"="&amp;R61)+SUMIFS('[1]1_group_totals'!$O$8:$O$10000,'[1]1_group_totals'!$C$8:$C$10000,I61,'[1]1_group_totals'!$F$8:$F$10000,invoice_location_group_id,'[1]1_group_totals'!$G$8:$G$10000,invoice_location_id,'[1]1_group_totals'!$H$8:$H$10000,"="&amp;Q61,'[1]1_group_totals'!$I$8:$I$10000,"="&amp;R61)+SUMIFS('[1]1_group_totals'!$R$8:$R$10000,'[1]1_group_totals'!$C$8:$C$10000,I61,'[1]1_group_totals'!$F$8:$F$10000,invoice_location_group_id,'[1]1_group_totals'!$G$8:$G$10000,invoice_location_id,'[1]1_group_totals'!$H$8:$H$10000,"="&amp;Q61,'[1]1_group_totals'!$I$8:$I$10000,"="&amp;R61)))</f>
        <v/>
      </c>
      <c r="AX61" s="197" t="str">
        <f t="shared" si="21"/>
        <v/>
      </c>
      <c r="AY61" s="197" t="str">
        <f>IF(M61="","",SUMIFS($AX$8:AX61,$I$8:I61,I61))</f>
        <v/>
      </c>
      <c r="AZ61" s="197" t="str">
        <f t="shared" si="22"/>
        <v/>
      </c>
      <c r="BA61" s="197" t="str">
        <f>IF(M61="","",(SUMIFS('[1]1_inventory_totals'!$I$8:$I$10000,'[1]1_inventory_totals'!$C$8:$C$10000,I61,'[1]1_inventory_totals'!$F$8:$F$10000,"="&amp;Q61,'[1]1_inventory_totals'!$G$8:$G$10000,"="&amp;R61)+SUMIFS('[1]1_inventory_totals'!$N$8:$N$10000,'[1]1_inventory_totals'!$C$8:$C$10000,I61,'[1]1_inventory_totals'!$F$8:$F$10000,"="&amp;Q61,'[1]1_inventory_totals'!$G$8:$G$10000,"="&amp;R61)+SUMIFS('[1]1_inventory_totals'!$P$8:$P$10000,'[1]1_inventory_totals'!$C$8:$C$10000,I61,'[1]1_inventory_totals'!$F$8:$F$10000,"="&amp;Q61,'[1]1_inventory_totals'!$G$8:$G$10000,"="&amp;R61)+SUMIFS('[1]1_inventory_totals'!$Q$8:$Q$10000,'[1]1_inventory_totals'!$C$8:$C$10000,I61,'[1]1_inventory_totals'!$F$8:$F$10000,"="&amp;Q61,'[1]1_inventory_totals'!$G$8:$G$10000,"="&amp;R61)+SUMIFS('[1]1_inventory_totals'!$R$8:$R$10000,'[1]1_inventory_totals'!$C$8:$C$10000,I61,'[1]1_inventory_totals'!$F$8:$F$10000,"="&amp;Q61,'[1]1_inventory_totals'!$G$8:$G$10000,"="&amp;R61))+(SUMIFS('[1]1_inventory_totals'!$J$8:$J$10000,'[1]1_inventory_totals'!$C$8:$C$10000,I61,'[1]1_inventory_totals'!$F$8:$F$10000,"="&amp;Q61,'[1]1_inventory_totals'!$G$8:$G$10000,"="&amp;R61)+SUMIFS('[1]1_inventory_totals'!$K$8:$K$10000,'[1]1_inventory_totals'!$C$8:$C$10000,I61,'[1]1_inventory_totals'!$F$8:$F$10000,"="&amp;Q61,'[1]1_inventory_totals'!$G$8:$G$10000,"="&amp;R61)+SUMIFS('[1]1_inventory_totals'!$L$8:$L$10000,'[1]1_inventory_totals'!$C$8:$C$10000,I61,'[1]1_inventory_totals'!$F$8:$F$10000,"="&amp;Q61,'[1]1_inventory_totals'!$G$8:$G$10000,"="&amp;R61)+SUMIFS('[1]1_inventory_totals'!$M$8:$M$10000,'[1]1_inventory_totals'!$C$8:$C$10000,I61,'[1]1_inventory_totals'!$F$8:$F$10000,"="&amp;Q61,'[1]1_inventory_totals'!$G$8:$G$10000,"="&amp;R61)+SUMIFS('[1]1_inventory_totals'!$O$8:$O$10000,'[1]1_inventory_totals'!$C$8:$C$10000,I61,'[1]1_inventory_totals'!$F$8:$F$10000,"="&amp;Q61,'[1]1_inventory_totals'!$G$8:$G$10000,"="&amp;R61)+SUMIFS('[1]1_inventory_totals'!$S$8:$S$10000,'[1]1_inventory_totals'!$C$8:$C$10000,I61,'[1]1_inventory_totals'!$F$8:$F$10000,"="&amp;Q61,'[1]1_inventory_totals'!$G$8:$G$10000,"="&amp;R61)))</f>
        <v/>
      </c>
      <c r="BB61" s="197" t="str">
        <f>IF(M61="","",(SUMIFS('[1]2_inventory_totals'!$I$8:$I$10000,'[1]2_inventory_totals'!$C$8:$C$10000,I61,'[1]2_inventory_totals'!$F$8:$F$10000,"="&amp;Q61,'[1]2_inventory_totals'!$G$8:$G$10000,"="&amp;R61)+SUMIFS('[1]2_inventory_totals'!$N$8:$N$10000,'[1]2_inventory_totals'!$C$8:$C$10000,I61,'[1]2_inventory_totals'!$F$8:$F$10000,"="&amp;Q61,'[1]2_inventory_totals'!$G$8:$G$10000,"="&amp;R61)+SUMIFS('[1]2_inventory_totals'!$P$8:$P$10000,'[1]2_inventory_totals'!$C$8:$C$10000,I61,'[1]2_inventory_totals'!$F$8:$F$10000,"="&amp;Q61,'[1]2_inventory_totals'!$G$8:$G$10000,"="&amp;R61)+SUMIFS('[1]2_inventory_totals'!$Q$8:$Q$10000,'[1]2_inventory_totals'!$C$8:$C$10000,I61,'[1]2_inventory_totals'!$F$8:$F$10000,"="&amp;Q61,'[1]2_inventory_totals'!$G$8:$G$10000,"="&amp;R61)+SUMIFS('[1]2_inventory_totals'!$R$8:$R$10000,'[1]2_inventory_totals'!$C$8:$C$10000,I61,'[1]2_inventory_totals'!$F$8:$F$10000,"="&amp;Q61,'[1]2_inventory_totals'!$G$8:$G$10000,"="&amp;R61))+(SUMIFS('[1]2_inventory_totals'!$J$8:$J$10000,'[1]2_inventory_totals'!$C$8:$C$10000,I61,'[1]2_inventory_totals'!$F$8:$F$10000,"="&amp;Q61,'[1]2_inventory_totals'!$G$8:$G$10000,"="&amp;R61)+SUMIFS('[1]2_inventory_totals'!$K$8:$K$10000,'[1]2_inventory_totals'!$C$8:$C$10000,I61,'[1]2_inventory_totals'!$F$8:$F$10000,"="&amp;Q61,'[1]2_inventory_totals'!$G$8:$G$10000,"="&amp;R61)+SUMIFS('[1]2_inventory_totals'!$L$8:$L$10000,'[1]2_inventory_totals'!$C$8:$C$10000,I61,'[1]2_inventory_totals'!$F$8:$F$10000,"="&amp;Q61,'[1]2_inventory_totals'!$G$8:$G$10000,"="&amp;R61)+SUMIFS('[1]2_inventory_totals'!$M$8:$M$10000,'[1]2_inventory_totals'!$C$8:$C$10000,I61,'[1]2_inventory_totals'!$F$8:$F$10000,"="&amp;Q61,'[1]2_inventory_totals'!$G$8:$G$10000,"="&amp;R61)+SUMIFS('[1]2_inventory_totals'!$O$8:$O$10000,'[1]2_inventory_totals'!$C$8:$C$10000,I61,'[1]2_inventory_totals'!$F$8:$F$10000,"="&amp;Q61,'[1]2_inventory_totals'!$G$8:$G$10000,"="&amp;R61)+SUMIFS('[1]2_inventory_totals'!$S$8:$S$10000,'[1]2_inventory_totals'!$C$8:$C$10000,I61,'[1]2_inventory_totals'!$F$8:$F$10000,"="&amp;Q61,'[1]2_inventory_totals'!$G$8:$G$10000,"="&amp;R61)))</f>
        <v/>
      </c>
    </row>
    <row r="62" spans="1:54" ht="27" hidden="1" customHeight="1">
      <c r="A62" s="923"/>
      <c r="B62" s="1256"/>
      <c r="C62" s="950"/>
      <c r="D62" s="950"/>
      <c r="E62" s="950"/>
      <c r="F62" s="1257"/>
      <c r="G62" s="941"/>
      <c r="H62" s="951"/>
      <c r="I62" s="1610" t="str">
        <f t="shared" si="7"/>
        <v/>
      </c>
      <c r="J62" s="1611" t="str">
        <f t="shared" si="24"/>
        <v/>
      </c>
      <c r="K62" s="1612" t="str">
        <f t="shared" si="30"/>
        <v/>
      </c>
      <c r="L62" s="1613"/>
      <c r="M62" s="883"/>
      <c r="N62" s="884"/>
      <c r="O62" s="884"/>
      <c r="P62" s="885"/>
      <c r="Q62" s="886"/>
      <c r="R62" s="891"/>
      <c r="S62" s="1614" t="str">
        <f t="shared" si="0"/>
        <v/>
      </c>
      <c r="T62" s="1536"/>
      <c r="U62" s="1864" t="str">
        <f t="shared" si="9"/>
        <v/>
      </c>
      <c r="V62" s="1615" t="str">
        <f t="shared" si="25"/>
        <v/>
      </c>
      <c r="W62" s="889"/>
      <c r="X62" s="1615" t="str">
        <f t="shared" si="26"/>
        <v/>
      </c>
      <c r="Y62" s="1865" t="str">
        <f t="shared" si="10"/>
        <v/>
      </c>
      <c r="Z62" s="890"/>
      <c r="AA62" s="197" t="str" cm="1">
        <f t="array" ref="AA62">IF(M62="","",IF(P62=AN62,1,Slookup(MID(AN62,1,3)*1,UomConversion!$D$8:$J$500,5,UomConversion!$E$8:$E$500,MID(P62,1,3)*1,UomConversion!$J$8:$J$500,1)))</f>
        <v/>
      </c>
      <c r="AB62" s="197" t="str">
        <f t="shared" si="11"/>
        <v/>
      </c>
      <c r="AC62" s="197" t="str">
        <f t="shared" si="12"/>
        <v/>
      </c>
      <c r="AD62" s="197" t="str">
        <f t="shared" si="13"/>
        <v/>
      </c>
      <c r="AE62" s="1866" t="str">
        <f t="shared" si="14"/>
        <v/>
      </c>
      <c r="AF62" s="1866" t="str">
        <f t="shared" si="27"/>
        <v/>
      </c>
      <c r="AG62" s="197" t="str">
        <f t="shared" si="16"/>
        <v/>
      </c>
      <c r="AH62" s="197" t="str">
        <f>IF(I62="","",IF(ISNA(MATCH(I62,IF(invoice_location_id=1,'[1]1_inventory_totals'!$C$8:$C$10000,IF(invoice_location_id=2,'[1]2_inventory_totals'!$C$8:$C$10000,0)),0)),0,IF(AV62&gt;0,1,0)))</f>
        <v/>
      </c>
      <c r="AI62" s="197" t="str">
        <f>IF(M62="","",IF(invoice_location_id=1,SUMIFS('[1]1_inventory_total_details'!$J$8:$J$10000,'[1]1_inventory_total_details'!$C$8:$C$10000,I62,'[1]1_inventory_total_details'!$F$8:$F$10000,invoice_location_id,'[1]1_inventory_total_details'!$G$8:$G$10000,"="&amp;Q62,'[1]1_inventory_total_details'!$H$8:$H$10000,"="&amp;R62,'[1]1_inventory_total_details'!$I$8:$I$10000,"="&amp;invoice_date)+SUMIFS('[1]1_inventory_total_details'!$M$8:$M$10000,'[1]1_inventory_total_details'!$C$8:$C$10000,I62,'[1]1_inventory_total_details'!$F$8:$F$10000,invoice_location_id,'[1]1_inventory_total_details'!$G$8:$G$10000,"="&amp;Q62,'[1]1_inventory_total_details'!$H$8:$H$10000,"="&amp;R62,'[1]1_inventory_total_details'!$I$8:$I$10000,"="&amp;invoice_date)+SUMIFS('[1]1_inventory_total_details'!$K$8:$K$10000,'[1]1_inventory_total_details'!$C$8:$C$10000,I62,'[1]1_inventory_total_details'!$F$8:$F$10000,invoice_location_id,'[1]1_inventory_total_details'!$G$8:$G$10000,"="&amp;Q62,'[1]1_inventory_total_details'!$H$8:$H$10000,"="&amp;R62,'[1]1_inventory_total_details'!$I$8:$I$10000,"="&amp;invoice_date)+SUMIFS('[1]1_inventory_total_details'!$L$8:$L$10000,'[1]1_inventory_total_details'!$C$8:$C$10000,I62,'[1]1_inventory_total_details'!$F$8:$F$10000,invoice_location_id,'[1]1_inventory_total_details'!$G$8:$G$10000,"="&amp;Q62,'[1]1_inventory_total_details'!$H$8:$H$10000,"="&amp;R62,'[1]1_inventory_total_details'!$I$8:$I$10000,"="&amp;invoice_date),SUMIFS('[1]2_inventory_total_details'!$J$8:$J$10000,'[1]2_inventory_total_details'!$C$8:$C$10000,I62,'[1]2_inventory_total_details'!$F$8:$F$10000,invoice_location_id,'[1]2_inventory_total_details'!$G$8:$G$10000,"="&amp;Q62,'[1]2_inventory_total_details'!$H$8:$H$10000,"="&amp;R62,'[1]2_inventory_total_details'!$I$8:$I$10000,"="&amp;invoice_date)+SUMIFS('[1]2_inventory_total_details'!$M$8:$M$10000,'[1]2_inventory_total_details'!$C$8:$C$10000,I62,'[1]2_inventory_total_details'!$F$8:$F$10000,invoice_location_id,'[1]2_inventory_total_details'!$G$8:$G$10000,"="&amp;Q62,'[1]2_inventory_total_details'!$H$8:$H$10000,"="&amp;R62,'[1]2_inventory_total_details'!$I$8:$I$10000,"="&amp;invoice_date)+SUMIFS('[1]2_inventory_total_details'!$K$8:$K$10000,'[1]2_inventory_total_details'!$C$8:$C$10000,I62,'[1]2_inventory_total_details'!$F$8:$F$10000,invoice_location_id,'[1]2_inventory_total_details'!$G$8:$G$10000,"="&amp;Q62,'[1]2_inventory_total_details'!$H$8:$H$10000,"="&amp;R62,'[1]2_inventory_total_details'!$I$8:$I$10000,"="&amp;invoice_date)+SUMIFS('[1]2_inventory_total_details'!$L$8:$L$10000,'[1]2_inventory_total_details'!$C$8:$C$10000,I62,'[1]2_inventory_total_details'!$F$8:$F$10000,invoice_location_id,'[1]2_inventory_total_details'!$G$8:$G$10000,"="&amp;Q62,'[1]2_inventory_total_details'!$H$8:$H$10000,"="&amp;R62,'[1]2_inventory_total_details'!$I$8:$I$10000,"="&amp;invoice_date)))</f>
        <v/>
      </c>
      <c r="AJ62" s="197" t="str">
        <f>IF(M62="","",IF(ISNA(MATCH(I62,'[1]1_group_totals'!$C$8:$C$10000)),0,IF(AW62&gt;0,1,0)))</f>
        <v/>
      </c>
      <c r="AK62" s="197" t="str">
        <f>IF(M62="","",(SUMIFS('[1]1_group_total_details'!$I$8:$I$10000,'[1]1_group_total_details'!$C$8:$C$10000,I62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62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62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62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62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62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62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62,'[1]1_group_total_details'!$F$8:$F$10000,invoice_location_group_id,'[1]1_group_total_details'!$G$8:$G$10000,invoice_location_id,'[1]1_group_total_details'!$H$8:$H$10000,"="&amp;invoice_date)))</f>
        <v/>
      </c>
      <c r="AL62" s="197" t="str">
        <f>IF(M62="","",(SUMIFS('[1]1_group_total_details'!$I$8:$I$10000,'[1]1_group_total_details'!$C$8:$C$10000,I62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62,'[1]1_group_total_details'!$F$8:$F$10000,invoice_location_group_id,'[1]1_group_total_details'!$G$8:$G$10000,1,'[1]1_group_total_details'!$H$8:$H$10000,"&lt;="&amp;invoice_date)+SUMIFS('[1]1_group_total_details'!$N$8:$N$10000,'[1]1_group_total_details'!$C$8:$C$10000,I62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62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62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62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62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62,'[1]1_group_total_details'!$F$8:$F$10000,invoice_location_group_id,'[1]1_group_total_details'!$G$8:$G$10000,invoice_location_id,'[1]1_group_total_details'!$H$8:$H$10000,"&lt;="&amp;invoice_date)))</f>
        <v/>
      </c>
      <c r="AM62" s="197" t="str">
        <f>IF(M62="","",SUMIFS('[1]1_group_totals'!$J$8:$J$10000,'[1]1_group_totals'!$C$8:$C$10000,I62,'[1]1_group_totals'!$F$8:$F$10000,invoice_location_group_id,'[1]1_group_totals'!$G$8:$G$10000,invoice_location_id,'[1]1_group_totals'!$H$8:$H$10000,"="&amp;Q62,'[1]1_group_totals'!$I$8:$I$10000,"="&amp;R62))</f>
        <v/>
      </c>
      <c r="AN62" s="197" t="str">
        <f t="shared" si="17"/>
        <v/>
      </c>
      <c r="AO62" s="197" t="str">
        <f>IF(OR(ISNA(MATCH(MID(AN62,1,3)*1,UomConversion!$D$8:$D$500,0)),M62=""),"",IF(AT62="","",AT62))</f>
        <v/>
      </c>
      <c r="AP62" s="197" t="str">
        <f>IF(AND(AQ62&gt;0,COUNTIFS(UomConversion!$D$8:$D$500,MID(AN62,1,3)*1,UomConversion!$J$8:$J$500,1)&gt;1),TEXT(AQ62,"000")&amp;"."&amp;VLOOKUP(AQ62,uom_list,5,FALSE),"")</f>
        <v/>
      </c>
      <c r="AQ62" s="197" t="str">
        <f t="shared" si="18"/>
        <v/>
      </c>
      <c r="AR62" s="197" t="str">
        <f t="shared" si="19"/>
        <v/>
      </c>
      <c r="AS62" s="1866" t="str">
        <f>IF(M62="","",SUMIFS(ProductPrice!$N$28:$N$10000,ProductPrice!$D$28:$D$10000,I62,ProductPrice!$G$28:$G$10000,invoice_branch_id,ProductPrice!$H$28:$H$10000,invoice_price_type_id,ProductPrice!$I$28:$I$10000,MID(P62,1,3)*1,ProductPrice!$Q$28:$Q$10000,1,ProductPrice!$T$28:$T$10000,1))</f>
        <v/>
      </c>
      <c r="AT62" s="197" t="str">
        <f t="shared" si="28"/>
        <v/>
      </c>
      <c r="AU62" s="197" t="str" cm="1">
        <f t="array" ref="AU62">IF(M62="","",IF(ISNA(Slookup(MID(AN62,1,3)*1,UomConversion!$D$8:$J$500,2,UomConversion!$I$8:$I$500,1,UomConversion!$J$8:$J$500,1)),"",Slookup(MID(AN62,1,3)*1,UomConversion!$D$8:$J$500,2,UomConversion!$I$8:$I$500,1,UomConversion!$J$8:$J$500,1)))</f>
        <v/>
      </c>
      <c r="AV62" s="197" t="str">
        <f t="shared" si="29"/>
        <v/>
      </c>
      <c r="AW62" s="197" t="str">
        <f>IF(M62="","",(SUMIFS('[1]1_group_totals'!$K$8:$K$10000,'[1]1_group_totals'!$C$8:$C$10000,I62,'[1]1_group_totals'!$F$8:$F$10000,invoice_location_group_id,'[1]1_group_totals'!$G$8:$G$10000,invoice_location_id,'[1]1_group_totals'!$H$8:$H$10000,"="&amp;Q62,'[1]1_group_totals'!$I$8:$I$10000,"="&amp;R62)+SUMIFS('[1]1_group_totals'!$N$8:$N$10000,'[1]1_group_totals'!$C$8:$C$10000,I62,'[1]1_group_totals'!$F$8:$F$10000,invoice_location_group_id,'[1]1_group_totals'!$G$8:$G$10000,invoice_location_id,'[1]1_group_totals'!$H$8:$H$10000,"="&amp;Q62,'[1]1_group_totals'!$I$8:$I$10000,"="&amp;R62)+SUMIFS('[1]1_group_totals'!$P$8:$P$10000,'[1]1_group_totals'!$C$8:$C$10000,I62,'[1]1_group_totals'!$F$8:$F$10000,invoice_location_group_id,'[1]1_group_totals'!$G$8:$G$10000,invoice_location_id,'[1]1_group_totals'!$H$8:$H$10000,"="&amp;Q62,'[1]1_group_totals'!$I$8:$I$10000,"="&amp;R62)+SUMIFS('[1]1_group_totals'!$Q$8:$Q$10000,'[1]1_group_totals'!$C$8:$C$10000,I62,'[1]1_group_totals'!$F$8:$F$10000,invoice_location_group_id,'[1]1_group_totals'!$G$8:$G$10000,invoice_location_id,'[1]1_group_totals'!$H$8:$H$10000,"="&amp;Q62,'[1]1_group_totals'!$I$8:$I$10000,"="&amp;R62))+(SUMIFS('[1]1_group_totals'!$L$8:$L$10000,'[1]1_group_totals'!$C$8:$C$10000,I62,'[1]1_group_totals'!$F$8:$F$10000,invoice_location_group_id,'[1]1_group_totals'!$G$8:$G$10000,invoice_location_id,'[1]1_group_totals'!$H$8:$H$10000,"="&amp;Q62,'[1]1_group_totals'!$I$8:$I$10000,"="&amp;R62)+SUMIFS('[1]1_group_totals'!$M$8:$M$10000,'[1]1_group_totals'!$C$8:$C$10000,I62,'[1]1_group_totals'!$F$8:$F$10000,invoice_location_group_id,'[1]1_group_totals'!$G$8:$G$10000,invoice_location_id,'[1]1_group_totals'!$H$8:$H$10000,"="&amp;Q62,'[1]1_group_totals'!$I$8:$I$10000,"="&amp;R62)+SUMIFS('[1]1_group_totals'!$O$8:$O$10000,'[1]1_group_totals'!$C$8:$C$10000,I62,'[1]1_group_totals'!$F$8:$F$10000,invoice_location_group_id,'[1]1_group_totals'!$G$8:$G$10000,invoice_location_id,'[1]1_group_totals'!$H$8:$H$10000,"="&amp;Q62,'[1]1_group_totals'!$I$8:$I$10000,"="&amp;R62)+SUMIFS('[1]1_group_totals'!$R$8:$R$10000,'[1]1_group_totals'!$C$8:$C$10000,I62,'[1]1_group_totals'!$F$8:$F$10000,invoice_location_group_id,'[1]1_group_totals'!$G$8:$G$10000,invoice_location_id,'[1]1_group_totals'!$H$8:$H$10000,"="&amp;Q62,'[1]1_group_totals'!$I$8:$I$10000,"="&amp;R62)))</f>
        <v/>
      </c>
      <c r="AX62" s="197" t="str">
        <f t="shared" si="21"/>
        <v/>
      </c>
      <c r="AY62" s="197" t="str">
        <f>IF(M62="","",SUMIFS($AX$8:AX62,$I$8:I62,I62))</f>
        <v/>
      </c>
      <c r="AZ62" s="197" t="str">
        <f t="shared" si="22"/>
        <v/>
      </c>
      <c r="BA62" s="197" t="str">
        <f>IF(M62="","",(SUMIFS('[1]1_inventory_totals'!$I$8:$I$10000,'[1]1_inventory_totals'!$C$8:$C$10000,I62,'[1]1_inventory_totals'!$F$8:$F$10000,"="&amp;Q62,'[1]1_inventory_totals'!$G$8:$G$10000,"="&amp;R62)+SUMIFS('[1]1_inventory_totals'!$N$8:$N$10000,'[1]1_inventory_totals'!$C$8:$C$10000,I62,'[1]1_inventory_totals'!$F$8:$F$10000,"="&amp;Q62,'[1]1_inventory_totals'!$G$8:$G$10000,"="&amp;R62)+SUMIFS('[1]1_inventory_totals'!$P$8:$P$10000,'[1]1_inventory_totals'!$C$8:$C$10000,I62,'[1]1_inventory_totals'!$F$8:$F$10000,"="&amp;Q62,'[1]1_inventory_totals'!$G$8:$G$10000,"="&amp;R62)+SUMIFS('[1]1_inventory_totals'!$Q$8:$Q$10000,'[1]1_inventory_totals'!$C$8:$C$10000,I62,'[1]1_inventory_totals'!$F$8:$F$10000,"="&amp;Q62,'[1]1_inventory_totals'!$G$8:$G$10000,"="&amp;R62)+SUMIFS('[1]1_inventory_totals'!$R$8:$R$10000,'[1]1_inventory_totals'!$C$8:$C$10000,I62,'[1]1_inventory_totals'!$F$8:$F$10000,"="&amp;Q62,'[1]1_inventory_totals'!$G$8:$G$10000,"="&amp;R62))+(SUMIFS('[1]1_inventory_totals'!$J$8:$J$10000,'[1]1_inventory_totals'!$C$8:$C$10000,I62,'[1]1_inventory_totals'!$F$8:$F$10000,"="&amp;Q62,'[1]1_inventory_totals'!$G$8:$G$10000,"="&amp;R62)+SUMIFS('[1]1_inventory_totals'!$K$8:$K$10000,'[1]1_inventory_totals'!$C$8:$C$10000,I62,'[1]1_inventory_totals'!$F$8:$F$10000,"="&amp;Q62,'[1]1_inventory_totals'!$G$8:$G$10000,"="&amp;R62)+SUMIFS('[1]1_inventory_totals'!$L$8:$L$10000,'[1]1_inventory_totals'!$C$8:$C$10000,I62,'[1]1_inventory_totals'!$F$8:$F$10000,"="&amp;Q62,'[1]1_inventory_totals'!$G$8:$G$10000,"="&amp;R62)+SUMIFS('[1]1_inventory_totals'!$M$8:$M$10000,'[1]1_inventory_totals'!$C$8:$C$10000,I62,'[1]1_inventory_totals'!$F$8:$F$10000,"="&amp;Q62,'[1]1_inventory_totals'!$G$8:$G$10000,"="&amp;R62)+SUMIFS('[1]1_inventory_totals'!$O$8:$O$10000,'[1]1_inventory_totals'!$C$8:$C$10000,I62,'[1]1_inventory_totals'!$F$8:$F$10000,"="&amp;Q62,'[1]1_inventory_totals'!$G$8:$G$10000,"="&amp;R62)+SUMIFS('[1]1_inventory_totals'!$S$8:$S$10000,'[1]1_inventory_totals'!$C$8:$C$10000,I62,'[1]1_inventory_totals'!$F$8:$F$10000,"="&amp;Q62,'[1]1_inventory_totals'!$G$8:$G$10000,"="&amp;R62)))</f>
        <v/>
      </c>
      <c r="BB62" s="197" t="str">
        <f>IF(M62="","",(SUMIFS('[1]2_inventory_totals'!$I$8:$I$10000,'[1]2_inventory_totals'!$C$8:$C$10000,I62,'[1]2_inventory_totals'!$F$8:$F$10000,"="&amp;Q62,'[1]2_inventory_totals'!$G$8:$G$10000,"="&amp;R62)+SUMIFS('[1]2_inventory_totals'!$N$8:$N$10000,'[1]2_inventory_totals'!$C$8:$C$10000,I62,'[1]2_inventory_totals'!$F$8:$F$10000,"="&amp;Q62,'[1]2_inventory_totals'!$G$8:$G$10000,"="&amp;R62)+SUMIFS('[1]2_inventory_totals'!$P$8:$P$10000,'[1]2_inventory_totals'!$C$8:$C$10000,I62,'[1]2_inventory_totals'!$F$8:$F$10000,"="&amp;Q62,'[1]2_inventory_totals'!$G$8:$G$10000,"="&amp;R62)+SUMIFS('[1]2_inventory_totals'!$Q$8:$Q$10000,'[1]2_inventory_totals'!$C$8:$C$10000,I62,'[1]2_inventory_totals'!$F$8:$F$10000,"="&amp;Q62,'[1]2_inventory_totals'!$G$8:$G$10000,"="&amp;R62)+SUMIFS('[1]2_inventory_totals'!$R$8:$R$10000,'[1]2_inventory_totals'!$C$8:$C$10000,I62,'[1]2_inventory_totals'!$F$8:$F$10000,"="&amp;Q62,'[1]2_inventory_totals'!$G$8:$G$10000,"="&amp;R62))+(SUMIFS('[1]2_inventory_totals'!$J$8:$J$10000,'[1]2_inventory_totals'!$C$8:$C$10000,I62,'[1]2_inventory_totals'!$F$8:$F$10000,"="&amp;Q62,'[1]2_inventory_totals'!$G$8:$G$10000,"="&amp;R62)+SUMIFS('[1]2_inventory_totals'!$K$8:$K$10000,'[1]2_inventory_totals'!$C$8:$C$10000,I62,'[1]2_inventory_totals'!$F$8:$F$10000,"="&amp;Q62,'[1]2_inventory_totals'!$G$8:$G$10000,"="&amp;R62)+SUMIFS('[1]2_inventory_totals'!$L$8:$L$10000,'[1]2_inventory_totals'!$C$8:$C$10000,I62,'[1]2_inventory_totals'!$F$8:$F$10000,"="&amp;Q62,'[1]2_inventory_totals'!$G$8:$G$10000,"="&amp;R62)+SUMIFS('[1]2_inventory_totals'!$M$8:$M$10000,'[1]2_inventory_totals'!$C$8:$C$10000,I62,'[1]2_inventory_totals'!$F$8:$F$10000,"="&amp;Q62,'[1]2_inventory_totals'!$G$8:$G$10000,"="&amp;R62)+SUMIFS('[1]2_inventory_totals'!$O$8:$O$10000,'[1]2_inventory_totals'!$C$8:$C$10000,I62,'[1]2_inventory_totals'!$F$8:$F$10000,"="&amp;Q62,'[1]2_inventory_totals'!$G$8:$G$10000,"="&amp;R62)+SUMIFS('[1]2_inventory_totals'!$S$8:$S$10000,'[1]2_inventory_totals'!$C$8:$C$10000,I62,'[1]2_inventory_totals'!$F$8:$F$10000,"="&amp;Q62,'[1]2_inventory_totals'!$G$8:$G$10000,"="&amp;R62)))</f>
        <v/>
      </c>
    </row>
    <row r="63" spans="1:54" ht="27" hidden="1" customHeight="1">
      <c r="A63" s="923"/>
      <c r="B63" s="1256"/>
      <c r="C63" s="950"/>
      <c r="D63" s="950"/>
      <c r="E63" s="950"/>
      <c r="F63" s="1257"/>
      <c r="G63" s="941"/>
      <c r="H63" s="951"/>
      <c r="I63" s="1610" t="str">
        <f t="shared" si="7"/>
        <v/>
      </c>
      <c r="J63" s="1611" t="str">
        <f t="shared" si="24"/>
        <v/>
      </c>
      <c r="K63" s="1612" t="str">
        <f t="shared" si="30"/>
        <v/>
      </c>
      <c r="L63" s="1613"/>
      <c r="M63" s="883"/>
      <c r="N63" s="884"/>
      <c r="O63" s="884"/>
      <c r="P63" s="885"/>
      <c r="Q63" s="886"/>
      <c r="R63" s="891"/>
      <c r="S63" s="1614" t="str">
        <f t="shared" si="0"/>
        <v/>
      </c>
      <c r="T63" s="1536"/>
      <c r="U63" s="1864" t="str">
        <f t="shared" si="9"/>
        <v/>
      </c>
      <c r="V63" s="1615" t="str">
        <f t="shared" si="25"/>
        <v/>
      </c>
      <c r="W63" s="889"/>
      <c r="X63" s="1615" t="str">
        <f t="shared" si="26"/>
        <v/>
      </c>
      <c r="Y63" s="1865" t="str">
        <f t="shared" si="10"/>
        <v/>
      </c>
      <c r="Z63" s="890"/>
      <c r="AA63" s="197" t="str" cm="1">
        <f t="array" ref="AA63">IF(M63="","",IF(P63=AN63,1,Slookup(MID(AN63,1,3)*1,UomConversion!$D$8:$J$500,5,UomConversion!$E$8:$E$500,MID(P63,1,3)*1,UomConversion!$J$8:$J$500,1)))</f>
        <v/>
      </c>
      <c r="AB63" s="197" t="str">
        <f t="shared" si="11"/>
        <v/>
      </c>
      <c r="AC63" s="197" t="str">
        <f t="shared" si="12"/>
        <v/>
      </c>
      <c r="AD63" s="197" t="str">
        <f t="shared" si="13"/>
        <v/>
      </c>
      <c r="AE63" s="1866" t="str">
        <f t="shared" si="14"/>
        <v/>
      </c>
      <c r="AF63" s="1866" t="str">
        <f t="shared" si="27"/>
        <v/>
      </c>
      <c r="AG63" s="197" t="str">
        <f t="shared" si="16"/>
        <v/>
      </c>
      <c r="AH63" s="197" t="str">
        <f>IF(I63="","",IF(ISNA(MATCH(I63,IF(invoice_location_id=1,'[1]1_inventory_totals'!$C$8:$C$10000,IF(invoice_location_id=2,'[1]2_inventory_totals'!$C$8:$C$10000,0)),0)),0,IF(AV63&gt;0,1,0)))</f>
        <v/>
      </c>
      <c r="AI63" s="197" t="str">
        <f>IF(M63="","",IF(invoice_location_id=1,SUMIFS('[1]1_inventory_total_details'!$J$8:$J$10000,'[1]1_inventory_total_details'!$C$8:$C$10000,I63,'[1]1_inventory_total_details'!$F$8:$F$10000,invoice_location_id,'[1]1_inventory_total_details'!$G$8:$G$10000,"="&amp;Q63,'[1]1_inventory_total_details'!$H$8:$H$10000,"="&amp;R63,'[1]1_inventory_total_details'!$I$8:$I$10000,"="&amp;invoice_date)+SUMIFS('[1]1_inventory_total_details'!$M$8:$M$10000,'[1]1_inventory_total_details'!$C$8:$C$10000,I63,'[1]1_inventory_total_details'!$F$8:$F$10000,invoice_location_id,'[1]1_inventory_total_details'!$G$8:$G$10000,"="&amp;Q63,'[1]1_inventory_total_details'!$H$8:$H$10000,"="&amp;R63,'[1]1_inventory_total_details'!$I$8:$I$10000,"="&amp;invoice_date)+SUMIFS('[1]1_inventory_total_details'!$K$8:$K$10000,'[1]1_inventory_total_details'!$C$8:$C$10000,I63,'[1]1_inventory_total_details'!$F$8:$F$10000,invoice_location_id,'[1]1_inventory_total_details'!$G$8:$G$10000,"="&amp;Q63,'[1]1_inventory_total_details'!$H$8:$H$10000,"="&amp;R63,'[1]1_inventory_total_details'!$I$8:$I$10000,"="&amp;invoice_date)+SUMIFS('[1]1_inventory_total_details'!$L$8:$L$10000,'[1]1_inventory_total_details'!$C$8:$C$10000,I63,'[1]1_inventory_total_details'!$F$8:$F$10000,invoice_location_id,'[1]1_inventory_total_details'!$G$8:$G$10000,"="&amp;Q63,'[1]1_inventory_total_details'!$H$8:$H$10000,"="&amp;R63,'[1]1_inventory_total_details'!$I$8:$I$10000,"="&amp;invoice_date),SUMIFS('[1]2_inventory_total_details'!$J$8:$J$10000,'[1]2_inventory_total_details'!$C$8:$C$10000,I63,'[1]2_inventory_total_details'!$F$8:$F$10000,invoice_location_id,'[1]2_inventory_total_details'!$G$8:$G$10000,"="&amp;Q63,'[1]2_inventory_total_details'!$H$8:$H$10000,"="&amp;R63,'[1]2_inventory_total_details'!$I$8:$I$10000,"="&amp;invoice_date)+SUMIFS('[1]2_inventory_total_details'!$M$8:$M$10000,'[1]2_inventory_total_details'!$C$8:$C$10000,I63,'[1]2_inventory_total_details'!$F$8:$F$10000,invoice_location_id,'[1]2_inventory_total_details'!$G$8:$G$10000,"="&amp;Q63,'[1]2_inventory_total_details'!$H$8:$H$10000,"="&amp;R63,'[1]2_inventory_total_details'!$I$8:$I$10000,"="&amp;invoice_date)+SUMIFS('[1]2_inventory_total_details'!$K$8:$K$10000,'[1]2_inventory_total_details'!$C$8:$C$10000,I63,'[1]2_inventory_total_details'!$F$8:$F$10000,invoice_location_id,'[1]2_inventory_total_details'!$G$8:$G$10000,"="&amp;Q63,'[1]2_inventory_total_details'!$H$8:$H$10000,"="&amp;R63,'[1]2_inventory_total_details'!$I$8:$I$10000,"="&amp;invoice_date)+SUMIFS('[1]2_inventory_total_details'!$L$8:$L$10000,'[1]2_inventory_total_details'!$C$8:$C$10000,I63,'[1]2_inventory_total_details'!$F$8:$F$10000,invoice_location_id,'[1]2_inventory_total_details'!$G$8:$G$10000,"="&amp;Q63,'[1]2_inventory_total_details'!$H$8:$H$10000,"="&amp;R63,'[1]2_inventory_total_details'!$I$8:$I$10000,"="&amp;invoice_date)))</f>
        <v/>
      </c>
      <c r="AJ63" s="197" t="str">
        <f>IF(M63="","",IF(ISNA(MATCH(I63,'[1]1_group_totals'!$C$8:$C$10000)),0,IF(AW63&gt;0,1,0)))</f>
        <v/>
      </c>
      <c r="AK63" s="197" t="str">
        <f>IF(M63="","",(SUMIFS('[1]1_group_total_details'!$I$8:$I$10000,'[1]1_group_total_details'!$C$8:$C$10000,I63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63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63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63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63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63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63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63,'[1]1_group_total_details'!$F$8:$F$10000,invoice_location_group_id,'[1]1_group_total_details'!$G$8:$G$10000,invoice_location_id,'[1]1_group_total_details'!$H$8:$H$10000,"="&amp;invoice_date)))</f>
        <v/>
      </c>
      <c r="AL63" s="197" t="str">
        <f>IF(M63="","",(SUMIFS('[1]1_group_total_details'!$I$8:$I$10000,'[1]1_group_total_details'!$C$8:$C$10000,I63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63,'[1]1_group_total_details'!$F$8:$F$10000,invoice_location_group_id,'[1]1_group_total_details'!$G$8:$G$10000,1,'[1]1_group_total_details'!$H$8:$H$10000,"&lt;="&amp;invoice_date)+SUMIFS('[1]1_group_total_details'!$N$8:$N$10000,'[1]1_group_total_details'!$C$8:$C$10000,I63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63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63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63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63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63,'[1]1_group_total_details'!$F$8:$F$10000,invoice_location_group_id,'[1]1_group_total_details'!$G$8:$G$10000,invoice_location_id,'[1]1_group_total_details'!$H$8:$H$10000,"&lt;="&amp;invoice_date)))</f>
        <v/>
      </c>
      <c r="AM63" s="197" t="str">
        <f>IF(M63="","",SUMIFS('[1]1_group_totals'!$J$8:$J$10000,'[1]1_group_totals'!$C$8:$C$10000,I63,'[1]1_group_totals'!$F$8:$F$10000,invoice_location_group_id,'[1]1_group_totals'!$G$8:$G$10000,invoice_location_id,'[1]1_group_totals'!$H$8:$H$10000,"="&amp;Q63,'[1]1_group_totals'!$I$8:$I$10000,"="&amp;R63))</f>
        <v/>
      </c>
      <c r="AN63" s="197" t="str">
        <f t="shared" si="17"/>
        <v/>
      </c>
      <c r="AO63" s="197" t="str">
        <f>IF(OR(ISNA(MATCH(MID(AN63,1,3)*1,UomConversion!$D$8:$D$500,0)),M63=""),"",IF(AT63="","",AT63))</f>
        <v/>
      </c>
      <c r="AP63" s="197" t="str">
        <f>IF(AND(AQ63&gt;0,COUNTIFS(UomConversion!$D$8:$D$500,MID(AN63,1,3)*1,UomConversion!$J$8:$J$500,1)&gt;1),TEXT(AQ63,"000")&amp;"."&amp;VLOOKUP(AQ63,uom_list,5,FALSE),"")</f>
        <v/>
      </c>
      <c r="AQ63" s="197" t="str">
        <f t="shared" si="18"/>
        <v/>
      </c>
      <c r="AR63" s="197" t="str">
        <f t="shared" si="19"/>
        <v/>
      </c>
      <c r="AS63" s="1866" t="str">
        <f>IF(M63="","",SUMIFS(ProductPrice!$N$28:$N$10000,ProductPrice!$D$28:$D$10000,I63,ProductPrice!$G$28:$G$10000,invoice_branch_id,ProductPrice!$H$28:$H$10000,invoice_price_type_id,ProductPrice!$I$28:$I$10000,MID(P63,1,3)*1,ProductPrice!$Q$28:$Q$10000,1,ProductPrice!$T$28:$T$10000,1))</f>
        <v/>
      </c>
      <c r="AT63" s="197" t="str">
        <f t="shared" si="28"/>
        <v/>
      </c>
      <c r="AU63" s="197" t="str" cm="1">
        <f t="array" ref="AU63">IF(M63="","",IF(ISNA(Slookup(MID(AN63,1,3)*1,UomConversion!$D$8:$J$500,2,UomConversion!$I$8:$I$500,1,UomConversion!$J$8:$J$500,1)),"",Slookup(MID(AN63,1,3)*1,UomConversion!$D$8:$J$500,2,UomConversion!$I$8:$I$500,1,UomConversion!$J$8:$J$500,1)))</f>
        <v/>
      </c>
      <c r="AV63" s="197" t="str">
        <f t="shared" si="29"/>
        <v/>
      </c>
      <c r="AW63" s="197" t="str">
        <f>IF(M63="","",(SUMIFS('[1]1_group_totals'!$K$8:$K$10000,'[1]1_group_totals'!$C$8:$C$10000,I63,'[1]1_group_totals'!$F$8:$F$10000,invoice_location_group_id,'[1]1_group_totals'!$G$8:$G$10000,invoice_location_id,'[1]1_group_totals'!$H$8:$H$10000,"="&amp;Q63,'[1]1_group_totals'!$I$8:$I$10000,"="&amp;R63)+SUMIFS('[1]1_group_totals'!$N$8:$N$10000,'[1]1_group_totals'!$C$8:$C$10000,I63,'[1]1_group_totals'!$F$8:$F$10000,invoice_location_group_id,'[1]1_group_totals'!$G$8:$G$10000,invoice_location_id,'[1]1_group_totals'!$H$8:$H$10000,"="&amp;Q63,'[1]1_group_totals'!$I$8:$I$10000,"="&amp;R63)+SUMIFS('[1]1_group_totals'!$P$8:$P$10000,'[1]1_group_totals'!$C$8:$C$10000,I63,'[1]1_group_totals'!$F$8:$F$10000,invoice_location_group_id,'[1]1_group_totals'!$G$8:$G$10000,invoice_location_id,'[1]1_group_totals'!$H$8:$H$10000,"="&amp;Q63,'[1]1_group_totals'!$I$8:$I$10000,"="&amp;R63)+SUMIFS('[1]1_group_totals'!$Q$8:$Q$10000,'[1]1_group_totals'!$C$8:$C$10000,I63,'[1]1_group_totals'!$F$8:$F$10000,invoice_location_group_id,'[1]1_group_totals'!$G$8:$G$10000,invoice_location_id,'[1]1_group_totals'!$H$8:$H$10000,"="&amp;Q63,'[1]1_group_totals'!$I$8:$I$10000,"="&amp;R63))+(SUMIFS('[1]1_group_totals'!$L$8:$L$10000,'[1]1_group_totals'!$C$8:$C$10000,I63,'[1]1_group_totals'!$F$8:$F$10000,invoice_location_group_id,'[1]1_group_totals'!$G$8:$G$10000,invoice_location_id,'[1]1_group_totals'!$H$8:$H$10000,"="&amp;Q63,'[1]1_group_totals'!$I$8:$I$10000,"="&amp;R63)+SUMIFS('[1]1_group_totals'!$M$8:$M$10000,'[1]1_group_totals'!$C$8:$C$10000,I63,'[1]1_group_totals'!$F$8:$F$10000,invoice_location_group_id,'[1]1_group_totals'!$G$8:$G$10000,invoice_location_id,'[1]1_group_totals'!$H$8:$H$10000,"="&amp;Q63,'[1]1_group_totals'!$I$8:$I$10000,"="&amp;R63)+SUMIFS('[1]1_group_totals'!$O$8:$O$10000,'[1]1_group_totals'!$C$8:$C$10000,I63,'[1]1_group_totals'!$F$8:$F$10000,invoice_location_group_id,'[1]1_group_totals'!$G$8:$G$10000,invoice_location_id,'[1]1_group_totals'!$H$8:$H$10000,"="&amp;Q63,'[1]1_group_totals'!$I$8:$I$10000,"="&amp;R63)+SUMIFS('[1]1_group_totals'!$R$8:$R$10000,'[1]1_group_totals'!$C$8:$C$10000,I63,'[1]1_group_totals'!$F$8:$F$10000,invoice_location_group_id,'[1]1_group_totals'!$G$8:$G$10000,invoice_location_id,'[1]1_group_totals'!$H$8:$H$10000,"="&amp;Q63,'[1]1_group_totals'!$I$8:$I$10000,"="&amp;R63)))</f>
        <v/>
      </c>
      <c r="AX63" s="197" t="str">
        <f t="shared" si="21"/>
        <v/>
      </c>
      <c r="AY63" s="197" t="str">
        <f>IF(M63="","",SUMIFS($AX$8:AX63,$I$8:I63,I63))</f>
        <v/>
      </c>
      <c r="AZ63" s="197" t="str">
        <f t="shared" si="22"/>
        <v/>
      </c>
      <c r="BA63" s="197" t="str">
        <f>IF(M63="","",(SUMIFS('[1]1_inventory_totals'!$I$8:$I$10000,'[1]1_inventory_totals'!$C$8:$C$10000,I63,'[1]1_inventory_totals'!$F$8:$F$10000,"="&amp;Q63,'[1]1_inventory_totals'!$G$8:$G$10000,"="&amp;R63)+SUMIFS('[1]1_inventory_totals'!$N$8:$N$10000,'[1]1_inventory_totals'!$C$8:$C$10000,I63,'[1]1_inventory_totals'!$F$8:$F$10000,"="&amp;Q63,'[1]1_inventory_totals'!$G$8:$G$10000,"="&amp;R63)+SUMIFS('[1]1_inventory_totals'!$P$8:$P$10000,'[1]1_inventory_totals'!$C$8:$C$10000,I63,'[1]1_inventory_totals'!$F$8:$F$10000,"="&amp;Q63,'[1]1_inventory_totals'!$G$8:$G$10000,"="&amp;R63)+SUMIFS('[1]1_inventory_totals'!$Q$8:$Q$10000,'[1]1_inventory_totals'!$C$8:$C$10000,I63,'[1]1_inventory_totals'!$F$8:$F$10000,"="&amp;Q63,'[1]1_inventory_totals'!$G$8:$G$10000,"="&amp;R63)+SUMIFS('[1]1_inventory_totals'!$R$8:$R$10000,'[1]1_inventory_totals'!$C$8:$C$10000,I63,'[1]1_inventory_totals'!$F$8:$F$10000,"="&amp;Q63,'[1]1_inventory_totals'!$G$8:$G$10000,"="&amp;R63))+(SUMIFS('[1]1_inventory_totals'!$J$8:$J$10000,'[1]1_inventory_totals'!$C$8:$C$10000,I63,'[1]1_inventory_totals'!$F$8:$F$10000,"="&amp;Q63,'[1]1_inventory_totals'!$G$8:$G$10000,"="&amp;R63)+SUMIFS('[1]1_inventory_totals'!$K$8:$K$10000,'[1]1_inventory_totals'!$C$8:$C$10000,I63,'[1]1_inventory_totals'!$F$8:$F$10000,"="&amp;Q63,'[1]1_inventory_totals'!$G$8:$G$10000,"="&amp;R63)+SUMIFS('[1]1_inventory_totals'!$L$8:$L$10000,'[1]1_inventory_totals'!$C$8:$C$10000,I63,'[1]1_inventory_totals'!$F$8:$F$10000,"="&amp;Q63,'[1]1_inventory_totals'!$G$8:$G$10000,"="&amp;R63)+SUMIFS('[1]1_inventory_totals'!$M$8:$M$10000,'[1]1_inventory_totals'!$C$8:$C$10000,I63,'[1]1_inventory_totals'!$F$8:$F$10000,"="&amp;Q63,'[1]1_inventory_totals'!$G$8:$G$10000,"="&amp;R63)+SUMIFS('[1]1_inventory_totals'!$O$8:$O$10000,'[1]1_inventory_totals'!$C$8:$C$10000,I63,'[1]1_inventory_totals'!$F$8:$F$10000,"="&amp;Q63,'[1]1_inventory_totals'!$G$8:$G$10000,"="&amp;R63)+SUMIFS('[1]1_inventory_totals'!$S$8:$S$10000,'[1]1_inventory_totals'!$C$8:$C$10000,I63,'[1]1_inventory_totals'!$F$8:$F$10000,"="&amp;Q63,'[1]1_inventory_totals'!$G$8:$G$10000,"="&amp;R63)))</f>
        <v/>
      </c>
      <c r="BB63" s="197" t="str">
        <f>IF(M63="","",(SUMIFS('[1]2_inventory_totals'!$I$8:$I$10000,'[1]2_inventory_totals'!$C$8:$C$10000,I63,'[1]2_inventory_totals'!$F$8:$F$10000,"="&amp;Q63,'[1]2_inventory_totals'!$G$8:$G$10000,"="&amp;R63)+SUMIFS('[1]2_inventory_totals'!$N$8:$N$10000,'[1]2_inventory_totals'!$C$8:$C$10000,I63,'[1]2_inventory_totals'!$F$8:$F$10000,"="&amp;Q63,'[1]2_inventory_totals'!$G$8:$G$10000,"="&amp;R63)+SUMIFS('[1]2_inventory_totals'!$P$8:$P$10000,'[1]2_inventory_totals'!$C$8:$C$10000,I63,'[1]2_inventory_totals'!$F$8:$F$10000,"="&amp;Q63,'[1]2_inventory_totals'!$G$8:$G$10000,"="&amp;R63)+SUMIFS('[1]2_inventory_totals'!$Q$8:$Q$10000,'[1]2_inventory_totals'!$C$8:$C$10000,I63,'[1]2_inventory_totals'!$F$8:$F$10000,"="&amp;Q63,'[1]2_inventory_totals'!$G$8:$G$10000,"="&amp;R63)+SUMIFS('[1]2_inventory_totals'!$R$8:$R$10000,'[1]2_inventory_totals'!$C$8:$C$10000,I63,'[1]2_inventory_totals'!$F$8:$F$10000,"="&amp;Q63,'[1]2_inventory_totals'!$G$8:$G$10000,"="&amp;R63))+(SUMIFS('[1]2_inventory_totals'!$J$8:$J$10000,'[1]2_inventory_totals'!$C$8:$C$10000,I63,'[1]2_inventory_totals'!$F$8:$F$10000,"="&amp;Q63,'[1]2_inventory_totals'!$G$8:$G$10000,"="&amp;R63)+SUMIFS('[1]2_inventory_totals'!$K$8:$K$10000,'[1]2_inventory_totals'!$C$8:$C$10000,I63,'[1]2_inventory_totals'!$F$8:$F$10000,"="&amp;Q63,'[1]2_inventory_totals'!$G$8:$G$10000,"="&amp;R63)+SUMIFS('[1]2_inventory_totals'!$L$8:$L$10000,'[1]2_inventory_totals'!$C$8:$C$10000,I63,'[1]2_inventory_totals'!$F$8:$F$10000,"="&amp;Q63,'[1]2_inventory_totals'!$G$8:$G$10000,"="&amp;R63)+SUMIFS('[1]2_inventory_totals'!$M$8:$M$10000,'[1]2_inventory_totals'!$C$8:$C$10000,I63,'[1]2_inventory_totals'!$F$8:$F$10000,"="&amp;Q63,'[1]2_inventory_totals'!$G$8:$G$10000,"="&amp;R63)+SUMIFS('[1]2_inventory_totals'!$O$8:$O$10000,'[1]2_inventory_totals'!$C$8:$C$10000,I63,'[1]2_inventory_totals'!$F$8:$F$10000,"="&amp;Q63,'[1]2_inventory_totals'!$G$8:$G$10000,"="&amp;R63)+SUMIFS('[1]2_inventory_totals'!$S$8:$S$10000,'[1]2_inventory_totals'!$C$8:$C$10000,I63,'[1]2_inventory_totals'!$F$8:$F$10000,"="&amp;Q63,'[1]2_inventory_totals'!$G$8:$G$10000,"="&amp;R63)))</f>
        <v/>
      </c>
    </row>
    <row r="64" spans="1:54" ht="27" hidden="1" customHeight="1">
      <c r="A64" s="923"/>
      <c r="B64" s="1256"/>
      <c r="C64" s="950"/>
      <c r="D64" s="950"/>
      <c r="E64" s="950"/>
      <c r="F64" s="1257"/>
      <c r="G64" s="941"/>
      <c r="H64" s="951"/>
      <c r="I64" s="1610" t="str">
        <f t="shared" si="7"/>
        <v/>
      </c>
      <c r="J64" s="1611" t="str">
        <f t="shared" si="24"/>
        <v/>
      </c>
      <c r="K64" s="1612" t="str">
        <f t="shared" si="30"/>
        <v/>
      </c>
      <c r="L64" s="1613"/>
      <c r="M64" s="883"/>
      <c r="N64" s="884"/>
      <c r="O64" s="884"/>
      <c r="P64" s="885"/>
      <c r="Q64" s="886"/>
      <c r="R64" s="891"/>
      <c r="S64" s="1614" t="str">
        <f t="shared" si="0"/>
        <v/>
      </c>
      <c r="T64" s="1536"/>
      <c r="U64" s="1864" t="str">
        <f t="shared" si="9"/>
        <v/>
      </c>
      <c r="V64" s="1615" t="str">
        <f t="shared" si="25"/>
        <v/>
      </c>
      <c r="W64" s="889"/>
      <c r="X64" s="1615" t="str">
        <f t="shared" si="26"/>
        <v/>
      </c>
      <c r="Y64" s="1865" t="str">
        <f t="shared" si="10"/>
        <v/>
      </c>
      <c r="Z64" s="890"/>
      <c r="AA64" s="197" t="str" cm="1">
        <f t="array" ref="AA64">IF(M64="","",IF(P64=AN64,1,Slookup(MID(AN64,1,3)*1,UomConversion!$D$8:$J$500,5,UomConversion!$E$8:$E$500,MID(P64,1,3)*1,UomConversion!$J$8:$J$500,1)))</f>
        <v/>
      </c>
      <c r="AB64" s="197" t="str">
        <f t="shared" si="11"/>
        <v/>
      </c>
      <c r="AC64" s="197" t="str">
        <f t="shared" si="12"/>
        <v/>
      </c>
      <c r="AD64" s="197" t="str">
        <f t="shared" si="13"/>
        <v/>
      </c>
      <c r="AE64" s="1866" t="str">
        <f t="shared" si="14"/>
        <v/>
      </c>
      <c r="AF64" s="1866" t="str">
        <f t="shared" si="27"/>
        <v/>
      </c>
      <c r="AG64" s="197" t="str">
        <f t="shared" si="16"/>
        <v/>
      </c>
      <c r="AH64" s="197" t="str">
        <f>IF(I64="","",IF(ISNA(MATCH(I64,IF(invoice_location_id=1,'[1]1_inventory_totals'!$C$8:$C$10000,IF(invoice_location_id=2,'[1]2_inventory_totals'!$C$8:$C$10000,0)),0)),0,IF(AV64&gt;0,1,0)))</f>
        <v/>
      </c>
      <c r="AI64" s="197" t="str">
        <f>IF(M64="","",IF(invoice_location_id=1,SUMIFS('[1]1_inventory_total_details'!$J$8:$J$10000,'[1]1_inventory_total_details'!$C$8:$C$10000,I64,'[1]1_inventory_total_details'!$F$8:$F$10000,invoice_location_id,'[1]1_inventory_total_details'!$G$8:$G$10000,"="&amp;Q64,'[1]1_inventory_total_details'!$H$8:$H$10000,"="&amp;R64,'[1]1_inventory_total_details'!$I$8:$I$10000,"="&amp;invoice_date)+SUMIFS('[1]1_inventory_total_details'!$M$8:$M$10000,'[1]1_inventory_total_details'!$C$8:$C$10000,I64,'[1]1_inventory_total_details'!$F$8:$F$10000,invoice_location_id,'[1]1_inventory_total_details'!$G$8:$G$10000,"="&amp;Q64,'[1]1_inventory_total_details'!$H$8:$H$10000,"="&amp;R64,'[1]1_inventory_total_details'!$I$8:$I$10000,"="&amp;invoice_date)+SUMIFS('[1]1_inventory_total_details'!$K$8:$K$10000,'[1]1_inventory_total_details'!$C$8:$C$10000,I64,'[1]1_inventory_total_details'!$F$8:$F$10000,invoice_location_id,'[1]1_inventory_total_details'!$G$8:$G$10000,"="&amp;Q64,'[1]1_inventory_total_details'!$H$8:$H$10000,"="&amp;R64,'[1]1_inventory_total_details'!$I$8:$I$10000,"="&amp;invoice_date)+SUMIFS('[1]1_inventory_total_details'!$L$8:$L$10000,'[1]1_inventory_total_details'!$C$8:$C$10000,I64,'[1]1_inventory_total_details'!$F$8:$F$10000,invoice_location_id,'[1]1_inventory_total_details'!$G$8:$G$10000,"="&amp;Q64,'[1]1_inventory_total_details'!$H$8:$H$10000,"="&amp;R64,'[1]1_inventory_total_details'!$I$8:$I$10000,"="&amp;invoice_date),SUMIFS('[1]2_inventory_total_details'!$J$8:$J$10000,'[1]2_inventory_total_details'!$C$8:$C$10000,I64,'[1]2_inventory_total_details'!$F$8:$F$10000,invoice_location_id,'[1]2_inventory_total_details'!$G$8:$G$10000,"="&amp;Q64,'[1]2_inventory_total_details'!$H$8:$H$10000,"="&amp;R64,'[1]2_inventory_total_details'!$I$8:$I$10000,"="&amp;invoice_date)+SUMIFS('[1]2_inventory_total_details'!$M$8:$M$10000,'[1]2_inventory_total_details'!$C$8:$C$10000,I64,'[1]2_inventory_total_details'!$F$8:$F$10000,invoice_location_id,'[1]2_inventory_total_details'!$G$8:$G$10000,"="&amp;Q64,'[1]2_inventory_total_details'!$H$8:$H$10000,"="&amp;R64,'[1]2_inventory_total_details'!$I$8:$I$10000,"="&amp;invoice_date)+SUMIFS('[1]2_inventory_total_details'!$K$8:$K$10000,'[1]2_inventory_total_details'!$C$8:$C$10000,I64,'[1]2_inventory_total_details'!$F$8:$F$10000,invoice_location_id,'[1]2_inventory_total_details'!$G$8:$G$10000,"="&amp;Q64,'[1]2_inventory_total_details'!$H$8:$H$10000,"="&amp;R64,'[1]2_inventory_total_details'!$I$8:$I$10000,"="&amp;invoice_date)+SUMIFS('[1]2_inventory_total_details'!$L$8:$L$10000,'[1]2_inventory_total_details'!$C$8:$C$10000,I64,'[1]2_inventory_total_details'!$F$8:$F$10000,invoice_location_id,'[1]2_inventory_total_details'!$G$8:$G$10000,"="&amp;Q64,'[1]2_inventory_total_details'!$H$8:$H$10000,"="&amp;R64,'[1]2_inventory_total_details'!$I$8:$I$10000,"="&amp;invoice_date)))</f>
        <v/>
      </c>
      <c r="AJ64" s="197" t="str">
        <f>IF(M64="","",IF(ISNA(MATCH(I64,'[1]1_group_totals'!$C$8:$C$10000)),0,IF(AW64&gt;0,1,0)))</f>
        <v/>
      </c>
      <c r="AK64" s="197" t="str">
        <f>IF(M64="","",(SUMIFS('[1]1_group_total_details'!$I$8:$I$10000,'[1]1_group_total_details'!$C$8:$C$10000,I64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64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64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64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64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64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64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64,'[1]1_group_total_details'!$F$8:$F$10000,invoice_location_group_id,'[1]1_group_total_details'!$G$8:$G$10000,invoice_location_id,'[1]1_group_total_details'!$H$8:$H$10000,"="&amp;invoice_date)))</f>
        <v/>
      </c>
      <c r="AL64" s="197" t="str">
        <f>IF(M64="","",(SUMIFS('[1]1_group_total_details'!$I$8:$I$10000,'[1]1_group_total_details'!$C$8:$C$10000,I64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64,'[1]1_group_total_details'!$F$8:$F$10000,invoice_location_group_id,'[1]1_group_total_details'!$G$8:$G$10000,1,'[1]1_group_total_details'!$H$8:$H$10000,"&lt;="&amp;invoice_date)+SUMIFS('[1]1_group_total_details'!$N$8:$N$10000,'[1]1_group_total_details'!$C$8:$C$10000,I64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64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64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64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64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64,'[1]1_group_total_details'!$F$8:$F$10000,invoice_location_group_id,'[1]1_group_total_details'!$G$8:$G$10000,invoice_location_id,'[1]1_group_total_details'!$H$8:$H$10000,"&lt;="&amp;invoice_date)))</f>
        <v/>
      </c>
      <c r="AM64" s="197" t="str">
        <f>IF(M64="","",SUMIFS('[1]1_group_totals'!$J$8:$J$10000,'[1]1_group_totals'!$C$8:$C$10000,I64,'[1]1_group_totals'!$F$8:$F$10000,invoice_location_group_id,'[1]1_group_totals'!$G$8:$G$10000,invoice_location_id,'[1]1_group_totals'!$H$8:$H$10000,"="&amp;Q64,'[1]1_group_totals'!$I$8:$I$10000,"="&amp;R64))</f>
        <v/>
      </c>
      <c r="AN64" s="197" t="str">
        <f t="shared" si="17"/>
        <v/>
      </c>
      <c r="AO64" s="197" t="str">
        <f>IF(OR(ISNA(MATCH(MID(AN64,1,3)*1,UomConversion!$D$8:$D$500,0)),M64=""),"",IF(AT64="","",AT64))</f>
        <v/>
      </c>
      <c r="AP64" s="197" t="str">
        <f>IF(AND(AQ64&gt;0,COUNTIFS(UomConversion!$D$8:$D$500,MID(AN64,1,3)*1,UomConversion!$J$8:$J$500,1)&gt;1),TEXT(AQ64,"000")&amp;"."&amp;VLOOKUP(AQ64,uom_list,5,FALSE),"")</f>
        <v/>
      </c>
      <c r="AQ64" s="197" t="str">
        <f t="shared" si="18"/>
        <v/>
      </c>
      <c r="AR64" s="197" t="str">
        <f t="shared" si="19"/>
        <v/>
      </c>
      <c r="AS64" s="1866" t="str">
        <f>IF(M64="","",SUMIFS(ProductPrice!$N$28:$N$10000,ProductPrice!$D$28:$D$10000,I64,ProductPrice!$G$28:$G$10000,invoice_branch_id,ProductPrice!$H$28:$H$10000,invoice_price_type_id,ProductPrice!$I$28:$I$10000,MID(P64,1,3)*1,ProductPrice!$Q$28:$Q$10000,1,ProductPrice!$T$28:$T$10000,1))</f>
        <v/>
      </c>
      <c r="AT64" s="197" t="str">
        <f t="shared" si="28"/>
        <v/>
      </c>
      <c r="AU64" s="197" t="str" cm="1">
        <f t="array" ref="AU64">IF(M64="","",IF(ISNA(Slookup(MID(AN64,1,3)*1,UomConversion!$D$8:$J$500,2,UomConversion!$I$8:$I$500,1,UomConversion!$J$8:$J$500,1)),"",Slookup(MID(AN64,1,3)*1,UomConversion!$D$8:$J$500,2,UomConversion!$I$8:$I$500,1,UomConversion!$J$8:$J$500,1)))</f>
        <v/>
      </c>
      <c r="AV64" s="197" t="str">
        <f t="shared" si="29"/>
        <v/>
      </c>
      <c r="AW64" s="197" t="str">
        <f>IF(M64="","",(SUMIFS('[1]1_group_totals'!$K$8:$K$10000,'[1]1_group_totals'!$C$8:$C$10000,I64,'[1]1_group_totals'!$F$8:$F$10000,invoice_location_group_id,'[1]1_group_totals'!$G$8:$G$10000,invoice_location_id,'[1]1_group_totals'!$H$8:$H$10000,"="&amp;Q64,'[1]1_group_totals'!$I$8:$I$10000,"="&amp;R64)+SUMIFS('[1]1_group_totals'!$N$8:$N$10000,'[1]1_group_totals'!$C$8:$C$10000,I64,'[1]1_group_totals'!$F$8:$F$10000,invoice_location_group_id,'[1]1_group_totals'!$G$8:$G$10000,invoice_location_id,'[1]1_group_totals'!$H$8:$H$10000,"="&amp;Q64,'[1]1_group_totals'!$I$8:$I$10000,"="&amp;R64)+SUMIFS('[1]1_group_totals'!$P$8:$P$10000,'[1]1_group_totals'!$C$8:$C$10000,I64,'[1]1_group_totals'!$F$8:$F$10000,invoice_location_group_id,'[1]1_group_totals'!$G$8:$G$10000,invoice_location_id,'[1]1_group_totals'!$H$8:$H$10000,"="&amp;Q64,'[1]1_group_totals'!$I$8:$I$10000,"="&amp;R64)+SUMIFS('[1]1_group_totals'!$Q$8:$Q$10000,'[1]1_group_totals'!$C$8:$C$10000,I64,'[1]1_group_totals'!$F$8:$F$10000,invoice_location_group_id,'[1]1_group_totals'!$G$8:$G$10000,invoice_location_id,'[1]1_group_totals'!$H$8:$H$10000,"="&amp;Q64,'[1]1_group_totals'!$I$8:$I$10000,"="&amp;R64))+(SUMIFS('[1]1_group_totals'!$L$8:$L$10000,'[1]1_group_totals'!$C$8:$C$10000,I64,'[1]1_group_totals'!$F$8:$F$10000,invoice_location_group_id,'[1]1_group_totals'!$G$8:$G$10000,invoice_location_id,'[1]1_group_totals'!$H$8:$H$10000,"="&amp;Q64,'[1]1_group_totals'!$I$8:$I$10000,"="&amp;R64)+SUMIFS('[1]1_group_totals'!$M$8:$M$10000,'[1]1_group_totals'!$C$8:$C$10000,I64,'[1]1_group_totals'!$F$8:$F$10000,invoice_location_group_id,'[1]1_group_totals'!$G$8:$G$10000,invoice_location_id,'[1]1_group_totals'!$H$8:$H$10000,"="&amp;Q64,'[1]1_group_totals'!$I$8:$I$10000,"="&amp;R64)+SUMIFS('[1]1_group_totals'!$O$8:$O$10000,'[1]1_group_totals'!$C$8:$C$10000,I64,'[1]1_group_totals'!$F$8:$F$10000,invoice_location_group_id,'[1]1_group_totals'!$G$8:$G$10000,invoice_location_id,'[1]1_group_totals'!$H$8:$H$10000,"="&amp;Q64,'[1]1_group_totals'!$I$8:$I$10000,"="&amp;R64)+SUMIFS('[1]1_group_totals'!$R$8:$R$10000,'[1]1_group_totals'!$C$8:$C$10000,I64,'[1]1_group_totals'!$F$8:$F$10000,invoice_location_group_id,'[1]1_group_totals'!$G$8:$G$10000,invoice_location_id,'[1]1_group_totals'!$H$8:$H$10000,"="&amp;Q64,'[1]1_group_totals'!$I$8:$I$10000,"="&amp;R64)))</f>
        <v/>
      </c>
      <c r="AX64" s="197" t="str">
        <f t="shared" si="21"/>
        <v/>
      </c>
      <c r="AY64" s="197" t="str">
        <f>IF(M64="","",SUMIFS($AX$8:AX64,$I$8:I64,I64))</f>
        <v/>
      </c>
      <c r="AZ64" s="197" t="str">
        <f t="shared" si="22"/>
        <v/>
      </c>
      <c r="BA64" s="197" t="str">
        <f>IF(M64="","",(SUMIFS('[1]1_inventory_totals'!$I$8:$I$10000,'[1]1_inventory_totals'!$C$8:$C$10000,I64,'[1]1_inventory_totals'!$F$8:$F$10000,"="&amp;Q64,'[1]1_inventory_totals'!$G$8:$G$10000,"="&amp;R64)+SUMIFS('[1]1_inventory_totals'!$N$8:$N$10000,'[1]1_inventory_totals'!$C$8:$C$10000,I64,'[1]1_inventory_totals'!$F$8:$F$10000,"="&amp;Q64,'[1]1_inventory_totals'!$G$8:$G$10000,"="&amp;R64)+SUMIFS('[1]1_inventory_totals'!$P$8:$P$10000,'[1]1_inventory_totals'!$C$8:$C$10000,I64,'[1]1_inventory_totals'!$F$8:$F$10000,"="&amp;Q64,'[1]1_inventory_totals'!$G$8:$G$10000,"="&amp;R64)+SUMIFS('[1]1_inventory_totals'!$Q$8:$Q$10000,'[1]1_inventory_totals'!$C$8:$C$10000,I64,'[1]1_inventory_totals'!$F$8:$F$10000,"="&amp;Q64,'[1]1_inventory_totals'!$G$8:$G$10000,"="&amp;R64)+SUMIFS('[1]1_inventory_totals'!$R$8:$R$10000,'[1]1_inventory_totals'!$C$8:$C$10000,I64,'[1]1_inventory_totals'!$F$8:$F$10000,"="&amp;Q64,'[1]1_inventory_totals'!$G$8:$G$10000,"="&amp;R64))+(SUMIFS('[1]1_inventory_totals'!$J$8:$J$10000,'[1]1_inventory_totals'!$C$8:$C$10000,I64,'[1]1_inventory_totals'!$F$8:$F$10000,"="&amp;Q64,'[1]1_inventory_totals'!$G$8:$G$10000,"="&amp;R64)+SUMIFS('[1]1_inventory_totals'!$K$8:$K$10000,'[1]1_inventory_totals'!$C$8:$C$10000,I64,'[1]1_inventory_totals'!$F$8:$F$10000,"="&amp;Q64,'[1]1_inventory_totals'!$G$8:$G$10000,"="&amp;R64)+SUMIFS('[1]1_inventory_totals'!$L$8:$L$10000,'[1]1_inventory_totals'!$C$8:$C$10000,I64,'[1]1_inventory_totals'!$F$8:$F$10000,"="&amp;Q64,'[1]1_inventory_totals'!$G$8:$G$10000,"="&amp;R64)+SUMIFS('[1]1_inventory_totals'!$M$8:$M$10000,'[1]1_inventory_totals'!$C$8:$C$10000,I64,'[1]1_inventory_totals'!$F$8:$F$10000,"="&amp;Q64,'[1]1_inventory_totals'!$G$8:$G$10000,"="&amp;R64)+SUMIFS('[1]1_inventory_totals'!$O$8:$O$10000,'[1]1_inventory_totals'!$C$8:$C$10000,I64,'[1]1_inventory_totals'!$F$8:$F$10000,"="&amp;Q64,'[1]1_inventory_totals'!$G$8:$G$10000,"="&amp;R64)+SUMIFS('[1]1_inventory_totals'!$S$8:$S$10000,'[1]1_inventory_totals'!$C$8:$C$10000,I64,'[1]1_inventory_totals'!$F$8:$F$10000,"="&amp;Q64,'[1]1_inventory_totals'!$G$8:$G$10000,"="&amp;R64)))</f>
        <v/>
      </c>
      <c r="BB64" s="197" t="str">
        <f>IF(M64="","",(SUMIFS('[1]2_inventory_totals'!$I$8:$I$10000,'[1]2_inventory_totals'!$C$8:$C$10000,I64,'[1]2_inventory_totals'!$F$8:$F$10000,"="&amp;Q64,'[1]2_inventory_totals'!$G$8:$G$10000,"="&amp;R64)+SUMIFS('[1]2_inventory_totals'!$N$8:$N$10000,'[1]2_inventory_totals'!$C$8:$C$10000,I64,'[1]2_inventory_totals'!$F$8:$F$10000,"="&amp;Q64,'[1]2_inventory_totals'!$G$8:$G$10000,"="&amp;R64)+SUMIFS('[1]2_inventory_totals'!$P$8:$P$10000,'[1]2_inventory_totals'!$C$8:$C$10000,I64,'[1]2_inventory_totals'!$F$8:$F$10000,"="&amp;Q64,'[1]2_inventory_totals'!$G$8:$G$10000,"="&amp;R64)+SUMIFS('[1]2_inventory_totals'!$Q$8:$Q$10000,'[1]2_inventory_totals'!$C$8:$C$10000,I64,'[1]2_inventory_totals'!$F$8:$F$10000,"="&amp;Q64,'[1]2_inventory_totals'!$G$8:$G$10000,"="&amp;R64)+SUMIFS('[1]2_inventory_totals'!$R$8:$R$10000,'[1]2_inventory_totals'!$C$8:$C$10000,I64,'[1]2_inventory_totals'!$F$8:$F$10000,"="&amp;Q64,'[1]2_inventory_totals'!$G$8:$G$10000,"="&amp;R64))+(SUMIFS('[1]2_inventory_totals'!$J$8:$J$10000,'[1]2_inventory_totals'!$C$8:$C$10000,I64,'[1]2_inventory_totals'!$F$8:$F$10000,"="&amp;Q64,'[1]2_inventory_totals'!$G$8:$G$10000,"="&amp;R64)+SUMIFS('[1]2_inventory_totals'!$K$8:$K$10000,'[1]2_inventory_totals'!$C$8:$C$10000,I64,'[1]2_inventory_totals'!$F$8:$F$10000,"="&amp;Q64,'[1]2_inventory_totals'!$G$8:$G$10000,"="&amp;R64)+SUMIFS('[1]2_inventory_totals'!$L$8:$L$10000,'[1]2_inventory_totals'!$C$8:$C$10000,I64,'[1]2_inventory_totals'!$F$8:$F$10000,"="&amp;Q64,'[1]2_inventory_totals'!$G$8:$G$10000,"="&amp;R64)+SUMIFS('[1]2_inventory_totals'!$M$8:$M$10000,'[1]2_inventory_totals'!$C$8:$C$10000,I64,'[1]2_inventory_totals'!$F$8:$F$10000,"="&amp;Q64,'[1]2_inventory_totals'!$G$8:$G$10000,"="&amp;R64)+SUMIFS('[1]2_inventory_totals'!$O$8:$O$10000,'[1]2_inventory_totals'!$C$8:$C$10000,I64,'[1]2_inventory_totals'!$F$8:$F$10000,"="&amp;Q64,'[1]2_inventory_totals'!$G$8:$G$10000,"="&amp;R64)+SUMIFS('[1]2_inventory_totals'!$S$8:$S$10000,'[1]2_inventory_totals'!$C$8:$C$10000,I64,'[1]2_inventory_totals'!$F$8:$F$10000,"="&amp;Q64,'[1]2_inventory_totals'!$G$8:$G$10000,"="&amp;R64)))</f>
        <v/>
      </c>
    </row>
    <row r="65" spans="1:54" ht="27" hidden="1" customHeight="1">
      <c r="A65" s="923"/>
      <c r="B65" s="1256"/>
      <c r="C65" s="950"/>
      <c r="D65" s="950"/>
      <c r="E65" s="950"/>
      <c r="F65" s="1257"/>
      <c r="G65" s="941"/>
      <c r="H65" s="951"/>
      <c r="I65" s="1610" t="str">
        <f t="shared" si="7"/>
        <v/>
      </c>
      <c r="J65" s="1611" t="str">
        <f t="shared" si="24"/>
        <v/>
      </c>
      <c r="K65" s="1612" t="str">
        <f t="shared" si="30"/>
        <v/>
      </c>
      <c r="L65" s="1613"/>
      <c r="M65" s="883"/>
      <c r="N65" s="884"/>
      <c r="O65" s="884"/>
      <c r="P65" s="885"/>
      <c r="Q65" s="886"/>
      <c r="R65" s="891"/>
      <c r="S65" s="1614" t="str">
        <f t="shared" si="0"/>
        <v/>
      </c>
      <c r="T65" s="1536"/>
      <c r="U65" s="1864" t="str">
        <f t="shared" si="9"/>
        <v/>
      </c>
      <c r="V65" s="1615" t="str">
        <f t="shared" si="25"/>
        <v/>
      </c>
      <c r="W65" s="889"/>
      <c r="X65" s="1615" t="str">
        <f t="shared" si="26"/>
        <v/>
      </c>
      <c r="Y65" s="1865" t="str">
        <f t="shared" si="10"/>
        <v/>
      </c>
      <c r="Z65" s="890"/>
      <c r="AA65" s="197" t="str" cm="1">
        <f t="array" ref="AA65">IF(M65="","",IF(P65=AN65,1,Slookup(MID(AN65,1,3)*1,UomConversion!$D$8:$J$500,5,UomConversion!$E$8:$E$500,MID(P65,1,3)*1,UomConversion!$J$8:$J$500,1)))</f>
        <v/>
      </c>
      <c r="AB65" s="197" t="str">
        <f t="shared" si="11"/>
        <v/>
      </c>
      <c r="AC65" s="197" t="str">
        <f t="shared" si="12"/>
        <v/>
      </c>
      <c r="AD65" s="197" t="str">
        <f t="shared" si="13"/>
        <v/>
      </c>
      <c r="AE65" s="1866" t="str">
        <f t="shared" si="14"/>
        <v/>
      </c>
      <c r="AF65" s="1866" t="str">
        <f t="shared" si="27"/>
        <v/>
      </c>
      <c r="AG65" s="197" t="str">
        <f t="shared" si="16"/>
        <v/>
      </c>
      <c r="AH65" s="197" t="str">
        <f>IF(I65="","",IF(ISNA(MATCH(I65,IF(invoice_location_id=1,'[1]1_inventory_totals'!$C$8:$C$10000,IF(invoice_location_id=2,'[1]2_inventory_totals'!$C$8:$C$10000,0)),0)),0,IF(AV65&gt;0,1,0)))</f>
        <v/>
      </c>
      <c r="AI65" s="197" t="str">
        <f>IF(M65="","",IF(invoice_location_id=1,SUMIFS('[1]1_inventory_total_details'!$J$8:$J$10000,'[1]1_inventory_total_details'!$C$8:$C$10000,I65,'[1]1_inventory_total_details'!$F$8:$F$10000,invoice_location_id,'[1]1_inventory_total_details'!$G$8:$G$10000,"="&amp;Q65,'[1]1_inventory_total_details'!$H$8:$H$10000,"="&amp;R65,'[1]1_inventory_total_details'!$I$8:$I$10000,"="&amp;invoice_date)+SUMIFS('[1]1_inventory_total_details'!$M$8:$M$10000,'[1]1_inventory_total_details'!$C$8:$C$10000,I65,'[1]1_inventory_total_details'!$F$8:$F$10000,invoice_location_id,'[1]1_inventory_total_details'!$G$8:$G$10000,"="&amp;Q65,'[1]1_inventory_total_details'!$H$8:$H$10000,"="&amp;R65,'[1]1_inventory_total_details'!$I$8:$I$10000,"="&amp;invoice_date)+SUMIFS('[1]1_inventory_total_details'!$K$8:$K$10000,'[1]1_inventory_total_details'!$C$8:$C$10000,I65,'[1]1_inventory_total_details'!$F$8:$F$10000,invoice_location_id,'[1]1_inventory_total_details'!$G$8:$G$10000,"="&amp;Q65,'[1]1_inventory_total_details'!$H$8:$H$10000,"="&amp;R65,'[1]1_inventory_total_details'!$I$8:$I$10000,"="&amp;invoice_date)+SUMIFS('[1]1_inventory_total_details'!$L$8:$L$10000,'[1]1_inventory_total_details'!$C$8:$C$10000,I65,'[1]1_inventory_total_details'!$F$8:$F$10000,invoice_location_id,'[1]1_inventory_total_details'!$G$8:$G$10000,"="&amp;Q65,'[1]1_inventory_total_details'!$H$8:$H$10000,"="&amp;R65,'[1]1_inventory_total_details'!$I$8:$I$10000,"="&amp;invoice_date),SUMIFS('[1]2_inventory_total_details'!$J$8:$J$10000,'[1]2_inventory_total_details'!$C$8:$C$10000,I65,'[1]2_inventory_total_details'!$F$8:$F$10000,invoice_location_id,'[1]2_inventory_total_details'!$G$8:$G$10000,"="&amp;Q65,'[1]2_inventory_total_details'!$H$8:$H$10000,"="&amp;R65,'[1]2_inventory_total_details'!$I$8:$I$10000,"="&amp;invoice_date)+SUMIFS('[1]2_inventory_total_details'!$M$8:$M$10000,'[1]2_inventory_total_details'!$C$8:$C$10000,I65,'[1]2_inventory_total_details'!$F$8:$F$10000,invoice_location_id,'[1]2_inventory_total_details'!$G$8:$G$10000,"="&amp;Q65,'[1]2_inventory_total_details'!$H$8:$H$10000,"="&amp;R65,'[1]2_inventory_total_details'!$I$8:$I$10000,"="&amp;invoice_date)+SUMIFS('[1]2_inventory_total_details'!$K$8:$K$10000,'[1]2_inventory_total_details'!$C$8:$C$10000,I65,'[1]2_inventory_total_details'!$F$8:$F$10000,invoice_location_id,'[1]2_inventory_total_details'!$G$8:$G$10000,"="&amp;Q65,'[1]2_inventory_total_details'!$H$8:$H$10000,"="&amp;R65,'[1]2_inventory_total_details'!$I$8:$I$10000,"="&amp;invoice_date)+SUMIFS('[1]2_inventory_total_details'!$L$8:$L$10000,'[1]2_inventory_total_details'!$C$8:$C$10000,I65,'[1]2_inventory_total_details'!$F$8:$F$10000,invoice_location_id,'[1]2_inventory_total_details'!$G$8:$G$10000,"="&amp;Q65,'[1]2_inventory_total_details'!$H$8:$H$10000,"="&amp;R65,'[1]2_inventory_total_details'!$I$8:$I$10000,"="&amp;invoice_date)))</f>
        <v/>
      </c>
      <c r="AJ65" s="197" t="str">
        <f>IF(M65="","",IF(ISNA(MATCH(I65,'[1]1_group_totals'!$C$8:$C$10000)),0,IF(AW65&gt;0,1,0)))</f>
        <v/>
      </c>
      <c r="AK65" s="197" t="str">
        <f>IF(M65="","",(SUMIFS('[1]1_group_total_details'!$I$8:$I$10000,'[1]1_group_total_details'!$C$8:$C$10000,I65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65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65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65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65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65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65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65,'[1]1_group_total_details'!$F$8:$F$10000,invoice_location_group_id,'[1]1_group_total_details'!$G$8:$G$10000,invoice_location_id,'[1]1_group_total_details'!$H$8:$H$10000,"="&amp;invoice_date)))</f>
        <v/>
      </c>
      <c r="AL65" s="197" t="str">
        <f>IF(M65="","",(SUMIFS('[1]1_group_total_details'!$I$8:$I$10000,'[1]1_group_total_details'!$C$8:$C$10000,I65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65,'[1]1_group_total_details'!$F$8:$F$10000,invoice_location_group_id,'[1]1_group_total_details'!$G$8:$G$10000,1,'[1]1_group_total_details'!$H$8:$H$10000,"&lt;="&amp;invoice_date)+SUMIFS('[1]1_group_total_details'!$N$8:$N$10000,'[1]1_group_total_details'!$C$8:$C$10000,I65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65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65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65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65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65,'[1]1_group_total_details'!$F$8:$F$10000,invoice_location_group_id,'[1]1_group_total_details'!$G$8:$G$10000,invoice_location_id,'[1]1_group_total_details'!$H$8:$H$10000,"&lt;="&amp;invoice_date)))</f>
        <v/>
      </c>
      <c r="AM65" s="197" t="str">
        <f>IF(M65="","",SUMIFS('[1]1_group_totals'!$J$8:$J$10000,'[1]1_group_totals'!$C$8:$C$10000,I65,'[1]1_group_totals'!$F$8:$F$10000,invoice_location_group_id,'[1]1_group_totals'!$G$8:$G$10000,invoice_location_id,'[1]1_group_totals'!$H$8:$H$10000,"="&amp;Q65,'[1]1_group_totals'!$I$8:$I$10000,"="&amp;R65))</f>
        <v/>
      </c>
      <c r="AN65" s="197" t="str">
        <f t="shared" si="17"/>
        <v/>
      </c>
      <c r="AO65" s="197" t="str">
        <f>IF(OR(ISNA(MATCH(MID(AN65,1,3)*1,UomConversion!$D$8:$D$500,0)),M65=""),"",IF(AT65="","",AT65))</f>
        <v/>
      </c>
      <c r="AP65" s="197" t="str">
        <f>IF(AND(AQ65&gt;0,COUNTIFS(UomConversion!$D$8:$D$500,MID(AN65,1,3)*1,UomConversion!$J$8:$J$500,1)&gt;1),TEXT(AQ65,"000")&amp;"."&amp;VLOOKUP(AQ65,uom_list,5,FALSE),"")</f>
        <v/>
      </c>
      <c r="AQ65" s="197" t="str">
        <f t="shared" si="18"/>
        <v/>
      </c>
      <c r="AR65" s="197" t="str">
        <f t="shared" si="19"/>
        <v/>
      </c>
      <c r="AS65" s="1866" t="str">
        <f>IF(M65="","",SUMIFS(ProductPrice!$N$28:$N$10000,ProductPrice!$D$28:$D$10000,I65,ProductPrice!$G$28:$G$10000,invoice_branch_id,ProductPrice!$H$28:$H$10000,invoice_price_type_id,ProductPrice!$I$28:$I$10000,MID(P65,1,3)*1,ProductPrice!$Q$28:$Q$10000,1,ProductPrice!$T$28:$T$10000,1))</f>
        <v/>
      </c>
      <c r="AT65" s="197" t="str">
        <f t="shared" si="28"/>
        <v/>
      </c>
      <c r="AU65" s="197" t="str" cm="1">
        <f t="array" ref="AU65">IF(M65="","",IF(ISNA(Slookup(MID(AN65,1,3)*1,UomConversion!$D$8:$J$500,2,UomConversion!$I$8:$I$500,1,UomConversion!$J$8:$J$500,1)),"",Slookup(MID(AN65,1,3)*1,UomConversion!$D$8:$J$500,2,UomConversion!$I$8:$I$500,1,UomConversion!$J$8:$J$500,1)))</f>
        <v/>
      </c>
      <c r="AV65" s="197" t="str">
        <f t="shared" si="29"/>
        <v/>
      </c>
      <c r="AW65" s="197" t="str">
        <f>IF(M65="","",(SUMIFS('[1]1_group_totals'!$K$8:$K$10000,'[1]1_group_totals'!$C$8:$C$10000,I65,'[1]1_group_totals'!$F$8:$F$10000,invoice_location_group_id,'[1]1_group_totals'!$G$8:$G$10000,invoice_location_id,'[1]1_group_totals'!$H$8:$H$10000,"="&amp;Q65,'[1]1_group_totals'!$I$8:$I$10000,"="&amp;R65)+SUMIFS('[1]1_group_totals'!$N$8:$N$10000,'[1]1_group_totals'!$C$8:$C$10000,I65,'[1]1_group_totals'!$F$8:$F$10000,invoice_location_group_id,'[1]1_group_totals'!$G$8:$G$10000,invoice_location_id,'[1]1_group_totals'!$H$8:$H$10000,"="&amp;Q65,'[1]1_group_totals'!$I$8:$I$10000,"="&amp;R65)+SUMIFS('[1]1_group_totals'!$P$8:$P$10000,'[1]1_group_totals'!$C$8:$C$10000,I65,'[1]1_group_totals'!$F$8:$F$10000,invoice_location_group_id,'[1]1_group_totals'!$G$8:$G$10000,invoice_location_id,'[1]1_group_totals'!$H$8:$H$10000,"="&amp;Q65,'[1]1_group_totals'!$I$8:$I$10000,"="&amp;R65)+SUMIFS('[1]1_group_totals'!$Q$8:$Q$10000,'[1]1_group_totals'!$C$8:$C$10000,I65,'[1]1_group_totals'!$F$8:$F$10000,invoice_location_group_id,'[1]1_group_totals'!$G$8:$G$10000,invoice_location_id,'[1]1_group_totals'!$H$8:$H$10000,"="&amp;Q65,'[1]1_group_totals'!$I$8:$I$10000,"="&amp;R65))+(SUMIFS('[1]1_group_totals'!$L$8:$L$10000,'[1]1_group_totals'!$C$8:$C$10000,I65,'[1]1_group_totals'!$F$8:$F$10000,invoice_location_group_id,'[1]1_group_totals'!$G$8:$G$10000,invoice_location_id,'[1]1_group_totals'!$H$8:$H$10000,"="&amp;Q65,'[1]1_group_totals'!$I$8:$I$10000,"="&amp;R65)+SUMIFS('[1]1_group_totals'!$M$8:$M$10000,'[1]1_group_totals'!$C$8:$C$10000,I65,'[1]1_group_totals'!$F$8:$F$10000,invoice_location_group_id,'[1]1_group_totals'!$G$8:$G$10000,invoice_location_id,'[1]1_group_totals'!$H$8:$H$10000,"="&amp;Q65,'[1]1_group_totals'!$I$8:$I$10000,"="&amp;R65)+SUMIFS('[1]1_group_totals'!$O$8:$O$10000,'[1]1_group_totals'!$C$8:$C$10000,I65,'[1]1_group_totals'!$F$8:$F$10000,invoice_location_group_id,'[1]1_group_totals'!$G$8:$G$10000,invoice_location_id,'[1]1_group_totals'!$H$8:$H$10000,"="&amp;Q65,'[1]1_group_totals'!$I$8:$I$10000,"="&amp;R65)+SUMIFS('[1]1_group_totals'!$R$8:$R$10000,'[1]1_group_totals'!$C$8:$C$10000,I65,'[1]1_group_totals'!$F$8:$F$10000,invoice_location_group_id,'[1]1_group_totals'!$G$8:$G$10000,invoice_location_id,'[1]1_group_totals'!$H$8:$H$10000,"="&amp;Q65,'[1]1_group_totals'!$I$8:$I$10000,"="&amp;R65)))</f>
        <v/>
      </c>
      <c r="AX65" s="197" t="str">
        <f t="shared" si="21"/>
        <v/>
      </c>
      <c r="AY65" s="197" t="str">
        <f>IF(M65="","",SUMIFS($AX$8:AX65,$I$8:I65,I65))</f>
        <v/>
      </c>
      <c r="AZ65" s="197" t="str">
        <f t="shared" si="22"/>
        <v/>
      </c>
      <c r="BA65" s="197" t="str">
        <f>IF(M65="","",(SUMIFS('[1]1_inventory_totals'!$I$8:$I$10000,'[1]1_inventory_totals'!$C$8:$C$10000,I65,'[1]1_inventory_totals'!$F$8:$F$10000,"="&amp;Q65,'[1]1_inventory_totals'!$G$8:$G$10000,"="&amp;R65)+SUMIFS('[1]1_inventory_totals'!$N$8:$N$10000,'[1]1_inventory_totals'!$C$8:$C$10000,I65,'[1]1_inventory_totals'!$F$8:$F$10000,"="&amp;Q65,'[1]1_inventory_totals'!$G$8:$G$10000,"="&amp;R65)+SUMIFS('[1]1_inventory_totals'!$P$8:$P$10000,'[1]1_inventory_totals'!$C$8:$C$10000,I65,'[1]1_inventory_totals'!$F$8:$F$10000,"="&amp;Q65,'[1]1_inventory_totals'!$G$8:$G$10000,"="&amp;R65)+SUMIFS('[1]1_inventory_totals'!$Q$8:$Q$10000,'[1]1_inventory_totals'!$C$8:$C$10000,I65,'[1]1_inventory_totals'!$F$8:$F$10000,"="&amp;Q65,'[1]1_inventory_totals'!$G$8:$G$10000,"="&amp;R65)+SUMIFS('[1]1_inventory_totals'!$R$8:$R$10000,'[1]1_inventory_totals'!$C$8:$C$10000,I65,'[1]1_inventory_totals'!$F$8:$F$10000,"="&amp;Q65,'[1]1_inventory_totals'!$G$8:$G$10000,"="&amp;R65))+(SUMIFS('[1]1_inventory_totals'!$J$8:$J$10000,'[1]1_inventory_totals'!$C$8:$C$10000,I65,'[1]1_inventory_totals'!$F$8:$F$10000,"="&amp;Q65,'[1]1_inventory_totals'!$G$8:$G$10000,"="&amp;R65)+SUMIFS('[1]1_inventory_totals'!$K$8:$K$10000,'[1]1_inventory_totals'!$C$8:$C$10000,I65,'[1]1_inventory_totals'!$F$8:$F$10000,"="&amp;Q65,'[1]1_inventory_totals'!$G$8:$G$10000,"="&amp;R65)+SUMIFS('[1]1_inventory_totals'!$L$8:$L$10000,'[1]1_inventory_totals'!$C$8:$C$10000,I65,'[1]1_inventory_totals'!$F$8:$F$10000,"="&amp;Q65,'[1]1_inventory_totals'!$G$8:$G$10000,"="&amp;R65)+SUMIFS('[1]1_inventory_totals'!$M$8:$M$10000,'[1]1_inventory_totals'!$C$8:$C$10000,I65,'[1]1_inventory_totals'!$F$8:$F$10000,"="&amp;Q65,'[1]1_inventory_totals'!$G$8:$G$10000,"="&amp;R65)+SUMIFS('[1]1_inventory_totals'!$O$8:$O$10000,'[1]1_inventory_totals'!$C$8:$C$10000,I65,'[1]1_inventory_totals'!$F$8:$F$10000,"="&amp;Q65,'[1]1_inventory_totals'!$G$8:$G$10000,"="&amp;R65)+SUMIFS('[1]1_inventory_totals'!$S$8:$S$10000,'[1]1_inventory_totals'!$C$8:$C$10000,I65,'[1]1_inventory_totals'!$F$8:$F$10000,"="&amp;Q65,'[1]1_inventory_totals'!$G$8:$G$10000,"="&amp;R65)))</f>
        <v/>
      </c>
      <c r="BB65" s="197" t="str">
        <f>IF(M65="","",(SUMIFS('[1]2_inventory_totals'!$I$8:$I$10000,'[1]2_inventory_totals'!$C$8:$C$10000,I65,'[1]2_inventory_totals'!$F$8:$F$10000,"="&amp;Q65,'[1]2_inventory_totals'!$G$8:$G$10000,"="&amp;R65)+SUMIFS('[1]2_inventory_totals'!$N$8:$N$10000,'[1]2_inventory_totals'!$C$8:$C$10000,I65,'[1]2_inventory_totals'!$F$8:$F$10000,"="&amp;Q65,'[1]2_inventory_totals'!$G$8:$G$10000,"="&amp;R65)+SUMIFS('[1]2_inventory_totals'!$P$8:$P$10000,'[1]2_inventory_totals'!$C$8:$C$10000,I65,'[1]2_inventory_totals'!$F$8:$F$10000,"="&amp;Q65,'[1]2_inventory_totals'!$G$8:$G$10000,"="&amp;R65)+SUMIFS('[1]2_inventory_totals'!$Q$8:$Q$10000,'[1]2_inventory_totals'!$C$8:$C$10000,I65,'[1]2_inventory_totals'!$F$8:$F$10000,"="&amp;Q65,'[1]2_inventory_totals'!$G$8:$G$10000,"="&amp;R65)+SUMIFS('[1]2_inventory_totals'!$R$8:$R$10000,'[1]2_inventory_totals'!$C$8:$C$10000,I65,'[1]2_inventory_totals'!$F$8:$F$10000,"="&amp;Q65,'[1]2_inventory_totals'!$G$8:$G$10000,"="&amp;R65))+(SUMIFS('[1]2_inventory_totals'!$J$8:$J$10000,'[1]2_inventory_totals'!$C$8:$C$10000,I65,'[1]2_inventory_totals'!$F$8:$F$10000,"="&amp;Q65,'[1]2_inventory_totals'!$G$8:$G$10000,"="&amp;R65)+SUMIFS('[1]2_inventory_totals'!$K$8:$K$10000,'[1]2_inventory_totals'!$C$8:$C$10000,I65,'[1]2_inventory_totals'!$F$8:$F$10000,"="&amp;Q65,'[1]2_inventory_totals'!$G$8:$G$10000,"="&amp;R65)+SUMIFS('[1]2_inventory_totals'!$L$8:$L$10000,'[1]2_inventory_totals'!$C$8:$C$10000,I65,'[1]2_inventory_totals'!$F$8:$F$10000,"="&amp;Q65,'[1]2_inventory_totals'!$G$8:$G$10000,"="&amp;R65)+SUMIFS('[1]2_inventory_totals'!$M$8:$M$10000,'[1]2_inventory_totals'!$C$8:$C$10000,I65,'[1]2_inventory_totals'!$F$8:$F$10000,"="&amp;Q65,'[1]2_inventory_totals'!$G$8:$G$10000,"="&amp;R65)+SUMIFS('[1]2_inventory_totals'!$O$8:$O$10000,'[1]2_inventory_totals'!$C$8:$C$10000,I65,'[1]2_inventory_totals'!$F$8:$F$10000,"="&amp;Q65,'[1]2_inventory_totals'!$G$8:$G$10000,"="&amp;R65)+SUMIFS('[1]2_inventory_totals'!$S$8:$S$10000,'[1]2_inventory_totals'!$C$8:$C$10000,I65,'[1]2_inventory_totals'!$F$8:$F$10000,"="&amp;Q65,'[1]2_inventory_totals'!$G$8:$G$10000,"="&amp;R65)))</f>
        <v/>
      </c>
    </row>
    <row r="66" spans="1:54" ht="27" hidden="1" customHeight="1">
      <c r="A66" s="923"/>
      <c r="B66" s="1256"/>
      <c r="C66" s="950"/>
      <c r="D66" s="950"/>
      <c r="E66" s="950"/>
      <c r="F66" s="1257"/>
      <c r="G66" s="941"/>
      <c r="H66" s="951"/>
      <c r="I66" s="1610" t="str">
        <f t="shared" si="7"/>
        <v/>
      </c>
      <c r="J66" s="1611" t="str">
        <f t="shared" si="24"/>
        <v/>
      </c>
      <c r="K66" s="1612" t="str">
        <f t="shared" si="30"/>
        <v/>
      </c>
      <c r="L66" s="1613"/>
      <c r="M66" s="883"/>
      <c r="N66" s="884"/>
      <c r="O66" s="884"/>
      <c r="P66" s="885"/>
      <c r="Q66" s="886"/>
      <c r="R66" s="891"/>
      <c r="S66" s="1614" t="str">
        <f t="shared" si="0"/>
        <v/>
      </c>
      <c r="T66" s="1536"/>
      <c r="U66" s="1864" t="str">
        <f t="shared" si="9"/>
        <v/>
      </c>
      <c r="V66" s="1615" t="str">
        <f t="shared" si="25"/>
        <v/>
      </c>
      <c r="W66" s="889"/>
      <c r="X66" s="1615" t="str">
        <f t="shared" si="26"/>
        <v/>
      </c>
      <c r="Y66" s="1865" t="str">
        <f t="shared" si="10"/>
        <v/>
      </c>
      <c r="Z66" s="890"/>
      <c r="AA66" s="197" t="str" cm="1">
        <f t="array" ref="AA66">IF(M66="","",IF(P66=AN66,1,Slookup(MID(AN66,1,3)*1,UomConversion!$D$8:$J$500,5,UomConversion!$E$8:$E$500,MID(P66,1,3)*1,UomConversion!$J$8:$J$500,1)))</f>
        <v/>
      </c>
      <c r="AB66" s="197" t="str">
        <f t="shared" si="11"/>
        <v/>
      </c>
      <c r="AC66" s="197" t="str">
        <f t="shared" si="12"/>
        <v/>
      </c>
      <c r="AD66" s="197" t="str">
        <f t="shared" si="13"/>
        <v/>
      </c>
      <c r="AE66" s="1866" t="str">
        <f t="shared" si="14"/>
        <v/>
      </c>
      <c r="AF66" s="1866" t="str">
        <f t="shared" si="27"/>
        <v/>
      </c>
      <c r="AG66" s="197" t="str">
        <f t="shared" si="16"/>
        <v/>
      </c>
      <c r="AH66" s="197" t="str">
        <f>IF(I66="","",IF(ISNA(MATCH(I66,IF(invoice_location_id=1,'[1]1_inventory_totals'!$C$8:$C$10000,IF(invoice_location_id=2,'[1]2_inventory_totals'!$C$8:$C$10000,0)),0)),0,IF(AV66&gt;0,1,0)))</f>
        <v/>
      </c>
      <c r="AI66" s="197" t="str">
        <f>IF(M66="","",IF(invoice_location_id=1,SUMIFS('[1]1_inventory_total_details'!$J$8:$J$10000,'[1]1_inventory_total_details'!$C$8:$C$10000,I66,'[1]1_inventory_total_details'!$F$8:$F$10000,invoice_location_id,'[1]1_inventory_total_details'!$G$8:$G$10000,"="&amp;Q66,'[1]1_inventory_total_details'!$H$8:$H$10000,"="&amp;R66,'[1]1_inventory_total_details'!$I$8:$I$10000,"="&amp;invoice_date)+SUMIFS('[1]1_inventory_total_details'!$M$8:$M$10000,'[1]1_inventory_total_details'!$C$8:$C$10000,I66,'[1]1_inventory_total_details'!$F$8:$F$10000,invoice_location_id,'[1]1_inventory_total_details'!$G$8:$G$10000,"="&amp;Q66,'[1]1_inventory_total_details'!$H$8:$H$10000,"="&amp;R66,'[1]1_inventory_total_details'!$I$8:$I$10000,"="&amp;invoice_date)+SUMIFS('[1]1_inventory_total_details'!$K$8:$K$10000,'[1]1_inventory_total_details'!$C$8:$C$10000,I66,'[1]1_inventory_total_details'!$F$8:$F$10000,invoice_location_id,'[1]1_inventory_total_details'!$G$8:$G$10000,"="&amp;Q66,'[1]1_inventory_total_details'!$H$8:$H$10000,"="&amp;R66,'[1]1_inventory_total_details'!$I$8:$I$10000,"="&amp;invoice_date)+SUMIFS('[1]1_inventory_total_details'!$L$8:$L$10000,'[1]1_inventory_total_details'!$C$8:$C$10000,I66,'[1]1_inventory_total_details'!$F$8:$F$10000,invoice_location_id,'[1]1_inventory_total_details'!$G$8:$G$10000,"="&amp;Q66,'[1]1_inventory_total_details'!$H$8:$H$10000,"="&amp;R66,'[1]1_inventory_total_details'!$I$8:$I$10000,"="&amp;invoice_date),SUMIFS('[1]2_inventory_total_details'!$J$8:$J$10000,'[1]2_inventory_total_details'!$C$8:$C$10000,I66,'[1]2_inventory_total_details'!$F$8:$F$10000,invoice_location_id,'[1]2_inventory_total_details'!$G$8:$G$10000,"="&amp;Q66,'[1]2_inventory_total_details'!$H$8:$H$10000,"="&amp;R66,'[1]2_inventory_total_details'!$I$8:$I$10000,"="&amp;invoice_date)+SUMIFS('[1]2_inventory_total_details'!$M$8:$M$10000,'[1]2_inventory_total_details'!$C$8:$C$10000,I66,'[1]2_inventory_total_details'!$F$8:$F$10000,invoice_location_id,'[1]2_inventory_total_details'!$G$8:$G$10000,"="&amp;Q66,'[1]2_inventory_total_details'!$H$8:$H$10000,"="&amp;R66,'[1]2_inventory_total_details'!$I$8:$I$10000,"="&amp;invoice_date)+SUMIFS('[1]2_inventory_total_details'!$K$8:$K$10000,'[1]2_inventory_total_details'!$C$8:$C$10000,I66,'[1]2_inventory_total_details'!$F$8:$F$10000,invoice_location_id,'[1]2_inventory_total_details'!$G$8:$G$10000,"="&amp;Q66,'[1]2_inventory_total_details'!$H$8:$H$10000,"="&amp;R66,'[1]2_inventory_total_details'!$I$8:$I$10000,"="&amp;invoice_date)+SUMIFS('[1]2_inventory_total_details'!$L$8:$L$10000,'[1]2_inventory_total_details'!$C$8:$C$10000,I66,'[1]2_inventory_total_details'!$F$8:$F$10000,invoice_location_id,'[1]2_inventory_total_details'!$G$8:$G$10000,"="&amp;Q66,'[1]2_inventory_total_details'!$H$8:$H$10000,"="&amp;R66,'[1]2_inventory_total_details'!$I$8:$I$10000,"="&amp;invoice_date)))</f>
        <v/>
      </c>
      <c r="AJ66" s="197" t="str">
        <f>IF(M66="","",IF(ISNA(MATCH(I66,'[1]1_group_totals'!$C$8:$C$10000)),0,IF(AW66&gt;0,1,0)))</f>
        <v/>
      </c>
      <c r="AK66" s="197" t="str">
        <f>IF(M66="","",(SUMIFS('[1]1_group_total_details'!$I$8:$I$10000,'[1]1_group_total_details'!$C$8:$C$10000,I66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66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66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66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66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66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66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66,'[1]1_group_total_details'!$F$8:$F$10000,invoice_location_group_id,'[1]1_group_total_details'!$G$8:$G$10000,invoice_location_id,'[1]1_group_total_details'!$H$8:$H$10000,"="&amp;invoice_date)))</f>
        <v/>
      </c>
      <c r="AL66" s="197" t="str">
        <f>IF(M66="","",(SUMIFS('[1]1_group_total_details'!$I$8:$I$10000,'[1]1_group_total_details'!$C$8:$C$10000,I66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66,'[1]1_group_total_details'!$F$8:$F$10000,invoice_location_group_id,'[1]1_group_total_details'!$G$8:$G$10000,1,'[1]1_group_total_details'!$H$8:$H$10000,"&lt;="&amp;invoice_date)+SUMIFS('[1]1_group_total_details'!$N$8:$N$10000,'[1]1_group_total_details'!$C$8:$C$10000,I66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66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66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66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66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66,'[1]1_group_total_details'!$F$8:$F$10000,invoice_location_group_id,'[1]1_group_total_details'!$G$8:$G$10000,invoice_location_id,'[1]1_group_total_details'!$H$8:$H$10000,"&lt;="&amp;invoice_date)))</f>
        <v/>
      </c>
      <c r="AM66" s="197" t="str">
        <f>IF(M66="","",SUMIFS('[1]1_group_totals'!$J$8:$J$10000,'[1]1_group_totals'!$C$8:$C$10000,I66,'[1]1_group_totals'!$F$8:$F$10000,invoice_location_group_id,'[1]1_group_totals'!$G$8:$G$10000,invoice_location_id,'[1]1_group_totals'!$H$8:$H$10000,"="&amp;Q66,'[1]1_group_totals'!$I$8:$I$10000,"="&amp;R66))</f>
        <v/>
      </c>
      <c r="AN66" s="197" t="str">
        <f t="shared" si="17"/>
        <v/>
      </c>
      <c r="AO66" s="197" t="str">
        <f>IF(OR(ISNA(MATCH(MID(AN66,1,3)*1,UomConversion!$D$8:$D$500,0)),M66=""),"",IF(AT66="","",AT66))</f>
        <v/>
      </c>
      <c r="AP66" s="197" t="str">
        <f>IF(AND(AQ66&gt;0,COUNTIFS(UomConversion!$D$8:$D$500,MID(AN66,1,3)*1,UomConversion!$J$8:$J$500,1)&gt;1),TEXT(AQ66,"000")&amp;"."&amp;VLOOKUP(AQ66,uom_list,5,FALSE),"")</f>
        <v/>
      </c>
      <c r="AQ66" s="197" t="str">
        <f t="shared" si="18"/>
        <v/>
      </c>
      <c r="AR66" s="197" t="str">
        <f t="shared" si="19"/>
        <v/>
      </c>
      <c r="AS66" s="1866" t="str">
        <f>IF(M66="","",SUMIFS(ProductPrice!$N$28:$N$10000,ProductPrice!$D$28:$D$10000,I66,ProductPrice!$G$28:$G$10000,invoice_branch_id,ProductPrice!$H$28:$H$10000,invoice_price_type_id,ProductPrice!$I$28:$I$10000,MID(P66,1,3)*1,ProductPrice!$Q$28:$Q$10000,1,ProductPrice!$T$28:$T$10000,1))</f>
        <v/>
      </c>
      <c r="AT66" s="197" t="str">
        <f t="shared" si="28"/>
        <v/>
      </c>
      <c r="AU66" s="197" t="str" cm="1">
        <f t="array" ref="AU66">IF(M66="","",IF(ISNA(Slookup(MID(AN66,1,3)*1,UomConversion!$D$8:$J$500,2,UomConversion!$I$8:$I$500,1,UomConversion!$J$8:$J$500,1)),"",Slookup(MID(AN66,1,3)*1,UomConversion!$D$8:$J$500,2,UomConversion!$I$8:$I$500,1,UomConversion!$J$8:$J$500,1)))</f>
        <v/>
      </c>
      <c r="AV66" s="197" t="str">
        <f t="shared" si="29"/>
        <v/>
      </c>
      <c r="AW66" s="197" t="str">
        <f>IF(M66="","",(SUMIFS('[1]1_group_totals'!$K$8:$K$10000,'[1]1_group_totals'!$C$8:$C$10000,I66,'[1]1_group_totals'!$F$8:$F$10000,invoice_location_group_id,'[1]1_group_totals'!$G$8:$G$10000,invoice_location_id,'[1]1_group_totals'!$H$8:$H$10000,"="&amp;Q66,'[1]1_group_totals'!$I$8:$I$10000,"="&amp;R66)+SUMIFS('[1]1_group_totals'!$N$8:$N$10000,'[1]1_group_totals'!$C$8:$C$10000,I66,'[1]1_group_totals'!$F$8:$F$10000,invoice_location_group_id,'[1]1_group_totals'!$G$8:$G$10000,invoice_location_id,'[1]1_group_totals'!$H$8:$H$10000,"="&amp;Q66,'[1]1_group_totals'!$I$8:$I$10000,"="&amp;R66)+SUMIFS('[1]1_group_totals'!$P$8:$P$10000,'[1]1_group_totals'!$C$8:$C$10000,I66,'[1]1_group_totals'!$F$8:$F$10000,invoice_location_group_id,'[1]1_group_totals'!$G$8:$G$10000,invoice_location_id,'[1]1_group_totals'!$H$8:$H$10000,"="&amp;Q66,'[1]1_group_totals'!$I$8:$I$10000,"="&amp;R66)+SUMIFS('[1]1_group_totals'!$Q$8:$Q$10000,'[1]1_group_totals'!$C$8:$C$10000,I66,'[1]1_group_totals'!$F$8:$F$10000,invoice_location_group_id,'[1]1_group_totals'!$G$8:$G$10000,invoice_location_id,'[1]1_group_totals'!$H$8:$H$10000,"="&amp;Q66,'[1]1_group_totals'!$I$8:$I$10000,"="&amp;R66))+(SUMIFS('[1]1_group_totals'!$L$8:$L$10000,'[1]1_group_totals'!$C$8:$C$10000,I66,'[1]1_group_totals'!$F$8:$F$10000,invoice_location_group_id,'[1]1_group_totals'!$G$8:$G$10000,invoice_location_id,'[1]1_group_totals'!$H$8:$H$10000,"="&amp;Q66,'[1]1_group_totals'!$I$8:$I$10000,"="&amp;R66)+SUMIFS('[1]1_group_totals'!$M$8:$M$10000,'[1]1_group_totals'!$C$8:$C$10000,I66,'[1]1_group_totals'!$F$8:$F$10000,invoice_location_group_id,'[1]1_group_totals'!$G$8:$G$10000,invoice_location_id,'[1]1_group_totals'!$H$8:$H$10000,"="&amp;Q66,'[1]1_group_totals'!$I$8:$I$10000,"="&amp;R66)+SUMIFS('[1]1_group_totals'!$O$8:$O$10000,'[1]1_group_totals'!$C$8:$C$10000,I66,'[1]1_group_totals'!$F$8:$F$10000,invoice_location_group_id,'[1]1_group_totals'!$G$8:$G$10000,invoice_location_id,'[1]1_group_totals'!$H$8:$H$10000,"="&amp;Q66,'[1]1_group_totals'!$I$8:$I$10000,"="&amp;R66)+SUMIFS('[1]1_group_totals'!$R$8:$R$10000,'[1]1_group_totals'!$C$8:$C$10000,I66,'[1]1_group_totals'!$F$8:$F$10000,invoice_location_group_id,'[1]1_group_totals'!$G$8:$G$10000,invoice_location_id,'[1]1_group_totals'!$H$8:$H$10000,"="&amp;Q66,'[1]1_group_totals'!$I$8:$I$10000,"="&amp;R66)))</f>
        <v/>
      </c>
      <c r="AX66" s="197" t="str">
        <f t="shared" si="21"/>
        <v/>
      </c>
      <c r="AY66" s="197" t="str">
        <f>IF(M66="","",SUMIFS($AX$8:AX66,$I$8:I66,I66))</f>
        <v/>
      </c>
      <c r="AZ66" s="197" t="str">
        <f t="shared" si="22"/>
        <v/>
      </c>
      <c r="BA66" s="197" t="str">
        <f>IF(M66="","",(SUMIFS('[1]1_inventory_totals'!$I$8:$I$10000,'[1]1_inventory_totals'!$C$8:$C$10000,I66,'[1]1_inventory_totals'!$F$8:$F$10000,"="&amp;Q66,'[1]1_inventory_totals'!$G$8:$G$10000,"="&amp;R66)+SUMIFS('[1]1_inventory_totals'!$N$8:$N$10000,'[1]1_inventory_totals'!$C$8:$C$10000,I66,'[1]1_inventory_totals'!$F$8:$F$10000,"="&amp;Q66,'[1]1_inventory_totals'!$G$8:$G$10000,"="&amp;R66)+SUMIFS('[1]1_inventory_totals'!$P$8:$P$10000,'[1]1_inventory_totals'!$C$8:$C$10000,I66,'[1]1_inventory_totals'!$F$8:$F$10000,"="&amp;Q66,'[1]1_inventory_totals'!$G$8:$G$10000,"="&amp;R66)+SUMIFS('[1]1_inventory_totals'!$Q$8:$Q$10000,'[1]1_inventory_totals'!$C$8:$C$10000,I66,'[1]1_inventory_totals'!$F$8:$F$10000,"="&amp;Q66,'[1]1_inventory_totals'!$G$8:$G$10000,"="&amp;R66)+SUMIFS('[1]1_inventory_totals'!$R$8:$R$10000,'[1]1_inventory_totals'!$C$8:$C$10000,I66,'[1]1_inventory_totals'!$F$8:$F$10000,"="&amp;Q66,'[1]1_inventory_totals'!$G$8:$G$10000,"="&amp;R66))+(SUMIFS('[1]1_inventory_totals'!$J$8:$J$10000,'[1]1_inventory_totals'!$C$8:$C$10000,I66,'[1]1_inventory_totals'!$F$8:$F$10000,"="&amp;Q66,'[1]1_inventory_totals'!$G$8:$G$10000,"="&amp;R66)+SUMIFS('[1]1_inventory_totals'!$K$8:$K$10000,'[1]1_inventory_totals'!$C$8:$C$10000,I66,'[1]1_inventory_totals'!$F$8:$F$10000,"="&amp;Q66,'[1]1_inventory_totals'!$G$8:$G$10000,"="&amp;R66)+SUMIFS('[1]1_inventory_totals'!$L$8:$L$10000,'[1]1_inventory_totals'!$C$8:$C$10000,I66,'[1]1_inventory_totals'!$F$8:$F$10000,"="&amp;Q66,'[1]1_inventory_totals'!$G$8:$G$10000,"="&amp;R66)+SUMIFS('[1]1_inventory_totals'!$M$8:$M$10000,'[1]1_inventory_totals'!$C$8:$C$10000,I66,'[1]1_inventory_totals'!$F$8:$F$10000,"="&amp;Q66,'[1]1_inventory_totals'!$G$8:$G$10000,"="&amp;R66)+SUMIFS('[1]1_inventory_totals'!$O$8:$O$10000,'[1]1_inventory_totals'!$C$8:$C$10000,I66,'[1]1_inventory_totals'!$F$8:$F$10000,"="&amp;Q66,'[1]1_inventory_totals'!$G$8:$G$10000,"="&amp;R66)+SUMIFS('[1]1_inventory_totals'!$S$8:$S$10000,'[1]1_inventory_totals'!$C$8:$C$10000,I66,'[1]1_inventory_totals'!$F$8:$F$10000,"="&amp;Q66,'[1]1_inventory_totals'!$G$8:$G$10000,"="&amp;R66)))</f>
        <v/>
      </c>
      <c r="BB66" s="197" t="str">
        <f>IF(M66="","",(SUMIFS('[1]2_inventory_totals'!$I$8:$I$10000,'[1]2_inventory_totals'!$C$8:$C$10000,I66,'[1]2_inventory_totals'!$F$8:$F$10000,"="&amp;Q66,'[1]2_inventory_totals'!$G$8:$G$10000,"="&amp;R66)+SUMIFS('[1]2_inventory_totals'!$N$8:$N$10000,'[1]2_inventory_totals'!$C$8:$C$10000,I66,'[1]2_inventory_totals'!$F$8:$F$10000,"="&amp;Q66,'[1]2_inventory_totals'!$G$8:$G$10000,"="&amp;R66)+SUMIFS('[1]2_inventory_totals'!$P$8:$P$10000,'[1]2_inventory_totals'!$C$8:$C$10000,I66,'[1]2_inventory_totals'!$F$8:$F$10000,"="&amp;Q66,'[1]2_inventory_totals'!$G$8:$G$10000,"="&amp;R66)+SUMIFS('[1]2_inventory_totals'!$Q$8:$Q$10000,'[1]2_inventory_totals'!$C$8:$C$10000,I66,'[1]2_inventory_totals'!$F$8:$F$10000,"="&amp;Q66,'[1]2_inventory_totals'!$G$8:$G$10000,"="&amp;R66)+SUMIFS('[1]2_inventory_totals'!$R$8:$R$10000,'[1]2_inventory_totals'!$C$8:$C$10000,I66,'[1]2_inventory_totals'!$F$8:$F$10000,"="&amp;Q66,'[1]2_inventory_totals'!$G$8:$G$10000,"="&amp;R66))+(SUMIFS('[1]2_inventory_totals'!$J$8:$J$10000,'[1]2_inventory_totals'!$C$8:$C$10000,I66,'[1]2_inventory_totals'!$F$8:$F$10000,"="&amp;Q66,'[1]2_inventory_totals'!$G$8:$G$10000,"="&amp;R66)+SUMIFS('[1]2_inventory_totals'!$K$8:$K$10000,'[1]2_inventory_totals'!$C$8:$C$10000,I66,'[1]2_inventory_totals'!$F$8:$F$10000,"="&amp;Q66,'[1]2_inventory_totals'!$G$8:$G$10000,"="&amp;R66)+SUMIFS('[1]2_inventory_totals'!$L$8:$L$10000,'[1]2_inventory_totals'!$C$8:$C$10000,I66,'[1]2_inventory_totals'!$F$8:$F$10000,"="&amp;Q66,'[1]2_inventory_totals'!$G$8:$G$10000,"="&amp;R66)+SUMIFS('[1]2_inventory_totals'!$M$8:$M$10000,'[1]2_inventory_totals'!$C$8:$C$10000,I66,'[1]2_inventory_totals'!$F$8:$F$10000,"="&amp;Q66,'[1]2_inventory_totals'!$G$8:$G$10000,"="&amp;R66)+SUMIFS('[1]2_inventory_totals'!$O$8:$O$10000,'[1]2_inventory_totals'!$C$8:$C$10000,I66,'[1]2_inventory_totals'!$F$8:$F$10000,"="&amp;Q66,'[1]2_inventory_totals'!$G$8:$G$10000,"="&amp;R66)+SUMIFS('[1]2_inventory_totals'!$S$8:$S$10000,'[1]2_inventory_totals'!$C$8:$C$10000,I66,'[1]2_inventory_totals'!$F$8:$F$10000,"="&amp;Q66,'[1]2_inventory_totals'!$G$8:$G$10000,"="&amp;R66)))</f>
        <v/>
      </c>
    </row>
    <row r="67" spans="1:54" ht="27" hidden="1" customHeight="1">
      <c r="A67" s="923"/>
      <c r="B67" s="1256"/>
      <c r="C67" s="950"/>
      <c r="D67" s="950"/>
      <c r="E67" s="950"/>
      <c r="F67" s="1257"/>
      <c r="G67" s="941"/>
      <c r="H67" s="951"/>
      <c r="I67" s="1610" t="str">
        <f t="shared" si="7"/>
        <v/>
      </c>
      <c r="J67" s="1611" t="str">
        <f t="shared" si="24"/>
        <v/>
      </c>
      <c r="K67" s="1612" t="str">
        <f t="shared" si="30"/>
        <v/>
      </c>
      <c r="L67" s="1613"/>
      <c r="M67" s="883"/>
      <c r="N67" s="884"/>
      <c r="O67" s="884"/>
      <c r="P67" s="885"/>
      <c r="Q67" s="886"/>
      <c r="R67" s="891"/>
      <c r="S67" s="1614" t="str">
        <f t="shared" si="0"/>
        <v/>
      </c>
      <c r="T67" s="1536"/>
      <c r="U67" s="1864" t="str">
        <f t="shared" si="9"/>
        <v/>
      </c>
      <c r="V67" s="1615" t="str">
        <f t="shared" si="25"/>
        <v/>
      </c>
      <c r="W67" s="889"/>
      <c r="X67" s="1615" t="str">
        <f t="shared" si="26"/>
        <v/>
      </c>
      <c r="Y67" s="1865" t="str">
        <f t="shared" si="10"/>
        <v/>
      </c>
      <c r="Z67" s="890"/>
      <c r="AA67" s="197" t="str" cm="1">
        <f t="array" ref="AA67">IF(M67="","",IF(P67=AN67,1,Slookup(MID(AN67,1,3)*1,UomConversion!$D$8:$J$500,5,UomConversion!$E$8:$E$500,MID(P67,1,3)*1,UomConversion!$J$8:$J$500,1)))</f>
        <v/>
      </c>
      <c r="AB67" s="197" t="str">
        <f t="shared" si="11"/>
        <v/>
      </c>
      <c r="AC67" s="197" t="str">
        <f t="shared" si="12"/>
        <v/>
      </c>
      <c r="AD67" s="197" t="str">
        <f t="shared" si="13"/>
        <v/>
      </c>
      <c r="AE67" s="1866" t="str">
        <f t="shared" si="14"/>
        <v/>
      </c>
      <c r="AF67" s="1866" t="str">
        <f t="shared" si="27"/>
        <v/>
      </c>
      <c r="AG67" s="197" t="str">
        <f t="shared" si="16"/>
        <v/>
      </c>
      <c r="AH67" s="197" t="str">
        <f>IF(I67="","",IF(ISNA(MATCH(I67,IF(invoice_location_id=1,'[1]1_inventory_totals'!$C$8:$C$10000,IF(invoice_location_id=2,'[1]2_inventory_totals'!$C$8:$C$10000,0)),0)),0,IF(AV67&gt;0,1,0)))</f>
        <v/>
      </c>
      <c r="AI67" s="197" t="str">
        <f>IF(M67="","",IF(invoice_location_id=1,SUMIFS('[1]1_inventory_total_details'!$J$8:$J$10000,'[1]1_inventory_total_details'!$C$8:$C$10000,I67,'[1]1_inventory_total_details'!$F$8:$F$10000,invoice_location_id,'[1]1_inventory_total_details'!$G$8:$G$10000,"="&amp;Q67,'[1]1_inventory_total_details'!$H$8:$H$10000,"="&amp;R67,'[1]1_inventory_total_details'!$I$8:$I$10000,"="&amp;invoice_date)+SUMIFS('[1]1_inventory_total_details'!$M$8:$M$10000,'[1]1_inventory_total_details'!$C$8:$C$10000,I67,'[1]1_inventory_total_details'!$F$8:$F$10000,invoice_location_id,'[1]1_inventory_total_details'!$G$8:$G$10000,"="&amp;Q67,'[1]1_inventory_total_details'!$H$8:$H$10000,"="&amp;R67,'[1]1_inventory_total_details'!$I$8:$I$10000,"="&amp;invoice_date)+SUMIFS('[1]1_inventory_total_details'!$K$8:$K$10000,'[1]1_inventory_total_details'!$C$8:$C$10000,I67,'[1]1_inventory_total_details'!$F$8:$F$10000,invoice_location_id,'[1]1_inventory_total_details'!$G$8:$G$10000,"="&amp;Q67,'[1]1_inventory_total_details'!$H$8:$H$10000,"="&amp;R67,'[1]1_inventory_total_details'!$I$8:$I$10000,"="&amp;invoice_date)+SUMIFS('[1]1_inventory_total_details'!$L$8:$L$10000,'[1]1_inventory_total_details'!$C$8:$C$10000,I67,'[1]1_inventory_total_details'!$F$8:$F$10000,invoice_location_id,'[1]1_inventory_total_details'!$G$8:$G$10000,"="&amp;Q67,'[1]1_inventory_total_details'!$H$8:$H$10000,"="&amp;R67,'[1]1_inventory_total_details'!$I$8:$I$10000,"="&amp;invoice_date),SUMIFS('[1]2_inventory_total_details'!$J$8:$J$10000,'[1]2_inventory_total_details'!$C$8:$C$10000,I67,'[1]2_inventory_total_details'!$F$8:$F$10000,invoice_location_id,'[1]2_inventory_total_details'!$G$8:$G$10000,"="&amp;Q67,'[1]2_inventory_total_details'!$H$8:$H$10000,"="&amp;R67,'[1]2_inventory_total_details'!$I$8:$I$10000,"="&amp;invoice_date)+SUMIFS('[1]2_inventory_total_details'!$M$8:$M$10000,'[1]2_inventory_total_details'!$C$8:$C$10000,I67,'[1]2_inventory_total_details'!$F$8:$F$10000,invoice_location_id,'[1]2_inventory_total_details'!$G$8:$G$10000,"="&amp;Q67,'[1]2_inventory_total_details'!$H$8:$H$10000,"="&amp;R67,'[1]2_inventory_total_details'!$I$8:$I$10000,"="&amp;invoice_date)+SUMIFS('[1]2_inventory_total_details'!$K$8:$K$10000,'[1]2_inventory_total_details'!$C$8:$C$10000,I67,'[1]2_inventory_total_details'!$F$8:$F$10000,invoice_location_id,'[1]2_inventory_total_details'!$G$8:$G$10000,"="&amp;Q67,'[1]2_inventory_total_details'!$H$8:$H$10000,"="&amp;R67,'[1]2_inventory_total_details'!$I$8:$I$10000,"="&amp;invoice_date)+SUMIFS('[1]2_inventory_total_details'!$L$8:$L$10000,'[1]2_inventory_total_details'!$C$8:$C$10000,I67,'[1]2_inventory_total_details'!$F$8:$F$10000,invoice_location_id,'[1]2_inventory_total_details'!$G$8:$G$10000,"="&amp;Q67,'[1]2_inventory_total_details'!$H$8:$H$10000,"="&amp;R67,'[1]2_inventory_total_details'!$I$8:$I$10000,"="&amp;invoice_date)))</f>
        <v/>
      </c>
      <c r="AJ67" s="197" t="str">
        <f>IF(M67="","",IF(ISNA(MATCH(I67,'[1]1_group_totals'!$C$8:$C$10000)),0,IF(AW67&gt;0,1,0)))</f>
        <v/>
      </c>
      <c r="AK67" s="197" t="str">
        <f>IF(M67="","",(SUMIFS('[1]1_group_total_details'!$I$8:$I$10000,'[1]1_group_total_details'!$C$8:$C$10000,I67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67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67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67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67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67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67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67,'[1]1_group_total_details'!$F$8:$F$10000,invoice_location_group_id,'[1]1_group_total_details'!$G$8:$G$10000,invoice_location_id,'[1]1_group_total_details'!$H$8:$H$10000,"="&amp;invoice_date)))</f>
        <v/>
      </c>
      <c r="AL67" s="197" t="str">
        <f>IF(M67="","",(SUMIFS('[1]1_group_total_details'!$I$8:$I$10000,'[1]1_group_total_details'!$C$8:$C$10000,I67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67,'[1]1_group_total_details'!$F$8:$F$10000,invoice_location_group_id,'[1]1_group_total_details'!$G$8:$G$10000,1,'[1]1_group_total_details'!$H$8:$H$10000,"&lt;="&amp;invoice_date)+SUMIFS('[1]1_group_total_details'!$N$8:$N$10000,'[1]1_group_total_details'!$C$8:$C$10000,I67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67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67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67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67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67,'[1]1_group_total_details'!$F$8:$F$10000,invoice_location_group_id,'[1]1_group_total_details'!$G$8:$G$10000,invoice_location_id,'[1]1_group_total_details'!$H$8:$H$10000,"&lt;="&amp;invoice_date)))</f>
        <v/>
      </c>
      <c r="AM67" s="197" t="str">
        <f>IF(M67="","",SUMIFS('[1]1_group_totals'!$J$8:$J$10000,'[1]1_group_totals'!$C$8:$C$10000,I67,'[1]1_group_totals'!$F$8:$F$10000,invoice_location_group_id,'[1]1_group_totals'!$G$8:$G$10000,invoice_location_id,'[1]1_group_totals'!$H$8:$H$10000,"="&amp;Q67,'[1]1_group_totals'!$I$8:$I$10000,"="&amp;R67))</f>
        <v/>
      </c>
      <c r="AN67" s="197" t="str">
        <f t="shared" si="17"/>
        <v/>
      </c>
      <c r="AO67" s="197" t="str">
        <f>IF(OR(ISNA(MATCH(MID(AN67,1,3)*1,UomConversion!$D$8:$D$500,0)),M67=""),"",IF(AT67="","",AT67))</f>
        <v/>
      </c>
      <c r="AP67" s="197" t="str">
        <f>IF(AND(AQ67&gt;0,COUNTIFS(UomConversion!$D$8:$D$500,MID(AN67,1,3)*1,UomConversion!$J$8:$J$500,1)&gt;1),TEXT(AQ67,"000")&amp;"."&amp;VLOOKUP(AQ67,uom_list,5,FALSE),"")</f>
        <v/>
      </c>
      <c r="AQ67" s="197" t="str">
        <f t="shared" si="18"/>
        <v/>
      </c>
      <c r="AR67" s="197" t="str">
        <f t="shared" si="19"/>
        <v/>
      </c>
      <c r="AS67" s="1866" t="str">
        <f>IF(M67="","",SUMIFS(ProductPrice!$N$28:$N$10000,ProductPrice!$D$28:$D$10000,I67,ProductPrice!$G$28:$G$10000,invoice_branch_id,ProductPrice!$H$28:$H$10000,invoice_price_type_id,ProductPrice!$I$28:$I$10000,MID(P67,1,3)*1,ProductPrice!$Q$28:$Q$10000,1,ProductPrice!$T$28:$T$10000,1))</f>
        <v/>
      </c>
      <c r="AT67" s="197" t="str">
        <f t="shared" si="28"/>
        <v/>
      </c>
      <c r="AU67" s="197" t="str" cm="1">
        <f t="array" ref="AU67">IF(M67="","",IF(ISNA(Slookup(MID(AN67,1,3)*1,UomConversion!$D$8:$J$500,2,UomConversion!$I$8:$I$500,1,UomConversion!$J$8:$J$500,1)),"",Slookup(MID(AN67,1,3)*1,UomConversion!$D$8:$J$500,2,UomConversion!$I$8:$I$500,1,UomConversion!$J$8:$J$500,1)))</f>
        <v/>
      </c>
      <c r="AV67" s="197" t="str">
        <f t="shared" si="29"/>
        <v/>
      </c>
      <c r="AW67" s="197" t="str">
        <f>IF(M67="","",(SUMIFS('[1]1_group_totals'!$K$8:$K$10000,'[1]1_group_totals'!$C$8:$C$10000,I67,'[1]1_group_totals'!$F$8:$F$10000,invoice_location_group_id,'[1]1_group_totals'!$G$8:$G$10000,invoice_location_id,'[1]1_group_totals'!$H$8:$H$10000,"="&amp;Q67,'[1]1_group_totals'!$I$8:$I$10000,"="&amp;R67)+SUMIFS('[1]1_group_totals'!$N$8:$N$10000,'[1]1_group_totals'!$C$8:$C$10000,I67,'[1]1_group_totals'!$F$8:$F$10000,invoice_location_group_id,'[1]1_group_totals'!$G$8:$G$10000,invoice_location_id,'[1]1_group_totals'!$H$8:$H$10000,"="&amp;Q67,'[1]1_group_totals'!$I$8:$I$10000,"="&amp;R67)+SUMIFS('[1]1_group_totals'!$P$8:$P$10000,'[1]1_group_totals'!$C$8:$C$10000,I67,'[1]1_group_totals'!$F$8:$F$10000,invoice_location_group_id,'[1]1_group_totals'!$G$8:$G$10000,invoice_location_id,'[1]1_group_totals'!$H$8:$H$10000,"="&amp;Q67,'[1]1_group_totals'!$I$8:$I$10000,"="&amp;R67)+SUMIFS('[1]1_group_totals'!$Q$8:$Q$10000,'[1]1_group_totals'!$C$8:$C$10000,I67,'[1]1_group_totals'!$F$8:$F$10000,invoice_location_group_id,'[1]1_group_totals'!$G$8:$G$10000,invoice_location_id,'[1]1_group_totals'!$H$8:$H$10000,"="&amp;Q67,'[1]1_group_totals'!$I$8:$I$10000,"="&amp;R67))+(SUMIFS('[1]1_group_totals'!$L$8:$L$10000,'[1]1_group_totals'!$C$8:$C$10000,I67,'[1]1_group_totals'!$F$8:$F$10000,invoice_location_group_id,'[1]1_group_totals'!$G$8:$G$10000,invoice_location_id,'[1]1_group_totals'!$H$8:$H$10000,"="&amp;Q67,'[1]1_group_totals'!$I$8:$I$10000,"="&amp;R67)+SUMIFS('[1]1_group_totals'!$M$8:$M$10000,'[1]1_group_totals'!$C$8:$C$10000,I67,'[1]1_group_totals'!$F$8:$F$10000,invoice_location_group_id,'[1]1_group_totals'!$G$8:$G$10000,invoice_location_id,'[1]1_group_totals'!$H$8:$H$10000,"="&amp;Q67,'[1]1_group_totals'!$I$8:$I$10000,"="&amp;R67)+SUMIFS('[1]1_group_totals'!$O$8:$O$10000,'[1]1_group_totals'!$C$8:$C$10000,I67,'[1]1_group_totals'!$F$8:$F$10000,invoice_location_group_id,'[1]1_group_totals'!$G$8:$G$10000,invoice_location_id,'[1]1_group_totals'!$H$8:$H$10000,"="&amp;Q67,'[1]1_group_totals'!$I$8:$I$10000,"="&amp;R67)+SUMIFS('[1]1_group_totals'!$R$8:$R$10000,'[1]1_group_totals'!$C$8:$C$10000,I67,'[1]1_group_totals'!$F$8:$F$10000,invoice_location_group_id,'[1]1_group_totals'!$G$8:$G$10000,invoice_location_id,'[1]1_group_totals'!$H$8:$H$10000,"="&amp;Q67,'[1]1_group_totals'!$I$8:$I$10000,"="&amp;R67)))</f>
        <v/>
      </c>
      <c r="AX67" s="197" t="str">
        <f t="shared" si="21"/>
        <v/>
      </c>
      <c r="AY67" s="197" t="str">
        <f>IF(M67="","",SUMIFS($AX$8:AX67,$I$8:I67,I67))</f>
        <v/>
      </c>
      <c r="AZ67" s="197" t="str">
        <f t="shared" si="22"/>
        <v/>
      </c>
      <c r="BA67" s="197" t="str">
        <f>IF(M67="","",(SUMIFS('[1]1_inventory_totals'!$I$8:$I$10000,'[1]1_inventory_totals'!$C$8:$C$10000,I67,'[1]1_inventory_totals'!$F$8:$F$10000,"="&amp;Q67,'[1]1_inventory_totals'!$G$8:$G$10000,"="&amp;R67)+SUMIFS('[1]1_inventory_totals'!$N$8:$N$10000,'[1]1_inventory_totals'!$C$8:$C$10000,I67,'[1]1_inventory_totals'!$F$8:$F$10000,"="&amp;Q67,'[1]1_inventory_totals'!$G$8:$G$10000,"="&amp;R67)+SUMIFS('[1]1_inventory_totals'!$P$8:$P$10000,'[1]1_inventory_totals'!$C$8:$C$10000,I67,'[1]1_inventory_totals'!$F$8:$F$10000,"="&amp;Q67,'[1]1_inventory_totals'!$G$8:$G$10000,"="&amp;R67)+SUMIFS('[1]1_inventory_totals'!$Q$8:$Q$10000,'[1]1_inventory_totals'!$C$8:$C$10000,I67,'[1]1_inventory_totals'!$F$8:$F$10000,"="&amp;Q67,'[1]1_inventory_totals'!$G$8:$G$10000,"="&amp;R67)+SUMIFS('[1]1_inventory_totals'!$R$8:$R$10000,'[1]1_inventory_totals'!$C$8:$C$10000,I67,'[1]1_inventory_totals'!$F$8:$F$10000,"="&amp;Q67,'[1]1_inventory_totals'!$G$8:$G$10000,"="&amp;R67))+(SUMIFS('[1]1_inventory_totals'!$J$8:$J$10000,'[1]1_inventory_totals'!$C$8:$C$10000,I67,'[1]1_inventory_totals'!$F$8:$F$10000,"="&amp;Q67,'[1]1_inventory_totals'!$G$8:$G$10000,"="&amp;R67)+SUMIFS('[1]1_inventory_totals'!$K$8:$K$10000,'[1]1_inventory_totals'!$C$8:$C$10000,I67,'[1]1_inventory_totals'!$F$8:$F$10000,"="&amp;Q67,'[1]1_inventory_totals'!$G$8:$G$10000,"="&amp;R67)+SUMIFS('[1]1_inventory_totals'!$L$8:$L$10000,'[1]1_inventory_totals'!$C$8:$C$10000,I67,'[1]1_inventory_totals'!$F$8:$F$10000,"="&amp;Q67,'[1]1_inventory_totals'!$G$8:$G$10000,"="&amp;R67)+SUMIFS('[1]1_inventory_totals'!$M$8:$M$10000,'[1]1_inventory_totals'!$C$8:$C$10000,I67,'[1]1_inventory_totals'!$F$8:$F$10000,"="&amp;Q67,'[1]1_inventory_totals'!$G$8:$G$10000,"="&amp;R67)+SUMIFS('[1]1_inventory_totals'!$O$8:$O$10000,'[1]1_inventory_totals'!$C$8:$C$10000,I67,'[1]1_inventory_totals'!$F$8:$F$10000,"="&amp;Q67,'[1]1_inventory_totals'!$G$8:$G$10000,"="&amp;R67)+SUMIFS('[1]1_inventory_totals'!$S$8:$S$10000,'[1]1_inventory_totals'!$C$8:$C$10000,I67,'[1]1_inventory_totals'!$F$8:$F$10000,"="&amp;Q67,'[1]1_inventory_totals'!$G$8:$G$10000,"="&amp;R67)))</f>
        <v/>
      </c>
      <c r="BB67" s="197" t="str">
        <f>IF(M67="","",(SUMIFS('[1]2_inventory_totals'!$I$8:$I$10000,'[1]2_inventory_totals'!$C$8:$C$10000,I67,'[1]2_inventory_totals'!$F$8:$F$10000,"="&amp;Q67,'[1]2_inventory_totals'!$G$8:$G$10000,"="&amp;R67)+SUMIFS('[1]2_inventory_totals'!$N$8:$N$10000,'[1]2_inventory_totals'!$C$8:$C$10000,I67,'[1]2_inventory_totals'!$F$8:$F$10000,"="&amp;Q67,'[1]2_inventory_totals'!$G$8:$G$10000,"="&amp;R67)+SUMIFS('[1]2_inventory_totals'!$P$8:$P$10000,'[1]2_inventory_totals'!$C$8:$C$10000,I67,'[1]2_inventory_totals'!$F$8:$F$10000,"="&amp;Q67,'[1]2_inventory_totals'!$G$8:$G$10000,"="&amp;R67)+SUMIFS('[1]2_inventory_totals'!$Q$8:$Q$10000,'[1]2_inventory_totals'!$C$8:$C$10000,I67,'[1]2_inventory_totals'!$F$8:$F$10000,"="&amp;Q67,'[1]2_inventory_totals'!$G$8:$G$10000,"="&amp;R67)+SUMIFS('[1]2_inventory_totals'!$R$8:$R$10000,'[1]2_inventory_totals'!$C$8:$C$10000,I67,'[1]2_inventory_totals'!$F$8:$F$10000,"="&amp;Q67,'[1]2_inventory_totals'!$G$8:$G$10000,"="&amp;R67))+(SUMIFS('[1]2_inventory_totals'!$J$8:$J$10000,'[1]2_inventory_totals'!$C$8:$C$10000,I67,'[1]2_inventory_totals'!$F$8:$F$10000,"="&amp;Q67,'[1]2_inventory_totals'!$G$8:$G$10000,"="&amp;R67)+SUMIFS('[1]2_inventory_totals'!$K$8:$K$10000,'[1]2_inventory_totals'!$C$8:$C$10000,I67,'[1]2_inventory_totals'!$F$8:$F$10000,"="&amp;Q67,'[1]2_inventory_totals'!$G$8:$G$10000,"="&amp;R67)+SUMIFS('[1]2_inventory_totals'!$L$8:$L$10000,'[1]2_inventory_totals'!$C$8:$C$10000,I67,'[1]2_inventory_totals'!$F$8:$F$10000,"="&amp;Q67,'[1]2_inventory_totals'!$G$8:$G$10000,"="&amp;R67)+SUMIFS('[1]2_inventory_totals'!$M$8:$M$10000,'[1]2_inventory_totals'!$C$8:$C$10000,I67,'[1]2_inventory_totals'!$F$8:$F$10000,"="&amp;Q67,'[1]2_inventory_totals'!$G$8:$G$10000,"="&amp;R67)+SUMIFS('[1]2_inventory_totals'!$O$8:$O$10000,'[1]2_inventory_totals'!$C$8:$C$10000,I67,'[1]2_inventory_totals'!$F$8:$F$10000,"="&amp;Q67,'[1]2_inventory_totals'!$G$8:$G$10000,"="&amp;R67)+SUMIFS('[1]2_inventory_totals'!$S$8:$S$10000,'[1]2_inventory_totals'!$C$8:$C$10000,I67,'[1]2_inventory_totals'!$F$8:$F$10000,"="&amp;Q67,'[1]2_inventory_totals'!$G$8:$G$10000,"="&amp;R67)))</f>
        <v/>
      </c>
    </row>
    <row r="68" spans="1:54" ht="27" hidden="1" customHeight="1">
      <c r="A68" s="923"/>
      <c r="B68" s="1256"/>
      <c r="C68" s="950"/>
      <c r="D68" s="950"/>
      <c r="E68" s="950"/>
      <c r="F68" s="1257"/>
      <c r="G68" s="941"/>
      <c r="H68" s="951"/>
      <c r="I68" s="1610" t="str">
        <f t="shared" si="7"/>
        <v/>
      </c>
      <c r="J68" s="1611" t="str">
        <f t="shared" si="24"/>
        <v/>
      </c>
      <c r="K68" s="1612" t="str">
        <f t="shared" si="30"/>
        <v/>
      </c>
      <c r="L68" s="1613"/>
      <c r="M68" s="883"/>
      <c r="N68" s="884"/>
      <c r="O68" s="884"/>
      <c r="P68" s="885"/>
      <c r="Q68" s="886"/>
      <c r="R68" s="891"/>
      <c r="S68" s="1614" t="str">
        <f t="shared" si="0"/>
        <v/>
      </c>
      <c r="T68" s="1536"/>
      <c r="U68" s="1864" t="str">
        <f t="shared" si="9"/>
        <v/>
      </c>
      <c r="V68" s="1615" t="str">
        <f t="shared" si="25"/>
        <v/>
      </c>
      <c r="W68" s="889"/>
      <c r="X68" s="1615" t="str">
        <f t="shared" si="26"/>
        <v/>
      </c>
      <c r="Y68" s="1865" t="str">
        <f t="shared" si="10"/>
        <v/>
      </c>
      <c r="Z68" s="890"/>
      <c r="AA68" s="197" t="str" cm="1">
        <f t="array" ref="AA68">IF(M68="","",IF(P68=AN68,1,Slookup(MID(AN68,1,3)*1,UomConversion!$D$8:$J$500,5,UomConversion!$E$8:$E$500,MID(P68,1,3)*1,UomConversion!$J$8:$J$500,1)))</f>
        <v/>
      </c>
      <c r="AB68" s="197" t="str">
        <f t="shared" si="11"/>
        <v/>
      </c>
      <c r="AC68" s="197" t="str">
        <f t="shared" si="12"/>
        <v/>
      </c>
      <c r="AD68" s="197" t="str">
        <f t="shared" si="13"/>
        <v/>
      </c>
      <c r="AE68" s="1866" t="str">
        <f t="shared" si="14"/>
        <v/>
      </c>
      <c r="AF68" s="1866" t="str">
        <f t="shared" si="27"/>
        <v/>
      </c>
      <c r="AG68" s="197" t="str">
        <f t="shared" si="16"/>
        <v/>
      </c>
      <c r="AH68" s="197" t="str">
        <f>IF(I68="","",IF(ISNA(MATCH(I68,IF(invoice_location_id=1,'[1]1_inventory_totals'!$C$8:$C$10000,IF(invoice_location_id=2,'[1]2_inventory_totals'!$C$8:$C$10000,0)),0)),0,IF(AV68&gt;0,1,0)))</f>
        <v/>
      </c>
      <c r="AI68" s="197" t="str">
        <f>IF(M68="","",IF(invoice_location_id=1,SUMIFS('[1]1_inventory_total_details'!$J$8:$J$10000,'[1]1_inventory_total_details'!$C$8:$C$10000,I68,'[1]1_inventory_total_details'!$F$8:$F$10000,invoice_location_id,'[1]1_inventory_total_details'!$G$8:$G$10000,"="&amp;Q68,'[1]1_inventory_total_details'!$H$8:$H$10000,"="&amp;R68,'[1]1_inventory_total_details'!$I$8:$I$10000,"="&amp;invoice_date)+SUMIFS('[1]1_inventory_total_details'!$M$8:$M$10000,'[1]1_inventory_total_details'!$C$8:$C$10000,I68,'[1]1_inventory_total_details'!$F$8:$F$10000,invoice_location_id,'[1]1_inventory_total_details'!$G$8:$G$10000,"="&amp;Q68,'[1]1_inventory_total_details'!$H$8:$H$10000,"="&amp;R68,'[1]1_inventory_total_details'!$I$8:$I$10000,"="&amp;invoice_date)+SUMIFS('[1]1_inventory_total_details'!$K$8:$K$10000,'[1]1_inventory_total_details'!$C$8:$C$10000,I68,'[1]1_inventory_total_details'!$F$8:$F$10000,invoice_location_id,'[1]1_inventory_total_details'!$G$8:$G$10000,"="&amp;Q68,'[1]1_inventory_total_details'!$H$8:$H$10000,"="&amp;R68,'[1]1_inventory_total_details'!$I$8:$I$10000,"="&amp;invoice_date)+SUMIFS('[1]1_inventory_total_details'!$L$8:$L$10000,'[1]1_inventory_total_details'!$C$8:$C$10000,I68,'[1]1_inventory_total_details'!$F$8:$F$10000,invoice_location_id,'[1]1_inventory_total_details'!$G$8:$G$10000,"="&amp;Q68,'[1]1_inventory_total_details'!$H$8:$H$10000,"="&amp;R68,'[1]1_inventory_total_details'!$I$8:$I$10000,"="&amp;invoice_date),SUMIFS('[1]2_inventory_total_details'!$J$8:$J$10000,'[1]2_inventory_total_details'!$C$8:$C$10000,I68,'[1]2_inventory_total_details'!$F$8:$F$10000,invoice_location_id,'[1]2_inventory_total_details'!$G$8:$G$10000,"="&amp;Q68,'[1]2_inventory_total_details'!$H$8:$H$10000,"="&amp;R68,'[1]2_inventory_total_details'!$I$8:$I$10000,"="&amp;invoice_date)+SUMIFS('[1]2_inventory_total_details'!$M$8:$M$10000,'[1]2_inventory_total_details'!$C$8:$C$10000,I68,'[1]2_inventory_total_details'!$F$8:$F$10000,invoice_location_id,'[1]2_inventory_total_details'!$G$8:$G$10000,"="&amp;Q68,'[1]2_inventory_total_details'!$H$8:$H$10000,"="&amp;R68,'[1]2_inventory_total_details'!$I$8:$I$10000,"="&amp;invoice_date)+SUMIFS('[1]2_inventory_total_details'!$K$8:$K$10000,'[1]2_inventory_total_details'!$C$8:$C$10000,I68,'[1]2_inventory_total_details'!$F$8:$F$10000,invoice_location_id,'[1]2_inventory_total_details'!$G$8:$G$10000,"="&amp;Q68,'[1]2_inventory_total_details'!$H$8:$H$10000,"="&amp;R68,'[1]2_inventory_total_details'!$I$8:$I$10000,"="&amp;invoice_date)+SUMIFS('[1]2_inventory_total_details'!$L$8:$L$10000,'[1]2_inventory_total_details'!$C$8:$C$10000,I68,'[1]2_inventory_total_details'!$F$8:$F$10000,invoice_location_id,'[1]2_inventory_total_details'!$G$8:$G$10000,"="&amp;Q68,'[1]2_inventory_total_details'!$H$8:$H$10000,"="&amp;R68,'[1]2_inventory_total_details'!$I$8:$I$10000,"="&amp;invoice_date)))</f>
        <v/>
      </c>
      <c r="AJ68" s="197" t="str">
        <f>IF(M68="","",IF(ISNA(MATCH(I68,'[1]1_group_totals'!$C$8:$C$10000)),0,IF(AW68&gt;0,1,0)))</f>
        <v/>
      </c>
      <c r="AK68" s="197" t="str">
        <f>IF(M68="","",(SUMIFS('[1]1_group_total_details'!$I$8:$I$10000,'[1]1_group_total_details'!$C$8:$C$10000,I68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68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68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68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68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68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68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68,'[1]1_group_total_details'!$F$8:$F$10000,invoice_location_group_id,'[1]1_group_total_details'!$G$8:$G$10000,invoice_location_id,'[1]1_group_total_details'!$H$8:$H$10000,"="&amp;invoice_date)))</f>
        <v/>
      </c>
      <c r="AL68" s="197" t="str">
        <f>IF(M68="","",(SUMIFS('[1]1_group_total_details'!$I$8:$I$10000,'[1]1_group_total_details'!$C$8:$C$10000,I68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68,'[1]1_group_total_details'!$F$8:$F$10000,invoice_location_group_id,'[1]1_group_total_details'!$G$8:$G$10000,1,'[1]1_group_total_details'!$H$8:$H$10000,"&lt;="&amp;invoice_date)+SUMIFS('[1]1_group_total_details'!$N$8:$N$10000,'[1]1_group_total_details'!$C$8:$C$10000,I68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68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68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68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68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68,'[1]1_group_total_details'!$F$8:$F$10000,invoice_location_group_id,'[1]1_group_total_details'!$G$8:$G$10000,invoice_location_id,'[1]1_group_total_details'!$H$8:$H$10000,"&lt;="&amp;invoice_date)))</f>
        <v/>
      </c>
      <c r="AM68" s="197" t="str">
        <f>IF(M68="","",SUMIFS('[1]1_group_totals'!$J$8:$J$10000,'[1]1_group_totals'!$C$8:$C$10000,I68,'[1]1_group_totals'!$F$8:$F$10000,invoice_location_group_id,'[1]1_group_totals'!$G$8:$G$10000,invoice_location_id,'[1]1_group_totals'!$H$8:$H$10000,"="&amp;Q68,'[1]1_group_totals'!$I$8:$I$10000,"="&amp;R68))</f>
        <v/>
      </c>
      <c r="AN68" s="197" t="str">
        <f t="shared" si="17"/>
        <v/>
      </c>
      <c r="AO68" s="197" t="str">
        <f>IF(OR(ISNA(MATCH(MID(AN68,1,3)*1,UomConversion!$D$8:$D$500,0)),M68=""),"",IF(AT68="","",AT68))</f>
        <v/>
      </c>
      <c r="AP68" s="197" t="str">
        <f>IF(AND(AQ68&gt;0,COUNTIFS(UomConversion!$D$8:$D$500,MID(AN68,1,3)*1,UomConversion!$J$8:$J$500,1)&gt;1),TEXT(AQ68,"000")&amp;"."&amp;VLOOKUP(AQ68,uom_list,5,FALSE),"")</f>
        <v/>
      </c>
      <c r="AQ68" s="197" t="str">
        <f t="shared" si="18"/>
        <v/>
      </c>
      <c r="AR68" s="197" t="str">
        <f t="shared" si="19"/>
        <v/>
      </c>
      <c r="AS68" s="1866" t="str">
        <f>IF(M68="","",SUMIFS(ProductPrice!$N$28:$N$10000,ProductPrice!$D$28:$D$10000,I68,ProductPrice!$G$28:$G$10000,invoice_branch_id,ProductPrice!$H$28:$H$10000,invoice_price_type_id,ProductPrice!$I$28:$I$10000,MID(P68,1,3)*1,ProductPrice!$Q$28:$Q$10000,1,ProductPrice!$T$28:$T$10000,1))</f>
        <v/>
      </c>
      <c r="AT68" s="197" t="str">
        <f t="shared" si="28"/>
        <v/>
      </c>
      <c r="AU68" s="197" t="str" cm="1">
        <f t="array" ref="AU68">IF(M68="","",IF(ISNA(Slookup(MID(AN68,1,3)*1,UomConversion!$D$8:$J$500,2,UomConversion!$I$8:$I$500,1,UomConversion!$J$8:$J$500,1)),"",Slookup(MID(AN68,1,3)*1,UomConversion!$D$8:$J$500,2,UomConversion!$I$8:$I$500,1,UomConversion!$J$8:$J$500,1)))</f>
        <v/>
      </c>
      <c r="AV68" s="197" t="str">
        <f t="shared" si="29"/>
        <v/>
      </c>
      <c r="AW68" s="197" t="str">
        <f>IF(M68="","",(SUMIFS('[1]1_group_totals'!$K$8:$K$10000,'[1]1_group_totals'!$C$8:$C$10000,I68,'[1]1_group_totals'!$F$8:$F$10000,invoice_location_group_id,'[1]1_group_totals'!$G$8:$G$10000,invoice_location_id,'[1]1_group_totals'!$H$8:$H$10000,"="&amp;Q68,'[1]1_group_totals'!$I$8:$I$10000,"="&amp;R68)+SUMIFS('[1]1_group_totals'!$N$8:$N$10000,'[1]1_group_totals'!$C$8:$C$10000,I68,'[1]1_group_totals'!$F$8:$F$10000,invoice_location_group_id,'[1]1_group_totals'!$G$8:$G$10000,invoice_location_id,'[1]1_group_totals'!$H$8:$H$10000,"="&amp;Q68,'[1]1_group_totals'!$I$8:$I$10000,"="&amp;R68)+SUMIFS('[1]1_group_totals'!$P$8:$P$10000,'[1]1_group_totals'!$C$8:$C$10000,I68,'[1]1_group_totals'!$F$8:$F$10000,invoice_location_group_id,'[1]1_group_totals'!$G$8:$G$10000,invoice_location_id,'[1]1_group_totals'!$H$8:$H$10000,"="&amp;Q68,'[1]1_group_totals'!$I$8:$I$10000,"="&amp;R68)+SUMIFS('[1]1_group_totals'!$Q$8:$Q$10000,'[1]1_group_totals'!$C$8:$C$10000,I68,'[1]1_group_totals'!$F$8:$F$10000,invoice_location_group_id,'[1]1_group_totals'!$G$8:$G$10000,invoice_location_id,'[1]1_group_totals'!$H$8:$H$10000,"="&amp;Q68,'[1]1_group_totals'!$I$8:$I$10000,"="&amp;R68))+(SUMIFS('[1]1_group_totals'!$L$8:$L$10000,'[1]1_group_totals'!$C$8:$C$10000,I68,'[1]1_group_totals'!$F$8:$F$10000,invoice_location_group_id,'[1]1_group_totals'!$G$8:$G$10000,invoice_location_id,'[1]1_group_totals'!$H$8:$H$10000,"="&amp;Q68,'[1]1_group_totals'!$I$8:$I$10000,"="&amp;R68)+SUMIFS('[1]1_group_totals'!$M$8:$M$10000,'[1]1_group_totals'!$C$8:$C$10000,I68,'[1]1_group_totals'!$F$8:$F$10000,invoice_location_group_id,'[1]1_group_totals'!$G$8:$G$10000,invoice_location_id,'[1]1_group_totals'!$H$8:$H$10000,"="&amp;Q68,'[1]1_group_totals'!$I$8:$I$10000,"="&amp;R68)+SUMIFS('[1]1_group_totals'!$O$8:$O$10000,'[1]1_group_totals'!$C$8:$C$10000,I68,'[1]1_group_totals'!$F$8:$F$10000,invoice_location_group_id,'[1]1_group_totals'!$G$8:$G$10000,invoice_location_id,'[1]1_group_totals'!$H$8:$H$10000,"="&amp;Q68,'[1]1_group_totals'!$I$8:$I$10000,"="&amp;R68)+SUMIFS('[1]1_group_totals'!$R$8:$R$10000,'[1]1_group_totals'!$C$8:$C$10000,I68,'[1]1_group_totals'!$F$8:$F$10000,invoice_location_group_id,'[1]1_group_totals'!$G$8:$G$10000,invoice_location_id,'[1]1_group_totals'!$H$8:$H$10000,"="&amp;Q68,'[1]1_group_totals'!$I$8:$I$10000,"="&amp;R68)))</f>
        <v/>
      </c>
      <c r="AX68" s="197" t="str">
        <f t="shared" si="21"/>
        <v/>
      </c>
      <c r="AY68" s="197" t="str">
        <f>IF(M68="","",SUMIFS($AX$8:AX68,$I$8:I68,I68))</f>
        <v/>
      </c>
      <c r="AZ68" s="197" t="str">
        <f t="shared" si="22"/>
        <v/>
      </c>
      <c r="BA68" s="197" t="str">
        <f>IF(M68="","",(SUMIFS('[1]1_inventory_totals'!$I$8:$I$10000,'[1]1_inventory_totals'!$C$8:$C$10000,I68,'[1]1_inventory_totals'!$F$8:$F$10000,"="&amp;Q68,'[1]1_inventory_totals'!$G$8:$G$10000,"="&amp;R68)+SUMIFS('[1]1_inventory_totals'!$N$8:$N$10000,'[1]1_inventory_totals'!$C$8:$C$10000,I68,'[1]1_inventory_totals'!$F$8:$F$10000,"="&amp;Q68,'[1]1_inventory_totals'!$G$8:$G$10000,"="&amp;R68)+SUMIFS('[1]1_inventory_totals'!$P$8:$P$10000,'[1]1_inventory_totals'!$C$8:$C$10000,I68,'[1]1_inventory_totals'!$F$8:$F$10000,"="&amp;Q68,'[1]1_inventory_totals'!$G$8:$G$10000,"="&amp;R68)+SUMIFS('[1]1_inventory_totals'!$Q$8:$Q$10000,'[1]1_inventory_totals'!$C$8:$C$10000,I68,'[1]1_inventory_totals'!$F$8:$F$10000,"="&amp;Q68,'[1]1_inventory_totals'!$G$8:$G$10000,"="&amp;R68)+SUMIFS('[1]1_inventory_totals'!$R$8:$R$10000,'[1]1_inventory_totals'!$C$8:$C$10000,I68,'[1]1_inventory_totals'!$F$8:$F$10000,"="&amp;Q68,'[1]1_inventory_totals'!$G$8:$G$10000,"="&amp;R68))+(SUMIFS('[1]1_inventory_totals'!$J$8:$J$10000,'[1]1_inventory_totals'!$C$8:$C$10000,I68,'[1]1_inventory_totals'!$F$8:$F$10000,"="&amp;Q68,'[1]1_inventory_totals'!$G$8:$G$10000,"="&amp;R68)+SUMIFS('[1]1_inventory_totals'!$K$8:$K$10000,'[1]1_inventory_totals'!$C$8:$C$10000,I68,'[1]1_inventory_totals'!$F$8:$F$10000,"="&amp;Q68,'[1]1_inventory_totals'!$G$8:$G$10000,"="&amp;R68)+SUMIFS('[1]1_inventory_totals'!$L$8:$L$10000,'[1]1_inventory_totals'!$C$8:$C$10000,I68,'[1]1_inventory_totals'!$F$8:$F$10000,"="&amp;Q68,'[1]1_inventory_totals'!$G$8:$G$10000,"="&amp;R68)+SUMIFS('[1]1_inventory_totals'!$M$8:$M$10000,'[1]1_inventory_totals'!$C$8:$C$10000,I68,'[1]1_inventory_totals'!$F$8:$F$10000,"="&amp;Q68,'[1]1_inventory_totals'!$G$8:$G$10000,"="&amp;R68)+SUMIFS('[1]1_inventory_totals'!$O$8:$O$10000,'[1]1_inventory_totals'!$C$8:$C$10000,I68,'[1]1_inventory_totals'!$F$8:$F$10000,"="&amp;Q68,'[1]1_inventory_totals'!$G$8:$G$10000,"="&amp;R68)+SUMIFS('[1]1_inventory_totals'!$S$8:$S$10000,'[1]1_inventory_totals'!$C$8:$C$10000,I68,'[1]1_inventory_totals'!$F$8:$F$10000,"="&amp;Q68,'[1]1_inventory_totals'!$G$8:$G$10000,"="&amp;R68)))</f>
        <v/>
      </c>
      <c r="BB68" s="197" t="str">
        <f>IF(M68="","",(SUMIFS('[1]2_inventory_totals'!$I$8:$I$10000,'[1]2_inventory_totals'!$C$8:$C$10000,I68,'[1]2_inventory_totals'!$F$8:$F$10000,"="&amp;Q68,'[1]2_inventory_totals'!$G$8:$G$10000,"="&amp;R68)+SUMIFS('[1]2_inventory_totals'!$N$8:$N$10000,'[1]2_inventory_totals'!$C$8:$C$10000,I68,'[1]2_inventory_totals'!$F$8:$F$10000,"="&amp;Q68,'[1]2_inventory_totals'!$G$8:$G$10000,"="&amp;R68)+SUMIFS('[1]2_inventory_totals'!$P$8:$P$10000,'[1]2_inventory_totals'!$C$8:$C$10000,I68,'[1]2_inventory_totals'!$F$8:$F$10000,"="&amp;Q68,'[1]2_inventory_totals'!$G$8:$G$10000,"="&amp;R68)+SUMIFS('[1]2_inventory_totals'!$Q$8:$Q$10000,'[1]2_inventory_totals'!$C$8:$C$10000,I68,'[1]2_inventory_totals'!$F$8:$F$10000,"="&amp;Q68,'[1]2_inventory_totals'!$G$8:$G$10000,"="&amp;R68)+SUMIFS('[1]2_inventory_totals'!$R$8:$R$10000,'[1]2_inventory_totals'!$C$8:$C$10000,I68,'[1]2_inventory_totals'!$F$8:$F$10000,"="&amp;Q68,'[1]2_inventory_totals'!$G$8:$G$10000,"="&amp;R68))+(SUMIFS('[1]2_inventory_totals'!$J$8:$J$10000,'[1]2_inventory_totals'!$C$8:$C$10000,I68,'[1]2_inventory_totals'!$F$8:$F$10000,"="&amp;Q68,'[1]2_inventory_totals'!$G$8:$G$10000,"="&amp;R68)+SUMIFS('[1]2_inventory_totals'!$K$8:$K$10000,'[1]2_inventory_totals'!$C$8:$C$10000,I68,'[1]2_inventory_totals'!$F$8:$F$10000,"="&amp;Q68,'[1]2_inventory_totals'!$G$8:$G$10000,"="&amp;R68)+SUMIFS('[1]2_inventory_totals'!$L$8:$L$10000,'[1]2_inventory_totals'!$C$8:$C$10000,I68,'[1]2_inventory_totals'!$F$8:$F$10000,"="&amp;Q68,'[1]2_inventory_totals'!$G$8:$G$10000,"="&amp;R68)+SUMIFS('[1]2_inventory_totals'!$M$8:$M$10000,'[1]2_inventory_totals'!$C$8:$C$10000,I68,'[1]2_inventory_totals'!$F$8:$F$10000,"="&amp;Q68,'[1]2_inventory_totals'!$G$8:$G$10000,"="&amp;R68)+SUMIFS('[1]2_inventory_totals'!$O$8:$O$10000,'[1]2_inventory_totals'!$C$8:$C$10000,I68,'[1]2_inventory_totals'!$F$8:$F$10000,"="&amp;Q68,'[1]2_inventory_totals'!$G$8:$G$10000,"="&amp;R68)+SUMIFS('[1]2_inventory_totals'!$S$8:$S$10000,'[1]2_inventory_totals'!$C$8:$C$10000,I68,'[1]2_inventory_totals'!$F$8:$F$10000,"="&amp;Q68,'[1]2_inventory_totals'!$G$8:$G$10000,"="&amp;R68)))</f>
        <v/>
      </c>
    </row>
    <row r="69" spans="1:54" ht="27" hidden="1" customHeight="1">
      <c r="A69" s="923"/>
      <c r="B69" s="1256"/>
      <c r="C69" s="950"/>
      <c r="D69" s="950"/>
      <c r="E69" s="950"/>
      <c r="F69" s="1257"/>
      <c r="G69" s="941"/>
      <c r="H69" s="951"/>
      <c r="I69" s="1610" t="str">
        <f t="shared" si="7"/>
        <v/>
      </c>
      <c r="J69" s="1611" t="str">
        <f t="shared" si="24"/>
        <v/>
      </c>
      <c r="K69" s="1612" t="str">
        <f t="shared" si="30"/>
        <v/>
      </c>
      <c r="L69" s="1613"/>
      <c r="M69" s="883"/>
      <c r="N69" s="884"/>
      <c r="O69" s="884"/>
      <c r="P69" s="885"/>
      <c r="Q69" s="886"/>
      <c r="R69" s="891"/>
      <c r="S69" s="1614" t="str">
        <f t="shared" si="0"/>
        <v/>
      </c>
      <c r="T69" s="1536"/>
      <c r="U69" s="1864" t="str">
        <f t="shared" si="9"/>
        <v/>
      </c>
      <c r="V69" s="1615" t="str">
        <f t="shared" si="25"/>
        <v/>
      </c>
      <c r="W69" s="889"/>
      <c r="X69" s="1615" t="str">
        <f t="shared" si="26"/>
        <v/>
      </c>
      <c r="Y69" s="1865" t="str">
        <f t="shared" si="10"/>
        <v/>
      </c>
      <c r="Z69" s="890"/>
      <c r="AA69" s="197" t="str" cm="1">
        <f t="array" ref="AA69">IF(M69="","",IF(P69=AN69,1,Slookup(MID(AN69,1,3)*1,UomConversion!$D$8:$J$500,5,UomConversion!$E$8:$E$500,MID(P69,1,3)*1,UomConversion!$J$8:$J$500,1)))</f>
        <v/>
      </c>
      <c r="AB69" s="197" t="str">
        <f t="shared" si="11"/>
        <v/>
      </c>
      <c r="AC69" s="197" t="str">
        <f t="shared" si="12"/>
        <v/>
      </c>
      <c r="AD69" s="197" t="str">
        <f t="shared" si="13"/>
        <v/>
      </c>
      <c r="AE69" s="1866" t="str">
        <f t="shared" si="14"/>
        <v/>
      </c>
      <c r="AF69" s="1866" t="str">
        <f t="shared" si="27"/>
        <v/>
      </c>
      <c r="AG69" s="197" t="str">
        <f t="shared" si="16"/>
        <v/>
      </c>
      <c r="AH69" s="197" t="str">
        <f>IF(I69="","",IF(ISNA(MATCH(I69,IF(invoice_location_id=1,'[1]1_inventory_totals'!$C$8:$C$10000,IF(invoice_location_id=2,'[1]2_inventory_totals'!$C$8:$C$10000,0)),0)),0,IF(AV69&gt;0,1,0)))</f>
        <v/>
      </c>
      <c r="AI69" s="197" t="str">
        <f>IF(M69="","",IF(invoice_location_id=1,SUMIFS('[1]1_inventory_total_details'!$J$8:$J$10000,'[1]1_inventory_total_details'!$C$8:$C$10000,I69,'[1]1_inventory_total_details'!$F$8:$F$10000,invoice_location_id,'[1]1_inventory_total_details'!$G$8:$G$10000,"="&amp;Q69,'[1]1_inventory_total_details'!$H$8:$H$10000,"="&amp;R69,'[1]1_inventory_total_details'!$I$8:$I$10000,"="&amp;invoice_date)+SUMIFS('[1]1_inventory_total_details'!$M$8:$M$10000,'[1]1_inventory_total_details'!$C$8:$C$10000,I69,'[1]1_inventory_total_details'!$F$8:$F$10000,invoice_location_id,'[1]1_inventory_total_details'!$G$8:$G$10000,"="&amp;Q69,'[1]1_inventory_total_details'!$H$8:$H$10000,"="&amp;R69,'[1]1_inventory_total_details'!$I$8:$I$10000,"="&amp;invoice_date)+SUMIFS('[1]1_inventory_total_details'!$K$8:$K$10000,'[1]1_inventory_total_details'!$C$8:$C$10000,I69,'[1]1_inventory_total_details'!$F$8:$F$10000,invoice_location_id,'[1]1_inventory_total_details'!$G$8:$G$10000,"="&amp;Q69,'[1]1_inventory_total_details'!$H$8:$H$10000,"="&amp;R69,'[1]1_inventory_total_details'!$I$8:$I$10000,"="&amp;invoice_date)+SUMIFS('[1]1_inventory_total_details'!$L$8:$L$10000,'[1]1_inventory_total_details'!$C$8:$C$10000,I69,'[1]1_inventory_total_details'!$F$8:$F$10000,invoice_location_id,'[1]1_inventory_total_details'!$G$8:$G$10000,"="&amp;Q69,'[1]1_inventory_total_details'!$H$8:$H$10000,"="&amp;R69,'[1]1_inventory_total_details'!$I$8:$I$10000,"="&amp;invoice_date),SUMIFS('[1]2_inventory_total_details'!$J$8:$J$10000,'[1]2_inventory_total_details'!$C$8:$C$10000,I69,'[1]2_inventory_total_details'!$F$8:$F$10000,invoice_location_id,'[1]2_inventory_total_details'!$G$8:$G$10000,"="&amp;Q69,'[1]2_inventory_total_details'!$H$8:$H$10000,"="&amp;R69,'[1]2_inventory_total_details'!$I$8:$I$10000,"="&amp;invoice_date)+SUMIFS('[1]2_inventory_total_details'!$M$8:$M$10000,'[1]2_inventory_total_details'!$C$8:$C$10000,I69,'[1]2_inventory_total_details'!$F$8:$F$10000,invoice_location_id,'[1]2_inventory_total_details'!$G$8:$G$10000,"="&amp;Q69,'[1]2_inventory_total_details'!$H$8:$H$10000,"="&amp;R69,'[1]2_inventory_total_details'!$I$8:$I$10000,"="&amp;invoice_date)+SUMIFS('[1]2_inventory_total_details'!$K$8:$K$10000,'[1]2_inventory_total_details'!$C$8:$C$10000,I69,'[1]2_inventory_total_details'!$F$8:$F$10000,invoice_location_id,'[1]2_inventory_total_details'!$G$8:$G$10000,"="&amp;Q69,'[1]2_inventory_total_details'!$H$8:$H$10000,"="&amp;R69,'[1]2_inventory_total_details'!$I$8:$I$10000,"="&amp;invoice_date)+SUMIFS('[1]2_inventory_total_details'!$L$8:$L$10000,'[1]2_inventory_total_details'!$C$8:$C$10000,I69,'[1]2_inventory_total_details'!$F$8:$F$10000,invoice_location_id,'[1]2_inventory_total_details'!$G$8:$G$10000,"="&amp;Q69,'[1]2_inventory_total_details'!$H$8:$H$10000,"="&amp;R69,'[1]2_inventory_total_details'!$I$8:$I$10000,"="&amp;invoice_date)))</f>
        <v/>
      </c>
      <c r="AJ69" s="197" t="str">
        <f>IF(M69="","",IF(ISNA(MATCH(I69,'[1]1_group_totals'!$C$8:$C$10000)),0,IF(AW69&gt;0,1,0)))</f>
        <v/>
      </c>
      <c r="AK69" s="197" t="str">
        <f>IF(M69="","",(SUMIFS('[1]1_group_total_details'!$I$8:$I$10000,'[1]1_group_total_details'!$C$8:$C$10000,I69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69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69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69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69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69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69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69,'[1]1_group_total_details'!$F$8:$F$10000,invoice_location_group_id,'[1]1_group_total_details'!$G$8:$G$10000,invoice_location_id,'[1]1_group_total_details'!$H$8:$H$10000,"="&amp;invoice_date)))</f>
        <v/>
      </c>
      <c r="AL69" s="197" t="str">
        <f>IF(M69="","",(SUMIFS('[1]1_group_total_details'!$I$8:$I$10000,'[1]1_group_total_details'!$C$8:$C$10000,I69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69,'[1]1_group_total_details'!$F$8:$F$10000,invoice_location_group_id,'[1]1_group_total_details'!$G$8:$G$10000,1,'[1]1_group_total_details'!$H$8:$H$10000,"&lt;="&amp;invoice_date)+SUMIFS('[1]1_group_total_details'!$N$8:$N$10000,'[1]1_group_total_details'!$C$8:$C$10000,I69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69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69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69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69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69,'[1]1_group_total_details'!$F$8:$F$10000,invoice_location_group_id,'[1]1_group_total_details'!$G$8:$G$10000,invoice_location_id,'[1]1_group_total_details'!$H$8:$H$10000,"&lt;="&amp;invoice_date)))</f>
        <v/>
      </c>
      <c r="AM69" s="197" t="str">
        <f>IF(M69="","",SUMIFS('[1]1_group_totals'!$J$8:$J$10000,'[1]1_group_totals'!$C$8:$C$10000,I69,'[1]1_group_totals'!$F$8:$F$10000,invoice_location_group_id,'[1]1_group_totals'!$G$8:$G$10000,invoice_location_id,'[1]1_group_totals'!$H$8:$H$10000,"="&amp;Q69,'[1]1_group_totals'!$I$8:$I$10000,"="&amp;R69))</f>
        <v/>
      </c>
      <c r="AN69" s="197" t="str">
        <f t="shared" si="17"/>
        <v/>
      </c>
      <c r="AO69" s="197" t="str">
        <f>IF(OR(ISNA(MATCH(MID(AN69,1,3)*1,UomConversion!$D$8:$D$500,0)),M69=""),"",IF(AT69="","",AT69))</f>
        <v/>
      </c>
      <c r="AP69" s="197" t="str">
        <f>IF(AND(AQ69&gt;0,COUNTIFS(UomConversion!$D$8:$D$500,MID(AN69,1,3)*1,UomConversion!$J$8:$J$500,1)&gt;1),TEXT(AQ69,"000")&amp;"."&amp;VLOOKUP(AQ69,uom_list,5,FALSE),"")</f>
        <v/>
      </c>
      <c r="AQ69" s="197" t="str">
        <f t="shared" si="18"/>
        <v/>
      </c>
      <c r="AR69" s="197" t="str">
        <f t="shared" si="19"/>
        <v/>
      </c>
      <c r="AS69" s="1866" t="str">
        <f>IF(M69="","",SUMIFS(ProductPrice!$N$28:$N$10000,ProductPrice!$D$28:$D$10000,I69,ProductPrice!$G$28:$G$10000,invoice_branch_id,ProductPrice!$H$28:$H$10000,invoice_price_type_id,ProductPrice!$I$28:$I$10000,MID(P69,1,3)*1,ProductPrice!$Q$28:$Q$10000,1,ProductPrice!$T$28:$T$10000,1))</f>
        <v/>
      </c>
      <c r="AT69" s="197" t="str">
        <f t="shared" si="28"/>
        <v/>
      </c>
      <c r="AU69" s="197" t="str" cm="1">
        <f t="array" ref="AU69">IF(M69="","",IF(ISNA(Slookup(MID(AN69,1,3)*1,UomConversion!$D$8:$J$500,2,UomConversion!$I$8:$I$500,1,UomConversion!$J$8:$J$500,1)),"",Slookup(MID(AN69,1,3)*1,UomConversion!$D$8:$J$500,2,UomConversion!$I$8:$I$500,1,UomConversion!$J$8:$J$500,1)))</f>
        <v/>
      </c>
      <c r="AV69" s="197" t="str">
        <f t="shared" si="29"/>
        <v/>
      </c>
      <c r="AW69" s="197" t="str">
        <f>IF(M69="","",(SUMIFS('[1]1_group_totals'!$K$8:$K$10000,'[1]1_group_totals'!$C$8:$C$10000,I69,'[1]1_group_totals'!$F$8:$F$10000,invoice_location_group_id,'[1]1_group_totals'!$G$8:$G$10000,invoice_location_id,'[1]1_group_totals'!$H$8:$H$10000,"="&amp;Q69,'[1]1_group_totals'!$I$8:$I$10000,"="&amp;R69)+SUMIFS('[1]1_group_totals'!$N$8:$N$10000,'[1]1_group_totals'!$C$8:$C$10000,I69,'[1]1_group_totals'!$F$8:$F$10000,invoice_location_group_id,'[1]1_group_totals'!$G$8:$G$10000,invoice_location_id,'[1]1_group_totals'!$H$8:$H$10000,"="&amp;Q69,'[1]1_group_totals'!$I$8:$I$10000,"="&amp;R69)+SUMIFS('[1]1_group_totals'!$P$8:$P$10000,'[1]1_group_totals'!$C$8:$C$10000,I69,'[1]1_group_totals'!$F$8:$F$10000,invoice_location_group_id,'[1]1_group_totals'!$G$8:$G$10000,invoice_location_id,'[1]1_group_totals'!$H$8:$H$10000,"="&amp;Q69,'[1]1_group_totals'!$I$8:$I$10000,"="&amp;R69)+SUMIFS('[1]1_group_totals'!$Q$8:$Q$10000,'[1]1_group_totals'!$C$8:$C$10000,I69,'[1]1_group_totals'!$F$8:$F$10000,invoice_location_group_id,'[1]1_group_totals'!$G$8:$G$10000,invoice_location_id,'[1]1_group_totals'!$H$8:$H$10000,"="&amp;Q69,'[1]1_group_totals'!$I$8:$I$10000,"="&amp;R69))+(SUMIFS('[1]1_group_totals'!$L$8:$L$10000,'[1]1_group_totals'!$C$8:$C$10000,I69,'[1]1_group_totals'!$F$8:$F$10000,invoice_location_group_id,'[1]1_group_totals'!$G$8:$G$10000,invoice_location_id,'[1]1_group_totals'!$H$8:$H$10000,"="&amp;Q69,'[1]1_group_totals'!$I$8:$I$10000,"="&amp;R69)+SUMIFS('[1]1_group_totals'!$M$8:$M$10000,'[1]1_group_totals'!$C$8:$C$10000,I69,'[1]1_group_totals'!$F$8:$F$10000,invoice_location_group_id,'[1]1_group_totals'!$G$8:$G$10000,invoice_location_id,'[1]1_group_totals'!$H$8:$H$10000,"="&amp;Q69,'[1]1_group_totals'!$I$8:$I$10000,"="&amp;R69)+SUMIFS('[1]1_group_totals'!$O$8:$O$10000,'[1]1_group_totals'!$C$8:$C$10000,I69,'[1]1_group_totals'!$F$8:$F$10000,invoice_location_group_id,'[1]1_group_totals'!$G$8:$G$10000,invoice_location_id,'[1]1_group_totals'!$H$8:$H$10000,"="&amp;Q69,'[1]1_group_totals'!$I$8:$I$10000,"="&amp;R69)+SUMIFS('[1]1_group_totals'!$R$8:$R$10000,'[1]1_group_totals'!$C$8:$C$10000,I69,'[1]1_group_totals'!$F$8:$F$10000,invoice_location_group_id,'[1]1_group_totals'!$G$8:$G$10000,invoice_location_id,'[1]1_group_totals'!$H$8:$H$10000,"="&amp;Q69,'[1]1_group_totals'!$I$8:$I$10000,"="&amp;R69)))</f>
        <v/>
      </c>
      <c r="AX69" s="197" t="str">
        <f t="shared" si="21"/>
        <v/>
      </c>
      <c r="AY69" s="197" t="str">
        <f>IF(M69="","",SUMIFS($AX$8:AX69,$I$8:I69,I69))</f>
        <v/>
      </c>
      <c r="AZ69" s="197" t="str">
        <f t="shared" si="22"/>
        <v/>
      </c>
      <c r="BA69" s="197" t="str">
        <f>IF(M69="","",(SUMIFS('[1]1_inventory_totals'!$I$8:$I$10000,'[1]1_inventory_totals'!$C$8:$C$10000,I69,'[1]1_inventory_totals'!$F$8:$F$10000,"="&amp;Q69,'[1]1_inventory_totals'!$G$8:$G$10000,"="&amp;R69)+SUMIFS('[1]1_inventory_totals'!$N$8:$N$10000,'[1]1_inventory_totals'!$C$8:$C$10000,I69,'[1]1_inventory_totals'!$F$8:$F$10000,"="&amp;Q69,'[1]1_inventory_totals'!$G$8:$G$10000,"="&amp;R69)+SUMIFS('[1]1_inventory_totals'!$P$8:$P$10000,'[1]1_inventory_totals'!$C$8:$C$10000,I69,'[1]1_inventory_totals'!$F$8:$F$10000,"="&amp;Q69,'[1]1_inventory_totals'!$G$8:$G$10000,"="&amp;R69)+SUMIFS('[1]1_inventory_totals'!$Q$8:$Q$10000,'[1]1_inventory_totals'!$C$8:$C$10000,I69,'[1]1_inventory_totals'!$F$8:$F$10000,"="&amp;Q69,'[1]1_inventory_totals'!$G$8:$G$10000,"="&amp;R69)+SUMIFS('[1]1_inventory_totals'!$R$8:$R$10000,'[1]1_inventory_totals'!$C$8:$C$10000,I69,'[1]1_inventory_totals'!$F$8:$F$10000,"="&amp;Q69,'[1]1_inventory_totals'!$G$8:$G$10000,"="&amp;R69))+(SUMIFS('[1]1_inventory_totals'!$J$8:$J$10000,'[1]1_inventory_totals'!$C$8:$C$10000,I69,'[1]1_inventory_totals'!$F$8:$F$10000,"="&amp;Q69,'[1]1_inventory_totals'!$G$8:$G$10000,"="&amp;R69)+SUMIFS('[1]1_inventory_totals'!$K$8:$K$10000,'[1]1_inventory_totals'!$C$8:$C$10000,I69,'[1]1_inventory_totals'!$F$8:$F$10000,"="&amp;Q69,'[1]1_inventory_totals'!$G$8:$G$10000,"="&amp;R69)+SUMIFS('[1]1_inventory_totals'!$L$8:$L$10000,'[1]1_inventory_totals'!$C$8:$C$10000,I69,'[1]1_inventory_totals'!$F$8:$F$10000,"="&amp;Q69,'[1]1_inventory_totals'!$G$8:$G$10000,"="&amp;R69)+SUMIFS('[1]1_inventory_totals'!$M$8:$M$10000,'[1]1_inventory_totals'!$C$8:$C$10000,I69,'[1]1_inventory_totals'!$F$8:$F$10000,"="&amp;Q69,'[1]1_inventory_totals'!$G$8:$G$10000,"="&amp;R69)+SUMIFS('[1]1_inventory_totals'!$O$8:$O$10000,'[1]1_inventory_totals'!$C$8:$C$10000,I69,'[1]1_inventory_totals'!$F$8:$F$10000,"="&amp;Q69,'[1]1_inventory_totals'!$G$8:$G$10000,"="&amp;R69)+SUMIFS('[1]1_inventory_totals'!$S$8:$S$10000,'[1]1_inventory_totals'!$C$8:$C$10000,I69,'[1]1_inventory_totals'!$F$8:$F$10000,"="&amp;Q69,'[1]1_inventory_totals'!$G$8:$G$10000,"="&amp;R69)))</f>
        <v/>
      </c>
      <c r="BB69" s="197" t="str">
        <f>IF(M69="","",(SUMIFS('[1]2_inventory_totals'!$I$8:$I$10000,'[1]2_inventory_totals'!$C$8:$C$10000,I69,'[1]2_inventory_totals'!$F$8:$F$10000,"="&amp;Q69,'[1]2_inventory_totals'!$G$8:$G$10000,"="&amp;R69)+SUMIFS('[1]2_inventory_totals'!$N$8:$N$10000,'[1]2_inventory_totals'!$C$8:$C$10000,I69,'[1]2_inventory_totals'!$F$8:$F$10000,"="&amp;Q69,'[1]2_inventory_totals'!$G$8:$G$10000,"="&amp;R69)+SUMIFS('[1]2_inventory_totals'!$P$8:$P$10000,'[1]2_inventory_totals'!$C$8:$C$10000,I69,'[1]2_inventory_totals'!$F$8:$F$10000,"="&amp;Q69,'[1]2_inventory_totals'!$G$8:$G$10000,"="&amp;R69)+SUMIFS('[1]2_inventory_totals'!$Q$8:$Q$10000,'[1]2_inventory_totals'!$C$8:$C$10000,I69,'[1]2_inventory_totals'!$F$8:$F$10000,"="&amp;Q69,'[1]2_inventory_totals'!$G$8:$G$10000,"="&amp;R69)+SUMIFS('[1]2_inventory_totals'!$R$8:$R$10000,'[1]2_inventory_totals'!$C$8:$C$10000,I69,'[1]2_inventory_totals'!$F$8:$F$10000,"="&amp;Q69,'[1]2_inventory_totals'!$G$8:$G$10000,"="&amp;R69))+(SUMIFS('[1]2_inventory_totals'!$J$8:$J$10000,'[1]2_inventory_totals'!$C$8:$C$10000,I69,'[1]2_inventory_totals'!$F$8:$F$10000,"="&amp;Q69,'[1]2_inventory_totals'!$G$8:$G$10000,"="&amp;R69)+SUMIFS('[1]2_inventory_totals'!$K$8:$K$10000,'[1]2_inventory_totals'!$C$8:$C$10000,I69,'[1]2_inventory_totals'!$F$8:$F$10000,"="&amp;Q69,'[1]2_inventory_totals'!$G$8:$G$10000,"="&amp;R69)+SUMIFS('[1]2_inventory_totals'!$L$8:$L$10000,'[1]2_inventory_totals'!$C$8:$C$10000,I69,'[1]2_inventory_totals'!$F$8:$F$10000,"="&amp;Q69,'[1]2_inventory_totals'!$G$8:$G$10000,"="&amp;R69)+SUMIFS('[1]2_inventory_totals'!$M$8:$M$10000,'[1]2_inventory_totals'!$C$8:$C$10000,I69,'[1]2_inventory_totals'!$F$8:$F$10000,"="&amp;Q69,'[1]2_inventory_totals'!$G$8:$G$10000,"="&amp;R69)+SUMIFS('[1]2_inventory_totals'!$O$8:$O$10000,'[1]2_inventory_totals'!$C$8:$C$10000,I69,'[1]2_inventory_totals'!$F$8:$F$10000,"="&amp;Q69,'[1]2_inventory_totals'!$G$8:$G$10000,"="&amp;R69)+SUMIFS('[1]2_inventory_totals'!$S$8:$S$10000,'[1]2_inventory_totals'!$C$8:$C$10000,I69,'[1]2_inventory_totals'!$F$8:$F$10000,"="&amp;Q69,'[1]2_inventory_totals'!$G$8:$G$10000,"="&amp;R69)))</f>
        <v/>
      </c>
    </row>
    <row r="70" spans="1:54" ht="27" hidden="1" customHeight="1">
      <c r="A70" s="923"/>
      <c r="B70" s="1256"/>
      <c r="C70" s="950"/>
      <c r="D70" s="950"/>
      <c r="E70" s="950"/>
      <c r="F70" s="1257"/>
      <c r="G70" s="941"/>
      <c r="H70" s="951"/>
      <c r="I70" s="1610" t="str">
        <f t="shared" si="7"/>
        <v/>
      </c>
      <c r="J70" s="1611" t="str">
        <f t="shared" si="24"/>
        <v/>
      </c>
      <c r="K70" s="1612" t="str">
        <f t="shared" si="30"/>
        <v/>
      </c>
      <c r="L70" s="1613"/>
      <c r="M70" s="883"/>
      <c r="N70" s="884"/>
      <c r="O70" s="884"/>
      <c r="P70" s="885"/>
      <c r="Q70" s="886"/>
      <c r="R70" s="891"/>
      <c r="S70" s="1614" t="str">
        <f t="shared" si="0"/>
        <v/>
      </c>
      <c r="T70" s="1536"/>
      <c r="U70" s="1864" t="str">
        <f t="shared" si="9"/>
        <v/>
      </c>
      <c r="V70" s="1615" t="str">
        <f t="shared" si="25"/>
        <v/>
      </c>
      <c r="W70" s="889"/>
      <c r="X70" s="1615" t="str">
        <f t="shared" si="26"/>
        <v/>
      </c>
      <c r="Y70" s="1865" t="str">
        <f t="shared" si="10"/>
        <v/>
      </c>
      <c r="Z70" s="890"/>
      <c r="AA70" s="197" t="str" cm="1">
        <f t="array" ref="AA70">IF(M70="","",IF(P70=AN70,1,Slookup(MID(AN70,1,3)*1,UomConversion!$D$8:$J$500,5,UomConversion!$E$8:$E$500,MID(P70,1,3)*1,UomConversion!$J$8:$J$500,1)))</f>
        <v/>
      </c>
      <c r="AB70" s="197" t="str">
        <f t="shared" si="11"/>
        <v/>
      </c>
      <c r="AC70" s="197" t="str">
        <f t="shared" si="12"/>
        <v/>
      </c>
      <c r="AD70" s="197" t="str">
        <f t="shared" si="13"/>
        <v/>
      </c>
      <c r="AE70" s="1866" t="str">
        <f t="shared" si="14"/>
        <v/>
      </c>
      <c r="AF70" s="1866" t="str">
        <f t="shared" si="27"/>
        <v/>
      </c>
      <c r="AG70" s="197" t="str">
        <f t="shared" si="16"/>
        <v/>
      </c>
      <c r="AH70" s="197" t="str">
        <f>IF(I70="","",IF(ISNA(MATCH(I70,IF(invoice_location_id=1,'[1]1_inventory_totals'!$C$8:$C$10000,IF(invoice_location_id=2,'[1]2_inventory_totals'!$C$8:$C$10000,0)),0)),0,IF(AV70&gt;0,1,0)))</f>
        <v/>
      </c>
      <c r="AI70" s="197" t="str">
        <f>IF(M70="","",IF(invoice_location_id=1,SUMIFS('[1]1_inventory_total_details'!$J$8:$J$10000,'[1]1_inventory_total_details'!$C$8:$C$10000,I70,'[1]1_inventory_total_details'!$F$8:$F$10000,invoice_location_id,'[1]1_inventory_total_details'!$G$8:$G$10000,"="&amp;Q70,'[1]1_inventory_total_details'!$H$8:$H$10000,"="&amp;R70,'[1]1_inventory_total_details'!$I$8:$I$10000,"="&amp;invoice_date)+SUMIFS('[1]1_inventory_total_details'!$M$8:$M$10000,'[1]1_inventory_total_details'!$C$8:$C$10000,I70,'[1]1_inventory_total_details'!$F$8:$F$10000,invoice_location_id,'[1]1_inventory_total_details'!$G$8:$G$10000,"="&amp;Q70,'[1]1_inventory_total_details'!$H$8:$H$10000,"="&amp;R70,'[1]1_inventory_total_details'!$I$8:$I$10000,"="&amp;invoice_date)+SUMIFS('[1]1_inventory_total_details'!$K$8:$K$10000,'[1]1_inventory_total_details'!$C$8:$C$10000,I70,'[1]1_inventory_total_details'!$F$8:$F$10000,invoice_location_id,'[1]1_inventory_total_details'!$G$8:$G$10000,"="&amp;Q70,'[1]1_inventory_total_details'!$H$8:$H$10000,"="&amp;R70,'[1]1_inventory_total_details'!$I$8:$I$10000,"="&amp;invoice_date)+SUMIFS('[1]1_inventory_total_details'!$L$8:$L$10000,'[1]1_inventory_total_details'!$C$8:$C$10000,I70,'[1]1_inventory_total_details'!$F$8:$F$10000,invoice_location_id,'[1]1_inventory_total_details'!$G$8:$G$10000,"="&amp;Q70,'[1]1_inventory_total_details'!$H$8:$H$10000,"="&amp;R70,'[1]1_inventory_total_details'!$I$8:$I$10000,"="&amp;invoice_date),SUMIFS('[1]2_inventory_total_details'!$J$8:$J$10000,'[1]2_inventory_total_details'!$C$8:$C$10000,I70,'[1]2_inventory_total_details'!$F$8:$F$10000,invoice_location_id,'[1]2_inventory_total_details'!$G$8:$G$10000,"="&amp;Q70,'[1]2_inventory_total_details'!$H$8:$H$10000,"="&amp;R70,'[1]2_inventory_total_details'!$I$8:$I$10000,"="&amp;invoice_date)+SUMIFS('[1]2_inventory_total_details'!$M$8:$M$10000,'[1]2_inventory_total_details'!$C$8:$C$10000,I70,'[1]2_inventory_total_details'!$F$8:$F$10000,invoice_location_id,'[1]2_inventory_total_details'!$G$8:$G$10000,"="&amp;Q70,'[1]2_inventory_total_details'!$H$8:$H$10000,"="&amp;R70,'[1]2_inventory_total_details'!$I$8:$I$10000,"="&amp;invoice_date)+SUMIFS('[1]2_inventory_total_details'!$K$8:$K$10000,'[1]2_inventory_total_details'!$C$8:$C$10000,I70,'[1]2_inventory_total_details'!$F$8:$F$10000,invoice_location_id,'[1]2_inventory_total_details'!$G$8:$G$10000,"="&amp;Q70,'[1]2_inventory_total_details'!$H$8:$H$10000,"="&amp;R70,'[1]2_inventory_total_details'!$I$8:$I$10000,"="&amp;invoice_date)+SUMIFS('[1]2_inventory_total_details'!$L$8:$L$10000,'[1]2_inventory_total_details'!$C$8:$C$10000,I70,'[1]2_inventory_total_details'!$F$8:$F$10000,invoice_location_id,'[1]2_inventory_total_details'!$G$8:$G$10000,"="&amp;Q70,'[1]2_inventory_total_details'!$H$8:$H$10000,"="&amp;R70,'[1]2_inventory_total_details'!$I$8:$I$10000,"="&amp;invoice_date)))</f>
        <v/>
      </c>
      <c r="AJ70" s="197" t="str">
        <f>IF(M70="","",IF(ISNA(MATCH(I70,'[1]1_group_totals'!$C$8:$C$10000)),0,IF(AW70&gt;0,1,0)))</f>
        <v/>
      </c>
      <c r="AK70" s="197" t="str">
        <f>IF(M70="","",(SUMIFS('[1]1_group_total_details'!$I$8:$I$10000,'[1]1_group_total_details'!$C$8:$C$10000,I70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70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70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70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70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70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70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70,'[1]1_group_total_details'!$F$8:$F$10000,invoice_location_group_id,'[1]1_group_total_details'!$G$8:$G$10000,invoice_location_id,'[1]1_group_total_details'!$H$8:$H$10000,"="&amp;invoice_date)))</f>
        <v/>
      </c>
      <c r="AL70" s="197" t="str">
        <f>IF(M70="","",(SUMIFS('[1]1_group_total_details'!$I$8:$I$10000,'[1]1_group_total_details'!$C$8:$C$10000,I70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70,'[1]1_group_total_details'!$F$8:$F$10000,invoice_location_group_id,'[1]1_group_total_details'!$G$8:$G$10000,1,'[1]1_group_total_details'!$H$8:$H$10000,"&lt;="&amp;invoice_date)+SUMIFS('[1]1_group_total_details'!$N$8:$N$10000,'[1]1_group_total_details'!$C$8:$C$10000,I70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70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70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70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70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70,'[1]1_group_total_details'!$F$8:$F$10000,invoice_location_group_id,'[1]1_group_total_details'!$G$8:$G$10000,invoice_location_id,'[1]1_group_total_details'!$H$8:$H$10000,"&lt;="&amp;invoice_date)))</f>
        <v/>
      </c>
      <c r="AM70" s="197" t="str">
        <f>IF(M70="","",SUMIFS('[1]1_group_totals'!$J$8:$J$10000,'[1]1_group_totals'!$C$8:$C$10000,I70,'[1]1_group_totals'!$F$8:$F$10000,invoice_location_group_id,'[1]1_group_totals'!$G$8:$G$10000,invoice_location_id,'[1]1_group_totals'!$H$8:$H$10000,"="&amp;Q70,'[1]1_group_totals'!$I$8:$I$10000,"="&amp;R70))</f>
        <v/>
      </c>
      <c r="AN70" s="197" t="str">
        <f t="shared" si="17"/>
        <v/>
      </c>
      <c r="AO70" s="197" t="str">
        <f>IF(OR(ISNA(MATCH(MID(AN70,1,3)*1,UomConversion!$D$8:$D$500,0)),M70=""),"",IF(AT70="","",AT70))</f>
        <v/>
      </c>
      <c r="AP70" s="197" t="str">
        <f>IF(AND(AQ70&gt;0,COUNTIFS(UomConversion!$D$8:$D$500,MID(AN70,1,3)*1,UomConversion!$J$8:$J$500,1)&gt;1),TEXT(AQ70,"000")&amp;"."&amp;VLOOKUP(AQ70,uom_list,5,FALSE),"")</f>
        <v/>
      </c>
      <c r="AQ70" s="197" t="str">
        <f t="shared" si="18"/>
        <v/>
      </c>
      <c r="AR70" s="197" t="str">
        <f t="shared" si="19"/>
        <v/>
      </c>
      <c r="AS70" s="1866" t="str">
        <f>IF(M70="","",SUMIFS(ProductPrice!$N$28:$N$10000,ProductPrice!$D$28:$D$10000,I70,ProductPrice!$G$28:$G$10000,invoice_branch_id,ProductPrice!$H$28:$H$10000,invoice_price_type_id,ProductPrice!$I$28:$I$10000,MID(P70,1,3)*1,ProductPrice!$Q$28:$Q$10000,1,ProductPrice!$T$28:$T$10000,1))</f>
        <v/>
      </c>
      <c r="AT70" s="197" t="str">
        <f t="shared" si="28"/>
        <v/>
      </c>
      <c r="AU70" s="197" t="str" cm="1">
        <f t="array" ref="AU70">IF(M70="","",IF(ISNA(Slookup(MID(AN70,1,3)*1,UomConversion!$D$8:$J$500,2,UomConversion!$I$8:$I$500,1,UomConversion!$J$8:$J$500,1)),"",Slookup(MID(AN70,1,3)*1,UomConversion!$D$8:$J$500,2,UomConversion!$I$8:$I$500,1,UomConversion!$J$8:$J$500,1)))</f>
        <v/>
      </c>
      <c r="AV70" s="197" t="str">
        <f t="shared" si="29"/>
        <v/>
      </c>
      <c r="AW70" s="197" t="str">
        <f>IF(M70="","",(SUMIFS('[1]1_group_totals'!$K$8:$K$10000,'[1]1_group_totals'!$C$8:$C$10000,I70,'[1]1_group_totals'!$F$8:$F$10000,invoice_location_group_id,'[1]1_group_totals'!$G$8:$G$10000,invoice_location_id,'[1]1_group_totals'!$H$8:$H$10000,"="&amp;Q70,'[1]1_group_totals'!$I$8:$I$10000,"="&amp;R70)+SUMIFS('[1]1_group_totals'!$N$8:$N$10000,'[1]1_group_totals'!$C$8:$C$10000,I70,'[1]1_group_totals'!$F$8:$F$10000,invoice_location_group_id,'[1]1_group_totals'!$G$8:$G$10000,invoice_location_id,'[1]1_group_totals'!$H$8:$H$10000,"="&amp;Q70,'[1]1_group_totals'!$I$8:$I$10000,"="&amp;R70)+SUMIFS('[1]1_group_totals'!$P$8:$P$10000,'[1]1_group_totals'!$C$8:$C$10000,I70,'[1]1_group_totals'!$F$8:$F$10000,invoice_location_group_id,'[1]1_group_totals'!$G$8:$G$10000,invoice_location_id,'[1]1_group_totals'!$H$8:$H$10000,"="&amp;Q70,'[1]1_group_totals'!$I$8:$I$10000,"="&amp;R70)+SUMIFS('[1]1_group_totals'!$Q$8:$Q$10000,'[1]1_group_totals'!$C$8:$C$10000,I70,'[1]1_group_totals'!$F$8:$F$10000,invoice_location_group_id,'[1]1_group_totals'!$G$8:$G$10000,invoice_location_id,'[1]1_group_totals'!$H$8:$H$10000,"="&amp;Q70,'[1]1_group_totals'!$I$8:$I$10000,"="&amp;R70))+(SUMIFS('[1]1_group_totals'!$L$8:$L$10000,'[1]1_group_totals'!$C$8:$C$10000,I70,'[1]1_group_totals'!$F$8:$F$10000,invoice_location_group_id,'[1]1_group_totals'!$G$8:$G$10000,invoice_location_id,'[1]1_group_totals'!$H$8:$H$10000,"="&amp;Q70,'[1]1_group_totals'!$I$8:$I$10000,"="&amp;R70)+SUMIFS('[1]1_group_totals'!$M$8:$M$10000,'[1]1_group_totals'!$C$8:$C$10000,I70,'[1]1_group_totals'!$F$8:$F$10000,invoice_location_group_id,'[1]1_group_totals'!$G$8:$G$10000,invoice_location_id,'[1]1_group_totals'!$H$8:$H$10000,"="&amp;Q70,'[1]1_group_totals'!$I$8:$I$10000,"="&amp;R70)+SUMIFS('[1]1_group_totals'!$O$8:$O$10000,'[1]1_group_totals'!$C$8:$C$10000,I70,'[1]1_group_totals'!$F$8:$F$10000,invoice_location_group_id,'[1]1_group_totals'!$G$8:$G$10000,invoice_location_id,'[1]1_group_totals'!$H$8:$H$10000,"="&amp;Q70,'[1]1_group_totals'!$I$8:$I$10000,"="&amp;R70)+SUMIFS('[1]1_group_totals'!$R$8:$R$10000,'[1]1_group_totals'!$C$8:$C$10000,I70,'[1]1_group_totals'!$F$8:$F$10000,invoice_location_group_id,'[1]1_group_totals'!$G$8:$G$10000,invoice_location_id,'[1]1_group_totals'!$H$8:$H$10000,"="&amp;Q70,'[1]1_group_totals'!$I$8:$I$10000,"="&amp;R70)))</f>
        <v/>
      </c>
      <c r="AX70" s="197" t="str">
        <f t="shared" si="21"/>
        <v/>
      </c>
      <c r="AY70" s="197" t="str">
        <f>IF(M70="","",SUMIFS($AX$8:AX70,$I$8:I70,I70))</f>
        <v/>
      </c>
      <c r="AZ70" s="197" t="str">
        <f t="shared" si="22"/>
        <v/>
      </c>
      <c r="BA70" s="197" t="str">
        <f>IF(M70="","",(SUMIFS('[1]1_inventory_totals'!$I$8:$I$10000,'[1]1_inventory_totals'!$C$8:$C$10000,I70,'[1]1_inventory_totals'!$F$8:$F$10000,"="&amp;Q70,'[1]1_inventory_totals'!$G$8:$G$10000,"="&amp;R70)+SUMIFS('[1]1_inventory_totals'!$N$8:$N$10000,'[1]1_inventory_totals'!$C$8:$C$10000,I70,'[1]1_inventory_totals'!$F$8:$F$10000,"="&amp;Q70,'[1]1_inventory_totals'!$G$8:$G$10000,"="&amp;R70)+SUMIFS('[1]1_inventory_totals'!$P$8:$P$10000,'[1]1_inventory_totals'!$C$8:$C$10000,I70,'[1]1_inventory_totals'!$F$8:$F$10000,"="&amp;Q70,'[1]1_inventory_totals'!$G$8:$G$10000,"="&amp;R70)+SUMIFS('[1]1_inventory_totals'!$Q$8:$Q$10000,'[1]1_inventory_totals'!$C$8:$C$10000,I70,'[1]1_inventory_totals'!$F$8:$F$10000,"="&amp;Q70,'[1]1_inventory_totals'!$G$8:$G$10000,"="&amp;R70)+SUMIFS('[1]1_inventory_totals'!$R$8:$R$10000,'[1]1_inventory_totals'!$C$8:$C$10000,I70,'[1]1_inventory_totals'!$F$8:$F$10000,"="&amp;Q70,'[1]1_inventory_totals'!$G$8:$G$10000,"="&amp;R70))+(SUMIFS('[1]1_inventory_totals'!$J$8:$J$10000,'[1]1_inventory_totals'!$C$8:$C$10000,I70,'[1]1_inventory_totals'!$F$8:$F$10000,"="&amp;Q70,'[1]1_inventory_totals'!$G$8:$G$10000,"="&amp;R70)+SUMIFS('[1]1_inventory_totals'!$K$8:$K$10000,'[1]1_inventory_totals'!$C$8:$C$10000,I70,'[1]1_inventory_totals'!$F$8:$F$10000,"="&amp;Q70,'[1]1_inventory_totals'!$G$8:$G$10000,"="&amp;R70)+SUMIFS('[1]1_inventory_totals'!$L$8:$L$10000,'[1]1_inventory_totals'!$C$8:$C$10000,I70,'[1]1_inventory_totals'!$F$8:$F$10000,"="&amp;Q70,'[1]1_inventory_totals'!$G$8:$G$10000,"="&amp;R70)+SUMIFS('[1]1_inventory_totals'!$M$8:$M$10000,'[1]1_inventory_totals'!$C$8:$C$10000,I70,'[1]1_inventory_totals'!$F$8:$F$10000,"="&amp;Q70,'[1]1_inventory_totals'!$G$8:$G$10000,"="&amp;R70)+SUMIFS('[1]1_inventory_totals'!$O$8:$O$10000,'[1]1_inventory_totals'!$C$8:$C$10000,I70,'[1]1_inventory_totals'!$F$8:$F$10000,"="&amp;Q70,'[1]1_inventory_totals'!$G$8:$G$10000,"="&amp;R70)+SUMIFS('[1]1_inventory_totals'!$S$8:$S$10000,'[1]1_inventory_totals'!$C$8:$C$10000,I70,'[1]1_inventory_totals'!$F$8:$F$10000,"="&amp;Q70,'[1]1_inventory_totals'!$G$8:$G$10000,"="&amp;R70)))</f>
        <v/>
      </c>
      <c r="BB70" s="197" t="str">
        <f>IF(M70="","",(SUMIFS('[1]2_inventory_totals'!$I$8:$I$10000,'[1]2_inventory_totals'!$C$8:$C$10000,I70,'[1]2_inventory_totals'!$F$8:$F$10000,"="&amp;Q70,'[1]2_inventory_totals'!$G$8:$G$10000,"="&amp;R70)+SUMIFS('[1]2_inventory_totals'!$N$8:$N$10000,'[1]2_inventory_totals'!$C$8:$C$10000,I70,'[1]2_inventory_totals'!$F$8:$F$10000,"="&amp;Q70,'[1]2_inventory_totals'!$G$8:$G$10000,"="&amp;R70)+SUMIFS('[1]2_inventory_totals'!$P$8:$P$10000,'[1]2_inventory_totals'!$C$8:$C$10000,I70,'[1]2_inventory_totals'!$F$8:$F$10000,"="&amp;Q70,'[1]2_inventory_totals'!$G$8:$G$10000,"="&amp;R70)+SUMIFS('[1]2_inventory_totals'!$Q$8:$Q$10000,'[1]2_inventory_totals'!$C$8:$C$10000,I70,'[1]2_inventory_totals'!$F$8:$F$10000,"="&amp;Q70,'[1]2_inventory_totals'!$G$8:$G$10000,"="&amp;R70)+SUMIFS('[1]2_inventory_totals'!$R$8:$R$10000,'[1]2_inventory_totals'!$C$8:$C$10000,I70,'[1]2_inventory_totals'!$F$8:$F$10000,"="&amp;Q70,'[1]2_inventory_totals'!$G$8:$G$10000,"="&amp;R70))+(SUMIFS('[1]2_inventory_totals'!$J$8:$J$10000,'[1]2_inventory_totals'!$C$8:$C$10000,I70,'[1]2_inventory_totals'!$F$8:$F$10000,"="&amp;Q70,'[1]2_inventory_totals'!$G$8:$G$10000,"="&amp;R70)+SUMIFS('[1]2_inventory_totals'!$K$8:$K$10000,'[1]2_inventory_totals'!$C$8:$C$10000,I70,'[1]2_inventory_totals'!$F$8:$F$10000,"="&amp;Q70,'[1]2_inventory_totals'!$G$8:$G$10000,"="&amp;R70)+SUMIFS('[1]2_inventory_totals'!$L$8:$L$10000,'[1]2_inventory_totals'!$C$8:$C$10000,I70,'[1]2_inventory_totals'!$F$8:$F$10000,"="&amp;Q70,'[1]2_inventory_totals'!$G$8:$G$10000,"="&amp;R70)+SUMIFS('[1]2_inventory_totals'!$M$8:$M$10000,'[1]2_inventory_totals'!$C$8:$C$10000,I70,'[1]2_inventory_totals'!$F$8:$F$10000,"="&amp;Q70,'[1]2_inventory_totals'!$G$8:$G$10000,"="&amp;R70)+SUMIFS('[1]2_inventory_totals'!$O$8:$O$10000,'[1]2_inventory_totals'!$C$8:$C$10000,I70,'[1]2_inventory_totals'!$F$8:$F$10000,"="&amp;Q70,'[1]2_inventory_totals'!$G$8:$G$10000,"="&amp;R70)+SUMIFS('[1]2_inventory_totals'!$S$8:$S$10000,'[1]2_inventory_totals'!$C$8:$C$10000,I70,'[1]2_inventory_totals'!$F$8:$F$10000,"="&amp;Q70,'[1]2_inventory_totals'!$G$8:$G$10000,"="&amp;R70)))</f>
        <v/>
      </c>
    </row>
    <row r="71" spans="1:54" ht="27" hidden="1" customHeight="1">
      <c r="A71" s="923"/>
      <c r="B71" s="1256"/>
      <c r="C71" s="950"/>
      <c r="D71" s="950"/>
      <c r="E71" s="950"/>
      <c r="F71" s="1257"/>
      <c r="G71" s="941"/>
      <c r="H71" s="951"/>
      <c r="I71" s="1610" t="str">
        <f t="shared" si="7"/>
        <v/>
      </c>
      <c r="J71" s="1611" t="str">
        <f t="shared" si="24"/>
        <v/>
      </c>
      <c r="K71" s="1612" t="str">
        <f t="shared" si="30"/>
        <v/>
      </c>
      <c r="L71" s="1613"/>
      <c r="M71" s="883"/>
      <c r="N71" s="884"/>
      <c r="O71" s="884"/>
      <c r="P71" s="885"/>
      <c r="Q71" s="886"/>
      <c r="R71" s="891"/>
      <c r="S71" s="1614" t="str">
        <f t="shared" si="0"/>
        <v/>
      </c>
      <c r="T71" s="1536"/>
      <c r="U71" s="1864" t="str">
        <f t="shared" si="9"/>
        <v/>
      </c>
      <c r="V71" s="1615" t="str">
        <f t="shared" si="25"/>
        <v/>
      </c>
      <c r="W71" s="889"/>
      <c r="X71" s="1615" t="str">
        <f t="shared" si="26"/>
        <v/>
      </c>
      <c r="Y71" s="1865" t="str">
        <f t="shared" si="10"/>
        <v/>
      </c>
      <c r="Z71" s="890"/>
      <c r="AA71" s="197" t="str" cm="1">
        <f t="array" ref="AA71">IF(M71="","",IF(P71=AN71,1,Slookup(MID(AN71,1,3)*1,UomConversion!$D$8:$J$500,5,UomConversion!$E$8:$E$500,MID(P71,1,3)*1,UomConversion!$J$8:$J$500,1)))</f>
        <v/>
      </c>
      <c r="AB71" s="197" t="str">
        <f t="shared" si="11"/>
        <v/>
      </c>
      <c r="AC71" s="197" t="str">
        <f t="shared" si="12"/>
        <v/>
      </c>
      <c r="AD71" s="197" t="str">
        <f t="shared" si="13"/>
        <v/>
      </c>
      <c r="AE71" s="1866" t="str">
        <f t="shared" si="14"/>
        <v/>
      </c>
      <c r="AF71" s="1866" t="str">
        <f t="shared" si="27"/>
        <v/>
      </c>
      <c r="AG71" s="197" t="str">
        <f t="shared" si="16"/>
        <v/>
      </c>
      <c r="AH71" s="197" t="str">
        <f>IF(I71="","",IF(ISNA(MATCH(I71,IF(invoice_location_id=1,'[1]1_inventory_totals'!$C$8:$C$10000,IF(invoice_location_id=2,'[1]2_inventory_totals'!$C$8:$C$10000,0)),0)),0,IF(AV71&gt;0,1,0)))</f>
        <v/>
      </c>
      <c r="AI71" s="197" t="str">
        <f>IF(M71="","",IF(invoice_location_id=1,SUMIFS('[1]1_inventory_total_details'!$J$8:$J$10000,'[1]1_inventory_total_details'!$C$8:$C$10000,I71,'[1]1_inventory_total_details'!$F$8:$F$10000,invoice_location_id,'[1]1_inventory_total_details'!$G$8:$G$10000,"="&amp;Q71,'[1]1_inventory_total_details'!$H$8:$H$10000,"="&amp;R71,'[1]1_inventory_total_details'!$I$8:$I$10000,"="&amp;invoice_date)+SUMIFS('[1]1_inventory_total_details'!$M$8:$M$10000,'[1]1_inventory_total_details'!$C$8:$C$10000,I71,'[1]1_inventory_total_details'!$F$8:$F$10000,invoice_location_id,'[1]1_inventory_total_details'!$G$8:$G$10000,"="&amp;Q71,'[1]1_inventory_total_details'!$H$8:$H$10000,"="&amp;R71,'[1]1_inventory_total_details'!$I$8:$I$10000,"="&amp;invoice_date)+SUMIFS('[1]1_inventory_total_details'!$K$8:$K$10000,'[1]1_inventory_total_details'!$C$8:$C$10000,I71,'[1]1_inventory_total_details'!$F$8:$F$10000,invoice_location_id,'[1]1_inventory_total_details'!$G$8:$G$10000,"="&amp;Q71,'[1]1_inventory_total_details'!$H$8:$H$10000,"="&amp;R71,'[1]1_inventory_total_details'!$I$8:$I$10000,"="&amp;invoice_date)+SUMIFS('[1]1_inventory_total_details'!$L$8:$L$10000,'[1]1_inventory_total_details'!$C$8:$C$10000,I71,'[1]1_inventory_total_details'!$F$8:$F$10000,invoice_location_id,'[1]1_inventory_total_details'!$G$8:$G$10000,"="&amp;Q71,'[1]1_inventory_total_details'!$H$8:$H$10000,"="&amp;R71,'[1]1_inventory_total_details'!$I$8:$I$10000,"="&amp;invoice_date),SUMIFS('[1]2_inventory_total_details'!$J$8:$J$10000,'[1]2_inventory_total_details'!$C$8:$C$10000,I71,'[1]2_inventory_total_details'!$F$8:$F$10000,invoice_location_id,'[1]2_inventory_total_details'!$G$8:$G$10000,"="&amp;Q71,'[1]2_inventory_total_details'!$H$8:$H$10000,"="&amp;R71,'[1]2_inventory_total_details'!$I$8:$I$10000,"="&amp;invoice_date)+SUMIFS('[1]2_inventory_total_details'!$M$8:$M$10000,'[1]2_inventory_total_details'!$C$8:$C$10000,I71,'[1]2_inventory_total_details'!$F$8:$F$10000,invoice_location_id,'[1]2_inventory_total_details'!$G$8:$G$10000,"="&amp;Q71,'[1]2_inventory_total_details'!$H$8:$H$10000,"="&amp;R71,'[1]2_inventory_total_details'!$I$8:$I$10000,"="&amp;invoice_date)+SUMIFS('[1]2_inventory_total_details'!$K$8:$K$10000,'[1]2_inventory_total_details'!$C$8:$C$10000,I71,'[1]2_inventory_total_details'!$F$8:$F$10000,invoice_location_id,'[1]2_inventory_total_details'!$G$8:$G$10000,"="&amp;Q71,'[1]2_inventory_total_details'!$H$8:$H$10000,"="&amp;R71,'[1]2_inventory_total_details'!$I$8:$I$10000,"="&amp;invoice_date)+SUMIFS('[1]2_inventory_total_details'!$L$8:$L$10000,'[1]2_inventory_total_details'!$C$8:$C$10000,I71,'[1]2_inventory_total_details'!$F$8:$F$10000,invoice_location_id,'[1]2_inventory_total_details'!$G$8:$G$10000,"="&amp;Q71,'[1]2_inventory_total_details'!$H$8:$H$10000,"="&amp;R71,'[1]2_inventory_total_details'!$I$8:$I$10000,"="&amp;invoice_date)))</f>
        <v/>
      </c>
      <c r="AJ71" s="197" t="str">
        <f>IF(M71="","",IF(ISNA(MATCH(I71,'[1]1_group_totals'!$C$8:$C$10000)),0,IF(AW71&gt;0,1,0)))</f>
        <v/>
      </c>
      <c r="AK71" s="197" t="str">
        <f>IF(M71="","",(SUMIFS('[1]1_group_total_details'!$I$8:$I$10000,'[1]1_group_total_details'!$C$8:$C$10000,I71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71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71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71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71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71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71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71,'[1]1_group_total_details'!$F$8:$F$10000,invoice_location_group_id,'[1]1_group_total_details'!$G$8:$G$10000,invoice_location_id,'[1]1_group_total_details'!$H$8:$H$10000,"="&amp;invoice_date)))</f>
        <v/>
      </c>
      <c r="AL71" s="197" t="str">
        <f>IF(M71="","",(SUMIFS('[1]1_group_total_details'!$I$8:$I$10000,'[1]1_group_total_details'!$C$8:$C$10000,I71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71,'[1]1_group_total_details'!$F$8:$F$10000,invoice_location_group_id,'[1]1_group_total_details'!$G$8:$G$10000,1,'[1]1_group_total_details'!$H$8:$H$10000,"&lt;="&amp;invoice_date)+SUMIFS('[1]1_group_total_details'!$N$8:$N$10000,'[1]1_group_total_details'!$C$8:$C$10000,I71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71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71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71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71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71,'[1]1_group_total_details'!$F$8:$F$10000,invoice_location_group_id,'[1]1_group_total_details'!$G$8:$G$10000,invoice_location_id,'[1]1_group_total_details'!$H$8:$H$10000,"&lt;="&amp;invoice_date)))</f>
        <v/>
      </c>
      <c r="AM71" s="197" t="str">
        <f>IF(M71="","",SUMIFS('[1]1_group_totals'!$J$8:$J$10000,'[1]1_group_totals'!$C$8:$C$10000,I71,'[1]1_group_totals'!$F$8:$F$10000,invoice_location_group_id,'[1]1_group_totals'!$G$8:$G$10000,invoice_location_id,'[1]1_group_totals'!$H$8:$H$10000,"="&amp;Q71,'[1]1_group_totals'!$I$8:$I$10000,"="&amp;R71))</f>
        <v/>
      </c>
      <c r="AN71" s="197" t="str">
        <f t="shared" si="17"/>
        <v/>
      </c>
      <c r="AO71" s="197" t="str">
        <f>IF(OR(ISNA(MATCH(MID(AN71,1,3)*1,UomConversion!$D$8:$D$500,0)),M71=""),"",IF(AT71="","",AT71))</f>
        <v/>
      </c>
      <c r="AP71" s="197" t="str">
        <f>IF(AND(AQ71&gt;0,COUNTIFS(UomConversion!$D$8:$D$500,MID(AN71,1,3)*1,UomConversion!$J$8:$J$500,1)&gt;1),TEXT(AQ71,"000")&amp;"."&amp;VLOOKUP(AQ71,uom_list,5,FALSE),"")</f>
        <v/>
      </c>
      <c r="AQ71" s="197" t="str">
        <f t="shared" si="18"/>
        <v/>
      </c>
      <c r="AR71" s="197" t="str">
        <f t="shared" si="19"/>
        <v/>
      </c>
      <c r="AS71" s="1866" t="str">
        <f>IF(M71="","",SUMIFS(ProductPrice!$N$28:$N$10000,ProductPrice!$D$28:$D$10000,I71,ProductPrice!$G$28:$G$10000,invoice_branch_id,ProductPrice!$H$28:$H$10000,invoice_price_type_id,ProductPrice!$I$28:$I$10000,MID(P71,1,3)*1,ProductPrice!$Q$28:$Q$10000,1,ProductPrice!$T$28:$T$10000,1))</f>
        <v/>
      </c>
      <c r="AT71" s="197" t="str">
        <f t="shared" si="28"/>
        <v/>
      </c>
      <c r="AU71" s="197" t="str" cm="1">
        <f t="array" ref="AU71">IF(M71="","",IF(ISNA(Slookup(MID(AN71,1,3)*1,UomConversion!$D$8:$J$500,2,UomConversion!$I$8:$I$500,1,UomConversion!$J$8:$J$500,1)),"",Slookup(MID(AN71,1,3)*1,UomConversion!$D$8:$J$500,2,UomConversion!$I$8:$I$500,1,UomConversion!$J$8:$J$500,1)))</f>
        <v/>
      </c>
      <c r="AV71" s="197" t="str">
        <f t="shared" si="29"/>
        <v/>
      </c>
      <c r="AW71" s="197" t="str">
        <f>IF(M71="","",(SUMIFS('[1]1_group_totals'!$K$8:$K$10000,'[1]1_group_totals'!$C$8:$C$10000,I71,'[1]1_group_totals'!$F$8:$F$10000,invoice_location_group_id,'[1]1_group_totals'!$G$8:$G$10000,invoice_location_id,'[1]1_group_totals'!$H$8:$H$10000,"="&amp;Q71,'[1]1_group_totals'!$I$8:$I$10000,"="&amp;R71)+SUMIFS('[1]1_group_totals'!$N$8:$N$10000,'[1]1_group_totals'!$C$8:$C$10000,I71,'[1]1_group_totals'!$F$8:$F$10000,invoice_location_group_id,'[1]1_group_totals'!$G$8:$G$10000,invoice_location_id,'[1]1_group_totals'!$H$8:$H$10000,"="&amp;Q71,'[1]1_group_totals'!$I$8:$I$10000,"="&amp;R71)+SUMIFS('[1]1_group_totals'!$P$8:$P$10000,'[1]1_group_totals'!$C$8:$C$10000,I71,'[1]1_group_totals'!$F$8:$F$10000,invoice_location_group_id,'[1]1_group_totals'!$G$8:$G$10000,invoice_location_id,'[1]1_group_totals'!$H$8:$H$10000,"="&amp;Q71,'[1]1_group_totals'!$I$8:$I$10000,"="&amp;R71)+SUMIFS('[1]1_group_totals'!$Q$8:$Q$10000,'[1]1_group_totals'!$C$8:$C$10000,I71,'[1]1_group_totals'!$F$8:$F$10000,invoice_location_group_id,'[1]1_group_totals'!$G$8:$G$10000,invoice_location_id,'[1]1_group_totals'!$H$8:$H$10000,"="&amp;Q71,'[1]1_group_totals'!$I$8:$I$10000,"="&amp;R71))+(SUMIFS('[1]1_group_totals'!$L$8:$L$10000,'[1]1_group_totals'!$C$8:$C$10000,I71,'[1]1_group_totals'!$F$8:$F$10000,invoice_location_group_id,'[1]1_group_totals'!$G$8:$G$10000,invoice_location_id,'[1]1_group_totals'!$H$8:$H$10000,"="&amp;Q71,'[1]1_group_totals'!$I$8:$I$10000,"="&amp;R71)+SUMIFS('[1]1_group_totals'!$M$8:$M$10000,'[1]1_group_totals'!$C$8:$C$10000,I71,'[1]1_group_totals'!$F$8:$F$10000,invoice_location_group_id,'[1]1_group_totals'!$G$8:$G$10000,invoice_location_id,'[1]1_group_totals'!$H$8:$H$10000,"="&amp;Q71,'[1]1_group_totals'!$I$8:$I$10000,"="&amp;R71)+SUMIFS('[1]1_group_totals'!$O$8:$O$10000,'[1]1_group_totals'!$C$8:$C$10000,I71,'[1]1_group_totals'!$F$8:$F$10000,invoice_location_group_id,'[1]1_group_totals'!$G$8:$G$10000,invoice_location_id,'[1]1_group_totals'!$H$8:$H$10000,"="&amp;Q71,'[1]1_group_totals'!$I$8:$I$10000,"="&amp;R71)+SUMIFS('[1]1_group_totals'!$R$8:$R$10000,'[1]1_group_totals'!$C$8:$C$10000,I71,'[1]1_group_totals'!$F$8:$F$10000,invoice_location_group_id,'[1]1_group_totals'!$G$8:$G$10000,invoice_location_id,'[1]1_group_totals'!$H$8:$H$10000,"="&amp;Q71,'[1]1_group_totals'!$I$8:$I$10000,"="&amp;R71)))</f>
        <v/>
      </c>
      <c r="AX71" s="197" t="str">
        <f t="shared" si="21"/>
        <v/>
      </c>
      <c r="AY71" s="197" t="str">
        <f>IF(M71="","",SUMIFS($AX$8:AX71,$I$8:I71,I71))</f>
        <v/>
      </c>
      <c r="AZ71" s="197" t="str">
        <f t="shared" si="22"/>
        <v/>
      </c>
      <c r="BA71" s="197" t="str">
        <f>IF(M71="","",(SUMIFS('[1]1_inventory_totals'!$I$8:$I$10000,'[1]1_inventory_totals'!$C$8:$C$10000,I71,'[1]1_inventory_totals'!$F$8:$F$10000,"="&amp;Q71,'[1]1_inventory_totals'!$G$8:$G$10000,"="&amp;R71)+SUMIFS('[1]1_inventory_totals'!$N$8:$N$10000,'[1]1_inventory_totals'!$C$8:$C$10000,I71,'[1]1_inventory_totals'!$F$8:$F$10000,"="&amp;Q71,'[1]1_inventory_totals'!$G$8:$G$10000,"="&amp;R71)+SUMIFS('[1]1_inventory_totals'!$P$8:$P$10000,'[1]1_inventory_totals'!$C$8:$C$10000,I71,'[1]1_inventory_totals'!$F$8:$F$10000,"="&amp;Q71,'[1]1_inventory_totals'!$G$8:$G$10000,"="&amp;R71)+SUMIFS('[1]1_inventory_totals'!$Q$8:$Q$10000,'[1]1_inventory_totals'!$C$8:$C$10000,I71,'[1]1_inventory_totals'!$F$8:$F$10000,"="&amp;Q71,'[1]1_inventory_totals'!$G$8:$G$10000,"="&amp;R71)+SUMIFS('[1]1_inventory_totals'!$R$8:$R$10000,'[1]1_inventory_totals'!$C$8:$C$10000,I71,'[1]1_inventory_totals'!$F$8:$F$10000,"="&amp;Q71,'[1]1_inventory_totals'!$G$8:$G$10000,"="&amp;R71))+(SUMIFS('[1]1_inventory_totals'!$J$8:$J$10000,'[1]1_inventory_totals'!$C$8:$C$10000,I71,'[1]1_inventory_totals'!$F$8:$F$10000,"="&amp;Q71,'[1]1_inventory_totals'!$G$8:$G$10000,"="&amp;R71)+SUMIFS('[1]1_inventory_totals'!$K$8:$K$10000,'[1]1_inventory_totals'!$C$8:$C$10000,I71,'[1]1_inventory_totals'!$F$8:$F$10000,"="&amp;Q71,'[1]1_inventory_totals'!$G$8:$G$10000,"="&amp;R71)+SUMIFS('[1]1_inventory_totals'!$L$8:$L$10000,'[1]1_inventory_totals'!$C$8:$C$10000,I71,'[1]1_inventory_totals'!$F$8:$F$10000,"="&amp;Q71,'[1]1_inventory_totals'!$G$8:$G$10000,"="&amp;R71)+SUMIFS('[1]1_inventory_totals'!$M$8:$M$10000,'[1]1_inventory_totals'!$C$8:$C$10000,I71,'[1]1_inventory_totals'!$F$8:$F$10000,"="&amp;Q71,'[1]1_inventory_totals'!$G$8:$G$10000,"="&amp;R71)+SUMIFS('[1]1_inventory_totals'!$O$8:$O$10000,'[1]1_inventory_totals'!$C$8:$C$10000,I71,'[1]1_inventory_totals'!$F$8:$F$10000,"="&amp;Q71,'[1]1_inventory_totals'!$G$8:$G$10000,"="&amp;R71)+SUMIFS('[1]1_inventory_totals'!$S$8:$S$10000,'[1]1_inventory_totals'!$C$8:$C$10000,I71,'[1]1_inventory_totals'!$F$8:$F$10000,"="&amp;Q71,'[1]1_inventory_totals'!$G$8:$G$10000,"="&amp;R71)))</f>
        <v/>
      </c>
      <c r="BB71" s="197" t="str">
        <f>IF(M71="","",(SUMIFS('[1]2_inventory_totals'!$I$8:$I$10000,'[1]2_inventory_totals'!$C$8:$C$10000,I71,'[1]2_inventory_totals'!$F$8:$F$10000,"="&amp;Q71,'[1]2_inventory_totals'!$G$8:$G$10000,"="&amp;R71)+SUMIFS('[1]2_inventory_totals'!$N$8:$N$10000,'[1]2_inventory_totals'!$C$8:$C$10000,I71,'[1]2_inventory_totals'!$F$8:$F$10000,"="&amp;Q71,'[1]2_inventory_totals'!$G$8:$G$10000,"="&amp;R71)+SUMIFS('[1]2_inventory_totals'!$P$8:$P$10000,'[1]2_inventory_totals'!$C$8:$C$10000,I71,'[1]2_inventory_totals'!$F$8:$F$10000,"="&amp;Q71,'[1]2_inventory_totals'!$G$8:$G$10000,"="&amp;R71)+SUMIFS('[1]2_inventory_totals'!$Q$8:$Q$10000,'[1]2_inventory_totals'!$C$8:$C$10000,I71,'[1]2_inventory_totals'!$F$8:$F$10000,"="&amp;Q71,'[1]2_inventory_totals'!$G$8:$G$10000,"="&amp;R71)+SUMIFS('[1]2_inventory_totals'!$R$8:$R$10000,'[1]2_inventory_totals'!$C$8:$C$10000,I71,'[1]2_inventory_totals'!$F$8:$F$10000,"="&amp;Q71,'[1]2_inventory_totals'!$G$8:$G$10000,"="&amp;R71))+(SUMIFS('[1]2_inventory_totals'!$J$8:$J$10000,'[1]2_inventory_totals'!$C$8:$C$10000,I71,'[1]2_inventory_totals'!$F$8:$F$10000,"="&amp;Q71,'[1]2_inventory_totals'!$G$8:$G$10000,"="&amp;R71)+SUMIFS('[1]2_inventory_totals'!$K$8:$K$10000,'[1]2_inventory_totals'!$C$8:$C$10000,I71,'[1]2_inventory_totals'!$F$8:$F$10000,"="&amp;Q71,'[1]2_inventory_totals'!$G$8:$G$10000,"="&amp;R71)+SUMIFS('[1]2_inventory_totals'!$L$8:$L$10000,'[1]2_inventory_totals'!$C$8:$C$10000,I71,'[1]2_inventory_totals'!$F$8:$F$10000,"="&amp;Q71,'[1]2_inventory_totals'!$G$8:$G$10000,"="&amp;R71)+SUMIFS('[1]2_inventory_totals'!$M$8:$M$10000,'[1]2_inventory_totals'!$C$8:$C$10000,I71,'[1]2_inventory_totals'!$F$8:$F$10000,"="&amp;Q71,'[1]2_inventory_totals'!$G$8:$G$10000,"="&amp;R71)+SUMIFS('[1]2_inventory_totals'!$O$8:$O$10000,'[1]2_inventory_totals'!$C$8:$C$10000,I71,'[1]2_inventory_totals'!$F$8:$F$10000,"="&amp;Q71,'[1]2_inventory_totals'!$G$8:$G$10000,"="&amp;R71)+SUMIFS('[1]2_inventory_totals'!$S$8:$S$10000,'[1]2_inventory_totals'!$C$8:$C$10000,I71,'[1]2_inventory_totals'!$F$8:$F$10000,"="&amp;Q71,'[1]2_inventory_totals'!$G$8:$G$10000,"="&amp;R71)))</f>
        <v/>
      </c>
    </row>
    <row r="72" spans="1:54" ht="27" hidden="1" customHeight="1">
      <c r="A72" s="923"/>
      <c r="B72" s="1256"/>
      <c r="C72" s="950"/>
      <c r="D72" s="950"/>
      <c r="E72" s="950"/>
      <c r="F72" s="1257"/>
      <c r="G72" s="941"/>
      <c r="H72" s="951"/>
      <c r="I72" s="1610" t="str">
        <f t="shared" si="7"/>
        <v/>
      </c>
      <c r="J72" s="1611" t="str">
        <f t="shared" si="24"/>
        <v/>
      </c>
      <c r="K72" s="1612" t="str">
        <f t="shared" ref="K72:K87" si="31">IF(M72="","",VLOOKUP(I72,product_list,4,FALSE))</f>
        <v/>
      </c>
      <c r="L72" s="1613"/>
      <c r="M72" s="883"/>
      <c r="N72" s="884"/>
      <c r="O72" s="884"/>
      <c r="P72" s="885"/>
      <c r="Q72" s="886"/>
      <c r="R72" s="891"/>
      <c r="S72" s="1614" t="str">
        <f t="shared" ref="S72:S87" si="32">IF(M72="","",invoice_currency_symbol)</f>
        <v/>
      </c>
      <c r="T72" s="1536"/>
      <c r="U72" s="1864" t="str">
        <f t="shared" si="9"/>
        <v/>
      </c>
      <c r="V72" s="1615" t="str">
        <f t="shared" ref="V72:V87" si="33">IF(W72=0,"",invoice_currency_symbol)</f>
        <v/>
      </c>
      <c r="W72" s="889"/>
      <c r="X72" s="1615" t="str">
        <f t="shared" ref="X72:X87" si="34">IF(M72="","",invoice_currency_symbol)</f>
        <v/>
      </c>
      <c r="Y72" s="1865" t="str">
        <f t="shared" si="10"/>
        <v/>
      </c>
      <c r="Z72" s="890"/>
      <c r="AA72" s="197" t="str" cm="1">
        <f t="array" ref="AA72">IF(M72="","",IF(P72=AN72,1,Slookup(MID(AN72,1,3)*1,UomConversion!$D$8:$J$500,5,UomConversion!$E$8:$E$500,MID(P72,1,3)*1,UomConversion!$J$8:$J$500,1)))</f>
        <v/>
      </c>
      <c r="AB72" s="197" t="str">
        <f t="shared" si="11"/>
        <v/>
      </c>
      <c r="AC72" s="197" t="str">
        <f t="shared" si="12"/>
        <v/>
      </c>
      <c r="AD72" s="197" t="str">
        <f t="shared" si="13"/>
        <v/>
      </c>
      <c r="AE72" s="1866" t="str">
        <f t="shared" si="14"/>
        <v/>
      </c>
      <c r="AF72" s="1866" t="str">
        <f t="shared" ref="AF72:AF87" si="35">IF(M72="","",VLOOKUP(I72,product_list,15,FALSE))</f>
        <v/>
      </c>
      <c r="AG72" s="197" t="str">
        <f t="shared" si="16"/>
        <v/>
      </c>
      <c r="AH72" s="197" t="str">
        <f>IF(I72="","",IF(ISNA(MATCH(I72,IF(invoice_location_id=1,'[1]1_inventory_totals'!$C$8:$C$10000,IF(invoice_location_id=2,'[1]2_inventory_totals'!$C$8:$C$10000,0)),0)),0,IF(AV72&gt;0,1,0)))</f>
        <v/>
      </c>
      <c r="AI72" s="197" t="str">
        <f>IF(M72="","",IF(invoice_location_id=1,SUMIFS('[1]1_inventory_total_details'!$J$8:$J$10000,'[1]1_inventory_total_details'!$C$8:$C$10000,I72,'[1]1_inventory_total_details'!$F$8:$F$10000,invoice_location_id,'[1]1_inventory_total_details'!$G$8:$G$10000,"="&amp;Q72,'[1]1_inventory_total_details'!$H$8:$H$10000,"="&amp;R72,'[1]1_inventory_total_details'!$I$8:$I$10000,"="&amp;invoice_date)+SUMIFS('[1]1_inventory_total_details'!$M$8:$M$10000,'[1]1_inventory_total_details'!$C$8:$C$10000,I72,'[1]1_inventory_total_details'!$F$8:$F$10000,invoice_location_id,'[1]1_inventory_total_details'!$G$8:$G$10000,"="&amp;Q72,'[1]1_inventory_total_details'!$H$8:$H$10000,"="&amp;R72,'[1]1_inventory_total_details'!$I$8:$I$10000,"="&amp;invoice_date)+SUMIFS('[1]1_inventory_total_details'!$K$8:$K$10000,'[1]1_inventory_total_details'!$C$8:$C$10000,I72,'[1]1_inventory_total_details'!$F$8:$F$10000,invoice_location_id,'[1]1_inventory_total_details'!$G$8:$G$10000,"="&amp;Q72,'[1]1_inventory_total_details'!$H$8:$H$10000,"="&amp;R72,'[1]1_inventory_total_details'!$I$8:$I$10000,"="&amp;invoice_date)+SUMIFS('[1]1_inventory_total_details'!$L$8:$L$10000,'[1]1_inventory_total_details'!$C$8:$C$10000,I72,'[1]1_inventory_total_details'!$F$8:$F$10000,invoice_location_id,'[1]1_inventory_total_details'!$G$8:$G$10000,"="&amp;Q72,'[1]1_inventory_total_details'!$H$8:$H$10000,"="&amp;R72,'[1]1_inventory_total_details'!$I$8:$I$10000,"="&amp;invoice_date),SUMIFS('[1]2_inventory_total_details'!$J$8:$J$10000,'[1]2_inventory_total_details'!$C$8:$C$10000,I72,'[1]2_inventory_total_details'!$F$8:$F$10000,invoice_location_id,'[1]2_inventory_total_details'!$G$8:$G$10000,"="&amp;Q72,'[1]2_inventory_total_details'!$H$8:$H$10000,"="&amp;R72,'[1]2_inventory_total_details'!$I$8:$I$10000,"="&amp;invoice_date)+SUMIFS('[1]2_inventory_total_details'!$M$8:$M$10000,'[1]2_inventory_total_details'!$C$8:$C$10000,I72,'[1]2_inventory_total_details'!$F$8:$F$10000,invoice_location_id,'[1]2_inventory_total_details'!$G$8:$G$10000,"="&amp;Q72,'[1]2_inventory_total_details'!$H$8:$H$10000,"="&amp;R72,'[1]2_inventory_total_details'!$I$8:$I$10000,"="&amp;invoice_date)+SUMIFS('[1]2_inventory_total_details'!$K$8:$K$10000,'[1]2_inventory_total_details'!$C$8:$C$10000,I72,'[1]2_inventory_total_details'!$F$8:$F$10000,invoice_location_id,'[1]2_inventory_total_details'!$G$8:$G$10000,"="&amp;Q72,'[1]2_inventory_total_details'!$H$8:$H$10000,"="&amp;R72,'[1]2_inventory_total_details'!$I$8:$I$10000,"="&amp;invoice_date)+SUMIFS('[1]2_inventory_total_details'!$L$8:$L$10000,'[1]2_inventory_total_details'!$C$8:$C$10000,I72,'[1]2_inventory_total_details'!$F$8:$F$10000,invoice_location_id,'[1]2_inventory_total_details'!$G$8:$G$10000,"="&amp;Q72,'[1]2_inventory_total_details'!$H$8:$H$10000,"="&amp;R72,'[1]2_inventory_total_details'!$I$8:$I$10000,"="&amp;invoice_date)))</f>
        <v/>
      </c>
      <c r="AJ72" s="197" t="str">
        <f>IF(M72="","",IF(ISNA(MATCH(I72,'[1]1_group_totals'!$C$8:$C$10000)),0,IF(AW72&gt;0,1,0)))</f>
        <v/>
      </c>
      <c r="AK72" s="197" t="str">
        <f>IF(M72="","",(SUMIFS('[1]1_group_total_details'!$I$8:$I$10000,'[1]1_group_total_details'!$C$8:$C$10000,I72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72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72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72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72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72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72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72,'[1]1_group_total_details'!$F$8:$F$10000,invoice_location_group_id,'[1]1_group_total_details'!$G$8:$G$10000,invoice_location_id,'[1]1_group_total_details'!$H$8:$H$10000,"="&amp;invoice_date)))</f>
        <v/>
      </c>
      <c r="AL72" s="197" t="str">
        <f>IF(M72="","",(SUMIFS('[1]1_group_total_details'!$I$8:$I$10000,'[1]1_group_total_details'!$C$8:$C$10000,I72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72,'[1]1_group_total_details'!$F$8:$F$10000,invoice_location_group_id,'[1]1_group_total_details'!$G$8:$G$10000,1,'[1]1_group_total_details'!$H$8:$H$10000,"&lt;="&amp;invoice_date)+SUMIFS('[1]1_group_total_details'!$N$8:$N$10000,'[1]1_group_total_details'!$C$8:$C$10000,I72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72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72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72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72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72,'[1]1_group_total_details'!$F$8:$F$10000,invoice_location_group_id,'[1]1_group_total_details'!$G$8:$G$10000,invoice_location_id,'[1]1_group_total_details'!$H$8:$H$10000,"&lt;="&amp;invoice_date)))</f>
        <v/>
      </c>
      <c r="AM72" s="197" t="str">
        <f>IF(M72="","",SUMIFS('[1]1_group_totals'!$J$8:$J$10000,'[1]1_group_totals'!$C$8:$C$10000,I72,'[1]1_group_totals'!$F$8:$F$10000,invoice_location_group_id,'[1]1_group_totals'!$G$8:$G$10000,invoice_location_id,'[1]1_group_totals'!$H$8:$H$10000,"="&amp;Q72,'[1]1_group_totals'!$I$8:$I$10000,"="&amp;R72))</f>
        <v/>
      </c>
      <c r="AN72" s="197" t="str">
        <f t="shared" si="17"/>
        <v/>
      </c>
      <c r="AO72" s="197" t="str">
        <f>IF(OR(ISNA(MATCH(MID(AN72,1,3)*1,UomConversion!$D$8:$D$500,0)),M72=""),"",IF(AT72="","",AT72))</f>
        <v/>
      </c>
      <c r="AP72" s="197" t="str">
        <f>IF(AND(AQ72&gt;0,COUNTIFS(UomConversion!$D$8:$D$500,MID(AN72,1,3)*1,UomConversion!$J$8:$J$500,1)&gt;1),TEXT(AQ72,"000")&amp;"."&amp;VLOOKUP(AQ72,uom_list,5,FALSE),"")</f>
        <v/>
      </c>
      <c r="AQ72" s="197" t="str">
        <f t="shared" si="18"/>
        <v/>
      </c>
      <c r="AR72" s="197" t="str">
        <f t="shared" si="19"/>
        <v/>
      </c>
      <c r="AS72" s="1866" t="str">
        <f>IF(M72="","",SUMIFS(ProductPrice!$N$28:$N$10000,ProductPrice!$D$28:$D$10000,I72,ProductPrice!$G$28:$G$10000,invoice_branch_id,ProductPrice!$H$28:$H$10000,invoice_price_type_id,ProductPrice!$I$28:$I$10000,MID(P72,1,3)*1,ProductPrice!$Q$28:$Q$10000,1,ProductPrice!$T$28:$T$10000,1))</f>
        <v/>
      </c>
      <c r="AT72" s="197" t="str">
        <f t="shared" ref="AT72:AT87" si="36">IF(OR(ISNA(VLOOKUP(MID(AN72,1,3)*1,uom_converion_list,2,FALSE)),M72=""),"",TEXT(VLOOKUP(MID(AN72,1,3)*1,uom_converion_list,2,FALSE),"000")&amp;"."&amp;VLOOKUP(VLOOKUP(MID(AN72,1,3)*1,uom_converion_list,2,FALSE),uom_list,5,FALSE))</f>
        <v/>
      </c>
      <c r="AU72" s="197" t="str" cm="1">
        <f t="array" ref="AU72">IF(M72="","",IF(ISNA(Slookup(MID(AN72,1,3)*1,UomConversion!$D$8:$J$500,2,UomConversion!$I$8:$I$500,1,UomConversion!$J$8:$J$500,1)),"",Slookup(MID(AN72,1,3)*1,UomConversion!$D$8:$J$500,2,UomConversion!$I$8:$I$500,1,UomConversion!$J$8:$J$500,1)))</f>
        <v/>
      </c>
      <c r="AV72" s="197" t="str">
        <f t="shared" ref="AV72:AV87" si="37">IF(M72="","",IF(invoice_location_id=1,BA72,IF(invoice_location_id=2,BB72,0)))</f>
        <v/>
      </c>
      <c r="AW72" s="197" t="str">
        <f>IF(M72="","",(SUMIFS('[1]1_group_totals'!$K$8:$K$10000,'[1]1_group_totals'!$C$8:$C$10000,I72,'[1]1_group_totals'!$F$8:$F$10000,invoice_location_group_id,'[1]1_group_totals'!$G$8:$G$10000,invoice_location_id,'[1]1_group_totals'!$H$8:$H$10000,"="&amp;Q72,'[1]1_group_totals'!$I$8:$I$10000,"="&amp;R72)+SUMIFS('[1]1_group_totals'!$N$8:$N$10000,'[1]1_group_totals'!$C$8:$C$10000,I72,'[1]1_group_totals'!$F$8:$F$10000,invoice_location_group_id,'[1]1_group_totals'!$G$8:$G$10000,invoice_location_id,'[1]1_group_totals'!$H$8:$H$10000,"="&amp;Q72,'[1]1_group_totals'!$I$8:$I$10000,"="&amp;R72)+SUMIFS('[1]1_group_totals'!$P$8:$P$10000,'[1]1_group_totals'!$C$8:$C$10000,I72,'[1]1_group_totals'!$F$8:$F$10000,invoice_location_group_id,'[1]1_group_totals'!$G$8:$G$10000,invoice_location_id,'[1]1_group_totals'!$H$8:$H$10000,"="&amp;Q72,'[1]1_group_totals'!$I$8:$I$10000,"="&amp;R72)+SUMIFS('[1]1_group_totals'!$Q$8:$Q$10000,'[1]1_group_totals'!$C$8:$C$10000,I72,'[1]1_group_totals'!$F$8:$F$10000,invoice_location_group_id,'[1]1_group_totals'!$G$8:$G$10000,invoice_location_id,'[1]1_group_totals'!$H$8:$H$10000,"="&amp;Q72,'[1]1_group_totals'!$I$8:$I$10000,"="&amp;R72))+(SUMIFS('[1]1_group_totals'!$L$8:$L$10000,'[1]1_group_totals'!$C$8:$C$10000,I72,'[1]1_group_totals'!$F$8:$F$10000,invoice_location_group_id,'[1]1_group_totals'!$G$8:$G$10000,invoice_location_id,'[1]1_group_totals'!$H$8:$H$10000,"="&amp;Q72,'[1]1_group_totals'!$I$8:$I$10000,"="&amp;R72)+SUMIFS('[1]1_group_totals'!$M$8:$M$10000,'[1]1_group_totals'!$C$8:$C$10000,I72,'[1]1_group_totals'!$F$8:$F$10000,invoice_location_group_id,'[1]1_group_totals'!$G$8:$G$10000,invoice_location_id,'[1]1_group_totals'!$H$8:$H$10000,"="&amp;Q72,'[1]1_group_totals'!$I$8:$I$10000,"="&amp;R72)+SUMIFS('[1]1_group_totals'!$O$8:$O$10000,'[1]1_group_totals'!$C$8:$C$10000,I72,'[1]1_group_totals'!$F$8:$F$10000,invoice_location_group_id,'[1]1_group_totals'!$G$8:$G$10000,invoice_location_id,'[1]1_group_totals'!$H$8:$H$10000,"="&amp;Q72,'[1]1_group_totals'!$I$8:$I$10000,"="&amp;R72)+SUMIFS('[1]1_group_totals'!$R$8:$R$10000,'[1]1_group_totals'!$C$8:$C$10000,I72,'[1]1_group_totals'!$F$8:$F$10000,invoice_location_group_id,'[1]1_group_totals'!$G$8:$G$10000,invoice_location_id,'[1]1_group_totals'!$H$8:$H$10000,"="&amp;Q72,'[1]1_group_totals'!$I$8:$I$10000,"="&amp;R72)))</f>
        <v/>
      </c>
      <c r="AX72" s="197" t="str">
        <f t="shared" si="21"/>
        <v/>
      </c>
      <c r="AY72" s="197" t="str">
        <f>IF(M72="","",SUMIFS($AX$8:AX72,$I$8:I72,I72))</f>
        <v/>
      </c>
      <c r="AZ72" s="197" t="str">
        <f t="shared" si="22"/>
        <v/>
      </c>
      <c r="BA72" s="197" t="str">
        <f>IF(M72="","",(SUMIFS('[1]1_inventory_totals'!$I$8:$I$10000,'[1]1_inventory_totals'!$C$8:$C$10000,I72,'[1]1_inventory_totals'!$F$8:$F$10000,"="&amp;Q72,'[1]1_inventory_totals'!$G$8:$G$10000,"="&amp;R72)+SUMIFS('[1]1_inventory_totals'!$N$8:$N$10000,'[1]1_inventory_totals'!$C$8:$C$10000,I72,'[1]1_inventory_totals'!$F$8:$F$10000,"="&amp;Q72,'[1]1_inventory_totals'!$G$8:$G$10000,"="&amp;R72)+SUMIFS('[1]1_inventory_totals'!$P$8:$P$10000,'[1]1_inventory_totals'!$C$8:$C$10000,I72,'[1]1_inventory_totals'!$F$8:$F$10000,"="&amp;Q72,'[1]1_inventory_totals'!$G$8:$G$10000,"="&amp;R72)+SUMIFS('[1]1_inventory_totals'!$Q$8:$Q$10000,'[1]1_inventory_totals'!$C$8:$C$10000,I72,'[1]1_inventory_totals'!$F$8:$F$10000,"="&amp;Q72,'[1]1_inventory_totals'!$G$8:$G$10000,"="&amp;R72)+SUMIFS('[1]1_inventory_totals'!$R$8:$R$10000,'[1]1_inventory_totals'!$C$8:$C$10000,I72,'[1]1_inventory_totals'!$F$8:$F$10000,"="&amp;Q72,'[1]1_inventory_totals'!$G$8:$G$10000,"="&amp;R72))+(SUMIFS('[1]1_inventory_totals'!$J$8:$J$10000,'[1]1_inventory_totals'!$C$8:$C$10000,I72,'[1]1_inventory_totals'!$F$8:$F$10000,"="&amp;Q72,'[1]1_inventory_totals'!$G$8:$G$10000,"="&amp;R72)+SUMIFS('[1]1_inventory_totals'!$K$8:$K$10000,'[1]1_inventory_totals'!$C$8:$C$10000,I72,'[1]1_inventory_totals'!$F$8:$F$10000,"="&amp;Q72,'[1]1_inventory_totals'!$G$8:$G$10000,"="&amp;R72)+SUMIFS('[1]1_inventory_totals'!$L$8:$L$10000,'[1]1_inventory_totals'!$C$8:$C$10000,I72,'[1]1_inventory_totals'!$F$8:$F$10000,"="&amp;Q72,'[1]1_inventory_totals'!$G$8:$G$10000,"="&amp;R72)+SUMIFS('[1]1_inventory_totals'!$M$8:$M$10000,'[1]1_inventory_totals'!$C$8:$C$10000,I72,'[1]1_inventory_totals'!$F$8:$F$10000,"="&amp;Q72,'[1]1_inventory_totals'!$G$8:$G$10000,"="&amp;R72)+SUMIFS('[1]1_inventory_totals'!$O$8:$O$10000,'[1]1_inventory_totals'!$C$8:$C$10000,I72,'[1]1_inventory_totals'!$F$8:$F$10000,"="&amp;Q72,'[1]1_inventory_totals'!$G$8:$G$10000,"="&amp;R72)+SUMIFS('[1]1_inventory_totals'!$S$8:$S$10000,'[1]1_inventory_totals'!$C$8:$C$10000,I72,'[1]1_inventory_totals'!$F$8:$F$10000,"="&amp;Q72,'[1]1_inventory_totals'!$G$8:$G$10000,"="&amp;R72)))</f>
        <v/>
      </c>
      <c r="BB72" s="197" t="str">
        <f>IF(M72="","",(SUMIFS('[1]2_inventory_totals'!$I$8:$I$10000,'[1]2_inventory_totals'!$C$8:$C$10000,I72,'[1]2_inventory_totals'!$F$8:$F$10000,"="&amp;Q72,'[1]2_inventory_totals'!$G$8:$G$10000,"="&amp;R72)+SUMIFS('[1]2_inventory_totals'!$N$8:$N$10000,'[1]2_inventory_totals'!$C$8:$C$10000,I72,'[1]2_inventory_totals'!$F$8:$F$10000,"="&amp;Q72,'[1]2_inventory_totals'!$G$8:$G$10000,"="&amp;R72)+SUMIFS('[1]2_inventory_totals'!$P$8:$P$10000,'[1]2_inventory_totals'!$C$8:$C$10000,I72,'[1]2_inventory_totals'!$F$8:$F$10000,"="&amp;Q72,'[1]2_inventory_totals'!$G$8:$G$10000,"="&amp;R72)+SUMIFS('[1]2_inventory_totals'!$Q$8:$Q$10000,'[1]2_inventory_totals'!$C$8:$C$10000,I72,'[1]2_inventory_totals'!$F$8:$F$10000,"="&amp;Q72,'[1]2_inventory_totals'!$G$8:$G$10000,"="&amp;R72)+SUMIFS('[1]2_inventory_totals'!$R$8:$R$10000,'[1]2_inventory_totals'!$C$8:$C$10000,I72,'[1]2_inventory_totals'!$F$8:$F$10000,"="&amp;Q72,'[1]2_inventory_totals'!$G$8:$G$10000,"="&amp;R72))+(SUMIFS('[1]2_inventory_totals'!$J$8:$J$10000,'[1]2_inventory_totals'!$C$8:$C$10000,I72,'[1]2_inventory_totals'!$F$8:$F$10000,"="&amp;Q72,'[1]2_inventory_totals'!$G$8:$G$10000,"="&amp;R72)+SUMIFS('[1]2_inventory_totals'!$K$8:$K$10000,'[1]2_inventory_totals'!$C$8:$C$10000,I72,'[1]2_inventory_totals'!$F$8:$F$10000,"="&amp;Q72,'[1]2_inventory_totals'!$G$8:$G$10000,"="&amp;R72)+SUMIFS('[1]2_inventory_totals'!$L$8:$L$10000,'[1]2_inventory_totals'!$C$8:$C$10000,I72,'[1]2_inventory_totals'!$F$8:$F$10000,"="&amp;Q72,'[1]2_inventory_totals'!$G$8:$G$10000,"="&amp;R72)+SUMIFS('[1]2_inventory_totals'!$M$8:$M$10000,'[1]2_inventory_totals'!$C$8:$C$10000,I72,'[1]2_inventory_totals'!$F$8:$F$10000,"="&amp;Q72,'[1]2_inventory_totals'!$G$8:$G$10000,"="&amp;R72)+SUMIFS('[1]2_inventory_totals'!$O$8:$O$10000,'[1]2_inventory_totals'!$C$8:$C$10000,I72,'[1]2_inventory_totals'!$F$8:$F$10000,"="&amp;Q72,'[1]2_inventory_totals'!$G$8:$G$10000,"="&amp;R72)+SUMIFS('[1]2_inventory_totals'!$S$8:$S$10000,'[1]2_inventory_totals'!$C$8:$C$10000,I72,'[1]2_inventory_totals'!$F$8:$F$10000,"="&amp;Q72,'[1]2_inventory_totals'!$G$8:$G$10000,"="&amp;R72)))</f>
        <v/>
      </c>
    </row>
    <row r="73" spans="1:54" ht="27" hidden="1" customHeight="1">
      <c r="A73" s="923"/>
      <c r="B73" s="1256"/>
      <c r="C73" s="950"/>
      <c r="D73" s="950"/>
      <c r="E73" s="950"/>
      <c r="F73" s="1257"/>
      <c r="G73" s="941"/>
      <c r="H73" s="951"/>
      <c r="I73" s="1610" t="str">
        <f t="shared" ref="I73:I87" si="38">IF(M73="","",MID(M73,1,5)*1)</f>
        <v/>
      </c>
      <c r="J73" s="1611" t="str">
        <f t="shared" ref="J73:J87" si="39">IF(M73="","",1)</f>
        <v/>
      </c>
      <c r="K73" s="1612" t="str">
        <f t="shared" si="31"/>
        <v/>
      </c>
      <c r="L73" s="1613"/>
      <c r="M73" s="883"/>
      <c r="N73" s="884"/>
      <c r="O73" s="884"/>
      <c r="P73" s="885"/>
      <c r="Q73" s="886"/>
      <c r="R73" s="891"/>
      <c r="S73" s="1614" t="str">
        <f t="shared" si="32"/>
        <v/>
      </c>
      <c r="T73" s="1536"/>
      <c r="U73" s="1864" t="str">
        <f t="shared" ref="U73:U87" si="40">IF(M73="","",ROUND(IF(T73&gt;0,T73,IF(AS73&gt;0,AS73,IF(P73=AN73,AF73,IF(P73=AO73,ROUND(AF73/AA73,9),IF(P73=AP73,ROUND(AF73/AB73,9),0))))),4))</f>
        <v/>
      </c>
      <c r="V73" s="1615" t="str">
        <f t="shared" si="33"/>
        <v/>
      </c>
      <c r="W73" s="889"/>
      <c r="X73" s="1615" t="str">
        <f t="shared" si="34"/>
        <v/>
      </c>
      <c r="Y73" s="1865" t="str">
        <f t="shared" ref="Y73:Y87" si="41">IF(M73="","",ROUND(IF(T73&gt;0,N73*T73-W73,N73*U73-W73),3))</f>
        <v/>
      </c>
      <c r="Z73" s="890"/>
      <c r="AA73" s="197" t="str" cm="1">
        <f t="array" ref="AA73">IF(M73="","",IF(P73=AN73,1,Slookup(MID(AN73,1,3)*1,UomConversion!$D$8:$J$500,5,UomConversion!$E$8:$E$500,MID(P73,1,3)*1,UomConversion!$J$8:$J$500,1)))</f>
        <v/>
      </c>
      <c r="AB73" s="197" t="str">
        <f t="shared" ref="AB73:AB87" si="42">IF(AND(M73="",ISNA(VLOOKUP(I73,product_list,18,FALSE))),"",VLOOKUP(I73,product_list,18,FALSE))</f>
        <v/>
      </c>
      <c r="AC73" s="197" t="str">
        <f t="shared" ref="AC73:AC87" si="43">IF(M73="","",W73)</f>
        <v/>
      </c>
      <c r="AD73" s="197" t="str">
        <f t="shared" ref="AD73:AD87" si="44">IF(M73="","",IF(P73=AN73,AE73,IF(P73=AO73,ROUND(AE73/AA73,9),IF(P73=AP73,ROUND(AE73/AB73,9)))))</f>
        <v/>
      </c>
      <c r="AE73" s="1866" t="str">
        <f t="shared" ref="AE73:AE87" si="45">IF(M73="","",VLOOKUP(I73,product_list,14,FALSE))</f>
        <v/>
      </c>
      <c r="AF73" s="1866" t="str">
        <f t="shared" si="35"/>
        <v/>
      </c>
      <c r="AG73" s="197" t="str">
        <f t="shared" ref="AG73:AG87" si="46">IF(M73="","",VLOOKUP(I73,product_list,23,FALSE))</f>
        <v/>
      </c>
      <c r="AH73" s="197" t="str">
        <f>IF(I73="","",IF(ISNA(MATCH(I73,IF(invoice_location_id=1,'[1]1_inventory_totals'!$C$8:$C$10000,IF(invoice_location_id=2,'[1]2_inventory_totals'!$C$8:$C$10000,0)),0)),0,IF(AV73&gt;0,1,0)))</f>
        <v/>
      </c>
      <c r="AI73" s="197" t="str">
        <f>IF(M73="","",IF(invoice_location_id=1,SUMIFS('[1]1_inventory_total_details'!$J$8:$J$10000,'[1]1_inventory_total_details'!$C$8:$C$10000,I73,'[1]1_inventory_total_details'!$F$8:$F$10000,invoice_location_id,'[1]1_inventory_total_details'!$G$8:$G$10000,"="&amp;Q73,'[1]1_inventory_total_details'!$H$8:$H$10000,"="&amp;R73,'[1]1_inventory_total_details'!$I$8:$I$10000,"="&amp;invoice_date)+SUMIFS('[1]1_inventory_total_details'!$M$8:$M$10000,'[1]1_inventory_total_details'!$C$8:$C$10000,I73,'[1]1_inventory_total_details'!$F$8:$F$10000,invoice_location_id,'[1]1_inventory_total_details'!$G$8:$G$10000,"="&amp;Q73,'[1]1_inventory_total_details'!$H$8:$H$10000,"="&amp;R73,'[1]1_inventory_total_details'!$I$8:$I$10000,"="&amp;invoice_date)+SUMIFS('[1]1_inventory_total_details'!$K$8:$K$10000,'[1]1_inventory_total_details'!$C$8:$C$10000,I73,'[1]1_inventory_total_details'!$F$8:$F$10000,invoice_location_id,'[1]1_inventory_total_details'!$G$8:$G$10000,"="&amp;Q73,'[1]1_inventory_total_details'!$H$8:$H$10000,"="&amp;R73,'[1]1_inventory_total_details'!$I$8:$I$10000,"="&amp;invoice_date)+SUMIFS('[1]1_inventory_total_details'!$L$8:$L$10000,'[1]1_inventory_total_details'!$C$8:$C$10000,I73,'[1]1_inventory_total_details'!$F$8:$F$10000,invoice_location_id,'[1]1_inventory_total_details'!$G$8:$G$10000,"="&amp;Q73,'[1]1_inventory_total_details'!$H$8:$H$10000,"="&amp;R73,'[1]1_inventory_total_details'!$I$8:$I$10000,"="&amp;invoice_date),SUMIFS('[1]2_inventory_total_details'!$J$8:$J$10000,'[1]2_inventory_total_details'!$C$8:$C$10000,I73,'[1]2_inventory_total_details'!$F$8:$F$10000,invoice_location_id,'[1]2_inventory_total_details'!$G$8:$G$10000,"="&amp;Q73,'[1]2_inventory_total_details'!$H$8:$H$10000,"="&amp;R73,'[1]2_inventory_total_details'!$I$8:$I$10000,"="&amp;invoice_date)+SUMIFS('[1]2_inventory_total_details'!$M$8:$M$10000,'[1]2_inventory_total_details'!$C$8:$C$10000,I73,'[1]2_inventory_total_details'!$F$8:$F$10000,invoice_location_id,'[1]2_inventory_total_details'!$G$8:$G$10000,"="&amp;Q73,'[1]2_inventory_total_details'!$H$8:$H$10000,"="&amp;R73,'[1]2_inventory_total_details'!$I$8:$I$10000,"="&amp;invoice_date)+SUMIFS('[1]2_inventory_total_details'!$K$8:$K$10000,'[1]2_inventory_total_details'!$C$8:$C$10000,I73,'[1]2_inventory_total_details'!$F$8:$F$10000,invoice_location_id,'[1]2_inventory_total_details'!$G$8:$G$10000,"="&amp;Q73,'[1]2_inventory_total_details'!$H$8:$H$10000,"="&amp;R73,'[1]2_inventory_total_details'!$I$8:$I$10000,"="&amp;invoice_date)+SUMIFS('[1]2_inventory_total_details'!$L$8:$L$10000,'[1]2_inventory_total_details'!$C$8:$C$10000,I73,'[1]2_inventory_total_details'!$F$8:$F$10000,invoice_location_id,'[1]2_inventory_total_details'!$G$8:$G$10000,"="&amp;Q73,'[1]2_inventory_total_details'!$H$8:$H$10000,"="&amp;R73,'[1]2_inventory_total_details'!$I$8:$I$10000,"="&amp;invoice_date)))</f>
        <v/>
      </c>
      <c r="AJ73" s="197" t="str">
        <f>IF(M73="","",IF(ISNA(MATCH(I73,'[1]1_group_totals'!$C$8:$C$10000)),0,IF(AW73&gt;0,1,0)))</f>
        <v/>
      </c>
      <c r="AK73" s="197" t="str">
        <f>IF(M73="","",(SUMIFS('[1]1_group_total_details'!$I$8:$I$10000,'[1]1_group_total_details'!$C$8:$C$10000,I73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73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73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73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73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73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73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73,'[1]1_group_total_details'!$F$8:$F$10000,invoice_location_group_id,'[1]1_group_total_details'!$G$8:$G$10000,invoice_location_id,'[1]1_group_total_details'!$H$8:$H$10000,"="&amp;invoice_date)))</f>
        <v/>
      </c>
      <c r="AL73" s="197" t="str">
        <f>IF(M73="","",(SUMIFS('[1]1_group_total_details'!$I$8:$I$10000,'[1]1_group_total_details'!$C$8:$C$10000,I73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73,'[1]1_group_total_details'!$F$8:$F$10000,invoice_location_group_id,'[1]1_group_total_details'!$G$8:$G$10000,1,'[1]1_group_total_details'!$H$8:$H$10000,"&lt;="&amp;invoice_date)+SUMIFS('[1]1_group_total_details'!$N$8:$N$10000,'[1]1_group_total_details'!$C$8:$C$10000,I73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73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73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73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73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73,'[1]1_group_total_details'!$F$8:$F$10000,invoice_location_group_id,'[1]1_group_total_details'!$G$8:$G$10000,invoice_location_id,'[1]1_group_total_details'!$H$8:$H$10000,"&lt;="&amp;invoice_date)))</f>
        <v/>
      </c>
      <c r="AM73" s="197" t="str">
        <f>IF(M73="","",SUMIFS('[1]1_group_totals'!$J$8:$J$10000,'[1]1_group_totals'!$C$8:$C$10000,I73,'[1]1_group_totals'!$F$8:$F$10000,invoice_location_group_id,'[1]1_group_totals'!$G$8:$G$10000,invoice_location_id,'[1]1_group_totals'!$H$8:$H$10000,"="&amp;Q73,'[1]1_group_totals'!$I$8:$I$10000,"="&amp;R73))</f>
        <v/>
      </c>
      <c r="AN73" s="197" t="str">
        <f t="shared" ref="AN73:AN87" si="47">IF(M73="","",VLOOKUP(I73,product_list,8,FALSE))</f>
        <v/>
      </c>
      <c r="AO73" s="197" t="str">
        <f>IF(OR(ISNA(MATCH(MID(AN73,1,3)*1,UomConversion!$D$8:$D$500,0)),M73=""),"",IF(AT73="","",AT73))</f>
        <v/>
      </c>
      <c r="AP73" s="197" t="str">
        <f>IF(AND(AQ73&gt;0,COUNTIFS(UomConversion!$D$8:$D$500,MID(AN73,1,3)*1,UomConversion!$J$8:$J$500,1)&gt;1),TEXT(AQ73,"000")&amp;"."&amp;VLOOKUP(AQ73,uom_list,5,FALSE),"")</f>
        <v/>
      </c>
      <c r="AQ73" s="197" t="str">
        <f t="shared" ref="AQ73:AQ87" si="48">IF(AND(AU73&gt;0,M73&lt;&gt;""),AU73,"")</f>
        <v/>
      </c>
      <c r="AR73" s="197" t="str">
        <f t="shared" ref="AR73:AR87" si="49">IF(M73="","",IF(AA73&gt;0,AB73/AA73,""))</f>
        <v/>
      </c>
      <c r="AS73" s="1866" t="str">
        <f>IF(M73="","",SUMIFS(ProductPrice!$N$28:$N$10000,ProductPrice!$D$28:$D$10000,I73,ProductPrice!$G$28:$G$10000,invoice_branch_id,ProductPrice!$H$28:$H$10000,invoice_price_type_id,ProductPrice!$I$28:$I$10000,MID(P73,1,3)*1,ProductPrice!$Q$28:$Q$10000,1,ProductPrice!$T$28:$T$10000,1))</f>
        <v/>
      </c>
      <c r="AT73" s="197" t="str">
        <f t="shared" si="36"/>
        <v/>
      </c>
      <c r="AU73" s="197" t="str" cm="1">
        <f t="array" ref="AU73">IF(M73="","",IF(ISNA(Slookup(MID(AN73,1,3)*1,UomConversion!$D$8:$J$500,2,UomConversion!$I$8:$I$500,1,UomConversion!$J$8:$J$500,1)),"",Slookup(MID(AN73,1,3)*1,UomConversion!$D$8:$J$500,2,UomConversion!$I$8:$I$500,1,UomConversion!$J$8:$J$500,1)))</f>
        <v/>
      </c>
      <c r="AV73" s="197" t="str">
        <f t="shared" si="37"/>
        <v/>
      </c>
      <c r="AW73" s="197" t="str">
        <f>IF(M73="","",(SUMIFS('[1]1_group_totals'!$K$8:$K$10000,'[1]1_group_totals'!$C$8:$C$10000,I73,'[1]1_group_totals'!$F$8:$F$10000,invoice_location_group_id,'[1]1_group_totals'!$G$8:$G$10000,invoice_location_id,'[1]1_group_totals'!$H$8:$H$10000,"="&amp;Q73,'[1]1_group_totals'!$I$8:$I$10000,"="&amp;R73)+SUMIFS('[1]1_group_totals'!$N$8:$N$10000,'[1]1_group_totals'!$C$8:$C$10000,I73,'[1]1_group_totals'!$F$8:$F$10000,invoice_location_group_id,'[1]1_group_totals'!$G$8:$G$10000,invoice_location_id,'[1]1_group_totals'!$H$8:$H$10000,"="&amp;Q73,'[1]1_group_totals'!$I$8:$I$10000,"="&amp;R73)+SUMIFS('[1]1_group_totals'!$P$8:$P$10000,'[1]1_group_totals'!$C$8:$C$10000,I73,'[1]1_group_totals'!$F$8:$F$10000,invoice_location_group_id,'[1]1_group_totals'!$G$8:$G$10000,invoice_location_id,'[1]1_group_totals'!$H$8:$H$10000,"="&amp;Q73,'[1]1_group_totals'!$I$8:$I$10000,"="&amp;R73)+SUMIFS('[1]1_group_totals'!$Q$8:$Q$10000,'[1]1_group_totals'!$C$8:$C$10000,I73,'[1]1_group_totals'!$F$8:$F$10000,invoice_location_group_id,'[1]1_group_totals'!$G$8:$G$10000,invoice_location_id,'[1]1_group_totals'!$H$8:$H$10000,"="&amp;Q73,'[1]1_group_totals'!$I$8:$I$10000,"="&amp;R73))+(SUMIFS('[1]1_group_totals'!$L$8:$L$10000,'[1]1_group_totals'!$C$8:$C$10000,I73,'[1]1_group_totals'!$F$8:$F$10000,invoice_location_group_id,'[1]1_group_totals'!$G$8:$G$10000,invoice_location_id,'[1]1_group_totals'!$H$8:$H$10000,"="&amp;Q73,'[1]1_group_totals'!$I$8:$I$10000,"="&amp;R73)+SUMIFS('[1]1_group_totals'!$M$8:$M$10000,'[1]1_group_totals'!$C$8:$C$10000,I73,'[1]1_group_totals'!$F$8:$F$10000,invoice_location_group_id,'[1]1_group_totals'!$G$8:$G$10000,invoice_location_id,'[1]1_group_totals'!$H$8:$H$10000,"="&amp;Q73,'[1]1_group_totals'!$I$8:$I$10000,"="&amp;R73)+SUMIFS('[1]1_group_totals'!$O$8:$O$10000,'[1]1_group_totals'!$C$8:$C$10000,I73,'[1]1_group_totals'!$F$8:$F$10000,invoice_location_group_id,'[1]1_group_totals'!$G$8:$G$10000,invoice_location_id,'[1]1_group_totals'!$H$8:$H$10000,"="&amp;Q73,'[1]1_group_totals'!$I$8:$I$10000,"="&amp;R73)+SUMIFS('[1]1_group_totals'!$R$8:$R$10000,'[1]1_group_totals'!$C$8:$C$10000,I73,'[1]1_group_totals'!$F$8:$F$10000,invoice_location_group_id,'[1]1_group_totals'!$G$8:$G$10000,invoice_location_id,'[1]1_group_totals'!$H$8:$H$10000,"="&amp;Q73,'[1]1_group_totals'!$I$8:$I$10000,"="&amp;R73)))</f>
        <v/>
      </c>
      <c r="AX73" s="197" t="str">
        <f t="shared" ref="AX73:AX87" si="50">IF(M73="","",IF((N73+O73)*(AB73/AA73)&gt;0,(N73+O73)*(AB73/AA73),0))</f>
        <v/>
      </c>
      <c r="AY73" s="197" t="str">
        <f>IF(M73="","",SUMIFS($AX$8:AX73,$I$8:I73,I73))</f>
        <v/>
      </c>
      <c r="AZ73" s="197" t="str">
        <f t="shared" ref="AZ73:AZ87" si="51">IF(M73="","",AL73-AY73)</f>
        <v/>
      </c>
      <c r="BA73" s="197" t="str">
        <f>IF(M73="","",(SUMIFS('[1]1_inventory_totals'!$I$8:$I$10000,'[1]1_inventory_totals'!$C$8:$C$10000,I73,'[1]1_inventory_totals'!$F$8:$F$10000,"="&amp;Q73,'[1]1_inventory_totals'!$G$8:$G$10000,"="&amp;R73)+SUMIFS('[1]1_inventory_totals'!$N$8:$N$10000,'[1]1_inventory_totals'!$C$8:$C$10000,I73,'[1]1_inventory_totals'!$F$8:$F$10000,"="&amp;Q73,'[1]1_inventory_totals'!$G$8:$G$10000,"="&amp;R73)+SUMIFS('[1]1_inventory_totals'!$P$8:$P$10000,'[1]1_inventory_totals'!$C$8:$C$10000,I73,'[1]1_inventory_totals'!$F$8:$F$10000,"="&amp;Q73,'[1]1_inventory_totals'!$G$8:$G$10000,"="&amp;R73)+SUMIFS('[1]1_inventory_totals'!$Q$8:$Q$10000,'[1]1_inventory_totals'!$C$8:$C$10000,I73,'[1]1_inventory_totals'!$F$8:$F$10000,"="&amp;Q73,'[1]1_inventory_totals'!$G$8:$G$10000,"="&amp;R73)+SUMIFS('[1]1_inventory_totals'!$R$8:$R$10000,'[1]1_inventory_totals'!$C$8:$C$10000,I73,'[1]1_inventory_totals'!$F$8:$F$10000,"="&amp;Q73,'[1]1_inventory_totals'!$G$8:$G$10000,"="&amp;R73))+(SUMIFS('[1]1_inventory_totals'!$J$8:$J$10000,'[1]1_inventory_totals'!$C$8:$C$10000,I73,'[1]1_inventory_totals'!$F$8:$F$10000,"="&amp;Q73,'[1]1_inventory_totals'!$G$8:$G$10000,"="&amp;R73)+SUMIFS('[1]1_inventory_totals'!$K$8:$K$10000,'[1]1_inventory_totals'!$C$8:$C$10000,I73,'[1]1_inventory_totals'!$F$8:$F$10000,"="&amp;Q73,'[1]1_inventory_totals'!$G$8:$G$10000,"="&amp;R73)+SUMIFS('[1]1_inventory_totals'!$L$8:$L$10000,'[1]1_inventory_totals'!$C$8:$C$10000,I73,'[1]1_inventory_totals'!$F$8:$F$10000,"="&amp;Q73,'[1]1_inventory_totals'!$G$8:$G$10000,"="&amp;R73)+SUMIFS('[1]1_inventory_totals'!$M$8:$M$10000,'[1]1_inventory_totals'!$C$8:$C$10000,I73,'[1]1_inventory_totals'!$F$8:$F$10000,"="&amp;Q73,'[1]1_inventory_totals'!$G$8:$G$10000,"="&amp;R73)+SUMIFS('[1]1_inventory_totals'!$O$8:$O$10000,'[1]1_inventory_totals'!$C$8:$C$10000,I73,'[1]1_inventory_totals'!$F$8:$F$10000,"="&amp;Q73,'[1]1_inventory_totals'!$G$8:$G$10000,"="&amp;R73)+SUMIFS('[1]1_inventory_totals'!$S$8:$S$10000,'[1]1_inventory_totals'!$C$8:$C$10000,I73,'[1]1_inventory_totals'!$F$8:$F$10000,"="&amp;Q73,'[1]1_inventory_totals'!$G$8:$G$10000,"="&amp;R73)))</f>
        <v/>
      </c>
      <c r="BB73" s="197" t="str">
        <f>IF(M73="","",(SUMIFS('[1]2_inventory_totals'!$I$8:$I$10000,'[1]2_inventory_totals'!$C$8:$C$10000,I73,'[1]2_inventory_totals'!$F$8:$F$10000,"="&amp;Q73,'[1]2_inventory_totals'!$G$8:$G$10000,"="&amp;R73)+SUMIFS('[1]2_inventory_totals'!$N$8:$N$10000,'[1]2_inventory_totals'!$C$8:$C$10000,I73,'[1]2_inventory_totals'!$F$8:$F$10000,"="&amp;Q73,'[1]2_inventory_totals'!$G$8:$G$10000,"="&amp;R73)+SUMIFS('[1]2_inventory_totals'!$P$8:$P$10000,'[1]2_inventory_totals'!$C$8:$C$10000,I73,'[1]2_inventory_totals'!$F$8:$F$10000,"="&amp;Q73,'[1]2_inventory_totals'!$G$8:$G$10000,"="&amp;R73)+SUMIFS('[1]2_inventory_totals'!$Q$8:$Q$10000,'[1]2_inventory_totals'!$C$8:$C$10000,I73,'[1]2_inventory_totals'!$F$8:$F$10000,"="&amp;Q73,'[1]2_inventory_totals'!$G$8:$G$10000,"="&amp;R73)+SUMIFS('[1]2_inventory_totals'!$R$8:$R$10000,'[1]2_inventory_totals'!$C$8:$C$10000,I73,'[1]2_inventory_totals'!$F$8:$F$10000,"="&amp;Q73,'[1]2_inventory_totals'!$G$8:$G$10000,"="&amp;R73))+(SUMIFS('[1]2_inventory_totals'!$J$8:$J$10000,'[1]2_inventory_totals'!$C$8:$C$10000,I73,'[1]2_inventory_totals'!$F$8:$F$10000,"="&amp;Q73,'[1]2_inventory_totals'!$G$8:$G$10000,"="&amp;R73)+SUMIFS('[1]2_inventory_totals'!$K$8:$K$10000,'[1]2_inventory_totals'!$C$8:$C$10000,I73,'[1]2_inventory_totals'!$F$8:$F$10000,"="&amp;Q73,'[1]2_inventory_totals'!$G$8:$G$10000,"="&amp;R73)+SUMIFS('[1]2_inventory_totals'!$L$8:$L$10000,'[1]2_inventory_totals'!$C$8:$C$10000,I73,'[1]2_inventory_totals'!$F$8:$F$10000,"="&amp;Q73,'[1]2_inventory_totals'!$G$8:$G$10000,"="&amp;R73)+SUMIFS('[1]2_inventory_totals'!$M$8:$M$10000,'[1]2_inventory_totals'!$C$8:$C$10000,I73,'[1]2_inventory_totals'!$F$8:$F$10000,"="&amp;Q73,'[1]2_inventory_totals'!$G$8:$G$10000,"="&amp;R73)+SUMIFS('[1]2_inventory_totals'!$O$8:$O$10000,'[1]2_inventory_totals'!$C$8:$C$10000,I73,'[1]2_inventory_totals'!$F$8:$F$10000,"="&amp;Q73,'[1]2_inventory_totals'!$G$8:$G$10000,"="&amp;R73)+SUMIFS('[1]2_inventory_totals'!$S$8:$S$10000,'[1]2_inventory_totals'!$C$8:$C$10000,I73,'[1]2_inventory_totals'!$F$8:$F$10000,"="&amp;Q73,'[1]2_inventory_totals'!$G$8:$G$10000,"="&amp;R73)))</f>
        <v/>
      </c>
    </row>
    <row r="74" spans="1:54" ht="27" hidden="1" customHeight="1">
      <c r="A74" s="923"/>
      <c r="B74" s="1256"/>
      <c r="C74" s="950"/>
      <c r="D74" s="950"/>
      <c r="E74" s="950"/>
      <c r="F74" s="1257"/>
      <c r="G74" s="941"/>
      <c r="H74" s="951"/>
      <c r="I74" s="1610" t="str">
        <f t="shared" si="38"/>
        <v/>
      </c>
      <c r="J74" s="1611" t="str">
        <f t="shared" si="39"/>
        <v/>
      </c>
      <c r="K74" s="1612" t="str">
        <f t="shared" si="31"/>
        <v/>
      </c>
      <c r="L74" s="1613"/>
      <c r="M74" s="883"/>
      <c r="N74" s="884"/>
      <c r="O74" s="884"/>
      <c r="P74" s="885"/>
      <c r="Q74" s="886"/>
      <c r="R74" s="891"/>
      <c r="S74" s="1614" t="str">
        <f t="shared" si="32"/>
        <v/>
      </c>
      <c r="T74" s="1536"/>
      <c r="U74" s="1864" t="str">
        <f t="shared" si="40"/>
        <v/>
      </c>
      <c r="V74" s="1615" t="str">
        <f t="shared" si="33"/>
        <v/>
      </c>
      <c r="W74" s="889"/>
      <c r="X74" s="1615" t="str">
        <f t="shared" si="34"/>
        <v/>
      </c>
      <c r="Y74" s="1865" t="str">
        <f t="shared" si="41"/>
        <v/>
      </c>
      <c r="Z74" s="890"/>
      <c r="AA74" s="197" t="str" cm="1">
        <f t="array" ref="AA74">IF(M74="","",IF(P74=AN74,1,Slookup(MID(AN74,1,3)*1,UomConversion!$D$8:$J$500,5,UomConversion!$E$8:$E$500,MID(P74,1,3)*1,UomConversion!$J$8:$J$500,1)))</f>
        <v/>
      </c>
      <c r="AB74" s="197" t="str">
        <f t="shared" si="42"/>
        <v/>
      </c>
      <c r="AC74" s="197" t="str">
        <f t="shared" si="43"/>
        <v/>
      </c>
      <c r="AD74" s="197" t="str">
        <f t="shared" si="44"/>
        <v/>
      </c>
      <c r="AE74" s="1866" t="str">
        <f t="shared" si="45"/>
        <v/>
      </c>
      <c r="AF74" s="1866" t="str">
        <f t="shared" si="35"/>
        <v/>
      </c>
      <c r="AG74" s="197" t="str">
        <f t="shared" si="46"/>
        <v/>
      </c>
      <c r="AH74" s="197" t="str">
        <f>IF(I74="","",IF(ISNA(MATCH(I74,IF(invoice_location_id=1,'[1]1_inventory_totals'!$C$8:$C$10000,IF(invoice_location_id=2,'[1]2_inventory_totals'!$C$8:$C$10000,0)),0)),0,IF(AV74&gt;0,1,0)))</f>
        <v/>
      </c>
      <c r="AI74" s="197" t="str">
        <f>IF(M74="","",IF(invoice_location_id=1,SUMIFS('[1]1_inventory_total_details'!$J$8:$J$10000,'[1]1_inventory_total_details'!$C$8:$C$10000,I74,'[1]1_inventory_total_details'!$F$8:$F$10000,invoice_location_id,'[1]1_inventory_total_details'!$G$8:$G$10000,"="&amp;Q74,'[1]1_inventory_total_details'!$H$8:$H$10000,"="&amp;R74,'[1]1_inventory_total_details'!$I$8:$I$10000,"="&amp;invoice_date)+SUMIFS('[1]1_inventory_total_details'!$M$8:$M$10000,'[1]1_inventory_total_details'!$C$8:$C$10000,I74,'[1]1_inventory_total_details'!$F$8:$F$10000,invoice_location_id,'[1]1_inventory_total_details'!$G$8:$G$10000,"="&amp;Q74,'[1]1_inventory_total_details'!$H$8:$H$10000,"="&amp;R74,'[1]1_inventory_total_details'!$I$8:$I$10000,"="&amp;invoice_date)+SUMIFS('[1]1_inventory_total_details'!$K$8:$K$10000,'[1]1_inventory_total_details'!$C$8:$C$10000,I74,'[1]1_inventory_total_details'!$F$8:$F$10000,invoice_location_id,'[1]1_inventory_total_details'!$G$8:$G$10000,"="&amp;Q74,'[1]1_inventory_total_details'!$H$8:$H$10000,"="&amp;R74,'[1]1_inventory_total_details'!$I$8:$I$10000,"="&amp;invoice_date)+SUMIFS('[1]1_inventory_total_details'!$L$8:$L$10000,'[1]1_inventory_total_details'!$C$8:$C$10000,I74,'[1]1_inventory_total_details'!$F$8:$F$10000,invoice_location_id,'[1]1_inventory_total_details'!$G$8:$G$10000,"="&amp;Q74,'[1]1_inventory_total_details'!$H$8:$H$10000,"="&amp;R74,'[1]1_inventory_total_details'!$I$8:$I$10000,"="&amp;invoice_date),SUMIFS('[1]2_inventory_total_details'!$J$8:$J$10000,'[1]2_inventory_total_details'!$C$8:$C$10000,I74,'[1]2_inventory_total_details'!$F$8:$F$10000,invoice_location_id,'[1]2_inventory_total_details'!$G$8:$G$10000,"="&amp;Q74,'[1]2_inventory_total_details'!$H$8:$H$10000,"="&amp;R74,'[1]2_inventory_total_details'!$I$8:$I$10000,"="&amp;invoice_date)+SUMIFS('[1]2_inventory_total_details'!$M$8:$M$10000,'[1]2_inventory_total_details'!$C$8:$C$10000,I74,'[1]2_inventory_total_details'!$F$8:$F$10000,invoice_location_id,'[1]2_inventory_total_details'!$G$8:$G$10000,"="&amp;Q74,'[1]2_inventory_total_details'!$H$8:$H$10000,"="&amp;R74,'[1]2_inventory_total_details'!$I$8:$I$10000,"="&amp;invoice_date)+SUMIFS('[1]2_inventory_total_details'!$K$8:$K$10000,'[1]2_inventory_total_details'!$C$8:$C$10000,I74,'[1]2_inventory_total_details'!$F$8:$F$10000,invoice_location_id,'[1]2_inventory_total_details'!$G$8:$G$10000,"="&amp;Q74,'[1]2_inventory_total_details'!$H$8:$H$10000,"="&amp;R74,'[1]2_inventory_total_details'!$I$8:$I$10000,"="&amp;invoice_date)+SUMIFS('[1]2_inventory_total_details'!$L$8:$L$10000,'[1]2_inventory_total_details'!$C$8:$C$10000,I74,'[1]2_inventory_total_details'!$F$8:$F$10000,invoice_location_id,'[1]2_inventory_total_details'!$G$8:$G$10000,"="&amp;Q74,'[1]2_inventory_total_details'!$H$8:$H$10000,"="&amp;R74,'[1]2_inventory_total_details'!$I$8:$I$10000,"="&amp;invoice_date)))</f>
        <v/>
      </c>
      <c r="AJ74" s="197" t="str">
        <f>IF(M74="","",IF(ISNA(MATCH(I74,'[1]1_group_totals'!$C$8:$C$10000)),0,IF(AW74&gt;0,1,0)))</f>
        <v/>
      </c>
      <c r="AK74" s="197" t="str">
        <f>IF(M74="","",(SUMIFS('[1]1_group_total_details'!$I$8:$I$10000,'[1]1_group_total_details'!$C$8:$C$10000,I74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74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74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74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74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74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74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74,'[1]1_group_total_details'!$F$8:$F$10000,invoice_location_group_id,'[1]1_group_total_details'!$G$8:$G$10000,invoice_location_id,'[1]1_group_total_details'!$H$8:$H$10000,"="&amp;invoice_date)))</f>
        <v/>
      </c>
      <c r="AL74" s="197" t="str">
        <f>IF(M74="","",(SUMIFS('[1]1_group_total_details'!$I$8:$I$10000,'[1]1_group_total_details'!$C$8:$C$10000,I74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74,'[1]1_group_total_details'!$F$8:$F$10000,invoice_location_group_id,'[1]1_group_total_details'!$G$8:$G$10000,1,'[1]1_group_total_details'!$H$8:$H$10000,"&lt;="&amp;invoice_date)+SUMIFS('[1]1_group_total_details'!$N$8:$N$10000,'[1]1_group_total_details'!$C$8:$C$10000,I74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74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74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74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74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74,'[1]1_group_total_details'!$F$8:$F$10000,invoice_location_group_id,'[1]1_group_total_details'!$G$8:$G$10000,invoice_location_id,'[1]1_group_total_details'!$H$8:$H$10000,"&lt;="&amp;invoice_date)))</f>
        <v/>
      </c>
      <c r="AM74" s="197" t="str">
        <f>IF(M74="","",SUMIFS('[1]1_group_totals'!$J$8:$J$10000,'[1]1_group_totals'!$C$8:$C$10000,I74,'[1]1_group_totals'!$F$8:$F$10000,invoice_location_group_id,'[1]1_group_totals'!$G$8:$G$10000,invoice_location_id,'[1]1_group_totals'!$H$8:$H$10000,"="&amp;Q74,'[1]1_group_totals'!$I$8:$I$10000,"="&amp;R74))</f>
        <v/>
      </c>
      <c r="AN74" s="197" t="str">
        <f t="shared" si="47"/>
        <v/>
      </c>
      <c r="AO74" s="197" t="str">
        <f>IF(OR(ISNA(MATCH(MID(AN74,1,3)*1,UomConversion!$D$8:$D$500,0)),M74=""),"",IF(AT74="","",AT74))</f>
        <v/>
      </c>
      <c r="AP74" s="197" t="str">
        <f>IF(AND(AQ74&gt;0,COUNTIFS(UomConversion!$D$8:$D$500,MID(AN74,1,3)*1,UomConversion!$J$8:$J$500,1)&gt;1),TEXT(AQ74,"000")&amp;"."&amp;VLOOKUP(AQ74,uom_list,5,FALSE),"")</f>
        <v/>
      </c>
      <c r="AQ74" s="197" t="str">
        <f t="shared" si="48"/>
        <v/>
      </c>
      <c r="AR74" s="197" t="str">
        <f t="shared" si="49"/>
        <v/>
      </c>
      <c r="AS74" s="1866" t="str">
        <f>IF(M74="","",SUMIFS(ProductPrice!$N$28:$N$10000,ProductPrice!$D$28:$D$10000,I74,ProductPrice!$G$28:$G$10000,invoice_branch_id,ProductPrice!$H$28:$H$10000,invoice_price_type_id,ProductPrice!$I$28:$I$10000,MID(P74,1,3)*1,ProductPrice!$Q$28:$Q$10000,1,ProductPrice!$T$28:$T$10000,1))</f>
        <v/>
      </c>
      <c r="AT74" s="197" t="str">
        <f t="shared" si="36"/>
        <v/>
      </c>
      <c r="AU74" s="197" t="str" cm="1">
        <f t="array" ref="AU74">IF(M74="","",IF(ISNA(Slookup(MID(AN74,1,3)*1,UomConversion!$D$8:$J$500,2,UomConversion!$I$8:$I$500,1,UomConversion!$J$8:$J$500,1)),"",Slookup(MID(AN74,1,3)*1,UomConversion!$D$8:$J$500,2,UomConversion!$I$8:$I$500,1,UomConversion!$J$8:$J$500,1)))</f>
        <v/>
      </c>
      <c r="AV74" s="197" t="str">
        <f t="shared" si="37"/>
        <v/>
      </c>
      <c r="AW74" s="197" t="str">
        <f>IF(M74="","",(SUMIFS('[1]1_group_totals'!$K$8:$K$10000,'[1]1_group_totals'!$C$8:$C$10000,I74,'[1]1_group_totals'!$F$8:$F$10000,invoice_location_group_id,'[1]1_group_totals'!$G$8:$G$10000,invoice_location_id,'[1]1_group_totals'!$H$8:$H$10000,"="&amp;Q74,'[1]1_group_totals'!$I$8:$I$10000,"="&amp;R74)+SUMIFS('[1]1_group_totals'!$N$8:$N$10000,'[1]1_group_totals'!$C$8:$C$10000,I74,'[1]1_group_totals'!$F$8:$F$10000,invoice_location_group_id,'[1]1_group_totals'!$G$8:$G$10000,invoice_location_id,'[1]1_group_totals'!$H$8:$H$10000,"="&amp;Q74,'[1]1_group_totals'!$I$8:$I$10000,"="&amp;R74)+SUMIFS('[1]1_group_totals'!$P$8:$P$10000,'[1]1_group_totals'!$C$8:$C$10000,I74,'[1]1_group_totals'!$F$8:$F$10000,invoice_location_group_id,'[1]1_group_totals'!$G$8:$G$10000,invoice_location_id,'[1]1_group_totals'!$H$8:$H$10000,"="&amp;Q74,'[1]1_group_totals'!$I$8:$I$10000,"="&amp;R74)+SUMIFS('[1]1_group_totals'!$Q$8:$Q$10000,'[1]1_group_totals'!$C$8:$C$10000,I74,'[1]1_group_totals'!$F$8:$F$10000,invoice_location_group_id,'[1]1_group_totals'!$G$8:$G$10000,invoice_location_id,'[1]1_group_totals'!$H$8:$H$10000,"="&amp;Q74,'[1]1_group_totals'!$I$8:$I$10000,"="&amp;R74))+(SUMIFS('[1]1_group_totals'!$L$8:$L$10000,'[1]1_group_totals'!$C$8:$C$10000,I74,'[1]1_group_totals'!$F$8:$F$10000,invoice_location_group_id,'[1]1_group_totals'!$G$8:$G$10000,invoice_location_id,'[1]1_group_totals'!$H$8:$H$10000,"="&amp;Q74,'[1]1_group_totals'!$I$8:$I$10000,"="&amp;R74)+SUMIFS('[1]1_group_totals'!$M$8:$M$10000,'[1]1_group_totals'!$C$8:$C$10000,I74,'[1]1_group_totals'!$F$8:$F$10000,invoice_location_group_id,'[1]1_group_totals'!$G$8:$G$10000,invoice_location_id,'[1]1_group_totals'!$H$8:$H$10000,"="&amp;Q74,'[1]1_group_totals'!$I$8:$I$10000,"="&amp;R74)+SUMIFS('[1]1_group_totals'!$O$8:$O$10000,'[1]1_group_totals'!$C$8:$C$10000,I74,'[1]1_group_totals'!$F$8:$F$10000,invoice_location_group_id,'[1]1_group_totals'!$G$8:$G$10000,invoice_location_id,'[1]1_group_totals'!$H$8:$H$10000,"="&amp;Q74,'[1]1_group_totals'!$I$8:$I$10000,"="&amp;R74)+SUMIFS('[1]1_group_totals'!$R$8:$R$10000,'[1]1_group_totals'!$C$8:$C$10000,I74,'[1]1_group_totals'!$F$8:$F$10000,invoice_location_group_id,'[1]1_group_totals'!$G$8:$G$10000,invoice_location_id,'[1]1_group_totals'!$H$8:$H$10000,"="&amp;Q74,'[1]1_group_totals'!$I$8:$I$10000,"="&amp;R74)))</f>
        <v/>
      </c>
      <c r="AX74" s="197" t="str">
        <f t="shared" si="50"/>
        <v/>
      </c>
      <c r="AY74" s="197" t="str">
        <f>IF(M74="","",SUMIFS($AX$8:AX74,$I$8:I74,I74))</f>
        <v/>
      </c>
      <c r="AZ74" s="197" t="str">
        <f t="shared" si="51"/>
        <v/>
      </c>
      <c r="BA74" s="197" t="str">
        <f>IF(M74="","",(SUMIFS('[1]1_inventory_totals'!$I$8:$I$10000,'[1]1_inventory_totals'!$C$8:$C$10000,I74,'[1]1_inventory_totals'!$F$8:$F$10000,"="&amp;Q74,'[1]1_inventory_totals'!$G$8:$G$10000,"="&amp;R74)+SUMIFS('[1]1_inventory_totals'!$N$8:$N$10000,'[1]1_inventory_totals'!$C$8:$C$10000,I74,'[1]1_inventory_totals'!$F$8:$F$10000,"="&amp;Q74,'[1]1_inventory_totals'!$G$8:$G$10000,"="&amp;R74)+SUMIFS('[1]1_inventory_totals'!$P$8:$P$10000,'[1]1_inventory_totals'!$C$8:$C$10000,I74,'[1]1_inventory_totals'!$F$8:$F$10000,"="&amp;Q74,'[1]1_inventory_totals'!$G$8:$G$10000,"="&amp;R74)+SUMIFS('[1]1_inventory_totals'!$Q$8:$Q$10000,'[1]1_inventory_totals'!$C$8:$C$10000,I74,'[1]1_inventory_totals'!$F$8:$F$10000,"="&amp;Q74,'[1]1_inventory_totals'!$G$8:$G$10000,"="&amp;R74)+SUMIFS('[1]1_inventory_totals'!$R$8:$R$10000,'[1]1_inventory_totals'!$C$8:$C$10000,I74,'[1]1_inventory_totals'!$F$8:$F$10000,"="&amp;Q74,'[1]1_inventory_totals'!$G$8:$G$10000,"="&amp;R74))+(SUMIFS('[1]1_inventory_totals'!$J$8:$J$10000,'[1]1_inventory_totals'!$C$8:$C$10000,I74,'[1]1_inventory_totals'!$F$8:$F$10000,"="&amp;Q74,'[1]1_inventory_totals'!$G$8:$G$10000,"="&amp;R74)+SUMIFS('[1]1_inventory_totals'!$K$8:$K$10000,'[1]1_inventory_totals'!$C$8:$C$10000,I74,'[1]1_inventory_totals'!$F$8:$F$10000,"="&amp;Q74,'[1]1_inventory_totals'!$G$8:$G$10000,"="&amp;R74)+SUMIFS('[1]1_inventory_totals'!$L$8:$L$10000,'[1]1_inventory_totals'!$C$8:$C$10000,I74,'[1]1_inventory_totals'!$F$8:$F$10000,"="&amp;Q74,'[1]1_inventory_totals'!$G$8:$G$10000,"="&amp;R74)+SUMIFS('[1]1_inventory_totals'!$M$8:$M$10000,'[1]1_inventory_totals'!$C$8:$C$10000,I74,'[1]1_inventory_totals'!$F$8:$F$10000,"="&amp;Q74,'[1]1_inventory_totals'!$G$8:$G$10000,"="&amp;R74)+SUMIFS('[1]1_inventory_totals'!$O$8:$O$10000,'[1]1_inventory_totals'!$C$8:$C$10000,I74,'[1]1_inventory_totals'!$F$8:$F$10000,"="&amp;Q74,'[1]1_inventory_totals'!$G$8:$G$10000,"="&amp;R74)+SUMIFS('[1]1_inventory_totals'!$S$8:$S$10000,'[1]1_inventory_totals'!$C$8:$C$10000,I74,'[1]1_inventory_totals'!$F$8:$F$10000,"="&amp;Q74,'[1]1_inventory_totals'!$G$8:$G$10000,"="&amp;R74)))</f>
        <v/>
      </c>
      <c r="BB74" s="197" t="str">
        <f>IF(M74="","",(SUMIFS('[1]2_inventory_totals'!$I$8:$I$10000,'[1]2_inventory_totals'!$C$8:$C$10000,I74,'[1]2_inventory_totals'!$F$8:$F$10000,"="&amp;Q74,'[1]2_inventory_totals'!$G$8:$G$10000,"="&amp;R74)+SUMIFS('[1]2_inventory_totals'!$N$8:$N$10000,'[1]2_inventory_totals'!$C$8:$C$10000,I74,'[1]2_inventory_totals'!$F$8:$F$10000,"="&amp;Q74,'[1]2_inventory_totals'!$G$8:$G$10000,"="&amp;R74)+SUMIFS('[1]2_inventory_totals'!$P$8:$P$10000,'[1]2_inventory_totals'!$C$8:$C$10000,I74,'[1]2_inventory_totals'!$F$8:$F$10000,"="&amp;Q74,'[1]2_inventory_totals'!$G$8:$G$10000,"="&amp;R74)+SUMIFS('[1]2_inventory_totals'!$Q$8:$Q$10000,'[1]2_inventory_totals'!$C$8:$C$10000,I74,'[1]2_inventory_totals'!$F$8:$F$10000,"="&amp;Q74,'[1]2_inventory_totals'!$G$8:$G$10000,"="&amp;R74)+SUMIFS('[1]2_inventory_totals'!$R$8:$R$10000,'[1]2_inventory_totals'!$C$8:$C$10000,I74,'[1]2_inventory_totals'!$F$8:$F$10000,"="&amp;Q74,'[1]2_inventory_totals'!$G$8:$G$10000,"="&amp;R74))+(SUMIFS('[1]2_inventory_totals'!$J$8:$J$10000,'[1]2_inventory_totals'!$C$8:$C$10000,I74,'[1]2_inventory_totals'!$F$8:$F$10000,"="&amp;Q74,'[1]2_inventory_totals'!$G$8:$G$10000,"="&amp;R74)+SUMIFS('[1]2_inventory_totals'!$K$8:$K$10000,'[1]2_inventory_totals'!$C$8:$C$10000,I74,'[1]2_inventory_totals'!$F$8:$F$10000,"="&amp;Q74,'[1]2_inventory_totals'!$G$8:$G$10000,"="&amp;R74)+SUMIFS('[1]2_inventory_totals'!$L$8:$L$10000,'[1]2_inventory_totals'!$C$8:$C$10000,I74,'[1]2_inventory_totals'!$F$8:$F$10000,"="&amp;Q74,'[1]2_inventory_totals'!$G$8:$G$10000,"="&amp;R74)+SUMIFS('[1]2_inventory_totals'!$M$8:$M$10000,'[1]2_inventory_totals'!$C$8:$C$10000,I74,'[1]2_inventory_totals'!$F$8:$F$10000,"="&amp;Q74,'[1]2_inventory_totals'!$G$8:$G$10000,"="&amp;R74)+SUMIFS('[1]2_inventory_totals'!$O$8:$O$10000,'[1]2_inventory_totals'!$C$8:$C$10000,I74,'[1]2_inventory_totals'!$F$8:$F$10000,"="&amp;Q74,'[1]2_inventory_totals'!$G$8:$G$10000,"="&amp;R74)+SUMIFS('[1]2_inventory_totals'!$S$8:$S$10000,'[1]2_inventory_totals'!$C$8:$C$10000,I74,'[1]2_inventory_totals'!$F$8:$F$10000,"="&amp;Q74,'[1]2_inventory_totals'!$G$8:$G$10000,"="&amp;R74)))</f>
        <v/>
      </c>
    </row>
    <row r="75" spans="1:54" ht="27" hidden="1" customHeight="1">
      <c r="A75" s="923"/>
      <c r="B75" s="1256"/>
      <c r="C75" s="950"/>
      <c r="D75" s="950"/>
      <c r="E75" s="950"/>
      <c r="F75" s="1257"/>
      <c r="G75" s="941"/>
      <c r="H75" s="951"/>
      <c r="I75" s="1610" t="str">
        <f t="shared" si="38"/>
        <v/>
      </c>
      <c r="J75" s="1611" t="str">
        <f t="shared" si="39"/>
        <v/>
      </c>
      <c r="K75" s="1612" t="str">
        <f>IF(M75="","",VLOOKUP(I75,product_list,4,FALSE))</f>
        <v/>
      </c>
      <c r="L75" s="1613"/>
      <c r="M75" s="883"/>
      <c r="N75" s="884"/>
      <c r="O75" s="884"/>
      <c r="P75" s="885"/>
      <c r="Q75" s="886"/>
      <c r="R75" s="891"/>
      <c r="S75" s="1614" t="str">
        <f t="shared" si="32"/>
        <v/>
      </c>
      <c r="T75" s="1536"/>
      <c r="U75" s="1864" t="str">
        <f t="shared" si="40"/>
        <v/>
      </c>
      <c r="V75" s="1615" t="str">
        <f t="shared" si="33"/>
        <v/>
      </c>
      <c r="W75" s="889"/>
      <c r="X75" s="1615" t="str">
        <f t="shared" si="34"/>
        <v/>
      </c>
      <c r="Y75" s="1865" t="str">
        <f t="shared" si="41"/>
        <v/>
      </c>
      <c r="Z75" s="890"/>
      <c r="AA75" s="197" t="str" cm="1">
        <f t="array" ref="AA75">IF(M75="","",IF(P75=AN75,1,Slookup(MID(AN75,1,3)*1,UomConversion!$D$8:$J$500,5,UomConversion!$E$8:$E$500,MID(P75,1,3)*1,UomConversion!$J$8:$J$500,1)))</f>
        <v/>
      </c>
      <c r="AB75" s="197" t="str">
        <f t="shared" si="42"/>
        <v/>
      </c>
      <c r="AC75" s="197" t="str">
        <f t="shared" si="43"/>
        <v/>
      </c>
      <c r="AD75" s="197" t="str">
        <f t="shared" si="44"/>
        <v/>
      </c>
      <c r="AE75" s="1866" t="str">
        <f t="shared" si="45"/>
        <v/>
      </c>
      <c r="AF75" s="1866" t="str">
        <f t="shared" si="35"/>
        <v/>
      </c>
      <c r="AG75" s="197" t="str">
        <f t="shared" si="46"/>
        <v/>
      </c>
      <c r="AH75" s="197" t="str">
        <f>IF(I75="","",IF(ISNA(MATCH(I75,IF(invoice_location_id=1,'[1]1_inventory_totals'!$C$8:$C$10000,IF(invoice_location_id=2,'[1]2_inventory_totals'!$C$8:$C$10000,0)),0)),0,IF(AV75&gt;0,1,0)))</f>
        <v/>
      </c>
      <c r="AI75" s="197" t="str">
        <f>IF(M75="","",IF(invoice_location_id=1,SUMIFS('[1]1_inventory_total_details'!$J$8:$J$10000,'[1]1_inventory_total_details'!$C$8:$C$10000,I75,'[1]1_inventory_total_details'!$F$8:$F$10000,invoice_location_id,'[1]1_inventory_total_details'!$G$8:$G$10000,"="&amp;Q75,'[1]1_inventory_total_details'!$H$8:$H$10000,"="&amp;R75,'[1]1_inventory_total_details'!$I$8:$I$10000,"="&amp;invoice_date)+SUMIFS('[1]1_inventory_total_details'!$M$8:$M$10000,'[1]1_inventory_total_details'!$C$8:$C$10000,I75,'[1]1_inventory_total_details'!$F$8:$F$10000,invoice_location_id,'[1]1_inventory_total_details'!$G$8:$G$10000,"="&amp;Q75,'[1]1_inventory_total_details'!$H$8:$H$10000,"="&amp;R75,'[1]1_inventory_total_details'!$I$8:$I$10000,"="&amp;invoice_date)+SUMIFS('[1]1_inventory_total_details'!$K$8:$K$10000,'[1]1_inventory_total_details'!$C$8:$C$10000,I75,'[1]1_inventory_total_details'!$F$8:$F$10000,invoice_location_id,'[1]1_inventory_total_details'!$G$8:$G$10000,"="&amp;Q75,'[1]1_inventory_total_details'!$H$8:$H$10000,"="&amp;R75,'[1]1_inventory_total_details'!$I$8:$I$10000,"="&amp;invoice_date)+SUMIFS('[1]1_inventory_total_details'!$L$8:$L$10000,'[1]1_inventory_total_details'!$C$8:$C$10000,I75,'[1]1_inventory_total_details'!$F$8:$F$10000,invoice_location_id,'[1]1_inventory_total_details'!$G$8:$G$10000,"="&amp;Q75,'[1]1_inventory_total_details'!$H$8:$H$10000,"="&amp;R75,'[1]1_inventory_total_details'!$I$8:$I$10000,"="&amp;invoice_date),SUMIFS('[1]2_inventory_total_details'!$J$8:$J$10000,'[1]2_inventory_total_details'!$C$8:$C$10000,I75,'[1]2_inventory_total_details'!$F$8:$F$10000,invoice_location_id,'[1]2_inventory_total_details'!$G$8:$G$10000,"="&amp;Q75,'[1]2_inventory_total_details'!$H$8:$H$10000,"="&amp;R75,'[1]2_inventory_total_details'!$I$8:$I$10000,"="&amp;invoice_date)+SUMIFS('[1]2_inventory_total_details'!$M$8:$M$10000,'[1]2_inventory_total_details'!$C$8:$C$10000,I75,'[1]2_inventory_total_details'!$F$8:$F$10000,invoice_location_id,'[1]2_inventory_total_details'!$G$8:$G$10000,"="&amp;Q75,'[1]2_inventory_total_details'!$H$8:$H$10000,"="&amp;R75,'[1]2_inventory_total_details'!$I$8:$I$10000,"="&amp;invoice_date)+SUMIFS('[1]2_inventory_total_details'!$K$8:$K$10000,'[1]2_inventory_total_details'!$C$8:$C$10000,I75,'[1]2_inventory_total_details'!$F$8:$F$10000,invoice_location_id,'[1]2_inventory_total_details'!$G$8:$G$10000,"="&amp;Q75,'[1]2_inventory_total_details'!$H$8:$H$10000,"="&amp;R75,'[1]2_inventory_total_details'!$I$8:$I$10000,"="&amp;invoice_date)+SUMIFS('[1]2_inventory_total_details'!$L$8:$L$10000,'[1]2_inventory_total_details'!$C$8:$C$10000,I75,'[1]2_inventory_total_details'!$F$8:$F$10000,invoice_location_id,'[1]2_inventory_total_details'!$G$8:$G$10000,"="&amp;Q75,'[1]2_inventory_total_details'!$H$8:$H$10000,"="&amp;R75,'[1]2_inventory_total_details'!$I$8:$I$10000,"="&amp;invoice_date)))</f>
        <v/>
      </c>
      <c r="AJ75" s="197" t="str">
        <f>IF(M75="","",IF(ISNA(MATCH(I75,'[1]1_group_totals'!$C$8:$C$10000)),0,IF(AW75&gt;0,1,0)))</f>
        <v/>
      </c>
      <c r="AK75" s="197" t="str">
        <f>IF(M75="","",(SUMIFS('[1]1_group_total_details'!$I$8:$I$10000,'[1]1_group_total_details'!$C$8:$C$10000,I75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75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75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75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75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75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75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75,'[1]1_group_total_details'!$F$8:$F$10000,invoice_location_group_id,'[1]1_group_total_details'!$G$8:$G$10000,invoice_location_id,'[1]1_group_total_details'!$H$8:$H$10000,"="&amp;invoice_date)))</f>
        <v/>
      </c>
      <c r="AL75" s="197" t="str">
        <f>IF(M75="","",(SUMIFS('[1]1_group_total_details'!$I$8:$I$10000,'[1]1_group_total_details'!$C$8:$C$10000,I75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75,'[1]1_group_total_details'!$F$8:$F$10000,invoice_location_group_id,'[1]1_group_total_details'!$G$8:$G$10000,1,'[1]1_group_total_details'!$H$8:$H$10000,"&lt;="&amp;invoice_date)+SUMIFS('[1]1_group_total_details'!$N$8:$N$10000,'[1]1_group_total_details'!$C$8:$C$10000,I75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75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75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75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75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75,'[1]1_group_total_details'!$F$8:$F$10000,invoice_location_group_id,'[1]1_group_total_details'!$G$8:$G$10000,invoice_location_id,'[1]1_group_total_details'!$H$8:$H$10000,"&lt;="&amp;invoice_date)))</f>
        <v/>
      </c>
      <c r="AM75" s="197" t="str">
        <f>IF(M75="","",SUMIFS('[1]1_group_totals'!$J$8:$J$10000,'[1]1_group_totals'!$C$8:$C$10000,I75,'[1]1_group_totals'!$F$8:$F$10000,invoice_location_group_id,'[1]1_group_totals'!$G$8:$G$10000,invoice_location_id,'[1]1_group_totals'!$H$8:$H$10000,"="&amp;Q75,'[1]1_group_totals'!$I$8:$I$10000,"="&amp;R75))</f>
        <v/>
      </c>
      <c r="AN75" s="197" t="str">
        <f t="shared" si="47"/>
        <v/>
      </c>
      <c r="AO75" s="197" t="str">
        <f>IF(OR(ISNA(MATCH(MID(AN75,1,3)*1,UomConversion!$D$8:$D$500,0)),M75=""),"",IF(AT75="","",AT75))</f>
        <v/>
      </c>
      <c r="AP75" s="197" t="str">
        <f>IF(AND(AQ75&gt;0,COUNTIFS(UomConversion!$D$8:$D$500,MID(AN75,1,3)*1,UomConversion!$J$8:$J$500,1)&gt;1),TEXT(AQ75,"000")&amp;"."&amp;VLOOKUP(AQ75,uom_list,5,FALSE),"")</f>
        <v/>
      </c>
      <c r="AQ75" s="197" t="str">
        <f t="shared" si="48"/>
        <v/>
      </c>
      <c r="AR75" s="197" t="str">
        <f t="shared" si="49"/>
        <v/>
      </c>
      <c r="AS75" s="1866" t="str">
        <f>IF(M75="","",SUMIFS(ProductPrice!$N$28:$N$10000,ProductPrice!$D$28:$D$10000,I75,ProductPrice!$G$28:$G$10000,invoice_branch_id,ProductPrice!$H$28:$H$10000,invoice_price_type_id,ProductPrice!$I$28:$I$10000,MID(P75,1,3)*1,ProductPrice!$Q$28:$Q$10000,1,ProductPrice!$T$28:$T$10000,1))</f>
        <v/>
      </c>
      <c r="AT75" s="197" t="str">
        <f t="shared" si="36"/>
        <v/>
      </c>
      <c r="AU75" s="197" t="str" cm="1">
        <f t="array" ref="AU75">IF(M75="","",IF(ISNA(Slookup(MID(AN75,1,3)*1,UomConversion!$D$8:$J$500,2,UomConversion!$I$8:$I$500,1,UomConversion!$J$8:$J$500,1)),"",Slookup(MID(AN75,1,3)*1,UomConversion!$D$8:$J$500,2,UomConversion!$I$8:$I$500,1,UomConversion!$J$8:$J$500,1)))</f>
        <v/>
      </c>
      <c r="AV75" s="197" t="str">
        <f t="shared" si="37"/>
        <v/>
      </c>
      <c r="AW75" s="197" t="str">
        <f>IF(M75="","",(SUMIFS('[1]1_group_totals'!$K$8:$K$10000,'[1]1_group_totals'!$C$8:$C$10000,I75,'[1]1_group_totals'!$F$8:$F$10000,invoice_location_group_id,'[1]1_group_totals'!$G$8:$G$10000,invoice_location_id,'[1]1_group_totals'!$H$8:$H$10000,"="&amp;Q75,'[1]1_group_totals'!$I$8:$I$10000,"="&amp;R75)+SUMIFS('[1]1_group_totals'!$N$8:$N$10000,'[1]1_group_totals'!$C$8:$C$10000,I75,'[1]1_group_totals'!$F$8:$F$10000,invoice_location_group_id,'[1]1_group_totals'!$G$8:$G$10000,invoice_location_id,'[1]1_group_totals'!$H$8:$H$10000,"="&amp;Q75,'[1]1_group_totals'!$I$8:$I$10000,"="&amp;R75)+SUMIFS('[1]1_group_totals'!$P$8:$P$10000,'[1]1_group_totals'!$C$8:$C$10000,I75,'[1]1_group_totals'!$F$8:$F$10000,invoice_location_group_id,'[1]1_group_totals'!$G$8:$G$10000,invoice_location_id,'[1]1_group_totals'!$H$8:$H$10000,"="&amp;Q75,'[1]1_group_totals'!$I$8:$I$10000,"="&amp;R75)+SUMIFS('[1]1_group_totals'!$Q$8:$Q$10000,'[1]1_group_totals'!$C$8:$C$10000,I75,'[1]1_group_totals'!$F$8:$F$10000,invoice_location_group_id,'[1]1_group_totals'!$G$8:$G$10000,invoice_location_id,'[1]1_group_totals'!$H$8:$H$10000,"="&amp;Q75,'[1]1_group_totals'!$I$8:$I$10000,"="&amp;R75))+(SUMIFS('[1]1_group_totals'!$L$8:$L$10000,'[1]1_group_totals'!$C$8:$C$10000,I75,'[1]1_group_totals'!$F$8:$F$10000,invoice_location_group_id,'[1]1_group_totals'!$G$8:$G$10000,invoice_location_id,'[1]1_group_totals'!$H$8:$H$10000,"="&amp;Q75,'[1]1_group_totals'!$I$8:$I$10000,"="&amp;R75)+SUMIFS('[1]1_group_totals'!$M$8:$M$10000,'[1]1_group_totals'!$C$8:$C$10000,I75,'[1]1_group_totals'!$F$8:$F$10000,invoice_location_group_id,'[1]1_group_totals'!$G$8:$G$10000,invoice_location_id,'[1]1_group_totals'!$H$8:$H$10000,"="&amp;Q75,'[1]1_group_totals'!$I$8:$I$10000,"="&amp;R75)+SUMIFS('[1]1_group_totals'!$O$8:$O$10000,'[1]1_group_totals'!$C$8:$C$10000,I75,'[1]1_group_totals'!$F$8:$F$10000,invoice_location_group_id,'[1]1_group_totals'!$G$8:$G$10000,invoice_location_id,'[1]1_group_totals'!$H$8:$H$10000,"="&amp;Q75,'[1]1_group_totals'!$I$8:$I$10000,"="&amp;R75)+SUMIFS('[1]1_group_totals'!$R$8:$R$10000,'[1]1_group_totals'!$C$8:$C$10000,I75,'[1]1_group_totals'!$F$8:$F$10000,invoice_location_group_id,'[1]1_group_totals'!$G$8:$G$10000,invoice_location_id,'[1]1_group_totals'!$H$8:$H$10000,"="&amp;Q75,'[1]1_group_totals'!$I$8:$I$10000,"="&amp;R75)))</f>
        <v/>
      </c>
      <c r="AX75" s="197" t="str">
        <f t="shared" si="50"/>
        <v/>
      </c>
      <c r="AY75" s="197" t="str">
        <f>IF(M75="","",SUMIFS($AX$8:AX75,$I$8:I75,I75))</f>
        <v/>
      </c>
      <c r="AZ75" s="197" t="str">
        <f t="shared" si="51"/>
        <v/>
      </c>
      <c r="BA75" s="197" t="str">
        <f>IF(M75="","",(SUMIFS('[1]1_inventory_totals'!$I$8:$I$10000,'[1]1_inventory_totals'!$C$8:$C$10000,I75,'[1]1_inventory_totals'!$F$8:$F$10000,"="&amp;Q75,'[1]1_inventory_totals'!$G$8:$G$10000,"="&amp;R75)+SUMIFS('[1]1_inventory_totals'!$N$8:$N$10000,'[1]1_inventory_totals'!$C$8:$C$10000,I75,'[1]1_inventory_totals'!$F$8:$F$10000,"="&amp;Q75,'[1]1_inventory_totals'!$G$8:$G$10000,"="&amp;R75)+SUMIFS('[1]1_inventory_totals'!$P$8:$P$10000,'[1]1_inventory_totals'!$C$8:$C$10000,I75,'[1]1_inventory_totals'!$F$8:$F$10000,"="&amp;Q75,'[1]1_inventory_totals'!$G$8:$G$10000,"="&amp;R75)+SUMIFS('[1]1_inventory_totals'!$Q$8:$Q$10000,'[1]1_inventory_totals'!$C$8:$C$10000,I75,'[1]1_inventory_totals'!$F$8:$F$10000,"="&amp;Q75,'[1]1_inventory_totals'!$G$8:$G$10000,"="&amp;R75)+SUMIFS('[1]1_inventory_totals'!$R$8:$R$10000,'[1]1_inventory_totals'!$C$8:$C$10000,I75,'[1]1_inventory_totals'!$F$8:$F$10000,"="&amp;Q75,'[1]1_inventory_totals'!$G$8:$G$10000,"="&amp;R75))+(SUMIFS('[1]1_inventory_totals'!$J$8:$J$10000,'[1]1_inventory_totals'!$C$8:$C$10000,I75,'[1]1_inventory_totals'!$F$8:$F$10000,"="&amp;Q75,'[1]1_inventory_totals'!$G$8:$G$10000,"="&amp;R75)+SUMIFS('[1]1_inventory_totals'!$K$8:$K$10000,'[1]1_inventory_totals'!$C$8:$C$10000,I75,'[1]1_inventory_totals'!$F$8:$F$10000,"="&amp;Q75,'[1]1_inventory_totals'!$G$8:$G$10000,"="&amp;R75)+SUMIFS('[1]1_inventory_totals'!$L$8:$L$10000,'[1]1_inventory_totals'!$C$8:$C$10000,I75,'[1]1_inventory_totals'!$F$8:$F$10000,"="&amp;Q75,'[1]1_inventory_totals'!$G$8:$G$10000,"="&amp;R75)+SUMIFS('[1]1_inventory_totals'!$M$8:$M$10000,'[1]1_inventory_totals'!$C$8:$C$10000,I75,'[1]1_inventory_totals'!$F$8:$F$10000,"="&amp;Q75,'[1]1_inventory_totals'!$G$8:$G$10000,"="&amp;R75)+SUMIFS('[1]1_inventory_totals'!$O$8:$O$10000,'[1]1_inventory_totals'!$C$8:$C$10000,I75,'[1]1_inventory_totals'!$F$8:$F$10000,"="&amp;Q75,'[1]1_inventory_totals'!$G$8:$G$10000,"="&amp;R75)+SUMIFS('[1]1_inventory_totals'!$S$8:$S$10000,'[1]1_inventory_totals'!$C$8:$C$10000,I75,'[1]1_inventory_totals'!$F$8:$F$10000,"="&amp;Q75,'[1]1_inventory_totals'!$G$8:$G$10000,"="&amp;R75)))</f>
        <v/>
      </c>
      <c r="BB75" s="197" t="str">
        <f>IF(M75="","",(SUMIFS('[1]2_inventory_totals'!$I$8:$I$10000,'[1]2_inventory_totals'!$C$8:$C$10000,I75,'[1]2_inventory_totals'!$F$8:$F$10000,"="&amp;Q75,'[1]2_inventory_totals'!$G$8:$G$10000,"="&amp;R75)+SUMIFS('[1]2_inventory_totals'!$N$8:$N$10000,'[1]2_inventory_totals'!$C$8:$C$10000,I75,'[1]2_inventory_totals'!$F$8:$F$10000,"="&amp;Q75,'[1]2_inventory_totals'!$G$8:$G$10000,"="&amp;R75)+SUMIFS('[1]2_inventory_totals'!$P$8:$P$10000,'[1]2_inventory_totals'!$C$8:$C$10000,I75,'[1]2_inventory_totals'!$F$8:$F$10000,"="&amp;Q75,'[1]2_inventory_totals'!$G$8:$G$10000,"="&amp;R75)+SUMIFS('[1]2_inventory_totals'!$Q$8:$Q$10000,'[1]2_inventory_totals'!$C$8:$C$10000,I75,'[1]2_inventory_totals'!$F$8:$F$10000,"="&amp;Q75,'[1]2_inventory_totals'!$G$8:$G$10000,"="&amp;R75)+SUMIFS('[1]2_inventory_totals'!$R$8:$R$10000,'[1]2_inventory_totals'!$C$8:$C$10000,I75,'[1]2_inventory_totals'!$F$8:$F$10000,"="&amp;Q75,'[1]2_inventory_totals'!$G$8:$G$10000,"="&amp;R75))+(SUMIFS('[1]2_inventory_totals'!$J$8:$J$10000,'[1]2_inventory_totals'!$C$8:$C$10000,I75,'[1]2_inventory_totals'!$F$8:$F$10000,"="&amp;Q75,'[1]2_inventory_totals'!$G$8:$G$10000,"="&amp;R75)+SUMIFS('[1]2_inventory_totals'!$K$8:$K$10000,'[1]2_inventory_totals'!$C$8:$C$10000,I75,'[1]2_inventory_totals'!$F$8:$F$10000,"="&amp;Q75,'[1]2_inventory_totals'!$G$8:$G$10000,"="&amp;R75)+SUMIFS('[1]2_inventory_totals'!$L$8:$L$10000,'[1]2_inventory_totals'!$C$8:$C$10000,I75,'[1]2_inventory_totals'!$F$8:$F$10000,"="&amp;Q75,'[1]2_inventory_totals'!$G$8:$G$10000,"="&amp;R75)+SUMIFS('[1]2_inventory_totals'!$M$8:$M$10000,'[1]2_inventory_totals'!$C$8:$C$10000,I75,'[1]2_inventory_totals'!$F$8:$F$10000,"="&amp;Q75,'[1]2_inventory_totals'!$G$8:$G$10000,"="&amp;R75)+SUMIFS('[1]2_inventory_totals'!$O$8:$O$10000,'[1]2_inventory_totals'!$C$8:$C$10000,I75,'[1]2_inventory_totals'!$F$8:$F$10000,"="&amp;Q75,'[1]2_inventory_totals'!$G$8:$G$10000,"="&amp;R75)+SUMIFS('[1]2_inventory_totals'!$S$8:$S$10000,'[1]2_inventory_totals'!$C$8:$C$10000,I75,'[1]2_inventory_totals'!$F$8:$F$10000,"="&amp;Q75,'[1]2_inventory_totals'!$G$8:$G$10000,"="&amp;R75)))</f>
        <v/>
      </c>
    </row>
    <row r="76" spans="1:54" ht="27" hidden="1" customHeight="1">
      <c r="A76" s="923"/>
      <c r="B76" s="1256"/>
      <c r="C76" s="950"/>
      <c r="D76" s="950"/>
      <c r="E76" s="950"/>
      <c r="F76" s="1257"/>
      <c r="G76" s="941"/>
      <c r="H76" s="951"/>
      <c r="I76" s="1610" t="str">
        <f t="shared" si="38"/>
        <v/>
      </c>
      <c r="J76" s="1611" t="str">
        <f t="shared" si="39"/>
        <v/>
      </c>
      <c r="K76" s="1612" t="str">
        <f t="shared" si="31"/>
        <v/>
      </c>
      <c r="L76" s="1613"/>
      <c r="M76" s="883"/>
      <c r="N76" s="884"/>
      <c r="O76" s="884"/>
      <c r="P76" s="885"/>
      <c r="Q76" s="886"/>
      <c r="R76" s="891"/>
      <c r="S76" s="1614" t="str">
        <f t="shared" si="32"/>
        <v/>
      </c>
      <c r="T76" s="1536"/>
      <c r="U76" s="1864" t="str">
        <f t="shared" si="40"/>
        <v/>
      </c>
      <c r="V76" s="1615" t="str">
        <f t="shared" si="33"/>
        <v/>
      </c>
      <c r="W76" s="889"/>
      <c r="X76" s="1615" t="str">
        <f t="shared" si="34"/>
        <v/>
      </c>
      <c r="Y76" s="1865" t="str">
        <f t="shared" si="41"/>
        <v/>
      </c>
      <c r="Z76" s="890"/>
      <c r="AA76" s="197" t="str" cm="1">
        <f t="array" ref="AA76">IF(M76="","",IF(P76=AN76,1,Slookup(MID(AN76,1,3)*1,UomConversion!$D$8:$J$500,5,UomConversion!$E$8:$E$500,MID(P76,1,3)*1,UomConversion!$J$8:$J$500,1)))</f>
        <v/>
      </c>
      <c r="AB76" s="197" t="str">
        <f t="shared" si="42"/>
        <v/>
      </c>
      <c r="AC76" s="197" t="str">
        <f t="shared" si="43"/>
        <v/>
      </c>
      <c r="AD76" s="197" t="str">
        <f t="shared" si="44"/>
        <v/>
      </c>
      <c r="AE76" s="1866" t="str">
        <f t="shared" si="45"/>
        <v/>
      </c>
      <c r="AF76" s="1866" t="str">
        <f t="shared" si="35"/>
        <v/>
      </c>
      <c r="AG76" s="197" t="str">
        <f t="shared" si="46"/>
        <v/>
      </c>
      <c r="AH76" s="197" t="str">
        <f>IF(I76="","",IF(ISNA(MATCH(I76,IF(invoice_location_id=1,'[1]1_inventory_totals'!$C$8:$C$10000,IF(invoice_location_id=2,'[1]2_inventory_totals'!$C$8:$C$10000,0)),0)),0,IF(AV76&gt;0,1,0)))</f>
        <v/>
      </c>
      <c r="AI76" s="197" t="str">
        <f>IF(M76="","",IF(invoice_location_id=1,SUMIFS('[1]1_inventory_total_details'!$J$8:$J$10000,'[1]1_inventory_total_details'!$C$8:$C$10000,I76,'[1]1_inventory_total_details'!$F$8:$F$10000,invoice_location_id,'[1]1_inventory_total_details'!$G$8:$G$10000,"="&amp;Q76,'[1]1_inventory_total_details'!$H$8:$H$10000,"="&amp;R76,'[1]1_inventory_total_details'!$I$8:$I$10000,"="&amp;invoice_date)+SUMIFS('[1]1_inventory_total_details'!$M$8:$M$10000,'[1]1_inventory_total_details'!$C$8:$C$10000,I76,'[1]1_inventory_total_details'!$F$8:$F$10000,invoice_location_id,'[1]1_inventory_total_details'!$G$8:$G$10000,"="&amp;Q76,'[1]1_inventory_total_details'!$H$8:$H$10000,"="&amp;R76,'[1]1_inventory_total_details'!$I$8:$I$10000,"="&amp;invoice_date)+SUMIFS('[1]1_inventory_total_details'!$K$8:$K$10000,'[1]1_inventory_total_details'!$C$8:$C$10000,I76,'[1]1_inventory_total_details'!$F$8:$F$10000,invoice_location_id,'[1]1_inventory_total_details'!$G$8:$G$10000,"="&amp;Q76,'[1]1_inventory_total_details'!$H$8:$H$10000,"="&amp;R76,'[1]1_inventory_total_details'!$I$8:$I$10000,"="&amp;invoice_date)+SUMIFS('[1]1_inventory_total_details'!$L$8:$L$10000,'[1]1_inventory_total_details'!$C$8:$C$10000,I76,'[1]1_inventory_total_details'!$F$8:$F$10000,invoice_location_id,'[1]1_inventory_total_details'!$G$8:$G$10000,"="&amp;Q76,'[1]1_inventory_total_details'!$H$8:$H$10000,"="&amp;R76,'[1]1_inventory_total_details'!$I$8:$I$10000,"="&amp;invoice_date),SUMIFS('[1]2_inventory_total_details'!$J$8:$J$10000,'[1]2_inventory_total_details'!$C$8:$C$10000,I76,'[1]2_inventory_total_details'!$F$8:$F$10000,invoice_location_id,'[1]2_inventory_total_details'!$G$8:$G$10000,"="&amp;Q76,'[1]2_inventory_total_details'!$H$8:$H$10000,"="&amp;R76,'[1]2_inventory_total_details'!$I$8:$I$10000,"="&amp;invoice_date)+SUMIFS('[1]2_inventory_total_details'!$M$8:$M$10000,'[1]2_inventory_total_details'!$C$8:$C$10000,I76,'[1]2_inventory_total_details'!$F$8:$F$10000,invoice_location_id,'[1]2_inventory_total_details'!$G$8:$G$10000,"="&amp;Q76,'[1]2_inventory_total_details'!$H$8:$H$10000,"="&amp;R76,'[1]2_inventory_total_details'!$I$8:$I$10000,"="&amp;invoice_date)+SUMIFS('[1]2_inventory_total_details'!$K$8:$K$10000,'[1]2_inventory_total_details'!$C$8:$C$10000,I76,'[1]2_inventory_total_details'!$F$8:$F$10000,invoice_location_id,'[1]2_inventory_total_details'!$G$8:$G$10000,"="&amp;Q76,'[1]2_inventory_total_details'!$H$8:$H$10000,"="&amp;R76,'[1]2_inventory_total_details'!$I$8:$I$10000,"="&amp;invoice_date)+SUMIFS('[1]2_inventory_total_details'!$L$8:$L$10000,'[1]2_inventory_total_details'!$C$8:$C$10000,I76,'[1]2_inventory_total_details'!$F$8:$F$10000,invoice_location_id,'[1]2_inventory_total_details'!$G$8:$G$10000,"="&amp;Q76,'[1]2_inventory_total_details'!$H$8:$H$10000,"="&amp;R76,'[1]2_inventory_total_details'!$I$8:$I$10000,"="&amp;invoice_date)))</f>
        <v/>
      </c>
      <c r="AJ76" s="197" t="str">
        <f>IF(M76="","",IF(ISNA(MATCH(I76,'[1]1_group_totals'!$C$8:$C$10000)),0,IF(AW76&gt;0,1,0)))</f>
        <v/>
      </c>
      <c r="AK76" s="197" t="str">
        <f>IF(M76="","",(SUMIFS('[1]1_group_total_details'!$I$8:$I$10000,'[1]1_group_total_details'!$C$8:$C$10000,I76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76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76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76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76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76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76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76,'[1]1_group_total_details'!$F$8:$F$10000,invoice_location_group_id,'[1]1_group_total_details'!$G$8:$G$10000,invoice_location_id,'[1]1_group_total_details'!$H$8:$H$10000,"="&amp;invoice_date)))</f>
        <v/>
      </c>
      <c r="AL76" s="197" t="str">
        <f>IF(M76="","",(SUMIFS('[1]1_group_total_details'!$I$8:$I$10000,'[1]1_group_total_details'!$C$8:$C$10000,I76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76,'[1]1_group_total_details'!$F$8:$F$10000,invoice_location_group_id,'[1]1_group_total_details'!$G$8:$G$10000,1,'[1]1_group_total_details'!$H$8:$H$10000,"&lt;="&amp;invoice_date)+SUMIFS('[1]1_group_total_details'!$N$8:$N$10000,'[1]1_group_total_details'!$C$8:$C$10000,I76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76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76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76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76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76,'[1]1_group_total_details'!$F$8:$F$10000,invoice_location_group_id,'[1]1_group_total_details'!$G$8:$G$10000,invoice_location_id,'[1]1_group_total_details'!$H$8:$H$10000,"&lt;="&amp;invoice_date)))</f>
        <v/>
      </c>
      <c r="AM76" s="197" t="str">
        <f>IF(M76="","",SUMIFS('[1]1_group_totals'!$J$8:$J$10000,'[1]1_group_totals'!$C$8:$C$10000,I76,'[1]1_group_totals'!$F$8:$F$10000,invoice_location_group_id,'[1]1_group_totals'!$G$8:$G$10000,invoice_location_id,'[1]1_group_totals'!$H$8:$H$10000,"="&amp;Q76,'[1]1_group_totals'!$I$8:$I$10000,"="&amp;R76))</f>
        <v/>
      </c>
      <c r="AN76" s="197" t="str">
        <f t="shared" si="47"/>
        <v/>
      </c>
      <c r="AO76" s="197" t="str">
        <f>IF(OR(ISNA(MATCH(MID(AN76,1,3)*1,UomConversion!$D$8:$D$500,0)),M76=""),"",IF(AT76="","",AT76))</f>
        <v/>
      </c>
      <c r="AP76" s="197" t="str">
        <f>IF(AND(AQ76&gt;0,COUNTIFS(UomConversion!$D$8:$D$500,MID(AN76,1,3)*1,UomConversion!$J$8:$J$500,1)&gt;1),TEXT(AQ76,"000")&amp;"."&amp;VLOOKUP(AQ76,uom_list,5,FALSE),"")</f>
        <v/>
      </c>
      <c r="AQ76" s="197" t="str">
        <f t="shared" si="48"/>
        <v/>
      </c>
      <c r="AR76" s="197" t="str">
        <f t="shared" si="49"/>
        <v/>
      </c>
      <c r="AS76" s="1866" t="str">
        <f>IF(M76="","",SUMIFS(ProductPrice!$N$28:$N$10000,ProductPrice!$D$28:$D$10000,I76,ProductPrice!$G$28:$G$10000,invoice_branch_id,ProductPrice!$H$28:$H$10000,invoice_price_type_id,ProductPrice!$I$28:$I$10000,MID(P76,1,3)*1,ProductPrice!$Q$28:$Q$10000,1,ProductPrice!$T$28:$T$10000,1))</f>
        <v/>
      </c>
      <c r="AT76" s="197" t="str">
        <f t="shared" si="36"/>
        <v/>
      </c>
      <c r="AU76" s="197" t="str" cm="1">
        <f t="array" ref="AU76">IF(M76="","",IF(ISNA(Slookup(MID(AN76,1,3)*1,UomConversion!$D$8:$J$500,2,UomConversion!$I$8:$I$500,1,UomConversion!$J$8:$J$500,1)),"",Slookup(MID(AN76,1,3)*1,UomConversion!$D$8:$J$500,2,UomConversion!$I$8:$I$500,1,UomConversion!$J$8:$J$500,1)))</f>
        <v/>
      </c>
      <c r="AV76" s="197" t="str">
        <f t="shared" si="37"/>
        <v/>
      </c>
      <c r="AW76" s="197" t="str">
        <f>IF(M76="","",(SUMIFS('[1]1_group_totals'!$K$8:$K$10000,'[1]1_group_totals'!$C$8:$C$10000,I76,'[1]1_group_totals'!$F$8:$F$10000,invoice_location_group_id,'[1]1_group_totals'!$G$8:$G$10000,invoice_location_id,'[1]1_group_totals'!$H$8:$H$10000,"="&amp;Q76,'[1]1_group_totals'!$I$8:$I$10000,"="&amp;R76)+SUMIFS('[1]1_group_totals'!$N$8:$N$10000,'[1]1_group_totals'!$C$8:$C$10000,I76,'[1]1_group_totals'!$F$8:$F$10000,invoice_location_group_id,'[1]1_group_totals'!$G$8:$G$10000,invoice_location_id,'[1]1_group_totals'!$H$8:$H$10000,"="&amp;Q76,'[1]1_group_totals'!$I$8:$I$10000,"="&amp;R76)+SUMIFS('[1]1_group_totals'!$P$8:$P$10000,'[1]1_group_totals'!$C$8:$C$10000,I76,'[1]1_group_totals'!$F$8:$F$10000,invoice_location_group_id,'[1]1_group_totals'!$G$8:$G$10000,invoice_location_id,'[1]1_group_totals'!$H$8:$H$10000,"="&amp;Q76,'[1]1_group_totals'!$I$8:$I$10000,"="&amp;R76)+SUMIFS('[1]1_group_totals'!$Q$8:$Q$10000,'[1]1_group_totals'!$C$8:$C$10000,I76,'[1]1_group_totals'!$F$8:$F$10000,invoice_location_group_id,'[1]1_group_totals'!$G$8:$G$10000,invoice_location_id,'[1]1_group_totals'!$H$8:$H$10000,"="&amp;Q76,'[1]1_group_totals'!$I$8:$I$10000,"="&amp;R76))+(SUMIFS('[1]1_group_totals'!$L$8:$L$10000,'[1]1_group_totals'!$C$8:$C$10000,I76,'[1]1_group_totals'!$F$8:$F$10000,invoice_location_group_id,'[1]1_group_totals'!$G$8:$G$10000,invoice_location_id,'[1]1_group_totals'!$H$8:$H$10000,"="&amp;Q76,'[1]1_group_totals'!$I$8:$I$10000,"="&amp;R76)+SUMIFS('[1]1_group_totals'!$M$8:$M$10000,'[1]1_group_totals'!$C$8:$C$10000,I76,'[1]1_group_totals'!$F$8:$F$10000,invoice_location_group_id,'[1]1_group_totals'!$G$8:$G$10000,invoice_location_id,'[1]1_group_totals'!$H$8:$H$10000,"="&amp;Q76,'[1]1_group_totals'!$I$8:$I$10000,"="&amp;R76)+SUMIFS('[1]1_group_totals'!$O$8:$O$10000,'[1]1_group_totals'!$C$8:$C$10000,I76,'[1]1_group_totals'!$F$8:$F$10000,invoice_location_group_id,'[1]1_group_totals'!$G$8:$G$10000,invoice_location_id,'[1]1_group_totals'!$H$8:$H$10000,"="&amp;Q76,'[1]1_group_totals'!$I$8:$I$10000,"="&amp;R76)+SUMIFS('[1]1_group_totals'!$R$8:$R$10000,'[1]1_group_totals'!$C$8:$C$10000,I76,'[1]1_group_totals'!$F$8:$F$10000,invoice_location_group_id,'[1]1_group_totals'!$G$8:$G$10000,invoice_location_id,'[1]1_group_totals'!$H$8:$H$10000,"="&amp;Q76,'[1]1_group_totals'!$I$8:$I$10000,"="&amp;R76)))</f>
        <v/>
      </c>
      <c r="AX76" s="197" t="str">
        <f t="shared" si="50"/>
        <v/>
      </c>
      <c r="AY76" s="197" t="str">
        <f>IF(M76="","",SUMIFS($AX$8:AX76,$I$8:I76,I76))</f>
        <v/>
      </c>
      <c r="AZ76" s="197" t="str">
        <f t="shared" si="51"/>
        <v/>
      </c>
      <c r="BA76" s="197" t="str">
        <f>IF(M76="","",(SUMIFS('[1]1_inventory_totals'!$I$8:$I$10000,'[1]1_inventory_totals'!$C$8:$C$10000,I76,'[1]1_inventory_totals'!$F$8:$F$10000,"="&amp;Q76,'[1]1_inventory_totals'!$G$8:$G$10000,"="&amp;R76)+SUMIFS('[1]1_inventory_totals'!$N$8:$N$10000,'[1]1_inventory_totals'!$C$8:$C$10000,I76,'[1]1_inventory_totals'!$F$8:$F$10000,"="&amp;Q76,'[1]1_inventory_totals'!$G$8:$G$10000,"="&amp;R76)+SUMIFS('[1]1_inventory_totals'!$P$8:$P$10000,'[1]1_inventory_totals'!$C$8:$C$10000,I76,'[1]1_inventory_totals'!$F$8:$F$10000,"="&amp;Q76,'[1]1_inventory_totals'!$G$8:$G$10000,"="&amp;R76)+SUMIFS('[1]1_inventory_totals'!$Q$8:$Q$10000,'[1]1_inventory_totals'!$C$8:$C$10000,I76,'[1]1_inventory_totals'!$F$8:$F$10000,"="&amp;Q76,'[1]1_inventory_totals'!$G$8:$G$10000,"="&amp;R76)+SUMIFS('[1]1_inventory_totals'!$R$8:$R$10000,'[1]1_inventory_totals'!$C$8:$C$10000,I76,'[1]1_inventory_totals'!$F$8:$F$10000,"="&amp;Q76,'[1]1_inventory_totals'!$G$8:$G$10000,"="&amp;R76))+(SUMIFS('[1]1_inventory_totals'!$J$8:$J$10000,'[1]1_inventory_totals'!$C$8:$C$10000,I76,'[1]1_inventory_totals'!$F$8:$F$10000,"="&amp;Q76,'[1]1_inventory_totals'!$G$8:$G$10000,"="&amp;R76)+SUMIFS('[1]1_inventory_totals'!$K$8:$K$10000,'[1]1_inventory_totals'!$C$8:$C$10000,I76,'[1]1_inventory_totals'!$F$8:$F$10000,"="&amp;Q76,'[1]1_inventory_totals'!$G$8:$G$10000,"="&amp;R76)+SUMIFS('[1]1_inventory_totals'!$L$8:$L$10000,'[1]1_inventory_totals'!$C$8:$C$10000,I76,'[1]1_inventory_totals'!$F$8:$F$10000,"="&amp;Q76,'[1]1_inventory_totals'!$G$8:$G$10000,"="&amp;R76)+SUMIFS('[1]1_inventory_totals'!$M$8:$M$10000,'[1]1_inventory_totals'!$C$8:$C$10000,I76,'[1]1_inventory_totals'!$F$8:$F$10000,"="&amp;Q76,'[1]1_inventory_totals'!$G$8:$G$10000,"="&amp;R76)+SUMIFS('[1]1_inventory_totals'!$O$8:$O$10000,'[1]1_inventory_totals'!$C$8:$C$10000,I76,'[1]1_inventory_totals'!$F$8:$F$10000,"="&amp;Q76,'[1]1_inventory_totals'!$G$8:$G$10000,"="&amp;R76)+SUMIFS('[1]1_inventory_totals'!$S$8:$S$10000,'[1]1_inventory_totals'!$C$8:$C$10000,I76,'[1]1_inventory_totals'!$F$8:$F$10000,"="&amp;Q76,'[1]1_inventory_totals'!$G$8:$G$10000,"="&amp;R76)))</f>
        <v/>
      </c>
      <c r="BB76" s="197" t="str">
        <f>IF(M76="","",(SUMIFS('[1]2_inventory_totals'!$I$8:$I$10000,'[1]2_inventory_totals'!$C$8:$C$10000,I76,'[1]2_inventory_totals'!$F$8:$F$10000,"="&amp;Q76,'[1]2_inventory_totals'!$G$8:$G$10000,"="&amp;R76)+SUMIFS('[1]2_inventory_totals'!$N$8:$N$10000,'[1]2_inventory_totals'!$C$8:$C$10000,I76,'[1]2_inventory_totals'!$F$8:$F$10000,"="&amp;Q76,'[1]2_inventory_totals'!$G$8:$G$10000,"="&amp;R76)+SUMIFS('[1]2_inventory_totals'!$P$8:$P$10000,'[1]2_inventory_totals'!$C$8:$C$10000,I76,'[1]2_inventory_totals'!$F$8:$F$10000,"="&amp;Q76,'[1]2_inventory_totals'!$G$8:$G$10000,"="&amp;R76)+SUMIFS('[1]2_inventory_totals'!$Q$8:$Q$10000,'[1]2_inventory_totals'!$C$8:$C$10000,I76,'[1]2_inventory_totals'!$F$8:$F$10000,"="&amp;Q76,'[1]2_inventory_totals'!$G$8:$G$10000,"="&amp;R76)+SUMIFS('[1]2_inventory_totals'!$R$8:$R$10000,'[1]2_inventory_totals'!$C$8:$C$10000,I76,'[1]2_inventory_totals'!$F$8:$F$10000,"="&amp;Q76,'[1]2_inventory_totals'!$G$8:$G$10000,"="&amp;R76))+(SUMIFS('[1]2_inventory_totals'!$J$8:$J$10000,'[1]2_inventory_totals'!$C$8:$C$10000,I76,'[1]2_inventory_totals'!$F$8:$F$10000,"="&amp;Q76,'[1]2_inventory_totals'!$G$8:$G$10000,"="&amp;R76)+SUMIFS('[1]2_inventory_totals'!$K$8:$K$10000,'[1]2_inventory_totals'!$C$8:$C$10000,I76,'[1]2_inventory_totals'!$F$8:$F$10000,"="&amp;Q76,'[1]2_inventory_totals'!$G$8:$G$10000,"="&amp;R76)+SUMIFS('[1]2_inventory_totals'!$L$8:$L$10000,'[1]2_inventory_totals'!$C$8:$C$10000,I76,'[1]2_inventory_totals'!$F$8:$F$10000,"="&amp;Q76,'[1]2_inventory_totals'!$G$8:$G$10000,"="&amp;R76)+SUMIFS('[1]2_inventory_totals'!$M$8:$M$10000,'[1]2_inventory_totals'!$C$8:$C$10000,I76,'[1]2_inventory_totals'!$F$8:$F$10000,"="&amp;Q76,'[1]2_inventory_totals'!$G$8:$G$10000,"="&amp;R76)+SUMIFS('[1]2_inventory_totals'!$O$8:$O$10000,'[1]2_inventory_totals'!$C$8:$C$10000,I76,'[1]2_inventory_totals'!$F$8:$F$10000,"="&amp;Q76,'[1]2_inventory_totals'!$G$8:$G$10000,"="&amp;R76)+SUMIFS('[1]2_inventory_totals'!$S$8:$S$10000,'[1]2_inventory_totals'!$C$8:$C$10000,I76,'[1]2_inventory_totals'!$F$8:$F$10000,"="&amp;Q76,'[1]2_inventory_totals'!$G$8:$G$10000,"="&amp;R76)))</f>
        <v/>
      </c>
    </row>
    <row r="77" spans="1:54" ht="27" hidden="1" customHeight="1">
      <c r="A77" s="923"/>
      <c r="B77" s="1256"/>
      <c r="C77" s="950"/>
      <c r="D77" s="950"/>
      <c r="E77" s="950"/>
      <c r="F77" s="1257"/>
      <c r="G77" s="941"/>
      <c r="H77" s="951"/>
      <c r="I77" s="1610" t="str">
        <f t="shared" si="38"/>
        <v/>
      </c>
      <c r="J77" s="1611" t="str">
        <f t="shared" si="39"/>
        <v/>
      </c>
      <c r="K77" s="1612" t="str">
        <f t="shared" si="31"/>
        <v/>
      </c>
      <c r="L77" s="1613"/>
      <c r="M77" s="883"/>
      <c r="N77" s="884"/>
      <c r="O77" s="884"/>
      <c r="P77" s="885"/>
      <c r="Q77" s="886"/>
      <c r="R77" s="891"/>
      <c r="S77" s="1614" t="str">
        <f t="shared" si="32"/>
        <v/>
      </c>
      <c r="T77" s="1536"/>
      <c r="U77" s="1864" t="str">
        <f t="shared" si="40"/>
        <v/>
      </c>
      <c r="V77" s="1615" t="str">
        <f t="shared" si="33"/>
        <v/>
      </c>
      <c r="W77" s="889"/>
      <c r="X77" s="1615" t="str">
        <f t="shared" si="34"/>
        <v/>
      </c>
      <c r="Y77" s="1865" t="str">
        <f t="shared" si="41"/>
        <v/>
      </c>
      <c r="Z77" s="890"/>
      <c r="AA77" s="197" t="str" cm="1">
        <f t="array" ref="AA77">IF(M77="","",IF(P77=AN77,1,Slookup(MID(AN77,1,3)*1,UomConversion!$D$8:$J$500,5,UomConversion!$E$8:$E$500,MID(P77,1,3)*1,UomConversion!$J$8:$J$500,1)))</f>
        <v/>
      </c>
      <c r="AB77" s="197" t="str">
        <f t="shared" si="42"/>
        <v/>
      </c>
      <c r="AC77" s="197" t="str">
        <f t="shared" si="43"/>
        <v/>
      </c>
      <c r="AD77" s="197" t="str">
        <f t="shared" si="44"/>
        <v/>
      </c>
      <c r="AE77" s="1866" t="str">
        <f t="shared" si="45"/>
        <v/>
      </c>
      <c r="AF77" s="1866" t="str">
        <f t="shared" si="35"/>
        <v/>
      </c>
      <c r="AG77" s="197" t="str">
        <f t="shared" si="46"/>
        <v/>
      </c>
      <c r="AH77" s="197" t="str">
        <f>IF(I77="","",IF(ISNA(MATCH(I77,IF(invoice_location_id=1,'[1]1_inventory_totals'!$C$8:$C$10000,IF(invoice_location_id=2,'[1]2_inventory_totals'!$C$8:$C$10000,0)),0)),0,IF(AV77&gt;0,1,0)))</f>
        <v/>
      </c>
      <c r="AI77" s="197" t="str">
        <f>IF(M77="","",IF(invoice_location_id=1,SUMIFS('[1]1_inventory_total_details'!$J$8:$J$10000,'[1]1_inventory_total_details'!$C$8:$C$10000,I77,'[1]1_inventory_total_details'!$F$8:$F$10000,invoice_location_id,'[1]1_inventory_total_details'!$G$8:$G$10000,"="&amp;Q77,'[1]1_inventory_total_details'!$H$8:$H$10000,"="&amp;R77,'[1]1_inventory_total_details'!$I$8:$I$10000,"="&amp;invoice_date)+SUMIFS('[1]1_inventory_total_details'!$M$8:$M$10000,'[1]1_inventory_total_details'!$C$8:$C$10000,I77,'[1]1_inventory_total_details'!$F$8:$F$10000,invoice_location_id,'[1]1_inventory_total_details'!$G$8:$G$10000,"="&amp;Q77,'[1]1_inventory_total_details'!$H$8:$H$10000,"="&amp;R77,'[1]1_inventory_total_details'!$I$8:$I$10000,"="&amp;invoice_date)+SUMIFS('[1]1_inventory_total_details'!$K$8:$K$10000,'[1]1_inventory_total_details'!$C$8:$C$10000,I77,'[1]1_inventory_total_details'!$F$8:$F$10000,invoice_location_id,'[1]1_inventory_total_details'!$G$8:$G$10000,"="&amp;Q77,'[1]1_inventory_total_details'!$H$8:$H$10000,"="&amp;R77,'[1]1_inventory_total_details'!$I$8:$I$10000,"="&amp;invoice_date)+SUMIFS('[1]1_inventory_total_details'!$L$8:$L$10000,'[1]1_inventory_total_details'!$C$8:$C$10000,I77,'[1]1_inventory_total_details'!$F$8:$F$10000,invoice_location_id,'[1]1_inventory_total_details'!$G$8:$G$10000,"="&amp;Q77,'[1]1_inventory_total_details'!$H$8:$H$10000,"="&amp;R77,'[1]1_inventory_total_details'!$I$8:$I$10000,"="&amp;invoice_date),SUMIFS('[1]2_inventory_total_details'!$J$8:$J$10000,'[1]2_inventory_total_details'!$C$8:$C$10000,I77,'[1]2_inventory_total_details'!$F$8:$F$10000,invoice_location_id,'[1]2_inventory_total_details'!$G$8:$G$10000,"="&amp;Q77,'[1]2_inventory_total_details'!$H$8:$H$10000,"="&amp;R77,'[1]2_inventory_total_details'!$I$8:$I$10000,"="&amp;invoice_date)+SUMIFS('[1]2_inventory_total_details'!$M$8:$M$10000,'[1]2_inventory_total_details'!$C$8:$C$10000,I77,'[1]2_inventory_total_details'!$F$8:$F$10000,invoice_location_id,'[1]2_inventory_total_details'!$G$8:$G$10000,"="&amp;Q77,'[1]2_inventory_total_details'!$H$8:$H$10000,"="&amp;R77,'[1]2_inventory_total_details'!$I$8:$I$10000,"="&amp;invoice_date)+SUMIFS('[1]2_inventory_total_details'!$K$8:$K$10000,'[1]2_inventory_total_details'!$C$8:$C$10000,I77,'[1]2_inventory_total_details'!$F$8:$F$10000,invoice_location_id,'[1]2_inventory_total_details'!$G$8:$G$10000,"="&amp;Q77,'[1]2_inventory_total_details'!$H$8:$H$10000,"="&amp;R77,'[1]2_inventory_total_details'!$I$8:$I$10000,"="&amp;invoice_date)+SUMIFS('[1]2_inventory_total_details'!$L$8:$L$10000,'[1]2_inventory_total_details'!$C$8:$C$10000,I77,'[1]2_inventory_total_details'!$F$8:$F$10000,invoice_location_id,'[1]2_inventory_total_details'!$G$8:$G$10000,"="&amp;Q77,'[1]2_inventory_total_details'!$H$8:$H$10000,"="&amp;R77,'[1]2_inventory_total_details'!$I$8:$I$10000,"="&amp;invoice_date)))</f>
        <v/>
      </c>
      <c r="AJ77" s="197" t="str">
        <f>IF(M77="","",IF(ISNA(MATCH(I77,'[1]1_group_totals'!$C$8:$C$10000)),0,IF(AW77&gt;0,1,0)))</f>
        <v/>
      </c>
      <c r="AK77" s="197" t="str">
        <f>IF(M77="","",(SUMIFS('[1]1_group_total_details'!$I$8:$I$10000,'[1]1_group_total_details'!$C$8:$C$10000,I77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77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77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77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77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77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77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77,'[1]1_group_total_details'!$F$8:$F$10000,invoice_location_group_id,'[1]1_group_total_details'!$G$8:$G$10000,invoice_location_id,'[1]1_group_total_details'!$H$8:$H$10000,"="&amp;invoice_date)))</f>
        <v/>
      </c>
      <c r="AL77" s="197" t="str">
        <f>IF(M77="","",(SUMIFS('[1]1_group_total_details'!$I$8:$I$10000,'[1]1_group_total_details'!$C$8:$C$10000,I77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77,'[1]1_group_total_details'!$F$8:$F$10000,invoice_location_group_id,'[1]1_group_total_details'!$G$8:$G$10000,1,'[1]1_group_total_details'!$H$8:$H$10000,"&lt;="&amp;invoice_date)+SUMIFS('[1]1_group_total_details'!$N$8:$N$10000,'[1]1_group_total_details'!$C$8:$C$10000,I77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77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77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77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77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77,'[1]1_group_total_details'!$F$8:$F$10000,invoice_location_group_id,'[1]1_group_total_details'!$G$8:$G$10000,invoice_location_id,'[1]1_group_total_details'!$H$8:$H$10000,"&lt;="&amp;invoice_date)))</f>
        <v/>
      </c>
      <c r="AM77" s="197" t="str">
        <f>IF(M77="","",SUMIFS('[1]1_group_totals'!$J$8:$J$10000,'[1]1_group_totals'!$C$8:$C$10000,I77,'[1]1_group_totals'!$F$8:$F$10000,invoice_location_group_id,'[1]1_group_totals'!$G$8:$G$10000,invoice_location_id,'[1]1_group_totals'!$H$8:$H$10000,"="&amp;Q77,'[1]1_group_totals'!$I$8:$I$10000,"="&amp;R77))</f>
        <v/>
      </c>
      <c r="AN77" s="197" t="str">
        <f t="shared" si="47"/>
        <v/>
      </c>
      <c r="AO77" s="197" t="str">
        <f>IF(OR(ISNA(MATCH(MID(AN77,1,3)*1,UomConversion!$D$8:$D$500,0)),M77=""),"",IF(AT77="","",AT77))</f>
        <v/>
      </c>
      <c r="AP77" s="197" t="str">
        <f>IF(AND(AQ77&gt;0,COUNTIFS(UomConversion!$D$8:$D$500,MID(AN77,1,3)*1,UomConversion!$J$8:$J$500,1)&gt;1),TEXT(AQ77,"000")&amp;"."&amp;VLOOKUP(AQ77,uom_list,5,FALSE),"")</f>
        <v/>
      </c>
      <c r="AQ77" s="197" t="str">
        <f t="shared" si="48"/>
        <v/>
      </c>
      <c r="AR77" s="197" t="str">
        <f t="shared" si="49"/>
        <v/>
      </c>
      <c r="AS77" s="1866" t="str">
        <f>IF(M77="","",SUMIFS(ProductPrice!$N$28:$N$10000,ProductPrice!$D$28:$D$10000,I77,ProductPrice!$G$28:$G$10000,invoice_branch_id,ProductPrice!$H$28:$H$10000,invoice_price_type_id,ProductPrice!$I$28:$I$10000,MID(P77,1,3)*1,ProductPrice!$Q$28:$Q$10000,1,ProductPrice!$T$28:$T$10000,1))</f>
        <v/>
      </c>
      <c r="AT77" s="197" t="str">
        <f t="shared" si="36"/>
        <v/>
      </c>
      <c r="AU77" s="197" t="str" cm="1">
        <f t="array" ref="AU77">IF(M77="","",IF(ISNA(Slookup(MID(AN77,1,3)*1,UomConversion!$D$8:$J$500,2,UomConversion!$I$8:$I$500,1,UomConversion!$J$8:$J$500,1)),"",Slookup(MID(AN77,1,3)*1,UomConversion!$D$8:$J$500,2,UomConversion!$I$8:$I$500,1,UomConversion!$J$8:$J$500,1)))</f>
        <v/>
      </c>
      <c r="AV77" s="197" t="str">
        <f t="shared" si="37"/>
        <v/>
      </c>
      <c r="AW77" s="197" t="str">
        <f>IF(M77="","",(SUMIFS('[1]1_group_totals'!$K$8:$K$10000,'[1]1_group_totals'!$C$8:$C$10000,I77,'[1]1_group_totals'!$F$8:$F$10000,invoice_location_group_id,'[1]1_group_totals'!$G$8:$G$10000,invoice_location_id,'[1]1_group_totals'!$H$8:$H$10000,"="&amp;Q77,'[1]1_group_totals'!$I$8:$I$10000,"="&amp;R77)+SUMIFS('[1]1_group_totals'!$N$8:$N$10000,'[1]1_group_totals'!$C$8:$C$10000,I77,'[1]1_group_totals'!$F$8:$F$10000,invoice_location_group_id,'[1]1_group_totals'!$G$8:$G$10000,invoice_location_id,'[1]1_group_totals'!$H$8:$H$10000,"="&amp;Q77,'[1]1_group_totals'!$I$8:$I$10000,"="&amp;R77)+SUMIFS('[1]1_group_totals'!$P$8:$P$10000,'[1]1_group_totals'!$C$8:$C$10000,I77,'[1]1_group_totals'!$F$8:$F$10000,invoice_location_group_id,'[1]1_group_totals'!$G$8:$G$10000,invoice_location_id,'[1]1_group_totals'!$H$8:$H$10000,"="&amp;Q77,'[1]1_group_totals'!$I$8:$I$10000,"="&amp;R77)+SUMIFS('[1]1_group_totals'!$Q$8:$Q$10000,'[1]1_group_totals'!$C$8:$C$10000,I77,'[1]1_group_totals'!$F$8:$F$10000,invoice_location_group_id,'[1]1_group_totals'!$G$8:$G$10000,invoice_location_id,'[1]1_group_totals'!$H$8:$H$10000,"="&amp;Q77,'[1]1_group_totals'!$I$8:$I$10000,"="&amp;R77))+(SUMIFS('[1]1_group_totals'!$L$8:$L$10000,'[1]1_group_totals'!$C$8:$C$10000,I77,'[1]1_group_totals'!$F$8:$F$10000,invoice_location_group_id,'[1]1_group_totals'!$G$8:$G$10000,invoice_location_id,'[1]1_group_totals'!$H$8:$H$10000,"="&amp;Q77,'[1]1_group_totals'!$I$8:$I$10000,"="&amp;R77)+SUMIFS('[1]1_group_totals'!$M$8:$M$10000,'[1]1_group_totals'!$C$8:$C$10000,I77,'[1]1_group_totals'!$F$8:$F$10000,invoice_location_group_id,'[1]1_group_totals'!$G$8:$G$10000,invoice_location_id,'[1]1_group_totals'!$H$8:$H$10000,"="&amp;Q77,'[1]1_group_totals'!$I$8:$I$10000,"="&amp;R77)+SUMIFS('[1]1_group_totals'!$O$8:$O$10000,'[1]1_group_totals'!$C$8:$C$10000,I77,'[1]1_group_totals'!$F$8:$F$10000,invoice_location_group_id,'[1]1_group_totals'!$G$8:$G$10000,invoice_location_id,'[1]1_group_totals'!$H$8:$H$10000,"="&amp;Q77,'[1]1_group_totals'!$I$8:$I$10000,"="&amp;R77)+SUMIFS('[1]1_group_totals'!$R$8:$R$10000,'[1]1_group_totals'!$C$8:$C$10000,I77,'[1]1_group_totals'!$F$8:$F$10000,invoice_location_group_id,'[1]1_group_totals'!$G$8:$G$10000,invoice_location_id,'[1]1_group_totals'!$H$8:$H$10000,"="&amp;Q77,'[1]1_group_totals'!$I$8:$I$10000,"="&amp;R77)))</f>
        <v/>
      </c>
      <c r="AX77" s="197" t="str">
        <f t="shared" si="50"/>
        <v/>
      </c>
      <c r="AY77" s="197" t="str">
        <f>IF(M77="","",SUMIFS($AX$8:AX77,$I$8:I77,I77))</f>
        <v/>
      </c>
      <c r="AZ77" s="197" t="str">
        <f t="shared" si="51"/>
        <v/>
      </c>
      <c r="BA77" s="197" t="str">
        <f>IF(M77="","",(SUMIFS('[1]1_inventory_totals'!$I$8:$I$10000,'[1]1_inventory_totals'!$C$8:$C$10000,I77,'[1]1_inventory_totals'!$F$8:$F$10000,"="&amp;Q77,'[1]1_inventory_totals'!$G$8:$G$10000,"="&amp;R77)+SUMIFS('[1]1_inventory_totals'!$N$8:$N$10000,'[1]1_inventory_totals'!$C$8:$C$10000,I77,'[1]1_inventory_totals'!$F$8:$F$10000,"="&amp;Q77,'[1]1_inventory_totals'!$G$8:$G$10000,"="&amp;R77)+SUMIFS('[1]1_inventory_totals'!$P$8:$P$10000,'[1]1_inventory_totals'!$C$8:$C$10000,I77,'[1]1_inventory_totals'!$F$8:$F$10000,"="&amp;Q77,'[1]1_inventory_totals'!$G$8:$G$10000,"="&amp;R77)+SUMIFS('[1]1_inventory_totals'!$Q$8:$Q$10000,'[1]1_inventory_totals'!$C$8:$C$10000,I77,'[1]1_inventory_totals'!$F$8:$F$10000,"="&amp;Q77,'[1]1_inventory_totals'!$G$8:$G$10000,"="&amp;R77)+SUMIFS('[1]1_inventory_totals'!$R$8:$R$10000,'[1]1_inventory_totals'!$C$8:$C$10000,I77,'[1]1_inventory_totals'!$F$8:$F$10000,"="&amp;Q77,'[1]1_inventory_totals'!$G$8:$G$10000,"="&amp;R77))+(SUMIFS('[1]1_inventory_totals'!$J$8:$J$10000,'[1]1_inventory_totals'!$C$8:$C$10000,I77,'[1]1_inventory_totals'!$F$8:$F$10000,"="&amp;Q77,'[1]1_inventory_totals'!$G$8:$G$10000,"="&amp;R77)+SUMIFS('[1]1_inventory_totals'!$K$8:$K$10000,'[1]1_inventory_totals'!$C$8:$C$10000,I77,'[1]1_inventory_totals'!$F$8:$F$10000,"="&amp;Q77,'[1]1_inventory_totals'!$G$8:$G$10000,"="&amp;R77)+SUMIFS('[1]1_inventory_totals'!$L$8:$L$10000,'[1]1_inventory_totals'!$C$8:$C$10000,I77,'[1]1_inventory_totals'!$F$8:$F$10000,"="&amp;Q77,'[1]1_inventory_totals'!$G$8:$G$10000,"="&amp;R77)+SUMIFS('[1]1_inventory_totals'!$M$8:$M$10000,'[1]1_inventory_totals'!$C$8:$C$10000,I77,'[1]1_inventory_totals'!$F$8:$F$10000,"="&amp;Q77,'[1]1_inventory_totals'!$G$8:$G$10000,"="&amp;R77)+SUMIFS('[1]1_inventory_totals'!$O$8:$O$10000,'[1]1_inventory_totals'!$C$8:$C$10000,I77,'[1]1_inventory_totals'!$F$8:$F$10000,"="&amp;Q77,'[1]1_inventory_totals'!$G$8:$G$10000,"="&amp;R77)+SUMIFS('[1]1_inventory_totals'!$S$8:$S$10000,'[1]1_inventory_totals'!$C$8:$C$10000,I77,'[1]1_inventory_totals'!$F$8:$F$10000,"="&amp;Q77,'[1]1_inventory_totals'!$G$8:$G$10000,"="&amp;R77)))</f>
        <v/>
      </c>
      <c r="BB77" s="197" t="str">
        <f>IF(M77="","",(SUMIFS('[1]2_inventory_totals'!$I$8:$I$10000,'[1]2_inventory_totals'!$C$8:$C$10000,I77,'[1]2_inventory_totals'!$F$8:$F$10000,"="&amp;Q77,'[1]2_inventory_totals'!$G$8:$G$10000,"="&amp;R77)+SUMIFS('[1]2_inventory_totals'!$N$8:$N$10000,'[1]2_inventory_totals'!$C$8:$C$10000,I77,'[1]2_inventory_totals'!$F$8:$F$10000,"="&amp;Q77,'[1]2_inventory_totals'!$G$8:$G$10000,"="&amp;R77)+SUMIFS('[1]2_inventory_totals'!$P$8:$P$10000,'[1]2_inventory_totals'!$C$8:$C$10000,I77,'[1]2_inventory_totals'!$F$8:$F$10000,"="&amp;Q77,'[1]2_inventory_totals'!$G$8:$G$10000,"="&amp;R77)+SUMIFS('[1]2_inventory_totals'!$Q$8:$Q$10000,'[1]2_inventory_totals'!$C$8:$C$10000,I77,'[1]2_inventory_totals'!$F$8:$F$10000,"="&amp;Q77,'[1]2_inventory_totals'!$G$8:$G$10000,"="&amp;R77)+SUMIFS('[1]2_inventory_totals'!$R$8:$R$10000,'[1]2_inventory_totals'!$C$8:$C$10000,I77,'[1]2_inventory_totals'!$F$8:$F$10000,"="&amp;Q77,'[1]2_inventory_totals'!$G$8:$G$10000,"="&amp;R77))+(SUMIFS('[1]2_inventory_totals'!$J$8:$J$10000,'[1]2_inventory_totals'!$C$8:$C$10000,I77,'[1]2_inventory_totals'!$F$8:$F$10000,"="&amp;Q77,'[1]2_inventory_totals'!$G$8:$G$10000,"="&amp;R77)+SUMIFS('[1]2_inventory_totals'!$K$8:$K$10000,'[1]2_inventory_totals'!$C$8:$C$10000,I77,'[1]2_inventory_totals'!$F$8:$F$10000,"="&amp;Q77,'[1]2_inventory_totals'!$G$8:$G$10000,"="&amp;R77)+SUMIFS('[1]2_inventory_totals'!$L$8:$L$10000,'[1]2_inventory_totals'!$C$8:$C$10000,I77,'[1]2_inventory_totals'!$F$8:$F$10000,"="&amp;Q77,'[1]2_inventory_totals'!$G$8:$G$10000,"="&amp;R77)+SUMIFS('[1]2_inventory_totals'!$M$8:$M$10000,'[1]2_inventory_totals'!$C$8:$C$10000,I77,'[1]2_inventory_totals'!$F$8:$F$10000,"="&amp;Q77,'[1]2_inventory_totals'!$G$8:$G$10000,"="&amp;R77)+SUMIFS('[1]2_inventory_totals'!$O$8:$O$10000,'[1]2_inventory_totals'!$C$8:$C$10000,I77,'[1]2_inventory_totals'!$F$8:$F$10000,"="&amp;Q77,'[1]2_inventory_totals'!$G$8:$G$10000,"="&amp;R77)+SUMIFS('[1]2_inventory_totals'!$S$8:$S$10000,'[1]2_inventory_totals'!$C$8:$C$10000,I77,'[1]2_inventory_totals'!$F$8:$F$10000,"="&amp;Q77,'[1]2_inventory_totals'!$G$8:$G$10000,"="&amp;R77)))</f>
        <v/>
      </c>
    </row>
    <row r="78" spans="1:54" ht="27" hidden="1" customHeight="1">
      <c r="A78" s="923"/>
      <c r="B78" s="1256"/>
      <c r="C78" s="950"/>
      <c r="D78" s="950"/>
      <c r="E78" s="950"/>
      <c r="F78" s="1257"/>
      <c r="G78" s="941"/>
      <c r="H78" s="951"/>
      <c r="I78" s="1610" t="str">
        <f t="shared" si="38"/>
        <v/>
      </c>
      <c r="J78" s="1611" t="str">
        <f t="shared" si="39"/>
        <v/>
      </c>
      <c r="K78" s="1612" t="str">
        <f t="shared" si="31"/>
        <v/>
      </c>
      <c r="L78" s="1613"/>
      <c r="M78" s="883"/>
      <c r="N78" s="884"/>
      <c r="O78" s="884"/>
      <c r="P78" s="885"/>
      <c r="Q78" s="886"/>
      <c r="R78" s="891"/>
      <c r="S78" s="1614" t="str">
        <f t="shared" si="32"/>
        <v/>
      </c>
      <c r="T78" s="1536"/>
      <c r="U78" s="1864" t="str">
        <f t="shared" si="40"/>
        <v/>
      </c>
      <c r="V78" s="1615" t="str">
        <f t="shared" si="33"/>
        <v/>
      </c>
      <c r="W78" s="889"/>
      <c r="X78" s="1615" t="str">
        <f t="shared" si="34"/>
        <v/>
      </c>
      <c r="Y78" s="1865" t="str">
        <f t="shared" si="41"/>
        <v/>
      </c>
      <c r="Z78" s="890"/>
      <c r="AA78" s="197" t="str" cm="1">
        <f t="array" ref="AA78">IF(M78="","",IF(P78=AN78,1,Slookup(MID(AN78,1,3)*1,UomConversion!$D$8:$J$500,5,UomConversion!$E$8:$E$500,MID(P78,1,3)*1,UomConversion!$J$8:$J$500,1)))</f>
        <v/>
      </c>
      <c r="AB78" s="197" t="str">
        <f t="shared" si="42"/>
        <v/>
      </c>
      <c r="AC78" s="197" t="str">
        <f t="shared" si="43"/>
        <v/>
      </c>
      <c r="AD78" s="197" t="str">
        <f t="shared" si="44"/>
        <v/>
      </c>
      <c r="AE78" s="1866" t="str">
        <f t="shared" si="45"/>
        <v/>
      </c>
      <c r="AF78" s="1866" t="str">
        <f t="shared" si="35"/>
        <v/>
      </c>
      <c r="AG78" s="197" t="str">
        <f t="shared" si="46"/>
        <v/>
      </c>
      <c r="AH78" s="197" t="str">
        <f>IF(I78="","",IF(ISNA(MATCH(I78,IF(invoice_location_id=1,'[1]1_inventory_totals'!$C$8:$C$10000,IF(invoice_location_id=2,'[1]2_inventory_totals'!$C$8:$C$10000,0)),0)),0,IF(AV78&gt;0,1,0)))</f>
        <v/>
      </c>
      <c r="AI78" s="197" t="str">
        <f>IF(M78="","",IF(invoice_location_id=1,SUMIFS('[1]1_inventory_total_details'!$J$8:$J$10000,'[1]1_inventory_total_details'!$C$8:$C$10000,I78,'[1]1_inventory_total_details'!$F$8:$F$10000,invoice_location_id,'[1]1_inventory_total_details'!$G$8:$G$10000,"="&amp;Q78,'[1]1_inventory_total_details'!$H$8:$H$10000,"="&amp;R78,'[1]1_inventory_total_details'!$I$8:$I$10000,"="&amp;invoice_date)+SUMIFS('[1]1_inventory_total_details'!$M$8:$M$10000,'[1]1_inventory_total_details'!$C$8:$C$10000,I78,'[1]1_inventory_total_details'!$F$8:$F$10000,invoice_location_id,'[1]1_inventory_total_details'!$G$8:$G$10000,"="&amp;Q78,'[1]1_inventory_total_details'!$H$8:$H$10000,"="&amp;R78,'[1]1_inventory_total_details'!$I$8:$I$10000,"="&amp;invoice_date)+SUMIFS('[1]1_inventory_total_details'!$K$8:$K$10000,'[1]1_inventory_total_details'!$C$8:$C$10000,I78,'[1]1_inventory_total_details'!$F$8:$F$10000,invoice_location_id,'[1]1_inventory_total_details'!$G$8:$G$10000,"="&amp;Q78,'[1]1_inventory_total_details'!$H$8:$H$10000,"="&amp;R78,'[1]1_inventory_total_details'!$I$8:$I$10000,"="&amp;invoice_date)+SUMIFS('[1]1_inventory_total_details'!$L$8:$L$10000,'[1]1_inventory_total_details'!$C$8:$C$10000,I78,'[1]1_inventory_total_details'!$F$8:$F$10000,invoice_location_id,'[1]1_inventory_total_details'!$G$8:$G$10000,"="&amp;Q78,'[1]1_inventory_total_details'!$H$8:$H$10000,"="&amp;R78,'[1]1_inventory_total_details'!$I$8:$I$10000,"="&amp;invoice_date),SUMIFS('[1]2_inventory_total_details'!$J$8:$J$10000,'[1]2_inventory_total_details'!$C$8:$C$10000,I78,'[1]2_inventory_total_details'!$F$8:$F$10000,invoice_location_id,'[1]2_inventory_total_details'!$G$8:$G$10000,"="&amp;Q78,'[1]2_inventory_total_details'!$H$8:$H$10000,"="&amp;R78,'[1]2_inventory_total_details'!$I$8:$I$10000,"="&amp;invoice_date)+SUMIFS('[1]2_inventory_total_details'!$M$8:$M$10000,'[1]2_inventory_total_details'!$C$8:$C$10000,I78,'[1]2_inventory_total_details'!$F$8:$F$10000,invoice_location_id,'[1]2_inventory_total_details'!$G$8:$G$10000,"="&amp;Q78,'[1]2_inventory_total_details'!$H$8:$H$10000,"="&amp;R78,'[1]2_inventory_total_details'!$I$8:$I$10000,"="&amp;invoice_date)+SUMIFS('[1]2_inventory_total_details'!$K$8:$K$10000,'[1]2_inventory_total_details'!$C$8:$C$10000,I78,'[1]2_inventory_total_details'!$F$8:$F$10000,invoice_location_id,'[1]2_inventory_total_details'!$G$8:$G$10000,"="&amp;Q78,'[1]2_inventory_total_details'!$H$8:$H$10000,"="&amp;R78,'[1]2_inventory_total_details'!$I$8:$I$10000,"="&amp;invoice_date)+SUMIFS('[1]2_inventory_total_details'!$L$8:$L$10000,'[1]2_inventory_total_details'!$C$8:$C$10000,I78,'[1]2_inventory_total_details'!$F$8:$F$10000,invoice_location_id,'[1]2_inventory_total_details'!$G$8:$G$10000,"="&amp;Q78,'[1]2_inventory_total_details'!$H$8:$H$10000,"="&amp;R78,'[1]2_inventory_total_details'!$I$8:$I$10000,"="&amp;invoice_date)))</f>
        <v/>
      </c>
      <c r="AJ78" s="197" t="str">
        <f>IF(M78="","",IF(ISNA(MATCH(I78,'[1]1_group_totals'!$C$8:$C$10000)),0,IF(AW78&gt;0,1,0)))</f>
        <v/>
      </c>
      <c r="AK78" s="197" t="str">
        <f>IF(M78="","",(SUMIFS('[1]1_group_total_details'!$I$8:$I$10000,'[1]1_group_total_details'!$C$8:$C$10000,I78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78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78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78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78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78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78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78,'[1]1_group_total_details'!$F$8:$F$10000,invoice_location_group_id,'[1]1_group_total_details'!$G$8:$G$10000,invoice_location_id,'[1]1_group_total_details'!$H$8:$H$10000,"="&amp;invoice_date)))</f>
        <v/>
      </c>
      <c r="AL78" s="197" t="str">
        <f>IF(M78="","",(SUMIFS('[1]1_group_total_details'!$I$8:$I$10000,'[1]1_group_total_details'!$C$8:$C$10000,I78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78,'[1]1_group_total_details'!$F$8:$F$10000,invoice_location_group_id,'[1]1_group_total_details'!$G$8:$G$10000,1,'[1]1_group_total_details'!$H$8:$H$10000,"&lt;="&amp;invoice_date)+SUMIFS('[1]1_group_total_details'!$N$8:$N$10000,'[1]1_group_total_details'!$C$8:$C$10000,I78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78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78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78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78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78,'[1]1_group_total_details'!$F$8:$F$10000,invoice_location_group_id,'[1]1_group_total_details'!$G$8:$G$10000,invoice_location_id,'[1]1_group_total_details'!$H$8:$H$10000,"&lt;="&amp;invoice_date)))</f>
        <v/>
      </c>
      <c r="AM78" s="197" t="str">
        <f>IF(M78="","",SUMIFS('[1]1_group_totals'!$J$8:$J$10000,'[1]1_group_totals'!$C$8:$C$10000,I78,'[1]1_group_totals'!$F$8:$F$10000,invoice_location_group_id,'[1]1_group_totals'!$G$8:$G$10000,invoice_location_id,'[1]1_group_totals'!$H$8:$H$10000,"="&amp;Q78,'[1]1_group_totals'!$I$8:$I$10000,"="&amp;R78))</f>
        <v/>
      </c>
      <c r="AN78" s="197" t="str">
        <f t="shared" si="47"/>
        <v/>
      </c>
      <c r="AO78" s="197" t="str">
        <f>IF(OR(ISNA(MATCH(MID(AN78,1,3)*1,UomConversion!$D$8:$D$500,0)),M78=""),"",IF(AT78="","",AT78))</f>
        <v/>
      </c>
      <c r="AP78" s="197" t="str">
        <f>IF(AND(AQ78&gt;0,COUNTIFS(UomConversion!$D$8:$D$500,MID(AN78,1,3)*1,UomConversion!$J$8:$J$500,1)&gt;1),TEXT(AQ78,"000")&amp;"."&amp;VLOOKUP(AQ78,uom_list,5,FALSE),"")</f>
        <v/>
      </c>
      <c r="AQ78" s="197" t="str">
        <f t="shared" si="48"/>
        <v/>
      </c>
      <c r="AR78" s="197" t="str">
        <f t="shared" si="49"/>
        <v/>
      </c>
      <c r="AS78" s="1866" t="str">
        <f>IF(M78="","",SUMIFS(ProductPrice!$N$28:$N$10000,ProductPrice!$D$28:$D$10000,I78,ProductPrice!$G$28:$G$10000,invoice_branch_id,ProductPrice!$H$28:$H$10000,invoice_price_type_id,ProductPrice!$I$28:$I$10000,MID(P78,1,3)*1,ProductPrice!$Q$28:$Q$10000,1,ProductPrice!$T$28:$T$10000,1))</f>
        <v/>
      </c>
      <c r="AT78" s="197" t="str">
        <f t="shared" si="36"/>
        <v/>
      </c>
      <c r="AU78" s="197" t="str" cm="1">
        <f t="array" ref="AU78">IF(M78="","",IF(ISNA(Slookup(MID(AN78,1,3)*1,UomConversion!$D$8:$J$500,2,UomConversion!$I$8:$I$500,1,UomConversion!$J$8:$J$500,1)),"",Slookup(MID(AN78,1,3)*1,UomConversion!$D$8:$J$500,2,UomConversion!$I$8:$I$500,1,UomConversion!$J$8:$J$500,1)))</f>
        <v/>
      </c>
      <c r="AV78" s="197" t="str">
        <f t="shared" si="37"/>
        <v/>
      </c>
      <c r="AW78" s="197" t="str">
        <f>IF(M78="","",(SUMIFS('[1]1_group_totals'!$K$8:$K$10000,'[1]1_group_totals'!$C$8:$C$10000,I78,'[1]1_group_totals'!$F$8:$F$10000,invoice_location_group_id,'[1]1_group_totals'!$G$8:$G$10000,invoice_location_id,'[1]1_group_totals'!$H$8:$H$10000,"="&amp;Q78,'[1]1_group_totals'!$I$8:$I$10000,"="&amp;R78)+SUMIFS('[1]1_group_totals'!$N$8:$N$10000,'[1]1_group_totals'!$C$8:$C$10000,I78,'[1]1_group_totals'!$F$8:$F$10000,invoice_location_group_id,'[1]1_group_totals'!$G$8:$G$10000,invoice_location_id,'[1]1_group_totals'!$H$8:$H$10000,"="&amp;Q78,'[1]1_group_totals'!$I$8:$I$10000,"="&amp;R78)+SUMIFS('[1]1_group_totals'!$P$8:$P$10000,'[1]1_group_totals'!$C$8:$C$10000,I78,'[1]1_group_totals'!$F$8:$F$10000,invoice_location_group_id,'[1]1_group_totals'!$G$8:$G$10000,invoice_location_id,'[1]1_group_totals'!$H$8:$H$10000,"="&amp;Q78,'[1]1_group_totals'!$I$8:$I$10000,"="&amp;R78)+SUMIFS('[1]1_group_totals'!$Q$8:$Q$10000,'[1]1_group_totals'!$C$8:$C$10000,I78,'[1]1_group_totals'!$F$8:$F$10000,invoice_location_group_id,'[1]1_group_totals'!$G$8:$G$10000,invoice_location_id,'[1]1_group_totals'!$H$8:$H$10000,"="&amp;Q78,'[1]1_group_totals'!$I$8:$I$10000,"="&amp;R78))+(SUMIFS('[1]1_group_totals'!$L$8:$L$10000,'[1]1_group_totals'!$C$8:$C$10000,I78,'[1]1_group_totals'!$F$8:$F$10000,invoice_location_group_id,'[1]1_group_totals'!$G$8:$G$10000,invoice_location_id,'[1]1_group_totals'!$H$8:$H$10000,"="&amp;Q78,'[1]1_group_totals'!$I$8:$I$10000,"="&amp;R78)+SUMIFS('[1]1_group_totals'!$M$8:$M$10000,'[1]1_group_totals'!$C$8:$C$10000,I78,'[1]1_group_totals'!$F$8:$F$10000,invoice_location_group_id,'[1]1_group_totals'!$G$8:$G$10000,invoice_location_id,'[1]1_group_totals'!$H$8:$H$10000,"="&amp;Q78,'[1]1_group_totals'!$I$8:$I$10000,"="&amp;R78)+SUMIFS('[1]1_group_totals'!$O$8:$O$10000,'[1]1_group_totals'!$C$8:$C$10000,I78,'[1]1_group_totals'!$F$8:$F$10000,invoice_location_group_id,'[1]1_group_totals'!$G$8:$G$10000,invoice_location_id,'[1]1_group_totals'!$H$8:$H$10000,"="&amp;Q78,'[1]1_group_totals'!$I$8:$I$10000,"="&amp;R78)+SUMIFS('[1]1_group_totals'!$R$8:$R$10000,'[1]1_group_totals'!$C$8:$C$10000,I78,'[1]1_group_totals'!$F$8:$F$10000,invoice_location_group_id,'[1]1_group_totals'!$G$8:$G$10000,invoice_location_id,'[1]1_group_totals'!$H$8:$H$10000,"="&amp;Q78,'[1]1_group_totals'!$I$8:$I$10000,"="&amp;R78)))</f>
        <v/>
      </c>
      <c r="AX78" s="197" t="str">
        <f t="shared" si="50"/>
        <v/>
      </c>
      <c r="AY78" s="197" t="str">
        <f>IF(M78="","",SUMIFS($AX$8:AX78,$I$8:I78,I78))</f>
        <v/>
      </c>
      <c r="AZ78" s="197" t="str">
        <f t="shared" si="51"/>
        <v/>
      </c>
      <c r="BA78" s="197" t="str">
        <f>IF(M78="","",(SUMIFS('[1]1_inventory_totals'!$I$8:$I$10000,'[1]1_inventory_totals'!$C$8:$C$10000,I78,'[1]1_inventory_totals'!$F$8:$F$10000,"="&amp;Q78,'[1]1_inventory_totals'!$G$8:$G$10000,"="&amp;R78)+SUMIFS('[1]1_inventory_totals'!$N$8:$N$10000,'[1]1_inventory_totals'!$C$8:$C$10000,I78,'[1]1_inventory_totals'!$F$8:$F$10000,"="&amp;Q78,'[1]1_inventory_totals'!$G$8:$G$10000,"="&amp;R78)+SUMIFS('[1]1_inventory_totals'!$P$8:$P$10000,'[1]1_inventory_totals'!$C$8:$C$10000,I78,'[1]1_inventory_totals'!$F$8:$F$10000,"="&amp;Q78,'[1]1_inventory_totals'!$G$8:$G$10000,"="&amp;R78)+SUMIFS('[1]1_inventory_totals'!$Q$8:$Q$10000,'[1]1_inventory_totals'!$C$8:$C$10000,I78,'[1]1_inventory_totals'!$F$8:$F$10000,"="&amp;Q78,'[1]1_inventory_totals'!$G$8:$G$10000,"="&amp;R78)+SUMIFS('[1]1_inventory_totals'!$R$8:$R$10000,'[1]1_inventory_totals'!$C$8:$C$10000,I78,'[1]1_inventory_totals'!$F$8:$F$10000,"="&amp;Q78,'[1]1_inventory_totals'!$G$8:$G$10000,"="&amp;R78))+(SUMIFS('[1]1_inventory_totals'!$J$8:$J$10000,'[1]1_inventory_totals'!$C$8:$C$10000,I78,'[1]1_inventory_totals'!$F$8:$F$10000,"="&amp;Q78,'[1]1_inventory_totals'!$G$8:$G$10000,"="&amp;R78)+SUMIFS('[1]1_inventory_totals'!$K$8:$K$10000,'[1]1_inventory_totals'!$C$8:$C$10000,I78,'[1]1_inventory_totals'!$F$8:$F$10000,"="&amp;Q78,'[1]1_inventory_totals'!$G$8:$G$10000,"="&amp;R78)+SUMIFS('[1]1_inventory_totals'!$L$8:$L$10000,'[1]1_inventory_totals'!$C$8:$C$10000,I78,'[1]1_inventory_totals'!$F$8:$F$10000,"="&amp;Q78,'[1]1_inventory_totals'!$G$8:$G$10000,"="&amp;R78)+SUMIFS('[1]1_inventory_totals'!$M$8:$M$10000,'[1]1_inventory_totals'!$C$8:$C$10000,I78,'[1]1_inventory_totals'!$F$8:$F$10000,"="&amp;Q78,'[1]1_inventory_totals'!$G$8:$G$10000,"="&amp;R78)+SUMIFS('[1]1_inventory_totals'!$O$8:$O$10000,'[1]1_inventory_totals'!$C$8:$C$10000,I78,'[1]1_inventory_totals'!$F$8:$F$10000,"="&amp;Q78,'[1]1_inventory_totals'!$G$8:$G$10000,"="&amp;R78)+SUMIFS('[1]1_inventory_totals'!$S$8:$S$10000,'[1]1_inventory_totals'!$C$8:$C$10000,I78,'[1]1_inventory_totals'!$F$8:$F$10000,"="&amp;Q78,'[1]1_inventory_totals'!$G$8:$G$10000,"="&amp;R78)))</f>
        <v/>
      </c>
      <c r="BB78" s="197" t="str">
        <f>IF(M78="","",(SUMIFS('[1]2_inventory_totals'!$I$8:$I$10000,'[1]2_inventory_totals'!$C$8:$C$10000,I78,'[1]2_inventory_totals'!$F$8:$F$10000,"="&amp;Q78,'[1]2_inventory_totals'!$G$8:$G$10000,"="&amp;R78)+SUMIFS('[1]2_inventory_totals'!$N$8:$N$10000,'[1]2_inventory_totals'!$C$8:$C$10000,I78,'[1]2_inventory_totals'!$F$8:$F$10000,"="&amp;Q78,'[1]2_inventory_totals'!$G$8:$G$10000,"="&amp;R78)+SUMIFS('[1]2_inventory_totals'!$P$8:$P$10000,'[1]2_inventory_totals'!$C$8:$C$10000,I78,'[1]2_inventory_totals'!$F$8:$F$10000,"="&amp;Q78,'[1]2_inventory_totals'!$G$8:$G$10000,"="&amp;R78)+SUMIFS('[1]2_inventory_totals'!$Q$8:$Q$10000,'[1]2_inventory_totals'!$C$8:$C$10000,I78,'[1]2_inventory_totals'!$F$8:$F$10000,"="&amp;Q78,'[1]2_inventory_totals'!$G$8:$G$10000,"="&amp;R78)+SUMIFS('[1]2_inventory_totals'!$R$8:$R$10000,'[1]2_inventory_totals'!$C$8:$C$10000,I78,'[1]2_inventory_totals'!$F$8:$F$10000,"="&amp;Q78,'[1]2_inventory_totals'!$G$8:$G$10000,"="&amp;R78))+(SUMIFS('[1]2_inventory_totals'!$J$8:$J$10000,'[1]2_inventory_totals'!$C$8:$C$10000,I78,'[1]2_inventory_totals'!$F$8:$F$10000,"="&amp;Q78,'[1]2_inventory_totals'!$G$8:$G$10000,"="&amp;R78)+SUMIFS('[1]2_inventory_totals'!$K$8:$K$10000,'[1]2_inventory_totals'!$C$8:$C$10000,I78,'[1]2_inventory_totals'!$F$8:$F$10000,"="&amp;Q78,'[1]2_inventory_totals'!$G$8:$G$10000,"="&amp;R78)+SUMIFS('[1]2_inventory_totals'!$L$8:$L$10000,'[1]2_inventory_totals'!$C$8:$C$10000,I78,'[1]2_inventory_totals'!$F$8:$F$10000,"="&amp;Q78,'[1]2_inventory_totals'!$G$8:$G$10000,"="&amp;R78)+SUMIFS('[1]2_inventory_totals'!$M$8:$M$10000,'[1]2_inventory_totals'!$C$8:$C$10000,I78,'[1]2_inventory_totals'!$F$8:$F$10000,"="&amp;Q78,'[1]2_inventory_totals'!$G$8:$G$10000,"="&amp;R78)+SUMIFS('[1]2_inventory_totals'!$O$8:$O$10000,'[1]2_inventory_totals'!$C$8:$C$10000,I78,'[1]2_inventory_totals'!$F$8:$F$10000,"="&amp;Q78,'[1]2_inventory_totals'!$G$8:$G$10000,"="&amp;R78)+SUMIFS('[1]2_inventory_totals'!$S$8:$S$10000,'[1]2_inventory_totals'!$C$8:$C$10000,I78,'[1]2_inventory_totals'!$F$8:$F$10000,"="&amp;Q78,'[1]2_inventory_totals'!$G$8:$G$10000,"="&amp;R78)))</f>
        <v/>
      </c>
    </row>
    <row r="79" spans="1:54" ht="27" hidden="1" customHeight="1">
      <c r="A79" s="923"/>
      <c r="B79" s="1256"/>
      <c r="C79" s="950"/>
      <c r="D79" s="950"/>
      <c r="E79" s="950"/>
      <c r="F79" s="1257"/>
      <c r="G79" s="941"/>
      <c r="H79" s="951"/>
      <c r="I79" s="1610" t="str">
        <f t="shared" si="38"/>
        <v/>
      </c>
      <c r="J79" s="1611" t="str">
        <f t="shared" si="39"/>
        <v/>
      </c>
      <c r="K79" s="1612" t="str">
        <f t="shared" si="31"/>
        <v/>
      </c>
      <c r="L79" s="1613"/>
      <c r="M79" s="883"/>
      <c r="N79" s="884"/>
      <c r="O79" s="884"/>
      <c r="P79" s="885"/>
      <c r="Q79" s="886"/>
      <c r="R79" s="891"/>
      <c r="S79" s="1614" t="str">
        <f t="shared" si="32"/>
        <v/>
      </c>
      <c r="T79" s="1536"/>
      <c r="U79" s="1864" t="str">
        <f t="shared" si="40"/>
        <v/>
      </c>
      <c r="V79" s="1615" t="str">
        <f t="shared" si="33"/>
        <v/>
      </c>
      <c r="W79" s="889"/>
      <c r="X79" s="1615" t="str">
        <f t="shared" si="34"/>
        <v/>
      </c>
      <c r="Y79" s="1865" t="str">
        <f t="shared" si="41"/>
        <v/>
      </c>
      <c r="Z79" s="890"/>
      <c r="AA79" s="197" t="str" cm="1">
        <f t="array" ref="AA79">IF(M79="","",IF(P79=AN79,1,Slookup(MID(AN79,1,3)*1,UomConversion!$D$8:$J$500,5,UomConversion!$E$8:$E$500,MID(P79,1,3)*1,UomConversion!$J$8:$J$500,1)))</f>
        <v/>
      </c>
      <c r="AB79" s="197" t="str">
        <f t="shared" si="42"/>
        <v/>
      </c>
      <c r="AC79" s="197" t="str">
        <f t="shared" si="43"/>
        <v/>
      </c>
      <c r="AD79" s="197" t="str">
        <f t="shared" si="44"/>
        <v/>
      </c>
      <c r="AE79" s="1866" t="str">
        <f t="shared" si="45"/>
        <v/>
      </c>
      <c r="AF79" s="1866" t="str">
        <f t="shared" si="35"/>
        <v/>
      </c>
      <c r="AG79" s="197" t="str">
        <f t="shared" si="46"/>
        <v/>
      </c>
      <c r="AH79" s="197" t="str">
        <f>IF(I79="","",IF(ISNA(MATCH(I79,IF(invoice_location_id=1,'[1]1_inventory_totals'!$C$8:$C$10000,IF(invoice_location_id=2,'[1]2_inventory_totals'!$C$8:$C$10000,0)),0)),0,IF(AV79&gt;0,1,0)))</f>
        <v/>
      </c>
      <c r="AI79" s="197" t="str">
        <f>IF(M79="","",IF(invoice_location_id=1,SUMIFS('[1]1_inventory_total_details'!$J$8:$J$10000,'[1]1_inventory_total_details'!$C$8:$C$10000,I79,'[1]1_inventory_total_details'!$F$8:$F$10000,invoice_location_id,'[1]1_inventory_total_details'!$G$8:$G$10000,"="&amp;Q79,'[1]1_inventory_total_details'!$H$8:$H$10000,"="&amp;R79,'[1]1_inventory_total_details'!$I$8:$I$10000,"="&amp;invoice_date)+SUMIFS('[1]1_inventory_total_details'!$M$8:$M$10000,'[1]1_inventory_total_details'!$C$8:$C$10000,I79,'[1]1_inventory_total_details'!$F$8:$F$10000,invoice_location_id,'[1]1_inventory_total_details'!$G$8:$G$10000,"="&amp;Q79,'[1]1_inventory_total_details'!$H$8:$H$10000,"="&amp;R79,'[1]1_inventory_total_details'!$I$8:$I$10000,"="&amp;invoice_date)+SUMIFS('[1]1_inventory_total_details'!$K$8:$K$10000,'[1]1_inventory_total_details'!$C$8:$C$10000,I79,'[1]1_inventory_total_details'!$F$8:$F$10000,invoice_location_id,'[1]1_inventory_total_details'!$G$8:$G$10000,"="&amp;Q79,'[1]1_inventory_total_details'!$H$8:$H$10000,"="&amp;R79,'[1]1_inventory_total_details'!$I$8:$I$10000,"="&amp;invoice_date)+SUMIFS('[1]1_inventory_total_details'!$L$8:$L$10000,'[1]1_inventory_total_details'!$C$8:$C$10000,I79,'[1]1_inventory_total_details'!$F$8:$F$10000,invoice_location_id,'[1]1_inventory_total_details'!$G$8:$G$10000,"="&amp;Q79,'[1]1_inventory_total_details'!$H$8:$H$10000,"="&amp;R79,'[1]1_inventory_total_details'!$I$8:$I$10000,"="&amp;invoice_date),SUMIFS('[1]2_inventory_total_details'!$J$8:$J$10000,'[1]2_inventory_total_details'!$C$8:$C$10000,I79,'[1]2_inventory_total_details'!$F$8:$F$10000,invoice_location_id,'[1]2_inventory_total_details'!$G$8:$G$10000,"="&amp;Q79,'[1]2_inventory_total_details'!$H$8:$H$10000,"="&amp;R79,'[1]2_inventory_total_details'!$I$8:$I$10000,"="&amp;invoice_date)+SUMIFS('[1]2_inventory_total_details'!$M$8:$M$10000,'[1]2_inventory_total_details'!$C$8:$C$10000,I79,'[1]2_inventory_total_details'!$F$8:$F$10000,invoice_location_id,'[1]2_inventory_total_details'!$G$8:$G$10000,"="&amp;Q79,'[1]2_inventory_total_details'!$H$8:$H$10000,"="&amp;R79,'[1]2_inventory_total_details'!$I$8:$I$10000,"="&amp;invoice_date)+SUMIFS('[1]2_inventory_total_details'!$K$8:$K$10000,'[1]2_inventory_total_details'!$C$8:$C$10000,I79,'[1]2_inventory_total_details'!$F$8:$F$10000,invoice_location_id,'[1]2_inventory_total_details'!$G$8:$G$10000,"="&amp;Q79,'[1]2_inventory_total_details'!$H$8:$H$10000,"="&amp;R79,'[1]2_inventory_total_details'!$I$8:$I$10000,"="&amp;invoice_date)+SUMIFS('[1]2_inventory_total_details'!$L$8:$L$10000,'[1]2_inventory_total_details'!$C$8:$C$10000,I79,'[1]2_inventory_total_details'!$F$8:$F$10000,invoice_location_id,'[1]2_inventory_total_details'!$G$8:$G$10000,"="&amp;Q79,'[1]2_inventory_total_details'!$H$8:$H$10000,"="&amp;R79,'[1]2_inventory_total_details'!$I$8:$I$10000,"="&amp;invoice_date)))</f>
        <v/>
      </c>
      <c r="AJ79" s="197" t="str">
        <f>IF(M79="","",IF(ISNA(MATCH(I79,'[1]1_group_totals'!$C$8:$C$10000)),0,IF(AW79&gt;0,1,0)))</f>
        <v/>
      </c>
      <c r="AK79" s="197" t="str">
        <f>IF(M79="","",(SUMIFS('[1]1_group_total_details'!$I$8:$I$10000,'[1]1_group_total_details'!$C$8:$C$10000,I79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79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79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79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79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79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79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79,'[1]1_group_total_details'!$F$8:$F$10000,invoice_location_group_id,'[1]1_group_total_details'!$G$8:$G$10000,invoice_location_id,'[1]1_group_total_details'!$H$8:$H$10000,"="&amp;invoice_date)))</f>
        <v/>
      </c>
      <c r="AL79" s="197" t="str">
        <f>IF(M79="","",(SUMIFS('[1]1_group_total_details'!$I$8:$I$10000,'[1]1_group_total_details'!$C$8:$C$10000,I79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79,'[1]1_group_total_details'!$F$8:$F$10000,invoice_location_group_id,'[1]1_group_total_details'!$G$8:$G$10000,1,'[1]1_group_total_details'!$H$8:$H$10000,"&lt;="&amp;invoice_date)+SUMIFS('[1]1_group_total_details'!$N$8:$N$10000,'[1]1_group_total_details'!$C$8:$C$10000,I79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79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79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79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79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79,'[1]1_group_total_details'!$F$8:$F$10000,invoice_location_group_id,'[1]1_group_total_details'!$G$8:$G$10000,invoice_location_id,'[1]1_group_total_details'!$H$8:$H$10000,"&lt;="&amp;invoice_date)))</f>
        <v/>
      </c>
      <c r="AM79" s="197" t="str">
        <f>IF(M79="","",SUMIFS('[1]1_group_totals'!$J$8:$J$10000,'[1]1_group_totals'!$C$8:$C$10000,I79,'[1]1_group_totals'!$F$8:$F$10000,invoice_location_group_id,'[1]1_group_totals'!$G$8:$G$10000,invoice_location_id,'[1]1_group_totals'!$H$8:$H$10000,"="&amp;Q79,'[1]1_group_totals'!$I$8:$I$10000,"="&amp;R79))</f>
        <v/>
      </c>
      <c r="AN79" s="197" t="str">
        <f t="shared" si="47"/>
        <v/>
      </c>
      <c r="AO79" s="197" t="str">
        <f>IF(OR(ISNA(MATCH(MID(AN79,1,3)*1,UomConversion!$D$8:$D$500,0)),M79=""),"",IF(AT79="","",AT79))</f>
        <v/>
      </c>
      <c r="AP79" s="197" t="str">
        <f>IF(AND(AQ79&gt;0,COUNTIFS(UomConversion!$D$8:$D$500,MID(AN79,1,3)*1,UomConversion!$J$8:$J$500,1)&gt;1),TEXT(AQ79,"000")&amp;"."&amp;VLOOKUP(AQ79,uom_list,5,FALSE),"")</f>
        <v/>
      </c>
      <c r="AQ79" s="197" t="str">
        <f t="shared" si="48"/>
        <v/>
      </c>
      <c r="AR79" s="197" t="str">
        <f t="shared" si="49"/>
        <v/>
      </c>
      <c r="AS79" s="1866" t="str">
        <f>IF(M79="","",SUMIFS(ProductPrice!$N$28:$N$10000,ProductPrice!$D$28:$D$10000,I79,ProductPrice!$G$28:$G$10000,invoice_branch_id,ProductPrice!$H$28:$H$10000,invoice_price_type_id,ProductPrice!$I$28:$I$10000,MID(P79,1,3)*1,ProductPrice!$Q$28:$Q$10000,1,ProductPrice!$T$28:$T$10000,1))</f>
        <v/>
      </c>
      <c r="AT79" s="197" t="str">
        <f t="shared" si="36"/>
        <v/>
      </c>
      <c r="AU79" s="197" t="str" cm="1">
        <f t="array" ref="AU79">IF(M79="","",IF(ISNA(Slookup(MID(AN79,1,3)*1,UomConversion!$D$8:$J$500,2,UomConversion!$I$8:$I$500,1,UomConversion!$J$8:$J$500,1)),"",Slookup(MID(AN79,1,3)*1,UomConversion!$D$8:$J$500,2,UomConversion!$I$8:$I$500,1,UomConversion!$J$8:$J$500,1)))</f>
        <v/>
      </c>
      <c r="AV79" s="197" t="str">
        <f t="shared" si="37"/>
        <v/>
      </c>
      <c r="AW79" s="197" t="str">
        <f>IF(M79="","",(SUMIFS('[1]1_group_totals'!$K$8:$K$10000,'[1]1_group_totals'!$C$8:$C$10000,I79,'[1]1_group_totals'!$F$8:$F$10000,invoice_location_group_id,'[1]1_group_totals'!$G$8:$G$10000,invoice_location_id,'[1]1_group_totals'!$H$8:$H$10000,"="&amp;Q79,'[1]1_group_totals'!$I$8:$I$10000,"="&amp;R79)+SUMIFS('[1]1_group_totals'!$N$8:$N$10000,'[1]1_group_totals'!$C$8:$C$10000,I79,'[1]1_group_totals'!$F$8:$F$10000,invoice_location_group_id,'[1]1_group_totals'!$G$8:$G$10000,invoice_location_id,'[1]1_group_totals'!$H$8:$H$10000,"="&amp;Q79,'[1]1_group_totals'!$I$8:$I$10000,"="&amp;R79)+SUMIFS('[1]1_group_totals'!$P$8:$P$10000,'[1]1_group_totals'!$C$8:$C$10000,I79,'[1]1_group_totals'!$F$8:$F$10000,invoice_location_group_id,'[1]1_group_totals'!$G$8:$G$10000,invoice_location_id,'[1]1_group_totals'!$H$8:$H$10000,"="&amp;Q79,'[1]1_group_totals'!$I$8:$I$10000,"="&amp;R79)+SUMIFS('[1]1_group_totals'!$Q$8:$Q$10000,'[1]1_group_totals'!$C$8:$C$10000,I79,'[1]1_group_totals'!$F$8:$F$10000,invoice_location_group_id,'[1]1_group_totals'!$G$8:$G$10000,invoice_location_id,'[1]1_group_totals'!$H$8:$H$10000,"="&amp;Q79,'[1]1_group_totals'!$I$8:$I$10000,"="&amp;R79))+(SUMIFS('[1]1_group_totals'!$L$8:$L$10000,'[1]1_group_totals'!$C$8:$C$10000,I79,'[1]1_group_totals'!$F$8:$F$10000,invoice_location_group_id,'[1]1_group_totals'!$G$8:$G$10000,invoice_location_id,'[1]1_group_totals'!$H$8:$H$10000,"="&amp;Q79,'[1]1_group_totals'!$I$8:$I$10000,"="&amp;R79)+SUMIFS('[1]1_group_totals'!$M$8:$M$10000,'[1]1_group_totals'!$C$8:$C$10000,I79,'[1]1_group_totals'!$F$8:$F$10000,invoice_location_group_id,'[1]1_group_totals'!$G$8:$G$10000,invoice_location_id,'[1]1_group_totals'!$H$8:$H$10000,"="&amp;Q79,'[1]1_group_totals'!$I$8:$I$10000,"="&amp;R79)+SUMIFS('[1]1_group_totals'!$O$8:$O$10000,'[1]1_group_totals'!$C$8:$C$10000,I79,'[1]1_group_totals'!$F$8:$F$10000,invoice_location_group_id,'[1]1_group_totals'!$G$8:$G$10000,invoice_location_id,'[1]1_group_totals'!$H$8:$H$10000,"="&amp;Q79,'[1]1_group_totals'!$I$8:$I$10000,"="&amp;R79)+SUMIFS('[1]1_group_totals'!$R$8:$R$10000,'[1]1_group_totals'!$C$8:$C$10000,I79,'[1]1_group_totals'!$F$8:$F$10000,invoice_location_group_id,'[1]1_group_totals'!$G$8:$G$10000,invoice_location_id,'[1]1_group_totals'!$H$8:$H$10000,"="&amp;Q79,'[1]1_group_totals'!$I$8:$I$10000,"="&amp;R79)))</f>
        <v/>
      </c>
      <c r="AX79" s="197" t="str">
        <f t="shared" si="50"/>
        <v/>
      </c>
      <c r="AY79" s="197" t="str">
        <f>IF(M79="","",SUMIFS($AX$8:AX79,$I$8:I79,I79))</f>
        <v/>
      </c>
      <c r="AZ79" s="197" t="str">
        <f t="shared" si="51"/>
        <v/>
      </c>
      <c r="BA79" s="197" t="str">
        <f>IF(M79="","",(SUMIFS('[1]1_inventory_totals'!$I$8:$I$10000,'[1]1_inventory_totals'!$C$8:$C$10000,I79,'[1]1_inventory_totals'!$F$8:$F$10000,"="&amp;Q79,'[1]1_inventory_totals'!$G$8:$G$10000,"="&amp;R79)+SUMIFS('[1]1_inventory_totals'!$N$8:$N$10000,'[1]1_inventory_totals'!$C$8:$C$10000,I79,'[1]1_inventory_totals'!$F$8:$F$10000,"="&amp;Q79,'[1]1_inventory_totals'!$G$8:$G$10000,"="&amp;R79)+SUMIFS('[1]1_inventory_totals'!$P$8:$P$10000,'[1]1_inventory_totals'!$C$8:$C$10000,I79,'[1]1_inventory_totals'!$F$8:$F$10000,"="&amp;Q79,'[1]1_inventory_totals'!$G$8:$G$10000,"="&amp;R79)+SUMIFS('[1]1_inventory_totals'!$Q$8:$Q$10000,'[1]1_inventory_totals'!$C$8:$C$10000,I79,'[1]1_inventory_totals'!$F$8:$F$10000,"="&amp;Q79,'[1]1_inventory_totals'!$G$8:$G$10000,"="&amp;R79)+SUMIFS('[1]1_inventory_totals'!$R$8:$R$10000,'[1]1_inventory_totals'!$C$8:$C$10000,I79,'[1]1_inventory_totals'!$F$8:$F$10000,"="&amp;Q79,'[1]1_inventory_totals'!$G$8:$G$10000,"="&amp;R79))+(SUMIFS('[1]1_inventory_totals'!$J$8:$J$10000,'[1]1_inventory_totals'!$C$8:$C$10000,I79,'[1]1_inventory_totals'!$F$8:$F$10000,"="&amp;Q79,'[1]1_inventory_totals'!$G$8:$G$10000,"="&amp;R79)+SUMIFS('[1]1_inventory_totals'!$K$8:$K$10000,'[1]1_inventory_totals'!$C$8:$C$10000,I79,'[1]1_inventory_totals'!$F$8:$F$10000,"="&amp;Q79,'[1]1_inventory_totals'!$G$8:$G$10000,"="&amp;R79)+SUMIFS('[1]1_inventory_totals'!$L$8:$L$10000,'[1]1_inventory_totals'!$C$8:$C$10000,I79,'[1]1_inventory_totals'!$F$8:$F$10000,"="&amp;Q79,'[1]1_inventory_totals'!$G$8:$G$10000,"="&amp;R79)+SUMIFS('[1]1_inventory_totals'!$M$8:$M$10000,'[1]1_inventory_totals'!$C$8:$C$10000,I79,'[1]1_inventory_totals'!$F$8:$F$10000,"="&amp;Q79,'[1]1_inventory_totals'!$G$8:$G$10000,"="&amp;R79)+SUMIFS('[1]1_inventory_totals'!$O$8:$O$10000,'[1]1_inventory_totals'!$C$8:$C$10000,I79,'[1]1_inventory_totals'!$F$8:$F$10000,"="&amp;Q79,'[1]1_inventory_totals'!$G$8:$G$10000,"="&amp;R79)+SUMIFS('[1]1_inventory_totals'!$S$8:$S$10000,'[1]1_inventory_totals'!$C$8:$C$10000,I79,'[1]1_inventory_totals'!$F$8:$F$10000,"="&amp;Q79,'[1]1_inventory_totals'!$G$8:$G$10000,"="&amp;R79)))</f>
        <v/>
      </c>
      <c r="BB79" s="197" t="str">
        <f>IF(M79="","",(SUMIFS('[1]2_inventory_totals'!$I$8:$I$10000,'[1]2_inventory_totals'!$C$8:$C$10000,I79,'[1]2_inventory_totals'!$F$8:$F$10000,"="&amp;Q79,'[1]2_inventory_totals'!$G$8:$G$10000,"="&amp;R79)+SUMIFS('[1]2_inventory_totals'!$N$8:$N$10000,'[1]2_inventory_totals'!$C$8:$C$10000,I79,'[1]2_inventory_totals'!$F$8:$F$10000,"="&amp;Q79,'[1]2_inventory_totals'!$G$8:$G$10000,"="&amp;R79)+SUMIFS('[1]2_inventory_totals'!$P$8:$P$10000,'[1]2_inventory_totals'!$C$8:$C$10000,I79,'[1]2_inventory_totals'!$F$8:$F$10000,"="&amp;Q79,'[1]2_inventory_totals'!$G$8:$G$10000,"="&amp;R79)+SUMIFS('[1]2_inventory_totals'!$Q$8:$Q$10000,'[1]2_inventory_totals'!$C$8:$C$10000,I79,'[1]2_inventory_totals'!$F$8:$F$10000,"="&amp;Q79,'[1]2_inventory_totals'!$G$8:$G$10000,"="&amp;R79)+SUMIFS('[1]2_inventory_totals'!$R$8:$R$10000,'[1]2_inventory_totals'!$C$8:$C$10000,I79,'[1]2_inventory_totals'!$F$8:$F$10000,"="&amp;Q79,'[1]2_inventory_totals'!$G$8:$G$10000,"="&amp;R79))+(SUMIFS('[1]2_inventory_totals'!$J$8:$J$10000,'[1]2_inventory_totals'!$C$8:$C$10000,I79,'[1]2_inventory_totals'!$F$8:$F$10000,"="&amp;Q79,'[1]2_inventory_totals'!$G$8:$G$10000,"="&amp;R79)+SUMIFS('[1]2_inventory_totals'!$K$8:$K$10000,'[1]2_inventory_totals'!$C$8:$C$10000,I79,'[1]2_inventory_totals'!$F$8:$F$10000,"="&amp;Q79,'[1]2_inventory_totals'!$G$8:$G$10000,"="&amp;R79)+SUMIFS('[1]2_inventory_totals'!$L$8:$L$10000,'[1]2_inventory_totals'!$C$8:$C$10000,I79,'[1]2_inventory_totals'!$F$8:$F$10000,"="&amp;Q79,'[1]2_inventory_totals'!$G$8:$G$10000,"="&amp;R79)+SUMIFS('[1]2_inventory_totals'!$M$8:$M$10000,'[1]2_inventory_totals'!$C$8:$C$10000,I79,'[1]2_inventory_totals'!$F$8:$F$10000,"="&amp;Q79,'[1]2_inventory_totals'!$G$8:$G$10000,"="&amp;R79)+SUMIFS('[1]2_inventory_totals'!$O$8:$O$10000,'[1]2_inventory_totals'!$C$8:$C$10000,I79,'[1]2_inventory_totals'!$F$8:$F$10000,"="&amp;Q79,'[1]2_inventory_totals'!$G$8:$G$10000,"="&amp;R79)+SUMIFS('[1]2_inventory_totals'!$S$8:$S$10000,'[1]2_inventory_totals'!$C$8:$C$10000,I79,'[1]2_inventory_totals'!$F$8:$F$10000,"="&amp;Q79,'[1]2_inventory_totals'!$G$8:$G$10000,"="&amp;R79)))</f>
        <v/>
      </c>
    </row>
    <row r="80" spans="1:54" ht="27" hidden="1" customHeight="1">
      <c r="A80" s="923"/>
      <c r="B80" s="1256"/>
      <c r="C80" s="950"/>
      <c r="D80" s="950"/>
      <c r="E80" s="950"/>
      <c r="F80" s="1257"/>
      <c r="G80" s="941"/>
      <c r="H80" s="951"/>
      <c r="I80" s="1610" t="str">
        <f t="shared" si="38"/>
        <v/>
      </c>
      <c r="J80" s="1611" t="str">
        <f t="shared" si="39"/>
        <v/>
      </c>
      <c r="K80" s="1612" t="str">
        <f t="shared" si="31"/>
        <v/>
      </c>
      <c r="L80" s="1613"/>
      <c r="M80" s="883"/>
      <c r="N80" s="884"/>
      <c r="O80" s="884"/>
      <c r="P80" s="885"/>
      <c r="Q80" s="886"/>
      <c r="R80" s="891"/>
      <c r="S80" s="1614" t="str">
        <f t="shared" si="32"/>
        <v/>
      </c>
      <c r="T80" s="1536"/>
      <c r="U80" s="1864" t="str">
        <f t="shared" si="40"/>
        <v/>
      </c>
      <c r="V80" s="1615" t="str">
        <f t="shared" si="33"/>
        <v/>
      </c>
      <c r="W80" s="889"/>
      <c r="X80" s="1615" t="str">
        <f t="shared" si="34"/>
        <v/>
      </c>
      <c r="Y80" s="1865" t="str">
        <f t="shared" si="41"/>
        <v/>
      </c>
      <c r="Z80" s="890"/>
      <c r="AA80" s="197" t="str" cm="1">
        <f t="array" ref="AA80">IF(M80="","",IF(P80=AN80,1,Slookup(MID(AN80,1,3)*1,UomConversion!$D$8:$J$500,5,UomConversion!$E$8:$E$500,MID(P80,1,3)*1,UomConversion!$J$8:$J$500,1)))</f>
        <v/>
      </c>
      <c r="AB80" s="197" t="str">
        <f t="shared" si="42"/>
        <v/>
      </c>
      <c r="AC80" s="197" t="str">
        <f t="shared" si="43"/>
        <v/>
      </c>
      <c r="AD80" s="197" t="str">
        <f t="shared" si="44"/>
        <v/>
      </c>
      <c r="AE80" s="1866" t="str">
        <f t="shared" si="45"/>
        <v/>
      </c>
      <c r="AF80" s="1866" t="str">
        <f t="shared" si="35"/>
        <v/>
      </c>
      <c r="AG80" s="197" t="str">
        <f t="shared" si="46"/>
        <v/>
      </c>
      <c r="AH80" s="197" t="str">
        <f>IF(I80="","",IF(ISNA(MATCH(I80,IF(invoice_location_id=1,'[1]1_inventory_totals'!$C$8:$C$10000,IF(invoice_location_id=2,'[1]2_inventory_totals'!$C$8:$C$10000,0)),0)),0,IF(AV80&gt;0,1,0)))</f>
        <v/>
      </c>
      <c r="AI80" s="197" t="str">
        <f>IF(M80="","",IF(invoice_location_id=1,SUMIFS('[1]1_inventory_total_details'!$J$8:$J$10000,'[1]1_inventory_total_details'!$C$8:$C$10000,I80,'[1]1_inventory_total_details'!$F$8:$F$10000,invoice_location_id,'[1]1_inventory_total_details'!$G$8:$G$10000,"="&amp;Q80,'[1]1_inventory_total_details'!$H$8:$H$10000,"="&amp;R80,'[1]1_inventory_total_details'!$I$8:$I$10000,"="&amp;invoice_date)+SUMIFS('[1]1_inventory_total_details'!$M$8:$M$10000,'[1]1_inventory_total_details'!$C$8:$C$10000,I80,'[1]1_inventory_total_details'!$F$8:$F$10000,invoice_location_id,'[1]1_inventory_total_details'!$G$8:$G$10000,"="&amp;Q80,'[1]1_inventory_total_details'!$H$8:$H$10000,"="&amp;R80,'[1]1_inventory_total_details'!$I$8:$I$10000,"="&amp;invoice_date)+SUMIFS('[1]1_inventory_total_details'!$K$8:$K$10000,'[1]1_inventory_total_details'!$C$8:$C$10000,I80,'[1]1_inventory_total_details'!$F$8:$F$10000,invoice_location_id,'[1]1_inventory_total_details'!$G$8:$G$10000,"="&amp;Q80,'[1]1_inventory_total_details'!$H$8:$H$10000,"="&amp;R80,'[1]1_inventory_total_details'!$I$8:$I$10000,"="&amp;invoice_date)+SUMIFS('[1]1_inventory_total_details'!$L$8:$L$10000,'[1]1_inventory_total_details'!$C$8:$C$10000,I80,'[1]1_inventory_total_details'!$F$8:$F$10000,invoice_location_id,'[1]1_inventory_total_details'!$G$8:$G$10000,"="&amp;Q80,'[1]1_inventory_total_details'!$H$8:$H$10000,"="&amp;R80,'[1]1_inventory_total_details'!$I$8:$I$10000,"="&amp;invoice_date),SUMIFS('[1]2_inventory_total_details'!$J$8:$J$10000,'[1]2_inventory_total_details'!$C$8:$C$10000,I80,'[1]2_inventory_total_details'!$F$8:$F$10000,invoice_location_id,'[1]2_inventory_total_details'!$G$8:$G$10000,"="&amp;Q80,'[1]2_inventory_total_details'!$H$8:$H$10000,"="&amp;R80,'[1]2_inventory_total_details'!$I$8:$I$10000,"="&amp;invoice_date)+SUMIFS('[1]2_inventory_total_details'!$M$8:$M$10000,'[1]2_inventory_total_details'!$C$8:$C$10000,I80,'[1]2_inventory_total_details'!$F$8:$F$10000,invoice_location_id,'[1]2_inventory_total_details'!$G$8:$G$10000,"="&amp;Q80,'[1]2_inventory_total_details'!$H$8:$H$10000,"="&amp;R80,'[1]2_inventory_total_details'!$I$8:$I$10000,"="&amp;invoice_date)+SUMIFS('[1]2_inventory_total_details'!$K$8:$K$10000,'[1]2_inventory_total_details'!$C$8:$C$10000,I80,'[1]2_inventory_total_details'!$F$8:$F$10000,invoice_location_id,'[1]2_inventory_total_details'!$G$8:$G$10000,"="&amp;Q80,'[1]2_inventory_total_details'!$H$8:$H$10000,"="&amp;R80,'[1]2_inventory_total_details'!$I$8:$I$10000,"="&amp;invoice_date)+SUMIFS('[1]2_inventory_total_details'!$L$8:$L$10000,'[1]2_inventory_total_details'!$C$8:$C$10000,I80,'[1]2_inventory_total_details'!$F$8:$F$10000,invoice_location_id,'[1]2_inventory_total_details'!$G$8:$G$10000,"="&amp;Q80,'[1]2_inventory_total_details'!$H$8:$H$10000,"="&amp;R80,'[1]2_inventory_total_details'!$I$8:$I$10000,"="&amp;invoice_date)))</f>
        <v/>
      </c>
      <c r="AJ80" s="197" t="str">
        <f>IF(M80="","",IF(ISNA(MATCH(I80,'[1]1_group_totals'!$C$8:$C$10000)),0,IF(AW80&gt;0,1,0)))</f>
        <v/>
      </c>
      <c r="AK80" s="197" t="str">
        <f>IF(M80="","",(SUMIFS('[1]1_group_total_details'!$I$8:$I$10000,'[1]1_group_total_details'!$C$8:$C$10000,I80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80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80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80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80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80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80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80,'[1]1_group_total_details'!$F$8:$F$10000,invoice_location_group_id,'[1]1_group_total_details'!$G$8:$G$10000,invoice_location_id,'[1]1_group_total_details'!$H$8:$H$10000,"="&amp;invoice_date)))</f>
        <v/>
      </c>
      <c r="AL80" s="197" t="str">
        <f>IF(M80="","",(SUMIFS('[1]1_group_total_details'!$I$8:$I$10000,'[1]1_group_total_details'!$C$8:$C$10000,I80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80,'[1]1_group_total_details'!$F$8:$F$10000,invoice_location_group_id,'[1]1_group_total_details'!$G$8:$G$10000,1,'[1]1_group_total_details'!$H$8:$H$10000,"&lt;="&amp;invoice_date)+SUMIFS('[1]1_group_total_details'!$N$8:$N$10000,'[1]1_group_total_details'!$C$8:$C$10000,I80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80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80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80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80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80,'[1]1_group_total_details'!$F$8:$F$10000,invoice_location_group_id,'[1]1_group_total_details'!$G$8:$G$10000,invoice_location_id,'[1]1_group_total_details'!$H$8:$H$10000,"&lt;="&amp;invoice_date)))</f>
        <v/>
      </c>
      <c r="AM80" s="197" t="str">
        <f>IF(M80="","",SUMIFS('[1]1_group_totals'!$J$8:$J$10000,'[1]1_group_totals'!$C$8:$C$10000,I80,'[1]1_group_totals'!$F$8:$F$10000,invoice_location_group_id,'[1]1_group_totals'!$G$8:$G$10000,invoice_location_id,'[1]1_group_totals'!$H$8:$H$10000,"="&amp;Q80,'[1]1_group_totals'!$I$8:$I$10000,"="&amp;R80))</f>
        <v/>
      </c>
      <c r="AN80" s="197" t="str">
        <f t="shared" si="47"/>
        <v/>
      </c>
      <c r="AO80" s="197" t="str">
        <f>IF(OR(ISNA(MATCH(MID(AN80,1,3)*1,UomConversion!$D$8:$D$500,0)),M80=""),"",IF(AT80="","",AT80))</f>
        <v/>
      </c>
      <c r="AP80" s="197" t="str">
        <f>IF(AND(AQ80&gt;0,COUNTIFS(UomConversion!$D$8:$D$500,MID(AN80,1,3)*1,UomConversion!$J$8:$J$500,1)&gt;1),TEXT(AQ80,"000")&amp;"."&amp;VLOOKUP(AQ80,uom_list,5,FALSE),"")</f>
        <v/>
      </c>
      <c r="AQ80" s="197" t="str">
        <f t="shared" si="48"/>
        <v/>
      </c>
      <c r="AR80" s="197" t="str">
        <f t="shared" si="49"/>
        <v/>
      </c>
      <c r="AS80" s="1866" t="str">
        <f>IF(M80="","",SUMIFS(ProductPrice!$N$28:$N$10000,ProductPrice!$D$28:$D$10000,I80,ProductPrice!$G$28:$G$10000,invoice_branch_id,ProductPrice!$H$28:$H$10000,invoice_price_type_id,ProductPrice!$I$28:$I$10000,MID(P80,1,3)*1,ProductPrice!$Q$28:$Q$10000,1,ProductPrice!$T$28:$T$10000,1))</f>
        <v/>
      </c>
      <c r="AT80" s="197" t="str">
        <f t="shared" si="36"/>
        <v/>
      </c>
      <c r="AU80" s="197" t="str" cm="1">
        <f t="array" ref="AU80">IF(M80="","",IF(ISNA(Slookup(MID(AN80,1,3)*1,UomConversion!$D$8:$J$500,2,UomConversion!$I$8:$I$500,1,UomConversion!$J$8:$J$500,1)),"",Slookup(MID(AN80,1,3)*1,UomConversion!$D$8:$J$500,2,UomConversion!$I$8:$I$500,1,UomConversion!$J$8:$J$500,1)))</f>
        <v/>
      </c>
      <c r="AV80" s="197" t="str">
        <f t="shared" si="37"/>
        <v/>
      </c>
      <c r="AW80" s="197" t="str">
        <f>IF(M80="","",(SUMIFS('[1]1_group_totals'!$K$8:$K$10000,'[1]1_group_totals'!$C$8:$C$10000,I80,'[1]1_group_totals'!$F$8:$F$10000,invoice_location_group_id,'[1]1_group_totals'!$G$8:$G$10000,invoice_location_id,'[1]1_group_totals'!$H$8:$H$10000,"="&amp;Q80,'[1]1_group_totals'!$I$8:$I$10000,"="&amp;R80)+SUMIFS('[1]1_group_totals'!$N$8:$N$10000,'[1]1_group_totals'!$C$8:$C$10000,I80,'[1]1_group_totals'!$F$8:$F$10000,invoice_location_group_id,'[1]1_group_totals'!$G$8:$G$10000,invoice_location_id,'[1]1_group_totals'!$H$8:$H$10000,"="&amp;Q80,'[1]1_group_totals'!$I$8:$I$10000,"="&amp;R80)+SUMIFS('[1]1_group_totals'!$P$8:$P$10000,'[1]1_group_totals'!$C$8:$C$10000,I80,'[1]1_group_totals'!$F$8:$F$10000,invoice_location_group_id,'[1]1_group_totals'!$G$8:$G$10000,invoice_location_id,'[1]1_group_totals'!$H$8:$H$10000,"="&amp;Q80,'[1]1_group_totals'!$I$8:$I$10000,"="&amp;R80)+SUMIFS('[1]1_group_totals'!$Q$8:$Q$10000,'[1]1_group_totals'!$C$8:$C$10000,I80,'[1]1_group_totals'!$F$8:$F$10000,invoice_location_group_id,'[1]1_group_totals'!$G$8:$G$10000,invoice_location_id,'[1]1_group_totals'!$H$8:$H$10000,"="&amp;Q80,'[1]1_group_totals'!$I$8:$I$10000,"="&amp;R80))+(SUMIFS('[1]1_group_totals'!$L$8:$L$10000,'[1]1_group_totals'!$C$8:$C$10000,I80,'[1]1_group_totals'!$F$8:$F$10000,invoice_location_group_id,'[1]1_group_totals'!$G$8:$G$10000,invoice_location_id,'[1]1_group_totals'!$H$8:$H$10000,"="&amp;Q80,'[1]1_group_totals'!$I$8:$I$10000,"="&amp;R80)+SUMIFS('[1]1_group_totals'!$M$8:$M$10000,'[1]1_group_totals'!$C$8:$C$10000,I80,'[1]1_group_totals'!$F$8:$F$10000,invoice_location_group_id,'[1]1_group_totals'!$G$8:$G$10000,invoice_location_id,'[1]1_group_totals'!$H$8:$H$10000,"="&amp;Q80,'[1]1_group_totals'!$I$8:$I$10000,"="&amp;R80)+SUMIFS('[1]1_group_totals'!$O$8:$O$10000,'[1]1_group_totals'!$C$8:$C$10000,I80,'[1]1_group_totals'!$F$8:$F$10000,invoice_location_group_id,'[1]1_group_totals'!$G$8:$G$10000,invoice_location_id,'[1]1_group_totals'!$H$8:$H$10000,"="&amp;Q80,'[1]1_group_totals'!$I$8:$I$10000,"="&amp;R80)+SUMIFS('[1]1_group_totals'!$R$8:$R$10000,'[1]1_group_totals'!$C$8:$C$10000,I80,'[1]1_group_totals'!$F$8:$F$10000,invoice_location_group_id,'[1]1_group_totals'!$G$8:$G$10000,invoice_location_id,'[1]1_group_totals'!$H$8:$H$10000,"="&amp;Q80,'[1]1_group_totals'!$I$8:$I$10000,"="&amp;R80)))</f>
        <v/>
      </c>
      <c r="AX80" s="197" t="str">
        <f t="shared" si="50"/>
        <v/>
      </c>
      <c r="AY80" s="197" t="str">
        <f>IF(M80="","",SUMIFS($AX$8:AX80,$I$8:I80,I80))</f>
        <v/>
      </c>
      <c r="AZ80" s="197" t="str">
        <f t="shared" si="51"/>
        <v/>
      </c>
      <c r="BA80" s="197" t="str">
        <f>IF(M80="","",(SUMIFS('[1]1_inventory_totals'!$I$8:$I$10000,'[1]1_inventory_totals'!$C$8:$C$10000,I80,'[1]1_inventory_totals'!$F$8:$F$10000,"="&amp;Q80,'[1]1_inventory_totals'!$G$8:$G$10000,"="&amp;R80)+SUMIFS('[1]1_inventory_totals'!$N$8:$N$10000,'[1]1_inventory_totals'!$C$8:$C$10000,I80,'[1]1_inventory_totals'!$F$8:$F$10000,"="&amp;Q80,'[1]1_inventory_totals'!$G$8:$G$10000,"="&amp;R80)+SUMIFS('[1]1_inventory_totals'!$P$8:$P$10000,'[1]1_inventory_totals'!$C$8:$C$10000,I80,'[1]1_inventory_totals'!$F$8:$F$10000,"="&amp;Q80,'[1]1_inventory_totals'!$G$8:$G$10000,"="&amp;R80)+SUMIFS('[1]1_inventory_totals'!$Q$8:$Q$10000,'[1]1_inventory_totals'!$C$8:$C$10000,I80,'[1]1_inventory_totals'!$F$8:$F$10000,"="&amp;Q80,'[1]1_inventory_totals'!$G$8:$G$10000,"="&amp;R80)+SUMIFS('[1]1_inventory_totals'!$R$8:$R$10000,'[1]1_inventory_totals'!$C$8:$C$10000,I80,'[1]1_inventory_totals'!$F$8:$F$10000,"="&amp;Q80,'[1]1_inventory_totals'!$G$8:$G$10000,"="&amp;R80))+(SUMIFS('[1]1_inventory_totals'!$J$8:$J$10000,'[1]1_inventory_totals'!$C$8:$C$10000,I80,'[1]1_inventory_totals'!$F$8:$F$10000,"="&amp;Q80,'[1]1_inventory_totals'!$G$8:$G$10000,"="&amp;R80)+SUMIFS('[1]1_inventory_totals'!$K$8:$K$10000,'[1]1_inventory_totals'!$C$8:$C$10000,I80,'[1]1_inventory_totals'!$F$8:$F$10000,"="&amp;Q80,'[1]1_inventory_totals'!$G$8:$G$10000,"="&amp;R80)+SUMIFS('[1]1_inventory_totals'!$L$8:$L$10000,'[1]1_inventory_totals'!$C$8:$C$10000,I80,'[1]1_inventory_totals'!$F$8:$F$10000,"="&amp;Q80,'[1]1_inventory_totals'!$G$8:$G$10000,"="&amp;R80)+SUMIFS('[1]1_inventory_totals'!$M$8:$M$10000,'[1]1_inventory_totals'!$C$8:$C$10000,I80,'[1]1_inventory_totals'!$F$8:$F$10000,"="&amp;Q80,'[1]1_inventory_totals'!$G$8:$G$10000,"="&amp;R80)+SUMIFS('[1]1_inventory_totals'!$O$8:$O$10000,'[1]1_inventory_totals'!$C$8:$C$10000,I80,'[1]1_inventory_totals'!$F$8:$F$10000,"="&amp;Q80,'[1]1_inventory_totals'!$G$8:$G$10000,"="&amp;R80)+SUMIFS('[1]1_inventory_totals'!$S$8:$S$10000,'[1]1_inventory_totals'!$C$8:$C$10000,I80,'[1]1_inventory_totals'!$F$8:$F$10000,"="&amp;Q80,'[1]1_inventory_totals'!$G$8:$G$10000,"="&amp;R80)))</f>
        <v/>
      </c>
      <c r="BB80" s="197" t="str">
        <f>IF(M80="","",(SUMIFS('[1]2_inventory_totals'!$I$8:$I$10000,'[1]2_inventory_totals'!$C$8:$C$10000,I80,'[1]2_inventory_totals'!$F$8:$F$10000,"="&amp;Q80,'[1]2_inventory_totals'!$G$8:$G$10000,"="&amp;R80)+SUMIFS('[1]2_inventory_totals'!$N$8:$N$10000,'[1]2_inventory_totals'!$C$8:$C$10000,I80,'[1]2_inventory_totals'!$F$8:$F$10000,"="&amp;Q80,'[1]2_inventory_totals'!$G$8:$G$10000,"="&amp;R80)+SUMIFS('[1]2_inventory_totals'!$P$8:$P$10000,'[1]2_inventory_totals'!$C$8:$C$10000,I80,'[1]2_inventory_totals'!$F$8:$F$10000,"="&amp;Q80,'[1]2_inventory_totals'!$G$8:$G$10000,"="&amp;R80)+SUMIFS('[1]2_inventory_totals'!$Q$8:$Q$10000,'[1]2_inventory_totals'!$C$8:$C$10000,I80,'[1]2_inventory_totals'!$F$8:$F$10000,"="&amp;Q80,'[1]2_inventory_totals'!$G$8:$G$10000,"="&amp;R80)+SUMIFS('[1]2_inventory_totals'!$R$8:$R$10000,'[1]2_inventory_totals'!$C$8:$C$10000,I80,'[1]2_inventory_totals'!$F$8:$F$10000,"="&amp;Q80,'[1]2_inventory_totals'!$G$8:$G$10000,"="&amp;R80))+(SUMIFS('[1]2_inventory_totals'!$J$8:$J$10000,'[1]2_inventory_totals'!$C$8:$C$10000,I80,'[1]2_inventory_totals'!$F$8:$F$10000,"="&amp;Q80,'[1]2_inventory_totals'!$G$8:$G$10000,"="&amp;R80)+SUMIFS('[1]2_inventory_totals'!$K$8:$K$10000,'[1]2_inventory_totals'!$C$8:$C$10000,I80,'[1]2_inventory_totals'!$F$8:$F$10000,"="&amp;Q80,'[1]2_inventory_totals'!$G$8:$G$10000,"="&amp;R80)+SUMIFS('[1]2_inventory_totals'!$L$8:$L$10000,'[1]2_inventory_totals'!$C$8:$C$10000,I80,'[1]2_inventory_totals'!$F$8:$F$10000,"="&amp;Q80,'[1]2_inventory_totals'!$G$8:$G$10000,"="&amp;R80)+SUMIFS('[1]2_inventory_totals'!$M$8:$M$10000,'[1]2_inventory_totals'!$C$8:$C$10000,I80,'[1]2_inventory_totals'!$F$8:$F$10000,"="&amp;Q80,'[1]2_inventory_totals'!$G$8:$G$10000,"="&amp;R80)+SUMIFS('[1]2_inventory_totals'!$O$8:$O$10000,'[1]2_inventory_totals'!$C$8:$C$10000,I80,'[1]2_inventory_totals'!$F$8:$F$10000,"="&amp;Q80,'[1]2_inventory_totals'!$G$8:$G$10000,"="&amp;R80)+SUMIFS('[1]2_inventory_totals'!$S$8:$S$10000,'[1]2_inventory_totals'!$C$8:$C$10000,I80,'[1]2_inventory_totals'!$F$8:$F$10000,"="&amp;Q80,'[1]2_inventory_totals'!$G$8:$G$10000,"="&amp;R80)))</f>
        <v/>
      </c>
    </row>
    <row r="81" spans="1:54" ht="27" hidden="1" customHeight="1">
      <c r="A81" s="923"/>
      <c r="B81" s="1256"/>
      <c r="C81" s="950"/>
      <c r="D81" s="950"/>
      <c r="E81" s="950"/>
      <c r="F81" s="1257"/>
      <c r="G81" s="941"/>
      <c r="H81" s="951"/>
      <c r="I81" s="1610" t="str">
        <f t="shared" si="38"/>
        <v/>
      </c>
      <c r="J81" s="1611" t="str">
        <f t="shared" si="39"/>
        <v/>
      </c>
      <c r="K81" s="1612" t="str">
        <f t="shared" si="31"/>
        <v/>
      </c>
      <c r="L81" s="1613"/>
      <c r="M81" s="883"/>
      <c r="N81" s="884"/>
      <c r="O81" s="884"/>
      <c r="P81" s="885"/>
      <c r="Q81" s="886"/>
      <c r="R81" s="891"/>
      <c r="S81" s="1614" t="str">
        <f t="shared" si="32"/>
        <v/>
      </c>
      <c r="T81" s="1536"/>
      <c r="U81" s="1864" t="str">
        <f t="shared" si="40"/>
        <v/>
      </c>
      <c r="V81" s="1615" t="str">
        <f t="shared" si="33"/>
        <v/>
      </c>
      <c r="W81" s="889"/>
      <c r="X81" s="1615" t="str">
        <f t="shared" si="34"/>
        <v/>
      </c>
      <c r="Y81" s="1865" t="str">
        <f t="shared" si="41"/>
        <v/>
      </c>
      <c r="Z81" s="890"/>
      <c r="AA81" s="197" t="str" cm="1">
        <f t="array" ref="AA81">IF(M81="","",IF(P81=AN81,1,Slookup(MID(AN81,1,3)*1,UomConversion!$D$8:$J$500,5,UomConversion!$E$8:$E$500,MID(P81,1,3)*1,UomConversion!$J$8:$J$500,1)))</f>
        <v/>
      </c>
      <c r="AB81" s="197" t="str">
        <f t="shared" si="42"/>
        <v/>
      </c>
      <c r="AC81" s="197" t="str">
        <f t="shared" si="43"/>
        <v/>
      </c>
      <c r="AD81" s="197" t="str">
        <f t="shared" si="44"/>
        <v/>
      </c>
      <c r="AE81" s="1866" t="str">
        <f t="shared" si="45"/>
        <v/>
      </c>
      <c r="AF81" s="1866" t="str">
        <f t="shared" si="35"/>
        <v/>
      </c>
      <c r="AG81" s="197" t="str">
        <f t="shared" si="46"/>
        <v/>
      </c>
      <c r="AH81" s="197" t="str">
        <f>IF(I81="","",IF(ISNA(MATCH(I81,IF(invoice_location_id=1,'[1]1_inventory_totals'!$C$8:$C$10000,IF(invoice_location_id=2,'[1]2_inventory_totals'!$C$8:$C$10000,0)),0)),0,IF(AV81&gt;0,1,0)))</f>
        <v/>
      </c>
      <c r="AI81" s="197" t="str">
        <f>IF(M81="","",IF(invoice_location_id=1,SUMIFS('[1]1_inventory_total_details'!$J$8:$J$10000,'[1]1_inventory_total_details'!$C$8:$C$10000,I81,'[1]1_inventory_total_details'!$F$8:$F$10000,invoice_location_id,'[1]1_inventory_total_details'!$G$8:$G$10000,"="&amp;Q81,'[1]1_inventory_total_details'!$H$8:$H$10000,"="&amp;R81,'[1]1_inventory_total_details'!$I$8:$I$10000,"="&amp;invoice_date)+SUMIFS('[1]1_inventory_total_details'!$M$8:$M$10000,'[1]1_inventory_total_details'!$C$8:$C$10000,I81,'[1]1_inventory_total_details'!$F$8:$F$10000,invoice_location_id,'[1]1_inventory_total_details'!$G$8:$G$10000,"="&amp;Q81,'[1]1_inventory_total_details'!$H$8:$H$10000,"="&amp;R81,'[1]1_inventory_total_details'!$I$8:$I$10000,"="&amp;invoice_date)+SUMIFS('[1]1_inventory_total_details'!$K$8:$K$10000,'[1]1_inventory_total_details'!$C$8:$C$10000,I81,'[1]1_inventory_total_details'!$F$8:$F$10000,invoice_location_id,'[1]1_inventory_total_details'!$G$8:$G$10000,"="&amp;Q81,'[1]1_inventory_total_details'!$H$8:$H$10000,"="&amp;R81,'[1]1_inventory_total_details'!$I$8:$I$10000,"="&amp;invoice_date)+SUMIFS('[1]1_inventory_total_details'!$L$8:$L$10000,'[1]1_inventory_total_details'!$C$8:$C$10000,I81,'[1]1_inventory_total_details'!$F$8:$F$10000,invoice_location_id,'[1]1_inventory_total_details'!$G$8:$G$10000,"="&amp;Q81,'[1]1_inventory_total_details'!$H$8:$H$10000,"="&amp;R81,'[1]1_inventory_total_details'!$I$8:$I$10000,"="&amp;invoice_date),SUMIFS('[1]2_inventory_total_details'!$J$8:$J$10000,'[1]2_inventory_total_details'!$C$8:$C$10000,I81,'[1]2_inventory_total_details'!$F$8:$F$10000,invoice_location_id,'[1]2_inventory_total_details'!$G$8:$G$10000,"="&amp;Q81,'[1]2_inventory_total_details'!$H$8:$H$10000,"="&amp;R81,'[1]2_inventory_total_details'!$I$8:$I$10000,"="&amp;invoice_date)+SUMIFS('[1]2_inventory_total_details'!$M$8:$M$10000,'[1]2_inventory_total_details'!$C$8:$C$10000,I81,'[1]2_inventory_total_details'!$F$8:$F$10000,invoice_location_id,'[1]2_inventory_total_details'!$G$8:$G$10000,"="&amp;Q81,'[1]2_inventory_total_details'!$H$8:$H$10000,"="&amp;R81,'[1]2_inventory_total_details'!$I$8:$I$10000,"="&amp;invoice_date)+SUMIFS('[1]2_inventory_total_details'!$K$8:$K$10000,'[1]2_inventory_total_details'!$C$8:$C$10000,I81,'[1]2_inventory_total_details'!$F$8:$F$10000,invoice_location_id,'[1]2_inventory_total_details'!$G$8:$G$10000,"="&amp;Q81,'[1]2_inventory_total_details'!$H$8:$H$10000,"="&amp;R81,'[1]2_inventory_total_details'!$I$8:$I$10000,"="&amp;invoice_date)+SUMIFS('[1]2_inventory_total_details'!$L$8:$L$10000,'[1]2_inventory_total_details'!$C$8:$C$10000,I81,'[1]2_inventory_total_details'!$F$8:$F$10000,invoice_location_id,'[1]2_inventory_total_details'!$G$8:$G$10000,"="&amp;Q81,'[1]2_inventory_total_details'!$H$8:$H$10000,"="&amp;R81,'[1]2_inventory_total_details'!$I$8:$I$10000,"="&amp;invoice_date)))</f>
        <v/>
      </c>
      <c r="AJ81" s="197" t="str">
        <f>IF(M81="","",IF(ISNA(MATCH(I81,'[1]1_group_totals'!$C$8:$C$10000)),0,IF(AW81&gt;0,1,0)))</f>
        <v/>
      </c>
      <c r="AK81" s="197" t="str">
        <f>IF(M81="","",(SUMIFS('[1]1_group_total_details'!$I$8:$I$10000,'[1]1_group_total_details'!$C$8:$C$10000,I81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81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81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81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81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81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81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81,'[1]1_group_total_details'!$F$8:$F$10000,invoice_location_group_id,'[1]1_group_total_details'!$G$8:$G$10000,invoice_location_id,'[1]1_group_total_details'!$H$8:$H$10000,"="&amp;invoice_date)))</f>
        <v/>
      </c>
      <c r="AL81" s="197" t="str">
        <f>IF(M81="","",(SUMIFS('[1]1_group_total_details'!$I$8:$I$10000,'[1]1_group_total_details'!$C$8:$C$10000,I81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81,'[1]1_group_total_details'!$F$8:$F$10000,invoice_location_group_id,'[1]1_group_total_details'!$G$8:$G$10000,1,'[1]1_group_total_details'!$H$8:$H$10000,"&lt;="&amp;invoice_date)+SUMIFS('[1]1_group_total_details'!$N$8:$N$10000,'[1]1_group_total_details'!$C$8:$C$10000,I81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81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81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81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81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81,'[1]1_group_total_details'!$F$8:$F$10000,invoice_location_group_id,'[1]1_group_total_details'!$G$8:$G$10000,invoice_location_id,'[1]1_group_total_details'!$H$8:$H$10000,"&lt;="&amp;invoice_date)))</f>
        <v/>
      </c>
      <c r="AM81" s="197" t="str">
        <f>IF(M81="","",SUMIFS('[1]1_group_totals'!$J$8:$J$10000,'[1]1_group_totals'!$C$8:$C$10000,I81,'[1]1_group_totals'!$F$8:$F$10000,invoice_location_group_id,'[1]1_group_totals'!$G$8:$G$10000,invoice_location_id,'[1]1_group_totals'!$H$8:$H$10000,"="&amp;Q81,'[1]1_group_totals'!$I$8:$I$10000,"="&amp;R81))</f>
        <v/>
      </c>
      <c r="AN81" s="197" t="str">
        <f t="shared" si="47"/>
        <v/>
      </c>
      <c r="AO81" s="197" t="str">
        <f>IF(OR(ISNA(MATCH(MID(AN81,1,3)*1,UomConversion!$D$8:$D$500,0)),M81=""),"",IF(AT81="","",AT81))</f>
        <v/>
      </c>
      <c r="AP81" s="197" t="str">
        <f>IF(AND(AQ81&gt;0,COUNTIFS(UomConversion!$D$8:$D$500,MID(AN81,1,3)*1,UomConversion!$J$8:$J$500,1)&gt;1),TEXT(AQ81,"000")&amp;"."&amp;VLOOKUP(AQ81,uom_list,5,FALSE),"")</f>
        <v/>
      </c>
      <c r="AQ81" s="197" t="str">
        <f t="shared" si="48"/>
        <v/>
      </c>
      <c r="AR81" s="197" t="str">
        <f t="shared" si="49"/>
        <v/>
      </c>
      <c r="AS81" s="1866" t="str">
        <f>IF(M81="","",SUMIFS(ProductPrice!$N$28:$N$10000,ProductPrice!$D$28:$D$10000,I81,ProductPrice!$G$28:$G$10000,invoice_branch_id,ProductPrice!$H$28:$H$10000,invoice_price_type_id,ProductPrice!$I$28:$I$10000,MID(P81,1,3)*1,ProductPrice!$Q$28:$Q$10000,1,ProductPrice!$T$28:$T$10000,1))</f>
        <v/>
      </c>
      <c r="AT81" s="197" t="str">
        <f t="shared" si="36"/>
        <v/>
      </c>
      <c r="AU81" s="197" t="str" cm="1">
        <f t="array" ref="AU81">IF(M81="","",IF(ISNA(Slookup(MID(AN81,1,3)*1,UomConversion!$D$8:$J$500,2,UomConversion!$I$8:$I$500,1,UomConversion!$J$8:$J$500,1)),"",Slookup(MID(AN81,1,3)*1,UomConversion!$D$8:$J$500,2,UomConversion!$I$8:$I$500,1,UomConversion!$J$8:$J$500,1)))</f>
        <v/>
      </c>
      <c r="AV81" s="197" t="str">
        <f t="shared" si="37"/>
        <v/>
      </c>
      <c r="AW81" s="197" t="str">
        <f>IF(M81="","",(SUMIFS('[1]1_group_totals'!$K$8:$K$10000,'[1]1_group_totals'!$C$8:$C$10000,I81,'[1]1_group_totals'!$F$8:$F$10000,invoice_location_group_id,'[1]1_group_totals'!$G$8:$G$10000,invoice_location_id,'[1]1_group_totals'!$H$8:$H$10000,"="&amp;Q81,'[1]1_group_totals'!$I$8:$I$10000,"="&amp;R81)+SUMIFS('[1]1_group_totals'!$N$8:$N$10000,'[1]1_group_totals'!$C$8:$C$10000,I81,'[1]1_group_totals'!$F$8:$F$10000,invoice_location_group_id,'[1]1_group_totals'!$G$8:$G$10000,invoice_location_id,'[1]1_group_totals'!$H$8:$H$10000,"="&amp;Q81,'[1]1_group_totals'!$I$8:$I$10000,"="&amp;R81)+SUMIFS('[1]1_group_totals'!$P$8:$P$10000,'[1]1_group_totals'!$C$8:$C$10000,I81,'[1]1_group_totals'!$F$8:$F$10000,invoice_location_group_id,'[1]1_group_totals'!$G$8:$G$10000,invoice_location_id,'[1]1_group_totals'!$H$8:$H$10000,"="&amp;Q81,'[1]1_group_totals'!$I$8:$I$10000,"="&amp;R81)+SUMIFS('[1]1_group_totals'!$Q$8:$Q$10000,'[1]1_group_totals'!$C$8:$C$10000,I81,'[1]1_group_totals'!$F$8:$F$10000,invoice_location_group_id,'[1]1_group_totals'!$G$8:$G$10000,invoice_location_id,'[1]1_group_totals'!$H$8:$H$10000,"="&amp;Q81,'[1]1_group_totals'!$I$8:$I$10000,"="&amp;R81))+(SUMIFS('[1]1_group_totals'!$L$8:$L$10000,'[1]1_group_totals'!$C$8:$C$10000,I81,'[1]1_group_totals'!$F$8:$F$10000,invoice_location_group_id,'[1]1_group_totals'!$G$8:$G$10000,invoice_location_id,'[1]1_group_totals'!$H$8:$H$10000,"="&amp;Q81,'[1]1_group_totals'!$I$8:$I$10000,"="&amp;R81)+SUMIFS('[1]1_group_totals'!$M$8:$M$10000,'[1]1_group_totals'!$C$8:$C$10000,I81,'[1]1_group_totals'!$F$8:$F$10000,invoice_location_group_id,'[1]1_group_totals'!$G$8:$G$10000,invoice_location_id,'[1]1_group_totals'!$H$8:$H$10000,"="&amp;Q81,'[1]1_group_totals'!$I$8:$I$10000,"="&amp;R81)+SUMIFS('[1]1_group_totals'!$O$8:$O$10000,'[1]1_group_totals'!$C$8:$C$10000,I81,'[1]1_group_totals'!$F$8:$F$10000,invoice_location_group_id,'[1]1_group_totals'!$G$8:$G$10000,invoice_location_id,'[1]1_group_totals'!$H$8:$H$10000,"="&amp;Q81,'[1]1_group_totals'!$I$8:$I$10000,"="&amp;R81)+SUMIFS('[1]1_group_totals'!$R$8:$R$10000,'[1]1_group_totals'!$C$8:$C$10000,I81,'[1]1_group_totals'!$F$8:$F$10000,invoice_location_group_id,'[1]1_group_totals'!$G$8:$G$10000,invoice_location_id,'[1]1_group_totals'!$H$8:$H$10000,"="&amp;Q81,'[1]1_group_totals'!$I$8:$I$10000,"="&amp;R81)))</f>
        <v/>
      </c>
      <c r="AX81" s="197" t="str">
        <f t="shared" si="50"/>
        <v/>
      </c>
      <c r="AY81" s="197" t="str">
        <f>IF(M81="","",SUMIFS($AX$8:AX81,$I$8:I81,I81))</f>
        <v/>
      </c>
      <c r="AZ81" s="197" t="str">
        <f t="shared" si="51"/>
        <v/>
      </c>
      <c r="BA81" s="197" t="str">
        <f>IF(M81="","",(SUMIFS('[1]1_inventory_totals'!$I$8:$I$10000,'[1]1_inventory_totals'!$C$8:$C$10000,I81,'[1]1_inventory_totals'!$F$8:$F$10000,"="&amp;Q81,'[1]1_inventory_totals'!$G$8:$G$10000,"="&amp;R81)+SUMIFS('[1]1_inventory_totals'!$N$8:$N$10000,'[1]1_inventory_totals'!$C$8:$C$10000,I81,'[1]1_inventory_totals'!$F$8:$F$10000,"="&amp;Q81,'[1]1_inventory_totals'!$G$8:$G$10000,"="&amp;R81)+SUMIFS('[1]1_inventory_totals'!$P$8:$P$10000,'[1]1_inventory_totals'!$C$8:$C$10000,I81,'[1]1_inventory_totals'!$F$8:$F$10000,"="&amp;Q81,'[1]1_inventory_totals'!$G$8:$G$10000,"="&amp;R81)+SUMIFS('[1]1_inventory_totals'!$Q$8:$Q$10000,'[1]1_inventory_totals'!$C$8:$C$10000,I81,'[1]1_inventory_totals'!$F$8:$F$10000,"="&amp;Q81,'[1]1_inventory_totals'!$G$8:$G$10000,"="&amp;R81)+SUMIFS('[1]1_inventory_totals'!$R$8:$R$10000,'[1]1_inventory_totals'!$C$8:$C$10000,I81,'[1]1_inventory_totals'!$F$8:$F$10000,"="&amp;Q81,'[1]1_inventory_totals'!$G$8:$G$10000,"="&amp;R81))+(SUMIFS('[1]1_inventory_totals'!$J$8:$J$10000,'[1]1_inventory_totals'!$C$8:$C$10000,I81,'[1]1_inventory_totals'!$F$8:$F$10000,"="&amp;Q81,'[1]1_inventory_totals'!$G$8:$G$10000,"="&amp;R81)+SUMIFS('[1]1_inventory_totals'!$K$8:$K$10000,'[1]1_inventory_totals'!$C$8:$C$10000,I81,'[1]1_inventory_totals'!$F$8:$F$10000,"="&amp;Q81,'[1]1_inventory_totals'!$G$8:$G$10000,"="&amp;R81)+SUMIFS('[1]1_inventory_totals'!$L$8:$L$10000,'[1]1_inventory_totals'!$C$8:$C$10000,I81,'[1]1_inventory_totals'!$F$8:$F$10000,"="&amp;Q81,'[1]1_inventory_totals'!$G$8:$G$10000,"="&amp;R81)+SUMIFS('[1]1_inventory_totals'!$M$8:$M$10000,'[1]1_inventory_totals'!$C$8:$C$10000,I81,'[1]1_inventory_totals'!$F$8:$F$10000,"="&amp;Q81,'[1]1_inventory_totals'!$G$8:$G$10000,"="&amp;R81)+SUMIFS('[1]1_inventory_totals'!$O$8:$O$10000,'[1]1_inventory_totals'!$C$8:$C$10000,I81,'[1]1_inventory_totals'!$F$8:$F$10000,"="&amp;Q81,'[1]1_inventory_totals'!$G$8:$G$10000,"="&amp;R81)+SUMIFS('[1]1_inventory_totals'!$S$8:$S$10000,'[1]1_inventory_totals'!$C$8:$C$10000,I81,'[1]1_inventory_totals'!$F$8:$F$10000,"="&amp;Q81,'[1]1_inventory_totals'!$G$8:$G$10000,"="&amp;R81)))</f>
        <v/>
      </c>
      <c r="BB81" s="197" t="str">
        <f>IF(M81="","",(SUMIFS('[1]2_inventory_totals'!$I$8:$I$10000,'[1]2_inventory_totals'!$C$8:$C$10000,I81,'[1]2_inventory_totals'!$F$8:$F$10000,"="&amp;Q81,'[1]2_inventory_totals'!$G$8:$G$10000,"="&amp;R81)+SUMIFS('[1]2_inventory_totals'!$N$8:$N$10000,'[1]2_inventory_totals'!$C$8:$C$10000,I81,'[1]2_inventory_totals'!$F$8:$F$10000,"="&amp;Q81,'[1]2_inventory_totals'!$G$8:$G$10000,"="&amp;R81)+SUMIFS('[1]2_inventory_totals'!$P$8:$P$10000,'[1]2_inventory_totals'!$C$8:$C$10000,I81,'[1]2_inventory_totals'!$F$8:$F$10000,"="&amp;Q81,'[1]2_inventory_totals'!$G$8:$G$10000,"="&amp;R81)+SUMIFS('[1]2_inventory_totals'!$Q$8:$Q$10000,'[1]2_inventory_totals'!$C$8:$C$10000,I81,'[1]2_inventory_totals'!$F$8:$F$10000,"="&amp;Q81,'[1]2_inventory_totals'!$G$8:$G$10000,"="&amp;R81)+SUMIFS('[1]2_inventory_totals'!$R$8:$R$10000,'[1]2_inventory_totals'!$C$8:$C$10000,I81,'[1]2_inventory_totals'!$F$8:$F$10000,"="&amp;Q81,'[1]2_inventory_totals'!$G$8:$G$10000,"="&amp;R81))+(SUMIFS('[1]2_inventory_totals'!$J$8:$J$10000,'[1]2_inventory_totals'!$C$8:$C$10000,I81,'[1]2_inventory_totals'!$F$8:$F$10000,"="&amp;Q81,'[1]2_inventory_totals'!$G$8:$G$10000,"="&amp;R81)+SUMIFS('[1]2_inventory_totals'!$K$8:$K$10000,'[1]2_inventory_totals'!$C$8:$C$10000,I81,'[1]2_inventory_totals'!$F$8:$F$10000,"="&amp;Q81,'[1]2_inventory_totals'!$G$8:$G$10000,"="&amp;R81)+SUMIFS('[1]2_inventory_totals'!$L$8:$L$10000,'[1]2_inventory_totals'!$C$8:$C$10000,I81,'[1]2_inventory_totals'!$F$8:$F$10000,"="&amp;Q81,'[1]2_inventory_totals'!$G$8:$G$10000,"="&amp;R81)+SUMIFS('[1]2_inventory_totals'!$M$8:$M$10000,'[1]2_inventory_totals'!$C$8:$C$10000,I81,'[1]2_inventory_totals'!$F$8:$F$10000,"="&amp;Q81,'[1]2_inventory_totals'!$G$8:$G$10000,"="&amp;R81)+SUMIFS('[1]2_inventory_totals'!$O$8:$O$10000,'[1]2_inventory_totals'!$C$8:$C$10000,I81,'[1]2_inventory_totals'!$F$8:$F$10000,"="&amp;Q81,'[1]2_inventory_totals'!$G$8:$G$10000,"="&amp;R81)+SUMIFS('[1]2_inventory_totals'!$S$8:$S$10000,'[1]2_inventory_totals'!$C$8:$C$10000,I81,'[1]2_inventory_totals'!$F$8:$F$10000,"="&amp;Q81,'[1]2_inventory_totals'!$G$8:$G$10000,"="&amp;R81)))</f>
        <v/>
      </c>
    </row>
    <row r="82" spans="1:54" ht="27" hidden="1" customHeight="1">
      <c r="A82" s="923"/>
      <c r="B82" s="1256"/>
      <c r="C82" s="950"/>
      <c r="D82" s="950"/>
      <c r="E82" s="950"/>
      <c r="F82" s="1257"/>
      <c r="G82" s="941"/>
      <c r="H82" s="951"/>
      <c r="I82" s="1610" t="str">
        <f t="shared" si="38"/>
        <v/>
      </c>
      <c r="J82" s="1611" t="str">
        <f t="shared" si="39"/>
        <v/>
      </c>
      <c r="K82" s="1612" t="str">
        <f t="shared" si="31"/>
        <v/>
      </c>
      <c r="L82" s="1613"/>
      <c r="M82" s="883"/>
      <c r="N82" s="884"/>
      <c r="O82" s="884"/>
      <c r="P82" s="885"/>
      <c r="Q82" s="886"/>
      <c r="R82" s="891"/>
      <c r="S82" s="1614" t="str">
        <f t="shared" si="32"/>
        <v/>
      </c>
      <c r="T82" s="1536"/>
      <c r="U82" s="1864" t="str">
        <f t="shared" si="40"/>
        <v/>
      </c>
      <c r="V82" s="1615" t="str">
        <f t="shared" si="33"/>
        <v/>
      </c>
      <c r="W82" s="889"/>
      <c r="X82" s="1615" t="str">
        <f t="shared" si="34"/>
        <v/>
      </c>
      <c r="Y82" s="1865" t="str">
        <f t="shared" si="41"/>
        <v/>
      </c>
      <c r="Z82" s="890"/>
      <c r="AA82" s="197" t="str" cm="1">
        <f t="array" ref="AA82">IF(M82="","",IF(P82=AN82,1,Slookup(MID(AN82,1,3)*1,UomConversion!$D$8:$J$500,5,UomConversion!$E$8:$E$500,MID(P82,1,3)*1,UomConversion!$J$8:$J$500,1)))</f>
        <v/>
      </c>
      <c r="AB82" s="197" t="str">
        <f t="shared" si="42"/>
        <v/>
      </c>
      <c r="AC82" s="197" t="str">
        <f t="shared" si="43"/>
        <v/>
      </c>
      <c r="AD82" s="197" t="str">
        <f t="shared" si="44"/>
        <v/>
      </c>
      <c r="AE82" s="1866" t="str">
        <f t="shared" si="45"/>
        <v/>
      </c>
      <c r="AF82" s="1866" t="str">
        <f t="shared" si="35"/>
        <v/>
      </c>
      <c r="AG82" s="197" t="str">
        <f t="shared" si="46"/>
        <v/>
      </c>
      <c r="AH82" s="197" t="str">
        <f>IF(I82="","",IF(ISNA(MATCH(I82,IF(invoice_location_id=1,'[1]1_inventory_totals'!$C$8:$C$10000,IF(invoice_location_id=2,'[1]2_inventory_totals'!$C$8:$C$10000,0)),0)),0,IF(AV82&gt;0,1,0)))</f>
        <v/>
      </c>
      <c r="AI82" s="197" t="str">
        <f>IF(M82="","",IF(invoice_location_id=1,SUMIFS('[1]1_inventory_total_details'!$J$8:$J$10000,'[1]1_inventory_total_details'!$C$8:$C$10000,I82,'[1]1_inventory_total_details'!$F$8:$F$10000,invoice_location_id,'[1]1_inventory_total_details'!$G$8:$G$10000,"="&amp;Q82,'[1]1_inventory_total_details'!$H$8:$H$10000,"="&amp;R82,'[1]1_inventory_total_details'!$I$8:$I$10000,"="&amp;invoice_date)+SUMIFS('[1]1_inventory_total_details'!$M$8:$M$10000,'[1]1_inventory_total_details'!$C$8:$C$10000,I82,'[1]1_inventory_total_details'!$F$8:$F$10000,invoice_location_id,'[1]1_inventory_total_details'!$G$8:$G$10000,"="&amp;Q82,'[1]1_inventory_total_details'!$H$8:$H$10000,"="&amp;R82,'[1]1_inventory_total_details'!$I$8:$I$10000,"="&amp;invoice_date)+SUMIFS('[1]1_inventory_total_details'!$K$8:$K$10000,'[1]1_inventory_total_details'!$C$8:$C$10000,I82,'[1]1_inventory_total_details'!$F$8:$F$10000,invoice_location_id,'[1]1_inventory_total_details'!$G$8:$G$10000,"="&amp;Q82,'[1]1_inventory_total_details'!$H$8:$H$10000,"="&amp;R82,'[1]1_inventory_total_details'!$I$8:$I$10000,"="&amp;invoice_date)+SUMIFS('[1]1_inventory_total_details'!$L$8:$L$10000,'[1]1_inventory_total_details'!$C$8:$C$10000,I82,'[1]1_inventory_total_details'!$F$8:$F$10000,invoice_location_id,'[1]1_inventory_total_details'!$G$8:$G$10000,"="&amp;Q82,'[1]1_inventory_total_details'!$H$8:$H$10000,"="&amp;R82,'[1]1_inventory_total_details'!$I$8:$I$10000,"="&amp;invoice_date),SUMIFS('[1]2_inventory_total_details'!$J$8:$J$10000,'[1]2_inventory_total_details'!$C$8:$C$10000,I82,'[1]2_inventory_total_details'!$F$8:$F$10000,invoice_location_id,'[1]2_inventory_total_details'!$G$8:$G$10000,"="&amp;Q82,'[1]2_inventory_total_details'!$H$8:$H$10000,"="&amp;R82,'[1]2_inventory_total_details'!$I$8:$I$10000,"="&amp;invoice_date)+SUMIFS('[1]2_inventory_total_details'!$M$8:$M$10000,'[1]2_inventory_total_details'!$C$8:$C$10000,I82,'[1]2_inventory_total_details'!$F$8:$F$10000,invoice_location_id,'[1]2_inventory_total_details'!$G$8:$G$10000,"="&amp;Q82,'[1]2_inventory_total_details'!$H$8:$H$10000,"="&amp;R82,'[1]2_inventory_total_details'!$I$8:$I$10000,"="&amp;invoice_date)+SUMIFS('[1]2_inventory_total_details'!$K$8:$K$10000,'[1]2_inventory_total_details'!$C$8:$C$10000,I82,'[1]2_inventory_total_details'!$F$8:$F$10000,invoice_location_id,'[1]2_inventory_total_details'!$G$8:$G$10000,"="&amp;Q82,'[1]2_inventory_total_details'!$H$8:$H$10000,"="&amp;R82,'[1]2_inventory_total_details'!$I$8:$I$10000,"="&amp;invoice_date)+SUMIFS('[1]2_inventory_total_details'!$L$8:$L$10000,'[1]2_inventory_total_details'!$C$8:$C$10000,I82,'[1]2_inventory_total_details'!$F$8:$F$10000,invoice_location_id,'[1]2_inventory_total_details'!$G$8:$G$10000,"="&amp;Q82,'[1]2_inventory_total_details'!$H$8:$H$10000,"="&amp;R82,'[1]2_inventory_total_details'!$I$8:$I$10000,"="&amp;invoice_date)))</f>
        <v/>
      </c>
      <c r="AJ82" s="197" t="str">
        <f>IF(M82="","",IF(ISNA(MATCH(I82,'[1]1_group_totals'!$C$8:$C$10000)),0,IF(AW82&gt;0,1,0)))</f>
        <v/>
      </c>
      <c r="AK82" s="197" t="str">
        <f>IF(M82="","",(SUMIFS('[1]1_group_total_details'!$I$8:$I$10000,'[1]1_group_total_details'!$C$8:$C$10000,I82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82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82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82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82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82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82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82,'[1]1_group_total_details'!$F$8:$F$10000,invoice_location_group_id,'[1]1_group_total_details'!$G$8:$G$10000,invoice_location_id,'[1]1_group_total_details'!$H$8:$H$10000,"="&amp;invoice_date)))</f>
        <v/>
      </c>
      <c r="AL82" s="197" t="str">
        <f>IF(M82="","",(SUMIFS('[1]1_group_total_details'!$I$8:$I$10000,'[1]1_group_total_details'!$C$8:$C$10000,I82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82,'[1]1_group_total_details'!$F$8:$F$10000,invoice_location_group_id,'[1]1_group_total_details'!$G$8:$G$10000,1,'[1]1_group_total_details'!$H$8:$H$10000,"&lt;="&amp;invoice_date)+SUMIFS('[1]1_group_total_details'!$N$8:$N$10000,'[1]1_group_total_details'!$C$8:$C$10000,I82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82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82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82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82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82,'[1]1_group_total_details'!$F$8:$F$10000,invoice_location_group_id,'[1]1_group_total_details'!$G$8:$G$10000,invoice_location_id,'[1]1_group_total_details'!$H$8:$H$10000,"&lt;="&amp;invoice_date)))</f>
        <v/>
      </c>
      <c r="AM82" s="197" t="str">
        <f>IF(M82="","",SUMIFS('[1]1_group_totals'!$J$8:$J$10000,'[1]1_group_totals'!$C$8:$C$10000,I82,'[1]1_group_totals'!$F$8:$F$10000,invoice_location_group_id,'[1]1_group_totals'!$G$8:$G$10000,invoice_location_id,'[1]1_group_totals'!$H$8:$H$10000,"="&amp;Q82,'[1]1_group_totals'!$I$8:$I$10000,"="&amp;R82))</f>
        <v/>
      </c>
      <c r="AN82" s="197" t="str">
        <f t="shared" si="47"/>
        <v/>
      </c>
      <c r="AO82" s="197" t="str">
        <f>IF(OR(ISNA(MATCH(MID(AN82,1,3)*1,UomConversion!$D$8:$D$500,0)),M82=""),"",IF(AT82="","",AT82))</f>
        <v/>
      </c>
      <c r="AP82" s="197" t="str">
        <f>IF(AND(AQ82&gt;0,COUNTIFS(UomConversion!$D$8:$D$500,MID(AN82,1,3)*1,UomConversion!$J$8:$J$500,1)&gt;1),TEXT(AQ82,"000")&amp;"."&amp;VLOOKUP(AQ82,uom_list,5,FALSE),"")</f>
        <v/>
      </c>
      <c r="AQ82" s="197" t="str">
        <f t="shared" si="48"/>
        <v/>
      </c>
      <c r="AR82" s="197" t="str">
        <f t="shared" si="49"/>
        <v/>
      </c>
      <c r="AS82" s="1866" t="str">
        <f>IF(M82="","",SUMIFS(ProductPrice!$N$28:$N$10000,ProductPrice!$D$28:$D$10000,I82,ProductPrice!$G$28:$G$10000,invoice_branch_id,ProductPrice!$H$28:$H$10000,invoice_price_type_id,ProductPrice!$I$28:$I$10000,MID(P82,1,3)*1,ProductPrice!$Q$28:$Q$10000,1,ProductPrice!$T$28:$T$10000,1))</f>
        <v/>
      </c>
      <c r="AT82" s="197" t="str">
        <f t="shared" si="36"/>
        <v/>
      </c>
      <c r="AU82" s="197" t="str" cm="1">
        <f t="array" ref="AU82">IF(M82="","",IF(ISNA(Slookup(MID(AN82,1,3)*1,UomConversion!$D$8:$J$500,2,UomConversion!$I$8:$I$500,1,UomConversion!$J$8:$J$500,1)),"",Slookup(MID(AN82,1,3)*1,UomConversion!$D$8:$J$500,2,UomConversion!$I$8:$I$500,1,UomConversion!$J$8:$J$500,1)))</f>
        <v/>
      </c>
      <c r="AV82" s="197" t="str">
        <f t="shared" si="37"/>
        <v/>
      </c>
      <c r="AW82" s="197" t="str">
        <f>IF(M82="","",(SUMIFS('[1]1_group_totals'!$K$8:$K$10000,'[1]1_group_totals'!$C$8:$C$10000,I82,'[1]1_group_totals'!$F$8:$F$10000,invoice_location_group_id,'[1]1_group_totals'!$G$8:$G$10000,invoice_location_id,'[1]1_group_totals'!$H$8:$H$10000,"="&amp;Q82,'[1]1_group_totals'!$I$8:$I$10000,"="&amp;R82)+SUMIFS('[1]1_group_totals'!$N$8:$N$10000,'[1]1_group_totals'!$C$8:$C$10000,I82,'[1]1_group_totals'!$F$8:$F$10000,invoice_location_group_id,'[1]1_group_totals'!$G$8:$G$10000,invoice_location_id,'[1]1_group_totals'!$H$8:$H$10000,"="&amp;Q82,'[1]1_group_totals'!$I$8:$I$10000,"="&amp;R82)+SUMIFS('[1]1_group_totals'!$P$8:$P$10000,'[1]1_group_totals'!$C$8:$C$10000,I82,'[1]1_group_totals'!$F$8:$F$10000,invoice_location_group_id,'[1]1_group_totals'!$G$8:$G$10000,invoice_location_id,'[1]1_group_totals'!$H$8:$H$10000,"="&amp;Q82,'[1]1_group_totals'!$I$8:$I$10000,"="&amp;R82)+SUMIFS('[1]1_group_totals'!$Q$8:$Q$10000,'[1]1_group_totals'!$C$8:$C$10000,I82,'[1]1_group_totals'!$F$8:$F$10000,invoice_location_group_id,'[1]1_group_totals'!$G$8:$G$10000,invoice_location_id,'[1]1_group_totals'!$H$8:$H$10000,"="&amp;Q82,'[1]1_group_totals'!$I$8:$I$10000,"="&amp;R82))+(SUMIFS('[1]1_group_totals'!$L$8:$L$10000,'[1]1_group_totals'!$C$8:$C$10000,I82,'[1]1_group_totals'!$F$8:$F$10000,invoice_location_group_id,'[1]1_group_totals'!$G$8:$G$10000,invoice_location_id,'[1]1_group_totals'!$H$8:$H$10000,"="&amp;Q82,'[1]1_group_totals'!$I$8:$I$10000,"="&amp;R82)+SUMIFS('[1]1_group_totals'!$M$8:$M$10000,'[1]1_group_totals'!$C$8:$C$10000,I82,'[1]1_group_totals'!$F$8:$F$10000,invoice_location_group_id,'[1]1_group_totals'!$G$8:$G$10000,invoice_location_id,'[1]1_group_totals'!$H$8:$H$10000,"="&amp;Q82,'[1]1_group_totals'!$I$8:$I$10000,"="&amp;R82)+SUMIFS('[1]1_group_totals'!$O$8:$O$10000,'[1]1_group_totals'!$C$8:$C$10000,I82,'[1]1_group_totals'!$F$8:$F$10000,invoice_location_group_id,'[1]1_group_totals'!$G$8:$G$10000,invoice_location_id,'[1]1_group_totals'!$H$8:$H$10000,"="&amp;Q82,'[1]1_group_totals'!$I$8:$I$10000,"="&amp;R82)+SUMIFS('[1]1_group_totals'!$R$8:$R$10000,'[1]1_group_totals'!$C$8:$C$10000,I82,'[1]1_group_totals'!$F$8:$F$10000,invoice_location_group_id,'[1]1_group_totals'!$G$8:$G$10000,invoice_location_id,'[1]1_group_totals'!$H$8:$H$10000,"="&amp;Q82,'[1]1_group_totals'!$I$8:$I$10000,"="&amp;R82)))</f>
        <v/>
      </c>
      <c r="AX82" s="197" t="str">
        <f t="shared" si="50"/>
        <v/>
      </c>
      <c r="AY82" s="197" t="str">
        <f>IF(M82="","",SUMIFS($AX$8:AX82,$I$8:I82,I82))</f>
        <v/>
      </c>
      <c r="AZ82" s="197" t="str">
        <f t="shared" si="51"/>
        <v/>
      </c>
      <c r="BA82" s="197" t="str">
        <f>IF(M82="","",(SUMIFS('[1]1_inventory_totals'!$I$8:$I$10000,'[1]1_inventory_totals'!$C$8:$C$10000,I82,'[1]1_inventory_totals'!$F$8:$F$10000,"="&amp;Q82,'[1]1_inventory_totals'!$G$8:$G$10000,"="&amp;R82)+SUMIFS('[1]1_inventory_totals'!$N$8:$N$10000,'[1]1_inventory_totals'!$C$8:$C$10000,I82,'[1]1_inventory_totals'!$F$8:$F$10000,"="&amp;Q82,'[1]1_inventory_totals'!$G$8:$G$10000,"="&amp;R82)+SUMIFS('[1]1_inventory_totals'!$P$8:$P$10000,'[1]1_inventory_totals'!$C$8:$C$10000,I82,'[1]1_inventory_totals'!$F$8:$F$10000,"="&amp;Q82,'[1]1_inventory_totals'!$G$8:$G$10000,"="&amp;R82)+SUMIFS('[1]1_inventory_totals'!$Q$8:$Q$10000,'[1]1_inventory_totals'!$C$8:$C$10000,I82,'[1]1_inventory_totals'!$F$8:$F$10000,"="&amp;Q82,'[1]1_inventory_totals'!$G$8:$G$10000,"="&amp;R82)+SUMIFS('[1]1_inventory_totals'!$R$8:$R$10000,'[1]1_inventory_totals'!$C$8:$C$10000,I82,'[1]1_inventory_totals'!$F$8:$F$10000,"="&amp;Q82,'[1]1_inventory_totals'!$G$8:$G$10000,"="&amp;R82))+(SUMIFS('[1]1_inventory_totals'!$J$8:$J$10000,'[1]1_inventory_totals'!$C$8:$C$10000,I82,'[1]1_inventory_totals'!$F$8:$F$10000,"="&amp;Q82,'[1]1_inventory_totals'!$G$8:$G$10000,"="&amp;R82)+SUMIFS('[1]1_inventory_totals'!$K$8:$K$10000,'[1]1_inventory_totals'!$C$8:$C$10000,I82,'[1]1_inventory_totals'!$F$8:$F$10000,"="&amp;Q82,'[1]1_inventory_totals'!$G$8:$G$10000,"="&amp;R82)+SUMIFS('[1]1_inventory_totals'!$L$8:$L$10000,'[1]1_inventory_totals'!$C$8:$C$10000,I82,'[1]1_inventory_totals'!$F$8:$F$10000,"="&amp;Q82,'[1]1_inventory_totals'!$G$8:$G$10000,"="&amp;R82)+SUMIFS('[1]1_inventory_totals'!$M$8:$M$10000,'[1]1_inventory_totals'!$C$8:$C$10000,I82,'[1]1_inventory_totals'!$F$8:$F$10000,"="&amp;Q82,'[1]1_inventory_totals'!$G$8:$G$10000,"="&amp;R82)+SUMIFS('[1]1_inventory_totals'!$O$8:$O$10000,'[1]1_inventory_totals'!$C$8:$C$10000,I82,'[1]1_inventory_totals'!$F$8:$F$10000,"="&amp;Q82,'[1]1_inventory_totals'!$G$8:$G$10000,"="&amp;R82)+SUMIFS('[1]1_inventory_totals'!$S$8:$S$10000,'[1]1_inventory_totals'!$C$8:$C$10000,I82,'[1]1_inventory_totals'!$F$8:$F$10000,"="&amp;Q82,'[1]1_inventory_totals'!$G$8:$G$10000,"="&amp;R82)))</f>
        <v/>
      </c>
      <c r="BB82" s="197" t="str">
        <f>IF(M82="","",(SUMIFS('[1]2_inventory_totals'!$I$8:$I$10000,'[1]2_inventory_totals'!$C$8:$C$10000,I82,'[1]2_inventory_totals'!$F$8:$F$10000,"="&amp;Q82,'[1]2_inventory_totals'!$G$8:$G$10000,"="&amp;R82)+SUMIFS('[1]2_inventory_totals'!$N$8:$N$10000,'[1]2_inventory_totals'!$C$8:$C$10000,I82,'[1]2_inventory_totals'!$F$8:$F$10000,"="&amp;Q82,'[1]2_inventory_totals'!$G$8:$G$10000,"="&amp;R82)+SUMIFS('[1]2_inventory_totals'!$P$8:$P$10000,'[1]2_inventory_totals'!$C$8:$C$10000,I82,'[1]2_inventory_totals'!$F$8:$F$10000,"="&amp;Q82,'[1]2_inventory_totals'!$G$8:$G$10000,"="&amp;R82)+SUMIFS('[1]2_inventory_totals'!$Q$8:$Q$10000,'[1]2_inventory_totals'!$C$8:$C$10000,I82,'[1]2_inventory_totals'!$F$8:$F$10000,"="&amp;Q82,'[1]2_inventory_totals'!$G$8:$G$10000,"="&amp;R82)+SUMIFS('[1]2_inventory_totals'!$R$8:$R$10000,'[1]2_inventory_totals'!$C$8:$C$10000,I82,'[1]2_inventory_totals'!$F$8:$F$10000,"="&amp;Q82,'[1]2_inventory_totals'!$G$8:$G$10000,"="&amp;R82))+(SUMIFS('[1]2_inventory_totals'!$J$8:$J$10000,'[1]2_inventory_totals'!$C$8:$C$10000,I82,'[1]2_inventory_totals'!$F$8:$F$10000,"="&amp;Q82,'[1]2_inventory_totals'!$G$8:$G$10000,"="&amp;R82)+SUMIFS('[1]2_inventory_totals'!$K$8:$K$10000,'[1]2_inventory_totals'!$C$8:$C$10000,I82,'[1]2_inventory_totals'!$F$8:$F$10000,"="&amp;Q82,'[1]2_inventory_totals'!$G$8:$G$10000,"="&amp;R82)+SUMIFS('[1]2_inventory_totals'!$L$8:$L$10000,'[1]2_inventory_totals'!$C$8:$C$10000,I82,'[1]2_inventory_totals'!$F$8:$F$10000,"="&amp;Q82,'[1]2_inventory_totals'!$G$8:$G$10000,"="&amp;R82)+SUMIFS('[1]2_inventory_totals'!$M$8:$M$10000,'[1]2_inventory_totals'!$C$8:$C$10000,I82,'[1]2_inventory_totals'!$F$8:$F$10000,"="&amp;Q82,'[1]2_inventory_totals'!$G$8:$G$10000,"="&amp;R82)+SUMIFS('[1]2_inventory_totals'!$O$8:$O$10000,'[1]2_inventory_totals'!$C$8:$C$10000,I82,'[1]2_inventory_totals'!$F$8:$F$10000,"="&amp;Q82,'[1]2_inventory_totals'!$G$8:$G$10000,"="&amp;R82)+SUMIFS('[1]2_inventory_totals'!$S$8:$S$10000,'[1]2_inventory_totals'!$C$8:$C$10000,I82,'[1]2_inventory_totals'!$F$8:$F$10000,"="&amp;Q82,'[1]2_inventory_totals'!$G$8:$G$10000,"="&amp;R82)))</f>
        <v/>
      </c>
    </row>
    <row r="83" spans="1:54" ht="27" hidden="1" customHeight="1">
      <c r="A83" s="923"/>
      <c r="B83" s="1256"/>
      <c r="C83" s="950"/>
      <c r="D83" s="950"/>
      <c r="E83" s="950"/>
      <c r="F83" s="1257"/>
      <c r="G83" s="941"/>
      <c r="H83" s="951"/>
      <c r="I83" s="1610" t="str">
        <f t="shared" si="38"/>
        <v/>
      </c>
      <c r="J83" s="1611" t="str">
        <f t="shared" si="39"/>
        <v/>
      </c>
      <c r="K83" s="1612" t="str">
        <f t="shared" si="31"/>
        <v/>
      </c>
      <c r="L83" s="1613"/>
      <c r="M83" s="883"/>
      <c r="N83" s="884"/>
      <c r="O83" s="884"/>
      <c r="P83" s="885"/>
      <c r="Q83" s="886"/>
      <c r="R83" s="891"/>
      <c r="S83" s="1614" t="str">
        <f t="shared" si="32"/>
        <v/>
      </c>
      <c r="T83" s="1536"/>
      <c r="U83" s="1864" t="str">
        <f t="shared" si="40"/>
        <v/>
      </c>
      <c r="V83" s="1615" t="str">
        <f t="shared" si="33"/>
        <v/>
      </c>
      <c r="W83" s="889"/>
      <c r="X83" s="1615" t="str">
        <f t="shared" si="34"/>
        <v/>
      </c>
      <c r="Y83" s="1865" t="str">
        <f t="shared" si="41"/>
        <v/>
      </c>
      <c r="Z83" s="890"/>
      <c r="AA83" s="197" t="str" cm="1">
        <f t="array" ref="AA83">IF(M83="","",IF(P83=AN83,1,Slookup(MID(AN83,1,3)*1,UomConversion!$D$8:$J$500,5,UomConversion!$E$8:$E$500,MID(P83,1,3)*1,UomConversion!$J$8:$J$500,1)))</f>
        <v/>
      </c>
      <c r="AB83" s="197" t="str">
        <f t="shared" si="42"/>
        <v/>
      </c>
      <c r="AC83" s="197" t="str">
        <f t="shared" si="43"/>
        <v/>
      </c>
      <c r="AD83" s="197" t="str">
        <f t="shared" si="44"/>
        <v/>
      </c>
      <c r="AE83" s="1866" t="str">
        <f t="shared" si="45"/>
        <v/>
      </c>
      <c r="AF83" s="1866" t="str">
        <f t="shared" si="35"/>
        <v/>
      </c>
      <c r="AG83" s="197" t="str">
        <f t="shared" si="46"/>
        <v/>
      </c>
      <c r="AH83" s="197" t="str">
        <f>IF(I83="","",IF(ISNA(MATCH(I83,IF(invoice_location_id=1,'[1]1_inventory_totals'!$C$8:$C$10000,IF(invoice_location_id=2,'[1]2_inventory_totals'!$C$8:$C$10000,0)),0)),0,IF(AV83&gt;0,1,0)))</f>
        <v/>
      </c>
      <c r="AI83" s="197" t="str">
        <f>IF(M83="","",IF(invoice_location_id=1,SUMIFS('[1]1_inventory_total_details'!$J$8:$J$10000,'[1]1_inventory_total_details'!$C$8:$C$10000,I83,'[1]1_inventory_total_details'!$F$8:$F$10000,invoice_location_id,'[1]1_inventory_total_details'!$G$8:$G$10000,"="&amp;Q83,'[1]1_inventory_total_details'!$H$8:$H$10000,"="&amp;R83,'[1]1_inventory_total_details'!$I$8:$I$10000,"="&amp;invoice_date)+SUMIFS('[1]1_inventory_total_details'!$M$8:$M$10000,'[1]1_inventory_total_details'!$C$8:$C$10000,I83,'[1]1_inventory_total_details'!$F$8:$F$10000,invoice_location_id,'[1]1_inventory_total_details'!$G$8:$G$10000,"="&amp;Q83,'[1]1_inventory_total_details'!$H$8:$H$10000,"="&amp;R83,'[1]1_inventory_total_details'!$I$8:$I$10000,"="&amp;invoice_date)+SUMIFS('[1]1_inventory_total_details'!$K$8:$K$10000,'[1]1_inventory_total_details'!$C$8:$C$10000,I83,'[1]1_inventory_total_details'!$F$8:$F$10000,invoice_location_id,'[1]1_inventory_total_details'!$G$8:$G$10000,"="&amp;Q83,'[1]1_inventory_total_details'!$H$8:$H$10000,"="&amp;R83,'[1]1_inventory_total_details'!$I$8:$I$10000,"="&amp;invoice_date)+SUMIFS('[1]1_inventory_total_details'!$L$8:$L$10000,'[1]1_inventory_total_details'!$C$8:$C$10000,I83,'[1]1_inventory_total_details'!$F$8:$F$10000,invoice_location_id,'[1]1_inventory_total_details'!$G$8:$G$10000,"="&amp;Q83,'[1]1_inventory_total_details'!$H$8:$H$10000,"="&amp;R83,'[1]1_inventory_total_details'!$I$8:$I$10000,"="&amp;invoice_date),SUMIFS('[1]2_inventory_total_details'!$J$8:$J$10000,'[1]2_inventory_total_details'!$C$8:$C$10000,I83,'[1]2_inventory_total_details'!$F$8:$F$10000,invoice_location_id,'[1]2_inventory_total_details'!$G$8:$G$10000,"="&amp;Q83,'[1]2_inventory_total_details'!$H$8:$H$10000,"="&amp;R83,'[1]2_inventory_total_details'!$I$8:$I$10000,"="&amp;invoice_date)+SUMIFS('[1]2_inventory_total_details'!$M$8:$M$10000,'[1]2_inventory_total_details'!$C$8:$C$10000,I83,'[1]2_inventory_total_details'!$F$8:$F$10000,invoice_location_id,'[1]2_inventory_total_details'!$G$8:$G$10000,"="&amp;Q83,'[1]2_inventory_total_details'!$H$8:$H$10000,"="&amp;R83,'[1]2_inventory_total_details'!$I$8:$I$10000,"="&amp;invoice_date)+SUMIFS('[1]2_inventory_total_details'!$K$8:$K$10000,'[1]2_inventory_total_details'!$C$8:$C$10000,I83,'[1]2_inventory_total_details'!$F$8:$F$10000,invoice_location_id,'[1]2_inventory_total_details'!$G$8:$G$10000,"="&amp;Q83,'[1]2_inventory_total_details'!$H$8:$H$10000,"="&amp;R83,'[1]2_inventory_total_details'!$I$8:$I$10000,"="&amp;invoice_date)+SUMIFS('[1]2_inventory_total_details'!$L$8:$L$10000,'[1]2_inventory_total_details'!$C$8:$C$10000,I83,'[1]2_inventory_total_details'!$F$8:$F$10000,invoice_location_id,'[1]2_inventory_total_details'!$G$8:$G$10000,"="&amp;Q83,'[1]2_inventory_total_details'!$H$8:$H$10000,"="&amp;R83,'[1]2_inventory_total_details'!$I$8:$I$10000,"="&amp;invoice_date)))</f>
        <v/>
      </c>
      <c r="AJ83" s="197" t="str">
        <f>IF(M83="","",IF(ISNA(MATCH(I83,'[1]1_group_totals'!$C$8:$C$10000)),0,IF(AW83&gt;0,1,0)))</f>
        <v/>
      </c>
      <c r="AK83" s="197" t="str">
        <f>IF(M83="","",(SUMIFS('[1]1_group_total_details'!$I$8:$I$10000,'[1]1_group_total_details'!$C$8:$C$10000,I83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83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83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83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83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83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83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83,'[1]1_group_total_details'!$F$8:$F$10000,invoice_location_group_id,'[1]1_group_total_details'!$G$8:$G$10000,invoice_location_id,'[1]1_group_total_details'!$H$8:$H$10000,"="&amp;invoice_date)))</f>
        <v/>
      </c>
      <c r="AL83" s="197" t="str">
        <f>IF(M83="","",(SUMIFS('[1]1_group_total_details'!$I$8:$I$10000,'[1]1_group_total_details'!$C$8:$C$10000,I83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83,'[1]1_group_total_details'!$F$8:$F$10000,invoice_location_group_id,'[1]1_group_total_details'!$G$8:$G$10000,1,'[1]1_group_total_details'!$H$8:$H$10000,"&lt;="&amp;invoice_date)+SUMIFS('[1]1_group_total_details'!$N$8:$N$10000,'[1]1_group_total_details'!$C$8:$C$10000,I83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83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83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83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83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83,'[1]1_group_total_details'!$F$8:$F$10000,invoice_location_group_id,'[1]1_group_total_details'!$G$8:$G$10000,invoice_location_id,'[1]1_group_total_details'!$H$8:$H$10000,"&lt;="&amp;invoice_date)))</f>
        <v/>
      </c>
      <c r="AM83" s="197" t="str">
        <f>IF(M83="","",SUMIFS('[1]1_group_totals'!$J$8:$J$10000,'[1]1_group_totals'!$C$8:$C$10000,I83,'[1]1_group_totals'!$F$8:$F$10000,invoice_location_group_id,'[1]1_group_totals'!$G$8:$G$10000,invoice_location_id,'[1]1_group_totals'!$H$8:$H$10000,"="&amp;Q83,'[1]1_group_totals'!$I$8:$I$10000,"="&amp;R83))</f>
        <v/>
      </c>
      <c r="AN83" s="197" t="str">
        <f t="shared" si="47"/>
        <v/>
      </c>
      <c r="AO83" s="197" t="str">
        <f>IF(OR(ISNA(MATCH(MID(AN83,1,3)*1,UomConversion!$D$8:$D$500,0)),M83=""),"",IF(AT83="","",AT83))</f>
        <v/>
      </c>
      <c r="AP83" s="197" t="str">
        <f>IF(AND(AQ83&gt;0,COUNTIFS(UomConversion!$D$8:$D$500,MID(AN83,1,3)*1,UomConversion!$J$8:$J$500,1)&gt;1),TEXT(AQ83,"000")&amp;"."&amp;VLOOKUP(AQ83,uom_list,5,FALSE),"")</f>
        <v/>
      </c>
      <c r="AQ83" s="197" t="str">
        <f t="shared" si="48"/>
        <v/>
      </c>
      <c r="AR83" s="197" t="str">
        <f t="shared" si="49"/>
        <v/>
      </c>
      <c r="AS83" s="1866" t="str">
        <f>IF(M83="","",SUMIFS(ProductPrice!$N$28:$N$10000,ProductPrice!$D$28:$D$10000,I83,ProductPrice!$G$28:$G$10000,invoice_branch_id,ProductPrice!$H$28:$H$10000,invoice_price_type_id,ProductPrice!$I$28:$I$10000,MID(P83,1,3)*1,ProductPrice!$Q$28:$Q$10000,1,ProductPrice!$T$28:$T$10000,1))</f>
        <v/>
      </c>
      <c r="AT83" s="197" t="str">
        <f t="shared" si="36"/>
        <v/>
      </c>
      <c r="AU83" s="197" t="str" cm="1">
        <f t="array" ref="AU83">IF(M83="","",IF(ISNA(Slookup(MID(AN83,1,3)*1,UomConversion!$D$8:$J$500,2,UomConversion!$I$8:$I$500,1,UomConversion!$J$8:$J$500,1)),"",Slookup(MID(AN83,1,3)*1,UomConversion!$D$8:$J$500,2,UomConversion!$I$8:$I$500,1,UomConversion!$J$8:$J$500,1)))</f>
        <v/>
      </c>
      <c r="AV83" s="197" t="str">
        <f t="shared" si="37"/>
        <v/>
      </c>
      <c r="AW83" s="197" t="str">
        <f>IF(M83="","",(SUMIFS('[1]1_group_totals'!$K$8:$K$10000,'[1]1_group_totals'!$C$8:$C$10000,I83,'[1]1_group_totals'!$F$8:$F$10000,invoice_location_group_id,'[1]1_group_totals'!$G$8:$G$10000,invoice_location_id,'[1]1_group_totals'!$H$8:$H$10000,"="&amp;Q83,'[1]1_group_totals'!$I$8:$I$10000,"="&amp;R83)+SUMIFS('[1]1_group_totals'!$N$8:$N$10000,'[1]1_group_totals'!$C$8:$C$10000,I83,'[1]1_group_totals'!$F$8:$F$10000,invoice_location_group_id,'[1]1_group_totals'!$G$8:$G$10000,invoice_location_id,'[1]1_group_totals'!$H$8:$H$10000,"="&amp;Q83,'[1]1_group_totals'!$I$8:$I$10000,"="&amp;R83)+SUMIFS('[1]1_group_totals'!$P$8:$P$10000,'[1]1_group_totals'!$C$8:$C$10000,I83,'[1]1_group_totals'!$F$8:$F$10000,invoice_location_group_id,'[1]1_group_totals'!$G$8:$G$10000,invoice_location_id,'[1]1_group_totals'!$H$8:$H$10000,"="&amp;Q83,'[1]1_group_totals'!$I$8:$I$10000,"="&amp;R83)+SUMIFS('[1]1_group_totals'!$Q$8:$Q$10000,'[1]1_group_totals'!$C$8:$C$10000,I83,'[1]1_group_totals'!$F$8:$F$10000,invoice_location_group_id,'[1]1_group_totals'!$G$8:$G$10000,invoice_location_id,'[1]1_group_totals'!$H$8:$H$10000,"="&amp;Q83,'[1]1_group_totals'!$I$8:$I$10000,"="&amp;R83))+(SUMIFS('[1]1_group_totals'!$L$8:$L$10000,'[1]1_group_totals'!$C$8:$C$10000,I83,'[1]1_group_totals'!$F$8:$F$10000,invoice_location_group_id,'[1]1_group_totals'!$G$8:$G$10000,invoice_location_id,'[1]1_group_totals'!$H$8:$H$10000,"="&amp;Q83,'[1]1_group_totals'!$I$8:$I$10000,"="&amp;R83)+SUMIFS('[1]1_group_totals'!$M$8:$M$10000,'[1]1_group_totals'!$C$8:$C$10000,I83,'[1]1_group_totals'!$F$8:$F$10000,invoice_location_group_id,'[1]1_group_totals'!$G$8:$G$10000,invoice_location_id,'[1]1_group_totals'!$H$8:$H$10000,"="&amp;Q83,'[1]1_group_totals'!$I$8:$I$10000,"="&amp;R83)+SUMIFS('[1]1_group_totals'!$O$8:$O$10000,'[1]1_group_totals'!$C$8:$C$10000,I83,'[1]1_group_totals'!$F$8:$F$10000,invoice_location_group_id,'[1]1_group_totals'!$G$8:$G$10000,invoice_location_id,'[1]1_group_totals'!$H$8:$H$10000,"="&amp;Q83,'[1]1_group_totals'!$I$8:$I$10000,"="&amp;R83)+SUMIFS('[1]1_group_totals'!$R$8:$R$10000,'[1]1_group_totals'!$C$8:$C$10000,I83,'[1]1_group_totals'!$F$8:$F$10000,invoice_location_group_id,'[1]1_group_totals'!$G$8:$G$10000,invoice_location_id,'[1]1_group_totals'!$H$8:$H$10000,"="&amp;Q83,'[1]1_group_totals'!$I$8:$I$10000,"="&amp;R83)))</f>
        <v/>
      </c>
      <c r="AX83" s="197" t="str">
        <f t="shared" si="50"/>
        <v/>
      </c>
      <c r="AY83" s="197" t="str">
        <f>IF(M83="","",SUMIFS($AX$8:AX83,$I$8:I83,I83))</f>
        <v/>
      </c>
      <c r="AZ83" s="197" t="str">
        <f t="shared" si="51"/>
        <v/>
      </c>
      <c r="BA83" s="197" t="str">
        <f>IF(M83="","",(SUMIFS('[1]1_inventory_totals'!$I$8:$I$10000,'[1]1_inventory_totals'!$C$8:$C$10000,I83,'[1]1_inventory_totals'!$F$8:$F$10000,"="&amp;Q83,'[1]1_inventory_totals'!$G$8:$G$10000,"="&amp;R83)+SUMIFS('[1]1_inventory_totals'!$N$8:$N$10000,'[1]1_inventory_totals'!$C$8:$C$10000,I83,'[1]1_inventory_totals'!$F$8:$F$10000,"="&amp;Q83,'[1]1_inventory_totals'!$G$8:$G$10000,"="&amp;R83)+SUMIFS('[1]1_inventory_totals'!$P$8:$P$10000,'[1]1_inventory_totals'!$C$8:$C$10000,I83,'[1]1_inventory_totals'!$F$8:$F$10000,"="&amp;Q83,'[1]1_inventory_totals'!$G$8:$G$10000,"="&amp;R83)+SUMIFS('[1]1_inventory_totals'!$Q$8:$Q$10000,'[1]1_inventory_totals'!$C$8:$C$10000,I83,'[1]1_inventory_totals'!$F$8:$F$10000,"="&amp;Q83,'[1]1_inventory_totals'!$G$8:$G$10000,"="&amp;R83)+SUMIFS('[1]1_inventory_totals'!$R$8:$R$10000,'[1]1_inventory_totals'!$C$8:$C$10000,I83,'[1]1_inventory_totals'!$F$8:$F$10000,"="&amp;Q83,'[1]1_inventory_totals'!$G$8:$G$10000,"="&amp;R83))+(SUMIFS('[1]1_inventory_totals'!$J$8:$J$10000,'[1]1_inventory_totals'!$C$8:$C$10000,I83,'[1]1_inventory_totals'!$F$8:$F$10000,"="&amp;Q83,'[1]1_inventory_totals'!$G$8:$G$10000,"="&amp;R83)+SUMIFS('[1]1_inventory_totals'!$K$8:$K$10000,'[1]1_inventory_totals'!$C$8:$C$10000,I83,'[1]1_inventory_totals'!$F$8:$F$10000,"="&amp;Q83,'[1]1_inventory_totals'!$G$8:$G$10000,"="&amp;R83)+SUMIFS('[1]1_inventory_totals'!$L$8:$L$10000,'[1]1_inventory_totals'!$C$8:$C$10000,I83,'[1]1_inventory_totals'!$F$8:$F$10000,"="&amp;Q83,'[1]1_inventory_totals'!$G$8:$G$10000,"="&amp;R83)+SUMIFS('[1]1_inventory_totals'!$M$8:$M$10000,'[1]1_inventory_totals'!$C$8:$C$10000,I83,'[1]1_inventory_totals'!$F$8:$F$10000,"="&amp;Q83,'[1]1_inventory_totals'!$G$8:$G$10000,"="&amp;R83)+SUMIFS('[1]1_inventory_totals'!$O$8:$O$10000,'[1]1_inventory_totals'!$C$8:$C$10000,I83,'[1]1_inventory_totals'!$F$8:$F$10000,"="&amp;Q83,'[1]1_inventory_totals'!$G$8:$G$10000,"="&amp;R83)+SUMIFS('[1]1_inventory_totals'!$S$8:$S$10000,'[1]1_inventory_totals'!$C$8:$C$10000,I83,'[1]1_inventory_totals'!$F$8:$F$10000,"="&amp;Q83,'[1]1_inventory_totals'!$G$8:$G$10000,"="&amp;R83)))</f>
        <v/>
      </c>
      <c r="BB83" s="197" t="str">
        <f>IF(M83="","",(SUMIFS('[1]2_inventory_totals'!$I$8:$I$10000,'[1]2_inventory_totals'!$C$8:$C$10000,I83,'[1]2_inventory_totals'!$F$8:$F$10000,"="&amp;Q83,'[1]2_inventory_totals'!$G$8:$G$10000,"="&amp;R83)+SUMIFS('[1]2_inventory_totals'!$N$8:$N$10000,'[1]2_inventory_totals'!$C$8:$C$10000,I83,'[1]2_inventory_totals'!$F$8:$F$10000,"="&amp;Q83,'[1]2_inventory_totals'!$G$8:$G$10000,"="&amp;R83)+SUMIFS('[1]2_inventory_totals'!$P$8:$P$10000,'[1]2_inventory_totals'!$C$8:$C$10000,I83,'[1]2_inventory_totals'!$F$8:$F$10000,"="&amp;Q83,'[1]2_inventory_totals'!$G$8:$G$10000,"="&amp;R83)+SUMIFS('[1]2_inventory_totals'!$Q$8:$Q$10000,'[1]2_inventory_totals'!$C$8:$C$10000,I83,'[1]2_inventory_totals'!$F$8:$F$10000,"="&amp;Q83,'[1]2_inventory_totals'!$G$8:$G$10000,"="&amp;R83)+SUMIFS('[1]2_inventory_totals'!$R$8:$R$10000,'[1]2_inventory_totals'!$C$8:$C$10000,I83,'[1]2_inventory_totals'!$F$8:$F$10000,"="&amp;Q83,'[1]2_inventory_totals'!$G$8:$G$10000,"="&amp;R83))+(SUMIFS('[1]2_inventory_totals'!$J$8:$J$10000,'[1]2_inventory_totals'!$C$8:$C$10000,I83,'[1]2_inventory_totals'!$F$8:$F$10000,"="&amp;Q83,'[1]2_inventory_totals'!$G$8:$G$10000,"="&amp;R83)+SUMIFS('[1]2_inventory_totals'!$K$8:$K$10000,'[1]2_inventory_totals'!$C$8:$C$10000,I83,'[1]2_inventory_totals'!$F$8:$F$10000,"="&amp;Q83,'[1]2_inventory_totals'!$G$8:$G$10000,"="&amp;R83)+SUMIFS('[1]2_inventory_totals'!$L$8:$L$10000,'[1]2_inventory_totals'!$C$8:$C$10000,I83,'[1]2_inventory_totals'!$F$8:$F$10000,"="&amp;Q83,'[1]2_inventory_totals'!$G$8:$G$10000,"="&amp;R83)+SUMIFS('[1]2_inventory_totals'!$M$8:$M$10000,'[1]2_inventory_totals'!$C$8:$C$10000,I83,'[1]2_inventory_totals'!$F$8:$F$10000,"="&amp;Q83,'[1]2_inventory_totals'!$G$8:$G$10000,"="&amp;R83)+SUMIFS('[1]2_inventory_totals'!$O$8:$O$10000,'[1]2_inventory_totals'!$C$8:$C$10000,I83,'[1]2_inventory_totals'!$F$8:$F$10000,"="&amp;Q83,'[1]2_inventory_totals'!$G$8:$G$10000,"="&amp;R83)+SUMIFS('[1]2_inventory_totals'!$S$8:$S$10000,'[1]2_inventory_totals'!$C$8:$C$10000,I83,'[1]2_inventory_totals'!$F$8:$F$10000,"="&amp;Q83,'[1]2_inventory_totals'!$G$8:$G$10000,"="&amp;R83)))</f>
        <v/>
      </c>
    </row>
    <row r="84" spans="1:54" ht="27" hidden="1" customHeight="1">
      <c r="A84" s="923"/>
      <c r="B84" s="1256"/>
      <c r="C84" s="950"/>
      <c r="D84" s="950"/>
      <c r="E84" s="950"/>
      <c r="F84" s="1257"/>
      <c r="G84" s="941"/>
      <c r="H84" s="951"/>
      <c r="I84" s="1610" t="str">
        <f t="shared" si="38"/>
        <v/>
      </c>
      <c r="J84" s="1611" t="str">
        <f t="shared" si="39"/>
        <v/>
      </c>
      <c r="K84" s="1612" t="str">
        <f t="shared" si="31"/>
        <v/>
      </c>
      <c r="L84" s="1613"/>
      <c r="M84" s="883"/>
      <c r="N84" s="884"/>
      <c r="O84" s="884"/>
      <c r="P84" s="885"/>
      <c r="Q84" s="886"/>
      <c r="R84" s="891"/>
      <c r="S84" s="1614" t="str">
        <f t="shared" si="32"/>
        <v/>
      </c>
      <c r="T84" s="1536"/>
      <c r="U84" s="1864" t="str">
        <f t="shared" si="40"/>
        <v/>
      </c>
      <c r="V84" s="1615" t="str">
        <f t="shared" si="33"/>
        <v/>
      </c>
      <c r="W84" s="889"/>
      <c r="X84" s="1615" t="str">
        <f t="shared" si="34"/>
        <v/>
      </c>
      <c r="Y84" s="1865" t="str">
        <f t="shared" si="41"/>
        <v/>
      </c>
      <c r="Z84" s="890"/>
      <c r="AA84" s="197" t="str" cm="1">
        <f t="array" ref="AA84">IF(M84="","",IF(P84=AN84,1,Slookup(MID(AN84,1,3)*1,UomConversion!$D$8:$J$500,5,UomConversion!$E$8:$E$500,MID(P84,1,3)*1,UomConversion!$J$8:$J$500,1)))</f>
        <v/>
      </c>
      <c r="AB84" s="197" t="str">
        <f t="shared" si="42"/>
        <v/>
      </c>
      <c r="AC84" s="197" t="str">
        <f t="shared" si="43"/>
        <v/>
      </c>
      <c r="AD84" s="197" t="str">
        <f t="shared" si="44"/>
        <v/>
      </c>
      <c r="AE84" s="1866" t="str">
        <f t="shared" si="45"/>
        <v/>
      </c>
      <c r="AF84" s="1866" t="str">
        <f t="shared" si="35"/>
        <v/>
      </c>
      <c r="AG84" s="197" t="str">
        <f t="shared" si="46"/>
        <v/>
      </c>
      <c r="AH84" s="197" t="str">
        <f>IF(I84="","",IF(ISNA(MATCH(I84,IF(invoice_location_id=1,'[1]1_inventory_totals'!$C$8:$C$10000,IF(invoice_location_id=2,'[1]2_inventory_totals'!$C$8:$C$10000,0)),0)),0,IF(AV84&gt;0,1,0)))</f>
        <v/>
      </c>
      <c r="AI84" s="197" t="str">
        <f>IF(M84="","",IF(invoice_location_id=1,SUMIFS('[1]1_inventory_total_details'!$J$8:$J$10000,'[1]1_inventory_total_details'!$C$8:$C$10000,I84,'[1]1_inventory_total_details'!$F$8:$F$10000,invoice_location_id,'[1]1_inventory_total_details'!$G$8:$G$10000,"="&amp;Q84,'[1]1_inventory_total_details'!$H$8:$H$10000,"="&amp;R84,'[1]1_inventory_total_details'!$I$8:$I$10000,"="&amp;invoice_date)+SUMIFS('[1]1_inventory_total_details'!$M$8:$M$10000,'[1]1_inventory_total_details'!$C$8:$C$10000,I84,'[1]1_inventory_total_details'!$F$8:$F$10000,invoice_location_id,'[1]1_inventory_total_details'!$G$8:$G$10000,"="&amp;Q84,'[1]1_inventory_total_details'!$H$8:$H$10000,"="&amp;R84,'[1]1_inventory_total_details'!$I$8:$I$10000,"="&amp;invoice_date)+SUMIFS('[1]1_inventory_total_details'!$K$8:$K$10000,'[1]1_inventory_total_details'!$C$8:$C$10000,I84,'[1]1_inventory_total_details'!$F$8:$F$10000,invoice_location_id,'[1]1_inventory_total_details'!$G$8:$G$10000,"="&amp;Q84,'[1]1_inventory_total_details'!$H$8:$H$10000,"="&amp;R84,'[1]1_inventory_total_details'!$I$8:$I$10000,"="&amp;invoice_date)+SUMIFS('[1]1_inventory_total_details'!$L$8:$L$10000,'[1]1_inventory_total_details'!$C$8:$C$10000,I84,'[1]1_inventory_total_details'!$F$8:$F$10000,invoice_location_id,'[1]1_inventory_total_details'!$G$8:$G$10000,"="&amp;Q84,'[1]1_inventory_total_details'!$H$8:$H$10000,"="&amp;R84,'[1]1_inventory_total_details'!$I$8:$I$10000,"="&amp;invoice_date),SUMIFS('[1]2_inventory_total_details'!$J$8:$J$10000,'[1]2_inventory_total_details'!$C$8:$C$10000,I84,'[1]2_inventory_total_details'!$F$8:$F$10000,invoice_location_id,'[1]2_inventory_total_details'!$G$8:$G$10000,"="&amp;Q84,'[1]2_inventory_total_details'!$H$8:$H$10000,"="&amp;R84,'[1]2_inventory_total_details'!$I$8:$I$10000,"="&amp;invoice_date)+SUMIFS('[1]2_inventory_total_details'!$M$8:$M$10000,'[1]2_inventory_total_details'!$C$8:$C$10000,I84,'[1]2_inventory_total_details'!$F$8:$F$10000,invoice_location_id,'[1]2_inventory_total_details'!$G$8:$G$10000,"="&amp;Q84,'[1]2_inventory_total_details'!$H$8:$H$10000,"="&amp;R84,'[1]2_inventory_total_details'!$I$8:$I$10000,"="&amp;invoice_date)+SUMIFS('[1]2_inventory_total_details'!$K$8:$K$10000,'[1]2_inventory_total_details'!$C$8:$C$10000,I84,'[1]2_inventory_total_details'!$F$8:$F$10000,invoice_location_id,'[1]2_inventory_total_details'!$G$8:$G$10000,"="&amp;Q84,'[1]2_inventory_total_details'!$H$8:$H$10000,"="&amp;R84,'[1]2_inventory_total_details'!$I$8:$I$10000,"="&amp;invoice_date)+SUMIFS('[1]2_inventory_total_details'!$L$8:$L$10000,'[1]2_inventory_total_details'!$C$8:$C$10000,I84,'[1]2_inventory_total_details'!$F$8:$F$10000,invoice_location_id,'[1]2_inventory_total_details'!$G$8:$G$10000,"="&amp;Q84,'[1]2_inventory_total_details'!$H$8:$H$10000,"="&amp;R84,'[1]2_inventory_total_details'!$I$8:$I$10000,"="&amp;invoice_date)))</f>
        <v/>
      </c>
      <c r="AJ84" s="197" t="str">
        <f>IF(M84="","",IF(ISNA(MATCH(I84,'[1]1_group_totals'!$C$8:$C$10000)),0,IF(AW84&gt;0,1,0)))</f>
        <v/>
      </c>
      <c r="AK84" s="197" t="str">
        <f>IF(M84="","",(SUMIFS('[1]1_group_total_details'!$I$8:$I$10000,'[1]1_group_total_details'!$C$8:$C$10000,I84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84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84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84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84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84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84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84,'[1]1_group_total_details'!$F$8:$F$10000,invoice_location_group_id,'[1]1_group_total_details'!$G$8:$G$10000,invoice_location_id,'[1]1_group_total_details'!$H$8:$H$10000,"="&amp;invoice_date)))</f>
        <v/>
      </c>
      <c r="AL84" s="197" t="str">
        <f>IF(M84="","",(SUMIFS('[1]1_group_total_details'!$I$8:$I$10000,'[1]1_group_total_details'!$C$8:$C$10000,I84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84,'[1]1_group_total_details'!$F$8:$F$10000,invoice_location_group_id,'[1]1_group_total_details'!$G$8:$G$10000,1,'[1]1_group_total_details'!$H$8:$H$10000,"&lt;="&amp;invoice_date)+SUMIFS('[1]1_group_total_details'!$N$8:$N$10000,'[1]1_group_total_details'!$C$8:$C$10000,I84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84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84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84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84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84,'[1]1_group_total_details'!$F$8:$F$10000,invoice_location_group_id,'[1]1_group_total_details'!$G$8:$G$10000,invoice_location_id,'[1]1_group_total_details'!$H$8:$H$10000,"&lt;="&amp;invoice_date)))</f>
        <v/>
      </c>
      <c r="AM84" s="197" t="str">
        <f>IF(M84="","",SUMIFS('[1]1_group_totals'!$J$8:$J$10000,'[1]1_group_totals'!$C$8:$C$10000,I84,'[1]1_group_totals'!$F$8:$F$10000,invoice_location_group_id,'[1]1_group_totals'!$G$8:$G$10000,invoice_location_id,'[1]1_group_totals'!$H$8:$H$10000,"="&amp;Q84,'[1]1_group_totals'!$I$8:$I$10000,"="&amp;R84))</f>
        <v/>
      </c>
      <c r="AN84" s="197" t="str">
        <f t="shared" si="47"/>
        <v/>
      </c>
      <c r="AO84" s="197" t="str">
        <f>IF(OR(ISNA(MATCH(MID(AN84,1,3)*1,UomConversion!$D$8:$D$500,0)),M84=""),"",IF(AT84="","",AT84))</f>
        <v/>
      </c>
      <c r="AP84" s="197" t="str">
        <f>IF(AND(AQ84&gt;0,COUNTIFS(UomConversion!$D$8:$D$500,MID(AN84,1,3)*1,UomConversion!$J$8:$J$500,1)&gt;1),TEXT(AQ84,"000")&amp;"."&amp;VLOOKUP(AQ84,uom_list,5,FALSE),"")</f>
        <v/>
      </c>
      <c r="AQ84" s="197" t="str">
        <f t="shared" si="48"/>
        <v/>
      </c>
      <c r="AR84" s="197" t="str">
        <f t="shared" si="49"/>
        <v/>
      </c>
      <c r="AS84" s="1866" t="str">
        <f>IF(M84="","",SUMIFS(ProductPrice!$N$28:$N$10000,ProductPrice!$D$28:$D$10000,I84,ProductPrice!$G$28:$G$10000,invoice_branch_id,ProductPrice!$H$28:$H$10000,invoice_price_type_id,ProductPrice!$I$28:$I$10000,MID(P84,1,3)*1,ProductPrice!$Q$28:$Q$10000,1,ProductPrice!$T$28:$T$10000,1))</f>
        <v/>
      </c>
      <c r="AT84" s="197" t="str">
        <f t="shared" si="36"/>
        <v/>
      </c>
      <c r="AU84" s="197" t="str" cm="1">
        <f t="array" ref="AU84">IF(M84="","",IF(ISNA(Slookup(MID(AN84,1,3)*1,UomConversion!$D$8:$J$500,2,UomConversion!$I$8:$I$500,1,UomConversion!$J$8:$J$500,1)),"",Slookup(MID(AN84,1,3)*1,UomConversion!$D$8:$J$500,2,UomConversion!$I$8:$I$500,1,UomConversion!$J$8:$J$500,1)))</f>
        <v/>
      </c>
      <c r="AV84" s="197" t="str">
        <f t="shared" si="37"/>
        <v/>
      </c>
      <c r="AW84" s="197" t="str">
        <f>IF(M84="","",(SUMIFS('[1]1_group_totals'!$K$8:$K$10000,'[1]1_group_totals'!$C$8:$C$10000,I84,'[1]1_group_totals'!$F$8:$F$10000,invoice_location_group_id,'[1]1_group_totals'!$G$8:$G$10000,invoice_location_id,'[1]1_group_totals'!$H$8:$H$10000,"="&amp;Q84,'[1]1_group_totals'!$I$8:$I$10000,"="&amp;R84)+SUMIFS('[1]1_group_totals'!$N$8:$N$10000,'[1]1_group_totals'!$C$8:$C$10000,I84,'[1]1_group_totals'!$F$8:$F$10000,invoice_location_group_id,'[1]1_group_totals'!$G$8:$G$10000,invoice_location_id,'[1]1_group_totals'!$H$8:$H$10000,"="&amp;Q84,'[1]1_group_totals'!$I$8:$I$10000,"="&amp;R84)+SUMIFS('[1]1_group_totals'!$P$8:$P$10000,'[1]1_group_totals'!$C$8:$C$10000,I84,'[1]1_group_totals'!$F$8:$F$10000,invoice_location_group_id,'[1]1_group_totals'!$G$8:$G$10000,invoice_location_id,'[1]1_group_totals'!$H$8:$H$10000,"="&amp;Q84,'[1]1_group_totals'!$I$8:$I$10000,"="&amp;R84)+SUMIFS('[1]1_group_totals'!$Q$8:$Q$10000,'[1]1_group_totals'!$C$8:$C$10000,I84,'[1]1_group_totals'!$F$8:$F$10000,invoice_location_group_id,'[1]1_group_totals'!$G$8:$G$10000,invoice_location_id,'[1]1_group_totals'!$H$8:$H$10000,"="&amp;Q84,'[1]1_group_totals'!$I$8:$I$10000,"="&amp;R84))+(SUMIFS('[1]1_group_totals'!$L$8:$L$10000,'[1]1_group_totals'!$C$8:$C$10000,I84,'[1]1_group_totals'!$F$8:$F$10000,invoice_location_group_id,'[1]1_group_totals'!$G$8:$G$10000,invoice_location_id,'[1]1_group_totals'!$H$8:$H$10000,"="&amp;Q84,'[1]1_group_totals'!$I$8:$I$10000,"="&amp;R84)+SUMIFS('[1]1_group_totals'!$M$8:$M$10000,'[1]1_group_totals'!$C$8:$C$10000,I84,'[1]1_group_totals'!$F$8:$F$10000,invoice_location_group_id,'[1]1_group_totals'!$G$8:$G$10000,invoice_location_id,'[1]1_group_totals'!$H$8:$H$10000,"="&amp;Q84,'[1]1_group_totals'!$I$8:$I$10000,"="&amp;R84)+SUMIFS('[1]1_group_totals'!$O$8:$O$10000,'[1]1_group_totals'!$C$8:$C$10000,I84,'[1]1_group_totals'!$F$8:$F$10000,invoice_location_group_id,'[1]1_group_totals'!$G$8:$G$10000,invoice_location_id,'[1]1_group_totals'!$H$8:$H$10000,"="&amp;Q84,'[1]1_group_totals'!$I$8:$I$10000,"="&amp;R84)+SUMIFS('[1]1_group_totals'!$R$8:$R$10000,'[1]1_group_totals'!$C$8:$C$10000,I84,'[1]1_group_totals'!$F$8:$F$10000,invoice_location_group_id,'[1]1_group_totals'!$G$8:$G$10000,invoice_location_id,'[1]1_group_totals'!$H$8:$H$10000,"="&amp;Q84,'[1]1_group_totals'!$I$8:$I$10000,"="&amp;R84)))</f>
        <v/>
      </c>
      <c r="AX84" s="197" t="str">
        <f t="shared" si="50"/>
        <v/>
      </c>
      <c r="AY84" s="197" t="str">
        <f>IF(M84="","",SUMIFS($AX$8:AX84,$I$8:I84,I84))</f>
        <v/>
      </c>
      <c r="AZ84" s="197" t="str">
        <f t="shared" si="51"/>
        <v/>
      </c>
      <c r="BA84" s="197" t="str">
        <f>IF(M84="","",(SUMIFS('[1]1_inventory_totals'!$I$8:$I$10000,'[1]1_inventory_totals'!$C$8:$C$10000,I84,'[1]1_inventory_totals'!$F$8:$F$10000,"="&amp;Q84,'[1]1_inventory_totals'!$G$8:$G$10000,"="&amp;R84)+SUMIFS('[1]1_inventory_totals'!$N$8:$N$10000,'[1]1_inventory_totals'!$C$8:$C$10000,I84,'[1]1_inventory_totals'!$F$8:$F$10000,"="&amp;Q84,'[1]1_inventory_totals'!$G$8:$G$10000,"="&amp;R84)+SUMIFS('[1]1_inventory_totals'!$P$8:$P$10000,'[1]1_inventory_totals'!$C$8:$C$10000,I84,'[1]1_inventory_totals'!$F$8:$F$10000,"="&amp;Q84,'[1]1_inventory_totals'!$G$8:$G$10000,"="&amp;R84)+SUMIFS('[1]1_inventory_totals'!$Q$8:$Q$10000,'[1]1_inventory_totals'!$C$8:$C$10000,I84,'[1]1_inventory_totals'!$F$8:$F$10000,"="&amp;Q84,'[1]1_inventory_totals'!$G$8:$G$10000,"="&amp;R84)+SUMIFS('[1]1_inventory_totals'!$R$8:$R$10000,'[1]1_inventory_totals'!$C$8:$C$10000,I84,'[1]1_inventory_totals'!$F$8:$F$10000,"="&amp;Q84,'[1]1_inventory_totals'!$G$8:$G$10000,"="&amp;R84))+(SUMIFS('[1]1_inventory_totals'!$J$8:$J$10000,'[1]1_inventory_totals'!$C$8:$C$10000,I84,'[1]1_inventory_totals'!$F$8:$F$10000,"="&amp;Q84,'[1]1_inventory_totals'!$G$8:$G$10000,"="&amp;R84)+SUMIFS('[1]1_inventory_totals'!$K$8:$K$10000,'[1]1_inventory_totals'!$C$8:$C$10000,I84,'[1]1_inventory_totals'!$F$8:$F$10000,"="&amp;Q84,'[1]1_inventory_totals'!$G$8:$G$10000,"="&amp;R84)+SUMIFS('[1]1_inventory_totals'!$L$8:$L$10000,'[1]1_inventory_totals'!$C$8:$C$10000,I84,'[1]1_inventory_totals'!$F$8:$F$10000,"="&amp;Q84,'[1]1_inventory_totals'!$G$8:$G$10000,"="&amp;R84)+SUMIFS('[1]1_inventory_totals'!$M$8:$M$10000,'[1]1_inventory_totals'!$C$8:$C$10000,I84,'[1]1_inventory_totals'!$F$8:$F$10000,"="&amp;Q84,'[1]1_inventory_totals'!$G$8:$G$10000,"="&amp;R84)+SUMIFS('[1]1_inventory_totals'!$O$8:$O$10000,'[1]1_inventory_totals'!$C$8:$C$10000,I84,'[1]1_inventory_totals'!$F$8:$F$10000,"="&amp;Q84,'[1]1_inventory_totals'!$G$8:$G$10000,"="&amp;R84)+SUMIFS('[1]1_inventory_totals'!$S$8:$S$10000,'[1]1_inventory_totals'!$C$8:$C$10000,I84,'[1]1_inventory_totals'!$F$8:$F$10000,"="&amp;Q84,'[1]1_inventory_totals'!$G$8:$G$10000,"="&amp;R84)))</f>
        <v/>
      </c>
      <c r="BB84" s="197" t="str">
        <f>IF(M84="","",(SUMIFS('[1]2_inventory_totals'!$I$8:$I$10000,'[1]2_inventory_totals'!$C$8:$C$10000,I84,'[1]2_inventory_totals'!$F$8:$F$10000,"="&amp;Q84,'[1]2_inventory_totals'!$G$8:$G$10000,"="&amp;R84)+SUMIFS('[1]2_inventory_totals'!$N$8:$N$10000,'[1]2_inventory_totals'!$C$8:$C$10000,I84,'[1]2_inventory_totals'!$F$8:$F$10000,"="&amp;Q84,'[1]2_inventory_totals'!$G$8:$G$10000,"="&amp;R84)+SUMIFS('[1]2_inventory_totals'!$P$8:$P$10000,'[1]2_inventory_totals'!$C$8:$C$10000,I84,'[1]2_inventory_totals'!$F$8:$F$10000,"="&amp;Q84,'[1]2_inventory_totals'!$G$8:$G$10000,"="&amp;R84)+SUMIFS('[1]2_inventory_totals'!$Q$8:$Q$10000,'[1]2_inventory_totals'!$C$8:$C$10000,I84,'[1]2_inventory_totals'!$F$8:$F$10000,"="&amp;Q84,'[1]2_inventory_totals'!$G$8:$G$10000,"="&amp;R84)+SUMIFS('[1]2_inventory_totals'!$R$8:$R$10000,'[1]2_inventory_totals'!$C$8:$C$10000,I84,'[1]2_inventory_totals'!$F$8:$F$10000,"="&amp;Q84,'[1]2_inventory_totals'!$G$8:$G$10000,"="&amp;R84))+(SUMIFS('[1]2_inventory_totals'!$J$8:$J$10000,'[1]2_inventory_totals'!$C$8:$C$10000,I84,'[1]2_inventory_totals'!$F$8:$F$10000,"="&amp;Q84,'[1]2_inventory_totals'!$G$8:$G$10000,"="&amp;R84)+SUMIFS('[1]2_inventory_totals'!$K$8:$K$10000,'[1]2_inventory_totals'!$C$8:$C$10000,I84,'[1]2_inventory_totals'!$F$8:$F$10000,"="&amp;Q84,'[1]2_inventory_totals'!$G$8:$G$10000,"="&amp;R84)+SUMIFS('[1]2_inventory_totals'!$L$8:$L$10000,'[1]2_inventory_totals'!$C$8:$C$10000,I84,'[1]2_inventory_totals'!$F$8:$F$10000,"="&amp;Q84,'[1]2_inventory_totals'!$G$8:$G$10000,"="&amp;R84)+SUMIFS('[1]2_inventory_totals'!$M$8:$M$10000,'[1]2_inventory_totals'!$C$8:$C$10000,I84,'[1]2_inventory_totals'!$F$8:$F$10000,"="&amp;Q84,'[1]2_inventory_totals'!$G$8:$G$10000,"="&amp;R84)+SUMIFS('[1]2_inventory_totals'!$O$8:$O$10000,'[1]2_inventory_totals'!$C$8:$C$10000,I84,'[1]2_inventory_totals'!$F$8:$F$10000,"="&amp;Q84,'[1]2_inventory_totals'!$G$8:$G$10000,"="&amp;R84)+SUMIFS('[1]2_inventory_totals'!$S$8:$S$10000,'[1]2_inventory_totals'!$C$8:$C$10000,I84,'[1]2_inventory_totals'!$F$8:$F$10000,"="&amp;Q84,'[1]2_inventory_totals'!$G$8:$G$10000,"="&amp;R84)))</f>
        <v/>
      </c>
    </row>
    <row r="85" spans="1:54" ht="27" hidden="1" customHeight="1">
      <c r="A85" s="923"/>
      <c r="B85" s="1256"/>
      <c r="C85" s="950"/>
      <c r="D85" s="950"/>
      <c r="E85" s="950"/>
      <c r="F85" s="1257"/>
      <c r="G85" s="941"/>
      <c r="H85" s="951"/>
      <c r="I85" s="1610" t="str">
        <f t="shared" si="38"/>
        <v/>
      </c>
      <c r="J85" s="1611" t="str">
        <f t="shared" si="39"/>
        <v/>
      </c>
      <c r="K85" s="1612" t="str">
        <f>IF(M85="","",VLOOKUP(I85,product_list,4,FALSE))</f>
        <v/>
      </c>
      <c r="L85" s="1613"/>
      <c r="M85" s="883"/>
      <c r="N85" s="884"/>
      <c r="O85" s="884"/>
      <c r="P85" s="885"/>
      <c r="Q85" s="886"/>
      <c r="R85" s="891"/>
      <c r="S85" s="1614" t="str">
        <f t="shared" si="32"/>
        <v/>
      </c>
      <c r="T85" s="1536"/>
      <c r="U85" s="1864" t="str">
        <f t="shared" si="40"/>
        <v/>
      </c>
      <c r="V85" s="1615" t="str">
        <f t="shared" si="33"/>
        <v/>
      </c>
      <c r="W85" s="889"/>
      <c r="X85" s="1615" t="str">
        <f t="shared" si="34"/>
        <v/>
      </c>
      <c r="Y85" s="1865" t="str">
        <f t="shared" si="41"/>
        <v/>
      </c>
      <c r="Z85" s="890"/>
      <c r="AA85" s="197" t="str" cm="1">
        <f t="array" ref="AA85">IF(M85="","",IF(P85=AN85,1,Slookup(MID(AN85,1,3)*1,UomConversion!$D$8:$J$500,5,UomConversion!$E$8:$E$500,MID(P85,1,3)*1,UomConversion!$J$8:$J$500,1)))</f>
        <v/>
      </c>
      <c r="AB85" s="197" t="str">
        <f t="shared" si="42"/>
        <v/>
      </c>
      <c r="AC85" s="197" t="str">
        <f t="shared" si="43"/>
        <v/>
      </c>
      <c r="AD85" s="197" t="str">
        <f t="shared" si="44"/>
        <v/>
      </c>
      <c r="AE85" s="1866" t="str">
        <f t="shared" si="45"/>
        <v/>
      </c>
      <c r="AF85" s="1866" t="str">
        <f t="shared" si="35"/>
        <v/>
      </c>
      <c r="AG85" s="197" t="str">
        <f t="shared" si="46"/>
        <v/>
      </c>
      <c r="AH85" s="197" t="str">
        <f>IF(I85="","",IF(ISNA(MATCH(I85,IF(invoice_location_id=1,'[1]1_inventory_totals'!$C$8:$C$10000,IF(invoice_location_id=2,'[1]2_inventory_totals'!$C$8:$C$10000,0)),0)),0,IF(AV85&gt;0,1,0)))</f>
        <v/>
      </c>
      <c r="AI85" s="197" t="str">
        <f>IF(M85="","",IF(invoice_location_id=1,SUMIFS('[1]1_inventory_total_details'!$J$8:$J$10000,'[1]1_inventory_total_details'!$C$8:$C$10000,I85,'[1]1_inventory_total_details'!$F$8:$F$10000,invoice_location_id,'[1]1_inventory_total_details'!$G$8:$G$10000,"="&amp;Q85,'[1]1_inventory_total_details'!$H$8:$H$10000,"="&amp;R85,'[1]1_inventory_total_details'!$I$8:$I$10000,"="&amp;invoice_date)+SUMIFS('[1]1_inventory_total_details'!$M$8:$M$10000,'[1]1_inventory_total_details'!$C$8:$C$10000,I85,'[1]1_inventory_total_details'!$F$8:$F$10000,invoice_location_id,'[1]1_inventory_total_details'!$G$8:$G$10000,"="&amp;Q85,'[1]1_inventory_total_details'!$H$8:$H$10000,"="&amp;R85,'[1]1_inventory_total_details'!$I$8:$I$10000,"="&amp;invoice_date)+SUMIFS('[1]1_inventory_total_details'!$K$8:$K$10000,'[1]1_inventory_total_details'!$C$8:$C$10000,I85,'[1]1_inventory_total_details'!$F$8:$F$10000,invoice_location_id,'[1]1_inventory_total_details'!$G$8:$G$10000,"="&amp;Q85,'[1]1_inventory_total_details'!$H$8:$H$10000,"="&amp;R85,'[1]1_inventory_total_details'!$I$8:$I$10000,"="&amp;invoice_date)+SUMIFS('[1]1_inventory_total_details'!$L$8:$L$10000,'[1]1_inventory_total_details'!$C$8:$C$10000,I85,'[1]1_inventory_total_details'!$F$8:$F$10000,invoice_location_id,'[1]1_inventory_total_details'!$G$8:$G$10000,"="&amp;Q85,'[1]1_inventory_total_details'!$H$8:$H$10000,"="&amp;R85,'[1]1_inventory_total_details'!$I$8:$I$10000,"="&amp;invoice_date),SUMIFS('[1]2_inventory_total_details'!$J$8:$J$10000,'[1]2_inventory_total_details'!$C$8:$C$10000,I85,'[1]2_inventory_total_details'!$F$8:$F$10000,invoice_location_id,'[1]2_inventory_total_details'!$G$8:$G$10000,"="&amp;Q85,'[1]2_inventory_total_details'!$H$8:$H$10000,"="&amp;R85,'[1]2_inventory_total_details'!$I$8:$I$10000,"="&amp;invoice_date)+SUMIFS('[1]2_inventory_total_details'!$M$8:$M$10000,'[1]2_inventory_total_details'!$C$8:$C$10000,I85,'[1]2_inventory_total_details'!$F$8:$F$10000,invoice_location_id,'[1]2_inventory_total_details'!$G$8:$G$10000,"="&amp;Q85,'[1]2_inventory_total_details'!$H$8:$H$10000,"="&amp;R85,'[1]2_inventory_total_details'!$I$8:$I$10000,"="&amp;invoice_date)+SUMIFS('[1]2_inventory_total_details'!$K$8:$K$10000,'[1]2_inventory_total_details'!$C$8:$C$10000,I85,'[1]2_inventory_total_details'!$F$8:$F$10000,invoice_location_id,'[1]2_inventory_total_details'!$G$8:$G$10000,"="&amp;Q85,'[1]2_inventory_total_details'!$H$8:$H$10000,"="&amp;R85,'[1]2_inventory_total_details'!$I$8:$I$10000,"="&amp;invoice_date)+SUMIFS('[1]2_inventory_total_details'!$L$8:$L$10000,'[1]2_inventory_total_details'!$C$8:$C$10000,I85,'[1]2_inventory_total_details'!$F$8:$F$10000,invoice_location_id,'[1]2_inventory_total_details'!$G$8:$G$10000,"="&amp;Q85,'[1]2_inventory_total_details'!$H$8:$H$10000,"="&amp;R85,'[1]2_inventory_total_details'!$I$8:$I$10000,"="&amp;invoice_date)))</f>
        <v/>
      </c>
      <c r="AJ85" s="197" t="str">
        <f>IF(M85="","",IF(ISNA(MATCH(I85,'[1]1_group_totals'!$C$8:$C$10000)),0,IF(AW85&gt;0,1,0)))</f>
        <v/>
      </c>
      <c r="AK85" s="197" t="str">
        <f>IF(M85="","",(SUMIFS('[1]1_group_total_details'!$I$8:$I$10000,'[1]1_group_total_details'!$C$8:$C$10000,I85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85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85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85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85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85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85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85,'[1]1_group_total_details'!$F$8:$F$10000,invoice_location_group_id,'[1]1_group_total_details'!$G$8:$G$10000,invoice_location_id,'[1]1_group_total_details'!$H$8:$H$10000,"="&amp;invoice_date)))</f>
        <v/>
      </c>
      <c r="AL85" s="197" t="str">
        <f>IF(M85="","",(SUMIFS('[1]1_group_total_details'!$I$8:$I$10000,'[1]1_group_total_details'!$C$8:$C$10000,I85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85,'[1]1_group_total_details'!$F$8:$F$10000,invoice_location_group_id,'[1]1_group_total_details'!$G$8:$G$10000,1,'[1]1_group_total_details'!$H$8:$H$10000,"&lt;="&amp;invoice_date)+SUMIFS('[1]1_group_total_details'!$N$8:$N$10000,'[1]1_group_total_details'!$C$8:$C$10000,I85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85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85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85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85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85,'[1]1_group_total_details'!$F$8:$F$10000,invoice_location_group_id,'[1]1_group_total_details'!$G$8:$G$10000,invoice_location_id,'[1]1_group_total_details'!$H$8:$H$10000,"&lt;="&amp;invoice_date)))</f>
        <v/>
      </c>
      <c r="AM85" s="197" t="str">
        <f>IF(M85="","",SUMIFS('[1]1_group_totals'!$J$8:$J$10000,'[1]1_group_totals'!$C$8:$C$10000,I85,'[1]1_group_totals'!$F$8:$F$10000,invoice_location_group_id,'[1]1_group_totals'!$G$8:$G$10000,invoice_location_id,'[1]1_group_totals'!$H$8:$H$10000,"="&amp;Q85,'[1]1_group_totals'!$I$8:$I$10000,"="&amp;R85))</f>
        <v/>
      </c>
      <c r="AN85" s="197" t="str">
        <f t="shared" si="47"/>
        <v/>
      </c>
      <c r="AO85" s="197" t="str">
        <f>IF(OR(ISNA(MATCH(MID(AN85,1,3)*1,UomConversion!$D$8:$D$500,0)),M85=""),"",IF(AT85="","",AT85))</f>
        <v/>
      </c>
      <c r="AP85" s="197" t="str">
        <f>IF(AND(AQ85&gt;0,COUNTIFS(UomConversion!$D$8:$D$500,MID(AN85,1,3)*1,UomConversion!$J$8:$J$500,1)&gt;1),TEXT(AQ85,"000")&amp;"."&amp;VLOOKUP(AQ85,uom_list,5,FALSE),"")</f>
        <v/>
      </c>
      <c r="AQ85" s="197" t="str">
        <f t="shared" si="48"/>
        <v/>
      </c>
      <c r="AR85" s="197" t="str">
        <f t="shared" si="49"/>
        <v/>
      </c>
      <c r="AS85" s="1866" t="str">
        <f>IF(M85="","",SUMIFS(ProductPrice!$N$28:$N$10000,ProductPrice!$D$28:$D$10000,I85,ProductPrice!$G$28:$G$10000,invoice_branch_id,ProductPrice!$H$28:$H$10000,invoice_price_type_id,ProductPrice!$I$28:$I$10000,MID(P85,1,3)*1,ProductPrice!$Q$28:$Q$10000,1,ProductPrice!$T$28:$T$10000,1))</f>
        <v/>
      </c>
      <c r="AT85" s="197" t="str">
        <f t="shared" si="36"/>
        <v/>
      </c>
      <c r="AU85" s="197" t="str" cm="1">
        <f t="array" ref="AU85">IF(M85="","",IF(ISNA(Slookup(MID(AN85,1,3)*1,UomConversion!$D$8:$J$500,2,UomConversion!$I$8:$I$500,1,UomConversion!$J$8:$J$500,1)),"",Slookup(MID(AN85,1,3)*1,UomConversion!$D$8:$J$500,2,UomConversion!$I$8:$I$500,1,UomConversion!$J$8:$J$500,1)))</f>
        <v/>
      </c>
      <c r="AV85" s="197" t="str">
        <f t="shared" si="37"/>
        <v/>
      </c>
      <c r="AW85" s="197" t="str">
        <f>IF(M85="","",(SUMIFS('[1]1_group_totals'!$K$8:$K$10000,'[1]1_group_totals'!$C$8:$C$10000,I85,'[1]1_group_totals'!$F$8:$F$10000,invoice_location_group_id,'[1]1_group_totals'!$G$8:$G$10000,invoice_location_id,'[1]1_group_totals'!$H$8:$H$10000,"="&amp;Q85,'[1]1_group_totals'!$I$8:$I$10000,"="&amp;R85)+SUMIFS('[1]1_group_totals'!$N$8:$N$10000,'[1]1_group_totals'!$C$8:$C$10000,I85,'[1]1_group_totals'!$F$8:$F$10000,invoice_location_group_id,'[1]1_group_totals'!$G$8:$G$10000,invoice_location_id,'[1]1_group_totals'!$H$8:$H$10000,"="&amp;Q85,'[1]1_group_totals'!$I$8:$I$10000,"="&amp;R85)+SUMIFS('[1]1_group_totals'!$P$8:$P$10000,'[1]1_group_totals'!$C$8:$C$10000,I85,'[1]1_group_totals'!$F$8:$F$10000,invoice_location_group_id,'[1]1_group_totals'!$G$8:$G$10000,invoice_location_id,'[1]1_group_totals'!$H$8:$H$10000,"="&amp;Q85,'[1]1_group_totals'!$I$8:$I$10000,"="&amp;R85)+SUMIFS('[1]1_group_totals'!$Q$8:$Q$10000,'[1]1_group_totals'!$C$8:$C$10000,I85,'[1]1_group_totals'!$F$8:$F$10000,invoice_location_group_id,'[1]1_group_totals'!$G$8:$G$10000,invoice_location_id,'[1]1_group_totals'!$H$8:$H$10000,"="&amp;Q85,'[1]1_group_totals'!$I$8:$I$10000,"="&amp;R85))+(SUMIFS('[1]1_group_totals'!$L$8:$L$10000,'[1]1_group_totals'!$C$8:$C$10000,I85,'[1]1_group_totals'!$F$8:$F$10000,invoice_location_group_id,'[1]1_group_totals'!$G$8:$G$10000,invoice_location_id,'[1]1_group_totals'!$H$8:$H$10000,"="&amp;Q85,'[1]1_group_totals'!$I$8:$I$10000,"="&amp;R85)+SUMIFS('[1]1_group_totals'!$M$8:$M$10000,'[1]1_group_totals'!$C$8:$C$10000,I85,'[1]1_group_totals'!$F$8:$F$10000,invoice_location_group_id,'[1]1_group_totals'!$G$8:$G$10000,invoice_location_id,'[1]1_group_totals'!$H$8:$H$10000,"="&amp;Q85,'[1]1_group_totals'!$I$8:$I$10000,"="&amp;R85)+SUMIFS('[1]1_group_totals'!$O$8:$O$10000,'[1]1_group_totals'!$C$8:$C$10000,I85,'[1]1_group_totals'!$F$8:$F$10000,invoice_location_group_id,'[1]1_group_totals'!$G$8:$G$10000,invoice_location_id,'[1]1_group_totals'!$H$8:$H$10000,"="&amp;Q85,'[1]1_group_totals'!$I$8:$I$10000,"="&amp;R85)+SUMIFS('[1]1_group_totals'!$R$8:$R$10000,'[1]1_group_totals'!$C$8:$C$10000,I85,'[1]1_group_totals'!$F$8:$F$10000,invoice_location_group_id,'[1]1_group_totals'!$G$8:$G$10000,invoice_location_id,'[1]1_group_totals'!$H$8:$H$10000,"="&amp;Q85,'[1]1_group_totals'!$I$8:$I$10000,"="&amp;R85)))</f>
        <v/>
      </c>
      <c r="AX85" s="197" t="str">
        <f t="shared" si="50"/>
        <v/>
      </c>
      <c r="AY85" s="197" t="str">
        <f>IF(M85="","",SUMIFS($AX$8:AX85,$I$8:I85,I85))</f>
        <v/>
      </c>
      <c r="AZ85" s="197" t="str">
        <f t="shared" si="51"/>
        <v/>
      </c>
      <c r="BA85" s="197" t="str">
        <f>IF(M85="","",(SUMIFS('[1]1_inventory_totals'!$I$8:$I$10000,'[1]1_inventory_totals'!$C$8:$C$10000,I85,'[1]1_inventory_totals'!$F$8:$F$10000,"="&amp;Q85,'[1]1_inventory_totals'!$G$8:$G$10000,"="&amp;R85)+SUMIFS('[1]1_inventory_totals'!$N$8:$N$10000,'[1]1_inventory_totals'!$C$8:$C$10000,I85,'[1]1_inventory_totals'!$F$8:$F$10000,"="&amp;Q85,'[1]1_inventory_totals'!$G$8:$G$10000,"="&amp;R85)+SUMIFS('[1]1_inventory_totals'!$P$8:$P$10000,'[1]1_inventory_totals'!$C$8:$C$10000,I85,'[1]1_inventory_totals'!$F$8:$F$10000,"="&amp;Q85,'[1]1_inventory_totals'!$G$8:$G$10000,"="&amp;R85)+SUMIFS('[1]1_inventory_totals'!$Q$8:$Q$10000,'[1]1_inventory_totals'!$C$8:$C$10000,I85,'[1]1_inventory_totals'!$F$8:$F$10000,"="&amp;Q85,'[1]1_inventory_totals'!$G$8:$G$10000,"="&amp;R85)+SUMIFS('[1]1_inventory_totals'!$R$8:$R$10000,'[1]1_inventory_totals'!$C$8:$C$10000,I85,'[1]1_inventory_totals'!$F$8:$F$10000,"="&amp;Q85,'[1]1_inventory_totals'!$G$8:$G$10000,"="&amp;R85))+(SUMIFS('[1]1_inventory_totals'!$J$8:$J$10000,'[1]1_inventory_totals'!$C$8:$C$10000,I85,'[1]1_inventory_totals'!$F$8:$F$10000,"="&amp;Q85,'[1]1_inventory_totals'!$G$8:$G$10000,"="&amp;R85)+SUMIFS('[1]1_inventory_totals'!$K$8:$K$10000,'[1]1_inventory_totals'!$C$8:$C$10000,I85,'[1]1_inventory_totals'!$F$8:$F$10000,"="&amp;Q85,'[1]1_inventory_totals'!$G$8:$G$10000,"="&amp;R85)+SUMIFS('[1]1_inventory_totals'!$L$8:$L$10000,'[1]1_inventory_totals'!$C$8:$C$10000,I85,'[1]1_inventory_totals'!$F$8:$F$10000,"="&amp;Q85,'[1]1_inventory_totals'!$G$8:$G$10000,"="&amp;R85)+SUMIFS('[1]1_inventory_totals'!$M$8:$M$10000,'[1]1_inventory_totals'!$C$8:$C$10000,I85,'[1]1_inventory_totals'!$F$8:$F$10000,"="&amp;Q85,'[1]1_inventory_totals'!$G$8:$G$10000,"="&amp;R85)+SUMIFS('[1]1_inventory_totals'!$O$8:$O$10000,'[1]1_inventory_totals'!$C$8:$C$10000,I85,'[1]1_inventory_totals'!$F$8:$F$10000,"="&amp;Q85,'[1]1_inventory_totals'!$G$8:$G$10000,"="&amp;R85)+SUMIFS('[1]1_inventory_totals'!$S$8:$S$10000,'[1]1_inventory_totals'!$C$8:$C$10000,I85,'[1]1_inventory_totals'!$F$8:$F$10000,"="&amp;Q85,'[1]1_inventory_totals'!$G$8:$G$10000,"="&amp;R85)))</f>
        <v/>
      </c>
      <c r="BB85" s="197" t="str">
        <f>IF(M85="","",(SUMIFS('[1]2_inventory_totals'!$I$8:$I$10000,'[1]2_inventory_totals'!$C$8:$C$10000,I85,'[1]2_inventory_totals'!$F$8:$F$10000,"="&amp;Q85,'[1]2_inventory_totals'!$G$8:$G$10000,"="&amp;R85)+SUMIFS('[1]2_inventory_totals'!$N$8:$N$10000,'[1]2_inventory_totals'!$C$8:$C$10000,I85,'[1]2_inventory_totals'!$F$8:$F$10000,"="&amp;Q85,'[1]2_inventory_totals'!$G$8:$G$10000,"="&amp;R85)+SUMIFS('[1]2_inventory_totals'!$P$8:$P$10000,'[1]2_inventory_totals'!$C$8:$C$10000,I85,'[1]2_inventory_totals'!$F$8:$F$10000,"="&amp;Q85,'[1]2_inventory_totals'!$G$8:$G$10000,"="&amp;R85)+SUMIFS('[1]2_inventory_totals'!$Q$8:$Q$10000,'[1]2_inventory_totals'!$C$8:$C$10000,I85,'[1]2_inventory_totals'!$F$8:$F$10000,"="&amp;Q85,'[1]2_inventory_totals'!$G$8:$G$10000,"="&amp;R85)+SUMIFS('[1]2_inventory_totals'!$R$8:$R$10000,'[1]2_inventory_totals'!$C$8:$C$10000,I85,'[1]2_inventory_totals'!$F$8:$F$10000,"="&amp;Q85,'[1]2_inventory_totals'!$G$8:$G$10000,"="&amp;R85))+(SUMIFS('[1]2_inventory_totals'!$J$8:$J$10000,'[1]2_inventory_totals'!$C$8:$C$10000,I85,'[1]2_inventory_totals'!$F$8:$F$10000,"="&amp;Q85,'[1]2_inventory_totals'!$G$8:$G$10000,"="&amp;R85)+SUMIFS('[1]2_inventory_totals'!$K$8:$K$10000,'[1]2_inventory_totals'!$C$8:$C$10000,I85,'[1]2_inventory_totals'!$F$8:$F$10000,"="&amp;Q85,'[1]2_inventory_totals'!$G$8:$G$10000,"="&amp;R85)+SUMIFS('[1]2_inventory_totals'!$L$8:$L$10000,'[1]2_inventory_totals'!$C$8:$C$10000,I85,'[1]2_inventory_totals'!$F$8:$F$10000,"="&amp;Q85,'[1]2_inventory_totals'!$G$8:$G$10000,"="&amp;R85)+SUMIFS('[1]2_inventory_totals'!$M$8:$M$10000,'[1]2_inventory_totals'!$C$8:$C$10000,I85,'[1]2_inventory_totals'!$F$8:$F$10000,"="&amp;Q85,'[1]2_inventory_totals'!$G$8:$G$10000,"="&amp;R85)+SUMIFS('[1]2_inventory_totals'!$O$8:$O$10000,'[1]2_inventory_totals'!$C$8:$C$10000,I85,'[1]2_inventory_totals'!$F$8:$F$10000,"="&amp;Q85,'[1]2_inventory_totals'!$G$8:$G$10000,"="&amp;R85)+SUMIFS('[1]2_inventory_totals'!$S$8:$S$10000,'[1]2_inventory_totals'!$C$8:$C$10000,I85,'[1]2_inventory_totals'!$F$8:$F$10000,"="&amp;Q85,'[1]2_inventory_totals'!$G$8:$G$10000,"="&amp;R85)))</f>
        <v/>
      </c>
    </row>
    <row r="86" spans="1:54" ht="27" hidden="1" customHeight="1">
      <c r="A86" s="923"/>
      <c r="B86" s="1256"/>
      <c r="C86" s="950"/>
      <c r="D86" s="950"/>
      <c r="E86" s="950"/>
      <c r="F86" s="1257"/>
      <c r="G86" s="941"/>
      <c r="H86" s="951"/>
      <c r="I86" s="1610" t="str">
        <f t="shared" si="38"/>
        <v/>
      </c>
      <c r="J86" s="1611" t="str">
        <f t="shared" si="39"/>
        <v/>
      </c>
      <c r="K86" s="1612" t="str">
        <f t="shared" si="31"/>
        <v/>
      </c>
      <c r="L86" s="1613"/>
      <c r="M86" s="883"/>
      <c r="N86" s="884"/>
      <c r="O86" s="884"/>
      <c r="P86" s="885"/>
      <c r="Q86" s="886"/>
      <c r="R86" s="891"/>
      <c r="S86" s="1614" t="str">
        <f t="shared" si="32"/>
        <v/>
      </c>
      <c r="T86" s="1536"/>
      <c r="U86" s="1864" t="str">
        <f t="shared" si="40"/>
        <v/>
      </c>
      <c r="V86" s="1615" t="str">
        <f t="shared" si="33"/>
        <v/>
      </c>
      <c r="W86" s="889"/>
      <c r="X86" s="1615" t="str">
        <f t="shared" si="34"/>
        <v/>
      </c>
      <c r="Y86" s="1865" t="str">
        <f t="shared" si="41"/>
        <v/>
      </c>
      <c r="Z86" s="890"/>
      <c r="AA86" s="197" t="str" cm="1">
        <f t="array" ref="AA86">IF(M86="","",IF(P86=AN86,1,Slookup(MID(AN86,1,3)*1,UomConversion!$D$8:$J$500,5,UomConversion!$E$8:$E$500,MID(P86,1,3)*1,UomConversion!$J$8:$J$500,1)))</f>
        <v/>
      </c>
      <c r="AB86" s="197" t="str">
        <f t="shared" si="42"/>
        <v/>
      </c>
      <c r="AC86" s="197" t="str">
        <f t="shared" si="43"/>
        <v/>
      </c>
      <c r="AD86" s="197" t="str">
        <f t="shared" si="44"/>
        <v/>
      </c>
      <c r="AE86" s="1866" t="str">
        <f t="shared" si="45"/>
        <v/>
      </c>
      <c r="AF86" s="1866" t="str">
        <f t="shared" si="35"/>
        <v/>
      </c>
      <c r="AG86" s="197" t="str">
        <f t="shared" si="46"/>
        <v/>
      </c>
      <c r="AH86" s="197" t="str">
        <f>IF(I86="","",IF(ISNA(MATCH(I86,IF(invoice_location_id=1,'[1]1_inventory_totals'!$C$8:$C$10000,IF(invoice_location_id=2,'[1]2_inventory_totals'!$C$8:$C$10000,0)),0)),0,IF(AV86&gt;0,1,0)))</f>
        <v/>
      </c>
      <c r="AI86" s="197" t="str">
        <f>IF(M86="","",IF(invoice_location_id=1,SUMIFS('[1]1_inventory_total_details'!$J$8:$J$10000,'[1]1_inventory_total_details'!$C$8:$C$10000,I86,'[1]1_inventory_total_details'!$F$8:$F$10000,invoice_location_id,'[1]1_inventory_total_details'!$G$8:$G$10000,"="&amp;Q86,'[1]1_inventory_total_details'!$H$8:$H$10000,"="&amp;R86,'[1]1_inventory_total_details'!$I$8:$I$10000,"="&amp;invoice_date)+SUMIFS('[1]1_inventory_total_details'!$M$8:$M$10000,'[1]1_inventory_total_details'!$C$8:$C$10000,I86,'[1]1_inventory_total_details'!$F$8:$F$10000,invoice_location_id,'[1]1_inventory_total_details'!$G$8:$G$10000,"="&amp;Q86,'[1]1_inventory_total_details'!$H$8:$H$10000,"="&amp;R86,'[1]1_inventory_total_details'!$I$8:$I$10000,"="&amp;invoice_date)+SUMIFS('[1]1_inventory_total_details'!$K$8:$K$10000,'[1]1_inventory_total_details'!$C$8:$C$10000,I86,'[1]1_inventory_total_details'!$F$8:$F$10000,invoice_location_id,'[1]1_inventory_total_details'!$G$8:$G$10000,"="&amp;Q86,'[1]1_inventory_total_details'!$H$8:$H$10000,"="&amp;R86,'[1]1_inventory_total_details'!$I$8:$I$10000,"="&amp;invoice_date)+SUMIFS('[1]1_inventory_total_details'!$L$8:$L$10000,'[1]1_inventory_total_details'!$C$8:$C$10000,I86,'[1]1_inventory_total_details'!$F$8:$F$10000,invoice_location_id,'[1]1_inventory_total_details'!$G$8:$G$10000,"="&amp;Q86,'[1]1_inventory_total_details'!$H$8:$H$10000,"="&amp;R86,'[1]1_inventory_total_details'!$I$8:$I$10000,"="&amp;invoice_date),SUMIFS('[1]2_inventory_total_details'!$J$8:$J$10000,'[1]2_inventory_total_details'!$C$8:$C$10000,I86,'[1]2_inventory_total_details'!$F$8:$F$10000,invoice_location_id,'[1]2_inventory_total_details'!$G$8:$G$10000,"="&amp;Q86,'[1]2_inventory_total_details'!$H$8:$H$10000,"="&amp;R86,'[1]2_inventory_total_details'!$I$8:$I$10000,"="&amp;invoice_date)+SUMIFS('[1]2_inventory_total_details'!$M$8:$M$10000,'[1]2_inventory_total_details'!$C$8:$C$10000,I86,'[1]2_inventory_total_details'!$F$8:$F$10000,invoice_location_id,'[1]2_inventory_total_details'!$G$8:$G$10000,"="&amp;Q86,'[1]2_inventory_total_details'!$H$8:$H$10000,"="&amp;R86,'[1]2_inventory_total_details'!$I$8:$I$10000,"="&amp;invoice_date)+SUMIFS('[1]2_inventory_total_details'!$K$8:$K$10000,'[1]2_inventory_total_details'!$C$8:$C$10000,I86,'[1]2_inventory_total_details'!$F$8:$F$10000,invoice_location_id,'[1]2_inventory_total_details'!$G$8:$G$10000,"="&amp;Q86,'[1]2_inventory_total_details'!$H$8:$H$10000,"="&amp;R86,'[1]2_inventory_total_details'!$I$8:$I$10000,"="&amp;invoice_date)+SUMIFS('[1]2_inventory_total_details'!$L$8:$L$10000,'[1]2_inventory_total_details'!$C$8:$C$10000,I86,'[1]2_inventory_total_details'!$F$8:$F$10000,invoice_location_id,'[1]2_inventory_total_details'!$G$8:$G$10000,"="&amp;Q86,'[1]2_inventory_total_details'!$H$8:$H$10000,"="&amp;R86,'[1]2_inventory_total_details'!$I$8:$I$10000,"="&amp;invoice_date)))</f>
        <v/>
      </c>
      <c r="AJ86" s="197" t="str">
        <f>IF(M86="","",IF(ISNA(MATCH(I86,'[1]1_group_totals'!$C$8:$C$10000)),0,IF(AW86&gt;0,1,0)))</f>
        <v/>
      </c>
      <c r="AK86" s="197" t="str">
        <f>IF(M86="","",(SUMIFS('[1]1_group_total_details'!$I$8:$I$10000,'[1]1_group_total_details'!$C$8:$C$10000,I86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86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86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86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86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86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86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86,'[1]1_group_total_details'!$F$8:$F$10000,invoice_location_group_id,'[1]1_group_total_details'!$G$8:$G$10000,invoice_location_id,'[1]1_group_total_details'!$H$8:$H$10000,"="&amp;invoice_date)))</f>
        <v/>
      </c>
      <c r="AL86" s="197" t="str">
        <f>IF(M86="","",(SUMIFS('[1]1_group_total_details'!$I$8:$I$10000,'[1]1_group_total_details'!$C$8:$C$10000,I86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86,'[1]1_group_total_details'!$F$8:$F$10000,invoice_location_group_id,'[1]1_group_total_details'!$G$8:$G$10000,1,'[1]1_group_total_details'!$H$8:$H$10000,"&lt;="&amp;invoice_date)+SUMIFS('[1]1_group_total_details'!$N$8:$N$10000,'[1]1_group_total_details'!$C$8:$C$10000,I86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86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86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86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86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86,'[1]1_group_total_details'!$F$8:$F$10000,invoice_location_group_id,'[1]1_group_total_details'!$G$8:$G$10000,invoice_location_id,'[1]1_group_total_details'!$H$8:$H$10000,"&lt;="&amp;invoice_date)))</f>
        <v/>
      </c>
      <c r="AM86" s="197" t="str">
        <f>IF(M86="","",SUMIFS('[1]1_group_totals'!$J$8:$J$10000,'[1]1_group_totals'!$C$8:$C$10000,I86,'[1]1_group_totals'!$F$8:$F$10000,invoice_location_group_id,'[1]1_group_totals'!$G$8:$G$10000,invoice_location_id,'[1]1_group_totals'!$H$8:$H$10000,"="&amp;Q86,'[1]1_group_totals'!$I$8:$I$10000,"="&amp;R86))</f>
        <v/>
      </c>
      <c r="AN86" s="197" t="str">
        <f t="shared" si="47"/>
        <v/>
      </c>
      <c r="AO86" s="197" t="str">
        <f>IF(OR(ISNA(MATCH(MID(AN86,1,3)*1,UomConversion!$D$8:$D$500,0)),M86=""),"",IF(AT86="","",AT86))</f>
        <v/>
      </c>
      <c r="AP86" s="197" t="str">
        <f>IF(AND(AQ86&gt;0,COUNTIFS(UomConversion!$D$8:$D$500,MID(AN86,1,3)*1,UomConversion!$J$8:$J$500,1)&gt;1),TEXT(AQ86,"000")&amp;"."&amp;VLOOKUP(AQ86,uom_list,5,FALSE),"")</f>
        <v/>
      </c>
      <c r="AQ86" s="197" t="str">
        <f t="shared" si="48"/>
        <v/>
      </c>
      <c r="AR86" s="197" t="str">
        <f t="shared" si="49"/>
        <v/>
      </c>
      <c r="AS86" s="1866" t="str">
        <f>IF(M86="","",SUMIFS(ProductPrice!$N$28:$N$10000,ProductPrice!$D$28:$D$10000,I86,ProductPrice!$G$28:$G$10000,invoice_branch_id,ProductPrice!$H$28:$H$10000,invoice_price_type_id,ProductPrice!$I$28:$I$10000,MID(P86,1,3)*1,ProductPrice!$Q$28:$Q$10000,1,ProductPrice!$T$28:$T$10000,1))</f>
        <v/>
      </c>
      <c r="AT86" s="197" t="str">
        <f t="shared" si="36"/>
        <v/>
      </c>
      <c r="AU86" s="197" t="str" cm="1">
        <f t="array" ref="AU86">IF(M86="","",IF(ISNA(Slookup(MID(AN86,1,3)*1,UomConversion!$D$8:$J$500,2,UomConversion!$I$8:$I$500,1,UomConversion!$J$8:$J$500,1)),"",Slookup(MID(AN86,1,3)*1,UomConversion!$D$8:$J$500,2,UomConversion!$I$8:$I$500,1,UomConversion!$J$8:$J$500,1)))</f>
        <v/>
      </c>
      <c r="AV86" s="197" t="str">
        <f t="shared" si="37"/>
        <v/>
      </c>
      <c r="AW86" s="197" t="str">
        <f>IF(M86="","",(SUMIFS('[1]1_group_totals'!$K$8:$K$10000,'[1]1_group_totals'!$C$8:$C$10000,I86,'[1]1_group_totals'!$F$8:$F$10000,invoice_location_group_id,'[1]1_group_totals'!$G$8:$G$10000,invoice_location_id,'[1]1_group_totals'!$H$8:$H$10000,"="&amp;Q86,'[1]1_group_totals'!$I$8:$I$10000,"="&amp;R86)+SUMIFS('[1]1_group_totals'!$N$8:$N$10000,'[1]1_group_totals'!$C$8:$C$10000,I86,'[1]1_group_totals'!$F$8:$F$10000,invoice_location_group_id,'[1]1_group_totals'!$G$8:$G$10000,invoice_location_id,'[1]1_group_totals'!$H$8:$H$10000,"="&amp;Q86,'[1]1_group_totals'!$I$8:$I$10000,"="&amp;R86)+SUMIFS('[1]1_group_totals'!$P$8:$P$10000,'[1]1_group_totals'!$C$8:$C$10000,I86,'[1]1_group_totals'!$F$8:$F$10000,invoice_location_group_id,'[1]1_group_totals'!$G$8:$G$10000,invoice_location_id,'[1]1_group_totals'!$H$8:$H$10000,"="&amp;Q86,'[1]1_group_totals'!$I$8:$I$10000,"="&amp;R86)+SUMIFS('[1]1_group_totals'!$Q$8:$Q$10000,'[1]1_group_totals'!$C$8:$C$10000,I86,'[1]1_group_totals'!$F$8:$F$10000,invoice_location_group_id,'[1]1_group_totals'!$G$8:$G$10000,invoice_location_id,'[1]1_group_totals'!$H$8:$H$10000,"="&amp;Q86,'[1]1_group_totals'!$I$8:$I$10000,"="&amp;R86))+(SUMIFS('[1]1_group_totals'!$L$8:$L$10000,'[1]1_group_totals'!$C$8:$C$10000,I86,'[1]1_group_totals'!$F$8:$F$10000,invoice_location_group_id,'[1]1_group_totals'!$G$8:$G$10000,invoice_location_id,'[1]1_group_totals'!$H$8:$H$10000,"="&amp;Q86,'[1]1_group_totals'!$I$8:$I$10000,"="&amp;R86)+SUMIFS('[1]1_group_totals'!$M$8:$M$10000,'[1]1_group_totals'!$C$8:$C$10000,I86,'[1]1_group_totals'!$F$8:$F$10000,invoice_location_group_id,'[1]1_group_totals'!$G$8:$G$10000,invoice_location_id,'[1]1_group_totals'!$H$8:$H$10000,"="&amp;Q86,'[1]1_group_totals'!$I$8:$I$10000,"="&amp;R86)+SUMIFS('[1]1_group_totals'!$O$8:$O$10000,'[1]1_group_totals'!$C$8:$C$10000,I86,'[1]1_group_totals'!$F$8:$F$10000,invoice_location_group_id,'[1]1_group_totals'!$G$8:$G$10000,invoice_location_id,'[1]1_group_totals'!$H$8:$H$10000,"="&amp;Q86,'[1]1_group_totals'!$I$8:$I$10000,"="&amp;R86)+SUMIFS('[1]1_group_totals'!$R$8:$R$10000,'[1]1_group_totals'!$C$8:$C$10000,I86,'[1]1_group_totals'!$F$8:$F$10000,invoice_location_group_id,'[1]1_group_totals'!$G$8:$G$10000,invoice_location_id,'[1]1_group_totals'!$H$8:$H$10000,"="&amp;Q86,'[1]1_group_totals'!$I$8:$I$10000,"="&amp;R86)))</f>
        <v/>
      </c>
      <c r="AX86" s="197" t="str">
        <f t="shared" si="50"/>
        <v/>
      </c>
      <c r="AY86" s="197" t="str">
        <f>IF(M86="","",SUMIFS($AX$8:AX86,$I$8:I86,I86))</f>
        <v/>
      </c>
      <c r="AZ86" s="197" t="str">
        <f t="shared" si="51"/>
        <v/>
      </c>
      <c r="BA86" s="197" t="str">
        <f>IF(M86="","",(SUMIFS('[1]1_inventory_totals'!$I$8:$I$10000,'[1]1_inventory_totals'!$C$8:$C$10000,I86,'[1]1_inventory_totals'!$F$8:$F$10000,"="&amp;Q86,'[1]1_inventory_totals'!$G$8:$G$10000,"="&amp;R86)+SUMIFS('[1]1_inventory_totals'!$N$8:$N$10000,'[1]1_inventory_totals'!$C$8:$C$10000,I86,'[1]1_inventory_totals'!$F$8:$F$10000,"="&amp;Q86,'[1]1_inventory_totals'!$G$8:$G$10000,"="&amp;R86)+SUMIFS('[1]1_inventory_totals'!$P$8:$P$10000,'[1]1_inventory_totals'!$C$8:$C$10000,I86,'[1]1_inventory_totals'!$F$8:$F$10000,"="&amp;Q86,'[1]1_inventory_totals'!$G$8:$G$10000,"="&amp;R86)+SUMIFS('[1]1_inventory_totals'!$Q$8:$Q$10000,'[1]1_inventory_totals'!$C$8:$C$10000,I86,'[1]1_inventory_totals'!$F$8:$F$10000,"="&amp;Q86,'[1]1_inventory_totals'!$G$8:$G$10000,"="&amp;R86)+SUMIFS('[1]1_inventory_totals'!$R$8:$R$10000,'[1]1_inventory_totals'!$C$8:$C$10000,I86,'[1]1_inventory_totals'!$F$8:$F$10000,"="&amp;Q86,'[1]1_inventory_totals'!$G$8:$G$10000,"="&amp;R86))+(SUMIFS('[1]1_inventory_totals'!$J$8:$J$10000,'[1]1_inventory_totals'!$C$8:$C$10000,I86,'[1]1_inventory_totals'!$F$8:$F$10000,"="&amp;Q86,'[1]1_inventory_totals'!$G$8:$G$10000,"="&amp;R86)+SUMIFS('[1]1_inventory_totals'!$K$8:$K$10000,'[1]1_inventory_totals'!$C$8:$C$10000,I86,'[1]1_inventory_totals'!$F$8:$F$10000,"="&amp;Q86,'[1]1_inventory_totals'!$G$8:$G$10000,"="&amp;R86)+SUMIFS('[1]1_inventory_totals'!$L$8:$L$10000,'[1]1_inventory_totals'!$C$8:$C$10000,I86,'[1]1_inventory_totals'!$F$8:$F$10000,"="&amp;Q86,'[1]1_inventory_totals'!$G$8:$G$10000,"="&amp;R86)+SUMIFS('[1]1_inventory_totals'!$M$8:$M$10000,'[1]1_inventory_totals'!$C$8:$C$10000,I86,'[1]1_inventory_totals'!$F$8:$F$10000,"="&amp;Q86,'[1]1_inventory_totals'!$G$8:$G$10000,"="&amp;R86)+SUMIFS('[1]1_inventory_totals'!$O$8:$O$10000,'[1]1_inventory_totals'!$C$8:$C$10000,I86,'[1]1_inventory_totals'!$F$8:$F$10000,"="&amp;Q86,'[1]1_inventory_totals'!$G$8:$G$10000,"="&amp;R86)+SUMIFS('[1]1_inventory_totals'!$S$8:$S$10000,'[1]1_inventory_totals'!$C$8:$C$10000,I86,'[1]1_inventory_totals'!$F$8:$F$10000,"="&amp;Q86,'[1]1_inventory_totals'!$G$8:$G$10000,"="&amp;R86)))</f>
        <v/>
      </c>
      <c r="BB86" s="197" t="str">
        <f>IF(M86="","",(SUMIFS('[1]2_inventory_totals'!$I$8:$I$10000,'[1]2_inventory_totals'!$C$8:$C$10000,I86,'[1]2_inventory_totals'!$F$8:$F$10000,"="&amp;Q86,'[1]2_inventory_totals'!$G$8:$G$10000,"="&amp;R86)+SUMIFS('[1]2_inventory_totals'!$N$8:$N$10000,'[1]2_inventory_totals'!$C$8:$C$10000,I86,'[1]2_inventory_totals'!$F$8:$F$10000,"="&amp;Q86,'[1]2_inventory_totals'!$G$8:$G$10000,"="&amp;R86)+SUMIFS('[1]2_inventory_totals'!$P$8:$P$10000,'[1]2_inventory_totals'!$C$8:$C$10000,I86,'[1]2_inventory_totals'!$F$8:$F$10000,"="&amp;Q86,'[1]2_inventory_totals'!$G$8:$G$10000,"="&amp;R86)+SUMIFS('[1]2_inventory_totals'!$Q$8:$Q$10000,'[1]2_inventory_totals'!$C$8:$C$10000,I86,'[1]2_inventory_totals'!$F$8:$F$10000,"="&amp;Q86,'[1]2_inventory_totals'!$G$8:$G$10000,"="&amp;R86)+SUMIFS('[1]2_inventory_totals'!$R$8:$R$10000,'[1]2_inventory_totals'!$C$8:$C$10000,I86,'[1]2_inventory_totals'!$F$8:$F$10000,"="&amp;Q86,'[1]2_inventory_totals'!$G$8:$G$10000,"="&amp;R86))+(SUMIFS('[1]2_inventory_totals'!$J$8:$J$10000,'[1]2_inventory_totals'!$C$8:$C$10000,I86,'[1]2_inventory_totals'!$F$8:$F$10000,"="&amp;Q86,'[1]2_inventory_totals'!$G$8:$G$10000,"="&amp;R86)+SUMIFS('[1]2_inventory_totals'!$K$8:$K$10000,'[1]2_inventory_totals'!$C$8:$C$10000,I86,'[1]2_inventory_totals'!$F$8:$F$10000,"="&amp;Q86,'[1]2_inventory_totals'!$G$8:$G$10000,"="&amp;R86)+SUMIFS('[1]2_inventory_totals'!$L$8:$L$10000,'[1]2_inventory_totals'!$C$8:$C$10000,I86,'[1]2_inventory_totals'!$F$8:$F$10000,"="&amp;Q86,'[1]2_inventory_totals'!$G$8:$G$10000,"="&amp;R86)+SUMIFS('[1]2_inventory_totals'!$M$8:$M$10000,'[1]2_inventory_totals'!$C$8:$C$10000,I86,'[1]2_inventory_totals'!$F$8:$F$10000,"="&amp;Q86,'[1]2_inventory_totals'!$G$8:$G$10000,"="&amp;R86)+SUMIFS('[1]2_inventory_totals'!$O$8:$O$10000,'[1]2_inventory_totals'!$C$8:$C$10000,I86,'[1]2_inventory_totals'!$F$8:$F$10000,"="&amp;Q86,'[1]2_inventory_totals'!$G$8:$G$10000,"="&amp;R86)+SUMIFS('[1]2_inventory_totals'!$S$8:$S$10000,'[1]2_inventory_totals'!$C$8:$C$10000,I86,'[1]2_inventory_totals'!$F$8:$F$10000,"="&amp;Q86,'[1]2_inventory_totals'!$G$8:$G$10000,"="&amp;R86)))</f>
        <v/>
      </c>
    </row>
    <row r="87" spans="1:54" ht="27" hidden="1" customHeight="1">
      <c r="A87" s="923"/>
      <c r="B87" s="1256"/>
      <c r="C87" s="950"/>
      <c r="D87" s="950"/>
      <c r="E87" s="950"/>
      <c r="F87" s="1257"/>
      <c r="G87" s="941"/>
      <c r="I87" s="1610" t="str">
        <f t="shared" si="38"/>
        <v/>
      </c>
      <c r="J87" s="1611" t="str">
        <f t="shared" si="39"/>
        <v/>
      </c>
      <c r="K87" s="1612" t="str">
        <f t="shared" si="31"/>
        <v/>
      </c>
      <c r="L87" s="1613"/>
      <c r="M87" s="883"/>
      <c r="N87" s="884"/>
      <c r="O87" s="884"/>
      <c r="P87" s="885"/>
      <c r="Q87" s="886"/>
      <c r="R87" s="891"/>
      <c r="S87" s="1614" t="str">
        <f t="shared" si="32"/>
        <v/>
      </c>
      <c r="T87" s="1536"/>
      <c r="U87" s="1864" t="str">
        <f t="shared" si="40"/>
        <v/>
      </c>
      <c r="V87" s="1615" t="str">
        <f t="shared" si="33"/>
        <v/>
      </c>
      <c r="W87" s="889"/>
      <c r="X87" s="1615" t="str">
        <f t="shared" si="34"/>
        <v/>
      </c>
      <c r="Y87" s="1865" t="str">
        <f t="shared" si="41"/>
        <v/>
      </c>
      <c r="Z87" s="890"/>
      <c r="AA87" s="197" t="str" cm="1">
        <f t="array" ref="AA87">IF(M87="","",IF(P87=AN87,1,Slookup(MID(AN87,1,3)*1,UomConversion!$D$8:$J$500,5,UomConversion!$E$8:$E$500,MID(P87,1,3)*1,UomConversion!$J$8:$J$500,1)))</f>
        <v/>
      </c>
      <c r="AB87" s="197" t="str">
        <f t="shared" si="42"/>
        <v/>
      </c>
      <c r="AC87" s="197" t="str">
        <f t="shared" si="43"/>
        <v/>
      </c>
      <c r="AD87" s="197" t="str">
        <f t="shared" si="44"/>
        <v/>
      </c>
      <c r="AE87" s="1866" t="str">
        <f t="shared" si="45"/>
        <v/>
      </c>
      <c r="AF87" s="1866" t="str">
        <f t="shared" si="35"/>
        <v/>
      </c>
      <c r="AG87" s="197" t="str">
        <f t="shared" si="46"/>
        <v/>
      </c>
      <c r="AH87" s="197" t="str">
        <f>IF(I87="","",IF(ISNA(MATCH(I87,IF(invoice_location_id=1,'[1]1_inventory_totals'!$C$8:$C$10000,IF(invoice_location_id=2,'[1]2_inventory_totals'!$C$8:$C$10000,0)),0)),0,IF(AV87&gt;0,1,0)))</f>
        <v/>
      </c>
      <c r="AI87" s="197" t="str">
        <f>IF(M87="","",IF(invoice_location_id=1,SUMIFS('[1]1_inventory_total_details'!$J$8:$J$10000,'[1]1_inventory_total_details'!$C$8:$C$10000,I87,'[1]1_inventory_total_details'!$F$8:$F$10000,invoice_location_id,'[1]1_inventory_total_details'!$G$8:$G$10000,"="&amp;Q87,'[1]1_inventory_total_details'!$H$8:$H$10000,"="&amp;R87,'[1]1_inventory_total_details'!$I$8:$I$10000,"="&amp;invoice_date)+SUMIFS('[1]1_inventory_total_details'!$M$8:$M$10000,'[1]1_inventory_total_details'!$C$8:$C$10000,I87,'[1]1_inventory_total_details'!$F$8:$F$10000,invoice_location_id,'[1]1_inventory_total_details'!$G$8:$G$10000,"="&amp;Q87,'[1]1_inventory_total_details'!$H$8:$H$10000,"="&amp;R87,'[1]1_inventory_total_details'!$I$8:$I$10000,"="&amp;invoice_date)+SUMIFS('[1]1_inventory_total_details'!$K$8:$K$10000,'[1]1_inventory_total_details'!$C$8:$C$10000,I87,'[1]1_inventory_total_details'!$F$8:$F$10000,invoice_location_id,'[1]1_inventory_total_details'!$G$8:$G$10000,"="&amp;Q87,'[1]1_inventory_total_details'!$H$8:$H$10000,"="&amp;R87,'[1]1_inventory_total_details'!$I$8:$I$10000,"="&amp;invoice_date)+SUMIFS('[1]1_inventory_total_details'!$L$8:$L$10000,'[1]1_inventory_total_details'!$C$8:$C$10000,I87,'[1]1_inventory_total_details'!$F$8:$F$10000,invoice_location_id,'[1]1_inventory_total_details'!$G$8:$G$10000,"="&amp;Q87,'[1]1_inventory_total_details'!$H$8:$H$10000,"="&amp;R87,'[1]1_inventory_total_details'!$I$8:$I$10000,"="&amp;invoice_date),SUMIFS('[1]2_inventory_total_details'!$J$8:$J$10000,'[1]2_inventory_total_details'!$C$8:$C$10000,I87,'[1]2_inventory_total_details'!$F$8:$F$10000,invoice_location_id,'[1]2_inventory_total_details'!$G$8:$G$10000,"="&amp;Q87,'[1]2_inventory_total_details'!$H$8:$H$10000,"="&amp;R87,'[1]2_inventory_total_details'!$I$8:$I$10000,"="&amp;invoice_date)+SUMIFS('[1]2_inventory_total_details'!$M$8:$M$10000,'[1]2_inventory_total_details'!$C$8:$C$10000,I87,'[1]2_inventory_total_details'!$F$8:$F$10000,invoice_location_id,'[1]2_inventory_total_details'!$G$8:$G$10000,"="&amp;Q87,'[1]2_inventory_total_details'!$H$8:$H$10000,"="&amp;R87,'[1]2_inventory_total_details'!$I$8:$I$10000,"="&amp;invoice_date)+SUMIFS('[1]2_inventory_total_details'!$K$8:$K$10000,'[1]2_inventory_total_details'!$C$8:$C$10000,I87,'[1]2_inventory_total_details'!$F$8:$F$10000,invoice_location_id,'[1]2_inventory_total_details'!$G$8:$G$10000,"="&amp;Q87,'[1]2_inventory_total_details'!$H$8:$H$10000,"="&amp;R87,'[1]2_inventory_total_details'!$I$8:$I$10000,"="&amp;invoice_date)+SUMIFS('[1]2_inventory_total_details'!$L$8:$L$10000,'[1]2_inventory_total_details'!$C$8:$C$10000,I87,'[1]2_inventory_total_details'!$F$8:$F$10000,invoice_location_id,'[1]2_inventory_total_details'!$G$8:$G$10000,"="&amp;Q87,'[1]2_inventory_total_details'!$H$8:$H$10000,"="&amp;R87,'[1]2_inventory_total_details'!$I$8:$I$10000,"="&amp;invoice_date)))</f>
        <v/>
      </c>
      <c r="AJ87" s="197" t="str">
        <f>IF(M87="","",IF(ISNA(MATCH(I87,'[1]1_group_totals'!$C$8:$C$10000)),0,IF(AW87&gt;0,1,0)))</f>
        <v/>
      </c>
      <c r="AK87" s="197" t="str">
        <f>IF(M87="","",(SUMIFS('[1]1_group_total_details'!$I$8:$I$10000,'[1]1_group_total_details'!$C$8:$C$10000,I87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87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87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87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87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87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87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87,'[1]1_group_total_details'!$F$8:$F$10000,invoice_location_group_id,'[1]1_group_total_details'!$G$8:$G$10000,invoice_location_id,'[1]1_group_total_details'!$H$8:$H$10000,"="&amp;invoice_date)))</f>
        <v/>
      </c>
      <c r="AL87" s="197" t="str">
        <f>IF(M87="","",(SUMIFS('[1]1_group_total_details'!$I$8:$I$10000,'[1]1_group_total_details'!$C$8:$C$10000,I87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87,'[1]1_group_total_details'!$F$8:$F$10000,invoice_location_group_id,'[1]1_group_total_details'!$G$8:$G$10000,1,'[1]1_group_total_details'!$H$8:$H$10000,"&lt;="&amp;invoice_date)+SUMIFS('[1]1_group_total_details'!$N$8:$N$10000,'[1]1_group_total_details'!$C$8:$C$10000,I87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87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87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87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87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87,'[1]1_group_total_details'!$F$8:$F$10000,invoice_location_group_id,'[1]1_group_total_details'!$G$8:$G$10000,invoice_location_id,'[1]1_group_total_details'!$H$8:$H$10000,"&lt;="&amp;invoice_date)))</f>
        <v/>
      </c>
      <c r="AM87" s="197" t="str">
        <f>IF(M87="","",SUMIFS('[1]1_group_totals'!$J$8:$J$10000,'[1]1_group_totals'!$C$8:$C$10000,I87,'[1]1_group_totals'!$F$8:$F$10000,invoice_location_group_id,'[1]1_group_totals'!$G$8:$G$10000,invoice_location_id,'[1]1_group_totals'!$H$8:$H$10000,"="&amp;Q87,'[1]1_group_totals'!$I$8:$I$10000,"="&amp;R87))</f>
        <v/>
      </c>
      <c r="AN87" s="197" t="str">
        <f t="shared" si="47"/>
        <v/>
      </c>
      <c r="AO87" s="197" t="str">
        <f>IF(OR(ISNA(MATCH(MID(AN87,1,3)*1,UomConversion!$D$8:$D$500,0)),M87=""),"",IF(AT87="","",AT87))</f>
        <v/>
      </c>
      <c r="AP87" s="197" t="str">
        <f>IF(AND(AQ87&gt;0,COUNTIFS(UomConversion!$D$8:$D$500,MID(AN87,1,3)*1,UomConversion!$J$8:$J$500,1)&gt;1),TEXT(AQ87,"000")&amp;"."&amp;VLOOKUP(AQ87,uom_list,5,FALSE),"")</f>
        <v/>
      </c>
      <c r="AQ87" s="197" t="str">
        <f t="shared" si="48"/>
        <v/>
      </c>
      <c r="AR87" s="197" t="str">
        <f t="shared" si="49"/>
        <v/>
      </c>
      <c r="AS87" s="1866" t="str">
        <f>IF(M87="","",SUMIFS(ProductPrice!$N$28:$N$10000,ProductPrice!$D$28:$D$10000,I87,ProductPrice!$G$28:$G$10000,invoice_branch_id,ProductPrice!$H$28:$H$10000,invoice_price_type_id,ProductPrice!$I$28:$I$10000,MID(P87,1,3)*1,ProductPrice!$Q$28:$Q$10000,1,ProductPrice!$T$28:$T$10000,1))</f>
        <v/>
      </c>
      <c r="AT87" s="197" t="str">
        <f t="shared" si="36"/>
        <v/>
      </c>
      <c r="AU87" s="197" t="str" cm="1">
        <f t="array" ref="AU87">IF(M87="","",IF(ISNA(Slookup(MID(AN87,1,3)*1,UomConversion!$D$8:$J$500,2,UomConversion!$I$8:$I$500,1,UomConversion!$J$8:$J$500,1)),"",Slookup(MID(AN87,1,3)*1,UomConversion!$D$8:$J$500,2,UomConversion!$I$8:$I$500,1,UomConversion!$J$8:$J$500,1)))</f>
        <v/>
      </c>
      <c r="AV87" s="197" t="str">
        <f t="shared" si="37"/>
        <v/>
      </c>
      <c r="AW87" s="197" t="str">
        <f>IF(M87="","",(SUMIFS('[1]1_group_totals'!$K$8:$K$10000,'[1]1_group_totals'!$C$8:$C$10000,I87,'[1]1_group_totals'!$F$8:$F$10000,invoice_location_group_id,'[1]1_group_totals'!$G$8:$G$10000,invoice_location_id,'[1]1_group_totals'!$H$8:$H$10000,"="&amp;Q87,'[1]1_group_totals'!$I$8:$I$10000,"="&amp;R87)+SUMIFS('[1]1_group_totals'!$N$8:$N$10000,'[1]1_group_totals'!$C$8:$C$10000,I87,'[1]1_group_totals'!$F$8:$F$10000,invoice_location_group_id,'[1]1_group_totals'!$G$8:$G$10000,invoice_location_id,'[1]1_group_totals'!$H$8:$H$10000,"="&amp;Q87,'[1]1_group_totals'!$I$8:$I$10000,"="&amp;R87)+SUMIFS('[1]1_group_totals'!$P$8:$P$10000,'[1]1_group_totals'!$C$8:$C$10000,I87,'[1]1_group_totals'!$F$8:$F$10000,invoice_location_group_id,'[1]1_group_totals'!$G$8:$G$10000,invoice_location_id,'[1]1_group_totals'!$H$8:$H$10000,"="&amp;Q87,'[1]1_group_totals'!$I$8:$I$10000,"="&amp;R87)+SUMIFS('[1]1_group_totals'!$Q$8:$Q$10000,'[1]1_group_totals'!$C$8:$C$10000,I87,'[1]1_group_totals'!$F$8:$F$10000,invoice_location_group_id,'[1]1_group_totals'!$G$8:$G$10000,invoice_location_id,'[1]1_group_totals'!$H$8:$H$10000,"="&amp;Q87,'[1]1_group_totals'!$I$8:$I$10000,"="&amp;R87))+(SUMIFS('[1]1_group_totals'!$L$8:$L$10000,'[1]1_group_totals'!$C$8:$C$10000,I87,'[1]1_group_totals'!$F$8:$F$10000,invoice_location_group_id,'[1]1_group_totals'!$G$8:$G$10000,invoice_location_id,'[1]1_group_totals'!$H$8:$H$10000,"="&amp;Q87,'[1]1_group_totals'!$I$8:$I$10000,"="&amp;R87)+SUMIFS('[1]1_group_totals'!$M$8:$M$10000,'[1]1_group_totals'!$C$8:$C$10000,I87,'[1]1_group_totals'!$F$8:$F$10000,invoice_location_group_id,'[1]1_group_totals'!$G$8:$G$10000,invoice_location_id,'[1]1_group_totals'!$H$8:$H$10000,"="&amp;Q87,'[1]1_group_totals'!$I$8:$I$10000,"="&amp;R87)+SUMIFS('[1]1_group_totals'!$O$8:$O$10000,'[1]1_group_totals'!$C$8:$C$10000,I87,'[1]1_group_totals'!$F$8:$F$10000,invoice_location_group_id,'[1]1_group_totals'!$G$8:$G$10000,invoice_location_id,'[1]1_group_totals'!$H$8:$H$10000,"="&amp;Q87,'[1]1_group_totals'!$I$8:$I$10000,"="&amp;R87)+SUMIFS('[1]1_group_totals'!$R$8:$R$10000,'[1]1_group_totals'!$C$8:$C$10000,I87,'[1]1_group_totals'!$F$8:$F$10000,invoice_location_group_id,'[1]1_group_totals'!$G$8:$G$10000,invoice_location_id,'[1]1_group_totals'!$H$8:$H$10000,"="&amp;Q87,'[1]1_group_totals'!$I$8:$I$10000,"="&amp;R87)))</f>
        <v/>
      </c>
      <c r="AX87" s="197" t="str">
        <f t="shared" si="50"/>
        <v/>
      </c>
      <c r="AY87" s="197" t="str">
        <f>IF(M87="","",SUMIFS($AX$8:AX87,$I$8:I87,I87))</f>
        <v/>
      </c>
      <c r="AZ87" s="197" t="str">
        <f t="shared" si="51"/>
        <v/>
      </c>
      <c r="BA87" s="197" t="str">
        <f>IF(M87="","",(SUMIFS('[1]1_inventory_totals'!$I$8:$I$10000,'[1]1_inventory_totals'!$C$8:$C$10000,I87,'[1]1_inventory_totals'!$F$8:$F$10000,"="&amp;Q87,'[1]1_inventory_totals'!$G$8:$G$10000,"="&amp;R87)+SUMIFS('[1]1_inventory_totals'!$N$8:$N$10000,'[1]1_inventory_totals'!$C$8:$C$10000,I87,'[1]1_inventory_totals'!$F$8:$F$10000,"="&amp;Q87,'[1]1_inventory_totals'!$G$8:$G$10000,"="&amp;R87)+SUMIFS('[1]1_inventory_totals'!$P$8:$P$10000,'[1]1_inventory_totals'!$C$8:$C$10000,I87,'[1]1_inventory_totals'!$F$8:$F$10000,"="&amp;Q87,'[1]1_inventory_totals'!$G$8:$G$10000,"="&amp;R87)+SUMIFS('[1]1_inventory_totals'!$Q$8:$Q$10000,'[1]1_inventory_totals'!$C$8:$C$10000,I87,'[1]1_inventory_totals'!$F$8:$F$10000,"="&amp;Q87,'[1]1_inventory_totals'!$G$8:$G$10000,"="&amp;R87)+SUMIFS('[1]1_inventory_totals'!$R$8:$R$10000,'[1]1_inventory_totals'!$C$8:$C$10000,I87,'[1]1_inventory_totals'!$F$8:$F$10000,"="&amp;Q87,'[1]1_inventory_totals'!$G$8:$G$10000,"="&amp;R87))+(SUMIFS('[1]1_inventory_totals'!$J$8:$J$10000,'[1]1_inventory_totals'!$C$8:$C$10000,I87,'[1]1_inventory_totals'!$F$8:$F$10000,"="&amp;Q87,'[1]1_inventory_totals'!$G$8:$G$10000,"="&amp;R87)+SUMIFS('[1]1_inventory_totals'!$K$8:$K$10000,'[1]1_inventory_totals'!$C$8:$C$10000,I87,'[1]1_inventory_totals'!$F$8:$F$10000,"="&amp;Q87,'[1]1_inventory_totals'!$G$8:$G$10000,"="&amp;R87)+SUMIFS('[1]1_inventory_totals'!$L$8:$L$10000,'[1]1_inventory_totals'!$C$8:$C$10000,I87,'[1]1_inventory_totals'!$F$8:$F$10000,"="&amp;Q87,'[1]1_inventory_totals'!$G$8:$G$10000,"="&amp;R87)+SUMIFS('[1]1_inventory_totals'!$M$8:$M$10000,'[1]1_inventory_totals'!$C$8:$C$10000,I87,'[1]1_inventory_totals'!$F$8:$F$10000,"="&amp;Q87,'[1]1_inventory_totals'!$G$8:$G$10000,"="&amp;R87)+SUMIFS('[1]1_inventory_totals'!$O$8:$O$10000,'[1]1_inventory_totals'!$C$8:$C$10000,I87,'[1]1_inventory_totals'!$F$8:$F$10000,"="&amp;Q87,'[1]1_inventory_totals'!$G$8:$G$10000,"="&amp;R87)+SUMIFS('[1]1_inventory_totals'!$S$8:$S$10000,'[1]1_inventory_totals'!$C$8:$C$10000,I87,'[1]1_inventory_totals'!$F$8:$F$10000,"="&amp;Q87,'[1]1_inventory_totals'!$G$8:$G$10000,"="&amp;R87)))</f>
        <v/>
      </c>
      <c r="BB87" s="197" t="str">
        <f>IF(M87="","",(SUMIFS('[1]2_inventory_totals'!$I$8:$I$10000,'[1]2_inventory_totals'!$C$8:$C$10000,I87,'[1]2_inventory_totals'!$F$8:$F$10000,"="&amp;Q87,'[1]2_inventory_totals'!$G$8:$G$10000,"="&amp;R87)+SUMIFS('[1]2_inventory_totals'!$N$8:$N$10000,'[1]2_inventory_totals'!$C$8:$C$10000,I87,'[1]2_inventory_totals'!$F$8:$F$10000,"="&amp;Q87,'[1]2_inventory_totals'!$G$8:$G$10000,"="&amp;R87)+SUMIFS('[1]2_inventory_totals'!$P$8:$P$10000,'[1]2_inventory_totals'!$C$8:$C$10000,I87,'[1]2_inventory_totals'!$F$8:$F$10000,"="&amp;Q87,'[1]2_inventory_totals'!$G$8:$G$10000,"="&amp;R87)+SUMIFS('[1]2_inventory_totals'!$Q$8:$Q$10000,'[1]2_inventory_totals'!$C$8:$C$10000,I87,'[1]2_inventory_totals'!$F$8:$F$10000,"="&amp;Q87,'[1]2_inventory_totals'!$G$8:$G$10000,"="&amp;R87)+SUMIFS('[1]2_inventory_totals'!$R$8:$R$10000,'[1]2_inventory_totals'!$C$8:$C$10000,I87,'[1]2_inventory_totals'!$F$8:$F$10000,"="&amp;Q87,'[1]2_inventory_totals'!$G$8:$G$10000,"="&amp;R87))+(SUMIFS('[1]2_inventory_totals'!$J$8:$J$10000,'[1]2_inventory_totals'!$C$8:$C$10000,I87,'[1]2_inventory_totals'!$F$8:$F$10000,"="&amp;Q87,'[1]2_inventory_totals'!$G$8:$G$10000,"="&amp;R87)+SUMIFS('[1]2_inventory_totals'!$K$8:$K$10000,'[1]2_inventory_totals'!$C$8:$C$10000,I87,'[1]2_inventory_totals'!$F$8:$F$10000,"="&amp;Q87,'[1]2_inventory_totals'!$G$8:$G$10000,"="&amp;R87)+SUMIFS('[1]2_inventory_totals'!$L$8:$L$10000,'[1]2_inventory_totals'!$C$8:$C$10000,I87,'[1]2_inventory_totals'!$F$8:$F$10000,"="&amp;Q87,'[1]2_inventory_totals'!$G$8:$G$10000,"="&amp;R87)+SUMIFS('[1]2_inventory_totals'!$M$8:$M$10000,'[1]2_inventory_totals'!$C$8:$C$10000,I87,'[1]2_inventory_totals'!$F$8:$F$10000,"="&amp;Q87,'[1]2_inventory_totals'!$G$8:$G$10000,"="&amp;R87)+SUMIFS('[1]2_inventory_totals'!$O$8:$O$10000,'[1]2_inventory_totals'!$C$8:$C$10000,I87,'[1]2_inventory_totals'!$F$8:$F$10000,"="&amp;Q87,'[1]2_inventory_totals'!$G$8:$G$10000,"="&amp;R87)+SUMIFS('[1]2_inventory_totals'!$S$8:$S$10000,'[1]2_inventory_totals'!$C$8:$C$10000,I87,'[1]2_inventory_totals'!$F$8:$F$10000,"="&amp;Q87,'[1]2_inventory_totals'!$G$8:$G$10000,"="&amp;R87)))</f>
        <v/>
      </c>
    </row>
    <row r="88" spans="1:54" ht="27" customHeight="1" thickBot="1">
      <c r="A88" s="923"/>
      <c r="B88" s="1256"/>
      <c r="C88" s="950"/>
      <c r="D88" s="950"/>
      <c r="E88" s="950"/>
      <c r="F88" s="1257"/>
      <c r="G88" s="941"/>
      <c r="I88" s="987"/>
      <c r="J88" s="952"/>
      <c r="K88" s="953"/>
      <c r="L88" s="954"/>
      <c r="M88" s="955" t="str">
        <f>"ជ្រើសរើសប្រភេទបញ្ចុះតម្លៃ"&amp;IF(invoice_branch="",""," ("&amp;invoice_currency_symbol&amp;")")</f>
        <v>ជ្រើសរើសប្រភេទបញ្ចុះតម្លៃ ($)</v>
      </c>
      <c r="N88" s="956"/>
      <c r="O88" s="957" t="s">
        <v>1547</v>
      </c>
      <c r="P88" s="957" t="s">
        <v>1548</v>
      </c>
      <c r="Q88" s="958"/>
      <c r="R88" s="957"/>
      <c r="S88" s="959"/>
      <c r="T88" s="959"/>
      <c r="U88" s="960"/>
      <c r="V88" s="961"/>
      <c r="W88" s="962" t="s">
        <v>1549</v>
      </c>
      <c r="X88" s="988" t="str">
        <f>invoice_currency_symbol</f>
        <v>$</v>
      </c>
      <c r="Y88" s="1863">
        <f>SUM(Y8:Y87)</f>
        <v>0</v>
      </c>
      <c r="Z88" s="963"/>
      <c r="AC88" s="964">
        <f>SUM(AC8:AC87)</f>
        <v>0</v>
      </c>
      <c r="AD88" s="965"/>
      <c r="AG88" s="966"/>
    </row>
    <row r="89" spans="1:54" ht="27" customHeight="1" thickBot="1">
      <c r="A89" s="923"/>
      <c r="B89" s="1256"/>
      <c r="C89" s="924"/>
      <c r="D89" s="924"/>
      <c r="E89" s="924"/>
      <c r="F89" s="1257"/>
      <c r="G89" s="941"/>
      <c r="J89" s="967"/>
      <c r="M89" s="968" t="s">
        <v>51</v>
      </c>
      <c r="N89" s="1602">
        <f>MID(invoice_discount_option,1,1)*1</f>
        <v>1</v>
      </c>
      <c r="O89" s="1537">
        <v>0</v>
      </c>
      <c r="P89" s="970"/>
      <c r="Q89" s="971"/>
      <c r="R89" s="971"/>
      <c r="U89" s="972">
        <f>IFERROR(IF(invoice_discount_option="",0,IF(invoice_discount_id*1=1,N(invoice_discount_amount),IF(invoice_discount_id*1=2,(invoice_sub_total_amount*invoice_discount_percent)/100,0))),0)</f>
        <v>0</v>
      </c>
      <c r="V89" s="973" t="str">
        <f>invoice_currency_symbol</f>
        <v>$</v>
      </c>
      <c r="W89" s="962" t="s">
        <v>1550</v>
      </c>
      <c r="X89" s="988" t="str">
        <f>invoice_currency_symbol</f>
        <v>$</v>
      </c>
      <c r="Y89" s="1863">
        <f>IFERROR(IF(invoice_discount_option="",0,IF(invoice_discount_id=1,N(invoice_discount_amount),IF(invoice_discount_id=2,(invoice_sub_total_amount*invoice_discount_percent)/100,0))),0)</f>
        <v>0</v>
      </c>
      <c r="Z89" s="963"/>
      <c r="AC89" s="882" t="s">
        <v>1536</v>
      </c>
    </row>
    <row r="90" spans="1:54" ht="27" customHeight="1">
      <c r="B90" s="1256"/>
      <c r="C90" s="974"/>
      <c r="D90" s="974"/>
      <c r="E90" s="974"/>
      <c r="F90" s="1257"/>
      <c r="G90" s="941"/>
      <c r="J90" s="952"/>
      <c r="K90" s="953"/>
      <c r="L90" s="954"/>
      <c r="M90" s="975"/>
      <c r="N90" s="976"/>
      <c r="S90" s="1607">
        <f>VLOOKUP(1,company_list,6,FALSE)</f>
        <v>1</v>
      </c>
      <c r="T90" s="977"/>
      <c r="U90" s="989" t="s">
        <v>3028</v>
      </c>
      <c r="V90" s="1606">
        <f>IF(U90="","",VLOOKUP(MID(U90,1,2)*1,vat_list,3,FALSE))</f>
        <v>0</v>
      </c>
      <c r="W90" s="962" t="s">
        <v>1551</v>
      </c>
      <c r="X90" s="988" t="str">
        <f>invoice_currency_symbol</f>
        <v>$</v>
      </c>
      <c r="Y90" s="1863">
        <f>IF(OR(invoice_sub_total_amount="",invoice_sub_total_amount=0,invoice_vat=""),0,IF(invoice_vat_cal_id=2,(invoice_sub_total_amount-invoice_discount)*invoice_vat_percent/100,IF(invoice_vat_cal_id=1,(invoice_sub_total_amount)*invoice_vat_percent/100,"")))</f>
        <v>0</v>
      </c>
      <c r="Z90" s="963"/>
      <c r="AC90" s="978" t="s">
        <v>1802</v>
      </c>
      <c r="AD90" s="908"/>
    </row>
    <row r="91" spans="1:54" ht="27" customHeight="1" thickBot="1">
      <c r="B91" s="1269"/>
      <c r="C91" s="1270"/>
      <c r="D91" s="1271"/>
      <c r="E91" s="1272"/>
      <c r="F91" s="1273"/>
      <c r="J91" s="967"/>
      <c r="K91" s="979"/>
      <c r="L91" s="979"/>
      <c r="P91" s="980"/>
      <c r="Q91" s="954"/>
      <c r="R91" s="981"/>
      <c r="U91" s="982">
        <v>17</v>
      </c>
      <c r="W91" s="962" t="s">
        <v>1808</v>
      </c>
      <c r="X91" s="988" t="str">
        <f>invoice_currency_symbol</f>
        <v>$</v>
      </c>
      <c r="Y91" s="1863">
        <f>AD90</f>
        <v>0</v>
      </c>
      <c r="Z91" s="963"/>
    </row>
    <row r="92" spans="1:54" ht="24.95" customHeight="1">
      <c r="J92" s="983"/>
      <c r="K92" s="983"/>
      <c r="L92" s="983"/>
      <c r="M92" s="984"/>
      <c r="N92" s="984"/>
      <c r="P92" s="933"/>
      <c r="Q92" s="933"/>
      <c r="R92" s="933"/>
      <c r="W92" s="962" t="s">
        <v>1552</v>
      </c>
      <c r="X92" s="988" t="str">
        <f>invoice_currency_symbol</f>
        <v>$</v>
      </c>
      <c r="Y92" s="1863">
        <f>invoice_sub_total_amount-invoice_discount-invoice_deposit+invoice_total_vat</f>
        <v>0</v>
      </c>
      <c r="Z92" s="963"/>
    </row>
    <row r="93" spans="1:54" ht="25.5" customHeight="1"/>
    <row r="101" ht="30" customHeight="1"/>
    <row r="102" ht="30" customHeight="1"/>
    <row r="103" ht="30" customHeight="1"/>
    <row r="104" ht="30" customHeight="1"/>
    <row r="112" ht="7.5" customHeight="1"/>
    <row r="122" ht="12" customHeight="1"/>
    <row r="139" ht="24.95" hidden="1" customHeight="1"/>
    <row r="140" ht="24.95" hidden="1" customHeight="1"/>
    <row r="141" ht="24.95" hidden="1" customHeight="1"/>
    <row r="142" ht="24.95" hidden="1" customHeight="1"/>
    <row r="143" ht="24.95" hidden="1" customHeight="1"/>
    <row r="144" ht="24.95" hidden="1" customHeight="1"/>
    <row r="145" ht="24.95" hidden="1" customHeight="1"/>
    <row r="146" ht="24.95" hidden="1" customHeight="1"/>
    <row r="147" ht="24.95" hidden="1" customHeight="1"/>
    <row r="148" ht="24.95" hidden="1" customHeight="1"/>
    <row r="149" ht="24.95" hidden="1" customHeight="1"/>
    <row r="150" ht="24.95" hidden="1" customHeight="1"/>
    <row r="151" ht="24.95" hidden="1" customHeight="1"/>
    <row r="152" ht="24.95" hidden="1" customHeight="1"/>
    <row r="153" ht="24.95" hidden="1" customHeight="1"/>
    <row r="154" ht="24.95" hidden="1" customHeight="1"/>
    <row r="155" ht="24.95" hidden="1" customHeight="1"/>
    <row r="156" ht="24.95" hidden="1" customHeight="1"/>
    <row r="157" ht="24.95" hidden="1" customHeight="1"/>
    <row r="158" ht="24.95" hidden="1" customHeight="1"/>
    <row r="159" ht="24.95" hidden="1" customHeight="1"/>
    <row r="160" ht="24.95" hidden="1" customHeight="1"/>
    <row r="161" ht="24.95" hidden="1" customHeight="1"/>
    <row r="162" ht="24.95" hidden="1" customHeight="1"/>
    <row r="163" ht="24.95" hidden="1" customHeight="1"/>
    <row r="164" ht="24.95" hidden="1" customHeight="1"/>
    <row r="165" ht="24.95" hidden="1" customHeight="1"/>
    <row r="166" ht="24.95" hidden="1" customHeight="1"/>
    <row r="167" ht="24.95" hidden="1" customHeight="1"/>
    <row r="168" ht="24.95" hidden="1" customHeight="1"/>
    <row r="169" ht="24.95" hidden="1" customHeight="1"/>
    <row r="170" ht="24.95" hidden="1" customHeight="1"/>
    <row r="171" ht="24.95" hidden="1" customHeight="1"/>
    <row r="172" ht="24.95" hidden="1" customHeight="1"/>
    <row r="173" ht="24.95" hidden="1" customHeight="1"/>
    <row r="174" ht="24.95" hidden="1" customHeight="1"/>
    <row r="175" ht="24.95" hidden="1" customHeight="1"/>
    <row r="176" ht="24.95" hidden="1" customHeight="1"/>
    <row r="177" ht="24.95" hidden="1" customHeight="1"/>
    <row r="178" ht="24.95" hidden="1" customHeight="1"/>
    <row r="179" ht="24.95" hidden="1" customHeight="1"/>
    <row r="180" ht="24.95" hidden="1" customHeight="1"/>
    <row r="181" ht="24.95" hidden="1" customHeight="1"/>
    <row r="182" ht="24.95" hidden="1" customHeight="1"/>
    <row r="183" ht="24.95" hidden="1" customHeight="1"/>
    <row r="184" ht="24.95" hidden="1" customHeight="1"/>
    <row r="185" ht="24.95" hidden="1" customHeight="1"/>
    <row r="186" ht="24.95" hidden="1" customHeight="1"/>
    <row r="187" ht="24.95" hidden="1" customHeight="1"/>
    <row r="188" ht="24.95" hidden="1" customHeight="1"/>
    <row r="189" ht="24.95" hidden="1" customHeight="1"/>
    <row r="190" ht="24.95" hidden="1" customHeight="1"/>
    <row r="191" ht="24.95" hidden="1" customHeight="1"/>
    <row r="192" ht="24.95" hidden="1" customHeight="1"/>
    <row r="193" ht="24.95" hidden="1" customHeight="1"/>
    <row r="194" ht="24.95" hidden="1" customHeight="1"/>
    <row r="195" ht="24.95" hidden="1" customHeight="1"/>
    <row r="196" ht="24.95" hidden="1" customHeight="1"/>
    <row r="197" ht="24.95" hidden="1" customHeight="1"/>
    <row r="198" ht="24.95" hidden="1" customHeight="1"/>
    <row r="199" ht="24.95" hidden="1" customHeight="1"/>
    <row r="200" ht="24.95" hidden="1" customHeight="1"/>
    <row r="201" ht="24.95" hidden="1" customHeight="1"/>
    <row r="202" ht="24.95" hidden="1" customHeight="1"/>
    <row r="203" ht="24.95" hidden="1" customHeight="1"/>
    <row r="204" ht="24.95" hidden="1" customHeight="1"/>
  </sheetData>
  <sheetProtection algorithmName="SHA-512" hashValue="LRytoHUJiK503kMRAnShAMHBCYb0JyEmHCrIg1uva20dHN1QzpgsrmKs/YZHDk2R4SlzzAOAuMHjIj60rH8XmQ==" saltValue="E0K+QpU/+MpS9Jc1IyLUbA==" spinCount="100000" sheet="1" objects="1" scenarios="1"/>
  <mergeCells count="6">
    <mergeCell ref="C22:E24"/>
    <mergeCell ref="AY6:AY7"/>
    <mergeCell ref="AZ6:AZ7"/>
    <mergeCell ref="AX6:AX7"/>
    <mergeCell ref="L4:M4"/>
    <mergeCell ref="C11:D11"/>
  </mergeCells>
  <phoneticPr fontId="36" type="noConversion"/>
  <dataValidations count="16">
    <dataValidation type="list" allowBlank="1" showInputMessage="1" showErrorMessage="1" sqref="M89" xr:uid="{780310EB-E83D-4FBE-8CD9-0FF46112A8BC}">
      <formula1>discount_type_option</formula1>
    </dataValidation>
    <dataValidation type="list" allowBlank="1" showInputMessage="1" showErrorMessage="1" sqref="P89" xr:uid="{DE3B3646-8E91-49D5-8FD7-C8B54AA67161}">
      <formula1>discount_option</formula1>
    </dataValidation>
    <dataValidation type="list" allowBlank="1" showInputMessage="1" showErrorMessage="1" sqref="L4:M4" xr:uid="{8579FBAB-A590-4E24-90E0-42839BAA47C7}">
      <formula1>price_type_option</formula1>
    </dataValidation>
    <dataValidation type="list" allowBlank="1" showInputMessage="1" showErrorMessage="1" sqref="C13" xr:uid="{5DC1F929-2F94-48D0-ACDA-98CC29271CAA}">
      <formula1>branch_option</formula1>
    </dataValidation>
    <dataValidation type="list" allowBlank="1" showInputMessage="1" showErrorMessage="1" sqref="C11" xr:uid="{8ABFE52B-CB38-4A23-8B71-279140908241}">
      <formula1>customer_name_option</formula1>
    </dataValidation>
    <dataValidation type="list" allowBlank="1" showInputMessage="1" showErrorMessage="1" sqref="C15" xr:uid="{E4AEE7E6-4190-4DF5-B514-BC586D87213C}">
      <formula1>saller_option</formula1>
    </dataValidation>
    <dataValidation type="list" allowBlank="1" showInputMessage="1" showErrorMessage="1" sqref="E15" xr:uid="{E0EDCBF2-A57D-4BAB-BA0C-4A1BE36CA466}">
      <formula1>location_option</formula1>
    </dataValidation>
    <dataValidation type="list" allowBlank="1" showInputMessage="1" showErrorMessage="1" sqref="M8:M87" xr:uid="{64737509-B850-4EE0-B076-55EA5632F015}">
      <formula1>product_name_option</formula1>
    </dataValidation>
    <dataValidation type="list" allowBlank="1" showInputMessage="1" showErrorMessage="1" sqref="U90" xr:uid="{8F10C1DF-3963-4F32-9E74-D61638B11BD1}">
      <formula1>vat_option</formula1>
    </dataValidation>
    <dataValidation type="whole" operator="greaterThanOrEqual" allowBlank="1" showInputMessage="1" showErrorMessage="1" sqref="F8:F9 P4 U4:V4 N8:O87" xr:uid="{BEB259FF-525F-4257-A68D-3C9A01C12D87}">
      <formula1>0</formula1>
    </dataValidation>
    <dataValidation type="list" allowBlank="1" showInputMessage="1" showErrorMessage="1" sqref="E17" xr:uid="{4D5C1573-05DA-41AB-99AC-8BD3483832E0}">
      <formula1>invoice_type_option</formula1>
    </dataValidation>
    <dataValidation type="list" allowBlank="1" showInputMessage="1" showErrorMessage="1" sqref="C20" xr:uid="{72E7F0CF-F738-462D-ACD3-ABDBD78CB03C}">
      <formula1>chart_account_default_option</formula1>
    </dataValidation>
    <dataValidation type="list" allowBlank="1" showInputMessage="1" showErrorMessage="1" sqref="E20" xr:uid="{8A87CD5F-0223-46F8-817C-E617884E20CE}">
      <formula1>payment_term_option</formula1>
    </dataValidation>
    <dataValidation type="list" allowBlank="1" showInputMessage="1" showErrorMessage="1" sqref="E13" xr:uid="{9219BD71-1780-4C00-974B-8C3E8BB61C33}">
      <formula1>location_group_option</formula1>
    </dataValidation>
    <dataValidation type="decimal" operator="greaterThanOrEqual" allowBlank="1" showInputMessage="1" showErrorMessage="1" sqref="W8:W87 T8:T87" xr:uid="{EB5BD5A9-52A8-4532-8272-43CCC611202B}">
      <formula1>0</formula1>
    </dataValidation>
    <dataValidation type="list" allowBlank="1" showInputMessage="1" showErrorMessage="1" sqref="P8:P87" xr:uid="{6F35ECD6-C1A7-4248-84BB-7B0162C0CB32}">
      <formula1>AN8:AP8</formula1>
    </dataValidation>
  </dataValidations>
  <pageMargins left="0" right="0" top="3.937007874015748E-2" bottom="0.39370078740157483" header="0" footer="0"/>
  <pageSetup paperSize="9" scale="30" orientation="landscape" r:id="rId1"/>
  <headerFooter scaleWithDoc="0" alignWithMargins="0">
    <oddFooter>&amp;CPage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59170" r:id="rId4" name="Button 2">
              <controlPr defaultSize="0" autoFill="0" autoPict="0" macro="[0]!SaveSaleInvoice">
                <anchor>
                  <from>
                    <xdr:col>20</xdr:col>
                    <xdr:colOff>847725</xdr:colOff>
                    <xdr:row>2</xdr:row>
                    <xdr:rowOff>38100</xdr:rowOff>
                  </from>
                  <to>
                    <xdr:col>22</xdr:col>
                    <xdr:colOff>828675</xdr:colOff>
                    <xdr:row>3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9172" r:id="rId5" name="Button 4">
              <controlPr defaultSize="0" print="0" autoFill="0" autoPict="0" macro="[0]!btnAddCustomer">
                <anchor moveWithCells="1" sizeWithCells="1">
                  <from>
                    <xdr:col>4</xdr:col>
                    <xdr:colOff>85725</xdr:colOff>
                    <xdr:row>10</xdr:row>
                    <xdr:rowOff>9525</xdr:rowOff>
                  </from>
                  <to>
                    <xdr:col>4</xdr:col>
                    <xdr:colOff>447675</xdr:colOff>
                    <xdr:row>10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9184" r:id="rId6" name="Button 16">
              <controlPr defaultSize="0" autoFill="0" autoPict="0" macro="[0]!listBoxAutoAddItemInvoice">
                <anchor>
                  <from>
                    <xdr:col>23</xdr:col>
                    <xdr:colOff>180975</xdr:colOff>
                    <xdr:row>2</xdr:row>
                    <xdr:rowOff>38100</xdr:rowOff>
                  </from>
                  <to>
                    <xdr:col>29</xdr:col>
                    <xdr:colOff>276225</xdr:colOff>
                    <xdr:row>3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293E4-3AA9-47FE-A3DB-10E91402333C}">
  <sheetPr codeName="Sheet104"/>
  <dimension ref="A1:AH9996"/>
  <sheetViews>
    <sheetView showGridLines="0" zoomScale="80" zoomScaleNormal="80" zoomScaleSheetLayoutView="80" workbookViewId="0">
      <pane ySplit="1" topLeftCell="A2" activePane="bottomLeft" state="frozen"/>
      <selection pane="bottomLeft" activeCell="Q31" sqref="Q31"/>
    </sheetView>
  </sheetViews>
  <sheetFormatPr defaultColWidth="8.7109375" defaultRowHeight="24" customHeight="1"/>
  <cols>
    <col min="1" max="1" width="1.85546875" style="1364" customWidth="1"/>
    <col min="2" max="2" width="1.140625" style="1364" customWidth="1"/>
    <col min="3" max="3" width="19.5703125" style="1365" customWidth="1"/>
    <col min="4" max="4" width="2.85546875" style="929" customWidth="1"/>
    <col min="5" max="5" width="23.140625" style="1382" customWidth="1"/>
    <col min="6" max="6" width="12.7109375" style="1382" customWidth="1"/>
    <col min="7" max="7" width="11.7109375" style="1383" customWidth="1"/>
    <col min="8" max="8" width="21.7109375" style="1384" customWidth="1"/>
    <col min="9" max="9" width="3.42578125" style="1384" customWidth="1"/>
    <col min="10" max="10" width="22.42578125" style="941" bestFit="1" customWidth="1"/>
    <col min="11" max="11" width="1.42578125" style="1437" customWidth="1"/>
    <col min="12" max="12" width="2.28515625" style="1364" customWidth="1"/>
    <col min="13" max="13" width="2.5703125" style="1364" customWidth="1"/>
    <col min="14" max="14" width="25.28515625" style="1436" customWidth="1"/>
    <col min="15" max="15" width="4" style="929" customWidth="1"/>
    <col min="16" max="16" width="18.7109375" style="1365" customWidth="1"/>
    <col min="17" max="17" width="17" style="1365" customWidth="1"/>
    <col min="18" max="18" width="3" style="1365" customWidth="1"/>
    <col min="19" max="19" width="21.5703125" style="1365" customWidth="1"/>
    <col min="20" max="20" width="3.140625" style="1365" customWidth="1"/>
    <col min="21" max="21" width="14.140625" style="1365" customWidth="1"/>
    <col min="22" max="22" width="4.5703125" style="1365" customWidth="1"/>
    <col min="23" max="23" width="15" style="1365" customWidth="1"/>
    <col min="24" max="24" width="3.7109375" style="1365" customWidth="1"/>
    <col min="25" max="25" width="3.42578125" style="1365" customWidth="1"/>
    <col min="26" max="26" width="27.140625" style="1365" customWidth="1"/>
    <col min="27" max="27" width="21.7109375" style="1365" customWidth="1"/>
    <col min="28" max="28" width="7.5703125" style="1365" customWidth="1"/>
    <col min="29" max="29" width="8.7109375" style="1365"/>
    <col min="30" max="30" width="3.85546875" style="1365" customWidth="1"/>
    <col min="31" max="31" width="16.42578125" style="908" customWidth="1"/>
    <col min="32" max="32" width="19.28515625" style="908" customWidth="1"/>
    <col min="33" max="33" width="16.5703125" style="908" customWidth="1"/>
    <col min="34" max="34" width="18.85546875" style="908" customWidth="1"/>
    <col min="35" max="16384" width="8.7109375" style="1365"/>
  </cols>
  <sheetData>
    <row r="1" spans="1:34" ht="55.5" customHeight="1" thickBot="1">
      <c r="B1" s="2056"/>
      <c r="C1" s="2057"/>
      <c r="D1" s="2057"/>
      <c r="E1" s="2057"/>
      <c r="F1" s="2057"/>
      <c r="G1" s="2057"/>
      <c r="H1" s="2057"/>
      <c r="I1" s="2057"/>
      <c r="J1" s="2057"/>
      <c r="K1" s="2058"/>
      <c r="M1" s="2064" t="s">
        <v>170</v>
      </c>
      <c r="N1" s="2065"/>
      <c r="O1" s="2065"/>
      <c r="P1" s="2065"/>
      <c r="Q1" s="2065"/>
      <c r="R1" s="2065"/>
      <c r="S1" s="2065"/>
      <c r="T1" s="2065"/>
      <c r="U1" s="2065"/>
      <c r="V1" s="2065"/>
      <c r="W1" s="2065"/>
      <c r="X1" s="2066"/>
    </row>
    <row r="2" spans="1:34" ht="11.25" customHeight="1">
      <c r="B2" s="1366"/>
      <c r="C2" s="1366"/>
      <c r="D2" s="1366"/>
      <c r="E2" s="1366"/>
      <c r="F2" s="1366"/>
      <c r="G2" s="1366"/>
      <c r="H2" s="1366"/>
      <c r="I2" s="1366"/>
      <c r="J2" s="1366"/>
      <c r="K2" s="1366"/>
      <c r="M2" s="1367"/>
      <c r="N2" s="1368"/>
      <c r="O2" s="1368"/>
      <c r="P2" s="1369"/>
      <c r="Q2" s="1369"/>
      <c r="R2" s="1369"/>
      <c r="S2" s="1369"/>
      <c r="T2" s="1369"/>
      <c r="U2" s="1369"/>
      <c r="V2" s="1369"/>
      <c r="W2" s="1369"/>
      <c r="X2" s="1370"/>
      <c r="Z2"/>
      <c r="AA2"/>
      <c r="AB2"/>
      <c r="AC2"/>
      <c r="AD2"/>
      <c r="AE2" s="168"/>
      <c r="AF2" s="168"/>
      <c r="AG2" s="168"/>
      <c r="AH2" s="168"/>
    </row>
    <row r="3" spans="1:34" ht="24" customHeight="1">
      <c r="A3" s="1371"/>
      <c r="B3" s="1682"/>
      <c r="C3" s="1683"/>
      <c r="D3" s="1684"/>
      <c r="E3" s="1685"/>
      <c r="F3" s="1686"/>
      <c r="G3" s="1687"/>
      <c r="H3" s="1688"/>
      <c r="I3" s="1688"/>
      <c r="J3" s="1689"/>
      <c r="K3" s="1690"/>
      <c r="M3" s="1372"/>
      <c r="N3" s="925"/>
      <c r="O3" s="1373"/>
      <c r="P3" s="1374"/>
      <c r="Q3" s="1374"/>
      <c r="R3" s="1374"/>
      <c r="S3" s="1374"/>
      <c r="T3" s="1374"/>
      <c r="U3" s="1374"/>
      <c r="V3" s="1374"/>
      <c r="W3" s="1374"/>
      <c r="X3" s="1375"/>
      <c r="Z3" s="196" t="str">
        <f>VLOOKUP(1,company_list,2,FALSE)</f>
        <v>គោកស្នួល ខនស្រ្តាក់សិន មេធៀរៀល</v>
      </c>
      <c r="AA3" s="68"/>
      <c r="AB3" s="68"/>
      <c r="AC3" s="68"/>
      <c r="AD3"/>
      <c r="AE3" s="1756" t="s">
        <v>3377</v>
      </c>
      <c r="AF3" s="1756" t="s">
        <v>585</v>
      </c>
      <c r="AG3" s="1756" t="s">
        <v>3378</v>
      </c>
      <c r="AH3" s="1756" t="s">
        <v>3379</v>
      </c>
    </row>
    <row r="4" spans="1:34" ht="27.75" customHeight="1">
      <c r="A4" s="1376"/>
      <c r="B4" s="1691"/>
      <c r="C4" s="3"/>
      <c r="D4" s="13"/>
      <c r="E4" s="3"/>
      <c r="F4" s="52"/>
      <c r="G4" s="148"/>
      <c r="H4" s="157"/>
      <c r="I4" s="157"/>
      <c r="J4" s="174"/>
      <c r="K4" s="1692"/>
      <c r="L4" s="1378"/>
      <c r="M4" s="1379"/>
      <c r="N4" s="1363" t="s">
        <v>164</v>
      </c>
      <c r="O4" s="1380"/>
      <c r="P4" s="2071" t="e">
        <f>COUNTIFS([1]ReceivePayment!$N$8:$N$10000,"=1")+1</f>
        <v>#VALUE!</v>
      </c>
      <c r="Q4" s="2072"/>
      <c r="S4" s="1363" t="s">
        <v>187</v>
      </c>
      <c r="T4" s="1110"/>
      <c r="U4" s="2073" t="str">
        <f>IF(rp_status=-1,"Edit",IF(rp_status=1,"Issue",IF(rp_status=2,"Fullfilied",IF(rp_status=3,"Partial",1))))</f>
        <v>Issue</v>
      </c>
      <c r="V4" s="2074"/>
      <c r="W4" s="1661">
        <f>IF(OR(rp_invoice_code="",ISNA(VLOOKUP(rp_invoice_code,[1]SaleInvoiceData!$E$8:$AI$10000,26,FALSE))),1,VLOOKUP(rp_invoice_code,[1]SaleInvoiceData!$E$8:$AI$10000,26,FALSE))</f>
        <v>1</v>
      </c>
      <c r="X4" s="1381"/>
      <c r="Z4" s="68" t="str">
        <f>VLOOKUP(1,company_list,3,FALSE)</f>
        <v>KORK SNUOL CONSTRUCTION MATERIAL</v>
      </c>
      <c r="AA4" s="68"/>
      <c r="AB4" s="68"/>
      <c r="AC4" s="68"/>
      <c r="AD4"/>
      <c r="AE4" s="168">
        <f>IF(AH4="","",AH4*1)</f>
        <v>192</v>
      </c>
      <c r="AF4" s="168" t="str" cm="1">
        <f t="array" ref="AF4:AF9996">[1]SaleInvoiceData!$E$8:$E$10000</f>
        <v>CI2026-0192</v>
      </c>
      <c r="AG4" s="168" t="str" cm="1">
        <f t="array" ref="AG4:AH4">IF(AF4="","",_xlfn.TEXTSPLIT(AF4,"-"))</f>
        <v>CI2026</v>
      </c>
      <c r="AH4" s="168" t="str">
        <v>0192</v>
      </c>
    </row>
    <row r="5" spans="1:34" ht="34.5" customHeight="1">
      <c r="A5" s="1376"/>
      <c r="B5" s="1691"/>
      <c r="C5"/>
      <c r="D5" s="13"/>
      <c r="E5" s="5"/>
      <c r="F5" s="5"/>
      <c r="G5" s="2"/>
      <c r="H5" s="1"/>
      <c r="I5" s="1"/>
      <c r="J5" s="174"/>
      <c r="K5" s="1692"/>
      <c r="L5" s="1378"/>
      <c r="M5" s="1379"/>
      <c r="N5" s="1363" t="s">
        <v>3397</v>
      </c>
      <c r="O5" s="1380"/>
      <c r="P5" s="2079" t="s">
        <v>1858</v>
      </c>
      <c r="Q5" s="2079"/>
      <c r="S5" s="926" t="s">
        <v>3386</v>
      </c>
      <c r="T5" s="1110"/>
      <c r="U5" s="1655" t="s">
        <v>3394</v>
      </c>
      <c r="V5" s="1443"/>
      <c r="W5" s="1443"/>
      <c r="X5" s="1656">
        <f>MID(U5,1,3)*1</f>
        <v>1</v>
      </c>
      <c r="Z5" s="253" t="str">
        <f>IF(rp_branch&lt;&gt;"","លេខទូរស័ព្ទ ៖ "&amp;VLOOKUP(MID(rp_branch,1,2)*1,branch_list,19,FALSE),"")</f>
        <v>លេខទូរស័ព្ទ ៖ 011 50 2000 / 060 50 2000 / 098 50 2000</v>
      </c>
      <c r="AA5" s="68"/>
      <c r="AB5" s="68"/>
      <c r="AC5" s="68"/>
      <c r="AD5"/>
      <c r="AE5" s="168">
        <f t="shared" ref="AE5:AE68" si="0">IF(AH5="","",AH5*1)</f>
        <v>193</v>
      </c>
      <c r="AF5" s="168" t="str">
        <v>CI2026-0193</v>
      </c>
      <c r="AG5" s="168" t="str" cm="1">
        <f t="array" ref="AG5:AH5">IF(AF5="","",_xlfn.TEXTSPLIT(AF5,"-"))</f>
        <v>CI2026</v>
      </c>
      <c r="AH5" s="168" t="str">
        <v>0193</v>
      </c>
    </row>
    <row r="6" spans="1:34" ht="24" customHeight="1">
      <c r="A6" s="1376"/>
      <c r="B6" s="1691"/>
      <c r="C6"/>
      <c r="D6" s="13"/>
      <c r="E6" s="5"/>
      <c r="F6" s="5"/>
      <c r="G6" s="2"/>
      <c r="H6" s="1"/>
      <c r="I6" s="1"/>
      <c r="J6" s="174"/>
      <c r="K6" s="1692"/>
      <c r="L6" s="1385"/>
      <c r="M6" s="1386"/>
      <c r="N6" s="1363"/>
      <c r="O6" s="1380"/>
      <c r="S6" s="925"/>
      <c r="T6" s="1387"/>
      <c r="V6" s="1388"/>
      <c r="X6" s="1381"/>
      <c r="Z6" s="156" t="str">
        <f>IF(rp_branch&lt;&gt;"",VLOOKUP(MID(rp_branch,1,2)*1,branch_list,6,FALSE),"")</f>
        <v>Advanced Bank of Asia Ltd.,KORK SNUOL CONSTRUCTION MATERIAL,017384326 (USD),017384325 (KHR)</v>
      </c>
      <c r="AA6" s="68"/>
      <c r="AB6" s="68"/>
      <c r="AC6" s="68"/>
      <c r="AD6"/>
      <c r="AE6" s="168">
        <f t="shared" si="0"/>
        <v>194</v>
      </c>
      <c r="AF6" s="168" t="str">
        <v>CI2026-0194</v>
      </c>
      <c r="AG6" s="168" t="str" cm="1">
        <f t="array" ref="AG6:AH6">IF(AF6="","",_xlfn.TEXTSPLIT(AF6,"-"))</f>
        <v>CI2026</v>
      </c>
      <c r="AH6" s="168" t="str">
        <v>0194</v>
      </c>
    </row>
    <row r="7" spans="1:34" ht="9" customHeight="1">
      <c r="A7" s="1376"/>
      <c r="B7" s="1691"/>
      <c r="C7" s="282"/>
      <c r="D7" s="283"/>
      <c r="E7" s="284"/>
      <c r="F7" s="284"/>
      <c r="G7" s="285"/>
      <c r="H7" s="286"/>
      <c r="I7" s="286"/>
      <c r="J7" s="287"/>
      <c r="K7" s="1692"/>
      <c r="L7" s="1385"/>
      <c r="M7" s="1386"/>
      <c r="N7" s="2046" t="s">
        <v>3398</v>
      </c>
      <c r="O7" s="2063"/>
      <c r="P7" s="2067">
        <v>192</v>
      </c>
      <c r="Q7" s="2068"/>
      <c r="S7" s="2046" t="s">
        <v>1823</v>
      </c>
      <c r="T7" s="2047"/>
      <c r="U7" s="2075">
        <v>46286</v>
      </c>
      <c r="V7" s="2076"/>
      <c r="W7" s="1389"/>
      <c r="X7" s="1381"/>
      <c r="Z7" s="68"/>
      <c r="AA7" s="68"/>
      <c r="AB7" s="68"/>
      <c r="AC7" s="68"/>
      <c r="AD7"/>
      <c r="AE7" s="168">
        <f t="shared" si="0"/>
        <v>195</v>
      </c>
      <c r="AF7" s="168" t="str">
        <v>CI2026-0195</v>
      </c>
      <c r="AG7" s="168" t="str" cm="1">
        <f t="array" ref="AG7:AH7">IF(AF7="","",_xlfn.TEXTSPLIT(AF7,"-"))</f>
        <v>CI2026</v>
      </c>
      <c r="AH7" s="168" t="str">
        <v>0195</v>
      </c>
    </row>
    <row r="8" spans="1:34" s="1377" customFormat="1" ht="30" customHeight="1">
      <c r="A8" s="1390"/>
      <c r="B8" s="1693"/>
      <c r="C8" s="188" t="s">
        <v>73</v>
      </c>
      <c r="D8" s="177"/>
      <c r="E8" s="1694">
        <f>rp_current_date</f>
        <v>46286</v>
      </c>
      <c r="F8" s="288"/>
      <c r="G8" s="289"/>
      <c r="H8" s="1695" t="s">
        <v>164</v>
      </c>
      <c r="I8" s="2048" t="e">
        <f>RIGHT(YEAR(rp_current_date),2)&amp;"OR"&amp;"-"&amp;TEXT(P4,"000000")</f>
        <v>#VALUE!</v>
      </c>
      <c r="J8" s="2049"/>
      <c r="K8" s="1696"/>
      <c r="L8" s="1391"/>
      <c r="M8" s="1392"/>
      <c r="N8" s="2046"/>
      <c r="O8" s="2063"/>
      <c r="P8" s="2069"/>
      <c r="Q8" s="2070"/>
      <c r="S8" s="2046"/>
      <c r="T8" s="2047"/>
      <c r="U8" s="2077"/>
      <c r="V8" s="2078"/>
      <c r="X8" s="1393"/>
      <c r="Z8" s="337" t="str">
        <f>IF(rp_branch&lt;&gt;"",VLOOKUP(MID(rp_branch,1,2)*1,branch_list,22,FALSE),"")</f>
        <v>ភូមិគោកស្នួល ឃុំខ្នាត ស្រុកពួក ខេត្តសៀមរាប</v>
      </c>
      <c r="AA8" s="68"/>
      <c r="AB8" s="130"/>
      <c r="AC8" s="130"/>
      <c r="AD8" s="3"/>
      <c r="AE8" s="168">
        <f t="shared" si="0"/>
        <v>196</v>
      </c>
      <c r="AF8" s="168" t="str">
        <v>CI2026-0196</v>
      </c>
      <c r="AG8" s="168" t="str" cm="1">
        <f t="array" ref="AG8:AH8">IF(AF8="","",_xlfn.TEXTSPLIT(AF8,"-"))</f>
        <v>CI2026</v>
      </c>
      <c r="AH8" s="168" t="str">
        <v>0196</v>
      </c>
    </row>
    <row r="9" spans="1:34" s="907" customFormat="1" ht="30" customHeight="1">
      <c r="A9" s="1394"/>
      <c r="B9" s="1697"/>
      <c r="C9" s="337"/>
      <c r="D9" s="177"/>
      <c r="E9" s="206"/>
      <c r="F9" s="207"/>
      <c r="G9" s="205"/>
      <c r="H9" s="1695" t="s">
        <v>80</v>
      </c>
      <c r="I9" s="1698" t="str">
        <f>rp_currency_symbol</f>
        <v>$</v>
      </c>
      <c r="J9" s="1699">
        <f>IF(AND(rp_amount_paid_kh="",rp_amount_paid_en=""),0,IF(rp_total_paid&gt;rp_amount_due,ROUND(rp_amount_due-IF(rp_currency_id=1,rp_discount_kh/rp_exchange_rate+rp_discount_en,IF(rp_currency_id=2,rp_discount_kh+rp_discount_en*rp_exchange_rate,0)),2),rp_total_paid))</f>
        <v>0</v>
      </c>
      <c r="K9" s="1696"/>
      <c r="L9" s="1395"/>
      <c r="M9" s="1396"/>
      <c r="N9" s="1652" t="str">
        <f>IF(rp_invoice_no="","",VLOOKUP(rp_invoice_no,AE4:AH10000,3,FALSE)&amp;"-"&amp;TEXT(rp_invoice_no,"0000"))</f>
        <v>CI2026-0192</v>
      </c>
      <c r="O9" s="1397"/>
      <c r="P9" s="1398"/>
      <c r="Q9" s="1398"/>
      <c r="R9" s="1399"/>
      <c r="S9" s="1400" t="s">
        <v>3384</v>
      </c>
      <c r="T9" s="1398"/>
      <c r="U9" s="1660">
        <f>IFERROR(IF(rp_current_date="","",IF(AND(DAY(rp_current_date)&gt;0,DAY(rp_current_date)&lt;8),1,IF(AND(DAY(rp_current_date)&gt;7,DAY(rp_current_date)&lt;15),2,IF(AND(DAY(rp_current_date)&gt;14,DAY(rp_current_date)&lt;22),3,IF(AND(DAY(rp_current_date)&gt;21,DAY(rp_current_date)&lt;32),4,""))))),"")</f>
        <v>3</v>
      </c>
      <c r="V9" s="1398"/>
      <c r="W9" s="1398"/>
      <c r="X9" s="1401"/>
      <c r="Z9" s="135"/>
      <c r="AA9" s="254"/>
      <c r="AB9" s="135"/>
      <c r="AC9" s="135"/>
      <c r="AD9" s="126"/>
      <c r="AE9" s="168">
        <f t="shared" si="0"/>
        <v>197</v>
      </c>
      <c r="AF9" s="168" t="str">
        <v>CI2026-0197</v>
      </c>
      <c r="AG9" s="168" t="str" cm="1">
        <f t="array" ref="AG9:AH9">IF(AF9="","",_xlfn.TEXTSPLIT(AF9,"-"))</f>
        <v>CI2026</v>
      </c>
      <c r="AH9" s="168" t="str">
        <v>0197</v>
      </c>
    </row>
    <row r="10" spans="1:34" s="1403" customFormat="1" ht="12" customHeight="1">
      <c r="A10" s="1402"/>
      <c r="B10" s="1700"/>
      <c r="C10" s="147"/>
      <c r="D10" s="147"/>
      <c r="E10" s="147"/>
      <c r="F10" s="147"/>
      <c r="G10" s="147"/>
      <c r="H10" s="147"/>
      <c r="I10" s="147"/>
      <c r="J10" s="147"/>
      <c r="K10" s="1696"/>
      <c r="L10" s="1404"/>
      <c r="M10" s="1405"/>
      <c r="N10" s="1651">
        <f>IF(rp_invoice_no="","",VLOOKUP(rp_invoice_code,[1]SaleInvoiceData!$E$8:$AJ$10000,32,FALSE))</f>
        <v>1</v>
      </c>
      <c r="O10" s="1406"/>
      <c r="P10" s="1407"/>
      <c r="Q10" s="1407"/>
      <c r="R10" s="1407"/>
      <c r="S10" s="1408"/>
      <c r="T10" s="1407"/>
      <c r="U10" s="1407"/>
      <c r="V10" s="1407"/>
      <c r="W10" s="1407"/>
      <c r="X10" s="1409"/>
      <c r="Z10" s="147"/>
      <c r="AA10" s="147"/>
      <c r="AB10" s="147"/>
      <c r="AC10" s="147"/>
      <c r="AD10" s="147"/>
      <c r="AE10" s="168">
        <f t="shared" si="0"/>
        <v>198</v>
      </c>
      <c r="AF10" s="873" t="str">
        <v>CI2026-0198</v>
      </c>
      <c r="AG10" s="168" t="str" cm="1">
        <f t="array" ref="AG10:AH10">IF(AF10="","",_xlfn.TEXTSPLIT(AF10,"-"))</f>
        <v>CI2026</v>
      </c>
      <c r="AH10" s="873" t="str">
        <v>0198</v>
      </c>
    </row>
    <row r="11" spans="1:34" s="1403" customFormat="1" ht="30" customHeight="1">
      <c r="A11" s="1402"/>
      <c r="B11" s="1700"/>
      <c r="C11" s="188" t="s">
        <v>166</v>
      </c>
      <c r="D11" s="177"/>
      <c r="E11" s="1701" t="str">
        <f>IFERROR(IF(AND(VLOOKUP(rp_customer_id,customer_list,2,FALSE)&lt;&gt;"",VLOOKUP(rp_customer_id,customer_list,4,FALSE)&lt;&gt;""),VLOOKUP(rp_customer_id,customer_list,2,FALSE)&amp; "_" &amp; VLOOKUP(rp_customer_id,customer_list,6,FALSE),""),"")</f>
        <v>CKS0000001_អតិថិជនទូទៅ</v>
      </c>
      <c r="F11" s="1702"/>
      <c r="G11" s="1702"/>
      <c r="H11" s="1703"/>
      <c r="I11" s="1703"/>
      <c r="J11" s="1704"/>
      <c r="K11" s="1696"/>
      <c r="L11" s="1404"/>
      <c r="M11" s="1405"/>
      <c r="N11" s="2046" t="s">
        <v>3410</v>
      </c>
      <c r="O11" s="2063"/>
      <c r="P11" s="2059"/>
      <c r="Q11" s="2060"/>
      <c r="S11" s="2046"/>
      <c r="U11" s="2080" t="s">
        <v>171</v>
      </c>
      <c r="V11" s="2081"/>
      <c r="W11" s="2082"/>
      <c r="X11" s="1409"/>
      <c r="Z11" s="1657" t="s">
        <v>88</v>
      </c>
      <c r="AA11" s="1657" t="str">
        <f>IFERROR(IF(VLOOKUP(rp_customer_id,customer_list,2,FALSE)&lt;&gt;"",VLOOKUP(rp_customer_id,customer_list,2,FALSE),""),"")</f>
        <v>CKS0000001</v>
      </c>
      <c r="AB11" s="1657">
        <f>IFERROR(IF(rp_invoice_code&lt;&gt;"",VLOOKUP(rp_invoice_code,[1]SaleInvoiceData!$E$8:$AI$10000,10,FALSE),""),"")</f>
        <v>1</v>
      </c>
      <c r="AC11" s="147"/>
      <c r="AD11" s="147"/>
      <c r="AE11" s="168">
        <f t="shared" si="0"/>
        <v>199</v>
      </c>
      <c r="AF11" s="873" t="str">
        <v>CI2026-0199</v>
      </c>
      <c r="AG11" s="168" t="str" cm="1">
        <f t="array" ref="AG11:AH11">IF(AF11="","",_xlfn.TEXTSPLIT(AF11,"-"))</f>
        <v>CI2026</v>
      </c>
      <c r="AH11" s="873" t="str">
        <v>0199</v>
      </c>
    </row>
    <row r="12" spans="1:34" s="1403" customFormat="1" ht="30" customHeight="1">
      <c r="A12" s="1402"/>
      <c r="B12" s="1700"/>
      <c r="C12" s="188"/>
      <c r="D12" s="177"/>
      <c r="E12" s="1705" t="str">
        <f>IFERROR(IF(VLOOKUP(rp_customer_id,customer_list,7,FALSE)="","",VLOOKUP(rp_customer_id,customer_list,7,FALSE))&amp;IF(VLOOKUP(rp_customer_id,customer_list,9,FALSE)="","",", "&amp;VLOOKUP(rp_customer_id,customer_list,9,FALSE))&amp;IF(VLOOKUP(rp_customer_id,customer_list,7,FALSE)="","",", (Telegram : "&amp;VLOOKUP(rp_customer_id,customer_list,7,FALSE)&amp;")"),"")</f>
        <v/>
      </c>
      <c r="F12" s="1706"/>
      <c r="G12" s="1707"/>
      <c r="H12" s="1708"/>
      <c r="I12" s="1708"/>
      <c r="J12" s="1709"/>
      <c r="K12" s="1696"/>
      <c r="L12" s="1404"/>
      <c r="M12" s="1405"/>
      <c r="N12" s="2046"/>
      <c r="O12" s="2063"/>
      <c r="P12" s="2061"/>
      <c r="Q12" s="2062"/>
      <c r="S12" s="2046"/>
      <c r="U12" s="1411" t="s">
        <v>3396</v>
      </c>
      <c r="V12" s="1412" t="s">
        <v>3395</v>
      </c>
      <c r="W12" s="1413">
        <v>4047</v>
      </c>
      <c r="X12" s="1409"/>
      <c r="Z12" s="1757"/>
      <c r="AA12" s="1654" t="str">
        <f>IFERROR(IF(VLOOKUP(rp_customer_id,customer_list,4,FALSE)&lt;&gt;"",VLOOKUP(rp_customer_id,customer_list,6,FALSE),""),"")</f>
        <v>អតិថិជនទូទៅ</v>
      </c>
      <c r="AB12" s="1758"/>
      <c r="AC12" s="163"/>
      <c r="AD12" s="147"/>
      <c r="AE12" s="168">
        <f t="shared" si="0"/>
        <v>200</v>
      </c>
      <c r="AF12" s="873" t="str">
        <v>CI2026-0200</v>
      </c>
      <c r="AG12" s="168" t="str" cm="1">
        <f t="array" ref="AG12:AH12">IF(AF12="","",_xlfn.TEXTSPLIT(AF12,"-"))</f>
        <v>CI2026</v>
      </c>
      <c r="AH12" s="873" t="str">
        <v>0200</v>
      </c>
    </row>
    <row r="13" spans="1:34" s="1403" customFormat="1" ht="30" customHeight="1">
      <c r="A13" s="1402"/>
      <c r="B13" s="1700"/>
      <c r="C13" s="188" t="s">
        <v>3387</v>
      </c>
      <c r="D13" s="177"/>
      <c r="E13" s="1710" t="str" cm="1">
        <f t="array" ref="E13">IF(J9&gt;0,IF(rp_currency_id=1,SpellNumber(J9),IF(rp_currency_id=2,SpellKhNumber(J9),"")),"")</f>
        <v/>
      </c>
      <c r="F13" s="1711"/>
      <c r="G13" s="1712"/>
      <c r="H13" s="1713"/>
      <c r="I13" s="1713"/>
      <c r="J13" s="1713"/>
      <c r="K13" s="1696"/>
      <c r="L13" s="1404"/>
      <c r="M13" s="1405"/>
      <c r="N13" s="2046" t="s">
        <v>3411</v>
      </c>
      <c r="O13" s="1380"/>
      <c r="P13" s="2027">
        <v>30</v>
      </c>
      <c r="Q13" s="2028"/>
      <c r="S13" s="2046"/>
      <c r="T13" s="1414"/>
      <c r="U13" s="1415"/>
      <c r="V13" s="1416"/>
      <c r="W13" s="1417"/>
      <c r="X13" s="1409"/>
      <c r="Z13" s="1759" t="s">
        <v>3</v>
      </c>
      <c r="AA13" s="1658">
        <f>Setting!F9</f>
        <v>1</v>
      </c>
      <c r="AB13" s="1760" t="str">
        <f>IF(rp_currency_id="","",VLOOKUP(rp_currency_id,currency_list,3,FALSE))</f>
        <v>$</v>
      </c>
      <c r="AC13" s="163"/>
      <c r="AD13" s="147"/>
      <c r="AE13" s="168">
        <f t="shared" si="0"/>
        <v>201</v>
      </c>
      <c r="AF13" s="873" t="str">
        <v>CI2026-0201</v>
      </c>
      <c r="AG13" s="168" t="str" cm="1">
        <f t="array" ref="AG13:AH13">IF(AF13="","",_xlfn.TEXTSPLIT(AF13,"-"))</f>
        <v>CI2026</v>
      </c>
      <c r="AH13" s="873" t="str">
        <v>0201</v>
      </c>
    </row>
    <row r="14" spans="1:34" s="1403" customFormat="1" ht="30" customHeight="1">
      <c r="A14" s="1402"/>
      <c r="B14" s="1700"/>
      <c r="C14" s="188" t="s">
        <v>169</v>
      </c>
      <c r="D14" s="177"/>
      <c r="E14" s="1714" t="str">
        <f>IF(rp_invoice_code="","",rp_invoice_code)</f>
        <v>CI2026-0192</v>
      </c>
      <c r="F14" s="1714"/>
      <c r="G14" s="1714"/>
      <c r="H14" s="841" t="s">
        <v>3392</v>
      </c>
      <c r="I14" s="204"/>
      <c r="J14" s="337" t="s">
        <v>165</v>
      </c>
      <c r="K14" s="1696"/>
      <c r="L14" s="1404"/>
      <c r="M14" s="1405"/>
      <c r="N14" s="2046"/>
      <c r="O14" s="1380"/>
      <c r="P14" s="2029"/>
      <c r="Q14" s="2030"/>
      <c r="S14" s="2046"/>
      <c r="X14" s="1409"/>
      <c r="Z14" s="163"/>
      <c r="AA14" s="163"/>
      <c r="AB14" s="163"/>
      <c r="AC14" s="163"/>
      <c r="AD14" s="147"/>
      <c r="AE14" s="168">
        <f t="shared" si="0"/>
        <v>202</v>
      </c>
      <c r="AF14" s="873" t="str">
        <v>CI2026-0202</v>
      </c>
      <c r="AG14" s="168" t="str" cm="1">
        <f t="array" ref="AG14:AH14">IF(AF14="","",_xlfn.TEXTSPLIT(AF14,"-"))</f>
        <v>CI2026</v>
      </c>
      <c r="AH14" s="873" t="str">
        <v>0202</v>
      </c>
    </row>
    <row r="15" spans="1:34" s="1403" customFormat="1" ht="30" customHeight="1">
      <c r="A15" s="1402"/>
      <c r="B15" s="1700"/>
      <c r="C15" s="253" t="s">
        <v>74</v>
      </c>
      <c r="D15" s="209"/>
      <c r="E15" s="2054" t="str">
        <f>IF(S18="","",S18)</f>
        <v/>
      </c>
      <c r="F15" s="2054"/>
      <c r="G15" s="2054"/>
      <c r="H15" s="1715"/>
      <c r="I15" s="179"/>
      <c r="J15" s="1716" t="s">
        <v>3409</v>
      </c>
      <c r="K15" s="1696"/>
      <c r="L15" s="1404"/>
      <c r="M15" s="1405"/>
      <c r="N15" s="1418"/>
      <c r="O15" s="1419"/>
      <c r="P15" s="1420"/>
      <c r="Q15" s="1410"/>
      <c r="S15" s="1418" t="s">
        <v>3385</v>
      </c>
      <c r="T15" s="1110"/>
      <c r="U15" s="2041" t="s">
        <v>3416</v>
      </c>
      <c r="V15" s="2041"/>
      <c r="W15" s="2041"/>
      <c r="X15" s="1409"/>
      <c r="Z15" s="498" t="s">
        <v>3414</v>
      </c>
      <c r="AA15" s="1761">
        <f>IF(rp_invoice_no="","",VLOOKUP(rp_invoice_code,[1]SaleInvoiceData!$E$8:$AI$10000,11,FALSE))</f>
        <v>5</v>
      </c>
      <c r="AB15" s="163"/>
      <c r="AC15" s="163"/>
      <c r="AD15" s="147"/>
      <c r="AE15" s="168">
        <f t="shared" si="0"/>
        <v>203</v>
      </c>
      <c r="AF15" s="873" t="str">
        <v>CI2026-0203</v>
      </c>
      <c r="AG15" s="168" t="str" cm="1">
        <f t="array" ref="AG15:AH15">IF(AF15="","",_xlfn.TEXTSPLIT(AF15,"-"))</f>
        <v>CI2026</v>
      </c>
      <c r="AH15" s="873" t="str">
        <v>0203</v>
      </c>
    </row>
    <row r="16" spans="1:34" s="1403" customFormat="1" ht="30" customHeight="1">
      <c r="A16" s="1402"/>
      <c r="B16" s="1700"/>
      <c r="C16" s="188"/>
      <c r="D16" s="291"/>
      <c r="E16" s="2055"/>
      <c r="F16" s="2055"/>
      <c r="G16" s="2055"/>
      <c r="H16" s="1715"/>
      <c r="I16" s="179"/>
      <c r="J16" s="1716" t="s">
        <v>168</v>
      </c>
      <c r="K16" s="1696"/>
      <c r="L16" s="1404"/>
      <c r="M16" s="1405"/>
      <c r="N16" s="1421" t="s">
        <v>3412</v>
      </c>
      <c r="O16" s="1380"/>
      <c r="P16" s="2033"/>
      <c r="Q16" s="2034"/>
      <c r="S16" s="1422"/>
      <c r="X16" s="1409"/>
      <c r="Z16" s="1762" t="s">
        <v>3415</v>
      </c>
      <c r="AA16" s="1659">
        <f>IF(rp_invoice_no="","",VLOOKUP(rp_payment_term_id,payment_term_list,3,FALSE))</f>
        <v>30</v>
      </c>
      <c r="AB16" s="163"/>
      <c r="AC16" s="163"/>
      <c r="AD16" s="147"/>
      <c r="AE16" s="168">
        <f t="shared" si="0"/>
        <v>204</v>
      </c>
      <c r="AF16" s="873" t="str">
        <v>CI2026-0204</v>
      </c>
      <c r="AG16" s="168" t="str" cm="1">
        <f t="array" ref="AG16:AH16">IF(AF16="","",_xlfn.TEXTSPLIT(AF16,"-"))</f>
        <v>CI2026</v>
      </c>
      <c r="AH16" s="873" t="str">
        <v>0204</v>
      </c>
    </row>
    <row r="17" spans="1:34" s="1403" customFormat="1" ht="29.1" customHeight="1">
      <c r="A17" s="1402"/>
      <c r="B17" s="1700"/>
      <c r="C17" s="337" t="s">
        <v>167</v>
      </c>
      <c r="D17" s="2032"/>
      <c r="E17" s="1595" t="str">
        <f>IF(rp_invoice_no="","",MID(P19,5,100))</f>
        <v>ហឿត ចន្ត្រា</v>
      </c>
      <c r="F17" s="766"/>
      <c r="G17" s="766"/>
      <c r="H17" s="1717" t="s">
        <v>3408</v>
      </c>
      <c r="I17" s="1718" t="str">
        <f>rp_currency_symbol</f>
        <v>$</v>
      </c>
      <c r="J17" s="1719">
        <f>IFERROR(IF(AND(rp_total_balance_unpaid&gt;0,rp_invoice_no&lt;&gt;""),rp_total_balance_unpaid,0),0)</f>
        <v>0</v>
      </c>
      <c r="K17" s="1696"/>
      <c r="L17" s="1404"/>
      <c r="M17" s="1405"/>
      <c r="N17" s="1421" t="s">
        <v>3413</v>
      </c>
      <c r="O17" s="1380"/>
      <c r="P17" s="2050"/>
      <c r="Q17" s="2051"/>
      <c r="S17" s="1363" t="s">
        <v>75</v>
      </c>
      <c r="T17" s="1110"/>
      <c r="U17" s="1423"/>
      <c r="V17" s="1423"/>
      <c r="W17" s="1423"/>
      <c r="X17" s="1424"/>
      <c r="Z17" s="1762" t="s">
        <v>3417</v>
      </c>
      <c r="AA17" s="1763">
        <f>IF(rp_invoice_no="","",VLOOKUP(rp_invoice_code,[1]SaleInvoiceData!$E$8:$AI$10000,5,FALSE))</f>
        <v>1</v>
      </c>
      <c r="AB17" s="163"/>
      <c r="AC17" s="163"/>
      <c r="AD17" s="147"/>
      <c r="AE17" s="168">
        <f t="shared" si="0"/>
        <v>205</v>
      </c>
      <c r="AF17" s="873" t="str">
        <v>CI2026-0205</v>
      </c>
      <c r="AG17" s="168" t="str" cm="1">
        <f t="array" ref="AG17:AH17">IF(AF17="","",_xlfn.TEXTSPLIT(AF17,"-"))</f>
        <v>CI2026</v>
      </c>
      <c r="AH17" s="873" t="str">
        <v>0205</v>
      </c>
    </row>
    <row r="18" spans="1:34" s="1403" customFormat="1" ht="29.1" customHeight="1">
      <c r="A18" s="1402"/>
      <c r="B18" s="1700"/>
      <c r="C18" s="147"/>
      <c r="D18" s="2032"/>
      <c r="E18" s="766"/>
      <c r="F18" s="766"/>
      <c r="G18" s="766"/>
      <c r="H18" s="1720" t="s">
        <v>3381</v>
      </c>
      <c r="I18" s="1718" t="str">
        <f>rp_currency_symbol</f>
        <v>$</v>
      </c>
      <c r="J18" s="1721">
        <f>IF(OR(rp_discount_kh&lt;&gt;"",rp_discount_en&lt;&gt;""),ROUND((rp_discount_kh/rp_exchange_rate)+rp_discount_en,2),0)</f>
        <v>0</v>
      </c>
      <c r="K18" s="1696"/>
      <c r="L18" s="1404"/>
      <c r="M18" s="1405"/>
      <c r="N18" s="1425"/>
      <c r="O18" s="1426"/>
      <c r="S18" s="2035"/>
      <c r="T18" s="2036"/>
      <c r="U18" s="2036"/>
      <c r="V18" s="2036"/>
      <c r="W18" s="2037"/>
      <c r="X18" s="1424"/>
      <c r="Z18" s="1762" t="s">
        <v>3418</v>
      </c>
      <c r="AA18" s="1763">
        <f>IF(rp_invoice_no="","",VLOOKUP(rp_invoice_code,[1]SaleInvoiceData!$E$8:$AI$10000,6,FALSE))</f>
        <v>1</v>
      </c>
      <c r="AB18" s="163"/>
      <c r="AC18" s="163"/>
      <c r="AD18" s="147"/>
      <c r="AE18" s="168">
        <f t="shared" si="0"/>
        <v>206</v>
      </c>
      <c r="AF18" s="873" t="str">
        <v>CI2026-0206</v>
      </c>
      <c r="AG18" s="168" t="str" cm="1">
        <f t="array" ref="AG18:AH18">IF(AF18="","",_xlfn.TEXTSPLIT(AF18,"-"))</f>
        <v>CI2026</v>
      </c>
      <c r="AH18" s="873" t="str">
        <v>0206</v>
      </c>
    </row>
    <row r="19" spans="1:34" s="1403" customFormat="1" ht="29.1" customHeight="1">
      <c r="A19" s="1402"/>
      <c r="B19" s="1700"/>
      <c r="C19" s="168"/>
      <c r="D19" s="168"/>
      <c r="E19" s="766"/>
      <c r="F19" s="766"/>
      <c r="G19" s="766"/>
      <c r="H19" s="1720" t="s">
        <v>3382</v>
      </c>
      <c r="I19" s="1718" t="str">
        <f>rp_currency_symbol</f>
        <v>$</v>
      </c>
      <c r="J19" s="1721">
        <f>J9</f>
        <v>0</v>
      </c>
      <c r="K19" s="1696"/>
      <c r="L19" s="1404"/>
      <c r="M19" s="1405"/>
      <c r="N19" s="1363" t="s">
        <v>3399</v>
      </c>
      <c r="O19" s="1380"/>
      <c r="P19" s="2052" t="s">
        <v>3431</v>
      </c>
      <c r="Q19" s="2053"/>
      <c r="S19" s="2038"/>
      <c r="T19" s="2039"/>
      <c r="U19" s="2039"/>
      <c r="V19" s="2039"/>
      <c r="W19" s="2040"/>
      <c r="X19" s="1424"/>
      <c r="Z19" s="163"/>
      <c r="AA19" s="163"/>
      <c r="AB19" s="163"/>
      <c r="AC19" s="163"/>
      <c r="AD19" s="147"/>
      <c r="AE19" s="168">
        <f t="shared" si="0"/>
        <v>207</v>
      </c>
      <c r="AF19" s="873" t="str">
        <v>CI2026-0207</v>
      </c>
      <c r="AG19" s="168" t="str" cm="1">
        <f t="array" ref="AG19:AH19">IF(AF19="","",_xlfn.TEXTSPLIT(AF19,"-"))</f>
        <v>CI2026</v>
      </c>
      <c r="AH19" s="873" t="str">
        <v>0207</v>
      </c>
    </row>
    <row r="20" spans="1:34" s="1434" customFormat="1" ht="29.1" customHeight="1" thickBot="1">
      <c r="A20" s="1427"/>
      <c r="B20" s="1722"/>
      <c r="C20" s="168"/>
      <c r="D20" s="168"/>
      <c r="E20" s="1723"/>
      <c r="F20" s="766"/>
      <c r="G20" s="766"/>
      <c r="H20" s="1724" t="s">
        <v>3383</v>
      </c>
      <c r="I20" s="1725" t="str">
        <f>rp_currency_symbol</f>
        <v>$</v>
      </c>
      <c r="J20" s="1726">
        <f>J17-J18-J19</f>
        <v>0</v>
      </c>
      <c r="K20" s="1727"/>
      <c r="L20" s="1428"/>
      <c r="M20" s="1429"/>
      <c r="N20" s="1430"/>
      <c r="O20" s="1431"/>
      <c r="P20" s="1432"/>
      <c r="Q20" s="1432"/>
      <c r="R20" s="1432"/>
      <c r="S20" s="1432"/>
      <c r="T20" s="1432"/>
      <c r="U20" s="1432"/>
      <c r="V20" s="1432"/>
      <c r="W20" s="1432"/>
      <c r="X20" s="1433"/>
      <c r="Z20" s="255"/>
      <c r="AA20" s="255"/>
      <c r="AB20" s="255"/>
      <c r="AC20" s="255"/>
      <c r="AD20" s="34"/>
      <c r="AE20" s="168">
        <f t="shared" si="0"/>
        <v>208</v>
      </c>
      <c r="AF20" s="873" t="str">
        <v>CI2026-0208</v>
      </c>
      <c r="AG20" s="168" t="str" cm="1">
        <f t="array" ref="AG20:AH20">IF(AF20="","",_xlfn.TEXTSPLIT(AF20,"-"))</f>
        <v>CI2026</v>
      </c>
      <c r="AH20" s="873" t="str">
        <v>0208</v>
      </c>
    </row>
    <row r="21" spans="1:34" ht="12" customHeight="1" thickBot="1">
      <c r="A21" s="1435"/>
      <c r="B21" s="171"/>
      <c r="C21" s="1728"/>
      <c r="D21" s="1728"/>
      <c r="E21" s="1729"/>
      <c r="F21" s="1730"/>
      <c r="G21" s="1731"/>
      <c r="H21" s="1732"/>
      <c r="I21" s="1732"/>
      <c r="J21" s="1733"/>
      <c r="K21" s="165"/>
      <c r="Z21" s="129"/>
      <c r="AA21" s="129"/>
      <c r="AB21" s="129"/>
      <c r="AC21" s="129"/>
      <c r="AD21"/>
      <c r="AE21" s="168">
        <f t="shared" si="0"/>
        <v>209</v>
      </c>
      <c r="AF21" s="168" t="str">
        <v>CI2026-0209</v>
      </c>
      <c r="AG21" s="168" t="str" cm="1">
        <f t="array" ref="AG21:AH21">IF(AF21="","",_xlfn.TEXTSPLIT(AF21,"-"))</f>
        <v>CI2026</v>
      </c>
      <c r="AH21" s="168" t="str">
        <v>0209</v>
      </c>
    </row>
    <row r="22" spans="1:34" ht="30" customHeight="1">
      <c r="B22" s="47"/>
      <c r="C22"/>
      <c r="D22" s="13"/>
      <c r="E22" s="5"/>
      <c r="F22" s="5"/>
      <c r="G22" s="2"/>
      <c r="H22" s="1"/>
      <c r="I22" s="1"/>
      <c r="J22" s="1734"/>
      <c r="K22" s="166"/>
      <c r="M22" s="1662" t="s">
        <v>3388</v>
      </c>
      <c r="N22" s="1663"/>
      <c r="O22" s="1664" t="str">
        <f>rp_currency_symbol</f>
        <v>$</v>
      </c>
      <c r="P22" s="1665" t="e">
        <f>IF(rp_invoice_no="","",SUMIFS([1]SaleInvoiceData!$Y$8:$Y$10000,[1]SaleInvoiceData!$E$8:$E$10000,rp_invoice_code,[1]SaleInvoiceData!$AD$8:$AD$10000,"&gt;0"))</f>
        <v>#VALUE!</v>
      </c>
      <c r="Q22" s="1666"/>
      <c r="R22"/>
      <c r="S22" s="1667" t="s">
        <v>3405</v>
      </c>
      <c r="T22" s="1667" t="s">
        <v>86</v>
      </c>
      <c r="U22" s="1667"/>
      <c r="V22" s="1668" t="str">
        <f>rp_currency_symbol</f>
        <v>$</v>
      </c>
      <c r="W22" s="2025">
        <f>IF(rp_currency_id=1,ROUND((rp_amount_paid_kh/rp_exchange_rate)+rp_amount_paid_en,2),ROUND((rp_amount_paid_kh)+rp_amount_paid_en*rp_exchange_rate,2))</f>
        <v>30</v>
      </c>
      <c r="X22" s="2026"/>
      <c r="Z22" s="1764"/>
      <c r="AA22" s="1765"/>
      <c r="AB22"/>
      <c r="AC22"/>
      <c r="AD22"/>
      <c r="AE22" s="168">
        <f t="shared" si="0"/>
        <v>210</v>
      </c>
      <c r="AF22" s="168" t="str">
        <v>CI2026-0210</v>
      </c>
      <c r="AG22" s="168" t="str" cm="1">
        <f t="array" ref="AG22:AH22">IF(AF22="","",_xlfn.TEXTSPLIT(AF22,"-"))</f>
        <v>CI2026</v>
      </c>
      <c r="AH22" s="168" t="str">
        <v>0210</v>
      </c>
    </row>
    <row r="23" spans="1:34" ht="30" customHeight="1">
      <c r="B23" s="47"/>
      <c r="C23"/>
      <c r="D23" s="13"/>
      <c r="E23" s="5"/>
      <c r="F23" s="5"/>
      <c r="G23" s="2"/>
      <c r="H23" s="1"/>
      <c r="I23" s="1"/>
      <c r="J23" s="174"/>
      <c r="K23" s="166"/>
      <c r="M23" s="1669" t="s">
        <v>3389</v>
      </c>
      <c r="N23" s="1670"/>
      <c r="O23" s="1671" t="str">
        <f>rp_currency_symbol</f>
        <v>$</v>
      </c>
      <c r="P23" s="1672" t="e">
        <f>IF(rp_invoice_no="","",SUMIFS([1]SaleInvoiceData!$AB$8:$AB$10000,[1]SaleInvoiceData!$E$8:$E$10000,rp_invoice_code,[1]SaleInvoiceData!$AD$8:$AD$10000,"&gt;0"))</f>
        <v>#VALUE!</v>
      </c>
      <c r="Q23" s="1673"/>
      <c r="R23"/>
      <c r="S23" s="1667" t="s">
        <v>3403</v>
      </c>
      <c r="T23" s="1667" t="s">
        <v>86</v>
      </c>
      <c r="U23" s="1667"/>
      <c r="V23" s="1668" t="str">
        <f>rp_currency_symbol</f>
        <v>$</v>
      </c>
      <c r="W23" s="2025">
        <f>IF((rp_total_paid-rp_amount_due)&lt;0,0,rp_total_paid-(rp_amount_due-rp_discount_en))</f>
        <v>30</v>
      </c>
      <c r="X23" s="2026"/>
      <c r="Z23"/>
      <c r="AA23"/>
      <c r="AB23"/>
      <c r="AC23"/>
      <c r="AD23"/>
      <c r="AE23" s="168">
        <f t="shared" si="0"/>
        <v>211</v>
      </c>
      <c r="AF23" s="168" t="str">
        <v>CI2026-0211</v>
      </c>
      <c r="AG23" s="168" t="str" cm="1">
        <f t="array" ref="AG23:AH23">IF(AF23="","",_xlfn.TEXTSPLIT(AF23,"-"))</f>
        <v>CI2026</v>
      </c>
      <c r="AH23" s="168" t="str">
        <v>0211</v>
      </c>
    </row>
    <row r="24" spans="1:34" ht="30" customHeight="1">
      <c r="B24" s="47"/>
      <c r="C24"/>
      <c r="D24" s="13"/>
      <c r="E24" s="5"/>
      <c r="F24" s="5"/>
      <c r="G24" s="2"/>
      <c r="H24" s="2"/>
      <c r="I24" s="1"/>
      <c r="J24" s="174"/>
      <c r="K24" s="166"/>
      <c r="M24" s="1669" t="s">
        <v>3406</v>
      </c>
      <c r="N24" s="1670"/>
      <c r="O24" s="1671" t="str">
        <f>IF(rp_currency_id=1,"$",IF(rp_currency_id=2,"៛",""))</f>
        <v>$</v>
      </c>
      <c r="P24" s="1672" t="e">
        <f>IF(rp_invoice_no="","",SUMIFS([1]SaleInvoiceData!$Z$8:$Z$10000,[1]SaleInvoiceData!$E$8:$E$10000,rp_invoice_code,[1]SaleInvoiceData!$AD$8:$AD$10000,"&gt;0"))</f>
        <v>#VALUE!</v>
      </c>
      <c r="Q24" s="1673"/>
      <c r="R24"/>
      <c r="S24" s="1667"/>
      <c r="T24" s="1667"/>
      <c r="U24"/>
      <c r="V24" s="68"/>
      <c r="W24"/>
      <c r="X24"/>
      <c r="Z24"/>
      <c r="AA24"/>
      <c r="AB24" s="848"/>
      <c r="AC24"/>
      <c r="AD24"/>
      <c r="AE24" s="168">
        <f t="shared" si="0"/>
        <v>212</v>
      </c>
      <c r="AF24" s="168" t="str">
        <v>CI2026-0212</v>
      </c>
      <c r="AG24" s="168" t="str" cm="1">
        <f t="array" ref="AG24:AH24">IF(AF24="","",_xlfn.TEXTSPLIT(AF24,"-"))</f>
        <v>CI2026</v>
      </c>
      <c r="AH24" s="168" t="str">
        <v>0212</v>
      </c>
    </row>
    <row r="25" spans="1:34" ht="30" customHeight="1">
      <c r="B25" s="47"/>
      <c r="C25"/>
      <c r="D25" s="13"/>
      <c r="E25" s="5"/>
      <c r="F25" s="5"/>
      <c r="G25" s="2"/>
      <c r="H25" s="1"/>
      <c r="I25" s="174"/>
      <c r="J25" s="174"/>
      <c r="K25" s="166"/>
      <c r="M25" s="1669" t="s">
        <v>3400</v>
      </c>
      <c r="N25" s="1670"/>
      <c r="O25" s="1671" t="s">
        <v>699</v>
      </c>
      <c r="P25" s="1674" t="e">
        <f>IF(rp_invoice_no&lt;&gt;"",SUMIFS([1]SalesInvoiceReceipt!$R$8:$R$10000,[1]SalesInvoiceReceipt!$E$8:$E$10000,rp_invoice_code,[1]SalesInvoiceReceipt!$AA$8:$AA$10000,0),0)</f>
        <v>#VALUE!</v>
      </c>
      <c r="Q25" s="1675"/>
      <c r="R25"/>
      <c r="S25" s="1676" t="s">
        <v>3404</v>
      </c>
      <c r="T25" s="1667" t="s">
        <v>86</v>
      </c>
      <c r="U25" s="1676"/>
      <c r="V25" s="1677" t="s">
        <v>697</v>
      </c>
      <c r="W25" s="2025">
        <f>IF(rp_currency_id=1,IF(rp_total_paid&gt;0,INT(rp_total_change),0),0)</f>
        <v>30</v>
      </c>
      <c r="X25" s="2026"/>
      <c r="Z25"/>
      <c r="AA25" s="848"/>
      <c r="AB25"/>
      <c r="AC25"/>
      <c r="AD25"/>
      <c r="AE25" s="168">
        <f t="shared" si="0"/>
        <v>213</v>
      </c>
      <c r="AF25" s="168" t="str">
        <v>CI2026-0213</v>
      </c>
      <c r="AG25" s="168" t="str" cm="1">
        <f t="array" ref="AG25:AH25">IF(AF25="","",_xlfn.TEXTSPLIT(AF25,"-"))</f>
        <v>CI2026</v>
      </c>
      <c r="AH25" s="168" t="str">
        <v>0213</v>
      </c>
    </row>
    <row r="26" spans="1:34" ht="30" customHeight="1">
      <c r="B26" s="47"/>
      <c r="C26" s="188" t="s">
        <v>73</v>
      </c>
      <c r="D26" s="177"/>
      <c r="E26" s="1694">
        <f>rp_current_date</f>
        <v>46286</v>
      </c>
      <c r="F26" s="288"/>
      <c r="G26" s="289"/>
      <c r="H26" s="1695" t="s">
        <v>164</v>
      </c>
      <c r="I26" s="2048" t="e">
        <f>RIGHT(YEAR(rp_current_date),2)&amp;"OR"&amp;"-"&amp;TEXT(rp_receipt_no,"000000")</f>
        <v>#VALUE!</v>
      </c>
      <c r="J26" s="2049"/>
      <c r="K26" s="175"/>
      <c r="M26" s="1669" t="s">
        <v>3401</v>
      </c>
      <c r="N26" s="1670"/>
      <c r="O26" s="1671" t="s">
        <v>697</v>
      </c>
      <c r="P26" s="1672" t="e">
        <f>IF(rp_invoice_no&lt;&gt;"",SUMIFS([1]SalesInvoiceReceipt!$Q$8:$Q$10000,[1]SalesInvoiceReceipt!$E$8:$E$10000,rp_invoice_code,[1]SalesInvoiceReceipt!$AA$8:$AA$10000,0),0)</f>
        <v>#VALUE!</v>
      </c>
      <c r="Q26" s="1675"/>
      <c r="R26"/>
      <c r="S26" s="1676" t="s">
        <v>3402</v>
      </c>
      <c r="T26" s="1667" t="s">
        <v>86</v>
      </c>
      <c r="U26" s="1676"/>
      <c r="V26" s="1678" t="s">
        <v>699</v>
      </c>
      <c r="W26" s="2042">
        <f>IF(rp_currency_id=1,ROUND(((rp_total_change-rp_amount_change_en)*rp_exchange_rate)/100,0)*100,ROUND(rp_total_change-rp_amount_change_en,0))</f>
        <v>0</v>
      </c>
      <c r="X26" s="2043"/>
      <c r="Z26" s="848"/>
      <c r="AA26" s="848"/>
      <c r="AB26"/>
      <c r="AC26"/>
      <c r="AD26"/>
      <c r="AE26" s="168">
        <f t="shared" si="0"/>
        <v>214</v>
      </c>
      <c r="AF26" s="168" t="str">
        <v>CI2026-0214</v>
      </c>
      <c r="AG26" s="168" t="str" cm="1">
        <f t="array" ref="AG26:AH26">IF(AF26="","",_xlfn.TEXTSPLIT(AF26,"-"))</f>
        <v>CI2026</v>
      </c>
      <c r="AH26" s="168" t="str">
        <v>0214</v>
      </c>
    </row>
    <row r="27" spans="1:34" ht="30" customHeight="1">
      <c r="B27" s="47"/>
      <c r="C27"/>
      <c r="D27" s="177"/>
      <c r="E27" s="1735"/>
      <c r="F27" s="290"/>
      <c r="G27" s="290"/>
      <c r="H27" s="1695" t="s">
        <v>80</v>
      </c>
      <c r="I27" s="1736" t="str">
        <f>rp_currency_symbol</f>
        <v>$</v>
      </c>
      <c r="J27" s="1737">
        <f>IF(AND(rp_amount_paid_kh="",rp_amount_paid_en=""),0,IF(rp_total_paid&gt;rp_amount_due,rp_amount_due-IF(rp_currency_id=1,rp_discount_kh/rp_exchange_rate+rp_discount_en,IF(rp_currency_id=2,rp_discount_kh+rp_discount_en*rp_exchange_rate,0)),rp_total_paid))</f>
        <v>0</v>
      </c>
      <c r="K27" s="166"/>
      <c r="M27" s="1669" t="s">
        <v>3391</v>
      </c>
      <c r="N27" s="1670"/>
      <c r="O27" s="1671" t="str">
        <f>rp_currency_symbol</f>
        <v>$</v>
      </c>
      <c r="P27" s="1672" t="e">
        <f>IF(rp_invoice_no="","",SUMIFS([1]SaleInvoiceData!$AA$8:$AA$10000,[1]SaleInvoiceData!$E$8:$E$10000,rp_invoice_code,[1]SaleInvoiceData!$AD$8:$AD$10000,"&gt;0"))</f>
        <v>#VALUE!</v>
      </c>
      <c r="Q27" s="1673"/>
      <c r="R27"/>
      <c r="S27" s="417"/>
      <c r="T27" s="1667"/>
      <c r="U27" s="1667"/>
      <c r="V27" s="1667"/>
      <c r="W27" s="1667"/>
      <c r="X27" s="1667"/>
      <c r="Z27"/>
      <c r="AA27"/>
      <c r="AB27"/>
      <c r="AC27"/>
      <c r="AD27"/>
      <c r="AE27" s="168">
        <f t="shared" si="0"/>
        <v>215</v>
      </c>
      <c r="AF27" s="168" t="str">
        <v>CI2026-0215</v>
      </c>
      <c r="AG27" s="168" t="str" cm="1">
        <f t="array" ref="AG27:AH27">IF(AF27="","",_xlfn.TEXTSPLIT(AF27,"-"))</f>
        <v>CI2026</v>
      </c>
      <c r="AH27" s="168" t="str">
        <v>0215</v>
      </c>
    </row>
    <row r="28" spans="1:34" s="1377" customFormat="1" ht="30" customHeight="1">
      <c r="A28" s="1391"/>
      <c r="B28" s="170"/>
      <c r="C28" s="188" t="s">
        <v>166</v>
      </c>
      <c r="D28" s="177"/>
      <c r="E28" s="1738" t="str">
        <f>IFERROR(IF(AND(VLOOKUP(rp_customer_id,customer_list,2,FALSE)&lt;&gt;"",VLOOKUP(rp_customer_id,customer_list,4,FALSE)&lt;&gt;""),VLOOKUP(rp_customer_id,customer_list,2,FALSE)&amp; "_" &amp; VLOOKUP(rp_customer_id,customer_list,6,FALSE),""),"")</f>
        <v>CKS0000001_អតិថិជនទូទៅ</v>
      </c>
      <c r="F28" s="1739"/>
      <c r="G28" s="1740"/>
      <c r="H28" s="1741"/>
      <c r="I28" s="1741"/>
      <c r="J28" s="1704"/>
      <c r="K28" s="159"/>
      <c r="L28" s="1391"/>
      <c r="M28" s="1669" t="s">
        <v>3390</v>
      </c>
      <c r="N28" s="1670"/>
      <c r="O28" s="1671" t="str">
        <f>rp_currency_symbol</f>
        <v>$</v>
      </c>
      <c r="P28" s="1672" t="e">
        <f>IF(rp_invoice_no="","",SUMIFS([1]SaleInvoiceData!$AC$8:$AC$10000,[1]SaleInvoiceData!$E$8:$E$10000,rp_invoice_code,[1]SaleInvoiceData!$AD$8:$AD$10000,"&gt;0"))</f>
        <v>#VALUE!</v>
      </c>
      <c r="Q28" s="1673"/>
      <c r="R28" s="3"/>
      <c r="S28" s="1679" t="s">
        <v>3403</v>
      </c>
      <c r="T28" s="1680" t="s">
        <v>86</v>
      </c>
      <c r="U28" s="2031" t="str">
        <f>TEXT(rp_amount_change_en, "#,##0")&amp;" ដុល្លា និង "&amp;TEXT(rp_amount_change_kh, "#,##0")&amp;" រៀល"</f>
        <v>30 ដុល្លា និង 0 រៀល</v>
      </c>
      <c r="V28" s="2031"/>
      <c r="W28" s="2031"/>
      <c r="X28" s="2031"/>
      <c r="Z28" s="3"/>
      <c r="AA28" s="3"/>
      <c r="AB28" s="3"/>
      <c r="AC28" s="3"/>
      <c r="AD28" s="3"/>
      <c r="AE28" s="168">
        <f t="shared" si="0"/>
        <v>216</v>
      </c>
      <c r="AF28" s="168" t="str">
        <v>CI2026-0216</v>
      </c>
      <c r="AG28" s="168" t="str" cm="1">
        <f t="array" ref="AG28:AH28">IF(AF28="","",_xlfn.TEXTSPLIT(AF28,"-"))</f>
        <v>CI2026</v>
      </c>
      <c r="AH28" s="168" t="str">
        <v>0216</v>
      </c>
    </row>
    <row r="29" spans="1:34" s="1377" customFormat="1" ht="27.95" customHeight="1">
      <c r="A29" s="1391"/>
      <c r="B29" s="170"/>
      <c r="C29" s="3"/>
      <c r="D29" s="13"/>
      <c r="E29" s="1742" t="str">
        <f>IFERROR(IF(VLOOKUP(rp_customer_id,customer_list,7,FALSE)="","",VLOOKUP(rp_customer_id,customer_list,7,FALSE))&amp;IF(VLOOKUP(rp_customer_id,customer_list,9,FALSE)="","",", "&amp;VLOOKUP(rp_customer_id,customer_list,9,FALSE))&amp;IF(VLOOKUP(rp_customer_id,customer_list,7,FALSE)="","",", (Telegram : "&amp;VLOOKUP(rp_customer_id,customer_list,7,FALSE)&amp;")"),"")</f>
        <v/>
      </c>
      <c r="F29" s="1742"/>
      <c r="G29" s="1743"/>
      <c r="H29" s="1744"/>
      <c r="I29" s="1744"/>
      <c r="J29" s="1745"/>
      <c r="K29" s="159"/>
      <c r="L29" s="1391"/>
      <c r="M29" s="1669" t="s">
        <v>3393</v>
      </c>
      <c r="N29" s="1670"/>
      <c r="O29" s="1671" t="s">
        <v>699</v>
      </c>
      <c r="P29" s="1681">
        <f>IF(rp_invoice_no="","",VLOOKUP(rp_invoice_code,[1]SaleInvoiceData!$E$8:$AI$10000,16,FALSE))</f>
        <v>4026</v>
      </c>
      <c r="Q29" s="1653">
        <f>IF(OR(ISNA(VLOOKUP(rp_invoice_code,[1]SaleInvoiceData!$E$8:$AI$10000,2,FALSE)),rp_invoice_no=""),"",VLOOKUP(rp_invoice_code,[1]SaleInvoiceData!$E$8:$AI$10000,2,FALSE))</f>
        <v>46174</v>
      </c>
      <c r="R29" s="3"/>
      <c r="S29" s="3"/>
      <c r="T29" s="3"/>
      <c r="U29" s="3"/>
      <c r="V29" s="3"/>
      <c r="W29" s="3"/>
      <c r="X29" s="3"/>
      <c r="Z29" s="3"/>
      <c r="AA29" s="3"/>
      <c r="AB29" s="3"/>
      <c r="AC29" s="3"/>
      <c r="AD29" s="3"/>
      <c r="AE29" s="168">
        <f t="shared" si="0"/>
        <v>217</v>
      </c>
      <c r="AF29" s="168" t="str">
        <v>CI2026-0217</v>
      </c>
      <c r="AG29" s="168" t="str" cm="1">
        <f t="array" ref="AG29:AH29">IF(AF29="","",_xlfn.TEXTSPLIT(AF29,"-"))</f>
        <v>CI2026</v>
      </c>
      <c r="AH29" s="168" t="str">
        <v>0217</v>
      </c>
    </row>
    <row r="30" spans="1:34" s="1377" customFormat="1" ht="27.95" customHeight="1">
      <c r="A30" s="1391"/>
      <c r="B30" s="170"/>
      <c r="C30" s="188" t="s">
        <v>3387</v>
      </c>
      <c r="D30" s="177"/>
      <c r="E30" s="1742" t="str" cm="1">
        <f t="array" ref="E30">IF(J27&gt;0,IF(rp_currency_id=1,SpellNumber(J27),IF(rp_currency_id=2,SpellKhNumber(J27),"")),"")</f>
        <v/>
      </c>
      <c r="F30" s="1742"/>
      <c r="G30" s="1746"/>
      <c r="H30" s="1747"/>
      <c r="I30" s="1747"/>
      <c r="J30" s="1709"/>
      <c r="K30" s="159"/>
      <c r="L30" s="1391"/>
      <c r="M30" s="1391"/>
      <c r="O30" s="1438"/>
      <c r="Z30" s="3"/>
      <c r="AA30" s="3"/>
      <c r="AB30" s="3"/>
      <c r="AC30" s="3"/>
      <c r="AD30" s="3"/>
      <c r="AE30" s="168">
        <f t="shared" si="0"/>
        <v>218</v>
      </c>
      <c r="AF30" s="168" t="str">
        <v>CI2026-0218</v>
      </c>
      <c r="AG30" s="168" t="str" cm="1">
        <f t="array" ref="AG30:AH30">IF(AF30="","",_xlfn.TEXTSPLIT(AF30,"-"))</f>
        <v>CI2026</v>
      </c>
      <c r="AH30" s="168" t="str">
        <v>0218</v>
      </c>
    </row>
    <row r="31" spans="1:34" s="1377" customFormat="1" ht="27.95" customHeight="1">
      <c r="A31" s="1391"/>
      <c r="B31" s="170"/>
      <c r="C31" s="188" t="s">
        <v>169</v>
      </c>
      <c r="D31" s="177"/>
      <c r="E31" s="1748" t="str">
        <f>IF(rp_invoice_code="","",rp_invoice_code)</f>
        <v>CI2026-0192</v>
      </c>
      <c r="F31" s="1749"/>
      <c r="G31" s="1749"/>
      <c r="H31" s="225" t="s">
        <v>3392</v>
      </c>
      <c r="I31" s="195"/>
      <c r="J31" s="188" t="s">
        <v>165</v>
      </c>
      <c r="K31" s="159"/>
      <c r="L31" s="1391"/>
      <c r="M31" s="1391"/>
      <c r="N31" s="1438"/>
      <c r="O31" s="929"/>
      <c r="Z31" s="3"/>
      <c r="AA31" s="3"/>
      <c r="AB31" s="3"/>
      <c r="AC31" s="3"/>
      <c r="AD31" s="3"/>
      <c r="AE31" s="168">
        <f t="shared" si="0"/>
        <v>219</v>
      </c>
      <c r="AF31" s="168" t="str">
        <v>CI2026-0219</v>
      </c>
      <c r="AG31" s="168" t="str" cm="1">
        <f t="array" ref="AG31:AH31">IF(AF31="","",_xlfn.TEXTSPLIT(AF31,"-"))</f>
        <v>CI2026</v>
      </c>
      <c r="AH31" s="168" t="str">
        <v>0219</v>
      </c>
    </row>
    <row r="32" spans="1:34" s="1377" customFormat="1" ht="27.95" customHeight="1">
      <c r="A32" s="1391"/>
      <c r="B32" s="170"/>
      <c r="C32" s="188" t="s">
        <v>74</v>
      </c>
      <c r="D32" s="209"/>
      <c r="E32" s="2044" t="str">
        <f>IF(S18="","",S18)</f>
        <v/>
      </c>
      <c r="F32" s="2044"/>
      <c r="G32" s="2044"/>
      <c r="H32" s="1715"/>
      <c r="I32" s="179"/>
      <c r="J32" s="188" t="s">
        <v>3409</v>
      </c>
      <c r="K32" s="159"/>
      <c r="L32" s="1391"/>
      <c r="M32" s="1391"/>
      <c r="N32" s="1438"/>
      <c r="O32" s="929"/>
      <c r="Z32" s="3"/>
      <c r="AA32" s="3"/>
      <c r="AB32" s="3"/>
      <c r="AC32" s="3"/>
      <c r="AD32" s="3"/>
      <c r="AE32" s="168">
        <f t="shared" si="0"/>
        <v>220</v>
      </c>
      <c r="AF32" s="168" t="str">
        <v>CI2026-0220</v>
      </c>
      <c r="AG32" s="168" t="str" cm="1">
        <f t="array" ref="AG32:AH32">IF(AF32="","",_xlfn.TEXTSPLIT(AF32,"-"))</f>
        <v>CI2026</v>
      </c>
      <c r="AH32" s="168" t="str">
        <v>0220</v>
      </c>
    </row>
    <row r="33" spans="1:34" ht="30" customHeight="1">
      <c r="B33" s="47"/>
      <c r="C33" s="1750"/>
      <c r="D33" s="291"/>
      <c r="E33" s="2045"/>
      <c r="F33" s="2045"/>
      <c r="G33" s="2045"/>
      <c r="H33" s="1715"/>
      <c r="I33" s="179"/>
      <c r="J33" s="1716" t="s">
        <v>168</v>
      </c>
      <c r="K33" s="166"/>
      <c r="Z33"/>
      <c r="AA33"/>
      <c r="AB33"/>
      <c r="AC33"/>
      <c r="AD33"/>
      <c r="AE33" s="168">
        <f t="shared" si="0"/>
        <v>221</v>
      </c>
      <c r="AF33" s="168" t="str">
        <v>CI2026-0221</v>
      </c>
      <c r="AG33" s="168" t="str" cm="1">
        <f t="array" ref="AG33:AH33">IF(AF33="","",_xlfn.TEXTSPLIT(AF33,"-"))</f>
        <v>CI2026</v>
      </c>
      <c r="AH33" s="168" t="str">
        <v>0221</v>
      </c>
    </row>
    <row r="34" spans="1:34" ht="30" customHeight="1">
      <c r="B34" s="47"/>
      <c r="C34" s="188" t="s">
        <v>167</v>
      </c>
      <c r="D34" s="177"/>
      <c r="E34" s="253" t="str">
        <f>IF(rp_invoice_no="","",MID(P19,5,100))</f>
        <v>ហឿត ចន្ត្រា</v>
      </c>
      <c r="F34" s="766"/>
      <c r="G34" s="766"/>
      <c r="H34" s="1717" t="s">
        <v>3408</v>
      </c>
      <c r="I34" s="1751" t="str">
        <f>rp_currency_symbol</f>
        <v>$</v>
      </c>
      <c r="J34" s="1752">
        <f>IFERROR(IF(AND(rp_total_balance_unpaid&gt;0,rp_invoice_no&lt;&gt;""),rp_total_balance_unpaid,0),0)</f>
        <v>0</v>
      </c>
      <c r="K34" s="166"/>
      <c r="Z34"/>
      <c r="AA34"/>
      <c r="AB34"/>
      <c r="AC34"/>
      <c r="AD34"/>
      <c r="AE34" s="168">
        <f t="shared" si="0"/>
        <v>222</v>
      </c>
      <c r="AF34" s="168" t="str">
        <v>CI2026-0222</v>
      </c>
      <c r="AG34" s="168" t="str" cm="1">
        <f t="array" ref="AG34:AH34">IF(AF34="","",_xlfn.TEXTSPLIT(AF34,"-"))</f>
        <v>CI2026</v>
      </c>
      <c r="AH34" s="168" t="str">
        <v>0222</v>
      </c>
    </row>
    <row r="35" spans="1:34" s="1439" customFormat="1" ht="30" customHeight="1">
      <c r="A35" s="1364"/>
      <c r="B35" s="47"/>
      <c r="C35" s="133"/>
      <c r="D35" s="133"/>
      <c r="E35" s="133"/>
      <c r="F35" s="766"/>
      <c r="G35" s="766"/>
      <c r="H35" s="1720" t="s">
        <v>3381</v>
      </c>
      <c r="I35" s="1751" t="str">
        <f>rp_currency_symbol</f>
        <v>$</v>
      </c>
      <c r="J35" s="1753">
        <f>IF(OR(rp_discount_kh&lt;&gt;"",rp_discount_en&lt;&gt;""),(rp_discount_kh/rp_exchange_rate)+rp_discount_en,0)</f>
        <v>0</v>
      </c>
      <c r="K35" s="166"/>
      <c r="L35" s="1364"/>
      <c r="M35" s="1364"/>
      <c r="N35" s="1436"/>
      <c r="O35" s="929"/>
      <c r="P35" s="1365"/>
      <c r="Q35" s="1365"/>
      <c r="R35" s="1365"/>
      <c r="S35" s="1365"/>
      <c r="T35" s="1365"/>
      <c r="U35" s="1365"/>
      <c r="V35" s="1365"/>
      <c r="W35" s="1365"/>
      <c r="Z35" s="133"/>
      <c r="AA35" s="133"/>
      <c r="AB35" s="133"/>
      <c r="AC35" s="133"/>
      <c r="AD35" s="133"/>
      <c r="AE35" s="168">
        <f t="shared" si="0"/>
        <v>223</v>
      </c>
      <c r="AF35" s="168" t="str">
        <v>CI2026-0223</v>
      </c>
      <c r="AG35" s="168" t="str" cm="1">
        <f t="array" ref="AG35:AH35">IF(AF35="","",_xlfn.TEXTSPLIT(AF35,"-"))</f>
        <v>CI2026</v>
      </c>
      <c r="AH35" s="168" t="str">
        <v>0223</v>
      </c>
    </row>
    <row r="36" spans="1:34" s="1439" customFormat="1" ht="30" customHeight="1">
      <c r="A36" s="1364"/>
      <c r="B36" s="47"/>
      <c r="C36" s="188"/>
      <c r="D36" s="209"/>
      <c r="E36" s="766"/>
      <c r="F36" s="766"/>
      <c r="G36" s="766"/>
      <c r="H36" s="1720" t="s">
        <v>3382</v>
      </c>
      <c r="I36" s="1751" t="str">
        <f>rp_currency_symbol</f>
        <v>$</v>
      </c>
      <c r="J36" s="1753">
        <f>J27</f>
        <v>0</v>
      </c>
      <c r="K36" s="166"/>
      <c r="L36" s="1364"/>
      <c r="M36" s="1364"/>
      <c r="N36" s="1436"/>
      <c r="O36" s="929"/>
      <c r="P36" s="1365"/>
      <c r="Q36" s="1365"/>
      <c r="R36" s="1365"/>
      <c r="S36" s="1365"/>
      <c r="T36" s="1365"/>
      <c r="U36" s="1365"/>
      <c r="V36" s="1365"/>
      <c r="W36" s="1365"/>
      <c r="Z36" s="133"/>
      <c r="AA36" s="133"/>
      <c r="AB36" s="133"/>
      <c r="AC36" s="133"/>
      <c r="AD36" s="133"/>
      <c r="AE36" s="168">
        <f t="shared" si="0"/>
        <v>224</v>
      </c>
      <c r="AF36" s="168" t="str">
        <v>CI2026-0224</v>
      </c>
      <c r="AG36" s="168" t="str" cm="1">
        <f t="array" ref="AG36:AH36">IF(AF36="","",_xlfn.TEXTSPLIT(AF36,"-"))</f>
        <v>CI2026</v>
      </c>
      <c r="AH36" s="168" t="str">
        <v>0224</v>
      </c>
    </row>
    <row r="37" spans="1:34" s="1439" customFormat="1" ht="30" customHeight="1">
      <c r="A37" s="1364"/>
      <c r="B37" s="47"/>
      <c r="C37" s="168"/>
      <c r="D37" s="168"/>
      <c r="E37" s="1723"/>
      <c r="F37" s="766"/>
      <c r="G37" s="766"/>
      <c r="H37" s="1724" t="s">
        <v>3383</v>
      </c>
      <c r="I37" s="1754" t="str">
        <f>rp_currency_symbol</f>
        <v>$</v>
      </c>
      <c r="J37" s="1755">
        <f>IFERROR(N(J34)-N(J35)-N(J36),"")</f>
        <v>0</v>
      </c>
      <c r="K37" s="166"/>
      <c r="L37" s="1364"/>
      <c r="M37" s="1364"/>
      <c r="N37" s="1436"/>
      <c r="O37" s="929"/>
      <c r="P37" s="1365"/>
      <c r="Q37" s="1365"/>
      <c r="R37" s="1365"/>
      <c r="S37" s="1365"/>
      <c r="T37" s="1365"/>
      <c r="U37" s="1365"/>
      <c r="V37" s="1365"/>
      <c r="W37" s="1365"/>
      <c r="Z37" s="133"/>
      <c r="AA37" s="133"/>
      <c r="AB37" s="133"/>
      <c r="AC37" s="133"/>
      <c r="AD37" s="133"/>
      <c r="AE37" s="168">
        <f t="shared" si="0"/>
        <v>225</v>
      </c>
      <c r="AF37" s="168" t="str">
        <v>CI2026-0225</v>
      </c>
      <c r="AG37" s="168" t="str" cm="1">
        <f t="array" ref="AG37:AH37">IF(AF37="","",_xlfn.TEXTSPLIT(AF37,"-"))</f>
        <v>CI2026</v>
      </c>
      <c r="AH37" s="168" t="str">
        <v>0225</v>
      </c>
    </row>
    <row r="38" spans="1:34" s="1439" customFormat="1" ht="24" customHeight="1">
      <c r="A38" s="1364"/>
      <c r="B38" s="1364"/>
      <c r="C38" s="1382"/>
      <c r="D38" s="1440"/>
      <c r="E38" s="1382"/>
      <c r="F38" s="1382"/>
      <c r="G38" s="1441"/>
      <c r="H38" s="1442"/>
      <c r="I38" s="1442"/>
      <c r="J38" s="941"/>
      <c r="K38" s="1437"/>
      <c r="L38" s="1364"/>
      <c r="M38" s="1364"/>
      <c r="N38" s="1436"/>
      <c r="O38" s="929"/>
      <c r="P38" s="1365"/>
      <c r="Q38" s="1365"/>
      <c r="R38" s="1365"/>
      <c r="S38" s="1365"/>
      <c r="T38" s="1365"/>
      <c r="U38" s="1365"/>
      <c r="V38" s="1365"/>
      <c r="W38" s="1365"/>
      <c r="Z38" s="133"/>
      <c r="AA38" s="133"/>
      <c r="AB38" s="133"/>
      <c r="AC38" s="133"/>
      <c r="AD38" s="133"/>
      <c r="AE38" s="168">
        <f t="shared" si="0"/>
        <v>226</v>
      </c>
      <c r="AF38" s="168" t="str">
        <v>CI2026-0226</v>
      </c>
      <c r="AG38" s="168" t="str" cm="1">
        <f t="array" ref="AG38:AH38">IF(AF38="","",_xlfn.TEXTSPLIT(AF38,"-"))</f>
        <v>CI2026</v>
      </c>
      <c r="AH38" s="168" t="str">
        <v>0226</v>
      </c>
    </row>
    <row r="39" spans="1:34" s="1439" customFormat="1" ht="24" customHeight="1">
      <c r="A39" s="1364"/>
      <c r="B39" s="1364"/>
      <c r="C39" s="1382"/>
      <c r="D39" s="1440"/>
      <c r="E39" s="1382"/>
      <c r="F39" s="1382"/>
      <c r="G39" s="1441"/>
      <c r="H39" s="1442"/>
      <c r="I39" s="1442"/>
      <c r="J39" s="941"/>
      <c r="K39" s="1437"/>
      <c r="L39" s="1364"/>
      <c r="M39" s="1364"/>
      <c r="N39" s="1436"/>
      <c r="O39" s="929"/>
      <c r="P39" s="1365"/>
      <c r="Q39" s="1365"/>
      <c r="R39" s="1365"/>
      <c r="S39" s="1365"/>
      <c r="T39" s="1365"/>
      <c r="U39" s="1365"/>
      <c r="V39" s="1365"/>
      <c r="W39" s="1365"/>
      <c r="Z39" s="133"/>
      <c r="AA39" s="133"/>
      <c r="AB39" s="133"/>
      <c r="AC39" s="133"/>
      <c r="AD39" s="133"/>
      <c r="AE39" s="168">
        <f t="shared" si="0"/>
        <v>227</v>
      </c>
      <c r="AF39" s="168" t="str">
        <v>CI2026-0227</v>
      </c>
      <c r="AG39" s="168" t="str" cm="1">
        <f t="array" ref="AG39:AH39">IF(AF39="","",_xlfn.TEXTSPLIT(AF39,"-"))</f>
        <v>CI2026</v>
      </c>
      <c r="AH39" s="168" t="str">
        <v>0227</v>
      </c>
    </row>
    <row r="40" spans="1:34" s="1439" customFormat="1" ht="24" customHeight="1">
      <c r="A40" s="1364"/>
      <c r="B40" s="1364"/>
      <c r="C40" s="1382"/>
      <c r="D40" s="1440"/>
      <c r="E40" s="1382"/>
      <c r="F40" s="1382"/>
      <c r="G40" s="1441"/>
      <c r="H40" s="1442"/>
      <c r="I40" s="1442"/>
      <c r="J40" s="941"/>
      <c r="K40" s="1437"/>
      <c r="L40" s="1364"/>
      <c r="M40" s="1364"/>
      <c r="N40" s="1436"/>
      <c r="O40" s="929"/>
      <c r="P40" s="1365"/>
      <c r="Q40" s="1365"/>
      <c r="R40" s="1365"/>
      <c r="S40" s="1365"/>
      <c r="T40" s="1365"/>
      <c r="U40" s="1365"/>
      <c r="V40" s="1365"/>
      <c r="W40" s="1365"/>
      <c r="Z40" s="133"/>
      <c r="AA40" s="133"/>
      <c r="AB40" s="133"/>
      <c r="AC40" s="133"/>
      <c r="AD40" s="133"/>
      <c r="AE40" s="168">
        <f t="shared" si="0"/>
        <v>228</v>
      </c>
      <c r="AF40" s="168" t="str">
        <v>CI2026-0228</v>
      </c>
      <c r="AG40" s="168" t="str" cm="1">
        <f t="array" ref="AG40:AH40">IF(AF40="","",_xlfn.TEXTSPLIT(AF40,"-"))</f>
        <v>CI2026</v>
      </c>
      <c r="AH40" s="168" t="str">
        <v>0228</v>
      </c>
    </row>
    <row r="41" spans="1:34" s="1439" customFormat="1" ht="24" customHeight="1">
      <c r="A41" s="1364"/>
      <c r="B41" s="1364"/>
      <c r="C41" s="1382"/>
      <c r="D41" s="1440"/>
      <c r="E41" s="1382"/>
      <c r="F41" s="1382"/>
      <c r="G41" s="1441"/>
      <c r="H41" s="1442"/>
      <c r="I41" s="1442"/>
      <c r="J41" s="941"/>
      <c r="K41" s="1437"/>
      <c r="L41" s="1364"/>
      <c r="M41" s="1364"/>
      <c r="N41" s="1436"/>
      <c r="O41" s="929"/>
      <c r="P41" s="1365"/>
      <c r="Q41" s="1365"/>
      <c r="R41" s="1365"/>
      <c r="S41" s="1365"/>
      <c r="T41" s="1365"/>
      <c r="U41" s="1365"/>
      <c r="V41" s="1365"/>
      <c r="W41" s="1365"/>
      <c r="Z41" s="133"/>
      <c r="AA41" s="133"/>
      <c r="AB41" s="133"/>
      <c r="AC41" s="133"/>
      <c r="AD41" s="133"/>
      <c r="AE41" s="168">
        <f t="shared" si="0"/>
        <v>229</v>
      </c>
      <c r="AF41" s="168" t="str">
        <v>CI2026-0229</v>
      </c>
      <c r="AG41" s="168" t="str" cm="1">
        <f t="array" ref="AG41:AH41">IF(AF41="","",_xlfn.TEXTSPLIT(AF41,"-"))</f>
        <v>CI2026</v>
      </c>
      <c r="AH41" s="168" t="str">
        <v>0229</v>
      </c>
    </row>
    <row r="42" spans="1:34" s="1439" customFormat="1" ht="24" customHeight="1">
      <c r="A42" s="1364"/>
      <c r="B42" s="1364"/>
      <c r="C42" s="1382"/>
      <c r="D42" s="1440"/>
      <c r="E42" s="1382"/>
      <c r="F42" s="1382"/>
      <c r="G42" s="1441"/>
      <c r="H42" s="1442"/>
      <c r="I42" s="1442"/>
      <c r="J42" s="941"/>
      <c r="K42" s="1437"/>
      <c r="L42" s="1364"/>
      <c r="M42" s="1364"/>
      <c r="N42" s="1436"/>
      <c r="O42" s="929"/>
      <c r="P42" s="1365"/>
      <c r="Q42" s="1365"/>
      <c r="R42" s="1365"/>
      <c r="S42" s="1365"/>
      <c r="T42" s="1365"/>
      <c r="U42" s="1365"/>
      <c r="V42" s="1365"/>
      <c r="W42" s="1365"/>
      <c r="Z42" s="133"/>
      <c r="AA42" s="133"/>
      <c r="AB42" s="133"/>
      <c r="AC42" s="133"/>
      <c r="AD42" s="133"/>
      <c r="AE42" s="168">
        <f t="shared" si="0"/>
        <v>230</v>
      </c>
      <c r="AF42" s="168" t="str">
        <v>CI2026-0230</v>
      </c>
      <c r="AG42" s="168" t="str" cm="1">
        <f t="array" ref="AG42:AH42">IF(AF42="","",_xlfn.TEXTSPLIT(AF42,"-"))</f>
        <v>CI2026</v>
      </c>
      <c r="AH42" s="168" t="str">
        <v>0230</v>
      </c>
    </row>
    <row r="43" spans="1:34" s="1439" customFormat="1" ht="24" customHeight="1">
      <c r="A43" s="1364"/>
      <c r="B43" s="1364"/>
      <c r="C43" s="1382"/>
      <c r="D43" s="1440"/>
      <c r="E43" s="1382"/>
      <c r="F43" s="1382"/>
      <c r="G43" s="1441"/>
      <c r="H43" s="1442"/>
      <c r="I43" s="1442"/>
      <c r="J43" s="941"/>
      <c r="K43" s="1437"/>
      <c r="L43" s="1364"/>
      <c r="M43" s="1364"/>
      <c r="N43" s="1436"/>
      <c r="O43" s="929"/>
      <c r="P43" s="1365"/>
      <c r="Q43" s="1365"/>
      <c r="R43" s="1365"/>
      <c r="S43" s="1365"/>
      <c r="T43" s="1365"/>
      <c r="U43" s="1365"/>
      <c r="V43" s="1365"/>
      <c r="W43" s="1365"/>
      <c r="Z43" s="133"/>
      <c r="AA43" s="133"/>
      <c r="AB43" s="133"/>
      <c r="AC43" s="133"/>
      <c r="AD43" s="133"/>
      <c r="AE43" s="168">
        <f t="shared" si="0"/>
        <v>231</v>
      </c>
      <c r="AF43" s="168" t="str">
        <v>CI2026-0231</v>
      </c>
      <c r="AG43" s="168" t="str" cm="1">
        <f t="array" ref="AG43:AH43">IF(AF43="","",_xlfn.TEXTSPLIT(AF43,"-"))</f>
        <v>CI2026</v>
      </c>
      <c r="AH43" s="168" t="str">
        <v>0231</v>
      </c>
    </row>
    <row r="44" spans="1:34" s="1439" customFormat="1" ht="24" customHeight="1">
      <c r="A44" s="1364"/>
      <c r="B44" s="1364"/>
      <c r="C44" s="1382"/>
      <c r="D44" s="1440"/>
      <c r="E44" s="1382"/>
      <c r="F44" s="1382"/>
      <c r="G44" s="1441"/>
      <c r="H44" s="1442"/>
      <c r="I44" s="1442"/>
      <c r="J44" s="941"/>
      <c r="K44" s="1437"/>
      <c r="L44" s="1364"/>
      <c r="M44" s="1364"/>
      <c r="N44" s="1436"/>
      <c r="O44" s="929"/>
      <c r="P44" s="1365"/>
      <c r="Q44" s="1365"/>
      <c r="R44" s="1365"/>
      <c r="S44" s="1365"/>
      <c r="T44" s="1365"/>
      <c r="U44" s="1365"/>
      <c r="V44" s="1365"/>
      <c r="W44" s="1365"/>
      <c r="Z44" s="133"/>
      <c r="AA44" s="133"/>
      <c r="AB44" s="133"/>
      <c r="AC44" s="133"/>
      <c r="AD44" s="133"/>
      <c r="AE44" s="168">
        <f t="shared" si="0"/>
        <v>232</v>
      </c>
      <c r="AF44" s="168" t="str">
        <v>CI2026-0232</v>
      </c>
      <c r="AG44" s="168" t="str" cm="1">
        <f t="array" ref="AG44:AH44">IF(AF44="","",_xlfn.TEXTSPLIT(AF44,"-"))</f>
        <v>CI2026</v>
      </c>
      <c r="AH44" s="168" t="str">
        <v>0232</v>
      </c>
    </row>
    <row r="45" spans="1:34" ht="24" customHeight="1">
      <c r="Z45"/>
      <c r="AA45"/>
      <c r="AB45"/>
      <c r="AC45"/>
      <c r="AD45"/>
      <c r="AE45" s="168">
        <f t="shared" si="0"/>
        <v>233</v>
      </c>
      <c r="AF45" s="168" t="str">
        <v>CI2026-0233</v>
      </c>
      <c r="AG45" s="168" t="str" cm="1">
        <f t="array" ref="AG45:AH45">IF(AF45="","",_xlfn.TEXTSPLIT(AF45,"-"))</f>
        <v>CI2026</v>
      </c>
      <c r="AH45" s="168" t="str">
        <v>0233</v>
      </c>
    </row>
    <row r="46" spans="1:34" ht="24" customHeight="1">
      <c r="Z46"/>
      <c r="AA46"/>
      <c r="AB46"/>
      <c r="AC46"/>
      <c r="AD46"/>
      <c r="AE46" s="168">
        <f t="shared" si="0"/>
        <v>234</v>
      </c>
      <c r="AF46" s="168" t="str">
        <v>CI2026-0234</v>
      </c>
      <c r="AG46" s="168" t="str" cm="1">
        <f t="array" ref="AG46:AH46">IF(AF46="","",_xlfn.TEXTSPLIT(AF46,"-"))</f>
        <v>CI2026</v>
      </c>
      <c r="AH46" s="168" t="str">
        <v>0234</v>
      </c>
    </row>
    <row r="47" spans="1:34" ht="24" customHeight="1">
      <c r="Z47"/>
      <c r="AA47"/>
      <c r="AB47"/>
      <c r="AC47"/>
      <c r="AD47"/>
      <c r="AE47" s="168">
        <f t="shared" si="0"/>
        <v>235</v>
      </c>
      <c r="AF47" s="168" t="str">
        <v>CI2026-0235</v>
      </c>
      <c r="AG47" s="168" t="str" cm="1">
        <f t="array" ref="AG47:AH47">IF(AF47="","",_xlfn.TEXTSPLIT(AF47,"-"))</f>
        <v>CI2026</v>
      </c>
      <c r="AH47" s="168" t="str">
        <v>0235</v>
      </c>
    </row>
    <row r="48" spans="1:34" ht="24" customHeight="1">
      <c r="Z48"/>
      <c r="AA48"/>
      <c r="AB48"/>
      <c r="AC48"/>
      <c r="AD48"/>
      <c r="AE48" s="168">
        <f t="shared" si="0"/>
        <v>236</v>
      </c>
      <c r="AF48" s="168" t="str">
        <v>CI2026-0236</v>
      </c>
      <c r="AG48" s="168" t="str" cm="1">
        <f t="array" ref="AG48:AH48">IF(AF48="","",_xlfn.TEXTSPLIT(AF48,"-"))</f>
        <v>CI2026</v>
      </c>
      <c r="AH48" s="168" t="str">
        <v>0236</v>
      </c>
    </row>
    <row r="49" spans="26:34" ht="24" customHeight="1">
      <c r="Z49"/>
      <c r="AA49"/>
      <c r="AB49"/>
      <c r="AC49"/>
      <c r="AD49"/>
      <c r="AE49" s="168">
        <f t="shared" si="0"/>
        <v>237</v>
      </c>
      <c r="AF49" s="168" t="str">
        <v>CI2026-0237</v>
      </c>
      <c r="AG49" s="168" t="str" cm="1">
        <f t="array" ref="AG49:AH49">IF(AF49="","",_xlfn.TEXTSPLIT(AF49,"-"))</f>
        <v>CI2026</v>
      </c>
      <c r="AH49" s="168" t="str">
        <v>0237</v>
      </c>
    </row>
    <row r="50" spans="26:34" ht="24" customHeight="1">
      <c r="Z50"/>
      <c r="AA50"/>
      <c r="AB50"/>
      <c r="AC50"/>
      <c r="AD50"/>
      <c r="AE50" s="168">
        <f t="shared" si="0"/>
        <v>238</v>
      </c>
      <c r="AF50" s="168" t="str">
        <v>CI2026-0238</v>
      </c>
      <c r="AG50" s="168" t="str" cm="1">
        <f t="array" ref="AG50:AH50">IF(AF50="","",_xlfn.TEXTSPLIT(AF50,"-"))</f>
        <v>CI2026</v>
      </c>
      <c r="AH50" s="168" t="str">
        <v>0238</v>
      </c>
    </row>
    <row r="51" spans="26:34" ht="24" customHeight="1">
      <c r="Z51"/>
      <c r="AA51"/>
      <c r="AB51"/>
      <c r="AC51"/>
      <c r="AD51"/>
      <c r="AE51" s="168">
        <f t="shared" si="0"/>
        <v>239</v>
      </c>
      <c r="AF51" s="168" t="str">
        <v>CI2026-0239</v>
      </c>
      <c r="AG51" s="168" t="str" cm="1">
        <f t="array" ref="AG51:AH51">IF(AF51="","",_xlfn.TEXTSPLIT(AF51,"-"))</f>
        <v>CI2026</v>
      </c>
      <c r="AH51" s="168" t="str">
        <v>0239</v>
      </c>
    </row>
    <row r="52" spans="26:34" ht="24" customHeight="1">
      <c r="Z52"/>
      <c r="AA52"/>
      <c r="AB52"/>
      <c r="AC52"/>
      <c r="AD52"/>
      <c r="AE52" s="168">
        <f t="shared" si="0"/>
        <v>240</v>
      </c>
      <c r="AF52" s="168" t="str">
        <v>CI2026-0240</v>
      </c>
      <c r="AG52" s="168" t="str" cm="1">
        <f t="array" ref="AG52:AH52">IF(AF52="","",_xlfn.TEXTSPLIT(AF52,"-"))</f>
        <v>CI2026</v>
      </c>
      <c r="AH52" s="168" t="str">
        <v>0240</v>
      </c>
    </row>
    <row r="53" spans="26:34" ht="24" customHeight="1">
      <c r="Z53"/>
      <c r="AA53"/>
      <c r="AB53"/>
      <c r="AC53"/>
      <c r="AD53"/>
      <c r="AE53" s="168">
        <f t="shared" si="0"/>
        <v>241</v>
      </c>
      <c r="AF53" s="168" t="str">
        <v>CI2026-0241</v>
      </c>
      <c r="AG53" s="168" t="str" cm="1">
        <f t="array" ref="AG53:AH53">IF(AF53="","",_xlfn.TEXTSPLIT(AF53,"-"))</f>
        <v>CI2026</v>
      </c>
      <c r="AH53" s="168" t="str">
        <v>0241</v>
      </c>
    </row>
    <row r="54" spans="26:34" ht="24" customHeight="1">
      <c r="Z54"/>
      <c r="AA54"/>
      <c r="AB54"/>
      <c r="AC54"/>
      <c r="AD54"/>
      <c r="AE54" s="168">
        <f t="shared" si="0"/>
        <v>242</v>
      </c>
      <c r="AF54" s="168" t="str">
        <v>CI2026-0242</v>
      </c>
      <c r="AG54" s="168" t="str" cm="1">
        <f t="array" ref="AG54:AH54">IF(AF54="","",_xlfn.TEXTSPLIT(AF54,"-"))</f>
        <v>CI2026</v>
      </c>
      <c r="AH54" s="168" t="str">
        <v>0242</v>
      </c>
    </row>
    <row r="55" spans="26:34" ht="24" customHeight="1">
      <c r="Z55"/>
      <c r="AA55"/>
      <c r="AB55"/>
      <c r="AC55"/>
      <c r="AD55"/>
      <c r="AE55" s="168">
        <f t="shared" si="0"/>
        <v>243</v>
      </c>
      <c r="AF55" s="168" t="str">
        <v>CI2026-0243</v>
      </c>
      <c r="AG55" s="168" t="str" cm="1">
        <f t="array" ref="AG55:AH55">IF(AF55="","",_xlfn.TEXTSPLIT(AF55,"-"))</f>
        <v>CI2026</v>
      </c>
      <c r="AH55" s="168" t="str">
        <v>0243</v>
      </c>
    </row>
    <row r="56" spans="26:34" ht="24" customHeight="1">
      <c r="Z56"/>
      <c r="AA56"/>
      <c r="AB56"/>
      <c r="AC56"/>
      <c r="AD56"/>
      <c r="AE56" s="168">
        <f t="shared" si="0"/>
        <v>244</v>
      </c>
      <c r="AF56" s="168" t="str">
        <v>CI2026-0244</v>
      </c>
      <c r="AG56" s="168" t="str" cm="1">
        <f t="array" ref="AG56:AH56">IF(AF56="","",_xlfn.TEXTSPLIT(AF56,"-"))</f>
        <v>CI2026</v>
      </c>
      <c r="AH56" s="168" t="str">
        <v>0244</v>
      </c>
    </row>
    <row r="57" spans="26:34" ht="24" customHeight="1">
      <c r="Z57"/>
      <c r="AA57"/>
      <c r="AB57"/>
      <c r="AC57"/>
      <c r="AD57"/>
      <c r="AE57" s="168">
        <f t="shared" si="0"/>
        <v>245</v>
      </c>
      <c r="AF57" s="168" t="str">
        <v>CI2026-0245</v>
      </c>
      <c r="AG57" s="168" t="str" cm="1">
        <f t="array" ref="AG57:AH57">IF(AF57="","",_xlfn.TEXTSPLIT(AF57,"-"))</f>
        <v>CI2026</v>
      </c>
      <c r="AH57" s="168" t="str">
        <v>0245</v>
      </c>
    </row>
    <row r="58" spans="26:34" ht="24" customHeight="1">
      <c r="Z58"/>
      <c r="AA58"/>
      <c r="AB58"/>
      <c r="AC58"/>
      <c r="AD58"/>
      <c r="AE58" s="168">
        <f t="shared" si="0"/>
        <v>246</v>
      </c>
      <c r="AF58" s="168" t="str">
        <v>CI2026-0246</v>
      </c>
      <c r="AG58" s="168" t="str" cm="1">
        <f t="array" ref="AG58:AH58">IF(AF58="","",_xlfn.TEXTSPLIT(AF58,"-"))</f>
        <v>CI2026</v>
      </c>
      <c r="AH58" s="168" t="str">
        <v>0246</v>
      </c>
    </row>
    <row r="59" spans="26:34" ht="24" customHeight="1">
      <c r="Z59"/>
      <c r="AA59"/>
      <c r="AB59"/>
      <c r="AC59"/>
      <c r="AD59"/>
      <c r="AE59" s="168">
        <f t="shared" si="0"/>
        <v>247</v>
      </c>
      <c r="AF59" s="168" t="str">
        <v>CI2026-0247</v>
      </c>
      <c r="AG59" s="168" t="str" cm="1">
        <f t="array" ref="AG59:AH59">IF(AF59="","",_xlfn.TEXTSPLIT(AF59,"-"))</f>
        <v>CI2026</v>
      </c>
      <c r="AH59" s="168" t="str">
        <v>0247</v>
      </c>
    </row>
    <row r="60" spans="26:34" ht="24" customHeight="1">
      <c r="Z60"/>
      <c r="AA60"/>
      <c r="AB60"/>
      <c r="AC60"/>
      <c r="AD60"/>
      <c r="AE60" s="168">
        <f t="shared" si="0"/>
        <v>248</v>
      </c>
      <c r="AF60" s="168" t="str">
        <v>CI2026-0248</v>
      </c>
      <c r="AG60" s="168" t="str" cm="1">
        <f t="array" ref="AG60:AH60">IF(AF60="","",_xlfn.TEXTSPLIT(AF60,"-"))</f>
        <v>CI2026</v>
      </c>
      <c r="AH60" s="168" t="str">
        <v>0248</v>
      </c>
    </row>
    <row r="61" spans="26:34" ht="24" customHeight="1">
      <c r="Z61"/>
      <c r="AA61"/>
      <c r="AB61"/>
      <c r="AC61"/>
      <c r="AD61"/>
      <c r="AE61" s="168">
        <f t="shared" si="0"/>
        <v>249</v>
      </c>
      <c r="AF61" s="168" t="str">
        <v>CI2026-0249</v>
      </c>
      <c r="AG61" s="168" t="str" cm="1">
        <f t="array" ref="AG61:AH61">IF(AF61="","",_xlfn.TEXTSPLIT(AF61,"-"))</f>
        <v>CI2026</v>
      </c>
      <c r="AH61" s="168" t="str">
        <v>0249</v>
      </c>
    </row>
    <row r="62" spans="26:34" ht="24" customHeight="1">
      <c r="Z62"/>
      <c r="AA62"/>
      <c r="AB62"/>
      <c r="AC62"/>
      <c r="AD62"/>
      <c r="AE62" s="168">
        <f t="shared" si="0"/>
        <v>250</v>
      </c>
      <c r="AF62" s="168" t="str">
        <v>CI2026-0250</v>
      </c>
      <c r="AG62" s="168" t="str" cm="1">
        <f t="array" ref="AG62:AH62">IF(AF62="","",_xlfn.TEXTSPLIT(AF62,"-"))</f>
        <v>CI2026</v>
      </c>
      <c r="AH62" s="168" t="str">
        <v>0250</v>
      </c>
    </row>
    <row r="63" spans="26:34" ht="24" customHeight="1">
      <c r="Z63"/>
      <c r="AA63"/>
      <c r="AB63"/>
      <c r="AC63"/>
      <c r="AD63"/>
      <c r="AE63" s="168">
        <f t="shared" si="0"/>
        <v>251</v>
      </c>
      <c r="AF63" s="168" t="str">
        <v>CI2026-0251</v>
      </c>
      <c r="AG63" s="168" t="str" cm="1">
        <f t="array" ref="AG63:AH63">IF(AF63="","",_xlfn.TEXTSPLIT(AF63,"-"))</f>
        <v>CI2026</v>
      </c>
      <c r="AH63" s="168" t="str">
        <v>0251</v>
      </c>
    </row>
    <row r="64" spans="26:34" ht="24" customHeight="1">
      <c r="Z64"/>
      <c r="AA64"/>
      <c r="AB64"/>
      <c r="AC64"/>
      <c r="AD64"/>
      <c r="AE64" s="168">
        <f t="shared" si="0"/>
        <v>252</v>
      </c>
      <c r="AF64" s="168" t="str">
        <v>CI2026-0252</v>
      </c>
      <c r="AG64" s="168" t="str" cm="1">
        <f t="array" ref="AG64:AH64">IF(AF64="","",_xlfn.TEXTSPLIT(AF64,"-"))</f>
        <v>CI2026</v>
      </c>
      <c r="AH64" s="168" t="str">
        <v>0252</v>
      </c>
    </row>
    <row r="65" spans="26:34" ht="24" customHeight="1">
      <c r="Z65"/>
      <c r="AA65"/>
      <c r="AB65"/>
      <c r="AC65"/>
      <c r="AD65"/>
      <c r="AE65" s="168">
        <f t="shared" si="0"/>
        <v>253</v>
      </c>
      <c r="AF65" s="168" t="str">
        <v>CI2026-0253</v>
      </c>
      <c r="AG65" s="168" t="str" cm="1">
        <f t="array" ref="AG65:AH65">IF(AF65="","",_xlfn.TEXTSPLIT(AF65,"-"))</f>
        <v>CI2026</v>
      </c>
      <c r="AH65" s="168" t="str">
        <v>0253</v>
      </c>
    </row>
    <row r="66" spans="26:34" ht="24" customHeight="1">
      <c r="Z66"/>
      <c r="AA66"/>
      <c r="AB66"/>
      <c r="AC66"/>
      <c r="AD66"/>
      <c r="AE66" s="168">
        <f t="shared" si="0"/>
        <v>254</v>
      </c>
      <c r="AF66" s="168" t="str">
        <v>CI2026-0254</v>
      </c>
      <c r="AG66" s="168" t="str" cm="1">
        <f t="array" ref="AG66:AH66">IF(AF66="","",_xlfn.TEXTSPLIT(AF66,"-"))</f>
        <v>CI2026</v>
      </c>
      <c r="AH66" s="168" t="str">
        <v>0254</v>
      </c>
    </row>
    <row r="67" spans="26:34" ht="24" customHeight="1">
      <c r="Z67"/>
      <c r="AA67"/>
      <c r="AB67"/>
      <c r="AC67"/>
      <c r="AD67"/>
      <c r="AE67" s="168">
        <f t="shared" si="0"/>
        <v>255</v>
      </c>
      <c r="AF67" s="168" t="str">
        <v>CI2026-0255</v>
      </c>
      <c r="AG67" s="168" t="str" cm="1">
        <f t="array" ref="AG67:AH67">IF(AF67="","",_xlfn.TEXTSPLIT(AF67,"-"))</f>
        <v>CI2026</v>
      </c>
      <c r="AH67" s="168" t="str">
        <v>0255</v>
      </c>
    </row>
    <row r="68" spans="26:34" ht="24" customHeight="1">
      <c r="Z68"/>
      <c r="AA68"/>
      <c r="AB68"/>
      <c r="AC68"/>
      <c r="AD68"/>
      <c r="AE68" s="168">
        <f t="shared" si="0"/>
        <v>256</v>
      </c>
      <c r="AF68" s="168" t="str">
        <v>CI2026-0256</v>
      </c>
      <c r="AG68" s="168" t="str" cm="1">
        <f t="array" ref="AG68:AH68">IF(AF68="","",_xlfn.TEXTSPLIT(AF68,"-"))</f>
        <v>CI2026</v>
      </c>
      <c r="AH68" s="168" t="str">
        <v>0256</v>
      </c>
    </row>
    <row r="69" spans="26:34" ht="24" customHeight="1">
      <c r="Z69"/>
      <c r="AA69"/>
      <c r="AB69"/>
      <c r="AC69"/>
      <c r="AD69"/>
      <c r="AE69" s="168">
        <f t="shared" ref="AE69:AE132" si="1">IF(AH69="","",AH69*1)</f>
        <v>257</v>
      </c>
      <c r="AF69" s="168" t="str">
        <v>CI2026-0257</v>
      </c>
      <c r="AG69" s="168" t="str" cm="1">
        <f t="array" ref="AG69:AH69">IF(AF69="","",_xlfn.TEXTSPLIT(AF69,"-"))</f>
        <v>CI2026</v>
      </c>
      <c r="AH69" s="168" t="str">
        <v>0257</v>
      </c>
    </row>
    <row r="70" spans="26:34" ht="24" customHeight="1">
      <c r="Z70"/>
      <c r="AA70"/>
      <c r="AB70"/>
      <c r="AC70"/>
      <c r="AD70"/>
      <c r="AE70" s="168">
        <f t="shared" si="1"/>
        <v>258</v>
      </c>
      <c r="AF70" s="168" t="str">
        <v>CI2026-0258</v>
      </c>
      <c r="AG70" s="168" t="str" cm="1">
        <f t="array" ref="AG70:AH70">IF(AF70="","",_xlfn.TEXTSPLIT(AF70,"-"))</f>
        <v>CI2026</v>
      </c>
      <c r="AH70" s="168" t="str">
        <v>0258</v>
      </c>
    </row>
    <row r="71" spans="26:34" ht="24" customHeight="1">
      <c r="Z71"/>
      <c r="AA71"/>
      <c r="AB71"/>
      <c r="AC71"/>
      <c r="AD71"/>
      <c r="AE71" s="168">
        <f t="shared" si="1"/>
        <v>259</v>
      </c>
      <c r="AF71" s="168" t="str">
        <v>CI2026-0259</v>
      </c>
      <c r="AG71" s="168" t="str" cm="1">
        <f t="array" ref="AG71:AH71">IF(AF71="","",_xlfn.TEXTSPLIT(AF71,"-"))</f>
        <v>CI2026</v>
      </c>
      <c r="AH71" s="168" t="str">
        <v>0259</v>
      </c>
    </row>
    <row r="72" spans="26:34" ht="24" customHeight="1">
      <c r="Z72"/>
      <c r="AA72"/>
      <c r="AB72"/>
      <c r="AC72"/>
      <c r="AD72"/>
      <c r="AE72" s="168">
        <f t="shared" si="1"/>
        <v>260</v>
      </c>
      <c r="AF72" s="168" t="str">
        <v>CI2026-0260</v>
      </c>
      <c r="AG72" s="168" t="str" cm="1">
        <f t="array" ref="AG72:AH72">IF(AF72="","",_xlfn.TEXTSPLIT(AF72,"-"))</f>
        <v>CI2026</v>
      </c>
      <c r="AH72" s="168" t="str">
        <v>0260</v>
      </c>
    </row>
    <row r="73" spans="26:34" ht="24" customHeight="1">
      <c r="Z73"/>
      <c r="AA73"/>
      <c r="AB73"/>
      <c r="AC73"/>
      <c r="AD73"/>
      <c r="AE73" s="168">
        <f t="shared" si="1"/>
        <v>261</v>
      </c>
      <c r="AF73" s="168" t="str">
        <v>CI2026-0261</v>
      </c>
      <c r="AG73" s="168" t="str" cm="1">
        <f t="array" ref="AG73:AH73">IF(AF73="","",_xlfn.TEXTSPLIT(AF73,"-"))</f>
        <v>CI2026</v>
      </c>
      <c r="AH73" s="168" t="str">
        <v>0261</v>
      </c>
    </row>
    <row r="74" spans="26:34" ht="24" customHeight="1">
      <c r="Z74"/>
      <c r="AA74"/>
      <c r="AB74"/>
      <c r="AC74"/>
      <c r="AD74"/>
      <c r="AE74" s="168">
        <f t="shared" si="1"/>
        <v>262</v>
      </c>
      <c r="AF74" s="168" t="str">
        <v>CI2026-0262</v>
      </c>
      <c r="AG74" s="168" t="str" cm="1">
        <f t="array" ref="AG74:AH74">IF(AF74="","",_xlfn.TEXTSPLIT(AF74,"-"))</f>
        <v>CI2026</v>
      </c>
      <c r="AH74" s="168" t="str">
        <v>0262</v>
      </c>
    </row>
    <row r="75" spans="26:34" ht="24" customHeight="1">
      <c r="Z75"/>
      <c r="AA75"/>
      <c r="AB75"/>
      <c r="AC75"/>
      <c r="AD75"/>
      <c r="AE75" s="168">
        <f t="shared" si="1"/>
        <v>263</v>
      </c>
      <c r="AF75" s="168" t="str">
        <v>CI2026-0263</v>
      </c>
      <c r="AG75" s="168" t="str" cm="1">
        <f t="array" ref="AG75:AH75">IF(AF75="","",_xlfn.TEXTSPLIT(AF75,"-"))</f>
        <v>CI2026</v>
      </c>
      <c r="AH75" s="168" t="str">
        <v>0263</v>
      </c>
    </row>
    <row r="76" spans="26:34" ht="24" customHeight="1">
      <c r="Z76"/>
      <c r="AA76"/>
      <c r="AB76"/>
      <c r="AC76"/>
      <c r="AD76"/>
      <c r="AE76" s="168">
        <f t="shared" si="1"/>
        <v>264</v>
      </c>
      <c r="AF76" s="168" t="str">
        <v>CI2026-0264</v>
      </c>
      <c r="AG76" s="168" t="str" cm="1">
        <f t="array" ref="AG76:AH76">IF(AF76="","",_xlfn.TEXTSPLIT(AF76,"-"))</f>
        <v>CI2026</v>
      </c>
      <c r="AH76" s="168" t="str">
        <v>0264</v>
      </c>
    </row>
    <row r="77" spans="26:34" ht="24" customHeight="1">
      <c r="Z77"/>
      <c r="AA77"/>
      <c r="AB77"/>
      <c r="AC77"/>
      <c r="AD77"/>
      <c r="AE77" s="168">
        <f t="shared" si="1"/>
        <v>265</v>
      </c>
      <c r="AF77" s="168" t="str">
        <v>CI2026-0265</v>
      </c>
      <c r="AG77" s="168" t="str" cm="1">
        <f t="array" ref="AG77:AH77">IF(AF77="","",_xlfn.TEXTSPLIT(AF77,"-"))</f>
        <v>CI2026</v>
      </c>
      <c r="AH77" s="168" t="str">
        <v>0265</v>
      </c>
    </row>
    <row r="78" spans="26:34" ht="24" customHeight="1">
      <c r="Z78"/>
      <c r="AA78"/>
      <c r="AB78"/>
      <c r="AC78"/>
      <c r="AD78"/>
      <c r="AE78" s="168">
        <f t="shared" si="1"/>
        <v>266</v>
      </c>
      <c r="AF78" s="168" t="str">
        <v>CI2026-0266</v>
      </c>
      <c r="AG78" s="168" t="str" cm="1">
        <f t="array" ref="AG78:AH78">IF(AF78="","",_xlfn.TEXTSPLIT(AF78,"-"))</f>
        <v>CI2026</v>
      </c>
      <c r="AH78" s="168" t="str">
        <v>0266</v>
      </c>
    </row>
    <row r="79" spans="26:34" ht="24" customHeight="1">
      <c r="Z79"/>
      <c r="AA79"/>
      <c r="AB79"/>
      <c r="AC79"/>
      <c r="AD79"/>
      <c r="AE79" s="168">
        <f t="shared" si="1"/>
        <v>267</v>
      </c>
      <c r="AF79" s="168" t="str">
        <v>CI2026-0267</v>
      </c>
      <c r="AG79" s="168" t="str" cm="1">
        <f t="array" ref="AG79:AH79">IF(AF79="","",_xlfn.TEXTSPLIT(AF79,"-"))</f>
        <v>CI2026</v>
      </c>
      <c r="AH79" s="168" t="str">
        <v>0267</v>
      </c>
    </row>
    <row r="80" spans="26:34" ht="24" customHeight="1">
      <c r="Z80"/>
      <c r="AA80"/>
      <c r="AB80"/>
      <c r="AC80"/>
      <c r="AD80"/>
      <c r="AE80" s="168">
        <f t="shared" si="1"/>
        <v>268</v>
      </c>
      <c r="AF80" s="168" t="str">
        <v>CI2026-0268</v>
      </c>
      <c r="AG80" s="168" t="str" cm="1">
        <f t="array" ref="AG80:AH80">IF(AF80="","",_xlfn.TEXTSPLIT(AF80,"-"))</f>
        <v>CI2026</v>
      </c>
      <c r="AH80" s="168" t="str">
        <v>0268</v>
      </c>
    </row>
    <row r="81" spans="26:34" ht="24" customHeight="1">
      <c r="Z81"/>
      <c r="AA81"/>
      <c r="AB81"/>
      <c r="AC81"/>
      <c r="AD81"/>
      <c r="AE81" s="168">
        <f t="shared" si="1"/>
        <v>269</v>
      </c>
      <c r="AF81" s="168" t="str">
        <v>CI2026-0269</v>
      </c>
      <c r="AG81" s="168" t="str" cm="1">
        <f t="array" ref="AG81:AH81">IF(AF81="","",_xlfn.TEXTSPLIT(AF81,"-"))</f>
        <v>CI2026</v>
      </c>
      <c r="AH81" s="168" t="str">
        <v>0269</v>
      </c>
    </row>
    <row r="82" spans="26:34" ht="24" customHeight="1">
      <c r="Z82"/>
      <c r="AA82"/>
      <c r="AB82"/>
      <c r="AC82"/>
      <c r="AD82"/>
      <c r="AE82" s="168">
        <f t="shared" si="1"/>
        <v>270</v>
      </c>
      <c r="AF82" s="168" t="str">
        <v>CI2026-0270</v>
      </c>
      <c r="AG82" s="168" t="str" cm="1">
        <f t="array" ref="AG82:AH82">IF(AF82="","",_xlfn.TEXTSPLIT(AF82,"-"))</f>
        <v>CI2026</v>
      </c>
      <c r="AH82" s="168" t="str">
        <v>0270</v>
      </c>
    </row>
    <row r="83" spans="26:34" ht="24" customHeight="1">
      <c r="Z83"/>
      <c r="AA83"/>
      <c r="AB83"/>
      <c r="AC83"/>
      <c r="AD83"/>
      <c r="AE83" s="168">
        <f t="shared" si="1"/>
        <v>271</v>
      </c>
      <c r="AF83" s="168" t="str">
        <v>CI2026-0271</v>
      </c>
      <c r="AG83" s="168" t="str" cm="1">
        <f t="array" ref="AG83:AH83">IF(AF83="","",_xlfn.TEXTSPLIT(AF83,"-"))</f>
        <v>CI2026</v>
      </c>
      <c r="AH83" s="168" t="str">
        <v>0271</v>
      </c>
    </row>
    <row r="84" spans="26:34" ht="24" customHeight="1">
      <c r="Z84"/>
      <c r="AA84"/>
      <c r="AB84"/>
      <c r="AC84"/>
      <c r="AD84"/>
      <c r="AE84" s="168">
        <f t="shared" si="1"/>
        <v>272</v>
      </c>
      <c r="AF84" s="168" t="str">
        <v>CI2026-0272</v>
      </c>
      <c r="AG84" s="168" t="str" cm="1">
        <f t="array" ref="AG84:AH84">IF(AF84="","",_xlfn.TEXTSPLIT(AF84,"-"))</f>
        <v>CI2026</v>
      </c>
      <c r="AH84" s="168" t="str">
        <v>0272</v>
      </c>
    </row>
    <row r="85" spans="26:34" ht="24" customHeight="1">
      <c r="Z85"/>
      <c r="AA85"/>
      <c r="AB85"/>
      <c r="AC85"/>
      <c r="AD85"/>
      <c r="AE85" s="168">
        <f t="shared" si="1"/>
        <v>273</v>
      </c>
      <c r="AF85" s="168" t="str">
        <v>CI2026-0273</v>
      </c>
      <c r="AG85" s="168" t="str" cm="1">
        <f t="array" ref="AG85:AH85">IF(AF85="","",_xlfn.TEXTSPLIT(AF85,"-"))</f>
        <v>CI2026</v>
      </c>
      <c r="AH85" s="168" t="str">
        <v>0273</v>
      </c>
    </row>
    <row r="86" spans="26:34" ht="24" customHeight="1">
      <c r="Z86"/>
      <c r="AA86"/>
      <c r="AB86"/>
      <c r="AC86"/>
      <c r="AD86"/>
      <c r="AE86" s="168">
        <f t="shared" si="1"/>
        <v>274</v>
      </c>
      <c r="AF86" s="168" t="str">
        <v>CI2026-0274</v>
      </c>
      <c r="AG86" s="168" t="str" cm="1">
        <f t="array" ref="AG86:AH86">IF(AF86="","",_xlfn.TEXTSPLIT(AF86,"-"))</f>
        <v>CI2026</v>
      </c>
      <c r="AH86" s="168" t="str">
        <v>0274</v>
      </c>
    </row>
    <row r="87" spans="26:34" ht="24" customHeight="1">
      <c r="Z87"/>
      <c r="AA87"/>
      <c r="AB87"/>
      <c r="AC87"/>
      <c r="AD87"/>
      <c r="AE87" s="168">
        <f t="shared" si="1"/>
        <v>275</v>
      </c>
      <c r="AF87" s="168" t="str">
        <v>CI2026-0275</v>
      </c>
      <c r="AG87" s="168" t="str" cm="1">
        <f t="array" ref="AG87:AH87">IF(AF87="","",_xlfn.TEXTSPLIT(AF87,"-"))</f>
        <v>CI2026</v>
      </c>
      <c r="AH87" s="168" t="str">
        <v>0275</v>
      </c>
    </row>
    <row r="88" spans="26:34" ht="24" customHeight="1">
      <c r="Z88"/>
      <c r="AA88"/>
      <c r="AB88"/>
      <c r="AC88"/>
      <c r="AD88"/>
      <c r="AE88" s="168">
        <f t="shared" si="1"/>
        <v>276</v>
      </c>
      <c r="AF88" s="168" t="str">
        <v>CI2026-0276</v>
      </c>
      <c r="AG88" s="168" t="str" cm="1">
        <f t="array" ref="AG88:AH88">IF(AF88="","",_xlfn.TEXTSPLIT(AF88,"-"))</f>
        <v>CI2026</v>
      </c>
      <c r="AH88" s="168" t="str">
        <v>0276</v>
      </c>
    </row>
    <row r="89" spans="26:34" ht="24" customHeight="1">
      <c r="Z89"/>
      <c r="AA89"/>
      <c r="AB89"/>
      <c r="AC89"/>
      <c r="AD89"/>
      <c r="AE89" s="168">
        <f t="shared" si="1"/>
        <v>277</v>
      </c>
      <c r="AF89" s="168" t="str">
        <v>CI2026-0277</v>
      </c>
      <c r="AG89" s="168" t="str" cm="1">
        <f t="array" ref="AG89:AH89">IF(AF89="","",_xlfn.TEXTSPLIT(AF89,"-"))</f>
        <v>CI2026</v>
      </c>
      <c r="AH89" s="168" t="str">
        <v>0277</v>
      </c>
    </row>
    <row r="90" spans="26:34" ht="24" customHeight="1">
      <c r="Z90"/>
      <c r="AA90"/>
      <c r="AB90"/>
      <c r="AC90"/>
      <c r="AD90"/>
      <c r="AE90" s="168">
        <f t="shared" si="1"/>
        <v>278</v>
      </c>
      <c r="AF90" s="168" t="str">
        <v>CI2026-0278</v>
      </c>
      <c r="AG90" s="168" t="str" cm="1">
        <f t="array" ref="AG90:AH90">IF(AF90="","",_xlfn.TEXTSPLIT(AF90,"-"))</f>
        <v>CI2026</v>
      </c>
      <c r="AH90" s="168" t="str">
        <v>0278</v>
      </c>
    </row>
    <row r="91" spans="26:34" ht="24" customHeight="1">
      <c r="Z91"/>
      <c r="AA91"/>
      <c r="AB91"/>
      <c r="AC91"/>
      <c r="AD91"/>
      <c r="AE91" s="168">
        <f t="shared" si="1"/>
        <v>279</v>
      </c>
      <c r="AF91" s="168" t="str">
        <v>CI2026-0279</v>
      </c>
      <c r="AG91" s="168" t="str" cm="1">
        <f t="array" ref="AG91:AH91">IF(AF91="","",_xlfn.TEXTSPLIT(AF91,"-"))</f>
        <v>CI2026</v>
      </c>
      <c r="AH91" s="168" t="str">
        <v>0279</v>
      </c>
    </row>
    <row r="92" spans="26:34" ht="24" customHeight="1">
      <c r="Z92"/>
      <c r="AA92"/>
      <c r="AB92"/>
      <c r="AC92"/>
      <c r="AD92"/>
      <c r="AE92" s="168">
        <f t="shared" si="1"/>
        <v>280</v>
      </c>
      <c r="AF92" s="168" t="str">
        <v>CI2026-0280</v>
      </c>
      <c r="AG92" s="168" t="str" cm="1">
        <f t="array" ref="AG92:AH92">IF(AF92="","",_xlfn.TEXTSPLIT(AF92,"-"))</f>
        <v>CI2026</v>
      </c>
      <c r="AH92" s="168" t="str">
        <v>0280</v>
      </c>
    </row>
    <row r="93" spans="26:34" ht="24" customHeight="1">
      <c r="Z93"/>
      <c r="AA93"/>
      <c r="AB93"/>
      <c r="AC93"/>
      <c r="AD93"/>
      <c r="AE93" s="168">
        <f t="shared" si="1"/>
        <v>281</v>
      </c>
      <c r="AF93" s="168" t="str">
        <v>CI2026-0281</v>
      </c>
      <c r="AG93" s="168" t="str" cm="1">
        <f t="array" ref="AG93:AH93">IF(AF93="","",_xlfn.TEXTSPLIT(AF93,"-"))</f>
        <v>CI2026</v>
      </c>
      <c r="AH93" s="168" t="str">
        <v>0281</v>
      </c>
    </row>
    <row r="94" spans="26:34" ht="24" customHeight="1">
      <c r="Z94"/>
      <c r="AA94"/>
      <c r="AB94"/>
      <c r="AC94"/>
      <c r="AD94"/>
      <c r="AE94" s="168">
        <f t="shared" si="1"/>
        <v>282</v>
      </c>
      <c r="AF94" s="168" t="str">
        <v>CI2026-0282</v>
      </c>
      <c r="AG94" s="168" t="str" cm="1">
        <f t="array" ref="AG94:AH94">IF(AF94="","",_xlfn.TEXTSPLIT(AF94,"-"))</f>
        <v>CI2026</v>
      </c>
      <c r="AH94" s="168" t="str">
        <v>0282</v>
      </c>
    </row>
    <row r="95" spans="26:34" ht="24" customHeight="1">
      <c r="Z95"/>
      <c r="AA95"/>
      <c r="AB95"/>
      <c r="AC95"/>
      <c r="AD95"/>
      <c r="AE95" s="168">
        <f t="shared" si="1"/>
        <v>283</v>
      </c>
      <c r="AF95" s="168" t="str">
        <v>CI2026-0283</v>
      </c>
      <c r="AG95" s="168" t="str" cm="1">
        <f t="array" ref="AG95:AH95">IF(AF95="","",_xlfn.TEXTSPLIT(AF95,"-"))</f>
        <v>CI2026</v>
      </c>
      <c r="AH95" s="168" t="str">
        <v>0283</v>
      </c>
    </row>
    <row r="96" spans="26:34" ht="24" customHeight="1">
      <c r="Z96"/>
      <c r="AA96"/>
      <c r="AB96"/>
      <c r="AC96"/>
      <c r="AD96"/>
      <c r="AE96" s="168">
        <f t="shared" si="1"/>
        <v>284</v>
      </c>
      <c r="AF96" s="168" t="str">
        <v>CI2026-0284</v>
      </c>
      <c r="AG96" s="168" t="str" cm="1">
        <f t="array" ref="AG96:AH96">IF(AF96="","",_xlfn.TEXTSPLIT(AF96,"-"))</f>
        <v>CI2026</v>
      </c>
      <c r="AH96" s="168" t="str">
        <v>0284</v>
      </c>
    </row>
    <row r="97" spans="26:34" ht="24" customHeight="1">
      <c r="Z97"/>
      <c r="AA97"/>
      <c r="AB97"/>
      <c r="AC97"/>
      <c r="AD97"/>
      <c r="AE97" s="168">
        <f t="shared" si="1"/>
        <v>285</v>
      </c>
      <c r="AF97" s="168" t="str">
        <v>CI2026-0285</v>
      </c>
      <c r="AG97" s="168" t="str" cm="1">
        <f t="array" ref="AG97:AH97">IF(AF97="","",_xlfn.TEXTSPLIT(AF97,"-"))</f>
        <v>CI2026</v>
      </c>
      <c r="AH97" s="168" t="str">
        <v>0285</v>
      </c>
    </row>
    <row r="98" spans="26:34" ht="24" customHeight="1">
      <c r="Z98"/>
      <c r="AA98"/>
      <c r="AB98"/>
      <c r="AC98"/>
      <c r="AD98"/>
      <c r="AE98" s="168">
        <f t="shared" si="1"/>
        <v>286</v>
      </c>
      <c r="AF98" s="168" t="str">
        <v>CI2026-0286</v>
      </c>
      <c r="AG98" s="168" t="str" cm="1">
        <f t="array" ref="AG98:AH98">IF(AF98="","",_xlfn.TEXTSPLIT(AF98,"-"))</f>
        <v>CI2026</v>
      </c>
      <c r="AH98" s="168" t="str">
        <v>0286</v>
      </c>
    </row>
    <row r="99" spans="26:34" ht="24" customHeight="1">
      <c r="Z99"/>
      <c r="AA99"/>
      <c r="AB99"/>
      <c r="AC99"/>
      <c r="AD99"/>
      <c r="AE99" s="168">
        <f t="shared" si="1"/>
        <v>287</v>
      </c>
      <c r="AF99" s="168" t="str">
        <v>CI2026-0287</v>
      </c>
      <c r="AG99" s="168" t="str" cm="1">
        <f t="array" ref="AG99:AH99">IF(AF99="","",_xlfn.TEXTSPLIT(AF99,"-"))</f>
        <v>CI2026</v>
      </c>
      <c r="AH99" s="168" t="str">
        <v>0287</v>
      </c>
    </row>
    <row r="100" spans="26:34" ht="24" customHeight="1">
      <c r="Z100"/>
      <c r="AA100"/>
      <c r="AB100"/>
      <c r="AC100"/>
      <c r="AD100"/>
      <c r="AE100" s="168">
        <f t="shared" si="1"/>
        <v>288</v>
      </c>
      <c r="AF100" s="168" t="str">
        <v>CI2026-0288</v>
      </c>
      <c r="AG100" s="168" t="str" cm="1">
        <f t="array" ref="AG100:AH100">IF(AF100="","",_xlfn.TEXTSPLIT(AF100,"-"))</f>
        <v>CI2026</v>
      </c>
      <c r="AH100" s="168" t="str">
        <v>0288</v>
      </c>
    </row>
    <row r="101" spans="26:34" ht="24" customHeight="1">
      <c r="Z101"/>
      <c r="AA101"/>
      <c r="AB101"/>
      <c r="AC101"/>
      <c r="AD101"/>
      <c r="AE101" s="168">
        <f t="shared" si="1"/>
        <v>289</v>
      </c>
      <c r="AF101" s="168" t="str">
        <v>CI2026-0289</v>
      </c>
      <c r="AG101" s="168" t="str" cm="1">
        <f t="array" ref="AG101:AH101">IF(AF101="","",_xlfn.TEXTSPLIT(AF101,"-"))</f>
        <v>CI2026</v>
      </c>
      <c r="AH101" s="168" t="str">
        <v>0289</v>
      </c>
    </row>
    <row r="102" spans="26:34" ht="24" customHeight="1">
      <c r="Z102"/>
      <c r="AA102"/>
      <c r="AB102"/>
      <c r="AC102"/>
      <c r="AD102"/>
      <c r="AE102" s="168">
        <f t="shared" si="1"/>
        <v>290</v>
      </c>
      <c r="AF102" s="168" t="str">
        <v>CI2026-0290</v>
      </c>
      <c r="AG102" s="168" t="str" cm="1">
        <f t="array" ref="AG102:AH102">IF(AF102="","",_xlfn.TEXTSPLIT(AF102,"-"))</f>
        <v>CI2026</v>
      </c>
      <c r="AH102" s="168" t="str">
        <v>0290</v>
      </c>
    </row>
    <row r="103" spans="26:34" ht="24" customHeight="1">
      <c r="Z103"/>
      <c r="AA103"/>
      <c r="AB103"/>
      <c r="AC103"/>
      <c r="AD103"/>
      <c r="AE103" s="168">
        <f t="shared" si="1"/>
        <v>291</v>
      </c>
      <c r="AF103" s="168" t="str">
        <v>CI2026-0291</v>
      </c>
      <c r="AG103" s="168" t="str" cm="1">
        <f t="array" ref="AG103:AH103">IF(AF103="","",_xlfn.TEXTSPLIT(AF103,"-"))</f>
        <v>CI2026</v>
      </c>
      <c r="AH103" s="168" t="str">
        <v>0291</v>
      </c>
    </row>
    <row r="104" spans="26:34" ht="24" customHeight="1">
      <c r="Z104"/>
      <c r="AA104"/>
      <c r="AB104"/>
      <c r="AC104"/>
      <c r="AD104"/>
      <c r="AE104" s="168">
        <f t="shared" si="1"/>
        <v>292</v>
      </c>
      <c r="AF104" s="168" t="str">
        <v>CI2026-0292</v>
      </c>
      <c r="AG104" s="168" t="str" cm="1">
        <f t="array" ref="AG104:AH104">IF(AF104="","",_xlfn.TEXTSPLIT(AF104,"-"))</f>
        <v>CI2026</v>
      </c>
      <c r="AH104" s="168" t="str">
        <v>0292</v>
      </c>
    </row>
    <row r="105" spans="26:34" ht="24" customHeight="1">
      <c r="Z105"/>
      <c r="AA105"/>
      <c r="AB105"/>
      <c r="AC105"/>
      <c r="AD105"/>
      <c r="AE105" s="168">
        <f t="shared" si="1"/>
        <v>293</v>
      </c>
      <c r="AF105" s="168" t="str">
        <v>CI2026-0293</v>
      </c>
      <c r="AG105" s="168" t="str" cm="1">
        <f t="array" ref="AG105:AH105">IF(AF105="","",_xlfn.TEXTSPLIT(AF105,"-"))</f>
        <v>CI2026</v>
      </c>
      <c r="AH105" s="168" t="str">
        <v>0293</v>
      </c>
    </row>
    <row r="106" spans="26:34" ht="24" customHeight="1">
      <c r="Z106"/>
      <c r="AA106"/>
      <c r="AB106"/>
      <c r="AC106"/>
      <c r="AD106"/>
      <c r="AE106" s="168">
        <f t="shared" si="1"/>
        <v>294</v>
      </c>
      <c r="AF106" s="168" t="str">
        <v>CI2026-0294</v>
      </c>
      <c r="AG106" s="168" t="str" cm="1">
        <f t="array" ref="AG106:AH106">IF(AF106="","",_xlfn.TEXTSPLIT(AF106,"-"))</f>
        <v>CI2026</v>
      </c>
      <c r="AH106" s="168" t="str">
        <v>0294</v>
      </c>
    </row>
    <row r="107" spans="26:34" ht="24" customHeight="1">
      <c r="Z107"/>
      <c r="AA107"/>
      <c r="AB107"/>
      <c r="AC107"/>
      <c r="AD107"/>
      <c r="AE107" s="168">
        <f t="shared" si="1"/>
        <v>295</v>
      </c>
      <c r="AF107" s="168" t="str">
        <v>CI2026-0295</v>
      </c>
      <c r="AG107" s="168" t="str" cm="1">
        <f t="array" ref="AG107:AH107">IF(AF107="","",_xlfn.TEXTSPLIT(AF107,"-"))</f>
        <v>CI2026</v>
      </c>
      <c r="AH107" s="168" t="str">
        <v>0295</v>
      </c>
    </row>
    <row r="108" spans="26:34" ht="24" customHeight="1">
      <c r="Z108"/>
      <c r="AA108"/>
      <c r="AB108"/>
      <c r="AC108"/>
      <c r="AD108"/>
      <c r="AE108" s="168">
        <f t="shared" si="1"/>
        <v>296</v>
      </c>
      <c r="AF108" s="168" t="str">
        <v>CI2026-0296</v>
      </c>
      <c r="AG108" s="168" t="str" cm="1">
        <f t="array" ref="AG108:AH108">IF(AF108="","",_xlfn.TEXTSPLIT(AF108,"-"))</f>
        <v>CI2026</v>
      </c>
      <c r="AH108" s="168" t="str">
        <v>0296</v>
      </c>
    </row>
    <row r="109" spans="26:34" ht="24" customHeight="1">
      <c r="Z109"/>
      <c r="AA109"/>
      <c r="AB109"/>
      <c r="AC109"/>
      <c r="AD109"/>
      <c r="AE109" s="168">
        <f t="shared" si="1"/>
        <v>297</v>
      </c>
      <c r="AF109" s="168" t="str">
        <v>CI2026-0297</v>
      </c>
      <c r="AG109" s="168" t="str" cm="1">
        <f t="array" ref="AG109:AH109">IF(AF109="","",_xlfn.TEXTSPLIT(AF109,"-"))</f>
        <v>CI2026</v>
      </c>
      <c r="AH109" s="168" t="str">
        <v>0297</v>
      </c>
    </row>
    <row r="110" spans="26:34" ht="24" customHeight="1">
      <c r="Z110"/>
      <c r="AA110"/>
      <c r="AB110"/>
      <c r="AC110"/>
      <c r="AD110"/>
      <c r="AE110" s="168">
        <f t="shared" si="1"/>
        <v>298</v>
      </c>
      <c r="AF110" s="168" t="str">
        <v>CI2026-0298</v>
      </c>
      <c r="AG110" s="168" t="str" cm="1">
        <f t="array" ref="AG110:AH110">IF(AF110="","",_xlfn.TEXTSPLIT(AF110,"-"))</f>
        <v>CI2026</v>
      </c>
      <c r="AH110" s="168" t="str">
        <v>0298</v>
      </c>
    </row>
    <row r="111" spans="26:34" ht="24" customHeight="1">
      <c r="Z111"/>
      <c r="AA111"/>
      <c r="AB111"/>
      <c r="AC111"/>
      <c r="AD111"/>
      <c r="AE111" s="168">
        <f t="shared" si="1"/>
        <v>299</v>
      </c>
      <c r="AF111" s="168" t="str">
        <v>CI2026-0299</v>
      </c>
      <c r="AG111" s="168" t="str" cm="1">
        <f t="array" ref="AG111:AH111">IF(AF111="","",_xlfn.TEXTSPLIT(AF111,"-"))</f>
        <v>CI2026</v>
      </c>
      <c r="AH111" s="168" t="str">
        <v>0299</v>
      </c>
    </row>
    <row r="112" spans="26:34" ht="24" customHeight="1">
      <c r="Z112"/>
      <c r="AA112"/>
      <c r="AB112"/>
      <c r="AC112"/>
      <c r="AD112"/>
      <c r="AE112" s="168">
        <f t="shared" si="1"/>
        <v>300</v>
      </c>
      <c r="AF112" s="168" t="str">
        <v>CI2026-0300</v>
      </c>
      <c r="AG112" s="168" t="str" cm="1">
        <f t="array" ref="AG112:AH112">IF(AF112="","",_xlfn.TEXTSPLIT(AF112,"-"))</f>
        <v>CI2026</v>
      </c>
      <c r="AH112" s="168" t="str">
        <v>0300</v>
      </c>
    </row>
    <row r="113" spans="26:34" ht="24" customHeight="1">
      <c r="Z113"/>
      <c r="AA113"/>
      <c r="AB113"/>
      <c r="AC113"/>
      <c r="AD113"/>
      <c r="AE113" s="168">
        <f t="shared" si="1"/>
        <v>301</v>
      </c>
      <c r="AF113" s="168" t="str">
        <v>CI2026-0301</v>
      </c>
      <c r="AG113" s="168" t="str" cm="1">
        <f t="array" ref="AG113:AH113">IF(AF113="","",_xlfn.TEXTSPLIT(AF113,"-"))</f>
        <v>CI2026</v>
      </c>
      <c r="AH113" s="168" t="str">
        <v>0301</v>
      </c>
    </row>
    <row r="114" spans="26:34" ht="24" customHeight="1">
      <c r="Z114"/>
      <c r="AA114"/>
      <c r="AB114"/>
      <c r="AC114"/>
      <c r="AD114"/>
      <c r="AE114" s="168">
        <f t="shared" si="1"/>
        <v>302</v>
      </c>
      <c r="AF114" s="168" t="str">
        <v>CI2026-0302</v>
      </c>
      <c r="AG114" s="168" t="str" cm="1">
        <f t="array" ref="AG114:AH114">IF(AF114="","",_xlfn.TEXTSPLIT(AF114,"-"))</f>
        <v>CI2026</v>
      </c>
      <c r="AH114" s="168" t="str">
        <v>0302</v>
      </c>
    </row>
    <row r="115" spans="26:34" ht="24" customHeight="1">
      <c r="Z115"/>
      <c r="AA115"/>
      <c r="AB115"/>
      <c r="AC115"/>
      <c r="AD115"/>
      <c r="AE115" s="168">
        <f t="shared" si="1"/>
        <v>303</v>
      </c>
      <c r="AF115" s="168" t="str">
        <v>CI2026-0303</v>
      </c>
      <c r="AG115" s="168" t="str" cm="1">
        <f t="array" ref="AG115:AH115">IF(AF115="","",_xlfn.TEXTSPLIT(AF115,"-"))</f>
        <v>CI2026</v>
      </c>
      <c r="AH115" s="168" t="str">
        <v>0303</v>
      </c>
    </row>
    <row r="116" spans="26:34" ht="24" customHeight="1">
      <c r="Z116"/>
      <c r="AA116"/>
      <c r="AB116"/>
      <c r="AC116"/>
      <c r="AD116"/>
      <c r="AE116" s="168">
        <f t="shared" si="1"/>
        <v>304</v>
      </c>
      <c r="AF116" s="168" t="str">
        <v>CI2026-0304</v>
      </c>
      <c r="AG116" s="168" t="str" cm="1">
        <f t="array" ref="AG116:AH116">IF(AF116="","",_xlfn.TEXTSPLIT(AF116,"-"))</f>
        <v>CI2026</v>
      </c>
      <c r="AH116" s="168" t="str">
        <v>0304</v>
      </c>
    </row>
    <row r="117" spans="26:34" ht="24" customHeight="1">
      <c r="Z117"/>
      <c r="AA117"/>
      <c r="AB117"/>
      <c r="AC117"/>
      <c r="AD117"/>
      <c r="AE117" s="168">
        <f t="shared" si="1"/>
        <v>305</v>
      </c>
      <c r="AF117" s="168" t="str">
        <v>CI2026-0305</v>
      </c>
      <c r="AG117" s="168" t="str" cm="1">
        <f t="array" ref="AG117:AH117">IF(AF117="","",_xlfn.TEXTSPLIT(AF117,"-"))</f>
        <v>CI2026</v>
      </c>
      <c r="AH117" s="168" t="str">
        <v>0305</v>
      </c>
    </row>
    <row r="118" spans="26:34" ht="24" customHeight="1">
      <c r="Z118"/>
      <c r="AA118"/>
      <c r="AB118"/>
      <c r="AC118"/>
      <c r="AD118"/>
      <c r="AE118" s="168">
        <f t="shared" si="1"/>
        <v>306</v>
      </c>
      <c r="AF118" s="168" t="str">
        <v>CI2026-0306</v>
      </c>
      <c r="AG118" s="168" t="str" cm="1">
        <f t="array" ref="AG118:AH118">IF(AF118="","",_xlfn.TEXTSPLIT(AF118,"-"))</f>
        <v>CI2026</v>
      </c>
      <c r="AH118" s="168" t="str">
        <v>0306</v>
      </c>
    </row>
    <row r="119" spans="26:34" ht="24" customHeight="1">
      <c r="Z119"/>
      <c r="AA119"/>
      <c r="AB119"/>
      <c r="AC119"/>
      <c r="AD119"/>
      <c r="AE119" s="168">
        <f t="shared" si="1"/>
        <v>307</v>
      </c>
      <c r="AF119" s="168" t="str">
        <v>CI2026-0307</v>
      </c>
      <c r="AG119" s="168" t="str" cm="1">
        <f t="array" ref="AG119:AH119">IF(AF119="","",_xlfn.TEXTSPLIT(AF119,"-"))</f>
        <v>CI2026</v>
      </c>
      <c r="AH119" s="168" t="str">
        <v>0307</v>
      </c>
    </row>
    <row r="120" spans="26:34" ht="24" customHeight="1">
      <c r="Z120"/>
      <c r="AA120"/>
      <c r="AB120"/>
      <c r="AC120"/>
      <c r="AD120"/>
      <c r="AE120" s="168">
        <f t="shared" si="1"/>
        <v>308</v>
      </c>
      <c r="AF120" s="168" t="str">
        <v>CI2026-0308</v>
      </c>
      <c r="AG120" s="168" t="str" cm="1">
        <f t="array" ref="AG120:AH120">IF(AF120="","",_xlfn.TEXTSPLIT(AF120,"-"))</f>
        <v>CI2026</v>
      </c>
      <c r="AH120" s="168" t="str">
        <v>0308</v>
      </c>
    </row>
    <row r="121" spans="26:34" ht="24" customHeight="1">
      <c r="Z121"/>
      <c r="AA121"/>
      <c r="AB121"/>
      <c r="AC121"/>
      <c r="AD121"/>
      <c r="AE121" s="168">
        <f t="shared" si="1"/>
        <v>309</v>
      </c>
      <c r="AF121" s="168" t="str">
        <v>CI2026-0309</v>
      </c>
      <c r="AG121" s="168" t="str" cm="1">
        <f t="array" ref="AG121:AH121">IF(AF121="","",_xlfn.TEXTSPLIT(AF121,"-"))</f>
        <v>CI2026</v>
      </c>
      <c r="AH121" s="168" t="str">
        <v>0309</v>
      </c>
    </row>
    <row r="122" spans="26:34" ht="24" customHeight="1">
      <c r="Z122"/>
      <c r="AA122"/>
      <c r="AB122"/>
      <c r="AC122"/>
      <c r="AD122"/>
      <c r="AE122" s="168">
        <f t="shared" si="1"/>
        <v>310</v>
      </c>
      <c r="AF122" s="168" t="str">
        <v>CI2026-0310</v>
      </c>
      <c r="AG122" s="168" t="str" cm="1">
        <f t="array" ref="AG122:AH122">IF(AF122="","",_xlfn.TEXTSPLIT(AF122,"-"))</f>
        <v>CI2026</v>
      </c>
      <c r="AH122" s="168" t="str">
        <v>0310</v>
      </c>
    </row>
    <row r="123" spans="26:34" ht="24" customHeight="1">
      <c r="Z123"/>
      <c r="AA123"/>
      <c r="AB123"/>
      <c r="AC123"/>
      <c r="AD123"/>
      <c r="AE123" s="168">
        <f t="shared" si="1"/>
        <v>311</v>
      </c>
      <c r="AF123" s="168" t="str">
        <v>CI2026-0311</v>
      </c>
      <c r="AG123" s="168" t="str" cm="1">
        <f t="array" ref="AG123:AH123">IF(AF123="","",_xlfn.TEXTSPLIT(AF123,"-"))</f>
        <v>CI2026</v>
      </c>
      <c r="AH123" s="168" t="str">
        <v>0311</v>
      </c>
    </row>
    <row r="124" spans="26:34" ht="24" customHeight="1">
      <c r="Z124"/>
      <c r="AA124"/>
      <c r="AB124"/>
      <c r="AC124"/>
      <c r="AD124"/>
      <c r="AE124" s="168">
        <f t="shared" si="1"/>
        <v>312</v>
      </c>
      <c r="AF124" s="168" t="str">
        <v>CI2026-0312</v>
      </c>
      <c r="AG124" s="168" t="str" cm="1">
        <f t="array" ref="AG124:AH124">IF(AF124="","",_xlfn.TEXTSPLIT(AF124,"-"))</f>
        <v>CI2026</v>
      </c>
      <c r="AH124" s="168" t="str">
        <v>0312</v>
      </c>
    </row>
    <row r="125" spans="26:34" ht="24" customHeight="1">
      <c r="Z125"/>
      <c r="AA125"/>
      <c r="AB125"/>
      <c r="AC125"/>
      <c r="AD125"/>
      <c r="AE125" s="168">
        <f t="shared" si="1"/>
        <v>313</v>
      </c>
      <c r="AF125" s="168" t="str">
        <v>CI2026-0313</v>
      </c>
      <c r="AG125" s="168" t="str" cm="1">
        <f t="array" ref="AG125:AH125">IF(AF125="","",_xlfn.TEXTSPLIT(AF125,"-"))</f>
        <v>CI2026</v>
      </c>
      <c r="AH125" s="168" t="str">
        <v>0313</v>
      </c>
    </row>
    <row r="126" spans="26:34" ht="24" customHeight="1">
      <c r="Z126"/>
      <c r="AA126"/>
      <c r="AB126"/>
      <c r="AC126"/>
      <c r="AD126"/>
      <c r="AE126" s="168">
        <f t="shared" si="1"/>
        <v>314</v>
      </c>
      <c r="AF126" s="168" t="str">
        <v>CI2026-0314</v>
      </c>
      <c r="AG126" s="168" t="str" cm="1">
        <f t="array" ref="AG126:AH126">IF(AF126="","",_xlfn.TEXTSPLIT(AF126,"-"))</f>
        <v>CI2026</v>
      </c>
      <c r="AH126" s="168" t="str">
        <v>0314</v>
      </c>
    </row>
    <row r="127" spans="26:34" ht="24" customHeight="1">
      <c r="Z127"/>
      <c r="AA127"/>
      <c r="AB127"/>
      <c r="AC127"/>
      <c r="AD127"/>
      <c r="AE127" s="168">
        <f t="shared" si="1"/>
        <v>315</v>
      </c>
      <c r="AF127" s="168" t="str">
        <v>CI2026-0315</v>
      </c>
      <c r="AG127" s="168" t="str" cm="1">
        <f t="array" ref="AG127:AH127">IF(AF127="","",_xlfn.TEXTSPLIT(AF127,"-"))</f>
        <v>CI2026</v>
      </c>
      <c r="AH127" s="168" t="str">
        <v>0315</v>
      </c>
    </row>
    <row r="128" spans="26:34" ht="24" customHeight="1">
      <c r="Z128"/>
      <c r="AA128"/>
      <c r="AB128"/>
      <c r="AC128"/>
      <c r="AD128"/>
      <c r="AE128" s="168">
        <f t="shared" si="1"/>
        <v>316</v>
      </c>
      <c r="AF128" s="168" t="str">
        <v>CI2026-0316</v>
      </c>
      <c r="AG128" s="168" t="str" cm="1">
        <f t="array" ref="AG128:AH128">IF(AF128="","",_xlfn.TEXTSPLIT(AF128,"-"))</f>
        <v>CI2026</v>
      </c>
      <c r="AH128" s="168" t="str">
        <v>0316</v>
      </c>
    </row>
    <row r="129" spans="26:34" ht="24" customHeight="1">
      <c r="Z129"/>
      <c r="AA129"/>
      <c r="AB129"/>
      <c r="AC129"/>
      <c r="AD129"/>
      <c r="AE129" s="168">
        <f t="shared" si="1"/>
        <v>317</v>
      </c>
      <c r="AF129" s="168" t="str">
        <v>CI2026-0317</v>
      </c>
      <c r="AG129" s="168" t="str" cm="1">
        <f t="array" ref="AG129:AH129">IF(AF129="","",_xlfn.TEXTSPLIT(AF129,"-"))</f>
        <v>CI2026</v>
      </c>
      <c r="AH129" s="168" t="str">
        <v>0317</v>
      </c>
    </row>
    <row r="130" spans="26:34" ht="24" customHeight="1">
      <c r="Z130"/>
      <c r="AA130"/>
      <c r="AB130"/>
      <c r="AC130"/>
      <c r="AD130"/>
      <c r="AE130" s="168">
        <f t="shared" si="1"/>
        <v>318</v>
      </c>
      <c r="AF130" s="168" t="str">
        <v>CI2026-0318</v>
      </c>
      <c r="AG130" s="168" t="str" cm="1">
        <f t="array" ref="AG130:AH130">IF(AF130="","",_xlfn.TEXTSPLIT(AF130,"-"))</f>
        <v>CI2026</v>
      </c>
      <c r="AH130" s="168" t="str">
        <v>0318</v>
      </c>
    </row>
    <row r="131" spans="26:34" ht="24" customHeight="1">
      <c r="Z131"/>
      <c r="AA131"/>
      <c r="AB131"/>
      <c r="AC131"/>
      <c r="AD131"/>
      <c r="AE131" s="168">
        <f t="shared" si="1"/>
        <v>319</v>
      </c>
      <c r="AF131" s="168" t="str">
        <v>CI2026-0319</v>
      </c>
      <c r="AG131" s="168" t="str" cm="1">
        <f t="array" ref="AG131:AH131">IF(AF131="","",_xlfn.TEXTSPLIT(AF131,"-"))</f>
        <v>CI2026</v>
      </c>
      <c r="AH131" s="168" t="str">
        <v>0319</v>
      </c>
    </row>
    <row r="132" spans="26:34" ht="24" customHeight="1">
      <c r="Z132"/>
      <c r="AA132"/>
      <c r="AB132"/>
      <c r="AC132"/>
      <c r="AD132"/>
      <c r="AE132" s="168">
        <f t="shared" si="1"/>
        <v>320</v>
      </c>
      <c r="AF132" s="168" t="str">
        <v>CI2026-0320</v>
      </c>
      <c r="AG132" s="168" t="str" cm="1">
        <f t="array" ref="AG132:AH132">IF(AF132="","",_xlfn.TEXTSPLIT(AF132,"-"))</f>
        <v>CI2026</v>
      </c>
      <c r="AH132" s="168" t="str">
        <v>0320</v>
      </c>
    </row>
    <row r="133" spans="26:34" ht="24" customHeight="1">
      <c r="Z133"/>
      <c r="AA133"/>
      <c r="AB133"/>
      <c r="AC133"/>
      <c r="AD133"/>
      <c r="AE133" s="168">
        <f t="shared" ref="AE133:AE196" si="2">IF(AH133="","",AH133*1)</f>
        <v>321</v>
      </c>
      <c r="AF133" s="168" t="str">
        <v>CI2026-0321</v>
      </c>
      <c r="AG133" s="168" t="str" cm="1">
        <f t="array" ref="AG133:AH133">IF(AF133="","",_xlfn.TEXTSPLIT(AF133,"-"))</f>
        <v>CI2026</v>
      </c>
      <c r="AH133" s="168" t="str">
        <v>0321</v>
      </c>
    </row>
    <row r="134" spans="26:34" ht="24" customHeight="1">
      <c r="Z134"/>
      <c r="AA134"/>
      <c r="AB134"/>
      <c r="AC134"/>
      <c r="AD134"/>
      <c r="AE134" s="168">
        <f t="shared" si="2"/>
        <v>322</v>
      </c>
      <c r="AF134" s="168" t="str">
        <v>CI2026-0322</v>
      </c>
      <c r="AG134" s="168" t="str" cm="1">
        <f t="array" ref="AG134:AH134">IF(AF134="","",_xlfn.TEXTSPLIT(AF134,"-"))</f>
        <v>CI2026</v>
      </c>
      <c r="AH134" s="168" t="str">
        <v>0322</v>
      </c>
    </row>
    <row r="135" spans="26:34" ht="24" customHeight="1">
      <c r="Z135"/>
      <c r="AA135"/>
      <c r="AB135"/>
      <c r="AC135"/>
      <c r="AD135"/>
      <c r="AE135" s="168">
        <f t="shared" si="2"/>
        <v>323</v>
      </c>
      <c r="AF135" s="168" t="str">
        <v>CI2026-0323</v>
      </c>
      <c r="AG135" s="168" t="str" cm="1">
        <f t="array" ref="AG135:AH135">IF(AF135="","",_xlfn.TEXTSPLIT(AF135,"-"))</f>
        <v>CI2026</v>
      </c>
      <c r="AH135" s="168" t="str">
        <v>0323</v>
      </c>
    </row>
    <row r="136" spans="26:34" ht="24" customHeight="1">
      <c r="Z136"/>
      <c r="AA136"/>
      <c r="AB136"/>
      <c r="AC136"/>
      <c r="AD136"/>
      <c r="AE136" s="168">
        <f t="shared" si="2"/>
        <v>324</v>
      </c>
      <c r="AF136" s="168" t="str">
        <v>CI2026-0324</v>
      </c>
      <c r="AG136" s="168" t="str" cm="1">
        <f t="array" ref="AG136:AH136">IF(AF136="","",_xlfn.TEXTSPLIT(AF136,"-"))</f>
        <v>CI2026</v>
      </c>
      <c r="AH136" s="168" t="str">
        <v>0324</v>
      </c>
    </row>
    <row r="137" spans="26:34" ht="24" customHeight="1">
      <c r="Z137"/>
      <c r="AA137"/>
      <c r="AB137"/>
      <c r="AC137"/>
      <c r="AD137"/>
      <c r="AE137" s="168">
        <f t="shared" si="2"/>
        <v>325</v>
      </c>
      <c r="AF137" s="168" t="str">
        <v>CI2026-0325</v>
      </c>
      <c r="AG137" s="168" t="str" cm="1">
        <f t="array" ref="AG137:AH137">IF(AF137="","",_xlfn.TEXTSPLIT(AF137,"-"))</f>
        <v>CI2026</v>
      </c>
      <c r="AH137" s="168" t="str">
        <v>0325</v>
      </c>
    </row>
    <row r="138" spans="26:34" ht="24" customHeight="1">
      <c r="Z138"/>
      <c r="AA138"/>
      <c r="AB138"/>
      <c r="AC138"/>
      <c r="AD138"/>
      <c r="AE138" s="168">
        <f t="shared" si="2"/>
        <v>326</v>
      </c>
      <c r="AF138" s="168" t="str">
        <v>CI2026-0326</v>
      </c>
      <c r="AG138" s="168" t="str" cm="1">
        <f t="array" ref="AG138:AH138">IF(AF138="","",_xlfn.TEXTSPLIT(AF138,"-"))</f>
        <v>CI2026</v>
      </c>
      <c r="AH138" s="168" t="str">
        <v>0326</v>
      </c>
    </row>
    <row r="139" spans="26:34" ht="24" customHeight="1">
      <c r="Z139"/>
      <c r="AA139"/>
      <c r="AB139"/>
      <c r="AC139"/>
      <c r="AD139"/>
      <c r="AE139" s="168">
        <f t="shared" si="2"/>
        <v>327</v>
      </c>
      <c r="AF139" s="168" t="str">
        <v>CI2026-0327</v>
      </c>
      <c r="AG139" s="168" t="str" cm="1">
        <f t="array" ref="AG139:AH139">IF(AF139="","",_xlfn.TEXTSPLIT(AF139,"-"))</f>
        <v>CI2026</v>
      </c>
      <c r="AH139" s="168" t="str">
        <v>0327</v>
      </c>
    </row>
    <row r="140" spans="26:34" ht="24" customHeight="1">
      <c r="Z140"/>
      <c r="AA140"/>
      <c r="AB140"/>
      <c r="AC140"/>
      <c r="AD140"/>
      <c r="AE140" s="168">
        <f t="shared" si="2"/>
        <v>328</v>
      </c>
      <c r="AF140" s="168" t="str">
        <v>CI2026-0328</v>
      </c>
      <c r="AG140" s="168" t="str" cm="1">
        <f t="array" ref="AG140:AH140">IF(AF140="","",_xlfn.TEXTSPLIT(AF140,"-"))</f>
        <v>CI2026</v>
      </c>
      <c r="AH140" s="168" t="str">
        <v>0328</v>
      </c>
    </row>
    <row r="141" spans="26:34" ht="24" customHeight="1">
      <c r="Z141"/>
      <c r="AA141"/>
      <c r="AB141"/>
      <c r="AC141"/>
      <c r="AD141"/>
      <c r="AE141" s="168">
        <f t="shared" si="2"/>
        <v>329</v>
      </c>
      <c r="AF141" s="168" t="str">
        <v>CI2026-0329</v>
      </c>
      <c r="AG141" s="168" t="str" cm="1">
        <f t="array" ref="AG141:AH141">IF(AF141="","",_xlfn.TEXTSPLIT(AF141,"-"))</f>
        <v>CI2026</v>
      </c>
      <c r="AH141" s="168" t="str">
        <v>0329</v>
      </c>
    </row>
    <row r="142" spans="26:34" ht="24" customHeight="1">
      <c r="Z142"/>
      <c r="AA142"/>
      <c r="AB142"/>
      <c r="AC142"/>
      <c r="AD142"/>
      <c r="AE142" s="168">
        <f t="shared" si="2"/>
        <v>330</v>
      </c>
      <c r="AF142" s="168" t="str">
        <v>CI2026-0330</v>
      </c>
      <c r="AG142" s="168" t="str" cm="1">
        <f t="array" ref="AG142:AH142">IF(AF142="","",_xlfn.TEXTSPLIT(AF142,"-"))</f>
        <v>CI2026</v>
      </c>
      <c r="AH142" s="168" t="str">
        <v>0330</v>
      </c>
    </row>
    <row r="143" spans="26:34" ht="24" customHeight="1">
      <c r="Z143"/>
      <c r="AA143"/>
      <c r="AB143"/>
      <c r="AC143"/>
      <c r="AD143"/>
      <c r="AE143" s="168">
        <f t="shared" si="2"/>
        <v>331</v>
      </c>
      <c r="AF143" s="168" t="str">
        <v>CI2026-0331</v>
      </c>
      <c r="AG143" s="168" t="str" cm="1">
        <f t="array" ref="AG143:AH143">IF(AF143="","",_xlfn.TEXTSPLIT(AF143,"-"))</f>
        <v>CI2026</v>
      </c>
      <c r="AH143" s="168" t="str">
        <v>0331</v>
      </c>
    </row>
    <row r="144" spans="26:34" ht="24" customHeight="1">
      <c r="Z144"/>
      <c r="AA144"/>
      <c r="AB144"/>
      <c r="AC144"/>
      <c r="AD144"/>
      <c r="AE144" s="168">
        <f t="shared" si="2"/>
        <v>332</v>
      </c>
      <c r="AF144" s="168" t="str">
        <v>CI2026-0332</v>
      </c>
      <c r="AG144" s="168" t="str" cm="1">
        <f t="array" ref="AG144:AH144">IF(AF144="","",_xlfn.TEXTSPLIT(AF144,"-"))</f>
        <v>CI2026</v>
      </c>
      <c r="AH144" s="168" t="str">
        <v>0332</v>
      </c>
    </row>
    <row r="145" spans="26:34" ht="24" customHeight="1">
      <c r="Z145"/>
      <c r="AA145"/>
      <c r="AB145"/>
      <c r="AC145"/>
      <c r="AD145"/>
      <c r="AE145" s="168">
        <f t="shared" si="2"/>
        <v>333</v>
      </c>
      <c r="AF145" s="168" t="str">
        <v>CI2026-0333</v>
      </c>
      <c r="AG145" s="168" t="str" cm="1">
        <f t="array" ref="AG145:AH145">IF(AF145="","",_xlfn.TEXTSPLIT(AF145,"-"))</f>
        <v>CI2026</v>
      </c>
      <c r="AH145" s="168" t="str">
        <v>0333</v>
      </c>
    </row>
    <row r="146" spans="26:34" ht="24" customHeight="1">
      <c r="Z146"/>
      <c r="AA146"/>
      <c r="AB146"/>
      <c r="AC146"/>
      <c r="AD146"/>
      <c r="AE146" s="168">
        <f t="shared" si="2"/>
        <v>334</v>
      </c>
      <c r="AF146" s="168" t="str">
        <v>CI2026-0334</v>
      </c>
      <c r="AG146" s="168" t="str" cm="1">
        <f t="array" ref="AG146:AH146">IF(AF146="","",_xlfn.TEXTSPLIT(AF146,"-"))</f>
        <v>CI2026</v>
      </c>
      <c r="AH146" s="168" t="str">
        <v>0334</v>
      </c>
    </row>
    <row r="147" spans="26:34" ht="24" customHeight="1">
      <c r="Z147"/>
      <c r="AA147"/>
      <c r="AB147"/>
      <c r="AC147"/>
      <c r="AD147"/>
      <c r="AE147" s="168">
        <f t="shared" si="2"/>
        <v>335</v>
      </c>
      <c r="AF147" s="168" t="str">
        <v>CI2026-0335</v>
      </c>
      <c r="AG147" s="168" t="str" cm="1">
        <f t="array" ref="AG147:AH147">IF(AF147="","",_xlfn.TEXTSPLIT(AF147,"-"))</f>
        <v>CI2026</v>
      </c>
      <c r="AH147" s="168" t="str">
        <v>0335</v>
      </c>
    </row>
    <row r="148" spans="26:34" ht="24" customHeight="1">
      <c r="Z148"/>
      <c r="AA148"/>
      <c r="AB148"/>
      <c r="AC148"/>
      <c r="AD148"/>
      <c r="AE148" s="168">
        <f t="shared" si="2"/>
        <v>336</v>
      </c>
      <c r="AF148" s="168" t="str">
        <v>CI2026-0336</v>
      </c>
      <c r="AG148" s="168" t="str" cm="1">
        <f t="array" ref="AG148:AH148">IF(AF148="","",_xlfn.TEXTSPLIT(AF148,"-"))</f>
        <v>CI2026</v>
      </c>
      <c r="AH148" s="168" t="str">
        <v>0336</v>
      </c>
    </row>
    <row r="149" spans="26:34" ht="24" customHeight="1">
      <c r="Z149"/>
      <c r="AA149"/>
      <c r="AB149"/>
      <c r="AC149"/>
      <c r="AD149"/>
      <c r="AE149" s="168">
        <f t="shared" si="2"/>
        <v>337</v>
      </c>
      <c r="AF149" s="168" t="str">
        <v>CI2026-0337</v>
      </c>
      <c r="AG149" s="168" t="str" cm="1">
        <f t="array" ref="AG149:AH149">IF(AF149="","",_xlfn.TEXTSPLIT(AF149,"-"))</f>
        <v>CI2026</v>
      </c>
      <c r="AH149" s="168" t="str">
        <v>0337</v>
      </c>
    </row>
    <row r="150" spans="26:34" ht="24" customHeight="1">
      <c r="Z150"/>
      <c r="AA150"/>
      <c r="AB150"/>
      <c r="AC150"/>
      <c r="AD150"/>
      <c r="AE150" s="168">
        <f t="shared" si="2"/>
        <v>338</v>
      </c>
      <c r="AF150" s="168" t="str">
        <v>CI2026-0338</v>
      </c>
      <c r="AG150" s="168" t="str" cm="1">
        <f t="array" ref="AG150:AH150">IF(AF150="","",_xlfn.TEXTSPLIT(AF150,"-"))</f>
        <v>CI2026</v>
      </c>
      <c r="AH150" s="168" t="str">
        <v>0338</v>
      </c>
    </row>
    <row r="151" spans="26:34" ht="24" customHeight="1">
      <c r="Z151"/>
      <c r="AA151"/>
      <c r="AB151"/>
      <c r="AC151"/>
      <c r="AD151"/>
      <c r="AE151" s="168">
        <f t="shared" si="2"/>
        <v>339</v>
      </c>
      <c r="AF151" s="168" t="str">
        <v>CI2026-0339</v>
      </c>
      <c r="AG151" s="168" t="str" cm="1">
        <f t="array" ref="AG151:AH151">IF(AF151="","",_xlfn.TEXTSPLIT(AF151,"-"))</f>
        <v>CI2026</v>
      </c>
      <c r="AH151" s="168" t="str">
        <v>0339</v>
      </c>
    </row>
    <row r="152" spans="26:34" ht="24" customHeight="1">
      <c r="Z152"/>
      <c r="AA152"/>
      <c r="AB152"/>
      <c r="AC152"/>
      <c r="AD152"/>
      <c r="AE152" s="168">
        <f t="shared" si="2"/>
        <v>340</v>
      </c>
      <c r="AF152" s="168" t="str">
        <v>CI2026-0340</v>
      </c>
      <c r="AG152" s="168" t="str" cm="1">
        <f t="array" ref="AG152:AH152">IF(AF152="","",_xlfn.TEXTSPLIT(AF152,"-"))</f>
        <v>CI2026</v>
      </c>
      <c r="AH152" s="168" t="str">
        <v>0340</v>
      </c>
    </row>
    <row r="153" spans="26:34" ht="24" customHeight="1">
      <c r="Z153"/>
      <c r="AA153"/>
      <c r="AB153"/>
      <c r="AC153"/>
      <c r="AD153"/>
      <c r="AE153" s="168">
        <f t="shared" si="2"/>
        <v>341</v>
      </c>
      <c r="AF153" s="168" t="str">
        <v>CI2026-0341</v>
      </c>
      <c r="AG153" s="168" t="str" cm="1">
        <f t="array" ref="AG153:AH153">IF(AF153="","",_xlfn.TEXTSPLIT(AF153,"-"))</f>
        <v>CI2026</v>
      </c>
      <c r="AH153" s="168" t="str">
        <v>0341</v>
      </c>
    </row>
    <row r="154" spans="26:34" ht="24" customHeight="1">
      <c r="Z154"/>
      <c r="AA154"/>
      <c r="AB154"/>
      <c r="AC154"/>
      <c r="AD154"/>
      <c r="AE154" s="168">
        <f t="shared" si="2"/>
        <v>342</v>
      </c>
      <c r="AF154" s="168" t="str">
        <v>CI2026-0342</v>
      </c>
      <c r="AG154" s="168" t="str" cm="1">
        <f t="array" ref="AG154:AH154">IF(AF154="","",_xlfn.TEXTSPLIT(AF154,"-"))</f>
        <v>CI2026</v>
      </c>
      <c r="AH154" s="168" t="str">
        <v>0342</v>
      </c>
    </row>
    <row r="155" spans="26:34" ht="24" customHeight="1">
      <c r="Z155"/>
      <c r="AA155"/>
      <c r="AB155"/>
      <c r="AC155"/>
      <c r="AD155"/>
      <c r="AE155" s="168">
        <f t="shared" si="2"/>
        <v>343</v>
      </c>
      <c r="AF155" s="168" t="str">
        <v>CI2026-0343</v>
      </c>
      <c r="AG155" s="168" t="str" cm="1">
        <f t="array" ref="AG155:AH155">IF(AF155="","",_xlfn.TEXTSPLIT(AF155,"-"))</f>
        <v>CI2026</v>
      </c>
      <c r="AH155" s="168" t="str">
        <v>0343</v>
      </c>
    </row>
    <row r="156" spans="26:34" ht="24" customHeight="1">
      <c r="Z156"/>
      <c r="AA156"/>
      <c r="AB156"/>
      <c r="AC156"/>
      <c r="AD156"/>
      <c r="AE156" s="168">
        <f t="shared" si="2"/>
        <v>344</v>
      </c>
      <c r="AF156" s="168" t="str">
        <v>CI2026-0344</v>
      </c>
      <c r="AG156" s="168" t="str" cm="1">
        <f t="array" ref="AG156:AH156">IF(AF156="","",_xlfn.TEXTSPLIT(AF156,"-"))</f>
        <v>CI2026</v>
      </c>
      <c r="AH156" s="168" t="str">
        <v>0344</v>
      </c>
    </row>
    <row r="157" spans="26:34" ht="24" customHeight="1">
      <c r="Z157"/>
      <c r="AA157"/>
      <c r="AB157"/>
      <c r="AC157"/>
      <c r="AD157"/>
      <c r="AE157" s="168">
        <f t="shared" si="2"/>
        <v>345</v>
      </c>
      <c r="AF157" s="168" t="str">
        <v>CI2026-0345</v>
      </c>
      <c r="AG157" s="168" t="str" cm="1">
        <f t="array" ref="AG157:AH157">IF(AF157="","",_xlfn.TEXTSPLIT(AF157,"-"))</f>
        <v>CI2026</v>
      </c>
      <c r="AH157" s="168" t="str">
        <v>0345</v>
      </c>
    </row>
    <row r="158" spans="26:34" ht="24" customHeight="1">
      <c r="Z158"/>
      <c r="AA158"/>
      <c r="AB158"/>
      <c r="AC158"/>
      <c r="AD158"/>
      <c r="AE158" s="168">
        <f t="shared" si="2"/>
        <v>346</v>
      </c>
      <c r="AF158" s="168" t="str">
        <v>CI2026-0346</v>
      </c>
      <c r="AG158" s="168" t="str" cm="1">
        <f t="array" ref="AG158:AH158">IF(AF158="","",_xlfn.TEXTSPLIT(AF158,"-"))</f>
        <v>CI2026</v>
      </c>
      <c r="AH158" s="168" t="str">
        <v>0346</v>
      </c>
    </row>
    <row r="159" spans="26:34" ht="24" customHeight="1">
      <c r="Z159"/>
      <c r="AA159"/>
      <c r="AB159"/>
      <c r="AC159"/>
      <c r="AD159"/>
      <c r="AE159" s="168">
        <f t="shared" si="2"/>
        <v>347</v>
      </c>
      <c r="AF159" s="168" t="str">
        <v>CI2026-0347</v>
      </c>
      <c r="AG159" s="168" t="str" cm="1">
        <f t="array" ref="AG159:AH159">IF(AF159="","",_xlfn.TEXTSPLIT(AF159,"-"))</f>
        <v>CI2026</v>
      </c>
      <c r="AH159" s="168" t="str">
        <v>0347</v>
      </c>
    </row>
    <row r="160" spans="26:34" ht="24" customHeight="1">
      <c r="Z160"/>
      <c r="AA160"/>
      <c r="AB160"/>
      <c r="AC160"/>
      <c r="AD160"/>
      <c r="AE160" s="168">
        <f t="shared" si="2"/>
        <v>348</v>
      </c>
      <c r="AF160" s="168" t="str">
        <v>CI2026-0348</v>
      </c>
      <c r="AG160" s="168" t="str" cm="1">
        <f t="array" ref="AG160:AH160">IF(AF160="","",_xlfn.TEXTSPLIT(AF160,"-"))</f>
        <v>CI2026</v>
      </c>
      <c r="AH160" s="168" t="str">
        <v>0348</v>
      </c>
    </row>
    <row r="161" spans="26:34" ht="24" customHeight="1">
      <c r="Z161"/>
      <c r="AA161"/>
      <c r="AB161"/>
      <c r="AC161"/>
      <c r="AD161"/>
      <c r="AE161" s="168">
        <f t="shared" si="2"/>
        <v>349</v>
      </c>
      <c r="AF161" s="168" t="str">
        <v>CI2026-0349</v>
      </c>
      <c r="AG161" s="168" t="str" cm="1">
        <f t="array" ref="AG161:AH161">IF(AF161="","",_xlfn.TEXTSPLIT(AF161,"-"))</f>
        <v>CI2026</v>
      </c>
      <c r="AH161" s="168" t="str">
        <v>0349</v>
      </c>
    </row>
    <row r="162" spans="26:34" ht="24" customHeight="1">
      <c r="Z162"/>
      <c r="AA162"/>
      <c r="AB162"/>
      <c r="AC162"/>
      <c r="AD162"/>
      <c r="AE162" s="168">
        <f t="shared" si="2"/>
        <v>350</v>
      </c>
      <c r="AF162" s="168" t="str">
        <v>CI2026-0350</v>
      </c>
      <c r="AG162" s="168" t="str" cm="1">
        <f t="array" ref="AG162:AH162">IF(AF162="","",_xlfn.TEXTSPLIT(AF162,"-"))</f>
        <v>CI2026</v>
      </c>
      <c r="AH162" s="168" t="str">
        <v>0350</v>
      </c>
    </row>
    <row r="163" spans="26:34" ht="24" customHeight="1">
      <c r="Z163"/>
      <c r="AA163"/>
      <c r="AB163"/>
      <c r="AC163"/>
      <c r="AD163"/>
      <c r="AE163" s="168">
        <f t="shared" si="2"/>
        <v>351</v>
      </c>
      <c r="AF163" s="168" t="str">
        <v>CI2026-0351</v>
      </c>
      <c r="AG163" s="168" t="str" cm="1">
        <f t="array" ref="AG163:AH163">IF(AF163="","",_xlfn.TEXTSPLIT(AF163,"-"))</f>
        <v>CI2026</v>
      </c>
      <c r="AH163" s="168" t="str">
        <v>0351</v>
      </c>
    </row>
    <row r="164" spans="26:34" ht="24" customHeight="1">
      <c r="Z164"/>
      <c r="AA164"/>
      <c r="AB164"/>
      <c r="AC164"/>
      <c r="AD164"/>
      <c r="AE164" s="168">
        <f t="shared" si="2"/>
        <v>352</v>
      </c>
      <c r="AF164" s="168" t="str">
        <v>CI2026-0352</v>
      </c>
      <c r="AG164" s="168" t="str" cm="1">
        <f t="array" ref="AG164:AH164">IF(AF164="","",_xlfn.TEXTSPLIT(AF164,"-"))</f>
        <v>CI2026</v>
      </c>
      <c r="AH164" s="168" t="str">
        <v>0352</v>
      </c>
    </row>
    <row r="165" spans="26:34" ht="24" customHeight="1">
      <c r="Z165"/>
      <c r="AA165"/>
      <c r="AB165"/>
      <c r="AC165"/>
      <c r="AD165"/>
      <c r="AE165" s="168">
        <f t="shared" si="2"/>
        <v>353</v>
      </c>
      <c r="AF165" s="168" t="str">
        <v>CI2026-0353</v>
      </c>
      <c r="AG165" s="168" t="str" cm="1">
        <f t="array" ref="AG165:AH165">IF(AF165="","",_xlfn.TEXTSPLIT(AF165,"-"))</f>
        <v>CI2026</v>
      </c>
      <c r="AH165" s="168" t="str">
        <v>0353</v>
      </c>
    </row>
    <row r="166" spans="26:34" ht="24" customHeight="1">
      <c r="Z166"/>
      <c r="AA166"/>
      <c r="AB166"/>
      <c r="AC166"/>
      <c r="AD166"/>
      <c r="AE166" s="168">
        <f t="shared" si="2"/>
        <v>354</v>
      </c>
      <c r="AF166" s="168" t="str">
        <v>CI2026-0354</v>
      </c>
      <c r="AG166" s="168" t="str" cm="1">
        <f t="array" ref="AG166:AH166">IF(AF166="","",_xlfn.TEXTSPLIT(AF166,"-"))</f>
        <v>CI2026</v>
      </c>
      <c r="AH166" s="168" t="str">
        <v>0354</v>
      </c>
    </row>
    <row r="167" spans="26:34" ht="24" customHeight="1">
      <c r="Z167"/>
      <c r="AA167"/>
      <c r="AB167"/>
      <c r="AC167"/>
      <c r="AD167"/>
      <c r="AE167" s="168">
        <f t="shared" si="2"/>
        <v>355</v>
      </c>
      <c r="AF167" s="168" t="str">
        <v>CI2026-0355</v>
      </c>
      <c r="AG167" s="168" t="str" cm="1">
        <f t="array" ref="AG167:AH167">IF(AF167="","",_xlfn.TEXTSPLIT(AF167,"-"))</f>
        <v>CI2026</v>
      </c>
      <c r="AH167" s="168" t="str">
        <v>0355</v>
      </c>
    </row>
    <row r="168" spans="26:34" ht="24" customHeight="1">
      <c r="Z168"/>
      <c r="AA168"/>
      <c r="AB168"/>
      <c r="AC168"/>
      <c r="AD168"/>
      <c r="AE168" s="168">
        <f t="shared" si="2"/>
        <v>356</v>
      </c>
      <c r="AF168" s="168" t="str">
        <v>CI2026-0356</v>
      </c>
      <c r="AG168" s="168" t="str" cm="1">
        <f t="array" ref="AG168:AH168">IF(AF168="","",_xlfn.TEXTSPLIT(AF168,"-"))</f>
        <v>CI2026</v>
      </c>
      <c r="AH168" s="168" t="str">
        <v>0356</v>
      </c>
    </row>
    <row r="169" spans="26:34" ht="24" customHeight="1">
      <c r="Z169"/>
      <c r="AA169"/>
      <c r="AB169"/>
      <c r="AC169"/>
      <c r="AD169"/>
      <c r="AE169" s="168">
        <f t="shared" si="2"/>
        <v>357</v>
      </c>
      <c r="AF169" s="168" t="str">
        <v>CI2026-0357</v>
      </c>
      <c r="AG169" s="168" t="str" cm="1">
        <f t="array" ref="AG169:AH169">IF(AF169="","",_xlfn.TEXTSPLIT(AF169,"-"))</f>
        <v>CI2026</v>
      </c>
      <c r="AH169" s="168" t="str">
        <v>0357</v>
      </c>
    </row>
    <row r="170" spans="26:34" ht="24" customHeight="1">
      <c r="Z170"/>
      <c r="AA170"/>
      <c r="AB170"/>
      <c r="AC170"/>
      <c r="AD170"/>
      <c r="AE170" s="168">
        <f t="shared" si="2"/>
        <v>358</v>
      </c>
      <c r="AF170" s="168" t="str">
        <v>CI2026-0358</v>
      </c>
      <c r="AG170" s="168" t="str" cm="1">
        <f t="array" ref="AG170:AH170">IF(AF170="","",_xlfn.TEXTSPLIT(AF170,"-"))</f>
        <v>CI2026</v>
      </c>
      <c r="AH170" s="168" t="str">
        <v>0358</v>
      </c>
    </row>
    <row r="171" spans="26:34" ht="24" customHeight="1">
      <c r="Z171"/>
      <c r="AA171"/>
      <c r="AB171"/>
      <c r="AC171"/>
      <c r="AD171"/>
      <c r="AE171" s="168">
        <f t="shared" si="2"/>
        <v>359</v>
      </c>
      <c r="AF171" s="168" t="str">
        <v>CI2026-0359</v>
      </c>
      <c r="AG171" s="168" t="str" cm="1">
        <f t="array" ref="AG171:AH171">IF(AF171="","",_xlfn.TEXTSPLIT(AF171,"-"))</f>
        <v>CI2026</v>
      </c>
      <c r="AH171" s="168" t="str">
        <v>0359</v>
      </c>
    </row>
    <row r="172" spans="26:34" ht="24" customHeight="1">
      <c r="Z172"/>
      <c r="AA172"/>
      <c r="AB172"/>
      <c r="AC172"/>
      <c r="AD172"/>
      <c r="AE172" s="168">
        <f t="shared" si="2"/>
        <v>360</v>
      </c>
      <c r="AF172" s="168" t="str">
        <v>CI2026-0360</v>
      </c>
      <c r="AG172" s="168" t="str" cm="1">
        <f t="array" ref="AG172:AH172">IF(AF172="","",_xlfn.TEXTSPLIT(AF172,"-"))</f>
        <v>CI2026</v>
      </c>
      <c r="AH172" s="168" t="str">
        <v>0360</v>
      </c>
    </row>
    <row r="173" spans="26:34" ht="24" customHeight="1">
      <c r="Z173"/>
      <c r="AA173"/>
      <c r="AB173"/>
      <c r="AC173"/>
      <c r="AD173"/>
      <c r="AE173" s="168">
        <f t="shared" si="2"/>
        <v>361</v>
      </c>
      <c r="AF173" s="168" t="str">
        <v>CI2026-0361</v>
      </c>
      <c r="AG173" s="168" t="str" cm="1">
        <f t="array" ref="AG173:AH173">IF(AF173="","",_xlfn.TEXTSPLIT(AF173,"-"))</f>
        <v>CI2026</v>
      </c>
      <c r="AH173" s="168" t="str">
        <v>0361</v>
      </c>
    </row>
    <row r="174" spans="26:34" ht="24" customHeight="1">
      <c r="Z174"/>
      <c r="AA174"/>
      <c r="AB174"/>
      <c r="AC174"/>
      <c r="AD174"/>
      <c r="AE174" s="168">
        <f t="shared" si="2"/>
        <v>362</v>
      </c>
      <c r="AF174" s="168" t="str">
        <v>CI2026-0362</v>
      </c>
      <c r="AG174" s="168" t="str" cm="1">
        <f t="array" ref="AG174:AH174">IF(AF174="","",_xlfn.TEXTSPLIT(AF174,"-"))</f>
        <v>CI2026</v>
      </c>
      <c r="AH174" s="168" t="str">
        <v>0362</v>
      </c>
    </row>
    <row r="175" spans="26:34" ht="24" customHeight="1">
      <c r="Z175"/>
      <c r="AA175"/>
      <c r="AB175"/>
      <c r="AC175"/>
      <c r="AD175"/>
      <c r="AE175" s="168">
        <f t="shared" si="2"/>
        <v>363</v>
      </c>
      <c r="AF175" s="168" t="str">
        <v>CI2026-0363</v>
      </c>
      <c r="AG175" s="168" t="str" cm="1">
        <f t="array" ref="AG175:AH175">IF(AF175="","",_xlfn.TEXTSPLIT(AF175,"-"))</f>
        <v>CI2026</v>
      </c>
      <c r="AH175" s="168" t="str">
        <v>0363</v>
      </c>
    </row>
    <row r="176" spans="26:34" ht="24" customHeight="1">
      <c r="Z176"/>
      <c r="AA176"/>
      <c r="AB176"/>
      <c r="AC176"/>
      <c r="AD176"/>
      <c r="AE176" s="168">
        <f t="shared" si="2"/>
        <v>364</v>
      </c>
      <c r="AF176" s="168" t="str">
        <v>CI2026-0364</v>
      </c>
      <c r="AG176" s="168" t="str" cm="1">
        <f t="array" ref="AG176:AH176">IF(AF176="","",_xlfn.TEXTSPLIT(AF176,"-"))</f>
        <v>CI2026</v>
      </c>
      <c r="AH176" s="168" t="str">
        <v>0364</v>
      </c>
    </row>
    <row r="177" spans="26:34" ht="24" customHeight="1">
      <c r="Z177"/>
      <c r="AA177"/>
      <c r="AB177"/>
      <c r="AC177"/>
      <c r="AD177"/>
      <c r="AE177" s="168">
        <f t="shared" si="2"/>
        <v>365</v>
      </c>
      <c r="AF177" s="168" t="str">
        <v>CI2026-0365</v>
      </c>
      <c r="AG177" s="168" t="str" cm="1">
        <f t="array" ref="AG177:AH177">IF(AF177="","",_xlfn.TEXTSPLIT(AF177,"-"))</f>
        <v>CI2026</v>
      </c>
      <c r="AH177" s="168" t="str">
        <v>0365</v>
      </c>
    </row>
    <row r="178" spans="26:34" ht="24" customHeight="1">
      <c r="Z178"/>
      <c r="AA178"/>
      <c r="AB178"/>
      <c r="AC178"/>
      <c r="AD178"/>
      <c r="AE178" s="168">
        <f t="shared" si="2"/>
        <v>366</v>
      </c>
      <c r="AF178" s="168" t="str">
        <v>CI2026-0366</v>
      </c>
      <c r="AG178" s="168" t="str" cm="1">
        <f t="array" ref="AG178:AH178">IF(AF178="","",_xlfn.TEXTSPLIT(AF178,"-"))</f>
        <v>CI2026</v>
      </c>
      <c r="AH178" s="168" t="str">
        <v>0366</v>
      </c>
    </row>
    <row r="179" spans="26:34" ht="24" customHeight="1">
      <c r="Z179"/>
      <c r="AA179"/>
      <c r="AB179"/>
      <c r="AC179"/>
      <c r="AD179"/>
      <c r="AE179" s="168">
        <f t="shared" si="2"/>
        <v>367</v>
      </c>
      <c r="AF179" s="168" t="str">
        <v>CI2026-0367</v>
      </c>
      <c r="AG179" s="168" t="str" cm="1">
        <f t="array" ref="AG179:AH179">IF(AF179="","",_xlfn.TEXTSPLIT(AF179,"-"))</f>
        <v>CI2026</v>
      </c>
      <c r="AH179" s="168" t="str">
        <v>0367</v>
      </c>
    </row>
    <row r="180" spans="26:34" ht="24" customHeight="1">
      <c r="Z180"/>
      <c r="AA180"/>
      <c r="AB180"/>
      <c r="AC180"/>
      <c r="AD180"/>
      <c r="AE180" s="168">
        <f t="shared" si="2"/>
        <v>368</v>
      </c>
      <c r="AF180" s="168" t="str">
        <v>CI2026-0368</v>
      </c>
      <c r="AG180" s="168" t="str" cm="1">
        <f t="array" ref="AG180:AH180">IF(AF180="","",_xlfn.TEXTSPLIT(AF180,"-"))</f>
        <v>CI2026</v>
      </c>
      <c r="AH180" s="168" t="str">
        <v>0368</v>
      </c>
    </row>
    <row r="181" spans="26:34" ht="24" customHeight="1">
      <c r="Z181"/>
      <c r="AA181"/>
      <c r="AB181"/>
      <c r="AC181"/>
      <c r="AD181"/>
      <c r="AE181" s="168">
        <f t="shared" si="2"/>
        <v>369</v>
      </c>
      <c r="AF181" s="168" t="str">
        <v>CI2026-0369</v>
      </c>
      <c r="AG181" s="168" t="str" cm="1">
        <f t="array" ref="AG181:AH181">IF(AF181="","",_xlfn.TEXTSPLIT(AF181,"-"))</f>
        <v>CI2026</v>
      </c>
      <c r="AH181" s="168" t="str">
        <v>0369</v>
      </c>
    </row>
    <row r="182" spans="26:34" ht="24" customHeight="1">
      <c r="Z182"/>
      <c r="AA182"/>
      <c r="AB182"/>
      <c r="AC182"/>
      <c r="AD182"/>
      <c r="AE182" s="168">
        <f t="shared" si="2"/>
        <v>370</v>
      </c>
      <c r="AF182" s="168" t="str">
        <v>CI2026-0370</v>
      </c>
      <c r="AG182" s="168" t="str" cm="1">
        <f t="array" ref="AG182:AH182">IF(AF182="","",_xlfn.TEXTSPLIT(AF182,"-"))</f>
        <v>CI2026</v>
      </c>
      <c r="AH182" s="168" t="str">
        <v>0370</v>
      </c>
    </row>
    <row r="183" spans="26:34" ht="24" customHeight="1">
      <c r="Z183"/>
      <c r="AA183"/>
      <c r="AB183"/>
      <c r="AC183"/>
      <c r="AD183"/>
      <c r="AE183" s="168">
        <f t="shared" si="2"/>
        <v>371</v>
      </c>
      <c r="AF183" s="168" t="str">
        <v>CI2026-0371</v>
      </c>
      <c r="AG183" s="168" t="str" cm="1">
        <f t="array" ref="AG183:AH183">IF(AF183="","",_xlfn.TEXTSPLIT(AF183,"-"))</f>
        <v>CI2026</v>
      </c>
      <c r="AH183" s="168" t="str">
        <v>0371</v>
      </c>
    </row>
    <row r="184" spans="26:34" ht="24" customHeight="1">
      <c r="Z184"/>
      <c r="AA184"/>
      <c r="AB184"/>
      <c r="AC184"/>
      <c r="AD184"/>
      <c r="AE184" s="168">
        <f t="shared" si="2"/>
        <v>372</v>
      </c>
      <c r="AF184" s="168" t="str">
        <v>CI2026-0372</v>
      </c>
      <c r="AG184" s="168" t="str" cm="1">
        <f t="array" ref="AG184:AH184">IF(AF184="","",_xlfn.TEXTSPLIT(AF184,"-"))</f>
        <v>CI2026</v>
      </c>
      <c r="AH184" s="168" t="str">
        <v>0372</v>
      </c>
    </row>
    <row r="185" spans="26:34" ht="24" customHeight="1">
      <c r="Z185"/>
      <c r="AA185"/>
      <c r="AB185"/>
      <c r="AC185"/>
      <c r="AD185"/>
      <c r="AE185" s="168">
        <f t="shared" si="2"/>
        <v>373</v>
      </c>
      <c r="AF185" s="168" t="str">
        <v>CI2026-0373</v>
      </c>
      <c r="AG185" s="168" t="str" cm="1">
        <f t="array" ref="AG185:AH185">IF(AF185="","",_xlfn.TEXTSPLIT(AF185,"-"))</f>
        <v>CI2026</v>
      </c>
      <c r="AH185" s="168" t="str">
        <v>0373</v>
      </c>
    </row>
    <row r="186" spans="26:34" ht="24" customHeight="1">
      <c r="Z186"/>
      <c r="AA186"/>
      <c r="AB186"/>
      <c r="AC186"/>
      <c r="AD186"/>
      <c r="AE186" s="168">
        <f t="shared" si="2"/>
        <v>374</v>
      </c>
      <c r="AF186" s="168" t="str">
        <v>CI2026-0374</v>
      </c>
      <c r="AG186" s="168" t="str" cm="1">
        <f t="array" ref="AG186:AH186">IF(AF186="","",_xlfn.TEXTSPLIT(AF186,"-"))</f>
        <v>CI2026</v>
      </c>
      <c r="AH186" s="168" t="str">
        <v>0374</v>
      </c>
    </row>
    <row r="187" spans="26:34" ht="24" customHeight="1">
      <c r="Z187"/>
      <c r="AA187"/>
      <c r="AB187"/>
      <c r="AC187"/>
      <c r="AD187"/>
      <c r="AE187" s="168">
        <f t="shared" si="2"/>
        <v>375</v>
      </c>
      <c r="AF187" s="168" t="str">
        <v>CI2026-0375</v>
      </c>
      <c r="AG187" s="168" t="str" cm="1">
        <f t="array" ref="AG187:AH187">IF(AF187="","",_xlfn.TEXTSPLIT(AF187,"-"))</f>
        <v>CI2026</v>
      </c>
      <c r="AH187" s="168" t="str">
        <v>0375</v>
      </c>
    </row>
    <row r="188" spans="26:34" ht="24" customHeight="1">
      <c r="Z188"/>
      <c r="AA188"/>
      <c r="AB188"/>
      <c r="AC188"/>
      <c r="AD188"/>
      <c r="AE188" s="168">
        <f t="shared" si="2"/>
        <v>376</v>
      </c>
      <c r="AF188" s="168" t="str">
        <v>CI2026-0376</v>
      </c>
      <c r="AG188" s="168" t="str" cm="1">
        <f t="array" ref="AG188:AH188">IF(AF188="","",_xlfn.TEXTSPLIT(AF188,"-"))</f>
        <v>CI2026</v>
      </c>
      <c r="AH188" s="168" t="str">
        <v>0376</v>
      </c>
    </row>
    <row r="189" spans="26:34" ht="24" customHeight="1">
      <c r="Z189"/>
      <c r="AA189"/>
      <c r="AB189"/>
      <c r="AC189"/>
      <c r="AD189"/>
      <c r="AE189" s="168">
        <f t="shared" si="2"/>
        <v>377</v>
      </c>
      <c r="AF189" s="168" t="str">
        <v>CI2026-0377</v>
      </c>
      <c r="AG189" s="168" t="str" cm="1">
        <f t="array" ref="AG189:AH189">IF(AF189="","",_xlfn.TEXTSPLIT(AF189,"-"))</f>
        <v>CI2026</v>
      </c>
      <c r="AH189" s="168" t="str">
        <v>0377</v>
      </c>
    </row>
    <row r="190" spans="26:34" ht="24" customHeight="1">
      <c r="Z190"/>
      <c r="AA190"/>
      <c r="AB190"/>
      <c r="AC190"/>
      <c r="AD190"/>
      <c r="AE190" s="168">
        <f t="shared" si="2"/>
        <v>378</v>
      </c>
      <c r="AF190" s="168" t="str">
        <v>CI2026-0378</v>
      </c>
      <c r="AG190" s="168" t="str" cm="1">
        <f t="array" ref="AG190:AH190">IF(AF190="","",_xlfn.TEXTSPLIT(AF190,"-"))</f>
        <v>CI2026</v>
      </c>
      <c r="AH190" s="168" t="str">
        <v>0378</v>
      </c>
    </row>
    <row r="191" spans="26:34" ht="24" customHeight="1">
      <c r="Z191"/>
      <c r="AA191"/>
      <c r="AB191"/>
      <c r="AC191"/>
      <c r="AD191"/>
      <c r="AE191" s="168">
        <f t="shared" si="2"/>
        <v>379</v>
      </c>
      <c r="AF191" s="168" t="str">
        <v>CI2026-0379</v>
      </c>
      <c r="AG191" s="168" t="str" cm="1">
        <f t="array" ref="AG191:AH191">IF(AF191="","",_xlfn.TEXTSPLIT(AF191,"-"))</f>
        <v>CI2026</v>
      </c>
      <c r="AH191" s="168" t="str">
        <v>0379</v>
      </c>
    </row>
    <row r="192" spans="26:34" ht="24" customHeight="1">
      <c r="Z192"/>
      <c r="AA192"/>
      <c r="AB192"/>
      <c r="AC192"/>
      <c r="AD192"/>
      <c r="AE192" s="168">
        <f t="shared" si="2"/>
        <v>380</v>
      </c>
      <c r="AF192" s="168" t="str">
        <v>CI2026-0380</v>
      </c>
      <c r="AG192" s="168" t="str" cm="1">
        <f t="array" ref="AG192:AH192">IF(AF192="","",_xlfn.TEXTSPLIT(AF192,"-"))</f>
        <v>CI2026</v>
      </c>
      <c r="AH192" s="168" t="str">
        <v>0380</v>
      </c>
    </row>
    <row r="193" spans="26:34" ht="24" customHeight="1">
      <c r="Z193"/>
      <c r="AA193"/>
      <c r="AB193"/>
      <c r="AC193"/>
      <c r="AD193"/>
      <c r="AE193" s="168">
        <f t="shared" si="2"/>
        <v>381</v>
      </c>
      <c r="AF193" s="168" t="str">
        <v>CI2026-0381</v>
      </c>
      <c r="AG193" s="168" t="str" cm="1">
        <f t="array" ref="AG193:AH193">IF(AF193="","",_xlfn.TEXTSPLIT(AF193,"-"))</f>
        <v>CI2026</v>
      </c>
      <c r="AH193" s="168" t="str">
        <v>0381</v>
      </c>
    </row>
    <row r="194" spans="26:34" ht="24" customHeight="1">
      <c r="Z194"/>
      <c r="AA194"/>
      <c r="AB194"/>
      <c r="AC194"/>
      <c r="AD194"/>
      <c r="AE194" s="168">
        <f t="shared" si="2"/>
        <v>382</v>
      </c>
      <c r="AF194" s="168" t="str">
        <v>CI2026-0382</v>
      </c>
      <c r="AG194" s="168" t="str" cm="1">
        <f t="array" ref="AG194:AH194">IF(AF194="","",_xlfn.TEXTSPLIT(AF194,"-"))</f>
        <v>CI2026</v>
      </c>
      <c r="AH194" s="168" t="str">
        <v>0382</v>
      </c>
    </row>
    <row r="195" spans="26:34" ht="24" customHeight="1">
      <c r="Z195"/>
      <c r="AA195"/>
      <c r="AB195"/>
      <c r="AC195"/>
      <c r="AD195"/>
      <c r="AE195" s="168">
        <f t="shared" si="2"/>
        <v>383</v>
      </c>
      <c r="AF195" s="168" t="str">
        <v>CI2026-0383</v>
      </c>
      <c r="AG195" s="168" t="str" cm="1">
        <f t="array" ref="AG195:AH195">IF(AF195="","",_xlfn.TEXTSPLIT(AF195,"-"))</f>
        <v>CI2026</v>
      </c>
      <c r="AH195" s="168" t="str">
        <v>0383</v>
      </c>
    </row>
    <row r="196" spans="26:34" ht="24" customHeight="1">
      <c r="Z196"/>
      <c r="AA196"/>
      <c r="AB196"/>
      <c r="AC196"/>
      <c r="AD196"/>
      <c r="AE196" s="168">
        <f t="shared" si="2"/>
        <v>384</v>
      </c>
      <c r="AF196" s="168" t="str">
        <v>CI2026-0384</v>
      </c>
      <c r="AG196" s="168" t="str" cm="1">
        <f t="array" ref="AG196:AH196">IF(AF196="","",_xlfn.TEXTSPLIT(AF196,"-"))</f>
        <v>CI2026</v>
      </c>
      <c r="AH196" s="168" t="str">
        <v>0384</v>
      </c>
    </row>
    <row r="197" spans="26:34" ht="24" customHeight="1">
      <c r="Z197"/>
      <c r="AA197"/>
      <c r="AB197"/>
      <c r="AC197"/>
      <c r="AD197"/>
      <c r="AE197" s="168">
        <f t="shared" ref="AE197:AE260" si="3">IF(AH197="","",AH197*1)</f>
        <v>385</v>
      </c>
      <c r="AF197" s="168" t="str">
        <v>CI2026-0385</v>
      </c>
      <c r="AG197" s="168" t="str" cm="1">
        <f t="array" ref="AG197:AH197">IF(AF197="","",_xlfn.TEXTSPLIT(AF197,"-"))</f>
        <v>CI2026</v>
      </c>
      <c r="AH197" s="168" t="str">
        <v>0385</v>
      </c>
    </row>
    <row r="198" spans="26:34" ht="24" customHeight="1">
      <c r="Z198"/>
      <c r="AA198"/>
      <c r="AB198"/>
      <c r="AC198"/>
      <c r="AD198"/>
      <c r="AE198" s="168">
        <f t="shared" si="3"/>
        <v>386</v>
      </c>
      <c r="AF198" s="168" t="str">
        <v>CI2026-0386</v>
      </c>
      <c r="AG198" s="168" t="str" cm="1">
        <f t="array" ref="AG198:AH198">IF(AF198="","",_xlfn.TEXTSPLIT(AF198,"-"))</f>
        <v>CI2026</v>
      </c>
      <c r="AH198" s="168" t="str">
        <v>0386</v>
      </c>
    </row>
    <row r="199" spans="26:34" ht="24" customHeight="1">
      <c r="Z199"/>
      <c r="AA199"/>
      <c r="AB199"/>
      <c r="AC199"/>
      <c r="AD199"/>
      <c r="AE199" s="168">
        <f t="shared" si="3"/>
        <v>387</v>
      </c>
      <c r="AF199" s="168" t="str">
        <v>CI2026-0387</v>
      </c>
      <c r="AG199" s="168" t="str" cm="1">
        <f t="array" ref="AG199:AH199">IF(AF199="","",_xlfn.TEXTSPLIT(AF199,"-"))</f>
        <v>CI2026</v>
      </c>
      <c r="AH199" s="168" t="str">
        <v>0387</v>
      </c>
    </row>
    <row r="200" spans="26:34" ht="24" customHeight="1">
      <c r="Z200"/>
      <c r="AA200"/>
      <c r="AB200"/>
      <c r="AC200"/>
      <c r="AD200"/>
      <c r="AE200" s="168">
        <f t="shared" si="3"/>
        <v>388</v>
      </c>
      <c r="AF200" s="168" t="str">
        <v>CI2026-0388</v>
      </c>
      <c r="AG200" s="168" t="str" cm="1">
        <f t="array" ref="AG200:AH200">IF(AF200="","",_xlfn.TEXTSPLIT(AF200,"-"))</f>
        <v>CI2026</v>
      </c>
      <c r="AH200" s="168" t="str">
        <v>0388</v>
      </c>
    </row>
    <row r="201" spans="26:34" ht="24" customHeight="1">
      <c r="Z201"/>
      <c r="AA201"/>
      <c r="AB201"/>
      <c r="AC201"/>
      <c r="AD201"/>
      <c r="AE201" s="168">
        <f t="shared" si="3"/>
        <v>389</v>
      </c>
      <c r="AF201" s="168" t="str">
        <v>CI2026-0389</v>
      </c>
      <c r="AG201" s="168" t="str" cm="1">
        <f t="array" ref="AG201:AH201">IF(AF201="","",_xlfn.TEXTSPLIT(AF201,"-"))</f>
        <v>CI2026</v>
      </c>
      <c r="AH201" s="168" t="str">
        <v>0389</v>
      </c>
    </row>
    <row r="202" spans="26:34" ht="24" customHeight="1">
      <c r="Z202"/>
      <c r="AA202"/>
      <c r="AB202"/>
      <c r="AC202"/>
      <c r="AD202"/>
      <c r="AE202" s="168">
        <f t="shared" si="3"/>
        <v>390</v>
      </c>
      <c r="AF202" s="168" t="str">
        <v>CI2026-0390</v>
      </c>
      <c r="AG202" s="168" t="str" cm="1">
        <f t="array" ref="AG202:AH202">IF(AF202="","",_xlfn.TEXTSPLIT(AF202,"-"))</f>
        <v>CI2026</v>
      </c>
      <c r="AH202" s="168" t="str">
        <v>0390</v>
      </c>
    </row>
    <row r="203" spans="26:34" ht="24" customHeight="1">
      <c r="Z203"/>
      <c r="AA203"/>
      <c r="AB203"/>
      <c r="AC203"/>
      <c r="AD203"/>
      <c r="AE203" s="168">
        <f t="shared" si="3"/>
        <v>391</v>
      </c>
      <c r="AF203" s="168" t="str">
        <v>CI2026-0391</v>
      </c>
      <c r="AG203" s="168" t="str" cm="1">
        <f t="array" ref="AG203:AH203">IF(AF203="","",_xlfn.TEXTSPLIT(AF203,"-"))</f>
        <v>CI2026</v>
      </c>
      <c r="AH203" s="168" t="str">
        <v>0391</v>
      </c>
    </row>
    <row r="204" spans="26:34" ht="24" customHeight="1">
      <c r="Z204"/>
      <c r="AA204"/>
      <c r="AB204"/>
      <c r="AC204"/>
      <c r="AD204"/>
      <c r="AE204" s="168">
        <f t="shared" si="3"/>
        <v>392</v>
      </c>
      <c r="AF204" s="168" t="str">
        <v>CI2026-0392</v>
      </c>
      <c r="AG204" s="168" t="str" cm="1">
        <f t="array" ref="AG204:AH204">IF(AF204="","",_xlfn.TEXTSPLIT(AF204,"-"))</f>
        <v>CI2026</v>
      </c>
      <c r="AH204" s="168" t="str">
        <v>0392</v>
      </c>
    </row>
    <row r="205" spans="26:34" ht="24" customHeight="1">
      <c r="Z205"/>
      <c r="AA205"/>
      <c r="AB205"/>
      <c r="AC205"/>
      <c r="AD205"/>
      <c r="AE205" s="168">
        <f t="shared" si="3"/>
        <v>393</v>
      </c>
      <c r="AF205" s="168" t="str">
        <v>CI2026-0393</v>
      </c>
      <c r="AG205" s="168" t="str" cm="1">
        <f t="array" ref="AG205:AH205">IF(AF205="","",_xlfn.TEXTSPLIT(AF205,"-"))</f>
        <v>CI2026</v>
      </c>
      <c r="AH205" s="168" t="str">
        <v>0393</v>
      </c>
    </row>
    <row r="206" spans="26:34" ht="24" customHeight="1">
      <c r="Z206"/>
      <c r="AA206"/>
      <c r="AB206"/>
      <c r="AC206"/>
      <c r="AD206"/>
      <c r="AE206" s="168">
        <f t="shared" si="3"/>
        <v>394</v>
      </c>
      <c r="AF206" s="168" t="str">
        <v>CI2026-0394</v>
      </c>
      <c r="AG206" s="168" t="str" cm="1">
        <f t="array" ref="AG206:AH206">IF(AF206="","",_xlfn.TEXTSPLIT(AF206,"-"))</f>
        <v>CI2026</v>
      </c>
      <c r="AH206" s="168" t="str">
        <v>0394</v>
      </c>
    </row>
    <row r="207" spans="26:34" ht="24" customHeight="1">
      <c r="Z207"/>
      <c r="AA207"/>
      <c r="AB207"/>
      <c r="AC207"/>
      <c r="AD207"/>
      <c r="AE207" s="168">
        <f t="shared" si="3"/>
        <v>395</v>
      </c>
      <c r="AF207" s="168" t="str">
        <v>CI2026-0395</v>
      </c>
      <c r="AG207" s="168" t="str" cm="1">
        <f t="array" ref="AG207:AH207">IF(AF207="","",_xlfn.TEXTSPLIT(AF207,"-"))</f>
        <v>CI2026</v>
      </c>
      <c r="AH207" s="168" t="str">
        <v>0395</v>
      </c>
    </row>
    <row r="208" spans="26:34" ht="24" customHeight="1">
      <c r="Z208"/>
      <c r="AA208"/>
      <c r="AB208"/>
      <c r="AC208"/>
      <c r="AD208"/>
      <c r="AE208" s="168">
        <f t="shared" si="3"/>
        <v>396</v>
      </c>
      <c r="AF208" s="168" t="str">
        <v>CI2026-0396</v>
      </c>
      <c r="AG208" s="168" t="str" cm="1">
        <f t="array" ref="AG208:AH208">IF(AF208="","",_xlfn.TEXTSPLIT(AF208,"-"))</f>
        <v>CI2026</v>
      </c>
      <c r="AH208" s="168" t="str">
        <v>0396</v>
      </c>
    </row>
    <row r="209" spans="26:34" ht="24" customHeight="1">
      <c r="Z209"/>
      <c r="AA209"/>
      <c r="AB209"/>
      <c r="AC209"/>
      <c r="AD209"/>
      <c r="AE209" s="168">
        <f t="shared" si="3"/>
        <v>397</v>
      </c>
      <c r="AF209" s="168" t="str">
        <v>CI2026-0397</v>
      </c>
      <c r="AG209" s="168" t="str" cm="1">
        <f t="array" ref="AG209:AH209">IF(AF209="","",_xlfn.TEXTSPLIT(AF209,"-"))</f>
        <v>CI2026</v>
      </c>
      <c r="AH209" s="168" t="str">
        <v>0397</v>
      </c>
    </row>
    <row r="210" spans="26:34" ht="24" customHeight="1">
      <c r="Z210"/>
      <c r="AA210"/>
      <c r="AB210"/>
      <c r="AC210"/>
      <c r="AD210"/>
      <c r="AE210" s="168">
        <f t="shared" si="3"/>
        <v>398</v>
      </c>
      <c r="AF210" s="168" t="str">
        <v>CI2026-0398</v>
      </c>
      <c r="AG210" s="168" t="str" cm="1">
        <f t="array" ref="AG210:AH210">IF(AF210="","",_xlfn.TEXTSPLIT(AF210,"-"))</f>
        <v>CI2026</v>
      </c>
      <c r="AH210" s="168" t="str">
        <v>0398</v>
      </c>
    </row>
    <row r="211" spans="26:34" ht="24" customHeight="1">
      <c r="Z211"/>
      <c r="AA211"/>
      <c r="AB211"/>
      <c r="AC211"/>
      <c r="AD211"/>
      <c r="AE211" s="168">
        <f t="shared" si="3"/>
        <v>399</v>
      </c>
      <c r="AF211" s="168" t="str">
        <v>CI2026-0399</v>
      </c>
      <c r="AG211" s="168" t="str" cm="1">
        <f t="array" ref="AG211:AH211">IF(AF211="","",_xlfn.TEXTSPLIT(AF211,"-"))</f>
        <v>CI2026</v>
      </c>
      <c r="AH211" s="168" t="str">
        <v>0399</v>
      </c>
    </row>
    <row r="212" spans="26:34" ht="24" customHeight="1">
      <c r="Z212"/>
      <c r="AA212"/>
      <c r="AB212"/>
      <c r="AC212"/>
      <c r="AD212"/>
      <c r="AE212" s="168">
        <f t="shared" si="3"/>
        <v>400</v>
      </c>
      <c r="AF212" s="168" t="str">
        <v>CI2026-0400</v>
      </c>
      <c r="AG212" s="168" t="str" cm="1">
        <f t="array" ref="AG212:AH212">IF(AF212="","",_xlfn.TEXTSPLIT(AF212,"-"))</f>
        <v>CI2026</v>
      </c>
      <c r="AH212" s="168" t="str">
        <v>0400</v>
      </c>
    </row>
    <row r="213" spans="26:34" ht="24" customHeight="1">
      <c r="Z213"/>
      <c r="AA213"/>
      <c r="AB213"/>
      <c r="AC213"/>
      <c r="AD213"/>
      <c r="AE213" s="168">
        <f t="shared" si="3"/>
        <v>401</v>
      </c>
      <c r="AF213" s="168" t="str">
        <v>CI2026-0401</v>
      </c>
      <c r="AG213" s="168" t="str" cm="1">
        <f t="array" ref="AG213:AH213">IF(AF213="","",_xlfn.TEXTSPLIT(AF213,"-"))</f>
        <v>CI2026</v>
      </c>
      <c r="AH213" s="168" t="str">
        <v>0401</v>
      </c>
    </row>
    <row r="214" spans="26:34" ht="24" customHeight="1">
      <c r="Z214"/>
      <c r="AA214"/>
      <c r="AB214"/>
      <c r="AC214"/>
      <c r="AD214"/>
      <c r="AE214" s="168">
        <f t="shared" si="3"/>
        <v>402</v>
      </c>
      <c r="AF214" s="168" t="str">
        <v>CI2026-0402</v>
      </c>
      <c r="AG214" s="168" t="str" cm="1">
        <f t="array" ref="AG214:AH214">IF(AF214="","",_xlfn.TEXTSPLIT(AF214,"-"))</f>
        <v>CI2026</v>
      </c>
      <c r="AH214" s="168" t="str">
        <v>0402</v>
      </c>
    </row>
    <row r="215" spans="26:34" ht="24" customHeight="1">
      <c r="Z215"/>
      <c r="AA215"/>
      <c r="AB215"/>
      <c r="AC215"/>
      <c r="AD215"/>
      <c r="AE215" s="168">
        <f t="shared" si="3"/>
        <v>403</v>
      </c>
      <c r="AF215" s="168" t="str">
        <v>CI2026-0403</v>
      </c>
      <c r="AG215" s="168" t="str" cm="1">
        <f t="array" ref="AG215:AH215">IF(AF215="","",_xlfn.TEXTSPLIT(AF215,"-"))</f>
        <v>CI2026</v>
      </c>
      <c r="AH215" s="168" t="str">
        <v>0403</v>
      </c>
    </row>
    <row r="216" spans="26:34" ht="24" customHeight="1">
      <c r="Z216"/>
      <c r="AA216"/>
      <c r="AB216"/>
      <c r="AC216"/>
      <c r="AD216"/>
      <c r="AE216" s="168">
        <f t="shared" si="3"/>
        <v>404</v>
      </c>
      <c r="AF216" s="168" t="str">
        <v>CI2026-0404</v>
      </c>
      <c r="AG216" s="168" t="str" cm="1">
        <f t="array" ref="AG216:AH216">IF(AF216="","",_xlfn.TEXTSPLIT(AF216,"-"))</f>
        <v>CI2026</v>
      </c>
      <c r="AH216" s="168" t="str">
        <v>0404</v>
      </c>
    </row>
    <row r="217" spans="26:34" ht="24" customHeight="1">
      <c r="Z217"/>
      <c r="AA217"/>
      <c r="AB217"/>
      <c r="AC217"/>
      <c r="AD217"/>
      <c r="AE217" s="168">
        <f t="shared" si="3"/>
        <v>405</v>
      </c>
      <c r="AF217" s="168" t="str">
        <v>CI2026-0405</v>
      </c>
      <c r="AG217" s="168" t="str" cm="1">
        <f t="array" ref="AG217:AH217">IF(AF217="","",_xlfn.TEXTSPLIT(AF217,"-"))</f>
        <v>CI2026</v>
      </c>
      <c r="AH217" s="168" t="str">
        <v>0405</v>
      </c>
    </row>
    <row r="218" spans="26:34" ht="24" customHeight="1">
      <c r="Z218"/>
      <c r="AA218"/>
      <c r="AB218"/>
      <c r="AC218"/>
      <c r="AD218"/>
      <c r="AE218" s="168">
        <f t="shared" si="3"/>
        <v>406</v>
      </c>
      <c r="AF218" s="168" t="str">
        <v>CI2026-0406</v>
      </c>
      <c r="AG218" s="168" t="str" cm="1">
        <f t="array" ref="AG218:AH218">IF(AF218="","",_xlfn.TEXTSPLIT(AF218,"-"))</f>
        <v>CI2026</v>
      </c>
      <c r="AH218" s="168" t="str">
        <v>0406</v>
      </c>
    </row>
    <row r="219" spans="26:34" ht="24" customHeight="1">
      <c r="Z219"/>
      <c r="AA219"/>
      <c r="AB219"/>
      <c r="AC219"/>
      <c r="AD219"/>
      <c r="AE219" s="168">
        <f t="shared" si="3"/>
        <v>407</v>
      </c>
      <c r="AF219" s="168" t="str">
        <v>CI2026-0407</v>
      </c>
      <c r="AG219" s="168" t="str" cm="1">
        <f t="array" ref="AG219:AH219">IF(AF219="","",_xlfn.TEXTSPLIT(AF219,"-"))</f>
        <v>CI2026</v>
      </c>
      <c r="AH219" s="168" t="str">
        <v>0407</v>
      </c>
    </row>
    <row r="220" spans="26:34" ht="24" customHeight="1">
      <c r="Z220"/>
      <c r="AA220"/>
      <c r="AB220"/>
      <c r="AC220"/>
      <c r="AD220"/>
      <c r="AE220" s="168">
        <f t="shared" si="3"/>
        <v>408</v>
      </c>
      <c r="AF220" s="168" t="str">
        <v>CI2026-0408</v>
      </c>
      <c r="AG220" s="168" t="str" cm="1">
        <f t="array" ref="AG220:AH220">IF(AF220="","",_xlfn.TEXTSPLIT(AF220,"-"))</f>
        <v>CI2026</v>
      </c>
      <c r="AH220" s="168" t="str">
        <v>0408</v>
      </c>
    </row>
    <row r="221" spans="26:34" ht="24" customHeight="1">
      <c r="Z221"/>
      <c r="AA221"/>
      <c r="AB221"/>
      <c r="AC221"/>
      <c r="AD221"/>
      <c r="AE221" s="168">
        <f t="shared" si="3"/>
        <v>409</v>
      </c>
      <c r="AF221" s="168" t="str">
        <v>CI2026-0409</v>
      </c>
      <c r="AG221" s="168" t="str" cm="1">
        <f t="array" ref="AG221:AH221">IF(AF221="","",_xlfn.TEXTSPLIT(AF221,"-"))</f>
        <v>CI2026</v>
      </c>
      <c r="AH221" s="168" t="str">
        <v>0409</v>
      </c>
    </row>
    <row r="222" spans="26:34" ht="24" customHeight="1">
      <c r="Z222"/>
      <c r="AA222"/>
      <c r="AB222"/>
      <c r="AC222"/>
      <c r="AD222"/>
      <c r="AE222" s="168">
        <f t="shared" si="3"/>
        <v>410</v>
      </c>
      <c r="AF222" s="168" t="str">
        <v>CI2026-0410</v>
      </c>
      <c r="AG222" s="168" t="str" cm="1">
        <f t="array" ref="AG222:AH222">IF(AF222="","",_xlfn.TEXTSPLIT(AF222,"-"))</f>
        <v>CI2026</v>
      </c>
      <c r="AH222" s="168" t="str">
        <v>0410</v>
      </c>
    </row>
    <row r="223" spans="26:34" ht="24" customHeight="1">
      <c r="Z223"/>
      <c r="AA223"/>
      <c r="AB223"/>
      <c r="AC223"/>
      <c r="AD223"/>
      <c r="AE223" s="168">
        <f t="shared" si="3"/>
        <v>411</v>
      </c>
      <c r="AF223" s="168" t="str">
        <v>CI2026-0411</v>
      </c>
      <c r="AG223" s="168" t="str" cm="1">
        <f t="array" ref="AG223:AH223">IF(AF223="","",_xlfn.TEXTSPLIT(AF223,"-"))</f>
        <v>CI2026</v>
      </c>
      <c r="AH223" s="168" t="str">
        <v>0411</v>
      </c>
    </row>
    <row r="224" spans="26:34" ht="24" customHeight="1">
      <c r="Z224"/>
      <c r="AA224"/>
      <c r="AB224"/>
      <c r="AC224"/>
      <c r="AD224"/>
      <c r="AE224" s="168">
        <f t="shared" si="3"/>
        <v>412</v>
      </c>
      <c r="AF224" s="168" t="str">
        <v>CI2026-0412</v>
      </c>
      <c r="AG224" s="168" t="str" cm="1">
        <f t="array" ref="AG224:AH224">IF(AF224="","",_xlfn.TEXTSPLIT(AF224,"-"))</f>
        <v>CI2026</v>
      </c>
      <c r="AH224" s="168" t="str">
        <v>0412</v>
      </c>
    </row>
    <row r="225" spans="26:34" ht="24" customHeight="1">
      <c r="Z225"/>
      <c r="AA225"/>
      <c r="AB225"/>
      <c r="AC225"/>
      <c r="AD225"/>
      <c r="AE225" s="168">
        <f t="shared" si="3"/>
        <v>413</v>
      </c>
      <c r="AF225" s="168" t="str">
        <v>CI2026-0413</v>
      </c>
      <c r="AG225" s="168" t="str" cm="1">
        <f t="array" ref="AG225:AH225">IF(AF225="","",_xlfn.TEXTSPLIT(AF225,"-"))</f>
        <v>CI2026</v>
      </c>
      <c r="AH225" s="168" t="str">
        <v>0413</v>
      </c>
    </row>
    <row r="226" spans="26:34" ht="24" customHeight="1">
      <c r="Z226"/>
      <c r="AA226"/>
      <c r="AB226"/>
      <c r="AC226"/>
      <c r="AD226"/>
      <c r="AE226" s="168">
        <f t="shared" si="3"/>
        <v>414</v>
      </c>
      <c r="AF226" s="168" t="str">
        <v>CI2026-0414</v>
      </c>
      <c r="AG226" s="168" t="str" cm="1">
        <f t="array" ref="AG226:AH226">IF(AF226="","",_xlfn.TEXTSPLIT(AF226,"-"))</f>
        <v>CI2026</v>
      </c>
      <c r="AH226" s="168" t="str">
        <v>0414</v>
      </c>
    </row>
    <row r="227" spans="26:34" ht="24" customHeight="1">
      <c r="Z227"/>
      <c r="AA227"/>
      <c r="AB227"/>
      <c r="AC227"/>
      <c r="AD227"/>
      <c r="AE227" s="168">
        <f t="shared" si="3"/>
        <v>415</v>
      </c>
      <c r="AF227" s="168" t="str">
        <v>CI2026-0415</v>
      </c>
      <c r="AG227" s="168" t="str" cm="1">
        <f t="array" ref="AG227:AH227">IF(AF227="","",_xlfn.TEXTSPLIT(AF227,"-"))</f>
        <v>CI2026</v>
      </c>
      <c r="AH227" s="168" t="str">
        <v>0415</v>
      </c>
    </row>
    <row r="228" spans="26:34" ht="24" customHeight="1">
      <c r="Z228"/>
      <c r="AA228"/>
      <c r="AB228"/>
      <c r="AC228"/>
      <c r="AD228"/>
      <c r="AE228" s="168">
        <f t="shared" si="3"/>
        <v>416</v>
      </c>
      <c r="AF228" s="168" t="str">
        <v>CI2026-0416</v>
      </c>
      <c r="AG228" s="168" t="str" cm="1">
        <f t="array" ref="AG228:AH228">IF(AF228="","",_xlfn.TEXTSPLIT(AF228,"-"))</f>
        <v>CI2026</v>
      </c>
      <c r="AH228" s="168" t="str">
        <v>0416</v>
      </c>
    </row>
    <row r="229" spans="26:34" ht="24" customHeight="1">
      <c r="Z229"/>
      <c r="AA229"/>
      <c r="AB229"/>
      <c r="AC229"/>
      <c r="AD229"/>
      <c r="AE229" s="168">
        <f t="shared" si="3"/>
        <v>417</v>
      </c>
      <c r="AF229" s="168" t="str">
        <v>CI2026-0417</v>
      </c>
      <c r="AG229" s="168" t="str" cm="1">
        <f t="array" ref="AG229:AH229">IF(AF229="","",_xlfn.TEXTSPLIT(AF229,"-"))</f>
        <v>CI2026</v>
      </c>
      <c r="AH229" s="168" t="str">
        <v>0417</v>
      </c>
    </row>
    <row r="230" spans="26:34" ht="24" customHeight="1">
      <c r="Z230"/>
      <c r="AA230"/>
      <c r="AB230"/>
      <c r="AC230"/>
      <c r="AD230"/>
      <c r="AE230" s="168">
        <f t="shared" si="3"/>
        <v>418</v>
      </c>
      <c r="AF230" s="168" t="str">
        <v>CI2026-0418</v>
      </c>
      <c r="AG230" s="168" t="str" cm="1">
        <f t="array" ref="AG230:AH230">IF(AF230="","",_xlfn.TEXTSPLIT(AF230,"-"))</f>
        <v>CI2026</v>
      </c>
      <c r="AH230" s="168" t="str">
        <v>0418</v>
      </c>
    </row>
    <row r="231" spans="26:34" ht="24" customHeight="1">
      <c r="Z231"/>
      <c r="AA231"/>
      <c r="AB231"/>
      <c r="AC231"/>
      <c r="AD231"/>
      <c r="AE231" s="168">
        <f t="shared" si="3"/>
        <v>419</v>
      </c>
      <c r="AF231" s="168" t="str">
        <v>CI2026-0419</v>
      </c>
      <c r="AG231" s="168" t="str" cm="1">
        <f t="array" ref="AG231:AH231">IF(AF231="","",_xlfn.TEXTSPLIT(AF231,"-"))</f>
        <v>CI2026</v>
      </c>
      <c r="AH231" s="168" t="str">
        <v>0419</v>
      </c>
    </row>
    <row r="232" spans="26:34" ht="24" customHeight="1">
      <c r="Z232"/>
      <c r="AA232"/>
      <c r="AB232"/>
      <c r="AC232"/>
      <c r="AD232"/>
      <c r="AE232" s="168">
        <f t="shared" si="3"/>
        <v>420</v>
      </c>
      <c r="AF232" s="168" t="str">
        <v>CI2026-0420</v>
      </c>
      <c r="AG232" s="168" t="str" cm="1">
        <f t="array" ref="AG232:AH232">IF(AF232="","",_xlfn.TEXTSPLIT(AF232,"-"))</f>
        <v>CI2026</v>
      </c>
      <c r="AH232" s="168" t="str">
        <v>0420</v>
      </c>
    </row>
    <row r="233" spans="26:34" ht="24" customHeight="1">
      <c r="Z233"/>
      <c r="AA233"/>
      <c r="AB233"/>
      <c r="AC233"/>
      <c r="AD233"/>
      <c r="AE233" s="168">
        <f t="shared" si="3"/>
        <v>421</v>
      </c>
      <c r="AF233" s="168" t="str">
        <v>CI2026-0421</v>
      </c>
      <c r="AG233" s="168" t="str" cm="1">
        <f t="array" ref="AG233:AH233">IF(AF233="","",_xlfn.TEXTSPLIT(AF233,"-"))</f>
        <v>CI2026</v>
      </c>
      <c r="AH233" s="168" t="str">
        <v>0421</v>
      </c>
    </row>
    <row r="234" spans="26:34" ht="24" customHeight="1">
      <c r="Z234"/>
      <c r="AA234"/>
      <c r="AB234"/>
      <c r="AC234"/>
      <c r="AD234"/>
      <c r="AE234" s="168">
        <f t="shared" si="3"/>
        <v>422</v>
      </c>
      <c r="AF234" s="168" t="str">
        <v>CI2026-0422</v>
      </c>
      <c r="AG234" s="168" t="str" cm="1">
        <f t="array" ref="AG234:AH234">IF(AF234="","",_xlfn.TEXTSPLIT(AF234,"-"))</f>
        <v>CI2026</v>
      </c>
      <c r="AH234" s="168" t="str">
        <v>0422</v>
      </c>
    </row>
    <row r="235" spans="26:34" ht="24" customHeight="1">
      <c r="Z235"/>
      <c r="AA235"/>
      <c r="AB235"/>
      <c r="AC235"/>
      <c r="AD235"/>
      <c r="AE235" s="168">
        <f t="shared" si="3"/>
        <v>423</v>
      </c>
      <c r="AF235" s="168" t="str">
        <v>CI2026-0423</v>
      </c>
      <c r="AG235" s="168" t="str" cm="1">
        <f t="array" ref="AG235:AH235">IF(AF235="","",_xlfn.TEXTSPLIT(AF235,"-"))</f>
        <v>CI2026</v>
      </c>
      <c r="AH235" s="168" t="str">
        <v>0423</v>
      </c>
    </row>
    <row r="236" spans="26:34" ht="24" customHeight="1">
      <c r="Z236"/>
      <c r="AA236"/>
      <c r="AB236"/>
      <c r="AC236"/>
      <c r="AD236"/>
      <c r="AE236" s="168">
        <f t="shared" si="3"/>
        <v>424</v>
      </c>
      <c r="AF236" s="168" t="str">
        <v>CI2026-0424</v>
      </c>
      <c r="AG236" s="168" t="str" cm="1">
        <f t="array" ref="AG236:AH236">IF(AF236="","",_xlfn.TEXTSPLIT(AF236,"-"))</f>
        <v>CI2026</v>
      </c>
      <c r="AH236" s="168" t="str">
        <v>0424</v>
      </c>
    </row>
    <row r="237" spans="26:34" ht="24" customHeight="1">
      <c r="Z237"/>
      <c r="AA237"/>
      <c r="AB237"/>
      <c r="AC237"/>
      <c r="AD237"/>
      <c r="AE237" s="168">
        <f t="shared" si="3"/>
        <v>425</v>
      </c>
      <c r="AF237" s="168" t="str">
        <v>CI2026-0425</v>
      </c>
      <c r="AG237" s="168" t="str" cm="1">
        <f t="array" ref="AG237:AH237">IF(AF237="","",_xlfn.TEXTSPLIT(AF237,"-"))</f>
        <v>CI2026</v>
      </c>
      <c r="AH237" s="168" t="str">
        <v>0425</v>
      </c>
    </row>
    <row r="238" spans="26:34" ht="24" customHeight="1">
      <c r="Z238"/>
      <c r="AA238"/>
      <c r="AB238"/>
      <c r="AC238"/>
      <c r="AD238"/>
      <c r="AE238" s="168">
        <f t="shared" si="3"/>
        <v>426</v>
      </c>
      <c r="AF238" s="168" t="str">
        <v>CI2026-0426</v>
      </c>
      <c r="AG238" s="168" t="str" cm="1">
        <f t="array" ref="AG238:AH238">IF(AF238="","",_xlfn.TEXTSPLIT(AF238,"-"))</f>
        <v>CI2026</v>
      </c>
      <c r="AH238" s="168" t="str">
        <v>0426</v>
      </c>
    </row>
    <row r="239" spans="26:34" ht="24" customHeight="1">
      <c r="Z239"/>
      <c r="AA239"/>
      <c r="AB239"/>
      <c r="AC239"/>
      <c r="AD239"/>
      <c r="AE239" s="168">
        <f t="shared" si="3"/>
        <v>427</v>
      </c>
      <c r="AF239" s="168" t="str">
        <v>CI2026-0427</v>
      </c>
      <c r="AG239" s="168" t="str" cm="1">
        <f t="array" ref="AG239:AH239">IF(AF239="","",_xlfn.TEXTSPLIT(AF239,"-"))</f>
        <v>CI2026</v>
      </c>
      <c r="AH239" s="168" t="str">
        <v>0427</v>
      </c>
    </row>
    <row r="240" spans="26:34" ht="24" customHeight="1">
      <c r="Z240"/>
      <c r="AA240"/>
      <c r="AB240"/>
      <c r="AC240"/>
      <c r="AD240"/>
      <c r="AE240" s="168">
        <f t="shared" si="3"/>
        <v>428</v>
      </c>
      <c r="AF240" s="168" t="str">
        <v>CI2026-0428</v>
      </c>
      <c r="AG240" s="168" t="str" cm="1">
        <f t="array" ref="AG240:AH240">IF(AF240="","",_xlfn.TEXTSPLIT(AF240,"-"))</f>
        <v>CI2026</v>
      </c>
      <c r="AH240" s="168" t="str">
        <v>0428</v>
      </c>
    </row>
    <row r="241" spans="26:34" ht="24" customHeight="1">
      <c r="Z241"/>
      <c r="AA241"/>
      <c r="AB241"/>
      <c r="AC241"/>
      <c r="AD241"/>
      <c r="AE241" s="168">
        <f t="shared" si="3"/>
        <v>429</v>
      </c>
      <c r="AF241" s="168" t="str">
        <v>CI2026-0429</v>
      </c>
      <c r="AG241" s="168" t="str" cm="1">
        <f t="array" ref="AG241:AH241">IF(AF241="","",_xlfn.TEXTSPLIT(AF241,"-"))</f>
        <v>CI2026</v>
      </c>
      <c r="AH241" s="168" t="str">
        <v>0429</v>
      </c>
    </row>
    <row r="242" spans="26:34" ht="24" customHeight="1">
      <c r="Z242"/>
      <c r="AA242"/>
      <c r="AB242"/>
      <c r="AC242"/>
      <c r="AD242"/>
      <c r="AE242" s="168">
        <f t="shared" si="3"/>
        <v>430</v>
      </c>
      <c r="AF242" s="168" t="str">
        <v>CI2026-0430</v>
      </c>
      <c r="AG242" s="168" t="str" cm="1">
        <f t="array" ref="AG242:AH242">IF(AF242="","",_xlfn.TEXTSPLIT(AF242,"-"))</f>
        <v>CI2026</v>
      </c>
      <c r="AH242" s="168" t="str">
        <v>0430</v>
      </c>
    </row>
    <row r="243" spans="26:34" ht="24" customHeight="1">
      <c r="Z243"/>
      <c r="AA243"/>
      <c r="AB243"/>
      <c r="AC243"/>
      <c r="AD243"/>
      <c r="AE243" s="168">
        <f t="shared" si="3"/>
        <v>431</v>
      </c>
      <c r="AF243" s="168" t="str">
        <v>CI2026-0431</v>
      </c>
      <c r="AG243" s="168" t="str" cm="1">
        <f t="array" ref="AG243:AH243">IF(AF243="","",_xlfn.TEXTSPLIT(AF243,"-"))</f>
        <v>CI2026</v>
      </c>
      <c r="AH243" s="168" t="str">
        <v>0431</v>
      </c>
    </row>
    <row r="244" spans="26:34" ht="24" customHeight="1">
      <c r="Z244"/>
      <c r="AA244"/>
      <c r="AB244"/>
      <c r="AC244"/>
      <c r="AD244"/>
      <c r="AE244" s="168">
        <f t="shared" si="3"/>
        <v>432</v>
      </c>
      <c r="AF244" s="168" t="str">
        <v>CI2026-0432</v>
      </c>
      <c r="AG244" s="168" t="str" cm="1">
        <f t="array" ref="AG244:AH244">IF(AF244="","",_xlfn.TEXTSPLIT(AF244,"-"))</f>
        <v>CI2026</v>
      </c>
      <c r="AH244" s="168" t="str">
        <v>0432</v>
      </c>
    </row>
    <row r="245" spans="26:34" ht="24" customHeight="1">
      <c r="Z245"/>
      <c r="AA245"/>
      <c r="AB245"/>
      <c r="AC245"/>
      <c r="AD245"/>
      <c r="AE245" s="168">
        <f t="shared" si="3"/>
        <v>433</v>
      </c>
      <c r="AF245" s="168" t="str">
        <v>CI2026-0433</v>
      </c>
      <c r="AG245" s="168" t="str" cm="1">
        <f t="array" ref="AG245:AH245">IF(AF245="","",_xlfn.TEXTSPLIT(AF245,"-"))</f>
        <v>CI2026</v>
      </c>
      <c r="AH245" s="168" t="str">
        <v>0433</v>
      </c>
    </row>
    <row r="246" spans="26:34" ht="24" customHeight="1">
      <c r="Z246"/>
      <c r="AA246"/>
      <c r="AB246"/>
      <c r="AC246"/>
      <c r="AD246"/>
      <c r="AE246" s="168">
        <f t="shared" si="3"/>
        <v>434</v>
      </c>
      <c r="AF246" s="168" t="str">
        <v>CI2026-0434</v>
      </c>
      <c r="AG246" s="168" t="str" cm="1">
        <f t="array" ref="AG246:AH246">IF(AF246="","",_xlfn.TEXTSPLIT(AF246,"-"))</f>
        <v>CI2026</v>
      </c>
      <c r="AH246" s="168" t="str">
        <v>0434</v>
      </c>
    </row>
    <row r="247" spans="26:34" ht="24" customHeight="1">
      <c r="Z247"/>
      <c r="AA247"/>
      <c r="AB247"/>
      <c r="AC247"/>
      <c r="AD247"/>
      <c r="AE247" s="168">
        <f t="shared" si="3"/>
        <v>435</v>
      </c>
      <c r="AF247" s="168" t="str">
        <v>CI2026-0435</v>
      </c>
      <c r="AG247" s="168" t="str" cm="1">
        <f t="array" ref="AG247:AH247">IF(AF247="","",_xlfn.TEXTSPLIT(AF247,"-"))</f>
        <v>CI2026</v>
      </c>
      <c r="AH247" s="168" t="str">
        <v>0435</v>
      </c>
    </row>
    <row r="248" spans="26:34" ht="24" customHeight="1">
      <c r="Z248"/>
      <c r="AA248"/>
      <c r="AB248"/>
      <c r="AC248"/>
      <c r="AD248"/>
      <c r="AE248" s="168">
        <f t="shared" si="3"/>
        <v>436</v>
      </c>
      <c r="AF248" s="168" t="str">
        <v>CI2026-0436</v>
      </c>
      <c r="AG248" s="168" t="str" cm="1">
        <f t="array" ref="AG248:AH248">IF(AF248="","",_xlfn.TEXTSPLIT(AF248,"-"))</f>
        <v>CI2026</v>
      </c>
      <c r="AH248" s="168" t="str">
        <v>0436</v>
      </c>
    </row>
    <row r="249" spans="26:34" ht="24" customHeight="1">
      <c r="Z249"/>
      <c r="AA249"/>
      <c r="AB249"/>
      <c r="AC249"/>
      <c r="AD249"/>
      <c r="AE249" s="168">
        <f t="shared" si="3"/>
        <v>437</v>
      </c>
      <c r="AF249" s="168" t="str">
        <v>CI2026-0437</v>
      </c>
      <c r="AG249" s="168" t="str" cm="1">
        <f t="array" ref="AG249:AH249">IF(AF249="","",_xlfn.TEXTSPLIT(AF249,"-"))</f>
        <v>CI2026</v>
      </c>
      <c r="AH249" s="168" t="str">
        <v>0437</v>
      </c>
    </row>
    <row r="250" spans="26:34" ht="24" customHeight="1">
      <c r="Z250"/>
      <c r="AA250"/>
      <c r="AB250"/>
      <c r="AC250"/>
      <c r="AD250"/>
      <c r="AE250" s="168">
        <f t="shared" si="3"/>
        <v>438</v>
      </c>
      <c r="AF250" s="168" t="str">
        <v>CI2026-0438</v>
      </c>
      <c r="AG250" s="168" t="str" cm="1">
        <f t="array" ref="AG250:AH250">IF(AF250="","",_xlfn.TEXTSPLIT(AF250,"-"))</f>
        <v>CI2026</v>
      </c>
      <c r="AH250" s="168" t="str">
        <v>0438</v>
      </c>
    </row>
    <row r="251" spans="26:34" ht="24" customHeight="1">
      <c r="Z251"/>
      <c r="AA251"/>
      <c r="AB251"/>
      <c r="AC251"/>
      <c r="AD251"/>
      <c r="AE251" s="168">
        <f t="shared" si="3"/>
        <v>439</v>
      </c>
      <c r="AF251" s="168" t="str">
        <v>CI2026-0439</v>
      </c>
      <c r="AG251" s="168" t="str" cm="1">
        <f t="array" ref="AG251:AH251">IF(AF251="","",_xlfn.TEXTSPLIT(AF251,"-"))</f>
        <v>CI2026</v>
      </c>
      <c r="AH251" s="168" t="str">
        <v>0439</v>
      </c>
    </row>
    <row r="252" spans="26:34" ht="24" customHeight="1">
      <c r="Z252"/>
      <c r="AA252"/>
      <c r="AB252"/>
      <c r="AC252"/>
      <c r="AD252"/>
      <c r="AE252" s="168">
        <f t="shared" si="3"/>
        <v>440</v>
      </c>
      <c r="AF252" s="168" t="str">
        <v>CI2026-0440</v>
      </c>
      <c r="AG252" s="168" t="str" cm="1">
        <f t="array" ref="AG252:AH252">IF(AF252="","",_xlfn.TEXTSPLIT(AF252,"-"))</f>
        <v>CI2026</v>
      </c>
      <c r="AH252" s="168" t="str">
        <v>0440</v>
      </c>
    </row>
    <row r="253" spans="26:34" ht="24" customHeight="1">
      <c r="Z253"/>
      <c r="AA253"/>
      <c r="AB253"/>
      <c r="AC253"/>
      <c r="AD253"/>
      <c r="AE253" s="168">
        <f t="shared" si="3"/>
        <v>441</v>
      </c>
      <c r="AF253" s="168" t="str">
        <v>CI2026-0441</v>
      </c>
      <c r="AG253" s="168" t="str" cm="1">
        <f t="array" ref="AG253:AH253">IF(AF253="","",_xlfn.TEXTSPLIT(AF253,"-"))</f>
        <v>CI2026</v>
      </c>
      <c r="AH253" s="168" t="str">
        <v>0441</v>
      </c>
    </row>
    <row r="254" spans="26:34" ht="24" customHeight="1">
      <c r="Z254"/>
      <c r="AA254"/>
      <c r="AB254"/>
      <c r="AC254"/>
      <c r="AD254"/>
      <c r="AE254" s="168">
        <f t="shared" si="3"/>
        <v>442</v>
      </c>
      <c r="AF254" s="168" t="str">
        <v>CI2026-0442</v>
      </c>
      <c r="AG254" s="168" t="str" cm="1">
        <f t="array" ref="AG254:AH254">IF(AF254="","",_xlfn.TEXTSPLIT(AF254,"-"))</f>
        <v>CI2026</v>
      </c>
      <c r="AH254" s="168" t="str">
        <v>0442</v>
      </c>
    </row>
    <row r="255" spans="26:34" ht="24" customHeight="1">
      <c r="Z255"/>
      <c r="AA255"/>
      <c r="AB255"/>
      <c r="AC255"/>
      <c r="AD255"/>
      <c r="AE255" s="168">
        <f t="shared" si="3"/>
        <v>443</v>
      </c>
      <c r="AF255" s="168" t="str">
        <v>CI2026-0443</v>
      </c>
      <c r="AG255" s="168" t="str" cm="1">
        <f t="array" ref="AG255:AH255">IF(AF255="","",_xlfn.TEXTSPLIT(AF255,"-"))</f>
        <v>CI2026</v>
      </c>
      <c r="AH255" s="168" t="str">
        <v>0443</v>
      </c>
    </row>
    <row r="256" spans="26:34" ht="24" customHeight="1">
      <c r="Z256"/>
      <c r="AA256"/>
      <c r="AB256"/>
      <c r="AC256"/>
      <c r="AD256"/>
      <c r="AE256" s="168">
        <f t="shared" si="3"/>
        <v>444</v>
      </c>
      <c r="AF256" s="168" t="str">
        <v>CI2026-0444</v>
      </c>
      <c r="AG256" s="168" t="str" cm="1">
        <f t="array" ref="AG256:AH256">IF(AF256="","",_xlfn.TEXTSPLIT(AF256,"-"))</f>
        <v>CI2026</v>
      </c>
      <c r="AH256" s="168" t="str">
        <v>0444</v>
      </c>
    </row>
    <row r="257" spans="26:34" ht="24" customHeight="1">
      <c r="Z257"/>
      <c r="AA257"/>
      <c r="AB257"/>
      <c r="AC257"/>
      <c r="AD257"/>
      <c r="AE257" s="168">
        <f t="shared" si="3"/>
        <v>445</v>
      </c>
      <c r="AF257" s="168" t="str">
        <v>CI2026-0445</v>
      </c>
      <c r="AG257" s="168" t="str" cm="1">
        <f t="array" ref="AG257:AH257">IF(AF257="","",_xlfn.TEXTSPLIT(AF257,"-"))</f>
        <v>CI2026</v>
      </c>
      <c r="AH257" s="168" t="str">
        <v>0445</v>
      </c>
    </row>
    <row r="258" spans="26:34" ht="24" customHeight="1">
      <c r="Z258"/>
      <c r="AA258"/>
      <c r="AB258"/>
      <c r="AC258"/>
      <c r="AD258"/>
      <c r="AE258" s="168">
        <f t="shared" si="3"/>
        <v>446</v>
      </c>
      <c r="AF258" s="168" t="str">
        <v>CI2026-0446</v>
      </c>
      <c r="AG258" s="168" t="str" cm="1">
        <f t="array" ref="AG258:AH258">IF(AF258="","",_xlfn.TEXTSPLIT(AF258,"-"))</f>
        <v>CI2026</v>
      </c>
      <c r="AH258" s="168" t="str">
        <v>0446</v>
      </c>
    </row>
    <row r="259" spans="26:34" ht="24" customHeight="1">
      <c r="Z259"/>
      <c r="AA259"/>
      <c r="AB259"/>
      <c r="AC259"/>
      <c r="AD259"/>
      <c r="AE259" s="168">
        <f t="shared" si="3"/>
        <v>447</v>
      </c>
      <c r="AF259" s="168" t="str">
        <v>CI2026-0447</v>
      </c>
      <c r="AG259" s="168" t="str" cm="1">
        <f t="array" ref="AG259:AH259">IF(AF259="","",_xlfn.TEXTSPLIT(AF259,"-"))</f>
        <v>CI2026</v>
      </c>
      <c r="AH259" s="168" t="str">
        <v>0447</v>
      </c>
    </row>
    <row r="260" spans="26:34" ht="24" customHeight="1">
      <c r="Z260"/>
      <c r="AA260"/>
      <c r="AB260"/>
      <c r="AC260"/>
      <c r="AD260"/>
      <c r="AE260" s="168">
        <f t="shared" si="3"/>
        <v>448</v>
      </c>
      <c r="AF260" s="168" t="str">
        <v>CI2026-0448</v>
      </c>
      <c r="AG260" s="168" t="str" cm="1">
        <f t="array" ref="AG260:AH260">IF(AF260="","",_xlfn.TEXTSPLIT(AF260,"-"))</f>
        <v>CI2026</v>
      </c>
      <c r="AH260" s="168" t="str">
        <v>0448</v>
      </c>
    </row>
    <row r="261" spans="26:34" ht="24" customHeight="1">
      <c r="Z261"/>
      <c r="AA261"/>
      <c r="AB261"/>
      <c r="AC261"/>
      <c r="AD261"/>
      <c r="AE261" s="168">
        <f t="shared" ref="AE261:AE324" si="4">IF(AH261="","",AH261*1)</f>
        <v>449</v>
      </c>
      <c r="AF261" s="168" t="str">
        <v>CI2026-0449</v>
      </c>
      <c r="AG261" s="168" t="str" cm="1">
        <f t="array" ref="AG261:AH261">IF(AF261="","",_xlfn.TEXTSPLIT(AF261,"-"))</f>
        <v>CI2026</v>
      </c>
      <c r="AH261" s="168" t="str">
        <v>0449</v>
      </c>
    </row>
    <row r="262" spans="26:34" ht="24" customHeight="1">
      <c r="Z262"/>
      <c r="AA262"/>
      <c r="AB262"/>
      <c r="AC262"/>
      <c r="AD262"/>
      <c r="AE262" s="168">
        <f t="shared" si="4"/>
        <v>450</v>
      </c>
      <c r="AF262" s="168" t="str">
        <v>CI2026-0450</v>
      </c>
      <c r="AG262" s="168" t="str" cm="1">
        <f t="array" ref="AG262:AH262">IF(AF262="","",_xlfn.TEXTSPLIT(AF262,"-"))</f>
        <v>CI2026</v>
      </c>
      <c r="AH262" s="168" t="str">
        <v>0450</v>
      </c>
    </row>
    <row r="263" spans="26:34" ht="24" customHeight="1">
      <c r="Z263"/>
      <c r="AA263"/>
      <c r="AB263"/>
      <c r="AC263"/>
      <c r="AD263"/>
      <c r="AE263" s="168">
        <f t="shared" si="4"/>
        <v>451</v>
      </c>
      <c r="AF263" s="168" t="str">
        <v>CI2026-0451</v>
      </c>
      <c r="AG263" s="168" t="str" cm="1">
        <f t="array" ref="AG263:AH263">IF(AF263="","",_xlfn.TEXTSPLIT(AF263,"-"))</f>
        <v>CI2026</v>
      </c>
      <c r="AH263" s="168" t="str">
        <v>0451</v>
      </c>
    </row>
    <row r="264" spans="26:34" ht="24" customHeight="1">
      <c r="Z264"/>
      <c r="AA264"/>
      <c r="AB264"/>
      <c r="AC264"/>
      <c r="AD264"/>
      <c r="AE264" s="168">
        <f t="shared" si="4"/>
        <v>452</v>
      </c>
      <c r="AF264" s="168" t="str">
        <v>CI2026-0452</v>
      </c>
      <c r="AG264" s="168" t="str" cm="1">
        <f t="array" ref="AG264:AH264">IF(AF264="","",_xlfn.TEXTSPLIT(AF264,"-"))</f>
        <v>CI2026</v>
      </c>
      <c r="AH264" s="168" t="str">
        <v>0452</v>
      </c>
    </row>
    <row r="265" spans="26:34" ht="24" customHeight="1">
      <c r="Z265"/>
      <c r="AA265"/>
      <c r="AB265"/>
      <c r="AC265"/>
      <c r="AD265"/>
      <c r="AE265" s="168">
        <f t="shared" si="4"/>
        <v>453</v>
      </c>
      <c r="AF265" s="168" t="str">
        <v>CI2026-0453</v>
      </c>
      <c r="AG265" s="168" t="str" cm="1">
        <f t="array" ref="AG265:AH265">IF(AF265="","",_xlfn.TEXTSPLIT(AF265,"-"))</f>
        <v>CI2026</v>
      </c>
      <c r="AH265" s="168" t="str">
        <v>0453</v>
      </c>
    </row>
    <row r="266" spans="26:34" ht="24" customHeight="1">
      <c r="Z266"/>
      <c r="AA266"/>
      <c r="AB266"/>
      <c r="AC266"/>
      <c r="AD266"/>
      <c r="AE266" s="168">
        <f t="shared" si="4"/>
        <v>454</v>
      </c>
      <c r="AF266" s="168" t="str">
        <v>CI2026-0454</v>
      </c>
      <c r="AG266" s="168" t="str" cm="1">
        <f t="array" ref="AG266:AH266">IF(AF266="","",_xlfn.TEXTSPLIT(AF266,"-"))</f>
        <v>CI2026</v>
      </c>
      <c r="AH266" s="168" t="str">
        <v>0454</v>
      </c>
    </row>
    <row r="267" spans="26:34" ht="24" customHeight="1">
      <c r="Z267"/>
      <c r="AA267"/>
      <c r="AB267"/>
      <c r="AC267"/>
      <c r="AD267"/>
      <c r="AE267" s="168">
        <f t="shared" si="4"/>
        <v>455</v>
      </c>
      <c r="AF267" s="168" t="str">
        <v>CI2026-0455</v>
      </c>
      <c r="AG267" s="168" t="str" cm="1">
        <f t="array" ref="AG267:AH267">IF(AF267="","",_xlfn.TEXTSPLIT(AF267,"-"))</f>
        <v>CI2026</v>
      </c>
      <c r="AH267" s="168" t="str">
        <v>0455</v>
      </c>
    </row>
    <row r="268" spans="26:34" ht="24" customHeight="1">
      <c r="Z268"/>
      <c r="AA268"/>
      <c r="AB268"/>
      <c r="AC268"/>
      <c r="AD268"/>
      <c r="AE268" s="168">
        <f t="shared" si="4"/>
        <v>456</v>
      </c>
      <c r="AF268" s="168" t="str">
        <v>CI2026-0456</v>
      </c>
      <c r="AG268" s="168" t="str" cm="1">
        <f t="array" ref="AG268:AH268">IF(AF268="","",_xlfn.TEXTSPLIT(AF268,"-"))</f>
        <v>CI2026</v>
      </c>
      <c r="AH268" s="168" t="str">
        <v>0456</v>
      </c>
    </row>
    <row r="269" spans="26:34" ht="24" customHeight="1">
      <c r="Z269"/>
      <c r="AA269"/>
      <c r="AB269"/>
      <c r="AC269"/>
      <c r="AD269"/>
      <c r="AE269" s="168">
        <f t="shared" si="4"/>
        <v>457</v>
      </c>
      <c r="AF269" s="168" t="str">
        <v>CI2026-0457</v>
      </c>
      <c r="AG269" s="168" t="str" cm="1">
        <f t="array" ref="AG269:AH269">IF(AF269="","",_xlfn.TEXTSPLIT(AF269,"-"))</f>
        <v>CI2026</v>
      </c>
      <c r="AH269" s="168" t="str">
        <v>0457</v>
      </c>
    </row>
    <row r="270" spans="26:34" ht="24" customHeight="1">
      <c r="Z270"/>
      <c r="AA270"/>
      <c r="AB270"/>
      <c r="AC270"/>
      <c r="AD270"/>
      <c r="AE270" s="168">
        <f t="shared" si="4"/>
        <v>458</v>
      </c>
      <c r="AF270" s="168" t="str">
        <v>CI2026-0458</v>
      </c>
      <c r="AG270" s="168" t="str" cm="1">
        <f t="array" ref="AG270:AH270">IF(AF270="","",_xlfn.TEXTSPLIT(AF270,"-"))</f>
        <v>CI2026</v>
      </c>
      <c r="AH270" s="168" t="str">
        <v>0458</v>
      </c>
    </row>
    <row r="271" spans="26:34" ht="24" customHeight="1">
      <c r="Z271"/>
      <c r="AA271"/>
      <c r="AB271"/>
      <c r="AC271"/>
      <c r="AD271"/>
      <c r="AE271" s="168">
        <f t="shared" si="4"/>
        <v>459</v>
      </c>
      <c r="AF271" s="168" t="str">
        <v>CI2026-0459</v>
      </c>
      <c r="AG271" s="168" t="str" cm="1">
        <f t="array" ref="AG271:AH271">IF(AF271="","",_xlfn.TEXTSPLIT(AF271,"-"))</f>
        <v>CI2026</v>
      </c>
      <c r="AH271" s="168" t="str">
        <v>0459</v>
      </c>
    </row>
    <row r="272" spans="26:34" ht="24" customHeight="1">
      <c r="Z272"/>
      <c r="AA272"/>
      <c r="AB272"/>
      <c r="AC272"/>
      <c r="AD272"/>
      <c r="AE272" s="168">
        <f t="shared" si="4"/>
        <v>460</v>
      </c>
      <c r="AF272" s="168" t="str">
        <v>CI2026-0460</v>
      </c>
      <c r="AG272" s="168" t="str" cm="1">
        <f t="array" ref="AG272:AH272">IF(AF272="","",_xlfn.TEXTSPLIT(AF272,"-"))</f>
        <v>CI2026</v>
      </c>
      <c r="AH272" s="168" t="str">
        <v>0460</v>
      </c>
    </row>
    <row r="273" spans="26:34" ht="24" customHeight="1">
      <c r="Z273"/>
      <c r="AA273"/>
      <c r="AB273"/>
      <c r="AC273"/>
      <c r="AD273"/>
      <c r="AE273" s="168">
        <f t="shared" si="4"/>
        <v>461</v>
      </c>
      <c r="AF273" s="168" t="str">
        <v>CI2026-0461</v>
      </c>
      <c r="AG273" s="168" t="str" cm="1">
        <f t="array" ref="AG273:AH273">IF(AF273="","",_xlfn.TEXTSPLIT(AF273,"-"))</f>
        <v>CI2026</v>
      </c>
      <c r="AH273" s="168" t="str">
        <v>0461</v>
      </c>
    </row>
    <row r="274" spans="26:34" ht="24" customHeight="1">
      <c r="Z274"/>
      <c r="AA274"/>
      <c r="AB274"/>
      <c r="AC274"/>
      <c r="AD274"/>
      <c r="AE274" s="168">
        <f t="shared" si="4"/>
        <v>462</v>
      </c>
      <c r="AF274" s="168" t="str">
        <v>CI2026-0462</v>
      </c>
      <c r="AG274" s="168" t="str" cm="1">
        <f t="array" ref="AG274:AH274">IF(AF274="","",_xlfn.TEXTSPLIT(AF274,"-"))</f>
        <v>CI2026</v>
      </c>
      <c r="AH274" s="168" t="str">
        <v>0462</v>
      </c>
    </row>
    <row r="275" spans="26:34" ht="24" customHeight="1">
      <c r="Z275"/>
      <c r="AA275"/>
      <c r="AB275"/>
      <c r="AC275"/>
      <c r="AD275"/>
      <c r="AE275" s="168">
        <f t="shared" si="4"/>
        <v>463</v>
      </c>
      <c r="AF275" s="168" t="str">
        <v>CI2026-0463</v>
      </c>
      <c r="AG275" s="168" t="str" cm="1">
        <f t="array" ref="AG275:AH275">IF(AF275="","",_xlfn.TEXTSPLIT(AF275,"-"))</f>
        <v>CI2026</v>
      </c>
      <c r="AH275" s="168" t="str">
        <v>0463</v>
      </c>
    </row>
    <row r="276" spans="26:34" ht="24" customHeight="1">
      <c r="Z276"/>
      <c r="AA276"/>
      <c r="AB276"/>
      <c r="AC276"/>
      <c r="AD276"/>
      <c r="AE276" s="168">
        <f t="shared" si="4"/>
        <v>464</v>
      </c>
      <c r="AF276" s="168" t="str">
        <v>CI2026-0464</v>
      </c>
      <c r="AG276" s="168" t="str" cm="1">
        <f t="array" ref="AG276:AH276">IF(AF276="","",_xlfn.TEXTSPLIT(AF276,"-"))</f>
        <v>CI2026</v>
      </c>
      <c r="AH276" s="168" t="str">
        <v>0464</v>
      </c>
    </row>
    <row r="277" spans="26:34" ht="24" customHeight="1">
      <c r="Z277"/>
      <c r="AA277"/>
      <c r="AB277"/>
      <c r="AC277"/>
      <c r="AD277"/>
      <c r="AE277" s="168">
        <f t="shared" si="4"/>
        <v>465</v>
      </c>
      <c r="AF277" s="168" t="str">
        <v>CI2026-0465</v>
      </c>
      <c r="AG277" s="168" t="str" cm="1">
        <f t="array" ref="AG277:AH277">IF(AF277="","",_xlfn.TEXTSPLIT(AF277,"-"))</f>
        <v>CI2026</v>
      </c>
      <c r="AH277" s="168" t="str">
        <v>0465</v>
      </c>
    </row>
    <row r="278" spans="26:34" ht="24" customHeight="1">
      <c r="Z278"/>
      <c r="AA278"/>
      <c r="AB278"/>
      <c r="AC278"/>
      <c r="AD278"/>
      <c r="AE278" s="168">
        <f t="shared" si="4"/>
        <v>466</v>
      </c>
      <c r="AF278" s="168" t="str">
        <v>CI2026-0466</v>
      </c>
      <c r="AG278" s="168" t="str" cm="1">
        <f t="array" ref="AG278:AH278">IF(AF278="","",_xlfn.TEXTSPLIT(AF278,"-"))</f>
        <v>CI2026</v>
      </c>
      <c r="AH278" s="168" t="str">
        <v>0466</v>
      </c>
    </row>
    <row r="279" spans="26:34" ht="24" customHeight="1">
      <c r="Z279"/>
      <c r="AA279"/>
      <c r="AB279"/>
      <c r="AC279"/>
      <c r="AD279"/>
      <c r="AE279" s="168">
        <f t="shared" si="4"/>
        <v>467</v>
      </c>
      <c r="AF279" s="168" t="str">
        <v>CI2026-0467</v>
      </c>
      <c r="AG279" s="168" t="str" cm="1">
        <f t="array" ref="AG279:AH279">IF(AF279="","",_xlfn.TEXTSPLIT(AF279,"-"))</f>
        <v>CI2026</v>
      </c>
      <c r="AH279" s="168" t="str">
        <v>0467</v>
      </c>
    </row>
    <row r="280" spans="26:34" ht="24" customHeight="1">
      <c r="Z280"/>
      <c r="AA280"/>
      <c r="AB280"/>
      <c r="AC280"/>
      <c r="AD280"/>
      <c r="AE280" s="168">
        <f t="shared" si="4"/>
        <v>468</v>
      </c>
      <c r="AF280" s="168" t="str">
        <v>CI2026-0468</v>
      </c>
      <c r="AG280" s="168" t="str" cm="1">
        <f t="array" ref="AG280:AH280">IF(AF280="","",_xlfn.TEXTSPLIT(AF280,"-"))</f>
        <v>CI2026</v>
      </c>
      <c r="AH280" s="168" t="str">
        <v>0468</v>
      </c>
    </row>
    <row r="281" spans="26:34" ht="24" customHeight="1">
      <c r="Z281"/>
      <c r="AA281"/>
      <c r="AB281"/>
      <c r="AC281"/>
      <c r="AD281"/>
      <c r="AE281" s="168">
        <f t="shared" si="4"/>
        <v>469</v>
      </c>
      <c r="AF281" s="168" t="str">
        <v>CI2026-0469</v>
      </c>
      <c r="AG281" s="168" t="str" cm="1">
        <f t="array" ref="AG281:AH281">IF(AF281="","",_xlfn.TEXTSPLIT(AF281,"-"))</f>
        <v>CI2026</v>
      </c>
      <c r="AH281" s="168" t="str">
        <v>0469</v>
      </c>
    </row>
    <row r="282" spans="26:34" ht="24" customHeight="1">
      <c r="Z282"/>
      <c r="AA282"/>
      <c r="AB282"/>
      <c r="AC282"/>
      <c r="AD282"/>
      <c r="AE282" s="168">
        <f t="shared" si="4"/>
        <v>470</v>
      </c>
      <c r="AF282" s="168" t="str">
        <v>CI2026-0470</v>
      </c>
      <c r="AG282" s="168" t="str" cm="1">
        <f t="array" ref="AG282:AH282">IF(AF282="","",_xlfn.TEXTSPLIT(AF282,"-"))</f>
        <v>CI2026</v>
      </c>
      <c r="AH282" s="168" t="str">
        <v>0470</v>
      </c>
    </row>
    <row r="283" spans="26:34" ht="24" customHeight="1">
      <c r="Z283"/>
      <c r="AA283"/>
      <c r="AB283"/>
      <c r="AC283"/>
      <c r="AD283"/>
      <c r="AE283" s="168">
        <f t="shared" si="4"/>
        <v>471</v>
      </c>
      <c r="AF283" s="168" t="str">
        <v>CI2026-0471</v>
      </c>
      <c r="AG283" s="168" t="str" cm="1">
        <f t="array" ref="AG283:AH283">IF(AF283="","",_xlfn.TEXTSPLIT(AF283,"-"))</f>
        <v>CI2026</v>
      </c>
      <c r="AH283" s="168" t="str">
        <v>0471</v>
      </c>
    </row>
    <row r="284" spans="26:34" ht="24" customHeight="1">
      <c r="Z284"/>
      <c r="AA284"/>
      <c r="AB284"/>
      <c r="AC284"/>
      <c r="AD284"/>
      <c r="AE284" s="168">
        <f t="shared" si="4"/>
        <v>472</v>
      </c>
      <c r="AF284" s="168" t="str">
        <v>CI2026-0472</v>
      </c>
      <c r="AG284" s="168" t="str" cm="1">
        <f t="array" ref="AG284:AH284">IF(AF284="","",_xlfn.TEXTSPLIT(AF284,"-"))</f>
        <v>CI2026</v>
      </c>
      <c r="AH284" s="168" t="str">
        <v>0472</v>
      </c>
    </row>
    <row r="285" spans="26:34" ht="24" customHeight="1">
      <c r="Z285"/>
      <c r="AA285"/>
      <c r="AB285"/>
      <c r="AC285"/>
      <c r="AD285"/>
      <c r="AE285" s="168" t="str">
        <f t="shared" si="4"/>
        <v/>
      </c>
      <c r="AF285" s="168">
        <v>0</v>
      </c>
      <c r="AG285" s="168" t="str" cm="1">
        <f t="array" ref="AG285">IF(AF285="","",_xlfn.TEXTSPLIT(AF285,"-"))</f>
        <v>0</v>
      </c>
      <c r="AH285" s="168"/>
    </row>
    <row r="286" spans="26:34" ht="24" customHeight="1">
      <c r="Z286"/>
      <c r="AA286"/>
      <c r="AB286"/>
      <c r="AC286"/>
      <c r="AD286"/>
      <c r="AE286" s="168" t="str">
        <f t="shared" si="4"/>
        <v/>
      </c>
      <c r="AF286" s="168">
        <v>0</v>
      </c>
      <c r="AG286" s="168" t="str" cm="1">
        <f t="array" ref="AG286">IF(AF286="","",_xlfn.TEXTSPLIT(AF286,"-"))</f>
        <v>0</v>
      </c>
      <c r="AH286" s="168"/>
    </row>
    <row r="287" spans="26:34" ht="24" customHeight="1">
      <c r="Z287"/>
      <c r="AA287"/>
      <c r="AB287"/>
      <c r="AC287"/>
      <c r="AD287"/>
      <c r="AE287" s="168" t="str">
        <f t="shared" si="4"/>
        <v/>
      </c>
      <c r="AF287" s="168">
        <v>0</v>
      </c>
      <c r="AG287" s="168" t="str" cm="1">
        <f t="array" ref="AG287">IF(AF287="","",_xlfn.TEXTSPLIT(AF287,"-"))</f>
        <v>0</v>
      </c>
      <c r="AH287" s="168"/>
    </row>
    <row r="288" spans="26:34" ht="24" customHeight="1">
      <c r="Z288"/>
      <c r="AA288"/>
      <c r="AB288"/>
      <c r="AC288"/>
      <c r="AD288"/>
      <c r="AE288" s="168" t="str">
        <f t="shared" si="4"/>
        <v/>
      </c>
      <c r="AF288" s="168">
        <v>0</v>
      </c>
      <c r="AG288" s="168" t="str" cm="1">
        <f t="array" ref="AG288">IF(AF288="","",_xlfn.TEXTSPLIT(AF288,"-"))</f>
        <v>0</v>
      </c>
      <c r="AH288" s="168"/>
    </row>
    <row r="289" spans="26:34" ht="24" customHeight="1">
      <c r="Z289"/>
      <c r="AA289"/>
      <c r="AB289"/>
      <c r="AC289"/>
      <c r="AD289"/>
      <c r="AE289" s="168" t="str">
        <f t="shared" si="4"/>
        <v/>
      </c>
      <c r="AF289" s="168">
        <v>0</v>
      </c>
      <c r="AG289" s="168" t="str" cm="1">
        <f t="array" ref="AG289">IF(AF289="","",_xlfn.TEXTSPLIT(AF289,"-"))</f>
        <v>0</v>
      </c>
      <c r="AH289" s="168"/>
    </row>
    <row r="290" spans="26:34" ht="24" customHeight="1">
      <c r="Z290"/>
      <c r="AA290"/>
      <c r="AB290"/>
      <c r="AC290"/>
      <c r="AD290"/>
      <c r="AE290" s="168" t="str">
        <f t="shared" si="4"/>
        <v/>
      </c>
      <c r="AF290" s="168">
        <v>0</v>
      </c>
      <c r="AG290" s="168" t="str" cm="1">
        <f t="array" ref="AG290">IF(AF290="","",_xlfn.TEXTSPLIT(AF290,"-"))</f>
        <v>0</v>
      </c>
      <c r="AH290" s="168"/>
    </row>
    <row r="291" spans="26:34" ht="24" customHeight="1">
      <c r="Z291"/>
      <c r="AA291"/>
      <c r="AB291"/>
      <c r="AC291"/>
      <c r="AD291"/>
      <c r="AE291" s="168" t="str">
        <f t="shared" si="4"/>
        <v/>
      </c>
      <c r="AF291" s="168">
        <v>0</v>
      </c>
      <c r="AG291" s="168" t="str" cm="1">
        <f t="array" ref="AG291">IF(AF291="","",_xlfn.TEXTSPLIT(AF291,"-"))</f>
        <v>0</v>
      </c>
      <c r="AH291" s="168"/>
    </row>
    <row r="292" spans="26:34" ht="24" customHeight="1">
      <c r="Z292"/>
      <c r="AA292"/>
      <c r="AB292"/>
      <c r="AC292"/>
      <c r="AD292"/>
      <c r="AE292" s="168" t="str">
        <f t="shared" si="4"/>
        <v/>
      </c>
      <c r="AF292" s="168">
        <v>0</v>
      </c>
      <c r="AG292" s="168" t="str" cm="1">
        <f t="array" ref="AG292">IF(AF292="","",_xlfn.TEXTSPLIT(AF292,"-"))</f>
        <v>0</v>
      </c>
      <c r="AH292" s="168"/>
    </row>
    <row r="293" spans="26:34" ht="24" customHeight="1">
      <c r="Z293"/>
      <c r="AA293"/>
      <c r="AB293"/>
      <c r="AC293"/>
      <c r="AD293"/>
      <c r="AE293" s="168" t="str">
        <f t="shared" si="4"/>
        <v/>
      </c>
      <c r="AF293" s="168">
        <v>0</v>
      </c>
      <c r="AG293" s="168" t="str" cm="1">
        <f t="array" ref="AG293">IF(AF293="","",_xlfn.TEXTSPLIT(AF293,"-"))</f>
        <v>0</v>
      </c>
      <c r="AH293" s="168"/>
    </row>
    <row r="294" spans="26:34" ht="24" customHeight="1">
      <c r="Z294"/>
      <c r="AA294"/>
      <c r="AB294"/>
      <c r="AC294"/>
      <c r="AD294"/>
      <c r="AE294" s="168" t="str">
        <f t="shared" si="4"/>
        <v/>
      </c>
      <c r="AF294" s="168">
        <v>0</v>
      </c>
      <c r="AG294" s="168" t="str" cm="1">
        <f t="array" ref="AG294">IF(AF294="","",_xlfn.TEXTSPLIT(AF294,"-"))</f>
        <v>0</v>
      </c>
      <c r="AH294" s="168"/>
    </row>
    <row r="295" spans="26:34" ht="24" customHeight="1">
      <c r="Z295"/>
      <c r="AA295"/>
      <c r="AB295"/>
      <c r="AC295"/>
      <c r="AD295"/>
      <c r="AE295" s="168" t="str">
        <f t="shared" si="4"/>
        <v/>
      </c>
      <c r="AF295" s="168">
        <v>0</v>
      </c>
      <c r="AG295" s="168" t="str" cm="1">
        <f t="array" ref="AG295">IF(AF295="","",_xlfn.TEXTSPLIT(AF295,"-"))</f>
        <v>0</v>
      </c>
      <c r="AH295" s="168"/>
    </row>
    <row r="296" spans="26:34" ht="24" customHeight="1">
      <c r="Z296"/>
      <c r="AA296"/>
      <c r="AB296"/>
      <c r="AC296"/>
      <c r="AD296"/>
      <c r="AE296" s="168" t="str">
        <f t="shared" si="4"/>
        <v/>
      </c>
      <c r="AF296" s="168">
        <v>0</v>
      </c>
      <c r="AG296" s="168" t="str" cm="1">
        <f t="array" ref="AG296">IF(AF296="","",_xlfn.TEXTSPLIT(AF296,"-"))</f>
        <v>0</v>
      </c>
      <c r="AH296" s="168"/>
    </row>
    <row r="297" spans="26:34" ht="24" customHeight="1">
      <c r="Z297"/>
      <c r="AA297"/>
      <c r="AB297"/>
      <c r="AC297"/>
      <c r="AD297"/>
      <c r="AE297" s="168" t="str">
        <f t="shared" si="4"/>
        <v/>
      </c>
      <c r="AF297" s="168">
        <v>0</v>
      </c>
      <c r="AG297" s="168" t="str" cm="1">
        <f t="array" ref="AG297">IF(AF297="","",_xlfn.TEXTSPLIT(AF297,"-"))</f>
        <v>0</v>
      </c>
      <c r="AH297" s="168"/>
    </row>
    <row r="298" spans="26:34" ht="24" customHeight="1">
      <c r="Z298"/>
      <c r="AA298"/>
      <c r="AB298"/>
      <c r="AC298"/>
      <c r="AD298"/>
      <c r="AE298" s="168" t="str">
        <f t="shared" si="4"/>
        <v/>
      </c>
      <c r="AF298" s="168">
        <v>0</v>
      </c>
      <c r="AG298" s="168" t="str" cm="1">
        <f t="array" ref="AG298">IF(AF298="","",_xlfn.TEXTSPLIT(AF298,"-"))</f>
        <v>0</v>
      </c>
      <c r="AH298" s="168"/>
    </row>
    <row r="299" spans="26:34" ht="24" customHeight="1">
      <c r="Z299"/>
      <c r="AA299"/>
      <c r="AB299"/>
      <c r="AC299"/>
      <c r="AD299"/>
      <c r="AE299" s="168" t="str">
        <f t="shared" si="4"/>
        <v/>
      </c>
      <c r="AF299" s="168">
        <v>0</v>
      </c>
      <c r="AG299" s="168" t="str" cm="1">
        <f t="array" ref="AG299">IF(AF299="","",_xlfn.TEXTSPLIT(AF299,"-"))</f>
        <v>0</v>
      </c>
      <c r="AH299" s="168"/>
    </row>
    <row r="300" spans="26:34" ht="24" customHeight="1">
      <c r="Z300"/>
      <c r="AA300"/>
      <c r="AB300"/>
      <c r="AC300"/>
      <c r="AD300"/>
      <c r="AE300" s="168" t="str">
        <f t="shared" si="4"/>
        <v/>
      </c>
      <c r="AF300" s="168">
        <v>0</v>
      </c>
      <c r="AG300" s="168" t="str" cm="1">
        <f t="array" ref="AG300">IF(AF300="","",_xlfn.TEXTSPLIT(AF300,"-"))</f>
        <v>0</v>
      </c>
      <c r="AH300" s="168"/>
    </row>
    <row r="301" spans="26:34" ht="24" customHeight="1">
      <c r="Z301"/>
      <c r="AA301"/>
      <c r="AB301"/>
      <c r="AC301"/>
      <c r="AD301"/>
      <c r="AE301" s="168" t="str">
        <f t="shared" si="4"/>
        <v/>
      </c>
      <c r="AF301" s="168">
        <v>0</v>
      </c>
      <c r="AG301" s="168" t="str" cm="1">
        <f t="array" ref="AG301">IF(AF301="","",_xlfn.TEXTSPLIT(AF301,"-"))</f>
        <v>0</v>
      </c>
      <c r="AH301" s="168"/>
    </row>
    <row r="302" spans="26:34" ht="24" customHeight="1">
      <c r="Z302"/>
      <c r="AA302"/>
      <c r="AB302"/>
      <c r="AC302"/>
      <c r="AD302"/>
      <c r="AE302" s="168" t="str">
        <f t="shared" si="4"/>
        <v/>
      </c>
      <c r="AF302" s="168">
        <v>0</v>
      </c>
      <c r="AG302" s="168" t="str" cm="1">
        <f t="array" ref="AG302">IF(AF302="","",_xlfn.TEXTSPLIT(AF302,"-"))</f>
        <v>0</v>
      </c>
      <c r="AH302" s="168"/>
    </row>
    <row r="303" spans="26:34" ht="24" customHeight="1">
      <c r="Z303"/>
      <c r="AA303"/>
      <c r="AB303"/>
      <c r="AC303"/>
      <c r="AD303"/>
      <c r="AE303" s="168" t="str">
        <f t="shared" si="4"/>
        <v/>
      </c>
      <c r="AF303" s="168">
        <v>0</v>
      </c>
      <c r="AG303" s="168" t="str" cm="1">
        <f t="array" ref="AG303">IF(AF303="","",_xlfn.TEXTSPLIT(AF303,"-"))</f>
        <v>0</v>
      </c>
      <c r="AH303" s="168"/>
    </row>
    <row r="304" spans="26:34" ht="24" customHeight="1">
      <c r="Z304"/>
      <c r="AA304"/>
      <c r="AB304"/>
      <c r="AC304"/>
      <c r="AD304"/>
      <c r="AE304" s="168" t="str">
        <f t="shared" si="4"/>
        <v/>
      </c>
      <c r="AF304" s="168">
        <v>0</v>
      </c>
      <c r="AG304" s="168" t="str" cm="1">
        <f t="array" ref="AG304">IF(AF304="","",_xlfn.TEXTSPLIT(AF304,"-"))</f>
        <v>0</v>
      </c>
      <c r="AH304" s="168"/>
    </row>
    <row r="305" spans="26:34" ht="24" customHeight="1">
      <c r="Z305"/>
      <c r="AA305"/>
      <c r="AB305"/>
      <c r="AC305"/>
      <c r="AD305"/>
      <c r="AE305" s="168" t="str">
        <f t="shared" si="4"/>
        <v/>
      </c>
      <c r="AF305" s="168">
        <v>0</v>
      </c>
      <c r="AG305" s="168" t="str" cm="1">
        <f t="array" ref="AG305">IF(AF305="","",_xlfn.TEXTSPLIT(AF305,"-"))</f>
        <v>0</v>
      </c>
      <c r="AH305" s="168"/>
    </row>
    <row r="306" spans="26:34" ht="24" customHeight="1">
      <c r="Z306"/>
      <c r="AA306"/>
      <c r="AB306"/>
      <c r="AC306"/>
      <c r="AD306"/>
      <c r="AE306" s="168" t="str">
        <f t="shared" si="4"/>
        <v/>
      </c>
      <c r="AF306" s="168">
        <v>0</v>
      </c>
      <c r="AG306" s="168" t="str" cm="1">
        <f t="array" ref="AG306">IF(AF306="","",_xlfn.TEXTSPLIT(AF306,"-"))</f>
        <v>0</v>
      </c>
      <c r="AH306" s="168"/>
    </row>
    <row r="307" spans="26:34" ht="24" customHeight="1">
      <c r="Z307"/>
      <c r="AA307"/>
      <c r="AB307"/>
      <c r="AC307"/>
      <c r="AD307"/>
      <c r="AE307" s="168" t="str">
        <f t="shared" si="4"/>
        <v/>
      </c>
      <c r="AF307" s="168">
        <v>0</v>
      </c>
      <c r="AG307" s="168" t="str" cm="1">
        <f t="array" ref="AG307">IF(AF307="","",_xlfn.TEXTSPLIT(AF307,"-"))</f>
        <v>0</v>
      </c>
      <c r="AH307" s="168"/>
    </row>
    <row r="308" spans="26:34" ht="24" customHeight="1">
      <c r="Z308"/>
      <c r="AA308"/>
      <c r="AB308"/>
      <c r="AC308"/>
      <c r="AD308"/>
      <c r="AE308" s="168" t="str">
        <f t="shared" si="4"/>
        <v/>
      </c>
      <c r="AF308" s="168">
        <v>0</v>
      </c>
      <c r="AG308" s="168" t="str" cm="1">
        <f t="array" ref="AG308">IF(AF308="","",_xlfn.TEXTSPLIT(AF308,"-"))</f>
        <v>0</v>
      </c>
      <c r="AH308" s="168"/>
    </row>
    <row r="309" spans="26:34" ht="24" customHeight="1">
      <c r="Z309"/>
      <c r="AA309"/>
      <c r="AB309"/>
      <c r="AC309"/>
      <c r="AD309"/>
      <c r="AE309" s="168" t="str">
        <f t="shared" si="4"/>
        <v/>
      </c>
      <c r="AF309" s="168">
        <v>0</v>
      </c>
      <c r="AG309" s="168" t="str" cm="1">
        <f t="array" ref="AG309">IF(AF309="","",_xlfn.TEXTSPLIT(AF309,"-"))</f>
        <v>0</v>
      </c>
      <c r="AH309" s="168"/>
    </row>
    <row r="310" spans="26:34" ht="24" customHeight="1">
      <c r="Z310"/>
      <c r="AA310"/>
      <c r="AB310"/>
      <c r="AC310"/>
      <c r="AD310"/>
      <c r="AE310" s="168" t="str">
        <f t="shared" si="4"/>
        <v/>
      </c>
      <c r="AF310" s="168">
        <v>0</v>
      </c>
      <c r="AG310" s="168" t="str" cm="1">
        <f t="array" ref="AG310">IF(AF310="","",_xlfn.TEXTSPLIT(AF310,"-"))</f>
        <v>0</v>
      </c>
      <c r="AH310" s="168"/>
    </row>
    <row r="311" spans="26:34" ht="24" customHeight="1">
      <c r="Z311"/>
      <c r="AA311"/>
      <c r="AB311"/>
      <c r="AC311"/>
      <c r="AD311"/>
      <c r="AE311" s="168" t="str">
        <f t="shared" si="4"/>
        <v/>
      </c>
      <c r="AF311" s="168">
        <v>0</v>
      </c>
      <c r="AG311" s="168" t="str" cm="1">
        <f t="array" ref="AG311">IF(AF311="","",_xlfn.TEXTSPLIT(AF311,"-"))</f>
        <v>0</v>
      </c>
      <c r="AH311" s="168"/>
    </row>
    <row r="312" spans="26:34" ht="24" customHeight="1">
      <c r="Z312"/>
      <c r="AA312"/>
      <c r="AB312"/>
      <c r="AC312"/>
      <c r="AD312"/>
      <c r="AE312" s="168" t="str">
        <f t="shared" si="4"/>
        <v/>
      </c>
      <c r="AF312" s="168">
        <v>0</v>
      </c>
      <c r="AG312" s="168" t="str" cm="1">
        <f t="array" ref="AG312">IF(AF312="","",_xlfn.TEXTSPLIT(AF312,"-"))</f>
        <v>0</v>
      </c>
      <c r="AH312" s="168"/>
    </row>
    <row r="313" spans="26:34" ht="24" customHeight="1">
      <c r="Z313"/>
      <c r="AA313"/>
      <c r="AB313"/>
      <c r="AC313"/>
      <c r="AD313"/>
      <c r="AE313" s="168" t="str">
        <f t="shared" si="4"/>
        <v/>
      </c>
      <c r="AF313" s="168">
        <v>0</v>
      </c>
      <c r="AG313" s="168" t="str" cm="1">
        <f t="array" ref="AG313">IF(AF313="","",_xlfn.TEXTSPLIT(AF313,"-"))</f>
        <v>0</v>
      </c>
      <c r="AH313" s="168"/>
    </row>
    <row r="314" spans="26:34" ht="24" customHeight="1">
      <c r="Z314"/>
      <c r="AA314"/>
      <c r="AB314"/>
      <c r="AC314"/>
      <c r="AD314"/>
      <c r="AE314" s="168" t="str">
        <f t="shared" si="4"/>
        <v/>
      </c>
      <c r="AF314" s="168">
        <v>0</v>
      </c>
      <c r="AG314" s="168" t="str" cm="1">
        <f t="array" ref="AG314">IF(AF314="","",_xlfn.TEXTSPLIT(AF314,"-"))</f>
        <v>0</v>
      </c>
      <c r="AH314" s="168"/>
    </row>
    <row r="315" spans="26:34" ht="24" customHeight="1">
      <c r="Z315"/>
      <c r="AA315"/>
      <c r="AB315"/>
      <c r="AC315"/>
      <c r="AD315"/>
      <c r="AE315" s="168" t="str">
        <f t="shared" si="4"/>
        <v/>
      </c>
      <c r="AF315" s="168">
        <v>0</v>
      </c>
      <c r="AG315" s="168" t="str" cm="1">
        <f t="array" ref="AG315">IF(AF315="","",_xlfn.TEXTSPLIT(AF315,"-"))</f>
        <v>0</v>
      </c>
      <c r="AH315" s="168"/>
    </row>
    <row r="316" spans="26:34" ht="24" customHeight="1">
      <c r="Z316"/>
      <c r="AA316"/>
      <c r="AB316"/>
      <c r="AC316"/>
      <c r="AD316"/>
      <c r="AE316" s="168" t="str">
        <f t="shared" si="4"/>
        <v/>
      </c>
      <c r="AF316" s="168">
        <v>0</v>
      </c>
      <c r="AG316" s="168" t="str" cm="1">
        <f t="array" ref="AG316">IF(AF316="","",_xlfn.TEXTSPLIT(AF316,"-"))</f>
        <v>0</v>
      </c>
      <c r="AH316" s="168"/>
    </row>
    <row r="317" spans="26:34" ht="24" customHeight="1">
      <c r="Z317"/>
      <c r="AA317"/>
      <c r="AB317"/>
      <c r="AC317"/>
      <c r="AD317"/>
      <c r="AE317" s="168" t="str">
        <f t="shared" si="4"/>
        <v/>
      </c>
      <c r="AF317" s="168">
        <v>0</v>
      </c>
      <c r="AG317" s="168" t="str" cm="1">
        <f t="array" ref="AG317">IF(AF317="","",_xlfn.TEXTSPLIT(AF317,"-"))</f>
        <v>0</v>
      </c>
      <c r="AH317" s="168"/>
    </row>
    <row r="318" spans="26:34" ht="24" customHeight="1">
      <c r="Z318"/>
      <c r="AA318"/>
      <c r="AB318"/>
      <c r="AC318"/>
      <c r="AD318"/>
      <c r="AE318" s="168" t="str">
        <f t="shared" si="4"/>
        <v/>
      </c>
      <c r="AF318" s="168">
        <v>0</v>
      </c>
      <c r="AG318" s="168" t="str" cm="1">
        <f t="array" ref="AG318">IF(AF318="","",_xlfn.TEXTSPLIT(AF318,"-"))</f>
        <v>0</v>
      </c>
      <c r="AH318" s="168"/>
    </row>
    <row r="319" spans="26:34" ht="24" customHeight="1">
      <c r="Z319"/>
      <c r="AA319"/>
      <c r="AB319"/>
      <c r="AC319"/>
      <c r="AD319"/>
      <c r="AE319" s="168" t="str">
        <f t="shared" si="4"/>
        <v/>
      </c>
      <c r="AF319" s="168">
        <v>0</v>
      </c>
      <c r="AG319" s="168" t="str" cm="1">
        <f t="array" ref="AG319">IF(AF319="","",_xlfn.TEXTSPLIT(AF319,"-"))</f>
        <v>0</v>
      </c>
      <c r="AH319" s="168"/>
    </row>
    <row r="320" spans="26:34" ht="24" customHeight="1">
      <c r="Z320"/>
      <c r="AA320"/>
      <c r="AB320"/>
      <c r="AC320"/>
      <c r="AD320"/>
      <c r="AE320" s="168" t="str">
        <f t="shared" si="4"/>
        <v/>
      </c>
      <c r="AF320" s="168">
        <v>0</v>
      </c>
      <c r="AG320" s="168" t="str" cm="1">
        <f t="array" ref="AG320">IF(AF320="","",_xlfn.TEXTSPLIT(AF320,"-"))</f>
        <v>0</v>
      </c>
      <c r="AH320" s="168"/>
    </row>
    <row r="321" spans="26:34" ht="24" customHeight="1">
      <c r="Z321"/>
      <c r="AA321"/>
      <c r="AB321"/>
      <c r="AC321"/>
      <c r="AD321"/>
      <c r="AE321" s="168" t="str">
        <f t="shared" si="4"/>
        <v/>
      </c>
      <c r="AF321" s="168">
        <v>0</v>
      </c>
      <c r="AG321" s="168" t="str" cm="1">
        <f t="array" ref="AG321">IF(AF321="","",_xlfn.TEXTSPLIT(AF321,"-"))</f>
        <v>0</v>
      </c>
      <c r="AH321" s="168"/>
    </row>
    <row r="322" spans="26:34" ht="24" customHeight="1">
      <c r="Z322"/>
      <c r="AA322"/>
      <c r="AB322"/>
      <c r="AC322"/>
      <c r="AD322"/>
      <c r="AE322" s="168" t="str">
        <f t="shared" si="4"/>
        <v/>
      </c>
      <c r="AF322" s="168">
        <v>0</v>
      </c>
      <c r="AG322" s="168" t="str" cm="1">
        <f t="array" ref="AG322">IF(AF322="","",_xlfn.TEXTSPLIT(AF322,"-"))</f>
        <v>0</v>
      </c>
      <c r="AH322" s="168"/>
    </row>
    <row r="323" spans="26:34" ht="24" customHeight="1">
      <c r="Z323"/>
      <c r="AA323"/>
      <c r="AB323"/>
      <c r="AC323"/>
      <c r="AD323"/>
      <c r="AE323" s="168" t="str">
        <f t="shared" si="4"/>
        <v/>
      </c>
      <c r="AF323" s="168">
        <v>0</v>
      </c>
      <c r="AG323" s="168" t="str" cm="1">
        <f t="array" ref="AG323">IF(AF323="","",_xlfn.TEXTSPLIT(AF323,"-"))</f>
        <v>0</v>
      </c>
      <c r="AH323" s="168"/>
    </row>
    <row r="324" spans="26:34" ht="24" customHeight="1">
      <c r="Z324"/>
      <c r="AA324"/>
      <c r="AB324"/>
      <c r="AC324"/>
      <c r="AD324"/>
      <c r="AE324" s="168" t="str">
        <f t="shared" si="4"/>
        <v/>
      </c>
      <c r="AF324" s="168">
        <v>0</v>
      </c>
      <c r="AG324" s="168" t="str" cm="1">
        <f t="array" ref="AG324">IF(AF324="","",_xlfn.TEXTSPLIT(AF324,"-"))</f>
        <v>0</v>
      </c>
      <c r="AH324" s="168"/>
    </row>
    <row r="325" spans="26:34" ht="24" customHeight="1">
      <c r="Z325"/>
      <c r="AA325"/>
      <c r="AB325"/>
      <c r="AC325"/>
      <c r="AD325"/>
      <c r="AE325" s="168" t="str">
        <f t="shared" ref="AE325:AE388" si="5">IF(AH325="","",AH325*1)</f>
        <v/>
      </c>
      <c r="AF325" s="168">
        <v>0</v>
      </c>
      <c r="AG325" s="168" t="str" cm="1">
        <f t="array" ref="AG325">IF(AF325="","",_xlfn.TEXTSPLIT(AF325,"-"))</f>
        <v>0</v>
      </c>
      <c r="AH325" s="168"/>
    </row>
    <row r="326" spans="26:34" ht="24" customHeight="1">
      <c r="Z326"/>
      <c r="AA326"/>
      <c r="AB326"/>
      <c r="AC326"/>
      <c r="AD326"/>
      <c r="AE326" s="168" t="str">
        <f t="shared" si="5"/>
        <v/>
      </c>
      <c r="AF326" s="168">
        <v>0</v>
      </c>
      <c r="AG326" s="168" t="str" cm="1">
        <f t="array" ref="AG326">IF(AF326="","",_xlfn.TEXTSPLIT(AF326,"-"))</f>
        <v>0</v>
      </c>
      <c r="AH326" s="168"/>
    </row>
    <row r="327" spans="26:34" ht="24" customHeight="1">
      <c r="Z327"/>
      <c r="AA327"/>
      <c r="AB327"/>
      <c r="AC327"/>
      <c r="AD327"/>
      <c r="AE327" s="168" t="str">
        <f t="shared" si="5"/>
        <v/>
      </c>
      <c r="AF327" s="168">
        <v>0</v>
      </c>
      <c r="AG327" s="168" t="str" cm="1">
        <f t="array" ref="AG327">IF(AF327="","",_xlfn.TEXTSPLIT(AF327,"-"))</f>
        <v>0</v>
      </c>
      <c r="AH327" s="168"/>
    </row>
    <row r="328" spans="26:34" ht="24" customHeight="1">
      <c r="Z328"/>
      <c r="AA328"/>
      <c r="AB328"/>
      <c r="AC328"/>
      <c r="AD328"/>
      <c r="AE328" s="168" t="str">
        <f t="shared" si="5"/>
        <v/>
      </c>
      <c r="AF328" s="168">
        <v>0</v>
      </c>
      <c r="AG328" s="168" t="str" cm="1">
        <f t="array" ref="AG328">IF(AF328="","",_xlfn.TEXTSPLIT(AF328,"-"))</f>
        <v>0</v>
      </c>
      <c r="AH328" s="168"/>
    </row>
    <row r="329" spans="26:34" ht="24" customHeight="1">
      <c r="Z329"/>
      <c r="AA329"/>
      <c r="AB329"/>
      <c r="AC329"/>
      <c r="AD329"/>
      <c r="AE329" s="168" t="str">
        <f t="shared" si="5"/>
        <v/>
      </c>
      <c r="AF329" s="168">
        <v>0</v>
      </c>
      <c r="AG329" s="168" t="str" cm="1">
        <f t="array" ref="AG329">IF(AF329="","",_xlfn.TEXTSPLIT(AF329,"-"))</f>
        <v>0</v>
      </c>
      <c r="AH329" s="168"/>
    </row>
    <row r="330" spans="26:34" ht="24" customHeight="1">
      <c r="Z330"/>
      <c r="AA330"/>
      <c r="AB330"/>
      <c r="AC330"/>
      <c r="AD330"/>
      <c r="AE330" s="168" t="str">
        <f t="shared" si="5"/>
        <v/>
      </c>
      <c r="AF330" s="168">
        <v>0</v>
      </c>
      <c r="AG330" s="168" t="str" cm="1">
        <f t="array" ref="AG330">IF(AF330="","",_xlfn.TEXTSPLIT(AF330,"-"))</f>
        <v>0</v>
      </c>
      <c r="AH330" s="168"/>
    </row>
    <row r="331" spans="26:34" ht="24" customHeight="1">
      <c r="Z331"/>
      <c r="AA331"/>
      <c r="AB331"/>
      <c r="AC331"/>
      <c r="AD331"/>
      <c r="AE331" s="168" t="str">
        <f t="shared" si="5"/>
        <v/>
      </c>
      <c r="AF331" s="168">
        <v>0</v>
      </c>
      <c r="AG331" s="168" t="str" cm="1">
        <f t="array" ref="AG331">IF(AF331="","",_xlfn.TEXTSPLIT(AF331,"-"))</f>
        <v>0</v>
      </c>
      <c r="AH331" s="168"/>
    </row>
    <row r="332" spans="26:34" ht="24" customHeight="1">
      <c r="Z332"/>
      <c r="AA332"/>
      <c r="AB332"/>
      <c r="AC332"/>
      <c r="AD332"/>
      <c r="AE332" s="168" t="str">
        <f t="shared" si="5"/>
        <v/>
      </c>
      <c r="AF332" s="168">
        <v>0</v>
      </c>
      <c r="AG332" s="168" t="str" cm="1">
        <f t="array" ref="AG332">IF(AF332="","",_xlfn.TEXTSPLIT(AF332,"-"))</f>
        <v>0</v>
      </c>
      <c r="AH332" s="168"/>
    </row>
    <row r="333" spans="26:34" ht="24" customHeight="1">
      <c r="Z333"/>
      <c r="AA333"/>
      <c r="AB333"/>
      <c r="AC333"/>
      <c r="AD333"/>
      <c r="AE333" s="168" t="str">
        <f t="shared" si="5"/>
        <v/>
      </c>
      <c r="AF333" s="168">
        <v>0</v>
      </c>
      <c r="AG333" s="168" t="str" cm="1">
        <f t="array" ref="AG333">IF(AF333="","",_xlfn.TEXTSPLIT(AF333,"-"))</f>
        <v>0</v>
      </c>
      <c r="AH333" s="168"/>
    </row>
    <row r="334" spans="26:34" ht="24" customHeight="1">
      <c r="Z334"/>
      <c r="AA334"/>
      <c r="AB334"/>
      <c r="AC334"/>
      <c r="AD334"/>
      <c r="AE334" s="168" t="str">
        <f t="shared" si="5"/>
        <v/>
      </c>
      <c r="AF334" s="168">
        <v>0</v>
      </c>
      <c r="AG334" s="168" t="str" cm="1">
        <f t="array" ref="AG334">IF(AF334="","",_xlfn.TEXTSPLIT(AF334,"-"))</f>
        <v>0</v>
      </c>
      <c r="AH334" s="168"/>
    </row>
    <row r="335" spans="26:34" ht="24" customHeight="1">
      <c r="Z335"/>
      <c r="AA335"/>
      <c r="AB335"/>
      <c r="AC335"/>
      <c r="AD335"/>
      <c r="AE335" s="168" t="str">
        <f t="shared" si="5"/>
        <v/>
      </c>
      <c r="AF335" s="168">
        <v>0</v>
      </c>
      <c r="AG335" s="168" t="str" cm="1">
        <f t="array" ref="AG335">IF(AF335="","",_xlfn.TEXTSPLIT(AF335,"-"))</f>
        <v>0</v>
      </c>
      <c r="AH335" s="168"/>
    </row>
    <row r="336" spans="26:34" ht="24" customHeight="1">
      <c r="Z336"/>
      <c r="AA336"/>
      <c r="AB336"/>
      <c r="AC336"/>
      <c r="AD336"/>
      <c r="AE336" s="168" t="str">
        <f t="shared" si="5"/>
        <v/>
      </c>
      <c r="AF336" s="168">
        <v>0</v>
      </c>
      <c r="AG336" s="168" t="str" cm="1">
        <f t="array" ref="AG336">IF(AF336="","",_xlfn.TEXTSPLIT(AF336,"-"))</f>
        <v>0</v>
      </c>
      <c r="AH336" s="168"/>
    </row>
    <row r="337" spans="26:34" ht="24" customHeight="1">
      <c r="Z337"/>
      <c r="AA337"/>
      <c r="AB337"/>
      <c r="AC337"/>
      <c r="AD337"/>
      <c r="AE337" s="168" t="str">
        <f t="shared" si="5"/>
        <v/>
      </c>
      <c r="AF337" s="168">
        <v>0</v>
      </c>
      <c r="AG337" s="168" t="str" cm="1">
        <f t="array" ref="AG337">IF(AF337="","",_xlfn.TEXTSPLIT(AF337,"-"))</f>
        <v>0</v>
      </c>
      <c r="AH337" s="168"/>
    </row>
    <row r="338" spans="26:34" ht="24" customHeight="1">
      <c r="Z338"/>
      <c r="AA338"/>
      <c r="AB338"/>
      <c r="AC338"/>
      <c r="AD338"/>
      <c r="AE338" s="168" t="str">
        <f t="shared" si="5"/>
        <v/>
      </c>
      <c r="AF338" s="168">
        <v>0</v>
      </c>
      <c r="AG338" s="168" t="str" cm="1">
        <f t="array" ref="AG338">IF(AF338="","",_xlfn.TEXTSPLIT(AF338,"-"))</f>
        <v>0</v>
      </c>
      <c r="AH338" s="168"/>
    </row>
    <row r="339" spans="26:34" ht="24" customHeight="1">
      <c r="Z339"/>
      <c r="AA339"/>
      <c r="AB339"/>
      <c r="AC339"/>
      <c r="AD339"/>
      <c r="AE339" s="168" t="str">
        <f t="shared" si="5"/>
        <v/>
      </c>
      <c r="AF339" s="168">
        <v>0</v>
      </c>
      <c r="AG339" s="168" t="str" cm="1">
        <f t="array" ref="AG339">IF(AF339="","",_xlfn.TEXTSPLIT(AF339,"-"))</f>
        <v>0</v>
      </c>
      <c r="AH339" s="168"/>
    </row>
    <row r="340" spans="26:34" ht="24" customHeight="1">
      <c r="Z340"/>
      <c r="AA340"/>
      <c r="AB340"/>
      <c r="AC340"/>
      <c r="AD340"/>
      <c r="AE340" s="168" t="str">
        <f t="shared" si="5"/>
        <v/>
      </c>
      <c r="AF340" s="168">
        <v>0</v>
      </c>
      <c r="AG340" s="168" t="str" cm="1">
        <f t="array" ref="AG340">IF(AF340="","",_xlfn.TEXTSPLIT(AF340,"-"))</f>
        <v>0</v>
      </c>
      <c r="AH340" s="168"/>
    </row>
    <row r="341" spans="26:34" ht="24" customHeight="1">
      <c r="Z341"/>
      <c r="AA341"/>
      <c r="AB341"/>
      <c r="AC341"/>
      <c r="AD341"/>
      <c r="AE341" s="168" t="str">
        <f t="shared" si="5"/>
        <v/>
      </c>
      <c r="AF341" s="168">
        <v>0</v>
      </c>
      <c r="AG341" s="168" t="str" cm="1">
        <f t="array" ref="AG341">IF(AF341="","",_xlfn.TEXTSPLIT(AF341,"-"))</f>
        <v>0</v>
      </c>
      <c r="AH341" s="168"/>
    </row>
    <row r="342" spans="26:34" ht="24" customHeight="1">
      <c r="Z342"/>
      <c r="AA342"/>
      <c r="AB342"/>
      <c r="AC342"/>
      <c r="AD342"/>
      <c r="AE342" s="168" t="str">
        <f t="shared" si="5"/>
        <v/>
      </c>
      <c r="AF342" s="168">
        <v>0</v>
      </c>
      <c r="AG342" s="168" t="str" cm="1">
        <f t="array" ref="AG342">IF(AF342="","",_xlfn.TEXTSPLIT(AF342,"-"))</f>
        <v>0</v>
      </c>
      <c r="AH342" s="168"/>
    </row>
    <row r="343" spans="26:34" ht="24" customHeight="1">
      <c r="Z343"/>
      <c r="AA343"/>
      <c r="AB343"/>
      <c r="AC343"/>
      <c r="AD343"/>
      <c r="AE343" s="168" t="str">
        <f t="shared" si="5"/>
        <v/>
      </c>
      <c r="AF343" s="168">
        <v>0</v>
      </c>
      <c r="AG343" s="168" t="str" cm="1">
        <f t="array" ref="AG343">IF(AF343="","",_xlfn.TEXTSPLIT(AF343,"-"))</f>
        <v>0</v>
      </c>
      <c r="AH343" s="168"/>
    </row>
    <row r="344" spans="26:34" ht="24" customHeight="1">
      <c r="Z344"/>
      <c r="AA344"/>
      <c r="AB344"/>
      <c r="AC344"/>
      <c r="AD344"/>
      <c r="AE344" s="168" t="str">
        <f t="shared" si="5"/>
        <v/>
      </c>
      <c r="AF344" s="168">
        <v>0</v>
      </c>
      <c r="AG344" s="168" t="str" cm="1">
        <f t="array" ref="AG344">IF(AF344="","",_xlfn.TEXTSPLIT(AF344,"-"))</f>
        <v>0</v>
      </c>
      <c r="AH344" s="168"/>
    </row>
    <row r="345" spans="26:34" ht="24" customHeight="1">
      <c r="Z345"/>
      <c r="AA345"/>
      <c r="AB345"/>
      <c r="AC345"/>
      <c r="AD345"/>
      <c r="AE345" s="168" t="str">
        <f t="shared" si="5"/>
        <v/>
      </c>
      <c r="AF345" s="168">
        <v>0</v>
      </c>
      <c r="AG345" s="168" t="str" cm="1">
        <f t="array" ref="AG345">IF(AF345="","",_xlfn.TEXTSPLIT(AF345,"-"))</f>
        <v>0</v>
      </c>
      <c r="AH345" s="168"/>
    </row>
    <row r="346" spans="26:34" ht="24" customHeight="1">
      <c r="Z346"/>
      <c r="AA346"/>
      <c r="AB346"/>
      <c r="AC346"/>
      <c r="AD346"/>
      <c r="AE346" s="168" t="str">
        <f t="shared" si="5"/>
        <v/>
      </c>
      <c r="AF346" s="168">
        <v>0</v>
      </c>
      <c r="AG346" s="168" t="str" cm="1">
        <f t="array" ref="AG346">IF(AF346="","",_xlfn.TEXTSPLIT(AF346,"-"))</f>
        <v>0</v>
      </c>
      <c r="AH346" s="168"/>
    </row>
    <row r="347" spans="26:34" ht="24" customHeight="1">
      <c r="Z347"/>
      <c r="AA347"/>
      <c r="AB347"/>
      <c r="AC347"/>
      <c r="AD347"/>
      <c r="AE347" s="168" t="str">
        <f t="shared" si="5"/>
        <v/>
      </c>
      <c r="AF347" s="168">
        <v>0</v>
      </c>
      <c r="AG347" s="168" t="str" cm="1">
        <f t="array" ref="AG347">IF(AF347="","",_xlfn.TEXTSPLIT(AF347,"-"))</f>
        <v>0</v>
      </c>
      <c r="AH347" s="168"/>
    </row>
    <row r="348" spans="26:34" ht="24" customHeight="1">
      <c r="Z348"/>
      <c r="AA348"/>
      <c r="AB348"/>
      <c r="AC348"/>
      <c r="AD348"/>
      <c r="AE348" s="168" t="str">
        <f t="shared" si="5"/>
        <v/>
      </c>
      <c r="AF348" s="168">
        <v>0</v>
      </c>
      <c r="AG348" s="168" t="str" cm="1">
        <f t="array" ref="AG348">IF(AF348="","",_xlfn.TEXTSPLIT(AF348,"-"))</f>
        <v>0</v>
      </c>
      <c r="AH348" s="168"/>
    </row>
    <row r="349" spans="26:34" ht="24" customHeight="1">
      <c r="Z349"/>
      <c r="AA349"/>
      <c r="AB349"/>
      <c r="AC349"/>
      <c r="AD349"/>
      <c r="AE349" s="168" t="str">
        <f t="shared" si="5"/>
        <v/>
      </c>
      <c r="AF349" s="168">
        <v>0</v>
      </c>
      <c r="AG349" s="168" t="str" cm="1">
        <f t="array" ref="AG349">IF(AF349="","",_xlfn.TEXTSPLIT(AF349,"-"))</f>
        <v>0</v>
      </c>
      <c r="AH349" s="168"/>
    </row>
    <row r="350" spans="26:34" ht="24" customHeight="1">
      <c r="Z350"/>
      <c r="AA350"/>
      <c r="AB350"/>
      <c r="AC350"/>
      <c r="AD350"/>
      <c r="AE350" s="168" t="str">
        <f t="shared" si="5"/>
        <v/>
      </c>
      <c r="AF350" s="168">
        <v>0</v>
      </c>
      <c r="AG350" s="168" t="str" cm="1">
        <f t="array" ref="AG350">IF(AF350="","",_xlfn.TEXTSPLIT(AF350,"-"))</f>
        <v>0</v>
      </c>
      <c r="AH350" s="168"/>
    </row>
    <row r="351" spans="26:34" ht="24" customHeight="1">
      <c r="Z351"/>
      <c r="AA351"/>
      <c r="AB351"/>
      <c r="AC351"/>
      <c r="AD351"/>
      <c r="AE351" s="168" t="str">
        <f t="shared" si="5"/>
        <v/>
      </c>
      <c r="AF351" s="168">
        <v>0</v>
      </c>
      <c r="AG351" s="168" t="str" cm="1">
        <f t="array" ref="AG351">IF(AF351="","",_xlfn.TEXTSPLIT(AF351,"-"))</f>
        <v>0</v>
      </c>
      <c r="AH351" s="168"/>
    </row>
    <row r="352" spans="26:34" ht="24" customHeight="1">
      <c r="Z352"/>
      <c r="AA352"/>
      <c r="AB352"/>
      <c r="AC352"/>
      <c r="AD352"/>
      <c r="AE352" s="168" t="str">
        <f t="shared" si="5"/>
        <v/>
      </c>
      <c r="AF352" s="168">
        <v>0</v>
      </c>
      <c r="AG352" s="168" t="str" cm="1">
        <f t="array" ref="AG352">IF(AF352="","",_xlfn.TEXTSPLIT(AF352,"-"))</f>
        <v>0</v>
      </c>
      <c r="AH352" s="168"/>
    </row>
    <row r="353" spans="26:34" ht="24" customHeight="1">
      <c r="Z353"/>
      <c r="AA353"/>
      <c r="AB353"/>
      <c r="AC353"/>
      <c r="AD353"/>
      <c r="AE353" s="168" t="str">
        <f t="shared" si="5"/>
        <v/>
      </c>
      <c r="AF353" s="168">
        <v>0</v>
      </c>
      <c r="AG353" s="168" t="str" cm="1">
        <f t="array" ref="AG353">IF(AF353="","",_xlfn.TEXTSPLIT(AF353,"-"))</f>
        <v>0</v>
      </c>
      <c r="AH353" s="168"/>
    </row>
    <row r="354" spans="26:34" ht="24" customHeight="1">
      <c r="Z354"/>
      <c r="AA354"/>
      <c r="AB354"/>
      <c r="AC354"/>
      <c r="AD354"/>
      <c r="AE354" s="168" t="str">
        <f t="shared" si="5"/>
        <v/>
      </c>
      <c r="AF354" s="168">
        <v>0</v>
      </c>
      <c r="AG354" s="168" t="str" cm="1">
        <f t="array" ref="AG354">IF(AF354="","",_xlfn.TEXTSPLIT(AF354,"-"))</f>
        <v>0</v>
      </c>
      <c r="AH354" s="168"/>
    </row>
    <row r="355" spans="26:34" ht="24" customHeight="1">
      <c r="Z355"/>
      <c r="AA355"/>
      <c r="AB355"/>
      <c r="AC355"/>
      <c r="AD355"/>
      <c r="AE355" s="168" t="str">
        <f t="shared" si="5"/>
        <v/>
      </c>
      <c r="AF355" s="168">
        <v>0</v>
      </c>
      <c r="AG355" s="168" t="str" cm="1">
        <f t="array" ref="AG355">IF(AF355="","",_xlfn.TEXTSPLIT(AF355,"-"))</f>
        <v>0</v>
      </c>
      <c r="AH355" s="168"/>
    </row>
    <row r="356" spans="26:34" ht="24" customHeight="1">
      <c r="Z356"/>
      <c r="AA356"/>
      <c r="AB356"/>
      <c r="AC356"/>
      <c r="AD356"/>
      <c r="AE356" s="168" t="str">
        <f t="shared" si="5"/>
        <v/>
      </c>
      <c r="AF356" s="168">
        <v>0</v>
      </c>
      <c r="AG356" s="168" t="str" cm="1">
        <f t="array" ref="AG356">IF(AF356="","",_xlfn.TEXTSPLIT(AF356,"-"))</f>
        <v>0</v>
      </c>
      <c r="AH356" s="168"/>
    </row>
    <row r="357" spans="26:34" ht="24" customHeight="1">
      <c r="Z357"/>
      <c r="AA357"/>
      <c r="AB357"/>
      <c r="AC357"/>
      <c r="AD357"/>
      <c r="AE357" s="168" t="str">
        <f t="shared" si="5"/>
        <v/>
      </c>
      <c r="AF357" s="168">
        <v>0</v>
      </c>
      <c r="AG357" s="168" t="str" cm="1">
        <f t="array" ref="AG357">IF(AF357="","",_xlfn.TEXTSPLIT(AF357,"-"))</f>
        <v>0</v>
      </c>
      <c r="AH357" s="168"/>
    </row>
    <row r="358" spans="26:34" ht="24" customHeight="1">
      <c r="Z358"/>
      <c r="AA358"/>
      <c r="AB358"/>
      <c r="AC358"/>
      <c r="AD358"/>
      <c r="AE358" s="168" t="str">
        <f t="shared" si="5"/>
        <v/>
      </c>
      <c r="AF358" s="168">
        <v>0</v>
      </c>
      <c r="AG358" s="168" t="str" cm="1">
        <f t="array" ref="AG358">IF(AF358="","",_xlfn.TEXTSPLIT(AF358,"-"))</f>
        <v>0</v>
      </c>
      <c r="AH358" s="168"/>
    </row>
    <row r="359" spans="26:34" ht="24" customHeight="1">
      <c r="Z359"/>
      <c r="AA359"/>
      <c r="AB359"/>
      <c r="AC359"/>
      <c r="AD359"/>
      <c r="AE359" s="168" t="str">
        <f t="shared" si="5"/>
        <v/>
      </c>
      <c r="AF359" s="168">
        <v>0</v>
      </c>
      <c r="AG359" s="168" t="str" cm="1">
        <f t="array" ref="AG359">IF(AF359="","",_xlfn.TEXTSPLIT(AF359,"-"))</f>
        <v>0</v>
      </c>
      <c r="AH359" s="168"/>
    </row>
    <row r="360" spans="26:34" ht="24" customHeight="1">
      <c r="Z360"/>
      <c r="AA360"/>
      <c r="AB360"/>
      <c r="AC360"/>
      <c r="AD360"/>
      <c r="AE360" s="168" t="str">
        <f t="shared" si="5"/>
        <v/>
      </c>
      <c r="AF360" s="168">
        <v>0</v>
      </c>
      <c r="AG360" s="168" t="str" cm="1">
        <f t="array" ref="AG360">IF(AF360="","",_xlfn.TEXTSPLIT(AF360,"-"))</f>
        <v>0</v>
      </c>
      <c r="AH360" s="168"/>
    </row>
    <row r="361" spans="26:34" ht="24" customHeight="1">
      <c r="Z361"/>
      <c r="AA361"/>
      <c r="AB361"/>
      <c r="AC361"/>
      <c r="AD361"/>
      <c r="AE361" s="168" t="str">
        <f t="shared" si="5"/>
        <v/>
      </c>
      <c r="AF361" s="168">
        <v>0</v>
      </c>
      <c r="AG361" s="168" t="str" cm="1">
        <f t="array" ref="AG361">IF(AF361="","",_xlfn.TEXTSPLIT(AF361,"-"))</f>
        <v>0</v>
      </c>
      <c r="AH361" s="168"/>
    </row>
    <row r="362" spans="26:34" ht="24" customHeight="1">
      <c r="Z362"/>
      <c r="AA362"/>
      <c r="AB362"/>
      <c r="AC362"/>
      <c r="AD362"/>
      <c r="AE362" s="168" t="str">
        <f t="shared" si="5"/>
        <v/>
      </c>
      <c r="AF362" s="168">
        <v>0</v>
      </c>
      <c r="AG362" s="168" t="str" cm="1">
        <f t="array" ref="AG362">IF(AF362="","",_xlfn.TEXTSPLIT(AF362,"-"))</f>
        <v>0</v>
      </c>
      <c r="AH362" s="168"/>
    </row>
    <row r="363" spans="26:34" ht="24" customHeight="1">
      <c r="Z363"/>
      <c r="AA363"/>
      <c r="AB363"/>
      <c r="AC363"/>
      <c r="AD363"/>
      <c r="AE363" s="168" t="str">
        <f t="shared" si="5"/>
        <v/>
      </c>
      <c r="AF363" s="168">
        <v>0</v>
      </c>
      <c r="AG363" s="168" t="str" cm="1">
        <f t="array" ref="AG363">IF(AF363="","",_xlfn.TEXTSPLIT(AF363,"-"))</f>
        <v>0</v>
      </c>
      <c r="AH363" s="168"/>
    </row>
    <row r="364" spans="26:34" ht="24" customHeight="1">
      <c r="Z364"/>
      <c r="AA364"/>
      <c r="AB364"/>
      <c r="AC364"/>
      <c r="AD364"/>
      <c r="AE364" s="168" t="str">
        <f t="shared" si="5"/>
        <v/>
      </c>
      <c r="AF364" s="168">
        <v>0</v>
      </c>
      <c r="AG364" s="168" t="str" cm="1">
        <f t="array" ref="AG364">IF(AF364="","",_xlfn.TEXTSPLIT(AF364,"-"))</f>
        <v>0</v>
      </c>
      <c r="AH364" s="168"/>
    </row>
    <row r="365" spans="26:34" ht="24" customHeight="1">
      <c r="Z365"/>
      <c r="AA365"/>
      <c r="AB365"/>
      <c r="AC365"/>
      <c r="AD365"/>
      <c r="AE365" s="168" t="str">
        <f t="shared" si="5"/>
        <v/>
      </c>
      <c r="AF365" s="168">
        <v>0</v>
      </c>
      <c r="AG365" s="168" t="str" cm="1">
        <f t="array" ref="AG365">IF(AF365="","",_xlfn.TEXTSPLIT(AF365,"-"))</f>
        <v>0</v>
      </c>
      <c r="AH365" s="168"/>
    </row>
    <row r="366" spans="26:34" ht="24" customHeight="1">
      <c r="Z366"/>
      <c r="AA366"/>
      <c r="AB366"/>
      <c r="AC366"/>
      <c r="AD366"/>
      <c r="AE366" s="168" t="str">
        <f t="shared" si="5"/>
        <v/>
      </c>
      <c r="AF366" s="168">
        <v>0</v>
      </c>
      <c r="AG366" s="168" t="str" cm="1">
        <f t="array" ref="AG366">IF(AF366="","",_xlfn.TEXTSPLIT(AF366,"-"))</f>
        <v>0</v>
      </c>
      <c r="AH366" s="168"/>
    </row>
    <row r="367" spans="26:34" ht="24" customHeight="1">
      <c r="Z367"/>
      <c r="AA367"/>
      <c r="AB367"/>
      <c r="AC367"/>
      <c r="AD367"/>
      <c r="AE367" s="168" t="str">
        <f t="shared" si="5"/>
        <v/>
      </c>
      <c r="AF367" s="168">
        <v>0</v>
      </c>
      <c r="AG367" s="168" t="str" cm="1">
        <f t="array" ref="AG367">IF(AF367="","",_xlfn.TEXTSPLIT(AF367,"-"))</f>
        <v>0</v>
      </c>
      <c r="AH367" s="168"/>
    </row>
    <row r="368" spans="26:34" ht="24" customHeight="1">
      <c r="Z368"/>
      <c r="AA368"/>
      <c r="AB368"/>
      <c r="AC368"/>
      <c r="AD368"/>
      <c r="AE368" s="168" t="str">
        <f t="shared" si="5"/>
        <v/>
      </c>
      <c r="AF368" s="168">
        <v>0</v>
      </c>
      <c r="AG368" s="168" t="str" cm="1">
        <f t="array" ref="AG368">IF(AF368="","",_xlfn.TEXTSPLIT(AF368,"-"))</f>
        <v>0</v>
      </c>
      <c r="AH368" s="168"/>
    </row>
    <row r="369" spans="26:34" ht="24" customHeight="1">
      <c r="Z369"/>
      <c r="AA369"/>
      <c r="AB369"/>
      <c r="AC369"/>
      <c r="AD369"/>
      <c r="AE369" s="168" t="str">
        <f t="shared" si="5"/>
        <v/>
      </c>
      <c r="AF369" s="168">
        <v>0</v>
      </c>
      <c r="AG369" s="168" t="str" cm="1">
        <f t="array" ref="AG369">IF(AF369="","",_xlfn.TEXTSPLIT(AF369,"-"))</f>
        <v>0</v>
      </c>
      <c r="AH369" s="168"/>
    </row>
    <row r="370" spans="26:34" ht="24" customHeight="1">
      <c r="Z370"/>
      <c r="AA370"/>
      <c r="AB370"/>
      <c r="AC370"/>
      <c r="AD370"/>
      <c r="AE370" s="168" t="str">
        <f t="shared" si="5"/>
        <v/>
      </c>
      <c r="AF370" s="168">
        <v>0</v>
      </c>
      <c r="AG370" s="168" t="str" cm="1">
        <f t="array" ref="AG370">IF(AF370="","",_xlfn.TEXTSPLIT(AF370,"-"))</f>
        <v>0</v>
      </c>
      <c r="AH370" s="168"/>
    </row>
    <row r="371" spans="26:34" ht="24" customHeight="1">
      <c r="Z371"/>
      <c r="AA371"/>
      <c r="AB371"/>
      <c r="AC371"/>
      <c r="AD371"/>
      <c r="AE371" s="168" t="str">
        <f t="shared" si="5"/>
        <v/>
      </c>
      <c r="AF371" s="168">
        <v>0</v>
      </c>
      <c r="AG371" s="168" t="str" cm="1">
        <f t="array" ref="AG371">IF(AF371="","",_xlfn.TEXTSPLIT(AF371,"-"))</f>
        <v>0</v>
      </c>
      <c r="AH371" s="168"/>
    </row>
    <row r="372" spans="26:34" ht="24" customHeight="1">
      <c r="Z372"/>
      <c r="AA372"/>
      <c r="AB372"/>
      <c r="AC372"/>
      <c r="AD372"/>
      <c r="AE372" s="168" t="str">
        <f t="shared" si="5"/>
        <v/>
      </c>
      <c r="AF372" s="168">
        <v>0</v>
      </c>
      <c r="AG372" s="168" t="str" cm="1">
        <f t="array" ref="AG372">IF(AF372="","",_xlfn.TEXTSPLIT(AF372,"-"))</f>
        <v>0</v>
      </c>
      <c r="AH372" s="168"/>
    </row>
    <row r="373" spans="26:34" ht="24" customHeight="1">
      <c r="Z373"/>
      <c r="AA373"/>
      <c r="AB373"/>
      <c r="AC373"/>
      <c r="AD373"/>
      <c r="AE373" s="168" t="str">
        <f t="shared" si="5"/>
        <v/>
      </c>
      <c r="AF373" s="168">
        <v>0</v>
      </c>
      <c r="AG373" s="168" t="str" cm="1">
        <f t="array" ref="AG373">IF(AF373="","",_xlfn.TEXTSPLIT(AF373,"-"))</f>
        <v>0</v>
      </c>
      <c r="AH373" s="168"/>
    </row>
    <row r="374" spans="26:34" ht="24" customHeight="1">
      <c r="Z374"/>
      <c r="AA374"/>
      <c r="AB374"/>
      <c r="AC374"/>
      <c r="AD374"/>
      <c r="AE374" s="168" t="str">
        <f t="shared" si="5"/>
        <v/>
      </c>
      <c r="AF374" s="168">
        <v>0</v>
      </c>
      <c r="AG374" s="168" t="str" cm="1">
        <f t="array" ref="AG374">IF(AF374="","",_xlfn.TEXTSPLIT(AF374,"-"))</f>
        <v>0</v>
      </c>
      <c r="AH374" s="168"/>
    </row>
    <row r="375" spans="26:34" ht="24" customHeight="1">
      <c r="Z375"/>
      <c r="AA375"/>
      <c r="AB375"/>
      <c r="AC375"/>
      <c r="AD375"/>
      <c r="AE375" s="168" t="str">
        <f t="shared" si="5"/>
        <v/>
      </c>
      <c r="AF375" s="168">
        <v>0</v>
      </c>
      <c r="AG375" s="168" t="str" cm="1">
        <f t="array" ref="AG375">IF(AF375="","",_xlfn.TEXTSPLIT(AF375,"-"))</f>
        <v>0</v>
      </c>
      <c r="AH375" s="168"/>
    </row>
    <row r="376" spans="26:34" ht="24" customHeight="1">
      <c r="Z376"/>
      <c r="AA376"/>
      <c r="AB376"/>
      <c r="AC376"/>
      <c r="AD376"/>
      <c r="AE376" s="168" t="str">
        <f t="shared" si="5"/>
        <v/>
      </c>
      <c r="AF376" s="168">
        <v>0</v>
      </c>
      <c r="AG376" s="168" t="str" cm="1">
        <f t="array" ref="AG376">IF(AF376="","",_xlfn.TEXTSPLIT(AF376,"-"))</f>
        <v>0</v>
      </c>
      <c r="AH376" s="168"/>
    </row>
    <row r="377" spans="26:34" ht="24" customHeight="1">
      <c r="Z377"/>
      <c r="AA377"/>
      <c r="AB377"/>
      <c r="AC377"/>
      <c r="AD377"/>
      <c r="AE377" s="168" t="str">
        <f t="shared" si="5"/>
        <v/>
      </c>
      <c r="AF377" s="168">
        <v>0</v>
      </c>
      <c r="AG377" s="168" t="str" cm="1">
        <f t="array" ref="AG377">IF(AF377="","",_xlfn.TEXTSPLIT(AF377,"-"))</f>
        <v>0</v>
      </c>
      <c r="AH377" s="168"/>
    </row>
    <row r="378" spans="26:34" ht="24" customHeight="1">
      <c r="Z378"/>
      <c r="AA378"/>
      <c r="AB378"/>
      <c r="AC378"/>
      <c r="AD378"/>
      <c r="AE378" s="168" t="str">
        <f t="shared" si="5"/>
        <v/>
      </c>
      <c r="AF378" s="168">
        <v>0</v>
      </c>
      <c r="AG378" s="168" t="str" cm="1">
        <f t="array" ref="AG378">IF(AF378="","",_xlfn.TEXTSPLIT(AF378,"-"))</f>
        <v>0</v>
      </c>
      <c r="AH378" s="168"/>
    </row>
    <row r="379" spans="26:34" ht="24" customHeight="1">
      <c r="Z379"/>
      <c r="AA379"/>
      <c r="AB379"/>
      <c r="AC379"/>
      <c r="AD379"/>
      <c r="AE379" s="168" t="str">
        <f t="shared" si="5"/>
        <v/>
      </c>
      <c r="AF379" s="168">
        <v>0</v>
      </c>
      <c r="AG379" s="168" t="str" cm="1">
        <f t="array" ref="AG379">IF(AF379="","",_xlfn.TEXTSPLIT(AF379,"-"))</f>
        <v>0</v>
      </c>
      <c r="AH379" s="168"/>
    </row>
    <row r="380" spans="26:34" ht="24" customHeight="1">
      <c r="Z380"/>
      <c r="AA380"/>
      <c r="AB380"/>
      <c r="AC380"/>
      <c r="AD380"/>
      <c r="AE380" s="168" t="str">
        <f t="shared" si="5"/>
        <v/>
      </c>
      <c r="AF380" s="168">
        <v>0</v>
      </c>
      <c r="AG380" s="168" t="str" cm="1">
        <f t="array" ref="AG380">IF(AF380="","",_xlfn.TEXTSPLIT(AF380,"-"))</f>
        <v>0</v>
      </c>
      <c r="AH380" s="168"/>
    </row>
    <row r="381" spans="26:34" ht="24" customHeight="1">
      <c r="Z381"/>
      <c r="AA381"/>
      <c r="AB381"/>
      <c r="AC381"/>
      <c r="AD381"/>
      <c r="AE381" s="168" t="str">
        <f t="shared" si="5"/>
        <v/>
      </c>
      <c r="AF381" s="168">
        <v>0</v>
      </c>
      <c r="AG381" s="168" t="str" cm="1">
        <f t="array" ref="AG381">IF(AF381="","",_xlfn.TEXTSPLIT(AF381,"-"))</f>
        <v>0</v>
      </c>
      <c r="AH381" s="168"/>
    </row>
    <row r="382" spans="26:34" ht="24" customHeight="1">
      <c r="Z382"/>
      <c r="AA382"/>
      <c r="AB382"/>
      <c r="AC382"/>
      <c r="AD382"/>
      <c r="AE382" s="168" t="str">
        <f t="shared" si="5"/>
        <v/>
      </c>
      <c r="AF382" s="168">
        <v>0</v>
      </c>
      <c r="AG382" s="168" t="str" cm="1">
        <f t="array" ref="AG382">IF(AF382="","",_xlfn.TEXTSPLIT(AF382,"-"))</f>
        <v>0</v>
      </c>
      <c r="AH382" s="168"/>
    </row>
    <row r="383" spans="26:34" ht="24" customHeight="1">
      <c r="Z383"/>
      <c r="AA383"/>
      <c r="AB383"/>
      <c r="AC383"/>
      <c r="AD383"/>
      <c r="AE383" s="168" t="str">
        <f t="shared" si="5"/>
        <v/>
      </c>
      <c r="AF383" s="168">
        <v>0</v>
      </c>
      <c r="AG383" s="168" t="str" cm="1">
        <f t="array" ref="AG383">IF(AF383="","",_xlfn.TEXTSPLIT(AF383,"-"))</f>
        <v>0</v>
      </c>
      <c r="AH383" s="168"/>
    </row>
    <row r="384" spans="26:34" ht="24" customHeight="1">
      <c r="Z384"/>
      <c r="AA384"/>
      <c r="AB384"/>
      <c r="AC384"/>
      <c r="AD384"/>
      <c r="AE384" s="168" t="str">
        <f t="shared" si="5"/>
        <v/>
      </c>
      <c r="AF384" s="168">
        <v>0</v>
      </c>
      <c r="AG384" s="168" t="str" cm="1">
        <f t="array" ref="AG384">IF(AF384="","",_xlfn.TEXTSPLIT(AF384,"-"))</f>
        <v>0</v>
      </c>
      <c r="AH384" s="168"/>
    </row>
    <row r="385" spans="26:34" ht="24" customHeight="1">
      <c r="Z385"/>
      <c r="AA385"/>
      <c r="AB385"/>
      <c r="AC385"/>
      <c r="AD385"/>
      <c r="AE385" s="168" t="str">
        <f t="shared" si="5"/>
        <v/>
      </c>
      <c r="AF385" s="168">
        <v>0</v>
      </c>
      <c r="AG385" s="168" t="str" cm="1">
        <f t="array" ref="AG385">IF(AF385="","",_xlfn.TEXTSPLIT(AF385,"-"))</f>
        <v>0</v>
      </c>
      <c r="AH385" s="168"/>
    </row>
    <row r="386" spans="26:34" ht="24" customHeight="1">
      <c r="Z386"/>
      <c r="AA386"/>
      <c r="AB386"/>
      <c r="AC386"/>
      <c r="AD386"/>
      <c r="AE386" s="168" t="str">
        <f t="shared" si="5"/>
        <v/>
      </c>
      <c r="AF386" s="168">
        <v>0</v>
      </c>
      <c r="AG386" s="168" t="str" cm="1">
        <f t="array" ref="AG386">IF(AF386="","",_xlfn.TEXTSPLIT(AF386,"-"))</f>
        <v>0</v>
      </c>
      <c r="AH386" s="168"/>
    </row>
    <row r="387" spans="26:34" ht="24" customHeight="1">
      <c r="Z387"/>
      <c r="AA387"/>
      <c r="AB387"/>
      <c r="AC387"/>
      <c r="AD387"/>
      <c r="AE387" s="168" t="str">
        <f t="shared" si="5"/>
        <v/>
      </c>
      <c r="AF387" s="168">
        <v>0</v>
      </c>
      <c r="AG387" s="168" t="str" cm="1">
        <f t="array" ref="AG387">IF(AF387="","",_xlfn.TEXTSPLIT(AF387,"-"))</f>
        <v>0</v>
      </c>
      <c r="AH387" s="168"/>
    </row>
    <row r="388" spans="26:34" ht="24" customHeight="1">
      <c r="Z388"/>
      <c r="AA388"/>
      <c r="AB388"/>
      <c r="AC388"/>
      <c r="AD388"/>
      <c r="AE388" s="168" t="str">
        <f t="shared" si="5"/>
        <v/>
      </c>
      <c r="AF388" s="168">
        <v>0</v>
      </c>
      <c r="AG388" s="168" t="str" cm="1">
        <f t="array" ref="AG388">IF(AF388="","",_xlfn.TEXTSPLIT(AF388,"-"))</f>
        <v>0</v>
      </c>
      <c r="AH388" s="168"/>
    </row>
    <row r="389" spans="26:34" ht="24" customHeight="1">
      <c r="Z389"/>
      <c r="AA389"/>
      <c r="AB389"/>
      <c r="AC389"/>
      <c r="AD389"/>
      <c r="AE389" s="168" t="str">
        <f t="shared" ref="AE389:AE452" si="6">IF(AH389="","",AH389*1)</f>
        <v/>
      </c>
      <c r="AF389" s="168">
        <v>0</v>
      </c>
      <c r="AG389" s="168" t="str" cm="1">
        <f t="array" ref="AG389">IF(AF389="","",_xlfn.TEXTSPLIT(AF389,"-"))</f>
        <v>0</v>
      </c>
      <c r="AH389" s="168"/>
    </row>
    <row r="390" spans="26:34" ht="24" customHeight="1">
      <c r="Z390"/>
      <c r="AA390"/>
      <c r="AB390"/>
      <c r="AC390"/>
      <c r="AD390"/>
      <c r="AE390" s="168" t="str">
        <f t="shared" si="6"/>
        <v/>
      </c>
      <c r="AF390" s="168">
        <v>0</v>
      </c>
      <c r="AG390" s="168" t="str" cm="1">
        <f t="array" ref="AG390">IF(AF390="","",_xlfn.TEXTSPLIT(AF390,"-"))</f>
        <v>0</v>
      </c>
      <c r="AH390" s="168"/>
    </row>
    <row r="391" spans="26:34" ht="24" customHeight="1">
      <c r="Z391"/>
      <c r="AA391"/>
      <c r="AB391"/>
      <c r="AC391"/>
      <c r="AD391"/>
      <c r="AE391" s="168" t="str">
        <f t="shared" si="6"/>
        <v/>
      </c>
      <c r="AF391" s="168">
        <v>0</v>
      </c>
      <c r="AG391" s="168" t="str" cm="1">
        <f t="array" ref="AG391">IF(AF391="","",_xlfn.TEXTSPLIT(AF391,"-"))</f>
        <v>0</v>
      </c>
      <c r="AH391" s="168"/>
    </row>
    <row r="392" spans="26:34" ht="24" customHeight="1">
      <c r="Z392"/>
      <c r="AA392"/>
      <c r="AB392"/>
      <c r="AC392"/>
      <c r="AD392"/>
      <c r="AE392" s="168" t="str">
        <f t="shared" si="6"/>
        <v/>
      </c>
      <c r="AF392" s="168">
        <v>0</v>
      </c>
      <c r="AG392" s="168" t="str" cm="1">
        <f t="array" ref="AG392">IF(AF392="","",_xlfn.TEXTSPLIT(AF392,"-"))</f>
        <v>0</v>
      </c>
      <c r="AH392" s="168"/>
    </row>
    <row r="393" spans="26:34" ht="24" customHeight="1">
      <c r="Z393"/>
      <c r="AA393"/>
      <c r="AB393"/>
      <c r="AC393"/>
      <c r="AD393"/>
      <c r="AE393" s="168" t="str">
        <f t="shared" si="6"/>
        <v/>
      </c>
      <c r="AF393" s="168">
        <v>0</v>
      </c>
      <c r="AG393" s="168" t="str" cm="1">
        <f t="array" ref="AG393">IF(AF393="","",_xlfn.TEXTSPLIT(AF393,"-"))</f>
        <v>0</v>
      </c>
      <c r="AH393" s="168"/>
    </row>
    <row r="394" spans="26:34" ht="24" customHeight="1">
      <c r="Z394"/>
      <c r="AA394"/>
      <c r="AB394"/>
      <c r="AC394"/>
      <c r="AD394"/>
      <c r="AE394" s="168" t="str">
        <f t="shared" si="6"/>
        <v/>
      </c>
      <c r="AF394" s="168">
        <v>0</v>
      </c>
      <c r="AG394" s="168" t="str" cm="1">
        <f t="array" ref="AG394">IF(AF394="","",_xlfn.TEXTSPLIT(AF394,"-"))</f>
        <v>0</v>
      </c>
      <c r="AH394" s="168"/>
    </row>
    <row r="395" spans="26:34" ht="24" customHeight="1">
      <c r="Z395"/>
      <c r="AA395"/>
      <c r="AB395"/>
      <c r="AC395"/>
      <c r="AD395"/>
      <c r="AE395" s="168" t="str">
        <f t="shared" si="6"/>
        <v/>
      </c>
      <c r="AF395" s="168">
        <v>0</v>
      </c>
      <c r="AG395" s="168" t="str" cm="1">
        <f t="array" ref="AG395">IF(AF395="","",_xlfn.TEXTSPLIT(AF395,"-"))</f>
        <v>0</v>
      </c>
      <c r="AH395" s="168"/>
    </row>
    <row r="396" spans="26:34" ht="24" customHeight="1">
      <c r="Z396"/>
      <c r="AA396"/>
      <c r="AB396"/>
      <c r="AC396"/>
      <c r="AD396"/>
      <c r="AE396" s="168" t="str">
        <f t="shared" si="6"/>
        <v/>
      </c>
      <c r="AF396" s="168">
        <v>0</v>
      </c>
      <c r="AG396" s="168" t="str" cm="1">
        <f t="array" ref="AG396">IF(AF396="","",_xlfn.TEXTSPLIT(AF396,"-"))</f>
        <v>0</v>
      </c>
      <c r="AH396" s="168"/>
    </row>
    <row r="397" spans="26:34" ht="24" customHeight="1">
      <c r="Z397"/>
      <c r="AA397"/>
      <c r="AB397"/>
      <c r="AC397"/>
      <c r="AD397"/>
      <c r="AE397" s="168" t="str">
        <f t="shared" si="6"/>
        <v/>
      </c>
      <c r="AF397" s="168">
        <v>0</v>
      </c>
      <c r="AG397" s="168" t="str" cm="1">
        <f t="array" ref="AG397">IF(AF397="","",_xlfn.TEXTSPLIT(AF397,"-"))</f>
        <v>0</v>
      </c>
      <c r="AH397" s="168"/>
    </row>
    <row r="398" spans="26:34" ht="24" customHeight="1">
      <c r="Z398"/>
      <c r="AA398"/>
      <c r="AB398"/>
      <c r="AC398"/>
      <c r="AD398"/>
      <c r="AE398" s="168" t="str">
        <f t="shared" si="6"/>
        <v/>
      </c>
      <c r="AF398" s="168">
        <v>0</v>
      </c>
      <c r="AG398" s="168" t="str" cm="1">
        <f t="array" ref="AG398">IF(AF398="","",_xlfn.TEXTSPLIT(AF398,"-"))</f>
        <v>0</v>
      </c>
      <c r="AH398" s="168"/>
    </row>
    <row r="399" spans="26:34" ht="24" customHeight="1">
      <c r="Z399"/>
      <c r="AA399"/>
      <c r="AB399"/>
      <c r="AC399"/>
      <c r="AD399"/>
      <c r="AE399" s="168" t="str">
        <f t="shared" si="6"/>
        <v/>
      </c>
      <c r="AF399" s="168">
        <v>0</v>
      </c>
      <c r="AG399" s="168" t="str" cm="1">
        <f t="array" ref="AG399">IF(AF399="","",_xlfn.TEXTSPLIT(AF399,"-"))</f>
        <v>0</v>
      </c>
      <c r="AH399" s="168"/>
    </row>
    <row r="400" spans="26:34" ht="24" customHeight="1">
      <c r="Z400"/>
      <c r="AA400"/>
      <c r="AB400"/>
      <c r="AC400"/>
      <c r="AD400"/>
      <c r="AE400" s="168" t="str">
        <f t="shared" si="6"/>
        <v/>
      </c>
      <c r="AF400" s="168">
        <v>0</v>
      </c>
      <c r="AG400" s="168" t="str" cm="1">
        <f t="array" ref="AG400">IF(AF400="","",_xlfn.TEXTSPLIT(AF400,"-"))</f>
        <v>0</v>
      </c>
      <c r="AH400" s="168"/>
    </row>
    <row r="401" spans="26:34" ht="24" customHeight="1">
      <c r="Z401"/>
      <c r="AA401"/>
      <c r="AB401"/>
      <c r="AC401"/>
      <c r="AD401"/>
      <c r="AE401" s="168" t="str">
        <f t="shared" si="6"/>
        <v/>
      </c>
      <c r="AF401" s="168">
        <v>0</v>
      </c>
      <c r="AG401" s="168" t="str" cm="1">
        <f t="array" ref="AG401">IF(AF401="","",_xlfn.TEXTSPLIT(AF401,"-"))</f>
        <v>0</v>
      </c>
      <c r="AH401" s="168"/>
    </row>
    <row r="402" spans="26:34" ht="24" customHeight="1">
      <c r="Z402"/>
      <c r="AA402"/>
      <c r="AB402"/>
      <c r="AC402"/>
      <c r="AD402"/>
      <c r="AE402" s="168" t="str">
        <f t="shared" si="6"/>
        <v/>
      </c>
      <c r="AF402" s="168">
        <v>0</v>
      </c>
      <c r="AG402" s="168" t="str" cm="1">
        <f t="array" ref="AG402">IF(AF402="","",_xlfn.TEXTSPLIT(AF402,"-"))</f>
        <v>0</v>
      </c>
      <c r="AH402" s="168"/>
    </row>
    <row r="403" spans="26:34" ht="24" customHeight="1">
      <c r="Z403"/>
      <c r="AA403"/>
      <c r="AB403"/>
      <c r="AC403"/>
      <c r="AD403"/>
      <c r="AE403" s="168" t="str">
        <f t="shared" si="6"/>
        <v/>
      </c>
      <c r="AF403" s="168">
        <v>0</v>
      </c>
      <c r="AG403" s="168" t="str" cm="1">
        <f t="array" ref="AG403">IF(AF403="","",_xlfn.TEXTSPLIT(AF403,"-"))</f>
        <v>0</v>
      </c>
      <c r="AH403" s="168"/>
    </row>
    <row r="404" spans="26:34" ht="24" customHeight="1">
      <c r="Z404"/>
      <c r="AA404"/>
      <c r="AB404"/>
      <c r="AC404"/>
      <c r="AD404"/>
      <c r="AE404" s="168" t="str">
        <f t="shared" si="6"/>
        <v/>
      </c>
      <c r="AF404" s="168">
        <v>0</v>
      </c>
      <c r="AG404" s="168" t="str" cm="1">
        <f t="array" ref="AG404">IF(AF404="","",_xlfn.TEXTSPLIT(AF404,"-"))</f>
        <v>0</v>
      </c>
      <c r="AH404" s="168"/>
    </row>
    <row r="405" spans="26:34" ht="24" customHeight="1">
      <c r="Z405"/>
      <c r="AA405"/>
      <c r="AB405"/>
      <c r="AC405"/>
      <c r="AD405"/>
      <c r="AE405" s="168" t="str">
        <f t="shared" si="6"/>
        <v/>
      </c>
      <c r="AF405" s="168">
        <v>0</v>
      </c>
      <c r="AG405" s="168" t="str" cm="1">
        <f t="array" ref="AG405">IF(AF405="","",_xlfn.TEXTSPLIT(AF405,"-"))</f>
        <v>0</v>
      </c>
      <c r="AH405" s="168"/>
    </row>
    <row r="406" spans="26:34" ht="24" customHeight="1">
      <c r="Z406"/>
      <c r="AA406"/>
      <c r="AB406"/>
      <c r="AC406"/>
      <c r="AD406"/>
      <c r="AE406" s="168" t="str">
        <f t="shared" si="6"/>
        <v/>
      </c>
      <c r="AF406" s="168">
        <v>0</v>
      </c>
      <c r="AG406" s="168" t="str" cm="1">
        <f t="array" ref="AG406">IF(AF406="","",_xlfn.TEXTSPLIT(AF406,"-"))</f>
        <v>0</v>
      </c>
      <c r="AH406" s="168"/>
    </row>
    <row r="407" spans="26:34" ht="24" customHeight="1">
      <c r="Z407"/>
      <c r="AA407"/>
      <c r="AB407"/>
      <c r="AC407"/>
      <c r="AD407"/>
      <c r="AE407" s="168" t="str">
        <f t="shared" si="6"/>
        <v/>
      </c>
      <c r="AF407" s="168">
        <v>0</v>
      </c>
      <c r="AG407" s="168" t="str" cm="1">
        <f t="array" ref="AG407">IF(AF407="","",_xlfn.TEXTSPLIT(AF407,"-"))</f>
        <v>0</v>
      </c>
      <c r="AH407" s="168"/>
    </row>
    <row r="408" spans="26:34" ht="24" customHeight="1">
      <c r="Z408"/>
      <c r="AA408"/>
      <c r="AB408"/>
      <c r="AC408"/>
      <c r="AD408"/>
      <c r="AE408" s="168" t="str">
        <f t="shared" si="6"/>
        <v/>
      </c>
      <c r="AF408" s="168">
        <v>0</v>
      </c>
      <c r="AG408" s="168" t="str" cm="1">
        <f t="array" ref="AG408">IF(AF408="","",_xlfn.TEXTSPLIT(AF408,"-"))</f>
        <v>0</v>
      </c>
      <c r="AH408" s="168"/>
    </row>
    <row r="409" spans="26:34" ht="24" customHeight="1">
      <c r="Z409"/>
      <c r="AA409"/>
      <c r="AB409"/>
      <c r="AC409"/>
      <c r="AD409"/>
      <c r="AE409" s="168" t="str">
        <f t="shared" si="6"/>
        <v/>
      </c>
      <c r="AF409" s="168">
        <v>0</v>
      </c>
      <c r="AG409" s="168" t="str" cm="1">
        <f t="array" ref="AG409">IF(AF409="","",_xlfn.TEXTSPLIT(AF409,"-"))</f>
        <v>0</v>
      </c>
      <c r="AH409" s="168"/>
    </row>
    <row r="410" spans="26:34" ht="24" customHeight="1">
      <c r="Z410"/>
      <c r="AA410"/>
      <c r="AB410"/>
      <c r="AC410"/>
      <c r="AD410"/>
      <c r="AE410" s="168" t="str">
        <f t="shared" si="6"/>
        <v/>
      </c>
      <c r="AF410" s="168">
        <v>0</v>
      </c>
      <c r="AG410" s="168" t="str" cm="1">
        <f t="array" ref="AG410">IF(AF410="","",_xlfn.TEXTSPLIT(AF410,"-"))</f>
        <v>0</v>
      </c>
      <c r="AH410" s="168"/>
    </row>
    <row r="411" spans="26:34" ht="24" customHeight="1">
      <c r="Z411"/>
      <c r="AA411"/>
      <c r="AB411"/>
      <c r="AC411"/>
      <c r="AD411"/>
      <c r="AE411" s="168" t="str">
        <f t="shared" si="6"/>
        <v/>
      </c>
      <c r="AF411" s="168">
        <v>0</v>
      </c>
      <c r="AG411" s="168" t="str" cm="1">
        <f t="array" ref="AG411">IF(AF411="","",_xlfn.TEXTSPLIT(AF411,"-"))</f>
        <v>0</v>
      </c>
      <c r="AH411" s="168"/>
    </row>
    <row r="412" spans="26:34" ht="24" customHeight="1">
      <c r="Z412"/>
      <c r="AA412"/>
      <c r="AB412"/>
      <c r="AC412"/>
      <c r="AD412"/>
      <c r="AE412" s="168" t="str">
        <f t="shared" si="6"/>
        <v/>
      </c>
      <c r="AF412" s="168">
        <v>0</v>
      </c>
      <c r="AG412" s="168" t="str" cm="1">
        <f t="array" ref="AG412">IF(AF412="","",_xlfn.TEXTSPLIT(AF412,"-"))</f>
        <v>0</v>
      </c>
      <c r="AH412" s="168"/>
    </row>
    <row r="413" spans="26:34" ht="24" customHeight="1">
      <c r="Z413"/>
      <c r="AA413"/>
      <c r="AB413"/>
      <c r="AC413"/>
      <c r="AD413"/>
      <c r="AE413" s="168" t="str">
        <f t="shared" si="6"/>
        <v/>
      </c>
      <c r="AF413" s="168">
        <v>0</v>
      </c>
      <c r="AG413" s="168" t="str" cm="1">
        <f t="array" ref="AG413">IF(AF413="","",_xlfn.TEXTSPLIT(AF413,"-"))</f>
        <v>0</v>
      </c>
      <c r="AH413" s="168"/>
    </row>
    <row r="414" spans="26:34" ht="24" customHeight="1">
      <c r="Z414"/>
      <c r="AA414"/>
      <c r="AB414"/>
      <c r="AC414"/>
      <c r="AD414"/>
      <c r="AE414" s="168" t="str">
        <f t="shared" si="6"/>
        <v/>
      </c>
      <c r="AF414" s="168">
        <v>0</v>
      </c>
      <c r="AG414" s="168" t="str" cm="1">
        <f t="array" ref="AG414">IF(AF414="","",_xlfn.TEXTSPLIT(AF414,"-"))</f>
        <v>0</v>
      </c>
      <c r="AH414" s="168"/>
    </row>
    <row r="415" spans="26:34" ht="24" customHeight="1">
      <c r="Z415"/>
      <c r="AA415"/>
      <c r="AB415"/>
      <c r="AC415"/>
      <c r="AD415"/>
      <c r="AE415" s="168" t="str">
        <f t="shared" si="6"/>
        <v/>
      </c>
      <c r="AF415" s="168">
        <v>0</v>
      </c>
      <c r="AG415" s="168" t="str" cm="1">
        <f t="array" ref="AG415">IF(AF415="","",_xlfn.TEXTSPLIT(AF415,"-"))</f>
        <v>0</v>
      </c>
      <c r="AH415" s="168"/>
    </row>
    <row r="416" spans="26:34" ht="24" customHeight="1">
      <c r="Z416"/>
      <c r="AA416"/>
      <c r="AB416"/>
      <c r="AC416"/>
      <c r="AD416"/>
      <c r="AE416" s="168" t="str">
        <f t="shared" si="6"/>
        <v/>
      </c>
      <c r="AF416" s="168">
        <v>0</v>
      </c>
      <c r="AG416" s="168" t="str" cm="1">
        <f t="array" ref="AG416">IF(AF416="","",_xlfn.TEXTSPLIT(AF416,"-"))</f>
        <v>0</v>
      </c>
      <c r="AH416" s="168"/>
    </row>
    <row r="417" spans="26:34" ht="24" customHeight="1">
      <c r="Z417"/>
      <c r="AA417"/>
      <c r="AB417"/>
      <c r="AC417"/>
      <c r="AD417"/>
      <c r="AE417" s="168" t="str">
        <f t="shared" si="6"/>
        <v/>
      </c>
      <c r="AF417" s="168">
        <v>0</v>
      </c>
      <c r="AG417" s="168" t="str" cm="1">
        <f t="array" ref="AG417">IF(AF417="","",_xlfn.TEXTSPLIT(AF417,"-"))</f>
        <v>0</v>
      </c>
      <c r="AH417" s="168"/>
    </row>
    <row r="418" spans="26:34" ht="24" customHeight="1">
      <c r="Z418"/>
      <c r="AA418"/>
      <c r="AB418"/>
      <c r="AC418"/>
      <c r="AD418"/>
      <c r="AE418" s="168" t="str">
        <f t="shared" si="6"/>
        <v/>
      </c>
      <c r="AF418" s="168">
        <v>0</v>
      </c>
      <c r="AG418" s="168" t="str" cm="1">
        <f t="array" ref="AG418">IF(AF418="","",_xlfn.TEXTSPLIT(AF418,"-"))</f>
        <v>0</v>
      </c>
      <c r="AH418" s="168"/>
    </row>
    <row r="419" spans="26:34" ht="24" customHeight="1">
      <c r="Z419"/>
      <c r="AA419"/>
      <c r="AB419"/>
      <c r="AC419"/>
      <c r="AD419"/>
      <c r="AE419" s="168" t="str">
        <f t="shared" si="6"/>
        <v/>
      </c>
      <c r="AF419" s="168">
        <v>0</v>
      </c>
      <c r="AG419" s="168" t="str" cm="1">
        <f t="array" ref="AG419">IF(AF419="","",_xlfn.TEXTSPLIT(AF419,"-"))</f>
        <v>0</v>
      </c>
      <c r="AH419" s="168"/>
    </row>
    <row r="420" spans="26:34" ht="24" customHeight="1">
      <c r="Z420"/>
      <c r="AA420"/>
      <c r="AB420"/>
      <c r="AC420"/>
      <c r="AD420"/>
      <c r="AE420" s="168" t="str">
        <f t="shared" si="6"/>
        <v/>
      </c>
      <c r="AF420" s="168">
        <v>0</v>
      </c>
      <c r="AG420" s="168" t="str" cm="1">
        <f t="array" ref="AG420">IF(AF420="","",_xlfn.TEXTSPLIT(AF420,"-"))</f>
        <v>0</v>
      </c>
      <c r="AH420" s="168"/>
    </row>
    <row r="421" spans="26:34" ht="24" customHeight="1">
      <c r="Z421"/>
      <c r="AA421"/>
      <c r="AB421"/>
      <c r="AC421"/>
      <c r="AD421"/>
      <c r="AE421" s="168" t="str">
        <f t="shared" si="6"/>
        <v/>
      </c>
      <c r="AF421" s="168">
        <v>0</v>
      </c>
      <c r="AG421" s="168" t="str" cm="1">
        <f t="array" ref="AG421">IF(AF421="","",_xlfn.TEXTSPLIT(AF421,"-"))</f>
        <v>0</v>
      </c>
      <c r="AH421" s="168"/>
    </row>
    <row r="422" spans="26:34" ht="24" customHeight="1">
      <c r="Z422"/>
      <c r="AA422"/>
      <c r="AB422"/>
      <c r="AC422"/>
      <c r="AD422"/>
      <c r="AE422" s="168" t="str">
        <f t="shared" si="6"/>
        <v/>
      </c>
      <c r="AF422" s="168">
        <v>0</v>
      </c>
      <c r="AG422" s="168" t="str" cm="1">
        <f t="array" ref="AG422">IF(AF422="","",_xlfn.TEXTSPLIT(AF422,"-"))</f>
        <v>0</v>
      </c>
      <c r="AH422" s="168"/>
    </row>
    <row r="423" spans="26:34" ht="24" customHeight="1">
      <c r="Z423"/>
      <c r="AA423"/>
      <c r="AB423"/>
      <c r="AC423"/>
      <c r="AD423"/>
      <c r="AE423" s="168" t="str">
        <f t="shared" si="6"/>
        <v/>
      </c>
      <c r="AF423" s="168">
        <v>0</v>
      </c>
      <c r="AG423" s="168" t="str" cm="1">
        <f t="array" ref="AG423">IF(AF423="","",_xlfn.TEXTSPLIT(AF423,"-"))</f>
        <v>0</v>
      </c>
      <c r="AH423" s="168"/>
    </row>
    <row r="424" spans="26:34" ht="24" customHeight="1">
      <c r="Z424"/>
      <c r="AA424"/>
      <c r="AB424"/>
      <c r="AC424"/>
      <c r="AD424"/>
      <c r="AE424" s="168" t="str">
        <f t="shared" si="6"/>
        <v/>
      </c>
      <c r="AF424" s="168">
        <v>0</v>
      </c>
      <c r="AG424" s="168" t="str" cm="1">
        <f t="array" ref="AG424">IF(AF424="","",_xlfn.TEXTSPLIT(AF424,"-"))</f>
        <v>0</v>
      </c>
      <c r="AH424" s="168"/>
    </row>
    <row r="425" spans="26:34" ht="24" customHeight="1">
      <c r="Z425"/>
      <c r="AA425"/>
      <c r="AB425"/>
      <c r="AC425"/>
      <c r="AD425"/>
      <c r="AE425" s="168" t="str">
        <f t="shared" si="6"/>
        <v/>
      </c>
      <c r="AF425" s="168">
        <v>0</v>
      </c>
      <c r="AG425" s="168" t="str" cm="1">
        <f t="array" ref="AG425">IF(AF425="","",_xlfn.TEXTSPLIT(AF425,"-"))</f>
        <v>0</v>
      </c>
      <c r="AH425" s="168"/>
    </row>
    <row r="426" spans="26:34" ht="24" customHeight="1">
      <c r="Z426"/>
      <c r="AA426"/>
      <c r="AB426"/>
      <c r="AC426"/>
      <c r="AD426"/>
      <c r="AE426" s="168" t="str">
        <f t="shared" si="6"/>
        <v/>
      </c>
      <c r="AF426" s="168">
        <v>0</v>
      </c>
      <c r="AG426" s="168" t="str" cm="1">
        <f t="array" ref="AG426">IF(AF426="","",_xlfn.TEXTSPLIT(AF426,"-"))</f>
        <v>0</v>
      </c>
      <c r="AH426" s="168"/>
    </row>
    <row r="427" spans="26:34" ht="24" customHeight="1">
      <c r="Z427"/>
      <c r="AA427"/>
      <c r="AB427"/>
      <c r="AC427"/>
      <c r="AD427"/>
      <c r="AE427" s="168" t="str">
        <f t="shared" si="6"/>
        <v/>
      </c>
      <c r="AF427" s="168">
        <v>0</v>
      </c>
      <c r="AG427" s="168" t="str" cm="1">
        <f t="array" ref="AG427">IF(AF427="","",_xlfn.TEXTSPLIT(AF427,"-"))</f>
        <v>0</v>
      </c>
      <c r="AH427" s="168"/>
    </row>
    <row r="428" spans="26:34" ht="24" customHeight="1">
      <c r="Z428"/>
      <c r="AA428"/>
      <c r="AB428"/>
      <c r="AC428"/>
      <c r="AD428"/>
      <c r="AE428" s="168" t="str">
        <f t="shared" si="6"/>
        <v/>
      </c>
      <c r="AF428" s="168">
        <v>0</v>
      </c>
      <c r="AG428" s="168" t="str" cm="1">
        <f t="array" ref="AG428">IF(AF428="","",_xlfn.TEXTSPLIT(AF428,"-"))</f>
        <v>0</v>
      </c>
      <c r="AH428" s="168"/>
    </row>
    <row r="429" spans="26:34" ht="24" customHeight="1">
      <c r="Z429"/>
      <c r="AA429"/>
      <c r="AB429"/>
      <c r="AC429"/>
      <c r="AD429"/>
      <c r="AE429" s="168" t="str">
        <f t="shared" si="6"/>
        <v/>
      </c>
      <c r="AF429" s="168">
        <v>0</v>
      </c>
      <c r="AG429" s="168" t="str" cm="1">
        <f t="array" ref="AG429">IF(AF429="","",_xlfn.TEXTSPLIT(AF429,"-"))</f>
        <v>0</v>
      </c>
      <c r="AH429" s="168"/>
    </row>
    <row r="430" spans="26:34" ht="24" customHeight="1">
      <c r="Z430"/>
      <c r="AA430"/>
      <c r="AB430"/>
      <c r="AC430"/>
      <c r="AD430"/>
      <c r="AE430" s="168" t="str">
        <f t="shared" si="6"/>
        <v/>
      </c>
      <c r="AF430" s="168">
        <v>0</v>
      </c>
      <c r="AG430" s="168" t="str" cm="1">
        <f t="array" ref="AG430">IF(AF430="","",_xlfn.TEXTSPLIT(AF430,"-"))</f>
        <v>0</v>
      </c>
      <c r="AH430" s="168"/>
    </row>
    <row r="431" spans="26:34" ht="24" customHeight="1">
      <c r="Z431"/>
      <c r="AA431"/>
      <c r="AB431"/>
      <c r="AC431"/>
      <c r="AD431"/>
      <c r="AE431" s="168" t="str">
        <f t="shared" si="6"/>
        <v/>
      </c>
      <c r="AF431" s="168">
        <v>0</v>
      </c>
      <c r="AG431" s="168" t="str" cm="1">
        <f t="array" ref="AG431">IF(AF431="","",_xlfn.TEXTSPLIT(AF431,"-"))</f>
        <v>0</v>
      </c>
      <c r="AH431" s="168"/>
    </row>
    <row r="432" spans="26:34" ht="24" customHeight="1">
      <c r="Z432"/>
      <c r="AA432"/>
      <c r="AB432"/>
      <c r="AC432"/>
      <c r="AD432"/>
      <c r="AE432" s="168" t="str">
        <f t="shared" si="6"/>
        <v/>
      </c>
      <c r="AF432" s="168">
        <v>0</v>
      </c>
      <c r="AG432" s="168" t="str" cm="1">
        <f t="array" ref="AG432">IF(AF432="","",_xlfn.TEXTSPLIT(AF432,"-"))</f>
        <v>0</v>
      </c>
      <c r="AH432" s="168"/>
    </row>
    <row r="433" spans="26:34" ht="24" customHeight="1">
      <c r="Z433"/>
      <c r="AA433"/>
      <c r="AB433"/>
      <c r="AC433"/>
      <c r="AD433"/>
      <c r="AE433" s="168" t="str">
        <f t="shared" si="6"/>
        <v/>
      </c>
      <c r="AF433" s="168">
        <v>0</v>
      </c>
      <c r="AG433" s="168" t="str" cm="1">
        <f t="array" ref="AG433">IF(AF433="","",_xlfn.TEXTSPLIT(AF433,"-"))</f>
        <v>0</v>
      </c>
      <c r="AH433" s="168"/>
    </row>
    <row r="434" spans="26:34" ht="24" customHeight="1">
      <c r="Z434"/>
      <c r="AA434"/>
      <c r="AB434"/>
      <c r="AC434"/>
      <c r="AD434"/>
      <c r="AE434" s="168" t="str">
        <f t="shared" si="6"/>
        <v/>
      </c>
      <c r="AF434" s="168">
        <v>0</v>
      </c>
      <c r="AG434" s="168" t="str" cm="1">
        <f t="array" ref="AG434">IF(AF434="","",_xlfn.TEXTSPLIT(AF434,"-"))</f>
        <v>0</v>
      </c>
      <c r="AH434" s="168"/>
    </row>
    <row r="435" spans="26:34" ht="24" customHeight="1">
      <c r="Z435"/>
      <c r="AA435"/>
      <c r="AB435"/>
      <c r="AC435"/>
      <c r="AD435"/>
      <c r="AE435" s="168" t="str">
        <f t="shared" si="6"/>
        <v/>
      </c>
      <c r="AF435" s="168">
        <v>0</v>
      </c>
      <c r="AG435" s="168" t="str" cm="1">
        <f t="array" ref="AG435">IF(AF435="","",_xlfn.TEXTSPLIT(AF435,"-"))</f>
        <v>0</v>
      </c>
      <c r="AH435" s="168"/>
    </row>
    <row r="436" spans="26:34" ht="24" customHeight="1">
      <c r="Z436"/>
      <c r="AA436"/>
      <c r="AB436"/>
      <c r="AC436"/>
      <c r="AD436"/>
      <c r="AE436" s="168" t="str">
        <f t="shared" si="6"/>
        <v/>
      </c>
      <c r="AF436" s="168">
        <v>0</v>
      </c>
      <c r="AG436" s="168" t="str" cm="1">
        <f t="array" ref="AG436">IF(AF436="","",_xlfn.TEXTSPLIT(AF436,"-"))</f>
        <v>0</v>
      </c>
      <c r="AH436" s="168"/>
    </row>
    <row r="437" spans="26:34" ht="24" customHeight="1">
      <c r="Z437"/>
      <c r="AA437"/>
      <c r="AB437"/>
      <c r="AC437"/>
      <c r="AD437"/>
      <c r="AE437" s="168" t="str">
        <f t="shared" si="6"/>
        <v/>
      </c>
      <c r="AF437" s="168">
        <v>0</v>
      </c>
      <c r="AG437" s="168" t="str" cm="1">
        <f t="array" ref="AG437">IF(AF437="","",_xlfn.TEXTSPLIT(AF437,"-"))</f>
        <v>0</v>
      </c>
      <c r="AH437" s="168"/>
    </row>
    <row r="438" spans="26:34" ht="24" customHeight="1">
      <c r="Z438"/>
      <c r="AA438"/>
      <c r="AB438"/>
      <c r="AC438"/>
      <c r="AD438"/>
      <c r="AE438" s="168" t="str">
        <f t="shared" si="6"/>
        <v/>
      </c>
      <c r="AF438" s="168">
        <v>0</v>
      </c>
      <c r="AG438" s="168" t="str" cm="1">
        <f t="array" ref="AG438">IF(AF438="","",_xlfn.TEXTSPLIT(AF438,"-"))</f>
        <v>0</v>
      </c>
      <c r="AH438" s="168"/>
    </row>
    <row r="439" spans="26:34" ht="24" customHeight="1">
      <c r="Z439"/>
      <c r="AA439"/>
      <c r="AB439"/>
      <c r="AC439"/>
      <c r="AD439"/>
      <c r="AE439" s="168" t="str">
        <f t="shared" si="6"/>
        <v/>
      </c>
      <c r="AF439" s="168">
        <v>0</v>
      </c>
      <c r="AG439" s="168" t="str" cm="1">
        <f t="array" ref="AG439">IF(AF439="","",_xlfn.TEXTSPLIT(AF439,"-"))</f>
        <v>0</v>
      </c>
      <c r="AH439" s="168"/>
    </row>
    <row r="440" spans="26:34" ht="24" customHeight="1">
      <c r="Z440"/>
      <c r="AA440"/>
      <c r="AB440"/>
      <c r="AC440"/>
      <c r="AD440"/>
      <c r="AE440" s="168" t="str">
        <f t="shared" si="6"/>
        <v/>
      </c>
      <c r="AF440" s="168">
        <v>0</v>
      </c>
      <c r="AG440" s="168" t="str" cm="1">
        <f t="array" ref="AG440">IF(AF440="","",_xlfn.TEXTSPLIT(AF440,"-"))</f>
        <v>0</v>
      </c>
      <c r="AH440" s="168"/>
    </row>
    <row r="441" spans="26:34" ht="24" customHeight="1">
      <c r="Z441"/>
      <c r="AA441"/>
      <c r="AB441"/>
      <c r="AC441"/>
      <c r="AD441"/>
      <c r="AE441" s="168" t="str">
        <f t="shared" si="6"/>
        <v/>
      </c>
      <c r="AF441" s="168">
        <v>0</v>
      </c>
      <c r="AG441" s="168" t="str" cm="1">
        <f t="array" ref="AG441">IF(AF441="","",_xlfn.TEXTSPLIT(AF441,"-"))</f>
        <v>0</v>
      </c>
      <c r="AH441" s="168"/>
    </row>
    <row r="442" spans="26:34" ht="24" customHeight="1">
      <c r="Z442"/>
      <c r="AA442"/>
      <c r="AB442"/>
      <c r="AC442"/>
      <c r="AD442"/>
      <c r="AE442" s="168" t="str">
        <f t="shared" si="6"/>
        <v/>
      </c>
      <c r="AF442" s="168">
        <v>0</v>
      </c>
      <c r="AG442" s="168" t="str" cm="1">
        <f t="array" ref="AG442">IF(AF442="","",_xlfn.TEXTSPLIT(AF442,"-"))</f>
        <v>0</v>
      </c>
      <c r="AH442" s="168"/>
    </row>
    <row r="443" spans="26:34" ht="24" customHeight="1">
      <c r="Z443"/>
      <c r="AA443"/>
      <c r="AB443"/>
      <c r="AC443"/>
      <c r="AD443"/>
      <c r="AE443" s="168" t="str">
        <f t="shared" si="6"/>
        <v/>
      </c>
      <c r="AF443" s="168">
        <v>0</v>
      </c>
      <c r="AG443" s="168" t="str" cm="1">
        <f t="array" ref="AG443">IF(AF443="","",_xlfn.TEXTSPLIT(AF443,"-"))</f>
        <v>0</v>
      </c>
      <c r="AH443" s="168"/>
    </row>
    <row r="444" spans="26:34" ht="24" customHeight="1">
      <c r="Z444"/>
      <c r="AA444"/>
      <c r="AB444"/>
      <c r="AC444"/>
      <c r="AD444"/>
      <c r="AE444" s="168" t="str">
        <f t="shared" si="6"/>
        <v/>
      </c>
      <c r="AF444" s="168">
        <v>0</v>
      </c>
      <c r="AG444" s="168" t="str" cm="1">
        <f t="array" ref="AG444">IF(AF444="","",_xlfn.TEXTSPLIT(AF444,"-"))</f>
        <v>0</v>
      </c>
      <c r="AH444" s="168"/>
    </row>
    <row r="445" spans="26:34" ht="24" customHeight="1">
      <c r="Z445"/>
      <c r="AA445"/>
      <c r="AB445"/>
      <c r="AC445"/>
      <c r="AD445"/>
      <c r="AE445" s="168" t="str">
        <f t="shared" si="6"/>
        <v/>
      </c>
      <c r="AF445" s="168">
        <v>0</v>
      </c>
      <c r="AG445" s="168" t="str" cm="1">
        <f t="array" ref="AG445">IF(AF445="","",_xlfn.TEXTSPLIT(AF445,"-"))</f>
        <v>0</v>
      </c>
      <c r="AH445" s="168"/>
    </row>
    <row r="446" spans="26:34" ht="24" customHeight="1">
      <c r="Z446"/>
      <c r="AA446"/>
      <c r="AB446"/>
      <c r="AC446"/>
      <c r="AD446"/>
      <c r="AE446" s="168" t="str">
        <f t="shared" si="6"/>
        <v/>
      </c>
      <c r="AF446" s="168">
        <v>0</v>
      </c>
      <c r="AG446" s="168" t="str" cm="1">
        <f t="array" ref="AG446">IF(AF446="","",_xlfn.TEXTSPLIT(AF446,"-"))</f>
        <v>0</v>
      </c>
      <c r="AH446" s="168"/>
    </row>
    <row r="447" spans="26:34" ht="24" customHeight="1">
      <c r="Z447"/>
      <c r="AA447"/>
      <c r="AB447"/>
      <c r="AC447"/>
      <c r="AD447"/>
      <c r="AE447" s="168" t="str">
        <f t="shared" si="6"/>
        <v/>
      </c>
      <c r="AF447" s="168">
        <v>0</v>
      </c>
      <c r="AG447" s="168" t="str" cm="1">
        <f t="array" ref="AG447">IF(AF447="","",_xlfn.TEXTSPLIT(AF447,"-"))</f>
        <v>0</v>
      </c>
      <c r="AH447" s="168"/>
    </row>
    <row r="448" spans="26:34" ht="24" customHeight="1">
      <c r="Z448"/>
      <c r="AA448"/>
      <c r="AB448"/>
      <c r="AC448"/>
      <c r="AD448"/>
      <c r="AE448" s="168" t="str">
        <f t="shared" si="6"/>
        <v/>
      </c>
      <c r="AF448" s="168">
        <v>0</v>
      </c>
      <c r="AG448" s="168" t="str" cm="1">
        <f t="array" ref="AG448">IF(AF448="","",_xlfn.TEXTSPLIT(AF448,"-"))</f>
        <v>0</v>
      </c>
      <c r="AH448" s="168"/>
    </row>
    <row r="449" spans="26:34" ht="24" customHeight="1">
      <c r="Z449"/>
      <c r="AA449"/>
      <c r="AB449"/>
      <c r="AC449"/>
      <c r="AD449"/>
      <c r="AE449" s="168" t="str">
        <f t="shared" si="6"/>
        <v/>
      </c>
      <c r="AF449" s="168">
        <v>0</v>
      </c>
      <c r="AG449" s="168" t="str" cm="1">
        <f t="array" ref="AG449">IF(AF449="","",_xlfn.TEXTSPLIT(AF449,"-"))</f>
        <v>0</v>
      </c>
      <c r="AH449" s="168"/>
    </row>
    <row r="450" spans="26:34" ht="24" customHeight="1">
      <c r="Z450"/>
      <c r="AA450"/>
      <c r="AB450"/>
      <c r="AC450"/>
      <c r="AD450"/>
      <c r="AE450" s="168" t="str">
        <f t="shared" si="6"/>
        <v/>
      </c>
      <c r="AF450" s="168">
        <v>0</v>
      </c>
      <c r="AG450" s="168" t="str" cm="1">
        <f t="array" ref="AG450">IF(AF450="","",_xlfn.TEXTSPLIT(AF450,"-"))</f>
        <v>0</v>
      </c>
      <c r="AH450" s="168"/>
    </row>
    <row r="451" spans="26:34" ht="24" customHeight="1">
      <c r="Z451"/>
      <c r="AA451"/>
      <c r="AB451"/>
      <c r="AC451"/>
      <c r="AD451"/>
      <c r="AE451" s="168" t="str">
        <f t="shared" si="6"/>
        <v/>
      </c>
      <c r="AF451" s="168">
        <v>0</v>
      </c>
      <c r="AG451" s="168" t="str" cm="1">
        <f t="array" ref="AG451">IF(AF451="","",_xlfn.TEXTSPLIT(AF451,"-"))</f>
        <v>0</v>
      </c>
      <c r="AH451" s="168"/>
    </row>
    <row r="452" spans="26:34" ht="24" customHeight="1">
      <c r="Z452"/>
      <c r="AA452"/>
      <c r="AB452"/>
      <c r="AC452"/>
      <c r="AD452"/>
      <c r="AE452" s="168" t="str">
        <f t="shared" si="6"/>
        <v/>
      </c>
      <c r="AF452" s="168">
        <v>0</v>
      </c>
      <c r="AG452" s="168" t="str" cm="1">
        <f t="array" ref="AG452">IF(AF452="","",_xlfn.TEXTSPLIT(AF452,"-"))</f>
        <v>0</v>
      </c>
      <c r="AH452" s="168"/>
    </row>
    <row r="453" spans="26:34" ht="24" customHeight="1">
      <c r="Z453"/>
      <c r="AA453"/>
      <c r="AB453"/>
      <c r="AC453"/>
      <c r="AD453"/>
      <c r="AE453" s="168" t="str">
        <f t="shared" ref="AE453:AE516" si="7">IF(AH453="","",AH453*1)</f>
        <v/>
      </c>
      <c r="AF453" s="168">
        <v>0</v>
      </c>
      <c r="AG453" s="168" t="str" cm="1">
        <f t="array" ref="AG453">IF(AF453="","",_xlfn.TEXTSPLIT(AF453,"-"))</f>
        <v>0</v>
      </c>
      <c r="AH453" s="168"/>
    </row>
    <row r="454" spans="26:34" ht="24" customHeight="1">
      <c r="Z454"/>
      <c r="AA454"/>
      <c r="AB454"/>
      <c r="AC454"/>
      <c r="AD454"/>
      <c r="AE454" s="168" t="str">
        <f t="shared" si="7"/>
        <v/>
      </c>
      <c r="AF454" s="168">
        <v>0</v>
      </c>
      <c r="AG454" s="168" t="str" cm="1">
        <f t="array" ref="AG454">IF(AF454="","",_xlfn.TEXTSPLIT(AF454,"-"))</f>
        <v>0</v>
      </c>
      <c r="AH454" s="168"/>
    </row>
    <row r="455" spans="26:34" ht="24" customHeight="1">
      <c r="Z455"/>
      <c r="AA455"/>
      <c r="AB455"/>
      <c r="AC455"/>
      <c r="AD455"/>
      <c r="AE455" s="168" t="str">
        <f t="shared" si="7"/>
        <v/>
      </c>
      <c r="AF455" s="168">
        <v>0</v>
      </c>
      <c r="AG455" s="168" t="str" cm="1">
        <f t="array" ref="AG455">IF(AF455="","",_xlfn.TEXTSPLIT(AF455,"-"))</f>
        <v>0</v>
      </c>
      <c r="AH455" s="168"/>
    </row>
    <row r="456" spans="26:34" ht="24" customHeight="1">
      <c r="Z456"/>
      <c r="AA456"/>
      <c r="AB456"/>
      <c r="AC456"/>
      <c r="AD456"/>
      <c r="AE456" s="168" t="str">
        <f t="shared" si="7"/>
        <v/>
      </c>
      <c r="AF456" s="168">
        <v>0</v>
      </c>
      <c r="AG456" s="168" t="str" cm="1">
        <f t="array" ref="AG456">IF(AF456="","",_xlfn.TEXTSPLIT(AF456,"-"))</f>
        <v>0</v>
      </c>
      <c r="AH456" s="168"/>
    </row>
    <row r="457" spans="26:34" ht="24" customHeight="1">
      <c r="Z457"/>
      <c r="AA457"/>
      <c r="AB457"/>
      <c r="AC457"/>
      <c r="AD457"/>
      <c r="AE457" s="168" t="str">
        <f t="shared" si="7"/>
        <v/>
      </c>
      <c r="AF457" s="168">
        <v>0</v>
      </c>
      <c r="AG457" s="168" t="str" cm="1">
        <f t="array" ref="AG457">IF(AF457="","",_xlfn.TEXTSPLIT(AF457,"-"))</f>
        <v>0</v>
      </c>
      <c r="AH457" s="168"/>
    </row>
    <row r="458" spans="26:34" ht="24" customHeight="1">
      <c r="Z458"/>
      <c r="AA458"/>
      <c r="AB458"/>
      <c r="AC458"/>
      <c r="AD458"/>
      <c r="AE458" s="168" t="str">
        <f t="shared" si="7"/>
        <v/>
      </c>
      <c r="AF458" s="168">
        <v>0</v>
      </c>
      <c r="AG458" s="168" t="str" cm="1">
        <f t="array" ref="AG458">IF(AF458="","",_xlfn.TEXTSPLIT(AF458,"-"))</f>
        <v>0</v>
      </c>
      <c r="AH458" s="168"/>
    </row>
    <row r="459" spans="26:34" ht="24" customHeight="1">
      <c r="Z459"/>
      <c r="AA459"/>
      <c r="AB459"/>
      <c r="AC459"/>
      <c r="AD459"/>
      <c r="AE459" s="168" t="str">
        <f t="shared" si="7"/>
        <v/>
      </c>
      <c r="AF459" s="168">
        <v>0</v>
      </c>
      <c r="AG459" s="168" t="str" cm="1">
        <f t="array" ref="AG459">IF(AF459="","",_xlfn.TEXTSPLIT(AF459,"-"))</f>
        <v>0</v>
      </c>
      <c r="AH459" s="168"/>
    </row>
    <row r="460" spans="26:34" ht="24" customHeight="1">
      <c r="Z460"/>
      <c r="AA460"/>
      <c r="AB460"/>
      <c r="AC460"/>
      <c r="AD460"/>
      <c r="AE460" s="168" t="str">
        <f t="shared" si="7"/>
        <v/>
      </c>
      <c r="AF460" s="168">
        <v>0</v>
      </c>
      <c r="AG460" s="168" t="str" cm="1">
        <f t="array" ref="AG460">IF(AF460="","",_xlfn.TEXTSPLIT(AF460,"-"))</f>
        <v>0</v>
      </c>
      <c r="AH460" s="168"/>
    </row>
    <row r="461" spans="26:34" ht="24" customHeight="1">
      <c r="Z461"/>
      <c r="AA461"/>
      <c r="AB461"/>
      <c r="AC461"/>
      <c r="AD461"/>
      <c r="AE461" s="168" t="str">
        <f t="shared" si="7"/>
        <v/>
      </c>
      <c r="AF461" s="168">
        <v>0</v>
      </c>
      <c r="AG461" s="168" t="str" cm="1">
        <f t="array" ref="AG461">IF(AF461="","",_xlfn.TEXTSPLIT(AF461,"-"))</f>
        <v>0</v>
      </c>
      <c r="AH461" s="168"/>
    </row>
    <row r="462" spans="26:34" ht="24" customHeight="1">
      <c r="Z462"/>
      <c r="AA462"/>
      <c r="AB462"/>
      <c r="AC462"/>
      <c r="AD462"/>
      <c r="AE462" s="168" t="str">
        <f t="shared" si="7"/>
        <v/>
      </c>
      <c r="AF462" s="168">
        <v>0</v>
      </c>
      <c r="AG462" s="168" t="str" cm="1">
        <f t="array" ref="AG462">IF(AF462="","",_xlfn.TEXTSPLIT(AF462,"-"))</f>
        <v>0</v>
      </c>
      <c r="AH462" s="168"/>
    </row>
    <row r="463" spans="26:34" ht="24" customHeight="1">
      <c r="Z463"/>
      <c r="AA463"/>
      <c r="AB463"/>
      <c r="AC463"/>
      <c r="AD463"/>
      <c r="AE463" s="168" t="str">
        <f t="shared" si="7"/>
        <v/>
      </c>
      <c r="AF463" s="168">
        <v>0</v>
      </c>
      <c r="AG463" s="168" t="str" cm="1">
        <f t="array" ref="AG463">IF(AF463="","",_xlfn.TEXTSPLIT(AF463,"-"))</f>
        <v>0</v>
      </c>
      <c r="AH463" s="168"/>
    </row>
    <row r="464" spans="26:34" ht="24" customHeight="1">
      <c r="Z464"/>
      <c r="AA464"/>
      <c r="AB464"/>
      <c r="AC464"/>
      <c r="AD464"/>
      <c r="AE464" s="168" t="str">
        <f t="shared" si="7"/>
        <v/>
      </c>
      <c r="AF464" s="168">
        <v>0</v>
      </c>
      <c r="AG464" s="168" t="str" cm="1">
        <f t="array" ref="AG464">IF(AF464="","",_xlfn.TEXTSPLIT(AF464,"-"))</f>
        <v>0</v>
      </c>
      <c r="AH464" s="168"/>
    </row>
    <row r="465" spans="26:34" ht="24" customHeight="1">
      <c r="Z465"/>
      <c r="AA465"/>
      <c r="AB465"/>
      <c r="AC465"/>
      <c r="AD465"/>
      <c r="AE465" s="168" t="str">
        <f t="shared" si="7"/>
        <v/>
      </c>
      <c r="AF465" s="168">
        <v>0</v>
      </c>
      <c r="AG465" s="168" t="str" cm="1">
        <f t="array" ref="AG465">IF(AF465="","",_xlfn.TEXTSPLIT(AF465,"-"))</f>
        <v>0</v>
      </c>
      <c r="AH465" s="168"/>
    </row>
    <row r="466" spans="26:34" ht="24" customHeight="1">
      <c r="Z466"/>
      <c r="AA466"/>
      <c r="AB466"/>
      <c r="AC466"/>
      <c r="AD466"/>
      <c r="AE466" s="168" t="str">
        <f t="shared" si="7"/>
        <v/>
      </c>
      <c r="AF466" s="168">
        <v>0</v>
      </c>
      <c r="AG466" s="168" t="str" cm="1">
        <f t="array" ref="AG466">IF(AF466="","",_xlfn.TEXTSPLIT(AF466,"-"))</f>
        <v>0</v>
      </c>
      <c r="AH466" s="168"/>
    </row>
    <row r="467" spans="26:34" ht="24" customHeight="1">
      <c r="Z467"/>
      <c r="AA467"/>
      <c r="AB467"/>
      <c r="AC467"/>
      <c r="AD467"/>
      <c r="AE467" s="168" t="str">
        <f t="shared" si="7"/>
        <v/>
      </c>
      <c r="AF467" s="168">
        <v>0</v>
      </c>
      <c r="AG467" s="168" t="str" cm="1">
        <f t="array" ref="AG467">IF(AF467="","",_xlfn.TEXTSPLIT(AF467,"-"))</f>
        <v>0</v>
      </c>
      <c r="AH467" s="168"/>
    </row>
    <row r="468" spans="26:34" ht="24" customHeight="1">
      <c r="Z468"/>
      <c r="AA468"/>
      <c r="AB468"/>
      <c r="AC468"/>
      <c r="AD468"/>
      <c r="AE468" s="168" t="str">
        <f t="shared" si="7"/>
        <v/>
      </c>
      <c r="AF468" s="168">
        <v>0</v>
      </c>
      <c r="AG468" s="168" t="str" cm="1">
        <f t="array" ref="AG468">IF(AF468="","",_xlfn.TEXTSPLIT(AF468,"-"))</f>
        <v>0</v>
      </c>
      <c r="AH468" s="168"/>
    </row>
    <row r="469" spans="26:34" ht="24" customHeight="1">
      <c r="Z469"/>
      <c r="AA469"/>
      <c r="AB469"/>
      <c r="AC469"/>
      <c r="AD469"/>
      <c r="AE469" s="168" t="str">
        <f t="shared" si="7"/>
        <v/>
      </c>
      <c r="AF469" s="168">
        <v>0</v>
      </c>
      <c r="AG469" s="168" t="str" cm="1">
        <f t="array" ref="AG469">IF(AF469="","",_xlfn.TEXTSPLIT(AF469,"-"))</f>
        <v>0</v>
      </c>
      <c r="AH469" s="168"/>
    </row>
    <row r="470" spans="26:34" ht="24" customHeight="1">
      <c r="Z470"/>
      <c r="AA470"/>
      <c r="AB470"/>
      <c r="AC470"/>
      <c r="AD470"/>
      <c r="AE470" s="168" t="str">
        <f t="shared" si="7"/>
        <v/>
      </c>
      <c r="AF470" s="168">
        <v>0</v>
      </c>
      <c r="AG470" s="168" t="str" cm="1">
        <f t="array" ref="AG470">IF(AF470="","",_xlfn.TEXTSPLIT(AF470,"-"))</f>
        <v>0</v>
      </c>
      <c r="AH470" s="168"/>
    </row>
    <row r="471" spans="26:34" ht="24" customHeight="1">
      <c r="Z471"/>
      <c r="AA471"/>
      <c r="AB471"/>
      <c r="AC471"/>
      <c r="AD471"/>
      <c r="AE471" s="168" t="str">
        <f t="shared" si="7"/>
        <v/>
      </c>
      <c r="AF471" s="168">
        <v>0</v>
      </c>
      <c r="AG471" s="168" t="str" cm="1">
        <f t="array" ref="AG471">IF(AF471="","",_xlfn.TEXTSPLIT(AF471,"-"))</f>
        <v>0</v>
      </c>
      <c r="AH471" s="168"/>
    </row>
    <row r="472" spans="26:34" ht="24" customHeight="1">
      <c r="Z472"/>
      <c r="AA472"/>
      <c r="AB472"/>
      <c r="AC472"/>
      <c r="AD472"/>
      <c r="AE472" s="168" t="str">
        <f t="shared" si="7"/>
        <v/>
      </c>
      <c r="AF472" s="168">
        <v>0</v>
      </c>
      <c r="AG472" s="168" t="str" cm="1">
        <f t="array" ref="AG472">IF(AF472="","",_xlfn.TEXTSPLIT(AF472,"-"))</f>
        <v>0</v>
      </c>
      <c r="AH472" s="168"/>
    </row>
    <row r="473" spans="26:34" ht="24" customHeight="1">
      <c r="Z473"/>
      <c r="AA473"/>
      <c r="AB473"/>
      <c r="AC473"/>
      <c r="AD473"/>
      <c r="AE473" s="168" t="str">
        <f t="shared" si="7"/>
        <v/>
      </c>
      <c r="AF473" s="168">
        <v>0</v>
      </c>
      <c r="AG473" s="168" t="str" cm="1">
        <f t="array" ref="AG473">IF(AF473="","",_xlfn.TEXTSPLIT(AF473,"-"))</f>
        <v>0</v>
      </c>
      <c r="AH473" s="168"/>
    </row>
    <row r="474" spans="26:34" ht="24" customHeight="1">
      <c r="Z474"/>
      <c r="AA474"/>
      <c r="AB474"/>
      <c r="AC474"/>
      <c r="AD474"/>
      <c r="AE474" s="168" t="str">
        <f t="shared" si="7"/>
        <v/>
      </c>
      <c r="AF474" s="168">
        <v>0</v>
      </c>
      <c r="AG474" s="168" t="str" cm="1">
        <f t="array" ref="AG474">IF(AF474="","",_xlfn.TEXTSPLIT(AF474,"-"))</f>
        <v>0</v>
      </c>
      <c r="AH474" s="168"/>
    </row>
    <row r="475" spans="26:34" ht="24" customHeight="1">
      <c r="Z475"/>
      <c r="AA475"/>
      <c r="AB475"/>
      <c r="AC475"/>
      <c r="AD475"/>
      <c r="AE475" s="168" t="str">
        <f t="shared" si="7"/>
        <v/>
      </c>
      <c r="AF475" s="168">
        <v>0</v>
      </c>
      <c r="AG475" s="168" t="str" cm="1">
        <f t="array" ref="AG475">IF(AF475="","",_xlfn.TEXTSPLIT(AF475,"-"))</f>
        <v>0</v>
      </c>
      <c r="AH475" s="168"/>
    </row>
    <row r="476" spans="26:34" ht="24" customHeight="1">
      <c r="Z476"/>
      <c r="AA476"/>
      <c r="AB476"/>
      <c r="AC476"/>
      <c r="AD476"/>
      <c r="AE476" s="168" t="str">
        <f t="shared" si="7"/>
        <v/>
      </c>
      <c r="AF476" s="168">
        <v>0</v>
      </c>
      <c r="AG476" s="168" t="str" cm="1">
        <f t="array" ref="AG476">IF(AF476="","",_xlfn.TEXTSPLIT(AF476,"-"))</f>
        <v>0</v>
      </c>
      <c r="AH476" s="168"/>
    </row>
    <row r="477" spans="26:34" ht="24" customHeight="1">
      <c r="Z477"/>
      <c r="AA477"/>
      <c r="AB477"/>
      <c r="AC477"/>
      <c r="AD477"/>
      <c r="AE477" s="168" t="str">
        <f t="shared" si="7"/>
        <v/>
      </c>
      <c r="AF477" s="168">
        <v>0</v>
      </c>
      <c r="AG477" s="168" t="str" cm="1">
        <f t="array" ref="AG477">IF(AF477="","",_xlfn.TEXTSPLIT(AF477,"-"))</f>
        <v>0</v>
      </c>
      <c r="AH477" s="168"/>
    </row>
    <row r="478" spans="26:34" ht="24" customHeight="1">
      <c r="Z478"/>
      <c r="AA478"/>
      <c r="AB478"/>
      <c r="AC478"/>
      <c r="AD478"/>
      <c r="AE478" s="168" t="str">
        <f t="shared" si="7"/>
        <v/>
      </c>
      <c r="AF478" s="168">
        <v>0</v>
      </c>
      <c r="AG478" s="168" t="str" cm="1">
        <f t="array" ref="AG478">IF(AF478="","",_xlfn.TEXTSPLIT(AF478,"-"))</f>
        <v>0</v>
      </c>
      <c r="AH478" s="168"/>
    </row>
    <row r="479" spans="26:34" ht="24" customHeight="1">
      <c r="Z479"/>
      <c r="AA479"/>
      <c r="AB479"/>
      <c r="AC479"/>
      <c r="AD479"/>
      <c r="AE479" s="168" t="str">
        <f t="shared" si="7"/>
        <v/>
      </c>
      <c r="AF479" s="168">
        <v>0</v>
      </c>
      <c r="AG479" s="168" t="str" cm="1">
        <f t="array" ref="AG479">IF(AF479="","",_xlfn.TEXTSPLIT(AF479,"-"))</f>
        <v>0</v>
      </c>
      <c r="AH479" s="168"/>
    </row>
    <row r="480" spans="26:34" ht="24" customHeight="1">
      <c r="Z480"/>
      <c r="AA480"/>
      <c r="AB480"/>
      <c r="AC480"/>
      <c r="AD480"/>
      <c r="AE480" s="168" t="str">
        <f t="shared" si="7"/>
        <v/>
      </c>
      <c r="AF480" s="168">
        <v>0</v>
      </c>
      <c r="AG480" s="168" t="str" cm="1">
        <f t="array" ref="AG480">IF(AF480="","",_xlfn.TEXTSPLIT(AF480,"-"))</f>
        <v>0</v>
      </c>
      <c r="AH480" s="168"/>
    </row>
    <row r="481" spans="26:34" ht="24" customHeight="1">
      <c r="Z481"/>
      <c r="AA481"/>
      <c r="AB481"/>
      <c r="AC481"/>
      <c r="AD481"/>
      <c r="AE481" s="168" t="str">
        <f t="shared" si="7"/>
        <v/>
      </c>
      <c r="AF481" s="168">
        <v>0</v>
      </c>
      <c r="AG481" s="168" t="str" cm="1">
        <f t="array" ref="AG481">IF(AF481="","",_xlfn.TEXTSPLIT(AF481,"-"))</f>
        <v>0</v>
      </c>
      <c r="AH481" s="168"/>
    </row>
    <row r="482" spans="26:34" ht="24" customHeight="1">
      <c r="Z482"/>
      <c r="AA482"/>
      <c r="AB482"/>
      <c r="AC482"/>
      <c r="AD482"/>
      <c r="AE482" s="168" t="str">
        <f t="shared" si="7"/>
        <v/>
      </c>
      <c r="AF482" s="168">
        <v>0</v>
      </c>
      <c r="AG482" s="168" t="str" cm="1">
        <f t="array" ref="AG482">IF(AF482="","",_xlfn.TEXTSPLIT(AF482,"-"))</f>
        <v>0</v>
      </c>
      <c r="AH482" s="168"/>
    </row>
    <row r="483" spans="26:34" ht="24" customHeight="1">
      <c r="Z483"/>
      <c r="AA483"/>
      <c r="AB483"/>
      <c r="AC483"/>
      <c r="AD483"/>
      <c r="AE483" s="168" t="str">
        <f t="shared" si="7"/>
        <v/>
      </c>
      <c r="AF483" s="168">
        <v>0</v>
      </c>
      <c r="AG483" s="168" t="str" cm="1">
        <f t="array" ref="AG483">IF(AF483="","",_xlfn.TEXTSPLIT(AF483,"-"))</f>
        <v>0</v>
      </c>
      <c r="AH483" s="168"/>
    </row>
    <row r="484" spans="26:34" ht="24" customHeight="1">
      <c r="Z484"/>
      <c r="AA484"/>
      <c r="AB484"/>
      <c r="AC484"/>
      <c r="AD484"/>
      <c r="AE484" s="168" t="str">
        <f t="shared" si="7"/>
        <v/>
      </c>
      <c r="AF484" s="168">
        <v>0</v>
      </c>
      <c r="AG484" s="168" t="str" cm="1">
        <f t="array" ref="AG484">IF(AF484="","",_xlfn.TEXTSPLIT(AF484,"-"))</f>
        <v>0</v>
      </c>
      <c r="AH484" s="168"/>
    </row>
    <row r="485" spans="26:34" ht="24" customHeight="1">
      <c r="Z485"/>
      <c r="AA485"/>
      <c r="AB485"/>
      <c r="AC485"/>
      <c r="AD485"/>
      <c r="AE485" s="168" t="str">
        <f t="shared" si="7"/>
        <v/>
      </c>
      <c r="AF485" s="168">
        <v>0</v>
      </c>
      <c r="AG485" s="168" t="str" cm="1">
        <f t="array" ref="AG485">IF(AF485="","",_xlfn.TEXTSPLIT(AF485,"-"))</f>
        <v>0</v>
      </c>
      <c r="AH485" s="168"/>
    </row>
    <row r="486" spans="26:34" ht="24" customHeight="1">
      <c r="Z486"/>
      <c r="AA486"/>
      <c r="AB486"/>
      <c r="AC486"/>
      <c r="AD486"/>
      <c r="AE486" s="168" t="str">
        <f t="shared" si="7"/>
        <v/>
      </c>
      <c r="AF486" s="168">
        <v>0</v>
      </c>
      <c r="AG486" s="168" t="str" cm="1">
        <f t="array" ref="AG486">IF(AF486="","",_xlfn.TEXTSPLIT(AF486,"-"))</f>
        <v>0</v>
      </c>
      <c r="AH486" s="168"/>
    </row>
    <row r="487" spans="26:34" ht="24" customHeight="1">
      <c r="Z487"/>
      <c r="AA487"/>
      <c r="AB487"/>
      <c r="AC487"/>
      <c r="AD487"/>
      <c r="AE487" s="168" t="str">
        <f t="shared" si="7"/>
        <v/>
      </c>
      <c r="AF487" s="168">
        <v>0</v>
      </c>
      <c r="AG487" s="168" t="str" cm="1">
        <f t="array" ref="AG487">IF(AF487="","",_xlfn.TEXTSPLIT(AF487,"-"))</f>
        <v>0</v>
      </c>
      <c r="AH487" s="168"/>
    </row>
    <row r="488" spans="26:34" ht="24" customHeight="1">
      <c r="Z488"/>
      <c r="AA488"/>
      <c r="AB488"/>
      <c r="AC488"/>
      <c r="AD488"/>
      <c r="AE488" s="168" t="str">
        <f t="shared" si="7"/>
        <v/>
      </c>
      <c r="AF488" s="168">
        <v>0</v>
      </c>
      <c r="AG488" s="168" t="str" cm="1">
        <f t="array" ref="AG488">IF(AF488="","",_xlfn.TEXTSPLIT(AF488,"-"))</f>
        <v>0</v>
      </c>
      <c r="AH488" s="168"/>
    </row>
    <row r="489" spans="26:34" ht="24" customHeight="1">
      <c r="Z489"/>
      <c r="AA489"/>
      <c r="AB489"/>
      <c r="AC489"/>
      <c r="AD489"/>
      <c r="AE489" s="168" t="str">
        <f t="shared" si="7"/>
        <v/>
      </c>
      <c r="AF489" s="168">
        <v>0</v>
      </c>
      <c r="AG489" s="168" t="str" cm="1">
        <f t="array" ref="AG489">IF(AF489="","",_xlfn.TEXTSPLIT(AF489,"-"))</f>
        <v>0</v>
      </c>
      <c r="AH489" s="168"/>
    </row>
    <row r="490" spans="26:34" ht="24" customHeight="1">
      <c r="Z490"/>
      <c r="AA490"/>
      <c r="AB490"/>
      <c r="AC490"/>
      <c r="AD490"/>
      <c r="AE490" s="168" t="str">
        <f t="shared" si="7"/>
        <v/>
      </c>
      <c r="AF490" s="168">
        <v>0</v>
      </c>
      <c r="AG490" s="168" t="str" cm="1">
        <f t="array" ref="AG490">IF(AF490="","",_xlfn.TEXTSPLIT(AF490,"-"))</f>
        <v>0</v>
      </c>
      <c r="AH490" s="168"/>
    </row>
    <row r="491" spans="26:34" ht="24" customHeight="1">
      <c r="Z491"/>
      <c r="AA491"/>
      <c r="AB491"/>
      <c r="AC491"/>
      <c r="AD491"/>
      <c r="AE491" s="168" t="str">
        <f t="shared" si="7"/>
        <v/>
      </c>
      <c r="AF491" s="168">
        <v>0</v>
      </c>
      <c r="AG491" s="168" t="str" cm="1">
        <f t="array" ref="AG491">IF(AF491="","",_xlfn.TEXTSPLIT(AF491,"-"))</f>
        <v>0</v>
      </c>
      <c r="AH491" s="168"/>
    </row>
    <row r="492" spans="26:34" ht="24" customHeight="1">
      <c r="Z492"/>
      <c r="AA492"/>
      <c r="AB492"/>
      <c r="AC492"/>
      <c r="AD492"/>
      <c r="AE492" s="168" t="str">
        <f t="shared" si="7"/>
        <v/>
      </c>
      <c r="AF492" s="168">
        <v>0</v>
      </c>
      <c r="AG492" s="168" t="str" cm="1">
        <f t="array" ref="AG492">IF(AF492="","",_xlfn.TEXTSPLIT(AF492,"-"))</f>
        <v>0</v>
      </c>
      <c r="AH492" s="168"/>
    </row>
    <row r="493" spans="26:34" ht="24" customHeight="1">
      <c r="Z493"/>
      <c r="AA493"/>
      <c r="AB493"/>
      <c r="AC493"/>
      <c r="AD493"/>
      <c r="AE493" s="168" t="str">
        <f t="shared" si="7"/>
        <v/>
      </c>
      <c r="AF493" s="168">
        <v>0</v>
      </c>
      <c r="AG493" s="168" t="str" cm="1">
        <f t="array" ref="AG493">IF(AF493="","",_xlfn.TEXTSPLIT(AF493,"-"))</f>
        <v>0</v>
      </c>
      <c r="AH493" s="168"/>
    </row>
    <row r="494" spans="26:34" ht="24" customHeight="1">
      <c r="Z494"/>
      <c r="AA494"/>
      <c r="AB494"/>
      <c r="AC494"/>
      <c r="AD494"/>
      <c r="AE494" s="168" t="str">
        <f t="shared" si="7"/>
        <v/>
      </c>
      <c r="AF494" s="168">
        <v>0</v>
      </c>
      <c r="AG494" s="168" t="str" cm="1">
        <f t="array" ref="AG494">IF(AF494="","",_xlfn.TEXTSPLIT(AF494,"-"))</f>
        <v>0</v>
      </c>
      <c r="AH494" s="168"/>
    </row>
    <row r="495" spans="26:34" ht="24" customHeight="1">
      <c r="Z495"/>
      <c r="AA495"/>
      <c r="AB495"/>
      <c r="AC495"/>
      <c r="AD495"/>
      <c r="AE495" s="168" t="str">
        <f t="shared" si="7"/>
        <v/>
      </c>
      <c r="AF495" s="168">
        <v>0</v>
      </c>
      <c r="AG495" s="168" t="str" cm="1">
        <f t="array" ref="AG495">IF(AF495="","",_xlfn.TEXTSPLIT(AF495,"-"))</f>
        <v>0</v>
      </c>
      <c r="AH495" s="168"/>
    </row>
    <row r="496" spans="26:34" ht="24" customHeight="1">
      <c r="Z496"/>
      <c r="AA496"/>
      <c r="AB496"/>
      <c r="AC496"/>
      <c r="AD496"/>
      <c r="AE496" s="168" t="str">
        <f t="shared" si="7"/>
        <v/>
      </c>
      <c r="AF496" s="168">
        <v>0</v>
      </c>
      <c r="AG496" s="168" t="str" cm="1">
        <f t="array" ref="AG496">IF(AF496="","",_xlfn.TEXTSPLIT(AF496,"-"))</f>
        <v>0</v>
      </c>
      <c r="AH496" s="168"/>
    </row>
    <row r="497" spans="26:34" ht="24" customHeight="1">
      <c r="Z497"/>
      <c r="AA497"/>
      <c r="AB497"/>
      <c r="AC497"/>
      <c r="AD497"/>
      <c r="AE497" s="168" t="str">
        <f t="shared" si="7"/>
        <v/>
      </c>
      <c r="AF497" s="168">
        <v>0</v>
      </c>
      <c r="AG497" s="168" t="str" cm="1">
        <f t="array" ref="AG497">IF(AF497="","",_xlfn.TEXTSPLIT(AF497,"-"))</f>
        <v>0</v>
      </c>
      <c r="AH497" s="168"/>
    </row>
    <row r="498" spans="26:34" ht="24" customHeight="1">
      <c r="Z498"/>
      <c r="AA498"/>
      <c r="AB498"/>
      <c r="AC498"/>
      <c r="AD498"/>
      <c r="AE498" s="168" t="str">
        <f t="shared" si="7"/>
        <v/>
      </c>
      <c r="AF498" s="168">
        <v>0</v>
      </c>
      <c r="AG498" s="168" t="str" cm="1">
        <f t="array" ref="AG498">IF(AF498="","",_xlfn.TEXTSPLIT(AF498,"-"))</f>
        <v>0</v>
      </c>
      <c r="AH498" s="168"/>
    </row>
    <row r="499" spans="26:34" ht="24" customHeight="1">
      <c r="Z499"/>
      <c r="AA499"/>
      <c r="AB499"/>
      <c r="AC499"/>
      <c r="AD499"/>
      <c r="AE499" s="168" t="str">
        <f t="shared" si="7"/>
        <v/>
      </c>
      <c r="AF499" s="168">
        <v>0</v>
      </c>
      <c r="AG499" s="168" t="str" cm="1">
        <f t="array" ref="AG499">IF(AF499="","",_xlfn.TEXTSPLIT(AF499,"-"))</f>
        <v>0</v>
      </c>
      <c r="AH499" s="168"/>
    </row>
    <row r="500" spans="26:34" ht="24" customHeight="1">
      <c r="Z500"/>
      <c r="AA500"/>
      <c r="AB500"/>
      <c r="AC500"/>
      <c r="AD500"/>
      <c r="AE500" s="168" t="str">
        <f t="shared" si="7"/>
        <v/>
      </c>
      <c r="AF500" s="168">
        <v>0</v>
      </c>
      <c r="AG500" s="168" t="str" cm="1">
        <f t="array" ref="AG500">IF(AF500="","",_xlfn.TEXTSPLIT(AF500,"-"))</f>
        <v>0</v>
      </c>
      <c r="AH500" s="168"/>
    </row>
    <row r="501" spans="26:34" ht="24" customHeight="1">
      <c r="Z501"/>
      <c r="AA501"/>
      <c r="AB501"/>
      <c r="AC501"/>
      <c r="AD501"/>
      <c r="AE501" s="168" t="str">
        <f t="shared" si="7"/>
        <v/>
      </c>
      <c r="AF501" s="168">
        <v>0</v>
      </c>
      <c r="AG501" s="168" t="str" cm="1">
        <f t="array" ref="AG501">IF(AF501="","",_xlfn.TEXTSPLIT(AF501,"-"))</f>
        <v>0</v>
      </c>
      <c r="AH501" s="168"/>
    </row>
    <row r="502" spans="26:34" ht="24" customHeight="1">
      <c r="Z502"/>
      <c r="AA502"/>
      <c r="AB502"/>
      <c r="AC502"/>
      <c r="AD502"/>
      <c r="AE502" s="168" t="str">
        <f t="shared" si="7"/>
        <v/>
      </c>
      <c r="AF502" s="168">
        <v>0</v>
      </c>
      <c r="AG502" s="168" t="str" cm="1">
        <f t="array" ref="AG502">IF(AF502="","",_xlfn.TEXTSPLIT(AF502,"-"))</f>
        <v>0</v>
      </c>
      <c r="AH502" s="168"/>
    </row>
    <row r="503" spans="26:34" ht="24" customHeight="1">
      <c r="Z503"/>
      <c r="AA503"/>
      <c r="AB503"/>
      <c r="AC503"/>
      <c r="AD503"/>
      <c r="AE503" s="168" t="str">
        <f t="shared" si="7"/>
        <v/>
      </c>
      <c r="AF503" s="168">
        <v>0</v>
      </c>
      <c r="AG503" s="168" t="str" cm="1">
        <f t="array" ref="AG503">IF(AF503="","",_xlfn.TEXTSPLIT(AF503,"-"))</f>
        <v>0</v>
      </c>
      <c r="AH503" s="168"/>
    </row>
    <row r="504" spans="26:34" ht="24" customHeight="1">
      <c r="Z504"/>
      <c r="AA504"/>
      <c r="AB504"/>
      <c r="AC504"/>
      <c r="AD504"/>
      <c r="AE504" s="168" t="str">
        <f t="shared" si="7"/>
        <v/>
      </c>
      <c r="AF504" s="168">
        <v>0</v>
      </c>
      <c r="AG504" s="168" t="str" cm="1">
        <f t="array" ref="AG504">IF(AF504="","",_xlfn.TEXTSPLIT(AF504,"-"))</f>
        <v>0</v>
      </c>
      <c r="AH504" s="168"/>
    </row>
    <row r="505" spans="26:34" ht="24" customHeight="1">
      <c r="Z505"/>
      <c r="AA505"/>
      <c r="AB505"/>
      <c r="AC505"/>
      <c r="AD505"/>
      <c r="AE505" s="168" t="str">
        <f t="shared" si="7"/>
        <v/>
      </c>
      <c r="AF505" s="168">
        <v>0</v>
      </c>
      <c r="AG505" s="168" t="str" cm="1">
        <f t="array" ref="AG505">IF(AF505="","",_xlfn.TEXTSPLIT(AF505,"-"))</f>
        <v>0</v>
      </c>
      <c r="AH505" s="168"/>
    </row>
    <row r="506" spans="26:34" ht="24" customHeight="1">
      <c r="Z506"/>
      <c r="AA506"/>
      <c r="AB506"/>
      <c r="AC506"/>
      <c r="AD506"/>
      <c r="AE506" s="168" t="str">
        <f t="shared" si="7"/>
        <v/>
      </c>
      <c r="AF506" s="168">
        <v>0</v>
      </c>
      <c r="AG506" s="168" t="str" cm="1">
        <f t="array" ref="AG506">IF(AF506="","",_xlfn.TEXTSPLIT(AF506,"-"))</f>
        <v>0</v>
      </c>
      <c r="AH506" s="168"/>
    </row>
    <row r="507" spans="26:34" ht="24" customHeight="1">
      <c r="Z507"/>
      <c r="AA507"/>
      <c r="AB507"/>
      <c r="AC507"/>
      <c r="AD507"/>
      <c r="AE507" s="168" t="str">
        <f t="shared" si="7"/>
        <v/>
      </c>
      <c r="AF507" s="168">
        <v>0</v>
      </c>
      <c r="AG507" s="168" t="str" cm="1">
        <f t="array" ref="AG507">IF(AF507="","",_xlfn.TEXTSPLIT(AF507,"-"))</f>
        <v>0</v>
      </c>
      <c r="AH507" s="168"/>
    </row>
    <row r="508" spans="26:34" ht="24" customHeight="1">
      <c r="Z508"/>
      <c r="AA508"/>
      <c r="AB508"/>
      <c r="AC508"/>
      <c r="AD508"/>
      <c r="AE508" s="168" t="str">
        <f t="shared" si="7"/>
        <v/>
      </c>
      <c r="AF508" s="168">
        <v>0</v>
      </c>
      <c r="AG508" s="168" t="str" cm="1">
        <f t="array" ref="AG508">IF(AF508="","",_xlfn.TEXTSPLIT(AF508,"-"))</f>
        <v>0</v>
      </c>
      <c r="AH508" s="168"/>
    </row>
    <row r="509" spans="26:34" ht="24" customHeight="1">
      <c r="Z509"/>
      <c r="AA509"/>
      <c r="AB509"/>
      <c r="AC509"/>
      <c r="AD509"/>
      <c r="AE509" s="168" t="str">
        <f t="shared" si="7"/>
        <v/>
      </c>
      <c r="AF509" s="168">
        <v>0</v>
      </c>
      <c r="AG509" s="168" t="str" cm="1">
        <f t="array" ref="AG509">IF(AF509="","",_xlfn.TEXTSPLIT(AF509,"-"))</f>
        <v>0</v>
      </c>
      <c r="AH509" s="168"/>
    </row>
    <row r="510" spans="26:34" ht="24" customHeight="1">
      <c r="Z510"/>
      <c r="AA510"/>
      <c r="AB510"/>
      <c r="AC510"/>
      <c r="AD510"/>
      <c r="AE510" s="168" t="str">
        <f t="shared" si="7"/>
        <v/>
      </c>
      <c r="AF510" s="168">
        <v>0</v>
      </c>
      <c r="AG510" s="168" t="str" cm="1">
        <f t="array" ref="AG510">IF(AF510="","",_xlfn.TEXTSPLIT(AF510,"-"))</f>
        <v>0</v>
      </c>
      <c r="AH510" s="168"/>
    </row>
    <row r="511" spans="26:34" ht="24" customHeight="1">
      <c r="Z511"/>
      <c r="AA511"/>
      <c r="AB511"/>
      <c r="AC511"/>
      <c r="AD511"/>
      <c r="AE511" s="168" t="str">
        <f t="shared" si="7"/>
        <v/>
      </c>
      <c r="AF511" s="168">
        <v>0</v>
      </c>
      <c r="AG511" s="168" t="str" cm="1">
        <f t="array" ref="AG511">IF(AF511="","",_xlfn.TEXTSPLIT(AF511,"-"))</f>
        <v>0</v>
      </c>
      <c r="AH511" s="168"/>
    </row>
    <row r="512" spans="26:34" ht="24" customHeight="1">
      <c r="Z512"/>
      <c r="AA512"/>
      <c r="AB512"/>
      <c r="AC512"/>
      <c r="AD512"/>
      <c r="AE512" s="168" t="str">
        <f t="shared" si="7"/>
        <v/>
      </c>
      <c r="AF512" s="168">
        <v>0</v>
      </c>
      <c r="AG512" s="168" t="str" cm="1">
        <f t="array" ref="AG512">IF(AF512="","",_xlfn.TEXTSPLIT(AF512,"-"))</f>
        <v>0</v>
      </c>
      <c r="AH512" s="168"/>
    </row>
    <row r="513" spans="26:34" ht="24" customHeight="1">
      <c r="Z513"/>
      <c r="AA513"/>
      <c r="AB513"/>
      <c r="AC513"/>
      <c r="AD513"/>
      <c r="AE513" s="168" t="str">
        <f t="shared" si="7"/>
        <v/>
      </c>
      <c r="AF513" s="168">
        <v>0</v>
      </c>
      <c r="AG513" s="168" t="str" cm="1">
        <f t="array" ref="AG513">IF(AF513="","",_xlfn.TEXTSPLIT(AF513,"-"))</f>
        <v>0</v>
      </c>
      <c r="AH513" s="168"/>
    </row>
    <row r="514" spans="26:34" ht="24" customHeight="1">
      <c r="Z514"/>
      <c r="AA514"/>
      <c r="AB514"/>
      <c r="AC514"/>
      <c r="AD514"/>
      <c r="AE514" s="168" t="str">
        <f t="shared" si="7"/>
        <v/>
      </c>
      <c r="AF514" s="168">
        <v>0</v>
      </c>
      <c r="AG514" s="168" t="str" cm="1">
        <f t="array" ref="AG514">IF(AF514="","",_xlfn.TEXTSPLIT(AF514,"-"))</f>
        <v>0</v>
      </c>
      <c r="AH514" s="168"/>
    </row>
    <row r="515" spans="26:34" ht="24" customHeight="1">
      <c r="Z515"/>
      <c r="AA515"/>
      <c r="AB515"/>
      <c r="AC515"/>
      <c r="AD515"/>
      <c r="AE515" s="168" t="str">
        <f t="shared" si="7"/>
        <v/>
      </c>
      <c r="AF515" s="168">
        <v>0</v>
      </c>
      <c r="AG515" s="168" t="str" cm="1">
        <f t="array" ref="AG515">IF(AF515="","",_xlfn.TEXTSPLIT(AF515,"-"))</f>
        <v>0</v>
      </c>
      <c r="AH515" s="168"/>
    </row>
    <row r="516" spans="26:34" ht="24" customHeight="1">
      <c r="Z516"/>
      <c r="AA516"/>
      <c r="AB516"/>
      <c r="AC516"/>
      <c r="AD516"/>
      <c r="AE516" s="168" t="str">
        <f t="shared" si="7"/>
        <v/>
      </c>
      <c r="AF516" s="168">
        <v>0</v>
      </c>
      <c r="AG516" s="168" t="str" cm="1">
        <f t="array" ref="AG516">IF(AF516="","",_xlfn.TEXTSPLIT(AF516,"-"))</f>
        <v>0</v>
      </c>
      <c r="AH516" s="168"/>
    </row>
    <row r="517" spans="26:34" ht="24" customHeight="1">
      <c r="Z517"/>
      <c r="AA517"/>
      <c r="AB517"/>
      <c r="AC517"/>
      <c r="AD517"/>
      <c r="AE517" s="168" t="str">
        <f t="shared" ref="AE517:AE580" si="8">IF(AH517="","",AH517*1)</f>
        <v/>
      </c>
      <c r="AF517" s="168">
        <v>0</v>
      </c>
      <c r="AG517" s="168" t="str" cm="1">
        <f t="array" ref="AG517">IF(AF517="","",_xlfn.TEXTSPLIT(AF517,"-"))</f>
        <v>0</v>
      </c>
      <c r="AH517" s="168"/>
    </row>
    <row r="518" spans="26:34" ht="24" customHeight="1">
      <c r="Z518"/>
      <c r="AA518"/>
      <c r="AB518"/>
      <c r="AC518"/>
      <c r="AD518"/>
      <c r="AE518" s="168" t="str">
        <f t="shared" si="8"/>
        <v/>
      </c>
      <c r="AF518" s="168">
        <v>0</v>
      </c>
      <c r="AG518" s="168" t="str" cm="1">
        <f t="array" ref="AG518">IF(AF518="","",_xlfn.TEXTSPLIT(AF518,"-"))</f>
        <v>0</v>
      </c>
      <c r="AH518" s="168"/>
    </row>
    <row r="519" spans="26:34" ht="24" customHeight="1">
      <c r="Z519"/>
      <c r="AA519"/>
      <c r="AB519"/>
      <c r="AC519"/>
      <c r="AD519"/>
      <c r="AE519" s="168" t="str">
        <f t="shared" si="8"/>
        <v/>
      </c>
      <c r="AF519" s="168">
        <v>0</v>
      </c>
      <c r="AG519" s="168" t="str" cm="1">
        <f t="array" ref="AG519">IF(AF519="","",_xlfn.TEXTSPLIT(AF519,"-"))</f>
        <v>0</v>
      </c>
      <c r="AH519" s="168"/>
    </row>
    <row r="520" spans="26:34" ht="24" customHeight="1">
      <c r="Z520"/>
      <c r="AA520"/>
      <c r="AB520"/>
      <c r="AC520"/>
      <c r="AD520"/>
      <c r="AE520" s="168" t="str">
        <f t="shared" si="8"/>
        <v/>
      </c>
      <c r="AF520" s="168">
        <v>0</v>
      </c>
      <c r="AG520" s="168" t="str" cm="1">
        <f t="array" ref="AG520">IF(AF520="","",_xlfn.TEXTSPLIT(AF520,"-"))</f>
        <v>0</v>
      </c>
      <c r="AH520" s="168"/>
    </row>
    <row r="521" spans="26:34" ht="24" customHeight="1">
      <c r="Z521"/>
      <c r="AA521"/>
      <c r="AB521"/>
      <c r="AC521"/>
      <c r="AD521"/>
      <c r="AE521" s="168" t="str">
        <f t="shared" si="8"/>
        <v/>
      </c>
      <c r="AF521" s="168">
        <v>0</v>
      </c>
      <c r="AG521" s="168" t="str" cm="1">
        <f t="array" ref="AG521">IF(AF521="","",_xlfn.TEXTSPLIT(AF521,"-"))</f>
        <v>0</v>
      </c>
      <c r="AH521" s="168"/>
    </row>
    <row r="522" spans="26:34" ht="24" customHeight="1">
      <c r="Z522"/>
      <c r="AA522"/>
      <c r="AB522"/>
      <c r="AC522"/>
      <c r="AD522"/>
      <c r="AE522" s="168" t="str">
        <f t="shared" si="8"/>
        <v/>
      </c>
      <c r="AF522" s="168">
        <v>0</v>
      </c>
      <c r="AG522" s="168" t="str" cm="1">
        <f t="array" ref="AG522">IF(AF522="","",_xlfn.TEXTSPLIT(AF522,"-"))</f>
        <v>0</v>
      </c>
      <c r="AH522" s="168"/>
    </row>
    <row r="523" spans="26:34" ht="24" customHeight="1">
      <c r="Z523"/>
      <c r="AA523"/>
      <c r="AB523"/>
      <c r="AC523"/>
      <c r="AD523"/>
      <c r="AE523" s="168" t="str">
        <f t="shared" si="8"/>
        <v/>
      </c>
      <c r="AF523" s="168">
        <v>0</v>
      </c>
      <c r="AG523" s="168" t="str" cm="1">
        <f t="array" ref="AG523">IF(AF523="","",_xlfn.TEXTSPLIT(AF523,"-"))</f>
        <v>0</v>
      </c>
      <c r="AH523" s="168"/>
    </row>
    <row r="524" spans="26:34" ht="24" customHeight="1">
      <c r="Z524"/>
      <c r="AA524"/>
      <c r="AB524"/>
      <c r="AC524"/>
      <c r="AD524"/>
      <c r="AE524" s="168" t="str">
        <f t="shared" si="8"/>
        <v/>
      </c>
      <c r="AF524" s="168">
        <v>0</v>
      </c>
      <c r="AG524" s="168" t="str" cm="1">
        <f t="array" ref="AG524">IF(AF524="","",_xlfn.TEXTSPLIT(AF524,"-"))</f>
        <v>0</v>
      </c>
      <c r="AH524" s="168"/>
    </row>
    <row r="525" spans="26:34" ht="24" customHeight="1">
      <c r="Z525"/>
      <c r="AA525"/>
      <c r="AB525"/>
      <c r="AC525"/>
      <c r="AD525"/>
      <c r="AE525" s="168" t="str">
        <f t="shared" si="8"/>
        <v/>
      </c>
      <c r="AF525" s="168">
        <v>0</v>
      </c>
      <c r="AG525" s="168" t="str" cm="1">
        <f t="array" ref="AG525">IF(AF525="","",_xlfn.TEXTSPLIT(AF525,"-"))</f>
        <v>0</v>
      </c>
      <c r="AH525" s="168"/>
    </row>
    <row r="526" spans="26:34" ht="24" customHeight="1">
      <c r="Z526"/>
      <c r="AA526"/>
      <c r="AB526"/>
      <c r="AC526"/>
      <c r="AD526"/>
      <c r="AE526" s="168" t="str">
        <f t="shared" si="8"/>
        <v/>
      </c>
      <c r="AF526" s="168">
        <v>0</v>
      </c>
      <c r="AG526" s="168" t="str" cm="1">
        <f t="array" ref="AG526">IF(AF526="","",_xlfn.TEXTSPLIT(AF526,"-"))</f>
        <v>0</v>
      </c>
      <c r="AH526" s="168"/>
    </row>
    <row r="527" spans="26:34" ht="24" customHeight="1">
      <c r="Z527"/>
      <c r="AA527"/>
      <c r="AB527"/>
      <c r="AC527"/>
      <c r="AD527"/>
      <c r="AE527" s="168" t="str">
        <f t="shared" si="8"/>
        <v/>
      </c>
      <c r="AF527" s="168">
        <v>0</v>
      </c>
      <c r="AG527" s="168" t="str" cm="1">
        <f t="array" ref="AG527">IF(AF527="","",_xlfn.TEXTSPLIT(AF527,"-"))</f>
        <v>0</v>
      </c>
      <c r="AH527" s="168"/>
    </row>
    <row r="528" spans="26:34" ht="24" customHeight="1">
      <c r="Z528"/>
      <c r="AA528"/>
      <c r="AB528"/>
      <c r="AC528"/>
      <c r="AD528"/>
      <c r="AE528" s="168" t="str">
        <f t="shared" si="8"/>
        <v/>
      </c>
      <c r="AF528" s="168">
        <v>0</v>
      </c>
      <c r="AG528" s="168" t="str" cm="1">
        <f t="array" ref="AG528">IF(AF528="","",_xlfn.TEXTSPLIT(AF528,"-"))</f>
        <v>0</v>
      </c>
      <c r="AH528" s="168"/>
    </row>
    <row r="529" spans="26:34" ht="24" customHeight="1">
      <c r="Z529"/>
      <c r="AA529"/>
      <c r="AB529"/>
      <c r="AC529"/>
      <c r="AD529"/>
      <c r="AE529" s="168" t="str">
        <f t="shared" si="8"/>
        <v/>
      </c>
      <c r="AF529" s="168">
        <v>0</v>
      </c>
      <c r="AG529" s="168" t="str" cm="1">
        <f t="array" ref="AG529">IF(AF529="","",_xlfn.TEXTSPLIT(AF529,"-"))</f>
        <v>0</v>
      </c>
      <c r="AH529" s="168"/>
    </row>
    <row r="530" spans="26:34" ht="24" customHeight="1">
      <c r="Z530"/>
      <c r="AA530"/>
      <c r="AB530"/>
      <c r="AC530"/>
      <c r="AD530"/>
      <c r="AE530" s="168" t="str">
        <f t="shared" si="8"/>
        <v/>
      </c>
      <c r="AF530" s="168">
        <v>0</v>
      </c>
      <c r="AG530" s="168" t="str" cm="1">
        <f t="array" ref="AG530">IF(AF530="","",_xlfn.TEXTSPLIT(AF530,"-"))</f>
        <v>0</v>
      </c>
      <c r="AH530" s="168"/>
    </row>
    <row r="531" spans="26:34" ht="24" customHeight="1">
      <c r="Z531"/>
      <c r="AA531"/>
      <c r="AB531"/>
      <c r="AC531"/>
      <c r="AD531"/>
      <c r="AE531" s="168" t="str">
        <f t="shared" si="8"/>
        <v/>
      </c>
      <c r="AF531" s="168">
        <v>0</v>
      </c>
      <c r="AG531" s="168" t="str" cm="1">
        <f t="array" ref="AG531">IF(AF531="","",_xlfn.TEXTSPLIT(AF531,"-"))</f>
        <v>0</v>
      </c>
      <c r="AH531" s="168"/>
    </row>
    <row r="532" spans="26:34" ht="24" customHeight="1">
      <c r="Z532"/>
      <c r="AA532"/>
      <c r="AB532"/>
      <c r="AC532"/>
      <c r="AD532"/>
      <c r="AE532" s="168" t="str">
        <f t="shared" si="8"/>
        <v/>
      </c>
      <c r="AF532" s="168">
        <v>0</v>
      </c>
      <c r="AG532" s="168" t="str" cm="1">
        <f t="array" ref="AG532">IF(AF532="","",_xlfn.TEXTSPLIT(AF532,"-"))</f>
        <v>0</v>
      </c>
      <c r="AH532" s="168"/>
    </row>
    <row r="533" spans="26:34" ht="24" customHeight="1">
      <c r="Z533"/>
      <c r="AA533"/>
      <c r="AB533"/>
      <c r="AC533"/>
      <c r="AD533"/>
      <c r="AE533" s="168" t="str">
        <f t="shared" si="8"/>
        <v/>
      </c>
      <c r="AF533" s="168">
        <v>0</v>
      </c>
      <c r="AG533" s="168" t="str" cm="1">
        <f t="array" ref="AG533">IF(AF533="","",_xlfn.TEXTSPLIT(AF533,"-"))</f>
        <v>0</v>
      </c>
      <c r="AH533" s="168"/>
    </row>
    <row r="534" spans="26:34" ht="24" customHeight="1">
      <c r="Z534"/>
      <c r="AA534"/>
      <c r="AB534"/>
      <c r="AC534"/>
      <c r="AD534"/>
      <c r="AE534" s="168" t="str">
        <f t="shared" si="8"/>
        <v/>
      </c>
      <c r="AF534" s="168">
        <v>0</v>
      </c>
      <c r="AG534" s="168" t="str" cm="1">
        <f t="array" ref="AG534">IF(AF534="","",_xlfn.TEXTSPLIT(AF534,"-"))</f>
        <v>0</v>
      </c>
      <c r="AH534" s="168"/>
    </row>
    <row r="535" spans="26:34" ht="24" customHeight="1">
      <c r="Z535"/>
      <c r="AA535"/>
      <c r="AB535"/>
      <c r="AC535"/>
      <c r="AD535"/>
      <c r="AE535" s="168" t="str">
        <f t="shared" si="8"/>
        <v/>
      </c>
      <c r="AF535" s="168">
        <v>0</v>
      </c>
      <c r="AG535" s="168" t="str" cm="1">
        <f t="array" ref="AG535">IF(AF535="","",_xlfn.TEXTSPLIT(AF535,"-"))</f>
        <v>0</v>
      </c>
      <c r="AH535" s="168"/>
    </row>
    <row r="536" spans="26:34" ht="24" customHeight="1">
      <c r="Z536"/>
      <c r="AA536"/>
      <c r="AB536"/>
      <c r="AC536"/>
      <c r="AD536"/>
      <c r="AE536" s="168" t="str">
        <f t="shared" si="8"/>
        <v/>
      </c>
      <c r="AF536" s="168">
        <v>0</v>
      </c>
      <c r="AG536" s="168" t="str" cm="1">
        <f t="array" ref="AG536">IF(AF536="","",_xlfn.TEXTSPLIT(AF536,"-"))</f>
        <v>0</v>
      </c>
      <c r="AH536" s="168"/>
    </row>
    <row r="537" spans="26:34" ht="24" customHeight="1">
      <c r="Z537"/>
      <c r="AA537"/>
      <c r="AB537"/>
      <c r="AC537"/>
      <c r="AD537"/>
      <c r="AE537" s="168" t="str">
        <f t="shared" si="8"/>
        <v/>
      </c>
      <c r="AF537" s="168">
        <v>0</v>
      </c>
      <c r="AG537" s="168" t="str" cm="1">
        <f t="array" ref="AG537">IF(AF537="","",_xlfn.TEXTSPLIT(AF537,"-"))</f>
        <v>0</v>
      </c>
      <c r="AH537" s="168"/>
    </row>
    <row r="538" spans="26:34" ht="24" customHeight="1">
      <c r="Z538"/>
      <c r="AA538"/>
      <c r="AB538"/>
      <c r="AC538"/>
      <c r="AD538"/>
      <c r="AE538" s="168" t="str">
        <f t="shared" si="8"/>
        <v/>
      </c>
      <c r="AF538" s="168">
        <v>0</v>
      </c>
      <c r="AG538" s="168" t="str" cm="1">
        <f t="array" ref="AG538">IF(AF538="","",_xlfn.TEXTSPLIT(AF538,"-"))</f>
        <v>0</v>
      </c>
      <c r="AH538" s="168"/>
    </row>
    <row r="539" spans="26:34" ht="24" customHeight="1">
      <c r="Z539"/>
      <c r="AA539"/>
      <c r="AB539"/>
      <c r="AC539"/>
      <c r="AD539"/>
      <c r="AE539" s="168" t="str">
        <f t="shared" si="8"/>
        <v/>
      </c>
      <c r="AF539" s="168">
        <v>0</v>
      </c>
      <c r="AG539" s="168" t="str" cm="1">
        <f t="array" ref="AG539">IF(AF539="","",_xlfn.TEXTSPLIT(AF539,"-"))</f>
        <v>0</v>
      </c>
      <c r="AH539" s="168"/>
    </row>
    <row r="540" spans="26:34" ht="24" customHeight="1">
      <c r="Z540"/>
      <c r="AA540"/>
      <c r="AB540"/>
      <c r="AC540"/>
      <c r="AD540"/>
      <c r="AE540" s="168" t="str">
        <f t="shared" si="8"/>
        <v/>
      </c>
      <c r="AF540" s="168">
        <v>0</v>
      </c>
      <c r="AG540" s="168" t="str" cm="1">
        <f t="array" ref="AG540">IF(AF540="","",_xlfn.TEXTSPLIT(AF540,"-"))</f>
        <v>0</v>
      </c>
      <c r="AH540" s="168"/>
    </row>
    <row r="541" spans="26:34" ht="24" customHeight="1">
      <c r="Z541"/>
      <c r="AA541"/>
      <c r="AB541"/>
      <c r="AC541"/>
      <c r="AD541"/>
      <c r="AE541" s="168" t="str">
        <f t="shared" si="8"/>
        <v/>
      </c>
      <c r="AF541" s="168">
        <v>0</v>
      </c>
      <c r="AG541" s="168" t="str" cm="1">
        <f t="array" ref="AG541">IF(AF541="","",_xlfn.TEXTSPLIT(AF541,"-"))</f>
        <v>0</v>
      </c>
      <c r="AH541" s="168"/>
    </row>
    <row r="542" spans="26:34" ht="24" customHeight="1">
      <c r="Z542"/>
      <c r="AA542"/>
      <c r="AB542"/>
      <c r="AC542"/>
      <c r="AD542"/>
      <c r="AE542" s="168" t="str">
        <f t="shared" si="8"/>
        <v/>
      </c>
      <c r="AF542" s="168">
        <v>0</v>
      </c>
      <c r="AG542" s="168" t="str" cm="1">
        <f t="array" ref="AG542">IF(AF542="","",_xlfn.TEXTSPLIT(AF542,"-"))</f>
        <v>0</v>
      </c>
      <c r="AH542" s="168"/>
    </row>
    <row r="543" spans="26:34" ht="24" customHeight="1">
      <c r="Z543"/>
      <c r="AA543"/>
      <c r="AB543"/>
      <c r="AC543"/>
      <c r="AD543"/>
      <c r="AE543" s="168" t="str">
        <f t="shared" si="8"/>
        <v/>
      </c>
      <c r="AF543" s="168">
        <v>0</v>
      </c>
      <c r="AG543" s="168" t="str" cm="1">
        <f t="array" ref="AG543">IF(AF543="","",_xlfn.TEXTSPLIT(AF543,"-"))</f>
        <v>0</v>
      </c>
      <c r="AH543" s="168"/>
    </row>
    <row r="544" spans="26:34" ht="24" customHeight="1">
      <c r="Z544"/>
      <c r="AA544"/>
      <c r="AB544"/>
      <c r="AC544"/>
      <c r="AD544"/>
      <c r="AE544" s="168" t="str">
        <f t="shared" si="8"/>
        <v/>
      </c>
      <c r="AF544" s="168">
        <v>0</v>
      </c>
      <c r="AG544" s="168" t="str" cm="1">
        <f t="array" ref="AG544">IF(AF544="","",_xlfn.TEXTSPLIT(AF544,"-"))</f>
        <v>0</v>
      </c>
      <c r="AH544" s="168"/>
    </row>
    <row r="545" spans="26:34" ht="24" customHeight="1">
      <c r="Z545"/>
      <c r="AA545"/>
      <c r="AB545"/>
      <c r="AC545"/>
      <c r="AD545"/>
      <c r="AE545" s="168" t="str">
        <f t="shared" si="8"/>
        <v/>
      </c>
      <c r="AF545" s="168">
        <v>0</v>
      </c>
      <c r="AG545" s="168" t="str" cm="1">
        <f t="array" ref="AG545">IF(AF545="","",_xlfn.TEXTSPLIT(AF545,"-"))</f>
        <v>0</v>
      </c>
      <c r="AH545" s="168"/>
    </row>
    <row r="546" spans="26:34" ht="24" customHeight="1">
      <c r="Z546"/>
      <c r="AA546"/>
      <c r="AB546"/>
      <c r="AC546"/>
      <c r="AD546"/>
      <c r="AE546" s="168" t="str">
        <f t="shared" si="8"/>
        <v/>
      </c>
      <c r="AF546" s="168">
        <v>0</v>
      </c>
      <c r="AG546" s="168" t="str" cm="1">
        <f t="array" ref="AG546">IF(AF546="","",_xlfn.TEXTSPLIT(AF546,"-"))</f>
        <v>0</v>
      </c>
      <c r="AH546" s="168"/>
    </row>
    <row r="547" spans="26:34" ht="24" customHeight="1">
      <c r="Z547"/>
      <c r="AA547"/>
      <c r="AB547"/>
      <c r="AC547"/>
      <c r="AD547"/>
      <c r="AE547" s="168" t="str">
        <f t="shared" si="8"/>
        <v/>
      </c>
      <c r="AF547" s="168">
        <v>0</v>
      </c>
      <c r="AG547" s="168" t="str" cm="1">
        <f t="array" ref="AG547">IF(AF547="","",_xlfn.TEXTSPLIT(AF547,"-"))</f>
        <v>0</v>
      </c>
      <c r="AH547" s="168"/>
    </row>
    <row r="548" spans="26:34" ht="24" customHeight="1">
      <c r="Z548"/>
      <c r="AA548"/>
      <c r="AB548"/>
      <c r="AC548"/>
      <c r="AD548"/>
      <c r="AE548" s="168" t="str">
        <f t="shared" si="8"/>
        <v/>
      </c>
      <c r="AF548" s="168">
        <v>0</v>
      </c>
      <c r="AG548" s="168" t="str" cm="1">
        <f t="array" ref="AG548">IF(AF548="","",_xlfn.TEXTSPLIT(AF548,"-"))</f>
        <v>0</v>
      </c>
      <c r="AH548" s="168"/>
    </row>
    <row r="549" spans="26:34" ht="24" customHeight="1">
      <c r="Z549"/>
      <c r="AA549"/>
      <c r="AB549"/>
      <c r="AC549"/>
      <c r="AD549"/>
      <c r="AE549" s="168" t="str">
        <f t="shared" si="8"/>
        <v/>
      </c>
      <c r="AF549" s="168">
        <v>0</v>
      </c>
      <c r="AG549" s="168" t="str" cm="1">
        <f t="array" ref="AG549">IF(AF549="","",_xlfn.TEXTSPLIT(AF549,"-"))</f>
        <v>0</v>
      </c>
      <c r="AH549" s="168"/>
    </row>
    <row r="550" spans="26:34" ht="24" customHeight="1">
      <c r="Z550"/>
      <c r="AA550"/>
      <c r="AB550"/>
      <c r="AC550"/>
      <c r="AD550"/>
      <c r="AE550" s="168" t="str">
        <f t="shared" si="8"/>
        <v/>
      </c>
      <c r="AF550" s="168">
        <v>0</v>
      </c>
      <c r="AG550" s="168" t="str" cm="1">
        <f t="array" ref="AG550">IF(AF550="","",_xlfn.TEXTSPLIT(AF550,"-"))</f>
        <v>0</v>
      </c>
      <c r="AH550" s="168"/>
    </row>
    <row r="551" spans="26:34" ht="24" customHeight="1">
      <c r="Z551"/>
      <c r="AA551"/>
      <c r="AB551"/>
      <c r="AC551"/>
      <c r="AD551"/>
      <c r="AE551" s="168" t="str">
        <f t="shared" si="8"/>
        <v/>
      </c>
      <c r="AF551" s="168">
        <v>0</v>
      </c>
      <c r="AG551" s="168" t="str" cm="1">
        <f t="array" ref="AG551">IF(AF551="","",_xlfn.TEXTSPLIT(AF551,"-"))</f>
        <v>0</v>
      </c>
      <c r="AH551" s="168"/>
    </row>
    <row r="552" spans="26:34" ht="24" customHeight="1">
      <c r="Z552"/>
      <c r="AA552"/>
      <c r="AB552"/>
      <c r="AC552"/>
      <c r="AD552"/>
      <c r="AE552" s="168" t="str">
        <f t="shared" si="8"/>
        <v/>
      </c>
      <c r="AF552" s="168">
        <v>0</v>
      </c>
      <c r="AG552" s="168" t="str" cm="1">
        <f t="array" ref="AG552">IF(AF552="","",_xlfn.TEXTSPLIT(AF552,"-"))</f>
        <v>0</v>
      </c>
      <c r="AH552" s="168"/>
    </row>
    <row r="553" spans="26:34" ht="24" customHeight="1">
      <c r="Z553"/>
      <c r="AA553"/>
      <c r="AB553"/>
      <c r="AC553"/>
      <c r="AD553"/>
      <c r="AE553" s="168" t="str">
        <f t="shared" si="8"/>
        <v/>
      </c>
      <c r="AF553" s="168">
        <v>0</v>
      </c>
      <c r="AG553" s="168" t="str" cm="1">
        <f t="array" ref="AG553">IF(AF553="","",_xlfn.TEXTSPLIT(AF553,"-"))</f>
        <v>0</v>
      </c>
      <c r="AH553" s="168"/>
    </row>
    <row r="554" spans="26:34" ht="24" customHeight="1">
      <c r="Z554"/>
      <c r="AA554"/>
      <c r="AB554"/>
      <c r="AC554"/>
      <c r="AD554"/>
      <c r="AE554" s="168" t="str">
        <f t="shared" si="8"/>
        <v/>
      </c>
      <c r="AF554" s="168">
        <v>0</v>
      </c>
      <c r="AG554" s="168" t="str" cm="1">
        <f t="array" ref="AG554">IF(AF554="","",_xlfn.TEXTSPLIT(AF554,"-"))</f>
        <v>0</v>
      </c>
      <c r="AH554" s="168"/>
    </row>
    <row r="555" spans="26:34" ht="24" customHeight="1">
      <c r="Z555"/>
      <c r="AA555"/>
      <c r="AB555"/>
      <c r="AC555"/>
      <c r="AD555"/>
      <c r="AE555" s="168" t="str">
        <f t="shared" si="8"/>
        <v/>
      </c>
      <c r="AF555" s="168">
        <v>0</v>
      </c>
      <c r="AG555" s="168" t="str" cm="1">
        <f t="array" ref="AG555">IF(AF555="","",_xlfn.TEXTSPLIT(AF555,"-"))</f>
        <v>0</v>
      </c>
      <c r="AH555" s="168"/>
    </row>
    <row r="556" spans="26:34" ht="24" customHeight="1">
      <c r="Z556"/>
      <c r="AA556"/>
      <c r="AB556"/>
      <c r="AC556"/>
      <c r="AD556"/>
      <c r="AE556" s="168" t="str">
        <f t="shared" si="8"/>
        <v/>
      </c>
      <c r="AF556" s="168">
        <v>0</v>
      </c>
      <c r="AG556" s="168" t="str" cm="1">
        <f t="array" ref="AG556">IF(AF556="","",_xlfn.TEXTSPLIT(AF556,"-"))</f>
        <v>0</v>
      </c>
      <c r="AH556" s="168"/>
    </row>
    <row r="557" spans="26:34" ht="24" customHeight="1">
      <c r="Z557"/>
      <c r="AA557"/>
      <c r="AB557"/>
      <c r="AC557"/>
      <c r="AD557"/>
      <c r="AE557" s="168" t="str">
        <f t="shared" si="8"/>
        <v/>
      </c>
      <c r="AF557" s="168">
        <v>0</v>
      </c>
      <c r="AG557" s="168" t="str" cm="1">
        <f t="array" ref="AG557">IF(AF557="","",_xlfn.TEXTSPLIT(AF557,"-"))</f>
        <v>0</v>
      </c>
      <c r="AH557" s="168"/>
    </row>
    <row r="558" spans="26:34" ht="24" customHeight="1">
      <c r="Z558"/>
      <c r="AA558"/>
      <c r="AB558"/>
      <c r="AC558"/>
      <c r="AD558"/>
      <c r="AE558" s="168" t="str">
        <f t="shared" si="8"/>
        <v/>
      </c>
      <c r="AF558" s="168">
        <v>0</v>
      </c>
      <c r="AG558" s="168" t="str" cm="1">
        <f t="array" ref="AG558">IF(AF558="","",_xlfn.TEXTSPLIT(AF558,"-"))</f>
        <v>0</v>
      </c>
      <c r="AH558" s="168"/>
    </row>
    <row r="559" spans="26:34" ht="24" customHeight="1">
      <c r="Z559"/>
      <c r="AA559"/>
      <c r="AB559"/>
      <c r="AC559"/>
      <c r="AD559"/>
      <c r="AE559" s="168" t="str">
        <f t="shared" si="8"/>
        <v/>
      </c>
      <c r="AF559" s="168">
        <v>0</v>
      </c>
      <c r="AG559" s="168" t="str" cm="1">
        <f t="array" ref="AG559">IF(AF559="","",_xlfn.TEXTSPLIT(AF559,"-"))</f>
        <v>0</v>
      </c>
      <c r="AH559" s="168"/>
    </row>
    <row r="560" spans="26:34" ht="24" customHeight="1">
      <c r="Z560"/>
      <c r="AA560"/>
      <c r="AB560"/>
      <c r="AC560"/>
      <c r="AD560"/>
      <c r="AE560" s="168" t="str">
        <f t="shared" si="8"/>
        <v/>
      </c>
      <c r="AF560" s="168">
        <v>0</v>
      </c>
      <c r="AG560" s="168" t="str" cm="1">
        <f t="array" ref="AG560">IF(AF560="","",_xlfn.TEXTSPLIT(AF560,"-"))</f>
        <v>0</v>
      </c>
      <c r="AH560" s="168"/>
    </row>
    <row r="561" spans="26:34" ht="24" customHeight="1">
      <c r="Z561"/>
      <c r="AA561"/>
      <c r="AB561"/>
      <c r="AC561"/>
      <c r="AD561"/>
      <c r="AE561" s="168" t="str">
        <f t="shared" si="8"/>
        <v/>
      </c>
      <c r="AF561" s="168">
        <v>0</v>
      </c>
      <c r="AG561" s="168" t="str" cm="1">
        <f t="array" ref="AG561">IF(AF561="","",_xlfn.TEXTSPLIT(AF561,"-"))</f>
        <v>0</v>
      </c>
      <c r="AH561" s="168"/>
    </row>
    <row r="562" spans="26:34" ht="24" customHeight="1">
      <c r="Z562"/>
      <c r="AA562"/>
      <c r="AB562"/>
      <c r="AC562"/>
      <c r="AD562"/>
      <c r="AE562" s="168" t="str">
        <f t="shared" si="8"/>
        <v/>
      </c>
      <c r="AF562" s="168">
        <v>0</v>
      </c>
      <c r="AG562" s="168" t="str" cm="1">
        <f t="array" ref="AG562">IF(AF562="","",_xlfn.TEXTSPLIT(AF562,"-"))</f>
        <v>0</v>
      </c>
      <c r="AH562" s="168"/>
    </row>
    <row r="563" spans="26:34" ht="24" customHeight="1">
      <c r="Z563"/>
      <c r="AA563"/>
      <c r="AB563"/>
      <c r="AC563"/>
      <c r="AD563"/>
      <c r="AE563" s="168" t="str">
        <f t="shared" si="8"/>
        <v/>
      </c>
      <c r="AF563" s="168">
        <v>0</v>
      </c>
      <c r="AG563" s="168" t="str" cm="1">
        <f t="array" ref="AG563">IF(AF563="","",_xlfn.TEXTSPLIT(AF563,"-"))</f>
        <v>0</v>
      </c>
      <c r="AH563" s="168"/>
    </row>
    <row r="564" spans="26:34" ht="24" customHeight="1">
      <c r="Z564"/>
      <c r="AA564"/>
      <c r="AB564"/>
      <c r="AC564"/>
      <c r="AD564"/>
      <c r="AE564" s="168" t="str">
        <f t="shared" si="8"/>
        <v/>
      </c>
      <c r="AF564" s="168">
        <v>0</v>
      </c>
      <c r="AG564" s="168" t="str" cm="1">
        <f t="array" ref="AG564">IF(AF564="","",_xlfn.TEXTSPLIT(AF564,"-"))</f>
        <v>0</v>
      </c>
      <c r="AH564" s="168"/>
    </row>
    <row r="565" spans="26:34" ht="24" customHeight="1">
      <c r="Z565"/>
      <c r="AA565"/>
      <c r="AB565"/>
      <c r="AC565"/>
      <c r="AD565"/>
      <c r="AE565" s="168" t="str">
        <f t="shared" si="8"/>
        <v/>
      </c>
      <c r="AF565" s="168">
        <v>0</v>
      </c>
      <c r="AG565" s="168" t="str" cm="1">
        <f t="array" ref="AG565">IF(AF565="","",_xlfn.TEXTSPLIT(AF565,"-"))</f>
        <v>0</v>
      </c>
      <c r="AH565" s="168"/>
    </row>
    <row r="566" spans="26:34" ht="24" customHeight="1">
      <c r="Z566"/>
      <c r="AA566"/>
      <c r="AB566"/>
      <c r="AC566"/>
      <c r="AD566"/>
      <c r="AE566" s="168" t="str">
        <f t="shared" si="8"/>
        <v/>
      </c>
      <c r="AF566" s="168">
        <v>0</v>
      </c>
      <c r="AG566" s="168" t="str" cm="1">
        <f t="array" ref="AG566">IF(AF566="","",_xlfn.TEXTSPLIT(AF566,"-"))</f>
        <v>0</v>
      </c>
      <c r="AH566" s="168"/>
    </row>
    <row r="567" spans="26:34" ht="24" customHeight="1">
      <c r="Z567"/>
      <c r="AA567"/>
      <c r="AB567"/>
      <c r="AC567"/>
      <c r="AD567"/>
      <c r="AE567" s="168" t="str">
        <f t="shared" si="8"/>
        <v/>
      </c>
      <c r="AF567" s="168">
        <v>0</v>
      </c>
      <c r="AG567" s="168" t="str" cm="1">
        <f t="array" ref="AG567">IF(AF567="","",_xlfn.TEXTSPLIT(AF567,"-"))</f>
        <v>0</v>
      </c>
      <c r="AH567" s="168"/>
    </row>
    <row r="568" spans="26:34" ht="24" customHeight="1">
      <c r="Z568"/>
      <c r="AA568"/>
      <c r="AB568"/>
      <c r="AC568"/>
      <c r="AD568"/>
      <c r="AE568" s="168" t="str">
        <f t="shared" si="8"/>
        <v/>
      </c>
      <c r="AF568" s="168">
        <v>0</v>
      </c>
      <c r="AG568" s="168" t="str" cm="1">
        <f t="array" ref="AG568">IF(AF568="","",_xlfn.TEXTSPLIT(AF568,"-"))</f>
        <v>0</v>
      </c>
      <c r="AH568" s="168"/>
    </row>
    <row r="569" spans="26:34" ht="24" customHeight="1">
      <c r="Z569"/>
      <c r="AA569"/>
      <c r="AB569"/>
      <c r="AC569"/>
      <c r="AD569"/>
      <c r="AE569" s="168" t="str">
        <f t="shared" si="8"/>
        <v/>
      </c>
      <c r="AF569" s="168">
        <v>0</v>
      </c>
      <c r="AG569" s="168" t="str" cm="1">
        <f t="array" ref="AG569">IF(AF569="","",_xlfn.TEXTSPLIT(AF569,"-"))</f>
        <v>0</v>
      </c>
      <c r="AH569" s="168"/>
    </row>
    <row r="570" spans="26:34" ht="24" customHeight="1">
      <c r="Z570"/>
      <c r="AA570"/>
      <c r="AB570"/>
      <c r="AC570"/>
      <c r="AD570"/>
      <c r="AE570" s="168" t="str">
        <f t="shared" si="8"/>
        <v/>
      </c>
      <c r="AF570" s="168">
        <v>0</v>
      </c>
      <c r="AG570" s="168" t="str" cm="1">
        <f t="array" ref="AG570">IF(AF570="","",_xlfn.TEXTSPLIT(AF570,"-"))</f>
        <v>0</v>
      </c>
      <c r="AH570" s="168"/>
    </row>
    <row r="571" spans="26:34" ht="24" customHeight="1">
      <c r="Z571"/>
      <c r="AA571"/>
      <c r="AB571"/>
      <c r="AC571"/>
      <c r="AD571"/>
      <c r="AE571" s="168" t="str">
        <f t="shared" si="8"/>
        <v/>
      </c>
      <c r="AF571" s="168">
        <v>0</v>
      </c>
      <c r="AG571" s="168" t="str" cm="1">
        <f t="array" ref="AG571">IF(AF571="","",_xlfn.TEXTSPLIT(AF571,"-"))</f>
        <v>0</v>
      </c>
      <c r="AH571" s="168"/>
    </row>
    <row r="572" spans="26:34" ht="24" customHeight="1">
      <c r="Z572"/>
      <c r="AA572"/>
      <c r="AB572"/>
      <c r="AC572"/>
      <c r="AD572"/>
      <c r="AE572" s="168" t="str">
        <f t="shared" si="8"/>
        <v/>
      </c>
      <c r="AF572" s="168">
        <v>0</v>
      </c>
      <c r="AG572" s="168" t="str" cm="1">
        <f t="array" ref="AG572">IF(AF572="","",_xlfn.TEXTSPLIT(AF572,"-"))</f>
        <v>0</v>
      </c>
      <c r="AH572" s="168"/>
    </row>
    <row r="573" spans="26:34" ht="24" customHeight="1">
      <c r="Z573"/>
      <c r="AA573"/>
      <c r="AB573"/>
      <c r="AC573"/>
      <c r="AD573"/>
      <c r="AE573" s="168" t="str">
        <f t="shared" si="8"/>
        <v/>
      </c>
      <c r="AF573" s="168">
        <v>0</v>
      </c>
      <c r="AG573" s="168" t="str" cm="1">
        <f t="array" ref="AG573">IF(AF573="","",_xlfn.TEXTSPLIT(AF573,"-"))</f>
        <v>0</v>
      </c>
      <c r="AH573" s="168"/>
    </row>
    <row r="574" spans="26:34" ht="24" customHeight="1">
      <c r="Z574"/>
      <c r="AA574"/>
      <c r="AB574"/>
      <c r="AC574"/>
      <c r="AD574"/>
      <c r="AE574" s="168" t="str">
        <f t="shared" si="8"/>
        <v/>
      </c>
      <c r="AF574" s="168">
        <v>0</v>
      </c>
      <c r="AG574" s="168" t="str" cm="1">
        <f t="array" ref="AG574">IF(AF574="","",_xlfn.TEXTSPLIT(AF574,"-"))</f>
        <v>0</v>
      </c>
      <c r="AH574" s="168"/>
    </row>
    <row r="575" spans="26:34" ht="24" customHeight="1">
      <c r="Z575"/>
      <c r="AA575"/>
      <c r="AB575"/>
      <c r="AC575"/>
      <c r="AD575"/>
      <c r="AE575" s="168" t="str">
        <f t="shared" si="8"/>
        <v/>
      </c>
      <c r="AF575" s="168">
        <v>0</v>
      </c>
      <c r="AG575" s="168" t="str" cm="1">
        <f t="array" ref="AG575">IF(AF575="","",_xlfn.TEXTSPLIT(AF575,"-"))</f>
        <v>0</v>
      </c>
      <c r="AH575" s="168"/>
    </row>
    <row r="576" spans="26:34" ht="24" customHeight="1">
      <c r="Z576"/>
      <c r="AA576"/>
      <c r="AB576"/>
      <c r="AC576"/>
      <c r="AD576"/>
      <c r="AE576" s="168" t="str">
        <f t="shared" si="8"/>
        <v/>
      </c>
      <c r="AF576" s="168">
        <v>0</v>
      </c>
      <c r="AG576" s="168" t="str" cm="1">
        <f t="array" ref="AG576">IF(AF576="","",_xlfn.TEXTSPLIT(AF576,"-"))</f>
        <v>0</v>
      </c>
      <c r="AH576" s="168"/>
    </row>
    <row r="577" spans="26:34" ht="24" customHeight="1">
      <c r="Z577"/>
      <c r="AA577"/>
      <c r="AB577"/>
      <c r="AC577"/>
      <c r="AD577"/>
      <c r="AE577" s="168" t="str">
        <f t="shared" si="8"/>
        <v/>
      </c>
      <c r="AF577" s="168">
        <v>0</v>
      </c>
      <c r="AG577" s="168" t="str" cm="1">
        <f t="array" ref="AG577">IF(AF577="","",_xlfn.TEXTSPLIT(AF577,"-"))</f>
        <v>0</v>
      </c>
      <c r="AH577" s="168"/>
    </row>
    <row r="578" spans="26:34" ht="24" customHeight="1">
      <c r="Z578"/>
      <c r="AA578"/>
      <c r="AB578"/>
      <c r="AC578"/>
      <c r="AD578"/>
      <c r="AE578" s="168" t="str">
        <f t="shared" si="8"/>
        <v/>
      </c>
      <c r="AF578" s="168">
        <v>0</v>
      </c>
      <c r="AG578" s="168" t="str" cm="1">
        <f t="array" ref="AG578">IF(AF578="","",_xlfn.TEXTSPLIT(AF578,"-"))</f>
        <v>0</v>
      </c>
      <c r="AH578" s="168"/>
    </row>
    <row r="579" spans="26:34" ht="24" customHeight="1">
      <c r="Z579"/>
      <c r="AA579"/>
      <c r="AB579"/>
      <c r="AC579"/>
      <c r="AD579"/>
      <c r="AE579" s="168" t="str">
        <f t="shared" si="8"/>
        <v/>
      </c>
      <c r="AF579" s="168">
        <v>0</v>
      </c>
      <c r="AG579" s="168" t="str" cm="1">
        <f t="array" ref="AG579">IF(AF579="","",_xlfn.TEXTSPLIT(AF579,"-"))</f>
        <v>0</v>
      </c>
      <c r="AH579" s="168"/>
    </row>
    <row r="580" spans="26:34" ht="24" customHeight="1">
      <c r="Z580"/>
      <c r="AA580"/>
      <c r="AB580"/>
      <c r="AC580"/>
      <c r="AD580"/>
      <c r="AE580" s="168" t="str">
        <f t="shared" si="8"/>
        <v/>
      </c>
      <c r="AF580" s="168">
        <v>0</v>
      </c>
      <c r="AG580" s="168" t="str" cm="1">
        <f t="array" ref="AG580">IF(AF580="","",_xlfn.TEXTSPLIT(AF580,"-"))</f>
        <v>0</v>
      </c>
      <c r="AH580" s="168"/>
    </row>
    <row r="581" spans="26:34" ht="24" customHeight="1">
      <c r="Z581"/>
      <c r="AA581"/>
      <c r="AB581"/>
      <c r="AC581"/>
      <c r="AD581"/>
      <c r="AE581" s="168" t="str">
        <f t="shared" ref="AE581:AE644" si="9">IF(AH581="","",AH581*1)</f>
        <v/>
      </c>
      <c r="AF581" s="168">
        <v>0</v>
      </c>
      <c r="AG581" s="168" t="str" cm="1">
        <f t="array" ref="AG581">IF(AF581="","",_xlfn.TEXTSPLIT(AF581,"-"))</f>
        <v>0</v>
      </c>
      <c r="AH581" s="168"/>
    </row>
    <row r="582" spans="26:34" ht="24" customHeight="1">
      <c r="Z582"/>
      <c r="AA582"/>
      <c r="AB582"/>
      <c r="AC582"/>
      <c r="AD582"/>
      <c r="AE582" s="168" t="str">
        <f t="shared" si="9"/>
        <v/>
      </c>
      <c r="AF582" s="168">
        <v>0</v>
      </c>
      <c r="AG582" s="168" t="str" cm="1">
        <f t="array" ref="AG582">IF(AF582="","",_xlfn.TEXTSPLIT(AF582,"-"))</f>
        <v>0</v>
      </c>
      <c r="AH582" s="168"/>
    </row>
    <row r="583" spans="26:34" ht="24" customHeight="1">
      <c r="Z583"/>
      <c r="AA583"/>
      <c r="AB583"/>
      <c r="AC583"/>
      <c r="AD583"/>
      <c r="AE583" s="168" t="str">
        <f t="shared" si="9"/>
        <v/>
      </c>
      <c r="AF583" s="168">
        <v>0</v>
      </c>
      <c r="AG583" s="168" t="str" cm="1">
        <f t="array" ref="AG583">IF(AF583="","",_xlfn.TEXTSPLIT(AF583,"-"))</f>
        <v>0</v>
      </c>
      <c r="AH583" s="168"/>
    </row>
    <row r="584" spans="26:34" ht="24" customHeight="1">
      <c r="Z584"/>
      <c r="AA584"/>
      <c r="AB584"/>
      <c r="AC584"/>
      <c r="AD584"/>
      <c r="AE584" s="168" t="str">
        <f t="shared" si="9"/>
        <v/>
      </c>
      <c r="AF584" s="168">
        <v>0</v>
      </c>
      <c r="AG584" s="168" t="str" cm="1">
        <f t="array" ref="AG584">IF(AF584="","",_xlfn.TEXTSPLIT(AF584,"-"))</f>
        <v>0</v>
      </c>
      <c r="AH584" s="168"/>
    </row>
    <row r="585" spans="26:34" ht="24" customHeight="1">
      <c r="Z585"/>
      <c r="AA585"/>
      <c r="AB585"/>
      <c r="AC585"/>
      <c r="AD585"/>
      <c r="AE585" s="168" t="str">
        <f t="shared" si="9"/>
        <v/>
      </c>
      <c r="AF585" s="168">
        <v>0</v>
      </c>
      <c r="AG585" s="168" t="str" cm="1">
        <f t="array" ref="AG585">IF(AF585="","",_xlfn.TEXTSPLIT(AF585,"-"))</f>
        <v>0</v>
      </c>
      <c r="AH585" s="168"/>
    </row>
    <row r="586" spans="26:34" ht="24" customHeight="1">
      <c r="Z586"/>
      <c r="AA586"/>
      <c r="AB586"/>
      <c r="AC586"/>
      <c r="AD586"/>
      <c r="AE586" s="168" t="str">
        <f t="shared" si="9"/>
        <v/>
      </c>
      <c r="AF586" s="168">
        <v>0</v>
      </c>
      <c r="AG586" s="168" t="str" cm="1">
        <f t="array" ref="AG586">IF(AF586="","",_xlfn.TEXTSPLIT(AF586,"-"))</f>
        <v>0</v>
      </c>
      <c r="AH586" s="168"/>
    </row>
    <row r="587" spans="26:34" ht="24" customHeight="1">
      <c r="Z587"/>
      <c r="AA587"/>
      <c r="AB587"/>
      <c r="AC587"/>
      <c r="AD587"/>
      <c r="AE587" s="168" t="str">
        <f t="shared" si="9"/>
        <v/>
      </c>
      <c r="AF587" s="168">
        <v>0</v>
      </c>
      <c r="AG587" s="168" t="str" cm="1">
        <f t="array" ref="AG587">IF(AF587="","",_xlfn.TEXTSPLIT(AF587,"-"))</f>
        <v>0</v>
      </c>
      <c r="AH587" s="168"/>
    </row>
    <row r="588" spans="26:34" ht="24" customHeight="1">
      <c r="Z588"/>
      <c r="AA588"/>
      <c r="AB588"/>
      <c r="AC588"/>
      <c r="AD588"/>
      <c r="AE588" s="168" t="str">
        <f t="shared" si="9"/>
        <v/>
      </c>
      <c r="AF588" s="168">
        <v>0</v>
      </c>
      <c r="AG588" s="168" t="str" cm="1">
        <f t="array" ref="AG588">IF(AF588="","",_xlfn.TEXTSPLIT(AF588,"-"))</f>
        <v>0</v>
      </c>
      <c r="AH588" s="168"/>
    </row>
    <row r="589" spans="26:34" ht="24" customHeight="1">
      <c r="Z589"/>
      <c r="AA589"/>
      <c r="AB589"/>
      <c r="AC589"/>
      <c r="AD589"/>
      <c r="AE589" s="168" t="str">
        <f t="shared" si="9"/>
        <v/>
      </c>
      <c r="AF589" s="168">
        <v>0</v>
      </c>
      <c r="AG589" s="168" t="str" cm="1">
        <f t="array" ref="AG589">IF(AF589="","",_xlfn.TEXTSPLIT(AF589,"-"))</f>
        <v>0</v>
      </c>
      <c r="AH589" s="168"/>
    </row>
    <row r="590" spans="26:34" ht="24" customHeight="1">
      <c r="Z590"/>
      <c r="AA590"/>
      <c r="AB590"/>
      <c r="AC590"/>
      <c r="AD590"/>
      <c r="AE590" s="168" t="str">
        <f t="shared" si="9"/>
        <v/>
      </c>
      <c r="AF590" s="168">
        <v>0</v>
      </c>
      <c r="AG590" s="168" t="str" cm="1">
        <f t="array" ref="AG590">IF(AF590="","",_xlfn.TEXTSPLIT(AF590,"-"))</f>
        <v>0</v>
      </c>
      <c r="AH590" s="168"/>
    </row>
    <row r="591" spans="26:34" ht="24" customHeight="1">
      <c r="Z591"/>
      <c r="AA591"/>
      <c r="AB591"/>
      <c r="AC591"/>
      <c r="AD591"/>
      <c r="AE591" s="168" t="str">
        <f t="shared" si="9"/>
        <v/>
      </c>
      <c r="AF591" s="168">
        <v>0</v>
      </c>
      <c r="AG591" s="168" t="str" cm="1">
        <f t="array" ref="AG591">IF(AF591="","",_xlfn.TEXTSPLIT(AF591,"-"))</f>
        <v>0</v>
      </c>
      <c r="AH591" s="168"/>
    </row>
    <row r="592" spans="26:34" ht="24" customHeight="1">
      <c r="Z592"/>
      <c r="AA592"/>
      <c r="AB592"/>
      <c r="AC592"/>
      <c r="AD592"/>
      <c r="AE592" s="168" t="str">
        <f t="shared" si="9"/>
        <v/>
      </c>
      <c r="AF592" s="168">
        <v>0</v>
      </c>
      <c r="AG592" s="168" t="str" cm="1">
        <f t="array" ref="AG592">IF(AF592="","",_xlfn.TEXTSPLIT(AF592,"-"))</f>
        <v>0</v>
      </c>
      <c r="AH592" s="168"/>
    </row>
    <row r="593" spans="26:34" ht="24" customHeight="1">
      <c r="Z593"/>
      <c r="AA593"/>
      <c r="AB593"/>
      <c r="AC593"/>
      <c r="AD593"/>
      <c r="AE593" s="168" t="str">
        <f t="shared" si="9"/>
        <v/>
      </c>
      <c r="AF593" s="168">
        <v>0</v>
      </c>
      <c r="AG593" s="168" t="str" cm="1">
        <f t="array" ref="AG593">IF(AF593="","",_xlfn.TEXTSPLIT(AF593,"-"))</f>
        <v>0</v>
      </c>
      <c r="AH593" s="168"/>
    </row>
    <row r="594" spans="26:34" ht="24" customHeight="1">
      <c r="Z594"/>
      <c r="AA594"/>
      <c r="AB594"/>
      <c r="AC594"/>
      <c r="AD594"/>
      <c r="AE594" s="168" t="str">
        <f t="shared" si="9"/>
        <v/>
      </c>
      <c r="AF594" s="168">
        <v>0</v>
      </c>
      <c r="AG594" s="168" t="str" cm="1">
        <f t="array" ref="AG594">IF(AF594="","",_xlfn.TEXTSPLIT(AF594,"-"))</f>
        <v>0</v>
      </c>
      <c r="AH594" s="168"/>
    </row>
    <row r="595" spans="26:34" ht="24" customHeight="1">
      <c r="Z595"/>
      <c r="AA595"/>
      <c r="AB595"/>
      <c r="AC595"/>
      <c r="AD595"/>
      <c r="AE595" s="168" t="str">
        <f t="shared" si="9"/>
        <v/>
      </c>
      <c r="AF595" s="168">
        <v>0</v>
      </c>
      <c r="AG595" s="168" t="str" cm="1">
        <f t="array" ref="AG595">IF(AF595="","",_xlfn.TEXTSPLIT(AF595,"-"))</f>
        <v>0</v>
      </c>
      <c r="AH595" s="168"/>
    </row>
    <row r="596" spans="26:34" ht="24" customHeight="1">
      <c r="Z596"/>
      <c r="AA596"/>
      <c r="AB596"/>
      <c r="AC596"/>
      <c r="AD596"/>
      <c r="AE596" s="168" t="str">
        <f t="shared" si="9"/>
        <v/>
      </c>
      <c r="AF596" s="168">
        <v>0</v>
      </c>
      <c r="AG596" s="168" t="str" cm="1">
        <f t="array" ref="AG596">IF(AF596="","",_xlfn.TEXTSPLIT(AF596,"-"))</f>
        <v>0</v>
      </c>
      <c r="AH596" s="168"/>
    </row>
    <row r="597" spans="26:34" ht="24" customHeight="1">
      <c r="Z597"/>
      <c r="AA597"/>
      <c r="AB597"/>
      <c r="AC597"/>
      <c r="AD597"/>
      <c r="AE597" s="168" t="str">
        <f t="shared" si="9"/>
        <v/>
      </c>
      <c r="AF597" s="168">
        <v>0</v>
      </c>
      <c r="AG597" s="168" t="str" cm="1">
        <f t="array" ref="AG597">IF(AF597="","",_xlfn.TEXTSPLIT(AF597,"-"))</f>
        <v>0</v>
      </c>
      <c r="AH597" s="168"/>
    </row>
    <row r="598" spans="26:34" ht="24" customHeight="1">
      <c r="Z598"/>
      <c r="AA598"/>
      <c r="AB598"/>
      <c r="AC598"/>
      <c r="AD598"/>
      <c r="AE598" s="168" t="str">
        <f t="shared" si="9"/>
        <v/>
      </c>
      <c r="AF598" s="168">
        <v>0</v>
      </c>
      <c r="AG598" s="168" t="str" cm="1">
        <f t="array" ref="AG598">IF(AF598="","",_xlfn.TEXTSPLIT(AF598,"-"))</f>
        <v>0</v>
      </c>
      <c r="AH598" s="168"/>
    </row>
    <row r="599" spans="26:34" ht="24" customHeight="1">
      <c r="Z599"/>
      <c r="AA599"/>
      <c r="AB599"/>
      <c r="AC599"/>
      <c r="AD599"/>
      <c r="AE599" s="168" t="str">
        <f t="shared" si="9"/>
        <v/>
      </c>
      <c r="AF599" s="168">
        <v>0</v>
      </c>
      <c r="AG599" s="168" t="str" cm="1">
        <f t="array" ref="AG599">IF(AF599="","",_xlfn.TEXTSPLIT(AF599,"-"))</f>
        <v>0</v>
      </c>
      <c r="AH599" s="168"/>
    </row>
    <row r="600" spans="26:34" ht="24" customHeight="1">
      <c r="Z600"/>
      <c r="AA600"/>
      <c r="AB600"/>
      <c r="AC600"/>
      <c r="AD600"/>
      <c r="AE600" s="168" t="str">
        <f t="shared" si="9"/>
        <v/>
      </c>
      <c r="AF600" s="168">
        <v>0</v>
      </c>
      <c r="AG600" s="168" t="str" cm="1">
        <f t="array" ref="AG600">IF(AF600="","",_xlfn.TEXTSPLIT(AF600,"-"))</f>
        <v>0</v>
      </c>
      <c r="AH600" s="168"/>
    </row>
    <row r="601" spans="26:34" ht="24" customHeight="1">
      <c r="Z601"/>
      <c r="AA601"/>
      <c r="AB601"/>
      <c r="AC601"/>
      <c r="AD601"/>
      <c r="AE601" s="168" t="str">
        <f t="shared" si="9"/>
        <v/>
      </c>
      <c r="AF601" s="168">
        <v>0</v>
      </c>
      <c r="AG601" s="168" t="str" cm="1">
        <f t="array" ref="AG601">IF(AF601="","",_xlfn.TEXTSPLIT(AF601,"-"))</f>
        <v>0</v>
      </c>
      <c r="AH601" s="168"/>
    </row>
    <row r="602" spans="26:34" ht="24" customHeight="1">
      <c r="Z602"/>
      <c r="AA602"/>
      <c r="AB602"/>
      <c r="AC602"/>
      <c r="AD602"/>
      <c r="AE602" s="168" t="str">
        <f t="shared" si="9"/>
        <v/>
      </c>
      <c r="AF602" s="168">
        <v>0</v>
      </c>
      <c r="AG602" s="168" t="str" cm="1">
        <f t="array" ref="AG602">IF(AF602="","",_xlfn.TEXTSPLIT(AF602,"-"))</f>
        <v>0</v>
      </c>
      <c r="AH602" s="168"/>
    </row>
    <row r="603" spans="26:34" ht="24" customHeight="1">
      <c r="Z603"/>
      <c r="AA603"/>
      <c r="AB603"/>
      <c r="AC603"/>
      <c r="AD603"/>
      <c r="AE603" s="168" t="str">
        <f t="shared" si="9"/>
        <v/>
      </c>
      <c r="AF603" s="168">
        <v>0</v>
      </c>
      <c r="AG603" s="168" t="str" cm="1">
        <f t="array" ref="AG603">IF(AF603="","",_xlfn.TEXTSPLIT(AF603,"-"))</f>
        <v>0</v>
      </c>
      <c r="AH603" s="168"/>
    </row>
    <row r="604" spans="26:34" ht="24" customHeight="1">
      <c r="Z604"/>
      <c r="AA604"/>
      <c r="AB604"/>
      <c r="AC604"/>
      <c r="AD604"/>
      <c r="AE604" s="168" t="str">
        <f t="shared" si="9"/>
        <v/>
      </c>
      <c r="AF604" s="168">
        <v>0</v>
      </c>
      <c r="AG604" s="168" t="str" cm="1">
        <f t="array" ref="AG604">IF(AF604="","",_xlfn.TEXTSPLIT(AF604,"-"))</f>
        <v>0</v>
      </c>
      <c r="AH604" s="168"/>
    </row>
    <row r="605" spans="26:34" ht="24" customHeight="1">
      <c r="Z605"/>
      <c r="AA605"/>
      <c r="AB605"/>
      <c r="AC605"/>
      <c r="AD605"/>
      <c r="AE605" s="168" t="str">
        <f t="shared" si="9"/>
        <v/>
      </c>
      <c r="AF605" s="168">
        <v>0</v>
      </c>
      <c r="AG605" s="168" t="str" cm="1">
        <f t="array" ref="AG605">IF(AF605="","",_xlfn.TEXTSPLIT(AF605,"-"))</f>
        <v>0</v>
      </c>
      <c r="AH605" s="168"/>
    </row>
    <row r="606" spans="26:34" ht="24" customHeight="1">
      <c r="Z606"/>
      <c r="AA606"/>
      <c r="AB606"/>
      <c r="AC606"/>
      <c r="AD606"/>
      <c r="AE606" s="168" t="str">
        <f t="shared" si="9"/>
        <v/>
      </c>
      <c r="AF606" s="168">
        <v>0</v>
      </c>
      <c r="AG606" s="168" t="str" cm="1">
        <f t="array" ref="AG606">IF(AF606="","",_xlfn.TEXTSPLIT(AF606,"-"))</f>
        <v>0</v>
      </c>
      <c r="AH606" s="168"/>
    </row>
    <row r="607" spans="26:34" ht="24" customHeight="1">
      <c r="Z607"/>
      <c r="AA607"/>
      <c r="AB607"/>
      <c r="AC607"/>
      <c r="AD607"/>
      <c r="AE607" s="168" t="str">
        <f t="shared" si="9"/>
        <v/>
      </c>
      <c r="AF607" s="168">
        <v>0</v>
      </c>
      <c r="AG607" s="168" t="str" cm="1">
        <f t="array" ref="AG607">IF(AF607="","",_xlfn.TEXTSPLIT(AF607,"-"))</f>
        <v>0</v>
      </c>
      <c r="AH607" s="168"/>
    </row>
    <row r="608" spans="26:34" ht="24" customHeight="1">
      <c r="Z608"/>
      <c r="AA608"/>
      <c r="AB608"/>
      <c r="AC608"/>
      <c r="AD608"/>
      <c r="AE608" s="168" t="str">
        <f t="shared" si="9"/>
        <v/>
      </c>
      <c r="AF608" s="168">
        <v>0</v>
      </c>
      <c r="AG608" s="168" t="str" cm="1">
        <f t="array" ref="AG608">IF(AF608="","",_xlfn.TEXTSPLIT(AF608,"-"))</f>
        <v>0</v>
      </c>
      <c r="AH608" s="168"/>
    </row>
    <row r="609" spans="26:34" ht="24" customHeight="1">
      <c r="Z609"/>
      <c r="AA609"/>
      <c r="AB609"/>
      <c r="AC609"/>
      <c r="AD609"/>
      <c r="AE609" s="168" t="str">
        <f t="shared" si="9"/>
        <v/>
      </c>
      <c r="AF609" s="168">
        <v>0</v>
      </c>
      <c r="AG609" s="168" t="str" cm="1">
        <f t="array" ref="AG609">IF(AF609="","",_xlfn.TEXTSPLIT(AF609,"-"))</f>
        <v>0</v>
      </c>
      <c r="AH609" s="168"/>
    </row>
    <row r="610" spans="26:34" ht="24" customHeight="1">
      <c r="Z610"/>
      <c r="AA610"/>
      <c r="AB610"/>
      <c r="AC610"/>
      <c r="AD610"/>
      <c r="AE610" s="168" t="str">
        <f t="shared" si="9"/>
        <v/>
      </c>
      <c r="AF610" s="168">
        <v>0</v>
      </c>
      <c r="AG610" s="168" t="str" cm="1">
        <f t="array" ref="AG610">IF(AF610="","",_xlfn.TEXTSPLIT(AF610,"-"))</f>
        <v>0</v>
      </c>
      <c r="AH610" s="168"/>
    </row>
    <row r="611" spans="26:34" ht="24" customHeight="1">
      <c r="Z611"/>
      <c r="AA611"/>
      <c r="AB611"/>
      <c r="AC611"/>
      <c r="AD611"/>
      <c r="AE611" s="168" t="str">
        <f t="shared" si="9"/>
        <v/>
      </c>
      <c r="AF611" s="168">
        <v>0</v>
      </c>
      <c r="AG611" s="168" t="str" cm="1">
        <f t="array" ref="AG611">IF(AF611="","",_xlfn.TEXTSPLIT(AF611,"-"))</f>
        <v>0</v>
      </c>
      <c r="AH611" s="168"/>
    </row>
    <row r="612" spans="26:34" ht="24" customHeight="1">
      <c r="Z612"/>
      <c r="AA612"/>
      <c r="AB612"/>
      <c r="AC612"/>
      <c r="AD612"/>
      <c r="AE612" s="168" t="str">
        <f t="shared" si="9"/>
        <v/>
      </c>
      <c r="AF612" s="168">
        <v>0</v>
      </c>
      <c r="AG612" s="168" t="str" cm="1">
        <f t="array" ref="AG612">IF(AF612="","",_xlfn.TEXTSPLIT(AF612,"-"))</f>
        <v>0</v>
      </c>
      <c r="AH612" s="168"/>
    </row>
    <row r="613" spans="26:34" ht="24" customHeight="1">
      <c r="Z613"/>
      <c r="AA613"/>
      <c r="AB613"/>
      <c r="AC613"/>
      <c r="AD613"/>
      <c r="AE613" s="168" t="str">
        <f t="shared" si="9"/>
        <v/>
      </c>
      <c r="AF613" s="168">
        <v>0</v>
      </c>
      <c r="AG613" s="168" t="str" cm="1">
        <f t="array" ref="AG613">IF(AF613="","",_xlfn.TEXTSPLIT(AF613,"-"))</f>
        <v>0</v>
      </c>
      <c r="AH613" s="168"/>
    </row>
    <row r="614" spans="26:34" ht="24" customHeight="1">
      <c r="Z614"/>
      <c r="AA614"/>
      <c r="AB614"/>
      <c r="AC614"/>
      <c r="AD614"/>
      <c r="AE614" s="168" t="str">
        <f t="shared" si="9"/>
        <v/>
      </c>
      <c r="AF614" s="168">
        <v>0</v>
      </c>
      <c r="AG614" s="168" t="str" cm="1">
        <f t="array" ref="AG614">IF(AF614="","",_xlfn.TEXTSPLIT(AF614,"-"))</f>
        <v>0</v>
      </c>
      <c r="AH614" s="168"/>
    </row>
    <row r="615" spans="26:34" ht="24" customHeight="1">
      <c r="Z615"/>
      <c r="AA615"/>
      <c r="AB615"/>
      <c r="AC615"/>
      <c r="AD615"/>
      <c r="AE615" s="168" t="str">
        <f t="shared" si="9"/>
        <v/>
      </c>
      <c r="AF615" s="168">
        <v>0</v>
      </c>
      <c r="AG615" s="168" t="str" cm="1">
        <f t="array" ref="AG615">IF(AF615="","",_xlfn.TEXTSPLIT(AF615,"-"))</f>
        <v>0</v>
      </c>
      <c r="AH615" s="168"/>
    </row>
    <row r="616" spans="26:34" ht="24" customHeight="1">
      <c r="Z616"/>
      <c r="AA616"/>
      <c r="AB616"/>
      <c r="AC616"/>
      <c r="AD616"/>
      <c r="AE616" s="168" t="str">
        <f t="shared" si="9"/>
        <v/>
      </c>
      <c r="AF616" s="168">
        <v>0</v>
      </c>
      <c r="AG616" s="168" t="str" cm="1">
        <f t="array" ref="AG616">IF(AF616="","",_xlfn.TEXTSPLIT(AF616,"-"))</f>
        <v>0</v>
      </c>
      <c r="AH616" s="168"/>
    </row>
    <row r="617" spans="26:34" ht="24" customHeight="1">
      <c r="Z617"/>
      <c r="AA617"/>
      <c r="AB617"/>
      <c r="AC617"/>
      <c r="AD617"/>
      <c r="AE617" s="168" t="str">
        <f t="shared" si="9"/>
        <v/>
      </c>
      <c r="AF617" s="168">
        <v>0</v>
      </c>
      <c r="AG617" s="168" t="str" cm="1">
        <f t="array" ref="AG617">IF(AF617="","",_xlfn.TEXTSPLIT(AF617,"-"))</f>
        <v>0</v>
      </c>
      <c r="AH617" s="168"/>
    </row>
    <row r="618" spans="26:34" ht="24" customHeight="1">
      <c r="Z618"/>
      <c r="AA618"/>
      <c r="AB618"/>
      <c r="AC618"/>
      <c r="AD618"/>
      <c r="AE618" s="168" t="str">
        <f t="shared" si="9"/>
        <v/>
      </c>
      <c r="AF618" s="168">
        <v>0</v>
      </c>
      <c r="AG618" s="168" t="str" cm="1">
        <f t="array" ref="AG618">IF(AF618="","",_xlfn.TEXTSPLIT(AF618,"-"))</f>
        <v>0</v>
      </c>
      <c r="AH618" s="168"/>
    </row>
    <row r="619" spans="26:34" ht="24" customHeight="1">
      <c r="Z619"/>
      <c r="AA619"/>
      <c r="AB619"/>
      <c r="AC619"/>
      <c r="AD619"/>
      <c r="AE619" s="168" t="str">
        <f t="shared" si="9"/>
        <v/>
      </c>
      <c r="AF619" s="168">
        <v>0</v>
      </c>
      <c r="AG619" s="168" t="str" cm="1">
        <f t="array" ref="AG619">IF(AF619="","",_xlfn.TEXTSPLIT(AF619,"-"))</f>
        <v>0</v>
      </c>
      <c r="AH619" s="168"/>
    </row>
    <row r="620" spans="26:34" ht="24" customHeight="1">
      <c r="Z620"/>
      <c r="AA620"/>
      <c r="AB620"/>
      <c r="AC620"/>
      <c r="AD620"/>
      <c r="AE620" s="168" t="str">
        <f t="shared" si="9"/>
        <v/>
      </c>
      <c r="AF620" s="168">
        <v>0</v>
      </c>
      <c r="AG620" s="168" t="str" cm="1">
        <f t="array" ref="AG620">IF(AF620="","",_xlfn.TEXTSPLIT(AF620,"-"))</f>
        <v>0</v>
      </c>
      <c r="AH620" s="168"/>
    </row>
    <row r="621" spans="26:34" ht="24" customHeight="1">
      <c r="Z621"/>
      <c r="AA621"/>
      <c r="AB621"/>
      <c r="AC621"/>
      <c r="AD621"/>
      <c r="AE621" s="168" t="str">
        <f t="shared" si="9"/>
        <v/>
      </c>
      <c r="AF621" s="168">
        <v>0</v>
      </c>
      <c r="AG621" s="168" t="str" cm="1">
        <f t="array" ref="AG621">IF(AF621="","",_xlfn.TEXTSPLIT(AF621,"-"))</f>
        <v>0</v>
      </c>
      <c r="AH621" s="168"/>
    </row>
    <row r="622" spans="26:34" ht="24" customHeight="1">
      <c r="Z622"/>
      <c r="AA622"/>
      <c r="AB622"/>
      <c r="AC622"/>
      <c r="AD622"/>
      <c r="AE622" s="168" t="str">
        <f t="shared" si="9"/>
        <v/>
      </c>
      <c r="AF622" s="168">
        <v>0</v>
      </c>
      <c r="AG622" s="168" t="str" cm="1">
        <f t="array" ref="AG622">IF(AF622="","",_xlfn.TEXTSPLIT(AF622,"-"))</f>
        <v>0</v>
      </c>
      <c r="AH622" s="168"/>
    </row>
    <row r="623" spans="26:34" ht="24" customHeight="1">
      <c r="Z623"/>
      <c r="AA623"/>
      <c r="AB623"/>
      <c r="AC623"/>
      <c r="AD623"/>
      <c r="AE623" s="168" t="str">
        <f t="shared" si="9"/>
        <v/>
      </c>
      <c r="AF623" s="168">
        <v>0</v>
      </c>
      <c r="AG623" s="168" t="str" cm="1">
        <f t="array" ref="AG623">IF(AF623="","",_xlfn.TEXTSPLIT(AF623,"-"))</f>
        <v>0</v>
      </c>
      <c r="AH623" s="168"/>
    </row>
    <row r="624" spans="26:34" ht="24" customHeight="1">
      <c r="Z624"/>
      <c r="AA624"/>
      <c r="AB624"/>
      <c r="AC624"/>
      <c r="AD624"/>
      <c r="AE624" s="168" t="str">
        <f t="shared" si="9"/>
        <v/>
      </c>
      <c r="AF624" s="168">
        <v>0</v>
      </c>
      <c r="AG624" s="168" t="str" cm="1">
        <f t="array" ref="AG624">IF(AF624="","",_xlfn.TEXTSPLIT(AF624,"-"))</f>
        <v>0</v>
      </c>
      <c r="AH624" s="168"/>
    </row>
    <row r="625" spans="26:34" ht="24" customHeight="1">
      <c r="Z625"/>
      <c r="AA625"/>
      <c r="AB625"/>
      <c r="AC625"/>
      <c r="AD625"/>
      <c r="AE625" s="168" t="str">
        <f t="shared" si="9"/>
        <v/>
      </c>
      <c r="AF625" s="168">
        <v>0</v>
      </c>
      <c r="AG625" s="168" t="str" cm="1">
        <f t="array" ref="AG625">IF(AF625="","",_xlfn.TEXTSPLIT(AF625,"-"))</f>
        <v>0</v>
      </c>
      <c r="AH625" s="168"/>
    </row>
    <row r="626" spans="26:34" ht="24" customHeight="1">
      <c r="Z626"/>
      <c r="AA626"/>
      <c r="AB626"/>
      <c r="AC626"/>
      <c r="AD626"/>
      <c r="AE626" s="168" t="str">
        <f t="shared" si="9"/>
        <v/>
      </c>
      <c r="AF626" s="168">
        <v>0</v>
      </c>
      <c r="AG626" s="168" t="str" cm="1">
        <f t="array" ref="AG626">IF(AF626="","",_xlfn.TEXTSPLIT(AF626,"-"))</f>
        <v>0</v>
      </c>
      <c r="AH626" s="168"/>
    </row>
    <row r="627" spans="26:34" ht="24" customHeight="1">
      <c r="Z627"/>
      <c r="AA627"/>
      <c r="AB627"/>
      <c r="AC627"/>
      <c r="AD627"/>
      <c r="AE627" s="168" t="str">
        <f t="shared" si="9"/>
        <v/>
      </c>
      <c r="AF627" s="168">
        <v>0</v>
      </c>
      <c r="AG627" s="168" t="str" cm="1">
        <f t="array" ref="AG627">IF(AF627="","",_xlfn.TEXTSPLIT(AF627,"-"))</f>
        <v>0</v>
      </c>
      <c r="AH627" s="168"/>
    </row>
    <row r="628" spans="26:34" ht="24" customHeight="1">
      <c r="Z628"/>
      <c r="AA628"/>
      <c r="AB628"/>
      <c r="AC628"/>
      <c r="AD628"/>
      <c r="AE628" s="168" t="str">
        <f t="shared" si="9"/>
        <v/>
      </c>
      <c r="AF628" s="168">
        <v>0</v>
      </c>
      <c r="AG628" s="168" t="str" cm="1">
        <f t="array" ref="AG628">IF(AF628="","",_xlfn.TEXTSPLIT(AF628,"-"))</f>
        <v>0</v>
      </c>
      <c r="AH628" s="168"/>
    </row>
    <row r="629" spans="26:34" ht="24" customHeight="1">
      <c r="Z629"/>
      <c r="AA629"/>
      <c r="AB629"/>
      <c r="AC629"/>
      <c r="AD629"/>
      <c r="AE629" s="168" t="str">
        <f t="shared" si="9"/>
        <v/>
      </c>
      <c r="AF629" s="168">
        <v>0</v>
      </c>
      <c r="AG629" s="168" t="str" cm="1">
        <f t="array" ref="AG629">IF(AF629="","",_xlfn.TEXTSPLIT(AF629,"-"))</f>
        <v>0</v>
      </c>
      <c r="AH629" s="168"/>
    </row>
    <row r="630" spans="26:34" ht="24" customHeight="1">
      <c r="Z630"/>
      <c r="AA630"/>
      <c r="AB630"/>
      <c r="AC630"/>
      <c r="AD630"/>
      <c r="AE630" s="168" t="str">
        <f t="shared" si="9"/>
        <v/>
      </c>
      <c r="AF630" s="168">
        <v>0</v>
      </c>
      <c r="AG630" s="168" t="str" cm="1">
        <f t="array" ref="AG630">IF(AF630="","",_xlfn.TEXTSPLIT(AF630,"-"))</f>
        <v>0</v>
      </c>
      <c r="AH630" s="168"/>
    </row>
    <row r="631" spans="26:34" ht="24" customHeight="1">
      <c r="Z631"/>
      <c r="AA631"/>
      <c r="AB631"/>
      <c r="AC631"/>
      <c r="AD631"/>
      <c r="AE631" s="168" t="str">
        <f t="shared" si="9"/>
        <v/>
      </c>
      <c r="AF631" s="168">
        <v>0</v>
      </c>
      <c r="AG631" s="168" t="str" cm="1">
        <f t="array" ref="AG631">IF(AF631="","",_xlfn.TEXTSPLIT(AF631,"-"))</f>
        <v>0</v>
      </c>
      <c r="AH631" s="168"/>
    </row>
    <row r="632" spans="26:34" ht="24" customHeight="1">
      <c r="Z632"/>
      <c r="AA632"/>
      <c r="AB632"/>
      <c r="AC632"/>
      <c r="AD632"/>
      <c r="AE632" s="168" t="str">
        <f t="shared" si="9"/>
        <v/>
      </c>
      <c r="AF632" s="168">
        <v>0</v>
      </c>
      <c r="AG632" s="168" t="str" cm="1">
        <f t="array" ref="AG632">IF(AF632="","",_xlfn.TEXTSPLIT(AF632,"-"))</f>
        <v>0</v>
      </c>
      <c r="AH632" s="168"/>
    </row>
    <row r="633" spans="26:34" ht="24" customHeight="1">
      <c r="Z633"/>
      <c r="AA633"/>
      <c r="AB633"/>
      <c r="AC633"/>
      <c r="AD633"/>
      <c r="AE633" s="168" t="str">
        <f t="shared" si="9"/>
        <v/>
      </c>
      <c r="AF633" s="168">
        <v>0</v>
      </c>
      <c r="AG633" s="168" t="str" cm="1">
        <f t="array" ref="AG633">IF(AF633="","",_xlfn.TEXTSPLIT(AF633,"-"))</f>
        <v>0</v>
      </c>
      <c r="AH633" s="168"/>
    </row>
    <row r="634" spans="26:34" ht="24" customHeight="1">
      <c r="Z634"/>
      <c r="AA634"/>
      <c r="AB634"/>
      <c r="AC634"/>
      <c r="AD634"/>
      <c r="AE634" s="168" t="str">
        <f t="shared" si="9"/>
        <v/>
      </c>
      <c r="AF634" s="168">
        <v>0</v>
      </c>
      <c r="AG634" s="168" t="str" cm="1">
        <f t="array" ref="AG634">IF(AF634="","",_xlfn.TEXTSPLIT(AF634,"-"))</f>
        <v>0</v>
      </c>
      <c r="AH634" s="168"/>
    </row>
    <row r="635" spans="26:34" ht="24" customHeight="1">
      <c r="Z635"/>
      <c r="AA635"/>
      <c r="AB635"/>
      <c r="AC635"/>
      <c r="AD635"/>
      <c r="AE635" s="168" t="str">
        <f t="shared" si="9"/>
        <v/>
      </c>
      <c r="AF635" s="168">
        <v>0</v>
      </c>
      <c r="AG635" s="168" t="str" cm="1">
        <f t="array" ref="AG635">IF(AF635="","",_xlfn.TEXTSPLIT(AF635,"-"))</f>
        <v>0</v>
      </c>
      <c r="AH635" s="168"/>
    </row>
    <row r="636" spans="26:34" ht="24" customHeight="1">
      <c r="Z636"/>
      <c r="AA636"/>
      <c r="AB636"/>
      <c r="AC636"/>
      <c r="AD636"/>
      <c r="AE636" s="168" t="str">
        <f t="shared" si="9"/>
        <v/>
      </c>
      <c r="AF636" s="168">
        <v>0</v>
      </c>
      <c r="AG636" s="168" t="str" cm="1">
        <f t="array" ref="AG636">IF(AF636="","",_xlfn.TEXTSPLIT(AF636,"-"))</f>
        <v>0</v>
      </c>
      <c r="AH636" s="168"/>
    </row>
    <row r="637" spans="26:34" ht="24" customHeight="1">
      <c r="Z637"/>
      <c r="AA637"/>
      <c r="AB637"/>
      <c r="AC637"/>
      <c r="AD637"/>
      <c r="AE637" s="168" t="str">
        <f t="shared" si="9"/>
        <v/>
      </c>
      <c r="AF637" s="168">
        <v>0</v>
      </c>
      <c r="AG637" s="168" t="str" cm="1">
        <f t="array" ref="AG637">IF(AF637="","",_xlfn.TEXTSPLIT(AF637,"-"))</f>
        <v>0</v>
      </c>
      <c r="AH637" s="168"/>
    </row>
    <row r="638" spans="26:34" ht="24" customHeight="1">
      <c r="Z638"/>
      <c r="AA638"/>
      <c r="AB638"/>
      <c r="AC638"/>
      <c r="AD638"/>
      <c r="AE638" s="168" t="str">
        <f t="shared" si="9"/>
        <v/>
      </c>
      <c r="AF638" s="168">
        <v>0</v>
      </c>
      <c r="AG638" s="168" t="str" cm="1">
        <f t="array" ref="AG638">IF(AF638="","",_xlfn.TEXTSPLIT(AF638,"-"))</f>
        <v>0</v>
      </c>
      <c r="AH638" s="168"/>
    </row>
    <row r="639" spans="26:34" ht="24" customHeight="1">
      <c r="Z639"/>
      <c r="AA639"/>
      <c r="AB639"/>
      <c r="AC639"/>
      <c r="AD639"/>
      <c r="AE639" s="168" t="str">
        <f t="shared" si="9"/>
        <v/>
      </c>
      <c r="AF639" s="168">
        <v>0</v>
      </c>
      <c r="AG639" s="168" t="str" cm="1">
        <f t="array" ref="AG639">IF(AF639="","",_xlfn.TEXTSPLIT(AF639,"-"))</f>
        <v>0</v>
      </c>
      <c r="AH639" s="168"/>
    </row>
    <row r="640" spans="26:34" ht="24" customHeight="1">
      <c r="Z640"/>
      <c r="AA640"/>
      <c r="AB640"/>
      <c r="AC640"/>
      <c r="AD640"/>
      <c r="AE640" s="168" t="str">
        <f t="shared" si="9"/>
        <v/>
      </c>
      <c r="AF640" s="168">
        <v>0</v>
      </c>
      <c r="AG640" s="168" t="str" cm="1">
        <f t="array" ref="AG640">IF(AF640="","",_xlfn.TEXTSPLIT(AF640,"-"))</f>
        <v>0</v>
      </c>
      <c r="AH640" s="168"/>
    </row>
    <row r="641" spans="26:34" ht="24" customHeight="1">
      <c r="Z641"/>
      <c r="AA641"/>
      <c r="AB641"/>
      <c r="AC641"/>
      <c r="AD641"/>
      <c r="AE641" s="168" t="str">
        <f t="shared" si="9"/>
        <v/>
      </c>
      <c r="AF641" s="168">
        <v>0</v>
      </c>
      <c r="AG641" s="168" t="str" cm="1">
        <f t="array" ref="AG641">IF(AF641="","",_xlfn.TEXTSPLIT(AF641,"-"))</f>
        <v>0</v>
      </c>
      <c r="AH641" s="168"/>
    </row>
    <row r="642" spans="26:34" ht="24" customHeight="1">
      <c r="Z642"/>
      <c r="AA642"/>
      <c r="AB642"/>
      <c r="AC642"/>
      <c r="AD642"/>
      <c r="AE642" s="168" t="str">
        <f t="shared" si="9"/>
        <v/>
      </c>
      <c r="AF642" s="168">
        <v>0</v>
      </c>
      <c r="AG642" s="168" t="str" cm="1">
        <f t="array" ref="AG642">IF(AF642="","",_xlfn.TEXTSPLIT(AF642,"-"))</f>
        <v>0</v>
      </c>
      <c r="AH642" s="168"/>
    </row>
    <row r="643" spans="26:34" ht="24" customHeight="1">
      <c r="Z643"/>
      <c r="AA643"/>
      <c r="AB643"/>
      <c r="AC643"/>
      <c r="AD643"/>
      <c r="AE643" s="168" t="str">
        <f t="shared" si="9"/>
        <v/>
      </c>
      <c r="AF643" s="168">
        <v>0</v>
      </c>
      <c r="AG643" s="168" t="str" cm="1">
        <f t="array" ref="AG643">IF(AF643="","",_xlfn.TEXTSPLIT(AF643,"-"))</f>
        <v>0</v>
      </c>
      <c r="AH643" s="168"/>
    </row>
    <row r="644" spans="26:34" ht="24" customHeight="1">
      <c r="Z644"/>
      <c r="AA644"/>
      <c r="AB644"/>
      <c r="AC644"/>
      <c r="AD644"/>
      <c r="AE644" s="168" t="str">
        <f t="shared" si="9"/>
        <v/>
      </c>
      <c r="AF644" s="168">
        <v>0</v>
      </c>
      <c r="AG644" s="168" t="str" cm="1">
        <f t="array" ref="AG644">IF(AF644="","",_xlfn.TEXTSPLIT(AF644,"-"))</f>
        <v>0</v>
      </c>
      <c r="AH644" s="168"/>
    </row>
    <row r="645" spans="26:34" ht="24" customHeight="1">
      <c r="Z645"/>
      <c r="AA645"/>
      <c r="AB645"/>
      <c r="AC645"/>
      <c r="AD645"/>
      <c r="AE645" s="168" t="str">
        <f t="shared" ref="AE645:AE708" si="10">IF(AH645="","",AH645*1)</f>
        <v/>
      </c>
      <c r="AF645" s="168">
        <v>0</v>
      </c>
      <c r="AG645" s="168" t="str" cm="1">
        <f t="array" ref="AG645">IF(AF645="","",_xlfn.TEXTSPLIT(AF645,"-"))</f>
        <v>0</v>
      </c>
      <c r="AH645" s="168"/>
    </row>
    <row r="646" spans="26:34" ht="24" customHeight="1">
      <c r="Z646"/>
      <c r="AA646"/>
      <c r="AB646"/>
      <c r="AC646"/>
      <c r="AD646"/>
      <c r="AE646" s="168" t="str">
        <f t="shared" si="10"/>
        <v/>
      </c>
      <c r="AF646" s="168">
        <v>0</v>
      </c>
      <c r="AG646" s="168" t="str" cm="1">
        <f t="array" ref="AG646">IF(AF646="","",_xlfn.TEXTSPLIT(AF646,"-"))</f>
        <v>0</v>
      </c>
      <c r="AH646" s="168"/>
    </row>
    <row r="647" spans="26:34" ht="24" customHeight="1">
      <c r="Z647"/>
      <c r="AA647"/>
      <c r="AB647"/>
      <c r="AC647"/>
      <c r="AD647"/>
      <c r="AE647" s="168" t="str">
        <f t="shared" si="10"/>
        <v/>
      </c>
      <c r="AF647" s="168">
        <v>0</v>
      </c>
      <c r="AG647" s="168" t="str" cm="1">
        <f t="array" ref="AG647">IF(AF647="","",_xlfn.TEXTSPLIT(AF647,"-"))</f>
        <v>0</v>
      </c>
      <c r="AH647" s="168"/>
    </row>
    <row r="648" spans="26:34" ht="24" customHeight="1">
      <c r="Z648"/>
      <c r="AA648"/>
      <c r="AB648"/>
      <c r="AC648"/>
      <c r="AD648"/>
      <c r="AE648" s="168" t="str">
        <f t="shared" si="10"/>
        <v/>
      </c>
      <c r="AF648" s="168">
        <v>0</v>
      </c>
      <c r="AG648" s="168" t="str" cm="1">
        <f t="array" ref="AG648">IF(AF648="","",_xlfn.TEXTSPLIT(AF648,"-"))</f>
        <v>0</v>
      </c>
      <c r="AH648" s="168"/>
    </row>
    <row r="649" spans="26:34" ht="24" customHeight="1">
      <c r="Z649"/>
      <c r="AA649"/>
      <c r="AB649"/>
      <c r="AC649"/>
      <c r="AD649"/>
      <c r="AE649" s="168" t="str">
        <f t="shared" si="10"/>
        <v/>
      </c>
      <c r="AF649" s="168">
        <v>0</v>
      </c>
      <c r="AG649" s="168" t="str" cm="1">
        <f t="array" ref="AG649">IF(AF649="","",_xlfn.TEXTSPLIT(AF649,"-"))</f>
        <v>0</v>
      </c>
      <c r="AH649" s="168"/>
    </row>
    <row r="650" spans="26:34" ht="24" customHeight="1">
      <c r="Z650"/>
      <c r="AA650"/>
      <c r="AB650"/>
      <c r="AC650"/>
      <c r="AD650"/>
      <c r="AE650" s="168" t="str">
        <f t="shared" si="10"/>
        <v/>
      </c>
      <c r="AF650" s="168">
        <v>0</v>
      </c>
      <c r="AG650" s="168" t="str" cm="1">
        <f t="array" ref="AG650">IF(AF650="","",_xlfn.TEXTSPLIT(AF650,"-"))</f>
        <v>0</v>
      </c>
      <c r="AH650" s="168"/>
    </row>
    <row r="651" spans="26:34" ht="24" customHeight="1">
      <c r="Z651"/>
      <c r="AA651"/>
      <c r="AB651"/>
      <c r="AC651"/>
      <c r="AD651"/>
      <c r="AE651" s="168" t="str">
        <f t="shared" si="10"/>
        <v/>
      </c>
      <c r="AF651" s="168">
        <v>0</v>
      </c>
      <c r="AG651" s="168" t="str" cm="1">
        <f t="array" ref="AG651">IF(AF651="","",_xlfn.TEXTSPLIT(AF651,"-"))</f>
        <v>0</v>
      </c>
      <c r="AH651" s="168"/>
    </row>
    <row r="652" spans="26:34" ht="24" customHeight="1">
      <c r="Z652"/>
      <c r="AA652"/>
      <c r="AB652"/>
      <c r="AC652"/>
      <c r="AD652"/>
      <c r="AE652" s="168" t="str">
        <f t="shared" si="10"/>
        <v/>
      </c>
      <c r="AF652" s="168">
        <v>0</v>
      </c>
      <c r="AG652" s="168" t="str" cm="1">
        <f t="array" ref="AG652">IF(AF652="","",_xlfn.TEXTSPLIT(AF652,"-"))</f>
        <v>0</v>
      </c>
      <c r="AH652" s="168"/>
    </row>
    <row r="653" spans="26:34" ht="24" customHeight="1">
      <c r="Z653"/>
      <c r="AA653"/>
      <c r="AB653"/>
      <c r="AC653"/>
      <c r="AD653"/>
      <c r="AE653" s="168" t="str">
        <f t="shared" si="10"/>
        <v/>
      </c>
      <c r="AF653" s="168">
        <v>0</v>
      </c>
      <c r="AG653" s="168" t="str" cm="1">
        <f t="array" ref="AG653">IF(AF653="","",_xlfn.TEXTSPLIT(AF653,"-"))</f>
        <v>0</v>
      </c>
      <c r="AH653" s="168"/>
    </row>
    <row r="654" spans="26:34" ht="24" customHeight="1">
      <c r="Z654"/>
      <c r="AA654"/>
      <c r="AB654"/>
      <c r="AC654"/>
      <c r="AD654"/>
      <c r="AE654" s="168" t="str">
        <f t="shared" si="10"/>
        <v/>
      </c>
      <c r="AF654" s="168">
        <v>0</v>
      </c>
      <c r="AG654" s="168" t="str" cm="1">
        <f t="array" ref="AG654">IF(AF654="","",_xlfn.TEXTSPLIT(AF654,"-"))</f>
        <v>0</v>
      </c>
      <c r="AH654" s="168"/>
    </row>
    <row r="655" spans="26:34" ht="24" customHeight="1">
      <c r="Z655"/>
      <c r="AA655"/>
      <c r="AB655"/>
      <c r="AC655"/>
      <c r="AD655"/>
      <c r="AE655" s="168" t="str">
        <f t="shared" si="10"/>
        <v/>
      </c>
      <c r="AF655" s="168">
        <v>0</v>
      </c>
      <c r="AG655" s="168" t="str" cm="1">
        <f t="array" ref="AG655">IF(AF655="","",_xlfn.TEXTSPLIT(AF655,"-"))</f>
        <v>0</v>
      </c>
      <c r="AH655" s="168"/>
    </row>
    <row r="656" spans="26:34" ht="24" customHeight="1">
      <c r="Z656"/>
      <c r="AA656"/>
      <c r="AB656"/>
      <c r="AC656"/>
      <c r="AD656"/>
      <c r="AE656" s="168" t="str">
        <f t="shared" si="10"/>
        <v/>
      </c>
      <c r="AF656" s="168">
        <v>0</v>
      </c>
      <c r="AG656" s="168" t="str" cm="1">
        <f t="array" ref="AG656">IF(AF656="","",_xlfn.TEXTSPLIT(AF656,"-"))</f>
        <v>0</v>
      </c>
      <c r="AH656" s="168"/>
    </row>
    <row r="657" spans="26:34" ht="24" customHeight="1">
      <c r="Z657"/>
      <c r="AA657"/>
      <c r="AB657"/>
      <c r="AC657"/>
      <c r="AD657"/>
      <c r="AE657" s="168" t="str">
        <f t="shared" si="10"/>
        <v/>
      </c>
      <c r="AF657" s="168">
        <v>0</v>
      </c>
      <c r="AG657" s="168" t="str" cm="1">
        <f t="array" ref="AG657">IF(AF657="","",_xlfn.TEXTSPLIT(AF657,"-"))</f>
        <v>0</v>
      </c>
      <c r="AH657" s="168"/>
    </row>
    <row r="658" spans="26:34" ht="24" customHeight="1">
      <c r="Z658"/>
      <c r="AA658"/>
      <c r="AB658"/>
      <c r="AC658"/>
      <c r="AD658"/>
      <c r="AE658" s="168" t="str">
        <f t="shared" si="10"/>
        <v/>
      </c>
      <c r="AF658" s="168">
        <v>0</v>
      </c>
      <c r="AG658" s="168" t="str" cm="1">
        <f t="array" ref="AG658">IF(AF658="","",_xlfn.TEXTSPLIT(AF658,"-"))</f>
        <v>0</v>
      </c>
      <c r="AH658" s="168"/>
    </row>
    <row r="659" spans="26:34" ht="24" customHeight="1">
      <c r="Z659"/>
      <c r="AA659"/>
      <c r="AB659"/>
      <c r="AC659"/>
      <c r="AD659"/>
      <c r="AE659" s="168" t="str">
        <f t="shared" si="10"/>
        <v/>
      </c>
      <c r="AF659" s="168">
        <v>0</v>
      </c>
      <c r="AG659" s="168" t="str" cm="1">
        <f t="array" ref="AG659">IF(AF659="","",_xlfn.TEXTSPLIT(AF659,"-"))</f>
        <v>0</v>
      </c>
      <c r="AH659" s="168"/>
    </row>
    <row r="660" spans="26:34" ht="24" customHeight="1">
      <c r="Z660"/>
      <c r="AA660"/>
      <c r="AB660"/>
      <c r="AC660"/>
      <c r="AD660"/>
      <c r="AE660" s="168" t="str">
        <f t="shared" si="10"/>
        <v/>
      </c>
      <c r="AF660" s="168">
        <v>0</v>
      </c>
      <c r="AG660" s="168" t="str" cm="1">
        <f t="array" ref="AG660">IF(AF660="","",_xlfn.TEXTSPLIT(AF660,"-"))</f>
        <v>0</v>
      </c>
      <c r="AH660" s="168"/>
    </row>
    <row r="661" spans="26:34" ht="24" customHeight="1">
      <c r="Z661"/>
      <c r="AA661"/>
      <c r="AB661"/>
      <c r="AC661"/>
      <c r="AD661"/>
      <c r="AE661" s="168" t="str">
        <f t="shared" si="10"/>
        <v/>
      </c>
      <c r="AF661" s="168">
        <v>0</v>
      </c>
      <c r="AG661" s="168" t="str" cm="1">
        <f t="array" ref="AG661">IF(AF661="","",_xlfn.TEXTSPLIT(AF661,"-"))</f>
        <v>0</v>
      </c>
      <c r="AH661" s="168"/>
    </row>
    <row r="662" spans="26:34" ht="24" customHeight="1">
      <c r="Z662"/>
      <c r="AA662"/>
      <c r="AB662"/>
      <c r="AC662"/>
      <c r="AD662"/>
      <c r="AE662" s="168" t="str">
        <f t="shared" si="10"/>
        <v/>
      </c>
      <c r="AF662" s="168">
        <v>0</v>
      </c>
      <c r="AG662" s="168" t="str" cm="1">
        <f t="array" ref="AG662">IF(AF662="","",_xlfn.TEXTSPLIT(AF662,"-"))</f>
        <v>0</v>
      </c>
      <c r="AH662" s="168"/>
    </row>
    <row r="663" spans="26:34" ht="24" customHeight="1">
      <c r="Z663"/>
      <c r="AA663"/>
      <c r="AB663"/>
      <c r="AC663"/>
      <c r="AD663"/>
      <c r="AE663" s="168" t="str">
        <f t="shared" si="10"/>
        <v/>
      </c>
      <c r="AF663" s="168">
        <v>0</v>
      </c>
      <c r="AG663" s="168" t="str" cm="1">
        <f t="array" ref="AG663">IF(AF663="","",_xlfn.TEXTSPLIT(AF663,"-"))</f>
        <v>0</v>
      </c>
      <c r="AH663" s="168"/>
    </row>
    <row r="664" spans="26:34" ht="24" customHeight="1">
      <c r="Z664"/>
      <c r="AA664"/>
      <c r="AB664"/>
      <c r="AC664"/>
      <c r="AD664"/>
      <c r="AE664" s="168" t="str">
        <f t="shared" si="10"/>
        <v/>
      </c>
      <c r="AF664" s="168">
        <v>0</v>
      </c>
      <c r="AG664" s="168" t="str" cm="1">
        <f t="array" ref="AG664">IF(AF664="","",_xlfn.TEXTSPLIT(AF664,"-"))</f>
        <v>0</v>
      </c>
      <c r="AH664" s="168"/>
    </row>
    <row r="665" spans="26:34" ht="24" customHeight="1">
      <c r="Z665"/>
      <c r="AA665"/>
      <c r="AB665"/>
      <c r="AC665"/>
      <c r="AD665"/>
      <c r="AE665" s="168" t="str">
        <f t="shared" si="10"/>
        <v/>
      </c>
      <c r="AF665" s="168">
        <v>0</v>
      </c>
      <c r="AG665" s="168" t="str" cm="1">
        <f t="array" ref="AG665">IF(AF665="","",_xlfn.TEXTSPLIT(AF665,"-"))</f>
        <v>0</v>
      </c>
      <c r="AH665" s="168"/>
    </row>
    <row r="666" spans="26:34" ht="24" customHeight="1">
      <c r="Z666"/>
      <c r="AA666"/>
      <c r="AB666"/>
      <c r="AC666"/>
      <c r="AD666"/>
      <c r="AE666" s="168" t="str">
        <f t="shared" si="10"/>
        <v/>
      </c>
      <c r="AF666" s="168">
        <v>0</v>
      </c>
      <c r="AG666" s="168" t="str" cm="1">
        <f t="array" ref="AG666">IF(AF666="","",_xlfn.TEXTSPLIT(AF666,"-"))</f>
        <v>0</v>
      </c>
      <c r="AH666" s="168"/>
    </row>
    <row r="667" spans="26:34" ht="24" customHeight="1">
      <c r="Z667"/>
      <c r="AA667"/>
      <c r="AB667"/>
      <c r="AC667"/>
      <c r="AD667"/>
      <c r="AE667" s="168" t="str">
        <f t="shared" si="10"/>
        <v/>
      </c>
      <c r="AF667" s="168">
        <v>0</v>
      </c>
      <c r="AG667" s="168" t="str" cm="1">
        <f t="array" ref="AG667">IF(AF667="","",_xlfn.TEXTSPLIT(AF667,"-"))</f>
        <v>0</v>
      </c>
      <c r="AH667" s="168"/>
    </row>
    <row r="668" spans="26:34" ht="24" customHeight="1">
      <c r="Z668"/>
      <c r="AA668"/>
      <c r="AB668"/>
      <c r="AC668"/>
      <c r="AD668"/>
      <c r="AE668" s="168" t="str">
        <f t="shared" si="10"/>
        <v/>
      </c>
      <c r="AF668" s="168">
        <v>0</v>
      </c>
      <c r="AG668" s="168" t="str" cm="1">
        <f t="array" ref="AG668">IF(AF668="","",_xlfn.TEXTSPLIT(AF668,"-"))</f>
        <v>0</v>
      </c>
      <c r="AH668" s="168"/>
    </row>
    <row r="669" spans="26:34" ht="24" customHeight="1">
      <c r="Z669"/>
      <c r="AA669"/>
      <c r="AB669"/>
      <c r="AC669"/>
      <c r="AD669"/>
      <c r="AE669" s="168" t="str">
        <f t="shared" si="10"/>
        <v/>
      </c>
      <c r="AF669" s="168">
        <v>0</v>
      </c>
      <c r="AG669" s="168" t="str" cm="1">
        <f t="array" ref="AG669">IF(AF669="","",_xlfn.TEXTSPLIT(AF669,"-"))</f>
        <v>0</v>
      </c>
      <c r="AH669" s="168"/>
    </row>
    <row r="670" spans="26:34" ht="24" customHeight="1">
      <c r="Z670"/>
      <c r="AA670"/>
      <c r="AB670"/>
      <c r="AC670"/>
      <c r="AD670"/>
      <c r="AE670" s="168" t="str">
        <f t="shared" si="10"/>
        <v/>
      </c>
      <c r="AF670" s="168">
        <v>0</v>
      </c>
      <c r="AG670" s="168" t="str" cm="1">
        <f t="array" ref="AG670">IF(AF670="","",_xlfn.TEXTSPLIT(AF670,"-"))</f>
        <v>0</v>
      </c>
      <c r="AH670" s="168"/>
    </row>
    <row r="671" spans="26:34" ht="24" customHeight="1">
      <c r="Z671"/>
      <c r="AA671"/>
      <c r="AB671"/>
      <c r="AC671"/>
      <c r="AD671"/>
      <c r="AE671" s="168" t="str">
        <f t="shared" si="10"/>
        <v/>
      </c>
      <c r="AF671" s="168">
        <v>0</v>
      </c>
      <c r="AG671" s="168" t="str" cm="1">
        <f t="array" ref="AG671">IF(AF671="","",_xlfn.TEXTSPLIT(AF671,"-"))</f>
        <v>0</v>
      </c>
      <c r="AH671" s="168"/>
    </row>
    <row r="672" spans="26:34" ht="24" customHeight="1">
      <c r="Z672"/>
      <c r="AA672"/>
      <c r="AB672"/>
      <c r="AC672"/>
      <c r="AD672"/>
      <c r="AE672" s="168" t="str">
        <f t="shared" si="10"/>
        <v/>
      </c>
      <c r="AF672" s="168">
        <v>0</v>
      </c>
      <c r="AG672" s="168" t="str" cm="1">
        <f t="array" ref="AG672">IF(AF672="","",_xlfn.TEXTSPLIT(AF672,"-"))</f>
        <v>0</v>
      </c>
      <c r="AH672" s="168"/>
    </row>
    <row r="673" spans="26:34" ht="24" customHeight="1">
      <c r="Z673"/>
      <c r="AA673"/>
      <c r="AB673"/>
      <c r="AC673"/>
      <c r="AD673"/>
      <c r="AE673" s="168" t="str">
        <f t="shared" si="10"/>
        <v/>
      </c>
      <c r="AF673" s="168">
        <v>0</v>
      </c>
      <c r="AG673" s="168" t="str" cm="1">
        <f t="array" ref="AG673">IF(AF673="","",_xlfn.TEXTSPLIT(AF673,"-"))</f>
        <v>0</v>
      </c>
      <c r="AH673" s="168"/>
    </row>
    <row r="674" spans="26:34" ht="24" customHeight="1">
      <c r="Z674"/>
      <c r="AA674"/>
      <c r="AB674"/>
      <c r="AC674"/>
      <c r="AD674"/>
      <c r="AE674" s="168" t="str">
        <f t="shared" si="10"/>
        <v/>
      </c>
      <c r="AF674" s="168">
        <v>0</v>
      </c>
      <c r="AG674" s="168" t="str" cm="1">
        <f t="array" ref="AG674">IF(AF674="","",_xlfn.TEXTSPLIT(AF674,"-"))</f>
        <v>0</v>
      </c>
      <c r="AH674" s="168"/>
    </row>
    <row r="675" spans="26:34" ht="24" customHeight="1">
      <c r="Z675"/>
      <c r="AA675"/>
      <c r="AB675"/>
      <c r="AC675"/>
      <c r="AD675"/>
      <c r="AE675" s="168" t="str">
        <f t="shared" si="10"/>
        <v/>
      </c>
      <c r="AF675" s="168">
        <v>0</v>
      </c>
      <c r="AG675" s="168" t="str" cm="1">
        <f t="array" ref="AG675">IF(AF675="","",_xlfn.TEXTSPLIT(AF675,"-"))</f>
        <v>0</v>
      </c>
      <c r="AH675" s="168"/>
    </row>
    <row r="676" spans="26:34" ht="24" customHeight="1">
      <c r="Z676"/>
      <c r="AA676"/>
      <c r="AB676"/>
      <c r="AC676"/>
      <c r="AD676"/>
      <c r="AE676" s="168" t="str">
        <f t="shared" si="10"/>
        <v/>
      </c>
      <c r="AF676" s="168">
        <v>0</v>
      </c>
      <c r="AG676" s="168" t="str" cm="1">
        <f t="array" ref="AG676">IF(AF676="","",_xlfn.TEXTSPLIT(AF676,"-"))</f>
        <v>0</v>
      </c>
      <c r="AH676" s="168"/>
    </row>
    <row r="677" spans="26:34" ht="24" customHeight="1">
      <c r="Z677"/>
      <c r="AA677"/>
      <c r="AB677"/>
      <c r="AC677"/>
      <c r="AD677"/>
      <c r="AE677" s="168" t="str">
        <f t="shared" si="10"/>
        <v/>
      </c>
      <c r="AF677" s="168">
        <v>0</v>
      </c>
      <c r="AG677" s="168" t="str" cm="1">
        <f t="array" ref="AG677">IF(AF677="","",_xlfn.TEXTSPLIT(AF677,"-"))</f>
        <v>0</v>
      </c>
      <c r="AH677" s="168"/>
    </row>
    <row r="678" spans="26:34" ht="24" customHeight="1">
      <c r="Z678"/>
      <c r="AA678"/>
      <c r="AB678"/>
      <c r="AC678"/>
      <c r="AD678"/>
      <c r="AE678" s="168" t="str">
        <f t="shared" si="10"/>
        <v/>
      </c>
      <c r="AF678" s="168">
        <v>0</v>
      </c>
      <c r="AG678" s="168" t="str" cm="1">
        <f t="array" ref="AG678">IF(AF678="","",_xlfn.TEXTSPLIT(AF678,"-"))</f>
        <v>0</v>
      </c>
      <c r="AH678" s="168"/>
    </row>
    <row r="679" spans="26:34" ht="24" customHeight="1">
      <c r="Z679"/>
      <c r="AA679"/>
      <c r="AB679"/>
      <c r="AC679"/>
      <c r="AD679"/>
      <c r="AE679" s="168" t="str">
        <f t="shared" si="10"/>
        <v/>
      </c>
      <c r="AF679" s="168">
        <v>0</v>
      </c>
      <c r="AG679" s="168" t="str" cm="1">
        <f t="array" ref="AG679">IF(AF679="","",_xlfn.TEXTSPLIT(AF679,"-"))</f>
        <v>0</v>
      </c>
      <c r="AH679" s="168"/>
    </row>
    <row r="680" spans="26:34" ht="24" customHeight="1">
      <c r="Z680"/>
      <c r="AA680"/>
      <c r="AB680"/>
      <c r="AC680"/>
      <c r="AD680"/>
      <c r="AE680" s="168" t="str">
        <f t="shared" si="10"/>
        <v/>
      </c>
      <c r="AF680" s="168">
        <v>0</v>
      </c>
      <c r="AG680" s="168" t="str" cm="1">
        <f t="array" ref="AG680">IF(AF680="","",_xlfn.TEXTSPLIT(AF680,"-"))</f>
        <v>0</v>
      </c>
      <c r="AH680" s="168"/>
    </row>
    <row r="681" spans="26:34" ht="24" customHeight="1">
      <c r="Z681"/>
      <c r="AA681"/>
      <c r="AB681"/>
      <c r="AC681"/>
      <c r="AD681"/>
      <c r="AE681" s="168" t="str">
        <f t="shared" si="10"/>
        <v/>
      </c>
      <c r="AF681" s="168">
        <v>0</v>
      </c>
      <c r="AG681" s="168" t="str" cm="1">
        <f t="array" ref="AG681">IF(AF681="","",_xlfn.TEXTSPLIT(AF681,"-"))</f>
        <v>0</v>
      </c>
      <c r="AH681" s="168"/>
    </row>
    <row r="682" spans="26:34" ht="24" customHeight="1">
      <c r="Z682"/>
      <c r="AA682"/>
      <c r="AB682"/>
      <c r="AC682"/>
      <c r="AD682"/>
      <c r="AE682" s="168" t="str">
        <f t="shared" si="10"/>
        <v/>
      </c>
      <c r="AF682" s="168">
        <v>0</v>
      </c>
      <c r="AG682" s="168" t="str" cm="1">
        <f t="array" ref="AG682">IF(AF682="","",_xlfn.TEXTSPLIT(AF682,"-"))</f>
        <v>0</v>
      </c>
      <c r="AH682" s="168"/>
    </row>
    <row r="683" spans="26:34" ht="24" customHeight="1">
      <c r="Z683"/>
      <c r="AA683"/>
      <c r="AB683"/>
      <c r="AC683"/>
      <c r="AD683"/>
      <c r="AE683" s="168" t="str">
        <f t="shared" si="10"/>
        <v/>
      </c>
      <c r="AF683" s="168">
        <v>0</v>
      </c>
      <c r="AG683" s="168" t="str" cm="1">
        <f t="array" ref="AG683">IF(AF683="","",_xlfn.TEXTSPLIT(AF683,"-"))</f>
        <v>0</v>
      </c>
      <c r="AH683" s="168"/>
    </row>
    <row r="684" spans="26:34" ht="24" customHeight="1">
      <c r="Z684"/>
      <c r="AA684"/>
      <c r="AB684"/>
      <c r="AC684"/>
      <c r="AD684"/>
      <c r="AE684" s="168" t="str">
        <f t="shared" si="10"/>
        <v/>
      </c>
      <c r="AF684" s="168">
        <v>0</v>
      </c>
      <c r="AG684" s="168" t="str" cm="1">
        <f t="array" ref="AG684">IF(AF684="","",_xlfn.TEXTSPLIT(AF684,"-"))</f>
        <v>0</v>
      </c>
      <c r="AH684" s="168"/>
    </row>
    <row r="685" spans="26:34" ht="24" customHeight="1">
      <c r="Z685"/>
      <c r="AA685"/>
      <c r="AB685"/>
      <c r="AC685"/>
      <c r="AD685"/>
      <c r="AE685" s="168" t="str">
        <f t="shared" si="10"/>
        <v/>
      </c>
      <c r="AF685" s="168">
        <v>0</v>
      </c>
      <c r="AG685" s="168" t="str" cm="1">
        <f t="array" ref="AG685">IF(AF685="","",_xlfn.TEXTSPLIT(AF685,"-"))</f>
        <v>0</v>
      </c>
      <c r="AH685" s="168"/>
    </row>
    <row r="686" spans="26:34" ht="24" customHeight="1">
      <c r="Z686"/>
      <c r="AA686"/>
      <c r="AB686"/>
      <c r="AC686"/>
      <c r="AD686"/>
      <c r="AE686" s="168" t="str">
        <f t="shared" si="10"/>
        <v/>
      </c>
      <c r="AF686" s="168">
        <v>0</v>
      </c>
      <c r="AG686" s="168" t="str" cm="1">
        <f t="array" ref="AG686">IF(AF686="","",_xlfn.TEXTSPLIT(AF686,"-"))</f>
        <v>0</v>
      </c>
      <c r="AH686" s="168"/>
    </row>
    <row r="687" spans="26:34" ht="24" customHeight="1">
      <c r="Z687"/>
      <c r="AA687"/>
      <c r="AB687"/>
      <c r="AC687"/>
      <c r="AD687"/>
      <c r="AE687" s="168" t="str">
        <f t="shared" si="10"/>
        <v/>
      </c>
      <c r="AF687" s="168">
        <v>0</v>
      </c>
      <c r="AG687" s="168" t="str" cm="1">
        <f t="array" ref="AG687">IF(AF687="","",_xlfn.TEXTSPLIT(AF687,"-"))</f>
        <v>0</v>
      </c>
      <c r="AH687" s="168"/>
    </row>
    <row r="688" spans="26:34" ht="24" customHeight="1">
      <c r="Z688"/>
      <c r="AA688"/>
      <c r="AB688"/>
      <c r="AC688"/>
      <c r="AD688"/>
      <c r="AE688" s="168" t="str">
        <f t="shared" si="10"/>
        <v/>
      </c>
      <c r="AF688" s="168">
        <v>0</v>
      </c>
      <c r="AG688" s="168" t="str" cm="1">
        <f t="array" ref="AG688">IF(AF688="","",_xlfn.TEXTSPLIT(AF688,"-"))</f>
        <v>0</v>
      </c>
      <c r="AH688" s="168"/>
    </row>
    <row r="689" spans="26:34" ht="24" customHeight="1">
      <c r="Z689"/>
      <c r="AA689"/>
      <c r="AB689"/>
      <c r="AC689"/>
      <c r="AD689"/>
      <c r="AE689" s="168" t="str">
        <f t="shared" si="10"/>
        <v/>
      </c>
      <c r="AF689" s="168">
        <v>0</v>
      </c>
      <c r="AG689" s="168" t="str" cm="1">
        <f t="array" ref="AG689">IF(AF689="","",_xlfn.TEXTSPLIT(AF689,"-"))</f>
        <v>0</v>
      </c>
      <c r="AH689" s="168"/>
    </row>
    <row r="690" spans="26:34" ht="24" customHeight="1">
      <c r="Z690"/>
      <c r="AA690"/>
      <c r="AB690"/>
      <c r="AC690"/>
      <c r="AD690"/>
      <c r="AE690" s="168" t="str">
        <f t="shared" si="10"/>
        <v/>
      </c>
      <c r="AF690" s="168">
        <v>0</v>
      </c>
      <c r="AG690" s="168" t="str" cm="1">
        <f t="array" ref="AG690">IF(AF690="","",_xlfn.TEXTSPLIT(AF690,"-"))</f>
        <v>0</v>
      </c>
      <c r="AH690" s="168"/>
    </row>
    <row r="691" spans="26:34" ht="24" customHeight="1">
      <c r="Z691"/>
      <c r="AA691"/>
      <c r="AB691"/>
      <c r="AC691"/>
      <c r="AD691"/>
      <c r="AE691" s="168" t="str">
        <f t="shared" si="10"/>
        <v/>
      </c>
      <c r="AF691" s="168">
        <v>0</v>
      </c>
      <c r="AG691" s="168" t="str" cm="1">
        <f t="array" ref="AG691">IF(AF691="","",_xlfn.TEXTSPLIT(AF691,"-"))</f>
        <v>0</v>
      </c>
      <c r="AH691" s="168"/>
    </row>
    <row r="692" spans="26:34" ht="24" customHeight="1">
      <c r="Z692"/>
      <c r="AA692"/>
      <c r="AB692"/>
      <c r="AC692"/>
      <c r="AD692"/>
      <c r="AE692" s="168" t="str">
        <f t="shared" si="10"/>
        <v/>
      </c>
      <c r="AF692" s="168">
        <v>0</v>
      </c>
      <c r="AG692" s="168" t="str" cm="1">
        <f t="array" ref="AG692">IF(AF692="","",_xlfn.TEXTSPLIT(AF692,"-"))</f>
        <v>0</v>
      </c>
      <c r="AH692" s="168"/>
    </row>
    <row r="693" spans="26:34" ht="24" customHeight="1">
      <c r="Z693"/>
      <c r="AA693"/>
      <c r="AB693"/>
      <c r="AC693"/>
      <c r="AD693"/>
      <c r="AE693" s="168" t="str">
        <f t="shared" si="10"/>
        <v/>
      </c>
      <c r="AF693" s="168">
        <v>0</v>
      </c>
      <c r="AG693" s="168" t="str" cm="1">
        <f t="array" ref="AG693">IF(AF693="","",_xlfn.TEXTSPLIT(AF693,"-"))</f>
        <v>0</v>
      </c>
      <c r="AH693" s="168"/>
    </row>
    <row r="694" spans="26:34" ht="24" customHeight="1">
      <c r="Z694"/>
      <c r="AA694"/>
      <c r="AB694"/>
      <c r="AC694"/>
      <c r="AD694"/>
      <c r="AE694" s="168" t="str">
        <f t="shared" si="10"/>
        <v/>
      </c>
      <c r="AF694" s="168">
        <v>0</v>
      </c>
      <c r="AG694" s="168" t="str" cm="1">
        <f t="array" ref="AG694">IF(AF694="","",_xlfn.TEXTSPLIT(AF694,"-"))</f>
        <v>0</v>
      </c>
      <c r="AH694" s="168"/>
    </row>
    <row r="695" spans="26:34" ht="24" customHeight="1">
      <c r="Z695"/>
      <c r="AA695"/>
      <c r="AB695"/>
      <c r="AC695"/>
      <c r="AD695"/>
      <c r="AE695" s="168" t="str">
        <f t="shared" si="10"/>
        <v/>
      </c>
      <c r="AF695" s="168">
        <v>0</v>
      </c>
      <c r="AG695" s="168" t="str" cm="1">
        <f t="array" ref="AG695">IF(AF695="","",_xlfn.TEXTSPLIT(AF695,"-"))</f>
        <v>0</v>
      </c>
      <c r="AH695" s="168"/>
    </row>
    <row r="696" spans="26:34" ht="24" customHeight="1">
      <c r="Z696"/>
      <c r="AA696"/>
      <c r="AB696"/>
      <c r="AC696"/>
      <c r="AD696"/>
      <c r="AE696" s="168" t="str">
        <f t="shared" si="10"/>
        <v/>
      </c>
      <c r="AF696" s="168">
        <v>0</v>
      </c>
      <c r="AG696" s="168" t="str" cm="1">
        <f t="array" ref="AG696">IF(AF696="","",_xlfn.TEXTSPLIT(AF696,"-"))</f>
        <v>0</v>
      </c>
      <c r="AH696" s="168"/>
    </row>
    <row r="697" spans="26:34" ht="24" customHeight="1">
      <c r="Z697"/>
      <c r="AA697"/>
      <c r="AB697"/>
      <c r="AC697"/>
      <c r="AD697"/>
      <c r="AE697" s="168" t="str">
        <f t="shared" si="10"/>
        <v/>
      </c>
      <c r="AF697" s="168">
        <v>0</v>
      </c>
      <c r="AG697" s="168" t="str" cm="1">
        <f t="array" ref="AG697">IF(AF697="","",_xlfn.TEXTSPLIT(AF697,"-"))</f>
        <v>0</v>
      </c>
      <c r="AH697" s="168"/>
    </row>
    <row r="698" spans="26:34" ht="24" customHeight="1">
      <c r="Z698"/>
      <c r="AA698"/>
      <c r="AB698"/>
      <c r="AC698"/>
      <c r="AD698"/>
      <c r="AE698" s="168" t="str">
        <f t="shared" si="10"/>
        <v/>
      </c>
      <c r="AF698" s="168">
        <v>0</v>
      </c>
      <c r="AG698" s="168" t="str" cm="1">
        <f t="array" ref="AG698">IF(AF698="","",_xlfn.TEXTSPLIT(AF698,"-"))</f>
        <v>0</v>
      </c>
      <c r="AH698" s="168"/>
    </row>
    <row r="699" spans="26:34" ht="24" customHeight="1">
      <c r="Z699"/>
      <c r="AA699"/>
      <c r="AB699"/>
      <c r="AC699"/>
      <c r="AD699"/>
      <c r="AE699" s="168" t="str">
        <f t="shared" si="10"/>
        <v/>
      </c>
      <c r="AF699" s="168">
        <v>0</v>
      </c>
      <c r="AG699" s="168" t="str" cm="1">
        <f t="array" ref="AG699">IF(AF699="","",_xlfn.TEXTSPLIT(AF699,"-"))</f>
        <v>0</v>
      </c>
      <c r="AH699" s="168"/>
    </row>
    <row r="700" spans="26:34" ht="24" customHeight="1">
      <c r="Z700"/>
      <c r="AA700"/>
      <c r="AB700"/>
      <c r="AC700"/>
      <c r="AD700"/>
      <c r="AE700" s="168" t="str">
        <f t="shared" si="10"/>
        <v/>
      </c>
      <c r="AF700" s="168">
        <v>0</v>
      </c>
      <c r="AG700" s="168" t="str" cm="1">
        <f t="array" ref="AG700">IF(AF700="","",_xlfn.TEXTSPLIT(AF700,"-"))</f>
        <v>0</v>
      </c>
      <c r="AH700" s="168"/>
    </row>
    <row r="701" spans="26:34" ht="24" customHeight="1">
      <c r="Z701"/>
      <c r="AA701"/>
      <c r="AB701"/>
      <c r="AC701"/>
      <c r="AD701"/>
      <c r="AE701" s="168" t="str">
        <f t="shared" si="10"/>
        <v/>
      </c>
      <c r="AF701" s="168">
        <v>0</v>
      </c>
      <c r="AG701" s="168" t="str" cm="1">
        <f t="array" ref="AG701">IF(AF701="","",_xlfn.TEXTSPLIT(AF701,"-"))</f>
        <v>0</v>
      </c>
      <c r="AH701" s="168"/>
    </row>
    <row r="702" spans="26:34" ht="24" customHeight="1">
      <c r="Z702"/>
      <c r="AA702"/>
      <c r="AB702"/>
      <c r="AC702"/>
      <c r="AD702"/>
      <c r="AE702" s="168" t="str">
        <f t="shared" si="10"/>
        <v/>
      </c>
      <c r="AF702" s="168">
        <v>0</v>
      </c>
      <c r="AG702" s="168" t="str" cm="1">
        <f t="array" ref="AG702">IF(AF702="","",_xlfn.TEXTSPLIT(AF702,"-"))</f>
        <v>0</v>
      </c>
      <c r="AH702" s="168"/>
    </row>
    <row r="703" spans="26:34" ht="24" customHeight="1">
      <c r="Z703"/>
      <c r="AA703"/>
      <c r="AB703"/>
      <c r="AC703"/>
      <c r="AD703"/>
      <c r="AE703" s="168" t="str">
        <f t="shared" si="10"/>
        <v/>
      </c>
      <c r="AF703" s="168">
        <v>0</v>
      </c>
      <c r="AG703" s="168" t="str" cm="1">
        <f t="array" ref="AG703">IF(AF703="","",_xlfn.TEXTSPLIT(AF703,"-"))</f>
        <v>0</v>
      </c>
      <c r="AH703" s="168"/>
    </row>
    <row r="704" spans="26:34" ht="24" customHeight="1">
      <c r="Z704"/>
      <c r="AA704"/>
      <c r="AB704"/>
      <c r="AC704"/>
      <c r="AD704"/>
      <c r="AE704" s="168" t="str">
        <f t="shared" si="10"/>
        <v/>
      </c>
      <c r="AF704" s="168">
        <v>0</v>
      </c>
      <c r="AG704" s="168" t="str" cm="1">
        <f t="array" ref="AG704">IF(AF704="","",_xlfn.TEXTSPLIT(AF704,"-"))</f>
        <v>0</v>
      </c>
      <c r="AH704" s="168"/>
    </row>
    <row r="705" spans="26:34" ht="24" customHeight="1">
      <c r="Z705"/>
      <c r="AA705"/>
      <c r="AB705"/>
      <c r="AC705"/>
      <c r="AD705"/>
      <c r="AE705" s="168" t="str">
        <f t="shared" si="10"/>
        <v/>
      </c>
      <c r="AF705" s="168">
        <v>0</v>
      </c>
      <c r="AG705" s="168" t="str" cm="1">
        <f t="array" ref="AG705">IF(AF705="","",_xlfn.TEXTSPLIT(AF705,"-"))</f>
        <v>0</v>
      </c>
      <c r="AH705" s="168"/>
    </row>
    <row r="706" spans="26:34" ht="24" customHeight="1">
      <c r="Z706"/>
      <c r="AA706"/>
      <c r="AB706"/>
      <c r="AC706"/>
      <c r="AD706"/>
      <c r="AE706" s="168" t="str">
        <f t="shared" si="10"/>
        <v/>
      </c>
      <c r="AF706" s="168">
        <v>0</v>
      </c>
      <c r="AG706" s="168" t="str" cm="1">
        <f t="array" ref="AG706">IF(AF706="","",_xlfn.TEXTSPLIT(AF706,"-"))</f>
        <v>0</v>
      </c>
      <c r="AH706" s="168"/>
    </row>
    <row r="707" spans="26:34" ht="24" customHeight="1">
      <c r="Z707"/>
      <c r="AA707"/>
      <c r="AB707"/>
      <c r="AC707"/>
      <c r="AD707"/>
      <c r="AE707" s="168" t="str">
        <f t="shared" si="10"/>
        <v/>
      </c>
      <c r="AF707" s="168">
        <v>0</v>
      </c>
      <c r="AG707" s="168" t="str" cm="1">
        <f t="array" ref="AG707">IF(AF707="","",_xlfn.TEXTSPLIT(AF707,"-"))</f>
        <v>0</v>
      </c>
      <c r="AH707" s="168"/>
    </row>
    <row r="708" spans="26:34" ht="24" customHeight="1">
      <c r="Z708"/>
      <c r="AA708"/>
      <c r="AB708"/>
      <c r="AC708"/>
      <c r="AD708"/>
      <c r="AE708" s="168" t="str">
        <f t="shared" si="10"/>
        <v/>
      </c>
      <c r="AF708" s="168">
        <v>0</v>
      </c>
      <c r="AG708" s="168" t="str" cm="1">
        <f t="array" ref="AG708">IF(AF708="","",_xlfn.TEXTSPLIT(AF708,"-"))</f>
        <v>0</v>
      </c>
      <c r="AH708" s="168"/>
    </row>
    <row r="709" spans="26:34" ht="24" customHeight="1">
      <c r="Z709"/>
      <c r="AA709"/>
      <c r="AB709"/>
      <c r="AC709"/>
      <c r="AD709"/>
      <c r="AE709" s="168" t="str">
        <f t="shared" ref="AE709:AE772" si="11">IF(AH709="","",AH709*1)</f>
        <v/>
      </c>
      <c r="AF709" s="168">
        <v>0</v>
      </c>
      <c r="AG709" s="168" t="str" cm="1">
        <f t="array" ref="AG709">IF(AF709="","",_xlfn.TEXTSPLIT(AF709,"-"))</f>
        <v>0</v>
      </c>
      <c r="AH709" s="168"/>
    </row>
    <row r="710" spans="26:34" ht="24" customHeight="1">
      <c r="Z710"/>
      <c r="AA710"/>
      <c r="AB710"/>
      <c r="AC710"/>
      <c r="AD710"/>
      <c r="AE710" s="168" t="str">
        <f t="shared" si="11"/>
        <v/>
      </c>
      <c r="AF710" s="168">
        <v>0</v>
      </c>
      <c r="AG710" s="168" t="str" cm="1">
        <f t="array" ref="AG710">IF(AF710="","",_xlfn.TEXTSPLIT(AF710,"-"))</f>
        <v>0</v>
      </c>
      <c r="AH710" s="168"/>
    </row>
    <row r="711" spans="26:34" ht="24" customHeight="1">
      <c r="Z711"/>
      <c r="AA711"/>
      <c r="AB711"/>
      <c r="AC711"/>
      <c r="AD711"/>
      <c r="AE711" s="168" t="str">
        <f t="shared" si="11"/>
        <v/>
      </c>
      <c r="AF711" s="168">
        <v>0</v>
      </c>
      <c r="AG711" s="168" t="str" cm="1">
        <f t="array" ref="AG711">IF(AF711="","",_xlfn.TEXTSPLIT(AF711,"-"))</f>
        <v>0</v>
      </c>
      <c r="AH711" s="168"/>
    </row>
    <row r="712" spans="26:34" ht="24" customHeight="1">
      <c r="Z712"/>
      <c r="AA712"/>
      <c r="AB712"/>
      <c r="AC712"/>
      <c r="AD712"/>
      <c r="AE712" s="168" t="str">
        <f t="shared" si="11"/>
        <v/>
      </c>
      <c r="AF712" s="168">
        <v>0</v>
      </c>
      <c r="AG712" s="168" t="str" cm="1">
        <f t="array" ref="AG712">IF(AF712="","",_xlfn.TEXTSPLIT(AF712,"-"))</f>
        <v>0</v>
      </c>
      <c r="AH712" s="168"/>
    </row>
    <row r="713" spans="26:34" ht="24" customHeight="1">
      <c r="Z713"/>
      <c r="AA713"/>
      <c r="AB713"/>
      <c r="AC713"/>
      <c r="AD713"/>
      <c r="AE713" s="168" t="str">
        <f t="shared" si="11"/>
        <v/>
      </c>
      <c r="AF713" s="168">
        <v>0</v>
      </c>
      <c r="AG713" s="168" t="str" cm="1">
        <f t="array" ref="AG713">IF(AF713="","",_xlfn.TEXTSPLIT(AF713,"-"))</f>
        <v>0</v>
      </c>
      <c r="AH713" s="168"/>
    </row>
    <row r="714" spans="26:34" ht="24" customHeight="1">
      <c r="Z714"/>
      <c r="AA714"/>
      <c r="AB714"/>
      <c r="AC714"/>
      <c r="AD714"/>
      <c r="AE714" s="168" t="str">
        <f t="shared" si="11"/>
        <v/>
      </c>
      <c r="AF714" s="168">
        <v>0</v>
      </c>
      <c r="AG714" s="168" t="str" cm="1">
        <f t="array" ref="AG714">IF(AF714="","",_xlfn.TEXTSPLIT(AF714,"-"))</f>
        <v>0</v>
      </c>
      <c r="AH714" s="168"/>
    </row>
    <row r="715" spans="26:34" ht="24" customHeight="1">
      <c r="Z715"/>
      <c r="AA715"/>
      <c r="AB715"/>
      <c r="AC715"/>
      <c r="AD715"/>
      <c r="AE715" s="168" t="str">
        <f t="shared" si="11"/>
        <v/>
      </c>
      <c r="AF715" s="168">
        <v>0</v>
      </c>
      <c r="AG715" s="168" t="str" cm="1">
        <f t="array" ref="AG715">IF(AF715="","",_xlfn.TEXTSPLIT(AF715,"-"))</f>
        <v>0</v>
      </c>
      <c r="AH715" s="168"/>
    </row>
    <row r="716" spans="26:34" ht="24" customHeight="1">
      <c r="Z716"/>
      <c r="AA716"/>
      <c r="AB716"/>
      <c r="AC716"/>
      <c r="AD716"/>
      <c r="AE716" s="168" t="str">
        <f t="shared" si="11"/>
        <v/>
      </c>
      <c r="AF716" s="168">
        <v>0</v>
      </c>
      <c r="AG716" s="168" t="str" cm="1">
        <f t="array" ref="AG716">IF(AF716="","",_xlfn.TEXTSPLIT(AF716,"-"))</f>
        <v>0</v>
      </c>
      <c r="AH716" s="168"/>
    </row>
    <row r="717" spans="26:34" ht="24" customHeight="1">
      <c r="Z717"/>
      <c r="AA717"/>
      <c r="AB717"/>
      <c r="AC717"/>
      <c r="AD717"/>
      <c r="AE717" s="168" t="str">
        <f t="shared" si="11"/>
        <v/>
      </c>
      <c r="AF717" s="168">
        <v>0</v>
      </c>
      <c r="AG717" s="168" t="str" cm="1">
        <f t="array" ref="AG717">IF(AF717="","",_xlfn.TEXTSPLIT(AF717,"-"))</f>
        <v>0</v>
      </c>
      <c r="AH717" s="168"/>
    </row>
    <row r="718" spans="26:34" ht="24" customHeight="1">
      <c r="Z718"/>
      <c r="AA718"/>
      <c r="AB718"/>
      <c r="AC718"/>
      <c r="AD718"/>
      <c r="AE718" s="168" t="str">
        <f t="shared" si="11"/>
        <v/>
      </c>
      <c r="AF718" s="168">
        <v>0</v>
      </c>
      <c r="AG718" s="168" t="str" cm="1">
        <f t="array" ref="AG718">IF(AF718="","",_xlfn.TEXTSPLIT(AF718,"-"))</f>
        <v>0</v>
      </c>
      <c r="AH718" s="168"/>
    </row>
    <row r="719" spans="26:34" ht="24" customHeight="1">
      <c r="Z719"/>
      <c r="AA719"/>
      <c r="AB719"/>
      <c r="AC719"/>
      <c r="AD719"/>
      <c r="AE719" s="168" t="str">
        <f t="shared" si="11"/>
        <v/>
      </c>
      <c r="AF719" s="168">
        <v>0</v>
      </c>
      <c r="AG719" s="168" t="str" cm="1">
        <f t="array" ref="AG719">IF(AF719="","",_xlfn.TEXTSPLIT(AF719,"-"))</f>
        <v>0</v>
      </c>
      <c r="AH719" s="168"/>
    </row>
    <row r="720" spans="26:34" ht="24" customHeight="1">
      <c r="Z720"/>
      <c r="AA720"/>
      <c r="AB720"/>
      <c r="AC720"/>
      <c r="AD720"/>
      <c r="AE720" s="168" t="str">
        <f t="shared" si="11"/>
        <v/>
      </c>
      <c r="AF720" s="168">
        <v>0</v>
      </c>
      <c r="AG720" s="168" t="str" cm="1">
        <f t="array" ref="AG720">IF(AF720="","",_xlfn.TEXTSPLIT(AF720,"-"))</f>
        <v>0</v>
      </c>
      <c r="AH720" s="168"/>
    </row>
    <row r="721" spans="26:34" ht="24" customHeight="1">
      <c r="Z721"/>
      <c r="AA721"/>
      <c r="AB721"/>
      <c r="AC721"/>
      <c r="AD721"/>
      <c r="AE721" s="168" t="str">
        <f t="shared" si="11"/>
        <v/>
      </c>
      <c r="AF721" s="168">
        <v>0</v>
      </c>
      <c r="AG721" s="168" t="str" cm="1">
        <f t="array" ref="AG721">IF(AF721="","",_xlfn.TEXTSPLIT(AF721,"-"))</f>
        <v>0</v>
      </c>
      <c r="AH721" s="168"/>
    </row>
    <row r="722" spans="26:34" ht="24" customHeight="1">
      <c r="Z722"/>
      <c r="AA722"/>
      <c r="AB722"/>
      <c r="AC722"/>
      <c r="AD722"/>
      <c r="AE722" s="168" t="str">
        <f t="shared" si="11"/>
        <v/>
      </c>
      <c r="AF722" s="168">
        <v>0</v>
      </c>
      <c r="AG722" s="168" t="str" cm="1">
        <f t="array" ref="AG722">IF(AF722="","",_xlfn.TEXTSPLIT(AF722,"-"))</f>
        <v>0</v>
      </c>
      <c r="AH722" s="168"/>
    </row>
    <row r="723" spans="26:34" ht="24" customHeight="1">
      <c r="Z723"/>
      <c r="AA723"/>
      <c r="AB723"/>
      <c r="AC723"/>
      <c r="AD723"/>
      <c r="AE723" s="168" t="str">
        <f t="shared" si="11"/>
        <v/>
      </c>
      <c r="AF723" s="168">
        <v>0</v>
      </c>
      <c r="AG723" s="168" t="str" cm="1">
        <f t="array" ref="AG723">IF(AF723="","",_xlfn.TEXTSPLIT(AF723,"-"))</f>
        <v>0</v>
      </c>
      <c r="AH723" s="168"/>
    </row>
    <row r="724" spans="26:34" ht="24" customHeight="1">
      <c r="Z724"/>
      <c r="AA724"/>
      <c r="AB724"/>
      <c r="AC724"/>
      <c r="AD724"/>
      <c r="AE724" s="168" t="str">
        <f t="shared" si="11"/>
        <v/>
      </c>
      <c r="AF724" s="168">
        <v>0</v>
      </c>
      <c r="AG724" s="168" t="str" cm="1">
        <f t="array" ref="AG724">IF(AF724="","",_xlfn.TEXTSPLIT(AF724,"-"))</f>
        <v>0</v>
      </c>
      <c r="AH724" s="168"/>
    </row>
    <row r="725" spans="26:34" ht="24" customHeight="1">
      <c r="Z725"/>
      <c r="AA725"/>
      <c r="AB725"/>
      <c r="AC725"/>
      <c r="AD725"/>
      <c r="AE725" s="168" t="str">
        <f t="shared" si="11"/>
        <v/>
      </c>
      <c r="AF725" s="168">
        <v>0</v>
      </c>
      <c r="AG725" s="168" t="str" cm="1">
        <f t="array" ref="AG725">IF(AF725="","",_xlfn.TEXTSPLIT(AF725,"-"))</f>
        <v>0</v>
      </c>
      <c r="AH725" s="168"/>
    </row>
    <row r="726" spans="26:34" ht="24" customHeight="1">
      <c r="Z726"/>
      <c r="AA726"/>
      <c r="AB726"/>
      <c r="AC726"/>
      <c r="AD726"/>
      <c r="AE726" s="168" t="str">
        <f t="shared" si="11"/>
        <v/>
      </c>
      <c r="AF726" s="168">
        <v>0</v>
      </c>
      <c r="AG726" s="168" t="str" cm="1">
        <f t="array" ref="AG726">IF(AF726="","",_xlfn.TEXTSPLIT(AF726,"-"))</f>
        <v>0</v>
      </c>
      <c r="AH726" s="168"/>
    </row>
    <row r="727" spans="26:34" ht="24" customHeight="1">
      <c r="Z727"/>
      <c r="AA727"/>
      <c r="AB727"/>
      <c r="AC727"/>
      <c r="AD727"/>
      <c r="AE727" s="168" t="str">
        <f t="shared" si="11"/>
        <v/>
      </c>
      <c r="AF727" s="168">
        <v>0</v>
      </c>
      <c r="AG727" s="168" t="str" cm="1">
        <f t="array" ref="AG727">IF(AF727="","",_xlfn.TEXTSPLIT(AF727,"-"))</f>
        <v>0</v>
      </c>
      <c r="AH727" s="168"/>
    </row>
    <row r="728" spans="26:34" ht="24" customHeight="1">
      <c r="Z728"/>
      <c r="AA728"/>
      <c r="AB728"/>
      <c r="AC728"/>
      <c r="AD728"/>
      <c r="AE728" s="168" t="str">
        <f t="shared" si="11"/>
        <v/>
      </c>
      <c r="AF728" s="168">
        <v>0</v>
      </c>
      <c r="AG728" s="168" t="str" cm="1">
        <f t="array" ref="AG728">IF(AF728="","",_xlfn.TEXTSPLIT(AF728,"-"))</f>
        <v>0</v>
      </c>
      <c r="AH728" s="168"/>
    </row>
    <row r="729" spans="26:34" ht="24" customHeight="1">
      <c r="Z729"/>
      <c r="AA729"/>
      <c r="AB729"/>
      <c r="AC729"/>
      <c r="AD729"/>
      <c r="AE729" s="168" t="str">
        <f t="shared" si="11"/>
        <v/>
      </c>
      <c r="AF729" s="168">
        <v>0</v>
      </c>
      <c r="AG729" s="168" t="str" cm="1">
        <f t="array" ref="AG729">IF(AF729="","",_xlfn.TEXTSPLIT(AF729,"-"))</f>
        <v>0</v>
      </c>
      <c r="AH729" s="168"/>
    </row>
    <row r="730" spans="26:34" ht="24" customHeight="1">
      <c r="Z730"/>
      <c r="AA730"/>
      <c r="AB730"/>
      <c r="AC730"/>
      <c r="AD730"/>
      <c r="AE730" s="168" t="str">
        <f t="shared" si="11"/>
        <v/>
      </c>
      <c r="AF730" s="168">
        <v>0</v>
      </c>
      <c r="AG730" s="168" t="str" cm="1">
        <f t="array" ref="AG730">IF(AF730="","",_xlfn.TEXTSPLIT(AF730,"-"))</f>
        <v>0</v>
      </c>
      <c r="AH730" s="168"/>
    </row>
    <row r="731" spans="26:34" ht="24" customHeight="1">
      <c r="Z731"/>
      <c r="AA731"/>
      <c r="AB731"/>
      <c r="AC731"/>
      <c r="AD731"/>
      <c r="AE731" s="168" t="str">
        <f t="shared" si="11"/>
        <v/>
      </c>
      <c r="AF731" s="168">
        <v>0</v>
      </c>
      <c r="AG731" s="168" t="str" cm="1">
        <f t="array" ref="AG731">IF(AF731="","",_xlfn.TEXTSPLIT(AF731,"-"))</f>
        <v>0</v>
      </c>
      <c r="AH731" s="168"/>
    </row>
    <row r="732" spans="26:34" ht="24" customHeight="1">
      <c r="Z732"/>
      <c r="AA732"/>
      <c r="AB732"/>
      <c r="AC732"/>
      <c r="AD732"/>
      <c r="AE732" s="168" t="str">
        <f t="shared" si="11"/>
        <v/>
      </c>
      <c r="AF732" s="168">
        <v>0</v>
      </c>
      <c r="AG732" s="168" t="str" cm="1">
        <f t="array" ref="AG732">IF(AF732="","",_xlfn.TEXTSPLIT(AF732,"-"))</f>
        <v>0</v>
      </c>
      <c r="AH732" s="168"/>
    </row>
    <row r="733" spans="26:34" ht="24" customHeight="1">
      <c r="Z733"/>
      <c r="AA733"/>
      <c r="AB733"/>
      <c r="AC733"/>
      <c r="AD733"/>
      <c r="AE733" s="168" t="str">
        <f t="shared" si="11"/>
        <v/>
      </c>
      <c r="AF733" s="168">
        <v>0</v>
      </c>
      <c r="AG733" s="168" t="str" cm="1">
        <f t="array" ref="AG733">IF(AF733="","",_xlfn.TEXTSPLIT(AF733,"-"))</f>
        <v>0</v>
      </c>
      <c r="AH733" s="168"/>
    </row>
    <row r="734" spans="26:34" ht="24" customHeight="1">
      <c r="Z734"/>
      <c r="AA734"/>
      <c r="AB734"/>
      <c r="AC734"/>
      <c r="AD734"/>
      <c r="AE734" s="168" t="str">
        <f t="shared" si="11"/>
        <v/>
      </c>
      <c r="AF734" s="168">
        <v>0</v>
      </c>
      <c r="AG734" s="168" t="str" cm="1">
        <f t="array" ref="AG734">IF(AF734="","",_xlfn.TEXTSPLIT(AF734,"-"))</f>
        <v>0</v>
      </c>
      <c r="AH734" s="168"/>
    </row>
    <row r="735" spans="26:34" ht="24" customHeight="1">
      <c r="Z735"/>
      <c r="AA735"/>
      <c r="AB735"/>
      <c r="AC735"/>
      <c r="AD735"/>
      <c r="AE735" s="168" t="str">
        <f t="shared" si="11"/>
        <v/>
      </c>
      <c r="AF735" s="168">
        <v>0</v>
      </c>
      <c r="AG735" s="168" t="str" cm="1">
        <f t="array" ref="AG735">IF(AF735="","",_xlfn.TEXTSPLIT(AF735,"-"))</f>
        <v>0</v>
      </c>
      <c r="AH735" s="168"/>
    </row>
    <row r="736" spans="26:34" ht="24" customHeight="1">
      <c r="Z736"/>
      <c r="AA736"/>
      <c r="AB736"/>
      <c r="AC736"/>
      <c r="AD736"/>
      <c r="AE736" s="168" t="str">
        <f t="shared" si="11"/>
        <v/>
      </c>
      <c r="AF736" s="168">
        <v>0</v>
      </c>
      <c r="AG736" s="168" t="str" cm="1">
        <f t="array" ref="AG736">IF(AF736="","",_xlfn.TEXTSPLIT(AF736,"-"))</f>
        <v>0</v>
      </c>
      <c r="AH736" s="168"/>
    </row>
    <row r="737" spans="26:34" ht="24" customHeight="1">
      <c r="Z737"/>
      <c r="AA737"/>
      <c r="AB737"/>
      <c r="AC737"/>
      <c r="AD737"/>
      <c r="AE737" s="168" t="str">
        <f t="shared" si="11"/>
        <v/>
      </c>
      <c r="AF737" s="168">
        <v>0</v>
      </c>
      <c r="AG737" s="168" t="str" cm="1">
        <f t="array" ref="AG737">IF(AF737="","",_xlfn.TEXTSPLIT(AF737,"-"))</f>
        <v>0</v>
      </c>
      <c r="AH737" s="168"/>
    </row>
    <row r="738" spans="26:34" ht="24" customHeight="1">
      <c r="Z738"/>
      <c r="AA738"/>
      <c r="AB738"/>
      <c r="AC738"/>
      <c r="AD738"/>
      <c r="AE738" s="168" t="str">
        <f t="shared" si="11"/>
        <v/>
      </c>
      <c r="AF738" s="168">
        <v>0</v>
      </c>
      <c r="AG738" s="168" t="str" cm="1">
        <f t="array" ref="AG738">IF(AF738="","",_xlfn.TEXTSPLIT(AF738,"-"))</f>
        <v>0</v>
      </c>
      <c r="AH738" s="168"/>
    </row>
    <row r="739" spans="26:34" ht="24" customHeight="1">
      <c r="Z739"/>
      <c r="AA739"/>
      <c r="AB739"/>
      <c r="AC739"/>
      <c r="AD739"/>
      <c r="AE739" s="168" t="str">
        <f t="shared" si="11"/>
        <v/>
      </c>
      <c r="AF739" s="168">
        <v>0</v>
      </c>
      <c r="AG739" s="168" t="str" cm="1">
        <f t="array" ref="AG739">IF(AF739="","",_xlfn.TEXTSPLIT(AF739,"-"))</f>
        <v>0</v>
      </c>
      <c r="AH739" s="168"/>
    </row>
    <row r="740" spans="26:34" ht="24" customHeight="1">
      <c r="Z740"/>
      <c r="AA740"/>
      <c r="AB740"/>
      <c r="AC740"/>
      <c r="AD740"/>
      <c r="AE740" s="168" t="str">
        <f t="shared" si="11"/>
        <v/>
      </c>
      <c r="AF740" s="168">
        <v>0</v>
      </c>
      <c r="AG740" s="168" t="str" cm="1">
        <f t="array" ref="AG740">IF(AF740="","",_xlfn.TEXTSPLIT(AF740,"-"))</f>
        <v>0</v>
      </c>
      <c r="AH740" s="168"/>
    </row>
    <row r="741" spans="26:34" ht="24" customHeight="1">
      <c r="Z741"/>
      <c r="AA741"/>
      <c r="AB741"/>
      <c r="AC741"/>
      <c r="AD741"/>
      <c r="AE741" s="168" t="str">
        <f t="shared" si="11"/>
        <v/>
      </c>
      <c r="AF741" s="168">
        <v>0</v>
      </c>
      <c r="AG741" s="168" t="str" cm="1">
        <f t="array" ref="AG741">IF(AF741="","",_xlfn.TEXTSPLIT(AF741,"-"))</f>
        <v>0</v>
      </c>
      <c r="AH741" s="168"/>
    </row>
    <row r="742" spans="26:34" ht="24" customHeight="1">
      <c r="Z742"/>
      <c r="AA742"/>
      <c r="AB742"/>
      <c r="AC742"/>
      <c r="AD742"/>
      <c r="AE742" s="168" t="str">
        <f t="shared" si="11"/>
        <v/>
      </c>
      <c r="AF742" s="168">
        <v>0</v>
      </c>
      <c r="AG742" s="168" t="str" cm="1">
        <f t="array" ref="AG742">IF(AF742="","",_xlfn.TEXTSPLIT(AF742,"-"))</f>
        <v>0</v>
      </c>
      <c r="AH742" s="168"/>
    </row>
    <row r="743" spans="26:34" ht="24" customHeight="1">
      <c r="Z743"/>
      <c r="AA743"/>
      <c r="AB743"/>
      <c r="AC743"/>
      <c r="AD743"/>
      <c r="AE743" s="168" t="str">
        <f t="shared" si="11"/>
        <v/>
      </c>
      <c r="AF743" s="168">
        <v>0</v>
      </c>
      <c r="AG743" s="168" t="str" cm="1">
        <f t="array" ref="AG743">IF(AF743="","",_xlfn.TEXTSPLIT(AF743,"-"))</f>
        <v>0</v>
      </c>
      <c r="AH743" s="168"/>
    </row>
    <row r="744" spans="26:34" ht="24" customHeight="1">
      <c r="Z744"/>
      <c r="AA744"/>
      <c r="AB744"/>
      <c r="AC744"/>
      <c r="AD744"/>
      <c r="AE744" s="168" t="str">
        <f t="shared" si="11"/>
        <v/>
      </c>
      <c r="AF744" s="168">
        <v>0</v>
      </c>
      <c r="AG744" s="168" t="str" cm="1">
        <f t="array" ref="AG744">IF(AF744="","",_xlfn.TEXTSPLIT(AF744,"-"))</f>
        <v>0</v>
      </c>
      <c r="AH744" s="168"/>
    </row>
    <row r="745" spans="26:34" ht="24" customHeight="1">
      <c r="Z745"/>
      <c r="AA745"/>
      <c r="AB745"/>
      <c r="AC745"/>
      <c r="AD745"/>
      <c r="AE745" s="168" t="str">
        <f t="shared" si="11"/>
        <v/>
      </c>
      <c r="AF745" s="168">
        <v>0</v>
      </c>
      <c r="AG745" s="168" t="str" cm="1">
        <f t="array" ref="AG745">IF(AF745="","",_xlfn.TEXTSPLIT(AF745,"-"))</f>
        <v>0</v>
      </c>
      <c r="AH745" s="168"/>
    </row>
    <row r="746" spans="26:34" ht="24" customHeight="1">
      <c r="Z746"/>
      <c r="AA746"/>
      <c r="AB746"/>
      <c r="AC746"/>
      <c r="AD746"/>
      <c r="AE746" s="168" t="str">
        <f t="shared" si="11"/>
        <v/>
      </c>
      <c r="AF746" s="168">
        <v>0</v>
      </c>
      <c r="AG746" s="168" t="str" cm="1">
        <f t="array" ref="AG746">IF(AF746="","",_xlfn.TEXTSPLIT(AF746,"-"))</f>
        <v>0</v>
      </c>
      <c r="AH746" s="168"/>
    </row>
    <row r="747" spans="26:34" ht="24" customHeight="1">
      <c r="Z747"/>
      <c r="AA747"/>
      <c r="AB747"/>
      <c r="AC747"/>
      <c r="AD747"/>
      <c r="AE747" s="168" t="str">
        <f t="shared" si="11"/>
        <v/>
      </c>
      <c r="AF747" s="168">
        <v>0</v>
      </c>
      <c r="AG747" s="168" t="str" cm="1">
        <f t="array" ref="AG747">IF(AF747="","",_xlfn.TEXTSPLIT(AF747,"-"))</f>
        <v>0</v>
      </c>
      <c r="AH747" s="168"/>
    </row>
    <row r="748" spans="26:34" ht="24" customHeight="1">
      <c r="Z748"/>
      <c r="AA748"/>
      <c r="AB748"/>
      <c r="AC748"/>
      <c r="AD748"/>
      <c r="AE748" s="168" t="str">
        <f t="shared" si="11"/>
        <v/>
      </c>
      <c r="AF748" s="168">
        <v>0</v>
      </c>
      <c r="AG748" s="168" t="str" cm="1">
        <f t="array" ref="AG748">IF(AF748="","",_xlfn.TEXTSPLIT(AF748,"-"))</f>
        <v>0</v>
      </c>
      <c r="AH748" s="168"/>
    </row>
    <row r="749" spans="26:34" ht="24" customHeight="1">
      <c r="Z749"/>
      <c r="AA749"/>
      <c r="AB749"/>
      <c r="AC749"/>
      <c r="AD749"/>
      <c r="AE749" s="168" t="str">
        <f t="shared" si="11"/>
        <v/>
      </c>
      <c r="AF749" s="168">
        <v>0</v>
      </c>
      <c r="AG749" s="168" t="str" cm="1">
        <f t="array" ref="AG749">IF(AF749="","",_xlfn.TEXTSPLIT(AF749,"-"))</f>
        <v>0</v>
      </c>
      <c r="AH749" s="168"/>
    </row>
    <row r="750" spans="26:34" ht="24" customHeight="1">
      <c r="Z750"/>
      <c r="AA750"/>
      <c r="AB750"/>
      <c r="AC750"/>
      <c r="AD750"/>
      <c r="AE750" s="168" t="str">
        <f t="shared" si="11"/>
        <v/>
      </c>
      <c r="AF750" s="168">
        <v>0</v>
      </c>
      <c r="AG750" s="168" t="str" cm="1">
        <f t="array" ref="AG750">IF(AF750="","",_xlfn.TEXTSPLIT(AF750,"-"))</f>
        <v>0</v>
      </c>
      <c r="AH750" s="168"/>
    </row>
    <row r="751" spans="26:34" ht="24" customHeight="1">
      <c r="Z751"/>
      <c r="AA751"/>
      <c r="AB751"/>
      <c r="AC751"/>
      <c r="AD751"/>
      <c r="AE751" s="168" t="str">
        <f t="shared" si="11"/>
        <v/>
      </c>
      <c r="AF751" s="168">
        <v>0</v>
      </c>
      <c r="AG751" s="168" t="str" cm="1">
        <f t="array" ref="AG751">IF(AF751="","",_xlfn.TEXTSPLIT(AF751,"-"))</f>
        <v>0</v>
      </c>
      <c r="AH751" s="168"/>
    </row>
    <row r="752" spans="26:34" ht="24" customHeight="1">
      <c r="Z752"/>
      <c r="AA752"/>
      <c r="AB752"/>
      <c r="AC752"/>
      <c r="AD752"/>
      <c r="AE752" s="168" t="str">
        <f t="shared" si="11"/>
        <v/>
      </c>
      <c r="AF752" s="168">
        <v>0</v>
      </c>
      <c r="AG752" s="168" t="str" cm="1">
        <f t="array" ref="AG752">IF(AF752="","",_xlfn.TEXTSPLIT(AF752,"-"))</f>
        <v>0</v>
      </c>
      <c r="AH752" s="168"/>
    </row>
    <row r="753" spans="26:34" ht="24" customHeight="1">
      <c r="Z753"/>
      <c r="AA753"/>
      <c r="AB753"/>
      <c r="AC753"/>
      <c r="AD753"/>
      <c r="AE753" s="168" t="str">
        <f t="shared" si="11"/>
        <v/>
      </c>
      <c r="AF753" s="168">
        <v>0</v>
      </c>
      <c r="AG753" s="168" t="str" cm="1">
        <f t="array" ref="AG753">IF(AF753="","",_xlfn.TEXTSPLIT(AF753,"-"))</f>
        <v>0</v>
      </c>
      <c r="AH753" s="168"/>
    </row>
    <row r="754" spans="26:34" ht="24" customHeight="1">
      <c r="Z754"/>
      <c r="AA754"/>
      <c r="AB754"/>
      <c r="AC754"/>
      <c r="AD754"/>
      <c r="AE754" s="168" t="str">
        <f t="shared" si="11"/>
        <v/>
      </c>
      <c r="AF754" s="168">
        <v>0</v>
      </c>
      <c r="AG754" s="168" t="str" cm="1">
        <f t="array" ref="AG754">IF(AF754="","",_xlfn.TEXTSPLIT(AF754,"-"))</f>
        <v>0</v>
      </c>
      <c r="AH754" s="168"/>
    </row>
    <row r="755" spans="26:34" ht="24" customHeight="1">
      <c r="Z755"/>
      <c r="AA755"/>
      <c r="AB755"/>
      <c r="AC755"/>
      <c r="AD755"/>
      <c r="AE755" s="168" t="str">
        <f t="shared" si="11"/>
        <v/>
      </c>
      <c r="AF755" s="168">
        <v>0</v>
      </c>
      <c r="AG755" s="168" t="str" cm="1">
        <f t="array" ref="AG755">IF(AF755="","",_xlfn.TEXTSPLIT(AF755,"-"))</f>
        <v>0</v>
      </c>
      <c r="AH755" s="168"/>
    </row>
    <row r="756" spans="26:34" ht="24" customHeight="1">
      <c r="Z756"/>
      <c r="AA756"/>
      <c r="AB756"/>
      <c r="AC756"/>
      <c r="AD756"/>
      <c r="AE756" s="168" t="str">
        <f t="shared" si="11"/>
        <v/>
      </c>
      <c r="AF756" s="168">
        <v>0</v>
      </c>
      <c r="AG756" s="168" t="str" cm="1">
        <f t="array" ref="AG756">IF(AF756="","",_xlfn.TEXTSPLIT(AF756,"-"))</f>
        <v>0</v>
      </c>
      <c r="AH756" s="168"/>
    </row>
    <row r="757" spans="26:34" ht="24" customHeight="1">
      <c r="Z757"/>
      <c r="AA757"/>
      <c r="AB757"/>
      <c r="AC757"/>
      <c r="AD757"/>
      <c r="AE757" s="168" t="str">
        <f t="shared" si="11"/>
        <v/>
      </c>
      <c r="AF757" s="168">
        <v>0</v>
      </c>
      <c r="AG757" s="168" t="str" cm="1">
        <f t="array" ref="AG757">IF(AF757="","",_xlfn.TEXTSPLIT(AF757,"-"))</f>
        <v>0</v>
      </c>
      <c r="AH757" s="168"/>
    </row>
    <row r="758" spans="26:34" ht="24" customHeight="1">
      <c r="Z758"/>
      <c r="AA758"/>
      <c r="AB758"/>
      <c r="AC758"/>
      <c r="AD758"/>
      <c r="AE758" s="168" t="str">
        <f t="shared" si="11"/>
        <v/>
      </c>
      <c r="AF758" s="168">
        <v>0</v>
      </c>
      <c r="AG758" s="168" t="str" cm="1">
        <f t="array" ref="AG758">IF(AF758="","",_xlfn.TEXTSPLIT(AF758,"-"))</f>
        <v>0</v>
      </c>
      <c r="AH758" s="168"/>
    </row>
    <row r="759" spans="26:34" ht="24" customHeight="1">
      <c r="Z759"/>
      <c r="AA759"/>
      <c r="AB759"/>
      <c r="AC759"/>
      <c r="AD759"/>
      <c r="AE759" s="168" t="str">
        <f t="shared" si="11"/>
        <v/>
      </c>
      <c r="AF759" s="168">
        <v>0</v>
      </c>
      <c r="AG759" s="168" t="str" cm="1">
        <f t="array" ref="AG759">IF(AF759="","",_xlfn.TEXTSPLIT(AF759,"-"))</f>
        <v>0</v>
      </c>
      <c r="AH759" s="168"/>
    </row>
    <row r="760" spans="26:34" ht="24" customHeight="1">
      <c r="Z760"/>
      <c r="AA760"/>
      <c r="AB760"/>
      <c r="AC760"/>
      <c r="AD760"/>
      <c r="AE760" s="168" t="str">
        <f t="shared" si="11"/>
        <v/>
      </c>
      <c r="AF760" s="168">
        <v>0</v>
      </c>
      <c r="AG760" s="168" t="str" cm="1">
        <f t="array" ref="AG760">IF(AF760="","",_xlfn.TEXTSPLIT(AF760,"-"))</f>
        <v>0</v>
      </c>
      <c r="AH760" s="168"/>
    </row>
    <row r="761" spans="26:34" ht="24" customHeight="1">
      <c r="Z761"/>
      <c r="AA761"/>
      <c r="AB761"/>
      <c r="AC761"/>
      <c r="AD761"/>
      <c r="AE761" s="168" t="str">
        <f t="shared" si="11"/>
        <v/>
      </c>
      <c r="AF761" s="168">
        <v>0</v>
      </c>
      <c r="AG761" s="168" t="str" cm="1">
        <f t="array" ref="AG761">IF(AF761="","",_xlfn.TEXTSPLIT(AF761,"-"))</f>
        <v>0</v>
      </c>
      <c r="AH761" s="168"/>
    </row>
    <row r="762" spans="26:34" ht="24" customHeight="1">
      <c r="Z762"/>
      <c r="AA762"/>
      <c r="AB762"/>
      <c r="AC762"/>
      <c r="AD762"/>
      <c r="AE762" s="168" t="str">
        <f t="shared" si="11"/>
        <v/>
      </c>
      <c r="AF762" s="168">
        <v>0</v>
      </c>
      <c r="AG762" s="168" t="str" cm="1">
        <f t="array" ref="AG762">IF(AF762="","",_xlfn.TEXTSPLIT(AF762,"-"))</f>
        <v>0</v>
      </c>
      <c r="AH762" s="168"/>
    </row>
    <row r="763" spans="26:34" ht="24" customHeight="1">
      <c r="Z763"/>
      <c r="AA763"/>
      <c r="AB763"/>
      <c r="AC763"/>
      <c r="AD763"/>
      <c r="AE763" s="168" t="str">
        <f t="shared" si="11"/>
        <v/>
      </c>
      <c r="AF763" s="168">
        <v>0</v>
      </c>
      <c r="AG763" s="168" t="str" cm="1">
        <f t="array" ref="AG763">IF(AF763="","",_xlfn.TEXTSPLIT(AF763,"-"))</f>
        <v>0</v>
      </c>
      <c r="AH763" s="168"/>
    </row>
    <row r="764" spans="26:34" ht="24" customHeight="1">
      <c r="Z764"/>
      <c r="AA764"/>
      <c r="AB764"/>
      <c r="AC764"/>
      <c r="AD764"/>
      <c r="AE764" s="168" t="str">
        <f t="shared" si="11"/>
        <v/>
      </c>
      <c r="AF764" s="168">
        <v>0</v>
      </c>
      <c r="AG764" s="168" t="str" cm="1">
        <f t="array" ref="AG764">IF(AF764="","",_xlfn.TEXTSPLIT(AF764,"-"))</f>
        <v>0</v>
      </c>
      <c r="AH764" s="168"/>
    </row>
    <row r="765" spans="26:34" ht="24" customHeight="1">
      <c r="Z765"/>
      <c r="AA765"/>
      <c r="AB765"/>
      <c r="AC765"/>
      <c r="AD765"/>
      <c r="AE765" s="168" t="str">
        <f t="shared" si="11"/>
        <v/>
      </c>
      <c r="AF765" s="168">
        <v>0</v>
      </c>
      <c r="AG765" s="168" t="str" cm="1">
        <f t="array" ref="AG765">IF(AF765="","",_xlfn.TEXTSPLIT(AF765,"-"))</f>
        <v>0</v>
      </c>
      <c r="AH765" s="168"/>
    </row>
    <row r="766" spans="26:34" ht="24" customHeight="1">
      <c r="Z766"/>
      <c r="AA766"/>
      <c r="AB766"/>
      <c r="AC766"/>
      <c r="AD766"/>
      <c r="AE766" s="168" t="str">
        <f t="shared" si="11"/>
        <v/>
      </c>
      <c r="AF766" s="168">
        <v>0</v>
      </c>
      <c r="AG766" s="168" t="str" cm="1">
        <f t="array" ref="AG766">IF(AF766="","",_xlfn.TEXTSPLIT(AF766,"-"))</f>
        <v>0</v>
      </c>
      <c r="AH766" s="168"/>
    </row>
    <row r="767" spans="26:34" ht="24" customHeight="1">
      <c r="Z767"/>
      <c r="AA767"/>
      <c r="AB767"/>
      <c r="AC767"/>
      <c r="AD767"/>
      <c r="AE767" s="168" t="str">
        <f t="shared" si="11"/>
        <v/>
      </c>
      <c r="AF767" s="168">
        <v>0</v>
      </c>
      <c r="AG767" s="168" t="str" cm="1">
        <f t="array" ref="AG767">IF(AF767="","",_xlfn.TEXTSPLIT(AF767,"-"))</f>
        <v>0</v>
      </c>
      <c r="AH767" s="168"/>
    </row>
    <row r="768" spans="26:34" ht="24" customHeight="1">
      <c r="Z768"/>
      <c r="AA768"/>
      <c r="AB768"/>
      <c r="AC768"/>
      <c r="AD768"/>
      <c r="AE768" s="168" t="str">
        <f t="shared" si="11"/>
        <v/>
      </c>
      <c r="AF768" s="168">
        <v>0</v>
      </c>
      <c r="AG768" s="168" t="str" cm="1">
        <f t="array" ref="AG768">IF(AF768="","",_xlfn.TEXTSPLIT(AF768,"-"))</f>
        <v>0</v>
      </c>
      <c r="AH768" s="168"/>
    </row>
    <row r="769" spans="26:34" ht="24" customHeight="1">
      <c r="Z769"/>
      <c r="AA769"/>
      <c r="AB769"/>
      <c r="AC769"/>
      <c r="AD769"/>
      <c r="AE769" s="168" t="str">
        <f t="shared" si="11"/>
        <v/>
      </c>
      <c r="AF769" s="168">
        <v>0</v>
      </c>
      <c r="AG769" s="168" t="str" cm="1">
        <f t="array" ref="AG769">IF(AF769="","",_xlfn.TEXTSPLIT(AF769,"-"))</f>
        <v>0</v>
      </c>
      <c r="AH769" s="168"/>
    </row>
    <row r="770" spans="26:34" ht="24" customHeight="1">
      <c r="Z770"/>
      <c r="AA770"/>
      <c r="AB770"/>
      <c r="AC770"/>
      <c r="AD770"/>
      <c r="AE770" s="168" t="str">
        <f t="shared" si="11"/>
        <v/>
      </c>
      <c r="AF770" s="168">
        <v>0</v>
      </c>
      <c r="AG770" s="168" t="str" cm="1">
        <f t="array" ref="AG770">IF(AF770="","",_xlfn.TEXTSPLIT(AF770,"-"))</f>
        <v>0</v>
      </c>
      <c r="AH770" s="168"/>
    </row>
    <row r="771" spans="26:34" ht="24" customHeight="1">
      <c r="Z771"/>
      <c r="AA771"/>
      <c r="AB771"/>
      <c r="AC771"/>
      <c r="AD771"/>
      <c r="AE771" s="168" t="str">
        <f t="shared" si="11"/>
        <v/>
      </c>
      <c r="AF771" s="168">
        <v>0</v>
      </c>
      <c r="AG771" s="168" t="str" cm="1">
        <f t="array" ref="AG771">IF(AF771="","",_xlfn.TEXTSPLIT(AF771,"-"))</f>
        <v>0</v>
      </c>
      <c r="AH771" s="168"/>
    </row>
    <row r="772" spans="26:34" ht="24" customHeight="1">
      <c r="Z772"/>
      <c r="AA772"/>
      <c r="AB772"/>
      <c r="AC772"/>
      <c r="AD772"/>
      <c r="AE772" s="168" t="str">
        <f t="shared" si="11"/>
        <v/>
      </c>
      <c r="AF772" s="168">
        <v>0</v>
      </c>
      <c r="AG772" s="168" t="str" cm="1">
        <f t="array" ref="AG772">IF(AF772="","",_xlfn.TEXTSPLIT(AF772,"-"))</f>
        <v>0</v>
      </c>
      <c r="AH772" s="168"/>
    </row>
    <row r="773" spans="26:34" ht="24" customHeight="1">
      <c r="Z773"/>
      <c r="AA773"/>
      <c r="AB773"/>
      <c r="AC773"/>
      <c r="AD773"/>
      <c r="AE773" s="168" t="str">
        <f t="shared" ref="AE773:AE836" si="12">IF(AH773="","",AH773*1)</f>
        <v/>
      </c>
      <c r="AF773" s="168">
        <v>0</v>
      </c>
      <c r="AG773" s="168" t="str" cm="1">
        <f t="array" ref="AG773">IF(AF773="","",_xlfn.TEXTSPLIT(AF773,"-"))</f>
        <v>0</v>
      </c>
      <c r="AH773" s="168"/>
    </row>
    <row r="774" spans="26:34" ht="24" customHeight="1">
      <c r="Z774"/>
      <c r="AA774"/>
      <c r="AB774"/>
      <c r="AC774"/>
      <c r="AD774"/>
      <c r="AE774" s="168" t="str">
        <f t="shared" si="12"/>
        <v/>
      </c>
      <c r="AF774" s="168">
        <v>0</v>
      </c>
      <c r="AG774" s="168" t="str" cm="1">
        <f t="array" ref="AG774">IF(AF774="","",_xlfn.TEXTSPLIT(AF774,"-"))</f>
        <v>0</v>
      </c>
      <c r="AH774" s="168"/>
    </row>
    <row r="775" spans="26:34" ht="24" customHeight="1">
      <c r="Z775"/>
      <c r="AA775"/>
      <c r="AB775"/>
      <c r="AC775"/>
      <c r="AD775"/>
      <c r="AE775" s="168" t="str">
        <f t="shared" si="12"/>
        <v/>
      </c>
      <c r="AF775" s="168">
        <v>0</v>
      </c>
      <c r="AG775" s="168" t="str" cm="1">
        <f t="array" ref="AG775">IF(AF775="","",_xlfn.TEXTSPLIT(AF775,"-"))</f>
        <v>0</v>
      </c>
      <c r="AH775" s="168"/>
    </row>
    <row r="776" spans="26:34" ht="24" customHeight="1">
      <c r="Z776"/>
      <c r="AA776"/>
      <c r="AB776"/>
      <c r="AC776"/>
      <c r="AD776"/>
      <c r="AE776" s="168" t="str">
        <f t="shared" si="12"/>
        <v/>
      </c>
      <c r="AF776" s="168">
        <v>0</v>
      </c>
      <c r="AG776" s="168" t="str" cm="1">
        <f t="array" ref="AG776">IF(AF776="","",_xlfn.TEXTSPLIT(AF776,"-"))</f>
        <v>0</v>
      </c>
      <c r="AH776" s="168"/>
    </row>
    <row r="777" spans="26:34" ht="24" customHeight="1">
      <c r="Z777"/>
      <c r="AA777"/>
      <c r="AB777"/>
      <c r="AC777"/>
      <c r="AD777"/>
      <c r="AE777" s="168" t="str">
        <f t="shared" si="12"/>
        <v/>
      </c>
      <c r="AF777" s="168">
        <v>0</v>
      </c>
      <c r="AG777" s="168" t="str" cm="1">
        <f t="array" ref="AG777">IF(AF777="","",_xlfn.TEXTSPLIT(AF777,"-"))</f>
        <v>0</v>
      </c>
      <c r="AH777" s="168"/>
    </row>
    <row r="778" spans="26:34" ht="24" customHeight="1">
      <c r="Z778"/>
      <c r="AA778"/>
      <c r="AB778"/>
      <c r="AC778"/>
      <c r="AD778"/>
      <c r="AE778" s="168" t="str">
        <f t="shared" si="12"/>
        <v/>
      </c>
      <c r="AF778" s="168">
        <v>0</v>
      </c>
      <c r="AG778" s="168" t="str" cm="1">
        <f t="array" ref="AG778">IF(AF778="","",_xlfn.TEXTSPLIT(AF778,"-"))</f>
        <v>0</v>
      </c>
      <c r="AH778" s="168"/>
    </row>
    <row r="779" spans="26:34" ht="24" customHeight="1">
      <c r="Z779"/>
      <c r="AA779"/>
      <c r="AB779"/>
      <c r="AC779"/>
      <c r="AD779"/>
      <c r="AE779" s="168" t="str">
        <f t="shared" si="12"/>
        <v/>
      </c>
      <c r="AF779" s="168">
        <v>0</v>
      </c>
      <c r="AG779" s="168" t="str" cm="1">
        <f t="array" ref="AG779">IF(AF779="","",_xlfn.TEXTSPLIT(AF779,"-"))</f>
        <v>0</v>
      </c>
      <c r="AH779" s="168"/>
    </row>
    <row r="780" spans="26:34" ht="24" customHeight="1">
      <c r="Z780"/>
      <c r="AA780"/>
      <c r="AB780"/>
      <c r="AC780"/>
      <c r="AD780"/>
      <c r="AE780" s="168" t="str">
        <f t="shared" si="12"/>
        <v/>
      </c>
      <c r="AF780" s="168">
        <v>0</v>
      </c>
      <c r="AG780" s="168" t="str" cm="1">
        <f t="array" ref="AG780">IF(AF780="","",_xlfn.TEXTSPLIT(AF780,"-"))</f>
        <v>0</v>
      </c>
      <c r="AH780" s="168"/>
    </row>
    <row r="781" spans="26:34" ht="24" customHeight="1">
      <c r="Z781"/>
      <c r="AA781"/>
      <c r="AB781"/>
      <c r="AC781"/>
      <c r="AD781"/>
      <c r="AE781" s="168" t="str">
        <f t="shared" si="12"/>
        <v/>
      </c>
      <c r="AF781" s="168">
        <v>0</v>
      </c>
      <c r="AG781" s="168" t="str" cm="1">
        <f t="array" ref="AG781">IF(AF781="","",_xlfn.TEXTSPLIT(AF781,"-"))</f>
        <v>0</v>
      </c>
      <c r="AH781" s="168"/>
    </row>
    <row r="782" spans="26:34" ht="24" customHeight="1">
      <c r="Z782"/>
      <c r="AA782"/>
      <c r="AB782"/>
      <c r="AC782"/>
      <c r="AD782"/>
      <c r="AE782" s="168" t="str">
        <f t="shared" si="12"/>
        <v/>
      </c>
      <c r="AF782" s="168">
        <v>0</v>
      </c>
      <c r="AG782" s="168" t="str" cm="1">
        <f t="array" ref="AG782">IF(AF782="","",_xlfn.TEXTSPLIT(AF782,"-"))</f>
        <v>0</v>
      </c>
      <c r="AH782" s="168"/>
    </row>
    <row r="783" spans="26:34" ht="24" customHeight="1">
      <c r="Z783"/>
      <c r="AA783"/>
      <c r="AB783"/>
      <c r="AC783"/>
      <c r="AD783"/>
      <c r="AE783" s="168" t="str">
        <f t="shared" si="12"/>
        <v/>
      </c>
      <c r="AF783" s="168">
        <v>0</v>
      </c>
      <c r="AG783" s="168" t="str" cm="1">
        <f t="array" ref="AG783">IF(AF783="","",_xlfn.TEXTSPLIT(AF783,"-"))</f>
        <v>0</v>
      </c>
      <c r="AH783" s="168"/>
    </row>
    <row r="784" spans="26:34" ht="24" customHeight="1">
      <c r="Z784"/>
      <c r="AA784"/>
      <c r="AB784"/>
      <c r="AC784"/>
      <c r="AD784"/>
      <c r="AE784" s="168" t="str">
        <f t="shared" si="12"/>
        <v/>
      </c>
      <c r="AF784" s="168">
        <v>0</v>
      </c>
      <c r="AG784" s="168" t="str" cm="1">
        <f t="array" ref="AG784">IF(AF784="","",_xlfn.TEXTSPLIT(AF784,"-"))</f>
        <v>0</v>
      </c>
      <c r="AH784" s="168"/>
    </row>
    <row r="785" spans="26:34" ht="24" customHeight="1">
      <c r="Z785"/>
      <c r="AA785"/>
      <c r="AB785"/>
      <c r="AC785"/>
      <c r="AD785"/>
      <c r="AE785" s="168" t="str">
        <f t="shared" si="12"/>
        <v/>
      </c>
      <c r="AF785" s="168">
        <v>0</v>
      </c>
      <c r="AG785" s="168" t="str" cm="1">
        <f t="array" ref="AG785">IF(AF785="","",_xlfn.TEXTSPLIT(AF785,"-"))</f>
        <v>0</v>
      </c>
      <c r="AH785" s="168"/>
    </row>
    <row r="786" spans="26:34" ht="24" customHeight="1">
      <c r="Z786"/>
      <c r="AA786"/>
      <c r="AB786"/>
      <c r="AC786"/>
      <c r="AD786"/>
      <c r="AE786" s="168" t="str">
        <f t="shared" si="12"/>
        <v/>
      </c>
      <c r="AF786" s="168">
        <v>0</v>
      </c>
      <c r="AG786" s="168" t="str" cm="1">
        <f t="array" ref="AG786">IF(AF786="","",_xlfn.TEXTSPLIT(AF786,"-"))</f>
        <v>0</v>
      </c>
      <c r="AH786" s="168"/>
    </row>
    <row r="787" spans="26:34" ht="24" customHeight="1">
      <c r="Z787"/>
      <c r="AA787"/>
      <c r="AB787"/>
      <c r="AC787"/>
      <c r="AD787"/>
      <c r="AE787" s="168" t="str">
        <f t="shared" si="12"/>
        <v/>
      </c>
      <c r="AF787" s="168">
        <v>0</v>
      </c>
      <c r="AG787" s="168" t="str" cm="1">
        <f t="array" ref="AG787">IF(AF787="","",_xlfn.TEXTSPLIT(AF787,"-"))</f>
        <v>0</v>
      </c>
      <c r="AH787" s="168"/>
    </row>
    <row r="788" spans="26:34" ht="24" customHeight="1">
      <c r="Z788"/>
      <c r="AA788"/>
      <c r="AB788"/>
      <c r="AC788"/>
      <c r="AD788"/>
      <c r="AE788" s="168" t="str">
        <f t="shared" si="12"/>
        <v/>
      </c>
      <c r="AF788" s="168">
        <v>0</v>
      </c>
      <c r="AG788" s="168" t="str" cm="1">
        <f t="array" ref="AG788">IF(AF788="","",_xlfn.TEXTSPLIT(AF788,"-"))</f>
        <v>0</v>
      </c>
      <c r="AH788" s="168"/>
    </row>
    <row r="789" spans="26:34" ht="24" customHeight="1">
      <c r="Z789"/>
      <c r="AA789"/>
      <c r="AB789"/>
      <c r="AC789"/>
      <c r="AD789"/>
      <c r="AE789" s="168" t="str">
        <f t="shared" si="12"/>
        <v/>
      </c>
      <c r="AF789" s="168">
        <v>0</v>
      </c>
      <c r="AG789" s="168" t="str" cm="1">
        <f t="array" ref="AG789">IF(AF789="","",_xlfn.TEXTSPLIT(AF789,"-"))</f>
        <v>0</v>
      </c>
      <c r="AH789" s="168"/>
    </row>
    <row r="790" spans="26:34" ht="24" customHeight="1">
      <c r="Z790"/>
      <c r="AA790"/>
      <c r="AB790"/>
      <c r="AC790"/>
      <c r="AD790"/>
      <c r="AE790" s="168" t="str">
        <f t="shared" si="12"/>
        <v/>
      </c>
      <c r="AF790" s="168">
        <v>0</v>
      </c>
      <c r="AG790" s="168" t="str" cm="1">
        <f t="array" ref="AG790">IF(AF790="","",_xlfn.TEXTSPLIT(AF790,"-"))</f>
        <v>0</v>
      </c>
      <c r="AH790" s="168"/>
    </row>
    <row r="791" spans="26:34" ht="24" customHeight="1">
      <c r="Z791"/>
      <c r="AA791"/>
      <c r="AB791"/>
      <c r="AC791"/>
      <c r="AD791"/>
      <c r="AE791" s="168" t="str">
        <f t="shared" si="12"/>
        <v/>
      </c>
      <c r="AF791" s="168">
        <v>0</v>
      </c>
      <c r="AG791" s="168" t="str" cm="1">
        <f t="array" ref="AG791">IF(AF791="","",_xlfn.TEXTSPLIT(AF791,"-"))</f>
        <v>0</v>
      </c>
      <c r="AH791" s="168"/>
    </row>
    <row r="792" spans="26:34" ht="24" customHeight="1">
      <c r="Z792"/>
      <c r="AA792"/>
      <c r="AB792"/>
      <c r="AC792"/>
      <c r="AD792"/>
      <c r="AE792" s="168" t="str">
        <f t="shared" si="12"/>
        <v/>
      </c>
      <c r="AF792" s="168">
        <v>0</v>
      </c>
      <c r="AG792" s="168" t="str" cm="1">
        <f t="array" ref="AG792">IF(AF792="","",_xlfn.TEXTSPLIT(AF792,"-"))</f>
        <v>0</v>
      </c>
      <c r="AH792" s="168"/>
    </row>
    <row r="793" spans="26:34" ht="24" customHeight="1">
      <c r="Z793"/>
      <c r="AA793"/>
      <c r="AB793"/>
      <c r="AC793"/>
      <c r="AD793"/>
      <c r="AE793" s="168" t="str">
        <f t="shared" si="12"/>
        <v/>
      </c>
      <c r="AF793" s="168">
        <v>0</v>
      </c>
      <c r="AG793" s="168" t="str" cm="1">
        <f t="array" ref="AG793">IF(AF793="","",_xlfn.TEXTSPLIT(AF793,"-"))</f>
        <v>0</v>
      </c>
      <c r="AH793" s="168"/>
    </row>
    <row r="794" spans="26:34" ht="24" customHeight="1">
      <c r="Z794"/>
      <c r="AA794"/>
      <c r="AB794"/>
      <c r="AC794"/>
      <c r="AD794"/>
      <c r="AE794" s="168" t="str">
        <f t="shared" si="12"/>
        <v/>
      </c>
      <c r="AF794" s="168">
        <v>0</v>
      </c>
      <c r="AG794" s="168" t="str" cm="1">
        <f t="array" ref="AG794">IF(AF794="","",_xlfn.TEXTSPLIT(AF794,"-"))</f>
        <v>0</v>
      </c>
      <c r="AH794" s="168"/>
    </row>
    <row r="795" spans="26:34" ht="24" customHeight="1">
      <c r="Z795"/>
      <c r="AA795"/>
      <c r="AB795"/>
      <c r="AC795"/>
      <c r="AD795"/>
      <c r="AE795" s="168" t="str">
        <f t="shared" si="12"/>
        <v/>
      </c>
      <c r="AF795" s="168">
        <v>0</v>
      </c>
      <c r="AG795" s="168" t="str" cm="1">
        <f t="array" ref="AG795">IF(AF795="","",_xlfn.TEXTSPLIT(AF795,"-"))</f>
        <v>0</v>
      </c>
      <c r="AH795" s="168"/>
    </row>
    <row r="796" spans="26:34" ht="24" customHeight="1">
      <c r="Z796"/>
      <c r="AA796"/>
      <c r="AB796"/>
      <c r="AC796"/>
      <c r="AD796"/>
      <c r="AE796" s="168" t="str">
        <f t="shared" si="12"/>
        <v/>
      </c>
      <c r="AF796" s="168">
        <v>0</v>
      </c>
      <c r="AG796" s="168" t="str" cm="1">
        <f t="array" ref="AG796">IF(AF796="","",_xlfn.TEXTSPLIT(AF796,"-"))</f>
        <v>0</v>
      </c>
      <c r="AH796" s="168"/>
    </row>
    <row r="797" spans="26:34" ht="24" customHeight="1">
      <c r="Z797"/>
      <c r="AA797"/>
      <c r="AB797"/>
      <c r="AC797"/>
      <c r="AD797"/>
      <c r="AE797" s="168" t="str">
        <f t="shared" si="12"/>
        <v/>
      </c>
      <c r="AF797" s="168">
        <v>0</v>
      </c>
      <c r="AG797" s="168" t="str" cm="1">
        <f t="array" ref="AG797">IF(AF797="","",_xlfn.TEXTSPLIT(AF797,"-"))</f>
        <v>0</v>
      </c>
      <c r="AH797" s="168"/>
    </row>
    <row r="798" spans="26:34" ht="24" customHeight="1">
      <c r="Z798"/>
      <c r="AA798"/>
      <c r="AB798"/>
      <c r="AC798"/>
      <c r="AD798"/>
      <c r="AE798" s="168" t="str">
        <f t="shared" si="12"/>
        <v/>
      </c>
      <c r="AF798" s="168">
        <v>0</v>
      </c>
      <c r="AG798" s="168" t="str" cm="1">
        <f t="array" ref="AG798">IF(AF798="","",_xlfn.TEXTSPLIT(AF798,"-"))</f>
        <v>0</v>
      </c>
      <c r="AH798" s="168"/>
    </row>
    <row r="799" spans="26:34" ht="24" customHeight="1">
      <c r="Z799"/>
      <c r="AA799"/>
      <c r="AB799"/>
      <c r="AC799"/>
      <c r="AD799"/>
      <c r="AE799" s="168" t="str">
        <f t="shared" si="12"/>
        <v/>
      </c>
      <c r="AF799" s="168">
        <v>0</v>
      </c>
      <c r="AG799" s="168" t="str" cm="1">
        <f t="array" ref="AG799">IF(AF799="","",_xlfn.TEXTSPLIT(AF799,"-"))</f>
        <v>0</v>
      </c>
      <c r="AH799" s="168"/>
    </row>
    <row r="800" spans="26:34" ht="24" customHeight="1">
      <c r="Z800"/>
      <c r="AA800"/>
      <c r="AB800"/>
      <c r="AC800"/>
      <c r="AD800"/>
      <c r="AE800" s="168" t="str">
        <f t="shared" si="12"/>
        <v/>
      </c>
      <c r="AF800" s="168">
        <v>0</v>
      </c>
      <c r="AG800" s="168" t="str" cm="1">
        <f t="array" ref="AG800">IF(AF800="","",_xlfn.TEXTSPLIT(AF800,"-"))</f>
        <v>0</v>
      </c>
      <c r="AH800" s="168"/>
    </row>
    <row r="801" spans="26:34" ht="24" customHeight="1">
      <c r="Z801"/>
      <c r="AA801"/>
      <c r="AB801"/>
      <c r="AC801"/>
      <c r="AD801"/>
      <c r="AE801" s="168" t="str">
        <f t="shared" si="12"/>
        <v/>
      </c>
      <c r="AF801" s="168">
        <v>0</v>
      </c>
      <c r="AG801" s="168" t="str" cm="1">
        <f t="array" ref="AG801">IF(AF801="","",_xlfn.TEXTSPLIT(AF801,"-"))</f>
        <v>0</v>
      </c>
      <c r="AH801" s="168"/>
    </row>
    <row r="802" spans="26:34" ht="24" customHeight="1">
      <c r="Z802"/>
      <c r="AA802"/>
      <c r="AB802"/>
      <c r="AC802"/>
      <c r="AD802"/>
      <c r="AE802" s="168" t="str">
        <f t="shared" si="12"/>
        <v/>
      </c>
      <c r="AF802" s="168">
        <v>0</v>
      </c>
      <c r="AG802" s="168" t="str" cm="1">
        <f t="array" ref="AG802">IF(AF802="","",_xlfn.TEXTSPLIT(AF802,"-"))</f>
        <v>0</v>
      </c>
      <c r="AH802" s="168"/>
    </row>
    <row r="803" spans="26:34" ht="24" customHeight="1">
      <c r="Z803"/>
      <c r="AA803"/>
      <c r="AB803"/>
      <c r="AC803"/>
      <c r="AD803"/>
      <c r="AE803" s="168" t="str">
        <f t="shared" si="12"/>
        <v/>
      </c>
      <c r="AF803" s="168">
        <v>0</v>
      </c>
      <c r="AG803" s="168" t="str" cm="1">
        <f t="array" ref="AG803">IF(AF803="","",_xlfn.TEXTSPLIT(AF803,"-"))</f>
        <v>0</v>
      </c>
      <c r="AH803" s="168"/>
    </row>
    <row r="804" spans="26:34" ht="24" customHeight="1">
      <c r="Z804"/>
      <c r="AA804"/>
      <c r="AB804"/>
      <c r="AC804"/>
      <c r="AD804"/>
      <c r="AE804" s="168" t="str">
        <f t="shared" si="12"/>
        <v/>
      </c>
      <c r="AF804" s="168">
        <v>0</v>
      </c>
      <c r="AG804" s="168" t="str" cm="1">
        <f t="array" ref="AG804">IF(AF804="","",_xlfn.TEXTSPLIT(AF804,"-"))</f>
        <v>0</v>
      </c>
      <c r="AH804" s="168"/>
    </row>
    <row r="805" spans="26:34" ht="24" customHeight="1">
      <c r="Z805"/>
      <c r="AA805"/>
      <c r="AB805"/>
      <c r="AC805"/>
      <c r="AD805"/>
      <c r="AE805" s="168" t="str">
        <f t="shared" si="12"/>
        <v/>
      </c>
      <c r="AF805" s="168">
        <v>0</v>
      </c>
      <c r="AG805" s="168" t="str" cm="1">
        <f t="array" ref="AG805">IF(AF805="","",_xlfn.TEXTSPLIT(AF805,"-"))</f>
        <v>0</v>
      </c>
      <c r="AH805" s="168"/>
    </row>
    <row r="806" spans="26:34" ht="24" customHeight="1">
      <c r="Z806"/>
      <c r="AA806"/>
      <c r="AB806"/>
      <c r="AC806"/>
      <c r="AD806"/>
      <c r="AE806" s="168" t="str">
        <f t="shared" si="12"/>
        <v/>
      </c>
      <c r="AF806" s="168">
        <v>0</v>
      </c>
      <c r="AG806" s="168" t="str" cm="1">
        <f t="array" ref="AG806">IF(AF806="","",_xlfn.TEXTSPLIT(AF806,"-"))</f>
        <v>0</v>
      </c>
      <c r="AH806" s="168"/>
    </row>
    <row r="807" spans="26:34" ht="24" customHeight="1">
      <c r="Z807"/>
      <c r="AA807"/>
      <c r="AB807"/>
      <c r="AC807"/>
      <c r="AD807"/>
      <c r="AE807" s="168" t="str">
        <f t="shared" si="12"/>
        <v/>
      </c>
      <c r="AF807" s="168">
        <v>0</v>
      </c>
      <c r="AG807" s="168" t="str" cm="1">
        <f t="array" ref="AG807">IF(AF807="","",_xlfn.TEXTSPLIT(AF807,"-"))</f>
        <v>0</v>
      </c>
      <c r="AH807" s="168"/>
    </row>
    <row r="808" spans="26:34" ht="24" customHeight="1">
      <c r="Z808"/>
      <c r="AA808"/>
      <c r="AB808"/>
      <c r="AC808"/>
      <c r="AD808"/>
      <c r="AE808" s="168" t="str">
        <f t="shared" si="12"/>
        <v/>
      </c>
      <c r="AF808" s="168">
        <v>0</v>
      </c>
      <c r="AG808" s="168" t="str" cm="1">
        <f t="array" ref="AG808">IF(AF808="","",_xlfn.TEXTSPLIT(AF808,"-"))</f>
        <v>0</v>
      </c>
      <c r="AH808" s="168"/>
    </row>
    <row r="809" spans="26:34" ht="24" customHeight="1">
      <c r="Z809"/>
      <c r="AA809"/>
      <c r="AB809"/>
      <c r="AC809"/>
      <c r="AD809"/>
      <c r="AE809" s="168" t="str">
        <f t="shared" si="12"/>
        <v/>
      </c>
      <c r="AF809" s="168">
        <v>0</v>
      </c>
      <c r="AG809" s="168" t="str" cm="1">
        <f t="array" ref="AG809">IF(AF809="","",_xlfn.TEXTSPLIT(AF809,"-"))</f>
        <v>0</v>
      </c>
      <c r="AH809" s="168"/>
    </row>
    <row r="810" spans="26:34" ht="24" customHeight="1">
      <c r="Z810"/>
      <c r="AA810"/>
      <c r="AB810"/>
      <c r="AC810"/>
      <c r="AD810"/>
      <c r="AE810" s="168" t="str">
        <f t="shared" si="12"/>
        <v/>
      </c>
      <c r="AF810" s="168">
        <v>0</v>
      </c>
      <c r="AG810" s="168" t="str" cm="1">
        <f t="array" ref="AG810">IF(AF810="","",_xlfn.TEXTSPLIT(AF810,"-"))</f>
        <v>0</v>
      </c>
      <c r="AH810" s="168"/>
    </row>
    <row r="811" spans="26:34" ht="24" customHeight="1">
      <c r="Z811"/>
      <c r="AA811"/>
      <c r="AB811"/>
      <c r="AC811"/>
      <c r="AD811"/>
      <c r="AE811" s="168" t="str">
        <f t="shared" si="12"/>
        <v/>
      </c>
      <c r="AF811" s="168">
        <v>0</v>
      </c>
      <c r="AG811" s="168" t="str" cm="1">
        <f t="array" ref="AG811">IF(AF811="","",_xlfn.TEXTSPLIT(AF811,"-"))</f>
        <v>0</v>
      </c>
      <c r="AH811" s="168"/>
    </row>
    <row r="812" spans="26:34" ht="24" customHeight="1">
      <c r="Z812"/>
      <c r="AA812"/>
      <c r="AB812"/>
      <c r="AC812"/>
      <c r="AD812"/>
      <c r="AE812" s="168" t="str">
        <f t="shared" si="12"/>
        <v/>
      </c>
      <c r="AF812" s="168">
        <v>0</v>
      </c>
      <c r="AG812" s="168" t="str" cm="1">
        <f t="array" ref="AG812">IF(AF812="","",_xlfn.TEXTSPLIT(AF812,"-"))</f>
        <v>0</v>
      </c>
      <c r="AH812" s="168"/>
    </row>
    <row r="813" spans="26:34" ht="24" customHeight="1">
      <c r="Z813"/>
      <c r="AA813"/>
      <c r="AB813"/>
      <c r="AC813"/>
      <c r="AD813"/>
      <c r="AE813" s="168" t="str">
        <f t="shared" si="12"/>
        <v/>
      </c>
      <c r="AF813" s="168">
        <v>0</v>
      </c>
      <c r="AG813" s="168" t="str" cm="1">
        <f t="array" ref="AG813">IF(AF813="","",_xlfn.TEXTSPLIT(AF813,"-"))</f>
        <v>0</v>
      </c>
      <c r="AH813" s="168"/>
    </row>
    <row r="814" spans="26:34" ht="24" customHeight="1">
      <c r="Z814"/>
      <c r="AA814"/>
      <c r="AB814"/>
      <c r="AC814"/>
      <c r="AD814"/>
      <c r="AE814" s="168" t="str">
        <f t="shared" si="12"/>
        <v/>
      </c>
      <c r="AF814" s="168">
        <v>0</v>
      </c>
      <c r="AG814" s="168" t="str" cm="1">
        <f t="array" ref="AG814">IF(AF814="","",_xlfn.TEXTSPLIT(AF814,"-"))</f>
        <v>0</v>
      </c>
      <c r="AH814" s="168"/>
    </row>
    <row r="815" spans="26:34" ht="24" customHeight="1">
      <c r="Z815"/>
      <c r="AA815"/>
      <c r="AB815"/>
      <c r="AC815"/>
      <c r="AD815"/>
      <c r="AE815" s="168" t="str">
        <f t="shared" si="12"/>
        <v/>
      </c>
      <c r="AF815" s="168">
        <v>0</v>
      </c>
      <c r="AG815" s="168" t="str" cm="1">
        <f t="array" ref="AG815">IF(AF815="","",_xlfn.TEXTSPLIT(AF815,"-"))</f>
        <v>0</v>
      </c>
      <c r="AH815" s="168"/>
    </row>
    <row r="816" spans="26:34" ht="24" customHeight="1">
      <c r="Z816"/>
      <c r="AA816"/>
      <c r="AB816"/>
      <c r="AC816"/>
      <c r="AD816"/>
      <c r="AE816" s="168" t="str">
        <f t="shared" si="12"/>
        <v/>
      </c>
      <c r="AF816" s="168">
        <v>0</v>
      </c>
      <c r="AG816" s="168" t="str" cm="1">
        <f t="array" ref="AG816">IF(AF816="","",_xlfn.TEXTSPLIT(AF816,"-"))</f>
        <v>0</v>
      </c>
      <c r="AH816" s="168"/>
    </row>
    <row r="817" spans="26:34" ht="24" customHeight="1">
      <c r="Z817"/>
      <c r="AA817"/>
      <c r="AB817"/>
      <c r="AC817"/>
      <c r="AD817"/>
      <c r="AE817" s="168" t="str">
        <f t="shared" si="12"/>
        <v/>
      </c>
      <c r="AF817" s="168">
        <v>0</v>
      </c>
      <c r="AG817" s="168" t="str" cm="1">
        <f t="array" ref="AG817">IF(AF817="","",_xlfn.TEXTSPLIT(AF817,"-"))</f>
        <v>0</v>
      </c>
      <c r="AH817" s="168"/>
    </row>
    <row r="818" spans="26:34" ht="24" customHeight="1">
      <c r="Z818"/>
      <c r="AA818"/>
      <c r="AB818"/>
      <c r="AC818"/>
      <c r="AD818"/>
      <c r="AE818" s="168" t="str">
        <f t="shared" si="12"/>
        <v/>
      </c>
      <c r="AF818" s="168">
        <v>0</v>
      </c>
      <c r="AG818" s="168" t="str" cm="1">
        <f t="array" ref="AG818">IF(AF818="","",_xlfn.TEXTSPLIT(AF818,"-"))</f>
        <v>0</v>
      </c>
      <c r="AH818" s="168"/>
    </row>
    <row r="819" spans="26:34" ht="24" customHeight="1">
      <c r="Z819"/>
      <c r="AA819"/>
      <c r="AB819"/>
      <c r="AC819"/>
      <c r="AD819"/>
      <c r="AE819" s="168" t="str">
        <f t="shared" si="12"/>
        <v/>
      </c>
      <c r="AF819" s="168">
        <v>0</v>
      </c>
      <c r="AG819" s="168" t="str" cm="1">
        <f t="array" ref="AG819">IF(AF819="","",_xlfn.TEXTSPLIT(AF819,"-"))</f>
        <v>0</v>
      </c>
      <c r="AH819" s="168"/>
    </row>
    <row r="820" spans="26:34" ht="24" customHeight="1">
      <c r="Z820"/>
      <c r="AA820"/>
      <c r="AB820"/>
      <c r="AC820"/>
      <c r="AD820"/>
      <c r="AE820" s="168" t="str">
        <f t="shared" si="12"/>
        <v/>
      </c>
      <c r="AF820" s="168">
        <v>0</v>
      </c>
      <c r="AG820" s="168" t="str" cm="1">
        <f t="array" ref="AG820">IF(AF820="","",_xlfn.TEXTSPLIT(AF820,"-"))</f>
        <v>0</v>
      </c>
      <c r="AH820" s="168"/>
    </row>
    <row r="821" spans="26:34" ht="24" customHeight="1">
      <c r="Z821"/>
      <c r="AA821"/>
      <c r="AB821"/>
      <c r="AC821"/>
      <c r="AD821"/>
      <c r="AE821" s="168" t="str">
        <f t="shared" si="12"/>
        <v/>
      </c>
      <c r="AF821" s="168">
        <v>0</v>
      </c>
      <c r="AG821" s="168" t="str" cm="1">
        <f t="array" ref="AG821">IF(AF821="","",_xlfn.TEXTSPLIT(AF821,"-"))</f>
        <v>0</v>
      </c>
      <c r="AH821" s="168"/>
    </row>
    <row r="822" spans="26:34" ht="24" customHeight="1">
      <c r="Z822"/>
      <c r="AA822"/>
      <c r="AB822"/>
      <c r="AC822"/>
      <c r="AD822"/>
      <c r="AE822" s="168" t="str">
        <f t="shared" si="12"/>
        <v/>
      </c>
      <c r="AF822" s="168">
        <v>0</v>
      </c>
      <c r="AG822" s="168" t="str" cm="1">
        <f t="array" ref="AG822">IF(AF822="","",_xlfn.TEXTSPLIT(AF822,"-"))</f>
        <v>0</v>
      </c>
      <c r="AH822" s="168"/>
    </row>
    <row r="823" spans="26:34" ht="24" customHeight="1">
      <c r="Z823"/>
      <c r="AA823"/>
      <c r="AB823"/>
      <c r="AC823"/>
      <c r="AD823"/>
      <c r="AE823" s="168" t="str">
        <f t="shared" si="12"/>
        <v/>
      </c>
      <c r="AF823" s="168">
        <v>0</v>
      </c>
      <c r="AG823" s="168" t="str" cm="1">
        <f t="array" ref="AG823">IF(AF823="","",_xlfn.TEXTSPLIT(AF823,"-"))</f>
        <v>0</v>
      </c>
      <c r="AH823" s="168"/>
    </row>
    <row r="824" spans="26:34" ht="24" customHeight="1">
      <c r="Z824"/>
      <c r="AA824"/>
      <c r="AB824"/>
      <c r="AC824"/>
      <c r="AD824"/>
      <c r="AE824" s="168" t="str">
        <f t="shared" si="12"/>
        <v/>
      </c>
      <c r="AF824" s="168">
        <v>0</v>
      </c>
      <c r="AG824" s="168" t="str" cm="1">
        <f t="array" ref="AG824">IF(AF824="","",_xlfn.TEXTSPLIT(AF824,"-"))</f>
        <v>0</v>
      </c>
      <c r="AH824" s="168"/>
    </row>
    <row r="825" spans="26:34" ht="24" customHeight="1">
      <c r="Z825"/>
      <c r="AA825"/>
      <c r="AB825"/>
      <c r="AC825"/>
      <c r="AD825"/>
      <c r="AE825" s="168" t="str">
        <f t="shared" si="12"/>
        <v/>
      </c>
      <c r="AF825" s="168">
        <v>0</v>
      </c>
      <c r="AG825" s="168" t="str" cm="1">
        <f t="array" ref="AG825">IF(AF825="","",_xlfn.TEXTSPLIT(AF825,"-"))</f>
        <v>0</v>
      </c>
      <c r="AH825" s="168"/>
    </row>
    <row r="826" spans="26:34" ht="24" customHeight="1">
      <c r="Z826"/>
      <c r="AA826"/>
      <c r="AB826"/>
      <c r="AC826"/>
      <c r="AD826"/>
      <c r="AE826" s="168" t="str">
        <f t="shared" si="12"/>
        <v/>
      </c>
      <c r="AF826" s="168">
        <v>0</v>
      </c>
      <c r="AG826" s="168" t="str" cm="1">
        <f t="array" ref="AG826">IF(AF826="","",_xlfn.TEXTSPLIT(AF826,"-"))</f>
        <v>0</v>
      </c>
      <c r="AH826" s="168"/>
    </row>
    <row r="827" spans="26:34" ht="24" customHeight="1">
      <c r="Z827"/>
      <c r="AA827"/>
      <c r="AB827"/>
      <c r="AC827"/>
      <c r="AD827"/>
      <c r="AE827" s="168" t="str">
        <f t="shared" si="12"/>
        <v/>
      </c>
      <c r="AF827" s="168">
        <v>0</v>
      </c>
      <c r="AG827" s="168" t="str" cm="1">
        <f t="array" ref="AG827">IF(AF827="","",_xlfn.TEXTSPLIT(AF827,"-"))</f>
        <v>0</v>
      </c>
      <c r="AH827" s="168"/>
    </row>
    <row r="828" spans="26:34" ht="24" customHeight="1">
      <c r="Z828"/>
      <c r="AA828"/>
      <c r="AB828"/>
      <c r="AC828"/>
      <c r="AD828"/>
      <c r="AE828" s="168" t="str">
        <f t="shared" si="12"/>
        <v/>
      </c>
      <c r="AF828" s="168">
        <v>0</v>
      </c>
      <c r="AG828" s="168" t="str" cm="1">
        <f t="array" ref="AG828">IF(AF828="","",_xlfn.TEXTSPLIT(AF828,"-"))</f>
        <v>0</v>
      </c>
      <c r="AH828" s="168"/>
    </row>
    <row r="829" spans="26:34" ht="24" customHeight="1">
      <c r="Z829"/>
      <c r="AA829"/>
      <c r="AB829"/>
      <c r="AC829"/>
      <c r="AD829"/>
      <c r="AE829" s="168" t="str">
        <f t="shared" si="12"/>
        <v/>
      </c>
      <c r="AF829" s="168">
        <v>0</v>
      </c>
      <c r="AG829" s="168" t="str" cm="1">
        <f t="array" ref="AG829">IF(AF829="","",_xlfn.TEXTSPLIT(AF829,"-"))</f>
        <v>0</v>
      </c>
      <c r="AH829" s="168"/>
    </row>
    <row r="830" spans="26:34" ht="24" customHeight="1">
      <c r="Z830"/>
      <c r="AA830"/>
      <c r="AB830"/>
      <c r="AC830"/>
      <c r="AD830"/>
      <c r="AE830" s="168" t="str">
        <f t="shared" si="12"/>
        <v/>
      </c>
      <c r="AF830" s="168">
        <v>0</v>
      </c>
      <c r="AG830" s="168" t="str" cm="1">
        <f t="array" ref="AG830">IF(AF830="","",_xlfn.TEXTSPLIT(AF830,"-"))</f>
        <v>0</v>
      </c>
      <c r="AH830" s="168"/>
    </row>
    <row r="831" spans="26:34" ht="24" customHeight="1">
      <c r="Z831"/>
      <c r="AA831"/>
      <c r="AB831"/>
      <c r="AC831"/>
      <c r="AD831"/>
      <c r="AE831" s="168" t="str">
        <f t="shared" si="12"/>
        <v/>
      </c>
      <c r="AF831" s="168">
        <v>0</v>
      </c>
      <c r="AG831" s="168" t="str" cm="1">
        <f t="array" ref="AG831">IF(AF831="","",_xlfn.TEXTSPLIT(AF831,"-"))</f>
        <v>0</v>
      </c>
      <c r="AH831" s="168"/>
    </row>
    <row r="832" spans="26:34" ht="24" customHeight="1">
      <c r="Z832"/>
      <c r="AA832"/>
      <c r="AB832"/>
      <c r="AC832"/>
      <c r="AD832"/>
      <c r="AE832" s="168" t="str">
        <f t="shared" si="12"/>
        <v/>
      </c>
      <c r="AF832" s="168">
        <v>0</v>
      </c>
      <c r="AG832" s="168" t="str" cm="1">
        <f t="array" ref="AG832">IF(AF832="","",_xlfn.TEXTSPLIT(AF832,"-"))</f>
        <v>0</v>
      </c>
      <c r="AH832" s="168"/>
    </row>
    <row r="833" spans="26:34" ht="24" customHeight="1">
      <c r="Z833"/>
      <c r="AA833"/>
      <c r="AB833"/>
      <c r="AC833"/>
      <c r="AD833"/>
      <c r="AE833" s="168" t="str">
        <f t="shared" si="12"/>
        <v/>
      </c>
      <c r="AF833" s="168">
        <v>0</v>
      </c>
      <c r="AG833" s="168" t="str" cm="1">
        <f t="array" ref="AG833">IF(AF833="","",_xlfn.TEXTSPLIT(AF833,"-"))</f>
        <v>0</v>
      </c>
      <c r="AH833" s="168"/>
    </row>
    <row r="834" spans="26:34" ht="24" customHeight="1">
      <c r="Z834"/>
      <c r="AA834"/>
      <c r="AB834"/>
      <c r="AC834"/>
      <c r="AD834"/>
      <c r="AE834" s="168" t="str">
        <f t="shared" si="12"/>
        <v/>
      </c>
      <c r="AF834" s="168">
        <v>0</v>
      </c>
      <c r="AG834" s="168" t="str" cm="1">
        <f t="array" ref="AG834">IF(AF834="","",_xlfn.TEXTSPLIT(AF834,"-"))</f>
        <v>0</v>
      </c>
      <c r="AH834" s="168"/>
    </row>
    <row r="835" spans="26:34" ht="24" customHeight="1">
      <c r="Z835"/>
      <c r="AA835"/>
      <c r="AB835"/>
      <c r="AC835"/>
      <c r="AD835"/>
      <c r="AE835" s="168" t="str">
        <f t="shared" si="12"/>
        <v/>
      </c>
      <c r="AF835" s="168">
        <v>0</v>
      </c>
      <c r="AG835" s="168" t="str" cm="1">
        <f t="array" ref="AG835">IF(AF835="","",_xlfn.TEXTSPLIT(AF835,"-"))</f>
        <v>0</v>
      </c>
      <c r="AH835" s="168"/>
    </row>
    <row r="836" spans="26:34" ht="24" customHeight="1">
      <c r="Z836"/>
      <c r="AA836"/>
      <c r="AB836"/>
      <c r="AC836"/>
      <c r="AD836"/>
      <c r="AE836" s="168" t="str">
        <f t="shared" si="12"/>
        <v/>
      </c>
      <c r="AF836" s="168">
        <v>0</v>
      </c>
      <c r="AG836" s="168" t="str" cm="1">
        <f t="array" ref="AG836">IF(AF836="","",_xlfn.TEXTSPLIT(AF836,"-"))</f>
        <v>0</v>
      </c>
      <c r="AH836" s="168"/>
    </row>
    <row r="837" spans="26:34" ht="24" customHeight="1">
      <c r="Z837"/>
      <c r="AA837"/>
      <c r="AB837"/>
      <c r="AC837"/>
      <c r="AD837"/>
      <c r="AE837" s="168" t="str">
        <f t="shared" ref="AE837:AE900" si="13">IF(AH837="","",AH837*1)</f>
        <v/>
      </c>
      <c r="AF837" s="168">
        <v>0</v>
      </c>
      <c r="AG837" s="168" t="str" cm="1">
        <f t="array" ref="AG837">IF(AF837="","",_xlfn.TEXTSPLIT(AF837,"-"))</f>
        <v>0</v>
      </c>
      <c r="AH837" s="168"/>
    </row>
    <row r="838" spans="26:34" ht="24" customHeight="1">
      <c r="Z838"/>
      <c r="AA838"/>
      <c r="AB838"/>
      <c r="AC838"/>
      <c r="AD838"/>
      <c r="AE838" s="168" t="str">
        <f t="shared" si="13"/>
        <v/>
      </c>
      <c r="AF838" s="168">
        <v>0</v>
      </c>
      <c r="AG838" s="168" t="str" cm="1">
        <f t="array" ref="AG838">IF(AF838="","",_xlfn.TEXTSPLIT(AF838,"-"))</f>
        <v>0</v>
      </c>
      <c r="AH838" s="168"/>
    </row>
    <row r="839" spans="26:34" ht="24" customHeight="1">
      <c r="Z839"/>
      <c r="AA839"/>
      <c r="AB839"/>
      <c r="AC839"/>
      <c r="AD839"/>
      <c r="AE839" s="168" t="str">
        <f t="shared" si="13"/>
        <v/>
      </c>
      <c r="AF839" s="168">
        <v>0</v>
      </c>
      <c r="AG839" s="168" t="str" cm="1">
        <f t="array" ref="AG839">IF(AF839="","",_xlfn.TEXTSPLIT(AF839,"-"))</f>
        <v>0</v>
      </c>
      <c r="AH839" s="168"/>
    </row>
    <row r="840" spans="26:34" ht="24" customHeight="1">
      <c r="Z840"/>
      <c r="AA840"/>
      <c r="AB840"/>
      <c r="AC840"/>
      <c r="AD840"/>
      <c r="AE840" s="168" t="str">
        <f t="shared" si="13"/>
        <v/>
      </c>
      <c r="AF840" s="168">
        <v>0</v>
      </c>
      <c r="AG840" s="168" t="str" cm="1">
        <f t="array" ref="AG840">IF(AF840="","",_xlfn.TEXTSPLIT(AF840,"-"))</f>
        <v>0</v>
      </c>
      <c r="AH840" s="168"/>
    </row>
    <row r="841" spans="26:34" ht="24" customHeight="1">
      <c r="Z841"/>
      <c r="AA841"/>
      <c r="AB841"/>
      <c r="AC841"/>
      <c r="AD841"/>
      <c r="AE841" s="168" t="str">
        <f t="shared" si="13"/>
        <v/>
      </c>
      <c r="AF841" s="168">
        <v>0</v>
      </c>
      <c r="AG841" s="168" t="str" cm="1">
        <f t="array" ref="AG841">IF(AF841="","",_xlfn.TEXTSPLIT(AF841,"-"))</f>
        <v>0</v>
      </c>
      <c r="AH841" s="168"/>
    </row>
    <row r="842" spans="26:34" ht="24" customHeight="1">
      <c r="Z842"/>
      <c r="AA842"/>
      <c r="AB842"/>
      <c r="AC842"/>
      <c r="AD842"/>
      <c r="AE842" s="168" t="str">
        <f t="shared" si="13"/>
        <v/>
      </c>
      <c r="AF842" s="168">
        <v>0</v>
      </c>
      <c r="AG842" s="168" t="str" cm="1">
        <f t="array" ref="AG842">IF(AF842="","",_xlfn.TEXTSPLIT(AF842,"-"))</f>
        <v>0</v>
      </c>
      <c r="AH842" s="168"/>
    </row>
    <row r="843" spans="26:34" ht="24" customHeight="1">
      <c r="Z843"/>
      <c r="AA843"/>
      <c r="AB843"/>
      <c r="AC843"/>
      <c r="AD843"/>
      <c r="AE843" s="168" t="str">
        <f t="shared" si="13"/>
        <v/>
      </c>
      <c r="AF843" s="168">
        <v>0</v>
      </c>
      <c r="AG843" s="168" t="str" cm="1">
        <f t="array" ref="AG843">IF(AF843="","",_xlfn.TEXTSPLIT(AF843,"-"))</f>
        <v>0</v>
      </c>
      <c r="AH843" s="168"/>
    </row>
    <row r="844" spans="26:34" ht="24" customHeight="1">
      <c r="Z844"/>
      <c r="AA844"/>
      <c r="AB844"/>
      <c r="AC844"/>
      <c r="AD844"/>
      <c r="AE844" s="168" t="str">
        <f t="shared" si="13"/>
        <v/>
      </c>
      <c r="AF844" s="168">
        <v>0</v>
      </c>
      <c r="AG844" s="168" t="str" cm="1">
        <f t="array" ref="AG844">IF(AF844="","",_xlfn.TEXTSPLIT(AF844,"-"))</f>
        <v>0</v>
      </c>
      <c r="AH844" s="168"/>
    </row>
    <row r="845" spans="26:34" ht="24" customHeight="1">
      <c r="Z845"/>
      <c r="AA845"/>
      <c r="AB845"/>
      <c r="AC845"/>
      <c r="AD845"/>
      <c r="AE845" s="168" t="str">
        <f t="shared" si="13"/>
        <v/>
      </c>
      <c r="AF845" s="168">
        <v>0</v>
      </c>
      <c r="AG845" s="168" t="str" cm="1">
        <f t="array" ref="AG845">IF(AF845="","",_xlfn.TEXTSPLIT(AF845,"-"))</f>
        <v>0</v>
      </c>
      <c r="AH845" s="168"/>
    </row>
    <row r="846" spans="26:34" ht="24" customHeight="1">
      <c r="Z846"/>
      <c r="AA846"/>
      <c r="AB846"/>
      <c r="AC846"/>
      <c r="AD846"/>
      <c r="AE846" s="168" t="str">
        <f t="shared" si="13"/>
        <v/>
      </c>
      <c r="AF846" s="168">
        <v>0</v>
      </c>
      <c r="AG846" s="168" t="str" cm="1">
        <f t="array" ref="AG846">IF(AF846="","",_xlfn.TEXTSPLIT(AF846,"-"))</f>
        <v>0</v>
      </c>
      <c r="AH846" s="168"/>
    </row>
    <row r="847" spans="26:34" ht="24" customHeight="1">
      <c r="Z847"/>
      <c r="AA847"/>
      <c r="AB847"/>
      <c r="AC847"/>
      <c r="AD847"/>
      <c r="AE847" s="168" t="str">
        <f t="shared" si="13"/>
        <v/>
      </c>
      <c r="AF847" s="168">
        <v>0</v>
      </c>
      <c r="AG847" s="168" t="str" cm="1">
        <f t="array" ref="AG847">IF(AF847="","",_xlfn.TEXTSPLIT(AF847,"-"))</f>
        <v>0</v>
      </c>
      <c r="AH847" s="168"/>
    </row>
    <row r="848" spans="26:34" ht="24" customHeight="1">
      <c r="Z848"/>
      <c r="AA848"/>
      <c r="AB848"/>
      <c r="AC848"/>
      <c r="AD848"/>
      <c r="AE848" s="168" t="str">
        <f t="shared" si="13"/>
        <v/>
      </c>
      <c r="AF848" s="168">
        <v>0</v>
      </c>
      <c r="AG848" s="168" t="str" cm="1">
        <f t="array" ref="AG848">IF(AF848="","",_xlfn.TEXTSPLIT(AF848,"-"))</f>
        <v>0</v>
      </c>
      <c r="AH848" s="168"/>
    </row>
    <row r="849" spans="26:34" ht="24" customHeight="1">
      <c r="Z849"/>
      <c r="AA849"/>
      <c r="AB849"/>
      <c r="AC849"/>
      <c r="AD849"/>
      <c r="AE849" s="168" t="str">
        <f t="shared" si="13"/>
        <v/>
      </c>
      <c r="AF849" s="168">
        <v>0</v>
      </c>
      <c r="AG849" s="168" t="str" cm="1">
        <f t="array" ref="AG849">IF(AF849="","",_xlfn.TEXTSPLIT(AF849,"-"))</f>
        <v>0</v>
      </c>
      <c r="AH849" s="168"/>
    </row>
    <row r="850" spans="26:34" ht="24" customHeight="1">
      <c r="Z850"/>
      <c r="AA850"/>
      <c r="AB850"/>
      <c r="AC850"/>
      <c r="AD850"/>
      <c r="AE850" s="168" t="str">
        <f t="shared" si="13"/>
        <v/>
      </c>
      <c r="AF850" s="168">
        <v>0</v>
      </c>
      <c r="AG850" s="168" t="str" cm="1">
        <f t="array" ref="AG850">IF(AF850="","",_xlfn.TEXTSPLIT(AF850,"-"))</f>
        <v>0</v>
      </c>
      <c r="AH850" s="168"/>
    </row>
    <row r="851" spans="26:34" ht="24" customHeight="1">
      <c r="Z851"/>
      <c r="AA851"/>
      <c r="AB851"/>
      <c r="AC851"/>
      <c r="AD851"/>
      <c r="AE851" s="168" t="str">
        <f t="shared" si="13"/>
        <v/>
      </c>
      <c r="AF851" s="168">
        <v>0</v>
      </c>
      <c r="AG851" s="168" t="str" cm="1">
        <f t="array" ref="AG851">IF(AF851="","",_xlfn.TEXTSPLIT(AF851,"-"))</f>
        <v>0</v>
      </c>
      <c r="AH851" s="168"/>
    </row>
    <row r="852" spans="26:34" ht="24" customHeight="1">
      <c r="Z852"/>
      <c r="AA852"/>
      <c r="AB852"/>
      <c r="AC852"/>
      <c r="AD852"/>
      <c r="AE852" s="168" t="str">
        <f t="shared" si="13"/>
        <v/>
      </c>
      <c r="AF852" s="168">
        <v>0</v>
      </c>
      <c r="AG852" s="168" t="str" cm="1">
        <f t="array" ref="AG852">IF(AF852="","",_xlfn.TEXTSPLIT(AF852,"-"))</f>
        <v>0</v>
      </c>
      <c r="AH852" s="168"/>
    </row>
    <row r="853" spans="26:34" ht="24" customHeight="1">
      <c r="Z853"/>
      <c r="AA853"/>
      <c r="AB853"/>
      <c r="AC853"/>
      <c r="AD853"/>
      <c r="AE853" s="168" t="str">
        <f t="shared" si="13"/>
        <v/>
      </c>
      <c r="AF853" s="168">
        <v>0</v>
      </c>
      <c r="AG853" s="168" t="str" cm="1">
        <f t="array" ref="AG853">IF(AF853="","",_xlfn.TEXTSPLIT(AF853,"-"))</f>
        <v>0</v>
      </c>
      <c r="AH853" s="168"/>
    </row>
    <row r="854" spans="26:34" ht="24" customHeight="1">
      <c r="Z854"/>
      <c r="AA854"/>
      <c r="AB854"/>
      <c r="AC854"/>
      <c r="AD854"/>
      <c r="AE854" s="168" t="str">
        <f t="shared" si="13"/>
        <v/>
      </c>
      <c r="AF854" s="168">
        <v>0</v>
      </c>
      <c r="AG854" s="168" t="str" cm="1">
        <f t="array" ref="AG854">IF(AF854="","",_xlfn.TEXTSPLIT(AF854,"-"))</f>
        <v>0</v>
      </c>
      <c r="AH854" s="168"/>
    </row>
    <row r="855" spans="26:34" ht="24" customHeight="1">
      <c r="Z855"/>
      <c r="AA855"/>
      <c r="AB855"/>
      <c r="AC855"/>
      <c r="AD855"/>
      <c r="AE855" s="168" t="str">
        <f t="shared" si="13"/>
        <v/>
      </c>
      <c r="AF855" s="168">
        <v>0</v>
      </c>
      <c r="AG855" s="168" t="str" cm="1">
        <f t="array" ref="AG855">IF(AF855="","",_xlfn.TEXTSPLIT(AF855,"-"))</f>
        <v>0</v>
      </c>
      <c r="AH855" s="168"/>
    </row>
    <row r="856" spans="26:34" ht="24" customHeight="1">
      <c r="Z856"/>
      <c r="AA856"/>
      <c r="AB856"/>
      <c r="AC856"/>
      <c r="AD856"/>
      <c r="AE856" s="168" t="str">
        <f t="shared" si="13"/>
        <v/>
      </c>
      <c r="AF856" s="168">
        <v>0</v>
      </c>
      <c r="AG856" s="168" t="str" cm="1">
        <f t="array" ref="AG856">IF(AF856="","",_xlfn.TEXTSPLIT(AF856,"-"))</f>
        <v>0</v>
      </c>
      <c r="AH856" s="168"/>
    </row>
    <row r="857" spans="26:34" ht="24" customHeight="1">
      <c r="Z857"/>
      <c r="AA857"/>
      <c r="AB857"/>
      <c r="AC857"/>
      <c r="AD857"/>
      <c r="AE857" s="168" t="str">
        <f t="shared" si="13"/>
        <v/>
      </c>
      <c r="AF857" s="168">
        <v>0</v>
      </c>
      <c r="AG857" s="168" t="str" cm="1">
        <f t="array" ref="AG857">IF(AF857="","",_xlfn.TEXTSPLIT(AF857,"-"))</f>
        <v>0</v>
      </c>
      <c r="AH857" s="168"/>
    </row>
    <row r="858" spans="26:34" ht="24" customHeight="1">
      <c r="Z858"/>
      <c r="AA858"/>
      <c r="AB858"/>
      <c r="AC858"/>
      <c r="AD858"/>
      <c r="AE858" s="168" t="str">
        <f t="shared" si="13"/>
        <v/>
      </c>
      <c r="AF858" s="168">
        <v>0</v>
      </c>
      <c r="AG858" s="168" t="str" cm="1">
        <f t="array" ref="AG858">IF(AF858="","",_xlfn.TEXTSPLIT(AF858,"-"))</f>
        <v>0</v>
      </c>
      <c r="AH858" s="168"/>
    </row>
    <row r="859" spans="26:34" ht="24" customHeight="1">
      <c r="Z859"/>
      <c r="AA859"/>
      <c r="AB859"/>
      <c r="AC859"/>
      <c r="AD859"/>
      <c r="AE859" s="168" t="str">
        <f t="shared" si="13"/>
        <v/>
      </c>
      <c r="AF859" s="168">
        <v>0</v>
      </c>
      <c r="AG859" s="168" t="str" cm="1">
        <f t="array" ref="AG859">IF(AF859="","",_xlfn.TEXTSPLIT(AF859,"-"))</f>
        <v>0</v>
      </c>
      <c r="AH859" s="168"/>
    </row>
    <row r="860" spans="26:34" ht="24" customHeight="1">
      <c r="Z860"/>
      <c r="AA860"/>
      <c r="AB860"/>
      <c r="AC860"/>
      <c r="AD860"/>
      <c r="AE860" s="168" t="str">
        <f t="shared" si="13"/>
        <v/>
      </c>
      <c r="AF860" s="168">
        <v>0</v>
      </c>
      <c r="AG860" s="168" t="str" cm="1">
        <f t="array" ref="AG860">IF(AF860="","",_xlfn.TEXTSPLIT(AF860,"-"))</f>
        <v>0</v>
      </c>
      <c r="AH860" s="168"/>
    </row>
    <row r="861" spans="26:34" ht="24" customHeight="1">
      <c r="Z861"/>
      <c r="AA861"/>
      <c r="AB861"/>
      <c r="AC861"/>
      <c r="AD861"/>
      <c r="AE861" s="168" t="str">
        <f t="shared" si="13"/>
        <v/>
      </c>
      <c r="AF861" s="168">
        <v>0</v>
      </c>
      <c r="AG861" s="168" t="str" cm="1">
        <f t="array" ref="AG861">IF(AF861="","",_xlfn.TEXTSPLIT(AF861,"-"))</f>
        <v>0</v>
      </c>
      <c r="AH861" s="168"/>
    </row>
    <row r="862" spans="26:34" ht="24" customHeight="1">
      <c r="Z862"/>
      <c r="AA862"/>
      <c r="AB862"/>
      <c r="AC862"/>
      <c r="AD862"/>
      <c r="AE862" s="168" t="str">
        <f t="shared" si="13"/>
        <v/>
      </c>
      <c r="AF862" s="168">
        <v>0</v>
      </c>
      <c r="AG862" s="168" t="str" cm="1">
        <f t="array" ref="AG862">IF(AF862="","",_xlfn.TEXTSPLIT(AF862,"-"))</f>
        <v>0</v>
      </c>
      <c r="AH862" s="168"/>
    </row>
    <row r="863" spans="26:34" ht="24" customHeight="1">
      <c r="Z863"/>
      <c r="AA863"/>
      <c r="AB863"/>
      <c r="AC863"/>
      <c r="AD863"/>
      <c r="AE863" s="168" t="str">
        <f t="shared" si="13"/>
        <v/>
      </c>
      <c r="AF863" s="168">
        <v>0</v>
      </c>
      <c r="AG863" s="168" t="str" cm="1">
        <f t="array" ref="AG863">IF(AF863="","",_xlfn.TEXTSPLIT(AF863,"-"))</f>
        <v>0</v>
      </c>
      <c r="AH863" s="168"/>
    </row>
    <row r="864" spans="26:34" ht="24" customHeight="1">
      <c r="Z864"/>
      <c r="AA864"/>
      <c r="AB864"/>
      <c r="AC864"/>
      <c r="AD864"/>
      <c r="AE864" s="168" t="str">
        <f t="shared" si="13"/>
        <v/>
      </c>
      <c r="AF864" s="168">
        <v>0</v>
      </c>
      <c r="AG864" s="168" t="str" cm="1">
        <f t="array" ref="AG864">IF(AF864="","",_xlfn.TEXTSPLIT(AF864,"-"))</f>
        <v>0</v>
      </c>
      <c r="AH864" s="168"/>
    </row>
    <row r="865" spans="26:34" ht="24" customHeight="1">
      <c r="Z865"/>
      <c r="AA865"/>
      <c r="AB865"/>
      <c r="AC865"/>
      <c r="AD865"/>
      <c r="AE865" s="168" t="str">
        <f t="shared" si="13"/>
        <v/>
      </c>
      <c r="AF865" s="168">
        <v>0</v>
      </c>
      <c r="AG865" s="168" t="str" cm="1">
        <f t="array" ref="AG865">IF(AF865="","",_xlfn.TEXTSPLIT(AF865,"-"))</f>
        <v>0</v>
      </c>
      <c r="AH865" s="168"/>
    </row>
    <row r="866" spans="26:34" ht="24" customHeight="1">
      <c r="Z866"/>
      <c r="AA866"/>
      <c r="AB866"/>
      <c r="AC866"/>
      <c r="AD866"/>
      <c r="AE866" s="168" t="str">
        <f t="shared" si="13"/>
        <v/>
      </c>
      <c r="AF866" s="168">
        <v>0</v>
      </c>
      <c r="AG866" s="168" t="str" cm="1">
        <f t="array" ref="AG866">IF(AF866="","",_xlfn.TEXTSPLIT(AF866,"-"))</f>
        <v>0</v>
      </c>
      <c r="AH866" s="168"/>
    </row>
    <row r="867" spans="26:34" ht="24" customHeight="1">
      <c r="Z867"/>
      <c r="AA867"/>
      <c r="AB867"/>
      <c r="AC867"/>
      <c r="AD867"/>
      <c r="AE867" s="168" t="str">
        <f t="shared" si="13"/>
        <v/>
      </c>
      <c r="AF867" s="168">
        <v>0</v>
      </c>
      <c r="AG867" s="168" t="str" cm="1">
        <f t="array" ref="AG867">IF(AF867="","",_xlfn.TEXTSPLIT(AF867,"-"))</f>
        <v>0</v>
      </c>
      <c r="AH867" s="168"/>
    </row>
    <row r="868" spans="26:34" ht="24" customHeight="1">
      <c r="Z868"/>
      <c r="AA868"/>
      <c r="AB868"/>
      <c r="AC868"/>
      <c r="AD868"/>
      <c r="AE868" s="168" t="str">
        <f t="shared" si="13"/>
        <v/>
      </c>
      <c r="AF868" s="168">
        <v>0</v>
      </c>
      <c r="AG868" s="168" t="str" cm="1">
        <f t="array" ref="AG868">IF(AF868="","",_xlfn.TEXTSPLIT(AF868,"-"))</f>
        <v>0</v>
      </c>
      <c r="AH868" s="168"/>
    </row>
    <row r="869" spans="26:34" ht="24" customHeight="1">
      <c r="Z869"/>
      <c r="AA869"/>
      <c r="AB869"/>
      <c r="AC869"/>
      <c r="AD869"/>
      <c r="AE869" s="168" t="str">
        <f t="shared" si="13"/>
        <v/>
      </c>
      <c r="AF869" s="168">
        <v>0</v>
      </c>
      <c r="AG869" s="168" t="str" cm="1">
        <f t="array" ref="AG869">IF(AF869="","",_xlfn.TEXTSPLIT(AF869,"-"))</f>
        <v>0</v>
      </c>
      <c r="AH869" s="168"/>
    </row>
    <row r="870" spans="26:34" ht="24" customHeight="1">
      <c r="Z870"/>
      <c r="AA870"/>
      <c r="AB870"/>
      <c r="AC870"/>
      <c r="AD870"/>
      <c r="AE870" s="168" t="str">
        <f t="shared" si="13"/>
        <v/>
      </c>
      <c r="AF870" s="168">
        <v>0</v>
      </c>
      <c r="AG870" s="168" t="str" cm="1">
        <f t="array" ref="AG870">IF(AF870="","",_xlfn.TEXTSPLIT(AF870,"-"))</f>
        <v>0</v>
      </c>
      <c r="AH870" s="168"/>
    </row>
    <row r="871" spans="26:34" ht="24" customHeight="1">
      <c r="Z871"/>
      <c r="AA871"/>
      <c r="AB871"/>
      <c r="AC871"/>
      <c r="AD871"/>
      <c r="AE871" s="168" t="str">
        <f t="shared" si="13"/>
        <v/>
      </c>
      <c r="AF871" s="168">
        <v>0</v>
      </c>
      <c r="AG871" s="168" t="str" cm="1">
        <f t="array" ref="AG871">IF(AF871="","",_xlfn.TEXTSPLIT(AF871,"-"))</f>
        <v>0</v>
      </c>
      <c r="AH871" s="168"/>
    </row>
    <row r="872" spans="26:34" ht="24" customHeight="1">
      <c r="Z872"/>
      <c r="AA872"/>
      <c r="AB872"/>
      <c r="AC872"/>
      <c r="AD872"/>
      <c r="AE872" s="168" t="str">
        <f t="shared" si="13"/>
        <v/>
      </c>
      <c r="AF872" s="168">
        <v>0</v>
      </c>
      <c r="AG872" s="168" t="str" cm="1">
        <f t="array" ref="AG872">IF(AF872="","",_xlfn.TEXTSPLIT(AF872,"-"))</f>
        <v>0</v>
      </c>
      <c r="AH872" s="168"/>
    </row>
    <row r="873" spans="26:34" ht="24" customHeight="1">
      <c r="Z873"/>
      <c r="AA873"/>
      <c r="AB873"/>
      <c r="AC873"/>
      <c r="AD873"/>
      <c r="AE873" s="168" t="str">
        <f t="shared" si="13"/>
        <v/>
      </c>
      <c r="AF873" s="168">
        <v>0</v>
      </c>
      <c r="AG873" s="168" t="str" cm="1">
        <f t="array" ref="AG873">IF(AF873="","",_xlfn.TEXTSPLIT(AF873,"-"))</f>
        <v>0</v>
      </c>
      <c r="AH873" s="168"/>
    </row>
    <row r="874" spans="26:34" ht="24" customHeight="1">
      <c r="Z874"/>
      <c r="AA874"/>
      <c r="AB874"/>
      <c r="AC874"/>
      <c r="AD874"/>
      <c r="AE874" s="168" t="str">
        <f t="shared" si="13"/>
        <v/>
      </c>
      <c r="AF874" s="168">
        <v>0</v>
      </c>
      <c r="AG874" s="168" t="str" cm="1">
        <f t="array" ref="AG874">IF(AF874="","",_xlfn.TEXTSPLIT(AF874,"-"))</f>
        <v>0</v>
      </c>
      <c r="AH874" s="168"/>
    </row>
    <row r="875" spans="26:34" ht="24" customHeight="1">
      <c r="Z875"/>
      <c r="AA875"/>
      <c r="AB875"/>
      <c r="AC875"/>
      <c r="AD875"/>
      <c r="AE875" s="168" t="str">
        <f t="shared" si="13"/>
        <v/>
      </c>
      <c r="AF875" s="168">
        <v>0</v>
      </c>
      <c r="AG875" s="168" t="str" cm="1">
        <f t="array" ref="AG875">IF(AF875="","",_xlfn.TEXTSPLIT(AF875,"-"))</f>
        <v>0</v>
      </c>
      <c r="AH875" s="168"/>
    </row>
    <row r="876" spans="26:34" ht="24" customHeight="1">
      <c r="Z876"/>
      <c r="AA876"/>
      <c r="AB876"/>
      <c r="AC876"/>
      <c r="AD876"/>
      <c r="AE876" s="168" t="str">
        <f t="shared" si="13"/>
        <v/>
      </c>
      <c r="AF876" s="168">
        <v>0</v>
      </c>
      <c r="AG876" s="168" t="str" cm="1">
        <f t="array" ref="AG876">IF(AF876="","",_xlfn.TEXTSPLIT(AF876,"-"))</f>
        <v>0</v>
      </c>
      <c r="AH876" s="168"/>
    </row>
    <row r="877" spans="26:34" ht="24" customHeight="1">
      <c r="Z877"/>
      <c r="AA877"/>
      <c r="AB877"/>
      <c r="AC877"/>
      <c r="AD877"/>
      <c r="AE877" s="168" t="str">
        <f t="shared" si="13"/>
        <v/>
      </c>
      <c r="AF877" s="168">
        <v>0</v>
      </c>
      <c r="AG877" s="168" t="str" cm="1">
        <f t="array" ref="AG877">IF(AF877="","",_xlfn.TEXTSPLIT(AF877,"-"))</f>
        <v>0</v>
      </c>
      <c r="AH877" s="168"/>
    </row>
    <row r="878" spans="26:34" ht="24" customHeight="1">
      <c r="Z878"/>
      <c r="AA878"/>
      <c r="AB878"/>
      <c r="AC878"/>
      <c r="AD878"/>
      <c r="AE878" s="168" t="str">
        <f t="shared" si="13"/>
        <v/>
      </c>
      <c r="AF878" s="168">
        <v>0</v>
      </c>
      <c r="AG878" s="168" t="str" cm="1">
        <f t="array" ref="AG878">IF(AF878="","",_xlfn.TEXTSPLIT(AF878,"-"))</f>
        <v>0</v>
      </c>
      <c r="AH878" s="168"/>
    </row>
    <row r="879" spans="26:34" ht="24" customHeight="1">
      <c r="Z879"/>
      <c r="AA879"/>
      <c r="AB879"/>
      <c r="AC879"/>
      <c r="AD879"/>
      <c r="AE879" s="168" t="str">
        <f t="shared" si="13"/>
        <v/>
      </c>
      <c r="AF879" s="168">
        <v>0</v>
      </c>
      <c r="AG879" s="168" t="str" cm="1">
        <f t="array" ref="AG879">IF(AF879="","",_xlfn.TEXTSPLIT(AF879,"-"))</f>
        <v>0</v>
      </c>
      <c r="AH879" s="168"/>
    </row>
    <row r="880" spans="26:34" ht="24" customHeight="1">
      <c r="Z880"/>
      <c r="AA880"/>
      <c r="AB880"/>
      <c r="AC880"/>
      <c r="AD880"/>
      <c r="AE880" s="168" t="str">
        <f t="shared" si="13"/>
        <v/>
      </c>
      <c r="AF880" s="168">
        <v>0</v>
      </c>
      <c r="AG880" s="168" t="str" cm="1">
        <f t="array" ref="AG880">IF(AF880="","",_xlfn.TEXTSPLIT(AF880,"-"))</f>
        <v>0</v>
      </c>
      <c r="AH880" s="168"/>
    </row>
    <row r="881" spans="26:34" ht="24" customHeight="1">
      <c r="Z881"/>
      <c r="AA881"/>
      <c r="AB881"/>
      <c r="AC881"/>
      <c r="AD881"/>
      <c r="AE881" s="168" t="str">
        <f t="shared" si="13"/>
        <v/>
      </c>
      <c r="AF881" s="168">
        <v>0</v>
      </c>
      <c r="AG881" s="168" t="str" cm="1">
        <f t="array" ref="AG881">IF(AF881="","",_xlfn.TEXTSPLIT(AF881,"-"))</f>
        <v>0</v>
      </c>
      <c r="AH881" s="168"/>
    </row>
    <row r="882" spans="26:34" ht="24" customHeight="1">
      <c r="Z882"/>
      <c r="AA882"/>
      <c r="AB882"/>
      <c r="AC882"/>
      <c r="AD882"/>
      <c r="AE882" s="168" t="str">
        <f t="shared" si="13"/>
        <v/>
      </c>
      <c r="AF882" s="168">
        <v>0</v>
      </c>
      <c r="AG882" s="168" t="str" cm="1">
        <f t="array" ref="AG882">IF(AF882="","",_xlfn.TEXTSPLIT(AF882,"-"))</f>
        <v>0</v>
      </c>
      <c r="AH882" s="168"/>
    </row>
    <row r="883" spans="26:34" ht="24" customHeight="1">
      <c r="Z883"/>
      <c r="AA883"/>
      <c r="AB883"/>
      <c r="AC883"/>
      <c r="AD883"/>
      <c r="AE883" s="168" t="str">
        <f t="shared" si="13"/>
        <v/>
      </c>
      <c r="AF883" s="168">
        <v>0</v>
      </c>
      <c r="AG883" s="168" t="str" cm="1">
        <f t="array" ref="AG883">IF(AF883="","",_xlfn.TEXTSPLIT(AF883,"-"))</f>
        <v>0</v>
      </c>
      <c r="AH883" s="168"/>
    </row>
    <row r="884" spans="26:34" ht="24" customHeight="1">
      <c r="Z884"/>
      <c r="AA884"/>
      <c r="AB884"/>
      <c r="AC884"/>
      <c r="AD884"/>
      <c r="AE884" s="168" t="str">
        <f t="shared" si="13"/>
        <v/>
      </c>
      <c r="AF884" s="168">
        <v>0</v>
      </c>
      <c r="AG884" s="168" t="str" cm="1">
        <f t="array" ref="AG884">IF(AF884="","",_xlfn.TEXTSPLIT(AF884,"-"))</f>
        <v>0</v>
      </c>
      <c r="AH884" s="168"/>
    </row>
    <row r="885" spans="26:34" ht="24" customHeight="1">
      <c r="Z885"/>
      <c r="AA885"/>
      <c r="AB885"/>
      <c r="AC885"/>
      <c r="AD885"/>
      <c r="AE885" s="168" t="str">
        <f t="shared" si="13"/>
        <v/>
      </c>
      <c r="AF885" s="168">
        <v>0</v>
      </c>
      <c r="AG885" s="168" t="str" cm="1">
        <f t="array" ref="AG885">IF(AF885="","",_xlfn.TEXTSPLIT(AF885,"-"))</f>
        <v>0</v>
      </c>
      <c r="AH885" s="168"/>
    </row>
    <row r="886" spans="26:34" ht="24" customHeight="1">
      <c r="Z886"/>
      <c r="AA886"/>
      <c r="AB886"/>
      <c r="AC886"/>
      <c r="AD886"/>
      <c r="AE886" s="168" t="str">
        <f t="shared" si="13"/>
        <v/>
      </c>
      <c r="AF886" s="168">
        <v>0</v>
      </c>
      <c r="AG886" s="168" t="str" cm="1">
        <f t="array" ref="AG886">IF(AF886="","",_xlfn.TEXTSPLIT(AF886,"-"))</f>
        <v>0</v>
      </c>
      <c r="AH886" s="168"/>
    </row>
    <row r="887" spans="26:34" ht="24" customHeight="1">
      <c r="Z887"/>
      <c r="AA887"/>
      <c r="AB887"/>
      <c r="AC887"/>
      <c r="AD887"/>
      <c r="AE887" s="168" t="str">
        <f t="shared" si="13"/>
        <v/>
      </c>
      <c r="AF887" s="168">
        <v>0</v>
      </c>
      <c r="AG887" s="168" t="str" cm="1">
        <f t="array" ref="AG887">IF(AF887="","",_xlfn.TEXTSPLIT(AF887,"-"))</f>
        <v>0</v>
      </c>
      <c r="AH887" s="168"/>
    </row>
    <row r="888" spans="26:34" ht="24" customHeight="1">
      <c r="Z888"/>
      <c r="AA888"/>
      <c r="AB888"/>
      <c r="AC888"/>
      <c r="AD888"/>
      <c r="AE888" s="168" t="str">
        <f t="shared" si="13"/>
        <v/>
      </c>
      <c r="AF888" s="168">
        <v>0</v>
      </c>
      <c r="AG888" s="168" t="str" cm="1">
        <f t="array" ref="AG888">IF(AF888="","",_xlfn.TEXTSPLIT(AF888,"-"))</f>
        <v>0</v>
      </c>
      <c r="AH888" s="168"/>
    </row>
    <row r="889" spans="26:34" ht="24" customHeight="1">
      <c r="Z889"/>
      <c r="AA889"/>
      <c r="AB889"/>
      <c r="AC889"/>
      <c r="AD889"/>
      <c r="AE889" s="168" t="str">
        <f t="shared" si="13"/>
        <v/>
      </c>
      <c r="AF889" s="168">
        <v>0</v>
      </c>
      <c r="AG889" s="168" t="str" cm="1">
        <f t="array" ref="AG889">IF(AF889="","",_xlfn.TEXTSPLIT(AF889,"-"))</f>
        <v>0</v>
      </c>
      <c r="AH889" s="168"/>
    </row>
    <row r="890" spans="26:34" ht="24" customHeight="1">
      <c r="Z890"/>
      <c r="AA890"/>
      <c r="AB890"/>
      <c r="AC890"/>
      <c r="AD890"/>
      <c r="AE890" s="168" t="str">
        <f t="shared" si="13"/>
        <v/>
      </c>
      <c r="AF890" s="168">
        <v>0</v>
      </c>
      <c r="AG890" s="168" t="str" cm="1">
        <f t="array" ref="AG890">IF(AF890="","",_xlfn.TEXTSPLIT(AF890,"-"))</f>
        <v>0</v>
      </c>
      <c r="AH890" s="168"/>
    </row>
    <row r="891" spans="26:34" ht="24" customHeight="1">
      <c r="Z891"/>
      <c r="AA891"/>
      <c r="AB891"/>
      <c r="AC891"/>
      <c r="AD891"/>
      <c r="AE891" s="168" t="str">
        <f t="shared" si="13"/>
        <v/>
      </c>
      <c r="AF891" s="168">
        <v>0</v>
      </c>
      <c r="AG891" s="168" t="str" cm="1">
        <f t="array" ref="AG891">IF(AF891="","",_xlfn.TEXTSPLIT(AF891,"-"))</f>
        <v>0</v>
      </c>
      <c r="AH891" s="168"/>
    </row>
    <row r="892" spans="26:34" ht="24" customHeight="1">
      <c r="Z892"/>
      <c r="AA892"/>
      <c r="AB892"/>
      <c r="AC892"/>
      <c r="AD892"/>
      <c r="AE892" s="168" t="str">
        <f t="shared" si="13"/>
        <v/>
      </c>
      <c r="AF892" s="168">
        <v>0</v>
      </c>
      <c r="AG892" s="168" t="str" cm="1">
        <f t="array" ref="AG892">IF(AF892="","",_xlfn.TEXTSPLIT(AF892,"-"))</f>
        <v>0</v>
      </c>
      <c r="AH892" s="168"/>
    </row>
    <row r="893" spans="26:34" ht="24" customHeight="1">
      <c r="Z893"/>
      <c r="AA893"/>
      <c r="AB893"/>
      <c r="AC893"/>
      <c r="AD893"/>
      <c r="AE893" s="168" t="str">
        <f t="shared" si="13"/>
        <v/>
      </c>
      <c r="AF893" s="168">
        <v>0</v>
      </c>
      <c r="AG893" s="168" t="str" cm="1">
        <f t="array" ref="AG893">IF(AF893="","",_xlfn.TEXTSPLIT(AF893,"-"))</f>
        <v>0</v>
      </c>
      <c r="AH893" s="168"/>
    </row>
    <row r="894" spans="26:34" ht="24" customHeight="1">
      <c r="Z894"/>
      <c r="AA894"/>
      <c r="AB894"/>
      <c r="AC894"/>
      <c r="AD894"/>
      <c r="AE894" s="168" t="str">
        <f t="shared" si="13"/>
        <v/>
      </c>
      <c r="AF894" s="168">
        <v>0</v>
      </c>
      <c r="AG894" s="168" t="str" cm="1">
        <f t="array" ref="AG894">IF(AF894="","",_xlfn.TEXTSPLIT(AF894,"-"))</f>
        <v>0</v>
      </c>
      <c r="AH894" s="168"/>
    </row>
    <row r="895" spans="26:34" ht="24" customHeight="1">
      <c r="Z895"/>
      <c r="AA895"/>
      <c r="AB895"/>
      <c r="AC895"/>
      <c r="AD895"/>
      <c r="AE895" s="168" t="str">
        <f t="shared" si="13"/>
        <v/>
      </c>
      <c r="AF895" s="168">
        <v>0</v>
      </c>
      <c r="AG895" s="168" t="str" cm="1">
        <f t="array" ref="AG895">IF(AF895="","",_xlfn.TEXTSPLIT(AF895,"-"))</f>
        <v>0</v>
      </c>
      <c r="AH895" s="168"/>
    </row>
    <row r="896" spans="26:34" ht="24" customHeight="1">
      <c r="Z896"/>
      <c r="AA896"/>
      <c r="AB896"/>
      <c r="AC896"/>
      <c r="AD896"/>
      <c r="AE896" s="168" t="str">
        <f t="shared" si="13"/>
        <v/>
      </c>
      <c r="AF896" s="168">
        <v>0</v>
      </c>
      <c r="AG896" s="168" t="str" cm="1">
        <f t="array" ref="AG896">IF(AF896="","",_xlfn.TEXTSPLIT(AF896,"-"))</f>
        <v>0</v>
      </c>
      <c r="AH896" s="168"/>
    </row>
    <row r="897" spans="26:34" ht="24" customHeight="1">
      <c r="Z897"/>
      <c r="AA897"/>
      <c r="AB897"/>
      <c r="AC897"/>
      <c r="AD897"/>
      <c r="AE897" s="168" t="str">
        <f t="shared" si="13"/>
        <v/>
      </c>
      <c r="AF897" s="168">
        <v>0</v>
      </c>
      <c r="AG897" s="168" t="str" cm="1">
        <f t="array" ref="AG897">IF(AF897="","",_xlfn.TEXTSPLIT(AF897,"-"))</f>
        <v>0</v>
      </c>
      <c r="AH897" s="168"/>
    </row>
    <row r="898" spans="26:34" ht="24" customHeight="1">
      <c r="Z898"/>
      <c r="AA898"/>
      <c r="AB898"/>
      <c r="AC898"/>
      <c r="AD898"/>
      <c r="AE898" s="168" t="str">
        <f t="shared" si="13"/>
        <v/>
      </c>
      <c r="AF898" s="168">
        <v>0</v>
      </c>
      <c r="AG898" s="168" t="str" cm="1">
        <f t="array" ref="AG898">IF(AF898="","",_xlfn.TEXTSPLIT(AF898,"-"))</f>
        <v>0</v>
      </c>
      <c r="AH898" s="168"/>
    </row>
    <row r="899" spans="26:34" ht="24" customHeight="1">
      <c r="Z899"/>
      <c r="AA899"/>
      <c r="AB899"/>
      <c r="AC899"/>
      <c r="AD899"/>
      <c r="AE899" s="168" t="str">
        <f t="shared" si="13"/>
        <v/>
      </c>
      <c r="AF899" s="168">
        <v>0</v>
      </c>
      <c r="AG899" s="168" t="str" cm="1">
        <f t="array" ref="AG899">IF(AF899="","",_xlfn.TEXTSPLIT(AF899,"-"))</f>
        <v>0</v>
      </c>
      <c r="AH899" s="168"/>
    </row>
    <row r="900" spans="26:34" ht="24" customHeight="1">
      <c r="Z900"/>
      <c r="AA900"/>
      <c r="AB900"/>
      <c r="AC900"/>
      <c r="AD900"/>
      <c r="AE900" s="168" t="str">
        <f t="shared" si="13"/>
        <v/>
      </c>
      <c r="AF900" s="168">
        <v>0</v>
      </c>
      <c r="AG900" s="168" t="str" cm="1">
        <f t="array" ref="AG900">IF(AF900="","",_xlfn.TEXTSPLIT(AF900,"-"))</f>
        <v>0</v>
      </c>
      <c r="AH900" s="168"/>
    </row>
    <row r="901" spans="26:34" ht="24" customHeight="1">
      <c r="Z901"/>
      <c r="AA901"/>
      <c r="AB901"/>
      <c r="AC901"/>
      <c r="AD901"/>
      <c r="AE901" s="168" t="str">
        <f t="shared" ref="AE901:AE964" si="14">IF(AH901="","",AH901*1)</f>
        <v/>
      </c>
      <c r="AF901" s="168">
        <v>0</v>
      </c>
      <c r="AG901" s="168" t="str" cm="1">
        <f t="array" ref="AG901">IF(AF901="","",_xlfn.TEXTSPLIT(AF901,"-"))</f>
        <v>0</v>
      </c>
      <c r="AH901" s="168"/>
    </row>
    <row r="902" spans="26:34" ht="24" customHeight="1">
      <c r="Z902"/>
      <c r="AA902"/>
      <c r="AB902"/>
      <c r="AC902"/>
      <c r="AD902"/>
      <c r="AE902" s="168" t="str">
        <f t="shared" si="14"/>
        <v/>
      </c>
      <c r="AF902" s="168">
        <v>0</v>
      </c>
      <c r="AG902" s="168" t="str" cm="1">
        <f t="array" ref="AG902">IF(AF902="","",_xlfn.TEXTSPLIT(AF902,"-"))</f>
        <v>0</v>
      </c>
      <c r="AH902" s="168"/>
    </row>
    <row r="903" spans="26:34" ht="24" customHeight="1">
      <c r="Z903"/>
      <c r="AA903"/>
      <c r="AB903"/>
      <c r="AC903"/>
      <c r="AD903"/>
      <c r="AE903" s="168" t="str">
        <f t="shared" si="14"/>
        <v/>
      </c>
      <c r="AF903" s="168">
        <v>0</v>
      </c>
      <c r="AG903" s="168" t="str" cm="1">
        <f t="array" ref="AG903">IF(AF903="","",_xlfn.TEXTSPLIT(AF903,"-"))</f>
        <v>0</v>
      </c>
      <c r="AH903" s="168"/>
    </row>
    <row r="904" spans="26:34" ht="24" customHeight="1">
      <c r="Z904"/>
      <c r="AA904"/>
      <c r="AB904"/>
      <c r="AC904"/>
      <c r="AD904"/>
      <c r="AE904" s="168" t="str">
        <f t="shared" si="14"/>
        <v/>
      </c>
      <c r="AF904" s="168">
        <v>0</v>
      </c>
      <c r="AG904" s="168" t="str" cm="1">
        <f t="array" ref="AG904">IF(AF904="","",_xlfn.TEXTSPLIT(AF904,"-"))</f>
        <v>0</v>
      </c>
      <c r="AH904" s="168"/>
    </row>
    <row r="905" spans="26:34" ht="24" customHeight="1">
      <c r="Z905"/>
      <c r="AA905"/>
      <c r="AB905"/>
      <c r="AC905"/>
      <c r="AD905"/>
      <c r="AE905" s="168" t="str">
        <f t="shared" si="14"/>
        <v/>
      </c>
      <c r="AF905" s="168">
        <v>0</v>
      </c>
      <c r="AG905" s="168" t="str" cm="1">
        <f t="array" ref="AG905">IF(AF905="","",_xlfn.TEXTSPLIT(AF905,"-"))</f>
        <v>0</v>
      </c>
      <c r="AH905" s="168"/>
    </row>
    <row r="906" spans="26:34" ht="24" customHeight="1">
      <c r="Z906"/>
      <c r="AA906"/>
      <c r="AB906"/>
      <c r="AC906"/>
      <c r="AD906"/>
      <c r="AE906" s="168" t="str">
        <f t="shared" si="14"/>
        <v/>
      </c>
      <c r="AF906" s="168">
        <v>0</v>
      </c>
      <c r="AG906" s="168" t="str" cm="1">
        <f t="array" ref="AG906">IF(AF906="","",_xlfn.TEXTSPLIT(AF906,"-"))</f>
        <v>0</v>
      </c>
      <c r="AH906" s="168"/>
    </row>
    <row r="907" spans="26:34" ht="24" customHeight="1">
      <c r="Z907"/>
      <c r="AA907"/>
      <c r="AB907"/>
      <c r="AC907"/>
      <c r="AD907"/>
      <c r="AE907" s="168" t="str">
        <f t="shared" si="14"/>
        <v/>
      </c>
      <c r="AF907" s="168">
        <v>0</v>
      </c>
      <c r="AG907" s="168" t="str" cm="1">
        <f t="array" ref="AG907">IF(AF907="","",_xlfn.TEXTSPLIT(AF907,"-"))</f>
        <v>0</v>
      </c>
      <c r="AH907" s="168"/>
    </row>
    <row r="908" spans="26:34" ht="24" customHeight="1">
      <c r="Z908"/>
      <c r="AA908"/>
      <c r="AB908"/>
      <c r="AC908"/>
      <c r="AD908"/>
      <c r="AE908" s="168" t="str">
        <f t="shared" si="14"/>
        <v/>
      </c>
      <c r="AF908" s="168">
        <v>0</v>
      </c>
      <c r="AG908" s="168" t="str" cm="1">
        <f t="array" ref="AG908">IF(AF908="","",_xlfn.TEXTSPLIT(AF908,"-"))</f>
        <v>0</v>
      </c>
      <c r="AH908" s="168"/>
    </row>
    <row r="909" spans="26:34" ht="24" customHeight="1">
      <c r="Z909"/>
      <c r="AA909"/>
      <c r="AB909"/>
      <c r="AC909"/>
      <c r="AD909"/>
      <c r="AE909" s="168" t="str">
        <f t="shared" si="14"/>
        <v/>
      </c>
      <c r="AF909" s="168">
        <v>0</v>
      </c>
      <c r="AG909" s="168" t="str" cm="1">
        <f t="array" ref="AG909">IF(AF909="","",_xlfn.TEXTSPLIT(AF909,"-"))</f>
        <v>0</v>
      </c>
      <c r="AH909" s="168"/>
    </row>
    <row r="910" spans="26:34" ht="24" customHeight="1">
      <c r="Z910"/>
      <c r="AA910"/>
      <c r="AB910"/>
      <c r="AC910"/>
      <c r="AD910"/>
      <c r="AE910" s="168" t="str">
        <f t="shared" si="14"/>
        <v/>
      </c>
      <c r="AF910" s="168">
        <v>0</v>
      </c>
      <c r="AG910" s="168" t="str" cm="1">
        <f t="array" ref="AG910">IF(AF910="","",_xlfn.TEXTSPLIT(AF910,"-"))</f>
        <v>0</v>
      </c>
      <c r="AH910" s="168"/>
    </row>
    <row r="911" spans="26:34" ht="24" customHeight="1">
      <c r="Z911"/>
      <c r="AA911"/>
      <c r="AB911"/>
      <c r="AC911"/>
      <c r="AD911"/>
      <c r="AE911" s="168" t="str">
        <f t="shared" si="14"/>
        <v/>
      </c>
      <c r="AF911" s="168">
        <v>0</v>
      </c>
      <c r="AG911" s="168" t="str" cm="1">
        <f t="array" ref="AG911">IF(AF911="","",_xlfn.TEXTSPLIT(AF911,"-"))</f>
        <v>0</v>
      </c>
      <c r="AH911" s="168"/>
    </row>
    <row r="912" spans="26:34" ht="24" customHeight="1">
      <c r="Z912"/>
      <c r="AA912"/>
      <c r="AB912"/>
      <c r="AC912"/>
      <c r="AD912"/>
      <c r="AE912" s="168" t="str">
        <f t="shared" si="14"/>
        <v/>
      </c>
      <c r="AF912" s="168">
        <v>0</v>
      </c>
      <c r="AG912" s="168" t="str" cm="1">
        <f t="array" ref="AG912">IF(AF912="","",_xlfn.TEXTSPLIT(AF912,"-"))</f>
        <v>0</v>
      </c>
      <c r="AH912" s="168"/>
    </row>
    <row r="913" spans="26:34" ht="24" customHeight="1">
      <c r="Z913"/>
      <c r="AA913"/>
      <c r="AB913"/>
      <c r="AC913"/>
      <c r="AD913"/>
      <c r="AE913" s="168" t="str">
        <f t="shared" si="14"/>
        <v/>
      </c>
      <c r="AF913" s="168">
        <v>0</v>
      </c>
      <c r="AG913" s="168" t="str" cm="1">
        <f t="array" ref="AG913">IF(AF913="","",_xlfn.TEXTSPLIT(AF913,"-"))</f>
        <v>0</v>
      </c>
      <c r="AH913" s="168"/>
    </row>
    <row r="914" spans="26:34" ht="24" customHeight="1">
      <c r="Z914"/>
      <c r="AA914"/>
      <c r="AB914"/>
      <c r="AC914"/>
      <c r="AD914"/>
      <c r="AE914" s="168" t="str">
        <f t="shared" si="14"/>
        <v/>
      </c>
      <c r="AF914" s="168">
        <v>0</v>
      </c>
      <c r="AG914" s="168" t="str" cm="1">
        <f t="array" ref="AG914">IF(AF914="","",_xlfn.TEXTSPLIT(AF914,"-"))</f>
        <v>0</v>
      </c>
      <c r="AH914" s="168"/>
    </row>
    <row r="915" spans="26:34" ht="24" customHeight="1">
      <c r="Z915"/>
      <c r="AA915"/>
      <c r="AB915"/>
      <c r="AC915"/>
      <c r="AD915"/>
      <c r="AE915" s="168" t="str">
        <f t="shared" si="14"/>
        <v/>
      </c>
      <c r="AF915" s="168">
        <v>0</v>
      </c>
      <c r="AG915" s="168" t="str" cm="1">
        <f t="array" ref="AG915">IF(AF915="","",_xlfn.TEXTSPLIT(AF915,"-"))</f>
        <v>0</v>
      </c>
      <c r="AH915" s="168"/>
    </row>
    <row r="916" spans="26:34" ht="24" customHeight="1">
      <c r="Z916"/>
      <c r="AA916"/>
      <c r="AB916"/>
      <c r="AC916"/>
      <c r="AD916"/>
      <c r="AE916" s="168" t="str">
        <f t="shared" si="14"/>
        <v/>
      </c>
      <c r="AF916" s="168">
        <v>0</v>
      </c>
      <c r="AG916" s="168" t="str" cm="1">
        <f t="array" ref="AG916">IF(AF916="","",_xlfn.TEXTSPLIT(AF916,"-"))</f>
        <v>0</v>
      </c>
      <c r="AH916" s="168"/>
    </row>
    <row r="917" spans="26:34" ht="24" customHeight="1">
      <c r="Z917"/>
      <c r="AA917"/>
      <c r="AB917"/>
      <c r="AC917"/>
      <c r="AD917"/>
      <c r="AE917" s="168" t="str">
        <f t="shared" si="14"/>
        <v/>
      </c>
      <c r="AF917" s="168">
        <v>0</v>
      </c>
      <c r="AG917" s="168" t="str" cm="1">
        <f t="array" ref="AG917">IF(AF917="","",_xlfn.TEXTSPLIT(AF917,"-"))</f>
        <v>0</v>
      </c>
      <c r="AH917" s="168"/>
    </row>
    <row r="918" spans="26:34" ht="24" customHeight="1">
      <c r="Z918"/>
      <c r="AA918"/>
      <c r="AB918"/>
      <c r="AC918"/>
      <c r="AD918"/>
      <c r="AE918" s="168" t="str">
        <f t="shared" si="14"/>
        <v/>
      </c>
      <c r="AF918" s="168">
        <v>0</v>
      </c>
      <c r="AG918" s="168" t="str" cm="1">
        <f t="array" ref="AG918">IF(AF918="","",_xlfn.TEXTSPLIT(AF918,"-"))</f>
        <v>0</v>
      </c>
      <c r="AH918" s="168"/>
    </row>
    <row r="919" spans="26:34" ht="24" customHeight="1">
      <c r="Z919"/>
      <c r="AA919"/>
      <c r="AB919"/>
      <c r="AC919"/>
      <c r="AD919"/>
      <c r="AE919" s="168" t="str">
        <f t="shared" si="14"/>
        <v/>
      </c>
      <c r="AF919" s="168">
        <v>0</v>
      </c>
      <c r="AG919" s="168" t="str" cm="1">
        <f t="array" ref="AG919">IF(AF919="","",_xlfn.TEXTSPLIT(AF919,"-"))</f>
        <v>0</v>
      </c>
      <c r="AH919" s="168"/>
    </row>
    <row r="920" spans="26:34" ht="24" customHeight="1">
      <c r="Z920"/>
      <c r="AA920"/>
      <c r="AB920"/>
      <c r="AC920"/>
      <c r="AD920"/>
      <c r="AE920" s="168" t="str">
        <f t="shared" si="14"/>
        <v/>
      </c>
      <c r="AF920" s="168">
        <v>0</v>
      </c>
      <c r="AG920" s="168" t="str" cm="1">
        <f t="array" ref="AG920">IF(AF920="","",_xlfn.TEXTSPLIT(AF920,"-"))</f>
        <v>0</v>
      </c>
      <c r="AH920" s="168"/>
    </row>
    <row r="921" spans="26:34" ht="24" customHeight="1">
      <c r="Z921"/>
      <c r="AA921"/>
      <c r="AB921"/>
      <c r="AC921"/>
      <c r="AD921"/>
      <c r="AE921" s="168" t="str">
        <f t="shared" si="14"/>
        <v/>
      </c>
      <c r="AF921" s="168">
        <v>0</v>
      </c>
      <c r="AG921" s="168" t="str" cm="1">
        <f t="array" ref="AG921">IF(AF921="","",_xlfn.TEXTSPLIT(AF921,"-"))</f>
        <v>0</v>
      </c>
      <c r="AH921" s="168"/>
    </row>
    <row r="922" spans="26:34" ht="24" customHeight="1">
      <c r="Z922"/>
      <c r="AA922"/>
      <c r="AB922"/>
      <c r="AC922"/>
      <c r="AD922"/>
      <c r="AE922" s="168" t="str">
        <f t="shared" si="14"/>
        <v/>
      </c>
      <c r="AF922" s="168">
        <v>0</v>
      </c>
      <c r="AG922" s="168" t="str" cm="1">
        <f t="array" ref="AG922">IF(AF922="","",_xlfn.TEXTSPLIT(AF922,"-"))</f>
        <v>0</v>
      </c>
      <c r="AH922" s="168"/>
    </row>
    <row r="923" spans="26:34" ht="24" customHeight="1">
      <c r="Z923"/>
      <c r="AA923"/>
      <c r="AB923"/>
      <c r="AC923"/>
      <c r="AD923"/>
      <c r="AE923" s="168" t="str">
        <f t="shared" si="14"/>
        <v/>
      </c>
      <c r="AF923" s="168">
        <v>0</v>
      </c>
      <c r="AG923" s="168" t="str" cm="1">
        <f t="array" ref="AG923">IF(AF923="","",_xlfn.TEXTSPLIT(AF923,"-"))</f>
        <v>0</v>
      </c>
      <c r="AH923" s="168"/>
    </row>
    <row r="924" spans="26:34" ht="24" customHeight="1">
      <c r="Z924"/>
      <c r="AA924"/>
      <c r="AB924"/>
      <c r="AC924"/>
      <c r="AD924"/>
      <c r="AE924" s="168" t="str">
        <f t="shared" si="14"/>
        <v/>
      </c>
      <c r="AF924" s="168">
        <v>0</v>
      </c>
      <c r="AG924" s="168" t="str" cm="1">
        <f t="array" ref="AG924">IF(AF924="","",_xlfn.TEXTSPLIT(AF924,"-"))</f>
        <v>0</v>
      </c>
      <c r="AH924" s="168"/>
    </row>
    <row r="925" spans="26:34" ht="24" customHeight="1">
      <c r="Z925"/>
      <c r="AA925"/>
      <c r="AB925"/>
      <c r="AC925"/>
      <c r="AD925"/>
      <c r="AE925" s="168" t="str">
        <f t="shared" si="14"/>
        <v/>
      </c>
      <c r="AF925" s="168">
        <v>0</v>
      </c>
      <c r="AG925" s="168" t="str" cm="1">
        <f t="array" ref="AG925">IF(AF925="","",_xlfn.TEXTSPLIT(AF925,"-"))</f>
        <v>0</v>
      </c>
      <c r="AH925" s="168"/>
    </row>
    <row r="926" spans="26:34" ht="24" customHeight="1">
      <c r="Z926"/>
      <c r="AA926"/>
      <c r="AB926"/>
      <c r="AC926"/>
      <c r="AD926"/>
      <c r="AE926" s="168" t="str">
        <f t="shared" si="14"/>
        <v/>
      </c>
      <c r="AF926" s="168">
        <v>0</v>
      </c>
      <c r="AG926" s="168" t="str" cm="1">
        <f t="array" ref="AG926">IF(AF926="","",_xlfn.TEXTSPLIT(AF926,"-"))</f>
        <v>0</v>
      </c>
      <c r="AH926" s="168"/>
    </row>
    <row r="927" spans="26:34" ht="24" customHeight="1">
      <c r="Z927"/>
      <c r="AA927"/>
      <c r="AB927"/>
      <c r="AC927"/>
      <c r="AD927"/>
      <c r="AE927" s="168" t="str">
        <f t="shared" si="14"/>
        <v/>
      </c>
      <c r="AF927" s="168">
        <v>0</v>
      </c>
      <c r="AG927" s="168" t="str" cm="1">
        <f t="array" ref="AG927">IF(AF927="","",_xlfn.TEXTSPLIT(AF927,"-"))</f>
        <v>0</v>
      </c>
      <c r="AH927" s="168"/>
    </row>
    <row r="928" spans="26:34" ht="24" customHeight="1">
      <c r="Z928"/>
      <c r="AA928"/>
      <c r="AB928"/>
      <c r="AC928"/>
      <c r="AD928"/>
      <c r="AE928" s="168" t="str">
        <f t="shared" si="14"/>
        <v/>
      </c>
      <c r="AF928" s="168">
        <v>0</v>
      </c>
      <c r="AG928" s="168" t="str" cm="1">
        <f t="array" ref="AG928">IF(AF928="","",_xlfn.TEXTSPLIT(AF928,"-"))</f>
        <v>0</v>
      </c>
      <c r="AH928" s="168"/>
    </row>
    <row r="929" spans="26:34" ht="24" customHeight="1">
      <c r="Z929"/>
      <c r="AA929"/>
      <c r="AB929"/>
      <c r="AC929"/>
      <c r="AD929"/>
      <c r="AE929" s="168" t="str">
        <f t="shared" si="14"/>
        <v/>
      </c>
      <c r="AF929" s="168">
        <v>0</v>
      </c>
      <c r="AG929" s="168" t="str" cm="1">
        <f t="array" ref="AG929">IF(AF929="","",_xlfn.TEXTSPLIT(AF929,"-"))</f>
        <v>0</v>
      </c>
      <c r="AH929" s="168"/>
    </row>
    <row r="930" spans="26:34" ht="24" customHeight="1">
      <c r="Z930"/>
      <c r="AA930"/>
      <c r="AB930"/>
      <c r="AC930"/>
      <c r="AD930"/>
      <c r="AE930" s="168" t="str">
        <f t="shared" si="14"/>
        <v/>
      </c>
      <c r="AF930" s="168">
        <v>0</v>
      </c>
      <c r="AG930" s="168" t="str" cm="1">
        <f t="array" ref="AG930">IF(AF930="","",_xlfn.TEXTSPLIT(AF930,"-"))</f>
        <v>0</v>
      </c>
      <c r="AH930" s="168"/>
    </row>
    <row r="931" spans="26:34" ht="24" customHeight="1">
      <c r="Z931"/>
      <c r="AA931"/>
      <c r="AB931"/>
      <c r="AC931"/>
      <c r="AD931"/>
      <c r="AE931" s="168" t="str">
        <f t="shared" si="14"/>
        <v/>
      </c>
      <c r="AF931" s="168">
        <v>0</v>
      </c>
      <c r="AG931" s="168" t="str" cm="1">
        <f t="array" ref="AG931">IF(AF931="","",_xlfn.TEXTSPLIT(AF931,"-"))</f>
        <v>0</v>
      </c>
      <c r="AH931" s="168"/>
    </row>
    <row r="932" spans="26:34" ht="24" customHeight="1">
      <c r="Z932"/>
      <c r="AA932"/>
      <c r="AB932"/>
      <c r="AC932"/>
      <c r="AD932"/>
      <c r="AE932" s="168" t="str">
        <f t="shared" si="14"/>
        <v/>
      </c>
      <c r="AF932" s="168">
        <v>0</v>
      </c>
      <c r="AG932" s="168" t="str" cm="1">
        <f t="array" ref="AG932">IF(AF932="","",_xlfn.TEXTSPLIT(AF932,"-"))</f>
        <v>0</v>
      </c>
      <c r="AH932" s="168"/>
    </row>
    <row r="933" spans="26:34" ht="24" customHeight="1">
      <c r="Z933"/>
      <c r="AA933"/>
      <c r="AB933"/>
      <c r="AC933"/>
      <c r="AD933"/>
      <c r="AE933" s="168" t="str">
        <f t="shared" si="14"/>
        <v/>
      </c>
      <c r="AF933" s="168">
        <v>0</v>
      </c>
      <c r="AG933" s="168" t="str" cm="1">
        <f t="array" ref="AG933">IF(AF933="","",_xlfn.TEXTSPLIT(AF933,"-"))</f>
        <v>0</v>
      </c>
      <c r="AH933" s="168"/>
    </row>
    <row r="934" spans="26:34" ht="24" customHeight="1">
      <c r="Z934"/>
      <c r="AA934"/>
      <c r="AB934"/>
      <c r="AC934"/>
      <c r="AD934"/>
      <c r="AE934" s="168" t="str">
        <f t="shared" si="14"/>
        <v/>
      </c>
      <c r="AF934" s="168">
        <v>0</v>
      </c>
      <c r="AG934" s="168" t="str" cm="1">
        <f t="array" ref="AG934">IF(AF934="","",_xlfn.TEXTSPLIT(AF934,"-"))</f>
        <v>0</v>
      </c>
      <c r="AH934" s="168"/>
    </row>
    <row r="935" spans="26:34" ht="24" customHeight="1">
      <c r="Z935"/>
      <c r="AA935"/>
      <c r="AB935"/>
      <c r="AC935"/>
      <c r="AD935"/>
      <c r="AE935" s="168" t="str">
        <f t="shared" si="14"/>
        <v/>
      </c>
      <c r="AF935" s="168">
        <v>0</v>
      </c>
      <c r="AG935" s="168" t="str" cm="1">
        <f t="array" ref="AG935">IF(AF935="","",_xlfn.TEXTSPLIT(AF935,"-"))</f>
        <v>0</v>
      </c>
      <c r="AH935" s="168"/>
    </row>
    <row r="936" spans="26:34" ht="24" customHeight="1">
      <c r="Z936"/>
      <c r="AA936"/>
      <c r="AB936"/>
      <c r="AC936"/>
      <c r="AD936"/>
      <c r="AE936" s="168" t="str">
        <f t="shared" si="14"/>
        <v/>
      </c>
      <c r="AF936" s="168">
        <v>0</v>
      </c>
      <c r="AG936" s="168" t="str" cm="1">
        <f t="array" ref="AG936">IF(AF936="","",_xlfn.TEXTSPLIT(AF936,"-"))</f>
        <v>0</v>
      </c>
      <c r="AH936" s="168"/>
    </row>
    <row r="937" spans="26:34" ht="24" customHeight="1">
      <c r="Z937"/>
      <c r="AA937"/>
      <c r="AB937"/>
      <c r="AC937"/>
      <c r="AD937"/>
      <c r="AE937" s="168" t="str">
        <f t="shared" si="14"/>
        <v/>
      </c>
      <c r="AF937" s="168">
        <v>0</v>
      </c>
      <c r="AG937" s="168" t="str" cm="1">
        <f t="array" ref="AG937">IF(AF937="","",_xlfn.TEXTSPLIT(AF937,"-"))</f>
        <v>0</v>
      </c>
      <c r="AH937" s="168"/>
    </row>
    <row r="938" spans="26:34" ht="24" customHeight="1">
      <c r="Z938"/>
      <c r="AA938"/>
      <c r="AB938"/>
      <c r="AC938"/>
      <c r="AD938"/>
      <c r="AE938" s="168" t="str">
        <f t="shared" si="14"/>
        <v/>
      </c>
      <c r="AF938" s="168">
        <v>0</v>
      </c>
      <c r="AG938" s="168" t="str" cm="1">
        <f t="array" ref="AG938">IF(AF938="","",_xlfn.TEXTSPLIT(AF938,"-"))</f>
        <v>0</v>
      </c>
      <c r="AH938" s="168"/>
    </row>
    <row r="939" spans="26:34" ht="24" customHeight="1">
      <c r="Z939"/>
      <c r="AA939"/>
      <c r="AB939"/>
      <c r="AC939"/>
      <c r="AD939"/>
      <c r="AE939" s="168" t="str">
        <f t="shared" si="14"/>
        <v/>
      </c>
      <c r="AF939" s="168">
        <v>0</v>
      </c>
      <c r="AG939" s="168" t="str" cm="1">
        <f t="array" ref="AG939">IF(AF939="","",_xlfn.TEXTSPLIT(AF939,"-"))</f>
        <v>0</v>
      </c>
      <c r="AH939" s="168"/>
    </row>
    <row r="940" spans="26:34" ht="24" customHeight="1">
      <c r="Z940"/>
      <c r="AA940"/>
      <c r="AB940"/>
      <c r="AC940"/>
      <c r="AD940"/>
      <c r="AE940" s="168" t="str">
        <f t="shared" si="14"/>
        <v/>
      </c>
      <c r="AF940" s="168">
        <v>0</v>
      </c>
      <c r="AG940" s="168" t="str" cm="1">
        <f t="array" ref="AG940">IF(AF940="","",_xlfn.TEXTSPLIT(AF940,"-"))</f>
        <v>0</v>
      </c>
      <c r="AH940" s="168"/>
    </row>
    <row r="941" spans="26:34" ht="24" customHeight="1">
      <c r="Z941"/>
      <c r="AA941"/>
      <c r="AB941"/>
      <c r="AC941"/>
      <c r="AD941"/>
      <c r="AE941" s="168" t="str">
        <f t="shared" si="14"/>
        <v/>
      </c>
      <c r="AF941" s="168">
        <v>0</v>
      </c>
      <c r="AG941" s="168" t="str" cm="1">
        <f t="array" ref="AG941">IF(AF941="","",_xlfn.TEXTSPLIT(AF941,"-"))</f>
        <v>0</v>
      </c>
      <c r="AH941" s="168"/>
    </row>
    <row r="942" spans="26:34" ht="24" customHeight="1">
      <c r="Z942"/>
      <c r="AA942"/>
      <c r="AB942"/>
      <c r="AC942"/>
      <c r="AD942"/>
      <c r="AE942" s="168" t="str">
        <f t="shared" si="14"/>
        <v/>
      </c>
      <c r="AF942" s="168">
        <v>0</v>
      </c>
      <c r="AG942" s="168" t="str" cm="1">
        <f t="array" ref="AG942">IF(AF942="","",_xlfn.TEXTSPLIT(AF942,"-"))</f>
        <v>0</v>
      </c>
      <c r="AH942" s="168"/>
    </row>
    <row r="943" spans="26:34" ht="24" customHeight="1">
      <c r="Z943"/>
      <c r="AA943"/>
      <c r="AB943"/>
      <c r="AC943"/>
      <c r="AD943"/>
      <c r="AE943" s="168" t="str">
        <f t="shared" si="14"/>
        <v/>
      </c>
      <c r="AF943" s="168">
        <v>0</v>
      </c>
      <c r="AG943" s="168" t="str" cm="1">
        <f t="array" ref="AG943">IF(AF943="","",_xlfn.TEXTSPLIT(AF943,"-"))</f>
        <v>0</v>
      </c>
      <c r="AH943" s="168"/>
    </row>
    <row r="944" spans="26:34" ht="24" customHeight="1">
      <c r="Z944"/>
      <c r="AA944"/>
      <c r="AB944"/>
      <c r="AC944"/>
      <c r="AD944"/>
      <c r="AE944" s="168" t="str">
        <f t="shared" si="14"/>
        <v/>
      </c>
      <c r="AF944" s="168">
        <v>0</v>
      </c>
      <c r="AG944" s="168" t="str" cm="1">
        <f t="array" ref="AG944">IF(AF944="","",_xlfn.TEXTSPLIT(AF944,"-"))</f>
        <v>0</v>
      </c>
      <c r="AH944" s="168"/>
    </row>
    <row r="945" spans="26:34" ht="24" customHeight="1">
      <c r="Z945"/>
      <c r="AA945"/>
      <c r="AB945"/>
      <c r="AC945"/>
      <c r="AD945"/>
      <c r="AE945" s="168" t="str">
        <f t="shared" si="14"/>
        <v/>
      </c>
      <c r="AF945" s="168">
        <v>0</v>
      </c>
      <c r="AG945" s="168" t="str" cm="1">
        <f t="array" ref="AG945">IF(AF945="","",_xlfn.TEXTSPLIT(AF945,"-"))</f>
        <v>0</v>
      </c>
      <c r="AH945" s="168"/>
    </row>
    <row r="946" spans="26:34" ht="24" customHeight="1">
      <c r="Z946"/>
      <c r="AA946"/>
      <c r="AB946"/>
      <c r="AC946"/>
      <c r="AD946"/>
      <c r="AE946" s="168" t="str">
        <f t="shared" si="14"/>
        <v/>
      </c>
      <c r="AF946" s="168">
        <v>0</v>
      </c>
      <c r="AG946" s="168" t="str" cm="1">
        <f t="array" ref="AG946">IF(AF946="","",_xlfn.TEXTSPLIT(AF946,"-"))</f>
        <v>0</v>
      </c>
      <c r="AH946" s="168"/>
    </row>
    <row r="947" spans="26:34" ht="24" customHeight="1">
      <c r="Z947"/>
      <c r="AA947"/>
      <c r="AB947"/>
      <c r="AC947"/>
      <c r="AD947"/>
      <c r="AE947" s="168" t="str">
        <f t="shared" si="14"/>
        <v/>
      </c>
      <c r="AF947" s="168">
        <v>0</v>
      </c>
      <c r="AG947" s="168" t="str" cm="1">
        <f t="array" ref="AG947">IF(AF947="","",_xlfn.TEXTSPLIT(AF947,"-"))</f>
        <v>0</v>
      </c>
      <c r="AH947" s="168"/>
    </row>
    <row r="948" spans="26:34" ht="24" customHeight="1">
      <c r="Z948"/>
      <c r="AA948"/>
      <c r="AB948"/>
      <c r="AC948"/>
      <c r="AD948"/>
      <c r="AE948" s="168" t="str">
        <f t="shared" si="14"/>
        <v/>
      </c>
      <c r="AF948" s="168">
        <v>0</v>
      </c>
      <c r="AG948" s="168" t="str" cm="1">
        <f t="array" ref="AG948">IF(AF948="","",_xlfn.TEXTSPLIT(AF948,"-"))</f>
        <v>0</v>
      </c>
      <c r="AH948" s="168"/>
    </row>
    <row r="949" spans="26:34" ht="24" customHeight="1">
      <c r="Z949"/>
      <c r="AA949"/>
      <c r="AB949"/>
      <c r="AC949"/>
      <c r="AD949"/>
      <c r="AE949" s="168" t="str">
        <f t="shared" si="14"/>
        <v/>
      </c>
      <c r="AF949" s="168">
        <v>0</v>
      </c>
      <c r="AG949" s="168" t="str" cm="1">
        <f t="array" ref="AG949">IF(AF949="","",_xlfn.TEXTSPLIT(AF949,"-"))</f>
        <v>0</v>
      </c>
      <c r="AH949" s="168"/>
    </row>
    <row r="950" spans="26:34" ht="24" customHeight="1">
      <c r="Z950"/>
      <c r="AA950"/>
      <c r="AB950"/>
      <c r="AC950"/>
      <c r="AD950"/>
      <c r="AE950" s="168" t="str">
        <f t="shared" si="14"/>
        <v/>
      </c>
      <c r="AF950" s="168">
        <v>0</v>
      </c>
      <c r="AG950" s="168" t="str" cm="1">
        <f t="array" ref="AG950">IF(AF950="","",_xlfn.TEXTSPLIT(AF950,"-"))</f>
        <v>0</v>
      </c>
      <c r="AH950" s="168"/>
    </row>
    <row r="951" spans="26:34" ht="24" customHeight="1">
      <c r="Z951"/>
      <c r="AA951"/>
      <c r="AB951"/>
      <c r="AC951"/>
      <c r="AD951"/>
      <c r="AE951" s="168" t="str">
        <f t="shared" si="14"/>
        <v/>
      </c>
      <c r="AF951" s="168">
        <v>0</v>
      </c>
      <c r="AG951" s="168" t="str" cm="1">
        <f t="array" ref="AG951">IF(AF951="","",_xlfn.TEXTSPLIT(AF951,"-"))</f>
        <v>0</v>
      </c>
      <c r="AH951" s="168"/>
    </row>
    <row r="952" spans="26:34" ht="24" customHeight="1">
      <c r="Z952"/>
      <c r="AA952"/>
      <c r="AB952"/>
      <c r="AC952"/>
      <c r="AD952"/>
      <c r="AE952" s="168" t="str">
        <f t="shared" si="14"/>
        <v/>
      </c>
      <c r="AF952" s="168">
        <v>0</v>
      </c>
      <c r="AG952" s="168" t="str" cm="1">
        <f t="array" ref="AG952">IF(AF952="","",_xlfn.TEXTSPLIT(AF952,"-"))</f>
        <v>0</v>
      </c>
      <c r="AH952" s="168"/>
    </row>
    <row r="953" spans="26:34" ht="24" customHeight="1">
      <c r="Z953"/>
      <c r="AA953"/>
      <c r="AB953"/>
      <c r="AC953"/>
      <c r="AD953"/>
      <c r="AE953" s="168" t="str">
        <f t="shared" si="14"/>
        <v/>
      </c>
      <c r="AF953" s="168">
        <v>0</v>
      </c>
      <c r="AG953" s="168" t="str" cm="1">
        <f t="array" ref="AG953">IF(AF953="","",_xlfn.TEXTSPLIT(AF953,"-"))</f>
        <v>0</v>
      </c>
      <c r="AH953" s="168"/>
    </row>
    <row r="954" spans="26:34" ht="24" customHeight="1">
      <c r="Z954"/>
      <c r="AA954"/>
      <c r="AB954"/>
      <c r="AC954"/>
      <c r="AD954"/>
      <c r="AE954" s="168" t="str">
        <f t="shared" si="14"/>
        <v/>
      </c>
      <c r="AF954" s="168">
        <v>0</v>
      </c>
      <c r="AG954" s="168" t="str" cm="1">
        <f t="array" ref="AG954">IF(AF954="","",_xlfn.TEXTSPLIT(AF954,"-"))</f>
        <v>0</v>
      </c>
      <c r="AH954" s="168"/>
    </row>
    <row r="955" spans="26:34" ht="24" customHeight="1">
      <c r="Z955"/>
      <c r="AA955"/>
      <c r="AB955"/>
      <c r="AC955"/>
      <c r="AD955"/>
      <c r="AE955" s="168" t="str">
        <f t="shared" si="14"/>
        <v/>
      </c>
      <c r="AF955" s="168">
        <v>0</v>
      </c>
      <c r="AG955" s="168" t="str" cm="1">
        <f t="array" ref="AG955">IF(AF955="","",_xlfn.TEXTSPLIT(AF955,"-"))</f>
        <v>0</v>
      </c>
      <c r="AH955" s="168"/>
    </row>
    <row r="956" spans="26:34" ht="24" customHeight="1">
      <c r="Z956"/>
      <c r="AA956"/>
      <c r="AB956"/>
      <c r="AC956"/>
      <c r="AD956"/>
      <c r="AE956" s="168" t="str">
        <f t="shared" si="14"/>
        <v/>
      </c>
      <c r="AF956" s="168">
        <v>0</v>
      </c>
      <c r="AG956" s="168" t="str" cm="1">
        <f t="array" ref="AG956">IF(AF956="","",_xlfn.TEXTSPLIT(AF956,"-"))</f>
        <v>0</v>
      </c>
      <c r="AH956" s="168"/>
    </row>
    <row r="957" spans="26:34" ht="24" customHeight="1">
      <c r="Z957"/>
      <c r="AA957"/>
      <c r="AB957"/>
      <c r="AC957"/>
      <c r="AD957"/>
      <c r="AE957" s="168" t="str">
        <f t="shared" si="14"/>
        <v/>
      </c>
      <c r="AF957" s="168">
        <v>0</v>
      </c>
      <c r="AG957" s="168" t="str" cm="1">
        <f t="array" ref="AG957">IF(AF957="","",_xlfn.TEXTSPLIT(AF957,"-"))</f>
        <v>0</v>
      </c>
      <c r="AH957" s="168"/>
    </row>
    <row r="958" spans="26:34" ht="24" customHeight="1">
      <c r="Z958"/>
      <c r="AA958"/>
      <c r="AB958"/>
      <c r="AC958"/>
      <c r="AD958"/>
      <c r="AE958" s="168" t="str">
        <f t="shared" si="14"/>
        <v/>
      </c>
      <c r="AF958" s="168">
        <v>0</v>
      </c>
      <c r="AG958" s="168" t="str" cm="1">
        <f t="array" ref="AG958">IF(AF958="","",_xlfn.TEXTSPLIT(AF958,"-"))</f>
        <v>0</v>
      </c>
      <c r="AH958" s="168"/>
    </row>
    <row r="959" spans="26:34" ht="24" customHeight="1">
      <c r="Z959"/>
      <c r="AA959"/>
      <c r="AB959"/>
      <c r="AC959"/>
      <c r="AD959"/>
      <c r="AE959" s="168" t="str">
        <f t="shared" si="14"/>
        <v/>
      </c>
      <c r="AF959" s="168">
        <v>0</v>
      </c>
      <c r="AG959" s="168" t="str" cm="1">
        <f t="array" ref="AG959">IF(AF959="","",_xlfn.TEXTSPLIT(AF959,"-"))</f>
        <v>0</v>
      </c>
      <c r="AH959" s="168"/>
    </row>
    <row r="960" spans="26:34" ht="24" customHeight="1">
      <c r="Z960"/>
      <c r="AA960"/>
      <c r="AB960"/>
      <c r="AC960"/>
      <c r="AD960"/>
      <c r="AE960" s="168" t="str">
        <f t="shared" si="14"/>
        <v/>
      </c>
      <c r="AF960" s="168">
        <v>0</v>
      </c>
      <c r="AG960" s="168" t="str" cm="1">
        <f t="array" ref="AG960">IF(AF960="","",_xlfn.TEXTSPLIT(AF960,"-"))</f>
        <v>0</v>
      </c>
      <c r="AH960" s="168"/>
    </row>
    <row r="961" spans="26:34" ht="24" customHeight="1">
      <c r="Z961"/>
      <c r="AA961"/>
      <c r="AB961"/>
      <c r="AC961"/>
      <c r="AD961"/>
      <c r="AE961" s="168" t="str">
        <f t="shared" si="14"/>
        <v/>
      </c>
      <c r="AF961" s="168">
        <v>0</v>
      </c>
      <c r="AG961" s="168" t="str" cm="1">
        <f t="array" ref="AG961">IF(AF961="","",_xlfn.TEXTSPLIT(AF961,"-"))</f>
        <v>0</v>
      </c>
      <c r="AH961" s="168"/>
    </row>
    <row r="962" spans="26:34" ht="24" customHeight="1">
      <c r="Z962"/>
      <c r="AA962"/>
      <c r="AB962"/>
      <c r="AC962"/>
      <c r="AD962"/>
      <c r="AE962" s="168" t="str">
        <f t="shared" si="14"/>
        <v/>
      </c>
      <c r="AF962" s="168">
        <v>0</v>
      </c>
      <c r="AG962" s="168" t="str" cm="1">
        <f t="array" ref="AG962">IF(AF962="","",_xlfn.TEXTSPLIT(AF962,"-"))</f>
        <v>0</v>
      </c>
      <c r="AH962" s="168"/>
    </row>
    <row r="963" spans="26:34" ht="24" customHeight="1">
      <c r="Z963"/>
      <c r="AA963"/>
      <c r="AB963"/>
      <c r="AC963"/>
      <c r="AD963"/>
      <c r="AE963" s="168" t="str">
        <f t="shared" si="14"/>
        <v/>
      </c>
      <c r="AF963" s="168">
        <v>0</v>
      </c>
      <c r="AG963" s="168" t="str" cm="1">
        <f t="array" ref="AG963">IF(AF963="","",_xlfn.TEXTSPLIT(AF963,"-"))</f>
        <v>0</v>
      </c>
      <c r="AH963" s="168"/>
    </row>
    <row r="964" spans="26:34" ht="24" customHeight="1">
      <c r="Z964"/>
      <c r="AA964"/>
      <c r="AB964"/>
      <c r="AC964"/>
      <c r="AD964"/>
      <c r="AE964" s="168" t="str">
        <f t="shared" si="14"/>
        <v/>
      </c>
      <c r="AF964" s="168">
        <v>0</v>
      </c>
      <c r="AG964" s="168" t="str" cm="1">
        <f t="array" ref="AG964">IF(AF964="","",_xlfn.TEXTSPLIT(AF964,"-"))</f>
        <v>0</v>
      </c>
      <c r="AH964" s="168"/>
    </row>
    <row r="965" spans="26:34" ht="24" customHeight="1">
      <c r="Z965"/>
      <c r="AA965"/>
      <c r="AB965"/>
      <c r="AC965"/>
      <c r="AD965"/>
      <c r="AE965" s="168" t="str">
        <f t="shared" ref="AE965:AE1028" si="15">IF(AH965="","",AH965*1)</f>
        <v/>
      </c>
      <c r="AF965" s="168">
        <v>0</v>
      </c>
      <c r="AG965" s="168" t="str" cm="1">
        <f t="array" ref="AG965">IF(AF965="","",_xlfn.TEXTSPLIT(AF965,"-"))</f>
        <v>0</v>
      </c>
      <c r="AH965" s="168"/>
    </row>
    <row r="966" spans="26:34" ht="24" customHeight="1">
      <c r="Z966"/>
      <c r="AA966"/>
      <c r="AB966"/>
      <c r="AC966"/>
      <c r="AD966"/>
      <c r="AE966" s="168" t="str">
        <f t="shared" si="15"/>
        <v/>
      </c>
      <c r="AF966" s="168">
        <v>0</v>
      </c>
      <c r="AG966" s="168" t="str" cm="1">
        <f t="array" ref="AG966">IF(AF966="","",_xlfn.TEXTSPLIT(AF966,"-"))</f>
        <v>0</v>
      </c>
      <c r="AH966" s="168"/>
    </row>
    <row r="967" spans="26:34" ht="24" customHeight="1">
      <c r="Z967"/>
      <c r="AA967"/>
      <c r="AB967"/>
      <c r="AC967"/>
      <c r="AD967"/>
      <c r="AE967" s="168" t="str">
        <f t="shared" si="15"/>
        <v/>
      </c>
      <c r="AF967" s="168">
        <v>0</v>
      </c>
      <c r="AG967" s="168" t="str" cm="1">
        <f t="array" ref="AG967">IF(AF967="","",_xlfn.TEXTSPLIT(AF967,"-"))</f>
        <v>0</v>
      </c>
      <c r="AH967" s="168"/>
    </row>
    <row r="968" spans="26:34" ht="24" customHeight="1">
      <c r="Z968"/>
      <c r="AA968"/>
      <c r="AB968"/>
      <c r="AC968"/>
      <c r="AD968"/>
      <c r="AE968" s="168" t="str">
        <f t="shared" si="15"/>
        <v/>
      </c>
      <c r="AF968" s="168">
        <v>0</v>
      </c>
      <c r="AG968" s="168" t="str" cm="1">
        <f t="array" ref="AG968">IF(AF968="","",_xlfn.TEXTSPLIT(AF968,"-"))</f>
        <v>0</v>
      </c>
      <c r="AH968" s="168"/>
    </row>
    <row r="969" spans="26:34" ht="24" customHeight="1">
      <c r="Z969"/>
      <c r="AA969"/>
      <c r="AB969"/>
      <c r="AC969"/>
      <c r="AD969"/>
      <c r="AE969" s="168" t="str">
        <f t="shared" si="15"/>
        <v/>
      </c>
      <c r="AF969" s="168">
        <v>0</v>
      </c>
      <c r="AG969" s="168" t="str" cm="1">
        <f t="array" ref="AG969">IF(AF969="","",_xlfn.TEXTSPLIT(AF969,"-"))</f>
        <v>0</v>
      </c>
      <c r="AH969" s="168"/>
    </row>
    <row r="970" spans="26:34" ht="24" customHeight="1">
      <c r="Z970"/>
      <c r="AA970"/>
      <c r="AB970"/>
      <c r="AC970"/>
      <c r="AD970"/>
      <c r="AE970" s="168" t="str">
        <f t="shared" si="15"/>
        <v/>
      </c>
      <c r="AF970" s="168">
        <v>0</v>
      </c>
      <c r="AG970" s="168" t="str" cm="1">
        <f t="array" ref="AG970">IF(AF970="","",_xlfn.TEXTSPLIT(AF970,"-"))</f>
        <v>0</v>
      </c>
      <c r="AH970" s="168"/>
    </row>
    <row r="971" spans="26:34" ht="24" customHeight="1">
      <c r="Z971"/>
      <c r="AA971"/>
      <c r="AB971"/>
      <c r="AC971"/>
      <c r="AD971"/>
      <c r="AE971" s="168" t="str">
        <f t="shared" si="15"/>
        <v/>
      </c>
      <c r="AF971" s="168">
        <v>0</v>
      </c>
      <c r="AG971" s="168" t="str" cm="1">
        <f t="array" ref="AG971">IF(AF971="","",_xlfn.TEXTSPLIT(AF971,"-"))</f>
        <v>0</v>
      </c>
      <c r="AH971" s="168"/>
    </row>
    <row r="972" spans="26:34" ht="24" customHeight="1">
      <c r="Z972"/>
      <c r="AA972"/>
      <c r="AB972"/>
      <c r="AC972"/>
      <c r="AD972"/>
      <c r="AE972" s="168" t="str">
        <f t="shared" si="15"/>
        <v/>
      </c>
      <c r="AF972" s="168">
        <v>0</v>
      </c>
      <c r="AG972" s="168" t="str" cm="1">
        <f t="array" ref="AG972">IF(AF972="","",_xlfn.TEXTSPLIT(AF972,"-"))</f>
        <v>0</v>
      </c>
      <c r="AH972" s="168"/>
    </row>
    <row r="973" spans="26:34" ht="24" customHeight="1">
      <c r="Z973"/>
      <c r="AA973"/>
      <c r="AB973"/>
      <c r="AC973"/>
      <c r="AD973"/>
      <c r="AE973" s="168" t="str">
        <f t="shared" si="15"/>
        <v/>
      </c>
      <c r="AF973" s="168">
        <v>0</v>
      </c>
      <c r="AG973" s="168" t="str" cm="1">
        <f t="array" ref="AG973">IF(AF973="","",_xlfn.TEXTSPLIT(AF973,"-"))</f>
        <v>0</v>
      </c>
      <c r="AH973" s="168"/>
    </row>
    <row r="974" spans="26:34" ht="24" customHeight="1">
      <c r="Z974"/>
      <c r="AA974"/>
      <c r="AB974"/>
      <c r="AC974"/>
      <c r="AD974"/>
      <c r="AE974" s="168" t="str">
        <f t="shared" si="15"/>
        <v/>
      </c>
      <c r="AF974" s="168">
        <v>0</v>
      </c>
      <c r="AG974" s="168" t="str" cm="1">
        <f t="array" ref="AG974">IF(AF974="","",_xlfn.TEXTSPLIT(AF974,"-"))</f>
        <v>0</v>
      </c>
      <c r="AH974" s="168"/>
    </row>
    <row r="975" spans="26:34" ht="24" customHeight="1">
      <c r="Z975"/>
      <c r="AA975"/>
      <c r="AB975"/>
      <c r="AC975"/>
      <c r="AD975"/>
      <c r="AE975" s="168" t="str">
        <f t="shared" si="15"/>
        <v/>
      </c>
      <c r="AF975" s="168">
        <v>0</v>
      </c>
      <c r="AG975" s="168" t="str" cm="1">
        <f t="array" ref="AG975">IF(AF975="","",_xlfn.TEXTSPLIT(AF975,"-"))</f>
        <v>0</v>
      </c>
      <c r="AH975" s="168"/>
    </row>
    <row r="976" spans="26:34" ht="24" customHeight="1">
      <c r="Z976"/>
      <c r="AA976"/>
      <c r="AB976"/>
      <c r="AC976"/>
      <c r="AD976"/>
      <c r="AE976" s="168" t="str">
        <f t="shared" si="15"/>
        <v/>
      </c>
      <c r="AF976" s="168">
        <v>0</v>
      </c>
      <c r="AG976" s="168" t="str" cm="1">
        <f t="array" ref="AG976">IF(AF976="","",_xlfn.TEXTSPLIT(AF976,"-"))</f>
        <v>0</v>
      </c>
      <c r="AH976" s="168"/>
    </row>
    <row r="977" spans="26:34" ht="24" customHeight="1">
      <c r="Z977"/>
      <c r="AA977"/>
      <c r="AB977"/>
      <c r="AC977"/>
      <c r="AD977"/>
      <c r="AE977" s="168" t="str">
        <f t="shared" si="15"/>
        <v/>
      </c>
      <c r="AF977" s="168">
        <v>0</v>
      </c>
      <c r="AG977" s="168" t="str" cm="1">
        <f t="array" ref="AG977">IF(AF977="","",_xlfn.TEXTSPLIT(AF977,"-"))</f>
        <v>0</v>
      </c>
      <c r="AH977" s="168"/>
    </row>
    <row r="978" spans="26:34" ht="24" customHeight="1">
      <c r="Z978"/>
      <c r="AA978"/>
      <c r="AB978"/>
      <c r="AC978"/>
      <c r="AD978"/>
      <c r="AE978" s="168" t="str">
        <f t="shared" si="15"/>
        <v/>
      </c>
      <c r="AF978" s="168">
        <v>0</v>
      </c>
      <c r="AG978" s="168" t="str" cm="1">
        <f t="array" ref="AG978">IF(AF978="","",_xlfn.TEXTSPLIT(AF978,"-"))</f>
        <v>0</v>
      </c>
      <c r="AH978" s="168"/>
    </row>
    <row r="979" spans="26:34" ht="24" customHeight="1">
      <c r="Z979"/>
      <c r="AA979"/>
      <c r="AB979"/>
      <c r="AC979"/>
      <c r="AD979"/>
      <c r="AE979" s="168" t="str">
        <f t="shared" si="15"/>
        <v/>
      </c>
      <c r="AF979" s="168">
        <v>0</v>
      </c>
      <c r="AG979" s="168" t="str" cm="1">
        <f t="array" ref="AG979">IF(AF979="","",_xlfn.TEXTSPLIT(AF979,"-"))</f>
        <v>0</v>
      </c>
      <c r="AH979" s="168"/>
    </row>
    <row r="980" spans="26:34" ht="24" customHeight="1">
      <c r="Z980"/>
      <c r="AA980"/>
      <c r="AB980"/>
      <c r="AC980"/>
      <c r="AD980"/>
      <c r="AE980" s="168" t="str">
        <f t="shared" si="15"/>
        <v/>
      </c>
      <c r="AF980" s="168">
        <v>0</v>
      </c>
      <c r="AG980" s="168" t="str" cm="1">
        <f t="array" ref="AG980">IF(AF980="","",_xlfn.TEXTSPLIT(AF980,"-"))</f>
        <v>0</v>
      </c>
      <c r="AH980" s="168"/>
    </row>
    <row r="981" spans="26:34" ht="24" customHeight="1">
      <c r="Z981"/>
      <c r="AA981"/>
      <c r="AB981"/>
      <c r="AC981"/>
      <c r="AD981"/>
      <c r="AE981" s="168" t="str">
        <f t="shared" si="15"/>
        <v/>
      </c>
      <c r="AF981" s="168">
        <v>0</v>
      </c>
      <c r="AG981" s="168" t="str" cm="1">
        <f t="array" ref="AG981">IF(AF981="","",_xlfn.TEXTSPLIT(AF981,"-"))</f>
        <v>0</v>
      </c>
      <c r="AH981" s="168"/>
    </row>
    <row r="982" spans="26:34" ht="24" customHeight="1">
      <c r="Z982"/>
      <c r="AA982"/>
      <c r="AB982"/>
      <c r="AC982"/>
      <c r="AD982"/>
      <c r="AE982" s="168" t="str">
        <f t="shared" si="15"/>
        <v/>
      </c>
      <c r="AF982" s="168">
        <v>0</v>
      </c>
      <c r="AG982" s="168" t="str" cm="1">
        <f t="array" ref="AG982">IF(AF982="","",_xlfn.TEXTSPLIT(AF982,"-"))</f>
        <v>0</v>
      </c>
      <c r="AH982" s="168"/>
    </row>
    <row r="983" spans="26:34" ht="24" customHeight="1">
      <c r="Z983"/>
      <c r="AA983"/>
      <c r="AB983"/>
      <c r="AC983"/>
      <c r="AD983"/>
      <c r="AE983" s="168" t="str">
        <f t="shared" si="15"/>
        <v/>
      </c>
      <c r="AF983" s="168">
        <v>0</v>
      </c>
      <c r="AG983" s="168" t="str" cm="1">
        <f t="array" ref="AG983">IF(AF983="","",_xlfn.TEXTSPLIT(AF983,"-"))</f>
        <v>0</v>
      </c>
      <c r="AH983" s="168"/>
    </row>
    <row r="984" spans="26:34" ht="24" customHeight="1">
      <c r="Z984"/>
      <c r="AA984"/>
      <c r="AB984"/>
      <c r="AC984"/>
      <c r="AD984"/>
      <c r="AE984" s="168" t="str">
        <f t="shared" si="15"/>
        <v/>
      </c>
      <c r="AF984" s="168">
        <v>0</v>
      </c>
      <c r="AG984" s="168" t="str" cm="1">
        <f t="array" ref="AG984">IF(AF984="","",_xlfn.TEXTSPLIT(AF984,"-"))</f>
        <v>0</v>
      </c>
      <c r="AH984" s="168"/>
    </row>
    <row r="985" spans="26:34" ht="24" customHeight="1">
      <c r="Z985"/>
      <c r="AA985"/>
      <c r="AB985"/>
      <c r="AC985"/>
      <c r="AD985"/>
      <c r="AE985" s="168" t="str">
        <f t="shared" si="15"/>
        <v/>
      </c>
      <c r="AF985" s="168">
        <v>0</v>
      </c>
      <c r="AG985" s="168" t="str" cm="1">
        <f t="array" ref="AG985">IF(AF985="","",_xlfn.TEXTSPLIT(AF985,"-"))</f>
        <v>0</v>
      </c>
      <c r="AH985" s="168"/>
    </row>
    <row r="986" spans="26:34" ht="24" customHeight="1">
      <c r="Z986"/>
      <c r="AA986"/>
      <c r="AB986"/>
      <c r="AC986"/>
      <c r="AD986"/>
      <c r="AE986" s="168" t="str">
        <f t="shared" si="15"/>
        <v/>
      </c>
      <c r="AF986" s="168">
        <v>0</v>
      </c>
      <c r="AG986" s="168" t="str" cm="1">
        <f t="array" ref="AG986">IF(AF986="","",_xlfn.TEXTSPLIT(AF986,"-"))</f>
        <v>0</v>
      </c>
      <c r="AH986" s="168"/>
    </row>
    <row r="987" spans="26:34" ht="24" customHeight="1">
      <c r="Z987"/>
      <c r="AA987"/>
      <c r="AB987"/>
      <c r="AC987"/>
      <c r="AD987"/>
      <c r="AE987" s="168" t="str">
        <f t="shared" si="15"/>
        <v/>
      </c>
      <c r="AF987" s="168">
        <v>0</v>
      </c>
      <c r="AG987" s="168" t="str" cm="1">
        <f t="array" ref="AG987">IF(AF987="","",_xlfn.TEXTSPLIT(AF987,"-"))</f>
        <v>0</v>
      </c>
      <c r="AH987" s="168"/>
    </row>
    <row r="988" spans="26:34" ht="24" customHeight="1">
      <c r="Z988"/>
      <c r="AA988"/>
      <c r="AB988"/>
      <c r="AC988"/>
      <c r="AD988"/>
      <c r="AE988" s="168" t="str">
        <f t="shared" si="15"/>
        <v/>
      </c>
      <c r="AF988" s="168">
        <v>0</v>
      </c>
      <c r="AG988" s="168" t="str" cm="1">
        <f t="array" ref="AG988">IF(AF988="","",_xlfn.TEXTSPLIT(AF988,"-"))</f>
        <v>0</v>
      </c>
      <c r="AH988" s="168"/>
    </row>
    <row r="989" spans="26:34" ht="24" customHeight="1">
      <c r="Z989"/>
      <c r="AA989"/>
      <c r="AB989"/>
      <c r="AC989"/>
      <c r="AD989"/>
      <c r="AE989" s="168" t="str">
        <f t="shared" si="15"/>
        <v/>
      </c>
      <c r="AF989" s="168">
        <v>0</v>
      </c>
      <c r="AG989" s="168" t="str" cm="1">
        <f t="array" ref="AG989">IF(AF989="","",_xlfn.TEXTSPLIT(AF989,"-"))</f>
        <v>0</v>
      </c>
      <c r="AH989" s="168"/>
    </row>
    <row r="990" spans="26:34" ht="24" customHeight="1">
      <c r="Z990"/>
      <c r="AA990"/>
      <c r="AB990"/>
      <c r="AC990"/>
      <c r="AD990"/>
      <c r="AE990" s="168" t="str">
        <f t="shared" si="15"/>
        <v/>
      </c>
      <c r="AF990" s="168">
        <v>0</v>
      </c>
      <c r="AG990" s="168" t="str" cm="1">
        <f t="array" ref="AG990">IF(AF990="","",_xlfn.TEXTSPLIT(AF990,"-"))</f>
        <v>0</v>
      </c>
      <c r="AH990" s="168"/>
    </row>
    <row r="991" spans="26:34" ht="24" customHeight="1">
      <c r="Z991"/>
      <c r="AA991"/>
      <c r="AB991"/>
      <c r="AC991"/>
      <c r="AD991"/>
      <c r="AE991" s="168" t="str">
        <f t="shared" si="15"/>
        <v/>
      </c>
      <c r="AF991" s="168">
        <v>0</v>
      </c>
      <c r="AG991" s="168" t="str" cm="1">
        <f t="array" ref="AG991">IF(AF991="","",_xlfn.TEXTSPLIT(AF991,"-"))</f>
        <v>0</v>
      </c>
      <c r="AH991" s="168"/>
    </row>
    <row r="992" spans="26:34" ht="24" customHeight="1">
      <c r="Z992"/>
      <c r="AA992"/>
      <c r="AB992"/>
      <c r="AC992"/>
      <c r="AD992"/>
      <c r="AE992" s="168" t="str">
        <f t="shared" si="15"/>
        <v/>
      </c>
      <c r="AF992" s="168">
        <v>0</v>
      </c>
      <c r="AG992" s="168" t="str" cm="1">
        <f t="array" ref="AG992">IF(AF992="","",_xlfn.TEXTSPLIT(AF992,"-"))</f>
        <v>0</v>
      </c>
      <c r="AH992" s="168"/>
    </row>
    <row r="993" spans="26:34" ht="24" customHeight="1">
      <c r="Z993"/>
      <c r="AA993"/>
      <c r="AB993"/>
      <c r="AC993"/>
      <c r="AD993"/>
      <c r="AE993" s="168" t="str">
        <f t="shared" si="15"/>
        <v/>
      </c>
      <c r="AF993" s="168">
        <v>0</v>
      </c>
      <c r="AG993" s="168" t="str" cm="1">
        <f t="array" ref="AG993">IF(AF993="","",_xlfn.TEXTSPLIT(AF993,"-"))</f>
        <v>0</v>
      </c>
      <c r="AH993" s="168"/>
    </row>
    <row r="994" spans="26:34" ht="24" customHeight="1">
      <c r="Z994"/>
      <c r="AA994"/>
      <c r="AB994"/>
      <c r="AC994"/>
      <c r="AD994"/>
      <c r="AE994" s="168" t="str">
        <f t="shared" si="15"/>
        <v/>
      </c>
      <c r="AF994" s="168">
        <v>0</v>
      </c>
      <c r="AG994" s="168" t="str" cm="1">
        <f t="array" ref="AG994">IF(AF994="","",_xlfn.TEXTSPLIT(AF994,"-"))</f>
        <v>0</v>
      </c>
      <c r="AH994" s="168"/>
    </row>
    <row r="995" spans="26:34" ht="24" customHeight="1">
      <c r="Z995"/>
      <c r="AA995"/>
      <c r="AB995"/>
      <c r="AC995"/>
      <c r="AD995"/>
      <c r="AE995" s="168" t="str">
        <f t="shared" si="15"/>
        <v/>
      </c>
      <c r="AF995" s="168">
        <v>0</v>
      </c>
      <c r="AG995" s="168" t="str" cm="1">
        <f t="array" ref="AG995">IF(AF995="","",_xlfn.TEXTSPLIT(AF995,"-"))</f>
        <v>0</v>
      </c>
      <c r="AH995" s="168"/>
    </row>
    <row r="996" spans="26:34" ht="24" customHeight="1">
      <c r="Z996"/>
      <c r="AA996"/>
      <c r="AB996"/>
      <c r="AC996"/>
      <c r="AD996"/>
      <c r="AE996" s="168" t="str">
        <f t="shared" si="15"/>
        <v/>
      </c>
      <c r="AF996" s="168">
        <v>0</v>
      </c>
      <c r="AG996" s="168" t="str" cm="1">
        <f t="array" ref="AG996">IF(AF996="","",_xlfn.TEXTSPLIT(AF996,"-"))</f>
        <v>0</v>
      </c>
      <c r="AH996" s="168"/>
    </row>
    <row r="997" spans="26:34" ht="24" customHeight="1">
      <c r="Z997"/>
      <c r="AA997"/>
      <c r="AB997"/>
      <c r="AC997"/>
      <c r="AD997"/>
      <c r="AE997" s="168" t="str">
        <f t="shared" si="15"/>
        <v/>
      </c>
      <c r="AF997" s="168">
        <v>0</v>
      </c>
      <c r="AG997" s="168" t="str" cm="1">
        <f t="array" ref="AG997">IF(AF997="","",_xlfn.TEXTSPLIT(AF997,"-"))</f>
        <v>0</v>
      </c>
      <c r="AH997" s="168"/>
    </row>
    <row r="998" spans="26:34" ht="24" customHeight="1">
      <c r="Z998"/>
      <c r="AA998"/>
      <c r="AB998"/>
      <c r="AC998"/>
      <c r="AD998"/>
      <c r="AE998" s="168" t="str">
        <f t="shared" si="15"/>
        <v/>
      </c>
      <c r="AF998" s="168">
        <v>0</v>
      </c>
      <c r="AG998" s="168" t="str" cm="1">
        <f t="array" ref="AG998">IF(AF998="","",_xlfn.TEXTSPLIT(AF998,"-"))</f>
        <v>0</v>
      </c>
      <c r="AH998" s="168"/>
    </row>
    <row r="999" spans="26:34" ht="24" customHeight="1">
      <c r="Z999"/>
      <c r="AA999"/>
      <c r="AB999"/>
      <c r="AC999"/>
      <c r="AD999"/>
      <c r="AE999" s="168" t="str">
        <f t="shared" si="15"/>
        <v/>
      </c>
      <c r="AF999" s="168">
        <v>0</v>
      </c>
      <c r="AG999" s="168" t="str" cm="1">
        <f t="array" ref="AG999">IF(AF999="","",_xlfn.TEXTSPLIT(AF999,"-"))</f>
        <v>0</v>
      </c>
      <c r="AH999" s="168"/>
    </row>
    <row r="1000" spans="26:34" ht="24" customHeight="1">
      <c r="Z1000"/>
      <c r="AA1000"/>
      <c r="AB1000"/>
      <c r="AC1000"/>
      <c r="AD1000"/>
      <c r="AE1000" s="168" t="str">
        <f t="shared" si="15"/>
        <v/>
      </c>
      <c r="AF1000" s="168">
        <v>0</v>
      </c>
      <c r="AG1000" s="168" t="str" cm="1">
        <f t="array" ref="AG1000">IF(AF1000="","",_xlfn.TEXTSPLIT(AF1000,"-"))</f>
        <v>0</v>
      </c>
      <c r="AH1000" s="168"/>
    </row>
    <row r="1001" spans="26:34" ht="24" customHeight="1">
      <c r="Z1001"/>
      <c r="AA1001"/>
      <c r="AB1001"/>
      <c r="AC1001"/>
      <c r="AD1001"/>
      <c r="AE1001" s="168" t="str">
        <f t="shared" si="15"/>
        <v/>
      </c>
      <c r="AF1001" s="168">
        <v>0</v>
      </c>
      <c r="AG1001" s="168" t="str" cm="1">
        <f t="array" ref="AG1001">IF(AF1001="","",_xlfn.TEXTSPLIT(AF1001,"-"))</f>
        <v>0</v>
      </c>
      <c r="AH1001" s="168"/>
    </row>
    <row r="1002" spans="26:34" ht="24" customHeight="1">
      <c r="Z1002"/>
      <c r="AA1002"/>
      <c r="AB1002"/>
      <c r="AC1002"/>
      <c r="AD1002"/>
      <c r="AE1002" s="168" t="str">
        <f t="shared" si="15"/>
        <v/>
      </c>
      <c r="AF1002" s="168">
        <v>0</v>
      </c>
      <c r="AG1002" s="168" t="str" cm="1">
        <f t="array" ref="AG1002">IF(AF1002="","",_xlfn.TEXTSPLIT(AF1002,"-"))</f>
        <v>0</v>
      </c>
      <c r="AH1002" s="168"/>
    </row>
    <row r="1003" spans="26:34" ht="24" customHeight="1">
      <c r="Z1003"/>
      <c r="AA1003"/>
      <c r="AB1003"/>
      <c r="AC1003"/>
      <c r="AD1003"/>
      <c r="AE1003" s="168" t="str">
        <f t="shared" si="15"/>
        <v/>
      </c>
      <c r="AF1003" s="168">
        <v>0</v>
      </c>
      <c r="AG1003" s="168" t="str" cm="1">
        <f t="array" ref="AG1003">IF(AF1003="","",_xlfn.TEXTSPLIT(AF1003,"-"))</f>
        <v>0</v>
      </c>
      <c r="AH1003" s="168"/>
    </row>
    <row r="1004" spans="26:34" ht="24" customHeight="1">
      <c r="Z1004"/>
      <c r="AA1004"/>
      <c r="AB1004"/>
      <c r="AC1004"/>
      <c r="AD1004"/>
      <c r="AE1004" s="168" t="str">
        <f t="shared" si="15"/>
        <v/>
      </c>
      <c r="AF1004" s="168">
        <v>0</v>
      </c>
      <c r="AG1004" s="168" t="str" cm="1">
        <f t="array" ref="AG1004">IF(AF1004="","",_xlfn.TEXTSPLIT(AF1004,"-"))</f>
        <v>0</v>
      </c>
      <c r="AH1004" s="168"/>
    </row>
    <row r="1005" spans="26:34" ht="24" customHeight="1">
      <c r="Z1005"/>
      <c r="AA1005"/>
      <c r="AB1005"/>
      <c r="AC1005"/>
      <c r="AD1005"/>
      <c r="AE1005" s="168" t="str">
        <f t="shared" si="15"/>
        <v/>
      </c>
      <c r="AF1005" s="168">
        <v>0</v>
      </c>
      <c r="AG1005" s="168" t="str" cm="1">
        <f t="array" ref="AG1005">IF(AF1005="","",_xlfn.TEXTSPLIT(AF1005,"-"))</f>
        <v>0</v>
      </c>
      <c r="AH1005" s="168"/>
    </row>
    <row r="1006" spans="26:34" ht="24" customHeight="1">
      <c r="Z1006"/>
      <c r="AA1006"/>
      <c r="AB1006"/>
      <c r="AC1006"/>
      <c r="AD1006"/>
      <c r="AE1006" s="168" t="str">
        <f t="shared" si="15"/>
        <v/>
      </c>
      <c r="AF1006" s="168">
        <v>0</v>
      </c>
      <c r="AG1006" s="168" t="str" cm="1">
        <f t="array" ref="AG1006">IF(AF1006="","",_xlfn.TEXTSPLIT(AF1006,"-"))</f>
        <v>0</v>
      </c>
      <c r="AH1006" s="168"/>
    </row>
    <row r="1007" spans="26:34" ht="24" customHeight="1">
      <c r="Z1007"/>
      <c r="AA1007"/>
      <c r="AB1007"/>
      <c r="AC1007"/>
      <c r="AD1007"/>
      <c r="AE1007" s="168" t="str">
        <f t="shared" si="15"/>
        <v/>
      </c>
      <c r="AF1007" s="168">
        <v>0</v>
      </c>
      <c r="AG1007" s="168" t="str" cm="1">
        <f t="array" ref="AG1007">IF(AF1007="","",_xlfn.TEXTSPLIT(AF1007,"-"))</f>
        <v>0</v>
      </c>
      <c r="AH1007" s="168"/>
    </row>
    <row r="1008" spans="26:34" ht="24" customHeight="1">
      <c r="Z1008"/>
      <c r="AA1008"/>
      <c r="AB1008"/>
      <c r="AC1008"/>
      <c r="AD1008"/>
      <c r="AE1008" s="168" t="str">
        <f t="shared" si="15"/>
        <v/>
      </c>
      <c r="AF1008" s="168">
        <v>0</v>
      </c>
      <c r="AG1008" s="168" t="str" cm="1">
        <f t="array" ref="AG1008">IF(AF1008="","",_xlfn.TEXTSPLIT(AF1008,"-"))</f>
        <v>0</v>
      </c>
      <c r="AH1008" s="168"/>
    </row>
    <row r="1009" spans="26:34" ht="24" customHeight="1">
      <c r="Z1009"/>
      <c r="AA1009"/>
      <c r="AB1009"/>
      <c r="AC1009"/>
      <c r="AD1009"/>
      <c r="AE1009" s="168" t="str">
        <f t="shared" si="15"/>
        <v/>
      </c>
      <c r="AF1009" s="168">
        <v>0</v>
      </c>
      <c r="AG1009" s="168" t="str" cm="1">
        <f t="array" ref="AG1009">IF(AF1009="","",_xlfn.TEXTSPLIT(AF1009,"-"))</f>
        <v>0</v>
      </c>
      <c r="AH1009" s="168"/>
    </row>
    <row r="1010" spans="26:34" ht="24" customHeight="1">
      <c r="Z1010"/>
      <c r="AA1010"/>
      <c r="AB1010"/>
      <c r="AC1010"/>
      <c r="AD1010"/>
      <c r="AE1010" s="168" t="str">
        <f t="shared" si="15"/>
        <v/>
      </c>
      <c r="AF1010" s="168">
        <v>0</v>
      </c>
      <c r="AG1010" s="168" t="str" cm="1">
        <f t="array" ref="AG1010">IF(AF1010="","",_xlfn.TEXTSPLIT(AF1010,"-"))</f>
        <v>0</v>
      </c>
      <c r="AH1010" s="168"/>
    </row>
    <row r="1011" spans="26:34" ht="24" customHeight="1">
      <c r="Z1011"/>
      <c r="AA1011"/>
      <c r="AB1011"/>
      <c r="AC1011"/>
      <c r="AD1011"/>
      <c r="AE1011" s="168" t="str">
        <f t="shared" si="15"/>
        <v/>
      </c>
      <c r="AF1011" s="168">
        <v>0</v>
      </c>
      <c r="AG1011" s="168" t="str" cm="1">
        <f t="array" ref="AG1011">IF(AF1011="","",_xlfn.TEXTSPLIT(AF1011,"-"))</f>
        <v>0</v>
      </c>
      <c r="AH1011" s="168"/>
    </row>
    <row r="1012" spans="26:34" ht="24" customHeight="1">
      <c r="Z1012"/>
      <c r="AA1012"/>
      <c r="AB1012"/>
      <c r="AC1012"/>
      <c r="AD1012"/>
      <c r="AE1012" s="168" t="str">
        <f t="shared" si="15"/>
        <v/>
      </c>
      <c r="AF1012" s="168">
        <v>0</v>
      </c>
      <c r="AG1012" s="168" t="str" cm="1">
        <f t="array" ref="AG1012">IF(AF1012="","",_xlfn.TEXTSPLIT(AF1012,"-"))</f>
        <v>0</v>
      </c>
      <c r="AH1012" s="168"/>
    </row>
    <row r="1013" spans="26:34" ht="24" customHeight="1">
      <c r="Z1013"/>
      <c r="AA1013"/>
      <c r="AB1013"/>
      <c r="AC1013"/>
      <c r="AD1013"/>
      <c r="AE1013" s="168" t="str">
        <f t="shared" si="15"/>
        <v/>
      </c>
      <c r="AF1013" s="168">
        <v>0</v>
      </c>
      <c r="AG1013" s="168" t="str" cm="1">
        <f t="array" ref="AG1013">IF(AF1013="","",_xlfn.TEXTSPLIT(AF1013,"-"))</f>
        <v>0</v>
      </c>
      <c r="AH1013" s="168"/>
    </row>
    <row r="1014" spans="26:34" ht="24" customHeight="1">
      <c r="Z1014"/>
      <c r="AA1014"/>
      <c r="AB1014"/>
      <c r="AC1014"/>
      <c r="AD1014"/>
      <c r="AE1014" s="168" t="str">
        <f t="shared" si="15"/>
        <v/>
      </c>
      <c r="AF1014" s="168">
        <v>0</v>
      </c>
      <c r="AG1014" s="168" t="str" cm="1">
        <f t="array" ref="AG1014">IF(AF1014="","",_xlfn.TEXTSPLIT(AF1014,"-"))</f>
        <v>0</v>
      </c>
      <c r="AH1014" s="168"/>
    </row>
    <row r="1015" spans="26:34" ht="24" customHeight="1">
      <c r="Z1015"/>
      <c r="AA1015"/>
      <c r="AB1015"/>
      <c r="AC1015"/>
      <c r="AD1015"/>
      <c r="AE1015" s="168" t="str">
        <f t="shared" si="15"/>
        <v/>
      </c>
      <c r="AF1015" s="168">
        <v>0</v>
      </c>
      <c r="AG1015" s="168" t="str" cm="1">
        <f t="array" ref="AG1015">IF(AF1015="","",_xlfn.TEXTSPLIT(AF1015,"-"))</f>
        <v>0</v>
      </c>
      <c r="AH1015" s="168"/>
    </row>
    <row r="1016" spans="26:34" ht="24" customHeight="1">
      <c r="Z1016"/>
      <c r="AA1016"/>
      <c r="AB1016"/>
      <c r="AC1016"/>
      <c r="AD1016"/>
      <c r="AE1016" s="168" t="str">
        <f t="shared" si="15"/>
        <v/>
      </c>
      <c r="AF1016" s="168">
        <v>0</v>
      </c>
      <c r="AG1016" s="168" t="str" cm="1">
        <f t="array" ref="AG1016">IF(AF1016="","",_xlfn.TEXTSPLIT(AF1016,"-"))</f>
        <v>0</v>
      </c>
      <c r="AH1016" s="168"/>
    </row>
    <row r="1017" spans="26:34" ht="24" customHeight="1">
      <c r="Z1017"/>
      <c r="AA1017"/>
      <c r="AB1017"/>
      <c r="AC1017"/>
      <c r="AD1017"/>
      <c r="AE1017" s="168" t="str">
        <f t="shared" si="15"/>
        <v/>
      </c>
      <c r="AF1017" s="168">
        <v>0</v>
      </c>
      <c r="AG1017" s="168" t="str" cm="1">
        <f t="array" ref="AG1017">IF(AF1017="","",_xlfn.TEXTSPLIT(AF1017,"-"))</f>
        <v>0</v>
      </c>
      <c r="AH1017" s="168"/>
    </row>
    <row r="1018" spans="26:34" ht="24" customHeight="1">
      <c r="Z1018"/>
      <c r="AA1018"/>
      <c r="AB1018"/>
      <c r="AC1018"/>
      <c r="AD1018"/>
      <c r="AE1018" s="168" t="str">
        <f t="shared" si="15"/>
        <v/>
      </c>
      <c r="AF1018" s="168">
        <v>0</v>
      </c>
      <c r="AG1018" s="168" t="str" cm="1">
        <f t="array" ref="AG1018">IF(AF1018="","",_xlfn.TEXTSPLIT(AF1018,"-"))</f>
        <v>0</v>
      </c>
      <c r="AH1018" s="168"/>
    </row>
    <row r="1019" spans="26:34" ht="24" customHeight="1">
      <c r="Z1019"/>
      <c r="AA1019"/>
      <c r="AB1019"/>
      <c r="AC1019"/>
      <c r="AD1019"/>
      <c r="AE1019" s="168" t="str">
        <f t="shared" si="15"/>
        <v/>
      </c>
      <c r="AF1019" s="168">
        <v>0</v>
      </c>
      <c r="AG1019" s="168" t="str" cm="1">
        <f t="array" ref="AG1019">IF(AF1019="","",_xlfn.TEXTSPLIT(AF1019,"-"))</f>
        <v>0</v>
      </c>
      <c r="AH1019" s="168"/>
    </row>
    <row r="1020" spans="26:34" ht="24" customHeight="1">
      <c r="Z1020"/>
      <c r="AA1020"/>
      <c r="AB1020"/>
      <c r="AC1020"/>
      <c r="AD1020"/>
      <c r="AE1020" s="168" t="str">
        <f t="shared" si="15"/>
        <v/>
      </c>
      <c r="AF1020" s="168">
        <v>0</v>
      </c>
      <c r="AG1020" s="168" t="str" cm="1">
        <f t="array" ref="AG1020">IF(AF1020="","",_xlfn.TEXTSPLIT(AF1020,"-"))</f>
        <v>0</v>
      </c>
      <c r="AH1020" s="168"/>
    </row>
    <row r="1021" spans="26:34" ht="24" customHeight="1">
      <c r="Z1021"/>
      <c r="AA1021"/>
      <c r="AB1021"/>
      <c r="AC1021"/>
      <c r="AD1021"/>
      <c r="AE1021" s="168" t="str">
        <f t="shared" si="15"/>
        <v/>
      </c>
      <c r="AF1021" s="168">
        <v>0</v>
      </c>
      <c r="AG1021" s="168" t="str" cm="1">
        <f t="array" ref="AG1021">IF(AF1021="","",_xlfn.TEXTSPLIT(AF1021,"-"))</f>
        <v>0</v>
      </c>
      <c r="AH1021" s="168"/>
    </row>
    <row r="1022" spans="26:34" ht="24" customHeight="1">
      <c r="Z1022"/>
      <c r="AA1022"/>
      <c r="AB1022"/>
      <c r="AC1022"/>
      <c r="AD1022"/>
      <c r="AE1022" s="168" t="str">
        <f t="shared" si="15"/>
        <v/>
      </c>
      <c r="AF1022" s="168">
        <v>0</v>
      </c>
      <c r="AG1022" s="168" t="str" cm="1">
        <f t="array" ref="AG1022">IF(AF1022="","",_xlfn.TEXTSPLIT(AF1022,"-"))</f>
        <v>0</v>
      </c>
      <c r="AH1022" s="168"/>
    </row>
    <row r="1023" spans="26:34" ht="24" customHeight="1">
      <c r="Z1023"/>
      <c r="AA1023"/>
      <c r="AB1023"/>
      <c r="AC1023"/>
      <c r="AD1023"/>
      <c r="AE1023" s="168" t="str">
        <f t="shared" si="15"/>
        <v/>
      </c>
      <c r="AF1023" s="168">
        <v>0</v>
      </c>
      <c r="AG1023" s="168" t="str" cm="1">
        <f t="array" ref="AG1023">IF(AF1023="","",_xlfn.TEXTSPLIT(AF1023,"-"))</f>
        <v>0</v>
      </c>
      <c r="AH1023" s="168"/>
    </row>
    <row r="1024" spans="26:34" ht="24" customHeight="1">
      <c r="Z1024"/>
      <c r="AA1024"/>
      <c r="AB1024"/>
      <c r="AC1024"/>
      <c r="AD1024"/>
      <c r="AE1024" s="168" t="str">
        <f t="shared" si="15"/>
        <v/>
      </c>
      <c r="AF1024" s="168">
        <v>0</v>
      </c>
      <c r="AG1024" s="168" t="str" cm="1">
        <f t="array" ref="AG1024">IF(AF1024="","",_xlfn.TEXTSPLIT(AF1024,"-"))</f>
        <v>0</v>
      </c>
      <c r="AH1024" s="168"/>
    </row>
    <row r="1025" spans="26:34" ht="24" customHeight="1">
      <c r="Z1025"/>
      <c r="AA1025"/>
      <c r="AB1025"/>
      <c r="AC1025"/>
      <c r="AD1025"/>
      <c r="AE1025" s="168" t="str">
        <f t="shared" si="15"/>
        <v/>
      </c>
      <c r="AF1025" s="168">
        <v>0</v>
      </c>
      <c r="AG1025" s="168" t="str" cm="1">
        <f t="array" ref="AG1025">IF(AF1025="","",_xlfn.TEXTSPLIT(AF1025,"-"))</f>
        <v>0</v>
      </c>
      <c r="AH1025" s="168"/>
    </row>
    <row r="1026" spans="26:34" ht="24" customHeight="1">
      <c r="Z1026"/>
      <c r="AA1026"/>
      <c r="AB1026"/>
      <c r="AC1026"/>
      <c r="AD1026"/>
      <c r="AE1026" s="168" t="str">
        <f t="shared" si="15"/>
        <v/>
      </c>
      <c r="AF1026" s="168">
        <v>0</v>
      </c>
      <c r="AG1026" s="168" t="str" cm="1">
        <f t="array" ref="AG1026">IF(AF1026="","",_xlfn.TEXTSPLIT(AF1026,"-"))</f>
        <v>0</v>
      </c>
      <c r="AH1026" s="168"/>
    </row>
    <row r="1027" spans="26:34" ht="24" customHeight="1">
      <c r="Z1027"/>
      <c r="AA1027"/>
      <c r="AB1027"/>
      <c r="AC1027"/>
      <c r="AD1027"/>
      <c r="AE1027" s="168" t="str">
        <f t="shared" si="15"/>
        <v/>
      </c>
      <c r="AF1027" s="168">
        <v>0</v>
      </c>
      <c r="AG1027" s="168" t="str" cm="1">
        <f t="array" ref="AG1027">IF(AF1027="","",_xlfn.TEXTSPLIT(AF1027,"-"))</f>
        <v>0</v>
      </c>
      <c r="AH1027" s="168"/>
    </row>
    <row r="1028" spans="26:34" ht="24" customHeight="1">
      <c r="Z1028"/>
      <c r="AA1028"/>
      <c r="AB1028"/>
      <c r="AC1028"/>
      <c r="AD1028"/>
      <c r="AE1028" s="168" t="str">
        <f t="shared" si="15"/>
        <v/>
      </c>
      <c r="AF1028" s="168">
        <v>0</v>
      </c>
      <c r="AG1028" s="168" t="str" cm="1">
        <f t="array" ref="AG1028">IF(AF1028="","",_xlfn.TEXTSPLIT(AF1028,"-"))</f>
        <v>0</v>
      </c>
      <c r="AH1028" s="168"/>
    </row>
    <row r="1029" spans="26:34" ht="24" customHeight="1">
      <c r="Z1029"/>
      <c r="AA1029"/>
      <c r="AB1029"/>
      <c r="AC1029"/>
      <c r="AD1029"/>
      <c r="AE1029" s="168" t="str">
        <f t="shared" ref="AE1029:AE1092" si="16">IF(AH1029="","",AH1029*1)</f>
        <v/>
      </c>
      <c r="AF1029" s="168">
        <v>0</v>
      </c>
      <c r="AG1029" s="168" t="str" cm="1">
        <f t="array" ref="AG1029">IF(AF1029="","",_xlfn.TEXTSPLIT(AF1029,"-"))</f>
        <v>0</v>
      </c>
      <c r="AH1029" s="168"/>
    </row>
    <row r="1030" spans="26:34" ht="24" customHeight="1">
      <c r="Z1030"/>
      <c r="AA1030"/>
      <c r="AB1030"/>
      <c r="AC1030"/>
      <c r="AD1030"/>
      <c r="AE1030" s="168" t="str">
        <f t="shared" si="16"/>
        <v/>
      </c>
      <c r="AF1030" s="168">
        <v>0</v>
      </c>
      <c r="AG1030" s="168" t="str" cm="1">
        <f t="array" ref="AG1030">IF(AF1030="","",_xlfn.TEXTSPLIT(AF1030,"-"))</f>
        <v>0</v>
      </c>
      <c r="AH1030" s="168"/>
    </row>
    <row r="1031" spans="26:34" ht="24" customHeight="1">
      <c r="Z1031"/>
      <c r="AA1031"/>
      <c r="AB1031"/>
      <c r="AC1031"/>
      <c r="AD1031"/>
      <c r="AE1031" s="168" t="str">
        <f t="shared" si="16"/>
        <v/>
      </c>
      <c r="AF1031" s="168">
        <v>0</v>
      </c>
      <c r="AG1031" s="168" t="str" cm="1">
        <f t="array" ref="AG1031">IF(AF1031="","",_xlfn.TEXTSPLIT(AF1031,"-"))</f>
        <v>0</v>
      </c>
      <c r="AH1031" s="168"/>
    </row>
    <row r="1032" spans="26:34" ht="24" customHeight="1">
      <c r="Z1032"/>
      <c r="AA1032"/>
      <c r="AB1032"/>
      <c r="AC1032"/>
      <c r="AD1032"/>
      <c r="AE1032" s="168" t="str">
        <f t="shared" si="16"/>
        <v/>
      </c>
      <c r="AF1032" s="168">
        <v>0</v>
      </c>
      <c r="AG1032" s="168" t="str" cm="1">
        <f t="array" ref="AG1032">IF(AF1032="","",_xlfn.TEXTSPLIT(AF1032,"-"))</f>
        <v>0</v>
      </c>
      <c r="AH1032" s="168"/>
    </row>
    <row r="1033" spans="26:34" ht="24" customHeight="1">
      <c r="Z1033"/>
      <c r="AA1033"/>
      <c r="AB1033"/>
      <c r="AC1033"/>
      <c r="AD1033"/>
      <c r="AE1033" s="168" t="str">
        <f t="shared" si="16"/>
        <v/>
      </c>
      <c r="AF1033" s="168">
        <v>0</v>
      </c>
      <c r="AG1033" s="168" t="str" cm="1">
        <f t="array" ref="AG1033">IF(AF1033="","",_xlfn.TEXTSPLIT(AF1033,"-"))</f>
        <v>0</v>
      </c>
      <c r="AH1033" s="168"/>
    </row>
    <row r="1034" spans="26:34" ht="24" customHeight="1">
      <c r="Z1034"/>
      <c r="AA1034"/>
      <c r="AB1034"/>
      <c r="AC1034"/>
      <c r="AD1034"/>
      <c r="AE1034" s="168" t="str">
        <f t="shared" si="16"/>
        <v/>
      </c>
      <c r="AF1034" s="168">
        <v>0</v>
      </c>
      <c r="AG1034" s="168" t="str" cm="1">
        <f t="array" ref="AG1034">IF(AF1034="","",_xlfn.TEXTSPLIT(AF1034,"-"))</f>
        <v>0</v>
      </c>
      <c r="AH1034" s="168"/>
    </row>
    <row r="1035" spans="26:34" ht="24" customHeight="1">
      <c r="Z1035"/>
      <c r="AA1035"/>
      <c r="AB1035"/>
      <c r="AC1035"/>
      <c r="AD1035"/>
      <c r="AE1035" s="168" t="str">
        <f t="shared" si="16"/>
        <v/>
      </c>
      <c r="AF1035" s="168">
        <v>0</v>
      </c>
      <c r="AG1035" s="168" t="str" cm="1">
        <f t="array" ref="AG1035">IF(AF1035="","",_xlfn.TEXTSPLIT(AF1035,"-"))</f>
        <v>0</v>
      </c>
      <c r="AH1035" s="168"/>
    </row>
    <row r="1036" spans="26:34" ht="24" customHeight="1">
      <c r="Z1036"/>
      <c r="AA1036"/>
      <c r="AB1036"/>
      <c r="AC1036"/>
      <c r="AD1036"/>
      <c r="AE1036" s="168" t="str">
        <f t="shared" si="16"/>
        <v/>
      </c>
      <c r="AF1036" s="168">
        <v>0</v>
      </c>
      <c r="AG1036" s="168" t="str" cm="1">
        <f t="array" ref="AG1036">IF(AF1036="","",_xlfn.TEXTSPLIT(AF1036,"-"))</f>
        <v>0</v>
      </c>
      <c r="AH1036" s="168"/>
    </row>
    <row r="1037" spans="26:34" ht="24" customHeight="1">
      <c r="Z1037"/>
      <c r="AA1037"/>
      <c r="AB1037"/>
      <c r="AC1037"/>
      <c r="AD1037"/>
      <c r="AE1037" s="168" t="str">
        <f t="shared" si="16"/>
        <v/>
      </c>
      <c r="AF1037" s="168">
        <v>0</v>
      </c>
      <c r="AG1037" s="168" t="str" cm="1">
        <f t="array" ref="AG1037">IF(AF1037="","",_xlfn.TEXTSPLIT(AF1037,"-"))</f>
        <v>0</v>
      </c>
      <c r="AH1037" s="168"/>
    </row>
    <row r="1038" spans="26:34" ht="24" customHeight="1">
      <c r="Z1038"/>
      <c r="AA1038"/>
      <c r="AB1038"/>
      <c r="AC1038"/>
      <c r="AD1038"/>
      <c r="AE1038" s="168" t="str">
        <f t="shared" si="16"/>
        <v/>
      </c>
      <c r="AF1038" s="168">
        <v>0</v>
      </c>
      <c r="AG1038" s="168" t="str" cm="1">
        <f t="array" ref="AG1038">IF(AF1038="","",_xlfn.TEXTSPLIT(AF1038,"-"))</f>
        <v>0</v>
      </c>
      <c r="AH1038" s="168"/>
    </row>
    <row r="1039" spans="26:34" ht="24" customHeight="1">
      <c r="Z1039"/>
      <c r="AA1039"/>
      <c r="AB1039"/>
      <c r="AC1039"/>
      <c r="AD1039"/>
      <c r="AE1039" s="168" t="str">
        <f t="shared" si="16"/>
        <v/>
      </c>
      <c r="AF1039" s="168">
        <v>0</v>
      </c>
      <c r="AG1039" s="168" t="str" cm="1">
        <f t="array" ref="AG1039">IF(AF1039="","",_xlfn.TEXTSPLIT(AF1039,"-"))</f>
        <v>0</v>
      </c>
      <c r="AH1039" s="168"/>
    </row>
    <row r="1040" spans="26:34" ht="24" customHeight="1">
      <c r="Z1040"/>
      <c r="AA1040"/>
      <c r="AB1040"/>
      <c r="AC1040"/>
      <c r="AD1040"/>
      <c r="AE1040" s="168" t="str">
        <f t="shared" si="16"/>
        <v/>
      </c>
      <c r="AF1040" s="168">
        <v>0</v>
      </c>
      <c r="AG1040" s="168" t="str" cm="1">
        <f t="array" ref="AG1040">IF(AF1040="","",_xlfn.TEXTSPLIT(AF1040,"-"))</f>
        <v>0</v>
      </c>
      <c r="AH1040" s="168"/>
    </row>
    <row r="1041" spans="26:34" ht="24" customHeight="1">
      <c r="Z1041"/>
      <c r="AA1041"/>
      <c r="AB1041"/>
      <c r="AC1041"/>
      <c r="AD1041"/>
      <c r="AE1041" s="168" t="str">
        <f t="shared" si="16"/>
        <v/>
      </c>
      <c r="AF1041" s="168">
        <v>0</v>
      </c>
      <c r="AG1041" s="168" t="str" cm="1">
        <f t="array" ref="AG1041">IF(AF1041="","",_xlfn.TEXTSPLIT(AF1041,"-"))</f>
        <v>0</v>
      </c>
      <c r="AH1041" s="168"/>
    </row>
    <row r="1042" spans="26:34" ht="24" customHeight="1">
      <c r="Z1042"/>
      <c r="AA1042"/>
      <c r="AB1042"/>
      <c r="AC1042"/>
      <c r="AD1042"/>
      <c r="AE1042" s="168" t="str">
        <f t="shared" si="16"/>
        <v/>
      </c>
      <c r="AF1042" s="168">
        <v>0</v>
      </c>
      <c r="AG1042" s="168" t="str" cm="1">
        <f t="array" ref="AG1042">IF(AF1042="","",_xlfn.TEXTSPLIT(AF1042,"-"))</f>
        <v>0</v>
      </c>
      <c r="AH1042" s="168"/>
    </row>
    <row r="1043" spans="26:34" ht="24" customHeight="1">
      <c r="Z1043"/>
      <c r="AA1043"/>
      <c r="AB1043"/>
      <c r="AC1043"/>
      <c r="AD1043"/>
      <c r="AE1043" s="168" t="str">
        <f t="shared" si="16"/>
        <v/>
      </c>
      <c r="AF1043" s="168">
        <v>0</v>
      </c>
      <c r="AG1043" s="168" t="str" cm="1">
        <f t="array" ref="AG1043">IF(AF1043="","",_xlfn.TEXTSPLIT(AF1043,"-"))</f>
        <v>0</v>
      </c>
      <c r="AH1043" s="168"/>
    </row>
    <row r="1044" spans="26:34" ht="24" customHeight="1">
      <c r="Z1044"/>
      <c r="AA1044"/>
      <c r="AB1044"/>
      <c r="AC1044"/>
      <c r="AD1044"/>
      <c r="AE1044" s="168" t="str">
        <f t="shared" si="16"/>
        <v/>
      </c>
      <c r="AF1044" s="168">
        <v>0</v>
      </c>
      <c r="AG1044" s="168" t="str" cm="1">
        <f t="array" ref="AG1044">IF(AF1044="","",_xlfn.TEXTSPLIT(AF1044,"-"))</f>
        <v>0</v>
      </c>
      <c r="AH1044" s="168"/>
    </row>
    <row r="1045" spans="26:34" ht="24" customHeight="1">
      <c r="Z1045"/>
      <c r="AA1045"/>
      <c r="AB1045"/>
      <c r="AC1045"/>
      <c r="AD1045"/>
      <c r="AE1045" s="168" t="str">
        <f t="shared" si="16"/>
        <v/>
      </c>
      <c r="AF1045" s="168">
        <v>0</v>
      </c>
      <c r="AG1045" s="168" t="str" cm="1">
        <f t="array" ref="AG1045">IF(AF1045="","",_xlfn.TEXTSPLIT(AF1045,"-"))</f>
        <v>0</v>
      </c>
      <c r="AH1045" s="168"/>
    </row>
    <row r="1046" spans="26:34" ht="24" customHeight="1">
      <c r="Z1046"/>
      <c r="AA1046"/>
      <c r="AB1046"/>
      <c r="AC1046"/>
      <c r="AD1046"/>
      <c r="AE1046" s="168" t="str">
        <f t="shared" si="16"/>
        <v/>
      </c>
      <c r="AF1046" s="168">
        <v>0</v>
      </c>
      <c r="AG1046" s="168" t="str" cm="1">
        <f t="array" ref="AG1046">IF(AF1046="","",_xlfn.TEXTSPLIT(AF1046,"-"))</f>
        <v>0</v>
      </c>
      <c r="AH1046" s="168"/>
    </row>
    <row r="1047" spans="26:34" ht="24" customHeight="1">
      <c r="Z1047"/>
      <c r="AA1047"/>
      <c r="AB1047"/>
      <c r="AC1047"/>
      <c r="AD1047"/>
      <c r="AE1047" s="168" t="str">
        <f t="shared" si="16"/>
        <v/>
      </c>
      <c r="AF1047" s="168">
        <v>0</v>
      </c>
      <c r="AG1047" s="168" t="str" cm="1">
        <f t="array" ref="AG1047">IF(AF1047="","",_xlfn.TEXTSPLIT(AF1047,"-"))</f>
        <v>0</v>
      </c>
      <c r="AH1047" s="168"/>
    </row>
    <row r="1048" spans="26:34" ht="24" customHeight="1">
      <c r="Z1048"/>
      <c r="AA1048"/>
      <c r="AB1048"/>
      <c r="AC1048"/>
      <c r="AD1048"/>
      <c r="AE1048" s="168" t="str">
        <f t="shared" si="16"/>
        <v/>
      </c>
      <c r="AF1048" s="168">
        <v>0</v>
      </c>
      <c r="AG1048" s="168" t="str" cm="1">
        <f t="array" ref="AG1048">IF(AF1048="","",_xlfn.TEXTSPLIT(AF1048,"-"))</f>
        <v>0</v>
      </c>
      <c r="AH1048" s="168"/>
    </row>
    <row r="1049" spans="26:34" ht="24" customHeight="1">
      <c r="Z1049"/>
      <c r="AA1049"/>
      <c r="AB1049"/>
      <c r="AC1049"/>
      <c r="AD1049"/>
      <c r="AE1049" s="168" t="str">
        <f t="shared" si="16"/>
        <v/>
      </c>
      <c r="AF1049" s="168">
        <v>0</v>
      </c>
      <c r="AG1049" s="168" t="str" cm="1">
        <f t="array" ref="AG1049">IF(AF1049="","",_xlfn.TEXTSPLIT(AF1049,"-"))</f>
        <v>0</v>
      </c>
      <c r="AH1049" s="168"/>
    </row>
    <row r="1050" spans="26:34" ht="24" customHeight="1">
      <c r="Z1050"/>
      <c r="AA1050"/>
      <c r="AB1050"/>
      <c r="AC1050"/>
      <c r="AD1050"/>
      <c r="AE1050" s="168" t="str">
        <f t="shared" si="16"/>
        <v/>
      </c>
      <c r="AF1050" s="168">
        <v>0</v>
      </c>
      <c r="AG1050" s="168" t="str" cm="1">
        <f t="array" ref="AG1050">IF(AF1050="","",_xlfn.TEXTSPLIT(AF1050,"-"))</f>
        <v>0</v>
      </c>
      <c r="AH1050" s="168"/>
    </row>
    <row r="1051" spans="26:34" ht="24" customHeight="1">
      <c r="Z1051"/>
      <c r="AA1051"/>
      <c r="AB1051"/>
      <c r="AC1051"/>
      <c r="AD1051"/>
      <c r="AE1051" s="168" t="str">
        <f t="shared" si="16"/>
        <v/>
      </c>
      <c r="AF1051" s="168">
        <v>0</v>
      </c>
      <c r="AG1051" s="168" t="str" cm="1">
        <f t="array" ref="AG1051">IF(AF1051="","",_xlfn.TEXTSPLIT(AF1051,"-"))</f>
        <v>0</v>
      </c>
      <c r="AH1051" s="168"/>
    </row>
    <row r="1052" spans="26:34" ht="24" customHeight="1">
      <c r="Z1052"/>
      <c r="AA1052"/>
      <c r="AB1052"/>
      <c r="AC1052"/>
      <c r="AD1052"/>
      <c r="AE1052" s="168" t="str">
        <f t="shared" si="16"/>
        <v/>
      </c>
      <c r="AF1052" s="168">
        <v>0</v>
      </c>
      <c r="AG1052" s="168" t="str" cm="1">
        <f t="array" ref="AG1052">IF(AF1052="","",_xlfn.TEXTSPLIT(AF1052,"-"))</f>
        <v>0</v>
      </c>
      <c r="AH1052" s="168"/>
    </row>
    <row r="1053" spans="26:34" ht="24" customHeight="1">
      <c r="Z1053"/>
      <c r="AA1053"/>
      <c r="AB1053"/>
      <c r="AC1053"/>
      <c r="AD1053"/>
      <c r="AE1053" s="168" t="str">
        <f t="shared" si="16"/>
        <v/>
      </c>
      <c r="AF1053" s="168">
        <v>0</v>
      </c>
      <c r="AG1053" s="168" t="str" cm="1">
        <f t="array" ref="AG1053">IF(AF1053="","",_xlfn.TEXTSPLIT(AF1053,"-"))</f>
        <v>0</v>
      </c>
      <c r="AH1053" s="168"/>
    </row>
    <row r="1054" spans="26:34" ht="24" customHeight="1">
      <c r="Z1054"/>
      <c r="AA1054"/>
      <c r="AB1054"/>
      <c r="AC1054"/>
      <c r="AD1054"/>
      <c r="AE1054" s="168" t="str">
        <f t="shared" si="16"/>
        <v/>
      </c>
      <c r="AF1054" s="168">
        <v>0</v>
      </c>
      <c r="AG1054" s="168" t="str" cm="1">
        <f t="array" ref="AG1054">IF(AF1054="","",_xlfn.TEXTSPLIT(AF1054,"-"))</f>
        <v>0</v>
      </c>
      <c r="AH1054" s="168"/>
    </row>
    <row r="1055" spans="26:34" ht="24" customHeight="1">
      <c r="Z1055"/>
      <c r="AA1055"/>
      <c r="AB1055"/>
      <c r="AC1055"/>
      <c r="AD1055"/>
      <c r="AE1055" s="168" t="str">
        <f t="shared" si="16"/>
        <v/>
      </c>
      <c r="AF1055" s="168">
        <v>0</v>
      </c>
      <c r="AG1055" s="168" t="str" cm="1">
        <f t="array" ref="AG1055">IF(AF1055="","",_xlfn.TEXTSPLIT(AF1055,"-"))</f>
        <v>0</v>
      </c>
      <c r="AH1055" s="168"/>
    </row>
    <row r="1056" spans="26:34" ht="24" customHeight="1">
      <c r="Z1056"/>
      <c r="AA1056"/>
      <c r="AB1056"/>
      <c r="AC1056"/>
      <c r="AD1056"/>
      <c r="AE1056" s="168" t="str">
        <f t="shared" si="16"/>
        <v/>
      </c>
      <c r="AF1056" s="168">
        <v>0</v>
      </c>
      <c r="AG1056" s="168" t="str" cm="1">
        <f t="array" ref="AG1056">IF(AF1056="","",_xlfn.TEXTSPLIT(AF1056,"-"))</f>
        <v>0</v>
      </c>
      <c r="AH1056" s="168"/>
    </row>
    <row r="1057" spans="26:34" ht="24" customHeight="1">
      <c r="Z1057"/>
      <c r="AA1057"/>
      <c r="AB1057"/>
      <c r="AC1057"/>
      <c r="AD1057"/>
      <c r="AE1057" s="168" t="str">
        <f t="shared" si="16"/>
        <v/>
      </c>
      <c r="AF1057" s="168">
        <v>0</v>
      </c>
      <c r="AG1057" s="168" t="str" cm="1">
        <f t="array" ref="AG1057">IF(AF1057="","",_xlfn.TEXTSPLIT(AF1057,"-"))</f>
        <v>0</v>
      </c>
      <c r="AH1057" s="168"/>
    </row>
    <row r="1058" spans="26:34" ht="24" customHeight="1">
      <c r="Z1058"/>
      <c r="AA1058"/>
      <c r="AB1058"/>
      <c r="AC1058"/>
      <c r="AD1058"/>
      <c r="AE1058" s="168" t="str">
        <f t="shared" si="16"/>
        <v/>
      </c>
      <c r="AF1058" s="168">
        <v>0</v>
      </c>
      <c r="AG1058" s="168" t="str" cm="1">
        <f t="array" ref="AG1058">IF(AF1058="","",_xlfn.TEXTSPLIT(AF1058,"-"))</f>
        <v>0</v>
      </c>
      <c r="AH1058" s="168"/>
    </row>
    <row r="1059" spans="26:34" ht="24" customHeight="1">
      <c r="Z1059"/>
      <c r="AA1059"/>
      <c r="AB1059"/>
      <c r="AC1059"/>
      <c r="AD1059"/>
      <c r="AE1059" s="168" t="str">
        <f t="shared" si="16"/>
        <v/>
      </c>
      <c r="AF1059" s="168">
        <v>0</v>
      </c>
      <c r="AG1059" s="168" t="str" cm="1">
        <f t="array" ref="AG1059">IF(AF1059="","",_xlfn.TEXTSPLIT(AF1059,"-"))</f>
        <v>0</v>
      </c>
      <c r="AH1059" s="168"/>
    </row>
    <row r="1060" spans="26:34" ht="24" customHeight="1">
      <c r="Z1060"/>
      <c r="AA1060"/>
      <c r="AB1060"/>
      <c r="AC1060"/>
      <c r="AD1060"/>
      <c r="AE1060" s="168" t="str">
        <f t="shared" si="16"/>
        <v/>
      </c>
      <c r="AF1060" s="168">
        <v>0</v>
      </c>
      <c r="AG1060" s="168" t="str" cm="1">
        <f t="array" ref="AG1060">IF(AF1060="","",_xlfn.TEXTSPLIT(AF1060,"-"))</f>
        <v>0</v>
      </c>
      <c r="AH1060" s="168"/>
    </row>
    <row r="1061" spans="26:34" ht="24" customHeight="1">
      <c r="Z1061"/>
      <c r="AA1061"/>
      <c r="AB1061"/>
      <c r="AC1061"/>
      <c r="AD1061"/>
      <c r="AE1061" s="168" t="str">
        <f t="shared" si="16"/>
        <v/>
      </c>
      <c r="AF1061" s="168">
        <v>0</v>
      </c>
      <c r="AG1061" s="168" t="str" cm="1">
        <f t="array" ref="AG1061">IF(AF1061="","",_xlfn.TEXTSPLIT(AF1061,"-"))</f>
        <v>0</v>
      </c>
      <c r="AH1061" s="168"/>
    </row>
    <row r="1062" spans="26:34" ht="24" customHeight="1">
      <c r="Z1062"/>
      <c r="AA1062"/>
      <c r="AB1062"/>
      <c r="AC1062"/>
      <c r="AD1062"/>
      <c r="AE1062" s="168" t="str">
        <f t="shared" si="16"/>
        <v/>
      </c>
      <c r="AF1062" s="168">
        <v>0</v>
      </c>
      <c r="AG1062" s="168" t="str" cm="1">
        <f t="array" ref="AG1062">IF(AF1062="","",_xlfn.TEXTSPLIT(AF1062,"-"))</f>
        <v>0</v>
      </c>
      <c r="AH1062" s="168"/>
    </row>
    <row r="1063" spans="26:34" ht="24" customHeight="1">
      <c r="Z1063"/>
      <c r="AA1063"/>
      <c r="AB1063"/>
      <c r="AC1063"/>
      <c r="AD1063"/>
      <c r="AE1063" s="168" t="str">
        <f t="shared" si="16"/>
        <v/>
      </c>
      <c r="AF1063" s="168">
        <v>0</v>
      </c>
      <c r="AG1063" s="168" t="str" cm="1">
        <f t="array" ref="AG1063">IF(AF1063="","",_xlfn.TEXTSPLIT(AF1063,"-"))</f>
        <v>0</v>
      </c>
      <c r="AH1063" s="168"/>
    </row>
    <row r="1064" spans="26:34" ht="24" customHeight="1">
      <c r="Z1064"/>
      <c r="AA1064"/>
      <c r="AB1064"/>
      <c r="AC1064"/>
      <c r="AD1064"/>
      <c r="AE1064" s="168" t="str">
        <f t="shared" si="16"/>
        <v/>
      </c>
      <c r="AF1064" s="168">
        <v>0</v>
      </c>
      <c r="AG1064" s="168" t="str" cm="1">
        <f t="array" ref="AG1064">IF(AF1064="","",_xlfn.TEXTSPLIT(AF1064,"-"))</f>
        <v>0</v>
      </c>
      <c r="AH1064" s="168"/>
    </row>
    <row r="1065" spans="26:34" ht="24" customHeight="1">
      <c r="Z1065"/>
      <c r="AA1065"/>
      <c r="AB1065"/>
      <c r="AC1065"/>
      <c r="AD1065"/>
      <c r="AE1065" s="168" t="str">
        <f t="shared" si="16"/>
        <v/>
      </c>
      <c r="AF1065" s="168">
        <v>0</v>
      </c>
      <c r="AG1065" s="168" t="str" cm="1">
        <f t="array" ref="AG1065">IF(AF1065="","",_xlfn.TEXTSPLIT(AF1065,"-"))</f>
        <v>0</v>
      </c>
      <c r="AH1065" s="168"/>
    </row>
    <row r="1066" spans="26:34" ht="24" customHeight="1">
      <c r="Z1066"/>
      <c r="AA1066"/>
      <c r="AB1066"/>
      <c r="AC1066"/>
      <c r="AD1066"/>
      <c r="AE1066" s="168" t="str">
        <f t="shared" si="16"/>
        <v/>
      </c>
      <c r="AF1066" s="168">
        <v>0</v>
      </c>
      <c r="AG1066" s="168" t="str" cm="1">
        <f t="array" ref="AG1066">IF(AF1066="","",_xlfn.TEXTSPLIT(AF1066,"-"))</f>
        <v>0</v>
      </c>
      <c r="AH1066" s="168"/>
    </row>
    <row r="1067" spans="26:34" ht="24" customHeight="1">
      <c r="Z1067"/>
      <c r="AA1067"/>
      <c r="AB1067"/>
      <c r="AC1067"/>
      <c r="AD1067"/>
      <c r="AE1067" s="168" t="str">
        <f t="shared" si="16"/>
        <v/>
      </c>
      <c r="AF1067" s="168">
        <v>0</v>
      </c>
      <c r="AG1067" s="168" t="str" cm="1">
        <f t="array" ref="AG1067">IF(AF1067="","",_xlfn.TEXTSPLIT(AF1067,"-"))</f>
        <v>0</v>
      </c>
      <c r="AH1067" s="168"/>
    </row>
    <row r="1068" spans="26:34" ht="24" customHeight="1">
      <c r="Z1068"/>
      <c r="AA1068"/>
      <c r="AB1068"/>
      <c r="AC1068"/>
      <c r="AD1068"/>
      <c r="AE1068" s="168" t="str">
        <f t="shared" si="16"/>
        <v/>
      </c>
      <c r="AF1068" s="168">
        <v>0</v>
      </c>
      <c r="AG1068" s="168" t="str" cm="1">
        <f t="array" ref="AG1068">IF(AF1068="","",_xlfn.TEXTSPLIT(AF1068,"-"))</f>
        <v>0</v>
      </c>
      <c r="AH1068" s="168"/>
    </row>
    <row r="1069" spans="26:34" ht="24" customHeight="1">
      <c r="Z1069"/>
      <c r="AA1069"/>
      <c r="AB1069"/>
      <c r="AC1069"/>
      <c r="AD1069"/>
      <c r="AE1069" s="168" t="str">
        <f t="shared" si="16"/>
        <v/>
      </c>
      <c r="AF1069" s="168">
        <v>0</v>
      </c>
      <c r="AG1069" s="168" t="str" cm="1">
        <f t="array" ref="AG1069">IF(AF1069="","",_xlfn.TEXTSPLIT(AF1069,"-"))</f>
        <v>0</v>
      </c>
      <c r="AH1069" s="168"/>
    </row>
    <row r="1070" spans="26:34" ht="24" customHeight="1">
      <c r="Z1070"/>
      <c r="AA1070"/>
      <c r="AB1070"/>
      <c r="AC1070"/>
      <c r="AD1070"/>
      <c r="AE1070" s="168" t="str">
        <f t="shared" si="16"/>
        <v/>
      </c>
      <c r="AF1070" s="168">
        <v>0</v>
      </c>
      <c r="AG1070" s="168" t="str" cm="1">
        <f t="array" ref="AG1070">IF(AF1070="","",_xlfn.TEXTSPLIT(AF1070,"-"))</f>
        <v>0</v>
      </c>
      <c r="AH1070" s="168"/>
    </row>
    <row r="1071" spans="26:34" ht="24" customHeight="1">
      <c r="Z1071"/>
      <c r="AA1071"/>
      <c r="AB1071"/>
      <c r="AC1071"/>
      <c r="AD1071"/>
      <c r="AE1071" s="168" t="str">
        <f t="shared" si="16"/>
        <v/>
      </c>
      <c r="AF1071" s="168">
        <v>0</v>
      </c>
      <c r="AG1071" s="168" t="str" cm="1">
        <f t="array" ref="AG1071">IF(AF1071="","",_xlfn.TEXTSPLIT(AF1071,"-"))</f>
        <v>0</v>
      </c>
      <c r="AH1071" s="168"/>
    </row>
    <row r="1072" spans="26:34" ht="24" customHeight="1">
      <c r="Z1072"/>
      <c r="AA1072"/>
      <c r="AB1072"/>
      <c r="AC1072"/>
      <c r="AD1072"/>
      <c r="AE1072" s="168" t="str">
        <f t="shared" si="16"/>
        <v/>
      </c>
      <c r="AF1072" s="168">
        <v>0</v>
      </c>
      <c r="AG1072" s="168" t="str" cm="1">
        <f t="array" ref="AG1072">IF(AF1072="","",_xlfn.TEXTSPLIT(AF1072,"-"))</f>
        <v>0</v>
      </c>
      <c r="AH1072" s="168"/>
    </row>
    <row r="1073" spans="26:34" ht="24" customHeight="1">
      <c r="Z1073"/>
      <c r="AA1073"/>
      <c r="AB1073"/>
      <c r="AC1073"/>
      <c r="AD1073"/>
      <c r="AE1073" s="168" t="str">
        <f t="shared" si="16"/>
        <v/>
      </c>
      <c r="AF1073" s="168">
        <v>0</v>
      </c>
      <c r="AG1073" s="168" t="str" cm="1">
        <f t="array" ref="AG1073">IF(AF1073="","",_xlfn.TEXTSPLIT(AF1073,"-"))</f>
        <v>0</v>
      </c>
      <c r="AH1073" s="168"/>
    </row>
    <row r="1074" spans="26:34" ht="24" customHeight="1">
      <c r="Z1074"/>
      <c r="AA1074"/>
      <c r="AB1074"/>
      <c r="AC1074"/>
      <c r="AD1074"/>
      <c r="AE1074" s="168" t="str">
        <f t="shared" si="16"/>
        <v/>
      </c>
      <c r="AF1074" s="168">
        <v>0</v>
      </c>
      <c r="AG1074" s="168" t="str" cm="1">
        <f t="array" ref="AG1074">IF(AF1074="","",_xlfn.TEXTSPLIT(AF1074,"-"))</f>
        <v>0</v>
      </c>
      <c r="AH1074" s="168"/>
    </row>
    <row r="1075" spans="26:34" ht="24" customHeight="1">
      <c r="Z1075"/>
      <c r="AA1075"/>
      <c r="AB1075"/>
      <c r="AC1075"/>
      <c r="AD1075"/>
      <c r="AE1075" s="168" t="str">
        <f t="shared" si="16"/>
        <v/>
      </c>
      <c r="AF1075" s="168">
        <v>0</v>
      </c>
      <c r="AG1075" s="168" t="str" cm="1">
        <f t="array" ref="AG1075">IF(AF1075="","",_xlfn.TEXTSPLIT(AF1075,"-"))</f>
        <v>0</v>
      </c>
      <c r="AH1075" s="168"/>
    </row>
    <row r="1076" spans="26:34" ht="24" customHeight="1">
      <c r="Z1076"/>
      <c r="AA1076"/>
      <c r="AB1076"/>
      <c r="AC1076"/>
      <c r="AD1076"/>
      <c r="AE1076" s="168" t="str">
        <f t="shared" si="16"/>
        <v/>
      </c>
      <c r="AF1076" s="168">
        <v>0</v>
      </c>
      <c r="AG1076" s="168" t="str" cm="1">
        <f t="array" ref="AG1076">IF(AF1076="","",_xlfn.TEXTSPLIT(AF1076,"-"))</f>
        <v>0</v>
      </c>
      <c r="AH1076" s="168"/>
    </row>
    <row r="1077" spans="26:34" ht="24" customHeight="1">
      <c r="Z1077"/>
      <c r="AA1077"/>
      <c r="AB1077"/>
      <c r="AC1077"/>
      <c r="AD1077"/>
      <c r="AE1077" s="168" t="str">
        <f t="shared" si="16"/>
        <v/>
      </c>
      <c r="AF1077" s="168">
        <v>0</v>
      </c>
      <c r="AG1077" s="168" t="str" cm="1">
        <f t="array" ref="AG1077">IF(AF1077="","",_xlfn.TEXTSPLIT(AF1077,"-"))</f>
        <v>0</v>
      </c>
      <c r="AH1077" s="168"/>
    </row>
    <row r="1078" spans="26:34" ht="24" customHeight="1">
      <c r="Z1078"/>
      <c r="AA1078"/>
      <c r="AB1078"/>
      <c r="AC1078"/>
      <c r="AD1078"/>
      <c r="AE1078" s="168" t="str">
        <f t="shared" si="16"/>
        <v/>
      </c>
      <c r="AF1078" s="168">
        <v>0</v>
      </c>
      <c r="AG1078" s="168" t="str" cm="1">
        <f t="array" ref="AG1078">IF(AF1078="","",_xlfn.TEXTSPLIT(AF1078,"-"))</f>
        <v>0</v>
      </c>
      <c r="AH1078" s="168"/>
    </row>
    <row r="1079" spans="26:34" ht="24" customHeight="1">
      <c r="Z1079"/>
      <c r="AA1079"/>
      <c r="AB1079"/>
      <c r="AC1079"/>
      <c r="AD1079"/>
      <c r="AE1079" s="168" t="str">
        <f t="shared" si="16"/>
        <v/>
      </c>
      <c r="AF1079" s="168">
        <v>0</v>
      </c>
      <c r="AG1079" s="168" t="str" cm="1">
        <f t="array" ref="AG1079">IF(AF1079="","",_xlfn.TEXTSPLIT(AF1079,"-"))</f>
        <v>0</v>
      </c>
      <c r="AH1079" s="168"/>
    </row>
    <row r="1080" spans="26:34" ht="24" customHeight="1">
      <c r="Z1080"/>
      <c r="AA1080"/>
      <c r="AB1080"/>
      <c r="AC1080"/>
      <c r="AD1080"/>
      <c r="AE1080" s="168" t="str">
        <f t="shared" si="16"/>
        <v/>
      </c>
      <c r="AF1080" s="168">
        <v>0</v>
      </c>
      <c r="AG1080" s="168" t="str" cm="1">
        <f t="array" ref="AG1080">IF(AF1080="","",_xlfn.TEXTSPLIT(AF1080,"-"))</f>
        <v>0</v>
      </c>
      <c r="AH1080" s="168"/>
    </row>
    <row r="1081" spans="26:34" ht="24" customHeight="1">
      <c r="Z1081"/>
      <c r="AA1081"/>
      <c r="AB1081"/>
      <c r="AC1081"/>
      <c r="AD1081"/>
      <c r="AE1081" s="168" t="str">
        <f t="shared" si="16"/>
        <v/>
      </c>
      <c r="AF1081" s="168">
        <v>0</v>
      </c>
      <c r="AG1081" s="168" t="str" cm="1">
        <f t="array" ref="AG1081">IF(AF1081="","",_xlfn.TEXTSPLIT(AF1081,"-"))</f>
        <v>0</v>
      </c>
      <c r="AH1081" s="168"/>
    </row>
    <row r="1082" spans="26:34" ht="24" customHeight="1">
      <c r="Z1082"/>
      <c r="AA1082"/>
      <c r="AB1082"/>
      <c r="AC1082"/>
      <c r="AD1082"/>
      <c r="AE1082" s="168" t="str">
        <f t="shared" si="16"/>
        <v/>
      </c>
      <c r="AF1082" s="168">
        <v>0</v>
      </c>
      <c r="AG1082" s="168" t="str" cm="1">
        <f t="array" ref="AG1082">IF(AF1082="","",_xlfn.TEXTSPLIT(AF1082,"-"))</f>
        <v>0</v>
      </c>
      <c r="AH1082" s="168"/>
    </row>
    <row r="1083" spans="26:34" ht="24" customHeight="1">
      <c r="Z1083"/>
      <c r="AA1083"/>
      <c r="AB1083"/>
      <c r="AC1083"/>
      <c r="AD1083"/>
      <c r="AE1083" s="168" t="str">
        <f t="shared" si="16"/>
        <v/>
      </c>
      <c r="AF1083" s="168">
        <v>0</v>
      </c>
      <c r="AG1083" s="168" t="str" cm="1">
        <f t="array" ref="AG1083">IF(AF1083="","",_xlfn.TEXTSPLIT(AF1083,"-"))</f>
        <v>0</v>
      </c>
      <c r="AH1083" s="168"/>
    </row>
    <row r="1084" spans="26:34" ht="24" customHeight="1">
      <c r="Z1084"/>
      <c r="AA1084"/>
      <c r="AB1084"/>
      <c r="AC1084"/>
      <c r="AD1084"/>
      <c r="AE1084" s="168" t="str">
        <f t="shared" si="16"/>
        <v/>
      </c>
      <c r="AF1084" s="168">
        <v>0</v>
      </c>
      <c r="AG1084" s="168" t="str" cm="1">
        <f t="array" ref="AG1084">IF(AF1084="","",_xlfn.TEXTSPLIT(AF1084,"-"))</f>
        <v>0</v>
      </c>
      <c r="AH1084" s="168"/>
    </row>
    <row r="1085" spans="26:34" ht="24" customHeight="1">
      <c r="Z1085"/>
      <c r="AA1085"/>
      <c r="AB1085"/>
      <c r="AC1085"/>
      <c r="AD1085"/>
      <c r="AE1085" s="168" t="str">
        <f t="shared" si="16"/>
        <v/>
      </c>
      <c r="AF1085" s="168">
        <v>0</v>
      </c>
      <c r="AG1085" s="168" t="str" cm="1">
        <f t="array" ref="AG1085">IF(AF1085="","",_xlfn.TEXTSPLIT(AF1085,"-"))</f>
        <v>0</v>
      </c>
      <c r="AH1085" s="168"/>
    </row>
    <row r="1086" spans="26:34" ht="24" customHeight="1">
      <c r="Z1086"/>
      <c r="AA1086"/>
      <c r="AB1086"/>
      <c r="AC1086"/>
      <c r="AD1086"/>
      <c r="AE1086" s="168" t="str">
        <f t="shared" si="16"/>
        <v/>
      </c>
      <c r="AF1086" s="168">
        <v>0</v>
      </c>
      <c r="AG1086" s="168" t="str" cm="1">
        <f t="array" ref="AG1086">IF(AF1086="","",_xlfn.TEXTSPLIT(AF1086,"-"))</f>
        <v>0</v>
      </c>
      <c r="AH1086" s="168"/>
    </row>
    <row r="1087" spans="26:34" ht="24" customHeight="1">
      <c r="Z1087"/>
      <c r="AA1087"/>
      <c r="AB1087"/>
      <c r="AC1087"/>
      <c r="AD1087"/>
      <c r="AE1087" s="168" t="str">
        <f t="shared" si="16"/>
        <v/>
      </c>
      <c r="AF1087" s="168">
        <v>0</v>
      </c>
      <c r="AG1087" s="168" t="str" cm="1">
        <f t="array" ref="AG1087">IF(AF1087="","",_xlfn.TEXTSPLIT(AF1087,"-"))</f>
        <v>0</v>
      </c>
      <c r="AH1087" s="168"/>
    </row>
    <row r="1088" spans="26:34" ht="24" customHeight="1">
      <c r="Z1088"/>
      <c r="AA1088"/>
      <c r="AB1088"/>
      <c r="AC1088"/>
      <c r="AD1088"/>
      <c r="AE1088" s="168" t="str">
        <f t="shared" si="16"/>
        <v/>
      </c>
      <c r="AF1088" s="168">
        <v>0</v>
      </c>
      <c r="AG1088" s="168" t="str" cm="1">
        <f t="array" ref="AG1088">IF(AF1088="","",_xlfn.TEXTSPLIT(AF1088,"-"))</f>
        <v>0</v>
      </c>
      <c r="AH1088" s="168"/>
    </row>
    <row r="1089" spans="26:34" ht="24" customHeight="1">
      <c r="Z1089"/>
      <c r="AA1089"/>
      <c r="AB1089"/>
      <c r="AC1089"/>
      <c r="AD1089"/>
      <c r="AE1089" s="168" t="str">
        <f t="shared" si="16"/>
        <v/>
      </c>
      <c r="AF1089" s="168">
        <v>0</v>
      </c>
      <c r="AG1089" s="168" t="str" cm="1">
        <f t="array" ref="AG1089">IF(AF1089="","",_xlfn.TEXTSPLIT(AF1089,"-"))</f>
        <v>0</v>
      </c>
      <c r="AH1089" s="168"/>
    </row>
    <row r="1090" spans="26:34" ht="24" customHeight="1">
      <c r="Z1090"/>
      <c r="AA1090"/>
      <c r="AB1090"/>
      <c r="AC1090"/>
      <c r="AD1090"/>
      <c r="AE1090" s="168" t="str">
        <f t="shared" si="16"/>
        <v/>
      </c>
      <c r="AF1090" s="168">
        <v>0</v>
      </c>
      <c r="AG1090" s="168" t="str" cm="1">
        <f t="array" ref="AG1090">IF(AF1090="","",_xlfn.TEXTSPLIT(AF1090,"-"))</f>
        <v>0</v>
      </c>
      <c r="AH1090" s="168"/>
    </row>
    <row r="1091" spans="26:34" ht="24" customHeight="1">
      <c r="Z1091"/>
      <c r="AA1091"/>
      <c r="AB1091"/>
      <c r="AC1091"/>
      <c r="AD1091"/>
      <c r="AE1091" s="168" t="str">
        <f t="shared" si="16"/>
        <v/>
      </c>
      <c r="AF1091" s="168">
        <v>0</v>
      </c>
      <c r="AG1091" s="168" t="str" cm="1">
        <f t="array" ref="AG1091">IF(AF1091="","",_xlfn.TEXTSPLIT(AF1091,"-"))</f>
        <v>0</v>
      </c>
      <c r="AH1091" s="168"/>
    </row>
    <row r="1092" spans="26:34" ht="24" customHeight="1">
      <c r="Z1092"/>
      <c r="AA1092"/>
      <c r="AB1092"/>
      <c r="AC1092"/>
      <c r="AD1092"/>
      <c r="AE1092" s="168" t="str">
        <f t="shared" si="16"/>
        <v/>
      </c>
      <c r="AF1092" s="168">
        <v>0</v>
      </c>
      <c r="AG1092" s="168" t="str" cm="1">
        <f t="array" ref="AG1092">IF(AF1092="","",_xlfn.TEXTSPLIT(AF1092,"-"))</f>
        <v>0</v>
      </c>
      <c r="AH1092" s="168"/>
    </row>
    <row r="1093" spans="26:34" ht="24" customHeight="1">
      <c r="Z1093"/>
      <c r="AA1093"/>
      <c r="AB1093"/>
      <c r="AC1093"/>
      <c r="AD1093"/>
      <c r="AE1093" s="168" t="str">
        <f t="shared" ref="AE1093:AE1156" si="17">IF(AH1093="","",AH1093*1)</f>
        <v/>
      </c>
      <c r="AF1093" s="168">
        <v>0</v>
      </c>
      <c r="AG1093" s="168" t="str" cm="1">
        <f t="array" ref="AG1093">IF(AF1093="","",_xlfn.TEXTSPLIT(AF1093,"-"))</f>
        <v>0</v>
      </c>
      <c r="AH1093" s="168"/>
    </row>
    <row r="1094" spans="26:34" ht="24" customHeight="1">
      <c r="Z1094"/>
      <c r="AA1094"/>
      <c r="AB1094"/>
      <c r="AC1094"/>
      <c r="AD1094"/>
      <c r="AE1094" s="168" t="str">
        <f t="shared" si="17"/>
        <v/>
      </c>
      <c r="AF1094" s="168">
        <v>0</v>
      </c>
      <c r="AG1094" s="168" t="str" cm="1">
        <f t="array" ref="AG1094">IF(AF1094="","",_xlfn.TEXTSPLIT(AF1094,"-"))</f>
        <v>0</v>
      </c>
      <c r="AH1094" s="168"/>
    </row>
    <row r="1095" spans="26:34" ht="24" customHeight="1">
      <c r="Z1095"/>
      <c r="AA1095"/>
      <c r="AB1095"/>
      <c r="AC1095"/>
      <c r="AD1095"/>
      <c r="AE1095" s="168" t="str">
        <f t="shared" si="17"/>
        <v/>
      </c>
      <c r="AF1095" s="168">
        <v>0</v>
      </c>
      <c r="AG1095" s="168" t="str" cm="1">
        <f t="array" ref="AG1095">IF(AF1095="","",_xlfn.TEXTSPLIT(AF1095,"-"))</f>
        <v>0</v>
      </c>
      <c r="AH1095" s="168"/>
    </row>
    <row r="1096" spans="26:34" ht="24" customHeight="1">
      <c r="Z1096"/>
      <c r="AA1096"/>
      <c r="AB1096"/>
      <c r="AC1096"/>
      <c r="AD1096"/>
      <c r="AE1096" s="168" t="str">
        <f t="shared" si="17"/>
        <v/>
      </c>
      <c r="AF1096" s="168">
        <v>0</v>
      </c>
      <c r="AG1096" s="168" t="str" cm="1">
        <f t="array" ref="AG1096">IF(AF1096="","",_xlfn.TEXTSPLIT(AF1096,"-"))</f>
        <v>0</v>
      </c>
      <c r="AH1096" s="168"/>
    </row>
    <row r="1097" spans="26:34" ht="24" customHeight="1">
      <c r="Z1097"/>
      <c r="AA1097"/>
      <c r="AB1097"/>
      <c r="AC1097"/>
      <c r="AD1097"/>
      <c r="AE1097" s="168" t="str">
        <f t="shared" si="17"/>
        <v/>
      </c>
      <c r="AF1097" s="168">
        <v>0</v>
      </c>
      <c r="AG1097" s="168" t="str" cm="1">
        <f t="array" ref="AG1097">IF(AF1097="","",_xlfn.TEXTSPLIT(AF1097,"-"))</f>
        <v>0</v>
      </c>
      <c r="AH1097" s="168"/>
    </row>
    <row r="1098" spans="26:34" ht="24" customHeight="1">
      <c r="Z1098"/>
      <c r="AA1098"/>
      <c r="AB1098"/>
      <c r="AC1098"/>
      <c r="AD1098"/>
      <c r="AE1098" s="168" t="str">
        <f t="shared" si="17"/>
        <v/>
      </c>
      <c r="AF1098" s="168">
        <v>0</v>
      </c>
      <c r="AG1098" s="168" t="str" cm="1">
        <f t="array" ref="AG1098">IF(AF1098="","",_xlfn.TEXTSPLIT(AF1098,"-"))</f>
        <v>0</v>
      </c>
      <c r="AH1098" s="168"/>
    </row>
    <row r="1099" spans="26:34" ht="24" customHeight="1">
      <c r="Z1099"/>
      <c r="AA1099"/>
      <c r="AB1099"/>
      <c r="AC1099"/>
      <c r="AD1099"/>
      <c r="AE1099" s="168" t="str">
        <f t="shared" si="17"/>
        <v/>
      </c>
      <c r="AF1099" s="168">
        <v>0</v>
      </c>
      <c r="AG1099" s="168" t="str" cm="1">
        <f t="array" ref="AG1099">IF(AF1099="","",_xlfn.TEXTSPLIT(AF1099,"-"))</f>
        <v>0</v>
      </c>
      <c r="AH1099" s="168"/>
    </row>
    <row r="1100" spans="26:34" ht="24" customHeight="1">
      <c r="Z1100"/>
      <c r="AA1100"/>
      <c r="AB1100"/>
      <c r="AC1100"/>
      <c r="AD1100"/>
      <c r="AE1100" s="168" t="str">
        <f t="shared" si="17"/>
        <v/>
      </c>
      <c r="AF1100" s="168">
        <v>0</v>
      </c>
      <c r="AG1100" s="168" t="str" cm="1">
        <f t="array" ref="AG1100">IF(AF1100="","",_xlfn.TEXTSPLIT(AF1100,"-"))</f>
        <v>0</v>
      </c>
      <c r="AH1100" s="168"/>
    </row>
    <row r="1101" spans="26:34" ht="24" customHeight="1">
      <c r="Z1101"/>
      <c r="AA1101"/>
      <c r="AB1101"/>
      <c r="AC1101"/>
      <c r="AD1101"/>
      <c r="AE1101" s="168" t="str">
        <f t="shared" si="17"/>
        <v/>
      </c>
      <c r="AF1101" s="168">
        <v>0</v>
      </c>
      <c r="AG1101" s="168" t="str" cm="1">
        <f t="array" ref="AG1101">IF(AF1101="","",_xlfn.TEXTSPLIT(AF1101,"-"))</f>
        <v>0</v>
      </c>
      <c r="AH1101" s="168"/>
    </row>
    <row r="1102" spans="26:34" ht="24" customHeight="1">
      <c r="Z1102"/>
      <c r="AA1102"/>
      <c r="AB1102"/>
      <c r="AC1102"/>
      <c r="AD1102"/>
      <c r="AE1102" s="168" t="str">
        <f t="shared" si="17"/>
        <v/>
      </c>
      <c r="AF1102" s="168">
        <v>0</v>
      </c>
      <c r="AG1102" s="168" t="str" cm="1">
        <f t="array" ref="AG1102">IF(AF1102="","",_xlfn.TEXTSPLIT(AF1102,"-"))</f>
        <v>0</v>
      </c>
      <c r="AH1102" s="168"/>
    </row>
    <row r="1103" spans="26:34" ht="24" customHeight="1">
      <c r="Z1103"/>
      <c r="AA1103"/>
      <c r="AB1103"/>
      <c r="AC1103"/>
      <c r="AD1103"/>
      <c r="AE1103" s="168" t="str">
        <f t="shared" si="17"/>
        <v/>
      </c>
      <c r="AF1103" s="168">
        <v>0</v>
      </c>
      <c r="AG1103" s="168" t="str" cm="1">
        <f t="array" ref="AG1103">IF(AF1103="","",_xlfn.TEXTSPLIT(AF1103,"-"))</f>
        <v>0</v>
      </c>
      <c r="AH1103" s="168"/>
    </row>
    <row r="1104" spans="26:34" ht="24" customHeight="1">
      <c r="Z1104"/>
      <c r="AA1104"/>
      <c r="AB1104"/>
      <c r="AC1104"/>
      <c r="AD1104"/>
      <c r="AE1104" s="168" t="str">
        <f t="shared" si="17"/>
        <v/>
      </c>
      <c r="AF1104" s="168">
        <v>0</v>
      </c>
      <c r="AG1104" s="168" t="str" cm="1">
        <f t="array" ref="AG1104">IF(AF1104="","",_xlfn.TEXTSPLIT(AF1104,"-"))</f>
        <v>0</v>
      </c>
      <c r="AH1104" s="168"/>
    </row>
    <row r="1105" spans="26:34" ht="24" customHeight="1">
      <c r="Z1105"/>
      <c r="AA1105"/>
      <c r="AB1105"/>
      <c r="AC1105"/>
      <c r="AD1105"/>
      <c r="AE1105" s="168" t="str">
        <f t="shared" si="17"/>
        <v/>
      </c>
      <c r="AF1105" s="168">
        <v>0</v>
      </c>
      <c r="AG1105" s="168" t="str" cm="1">
        <f t="array" ref="AG1105">IF(AF1105="","",_xlfn.TEXTSPLIT(AF1105,"-"))</f>
        <v>0</v>
      </c>
      <c r="AH1105" s="168"/>
    </row>
    <row r="1106" spans="26:34" ht="24" customHeight="1">
      <c r="Z1106"/>
      <c r="AA1106"/>
      <c r="AB1106"/>
      <c r="AC1106"/>
      <c r="AD1106"/>
      <c r="AE1106" s="168" t="str">
        <f t="shared" si="17"/>
        <v/>
      </c>
      <c r="AF1106" s="168">
        <v>0</v>
      </c>
      <c r="AG1106" s="168" t="str" cm="1">
        <f t="array" ref="AG1106">IF(AF1106="","",_xlfn.TEXTSPLIT(AF1106,"-"))</f>
        <v>0</v>
      </c>
      <c r="AH1106" s="168"/>
    </row>
    <row r="1107" spans="26:34" ht="24" customHeight="1">
      <c r="Z1107"/>
      <c r="AA1107"/>
      <c r="AB1107"/>
      <c r="AC1107"/>
      <c r="AD1107"/>
      <c r="AE1107" s="168" t="str">
        <f t="shared" si="17"/>
        <v/>
      </c>
      <c r="AF1107" s="168">
        <v>0</v>
      </c>
      <c r="AG1107" s="168" t="str" cm="1">
        <f t="array" ref="AG1107">IF(AF1107="","",_xlfn.TEXTSPLIT(AF1107,"-"))</f>
        <v>0</v>
      </c>
      <c r="AH1107" s="168"/>
    </row>
    <row r="1108" spans="26:34" ht="24" customHeight="1">
      <c r="Z1108"/>
      <c r="AA1108"/>
      <c r="AB1108"/>
      <c r="AC1108"/>
      <c r="AD1108"/>
      <c r="AE1108" s="168" t="str">
        <f t="shared" si="17"/>
        <v/>
      </c>
      <c r="AF1108" s="168">
        <v>0</v>
      </c>
      <c r="AG1108" s="168" t="str" cm="1">
        <f t="array" ref="AG1108">IF(AF1108="","",_xlfn.TEXTSPLIT(AF1108,"-"))</f>
        <v>0</v>
      </c>
      <c r="AH1108" s="168"/>
    </row>
    <row r="1109" spans="26:34" ht="24" customHeight="1">
      <c r="Z1109"/>
      <c r="AA1109"/>
      <c r="AB1109"/>
      <c r="AC1109"/>
      <c r="AD1109"/>
      <c r="AE1109" s="168" t="str">
        <f t="shared" si="17"/>
        <v/>
      </c>
      <c r="AF1109" s="168">
        <v>0</v>
      </c>
      <c r="AG1109" s="168" t="str" cm="1">
        <f t="array" ref="AG1109">IF(AF1109="","",_xlfn.TEXTSPLIT(AF1109,"-"))</f>
        <v>0</v>
      </c>
      <c r="AH1109" s="168"/>
    </row>
    <row r="1110" spans="26:34" ht="24" customHeight="1">
      <c r="Z1110"/>
      <c r="AA1110"/>
      <c r="AB1110"/>
      <c r="AC1110"/>
      <c r="AD1110"/>
      <c r="AE1110" s="168" t="str">
        <f t="shared" si="17"/>
        <v/>
      </c>
      <c r="AF1110" s="168">
        <v>0</v>
      </c>
      <c r="AG1110" s="168" t="str" cm="1">
        <f t="array" ref="AG1110">IF(AF1110="","",_xlfn.TEXTSPLIT(AF1110,"-"))</f>
        <v>0</v>
      </c>
      <c r="AH1110" s="168"/>
    </row>
    <row r="1111" spans="26:34" ht="24" customHeight="1">
      <c r="Z1111"/>
      <c r="AA1111"/>
      <c r="AB1111"/>
      <c r="AC1111"/>
      <c r="AD1111"/>
      <c r="AE1111" s="168" t="str">
        <f t="shared" si="17"/>
        <v/>
      </c>
      <c r="AF1111" s="168">
        <v>0</v>
      </c>
      <c r="AG1111" s="168" t="str" cm="1">
        <f t="array" ref="AG1111">IF(AF1111="","",_xlfn.TEXTSPLIT(AF1111,"-"))</f>
        <v>0</v>
      </c>
      <c r="AH1111" s="168"/>
    </row>
    <row r="1112" spans="26:34" ht="24" customHeight="1">
      <c r="Z1112"/>
      <c r="AA1112"/>
      <c r="AB1112"/>
      <c r="AC1112"/>
      <c r="AD1112"/>
      <c r="AE1112" s="168" t="str">
        <f t="shared" si="17"/>
        <v/>
      </c>
      <c r="AF1112" s="168">
        <v>0</v>
      </c>
      <c r="AG1112" s="168" t="str" cm="1">
        <f t="array" ref="AG1112">IF(AF1112="","",_xlfn.TEXTSPLIT(AF1112,"-"))</f>
        <v>0</v>
      </c>
      <c r="AH1112" s="168"/>
    </row>
    <row r="1113" spans="26:34" ht="24" customHeight="1">
      <c r="Z1113"/>
      <c r="AA1113"/>
      <c r="AB1113"/>
      <c r="AC1113"/>
      <c r="AD1113"/>
      <c r="AE1113" s="168" t="str">
        <f t="shared" si="17"/>
        <v/>
      </c>
      <c r="AF1113" s="168">
        <v>0</v>
      </c>
      <c r="AG1113" s="168" t="str" cm="1">
        <f t="array" ref="AG1113">IF(AF1113="","",_xlfn.TEXTSPLIT(AF1113,"-"))</f>
        <v>0</v>
      </c>
      <c r="AH1113" s="168"/>
    </row>
    <row r="1114" spans="26:34" ht="24" customHeight="1">
      <c r="Z1114"/>
      <c r="AA1114"/>
      <c r="AB1114"/>
      <c r="AC1114"/>
      <c r="AD1114"/>
      <c r="AE1114" s="168" t="str">
        <f t="shared" si="17"/>
        <v/>
      </c>
      <c r="AF1114" s="168">
        <v>0</v>
      </c>
      <c r="AG1114" s="168" t="str" cm="1">
        <f t="array" ref="AG1114">IF(AF1114="","",_xlfn.TEXTSPLIT(AF1114,"-"))</f>
        <v>0</v>
      </c>
      <c r="AH1114" s="168"/>
    </row>
    <row r="1115" spans="26:34" ht="24" customHeight="1">
      <c r="Z1115"/>
      <c r="AA1115"/>
      <c r="AB1115"/>
      <c r="AC1115"/>
      <c r="AD1115"/>
      <c r="AE1115" s="168" t="str">
        <f t="shared" si="17"/>
        <v/>
      </c>
      <c r="AF1115" s="168">
        <v>0</v>
      </c>
      <c r="AG1115" s="168" t="str" cm="1">
        <f t="array" ref="AG1115">IF(AF1115="","",_xlfn.TEXTSPLIT(AF1115,"-"))</f>
        <v>0</v>
      </c>
      <c r="AH1115" s="168"/>
    </row>
    <row r="1116" spans="26:34" ht="24" customHeight="1">
      <c r="Z1116"/>
      <c r="AA1116"/>
      <c r="AB1116"/>
      <c r="AC1116"/>
      <c r="AD1116"/>
      <c r="AE1116" s="168" t="str">
        <f t="shared" si="17"/>
        <v/>
      </c>
      <c r="AF1116" s="168">
        <v>0</v>
      </c>
      <c r="AG1116" s="168" t="str" cm="1">
        <f t="array" ref="AG1116">IF(AF1116="","",_xlfn.TEXTSPLIT(AF1116,"-"))</f>
        <v>0</v>
      </c>
      <c r="AH1116" s="168"/>
    </row>
    <row r="1117" spans="26:34" ht="24" customHeight="1">
      <c r="Z1117"/>
      <c r="AA1117"/>
      <c r="AB1117"/>
      <c r="AC1117"/>
      <c r="AD1117"/>
      <c r="AE1117" s="168" t="str">
        <f t="shared" si="17"/>
        <v/>
      </c>
      <c r="AF1117" s="168">
        <v>0</v>
      </c>
      <c r="AG1117" s="168" t="str" cm="1">
        <f t="array" ref="AG1117">IF(AF1117="","",_xlfn.TEXTSPLIT(AF1117,"-"))</f>
        <v>0</v>
      </c>
      <c r="AH1117" s="168"/>
    </row>
    <row r="1118" spans="26:34" ht="24" customHeight="1">
      <c r="Z1118"/>
      <c r="AA1118"/>
      <c r="AB1118"/>
      <c r="AC1118"/>
      <c r="AD1118"/>
      <c r="AE1118" s="168" t="str">
        <f t="shared" si="17"/>
        <v/>
      </c>
      <c r="AF1118" s="168">
        <v>0</v>
      </c>
      <c r="AG1118" s="168" t="str" cm="1">
        <f t="array" ref="AG1118">IF(AF1118="","",_xlfn.TEXTSPLIT(AF1118,"-"))</f>
        <v>0</v>
      </c>
      <c r="AH1118" s="168"/>
    </row>
    <row r="1119" spans="26:34" ht="24" customHeight="1">
      <c r="Z1119"/>
      <c r="AA1119"/>
      <c r="AB1119"/>
      <c r="AC1119"/>
      <c r="AD1119"/>
      <c r="AE1119" s="168" t="str">
        <f t="shared" si="17"/>
        <v/>
      </c>
      <c r="AF1119" s="168">
        <v>0</v>
      </c>
      <c r="AG1119" s="168" t="str" cm="1">
        <f t="array" ref="AG1119">IF(AF1119="","",_xlfn.TEXTSPLIT(AF1119,"-"))</f>
        <v>0</v>
      </c>
      <c r="AH1119" s="168"/>
    </row>
    <row r="1120" spans="26:34" ht="24" customHeight="1">
      <c r="Z1120"/>
      <c r="AA1120"/>
      <c r="AB1120"/>
      <c r="AC1120"/>
      <c r="AD1120"/>
      <c r="AE1120" s="168" t="str">
        <f t="shared" si="17"/>
        <v/>
      </c>
      <c r="AF1120" s="168">
        <v>0</v>
      </c>
      <c r="AG1120" s="168" t="str" cm="1">
        <f t="array" ref="AG1120">IF(AF1120="","",_xlfn.TEXTSPLIT(AF1120,"-"))</f>
        <v>0</v>
      </c>
      <c r="AH1120" s="168"/>
    </row>
    <row r="1121" spans="26:34" ht="24" customHeight="1">
      <c r="Z1121"/>
      <c r="AA1121"/>
      <c r="AB1121"/>
      <c r="AC1121"/>
      <c r="AD1121"/>
      <c r="AE1121" s="168" t="str">
        <f t="shared" si="17"/>
        <v/>
      </c>
      <c r="AF1121" s="168">
        <v>0</v>
      </c>
      <c r="AG1121" s="168" t="str" cm="1">
        <f t="array" ref="AG1121">IF(AF1121="","",_xlfn.TEXTSPLIT(AF1121,"-"))</f>
        <v>0</v>
      </c>
      <c r="AH1121" s="168"/>
    </row>
    <row r="1122" spans="26:34" ht="24" customHeight="1">
      <c r="Z1122"/>
      <c r="AA1122"/>
      <c r="AB1122"/>
      <c r="AC1122"/>
      <c r="AD1122"/>
      <c r="AE1122" s="168" t="str">
        <f t="shared" si="17"/>
        <v/>
      </c>
      <c r="AF1122" s="168">
        <v>0</v>
      </c>
      <c r="AG1122" s="168" t="str" cm="1">
        <f t="array" ref="AG1122">IF(AF1122="","",_xlfn.TEXTSPLIT(AF1122,"-"))</f>
        <v>0</v>
      </c>
      <c r="AH1122" s="168"/>
    </row>
    <row r="1123" spans="26:34" ht="24" customHeight="1">
      <c r="Z1123"/>
      <c r="AA1123"/>
      <c r="AB1123"/>
      <c r="AC1123"/>
      <c r="AD1123"/>
      <c r="AE1123" s="168" t="str">
        <f t="shared" si="17"/>
        <v/>
      </c>
      <c r="AF1123" s="168">
        <v>0</v>
      </c>
      <c r="AG1123" s="168" t="str" cm="1">
        <f t="array" ref="AG1123">IF(AF1123="","",_xlfn.TEXTSPLIT(AF1123,"-"))</f>
        <v>0</v>
      </c>
      <c r="AH1123" s="168"/>
    </row>
    <row r="1124" spans="26:34" ht="24" customHeight="1">
      <c r="Z1124"/>
      <c r="AA1124"/>
      <c r="AB1124"/>
      <c r="AC1124"/>
      <c r="AD1124"/>
      <c r="AE1124" s="168" t="str">
        <f t="shared" si="17"/>
        <v/>
      </c>
      <c r="AF1124" s="168">
        <v>0</v>
      </c>
      <c r="AG1124" s="168" t="str" cm="1">
        <f t="array" ref="AG1124">IF(AF1124="","",_xlfn.TEXTSPLIT(AF1124,"-"))</f>
        <v>0</v>
      </c>
      <c r="AH1124" s="168"/>
    </row>
    <row r="1125" spans="26:34" ht="24" customHeight="1">
      <c r="Z1125"/>
      <c r="AA1125"/>
      <c r="AB1125"/>
      <c r="AC1125"/>
      <c r="AD1125"/>
      <c r="AE1125" s="168" t="str">
        <f t="shared" si="17"/>
        <v/>
      </c>
      <c r="AF1125" s="168">
        <v>0</v>
      </c>
      <c r="AG1125" s="168" t="str" cm="1">
        <f t="array" ref="AG1125">IF(AF1125="","",_xlfn.TEXTSPLIT(AF1125,"-"))</f>
        <v>0</v>
      </c>
      <c r="AH1125" s="168"/>
    </row>
    <row r="1126" spans="26:34" ht="24" customHeight="1">
      <c r="Z1126"/>
      <c r="AA1126"/>
      <c r="AB1126"/>
      <c r="AC1126"/>
      <c r="AD1126"/>
      <c r="AE1126" s="168" t="str">
        <f t="shared" si="17"/>
        <v/>
      </c>
      <c r="AF1126" s="168">
        <v>0</v>
      </c>
      <c r="AG1126" s="168" t="str" cm="1">
        <f t="array" ref="AG1126">IF(AF1126="","",_xlfn.TEXTSPLIT(AF1126,"-"))</f>
        <v>0</v>
      </c>
      <c r="AH1126" s="168"/>
    </row>
    <row r="1127" spans="26:34" ht="24" customHeight="1">
      <c r="Z1127"/>
      <c r="AA1127"/>
      <c r="AB1127"/>
      <c r="AC1127"/>
      <c r="AD1127"/>
      <c r="AE1127" s="168" t="str">
        <f t="shared" si="17"/>
        <v/>
      </c>
      <c r="AF1127" s="168">
        <v>0</v>
      </c>
      <c r="AG1127" s="168" t="str" cm="1">
        <f t="array" ref="AG1127">IF(AF1127="","",_xlfn.TEXTSPLIT(AF1127,"-"))</f>
        <v>0</v>
      </c>
      <c r="AH1127" s="168"/>
    </row>
    <row r="1128" spans="26:34" ht="24" customHeight="1">
      <c r="Z1128"/>
      <c r="AA1128"/>
      <c r="AB1128"/>
      <c r="AC1128"/>
      <c r="AD1128"/>
      <c r="AE1128" s="168" t="str">
        <f t="shared" si="17"/>
        <v/>
      </c>
      <c r="AF1128" s="168">
        <v>0</v>
      </c>
      <c r="AG1128" s="168" t="str" cm="1">
        <f t="array" ref="AG1128">IF(AF1128="","",_xlfn.TEXTSPLIT(AF1128,"-"))</f>
        <v>0</v>
      </c>
      <c r="AH1128" s="168"/>
    </row>
    <row r="1129" spans="26:34" ht="24" customHeight="1">
      <c r="Z1129"/>
      <c r="AA1129"/>
      <c r="AB1129"/>
      <c r="AC1129"/>
      <c r="AD1129"/>
      <c r="AE1129" s="168" t="str">
        <f t="shared" si="17"/>
        <v/>
      </c>
      <c r="AF1129" s="168">
        <v>0</v>
      </c>
      <c r="AG1129" s="168" t="str" cm="1">
        <f t="array" ref="AG1129">IF(AF1129="","",_xlfn.TEXTSPLIT(AF1129,"-"))</f>
        <v>0</v>
      </c>
      <c r="AH1129" s="168"/>
    </row>
    <row r="1130" spans="26:34" ht="24" customHeight="1">
      <c r="Z1130"/>
      <c r="AA1130"/>
      <c r="AB1130"/>
      <c r="AC1130"/>
      <c r="AD1130"/>
      <c r="AE1130" s="168" t="str">
        <f t="shared" si="17"/>
        <v/>
      </c>
      <c r="AF1130" s="168">
        <v>0</v>
      </c>
      <c r="AG1130" s="168" t="str" cm="1">
        <f t="array" ref="AG1130">IF(AF1130="","",_xlfn.TEXTSPLIT(AF1130,"-"))</f>
        <v>0</v>
      </c>
      <c r="AH1130" s="168"/>
    </row>
    <row r="1131" spans="26:34" ht="24" customHeight="1">
      <c r="Z1131"/>
      <c r="AA1131"/>
      <c r="AB1131"/>
      <c r="AC1131"/>
      <c r="AD1131"/>
      <c r="AE1131" s="168" t="str">
        <f t="shared" si="17"/>
        <v/>
      </c>
      <c r="AF1131" s="168">
        <v>0</v>
      </c>
      <c r="AG1131" s="168" t="str" cm="1">
        <f t="array" ref="AG1131">IF(AF1131="","",_xlfn.TEXTSPLIT(AF1131,"-"))</f>
        <v>0</v>
      </c>
      <c r="AH1131" s="168"/>
    </row>
    <row r="1132" spans="26:34" ht="24" customHeight="1">
      <c r="Z1132"/>
      <c r="AA1132"/>
      <c r="AB1132"/>
      <c r="AC1132"/>
      <c r="AD1132"/>
      <c r="AE1132" s="168" t="str">
        <f t="shared" si="17"/>
        <v/>
      </c>
      <c r="AF1132" s="168">
        <v>0</v>
      </c>
      <c r="AG1132" s="168" t="str" cm="1">
        <f t="array" ref="AG1132">IF(AF1132="","",_xlfn.TEXTSPLIT(AF1132,"-"))</f>
        <v>0</v>
      </c>
      <c r="AH1132" s="168"/>
    </row>
    <row r="1133" spans="26:34" ht="24" customHeight="1">
      <c r="Z1133"/>
      <c r="AA1133"/>
      <c r="AB1133"/>
      <c r="AC1133"/>
      <c r="AD1133"/>
      <c r="AE1133" s="168" t="str">
        <f t="shared" si="17"/>
        <v/>
      </c>
      <c r="AF1133" s="168">
        <v>0</v>
      </c>
      <c r="AG1133" s="168" t="str" cm="1">
        <f t="array" ref="AG1133">IF(AF1133="","",_xlfn.TEXTSPLIT(AF1133,"-"))</f>
        <v>0</v>
      </c>
      <c r="AH1133" s="168"/>
    </row>
    <row r="1134" spans="26:34" ht="24" customHeight="1">
      <c r="Z1134"/>
      <c r="AA1134"/>
      <c r="AB1134"/>
      <c r="AC1134"/>
      <c r="AD1134"/>
      <c r="AE1134" s="168" t="str">
        <f t="shared" si="17"/>
        <v/>
      </c>
      <c r="AF1134" s="168">
        <v>0</v>
      </c>
      <c r="AG1134" s="168" t="str" cm="1">
        <f t="array" ref="AG1134">IF(AF1134="","",_xlfn.TEXTSPLIT(AF1134,"-"))</f>
        <v>0</v>
      </c>
      <c r="AH1134" s="168"/>
    </row>
    <row r="1135" spans="26:34" ht="24" customHeight="1">
      <c r="Z1135"/>
      <c r="AA1135"/>
      <c r="AB1135"/>
      <c r="AC1135"/>
      <c r="AD1135"/>
      <c r="AE1135" s="168" t="str">
        <f t="shared" si="17"/>
        <v/>
      </c>
      <c r="AF1135" s="168">
        <v>0</v>
      </c>
      <c r="AG1135" s="168" t="str" cm="1">
        <f t="array" ref="AG1135">IF(AF1135="","",_xlfn.TEXTSPLIT(AF1135,"-"))</f>
        <v>0</v>
      </c>
      <c r="AH1135" s="168"/>
    </row>
    <row r="1136" spans="26:34" ht="24" customHeight="1">
      <c r="Z1136"/>
      <c r="AA1136"/>
      <c r="AB1136"/>
      <c r="AC1136"/>
      <c r="AD1136"/>
      <c r="AE1136" s="168" t="str">
        <f t="shared" si="17"/>
        <v/>
      </c>
      <c r="AF1136" s="168">
        <v>0</v>
      </c>
      <c r="AG1136" s="168" t="str" cm="1">
        <f t="array" ref="AG1136">IF(AF1136="","",_xlfn.TEXTSPLIT(AF1136,"-"))</f>
        <v>0</v>
      </c>
      <c r="AH1136" s="168"/>
    </row>
    <row r="1137" spans="26:34" ht="24" customHeight="1">
      <c r="Z1137"/>
      <c r="AA1137"/>
      <c r="AB1137"/>
      <c r="AC1137"/>
      <c r="AD1137"/>
      <c r="AE1137" s="168" t="str">
        <f t="shared" si="17"/>
        <v/>
      </c>
      <c r="AF1137" s="168">
        <v>0</v>
      </c>
      <c r="AG1137" s="168" t="str" cm="1">
        <f t="array" ref="AG1137">IF(AF1137="","",_xlfn.TEXTSPLIT(AF1137,"-"))</f>
        <v>0</v>
      </c>
      <c r="AH1137" s="168"/>
    </row>
    <row r="1138" spans="26:34" ht="24" customHeight="1">
      <c r="Z1138"/>
      <c r="AA1138"/>
      <c r="AB1138"/>
      <c r="AC1138"/>
      <c r="AD1138"/>
      <c r="AE1138" s="168" t="str">
        <f t="shared" si="17"/>
        <v/>
      </c>
      <c r="AF1138" s="168">
        <v>0</v>
      </c>
      <c r="AG1138" s="168" t="str" cm="1">
        <f t="array" ref="AG1138">IF(AF1138="","",_xlfn.TEXTSPLIT(AF1138,"-"))</f>
        <v>0</v>
      </c>
      <c r="AH1138" s="168"/>
    </row>
    <row r="1139" spans="26:34" ht="24" customHeight="1">
      <c r="Z1139"/>
      <c r="AA1139"/>
      <c r="AB1139"/>
      <c r="AC1139"/>
      <c r="AD1139"/>
      <c r="AE1139" s="168" t="str">
        <f t="shared" si="17"/>
        <v/>
      </c>
      <c r="AF1139" s="168">
        <v>0</v>
      </c>
      <c r="AG1139" s="168" t="str" cm="1">
        <f t="array" ref="AG1139">IF(AF1139="","",_xlfn.TEXTSPLIT(AF1139,"-"))</f>
        <v>0</v>
      </c>
      <c r="AH1139" s="168"/>
    </row>
    <row r="1140" spans="26:34" ht="24" customHeight="1">
      <c r="Z1140"/>
      <c r="AA1140"/>
      <c r="AB1140"/>
      <c r="AC1140"/>
      <c r="AD1140"/>
      <c r="AE1140" s="168" t="str">
        <f t="shared" si="17"/>
        <v/>
      </c>
      <c r="AF1140" s="168">
        <v>0</v>
      </c>
      <c r="AG1140" s="168" t="str" cm="1">
        <f t="array" ref="AG1140">IF(AF1140="","",_xlfn.TEXTSPLIT(AF1140,"-"))</f>
        <v>0</v>
      </c>
      <c r="AH1140" s="168"/>
    </row>
    <row r="1141" spans="26:34" ht="24" customHeight="1">
      <c r="Z1141"/>
      <c r="AA1141"/>
      <c r="AB1141"/>
      <c r="AC1141"/>
      <c r="AD1141"/>
      <c r="AE1141" s="168" t="str">
        <f t="shared" si="17"/>
        <v/>
      </c>
      <c r="AF1141" s="168">
        <v>0</v>
      </c>
      <c r="AG1141" s="168" t="str" cm="1">
        <f t="array" ref="AG1141">IF(AF1141="","",_xlfn.TEXTSPLIT(AF1141,"-"))</f>
        <v>0</v>
      </c>
      <c r="AH1141" s="168"/>
    </row>
    <row r="1142" spans="26:34" ht="24" customHeight="1">
      <c r="Z1142"/>
      <c r="AA1142"/>
      <c r="AB1142"/>
      <c r="AC1142"/>
      <c r="AD1142"/>
      <c r="AE1142" s="168" t="str">
        <f t="shared" si="17"/>
        <v/>
      </c>
      <c r="AF1142" s="168">
        <v>0</v>
      </c>
      <c r="AG1142" s="168" t="str" cm="1">
        <f t="array" ref="AG1142">IF(AF1142="","",_xlfn.TEXTSPLIT(AF1142,"-"))</f>
        <v>0</v>
      </c>
      <c r="AH1142" s="168"/>
    </row>
    <row r="1143" spans="26:34" ht="24" customHeight="1">
      <c r="Z1143"/>
      <c r="AA1143"/>
      <c r="AB1143"/>
      <c r="AC1143"/>
      <c r="AD1143"/>
      <c r="AE1143" s="168" t="str">
        <f t="shared" si="17"/>
        <v/>
      </c>
      <c r="AF1143" s="168">
        <v>0</v>
      </c>
      <c r="AG1143" s="168" t="str" cm="1">
        <f t="array" ref="AG1143">IF(AF1143="","",_xlfn.TEXTSPLIT(AF1143,"-"))</f>
        <v>0</v>
      </c>
      <c r="AH1143" s="168"/>
    </row>
    <row r="1144" spans="26:34" ht="24" customHeight="1">
      <c r="Z1144"/>
      <c r="AA1144"/>
      <c r="AB1144"/>
      <c r="AC1144"/>
      <c r="AD1144"/>
      <c r="AE1144" s="168" t="str">
        <f t="shared" si="17"/>
        <v/>
      </c>
      <c r="AF1144" s="168">
        <v>0</v>
      </c>
      <c r="AG1144" s="168" t="str" cm="1">
        <f t="array" ref="AG1144">IF(AF1144="","",_xlfn.TEXTSPLIT(AF1144,"-"))</f>
        <v>0</v>
      </c>
      <c r="AH1144" s="168"/>
    </row>
    <row r="1145" spans="26:34" ht="24" customHeight="1">
      <c r="Z1145"/>
      <c r="AA1145"/>
      <c r="AB1145"/>
      <c r="AC1145"/>
      <c r="AD1145"/>
      <c r="AE1145" s="168" t="str">
        <f t="shared" si="17"/>
        <v/>
      </c>
      <c r="AF1145" s="168">
        <v>0</v>
      </c>
      <c r="AG1145" s="168" t="str" cm="1">
        <f t="array" ref="AG1145">IF(AF1145="","",_xlfn.TEXTSPLIT(AF1145,"-"))</f>
        <v>0</v>
      </c>
      <c r="AH1145" s="168"/>
    </row>
    <row r="1146" spans="26:34" ht="24" customHeight="1">
      <c r="Z1146"/>
      <c r="AA1146"/>
      <c r="AB1146"/>
      <c r="AC1146"/>
      <c r="AD1146"/>
      <c r="AE1146" s="168" t="str">
        <f t="shared" si="17"/>
        <v/>
      </c>
      <c r="AF1146" s="168">
        <v>0</v>
      </c>
      <c r="AG1146" s="168" t="str" cm="1">
        <f t="array" ref="AG1146">IF(AF1146="","",_xlfn.TEXTSPLIT(AF1146,"-"))</f>
        <v>0</v>
      </c>
      <c r="AH1146" s="168"/>
    </row>
    <row r="1147" spans="26:34" ht="24" customHeight="1">
      <c r="Z1147"/>
      <c r="AA1147"/>
      <c r="AB1147"/>
      <c r="AC1147"/>
      <c r="AD1147"/>
      <c r="AE1147" s="168" t="str">
        <f t="shared" si="17"/>
        <v/>
      </c>
      <c r="AF1147" s="168">
        <v>0</v>
      </c>
      <c r="AG1147" s="168" t="str" cm="1">
        <f t="array" ref="AG1147">IF(AF1147="","",_xlfn.TEXTSPLIT(AF1147,"-"))</f>
        <v>0</v>
      </c>
      <c r="AH1147" s="168"/>
    </row>
    <row r="1148" spans="26:34" ht="24" customHeight="1">
      <c r="Z1148"/>
      <c r="AA1148"/>
      <c r="AB1148"/>
      <c r="AC1148"/>
      <c r="AD1148"/>
      <c r="AE1148" s="168" t="str">
        <f t="shared" si="17"/>
        <v/>
      </c>
      <c r="AF1148" s="168">
        <v>0</v>
      </c>
      <c r="AG1148" s="168" t="str" cm="1">
        <f t="array" ref="AG1148">IF(AF1148="","",_xlfn.TEXTSPLIT(AF1148,"-"))</f>
        <v>0</v>
      </c>
      <c r="AH1148" s="168"/>
    </row>
    <row r="1149" spans="26:34" ht="24" customHeight="1">
      <c r="Z1149"/>
      <c r="AA1149"/>
      <c r="AB1149"/>
      <c r="AC1149"/>
      <c r="AD1149"/>
      <c r="AE1149" s="168" t="str">
        <f t="shared" si="17"/>
        <v/>
      </c>
      <c r="AF1149" s="168">
        <v>0</v>
      </c>
      <c r="AG1149" s="168" t="str" cm="1">
        <f t="array" ref="AG1149">IF(AF1149="","",_xlfn.TEXTSPLIT(AF1149,"-"))</f>
        <v>0</v>
      </c>
      <c r="AH1149" s="168"/>
    </row>
    <row r="1150" spans="26:34" ht="24" customHeight="1">
      <c r="Z1150"/>
      <c r="AA1150"/>
      <c r="AB1150"/>
      <c r="AC1150"/>
      <c r="AD1150"/>
      <c r="AE1150" s="168" t="str">
        <f t="shared" si="17"/>
        <v/>
      </c>
      <c r="AF1150" s="168">
        <v>0</v>
      </c>
      <c r="AG1150" s="168" t="str" cm="1">
        <f t="array" ref="AG1150">IF(AF1150="","",_xlfn.TEXTSPLIT(AF1150,"-"))</f>
        <v>0</v>
      </c>
      <c r="AH1150" s="168"/>
    </row>
    <row r="1151" spans="26:34" ht="24" customHeight="1">
      <c r="Z1151"/>
      <c r="AA1151"/>
      <c r="AB1151"/>
      <c r="AC1151"/>
      <c r="AD1151"/>
      <c r="AE1151" s="168" t="str">
        <f t="shared" si="17"/>
        <v/>
      </c>
      <c r="AF1151" s="168">
        <v>0</v>
      </c>
      <c r="AG1151" s="168" t="str" cm="1">
        <f t="array" ref="AG1151">IF(AF1151="","",_xlfn.TEXTSPLIT(AF1151,"-"))</f>
        <v>0</v>
      </c>
      <c r="AH1151" s="168"/>
    </row>
    <row r="1152" spans="26:34" ht="24" customHeight="1">
      <c r="Z1152"/>
      <c r="AA1152"/>
      <c r="AB1152"/>
      <c r="AC1152"/>
      <c r="AD1152"/>
      <c r="AE1152" s="168" t="str">
        <f t="shared" si="17"/>
        <v/>
      </c>
      <c r="AF1152" s="168">
        <v>0</v>
      </c>
      <c r="AG1152" s="168" t="str" cm="1">
        <f t="array" ref="AG1152">IF(AF1152="","",_xlfn.TEXTSPLIT(AF1152,"-"))</f>
        <v>0</v>
      </c>
      <c r="AH1152" s="168"/>
    </row>
    <row r="1153" spans="26:34" ht="24" customHeight="1">
      <c r="Z1153"/>
      <c r="AA1153"/>
      <c r="AB1153"/>
      <c r="AC1153"/>
      <c r="AD1153"/>
      <c r="AE1153" s="168" t="str">
        <f t="shared" si="17"/>
        <v/>
      </c>
      <c r="AF1153" s="168">
        <v>0</v>
      </c>
      <c r="AG1153" s="168" t="str" cm="1">
        <f t="array" ref="AG1153">IF(AF1153="","",_xlfn.TEXTSPLIT(AF1153,"-"))</f>
        <v>0</v>
      </c>
      <c r="AH1153" s="168"/>
    </row>
    <row r="1154" spans="26:34" ht="24" customHeight="1">
      <c r="Z1154"/>
      <c r="AA1154"/>
      <c r="AB1154"/>
      <c r="AC1154"/>
      <c r="AD1154"/>
      <c r="AE1154" s="168" t="str">
        <f t="shared" si="17"/>
        <v/>
      </c>
      <c r="AF1154" s="168">
        <v>0</v>
      </c>
      <c r="AG1154" s="168" t="str" cm="1">
        <f t="array" ref="AG1154">IF(AF1154="","",_xlfn.TEXTSPLIT(AF1154,"-"))</f>
        <v>0</v>
      </c>
      <c r="AH1154" s="168"/>
    </row>
    <row r="1155" spans="26:34" ht="24" customHeight="1">
      <c r="Z1155"/>
      <c r="AA1155"/>
      <c r="AB1155"/>
      <c r="AC1155"/>
      <c r="AD1155"/>
      <c r="AE1155" s="168" t="str">
        <f t="shared" si="17"/>
        <v/>
      </c>
      <c r="AF1155" s="168">
        <v>0</v>
      </c>
      <c r="AG1155" s="168" t="str" cm="1">
        <f t="array" ref="AG1155">IF(AF1155="","",_xlfn.TEXTSPLIT(AF1155,"-"))</f>
        <v>0</v>
      </c>
      <c r="AH1155" s="168"/>
    </row>
    <row r="1156" spans="26:34" ht="24" customHeight="1">
      <c r="Z1156"/>
      <c r="AA1156"/>
      <c r="AB1156"/>
      <c r="AC1156"/>
      <c r="AD1156"/>
      <c r="AE1156" s="168" t="str">
        <f t="shared" si="17"/>
        <v/>
      </c>
      <c r="AF1156" s="168">
        <v>0</v>
      </c>
      <c r="AG1156" s="168" t="str" cm="1">
        <f t="array" ref="AG1156">IF(AF1156="","",_xlfn.TEXTSPLIT(AF1156,"-"))</f>
        <v>0</v>
      </c>
      <c r="AH1156" s="168"/>
    </row>
    <row r="1157" spans="26:34" ht="24" customHeight="1">
      <c r="Z1157"/>
      <c r="AA1157"/>
      <c r="AB1157"/>
      <c r="AC1157"/>
      <c r="AD1157"/>
      <c r="AE1157" s="168" t="str">
        <f t="shared" ref="AE1157:AE1220" si="18">IF(AH1157="","",AH1157*1)</f>
        <v/>
      </c>
      <c r="AF1157" s="168">
        <v>0</v>
      </c>
      <c r="AG1157" s="168" t="str" cm="1">
        <f t="array" ref="AG1157">IF(AF1157="","",_xlfn.TEXTSPLIT(AF1157,"-"))</f>
        <v>0</v>
      </c>
      <c r="AH1157" s="168"/>
    </row>
    <row r="1158" spans="26:34" ht="24" customHeight="1">
      <c r="Z1158"/>
      <c r="AA1158"/>
      <c r="AB1158"/>
      <c r="AC1158"/>
      <c r="AD1158"/>
      <c r="AE1158" s="168" t="str">
        <f t="shared" si="18"/>
        <v/>
      </c>
      <c r="AF1158" s="168">
        <v>0</v>
      </c>
      <c r="AG1158" s="168" t="str" cm="1">
        <f t="array" ref="AG1158">IF(AF1158="","",_xlfn.TEXTSPLIT(AF1158,"-"))</f>
        <v>0</v>
      </c>
      <c r="AH1158" s="168"/>
    </row>
    <row r="1159" spans="26:34" ht="24" customHeight="1">
      <c r="Z1159"/>
      <c r="AA1159"/>
      <c r="AB1159"/>
      <c r="AC1159"/>
      <c r="AD1159"/>
      <c r="AE1159" s="168" t="str">
        <f t="shared" si="18"/>
        <v/>
      </c>
      <c r="AF1159" s="168">
        <v>0</v>
      </c>
      <c r="AG1159" s="168" t="str" cm="1">
        <f t="array" ref="AG1159">IF(AF1159="","",_xlfn.TEXTSPLIT(AF1159,"-"))</f>
        <v>0</v>
      </c>
      <c r="AH1159" s="168"/>
    </row>
    <row r="1160" spans="26:34" ht="24" customHeight="1">
      <c r="Z1160"/>
      <c r="AA1160"/>
      <c r="AB1160"/>
      <c r="AC1160"/>
      <c r="AD1160"/>
      <c r="AE1160" s="168" t="str">
        <f t="shared" si="18"/>
        <v/>
      </c>
      <c r="AF1160" s="168">
        <v>0</v>
      </c>
      <c r="AG1160" s="168" t="str" cm="1">
        <f t="array" ref="AG1160">IF(AF1160="","",_xlfn.TEXTSPLIT(AF1160,"-"))</f>
        <v>0</v>
      </c>
      <c r="AH1160" s="168"/>
    </row>
    <row r="1161" spans="26:34" ht="24" customHeight="1">
      <c r="Z1161"/>
      <c r="AA1161"/>
      <c r="AB1161"/>
      <c r="AC1161"/>
      <c r="AD1161"/>
      <c r="AE1161" s="168" t="str">
        <f t="shared" si="18"/>
        <v/>
      </c>
      <c r="AF1161" s="168">
        <v>0</v>
      </c>
      <c r="AG1161" s="168" t="str" cm="1">
        <f t="array" ref="AG1161">IF(AF1161="","",_xlfn.TEXTSPLIT(AF1161,"-"))</f>
        <v>0</v>
      </c>
      <c r="AH1161" s="168"/>
    </row>
    <row r="1162" spans="26:34" ht="24" customHeight="1">
      <c r="Z1162"/>
      <c r="AA1162"/>
      <c r="AB1162"/>
      <c r="AC1162"/>
      <c r="AD1162"/>
      <c r="AE1162" s="168" t="str">
        <f t="shared" si="18"/>
        <v/>
      </c>
      <c r="AF1162" s="168">
        <v>0</v>
      </c>
      <c r="AG1162" s="168" t="str" cm="1">
        <f t="array" ref="AG1162">IF(AF1162="","",_xlfn.TEXTSPLIT(AF1162,"-"))</f>
        <v>0</v>
      </c>
      <c r="AH1162" s="168"/>
    </row>
    <row r="1163" spans="26:34" ht="24" customHeight="1">
      <c r="Z1163"/>
      <c r="AA1163"/>
      <c r="AB1163"/>
      <c r="AC1163"/>
      <c r="AD1163"/>
      <c r="AE1163" s="168" t="str">
        <f t="shared" si="18"/>
        <v/>
      </c>
      <c r="AF1163" s="168">
        <v>0</v>
      </c>
      <c r="AG1163" s="168" t="str" cm="1">
        <f t="array" ref="AG1163">IF(AF1163="","",_xlfn.TEXTSPLIT(AF1163,"-"))</f>
        <v>0</v>
      </c>
      <c r="AH1163" s="168"/>
    </row>
    <row r="1164" spans="26:34" ht="24" customHeight="1">
      <c r="Z1164"/>
      <c r="AA1164"/>
      <c r="AB1164"/>
      <c r="AC1164"/>
      <c r="AD1164"/>
      <c r="AE1164" s="168" t="str">
        <f t="shared" si="18"/>
        <v/>
      </c>
      <c r="AF1164" s="168">
        <v>0</v>
      </c>
      <c r="AG1164" s="168" t="str" cm="1">
        <f t="array" ref="AG1164">IF(AF1164="","",_xlfn.TEXTSPLIT(AF1164,"-"))</f>
        <v>0</v>
      </c>
      <c r="AH1164" s="168"/>
    </row>
    <row r="1165" spans="26:34" ht="24" customHeight="1">
      <c r="Z1165"/>
      <c r="AA1165"/>
      <c r="AB1165"/>
      <c r="AC1165"/>
      <c r="AD1165"/>
      <c r="AE1165" s="168" t="str">
        <f t="shared" si="18"/>
        <v/>
      </c>
      <c r="AF1165" s="168">
        <v>0</v>
      </c>
      <c r="AG1165" s="168" t="str" cm="1">
        <f t="array" ref="AG1165">IF(AF1165="","",_xlfn.TEXTSPLIT(AF1165,"-"))</f>
        <v>0</v>
      </c>
      <c r="AH1165" s="168"/>
    </row>
    <row r="1166" spans="26:34" ht="24" customHeight="1">
      <c r="Z1166"/>
      <c r="AA1166"/>
      <c r="AB1166"/>
      <c r="AC1166"/>
      <c r="AD1166"/>
      <c r="AE1166" s="168" t="str">
        <f t="shared" si="18"/>
        <v/>
      </c>
      <c r="AF1166" s="168">
        <v>0</v>
      </c>
      <c r="AG1166" s="168" t="str" cm="1">
        <f t="array" ref="AG1166">IF(AF1166="","",_xlfn.TEXTSPLIT(AF1166,"-"))</f>
        <v>0</v>
      </c>
      <c r="AH1166" s="168"/>
    </row>
    <row r="1167" spans="26:34" ht="24" customHeight="1">
      <c r="Z1167"/>
      <c r="AA1167"/>
      <c r="AB1167"/>
      <c r="AC1167"/>
      <c r="AD1167"/>
      <c r="AE1167" s="168" t="str">
        <f t="shared" si="18"/>
        <v/>
      </c>
      <c r="AF1167" s="168">
        <v>0</v>
      </c>
      <c r="AG1167" s="168" t="str" cm="1">
        <f t="array" ref="AG1167">IF(AF1167="","",_xlfn.TEXTSPLIT(AF1167,"-"))</f>
        <v>0</v>
      </c>
      <c r="AH1167" s="168"/>
    </row>
    <row r="1168" spans="26:34" ht="24" customHeight="1">
      <c r="Z1168"/>
      <c r="AA1168"/>
      <c r="AB1168"/>
      <c r="AC1168"/>
      <c r="AD1168"/>
      <c r="AE1168" s="168" t="str">
        <f t="shared" si="18"/>
        <v/>
      </c>
      <c r="AF1168" s="168">
        <v>0</v>
      </c>
      <c r="AG1168" s="168" t="str" cm="1">
        <f t="array" ref="AG1168">IF(AF1168="","",_xlfn.TEXTSPLIT(AF1168,"-"))</f>
        <v>0</v>
      </c>
      <c r="AH1168" s="168"/>
    </row>
    <row r="1169" spans="26:34" ht="24" customHeight="1">
      <c r="Z1169"/>
      <c r="AA1169"/>
      <c r="AB1169"/>
      <c r="AC1169"/>
      <c r="AD1169"/>
      <c r="AE1169" s="168" t="str">
        <f t="shared" si="18"/>
        <v/>
      </c>
      <c r="AF1169" s="168">
        <v>0</v>
      </c>
      <c r="AG1169" s="168" t="str" cm="1">
        <f t="array" ref="AG1169">IF(AF1169="","",_xlfn.TEXTSPLIT(AF1169,"-"))</f>
        <v>0</v>
      </c>
      <c r="AH1169" s="168"/>
    </row>
    <row r="1170" spans="26:34" ht="24" customHeight="1">
      <c r="Z1170"/>
      <c r="AA1170"/>
      <c r="AB1170"/>
      <c r="AC1170"/>
      <c r="AD1170"/>
      <c r="AE1170" s="168" t="str">
        <f t="shared" si="18"/>
        <v/>
      </c>
      <c r="AF1170" s="168">
        <v>0</v>
      </c>
      <c r="AG1170" s="168" t="str" cm="1">
        <f t="array" ref="AG1170">IF(AF1170="","",_xlfn.TEXTSPLIT(AF1170,"-"))</f>
        <v>0</v>
      </c>
      <c r="AH1170" s="168"/>
    </row>
    <row r="1171" spans="26:34" ht="24" customHeight="1">
      <c r="Z1171"/>
      <c r="AA1171"/>
      <c r="AB1171"/>
      <c r="AC1171"/>
      <c r="AD1171"/>
      <c r="AE1171" s="168" t="str">
        <f t="shared" si="18"/>
        <v/>
      </c>
      <c r="AF1171" s="168">
        <v>0</v>
      </c>
      <c r="AG1171" s="168" t="str" cm="1">
        <f t="array" ref="AG1171">IF(AF1171="","",_xlfn.TEXTSPLIT(AF1171,"-"))</f>
        <v>0</v>
      </c>
      <c r="AH1171" s="168"/>
    </row>
    <row r="1172" spans="26:34" ht="24" customHeight="1">
      <c r="Z1172"/>
      <c r="AA1172"/>
      <c r="AB1172"/>
      <c r="AC1172"/>
      <c r="AD1172"/>
      <c r="AE1172" s="168" t="str">
        <f t="shared" si="18"/>
        <v/>
      </c>
      <c r="AF1172" s="168">
        <v>0</v>
      </c>
      <c r="AG1172" s="168" t="str" cm="1">
        <f t="array" ref="AG1172">IF(AF1172="","",_xlfn.TEXTSPLIT(AF1172,"-"))</f>
        <v>0</v>
      </c>
      <c r="AH1172" s="168"/>
    </row>
    <row r="1173" spans="26:34" ht="24" customHeight="1">
      <c r="Z1173"/>
      <c r="AA1173"/>
      <c r="AB1173"/>
      <c r="AC1173"/>
      <c r="AD1173"/>
      <c r="AE1173" s="168" t="str">
        <f t="shared" si="18"/>
        <v/>
      </c>
      <c r="AF1173" s="168">
        <v>0</v>
      </c>
      <c r="AG1173" s="168" t="str" cm="1">
        <f t="array" ref="AG1173">IF(AF1173="","",_xlfn.TEXTSPLIT(AF1173,"-"))</f>
        <v>0</v>
      </c>
      <c r="AH1173" s="168"/>
    </row>
    <row r="1174" spans="26:34" ht="24" customHeight="1">
      <c r="Z1174"/>
      <c r="AA1174"/>
      <c r="AB1174"/>
      <c r="AC1174"/>
      <c r="AD1174"/>
      <c r="AE1174" s="168" t="str">
        <f t="shared" si="18"/>
        <v/>
      </c>
      <c r="AF1174" s="168">
        <v>0</v>
      </c>
      <c r="AG1174" s="168" t="str" cm="1">
        <f t="array" ref="AG1174">IF(AF1174="","",_xlfn.TEXTSPLIT(AF1174,"-"))</f>
        <v>0</v>
      </c>
      <c r="AH1174" s="168"/>
    </row>
    <row r="1175" spans="26:34" ht="24" customHeight="1">
      <c r="Z1175"/>
      <c r="AA1175"/>
      <c r="AB1175"/>
      <c r="AC1175"/>
      <c r="AD1175"/>
      <c r="AE1175" s="168" t="str">
        <f t="shared" si="18"/>
        <v/>
      </c>
      <c r="AF1175" s="168">
        <v>0</v>
      </c>
      <c r="AG1175" s="168" t="str" cm="1">
        <f t="array" ref="AG1175">IF(AF1175="","",_xlfn.TEXTSPLIT(AF1175,"-"))</f>
        <v>0</v>
      </c>
      <c r="AH1175" s="168"/>
    </row>
    <row r="1176" spans="26:34" ht="24" customHeight="1">
      <c r="Z1176"/>
      <c r="AA1176"/>
      <c r="AB1176"/>
      <c r="AC1176"/>
      <c r="AD1176"/>
      <c r="AE1176" s="168" t="str">
        <f t="shared" si="18"/>
        <v/>
      </c>
      <c r="AF1176" s="168">
        <v>0</v>
      </c>
      <c r="AG1176" s="168" t="str" cm="1">
        <f t="array" ref="AG1176">IF(AF1176="","",_xlfn.TEXTSPLIT(AF1176,"-"))</f>
        <v>0</v>
      </c>
      <c r="AH1176" s="168"/>
    </row>
    <row r="1177" spans="26:34" ht="24" customHeight="1">
      <c r="Z1177"/>
      <c r="AA1177"/>
      <c r="AB1177"/>
      <c r="AC1177"/>
      <c r="AD1177"/>
      <c r="AE1177" s="168" t="str">
        <f t="shared" si="18"/>
        <v/>
      </c>
      <c r="AF1177" s="168">
        <v>0</v>
      </c>
      <c r="AG1177" s="168" t="str" cm="1">
        <f t="array" ref="AG1177">IF(AF1177="","",_xlfn.TEXTSPLIT(AF1177,"-"))</f>
        <v>0</v>
      </c>
      <c r="AH1177" s="168"/>
    </row>
    <row r="1178" spans="26:34" ht="24" customHeight="1">
      <c r="Z1178"/>
      <c r="AA1178"/>
      <c r="AB1178"/>
      <c r="AC1178"/>
      <c r="AD1178"/>
      <c r="AE1178" s="168" t="str">
        <f t="shared" si="18"/>
        <v/>
      </c>
      <c r="AF1178" s="168">
        <v>0</v>
      </c>
      <c r="AG1178" s="168" t="str" cm="1">
        <f t="array" ref="AG1178">IF(AF1178="","",_xlfn.TEXTSPLIT(AF1178,"-"))</f>
        <v>0</v>
      </c>
      <c r="AH1178" s="168"/>
    </row>
    <row r="1179" spans="26:34" ht="24" customHeight="1">
      <c r="Z1179"/>
      <c r="AA1179"/>
      <c r="AB1179"/>
      <c r="AC1179"/>
      <c r="AD1179"/>
      <c r="AE1179" s="168" t="str">
        <f t="shared" si="18"/>
        <v/>
      </c>
      <c r="AF1179" s="168">
        <v>0</v>
      </c>
      <c r="AG1179" s="168" t="str" cm="1">
        <f t="array" ref="AG1179">IF(AF1179="","",_xlfn.TEXTSPLIT(AF1179,"-"))</f>
        <v>0</v>
      </c>
      <c r="AH1179" s="168"/>
    </row>
    <row r="1180" spans="26:34" ht="24" customHeight="1">
      <c r="Z1180"/>
      <c r="AA1180"/>
      <c r="AB1180"/>
      <c r="AC1180"/>
      <c r="AD1180"/>
      <c r="AE1180" s="168" t="str">
        <f t="shared" si="18"/>
        <v/>
      </c>
      <c r="AF1180" s="168">
        <v>0</v>
      </c>
      <c r="AG1180" s="168" t="str" cm="1">
        <f t="array" ref="AG1180">IF(AF1180="","",_xlfn.TEXTSPLIT(AF1180,"-"))</f>
        <v>0</v>
      </c>
      <c r="AH1180" s="168"/>
    </row>
    <row r="1181" spans="26:34" ht="24" customHeight="1">
      <c r="Z1181"/>
      <c r="AA1181"/>
      <c r="AB1181"/>
      <c r="AC1181"/>
      <c r="AD1181"/>
      <c r="AE1181" s="168" t="str">
        <f t="shared" si="18"/>
        <v/>
      </c>
      <c r="AF1181" s="168">
        <v>0</v>
      </c>
      <c r="AG1181" s="168" t="str" cm="1">
        <f t="array" ref="AG1181">IF(AF1181="","",_xlfn.TEXTSPLIT(AF1181,"-"))</f>
        <v>0</v>
      </c>
      <c r="AH1181" s="168"/>
    </row>
    <row r="1182" spans="26:34" ht="24" customHeight="1">
      <c r="Z1182"/>
      <c r="AA1182"/>
      <c r="AB1182"/>
      <c r="AC1182"/>
      <c r="AD1182"/>
      <c r="AE1182" s="168" t="str">
        <f t="shared" si="18"/>
        <v/>
      </c>
      <c r="AF1182" s="168">
        <v>0</v>
      </c>
      <c r="AG1182" s="168" t="str" cm="1">
        <f t="array" ref="AG1182">IF(AF1182="","",_xlfn.TEXTSPLIT(AF1182,"-"))</f>
        <v>0</v>
      </c>
      <c r="AH1182" s="168"/>
    </row>
    <row r="1183" spans="26:34" ht="24" customHeight="1">
      <c r="Z1183"/>
      <c r="AA1183"/>
      <c r="AB1183"/>
      <c r="AC1183"/>
      <c r="AD1183"/>
      <c r="AE1183" s="168" t="str">
        <f t="shared" si="18"/>
        <v/>
      </c>
      <c r="AF1183" s="168">
        <v>0</v>
      </c>
      <c r="AG1183" s="168" t="str" cm="1">
        <f t="array" ref="AG1183">IF(AF1183="","",_xlfn.TEXTSPLIT(AF1183,"-"))</f>
        <v>0</v>
      </c>
      <c r="AH1183" s="168"/>
    </row>
    <row r="1184" spans="26:34" ht="24" customHeight="1">
      <c r="Z1184"/>
      <c r="AA1184"/>
      <c r="AB1184"/>
      <c r="AC1184"/>
      <c r="AD1184"/>
      <c r="AE1184" s="168" t="str">
        <f t="shared" si="18"/>
        <v/>
      </c>
      <c r="AF1184" s="168">
        <v>0</v>
      </c>
      <c r="AG1184" s="168" t="str" cm="1">
        <f t="array" ref="AG1184">IF(AF1184="","",_xlfn.TEXTSPLIT(AF1184,"-"))</f>
        <v>0</v>
      </c>
      <c r="AH1184" s="168"/>
    </row>
    <row r="1185" spans="26:34" ht="24" customHeight="1">
      <c r="Z1185"/>
      <c r="AA1185"/>
      <c r="AB1185"/>
      <c r="AC1185"/>
      <c r="AD1185"/>
      <c r="AE1185" s="168" t="str">
        <f t="shared" si="18"/>
        <v/>
      </c>
      <c r="AF1185" s="168">
        <v>0</v>
      </c>
      <c r="AG1185" s="168" t="str" cm="1">
        <f t="array" ref="AG1185">IF(AF1185="","",_xlfn.TEXTSPLIT(AF1185,"-"))</f>
        <v>0</v>
      </c>
      <c r="AH1185" s="168"/>
    </row>
    <row r="1186" spans="26:34" ht="24" customHeight="1">
      <c r="Z1186"/>
      <c r="AA1186"/>
      <c r="AB1186"/>
      <c r="AC1186"/>
      <c r="AD1186"/>
      <c r="AE1186" s="168" t="str">
        <f t="shared" si="18"/>
        <v/>
      </c>
      <c r="AF1186" s="168">
        <v>0</v>
      </c>
      <c r="AG1186" s="168" t="str" cm="1">
        <f t="array" ref="AG1186">IF(AF1186="","",_xlfn.TEXTSPLIT(AF1186,"-"))</f>
        <v>0</v>
      </c>
      <c r="AH1186" s="168"/>
    </row>
    <row r="1187" spans="26:34" ht="24" customHeight="1">
      <c r="Z1187"/>
      <c r="AA1187"/>
      <c r="AB1187"/>
      <c r="AC1187"/>
      <c r="AD1187"/>
      <c r="AE1187" s="168" t="str">
        <f t="shared" si="18"/>
        <v/>
      </c>
      <c r="AF1187" s="168">
        <v>0</v>
      </c>
      <c r="AG1187" s="168" t="str" cm="1">
        <f t="array" ref="AG1187">IF(AF1187="","",_xlfn.TEXTSPLIT(AF1187,"-"))</f>
        <v>0</v>
      </c>
      <c r="AH1187" s="168"/>
    </row>
    <row r="1188" spans="26:34" ht="24" customHeight="1">
      <c r="Z1188"/>
      <c r="AA1188"/>
      <c r="AB1188"/>
      <c r="AC1188"/>
      <c r="AD1188"/>
      <c r="AE1188" s="168" t="str">
        <f t="shared" si="18"/>
        <v/>
      </c>
      <c r="AF1188" s="168">
        <v>0</v>
      </c>
      <c r="AG1188" s="168" t="str" cm="1">
        <f t="array" ref="AG1188">IF(AF1188="","",_xlfn.TEXTSPLIT(AF1188,"-"))</f>
        <v>0</v>
      </c>
      <c r="AH1188" s="168"/>
    </row>
    <row r="1189" spans="26:34" ht="24" customHeight="1">
      <c r="Z1189"/>
      <c r="AA1189"/>
      <c r="AB1189"/>
      <c r="AC1189"/>
      <c r="AD1189"/>
      <c r="AE1189" s="168" t="str">
        <f t="shared" si="18"/>
        <v/>
      </c>
      <c r="AF1189" s="168">
        <v>0</v>
      </c>
      <c r="AG1189" s="168" t="str" cm="1">
        <f t="array" ref="AG1189">IF(AF1189="","",_xlfn.TEXTSPLIT(AF1189,"-"))</f>
        <v>0</v>
      </c>
      <c r="AH1189" s="168"/>
    </row>
    <row r="1190" spans="26:34" ht="24" customHeight="1">
      <c r="Z1190"/>
      <c r="AA1190"/>
      <c r="AB1190"/>
      <c r="AC1190"/>
      <c r="AD1190"/>
      <c r="AE1190" s="168" t="str">
        <f t="shared" si="18"/>
        <v/>
      </c>
      <c r="AF1190" s="168">
        <v>0</v>
      </c>
      <c r="AG1190" s="168" t="str" cm="1">
        <f t="array" ref="AG1190">IF(AF1190="","",_xlfn.TEXTSPLIT(AF1190,"-"))</f>
        <v>0</v>
      </c>
      <c r="AH1190" s="168"/>
    </row>
    <row r="1191" spans="26:34" ht="24" customHeight="1">
      <c r="Z1191"/>
      <c r="AA1191"/>
      <c r="AB1191"/>
      <c r="AC1191"/>
      <c r="AD1191"/>
      <c r="AE1191" s="168" t="str">
        <f t="shared" si="18"/>
        <v/>
      </c>
      <c r="AF1191" s="168">
        <v>0</v>
      </c>
      <c r="AG1191" s="168" t="str" cm="1">
        <f t="array" ref="AG1191">IF(AF1191="","",_xlfn.TEXTSPLIT(AF1191,"-"))</f>
        <v>0</v>
      </c>
      <c r="AH1191" s="168"/>
    </row>
    <row r="1192" spans="26:34" ht="24" customHeight="1">
      <c r="Z1192"/>
      <c r="AA1192"/>
      <c r="AB1192"/>
      <c r="AC1192"/>
      <c r="AD1192"/>
      <c r="AE1192" s="168" t="str">
        <f t="shared" si="18"/>
        <v/>
      </c>
      <c r="AF1192" s="168">
        <v>0</v>
      </c>
      <c r="AG1192" s="168" t="str" cm="1">
        <f t="array" ref="AG1192">IF(AF1192="","",_xlfn.TEXTSPLIT(AF1192,"-"))</f>
        <v>0</v>
      </c>
      <c r="AH1192" s="168"/>
    </row>
    <row r="1193" spans="26:34" ht="24" customHeight="1">
      <c r="Z1193"/>
      <c r="AA1193"/>
      <c r="AB1193"/>
      <c r="AC1193"/>
      <c r="AD1193"/>
      <c r="AE1193" s="168" t="str">
        <f t="shared" si="18"/>
        <v/>
      </c>
      <c r="AF1193" s="168">
        <v>0</v>
      </c>
      <c r="AG1193" s="168" t="str" cm="1">
        <f t="array" ref="AG1193">IF(AF1193="","",_xlfn.TEXTSPLIT(AF1193,"-"))</f>
        <v>0</v>
      </c>
      <c r="AH1193" s="168"/>
    </row>
    <row r="1194" spans="26:34" ht="24" customHeight="1">
      <c r="Z1194"/>
      <c r="AA1194"/>
      <c r="AB1194"/>
      <c r="AC1194"/>
      <c r="AD1194"/>
      <c r="AE1194" s="168" t="str">
        <f t="shared" si="18"/>
        <v/>
      </c>
      <c r="AF1194" s="168">
        <v>0</v>
      </c>
      <c r="AG1194" s="168" t="str" cm="1">
        <f t="array" ref="AG1194">IF(AF1194="","",_xlfn.TEXTSPLIT(AF1194,"-"))</f>
        <v>0</v>
      </c>
      <c r="AH1194" s="168"/>
    </row>
    <row r="1195" spans="26:34" ht="24" customHeight="1">
      <c r="Z1195"/>
      <c r="AA1195"/>
      <c r="AB1195"/>
      <c r="AC1195"/>
      <c r="AD1195"/>
      <c r="AE1195" s="168" t="str">
        <f t="shared" si="18"/>
        <v/>
      </c>
      <c r="AF1195" s="168">
        <v>0</v>
      </c>
      <c r="AG1195" s="168" t="str" cm="1">
        <f t="array" ref="AG1195">IF(AF1195="","",_xlfn.TEXTSPLIT(AF1195,"-"))</f>
        <v>0</v>
      </c>
      <c r="AH1195" s="168"/>
    </row>
    <row r="1196" spans="26:34" ht="24" customHeight="1">
      <c r="Z1196"/>
      <c r="AA1196"/>
      <c r="AB1196"/>
      <c r="AC1196"/>
      <c r="AD1196"/>
      <c r="AE1196" s="168" t="str">
        <f t="shared" si="18"/>
        <v/>
      </c>
      <c r="AF1196" s="168">
        <v>0</v>
      </c>
      <c r="AG1196" s="168" t="str" cm="1">
        <f t="array" ref="AG1196">IF(AF1196="","",_xlfn.TEXTSPLIT(AF1196,"-"))</f>
        <v>0</v>
      </c>
      <c r="AH1196" s="168"/>
    </row>
    <row r="1197" spans="26:34" ht="24" customHeight="1">
      <c r="Z1197"/>
      <c r="AA1197"/>
      <c r="AB1197"/>
      <c r="AC1197"/>
      <c r="AD1197"/>
      <c r="AE1197" s="168" t="str">
        <f t="shared" si="18"/>
        <v/>
      </c>
      <c r="AF1197" s="168">
        <v>0</v>
      </c>
      <c r="AG1197" s="168" t="str" cm="1">
        <f t="array" ref="AG1197">IF(AF1197="","",_xlfn.TEXTSPLIT(AF1197,"-"))</f>
        <v>0</v>
      </c>
      <c r="AH1197" s="168"/>
    </row>
    <row r="1198" spans="26:34" ht="24" customHeight="1">
      <c r="Z1198"/>
      <c r="AA1198"/>
      <c r="AB1198"/>
      <c r="AC1198"/>
      <c r="AD1198"/>
      <c r="AE1198" s="168" t="str">
        <f t="shared" si="18"/>
        <v/>
      </c>
      <c r="AF1198" s="168">
        <v>0</v>
      </c>
      <c r="AG1198" s="168" t="str" cm="1">
        <f t="array" ref="AG1198">IF(AF1198="","",_xlfn.TEXTSPLIT(AF1198,"-"))</f>
        <v>0</v>
      </c>
      <c r="AH1198" s="168"/>
    </row>
    <row r="1199" spans="26:34" ht="24" customHeight="1">
      <c r="Z1199"/>
      <c r="AA1199"/>
      <c r="AB1199"/>
      <c r="AC1199"/>
      <c r="AD1199"/>
      <c r="AE1199" s="168" t="str">
        <f t="shared" si="18"/>
        <v/>
      </c>
      <c r="AF1199" s="168">
        <v>0</v>
      </c>
      <c r="AG1199" s="168" t="str" cm="1">
        <f t="array" ref="AG1199">IF(AF1199="","",_xlfn.TEXTSPLIT(AF1199,"-"))</f>
        <v>0</v>
      </c>
      <c r="AH1199" s="168"/>
    </row>
    <row r="1200" spans="26:34" ht="24" customHeight="1">
      <c r="Z1200"/>
      <c r="AA1200"/>
      <c r="AB1200"/>
      <c r="AC1200"/>
      <c r="AD1200"/>
      <c r="AE1200" s="168" t="str">
        <f t="shared" si="18"/>
        <v/>
      </c>
      <c r="AF1200" s="168">
        <v>0</v>
      </c>
      <c r="AG1200" s="168" t="str" cm="1">
        <f t="array" ref="AG1200">IF(AF1200="","",_xlfn.TEXTSPLIT(AF1200,"-"))</f>
        <v>0</v>
      </c>
      <c r="AH1200" s="168"/>
    </row>
    <row r="1201" spans="26:34" ht="24" customHeight="1">
      <c r="Z1201"/>
      <c r="AA1201"/>
      <c r="AB1201"/>
      <c r="AC1201"/>
      <c r="AD1201"/>
      <c r="AE1201" s="168" t="str">
        <f t="shared" si="18"/>
        <v/>
      </c>
      <c r="AF1201" s="168">
        <v>0</v>
      </c>
      <c r="AG1201" s="168" t="str" cm="1">
        <f t="array" ref="AG1201">IF(AF1201="","",_xlfn.TEXTSPLIT(AF1201,"-"))</f>
        <v>0</v>
      </c>
      <c r="AH1201" s="168"/>
    </row>
    <row r="1202" spans="26:34" ht="24" customHeight="1">
      <c r="Z1202"/>
      <c r="AA1202"/>
      <c r="AB1202"/>
      <c r="AC1202"/>
      <c r="AD1202"/>
      <c r="AE1202" s="168" t="str">
        <f t="shared" si="18"/>
        <v/>
      </c>
      <c r="AF1202" s="168">
        <v>0</v>
      </c>
      <c r="AG1202" s="168" t="str" cm="1">
        <f t="array" ref="AG1202">IF(AF1202="","",_xlfn.TEXTSPLIT(AF1202,"-"))</f>
        <v>0</v>
      </c>
      <c r="AH1202" s="168"/>
    </row>
    <row r="1203" spans="26:34" ht="24" customHeight="1">
      <c r="Z1203"/>
      <c r="AA1203"/>
      <c r="AB1203"/>
      <c r="AC1203"/>
      <c r="AD1203"/>
      <c r="AE1203" s="168" t="str">
        <f t="shared" si="18"/>
        <v/>
      </c>
      <c r="AF1203" s="168">
        <v>0</v>
      </c>
      <c r="AG1203" s="168" t="str" cm="1">
        <f t="array" ref="AG1203">IF(AF1203="","",_xlfn.TEXTSPLIT(AF1203,"-"))</f>
        <v>0</v>
      </c>
      <c r="AH1203" s="168"/>
    </row>
    <row r="1204" spans="26:34" ht="24" customHeight="1">
      <c r="Z1204"/>
      <c r="AA1204"/>
      <c r="AB1204"/>
      <c r="AC1204"/>
      <c r="AD1204"/>
      <c r="AE1204" s="168" t="str">
        <f t="shared" si="18"/>
        <v/>
      </c>
      <c r="AF1204" s="168">
        <v>0</v>
      </c>
      <c r="AG1204" s="168" t="str" cm="1">
        <f t="array" ref="AG1204">IF(AF1204="","",_xlfn.TEXTSPLIT(AF1204,"-"))</f>
        <v>0</v>
      </c>
      <c r="AH1204" s="168"/>
    </row>
    <row r="1205" spans="26:34" ht="24" customHeight="1">
      <c r="Z1205"/>
      <c r="AA1205"/>
      <c r="AB1205"/>
      <c r="AC1205"/>
      <c r="AD1205"/>
      <c r="AE1205" s="168" t="str">
        <f t="shared" si="18"/>
        <v/>
      </c>
      <c r="AF1205" s="168">
        <v>0</v>
      </c>
      <c r="AG1205" s="168" t="str" cm="1">
        <f t="array" ref="AG1205">IF(AF1205="","",_xlfn.TEXTSPLIT(AF1205,"-"))</f>
        <v>0</v>
      </c>
      <c r="AH1205" s="168"/>
    </row>
    <row r="1206" spans="26:34" ht="24" customHeight="1">
      <c r="Z1206"/>
      <c r="AA1206"/>
      <c r="AB1206"/>
      <c r="AC1206"/>
      <c r="AD1206"/>
      <c r="AE1206" s="168" t="str">
        <f t="shared" si="18"/>
        <v/>
      </c>
      <c r="AF1206" s="168">
        <v>0</v>
      </c>
      <c r="AG1206" s="168" t="str" cm="1">
        <f t="array" ref="AG1206">IF(AF1206="","",_xlfn.TEXTSPLIT(AF1206,"-"))</f>
        <v>0</v>
      </c>
      <c r="AH1206" s="168"/>
    </row>
    <row r="1207" spans="26:34" ht="24" customHeight="1">
      <c r="Z1207"/>
      <c r="AA1207"/>
      <c r="AB1207"/>
      <c r="AC1207"/>
      <c r="AD1207"/>
      <c r="AE1207" s="168" t="str">
        <f t="shared" si="18"/>
        <v/>
      </c>
      <c r="AF1207" s="168">
        <v>0</v>
      </c>
      <c r="AG1207" s="168" t="str" cm="1">
        <f t="array" ref="AG1207">IF(AF1207="","",_xlfn.TEXTSPLIT(AF1207,"-"))</f>
        <v>0</v>
      </c>
      <c r="AH1207" s="168"/>
    </row>
    <row r="1208" spans="26:34" ht="24" customHeight="1">
      <c r="Z1208"/>
      <c r="AA1208"/>
      <c r="AB1208"/>
      <c r="AC1208"/>
      <c r="AD1208"/>
      <c r="AE1208" s="168" t="str">
        <f t="shared" si="18"/>
        <v/>
      </c>
      <c r="AF1208" s="168">
        <v>0</v>
      </c>
      <c r="AG1208" s="168" t="str" cm="1">
        <f t="array" ref="AG1208">IF(AF1208="","",_xlfn.TEXTSPLIT(AF1208,"-"))</f>
        <v>0</v>
      </c>
      <c r="AH1208" s="168"/>
    </row>
    <row r="1209" spans="26:34" ht="24" customHeight="1">
      <c r="Z1209"/>
      <c r="AA1209"/>
      <c r="AB1209"/>
      <c r="AC1209"/>
      <c r="AD1209"/>
      <c r="AE1209" s="168" t="str">
        <f t="shared" si="18"/>
        <v/>
      </c>
      <c r="AF1209" s="168">
        <v>0</v>
      </c>
      <c r="AG1209" s="168" t="str" cm="1">
        <f t="array" ref="AG1209">IF(AF1209="","",_xlfn.TEXTSPLIT(AF1209,"-"))</f>
        <v>0</v>
      </c>
      <c r="AH1209" s="168"/>
    </row>
    <row r="1210" spans="26:34" ht="24" customHeight="1">
      <c r="Z1210"/>
      <c r="AA1210"/>
      <c r="AB1210"/>
      <c r="AC1210"/>
      <c r="AD1210"/>
      <c r="AE1210" s="168" t="str">
        <f t="shared" si="18"/>
        <v/>
      </c>
      <c r="AF1210" s="168">
        <v>0</v>
      </c>
      <c r="AG1210" s="168" t="str" cm="1">
        <f t="array" ref="AG1210">IF(AF1210="","",_xlfn.TEXTSPLIT(AF1210,"-"))</f>
        <v>0</v>
      </c>
      <c r="AH1210" s="168"/>
    </row>
    <row r="1211" spans="26:34" ht="24" customHeight="1">
      <c r="Z1211"/>
      <c r="AA1211"/>
      <c r="AB1211"/>
      <c r="AC1211"/>
      <c r="AD1211"/>
      <c r="AE1211" s="168" t="str">
        <f t="shared" si="18"/>
        <v/>
      </c>
      <c r="AF1211" s="168">
        <v>0</v>
      </c>
      <c r="AG1211" s="168" t="str" cm="1">
        <f t="array" ref="AG1211">IF(AF1211="","",_xlfn.TEXTSPLIT(AF1211,"-"))</f>
        <v>0</v>
      </c>
      <c r="AH1211" s="168"/>
    </row>
    <row r="1212" spans="26:34" ht="24" customHeight="1">
      <c r="Z1212"/>
      <c r="AA1212"/>
      <c r="AB1212"/>
      <c r="AC1212"/>
      <c r="AD1212"/>
      <c r="AE1212" s="168" t="str">
        <f t="shared" si="18"/>
        <v/>
      </c>
      <c r="AF1212" s="168">
        <v>0</v>
      </c>
      <c r="AG1212" s="168" t="str" cm="1">
        <f t="array" ref="AG1212">IF(AF1212="","",_xlfn.TEXTSPLIT(AF1212,"-"))</f>
        <v>0</v>
      </c>
      <c r="AH1212" s="168"/>
    </row>
    <row r="1213" spans="26:34" ht="24" customHeight="1">
      <c r="Z1213"/>
      <c r="AA1213"/>
      <c r="AB1213"/>
      <c r="AC1213"/>
      <c r="AD1213"/>
      <c r="AE1213" s="168" t="str">
        <f t="shared" si="18"/>
        <v/>
      </c>
      <c r="AF1213" s="168">
        <v>0</v>
      </c>
      <c r="AG1213" s="168" t="str" cm="1">
        <f t="array" ref="AG1213">IF(AF1213="","",_xlfn.TEXTSPLIT(AF1213,"-"))</f>
        <v>0</v>
      </c>
      <c r="AH1213" s="168"/>
    </row>
    <row r="1214" spans="26:34" ht="24" customHeight="1">
      <c r="Z1214"/>
      <c r="AA1214"/>
      <c r="AB1214"/>
      <c r="AC1214"/>
      <c r="AD1214"/>
      <c r="AE1214" s="168" t="str">
        <f t="shared" si="18"/>
        <v/>
      </c>
      <c r="AF1214" s="168">
        <v>0</v>
      </c>
      <c r="AG1214" s="168" t="str" cm="1">
        <f t="array" ref="AG1214">IF(AF1214="","",_xlfn.TEXTSPLIT(AF1214,"-"))</f>
        <v>0</v>
      </c>
      <c r="AH1214" s="168"/>
    </row>
    <row r="1215" spans="26:34" ht="24" customHeight="1">
      <c r="Z1215"/>
      <c r="AA1215"/>
      <c r="AB1215"/>
      <c r="AC1215"/>
      <c r="AD1215"/>
      <c r="AE1215" s="168" t="str">
        <f t="shared" si="18"/>
        <v/>
      </c>
      <c r="AF1215" s="168">
        <v>0</v>
      </c>
      <c r="AG1215" s="168" t="str" cm="1">
        <f t="array" ref="AG1215">IF(AF1215="","",_xlfn.TEXTSPLIT(AF1215,"-"))</f>
        <v>0</v>
      </c>
      <c r="AH1215" s="168"/>
    </row>
    <row r="1216" spans="26:34" ht="24" customHeight="1">
      <c r="Z1216"/>
      <c r="AA1216"/>
      <c r="AB1216"/>
      <c r="AC1216"/>
      <c r="AD1216"/>
      <c r="AE1216" s="168" t="str">
        <f t="shared" si="18"/>
        <v/>
      </c>
      <c r="AF1216" s="168">
        <v>0</v>
      </c>
      <c r="AG1216" s="168" t="str" cm="1">
        <f t="array" ref="AG1216">IF(AF1216="","",_xlfn.TEXTSPLIT(AF1216,"-"))</f>
        <v>0</v>
      </c>
      <c r="AH1216" s="168"/>
    </row>
    <row r="1217" spans="26:34" ht="24" customHeight="1">
      <c r="Z1217"/>
      <c r="AA1217"/>
      <c r="AB1217"/>
      <c r="AC1217"/>
      <c r="AD1217"/>
      <c r="AE1217" s="168" t="str">
        <f t="shared" si="18"/>
        <v/>
      </c>
      <c r="AF1217" s="168">
        <v>0</v>
      </c>
      <c r="AG1217" s="168" t="str" cm="1">
        <f t="array" ref="AG1217">IF(AF1217="","",_xlfn.TEXTSPLIT(AF1217,"-"))</f>
        <v>0</v>
      </c>
      <c r="AH1217" s="168"/>
    </row>
    <row r="1218" spans="26:34" ht="24" customHeight="1">
      <c r="Z1218"/>
      <c r="AA1218"/>
      <c r="AB1218"/>
      <c r="AC1218"/>
      <c r="AD1218"/>
      <c r="AE1218" s="168" t="str">
        <f t="shared" si="18"/>
        <v/>
      </c>
      <c r="AF1218" s="168">
        <v>0</v>
      </c>
      <c r="AG1218" s="168" t="str" cm="1">
        <f t="array" ref="AG1218">IF(AF1218="","",_xlfn.TEXTSPLIT(AF1218,"-"))</f>
        <v>0</v>
      </c>
      <c r="AH1218" s="168"/>
    </row>
    <row r="1219" spans="26:34" ht="24" customHeight="1">
      <c r="Z1219"/>
      <c r="AA1219"/>
      <c r="AB1219"/>
      <c r="AC1219"/>
      <c r="AD1219"/>
      <c r="AE1219" s="168" t="str">
        <f t="shared" si="18"/>
        <v/>
      </c>
      <c r="AF1219" s="168">
        <v>0</v>
      </c>
      <c r="AG1219" s="168" t="str" cm="1">
        <f t="array" ref="AG1219">IF(AF1219="","",_xlfn.TEXTSPLIT(AF1219,"-"))</f>
        <v>0</v>
      </c>
      <c r="AH1219" s="168"/>
    </row>
    <row r="1220" spans="26:34" ht="24" customHeight="1">
      <c r="Z1220"/>
      <c r="AA1220"/>
      <c r="AB1220"/>
      <c r="AC1220"/>
      <c r="AD1220"/>
      <c r="AE1220" s="168" t="str">
        <f t="shared" si="18"/>
        <v/>
      </c>
      <c r="AF1220" s="168">
        <v>0</v>
      </c>
      <c r="AG1220" s="168" t="str" cm="1">
        <f t="array" ref="AG1220">IF(AF1220="","",_xlfn.TEXTSPLIT(AF1220,"-"))</f>
        <v>0</v>
      </c>
      <c r="AH1220" s="168"/>
    </row>
    <row r="1221" spans="26:34" ht="24" customHeight="1">
      <c r="Z1221"/>
      <c r="AA1221"/>
      <c r="AB1221"/>
      <c r="AC1221"/>
      <c r="AD1221"/>
      <c r="AE1221" s="168" t="str">
        <f t="shared" ref="AE1221:AE1284" si="19">IF(AH1221="","",AH1221*1)</f>
        <v/>
      </c>
      <c r="AF1221" s="168">
        <v>0</v>
      </c>
      <c r="AG1221" s="168" t="str" cm="1">
        <f t="array" ref="AG1221">IF(AF1221="","",_xlfn.TEXTSPLIT(AF1221,"-"))</f>
        <v>0</v>
      </c>
      <c r="AH1221" s="168"/>
    </row>
    <row r="1222" spans="26:34" ht="24" customHeight="1">
      <c r="Z1222"/>
      <c r="AA1222"/>
      <c r="AB1222"/>
      <c r="AC1222"/>
      <c r="AD1222"/>
      <c r="AE1222" s="168" t="str">
        <f t="shared" si="19"/>
        <v/>
      </c>
      <c r="AF1222" s="168">
        <v>0</v>
      </c>
      <c r="AG1222" s="168" t="str" cm="1">
        <f t="array" ref="AG1222">IF(AF1222="","",_xlfn.TEXTSPLIT(AF1222,"-"))</f>
        <v>0</v>
      </c>
      <c r="AH1222" s="168"/>
    </row>
    <row r="1223" spans="26:34" ht="24" customHeight="1">
      <c r="Z1223"/>
      <c r="AA1223"/>
      <c r="AB1223"/>
      <c r="AC1223"/>
      <c r="AD1223"/>
      <c r="AE1223" s="168" t="str">
        <f t="shared" si="19"/>
        <v/>
      </c>
      <c r="AF1223" s="168">
        <v>0</v>
      </c>
      <c r="AG1223" s="168" t="str" cm="1">
        <f t="array" ref="AG1223">IF(AF1223="","",_xlfn.TEXTSPLIT(AF1223,"-"))</f>
        <v>0</v>
      </c>
      <c r="AH1223" s="168"/>
    </row>
    <row r="1224" spans="26:34" ht="24" customHeight="1">
      <c r="Z1224"/>
      <c r="AA1224"/>
      <c r="AB1224"/>
      <c r="AC1224"/>
      <c r="AD1224"/>
      <c r="AE1224" s="168" t="str">
        <f t="shared" si="19"/>
        <v/>
      </c>
      <c r="AF1224" s="168">
        <v>0</v>
      </c>
      <c r="AG1224" s="168" t="str" cm="1">
        <f t="array" ref="AG1224">IF(AF1224="","",_xlfn.TEXTSPLIT(AF1224,"-"))</f>
        <v>0</v>
      </c>
      <c r="AH1224" s="168"/>
    </row>
    <row r="1225" spans="26:34" ht="24" customHeight="1">
      <c r="Z1225"/>
      <c r="AA1225"/>
      <c r="AB1225"/>
      <c r="AC1225"/>
      <c r="AD1225"/>
      <c r="AE1225" s="168" t="str">
        <f t="shared" si="19"/>
        <v/>
      </c>
      <c r="AF1225" s="168">
        <v>0</v>
      </c>
      <c r="AG1225" s="168" t="str" cm="1">
        <f t="array" ref="AG1225">IF(AF1225="","",_xlfn.TEXTSPLIT(AF1225,"-"))</f>
        <v>0</v>
      </c>
      <c r="AH1225" s="168"/>
    </row>
    <row r="1226" spans="26:34" ht="24" customHeight="1">
      <c r="Z1226"/>
      <c r="AA1226"/>
      <c r="AB1226"/>
      <c r="AC1226"/>
      <c r="AD1226"/>
      <c r="AE1226" s="168" t="str">
        <f t="shared" si="19"/>
        <v/>
      </c>
      <c r="AF1226" s="168">
        <v>0</v>
      </c>
      <c r="AG1226" s="168" t="str" cm="1">
        <f t="array" ref="AG1226">IF(AF1226="","",_xlfn.TEXTSPLIT(AF1226,"-"))</f>
        <v>0</v>
      </c>
      <c r="AH1226" s="168"/>
    </row>
    <row r="1227" spans="26:34" ht="24" customHeight="1">
      <c r="Z1227"/>
      <c r="AA1227"/>
      <c r="AB1227"/>
      <c r="AC1227"/>
      <c r="AD1227"/>
      <c r="AE1227" s="168" t="str">
        <f t="shared" si="19"/>
        <v/>
      </c>
      <c r="AF1227" s="168">
        <v>0</v>
      </c>
      <c r="AG1227" s="168" t="str" cm="1">
        <f t="array" ref="AG1227">IF(AF1227="","",_xlfn.TEXTSPLIT(AF1227,"-"))</f>
        <v>0</v>
      </c>
      <c r="AH1227" s="168"/>
    </row>
    <row r="1228" spans="26:34" ht="24" customHeight="1">
      <c r="Z1228"/>
      <c r="AA1228"/>
      <c r="AB1228"/>
      <c r="AC1228"/>
      <c r="AD1228"/>
      <c r="AE1228" s="168" t="str">
        <f t="shared" si="19"/>
        <v/>
      </c>
      <c r="AF1228" s="168">
        <v>0</v>
      </c>
      <c r="AG1228" s="168" t="str" cm="1">
        <f t="array" ref="AG1228">IF(AF1228="","",_xlfn.TEXTSPLIT(AF1228,"-"))</f>
        <v>0</v>
      </c>
      <c r="AH1228" s="168"/>
    </row>
    <row r="1229" spans="26:34" ht="24" customHeight="1">
      <c r="Z1229"/>
      <c r="AA1229"/>
      <c r="AB1229"/>
      <c r="AC1229"/>
      <c r="AD1229"/>
      <c r="AE1229" s="168" t="str">
        <f t="shared" si="19"/>
        <v/>
      </c>
      <c r="AF1229" s="168">
        <v>0</v>
      </c>
      <c r="AG1229" s="168" t="str" cm="1">
        <f t="array" ref="AG1229">IF(AF1229="","",_xlfn.TEXTSPLIT(AF1229,"-"))</f>
        <v>0</v>
      </c>
      <c r="AH1229" s="168"/>
    </row>
    <row r="1230" spans="26:34" ht="24" customHeight="1">
      <c r="Z1230"/>
      <c r="AA1230"/>
      <c r="AB1230"/>
      <c r="AC1230"/>
      <c r="AD1230"/>
      <c r="AE1230" s="168" t="str">
        <f t="shared" si="19"/>
        <v/>
      </c>
      <c r="AF1230" s="168">
        <v>0</v>
      </c>
      <c r="AG1230" s="168" t="str" cm="1">
        <f t="array" ref="AG1230">IF(AF1230="","",_xlfn.TEXTSPLIT(AF1230,"-"))</f>
        <v>0</v>
      </c>
      <c r="AH1230" s="168"/>
    </row>
    <row r="1231" spans="26:34" ht="24" customHeight="1">
      <c r="Z1231"/>
      <c r="AA1231"/>
      <c r="AB1231"/>
      <c r="AC1231"/>
      <c r="AD1231"/>
      <c r="AE1231" s="168" t="str">
        <f t="shared" si="19"/>
        <v/>
      </c>
      <c r="AF1231" s="168">
        <v>0</v>
      </c>
      <c r="AG1231" s="168" t="str" cm="1">
        <f t="array" ref="AG1231">IF(AF1231="","",_xlfn.TEXTSPLIT(AF1231,"-"))</f>
        <v>0</v>
      </c>
      <c r="AH1231" s="168"/>
    </row>
    <row r="1232" spans="26:34" ht="24" customHeight="1">
      <c r="Z1232"/>
      <c r="AA1232"/>
      <c r="AB1232"/>
      <c r="AC1232"/>
      <c r="AD1232"/>
      <c r="AE1232" s="168" t="str">
        <f t="shared" si="19"/>
        <v/>
      </c>
      <c r="AF1232" s="168">
        <v>0</v>
      </c>
      <c r="AG1232" s="168" t="str" cm="1">
        <f t="array" ref="AG1232">IF(AF1232="","",_xlfn.TEXTSPLIT(AF1232,"-"))</f>
        <v>0</v>
      </c>
      <c r="AH1232" s="168"/>
    </row>
    <row r="1233" spans="26:34" ht="24" customHeight="1">
      <c r="Z1233"/>
      <c r="AA1233"/>
      <c r="AB1233"/>
      <c r="AC1233"/>
      <c r="AD1233"/>
      <c r="AE1233" s="168" t="str">
        <f t="shared" si="19"/>
        <v/>
      </c>
      <c r="AF1233" s="168">
        <v>0</v>
      </c>
      <c r="AG1233" s="168" t="str" cm="1">
        <f t="array" ref="AG1233">IF(AF1233="","",_xlfn.TEXTSPLIT(AF1233,"-"))</f>
        <v>0</v>
      </c>
      <c r="AH1233" s="168"/>
    </row>
    <row r="1234" spans="26:34" ht="24" customHeight="1">
      <c r="Z1234"/>
      <c r="AA1234"/>
      <c r="AB1234"/>
      <c r="AC1234"/>
      <c r="AD1234"/>
      <c r="AE1234" s="168" t="str">
        <f t="shared" si="19"/>
        <v/>
      </c>
      <c r="AF1234" s="168">
        <v>0</v>
      </c>
      <c r="AG1234" s="168" t="str" cm="1">
        <f t="array" ref="AG1234">IF(AF1234="","",_xlfn.TEXTSPLIT(AF1234,"-"))</f>
        <v>0</v>
      </c>
      <c r="AH1234" s="168"/>
    </row>
    <row r="1235" spans="26:34" ht="24" customHeight="1">
      <c r="Z1235"/>
      <c r="AA1235"/>
      <c r="AB1235"/>
      <c r="AC1235"/>
      <c r="AD1235"/>
      <c r="AE1235" s="168" t="str">
        <f t="shared" si="19"/>
        <v/>
      </c>
      <c r="AF1235" s="168">
        <v>0</v>
      </c>
      <c r="AG1235" s="168" t="str" cm="1">
        <f t="array" ref="AG1235">IF(AF1235="","",_xlfn.TEXTSPLIT(AF1235,"-"))</f>
        <v>0</v>
      </c>
      <c r="AH1235" s="168"/>
    </row>
    <row r="1236" spans="26:34" ht="24" customHeight="1">
      <c r="Z1236"/>
      <c r="AA1236"/>
      <c r="AB1236"/>
      <c r="AC1236"/>
      <c r="AD1236"/>
      <c r="AE1236" s="168" t="str">
        <f t="shared" si="19"/>
        <v/>
      </c>
      <c r="AF1236" s="168">
        <v>0</v>
      </c>
      <c r="AG1236" s="168" t="str" cm="1">
        <f t="array" ref="AG1236">IF(AF1236="","",_xlfn.TEXTSPLIT(AF1236,"-"))</f>
        <v>0</v>
      </c>
      <c r="AH1236" s="168"/>
    </row>
    <row r="1237" spans="26:34" ht="24" customHeight="1">
      <c r="Z1237"/>
      <c r="AA1237"/>
      <c r="AB1237"/>
      <c r="AC1237"/>
      <c r="AD1237"/>
      <c r="AE1237" s="168" t="str">
        <f t="shared" si="19"/>
        <v/>
      </c>
      <c r="AF1237" s="168">
        <v>0</v>
      </c>
      <c r="AG1237" s="168" t="str" cm="1">
        <f t="array" ref="AG1237">IF(AF1237="","",_xlfn.TEXTSPLIT(AF1237,"-"))</f>
        <v>0</v>
      </c>
      <c r="AH1237" s="168"/>
    </row>
    <row r="1238" spans="26:34" ht="24" customHeight="1">
      <c r="Z1238"/>
      <c r="AA1238"/>
      <c r="AB1238"/>
      <c r="AC1238"/>
      <c r="AD1238"/>
      <c r="AE1238" s="168" t="str">
        <f t="shared" si="19"/>
        <v/>
      </c>
      <c r="AF1238" s="168">
        <v>0</v>
      </c>
      <c r="AG1238" s="168" t="str" cm="1">
        <f t="array" ref="AG1238">IF(AF1238="","",_xlfn.TEXTSPLIT(AF1238,"-"))</f>
        <v>0</v>
      </c>
      <c r="AH1238" s="168"/>
    </row>
    <row r="1239" spans="26:34" ht="24" customHeight="1">
      <c r="Z1239"/>
      <c r="AA1239"/>
      <c r="AB1239"/>
      <c r="AC1239"/>
      <c r="AD1239"/>
      <c r="AE1239" s="168" t="str">
        <f t="shared" si="19"/>
        <v/>
      </c>
      <c r="AF1239" s="168">
        <v>0</v>
      </c>
      <c r="AG1239" s="168" t="str" cm="1">
        <f t="array" ref="AG1239">IF(AF1239="","",_xlfn.TEXTSPLIT(AF1239,"-"))</f>
        <v>0</v>
      </c>
      <c r="AH1239" s="168"/>
    </row>
    <row r="1240" spans="26:34" ht="24" customHeight="1">
      <c r="Z1240"/>
      <c r="AA1240"/>
      <c r="AB1240"/>
      <c r="AC1240"/>
      <c r="AD1240"/>
      <c r="AE1240" s="168" t="str">
        <f t="shared" si="19"/>
        <v/>
      </c>
      <c r="AF1240" s="168">
        <v>0</v>
      </c>
      <c r="AG1240" s="168" t="str" cm="1">
        <f t="array" ref="AG1240">IF(AF1240="","",_xlfn.TEXTSPLIT(AF1240,"-"))</f>
        <v>0</v>
      </c>
      <c r="AH1240" s="168"/>
    </row>
    <row r="1241" spans="26:34" ht="24" customHeight="1">
      <c r="Z1241"/>
      <c r="AA1241"/>
      <c r="AB1241"/>
      <c r="AC1241"/>
      <c r="AD1241"/>
      <c r="AE1241" s="168" t="str">
        <f t="shared" si="19"/>
        <v/>
      </c>
      <c r="AF1241" s="168">
        <v>0</v>
      </c>
      <c r="AG1241" s="168" t="str" cm="1">
        <f t="array" ref="AG1241">IF(AF1241="","",_xlfn.TEXTSPLIT(AF1241,"-"))</f>
        <v>0</v>
      </c>
      <c r="AH1241" s="168"/>
    </row>
    <row r="1242" spans="26:34" ht="24" customHeight="1">
      <c r="Z1242"/>
      <c r="AA1242"/>
      <c r="AB1242"/>
      <c r="AC1242"/>
      <c r="AD1242"/>
      <c r="AE1242" s="168" t="str">
        <f t="shared" si="19"/>
        <v/>
      </c>
      <c r="AF1242" s="168">
        <v>0</v>
      </c>
      <c r="AG1242" s="168" t="str" cm="1">
        <f t="array" ref="AG1242">IF(AF1242="","",_xlfn.TEXTSPLIT(AF1242,"-"))</f>
        <v>0</v>
      </c>
      <c r="AH1242" s="168"/>
    </row>
    <row r="1243" spans="26:34" ht="24" customHeight="1">
      <c r="Z1243"/>
      <c r="AA1243"/>
      <c r="AB1243"/>
      <c r="AC1243"/>
      <c r="AD1243"/>
      <c r="AE1243" s="168" t="str">
        <f t="shared" si="19"/>
        <v/>
      </c>
      <c r="AF1243" s="168">
        <v>0</v>
      </c>
      <c r="AG1243" s="168" t="str" cm="1">
        <f t="array" ref="AG1243">IF(AF1243="","",_xlfn.TEXTSPLIT(AF1243,"-"))</f>
        <v>0</v>
      </c>
      <c r="AH1243" s="168"/>
    </row>
    <row r="1244" spans="26:34" ht="24" customHeight="1">
      <c r="Z1244"/>
      <c r="AA1244"/>
      <c r="AB1244"/>
      <c r="AC1244"/>
      <c r="AD1244"/>
      <c r="AE1244" s="168" t="str">
        <f t="shared" si="19"/>
        <v/>
      </c>
      <c r="AF1244" s="168">
        <v>0</v>
      </c>
      <c r="AG1244" s="168" t="str" cm="1">
        <f t="array" ref="AG1244">IF(AF1244="","",_xlfn.TEXTSPLIT(AF1244,"-"))</f>
        <v>0</v>
      </c>
      <c r="AH1244" s="168"/>
    </row>
    <row r="1245" spans="26:34" ht="24" customHeight="1">
      <c r="Z1245"/>
      <c r="AA1245"/>
      <c r="AB1245"/>
      <c r="AC1245"/>
      <c r="AD1245"/>
      <c r="AE1245" s="168" t="str">
        <f t="shared" si="19"/>
        <v/>
      </c>
      <c r="AF1245" s="168">
        <v>0</v>
      </c>
      <c r="AG1245" s="168" t="str" cm="1">
        <f t="array" ref="AG1245">IF(AF1245="","",_xlfn.TEXTSPLIT(AF1245,"-"))</f>
        <v>0</v>
      </c>
      <c r="AH1245" s="168"/>
    </row>
    <row r="1246" spans="26:34" ht="24" customHeight="1">
      <c r="Z1246"/>
      <c r="AA1246"/>
      <c r="AB1246"/>
      <c r="AC1246"/>
      <c r="AD1246"/>
      <c r="AE1246" s="168" t="str">
        <f t="shared" si="19"/>
        <v/>
      </c>
      <c r="AF1246" s="168">
        <v>0</v>
      </c>
      <c r="AG1246" s="168" t="str" cm="1">
        <f t="array" ref="AG1246">IF(AF1246="","",_xlfn.TEXTSPLIT(AF1246,"-"))</f>
        <v>0</v>
      </c>
      <c r="AH1246" s="168"/>
    </row>
    <row r="1247" spans="26:34" ht="24" customHeight="1">
      <c r="Z1247"/>
      <c r="AA1247"/>
      <c r="AB1247"/>
      <c r="AC1247"/>
      <c r="AD1247"/>
      <c r="AE1247" s="168" t="str">
        <f t="shared" si="19"/>
        <v/>
      </c>
      <c r="AF1247" s="168">
        <v>0</v>
      </c>
      <c r="AG1247" s="168" t="str" cm="1">
        <f t="array" ref="AG1247">IF(AF1247="","",_xlfn.TEXTSPLIT(AF1247,"-"))</f>
        <v>0</v>
      </c>
      <c r="AH1247" s="168"/>
    </row>
    <row r="1248" spans="26:34" ht="24" customHeight="1">
      <c r="Z1248"/>
      <c r="AA1248"/>
      <c r="AB1248"/>
      <c r="AC1248"/>
      <c r="AD1248"/>
      <c r="AE1248" s="168" t="str">
        <f t="shared" si="19"/>
        <v/>
      </c>
      <c r="AF1248" s="168">
        <v>0</v>
      </c>
      <c r="AG1248" s="168" t="str" cm="1">
        <f t="array" ref="AG1248">IF(AF1248="","",_xlfn.TEXTSPLIT(AF1248,"-"))</f>
        <v>0</v>
      </c>
      <c r="AH1248" s="168"/>
    </row>
    <row r="1249" spans="26:34" ht="24" customHeight="1">
      <c r="Z1249"/>
      <c r="AA1249"/>
      <c r="AB1249"/>
      <c r="AC1249"/>
      <c r="AD1249"/>
      <c r="AE1249" s="168" t="str">
        <f t="shared" si="19"/>
        <v/>
      </c>
      <c r="AF1249" s="168">
        <v>0</v>
      </c>
      <c r="AG1249" s="168" t="str" cm="1">
        <f t="array" ref="AG1249">IF(AF1249="","",_xlfn.TEXTSPLIT(AF1249,"-"))</f>
        <v>0</v>
      </c>
      <c r="AH1249" s="168"/>
    </row>
    <row r="1250" spans="26:34" ht="24" customHeight="1">
      <c r="Z1250"/>
      <c r="AA1250"/>
      <c r="AB1250"/>
      <c r="AC1250"/>
      <c r="AD1250"/>
      <c r="AE1250" s="168" t="str">
        <f t="shared" si="19"/>
        <v/>
      </c>
      <c r="AF1250" s="168">
        <v>0</v>
      </c>
      <c r="AG1250" s="168" t="str" cm="1">
        <f t="array" ref="AG1250">IF(AF1250="","",_xlfn.TEXTSPLIT(AF1250,"-"))</f>
        <v>0</v>
      </c>
      <c r="AH1250" s="168"/>
    </row>
    <row r="1251" spans="26:34" ht="24" customHeight="1">
      <c r="Z1251"/>
      <c r="AA1251"/>
      <c r="AB1251"/>
      <c r="AC1251"/>
      <c r="AD1251"/>
      <c r="AE1251" s="168" t="str">
        <f t="shared" si="19"/>
        <v/>
      </c>
      <c r="AF1251" s="168">
        <v>0</v>
      </c>
      <c r="AG1251" s="168" t="str" cm="1">
        <f t="array" ref="AG1251">IF(AF1251="","",_xlfn.TEXTSPLIT(AF1251,"-"))</f>
        <v>0</v>
      </c>
      <c r="AH1251" s="168"/>
    </row>
    <row r="1252" spans="26:34" ht="24" customHeight="1">
      <c r="Z1252"/>
      <c r="AA1252"/>
      <c r="AB1252"/>
      <c r="AC1252"/>
      <c r="AD1252"/>
      <c r="AE1252" s="168" t="str">
        <f t="shared" si="19"/>
        <v/>
      </c>
      <c r="AF1252" s="168">
        <v>0</v>
      </c>
      <c r="AG1252" s="168" t="str" cm="1">
        <f t="array" ref="AG1252">IF(AF1252="","",_xlfn.TEXTSPLIT(AF1252,"-"))</f>
        <v>0</v>
      </c>
      <c r="AH1252" s="168"/>
    </row>
    <row r="1253" spans="26:34" ht="24" customHeight="1">
      <c r="Z1253"/>
      <c r="AA1253"/>
      <c r="AB1253"/>
      <c r="AC1253"/>
      <c r="AD1253"/>
      <c r="AE1253" s="168" t="str">
        <f t="shared" si="19"/>
        <v/>
      </c>
      <c r="AF1253" s="168">
        <v>0</v>
      </c>
      <c r="AG1253" s="168" t="str" cm="1">
        <f t="array" ref="AG1253">IF(AF1253="","",_xlfn.TEXTSPLIT(AF1253,"-"))</f>
        <v>0</v>
      </c>
      <c r="AH1253" s="168"/>
    </row>
    <row r="1254" spans="26:34" ht="24" customHeight="1">
      <c r="Z1254"/>
      <c r="AA1254"/>
      <c r="AB1254"/>
      <c r="AC1254"/>
      <c r="AD1254"/>
      <c r="AE1254" s="168" t="str">
        <f t="shared" si="19"/>
        <v/>
      </c>
      <c r="AF1254" s="168">
        <v>0</v>
      </c>
      <c r="AG1254" s="168" t="str" cm="1">
        <f t="array" ref="AG1254">IF(AF1254="","",_xlfn.TEXTSPLIT(AF1254,"-"))</f>
        <v>0</v>
      </c>
      <c r="AH1254" s="168"/>
    </row>
    <row r="1255" spans="26:34" ht="24" customHeight="1">
      <c r="Z1255"/>
      <c r="AA1255"/>
      <c r="AB1255"/>
      <c r="AC1255"/>
      <c r="AD1255"/>
      <c r="AE1255" s="168" t="str">
        <f t="shared" si="19"/>
        <v/>
      </c>
      <c r="AF1255" s="168">
        <v>0</v>
      </c>
      <c r="AG1255" s="168" t="str" cm="1">
        <f t="array" ref="AG1255">IF(AF1255="","",_xlfn.TEXTSPLIT(AF1255,"-"))</f>
        <v>0</v>
      </c>
      <c r="AH1255" s="168"/>
    </row>
    <row r="1256" spans="26:34" ht="24" customHeight="1">
      <c r="Z1256"/>
      <c r="AA1256"/>
      <c r="AB1256"/>
      <c r="AC1256"/>
      <c r="AD1256"/>
      <c r="AE1256" s="168" t="str">
        <f t="shared" si="19"/>
        <v/>
      </c>
      <c r="AF1256" s="168">
        <v>0</v>
      </c>
      <c r="AG1256" s="168" t="str" cm="1">
        <f t="array" ref="AG1256">IF(AF1256="","",_xlfn.TEXTSPLIT(AF1256,"-"))</f>
        <v>0</v>
      </c>
      <c r="AH1256" s="168"/>
    </row>
    <row r="1257" spans="26:34" ht="24" customHeight="1">
      <c r="Z1257"/>
      <c r="AA1257"/>
      <c r="AB1257"/>
      <c r="AC1257"/>
      <c r="AD1257"/>
      <c r="AE1257" s="168" t="str">
        <f t="shared" si="19"/>
        <v/>
      </c>
      <c r="AF1257" s="168">
        <v>0</v>
      </c>
      <c r="AG1257" s="168" t="str" cm="1">
        <f t="array" ref="AG1257">IF(AF1257="","",_xlfn.TEXTSPLIT(AF1257,"-"))</f>
        <v>0</v>
      </c>
      <c r="AH1257" s="168"/>
    </row>
    <row r="1258" spans="26:34" ht="24" customHeight="1">
      <c r="Z1258"/>
      <c r="AA1258"/>
      <c r="AB1258"/>
      <c r="AC1258"/>
      <c r="AD1258"/>
      <c r="AE1258" s="168" t="str">
        <f t="shared" si="19"/>
        <v/>
      </c>
      <c r="AF1258" s="168">
        <v>0</v>
      </c>
      <c r="AG1258" s="168" t="str" cm="1">
        <f t="array" ref="AG1258">IF(AF1258="","",_xlfn.TEXTSPLIT(AF1258,"-"))</f>
        <v>0</v>
      </c>
      <c r="AH1258" s="168"/>
    </row>
    <row r="1259" spans="26:34" ht="24" customHeight="1">
      <c r="Z1259"/>
      <c r="AA1259"/>
      <c r="AB1259"/>
      <c r="AC1259"/>
      <c r="AD1259"/>
      <c r="AE1259" s="168" t="str">
        <f t="shared" si="19"/>
        <v/>
      </c>
      <c r="AF1259" s="168">
        <v>0</v>
      </c>
      <c r="AG1259" s="168" t="str" cm="1">
        <f t="array" ref="AG1259">IF(AF1259="","",_xlfn.TEXTSPLIT(AF1259,"-"))</f>
        <v>0</v>
      </c>
      <c r="AH1259" s="168"/>
    </row>
    <row r="1260" spans="26:34" ht="24" customHeight="1">
      <c r="Z1260"/>
      <c r="AA1260"/>
      <c r="AB1260"/>
      <c r="AC1260"/>
      <c r="AD1260"/>
      <c r="AE1260" s="168" t="str">
        <f t="shared" si="19"/>
        <v/>
      </c>
      <c r="AF1260" s="168">
        <v>0</v>
      </c>
      <c r="AG1260" s="168" t="str" cm="1">
        <f t="array" ref="AG1260">IF(AF1260="","",_xlfn.TEXTSPLIT(AF1260,"-"))</f>
        <v>0</v>
      </c>
      <c r="AH1260" s="168"/>
    </row>
    <row r="1261" spans="26:34" ht="24" customHeight="1">
      <c r="Z1261"/>
      <c r="AA1261"/>
      <c r="AB1261"/>
      <c r="AC1261"/>
      <c r="AD1261"/>
      <c r="AE1261" s="168" t="str">
        <f t="shared" si="19"/>
        <v/>
      </c>
      <c r="AF1261" s="168">
        <v>0</v>
      </c>
      <c r="AG1261" s="168" t="str" cm="1">
        <f t="array" ref="AG1261">IF(AF1261="","",_xlfn.TEXTSPLIT(AF1261,"-"))</f>
        <v>0</v>
      </c>
      <c r="AH1261" s="168"/>
    </row>
    <row r="1262" spans="26:34" ht="24" customHeight="1">
      <c r="Z1262"/>
      <c r="AA1262"/>
      <c r="AB1262"/>
      <c r="AC1262"/>
      <c r="AD1262"/>
      <c r="AE1262" s="168" t="str">
        <f t="shared" si="19"/>
        <v/>
      </c>
      <c r="AF1262" s="168">
        <v>0</v>
      </c>
      <c r="AG1262" s="168" t="str" cm="1">
        <f t="array" ref="AG1262">IF(AF1262="","",_xlfn.TEXTSPLIT(AF1262,"-"))</f>
        <v>0</v>
      </c>
      <c r="AH1262" s="168"/>
    </row>
    <row r="1263" spans="26:34" ht="24" customHeight="1">
      <c r="Z1263"/>
      <c r="AA1263"/>
      <c r="AB1263"/>
      <c r="AC1263"/>
      <c r="AD1263"/>
      <c r="AE1263" s="168" t="str">
        <f t="shared" si="19"/>
        <v/>
      </c>
      <c r="AF1263" s="168">
        <v>0</v>
      </c>
      <c r="AG1263" s="168" t="str" cm="1">
        <f t="array" ref="AG1263">IF(AF1263="","",_xlfn.TEXTSPLIT(AF1263,"-"))</f>
        <v>0</v>
      </c>
      <c r="AH1263" s="168"/>
    </row>
    <row r="1264" spans="26:34" ht="24" customHeight="1">
      <c r="Z1264"/>
      <c r="AA1264"/>
      <c r="AB1264"/>
      <c r="AC1264"/>
      <c r="AD1264"/>
      <c r="AE1264" s="168" t="str">
        <f t="shared" si="19"/>
        <v/>
      </c>
      <c r="AF1264" s="168">
        <v>0</v>
      </c>
      <c r="AG1264" s="168" t="str" cm="1">
        <f t="array" ref="AG1264">IF(AF1264="","",_xlfn.TEXTSPLIT(AF1264,"-"))</f>
        <v>0</v>
      </c>
      <c r="AH1264" s="168"/>
    </row>
    <row r="1265" spans="26:34" ht="24" customHeight="1">
      <c r="Z1265"/>
      <c r="AA1265"/>
      <c r="AB1265"/>
      <c r="AC1265"/>
      <c r="AD1265"/>
      <c r="AE1265" s="168" t="str">
        <f t="shared" si="19"/>
        <v/>
      </c>
      <c r="AF1265" s="168">
        <v>0</v>
      </c>
      <c r="AG1265" s="168" t="str" cm="1">
        <f t="array" ref="AG1265">IF(AF1265="","",_xlfn.TEXTSPLIT(AF1265,"-"))</f>
        <v>0</v>
      </c>
      <c r="AH1265" s="168"/>
    </row>
    <row r="1266" spans="26:34" ht="24" customHeight="1">
      <c r="Z1266"/>
      <c r="AA1266"/>
      <c r="AB1266"/>
      <c r="AC1266"/>
      <c r="AD1266"/>
      <c r="AE1266" s="168" t="str">
        <f t="shared" si="19"/>
        <v/>
      </c>
      <c r="AF1266" s="168">
        <v>0</v>
      </c>
      <c r="AG1266" s="168" t="str" cm="1">
        <f t="array" ref="AG1266">IF(AF1266="","",_xlfn.TEXTSPLIT(AF1266,"-"))</f>
        <v>0</v>
      </c>
      <c r="AH1266" s="168"/>
    </row>
    <row r="1267" spans="26:34" ht="24" customHeight="1">
      <c r="Z1267"/>
      <c r="AA1267"/>
      <c r="AB1267"/>
      <c r="AC1267"/>
      <c r="AD1267"/>
      <c r="AE1267" s="168" t="str">
        <f t="shared" si="19"/>
        <v/>
      </c>
      <c r="AF1267" s="168">
        <v>0</v>
      </c>
      <c r="AG1267" s="168" t="str" cm="1">
        <f t="array" ref="AG1267">IF(AF1267="","",_xlfn.TEXTSPLIT(AF1267,"-"))</f>
        <v>0</v>
      </c>
      <c r="AH1267" s="168"/>
    </row>
    <row r="1268" spans="26:34" ht="24" customHeight="1">
      <c r="Z1268"/>
      <c r="AA1268"/>
      <c r="AB1268"/>
      <c r="AC1268"/>
      <c r="AD1268"/>
      <c r="AE1268" s="168" t="str">
        <f t="shared" si="19"/>
        <v/>
      </c>
      <c r="AF1268" s="168">
        <v>0</v>
      </c>
      <c r="AG1268" s="168" t="str" cm="1">
        <f t="array" ref="AG1268">IF(AF1268="","",_xlfn.TEXTSPLIT(AF1268,"-"))</f>
        <v>0</v>
      </c>
      <c r="AH1268" s="168"/>
    </row>
    <row r="1269" spans="26:34" ht="24" customHeight="1">
      <c r="Z1269"/>
      <c r="AA1269"/>
      <c r="AB1269"/>
      <c r="AC1269"/>
      <c r="AD1269"/>
      <c r="AE1269" s="168" t="str">
        <f t="shared" si="19"/>
        <v/>
      </c>
      <c r="AF1269" s="168">
        <v>0</v>
      </c>
      <c r="AG1269" s="168" t="str" cm="1">
        <f t="array" ref="AG1269">IF(AF1269="","",_xlfn.TEXTSPLIT(AF1269,"-"))</f>
        <v>0</v>
      </c>
      <c r="AH1269" s="168"/>
    </row>
    <row r="1270" spans="26:34" ht="24" customHeight="1">
      <c r="Z1270"/>
      <c r="AA1270"/>
      <c r="AB1270"/>
      <c r="AC1270"/>
      <c r="AD1270"/>
      <c r="AE1270" s="168" t="str">
        <f t="shared" si="19"/>
        <v/>
      </c>
      <c r="AF1270" s="168">
        <v>0</v>
      </c>
      <c r="AG1270" s="168" t="str" cm="1">
        <f t="array" ref="AG1270">IF(AF1270="","",_xlfn.TEXTSPLIT(AF1270,"-"))</f>
        <v>0</v>
      </c>
      <c r="AH1270" s="168"/>
    </row>
    <row r="1271" spans="26:34" ht="24" customHeight="1">
      <c r="Z1271"/>
      <c r="AA1271"/>
      <c r="AB1271"/>
      <c r="AC1271"/>
      <c r="AD1271"/>
      <c r="AE1271" s="168" t="str">
        <f t="shared" si="19"/>
        <v/>
      </c>
      <c r="AF1271" s="168">
        <v>0</v>
      </c>
      <c r="AG1271" s="168" t="str" cm="1">
        <f t="array" ref="AG1271">IF(AF1271="","",_xlfn.TEXTSPLIT(AF1271,"-"))</f>
        <v>0</v>
      </c>
      <c r="AH1271" s="168"/>
    </row>
    <row r="1272" spans="26:34" ht="24" customHeight="1">
      <c r="Z1272"/>
      <c r="AA1272"/>
      <c r="AB1272"/>
      <c r="AC1272"/>
      <c r="AD1272"/>
      <c r="AE1272" s="168" t="str">
        <f t="shared" si="19"/>
        <v/>
      </c>
      <c r="AF1272" s="168">
        <v>0</v>
      </c>
      <c r="AG1272" s="168" t="str" cm="1">
        <f t="array" ref="AG1272">IF(AF1272="","",_xlfn.TEXTSPLIT(AF1272,"-"))</f>
        <v>0</v>
      </c>
      <c r="AH1272" s="168"/>
    </row>
    <row r="1273" spans="26:34" ht="24" customHeight="1">
      <c r="Z1273"/>
      <c r="AA1273"/>
      <c r="AB1273"/>
      <c r="AC1273"/>
      <c r="AD1273"/>
      <c r="AE1273" s="168" t="str">
        <f t="shared" si="19"/>
        <v/>
      </c>
      <c r="AF1273" s="168">
        <v>0</v>
      </c>
      <c r="AG1273" s="168" t="str" cm="1">
        <f t="array" ref="AG1273">IF(AF1273="","",_xlfn.TEXTSPLIT(AF1273,"-"))</f>
        <v>0</v>
      </c>
      <c r="AH1273" s="168"/>
    </row>
    <row r="1274" spans="26:34" ht="24" customHeight="1">
      <c r="Z1274"/>
      <c r="AA1274"/>
      <c r="AB1274"/>
      <c r="AC1274"/>
      <c r="AD1274"/>
      <c r="AE1274" s="168" t="str">
        <f t="shared" si="19"/>
        <v/>
      </c>
      <c r="AF1274" s="168">
        <v>0</v>
      </c>
      <c r="AG1274" s="168" t="str" cm="1">
        <f t="array" ref="AG1274">IF(AF1274="","",_xlfn.TEXTSPLIT(AF1274,"-"))</f>
        <v>0</v>
      </c>
      <c r="AH1274" s="168"/>
    </row>
    <row r="1275" spans="26:34" ht="24" customHeight="1">
      <c r="Z1275"/>
      <c r="AA1275"/>
      <c r="AB1275"/>
      <c r="AC1275"/>
      <c r="AD1275"/>
      <c r="AE1275" s="168" t="str">
        <f t="shared" si="19"/>
        <v/>
      </c>
      <c r="AF1275" s="168">
        <v>0</v>
      </c>
      <c r="AG1275" s="168" t="str" cm="1">
        <f t="array" ref="AG1275">IF(AF1275="","",_xlfn.TEXTSPLIT(AF1275,"-"))</f>
        <v>0</v>
      </c>
      <c r="AH1275" s="168"/>
    </row>
    <row r="1276" spans="26:34" ht="24" customHeight="1">
      <c r="Z1276"/>
      <c r="AA1276"/>
      <c r="AB1276"/>
      <c r="AC1276"/>
      <c r="AD1276"/>
      <c r="AE1276" s="168" t="str">
        <f t="shared" si="19"/>
        <v/>
      </c>
      <c r="AF1276" s="168">
        <v>0</v>
      </c>
      <c r="AG1276" s="168" t="str" cm="1">
        <f t="array" ref="AG1276">IF(AF1276="","",_xlfn.TEXTSPLIT(AF1276,"-"))</f>
        <v>0</v>
      </c>
      <c r="AH1276" s="168"/>
    </row>
    <row r="1277" spans="26:34" ht="24" customHeight="1">
      <c r="Z1277"/>
      <c r="AA1277"/>
      <c r="AB1277"/>
      <c r="AC1277"/>
      <c r="AD1277"/>
      <c r="AE1277" s="168" t="str">
        <f t="shared" si="19"/>
        <v/>
      </c>
      <c r="AF1277" s="168">
        <v>0</v>
      </c>
      <c r="AG1277" s="168" t="str" cm="1">
        <f t="array" ref="AG1277">IF(AF1277="","",_xlfn.TEXTSPLIT(AF1277,"-"))</f>
        <v>0</v>
      </c>
      <c r="AH1277" s="168"/>
    </row>
    <row r="1278" spans="26:34" ht="24" customHeight="1">
      <c r="Z1278"/>
      <c r="AA1278"/>
      <c r="AB1278"/>
      <c r="AC1278"/>
      <c r="AD1278"/>
      <c r="AE1278" s="168" t="str">
        <f t="shared" si="19"/>
        <v/>
      </c>
      <c r="AF1278" s="168">
        <v>0</v>
      </c>
      <c r="AG1278" s="168" t="str" cm="1">
        <f t="array" ref="AG1278">IF(AF1278="","",_xlfn.TEXTSPLIT(AF1278,"-"))</f>
        <v>0</v>
      </c>
      <c r="AH1278" s="168"/>
    </row>
    <row r="1279" spans="26:34" ht="24" customHeight="1">
      <c r="Z1279"/>
      <c r="AA1279"/>
      <c r="AB1279"/>
      <c r="AC1279"/>
      <c r="AD1279"/>
      <c r="AE1279" s="168" t="str">
        <f t="shared" si="19"/>
        <v/>
      </c>
      <c r="AF1279" s="168">
        <v>0</v>
      </c>
      <c r="AG1279" s="168" t="str" cm="1">
        <f t="array" ref="AG1279">IF(AF1279="","",_xlfn.TEXTSPLIT(AF1279,"-"))</f>
        <v>0</v>
      </c>
      <c r="AH1279" s="168"/>
    </row>
    <row r="1280" spans="26:34" ht="24" customHeight="1">
      <c r="Z1280"/>
      <c r="AA1280"/>
      <c r="AB1280"/>
      <c r="AC1280"/>
      <c r="AD1280"/>
      <c r="AE1280" s="168" t="str">
        <f t="shared" si="19"/>
        <v/>
      </c>
      <c r="AF1280" s="168">
        <v>0</v>
      </c>
      <c r="AG1280" s="168" t="str" cm="1">
        <f t="array" ref="AG1280">IF(AF1280="","",_xlfn.TEXTSPLIT(AF1280,"-"))</f>
        <v>0</v>
      </c>
      <c r="AH1280" s="168"/>
    </row>
    <row r="1281" spans="26:34" ht="24" customHeight="1">
      <c r="Z1281"/>
      <c r="AA1281"/>
      <c r="AB1281"/>
      <c r="AC1281"/>
      <c r="AD1281"/>
      <c r="AE1281" s="168" t="str">
        <f t="shared" si="19"/>
        <v/>
      </c>
      <c r="AF1281" s="168">
        <v>0</v>
      </c>
      <c r="AG1281" s="168" t="str" cm="1">
        <f t="array" ref="AG1281">IF(AF1281="","",_xlfn.TEXTSPLIT(AF1281,"-"))</f>
        <v>0</v>
      </c>
      <c r="AH1281" s="168"/>
    </row>
    <row r="1282" spans="26:34" ht="24" customHeight="1">
      <c r="Z1282"/>
      <c r="AA1282"/>
      <c r="AB1282"/>
      <c r="AC1282"/>
      <c r="AD1282"/>
      <c r="AE1282" s="168" t="str">
        <f t="shared" si="19"/>
        <v/>
      </c>
      <c r="AF1282" s="168">
        <v>0</v>
      </c>
      <c r="AG1282" s="168" t="str" cm="1">
        <f t="array" ref="AG1282">IF(AF1282="","",_xlfn.TEXTSPLIT(AF1282,"-"))</f>
        <v>0</v>
      </c>
      <c r="AH1282" s="168"/>
    </row>
    <row r="1283" spans="26:34" ht="24" customHeight="1">
      <c r="Z1283"/>
      <c r="AA1283"/>
      <c r="AB1283"/>
      <c r="AC1283"/>
      <c r="AD1283"/>
      <c r="AE1283" s="168" t="str">
        <f t="shared" si="19"/>
        <v/>
      </c>
      <c r="AF1283" s="168">
        <v>0</v>
      </c>
      <c r="AG1283" s="168" t="str" cm="1">
        <f t="array" ref="AG1283">IF(AF1283="","",_xlfn.TEXTSPLIT(AF1283,"-"))</f>
        <v>0</v>
      </c>
      <c r="AH1283" s="168"/>
    </row>
    <row r="1284" spans="26:34" ht="24" customHeight="1">
      <c r="Z1284"/>
      <c r="AA1284"/>
      <c r="AB1284"/>
      <c r="AC1284"/>
      <c r="AD1284"/>
      <c r="AE1284" s="168" t="str">
        <f t="shared" si="19"/>
        <v/>
      </c>
      <c r="AF1284" s="168">
        <v>0</v>
      </c>
      <c r="AG1284" s="168" t="str" cm="1">
        <f t="array" ref="AG1284">IF(AF1284="","",_xlfn.TEXTSPLIT(AF1284,"-"))</f>
        <v>0</v>
      </c>
      <c r="AH1284" s="168"/>
    </row>
    <row r="1285" spans="26:34" ht="24" customHeight="1">
      <c r="Z1285"/>
      <c r="AA1285"/>
      <c r="AB1285"/>
      <c r="AC1285"/>
      <c r="AD1285"/>
      <c r="AE1285" s="168" t="str">
        <f t="shared" ref="AE1285:AE1348" si="20">IF(AH1285="","",AH1285*1)</f>
        <v/>
      </c>
      <c r="AF1285" s="168">
        <v>0</v>
      </c>
      <c r="AG1285" s="168" t="str" cm="1">
        <f t="array" ref="AG1285">IF(AF1285="","",_xlfn.TEXTSPLIT(AF1285,"-"))</f>
        <v>0</v>
      </c>
      <c r="AH1285" s="168"/>
    </row>
    <row r="1286" spans="26:34" ht="24" customHeight="1">
      <c r="Z1286"/>
      <c r="AA1286"/>
      <c r="AB1286"/>
      <c r="AC1286"/>
      <c r="AD1286"/>
      <c r="AE1286" s="168" t="str">
        <f t="shared" si="20"/>
        <v/>
      </c>
      <c r="AF1286" s="168">
        <v>0</v>
      </c>
      <c r="AG1286" s="168" t="str" cm="1">
        <f t="array" ref="AG1286">IF(AF1286="","",_xlfn.TEXTSPLIT(AF1286,"-"))</f>
        <v>0</v>
      </c>
      <c r="AH1286" s="168"/>
    </row>
    <row r="1287" spans="26:34" ht="24" customHeight="1">
      <c r="Z1287"/>
      <c r="AA1287"/>
      <c r="AB1287"/>
      <c r="AC1287"/>
      <c r="AD1287"/>
      <c r="AE1287" s="168" t="str">
        <f t="shared" si="20"/>
        <v/>
      </c>
      <c r="AF1287" s="168">
        <v>0</v>
      </c>
      <c r="AG1287" s="168" t="str" cm="1">
        <f t="array" ref="AG1287">IF(AF1287="","",_xlfn.TEXTSPLIT(AF1287,"-"))</f>
        <v>0</v>
      </c>
      <c r="AH1287" s="168"/>
    </row>
    <row r="1288" spans="26:34" ht="24" customHeight="1">
      <c r="Z1288"/>
      <c r="AA1288"/>
      <c r="AB1288"/>
      <c r="AC1288"/>
      <c r="AD1288"/>
      <c r="AE1288" s="168" t="str">
        <f t="shared" si="20"/>
        <v/>
      </c>
      <c r="AF1288" s="168">
        <v>0</v>
      </c>
      <c r="AG1288" s="168" t="str" cm="1">
        <f t="array" ref="AG1288">IF(AF1288="","",_xlfn.TEXTSPLIT(AF1288,"-"))</f>
        <v>0</v>
      </c>
      <c r="AH1288" s="168"/>
    </row>
    <row r="1289" spans="26:34" ht="24" customHeight="1">
      <c r="Z1289"/>
      <c r="AA1289"/>
      <c r="AB1289"/>
      <c r="AC1289"/>
      <c r="AD1289"/>
      <c r="AE1289" s="168" t="str">
        <f t="shared" si="20"/>
        <v/>
      </c>
      <c r="AF1289" s="168">
        <v>0</v>
      </c>
      <c r="AG1289" s="168" t="str" cm="1">
        <f t="array" ref="AG1289">IF(AF1289="","",_xlfn.TEXTSPLIT(AF1289,"-"))</f>
        <v>0</v>
      </c>
      <c r="AH1289" s="168"/>
    </row>
    <row r="1290" spans="26:34" ht="24" customHeight="1">
      <c r="Z1290"/>
      <c r="AA1290"/>
      <c r="AB1290"/>
      <c r="AC1290"/>
      <c r="AD1290"/>
      <c r="AE1290" s="168" t="str">
        <f t="shared" si="20"/>
        <v/>
      </c>
      <c r="AF1290" s="168">
        <v>0</v>
      </c>
      <c r="AG1290" s="168" t="str" cm="1">
        <f t="array" ref="AG1290">IF(AF1290="","",_xlfn.TEXTSPLIT(AF1290,"-"))</f>
        <v>0</v>
      </c>
      <c r="AH1290" s="168"/>
    </row>
    <row r="1291" spans="26:34" ht="24" customHeight="1">
      <c r="Z1291"/>
      <c r="AA1291"/>
      <c r="AB1291"/>
      <c r="AC1291"/>
      <c r="AD1291"/>
      <c r="AE1291" s="168" t="str">
        <f t="shared" si="20"/>
        <v/>
      </c>
      <c r="AF1291" s="168">
        <v>0</v>
      </c>
      <c r="AG1291" s="168" t="str" cm="1">
        <f t="array" ref="AG1291">IF(AF1291="","",_xlfn.TEXTSPLIT(AF1291,"-"))</f>
        <v>0</v>
      </c>
      <c r="AH1291" s="168"/>
    </row>
    <row r="1292" spans="26:34" ht="24" customHeight="1">
      <c r="Z1292"/>
      <c r="AA1292"/>
      <c r="AB1292"/>
      <c r="AC1292"/>
      <c r="AD1292"/>
      <c r="AE1292" s="168" t="str">
        <f t="shared" si="20"/>
        <v/>
      </c>
      <c r="AF1292" s="168">
        <v>0</v>
      </c>
      <c r="AG1292" s="168" t="str" cm="1">
        <f t="array" ref="AG1292">IF(AF1292="","",_xlfn.TEXTSPLIT(AF1292,"-"))</f>
        <v>0</v>
      </c>
      <c r="AH1292" s="168"/>
    </row>
    <row r="1293" spans="26:34" ht="24" customHeight="1">
      <c r="Z1293"/>
      <c r="AA1293"/>
      <c r="AB1293"/>
      <c r="AC1293"/>
      <c r="AD1293"/>
      <c r="AE1293" s="168" t="str">
        <f t="shared" si="20"/>
        <v/>
      </c>
      <c r="AF1293" s="168">
        <v>0</v>
      </c>
      <c r="AG1293" s="168" t="str" cm="1">
        <f t="array" ref="AG1293">IF(AF1293="","",_xlfn.TEXTSPLIT(AF1293,"-"))</f>
        <v>0</v>
      </c>
      <c r="AH1293" s="168"/>
    </row>
    <row r="1294" spans="26:34" ht="24" customHeight="1">
      <c r="Z1294"/>
      <c r="AA1294"/>
      <c r="AB1294"/>
      <c r="AC1294"/>
      <c r="AD1294"/>
      <c r="AE1294" s="168" t="str">
        <f t="shared" si="20"/>
        <v/>
      </c>
      <c r="AF1294" s="168">
        <v>0</v>
      </c>
      <c r="AG1294" s="168" t="str" cm="1">
        <f t="array" ref="AG1294">IF(AF1294="","",_xlfn.TEXTSPLIT(AF1294,"-"))</f>
        <v>0</v>
      </c>
      <c r="AH1294" s="168"/>
    </row>
    <row r="1295" spans="26:34" ht="24" customHeight="1">
      <c r="Z1295"/>
      <c r="AA1295"/>
      <c r="AB1295"/>
      <c r="AC1295"/>
      <c r="AD1295"/>
      <c r="AE1295" s="168" t="str">
        <f t="shared" si="20"/>
        <v/>
      </c>
      <c r="AF1295" s="168">
        <v>0</v>
      </c>
      <c r="AG1295" s="168" t="str" cm="1">
        <f t="array" ref="AG1295">IF(AF1295="","",_xlfn.TEXTSPLIT(AF1295,"-"))</f>
        <v>0</v>
      </c>
      <c r="AH1295" s="168"/>
    </row>
    <row r="1296" spans="26:34" ht="24" customHeight="1">
      <c r="Z1296"/>
      <c r="AA1296"/>
      <c r="AB1296"/>
      <c r="AC1296"/>
      <c r="AD1296"/>
      <c r="AE1296" s="168" t="str">
        <f t="shared" si="20"/>
        <v/>
      </c>
      <c r="AF1296" s="168">
        <v>0</v>
      </c>
      <c r="AG1296" s="168" t="str" cm="1">
        <f t="array" ref="AG1296">IF(AF1296="","",_xlfn.TEXTSPLIT(AF1296,"-"))</f>
        <v>0</v>
      </c>
      <c r="AH1296" s="168"/>
    </row>
    <row r="1297" spans="26:34" ht="24" customHeight="1">
      <c r="Z1297"/>
      <c r="AA1297"/>
      <c r="AB1297"/>
      <c r="AC1297"/>
      <c r="AD1297"/>
      <c r="AE1297" s="168" t="str">
        <f t="shared" si="20"/>
        <v/>
      </c>
      <c r="AF1297" s="168">
        <v>0</v>
      </c>
      <c r="AG1297" s="168" t="str" cm="1">
        <f t="array" ref="AG1297">IF(AF1297="","",_xlfn.TEXTSPLIT(AF1297,"-"))</f>
        <v>0</v>
      </c>
      <c r="AH1297" s="168"/>
    </row>
    <row r="1298" spans="26:34" ht="24" customHeight="1">
      <c r="Z1298"/>
      <c r="AA1298"/>
      <c r="AB1298"/>
      <c r="AC1298"/>
      <c r="AD1298"/>
      <c r="AE1298" s="168" t="str">
        <f t="shared" si="20"/>
        <v/>
      </c>
      <c r="AF1298" s="168">
        <v>0</v>
      </c>
      <c r="AG1298" s="168" t="str" cm="1">
        <f t="array" ref="AG1298">IF(AF1298="","",_xlfn.TEXTSPLIT(AF1298,"-"))</f>
        <v>0</v>
      </c>
      <c r="AH1298" s="168"/>
    </row>
    <row r="1299" spans="26:34" ht="24" customHeight="1">
      <c r="Z1299"/>
      <c r="AA1299"/>
      <c r="AB1299"/>
      <c r="AC1299"/>
      <c r="AD1299"/>
      <c r="AE1299" s="168" t="str">
        <f t="shared" si="20"/>
        <v/>
      </c>
      <c r="AF1299" s="168">
        <v>0</v>
      </c>
      <c r="AG1299" s="168" t="str" cm="1">
        <f t="array" ref="AG1299">IF(AF1299="","",_xlfn.TEXTSPLIT(AF1299,"-"))</f>
        <v>0</v>
      </c>
      <c r="AH1299" s="168"/>
    </row>
    <row r="1300" spans="26:34" ht="24" customHeight="1">
      <c r="Z1300"/>
      <c r="AA1300"/>
      <c r="AB1300"/>
      <c r="AC1300"/>
      <c r="AD1300"/>
      <c r="AE1300" s="168" t="str">
        <f t="shared" si="20"/>
        <v/>
      </c>
      <c r="AF1300" s="168">
        <v>0</v>
      </c>
      <c r="AG1300" s="168" t="str" cm="1">
        <f t="array" ref="AG1300">IF(AF1300="","",_xlfn.TEXTSPLIT(AF1300,"-"))</f>
        <v>0</v>
      </c>
      <c r="AH1300" s="168"/>
    </row>
    <row r="1301" spans="26:34" ht="24" customHeight="1">
      <c r="Z1301"/>
      <c r="AA1301"/>
      <c r="AB1301"/>
      <c r="AC1301"/>
      <c r="AD1301"/>
      <c r="AE1301" s="168" t="str">
        <f t="shared" si="20"/>
        <v/>
      </c>
      <c r="AF1301" s="168">
        <v>0</v>
      </c>
      <c r="AG1301" s="168" t="str" cm="1">
        <f t="array" ref="AG1301">IF(AF1301="","",_xlfn.TEXTSPLIT(AF1301,"-"))</f>
        <v>0</v>
      </c>
      <c r="AH1301" s="168"/>
    </row>
    <row r="1302" spans="26:34" ht="24" customHeight="1">
      <c r="Z1302"/>
      <c r="AA1302"/>
      <c r="AB1302"/>
      <c r="AC1302"/>
      <c r="AD1302"/>
      <c r="AE1302" s="168" t="str">
        <f t="shared" si="20"/>
        <v/>
      </c>
      <c r="AF1302" s="168">
        <v>0</v>
      </c>
      <c r="AG1302" s="168" t="str" cm="1">
        <f t="array" ref="AG1302">IF(AF1302="","",_xlfn.TEXTSPLIT(AF1302,"-"))</f>
        <v>0</v>
      </c>
      <c r="AH1302" s="168"/>
    </row>
    <row r="1303" spans="26:34" ht="24" customHeight="1">
      <c r="Z1303"/>
      <c r="AA1303"/>
      <c r="AB1303"/>
      <c r="AC1303"/>
      <c r="AD1303"/>
      <c r="AE1303" s="168" t="str">
        <f t="shared" si="20"/>
        <v/>
      </c>
      <c r="AF1303" s="168">
        <v>0</v>
      </c>
      <c r="AG1303" s="168" t="str" cm="1">
        <f t="array" ref="AG1303">IF(AF1303="","",_xlfn.TEXTSPLIT(AF1303,"-"))</f>
        <v>0</v>
      </c>
      <c r="AH1303" s="168"/>
    </row>
    <row r="1304" spans="26:34" ht="24" customHeight="1">
      <c r="Z1304"/>
      <c r="AA1304"/>
      <c r="AB1304"/>
      <c r="AC1304"/>
      <c r="AD1304"/>
      <c r="AE1304" s="168" t="str">
        <f t="shared" si="20"/>
        <v/>
      </c>
      <c r="AF1304" s="168">
        <v>0</v>
      </c>
      <c r="AG1304" s="168" t="str" cm="1">
        <f t="array" ref="AG1304">IF(AF1304="","",_xlfn.TEXTSPLIT(AF1304,"-"))</f>
        <v>0</v>
      </c>
      <c r="AH1304" s="168"/>
    </row>
    <row r="1305" spans="26:34" ht="24" customHeight="1">
      <c r="Z1305"/>
      <c r="AA1305"/>
      <c r="AB1305"/>
      <c r="AC1305"/>
      <c r="AD1305"/>
      <c r="AE1305" s="168" t="str">
        <f t="shared" si="20"/>
        <v/>
      </c>
      <c r="AF1305" s="168">
        <v>0</v>
      </c>
      <c r="AG1305" s="168" t="str" cm="1">
        <f t="array" ref="AG1305">IF(AF1305="","",_xlfn.TEXTSPLIT(AF1305,"-"))</f>
        <v>0</v>
      </c>
      <c r="AH1305" s="168"/>
    </row>
    <row r="1306" spans="26:34" ht="24" customHeight="1">
      <c r="Z1306"/>
      <c r="AA1306"/>
      <c r="AB1306"/>
      <c r="AC1306"/>
      <c r="AD1306"/>
      <c r="AE1306" s="168" t="str">
        <f t="shared" si="20"/>
        <v/>
      </c>
      <c r="AF1306" s="168">
        <v>0</v>
      </c>
      <c r="AG1306" s="168" t="str" cm="1">
        <f t="array" ref="AG1306">IF(AF1306="","",_xlfn.TEXTSPLIT(AF1306,"-"))</f>
        <v>0</v>
      </c>
      <c r="AH1306" s="168"/>
    </row>
    <row r="1307" spans="26:34" ht="24" customHeight="1">
      <c r="Z1307"/>
      <c r="AA1307"/>
      <c r="AB1307"/>
      <c r="AC1307"/>
      <c r="AD1307"/>
      <c r="AE1307" s="168" t="str">
        <f t="shared" si="20"/>
        <v/>
      </c>
      <c r="AF1307" s="168">
        <v>0</v>
      </c>
      <c r="AG1307" s="168" t="str" cm="1">
        <f t="array" ref="AG1307">IF(AF1307="","",_xlfn.TEXTSPLIT(AF1307,"-"))</f>
        <v>0</v>
      </c>
      <c r="AH1307" s="168"/>
    </row>
    <row r="1308" spans="26:34" ht="24" customHeight="1">
      <c r="Z1308"/>
      <c r="AA1308"/>
      <c r="AB1308"/>
      <c r="AC1308"/>
      <c r="AD1308"/>
      <c r="AE1308" s="168" t="str">
        <f t="shared" si="20"/>
        <v/>
      </c>
      <c r="AF1308" s="168">
        <v>0</v>
      </c>
      <c r="AG1308" s="168" t="str" cm="1">
        <f t="array" ref="AG1308">IF(AF1308="","",_xlfn.TEXTSPLIT(AF1308,"-"))</f>
        <v>0</v>
      </c>
      <c r="AH1308" s="168"/>
    </row>
    <row r="1309" spans="26:34" ht="24" customHeight="1">
      <c r="Z1309"/>
      <c r="AA1309"/>
      <c r="AB1309"/>
      <c r="AC1309"/>
      <c r="AD1309"/>
      <c r="AE1309" s="168" t="str">
        <f t="shared" si="20"/>
        <v/>
      </c>
      <c r="AF1309" s="168">
        <v>0</v>
      </c>
      <c r="AG1309" s="168" t="str" cm="1">
        <f t="array" ref="AG1309">IF(AF1309="","",_xlfn.TEXTSPLIT(AF1309,"-"))</f>
        <v>0</v>
      </c>
      <c r="AH1309" s="168"/>
    </row>
    <row r="1310" spans="26:34" ht="24" customHeight="1">
      <c r="Z1310"/>
      <c r="AA1310"/>
      <c r="AB1310"/>
      <c r="AC1310"/>
      <c r="AD1310"/>
      <c r="AE1310" s="168" t="str">
        <f t="shared" si="20"/>
        <v/>
      </c>
      <c r="AF1310" s="168">
        <v>0</v>
      </c>
      <c r="AG1310" s="168" t="str" cm="1">
        <f t="array" ref="AG1310">IF(AF1310="","",_xlfn.TEXTSPLIT(AF1310,"-"))</f>
        <v>0</v>
      </c>
      <c r="AH1310" s="168"/>
    </row>
    <row r="1311" spans="26:34" ht="24" customHeight="1">
      <c r="Z1311"/>
      <c r="AA1311"/>
      <c r="AB1311"/>
      <c r="AC1311"/>
      <c r="AD1311"/>
      <c r="AE1311" s="168" t="str">
        <f t="shared" si="20"/>
        <v/>
      </c>
      <c r="AF1311" s="168">
        <v>0</v>
      </c>
      <c r="AG1311" s="168" t="str" cm="1">
        <f t="array" ref="AG1311">IF(AF1311="","",_xlfn.TEXTSPLIT(AF1311,"-"))</f>
        <v>0</v>
      </c>
      <c r="AH1311" s="168"/>
    </row>
    <row r="1312" spans="26:34" ht="24" customHeight="1">
      <c r="Z1312"/>
      <c r="AA1312"/>
      <c r="AB1312"/>
      <c r="AC1312"/>
      <c r="AD1312"/>
      <c r="AE1312" s="168" t="str">
        <f t="shared" si="20"/>
        <v/>
      </c>
      <c r="AF1312" s="168">
        <v>0</v>
      </c>
      <c r="AG1312" s="168" t="str" cm="1">
        <f t="array" ref="AG1312">IF(AF1312="","",_xlfn.TEXTSPLIT(AF1312,"-"))</f>
        <v>0</v>
      </c>
      <c r="AH1312" s="168"/>
    </row>
    <row r="1313" spans="26:34" ht="24" customHeight="1">
      <c r="Z1313"/>
      <c r="AA1313"/>
      <c r="AB1313"/>
      <c r="AC1313"/>
      <c r="AD1313"/>
      <c r="AE1313" s="168" t="str">
        <f t="shared" si="20"/>
        <v/>
      </c>
      <c r="AF1313" s="168">
        <v>0</v>
      </c>
      <c r="AG1313" s="168" t="str" cm="1">
        <f t="array" ref="AG1313">IF(AF1313="","",_xlfn.TEXTSPLIT(AF1313,"-"))</f>
        <v>0</v>
      </c>
      <c r="AH1313" s="168"/>
    </row>
    <row r="1314" spans="26:34" ht="24" customHeight="1">
      <c r="Z1314"/>
      <c r="AA1314"/>
      <c r="AB1314"/>
      <c r="AC1314"/>
      <c r="AD1314"/>
      <c r="AE1314" s="168" t="str">
        <f t="shared" si="20"/>
        <v/>
      </c>
      <c r="AF1314" s="168">
        <v>0</v>
      </c>
      <c r="AG1314" s="168" t="str" cm="1">
        <f t="array" ref="AG1314">IF(AF1314="","",_xlfn.TEXTSPLIT(AF1314,"-"))</f>
        <v>0</v>
      </c>
      <c r="AH1314" s="168"/>
    </row>
    <row r="1315" spans="26:34" ht="24" customHeight="1">
      <c r="Z1315"/>
      <c r="AA1315"/>
      <c r="AB1315"/>
      <c r="AC1315"/>
      <c r="AD1315"/>
      <c r="AE1315" s="168" t="str">
        <f t="shared" si="20"/>
        <v/>
      </c>
      <c r="AF1315" s="168">
        <v>0</v>
      </c>
      <c r="AG1315" s="168" t="str" cm="1">
        <f t="array" ref="AG1315">IF(AF1315="","",_xlfn.TEXTSPLIT(AF1315,"-"))</f>
        <v>0</v>
      </c>
      <c r="AH1315" s="168"/>
    </row>
    <row r="1316" spans="26:34" ht="24" customHeight="1">
      <c r="Z1316"/>
      <c r="AA1316"/>
      <c r="AB1316"/>
      <c r="AC1316"/>
      <c r="AD1316"/>
      <c r="AE1316" s="168" t="str">
        <f t="shared" si="20"/>
        <v/>
      </c>
      <c r="AF1316" s="168">
        <v>0</v>
      </c>
      <c r="AG1316" s="168" t="str" cm="1">
        <f t="array" ref="AG1316">IF(AF1316="","",_xlfn.TEXTSPLIT(AF1316,"-"))</f>
        <v>0</v>
      </c>
      <c r="AH1316" s="168"/>
    </row>
    <row r="1317" spans="26:34" ht="24" customHeight="1">
      <c r="Z1317"/>
      <c r="AA1317"/>
      <c r="AB1317"/>
      <c r="AC1317"/>
      <c r="AD1317"/>
      <c r="AE1317" s="168" t="str">
        <f t="shared" si="20"/>
        <v/>
      </c>
      <c r="AF1317" s="168">
        <v>0</v>
      </c>
      <c r="AG1317" s="168" t="str" cm="1">
        <f t="array" ref="AG1317">IF(AF1317="","",_xlfn.TEXTSPLIT(AF1317,"-"))</f>
        <v>0</v>
      </c>
      <c r="AH1317" s="168"/>
    </row>
    <row r="1318" spans="26:34" ht="24" customHeight="1">
      <c r="Z1318"/>
      <c r="AA1318"/>
      <c r="AB1318"/>
      <c r="AC1318"/>
      <c r="AD1318"/>
      <c r="AE1318" s="168" t="str">
        <f t="shared" si="20"/>
        <v/>
      </c>
      <c r="AF1318" s="168">
        <v>0</v>
      </c>
      <c r="AG1318" s="168" t="str" cm="1">
        <f t="array" ref="AG1318">IF(AF1318="","",_xlfn.TEXTSPLIT(AF1318,"-"))</f>
        <v>0</v>
      </c>
      <c r="AH1318" s="168"/>
    </row>
    <row r="1319" spans="26:34" ht="24" customHeight="1">
      <c r="Z1319"/>
      <c r="AA1319"/>
      <c r="AB1319"/>
      <c r="AC1319"/>
      <c r="AD1319"/>
      <c r="AE1319" s="168" t="str">
        <f t="shared" si="20"/>
        <v/>
      </c>
      <c r="AF1319" s="168">
        <v>0</v>
      </c>
      <c r="AG1319" s="168" t="str" cm="1">
        <f t="array" ref="AG1319">IF(AF1319="","",_xlfn.TEXTSPLIT(AF1319,"-"))</f>
        <v>0</v>
      </c>
      <c r="AH1319" s="168"/>
    </row>
    <row r="1320" spans="26:34" ht="24" customHeight="1">
      <c r="Z1320"/>
      <c r="AA1320"/>
      <c r="AB1320"/>
      <c r="AC1320"/>
      <c r="AD1320"/>
      <c r="AE1320" s="168" t="str">
        <f t="shared" si="20"/>
        <v/>
      </c>
      <c r="AF1320" s="168">
        <v>0</v>
      </c>
      <c r="AG1320" s="168" t="str" cm="1">
        <f t="array" ref="AG1320">IF(AF1320="","",_xlfn.TEXTSPLIT(AF1320,"-"))</f>
        <v>0</v>
      </c>
      <c r="AH1320" s="168"/>
    </row>
    <row r="1321" spans="26:34" ht="24" customHeight="1">
      <c r="Z1321"/>
      <c r="AA1321"/>
      <c r="AB1321"/>
      <c r="AC1321"/>
      <c r="AD1321"/>
      <c r="AE1321" s="168" t="str">
        <f t="shared" si="20"/>
        <v/>
      </c>
      <c r="AF1321" s="168">
        <v>0</v>
      </c>
      <c r="AG1321" s="168" t="str" cm="1">
        <f t="array" ref="AG1321">IF(AF1321="","",_xlfn.TEXTSPLIT(AF1321,"-"))</f>
        <v>0</v>
      </c>
      <c r="AH1321" s="168"/>
    </row>
    <row r="1322" spans="26:34" ht="24" customHeight="1">
      <c r="Z1322"/>
      <c r="AA1322"/>
      <c r="AB1322"/>
      <c r="AC1322"/>
      <c r="AD1322"/>
      <c r="AE1322" s="168" t="str">
        <f t="shared" si="20"/>
        <v/>
      </c>
      <c r="AF1322" s="168">
        <v>0</v>
      </c>
      <c r="AG1322" s="168" t="str" cm="1">
        <f t="array" ref="AG1322">IF(AF1322="","",_xlfn.TEXTSPLIT(AF1322,"-"))</f>
        <v>0</v>
      </c>
      <c r="AH1322" s="168"/>
    </row>
    <row r="1323" spans="26:34" ht="24" customHeight="1">
      <c r="Z1323"/>
      <c r="AA1323"/>
      <c r="AB1323"/>
      <c r="AC1323"/>
      <c r="AD1323"/>
      <c r="AE1323" s="168" t="str">
        <f t="shared" si="20"/>
        <v/>
      </c>
      <c r="AF1323" s="168">
        <v>0</v>
      </c>
      <c r="AG1323" s="168" t="str" cm="1">
        <f t="array" ref="AG1323">IF(AF1323="","",_xlfn.TEXTSPLIT(AF1323,"-"))</f>
        <v>0</v>
      </c>
      <c r="AH1323" s="168"/>
    </row>
    <row r="1324" spans="26:34" ht="24" customHeight="1">
      <c r="Z1324"/>
      <c r="AA1324"/>
      <c r="AB1324"/>
      <c r="AC1324"/>
      <c r="AD1324"/>
      <c r="AE1324" s="168" t="str">
        <f t="shared" si="20"/>
        <v/>
      </c>
      <c r="AF1324" s="168">
        <v>0</v>
      </c>
      <c r="AG1324" s="168" t="str" cm="1">
        <f t="array" ref="AG1324">IF(AF1324="","",_xlfn.TEXTSPLIT(AF1324,"-"))</f>
        <v>0</v>
      </c>
      <c r="AH1324" s="168"/>
    </row>
    <row r="1325" spans="26:34" ht="24" customHeight="1">
      <c r="Z1325"/>
      <c r="AA1325"/>
      <c r="AB1325"/>
      <c r="AC1325"/>
      <c r="AD1325"/>
      <c r="AE1325" s="168" t="str">
        <f t="shared" si="20"/>
        <v/>
      </c>
      <c r="AF1325" s="168">
        <v>0</v>
      </c>
      <c r="AG1325" s="168" t="str" cm="1">
        <f t="array" ref="AG1325">IF(AF1325="","",_xlfn.TEXTSPLIT(AF1325,"-"))</f>
        <v>0</v>
      </c>
      <c r="AH1325" s="168"/>
    </row>
    <row r="1326" spans="26:34" ht="24" customHeight="1">
      <c r="Z1326"/>
      <c r="AA1326"/>
      <c r="AB1326"/>
      <c r="AC1326"/>
      <c r="AD1326"/>
      <c r="AE1326" s="168" t="str">
        <f t="shared" si="20"/>
        <v/>
      </c>
      <c r="AF1326" s="168">
        <v>0</v>
      </c>
      <c r="AG1326" s="168" t="str" cm="1">
        <f t="array" ref="AG1326">IF(AF1326="","",_xlfn.TEXTSPLIT(AF1326,"-"))</f>
        <v>0</v>
      </c>
      <c r="AH1326" s="168"/>
    </row>
    <row r="1327" spans="26:34" ht="24" customHeight="1">
      <c r="Z1327"/>
      <c r="AA1327"/>
      <c r="AB1327"/>
      <c r="AC1327"/>
      <c r="AD1327"/>
      <c r="AE1327" s="168" t="str">
        <f t="shared" si="20"/>
        <v/>
      </c>
      <c r="AF1327" s="168">
        <v>0</v>
      </c>
      <c r="AG1327" s="168" t="str" cm="1">
        <f t="array" ref="AG1327">IF(AF1327="","",_xlfn.TEXTSPLIT(AF1327,"-"))</f>
        <v>0</v>
      </c>
      <c r="AH1327" s="168"/>
    </row>
    <row r="1328" spans="26:34" ht="24" customHeight="1">
      <c r="Z1328"/>
      <c r="AA1328"/>
      <c r="AB1328"/>
      <c r="AC1328"/>
      <c r="AD1328"/>
      <c r="AE1328" s="168" t="str">
        <f t="shared" si="20"/>
        <v/>
      </c>
      <c r="AF1328" s="168">
        <v>0</v>
      </c>
      <c r="AG1328" s="168" t="str" cm="1">
        <f t="array" ref="AG1328">IF(AF1328="","",_xlfn.TEXTSPLIT(AF1328,"-"))</f>
        <v>0</v>
      </c>
      <c r="AH1328" s="168"/>
    </row>
    <row r="1329" spans="26:34" ht="24" customHeight="1">
      <c r="Z1329"/>
      <c r="AA1329"/>
      <c r="AB1329"/>
      <c r="AC1329"/>
      <c r="AD1329"/>
      <c r="AE1329" s="168" t="str">
        <f t="shared" si="20"/>
        <v/>
      </c>
      <c r="AF1329" s="168">
        <v>0</v>
      </c>
      <c r="AG1329" s="168" t="str" cm="1">
        <f t="array" ref="AG1329">IF(AF1329="","",_xlfn.TEXTSPLIT(AF1329,"-"))</f>
        <v>0</v>
      </c>
      <c r="AH1329" s="168"/>
    </row>
    <row r="1330" spans="26:34" ht="24" customHeight="1">
      <c r="Z1330"/>
      <c r="AA1330"/>
      <c r="AB1330"/>
      <c r="AC1330"/>
      <c r="AD1330"/>
      <c r="AE1330" s="168" t="str">
        <f t="shared" si="20"/>
        <v/>
      </c>
      <c r="AF1330" s="168">
        <v>0</v>
      </c>
      <c r="AG1330" s="168" t="str" cm="1">
        <f t="array" ref="AG1330">IF(AF1330="","",_xlfn.TEXTSPLIT(AF1330,"-"))</f>
        <v>0</v>
      </c>
      <c r="AH1330" s="168"/>
    </row>
    <row r="1331" spans="26:34" ht="24" customHeight="1">
      <c r="Z1331"/>
      <c r="AA1331"/>
      <c r="AB1331"/>
      <c r="AC1331"/>
      <c r="AD1331"/>
      <c r="AE1331" s="168" t="str">
        <f t="shared" si="20"/>
        <v/>
      </c>
      <c r="AF1331" s="168">
        <v>0</v>
      </c>
      <c r="AG1331" s="168" t="str" cm="1">
        <f t="array" ref="AG1331">IF(AF1331="","",_xlfn.TEXTSPLIT(AF1331,"-"))</f>
        <v>0</v>
      </c>
      <c r="AH1331" s="168"/>
    </row>
    <row r="1332" spans="26:34" ht="24" customHeight="1">
      <c r="Z1332"/>
      <c r="AA1332"/>
      <c r="AB1332"/>
      <c r="AC1332"/>
      <c r="AD1332"/>
      <c r="AE1332" s="168" t="str">
        <f t="shared" si="20"/>
        <v/>
      </c>
      <c r="AF1332" s="168">
        <v>0</v>
      </c>
      <c r="AG1332" s="168" t="str" cm="1">
        <f t="array" ref="AG1332">IF(AF1332="","",_xlfn.TEXTSPLIT(AF1332,"-"))</f>
        <v>0</v>
      </c>
      <c r="AH1332" s="168"/>
    </row>
    <row r="1333" spans="26:34" ht="24" customHeight="1">
      <c r="Z1333"/>
      <c r="AA1333"/>
      <c r="AB1333"/>
      <c r="AC1333"/>
      <c r="AD1333"/>
      <c r="AE1333" s="168" t="str">
        <f t="shared" si="20"/>
        <v/>
      </c>
      <c r="AF1333" s="168">
        <v>0</v>
      </c>
      <c r="AG1333" s="168" t="str" cm="1">
        <f t="array" ref="AG1333">IF(AF1333="","",_xlfn.TEXTSPLIT(AF1333,"-"))</f>
        <v>0</v>
      </c>
      <c r="AH1333" s="168"/>
    </row>
    <row r="1334" spans="26:34" ht="24" customHeight="1">
      <c r="Z1334"/>
      <c r="AA1334"/>
      <c r="AB1334"/>
      <c r="AC1334"/>
      <c r="AD1334"/>
      <c r="AE1334" s="168" t="str">
        <f t="shared" si="20"/>
        <v/>
      </c>
      <c r="AF1334" s="168">
        <v>0</v>
      </c>
      <c r="AG1334" s="168" t="str" cm="1">
        <f t="array" ref="AG1334">IF(AF1334="","",_xlfn.TEXTSPLIT(AF1334,"-"))</f>
        <v>0</v>
      </c>
      <c r="AH1334" s="168"/>
    </row>
    <row r="1335" spans="26:34" ht="24" customHeight="1">
      <c r="Z1335"/>
      <c r="AA1335"/>
      <c r="AB1335"/>
      <c r="AC1335"/>
      <c r="AD1335"/>
      <c r="AE1335" s="168" t="str">
        <f t="shared" si="20"/>
        <v/>
      </c>
      <c r="AF1335" s="168">
        <v>0</v>
      </c>
      <c r="AG1335" s="168" t="str" cm="1">
        <f t="array" ref="AG1335">IF(AF1335="","",_xlfn.TEXTSPLIT(AF1335,"-"))</f>
        <v>0</v>
      </c>
      <c r="AH1335" s="168"/>
    </row>
    <row r="1336" spans="26:34" ht="24" customHeight="1">
      <c r="Z1336"/>
      <c r="AA1336"/>
      <c r="AB1336"/>
      <c r="AC1336"/>
      <c r="AD1336"/>
      <c r="AE1336" s="168" t="str">
        <f t="shared" si="20"/>
        <v/>
      </c>
      <c r="AF1336" s="168">
        <v>0</v>
      </c>
      <c r="AG1336" s="168" t="str" cm="1">
        <f t="array" ref="AG1336">IF(AF1336="","",_xlfn.TEXTSPLIT(AF1336,"-"))</f>
        <v>0</v>
      </c>
      <c r="AH1336" s="168"/>
    </row>
    <row r="1337" spans="26:34" ht="24" customHeight="1">
      <c r="Z1337"/>
      <c r="AA1337"/>
      <c r="AB1337"/>
      <c r="AC1337"/>
      <c r="AD1337"/>
      <c r="AE1337" s="168" t="str">
        <f t="shared" si="20"/>
        <v/>
      </c>
      <c r="AF1337" s="168">
        <v>0</v>
      </c>
      <c r="AG1337" s="168" t="str" cm="1">
        <f t="array" ref="AG1337">IF(AF1337="","",_xlfn.TEXTSPLIT(AF1337,"-"))</f>
        <v>0</v>
      </c>
      <c r="AH1337" s="168"/>
    </row>
    <row r="1338" spans="26:34" ht="24" customHeight="1">
      <c r="Z1338"/>
      <c r="AA1338"/>
      <c r="AB1338"/>
      <c r="AC1338"/>
      <c r="AD1338"/>
      <c r="AE1338" s="168" t="str">
        <f t="shared" si="20"/>
        <v/>
      </c>
      <c r="AF1338" s="168">
        <v>0</v>
      </c>
      <c r="AG1338" s="168" t="str" cm="1">
        <f t="array" ref="AG1338">IF(AF1338="","",_xlfn.TEXTSPLIT(AF1338,"-"))</f>
        <v>0</v>
      </c>
      <c r="AH1338" s="168"/>
    </row>
    <row r="1339" spans="26:34" ht="24" customHeight="1">
      <c r="Z1339"/>
      <c r="AA1339"/>
      <c r="AB1339"/>
      <c r="AC1339"/>
      <c r="AD1339"/>
      <c r="AE1339" s="168" t="str">
        <f t="shared" si="20"/>
        <v/>
      </c>
      <c r="AF1339" s="168">
        <v>0</v>
      </c>
      <c r="AG1339" s="168" t="str" cm="1">
        <f t="array" ref="AG1339">IF(AF1339="","",_xlfn.TEXTSPLIT(AF1339,"-"))</f>
        <v>0</v>
      </c>
      <c r="AH1339" s="168"/>
    </row>
    <row r="1340" spans="26:34" ht="24" customHeight="1">
      <c r="Z1340"/>
      <c r="AA1340"/>
      <c r="AB1340"/>
      <c r="AC1340"/>
      <c r="AD1340"/>
      <c r="AE1340" s="168" t="str">
        <f t="shared" si="20"/>
        <v/>
      </c>
      <c r="AF1340" s="168">
        <v>0</v>
      </c>
      <c r="AG1340" s="168" t="str" cm="1">
        <f t="array" ref="AG1340">IF(AF1340="","",_xlfn.TEXTSPLIT(AF1340,"-"))</f>
        <v>0</v>
      </c>
      <c r="AH1340" s="168"/>
    </row>
    <row r="1341" spans="26:34" ht="24" customHeight="1">
      <c r="Z1341"/>
      <c r="AA1341"/>
      <c r="AB1341"/>
      <c r="AC1341"/>
      <c r="AD1341"/>
      <c r="AE1341" s="168" t="str">
        <f t="shared" si="20"/>
        <v/>
      </c>
      <c r="AF1341" s="168">
        <v>0</v>
      </c>
      <c r="AG1341" s="168" t="str" cm="1">
        <f t="array" ref="AG1341">IF(AF1341="","",_xlfn.TEXTSPLIT(AF1341,"-"))</f>
        <v>0</v>
      </c>
      <c r="AH1341" s="168"/>
    </row>
    <row r="1342" spans="26:34" ht="24" customHeight="1">
      <c r="Z1342"/>
      <c r="AA1342"/>
      <c r="AB1342"/>
      <c r="AC1342"/>
      <c r="AD1342"/>
      <c r="AE1342" s="168" t="str">
        <f t="shared" si="20"/>
        <v/>
      </c>
      <c r="AF1342" s="168">
        <v>0</v>
      </c>
      <c r="AG1342" s="168" t="str" cm="1">
        <f t="array" ref="AG1342">IF(AF1342="","",_xlfn.TEXTSPLIT(AF1342,"-"))</f>
        <v>0</v>
      </c>
      <c r="AH1342" s="168"/>
    </row>
    <row r="1343" spans="26:34" ht="24" customHeight="1">
      <c r="Z1343"/>
      <c r="AA1343"/>
      <c r="AB1343"/>
      <c r="AC1343"/>
      <c r="AD1343"/>
      <c r="AE1343" s="168" t="str">
        <f t="shared" si="20"/>
        <v/>
      </c>
      <c r="AF1343" s="168">
        <v>0</v>
      </c>
      <c r="AG1343" s="168" t="str" cm="1">
        <f t="array" ref="AG1343">IF(AF1343="","",_xlfn.TEXTSPLIT(AF1343,"-"))</f>
        <v>0</v>
      </c>
      <c r="AH1343" s="168"/>
    </row>
    <row r="1344" spans="26:34" ht="24" customHeight="1">
      <c r="Z1344"/>
      <c r="AA1344"/>
      <c r="AB1344"/>
      <c r="AC1344"/>
      <c r="AD1344"/>
      <c r="AE1344" s="168" t="str">
        <f t="shared" si="20"/>
        <v/>
      </c>
      <c r="AF1344" s="168">
        <v>0</v>
      </c>
      <c r="AG1344" s="168" t="str" cm="1">
        <f t="array" ref="AG1344">IF(AF1344="","",_xlfn.TEXTSPLIT(AF1344,"-"))</f>
        <v>0</v>
      </c>
      <c r="AH1344" s="168"/>
    </row>
    <row r="1345" spans="26:34" ht="24" customHeight="1">
      <c r="Z1345"/>
      <c r="AA1345"/>
      <c r="AB1345"/>
      <c r="AC1345"/>
      <c r="AD1345"/>
      <c r="AE1345" s="168" t="str">
        <f t="shared" si="20"/>
        <v/>
      </c>
      <c r="AF1345" s="168">
        <v>0</v>
      </c>
      <c r="AG1345" s="168" t="str" cm="1">
        <f t="array" ref="AG1345">IF(AF1345="","",_xlfn.TEXTSPLIT(AF1345,"-"))</f>
        <v>0</v>
      </c>
      <c r="AH1345" s="168"/>
    </row>
    <row r="1346" spans="26:34" ht="24" customHeight="1">
      <c r="Z1346"/>
      <c r="AA1346"/>
      <c r="AB1346"/>
      <c r="AC1346"/>
      <c r="AD1346"/>
      <c r="AE1346" s="168" t="str">
        <f t="shared" si="20"/>
        <v/>
      </c>
      <c r="AF1346" s="168">
        <v>0</v>
      </c>
      <c r="AG1346" s="168" t="str" cm="1">
        <f t="array" ref="AG1346">IF(AF1346="","",_xlfn.TEXTSPLIT(AF1346,"-"))</f>
        <v>0</v>
      </c>
      <c r="AH1346" s="168"/>
    </row>
    <row r="1347" spans="26:34" ht="24" customHeight="1">
      <c r="Z1347"/>
      <c r="AA1347"/>
      <c r="AB1347"/>
      <c r="AC1347"/>
      <c r="AD1347"/>
      <c r="AE1347" s="168" t="str">
        <f t="shared" si="20"/>
        <v/>
      </c>
      <c r="AF1347" s="168">
        <v>0</v>
      </c>
      <c r="AG1347" s="168" t="str" cm="1">
        <f t="array" ref="AG1347">IF(AF1347="","",_xlfn.TEXTSPLIT(AF1347,"-"))</f>
        <v>0</v>
      </c>
      <c r="AH1347" s="168"/>
    </row>
    <row r="1348" spans="26:34" ht="24" customHeight="1">
      <c r="Z1348"/>
      <c r="AA1348"/>
      <c r="AB1348"/>
      <c r="AC1348"/>
      <c r="AD1348"/>
      <c r="AE1348" s="168" t="str">
        <f t="shared" si="20"/>
        <v/>
      </c>
      <c r="AF1348" s="168">
        <v>0</v>
      </c>
      <c r="AG1348" s="168" t="str" cm="1">
        <f t="array" ref="AG1348">IF(AF1348="","",_xlfn.TEXTSPLIT(AF1348,"-"))</f>
        <v>0</v>
      </c>
      <c r="AH1348" s="168"/>
    </row>
    <row r="1349" spans="26:34" ht="24" customHeight="1">
      <c r="Z1349"/>
      <c r="AA1349"/>
      <c r="AB1349"/>
      <c r="AC1349"/>
      <c r="AD1349"/>
      <c r="AE1349" s="168" t="str">
        <f t="shared" ref="AE1349:AE1412" si="21">IF(AH1349="","",AH1349*1)</f>
        <v/>
      </c>
      <c r="AF1349" s="168">
        <v>0</v>
      </c>
      <c r="AG1349" s="168" t="str" cm="1">
        <f t="array" ref="AG1349">IF(AF1349="","",_xlfn.TEXTSPLIT(AF1349,"-"))</f>
        <v>0</v>
      </c>
      <c r="AH1349" s="168"/>
    </row>
    <row r="1350" spans="26:34" ht="24" customHeight="1">
      <c r="Z1350"/>
      <c r="AA1350"/>
      <c r="AB1350"/>
      <c r="AC1350"/>
      <c r="AD1350"/>
      <c r="AE1350" s="168" t="str">
        <f t="shared" si="21"/>
        <v/>
      </c>
      <c r="AF1350" s="168">
        <v>0</v>
      </c>
      <c r="AG1350" s="168" t="str" cm="1">
        <f t="array" ref="AG1350">IF(AF1350="","",_xlfn.TEXTSPLIT(AF1350,"-"))</f>
        <v>0</v>
      </c>
      <c r="AH1350" s="168"/>
    </row>
    <row r="1351" spans="26:34" ht="24" customHeight="1">
      <c r="Z1351"/>
      <c r="AA1351"/>
      <c r="AB1351"/>
      <c r="AC1351"/>
      <c r="AD1351"/>
      <c r="AE1351" s="168" t="str">
        <f t="shared" si="21"/>
        <v/>
      </c>
      <c r="AF1351" s="168">
        <v>0</v>
      </c>
      <c r="AG1351" s="168" t="str" cm="1">
        <f t="array" ref="AG1351">IF(AF1351="","",_xlfn.TEXTSPLIT(AF1351,"-"))</f>
        <v>0</v>
      </c>
      <c r="AH1351" s="168"/>
    </row>
    <row r="1352" spans="26:34" ht="24" customHeight="1">
      <c r="Z1352"/>
      <c r="AA1352"/>
      <c r="AB1352"/>
      <c r="AC1352"/>
      <c r="AD1352"/>
      <c r="AE1352" s="168" t="str">
        <f t="shared" si="21"/>
        <v/>
      </c>
      <c r="AF1352" s="168">
        <v>0</v>
      </c>
      <c r="AG1352" s="168" t="str" cm="1">
        <f t="array" ref="AG1352">IF(AF1352="","",_xlfn.TEXTSPLIT(AF1352,"-"))</f>
        <v>0</v>
      </c>
      <c r="AH1352" s="168"/>
    </row>
    <row r="1353" spans="26:34" ht="24" customHeight="1">
      <c r="Z1353"/>
      <c r="AA1353"/>
      <c r="AB1353"/>
      <c r="AC1353"/>
      <c r="AD1353"/>
      <c r="AE1353" s="168" t="str">
        <f t="shared" si="21"/>
        <v/>
      </c>
      <c r="AF1353" s="168">
        <v>0</v>
      </c>
      <c r="AG1353" s="168" t="str" cm="1">
        <f t="array" ref="AG1353">IF(AF1353="","",_xlfn.TEXTSPLIT(AF1353,"-"))</f>
        <v>0</v>
      </c>
      <c r="AH1353" s="168"/>
    </row>
    <row r="1354" spans="26:34" ht="24" customHeight="1">
      <c r="Z1354"/>
      <c r="AA1354"/>
      <c r="AB1354"/>
      <c r="AC1354"/>
      <c r="AD1354"/>
      <c r="AE1354" s="168" t="str">
        <f t="shared" si="21"/>
        <v/>
      </c>
      <c r="AF1354" s="168">
        <v>0</v>
      </c>
      <c r="AG1354" s="168" t="str" cm="1">
        <f t="array" ref="AG1354">IF(AF1354="","",_xlfn.TEXTSPLIT(AF1354,"-"))</f>
        <v>0</v>
      </c>
      <c r="AH1354" s="168"/>
    </row>
    <row r="1355" spans="26:34" ht="24" customHeight="1">
      <c r="Z1355"/>
      <c r="AA1355"/>
      <c r="AB1355"/>
      <c r="AC1355"/>
      <c r="AD1355"/>
      <c r="AE1355" s="168" t="str">
        <f t="shared" si="21"/>
        <v/>
      </c>
      <c r="AF1355" s="168">
        <v>0</v>
      </c>
      <c r="AG1355" s="168" t="str" cm="1">
        <f t="array" ref="AG1355">IF(AF1355="","",_xlfn.TEXTSPLIT(AF1355,"-"))</f>
        <v>0</v>
      </c>
      <c r="AH1355" s="168"/>
    </row>
    <row r="1356" spans="26:34" ht="24" customHeight="1">
      <c r="Z1356"/>
      <c r="AA1356"/>
      <c r="AB1356"/>
      <c r="AC1356"/>
      <c r="AD1356"/>
      <c r="AE1356" s="168" t="str">
        <f t="shared" si="21"/>
        <v/>
      </c>
      <c r="AF1356" s="168">
        <v>0</v>
      </c>
      <c r="AG1356" s="168" t="str" cm="1">
        <f t="array" ref="AG1356">IF(AF1356="","",_xlfn.TEXTSPLIT(AF1356,"-"))</f>
        <v>0</v>
      </c>
      <c r="AH1356" s="168"/>
    </row>
    <row r="1357" spans="26:34" ht="24" customHeight="1">
      <c r="Z1357"/>
      <c r="AA1357"/>
      <c r="AB1357"/>
      <c r="AC1357"/>
      <c r="AD1357"/>
      <c r="AE1357" s="168" t="str">
        <f t="shared" si="21"/>
        <v/>
      </c>
      <c r="AF1357" s="168">
        <v>0</v>
      </c>
      <c r="AG1357" s="168" t="str" cm="1">
        <f t="array" ref="AG1357">IF(AF1357="","",_xlfn.TEXTSPLIT(AF1357,"-"))</f>
        <v>0</v>
      </c>
      <c r="AH1357" s="168"/>
    </row>
    <row r="1358" spans="26:34" ht="24" customHeight="1">
      <c r="Z1358"/>
      <c r="AA1358"/>
      <c r="AB1358"/>
      <c r="AC1358"/>
      <c r="AD1358"/>
      <c r="AE1358" s="168" t="str">
        <f t="shared" si="21"/>
        <v/>
      </c>
      <c r="AF1358" s="168">
        <v>0</v>
      </c>
      <c r="AG1358" s="168" t="str" cm="1">
        <f t="array" ref="AG1358">IF(AF1358="","",_xlfn.TEXTSPLIT(AF1358,"-"))</f>
        <v>0</v>
      </c>
      <c r="AH1358" s="168"/>
    </row>
    <row r="1359" spans="26:34" ht="24" customHeight="1">
      <c r="Z1359"/>
      <c r="AA1359"/>
      <c r="AB1359"/>
      <c r="AC1359"/>
      <c r="AD1359"/>
      <c r="AE1359" s="168" t="str">
        <f t="shared" si="21"/>
        <v/>
      </c>
      <c r="AF1359" s="168">
        <v>0</v>
      </c>
      <c r="AG1359" s="168" t="str" cm="1">
        <f t="array" ref="AG1359">IF(AF1359="","",_xlfn.TEXTSPLIT(AF1359,"-"))</f>
        <v>0</v>
      </c>
      <c r="AH1359" s="168"/>
    </row>
    <row r="1360" spans="26:34" ht="24" customHeight="1">
      <c r="Z1360"/>
      <c r="AA1360"/>
      <c r="AB1360"/>
      <c r="AC1360"/>
      <c r="AD1360"/>
      <c r="AE1360" s="168" t="str">
        <f t="shared" si="21"/>
        <v/>
      </c>
      <c r="AF1360" s="168">
        <v>0</v>
      </c>
      <c r="AG1360" s="168" t="str" cm="1">
        <f t="array" ref="AG1360">IF(AF1360="","",_xlfn.TEXTSPLIT(AF1360,"-"))</f>
        <v>0</v>
      </c>
      <c r="AH1360" s="168"/>
    </row>
    <row r="1361" spans="26:34" ht="24" customHeight="1">
      <c r="Z1361"/>
      <c r="AA1361"/>
      <c r="AB1361"/>
      <c r="AC1361"/>
      <c r="AD1361"/>
      <c r="AE1361" s="168" t="str">
        <f t="shared" si="21"/>
        <v/>
      </c>
      <c r="AF1361" s="168">
        <v>0</v>
      </c>
      <c r="AG1361" s="168" t="str" cm="1">
        <f t="array" ref="AG1361">IF(AF1361="","",_xlfn.TEXTSPLIT(AF1361,"-"))</f>
        <v>0</v>
      </c>
      <c r="AH1361" s="168"/>
    </row>
    <row r="1362" spans="26:34" ht="24" customHeight="1">
      <c r="Z1362"/>
      <c r="AA1362"/>
      <c r="AB1362"/>
      <c r="AC1362"/>
      <c r="AD1362"/>
      <c r="AE1362" s="168" t="str">
        <f t="shared" si="21"/>
        <v/>
      </c>
      <c r="AF1362" s="168">
        <v>0</v>
      </c>
      <c r="AG1362" s="168" t="str" cm="1">
        <f t="array" ref="AG1362">IF(AF1362="","",_xlfn.TEXTSPLIT(AF1362,"-"))</f>
        <v>0</v>
      </c>
      <c r="AH1362" s="168"/>
    </row>
    <row r="1363" spans="26:34" ht="24" customHeight="1">
      <c r="Z1363"/>
      <c r="AA1363"/>
      <c r="AB1363"/>
      <c r="AC1363"/>
      <c r="AD1363"/>
      <c r="AE1363" s="168" t="str">
        <f t="shared" si="21"/>
        <v/>
      </c>
      <c r="AF1363" s="168">
        <v>0</v>
      </c>
      <c r="AG1363" s="168" t="str" cm="1">
        <f t="array" ref="AG1363">IF(AF1363="","",_xlfn.TEXTSPLIT(AF1363,"-"))</f>
        <v>0</v>
      </c>
      <c r="AH1363" s="168"/>
    </row>
    <row r="1364" spans="26:34" ht="24" customHeight="1">
      <c r="Z1364"/>
      <c r="AA1364"/>
      <c r="AB1364"/>
      <c r="AC1364"/>
      <c r="AD1364"/>
      <c r="AE1364" s="168" t="str">
        <f t="shared" si="21"/>
        <v/>
      </c>
      <c r="AF1364" s="168">
        <v>0</v>
      </c>
      <c r="AG1364" s="168" t="str" cm="1">
        <f t="array" ref="AG1364">IF(AF1364="","",_xlfn.TEXTSPLIT(AF1364,"-"))</f>
        <v>0</v>
      </c>
      <c r="AH1364" s="168"/>
    </row>
    <row r="1365" spans="26:34" ht="24" customHeight="1">
      <c r="Z1365"/>
      <c r="AA1365"/>
      <c r="AB1365"/>
      <c r="AC1365"/>
      <c r="AD1365"/>
      <c r="AE1365" s="168" t="str">
        <f t="shared" si="21"/>
        <v/>
      </c>
      <c r="AF1365" s="168">
        <v>0</v>
      </c>
      <c r="AG1365" s="168" t="str" cm="1">
        <f t="array" ref="AG1365">IF(AF1365="","",_xlfn.TEXTSPLIT(AF1365,"-"))</f>
        <v>0</v>
      </c>
      <c r="AH1365" s="168"/>
    </row>
    <row r="1366" spans="26:34" ht="24" customHeight="1">
      <c r="Z1366"/>
      <c r="AA1366"/>
      <c r="AB1366"/>
      <c r="AC1366"/>
      <c r="AD1366"/>
      <c r="AE1366" s="168" t="str">
        <f t="shared" si="21"/>
        <v/>
      </c>
      <c r="AF1366" s="168">
        <v>0</v>
      </c>
      <c r="AG1366" s="168" t="str" cm="1">
        <f t="array" ref="AG1366">IF(AF1366="","",_xlfn.TEXTSPLIT(AF1366,"-"))</f>
        <v>0</v>
      </c>
      <c r="AH1366" s="168"/>
    </row>
    <row r="1367" spans="26:34" ht="24" customHeight="1">
      <c r="Z1367"/>
      <c r="AA1367"/>
      <c r="AB1367"/>
      <c r="AC1367"/>
      <c r="AD1367"/>
      <c r="AE1367" s="168" t="str">
        <f t="shared" si="21"/>
        <v/>
      </c>
      <c r="AF1367" s="168">
        <v>0</v>
      </c>
      <c r="AG1367" s="168" t="str" cm="1">
        <f t="array" ref="AG1367">IF(AF1367="","",_xlfn.TEXTSPLIT(AF1367,"-"))</f>
        <v>0</v>
      </c>
      <c r="AH1367" s="168"/>
    </row>
    <row r="1368" spans="26:34" ht="24" customHeight="1">
      <c r="Z1368"/>
      <c r="AA1368"/>
      <c r="AB1368"/>
      <c r="AC1368"/>
      <c r="AD1368"/>
      <c r="AE1368" s="168" t="str">
        <f t="shared" si="21"/>
        <v/>
      </c>
      <c r="AF1368" s="168">
        <v>0</v>
      </c>
      <c r="AG1368" s="168" t="str" cm="1">
        <f t="array" ref="AG1368">IF(AF1368="","",_xlfn.TEXTSPLIT(AF1368,"-"))</f>
        <v>0</v>
      </c>
      <c r="AH1368" s="168"/>
    </row>
    <row r="1369" spans="26:34" ht="24" customHeight="1">
      <c r="Z1369"/>
      <c r="AA1369"/>
      <c r="AB1369"/>
      <c r="AC1369"/>
      <c r="AD1369"/>
      <c r="AE1369" s="168" t="str">
        <f t="shared" si="21"/>
        <v/>
      </c>
      <c r="AF1369" s="168">
        <v>0</v>
      </c>
      <c r="AG1369" s="168" t="str" cm="1">
        <f t="array" ref="AG1369">IF(AF1369="","",_xlfn.TEXTSPLIT(AF1369,"-"))</f>
        <v>0</v>
      </c>
      <c r="AH1369" s="168"/>
    </row>
    <row r="1370" spans="26:34" ht="24" customHeight="1">
      <c r="Z1370"/>
      <c r="AA1370"/>
      <c r="AB1370"/>
      <c r="AC1370"/>
      <c r="AD1370"/>
      <c r="AE1370" s="168" t="str">
        <f t="shared" si="21"/>
        <v/>
      </c>
      <c r="AF1370" s="168">
        <v>0</v>
      </c>
      <c r="AG1370" s="168" t="str" cm="1">
        <f t="array" ref="AG1370">IF(AF1370="","",_xlfn.TEXTSPLIT(AF1370,"-"))</f>
        <v>0</v>
      </c>
      <c r="AH1370" s="168"/>
    </row>
    <row r="1371" spans="26:34" ht="24" customHeight="1">
      <c r="Z1371"/>
      <c r="AA1371"/>
      <c r="AB1371"/>
      <c r="AC1371"/>
      <c r="AD1371"/>
      <c r="AE1371" s="168" t="str">
        <f t="shared" si="21"/>
        <v/>
      </c>
      <c r="AF1371" s="168">
        <v>0</v>
      </c>
      <c r="AG1371" s="168" t="str" cm="1">
        <f t="array" ref="AG1371">IF(AF1371="","",_xlfn.TEXTSPLIT(AF1371,"-"))</f>
        <v>0</v>
      </c>
      <c r="AH1371" s="168"/>
    </row>
    <row r="1372" spans="26:34" ht="24" customHeight="1">
      <c r="Z1372"/>
      <c r="AA1372"/>
      <c r="AB1372"/>
      <c r="AC1372"/>
      <c r="AD1372"/>
      <c r="AE1372" s="168" t="str">
        <f t="shared" si="21"/>
        <v/>
      </c>
      <c r="AF1372" s="168">
        <v>0</v>
      </c>
      <c r="AG1372" s="168" t="str" cm="1">
        <f t="array" ref="AG1372">IF(AF1372="","",_xlfn.TEXTSPLIT(AF1372,"-"))</f>
        <v>0</v>
      </c>
      <c r="AH1372" s="168"/>
    </row>
    <row r="1373" spans="26:34" ht="24" customHeight="1">
      <c r="Z1373"/>
      <c r="AA1373"/>
      <c r="AB1373"/>
      <c r="AC1373"/>
      <c r="AD1373"/>
      <c r="AE1373" s="168" t="str">
        <f t="shared" si="21"/>
        <v/>
      </c>
      <c r="AF1373" s="168">
        <v>0</v>
      </c>
      <c r="AG1373" s="168" t="str" cm="1">
        <f t="array" ref="AG1373">IF(AF1373="","",_xlfn.TEXTSPLIT(AF1373,"-"))</f>
        <v>0</v>
      </c>
      <c r="AH1373" s="168"/>
    </row>
    <row r="1374" spans="26:34" ht="24" customHeight="1">
      <c r="Z1374"/>
      <c r="AA1374"/>
      <c r="AB1374"/>
      <c r="AC1374"/>
      <c r="AD1374"/>
      <c r="AE1374" s="168" t="str">
        <f t="shared" si="21"/>
        <v/>
      </c>
      <c r="AF1374" s="168">
        <v>0</v>
      </c>
      <c r="AG1374" s="168" t="str" cm="1">
        <f t="array" ref="AG1374">IF(AF1374="","",_xlfn.TEXTSPLIT(AF1374,"-"))</f>
        <v>0</v>
      </c>
      <c r="AH1374" s="168"/>
    </row>
    <row r="1375" spans="26:34" ht="24" customHeight="1">
      <c r="Z1375"/>
      <c r="AA1375"/>
      <c r="AB1375"/>
      <c r="AC1375"/>
      <c r="AD1375"/>
      <c r="AE1375" s="168" t="str">
        <f t="shared" si="21"/>
        <v/>
      </c>
      <c r="AF1375" s="168">
        <v>0</v>
      </c>
      <c r="AG1375" s="168" t="str" cm="1">
        <f t="array" ref="AG1375">IF(AF1375="","",_xlfn.TEXTSPLIT(AF1375,"-"))</f>
        <v>0</v>
      </c>
      <c r="AH1375" s="168"/>
    </row>
    <row r="1376" spans="26:34" ht="24" customHeight="1">
      <c r="Z1376"/>
      <c r="AA1376"/>
      <c r="AB1376"/>
      <c r="AC1376"/>
      <c r="AD1376"/>
      <c r="AE1376" s="168" t="str">
        <f t="shared" si="21"/>
        <v/>
      </c>
      <c r="AF1376" s="168">
        <v>0</v>
      </c>
      <c r="AG1376" s="168" t="str" cm="1">
        <f t="array" ref="AG1376">IF(AF1376="","",_xlfn.TEXTSPLIT(AF1376,"-"))</f>
        <v>0</v>
      </c>
      <c r="AH1376" s="168"/>
    </row>
    <row r="1377" spans="26:34" ht="24" customHeight="1">
      <c r="Z1377"/>
      <c r="AA1377"/>
      <c r="AB1377"/>
      <c r="AC1377"/>
      <c r="AD1377"/>
      <c r="AE1377" s="168" t="str">
        <f t="shared" si="21"/>
        <v/>
      </c>
      <c r="AF1377" s="168">
        <v>0</v>
      </c>
      <c r="AG1377" s="168" t="str" cm="1">
        <f t="array" ref="AG1377">IF(AF1377="","",_xlfn.TEXTSPLIT(AF1377,"-"))</f>
        <v>0</v>
      </c>
      <c r="AH1377" s="168"/>
    </row>
    <row r="1378" spans="26:34" ht="24" customHeight="1">
      <c r="Z1378"/>
      <c r="AA1378"/>
      <c r="AB1378"/>
      <c r="AC1378"/>
      <c r="AD1378"/>
      <c r="AE1378" s="168" t="str">
        <f t="shared" si="21"/>
        <v/>
      </c>
      <c r="AF1378" s="168">
        <v>0</v>
      </c>
      <c r="AG1378" s="168" t="str" cm="1">
        <f t="array" ref="AG1378">IF(AF1378="","",_xlfn.TEXTSPLIT(AF1378,"-"))</f>
        <v>0</v>
      </c>
      <c r="AH1378" s="168"/>
    </row>
    <row r="1379" spans="26:34" ht="24" customHeight="1">
      <c r="Z1379"/>
      <c r="AA1379"/>
      <c r="AB1379"/>
      <c r="AC1379"/>
      <c r="AD1379"/>
      <c r="AE1379" s="168" t="str">
        <f t="shared" si="21"/>
        <v/>
      </c>
      <c r="AF1379" s="168">
        <v>0</v>
      </c>
      <c r="AG1379" s="168" t="str" cm="1">
        <f t="array" ref="AG1379">IF(AF1379="","",_xlfn.TEXTSPLIT(AF1379,"-"))</f>
        <v>0</v>
      </c>
      <c r="AH1379" s="168"/>
    </row>
    <row r="1380" spans="26:34" ht="24" customHeight="1">
      <c r="Z1380"/>
      <c r="AA1380"/>
      <c r="AB1380"/>
      <c r="AC1380"/>
      <c r="AD1380"/>
      <c r="AE1380" s="168" t="str">
        <f t="shared" si="21"/>
        <v/>
      </c>
      <c r="AF1380" s="168">
        <v>0</v>
      </c>
      <c r="AG1380" s="168" t="str" cm="1">
        <f t="array" ref="AG1380">IF(AF1380="","",_xlfn.TEXTSPLIT(AF1380,"-"))</f>
        <v>0</v>
      </c>
      <c r="AH1380" s="168"/>
    </row>
    <row r="1381" spans="26:34" ht="24" customHeight="1">
      <c r="Z1381"/>
      <c r="AA1381"/>
      <c r="AB1381"/>
      <c r="AC1381"/>
      <c r="AD1381"/>
      <c r="AE1381" s="168" t="str">
        <f t="shared" si="21"/>
        <v/>
      </c>
      <c r="AF1381" s="168">
        <v>0</v>
      </c>
      <c r="AG1381" s="168" t="str" cm="1">
        <f t="array" ref="AG1381">IF(AF1381="","",_xlfn.TEXTSPLIT(AF1381,"-"))</f>
        <v>0</v>
      </c>
      <c r="AH1381" s="168"/>
    </row>
    <row r="1382" spans="26:34" ht="24" customHeight="1">
      <c r="Z1382"/>
      <c r="AA1382"/>
      <c r="AB1382"/>
      <c r="AC1382"/>
      <c r="AD1382"/>
      <c r="AE1382" s="168" t="str">
        <f t="shared" si="21"/>
        <v/>
      </c>
      <c r="AF1382" s="168">
        <v>0</v>
      </c>
      <c r="AG1382" s="168" t="str" cm="1">
        <f t="array" ref="AG1382">IF(AF1382="","",_xlfn.TEXTSPLIT(AF1382,"-"))</f>
        <v>0</v>
      </c>
      <c r="AH1382" s="168"/>
    </row>
    <row r="1383" spans="26:34" ht="24" customHeight="1">
      <c r="Z1383"/>
      <c r="AA1383"/>
      <c r="AB1383"/>
      <c r="AC1383"/>
      <c r="AD1383"/>
      <c r="AE1383" s="168" t="str">
        <f t="shared" si="21"/>
        <v/>
      </c>
      <c r="AF1383" s="168">
        <v>0</v>
      </c>
      <c r="AG1383" s="168" t="str" cm="1">
        <f t="array" ref="AG1383">IF(AF1383="","",_xlfn.TEXTSPLIT(AF1383,"-"))</f>
        <v>0</v>
      </c>
      <c r="AH1383" s="168"/>
    </row>
    <row r="1384" spans="26:34" ht="24" customHeight="1">
      <c r="Z1384"/>
      <c r="AA1384"/>
      <c r="AB1384"/>
      <c r="AC1384"/>
      <c r="AD1384"/>
      <c r="AE1384" s="168" t="str">
        <f t="shared" si="21"/>
        <v/>
      </c>
      <c r="AF1384" s="168">
        <v>0</v>
      </c>
      <c r="AG1384" s="168" t="str" cm="1">
        <f t="array" ref="AG1384">IF(AF1384="","",_xlfn.TEXTSPLIT(AF1384,"-"))</f>
        <v>0</v>
      </c>
      <c r="AH1384" s="168"/>
    </row>
    <row r="1385" spans="26:34" ht="24" customHeight="1">
      <c r="Z1385"/>
      <c r="AA1385"/>
      <c r="AB1385"/>
      <c r="AC1385"/>
      <c r="AD1385"/>
      <c r="AE1385" s="168" t="str">
        <f t="shared" si="21"/>
        <v/>
      </c>
      <c r="AF1385" s="168">
        <v>0</v>
      </c>
      <c r="AG1385" s="168" t="str" cm="1">
        <f t="array" ref="AG1385">IF(AF1385="","",_xlfn.TEXTSPLIT(AF1385,"-"))</f>
        <v>0</v>
      </c>
      <c r="AH1385" s="168"/>
    </row>
    <row r="1386" spans="26:34" ht="24" customHeight="1">
      <c r="Z1386"/>
      <c r="AA1386"/>
      <c r="AB1386"/>
      <c r="AC1386"/>
      <c r="AD1386"/>
      <c r="AE1386" s="168" t="str">
        <f t="shared" si="21"/>
        <v/>
      </c>
      <c r="AF1386" s="168">
        <v>0</v>
      </c>
      <c r="AG1386" s="168" t="str" cm="1">
        <f t="array" ref="AG1386">IF(AF1386="","",_xlfn.TEXTSPLIT(AF1386,"-"))</f>
        <v>0</v>
      </c>
      <c r="AH1386" s="168"/>
    </row>
    <row r="1387" spans="26:34" ht="24" customHeight="1">
      <c r="Z1387"/>
      <c r="AA1387"/>
      <c r="AB1387"/>
      <c r="AC1387"/>
      <c r="AD1387"/>
      <c r="AE1387" s="168" t="str">
        <f t="shared" si="21"/>
        <v/>
      </c>
      <c r="AF1387" s="168">
        <v>0</v>
      </c>
      <c r="AG1387" s="168" t="str" cm="1">
        <f t="array" ref="AG1387">IF(AF1387="","",_xlfn.TEXTSPLIT(AF1387,"-"))</f>
        <v>0</v>
      </c>
      <c r="AH1387" s="168"/>
    </row>
    <row r="1388" spans="26:34" ht="24" customHeight="1">
      <c r="Z1388"/>
      <c r="AA1388"/>
      <c r="AB1388"/>
      <c r="AC1388"/>
      <c r="AD1388"/>
      <c r="AE1388" s="168" t="str">
        <f t="shared" si="21"/>
        <v/>
      </c>
      <c r="AF1388" s="168">
        <v>0</v>
      </c>
      <c r="AG1388" s="168" t="str" cm="1">
        <f t="array" ref="AG1388">IF(AF1388="","",_xlfn.TEXTSPLIT(AF1388,"-"))</f>
        <v>0</v>
      </c>
      <c r="AH1388" s="168"/>
    </row>
    <row r="1389" spans="26:34" ht="24" customHeight="1">
      <c r="Z1389"/>
      <c r="AA1389"/>
      <c r="AB1389"/>
      <c r="AC1389"/>
      <c r="AD1389"/>
      <c r="AE1389" s="168" t="str">
        <f t="shared" si="21"/>
        <v/>
      </c>
      <c r="AF1389" s="168">
        <v>0</v>
      </c>
      <c r="AG1389" s="168" t="str" cm="1">
        <f t="array" ref="AG1389">IF(AF1389="","",_xlfn.TEXTSPLIT(AF1389,"-"))</f>
        <v>0</v>
      </c>
      <c r="AH1389" s="168"/>
    </row>
    <row r="1390" spans="26:34" ht="24" customHeight="1">
      <c r="Z1390"/>
      <c r="AA1390"/>
      <c r="AB1390"/>
      <c r="AC1390"/>
      <c r="AD1390"/>
      <c r="AE1390" s="168" t="str">
        <f t="shared" si="21"/>
        <v/>
      </c>
      <c r="AF1390" s="168">
        <v>0</v>
      </c>
      <c r="AG1390" s="168" t="str" cm="1">
        <f t="array" ref="AG1390">IF(AF1390="","",_xlfn.TEXTSPLIT(AF1390,"-"))</f>
        <v>0</v>
      </c>
      <c r="AH1390" s="168"/>
    </row>
    <row r="1391" spans="26:34" ht="24" customHeight="1">
      <c r="Z1391"/>
      <c r="AA1391"/>
      <c r="AB1391"/>
      <c r="AC1391"/>
      <c r="AD1391"/>
      <c r="AE1391" s="168" t="str">
        <f t="shared" si="21"/>
        <v/>
      </c>
      <c r="AF1391" s="168">
        <v>0</v>
      </c>
      <c r="AG1391" s="168" t="str" cm="1">
        <f t="array" ref="AG1391">IF(AF1391="","",_xlfn.TEXTSPLIT(AF1391,"-"))</f>
        <v>0</v>
      </c>
      <c r="AH1391" s="168"/>
    </row>
    <row r="1392" spans="26:34" ht="24" customHeight="1">
      <c r="Z1392"/>
      <c r="AA1392"/>
      <c r="AB1392"/>
      <c r="AC1392"/>
      <c r="AD1392"/>
      <c r="AE1392" s="168" t="str">
        <f t="shared" si="21"/>
        <v/>
      </c>
      <c r="AF1392" s="168">
        <v>0</v>
      </c>
      <c r="AG1392" s="168" t="str" cm="1">
        <f t="array" ref="AG1392">IF(AF1392="","",_xlfn.TEXTSPLIT(AF1392,"-"))</f>
        <v>0</v>
      </c>
      <c r="AH1392" s="168"/>
    </row>
    <row r="1393" spans="26:34" ht="24" customHeight="1">
      <c r="Z1393"/>
      <c r="AA1393"/>
      <c r="AB1393"/>
      <c r="AC1393"/>
      <c r="AD1393"/>
      <c r="AE1393" s="168" t="str">
        <f t="shared" si="21"/>
        <v/>
      </c>
      <c r="AF1393" s="168">
        <v>0</v>
      </c>
      <c r="AG1393" s="168" t="str" cm="1">
        <f t="array" ref="AG1393">IF(AF1393="","",_xlfn.TEXTSPLIT(AF1393,"-"))</f>
        <v>0</v>
      </c>
      <c r="AH1393" s="168"/>
    </row>
    <row r="1394" spans="26:34" ht="24" customHeight="1">
      <c r="Z1394"/>
      <c r="AA1394"/>
      <c r="AB1394"/>
      <c r="AC1394"/>
      <c r="AD1394"/>
      <c r="AE1394" s="168" t="str">
        <f t="shared" si="21"/>
        <v/>
      </c>
      <c r="AF1394" s="168">
        <v>0</v>
      </c>
      <c r="AG1394" s="168" t="str" cm="1">
        <f t="array" ref="AG1394">IF(AF1394="","",_xlfn.TEXTSPLIT(AF1394,"-"))</f>
        <v>0</v>
      </c>
      <c r="AH1394" s="168"/>
    </row>
    <row r="1395" spans="26:34" ht="24" customHeight="1">
      <c r="Z1395"/>
      <c r="AA1395"/>
      <c r="AB1395"/>
      <c r="AC1395"/>
      <c r="AD1395"/>
      <c r="AE1395" s="168" t="str">
        <f t="shared" si="21"/>
        <v/>
      </c>
      <c r="AF1395" s="168">
        <v>0</v>
      </c>
      <c r="AG1395" s="168" t="str" cm="1">
        <f t="array" ref="AG1395">IF(AF1395="","",_xlfn.TEXTSPLIT(AF1395,"-"))</f>
        <v>0</v>
      </c>
      <c r="AH1395" s="168"/>
    </row>
    <row r="1396" spans="26:34" ht="24" customHeight="1">
      <c r="Z1396"/>
      <c r="AA1396"/>
      <c r="AB1396"/>
      <c r="AC1396"/>
      <c r="AD1396"/>
      <c r="AE1396" s="168" t="str">
        <f t="shared" si="21"/>
        <v/>
      </c>
      <c r="AF1396" s="168">
        <v>0</v>
      </c>
      <c r="AG1396" s="168" t="str" cm="1">
        <f t="array" ref="AG1396">IF(AF1396="","",_xlfn.TEXTSPLIT(AF1396,"-"))</f>
        <v>0</v>
      </c>
      <c r="AH1396" s="168"/>
    </row>
    <row r="1397" spans="26:34" ht="24" customHeight="1">
      <c r="Z1397"/>
      <c r="AA1397"/>
      <c r="AB1397"/>
      <c r="AC1397"/>
      <c r="AD1397"/>
      <c r="AE1397" s="168" t="str">
        <f t="shared" si="21"/>
        <v/>
      </c>
      <c r="AF1397" s="168">
        <v>0</v>
      </c>
      <c r="AG1397" s="168" t="str" cm="1">
        <f t="array" ref="AG1397">IF(AF1397="","",_xlfn.TEXTSPLIT(AF1397,"-"))</f>
        <v>0</v>
      </c>
      <c r="AH1397" s="168"/>
    </row>
    <row r="1398" spans="26:34" ht="24" customHeight="1">
      <c r="Z1398"/>
      <c r="AA1398"/>
      <c r="AB1398"/>
      <c r="AC1398"/>
      <c r="AD1398"/>
      <c r="AE1398" s="168" t="str">
        <f t="shared" si="21"/>
        <v/>
      </c>
      <c r="AF1398" s="168">
        <v>0</v>
      </c>
      <c r="AG1398" s="168" t="str" cm="1">
        <f t="array" ref="AG1398">IF(AF1398="","",_xlfn.TEXTSPLIT(AF1398,"-"))</f>
        <v>0</v>
      </c>
      <c r="AH1398" s="168"/>
    </row>
    <row r="1399" spans="26:34" ht="24" customHeight="1">
      <c r="Z1399"/>
      <c r="AA1399"/>
      <c r="AB1399"/>
      <c r="AC1399"/>
      <c r="AD1399"/>
      <c r="AE1399" s="168" t="str">
        <f t="shared" si="21"/>
        <v/>
      </c>
      <c r="AF1399" s="168">
        <v>0</v>
      </c>
      <c r="AG1399" s="168" t="str" cm="1">
        <f t="array" ref="AG1399">IF(AF1399="","",_xlfn.TEXTSPLIT(AF1399,"-"))</f>
        <v>0</v>
      </c>
      <c r="AH1399" s="168"/>
    </row>
    <row r="1400" spans="26:34" ht="24" customHeight="1">
      <c r="Z1400"/>
      <c r="AA1400"/>
      <c r="AB1400"/>
      <c r="AC1400"/>
      <c r="AD1400"/>
      <c r="AE1400" s="168" t="str">
        <f t="shared" si="21"/>
        <v/>
      </c>
      <c r="AF1400" s="168">
        <v>0</v>
      </c>
      <c r="AG1400" s="168" t="str" cm="1">
        <f t="array" ref="AG1400">IF(AF1400="","",_xlfn.TEXTSPLIT(AF1400,"-"))</f>
        <v>0</v>
      </c>
      <c r="AH1400" s="168"/>
    </row>
    <row r="1401" spans="26:34" ht="24" customHeight="1">
      <c r="Z1401"/>
      <c r="AA1401"/>
      <c r="AB1401"/>
      <c r="AC1401"/>
      <c r="AD1401"/>
      <c r="AE1401" s="168" t="str">
        <f t="shared" si="21"/>
        <v/>
      </c>
      <c r="AF1401" s="168">
        <v>0</v>
      </c>
      <c r="AG1401" s="168" t="str" cm="1">
        <f t="array" ref="AG1401">IF(AF1401="","",_xlfn.TEXTSPLIT(AF1401,"-"))</f>
        <v>0</v>
      </c>
      <c r="AH1401" s="168"/>
    </row>
    <row r="1402" spans="26:34" ht="24" customHeight="1">
      <c r="Z1402"/>
      <c r="AA1402"/>
      <c r="AB1402"/>
      <c r="AC1402"/>
      <c r="AD1402"/>
      <c r="AE1402" s="168" t="str">
        <f t="shared" si="21"/>
        <v/>
      </c>
      <c r="AF1402" s="168">
        <v>0</v>
      </c>
      <c r="AG1402" s="168" t="str" cm="1">
        <f t="array" ref="AG1402">IF(AF1402="","",_xlfn.TEXTSPLIT(AF1402,"-"))</f>
        <v>0</v>
      </c>
      <c r="AH1402" s="168"/>
    </row>
    <row r="1403" spans="26:34" ht="24" customHeight="1">
      <c r="Z1403"/>
      <c r="AA1403"/>
      <c r="AB1403"/>
      <c r="AC1403"/>
      <c r="AD1403"/>
      <c r="AE1403" s="168" t="str">
        <f t="shared" si="21"/>
        <v/>
      </c>
      <c r="AF1403" s="168">
        <v>0</v>
      </c>
      <c r="AG1403" s="168" t="str" cm="1">
        <f t="array" ref="AG1403">IF(AF1403="","",_xlfn.TEXTSPLIT(AF1403,"-"))</f>
        <v>0</v>
      </c>
      <c r="AH1403" s="168"/>
    </row>
    <row r="1404" spans="26:34" ht="24" customHeight="1">
      <c r="Z1404"/>
      <c r="AA1404"/>
      <c r="AB1404"/>
      <c r="AC1404"/>
      <c r="AD1404"/>
      <c r="AE1404" s="168" t="str">
        <f t="shared" si="21"/>
        <v/>
      </c>
      <c r="AF1404" s="168">
        <v>0</v>
      </c>
      <c r="AG1404" s="168" t="str" cm="1">
        <f t="array" ref="AG1404">IF(AF1404="","",_xlfn.TEXTSPLIT(AF1404,"-"))</f>
        <v>0</v>
      </c>
      <c r="AH1404" s="168"/>
    </row>
    <row r="1405" spans="26:34" ht="24" customHeight="1">
      <c r="Z1405"/>
      <c r="AA1405"/>
      <c r="AB1405"/>
      <c r="AC1405"/>
      <c r="AD1405"/>
      <c r="AE1405" s="168" t="str">
        <f t="shared" si="21"/>
        <v/>
      </c>
      <c r="AF1405" s="168">
        <v>0</v>
      </c>
      <c r="AG1405" s="168" t="str" cm="1">
        <f t="array" ref="AG1405">IF(AF1405="","",_xlfn.TEXTSPLIT(AF1405,"-"))</f>
        <v>0</v>
      </c>
      <c r="AH1405" s="168"/>
    </row>
    <row r="1406" spans="26:34" ht="24" customHeight="1">
      <c r="Z1406"/>
      <c r="AA1406"/>
      <c r="AB1406"/>
      <c r="AC1406"/>
      <c r="AD1406"/>
      <c r="AE1406" s="168" t="str">
        <f t="shared" si="21"/>
        <v/>
      </c>
      <c r="AF1406" s="168">
        <v>0</v>
      </c>
      <c r="AG1406" s="168" t="str" cm="1">
        <f t="array" ref="AG1406">IF(AF1406="","",_xlfn.TEXTSPLIT(AF1406,"-"))</f>
        <v>0</v>
      </c>
      <c r="AH1406" s="168"/>
    </row>
    <row r="1407" spans="26:34" ht="24" customHeight="1">
      <c r="Z1407"/>
      <c r="AA1407"/>
      <c r="AB1407"/>
      <c r="AC1407"/>
      <c r="AD1407"/>
      <c r="AE1407" s="168" t="str">
        <f t="shared" si="21"/>
        <v/>
      </c>
      <c r="AF1407" s="168">
        <v>0</v>
      </c>
      <c r="AG1407" s="168" t="str" cm="1">
        <f t="array" ref="AG1407">IF(AF1407="","",_xlfn.TEXTSPLIT(AF1407,"-"))</f>
        <v>0</v>
      </c>
      <c r="AH1407" s="168"/>
    </row>
    <row r="1408" spans="26:34" ht="24" customHeight="1">
      <c r="Z1408"/>
      <c r="AA1408"/>
      <c r="AB1408"/>
      <c r="AC1408"/>
      <c r="AD1408"/>
      <c r="AE1408" s="168" t="str">
        <f t="shared" si="21"/>
        <v/>
      </c>
      <c r="AF1408" s="168">
        <v>0</v>
      </c>
      <c r="AG1408" s="168" t="str" cm="1">
        <f t="array" ref="AG1408">IF(AF1408="","",_xlfn.TEXTSPLIT(AF1408,"-"))</f>
        <v>0</v>
      </c>
      <c r="AH1408" s="168"/>
    </row>
    <row r="1409" spans="26:34" ht="24" customHeight="1">
      <c r="Z1409"/>
      <c r="AA1409"/>
      <c r="AB1409"/>
      <c r="AC1409"/>
      <c r="AD1409"/>
      <c r="AE1409" s="168" t="str">
        <f t="shared" si="21"/>
        <v/>
      </c>
      <c r="AF1409" s="168">
        <v>0</v>
      </c>
      <c r="AG1409" s="168" t="str" cm="1">
        <f t="array" ref="AG1409">IF(AF1409="","",_xlfn.TEXTSPLIT(AF1409,"-"))</f>
        <v>0</v>
      </c>
      <c r="AH1409" s="168"/>
    </row>
    <row r="1410" spans="26:34" ht="24" customHeight="1">
      <c r="Z1410"/>
      <c r="AA1410"/>
      <c r="AB1410"/>
      <c r="AC1410"/>
      <c r="AD1410"/>
      <c r="AE1410" s="168" t="str">
        <f t="shared" si="21"/>
        <v/>
      </c>
      <c r="AF1410" s="168">
        <v>0</v>
      </c>
      <c r="AG1410" s="168" t="str" cm="1">
        <f t="array" ref="AG1410">IF(AF1410="","",_xlfn.TEXTSPLIT(AF1410,"-"))</f>
        <v>0</v>
      </c>
      <c r="AH1410" s="168"/>
    </row>
    <row r="1411" spans="26:34" ht="24" customHeight="1">
      <c r="Z1411"/>
      <c r="AA1411"/>
      <c r="AB1411"/>
      <c r="AC1411"/>
      <c r="AD1411"/>
      <c r="AE1411" s="168" t="str">
        <f t="shared" si="21"/>
        <v/>
      </c>
      <c r="AF1411" s="168">
        <v>0</v>
      </c>
      <c r="AG1411" s="168" t="str" cm="1">
        <f t="array" ref="AG1411">IF(AF1411="","",_xlfn.TEXTSPLIT(AF1411,"-"))</f>
        <v>0</v>
      </c>
      <c r="AH1411" s="168"/>
    </row>
    <row r="1412" spans="26:34" ht="24" customHeight="1">
      <c r="Z1412"/>
      <c r="AA1412"/>
      <c r="AB1412"/>
      <c r="AC1412"/>
      <c r="AD1412"/>
      <c r="AE1412" s="168" t="str">
        <f t="shared" si="21"/>
        <v/>
      </c>
      <c r="AF1412" s="168">
        <v>0</v>
      </c>
      <c r="AG1412" s="168" t="str" cm="1">
        <f t="array" ref="AG1412">IF(AF1412="","",_xlfn.TEXTSPLIT(AF1412,"-"))</f>
        <v>0</v>
      </c>
      <c r="AH1412" s="168"/>
    </row>
    <row r="1413" spans="26:34" ht="24" customHeight="1">
      <c r="Z1413"/>
      <c r="AA1413"/>
      <c r="AB1413"/>
      <c r="AC1413"/>
      <c r="AD1413"/>
      <c r="AE1413" s="168" t="str">
        <f t="shared" ref="AE1413:AE1476" si="22">IF(AH1413="","",AH1413*1)</f>
        <v/>
      </c>
      <c r="AF1413" s="168">
        <v>0</v>
      </c>
      <c r="AG1413" s="168" t="str" cm="1">
        <f t="array" ref="AG1413">IF(AF1413="","",_xlfn.TEXTSPLIT(AF1413,"-"))</f>
        <v>0</v>
      </c>
      <c r="AH1413" s="168"/>
    </row>
    <row r="1414" spans="26:34" ht="24" customHeight="1">
      <c r="Z1414"/>
      <c r="AA1414"/>
      <c r="AB1414"/>
      <c r="AC1414"/>
      <c r="AD1414"/>
      <c r="AE1414" s="168" t="str">
        <f t="shared" si="22"/>
        <v/>
      </c>
      <c r="AF1414" s="168">
        <v>0</v>
      </c>
      <c r="AG1414" s="168" t="str" cm="1">
        <f t="array" ref="AG1414">IF(AF1414="","",_xlfn.TEXTSPLIT(AF1414,"-"))</f>
        <v>0</v>
      </c>
      <c r="AH1414" s="168"/>
    </row>
    <row r="1415" spans="26:34" ht="24" customHeight="1">
      <c r="Z1415"/>
      <c r="AA1415"/>
      <c r="AB1415"/>
      <c r="AC1415"/>
      <c r="AD1415"/>
      <c r="AE1415" s="168" t="str">
        <f t="shared" si="22"/>
        <v/>
      </c>
      <c r="AF1415" s="168">
        <v>0</v>
      </c>
      <c r="AG1415" s="168" t="str" cm="1">
        <f t="array" ref="AG1415">IF(AF1415="","",_xlfn.TEXTSPLIT(AF1415,"-"))</f>
        <v>0</v>
      </c>
      <c r="AH1415" s="168"/>
    </row>
    <row r="1416" spans="26:34" ht="24" customHeight="1">
      <c r="Z1416"/>
      <c r="AA1416"/>
      <c r="AB1416"/>
      <c r="AC1416"/>
      <c r="AD1416"/>
      <c r="AE1416" s="168" t="str">
        <f t="shared" si="22"/>
        <v/>
      </c>
      <c r="AF1416" s="168">
        <v>0</v>
      </c>
      <c r="AG1416" s="168" t="str" cm="1">
        <f t="array" ref="AG1416">IF(AF1416="","",_xlfn.TEXTSPLIT(AF1416,"-"))</f>
        <v>0</v>
      </c>
      <c r="AH1416" s="168"/>
    </row>
    <row r="1417" spans="26:34" ht="24" customHeight="1">
      <c r="Z1417"/>
      <c r="AA1417"/>
      <c r="AB1417"/>
      <c r="AC1417"/>
      <c r="AD1417"/>
      <c r="AE1417" s="168" t="str">
        <f t="shared" si="22"/>
        <v/>
      </c>
      <c r="AF1417" s="168">
        <v>0</v>
      </c>
      <c r="AG1417" s="168" t="str" cm="1">
        <f t="array" ref="AG1417">IF(AF1417="","",_xlfn.TEXTSPLIT(AF1417,"-"))</f>
        <v>0</v>
      </c>
      <c r="AH1417" s="168"/>
    </row>
    <row r="1418" spans="26:34" ht="24" customHeight="1">
      <c r="Z1418"/>
      <c r="AA1418"/>
      <c r="AB1418"/>
      <c r="AC1418"/>
      <c r="AD1418"/>
      <c r="AE1418" s="168" t="str">
        <f t="shared" si="22"/>
        <v/>
      </c>
      <c r="AF1418" s="168">
        <v>0</v>
      </c>
      <c r="AG1418" s="168" t="str" cm="1">
        <f t="array" ref="AG1418">IF(AF1418="","",_xlfn.TEXTSPLIT(AF1418,"-"))</f>
        <v>0</v>
      </c>
      <c r="AH1418" s="168"/>
    </row>
    <row r="1419" spans="26:34" ht="24" customHeight="1">
      <c r="Z1419"/>
      <c r="AA1419"/>
      <c r="AB1419"/>
      <c r="AC1419"/>
      <c r="AD1419"/>
      <c r="AE1419" s="168" t="str">
        <f t="shared" si="22"/>
        <v/>
      </c>
      <c r="AF1419" s="168">
        <v>0</v>
      </c>
      <c r="AG1419" s="168" t="str" cm="1">
        <f t="array" ref="AG1419">IF(AF1419="","",_xlfn.TEXTSPLIT(AF1419,"-"))</f>
        <v>0</v>
      </c>
      <c r="AH1419" s="168"/>
    </row>
    <row r="1420" spans="26:34" ht="24" customHeight="1">
      <c r="Z1420"/>
      <c r="AA1420"/>
      <c r="AB1420"/>
      <c r="AC1420"/>
      <c r="AD1420"/>
      <c r="AE1420" s="168" t="str">
        <f t="shared" si="22"/>
        <v/>
      </c>
      <c r="AF1420" s="168">
        <v>0</v>
      </c>
      <c r="AG1420" s="168" t="str" cm="1">
        <f t="array" ref="AG1420">IF(AF1420="","",_xlfn.TEXTSPLIT(AF1420,"-"))</f>
        <v>0</v>
      </c>
      <c r="AH1420" s="168"/>
    </row>
    <row r="1421" spans="26:34" ht="24" customHeight="1">
      <c r="Z1421"/>
      <c r="AA1421"/>
      <c r="AB1421"/>
      <c r="AC1421"/>
      <c r="AD1421"/>
      <c r="AE1421" s="168" t="str">
        <f t="shared" si="22"/>
        <v/>
      </c>
      <c r="AF1421" s="168">
        <v>0</v>
      </c>
      <c r="AG1421" s="168" t="str" cm="1">
        <f t="array" ref="AG1421">IF(AF1421="","",_xlfn.TEXTSPLIT(AF1421,"-"))</f>
        <v>0</v>
      </c>
      <c r="AH1421" s="168"/>
    </row>
    <row r="1422" spans="26:34" ht="24" customHeight="1">
      <c r="Z1422"/>
      <c r="AA1422"/>
      <c r="AB1422"/>
      <c r="AC1422"/>
      <c r="AD1422"/>
      <c r="AE1422" s="168" t="str">
        <f t="shared" si="22"/>
        <v/>
      </c>
      <c r="AF1422" s="168">
        <v>0</v>
      </c>
      <c r="AG1422" s="168" t="str" cm="1">
        <f t="array" ref="AG1422">IF(AF1422="","",_xlfn.TEXTSPLIT(AF1422,"-"))</f>
        <v>0</v>
      </c>
      <c r="AH1422" s="168"/>
    </row>
    <row r="1423" spans="26:34" ht="24" customHeight="1">
      <c r="Z1423"/>
      <c r="AA1423"/>
      <c r="AB1423"/>
      <c r="AC1423"/>
      <c r="AD1423"/>
      <c r="AE1423" s="168" t="str">
        <f t="shared" si="22"/>
        <v/>
      </c>
      <c r="AF1423" s="168">
        <v>0</v>
      </c>
      <c r="AG1423" s="168" t="str" cm="1">
        <f t="array" ref="AG1423">IF(AF1423="","",_xlfn.TEXTSPLIT(AF1423,"-"))</f>
        <v>0</v>
      </c>
      <c r="AH1423" s="168"/>
    </row>
    <row r="1424" spans="26:34" ht="24" customHeight="1">
      <c r="Z1424"/>
      <c r="AA1424"/>
      <c r="AB1424"/>
      <c r="AC1424"/>
      <c r="AD1424"/>
      <c r="AE1424" s="168" t="str">
        <f t="shared" si="22"/>
        <v/>
      </c>
      <c r="AF1424" s="168">
        <v>0</v>
      </c>
      <c r="AG1424" s="168" t="str" cm="1">
        <f t="array" ref="AG1424">IF(AF1424="","",_xlfn.TEXTSPLIT(AF1424,"-"))</f>
        <v>0</v>
      </c>
      <c r="AH1424" s="168"/>
    </row>
    <row r="1425" spans="26:34" ht="24" customHeight="1">
      <c r="Z1425"/>
      <c r="AA1425"/>
      <c r="AB1425"/>
      <c r="AC1425"/>
      <c r="AD1425"/>
      <c r="AE1425" s="168" t="str">
        <f t="shared" si="22"/>
        <v/>
      </c>
      <c r="AF1425" s="168">
        <v>0</v>
      </c>
      <c r="AG1425" s="168" t="str" cm="1">
        <f t="array" ref="AG1425">IF(AF1425="","",_xlfn.TEXTSPLIT(AF1425,"-"))</f>
        <v>0</v>
      </c>
      <c r="AH1425" s="168"/>
    </row>
    <row r="1426" spans="26:34" ht="24" customHeight="1">
      <c r="Z1426"/>
      <c r="AA1426"/>
      <c r="AB1426"/>
      <c r="AC1426"/>
      <c r="AD1426"/>
      <c r="AE1426" s="168" t="str">
        <f t="shared" si="22"/>
        <v/>
      </c>
      <c r="AF1426" s="168">
        <v>0</v>
      </c>
      <c r="AG1426" s="168" t="str" cm="1">
        <f t="array" ref="AG1426">IF(AF1426="","",_xlfn.TEXTSPLIT(AF1426,"-"))</f>
        <v>0</v>
      </c>
      <c r="AH1426" s="168"/>
    </row>
    <row r="1427" spans="26:34" ht="24" customHeight="1">
      <c r="Z1427"/>
      <c r="AA1427"/>
      <c r="AB1427"/>
      <c r="AC1427"/>
      <c r="AD1427"/>
      <c r="AE1427" s="168" t="str">
        <f t="shared" si="22"/>
        <v/>
      </c>
      <c r="AF1427" s="168">
        <v>0</v>
      </c>
      <c r="AG1427" s="168" t="str" cm="1">
        <f t="array" ref="AG1427">IF(AF1427="","",_xlfn.TEXTSPLIT(AF1427,"-"))</f>
        <v>0</v>
      </c>
      <c r="AH1427" s="168"/>
    </row>
    <row r="1428" spans="26:34" ht="24" customHeight="1">
      <c r="Z1428"/>
      <c r="AA1428"/>
      <c r="AB1428"/>
      <c r="AC1428"/>
      <c r="AD1428"/>
      <c r="AE1428" s="168" t="str">
        <f t="shared" si="22"/>
        <v/>
      </c>
      <c r="AF1428" s="168">
        <v>0</v>
      </c>
      <c r="AG1428" s="168" t="str" cm="1">
        <f t="array" ref="AG1428">IF(AF1428="","",_xlfn.TEXTSPLIT(AF1428,"-"))</f>
        <v>0</v>
      </c>
      <c r="AH1428" s="168"/>
    </row>
    <row r="1429" spans="26:34" ht="24" customHeight="1">
      <c r="Z1429"/>
      <c r="AA1429"/>
      <c r="AB1429"/>
      <c r="AC1429"/>
      <c r="AD1429"/>
      <c r="AE1429" s="168" t="str">
        <f t="shared" si="22"/>
        <v/>
      </c>
      <c r="AF1429" s="168">
        <v>0</v>
      </c>
      <c r="AG1429" s="168" t="str" cm="1">
        <f t="array" ref="AG1429">IF(AF1429="","",_xlfn.TEXTSPLIT(AF1429,"-"))</f>
        <v>0</v>
      </c>
      <c r="AH1429" s="168"/>
    </row>
    <row r="1430" spans="26:34" ht="24" customHeight="1">
      <c r="Z1430"/>
      <c r="AA1430"/>
      <c r="AB1430"/>
      <c r="AC1430"/>
      <c r="AD1430"/>
      <c r="AE1430" s="168" t="str">
        <f t="shared" si="22"/>
        <v/>
      </c>
      <c r="AF1430" s="168">
        <v>0</v>
      </c>
      <c r="AG1430" s="168" t="str" cm="1">
        <f t="array" ref="AG1430">IF(AF1430="","",_xlfn.TEXTSPLIT(AF1430,"-"))</f>
        <v>0</v>
      </c>
      <c r="AH1430" s="168"/>
    </row>
    <row r="1431" spans="26:34" ht="24" customHeight="1">
      <c r="Z1431"/>
      <c r="AA1431"/>
      <c r="AB1431"/>
      <c r="AC1431"/>
      <c r="AD1431"/>
      <c r="AE1431" s="168" t="str">
        <f t="shared" si="22"/>
        <v/>
      </c>
      <c r="AF1431" s="168">
        <v>0</v>
      </c>
      <c r="AG1431" s="168" t="str" cm="1">
        <f t="array" ref="AG1431">IF(AF1431="","",_xlfn.TEXTSPLIT(AF1431,"-"))</f>
        <v>0</v>
      </c>
      <c r="AH1431" s="168"/>
    </row>
    <row r="1432" spans="26:34" ht="24" customHeight="1">
      <c r="Z1432"/>
      <c r="AA1432"/>
      <c r="AB1432"/>
      <c r="AC1432"/>
      <c r="AD1432"/>
      <c r="AE1432" s="168" t="str">
        <f t="shared" si="22"/>
        <v/>
      </c>
      <c r="AF1432" s="168">
        <v>0</v>
      </c>
      <c r="AG1432" s="168" t="str" cm="1">
        <f t="array" ref="AG1432">IF(AF1432="","",_xlfn.TEXTSPLIT(AF1432,"-"))</f>
        <v>0</v>
      </c>
      <c r="AH1432" s="168"/>
    </row>
    <row r="1433" spans="26:34" ht="24" customHeight="1">
      <c r="Z1433"/>
      <c r="AA1433"/>
      <c r="AB1433"/>
      <c r="AC1433"/>
      <c r="AD1433"/>
      <c r="AE1433" s="168" t="str">
        <f t="shared" si="22"/>
        <v/>
      </c>
      <c r="AF1433" s="168">
        <v>0</v>
      </c>
      <c r="AG1433" s="168" t="str" cm="1">
        <f t="array" ref="AG1433">IF(AF1433="","",_xlfn.TEXTSPLIT(AF1433,"-"))</f>
        <v>0</v>
      </c>
      <c r="AH1433" s="168"/>
    </row>
    <row r="1434" spans="26:34" ht="24" customHeight="1">
      <c r="Z1434"/>
      <c r="AA1434"/>
      <c r="AB1434"/>
      <c r="AC1434"/>
      <c r="AD1434"/>
      <c r="AE1434" s="168" t="str">
        <f t="shared" si="22"/>
        <v/>
      </c>
      <c r="AF1434" s="168">
        <v>0</v>
      </c>
      <c r="AG1434" s="168" t="str" cm="1">
        <f t="array" ref="AG1434">IF(AF1434="","",_xlfn.TEXTSPLIT(AF1434,"-"))</f>
        <v>0</v>
      </c>
      <c r="AH1434" s="168"/>
    </row>
    <row r="1435" spans="26:34" ht="24" customHeight="1">
      <c r="Z1435"/>
      <c r="AA1435"/>
      <c r="AB1435"/>
      <c r="AC1435"/>
      <c r="AD1435"/>
      <c r="AE1435" s="168" t="str">
        <f t="shared" si="22"/>
        <v/>
      </c>
      <c r="AF1435" s="168">
        <v>0</v>
      </c>
      <c r="AG1435" s="168" t="str" cm="1">
        <f t="array" ref="AG1435">IF(AF1435="","",_xlfn.TEXTSPLIT(AF1435,"-"))</f>
        <v>0</v>
      </c>
      <c r="AH1435" s="168"/>
    </row>
    <row r="1436" spans="26:34" ht="24" customHeight="1">
      <c r="Z1436"/>
      <c r="AA1436"/>
      <c r="AB1436"/>
      <c r="AC1436"/>
      <c r="AD1436"/>
      <c r="AE1436" s="168" t="str">
        <f t="shared" si="22"/>
        <v/>
      </c>
      <c r="AF1436" s="168">
        <v>0</v>
      </c>
      <c r="AG1436" s="168" t="str" cm="1">
        <f t="array" ref="AG1436">IF(AF1436="","",_xlfn.TEXTSPLIT(AF1436,"-"))</f>
        <v>0</v>
      </c>
      <c r="AH1436" s="168"/>
    </row>
    <row r="1437" spans="26:34" ht="24" customHeight="1">
      <c r="Z1437"/>
      <c r="AA1437"/>
      <c r="AB1437"/>
      <c r="AC1437"/>
      <c r="AD1437"/>
      <c r="AE1437" s="168" t="str">
        <f t="shared" si="22"/>
        <v/>
      </c>
      <c r="AF1437" s="168">
        <v>0</v>
      </c>
      <c r="AG1437" s="168" t="str" cm="1">
        <f t="array" ref="AG1437">IF(AF1437="","",_xlfn.TEXTSPLIT(AF1437,"-"))</f>
        <v>0</v>
      </c>
      <c r="AH1437" s="168"/>
    </row>
    <row r="1438" spans="26:34" ht="24" customHeight="1">
      <c r="Z1438"/>
      <c r="AA1438"/>
      <c r="AB1438"/>
      <c r="AC1438"/>
      <c r="AD1438"/>
      <c r="AE1438" s="168" t="str">
        <f t="shared" si="22"/>
        <v/>
      </c>
      <c r="AF1438" s="168">
        <v>0</v>
      </c>
      <c r="AG1438" s="168" t="str" cm="1">
        <f t="array" ref="AG1438">IF(AF1438="","",_xlfn.TEXTSPLIT(AF1438,"-"))</f>
        <v>0</v>
      </c>
      <c r="AH1438" s="168"/>
    </row>
    <row r="1439" spans="26:34" ht="24" customHeight="1">
      <c r="Z1439"/>
      <c r="AA1439"/>
      <c r="AB1439"/>
      <c r="AC1439"/>
      <c r="AD1439"/>
      <c r="AE1439" s="168" t="str">
        <f t="shared" si="22"/>
        <v/>
      </c>
      <c r="AF1439" s="168">
        <v>0</v>
      </c>
      <c r="AG1439" s="168" t="str" cm="1">
        <f t="array" ref="AG1439">IF(AF1439="","",_xlfn.TEXTSPLIT(AF1439,"-"))</f>
        <v>0</v>
      </c>
      <c r="AH1439" s="168"/>
    </row>
    <row r="1440" spans="26:34" ht="24" customHeight="1">
      <c r="Z1440"/>
      <c r="AA1440"/>
      <c r="AB1440"/>
      <c r="AC1440"/>
      <c r="AD1440"/>
      <c r="AE1440" s="168" t="str">
        <f t="shared" si="22"/>
        <v/>
      </c>
      <c r="AF1440" s="168">
        <v>0</v>
      </c>
      <c r="AG1440" s="168" t="str" cm="1">
        <f t="array" ref="AG1440">IF(AF1440="","",_xlfn.TEXTSPLIT(AF1440,"-"))</f>
        <v>0</v>
      </c>
      <c r="AH1440" s="168"/>
    </row>
    <row r="1441" spans="26:34" ht="24" customHeight="1">
      <c r="Z1441"/>
      <c r="AA1441"/>
      <c r="AB1441"/>
      <c r="AC1441"/>
      <c r="AD1441"/>
      <c r="AE1441" s="168" t="str">
        <f t="shared" si="22"/>
        <v/>
      </c>
      <c r="AF1441" s="168">
        <v>0</v>
      </c>
      <c r="AG1441" s="168" t="str" cm="1">
        <f t="array" ref="AG1441">IF(AF1441="","",_xlfn.TEXTSPLIT(AF1441,"-"))</f>
        <v>0</v>
      </c>
      <c r="AH1441" s="168"/>
    </row>
    <row r="1442" spans="26:34" ht="24" customHeight="1">
      <c r="Z1442"/>
      <c r="AA1442"/>
      <c r="AB1442"/>
      <c r="AC1442"/>
      <c r="AD1442"/>
      <c r="AE1442" s="168" t="str">
        <f t="shared" si="22"/>
        <v/>
      </c>
      <c r="AF1442" s="168">
        <v>0</v>
      </c>
      <c r="AG1442" s="168" t="str" cm="1">
        <f t="array" ref="AG1442">IF(AF1442="","",_xlfn.TEXTSPLIT(AF1442,"-"))</f>
        <v>0</v>
      </c>
      <c r="AH1442" s="168"/>
    </row>
    <row r="1443" spans="26:34" ht="24" customHeight="1">
      <c r="Z1443"/>
      <c r="AA1443"/>
      <c r="AB1443"/>
      <c r="AC1443"/>
      <c r="AD1443"/>
      <c r="AE1443" s="168" t="str">
        <f t="shared" si="22"/>
        <v/>
      </c>
      <c r="AF1443" s="168">
        <v>0</v>
      </c>
      <c r="AG1443" s="168" t="str" cm="1">
        <f t="array" ref="AG1443">IF(AF1443="","",_xlfn.TEXTSPLIT(AF1443,"-"))</f>
        <v>0</v>
      </c>
      <c r="AH1443" s="168"/>
    </row>
    <row r="1444" spans="26:34" ht="24" customHeight="1">
      <c r="Z1444"/>
      <c r="AA1444"/>
      <c r="AB1444"/>
      <c r="AC1444"/>
      <c r="AD1444"/>
      <c r="AE1444" s="168" t="str">
        <f t="shared" si="22"/>
        <v/>
      </c>
      <c r="AF1444" s="168">
        <v>0</v>
      </c>
      <c r="AG1444" s="168" t="str" cm="1">
        <f t="array" ref="AG1444">IF(AF1444="","",_xlfn.TEXTSPLIT(AF1444,"-"))</f>
        <v>0</v>
      </c>
      <c r="AH1444" s="168"/>
    </row>
    <row r="1445" spans="26:34" ht="24" customHeight="1">
      <c r="Z1445"/>
      <c r="AA1445"/>
      <c r="AB1445"/>
      <c r="AC1445"/>
      <c r="AD1445"/>
      <c r="AE1445" s="168" t="str">
        <f t="shared" si="22"/>
        <v/>
      </c>
      <c r="AF1445" s="168">
        <v>0</v>
      </c>
      <c r="AG1445" s="168" t="str" cm="1">
        <f t="array" ref="AG1445">IF(AF1445="","",_xlfn.TEXTSPLIT(AF1445,"-"))</f>
        <v>0</v>
      </c>
      <c r="AH1445" s="168"/>
    </row>
    <row r="1446" spans="26:34" ht="24" customHeight="1">
      <c r="Z1446"/>
      <c r="AA1446"/>
      <c r="AB1446"/>
      <c r="AC1446"/>
      <c r="AD1446"/>
      <c r="AE1446" s="168" t="str">
        <f t="shared" si="22"/>
        <v/>
      </c>
      <c r="AF1446" s="168">
        <v>0</v>
      </c>
      <c r="AG1446" s="168" t="str" cm="1">
        <f t="array" ref="AG1446">IF(AF1446="","",_xlfn.TEXTSPLIT(AF1446,"-"))</f>
        <v>0</v>
      </c>
      <c r="AH1446" s="168"/>
    </row>
    <row r="1447" spans="26:34" ht="24" customHeight="1">
      <c r="Z1447"/>
      <c r="AA1447"/>
      <c r="AB1447"/>
      <c r="AC1447"/>
      <c r="AD1447"/>
      <c r="AE1447" s="168" t="str">
        <f t="shared" si="22"/>
        <v/>
      </c>
      <c r="AF1447" s="168">
        <v>0</v>
      </c>
      <c r="AG1447" s="168" t="str" cm="1">
        <f t="array" ref="AG1447">IF(AF1447="","",_xlfn.TEXTSPLIT(AF1447,"-"))</f>
        <v>0</v>
      </c>
      <c r="AH1447" s="168"/>
    </row>
    <row r="1448" spans="26:34" ht="24" customHeight="1">
      <c r="Z1448"/>
      <c r="AA1448"/>
      <c r="AB1448"/>
      <c r="AC1448"/>
      <c r="AD1448"/>
      <c r="AE1448" s="168" t="str">
        <f t="shared" si="22"/>
        <v/>
      </c>
      <c r="AF1448" s="168">
        <v>0</v>
      </c>
      <c r="AG1448" s="168" t="str" cm="1">
        <f t="array" ref="AG1448">IF(AF1448="","",_xlfn.TEXTSPLIT(AF1448,"-"))</f>
        <v>0</v>
      </c>
      <c r="AH1448" s="168"/>
    </row>
    <row r="1449" spans="26:34" ht="24" customHeight="1">
      <c r="Z1449"/>
      <c r="AA1449"/>
      <c r="AB1449"/>
      <c r="AC1449"/>
      <c r="AD1449"/>
      <c r="AE1449" s="168" t="str">
        <f t="shared" si="22"/>
        <v/>
      </c>
      <c r="AF1449" s="168">
        <v>0</v>
      </c>
      <c r="AG1449" s="168" t="str" cm="1">
        <f t="array" ref="AG1449">IF(AF1449="","",_xlfn.TEXTSPLIT(AF1449,"-"))</f>
        <v>0</v>
      </c>
      <c r="AH1449" s="168"/>
    </row>
    <row r="1450" spans="26:34" ht="24" customHeight="1">
      <c r="Z1450"/>
      <c r="AA1450"/>
      <c r="AB1450"/>
      <c r="AC1450"/>
      <c r="AD1450"/>
      <c r="AE1450" s="168" t="str">
        <f t="shared" si="22"/>
        <v/>
      </c>
      <c r="AF1450" s="168">
        <v>0</v>
      </c>
      <c r="AG1450" s="168" t="str" cm="1">
        <f t="array" ref="AG1450">IF(AF1450="","",_xlfn.TEXTSPLIT(AF1450,"-"))</f>
        <v>0</v>
      </c>
      <c r="AH1450" s="168"/>
    </row>
    <row r="1451" spans="26:34" ht="24" customHeight="1">
      <c r="Z1451"/>
      <c r="AA1451"/>
      <c r="AB1451"/>
      <c r="AC1451"/>
      <c r="AD1451"/>
      <c r="AE1451" s="168" t="str">
        <f t="shared" si="22"/>
        <v/>
      </c>
      <c r="AF1451" s="168">
        <v>0</v>
      </c>
      <c r="AG1451" s="168" t="str" cm="1">
        <f t="array" ref="AG1451">IF(AF1451="","",_xlfn.TEXTSPLIT(AF1451,"-"))</f>
        <v>0</v>
      </c>
      <c r="AH1451" s="168"/>
    </row>
    <row r="1452" spans="26:34" ht="24" customHeight="1">
      <c r="Z1452"/>
      <c r="AA1452"/>
      <c r="AB1452"/>
      <c r="AC1452"/>
      <c r="AD1452"/>
      <c r="AE1452" s="168" t="str">
        <f t="shared" si="22"/>
        <v/>
      </c>
      <c r="AF1452" s="168">
        <v>0</v>
      </c>
      <c r="AG1452" s="168" t="str" cm="1">
        <f t="array" ref="AG1452">IF(AF1452="","",_xlfn.TEXTSPLIT(AF1452,"-"))</f>
        <v>0</v>
      </c>
      <c r="AH1452" s="168"/>
    </row>
    <row r="1453" spans="26:34" ht="24" customHeight="1">
      <c r="Z1453"/>
      <c r="AA1453"/>
      <c r="AB1453"/>
      <c r="AC1453"/>
      <c r="AD1453"/>
      <c r="AE1453" s="168" t="str">
        <f t="shared" si="22"/>
        <v/>
      </c>
      <c r="AF1453" s="168">
        <v>0</v>
      </c>
      <c r="AG1453" s="168" t="str" cm="1">
        <f t="array" ref="AG1453">IF(AF1453="","",_xlfn.TEXTSPLIT(AF1453,"-"))</f>
        <v>0</v>
      </c>
      <c r="AH1453" s="168"/>
    </row>
    <row r="1454" spans="26:34" ht="24" customHeight="1">
      <c r="Z1454"/>
      <c r="AA1454"/>
      <c r="AB1454"/>
      <c r="AC1454"/>
      <c r="AD1454"/>
      <c r="AE1454" s="168" t="str">
        <f t="shared" si="22"/>
        <v/>
      </c>
      <c r="AF1454" s="168">
        <v>0</v>
      </c>
      <c r="AG1454" s="168" t="str" cm="1">
        <f t="array" ref="AG1454">IF(AF1454="","",_xlfn.TEXTSPLIT(AF1454,"-"))</f>
        <v>0</v>
      </c>
      <c r="AH1454" s="168"/>
    </row>
    <row r="1455" spans="26:34" ht="24" customHeight="1">
      <c r="Z1455"/>
      <c r="AA1455"/>
      <c r="AB1455"/>
      <c r="AC1455"/>
      <c r="AD1455"/>
      <c r="AE1455" s="168" t="str">
        <f t="shared" si="22"/>
        <v/>
      </c>
      <c r="AF1455" s="168">
        <v>0</v>
      </c>
      <c r="AG1455" s="168" t="str" cm="1">
        <f t="array" ref="AG1455">IF(AF1455="","",_xlfn.TEXTSPLIT(AF1455,"-"))</f>
        <v>0</v>
      </c>
      <c r="AH1455" s="168"/>
    </row>
    <row r="1456" spans="26:34" ht="24" customHeight="1">
      <c r="Z1456"/>
      <c r="AA1456"/>
      <c r="AB1456"/>
      <c r="AC1456"/>
      <c r="AD1456"/>
      <c r="AE1456" s="168" t="str">
        <f t="shared" si="22"/>
        <v/>
      </c>
      <c r="AF1456" s="168">
        <v>0</v>
      </c>
      <c r="AG1456" s="168" t="str" cm="1">
        <f t="array" ref="AG1456">IF(AF1456="","",_xlfn.TEXTSPLIT(AF1456,"-"))</f>
        <v>0</v>
      </c>
      <c r="AH1456" s="168"/>
    </row>
    <row r="1457" spans="26:34" ht="24" customHeight="1">
      <c r="Z1457"/>
      <c r="AA1457"/>
      <c r="AB1457"/>
      <c r="AC1457"/>
      <c r="AD1457"/>
      <c r="AE1457" s="168" t="str">
        <f t="shared" si="22"/>
        <v/>
      </c>
      <c r="AF1457" s="168">
        <v>0</v>
      </c>
      <c r="AG1457" s="168" t="str" cm="1">
        <f t="array" ref="AG1457">IF(AF1457="","",_xlfn.TEXTSPLIT(AF1457,"-"))</f>
        <v>0</v>
      </c>
      <c r="AH1457" s="168"/>
    </row>
    <row r="1458" spans="26:34" ht="24" customHeight="1">
      <c r="Z1458"/>
      <c r="AA1458"/>
      <c r="AB1458"/>
      <c r="AC1458"/>
      <c r="AD1458"/>
      <c r="AE1458" s="168" t="str">
        <f t="shared" si="22"/>
        <v/>
      </c>
      <c r="AF1458" s="168">
        <v>0</v>
      </c>
      <c r="AG1458" s="168" t="str" cm="1">
        <f t="array" ref="AG1458">IF(AF1458="","",_xlfn.TEXTSPLIT(AF1458,"-"))</f>
        <v>0</v>
      </c>
      <c r="AH1458" s="168"/>
    </row>
    <row r="1459" spans="26:34" ht="24" customHeight="1">
      <c r="Z1459"/>
      <c r="AA1459"/>
      <c r="AB1459"/>
      <c r="AC1459"/>
      <c r="AD1459"/>
      <c r="AE1459" s="168" t="str">
        <f t="shared" si="22"/>
        <v/>
      </c>
      <c r="AF1459" s="168">
        <v>0</v>
      </c>
      <c r="AG1459" s="168" t="str" cm="1">
        <f t="array" ref="AG1459">IF(AF1459="","",_xlfn.TEXTSPLIT(AF1459,"-"))</f>
        <v>0</v>
      </c>
      <c r="AH1459" s="168"/>
    </row>
    <row r="1460" spans="26:34" ht="24" customHeight="1">
      <c r="Z1460"/>
      <c r="AA1460"/>
      <c r="AB1460"/>
      <c r="AC1460"/>
      <c r="AD1460"/>
      <c r="AE1460" s="168" t="str">
        <f t="shared" si="22"/>
        <v/>
      </c>
      <c r="AF1460" s="168">
        <v>0</v>
      </c>
      <c r="AG1460" s="168" t="str" cm="1">
        <f t="array" ref="AG1460">IF(AF1460="","",_xlfn.TEXTSPLIT(AF1460,"-"))</f>
        <v>0</v>
      </c>
      <c r="AH1460" s="168"/>
    </row>
    <row r="1461" spans="26:34" ht="24" customHeight="1">
      <c r="Z1461"/>
      <c r="AA1461"/>
      <c r="AB1461"/>
      <c r="AC1461"/>
      <c r="AD1461"/>
      <c r="AE1461" s="168" t="str">
        <f t="shared" si="22"/>
        <v/>
      </c>
      <c r="AF1461" s="168">
        <v>0</v>
      </c>
      <c r="AG1461" s="168" t="str" cm="1">
        <f t="array" ref="AG1461">IF(AF1461="","",_xlfn.TEXTSPLIT(AF1461,"-"))</f>
        <v>0</v>
      </c>
      <c r="AH1461" s="168"/>
    </row>
    <row r="1462" spans="26:34" ht="24" customHeight="1">
      <c r="Z1462"/>
      <c r="AA1462"/>
      <c r="AB1462"/>
      <c r="AC1462"/>
      <c r="AD1462"/>
      <c r="AE1462" s="168" t="str">
        <f t="shared" si="22"/>
        <v/>
      </c>
      <c r="AF1462" s="168">
        <v>0</v>
      </c>
      <c r="AG1462" s="168" t="str" cm="1">
        <f t="array" ref="AG1462">IF(AF1462="","",_xlfn.TEXTSPLIT(AF1462,"-"))</f>
        <v>0</v>
      </c>
      <c r="AH1462" s="168"/>
    </row>
    <row r="1463" spans="26:34" ht="24" customHeight="1">
      <c r="Z1463"/>
      <c r="AA1463"/>
      <c r="AB1463"/>
      <c r="AC1463"/>
      <c r="AD1463"/>
      <c r="AE1463" s="168" t="str">
        <f t="shared" si="22"/>
        <v/>
      </c>
      <c r="AF1463" s="168">
        <v>0</v>
      </c>
      <c r="AG1463" s="168" t="str" cm="1">
        <f t="array" ref="AG1463">IF(AF1463="","",_xlfn.TEXTSPLIT(AF1463,"-"))</f>
        <v>0</v>
      </c>
      <c r="AH1463" s="168"/>
    </row>
    <row r="1464" spans="26:34" ht="24" customHeight="1">
      <c r="Z1464"/>
      <c r="AA1464"/>
      <c r="AB1464"/>
      <c r="AC1464"/>
      <c r="AD1464"/>
      <c r="AE1464" s="168" t="str">
        <f t="shared" si="22"/>
        <v/>
      </c>
      <c r="AF1464" s="168">
        <v>0</v>
      </c>
      <c r="AG1464" s="168" t="str" cm="1">
        <f t="array" ref="AG1464">IF(AF1464="","",_xlfn.TEXTSPLIT(AF1464,"-"))</f>
        <v>0</v>
      </c>
      <c r="AH1464" s="168"/>
    </row>
    <row r="1465" spans="26:34" ht="24" customHeight="1">
      <c r="Z1465"/>
      <c r="AA1465"/>
      <c r="AB1465"/>
      <c r="AC1465"/>
      <c r="AD1465"/>
      <c r="AE1465" s="168" t="str">
        <f t="shared" si="22"/>
        <v/>
      </c>
      <c r="AF1465" s="168">
        <v>0</v>
      </c>
      <c r="AG1465" s="168" t="str" cm="1">
        <f t="array" ref="AG1465">IF(AF1465="","",_xlfn.TEXTSPLIT(AF1465,"-"))</f>
        <v>0</v>
      </c>
      <c r="AH1465" s="168"/>
    </row>
    <row r="1466" spans="26:34" ht="24" customHeight="1">
      <c r="Z1466"/>
      <c r="AA1466"/>
      <c r="AB1466"/>
      <c r="AC1466"/>
      <c r="AD1466"/>
      <c r="AE1466" s="168" t="str">
        <f t="shared" si="22"/>
        <v/>
      </c>
      <c r="AF1466" s="168">
        <v>0</v>
      </c>
      <c r="AG1466" s="168" t="str" cm="1">
        <f t="array" ref="AG1466">IF(AF1466="","",_xlfn.TEXTSPLIT(AF1466,"-"))</f>
        <v>0</v>
      </c>
      <c r="AH1466" s="168"/>
    </row>
    <row r="1467" spans="26:34" ht="24" customHeight="1">
      <c r="Z1467"/>
      <c r="AA1467"/>
      <c r="AB1467"/>
      <c r="AC1467"/>
      <c r="AD1467"/>
      <c r="AE1467" s="168" t="str">
        <f t="shared" si="22"/>
        <v/>
      </c>
      <c r="AF1467" s="168">
        <v>0</v>
      </c>
      <c r="AG1467" s="168" t="str" cm="1">
        <f t="array" ref="AG1467">IF(AF1467="","",_xlfn.TEXTSPLIT(AF1467,"-"))</f>
        <v>0</v>
      </c>
      <c r="AH1467" s="168"/>
    </row>
    <row r="1468" spans="26:34" ht="24" customHeight="1">
      <c r="Z1468"/>
      <c r="AA1468"/>
      <c r="AB1468"/>
      <c r="AC1468"/>
      <c r="AD1468"/>
      <c r="AE1468" s="168" t="str">
        <f t="shared" si="22"/>
        <v/>
      </c>
      <c r="AF1468" s="168">
        <v>0</v>
      </c>
      <c r="AG1468" s="168" t="str" cm="1">
        <f t="array" ref="AG1468">IF(AF1468="","",_xlfn.TEXTSPLIT(AF1468,"-"))</f>
        <v>0</v>
      </c>
      <c r="AH1468" s="168"/>
    </row>
    <row r="1469" spans="26:34" ht="24" customHeight="1">
      <c r="Z1469"/>
      <c r="AA1469"/>
      <c r="AB1469"/>
      <c r="AC1469"/>
      <c r="AD1469"/>
      <c r="AE1469" s="168" t="str">
        <f t="shared" si="22"/>
        <v/>
      </c>
      <c r="AF1469" s="168">
        <v>0</v>
      </c>
      <c r="AG1469" s="168" t="str" cm="1">
        <f t="array" ref="AG1469">IF(AF1469="","",_xlfn.TEXTSPLIT(AF1469,"-"))</f>
        <v>0</v>
      </c>
      <c r="AH1469" s="168"/>
    </row>
    <row r="1470" spans="26:34" ht="24" customHeight="1">
      <c r="Z1470"/>
      <c r="AA1470"/>
      <c r="AB1470"/>
      <c r="AC1470"/>
      <c r="AD1470"/>
      <c r="AE1470" s="168" t="str">
        <f t="shared" si="22"/>
        <v/>
      </c>
      <c r="AF1470" s="168">
        <v>0</v>
      </c>
      <c r="AG1470" s="168" t="str" cm="1">
        <f t="array" ref="AG1470">IF(AF1470="","",_xlfn.TEXTSPLIT(AF1470,"-"))</f>
        <v>0</v>
      </c>
      <c r="AH1470" s="168"/>
    </row>
    <row r="1471" spans="26:34" ht="24" customHeight="1">
      <c r="Z1471"/>
      <c r="AA1471"/>
      <c r="AB1471"/>
      <c r="AC1471"/>
      <c r="AD1471"/>
      <c r="AE1471" s="168" t="str">
        <f t="shared" si="22"/>
        <v/>
      </c>
      <c r="AF1471" s="168">
        <v>0</v>
      </c>
      <c r="AG1471" s="168" t="str" cm="1">
        <f t="array" ref="AG1471">IF(AF1471="","",_xlfn.TEXTSPLIT(AF1471,"-"))</f>
        <v>0</v>
      </c>
      <c r="AH1471" s="168"/>
    </row>
    <row r="1472" spans="26:34" ht="24" customHeight="1">
      <c r="Z1472"/>
      <c r="AA1472"/>
      <c r="AB1472"/>
      <c r="AC1472"/>
      <c r="AD1472"/>
      <c r="AE1472" s="168" t="str">
        <f t="shared" si="22"/>
        <v/>
      </c>
      <c r="AF1472" s="168">
        <v>0</v>
      </c>
      <c r="AG1472" s="168" t="str" cm="1">
        <f t="array" ref="AG1472">IF(AF1472="","",_xlfn.TEXTSPLIT(AF1472,"-"))</f>
        <v>0</v>
      </c>
      <c r="AH1472" s="168"/>
    </row>
    <row r="1473" spans="26:34" ht="24" customHeight="1">
      <c r="Z1473"/>
      <c r="AA1473"/>
      <c r="AB1473"/>
      <c r="AC1473"/>
      <c r="AD1473"/>
      <c r="AE1473" s="168" t="str">
        <f t="shared" si="22"/>
        <v/>
      </c>
      <c r="AF1473" s="168">
        <v>0</v>
      </c>
      <c r="AG1473" s="168" t="str" cm="1">
        <f t="array" ref="AG1473">IF(AF1473="","",_xlfn.TEXTSPLIT(AF1473,"-"))</f>
        <v>0</v>
      </c>
      <c r="AH1473" s="168"/>
    </row>
    <row r="1474" spans="26:34" ht="24" customHeight="1">
      <c r="Z1474"/>
      <c r="AA1474"/>
      <c r="AB1474"/>
      <c r="AC1474"/>
      <c r="AD1474"/>
      <c r="AE1474" s="168" t="str">
        <f t="shared" si="22"/>
        <v/>
      </c>
      <c r="AF1474" s="168">
        <v>0</v>
      </c>
      <c r="AG1474" s="168" t="str" cm="1">
        <f t="array" ref="AG1474">IF(AF1474="","",_xlfn.TEXTSPLIT(AF1474,"-"))</f>
        <v>0</v>
      </c>
      <c r="AH1474" s="168"/>
    </row>
    <row r="1475" spans="26:34" ht="24" customHeight="1">
      <c r="Z1475"/>
      <c r="AA1475"/>
      <c r="AB1475"/>
      <c r="AC1475"/>
      <c r="AD1475"/>
      <c r="AE1475" s="168" t="str">
        <f t="shared" si="22"/>
        <v/>
      </c>
      <c r="AF1475" s="168">
        <v>0</v>
      </c>
      <c r="AG1475" s="168" t="str" cm="1">
        <f t="array" ref="AG1475">IF(AF1475="","",_xlfn.TEXTSPLIT(AF1475,"-"))</f>
        <v>0</v>
      </c>
      <c r="AH1475" s="168"/>
    </row>
    <row r="1476" spans="26:34" ht="24" customHeight="1">
      <c r="Z1476"/>
      <c r="AA1476"/>
      <c r="AB1476"/>
      <c r="AC1476"/>
      <c r="AD1476"/>
      <c r="AE1476" s="168" t="str">
        <f t="shared" si="22"/>
        <v/>
      </c>
      <c r="AF1476" s="168">
        <v>0</v>
      </c>
      <c r="AG1476" s="168" t="str" cm="1">
        <f t="array" ref="AG1476">IF(AF1476="","",_xlfn.TEXTSPLIT(AF1476,"-"))</f>
        <v>0</v>
      </c>
      <c r="AH1476" s="168"/>
    </row>
    <row r="1477" spans="26:34" ht="24" customHeight="1">
      <c r="Z1477"/>
      <c r="AA1477"/>
      <c r="AB1477"/>
      <c r="AC1477"/>
      <c r="AD1477"/>
      <c r="AE1477" s="168" t="str">
        <f t="shared" ref="AE1477:AE1540" si="23">IF(AH1477="","",AH1477*1)</f>
        <v/>
      </c>
      <c r="AF1477" s="168">
        <v>0</v>
      </c>
      <c r="AG1477" s="168" t="str" cm="1">
        <f t="array" ref="AG1477">IF(AF1477="","",_xlfn.TEXTSPLIT(AF1477,"-"))</f>
        <v>0</v>
      </c>
      <c r="AH1477" s="168"/>
    </row>
    <row r="1478" spans="26:34" ht="24" customHeight="1">
      <c r="Z1478"/>
      <c r="AA1478"/>
      <c r="AB1478"/>
      <c r="AC1478"/>
      <c r="AD1478"/>
      <c r="AE1478" s="168" t="str">
        <f t="shared" si="23"/>
        <v/>
      </c>
      <c r="AF1478" s="168">
        <v>0</v>
      </c>
      <c r="AG1478" s="168" t="str" cm="1">
        <f t="array" ref="AG1478">IF(AF1478="","",_xlfn.TEXTSPLIT(AF1478,"-"))</f>
        <v>0</v>
      </c>
      <c r="AH1478" s="168"/>
    </row>
    <row r="1479" spans="26:34" ht="24" customHeight="1">
      <c r="Z1479"/>
      <c r="AA1479"/>
      <c r="AB1479"/>
      <c r="AC1479"/>
      <c r="AD1479"/>
      <c r="AE1479" s="168" t="str">
        <f t="shared" si="23"/>
        <v/>
      </c>
      <c r="AF1479" s="168">
        <v>0</v>
      </c>
      <c r="AG1479" s="168" t="str" cm="1">
        <f t="array" ref="AG1479">IF(AF1479="","",_xlfn.TEXTSPLIT(AF1479,"-"))</f>
        <v>0</v>
      </c>
      <c r="AH1479" s="168"/>
    </row>
    <row r="1480" spans="26:34" ht="24" customHeight="1">
      <c r="Z1480"/>
      <c r="AA1480"/>
      <c r="AB1480"/>
      <c r="AC1480"/>
      <c r="AD1480"/>
      <c r="AE1480" s="168" t="str">
        <f t="shared" si="23"/>
        <v/>
      </c>
      <c r="AF1480" s="168">
        <v>0</v>
      </c>
      <c r="AG1480" s="168" t="str" cm="1">
        <f t="array" ref="AG1480">IF(AF1480="","",_xlfn.TEXTSPLIT(AF1480,"-"))</f>
        <v>0</v>
      </c>
      <c r="AH1480" s="168"/>
    </row>
    <row r="1481" spans="26:34" ht="24" customHeight="1">
      <c r="Z1481"/>
      <c r="AA1481"/>
      <c r="AB1481"/>
      <c r="AC1481"/>
      <c r="AD1481"/>
      <c r="AE1481" s="168" t="str">
        <f t="shared" si="23"/>
        <v/>
      </c>
      <c r="AF1481" s="168">
        <v>0</v>
      </c>
      <c r="AG1481" s="168" t="str" cm="1">
        <f t="array" ref="AG1481">IF(AF1481="","",_xlfn.TEXTSPLIT(AF1481,"-"))</f>
        <v>0</v>
      </c>
      <c r="AH1481" s="168"/>
    </row>
    <row r="1482" spans="26:34" ht="24" customHeight="1">
      <c r="Z1482"/>
      <c r="AA1482"/>
      <c r="AB1482"/>
      <c r="AC1482"/>
      <c r="AD1482"/>
      <c r="AE1482" s="168" t="str">
        <f t="shared" si="23"/>
        <v/>
      </c>
      <c r="AF1482" s="168">
        <v>0</v>
      </c>
      <c r="AG1482" s="168" t="str" cm="1">
        <f t="array" ref="AG1482">IF(AF1482="","",_xlfn.TEXTSPLIT(AF1482,"-"))</f>
        <v>0</v>
      </c>
      <c r="AH1482" s="168"/>
    </row>
    <row r="1483" spans="26:34" ht="24" customHeight="1">
      <c r="Z1483"/>
      <c r="AA1483"/>
      <c r="AB1483"/>
      <c r="AC1483"/>
      <c r="AD1483"/>
      <c r="AE1483" s="168" t="str">
        <f t="shared" si="23"/>
        <v/>
      </c>
      <c r="AF1483" s="168">
        <v>0</v>
      </c>
      <c r="AG1483" s="168" t="str" cm="1">
        <f t="array" ref="AG1483">IF(AF1483="","",_xlfn.TEXTSPLIT(AF1483,"-"))</f>
        <v>0</v>
      </c>
      <c r="AH1483" s="168"/>
    </row>
    <row r="1484" spans="26:34" ht="24" customHeight="1">
      <c r="Z1484"/>
      <c r="AA1484"/>
      <c r="AB1484"/>
      <c r="AC1484"/>
      <c r="AD1484"/>
      <c r="AE1484" s="168" t="str">
        <f t="shared" si="23"/>
        <v/>
      </c>
      <c r="AF1484" s="168">
        <v>0</v>
      </c>
      <c r="AG1484" s="168" t="str" cm="1">
        <f t="array" ref="AG1484">IF(AF1484="","",_xlfn.TEXTSPLIT(AF1484,"-"))</f>
        <v>0</v>
      </c>
      <c r="AH1484" s="168"/>
    </row>
    <row r="1485" spans="26:34" ht="24" customHeight="1">
      <c r="Z1485"/>
      <c r="AA1485"/>
      <c r="AB1485"/>
      <c r="AC1485"/>
      <c r="AD1485"/>
      <c r="AE1485" s="168" t="str">
        <f t="shared" si="23"/>
        <v/>
      </c>
      <c r="AF1485" s="168">
        <v>0</v>
      </c>
      <c r="AG1485" s="168" t="str" cm="1">
        <f t="array" ref="AG1485">IF(AF1485="","",_xlfn.TEXTSPLIT(AF1485,"-"))</f>
        <v>0</v>
      </c>
      <c r="AH1485" s="168"/>
    </row>
    <row r="1486" spans="26:34" ht="24" customHeight="1">
      <c r="Z1486"/>
      <c r="AA1486"/>
      <c r="AB1486"/>
      <c r="AC1486"/>
      <c r="AD1486"/>
      <c r="AE1486" s="168" t="str">
        <f t="shared" si="23"/>
        <v/>
      </c>
      <c r="AF1486" s="168">
        <v>0</v>
      </c>
      <c r="AG1486" s="168" t="str" cm="1">
        <f t="array" ref="AG1486">IF(AF1486="","",_xlfn.TEXTSPLIT(AF1486,"-"))</f>
        <v>0</v>
      </c>
      <c r="AH1486" s="168"/>
    </row>
    <row r="1487" spans="26:34" ht="24" customHeight="1">
      <c r="Z1487"/>
      <c r="AA1487"/>
      <c r="AB1487"/>
      <c r="AC1487"/>
      <c r="AD1487"/>
      <c r="AE1487" s="168" t="str">
        <f t="shared" si="23"/>
        <v/>
      </c>
      <c r="AF1487" s="168">
        <v>0</v>
      </c>
      <c r="AG1487" s="168" t="str" cm="1">
        <f t="array" ref="AG1487">IF(AF1487="","",_xlfn.TEXTSPLIT(AF1487,"-"))</f>
        <v>0</v>
      </c>
      <c r="AH1487" s="168"/>
    </row>
    <row r="1488" spans="26:34" ht="24" customHeight="1">
      <c r="Z1488"/>
      <c r="AA1488"/>
      <c r="AB1488"/>
      <c r="AC1488"/>
      <c r="AD1488"/>
      <c r="AE1488" s="168" t="str">
        <f t="shared" si="23"/>
        <v/>
      </c>
      <c r="AF1488" s="168">
        <v>0</v>
      </c>
      <c r="AG1488" s="168" t="str" cm="1">
        <f t="array" ref="AG1488">IF(AF1488="","",_xlfn.TEXTSPLIT(AF1488,"-"))</f>
        <v>0</v>
      </c>
      <c r="AH1488" s="168"/>
    </row>
    <row r="1489" spans="26:34" ht="24" customHeight="1">
      <c r="Z1489"/>
      <c r="AA1489"/>
      <c r="AB1489"/>
      <c r="AC1489"/>
      <c r="AD1489"/>
      <c r="AE1489" s="168" t="str">
        <f t="shared" si="23"/>
        <v/>
      </c>
      <c r="AF1489" s="168">
        <v>0</v>
      </c>
      <c r="AG1489" s="168" t="str" cm="1">
        <f t="array" ref="AG1489">IF(AF1489="","",_xlfn.TEXTSPLIT(AF1489,"-"))</f>
        <v>0</v>
      </c>
      <c r="AH1489" s="168"/>
    </row>
    <row r="1490" spans="26:34" ht="24" customHeight="1">
      <c r="Z1490"/>
      <c r="AA1490"/>
      <c r="AB1490"/>
      <c r="AC1490"/>
      <c r="AD1490"/>
      <c r="AE1490" s="168" t="str">
        <f t="shared" si="23"/>
        <v/>
      </c>
      <c r="AF1490" s="168">
        <v>0</v>
      </c>
      <c r="AG1490" s="168" t="str" cm="1">
        <f t="array" ref="AG1490">IF(AF1490="","",_xlfn.TEXTSPLIT(AF1490,"-"))</f>
        <v>0</v>
      </c>
      <c r="AH1490" s="168"/>
    </row>
    <row r="1491" spans="26:34" ht="24" customHeight="1">
      <c r="Z1491"/>
      <c r="AA1491"/>
      <c r="AB1491"/>
      <c r="AC1491"/>
      <c r="AD1491"/>
      <c r="AE1491" s="168" t="str">
        <f t="shared" si="23"/>
        <v/>
      </c>
      <c r="AF1491" s="168">
        <v>0</v>
      </c>
      <c r="AG1491" s="168" t="str" cm="1">
        <f t="array" ref="AG1491">IF(AF1491="","",_xlfn.TEXTSPLIT(AF1491,"-"))</f>
        <v>0</v>
      </c>
      <c r="AH1491" s="168"/>
    </row>
    <row r="1492" spans="26:34" ht="24" customHeight="1">
      <c r="Z1492"/>
      <c r="AA1492"/>
      <c r="AB1492"/>
      <c r="AC1492"/>
      <c r="AD1492"/>
      <c r="AE1492" s="168" t="str">
        <f t="shared" si="23"/>
        <v/>
      </c>
      <c r="AF1492" s="168">
        <v>0</v>
      </c>
      <c r="AG1492" s="168" t="str" cm="1">
        <f t="array" ref="AG1492">IF(AF1492="","",_xlfn.TEXTSPLIT(AF1492,"-"))</f>
        <v>0</v>
      </c>
      <c r="AH1492" s="168"/>
    </row>
    <row r="1493" spans="26:34" ht="24" customHeight="1">
      <c r="Z1493"/>
      <c r="AA1493"/>
      <c r="AB1493"/>
      <c r="AC1493"/>
      <c r="AD1493"/>
      <c r="AE1493" s="168" t="str">
        <f t="shared" si="23"/>
        <v/>
      </c>
      <c r="AF1493" s="168">
        <v>0</v>
      </c>
      <c r="AG1493" s="168" t="str" cm="1">
        <f t="array" ref="AG1493">IF(AF1493="","",_xlfn.TEXTSPLIT(AF1493,"-"))</f>
        <v>0</v>
      </c>
      <c r="AH1493" s="168"/>
    </row>
    <row r="1494" spans="26:34" ht="24" customHeight="1">
      <c r="Z1494"/>
      <c r="AA1494"/>
      <c r="AB1494"/>
      <c r="AC1494"/>
      <c r="AD1494"/>
      <c r="AE1494" s="168" t="str">
        <f t="shared" si="23"/>
        <v/>
      </c>
      <c r="AF1494" s="168">
        <v>0</v>
      </c>
      <c r="AG1494" s="168" t="str" cm="1">
        <f t="array" ref="AG1494">IF(AF1494="","",_xlfn.TEXTSPLIT(AF1494,"-"))</f>
        <v>0</v>
      </c>
      <c r="AH1494" s="168"/>
    </row>
    <row r="1495" spans="26:34" ht="24" customHeight="1">
      <c r="Z1495"/>
      <c r="AA1495"/>
      <c r="AB1495"/>
      <c r="AC1495"/>
      <c r="AD1495"/>
      <c r="AE1495" s="168" t="str">
        <f t="shared" si="23"/>
        <v/>
      </c>
      <c r="AF1495" s="168">
        <v>0</v>
      </c>
      <c r="AG1495" s="168" t="str" cm="1">
        <f t="array" ref="AG1495">IF(AF1495="","",_xlfn.TEXTSPLIT(AF1495,"-"))</f>
        <v>0</v>
      </c>
      <c r="AH1495" s="168"/>
    </row>
    <row r="1496" spans="26:34" ht="24" customHeight="1">
      <c r="Z1496"/>
      <c r="AA1496"/>
      <c r="AB1496"/>
      <c r="AC1496"/>
      <c r="AD1496"/>
      <c r="AE1496" s="168" t="str">
        <f t="shared" si="23"/>
        <v/>
      </c>
      <c r="AF1496" s="168">
        <v>0</v>
      </c>
      <c r="AG1496" s="168" t="str" cm="1">
        <f t="array" ref="AG1496">IF(AF1496="","",_xlfn.TEXTSPLIT(AF1496,"-"))</f>
        <v>0</v>
      </c>
      <c r="AH1496" s="168"/>
    </row>
    <row r="1497" spans="26:34" ht="24" customHeight="1">
      <c r="Z1497"/>
      <c r="AA1497"/>
      <c r="AB1497"/>
      <c r="AC1497"/>
      <c r="AD1497"/>
      <c r="AE1497" s="168" t="str">
        <f t="shared" si="23"/>
        <v/>
      </c>
      <c r="AF1497" s="168">
        <v>0</v>
      </c>
      <c r="AG1497" s="168" t="str" cm="1">
        <f t="array" ref="AG1497">IF(AF1497="","",_xlfn.TEXTSPLIT(AF1497,"-"))</f>
        <v>0</v>
      </c>
      <c r="AH1497" s="168"/>
    </row>
    <row r="1498" spans="26:34" ht="24" customHeight="1">
      <c r="Z1498"/>
      <c r="AA1498"/>
      <c r="AB1498"/>
      <c r="AC1498"/>
      <c r="AD1498"/>
      <c r="AE1498" s="168" t="str">
        <f t="shared" si="23"/>
        <v/>
      </c>
      <c r="AF1498" s="168">
        <v>0</v>
      </c>
      <c r="AG1498" s="168" t="str" cm="1">
        <f t="array" ref="AG1498">IF(AF1498="","",_xlfn.TEXTSPLIT(AF1498,"-"))</f>
        <v>0</v>
      </c>
      <c r="AH1498" s="168"/>
    </row>
    <row r="1499" spans="26:34" ht="24" customHeight="1">
      <c r="Z1499"/>
      <c r="AA1499"/>
      <c r="AB1499"/>
      <c r="AC1499"/>
      <c r="AD1499"/>
      <c r="AE1499" s="168" t="str">
        <f t="shared" si="23"/>
        <v/>
      </c>
      <c r="AF1499" s="168">
        <v>0</v>
      </c>
      <c r="AG1499" s="168" t="str" cm="1">
        <f t="array" ref="AG1499">IF(AF1499="","",_xlfn.TEXTSPLIT(AF1499,"-"))</f>
        <v>0</v>
      </c>
      <c r="AH1499" s="168"/>
    </row>
    <row r="1500" spans="26:34" ht="24" customHeight="1">
      <c r="Z1500"/>
      <c r="AA1500"/>
      <c r="AB1500"/>
      <c r="AC1500"/>
      <c r="AD1500"/>
      <c r="AE1500" s="168" t="str">
        <f t="shared" si="23"/>
        <v/>
      </c>
      <c r="AF1500" s="168">
        <v>0</v>
      </c>
      <c r="AG1500" s="168" t="str" cm="1">
        <f t="array" ref="AG1500">IF(AF1500="","",_xlfn.TEXTSPLIT(AF1500,"-"))</f>
        <v>0</v>
      </c>
      <c r="AH1500" s="168"/>
    </row>
    <row r="1501" spans="26:34" ht="24" customHeight="1">
      <c r="Z1501"/>
      <c r="AA1501"/>
      <c r="AB1501"/>
      <c r="AC1501"/>
      <c r="AD1501"/>
      <c r="AE1501" s="168" t="str">
        <f t="shared" si="23"/>
        <v/>
      </c>
      <c r="AF1501" s="168">
        <v>0</v>
      </c>
      <c r="AG1501" s="168" t="str" cm="1">
        <f t="array" ref="AG1501">IF(AF1501="","",_xlfn.TEXTSPLIT(AF1501,"-"))</f>
        <v>0</v>
      </c>
      <c r="AH1501" s="168"/>
    </row>
    <row r="1502" spans="26:34" ht="24" customHeight="1">
      <c r="Z1502"/>
      <c r="AA1502"/>
      <c r="AB1502"/>
      <c r="AC1502"/>
      <c r="AD1502"/>
      <c r="AE1502" s="168" t="str">
        <f t="shared" si="23"/>
        <v/>
      </c>
      <c r="AF1502" s="168">
        <v>0</v>
      </c>
      <c r="AG1502" s="168" t="str" cm="1">
        <f t="array" ref="AG1502">IF(AF1502="","",_xlfn.TEXTSPLIT(AF1502,"-"))</f>
        <v>0</v>
      </c>
      <c r="AH1502" s="168"/>
    </row>
    <row r="1503" spans="26:34" ht="24" customHeight="1">
      <c r="Z1503"/>
      <c r="AA1503"/>
      <c r="AB1503"/>
      <c r="AC1503"/>
      <c r="AD1503"/>
      <c r="AE1503" s="168" t="str">
        <f t="shared" si="23"/>
        <v/>
      </c>
      <c r="AF1503" s="168">
        <v>0</v>
      </c>
      <c r="AG1503" s="168" t="str" cm="1">
        <f t="array" ref="AG1503">IF(AF1503="","",_xlfn.TEXTSPLIT(AF1503,"-"))</f>
        <v>0</v>
      </c>
      <c r="AH1503" s="168"/>
    </row>
    <row r="1504" spans="26:34" ht="24" customHeight="1">
      <c r="Z1504"/>
      <c r="AA1504"/>
      <c r="AB1504"/>
      <c r="AC1504"/>
      <c r="AD1504"/>
      <c r="AE1504" s="168" t="str">
        <f t="shared" si="23"/>
        <v/>
      </c>
      <c r="AF1504" s="168">
        <v>0</v>
      </c>
      <c r="AG1504" s="168" t="str" cm="1">
        <f t="array" ref="AG1504">IF(AF1504="","",_xlfn.TEXTSPLIT(AF1504,"-"))</f>
        <v>0</v>
      </c>
      <c r="AH1504" s="168"/>
    </row>
    <row r="1505" spans="26:34" ht="24" customHeight="1">
      <c r="Z1505"/>
      <c r="AA1505"/>
      <c r="AB1505"/>
      <c r="AC1505"/>
      <c r="AD1505"/>
      <c r="AE1505" s="168" t="str">
        <f t="shared" si="23"/>
        <v/>
      </c>
      <c r="AF1505" s="168">
        <v>0</v>
      </c>
      <c r="AG1505" s="168" t="str" cm="1">
        <f t="array" ref="AG1505">IF(AF1505="","",_xlfn.TEXTSPLIT(AF1505,"-"))</f>
        <v>0</v>
      </c>
      <c r="AH1505" s="168"/>
    </row>
    <row r="1506" spans="26:34" ht="24" customHeight="1">
      <c r="Z1506"/>
      <c r="AA1506"/>
      <c r="AB1506"/>
      <c r="AC1506"/>
      <c r="AD1506"/>
      <c r="AE1506" s="168" t="str">
        <f t="shared" si="23"/>
        <v/>
      </c>
      <c r="AF1506" s="168">
        <v>0</v>
      </c>
      <c r="AG1506" s="168" t="str" cm="1">
        <f t="array" ref="AG1506">IF(AF1506="","",_xlfn.TEXTSPLIT(AF1506,"-"))</f>
        <v>0</v>
      </c>
      <c r="AH1506" s="168"/>
    </row>
    <row r="1507" spans="26:34" ht="24" customHeight="1">
      <c r="Z1507"/>
      <c r="AA1507"/>
      <c r="AB1507"/>
      <c r="AC1507"/>
      <c r="AD1507"/>
      <c r="AE1507" s="168" t="str">
        <f t="shared" si="23"/>
        <v/>
      </c>
      <c r="AF1507" s="168">
        <v>0</v>
      </c>
      <c r="AG1507" s="168" t="str" cm="1">
        <f t="array" ref="AG1507">IF(AF1507="","",_xlfn.TEXTSPLIT(AF1507,"-"))</f>
        <v>0</v>
      </c>
      <c r="AH1507" s="168"/>
    </row>
    <row r="1508" spans="26:34" ht="24" customHeight="1">
      <c r="Z1508"/>
      <c r="AA1508"/>
      <c r="AB1508"/>
      <c r="AC1508"/>
      <c r="AD1508"/>
      <c r="AE1508" s="168" t="str">
        <f t="shared" si="23"/>
        <v/>
      </c>
      <c r="AF1508" s="168">
        <v>0</v>
      </c>
      <c r="AG1508" s="168" t="str" cm="1">
        <f t="array" ref="AG1508">IF(AF1508="","",_xlfn.TEXTSPLIT(AF1508,"-"))</f>
        <v>0</v>
      </c>
      <c r="AH1508" s="168"/>
    </row>
    <row r="1509" spans="26:34" ht="24" customHeight="1">
      <c r="Z1509"/>
      <c r="AA1509"/>
      <c r="AB1509"/>
      <c r="AC1509"/>
      <c r="AD1509"/>
      <c r="AE1509" s="168" t="str">
        <f t="shared" si="23"/>
        <v/>
      </c>
      <c r="AF1509" s="168">
        <v>0</v>
      </c>
      <c r="AG1509" s="168" t="str" cm="1">
        <f t="array" ref="AG1509">IF(AF1509="","",_xlfn.TEXTSPLIT(AF1509,"-"))</f>
        <v>0</v>
      </c>
      <c r="AH1509" s="168"/>
    </row>
    <row r="1510" spans="26:34" ht="24" customHeight="1">
      <c r="Z1510"/>
      <c r="AA1510"/>
      <c r="AB1510"/>
      <c r="AC1510"/>
      <c r="AD1510"/>
      <c r="AE1510" s="168" t="str">
        <f t="shared" si="23"/>
        <v/>
      </c>
      <c r="AF1510" s="168">
        <v>0</v>
      </c>
      <c r="AG1510" s="168" t="str" cm="1">
        <f t="array" ref="AG1510">IF(AF1510="","",_xlfn.TEXTSPLIT(AF1510,"-"))</f>
        <v>0</v>
      </c>
      <c r="AH1510" s="168"/>
    </row>
    <row r="1511" spans="26:34" ht="24" customHeight="1">
      <c r="Z1511"/>
      <c r="AA1511"/>
      <c r="AB1511"/>
      <c r="AC1511"/>
      <c r="AD1511"/>
      <c r="AE1511" s="168" t="str">
        <f t="shared" si="23"/>
        <v/>
      </c>
      <c r="AF1511" s="168">
        <v>0</v>
      </c>
      <c r="AG1511" s="168" t="str" cm="1">
        <f t="array" ref="AG1511">IF(AF1511="","",_xlfn.TEXTSPLIT(AF1511,"-"))</f>
        <v>0</v>
      </c>
      <c r="AH1511" s="168"/>
    </row>
    <row r="1512" spans="26:34" ht="24" customHeight="1">
      <c r="Z1512"/>
      <c r="AA1512"/>
      <c r="AB1512"/>
      <c r="AC1512"/>
      <c r="AD1512"/>
      <c r="AE1512" s="168" t="str">
        <f t="shared" si="23"/>
        <v/>
      </c>
      <c r="AF1512" s="168">
        <v>0</v>
      </c>
      <c r="AG1512" s="168" t="str" cm="1">
        <f t="array" ref="AG1512">IF(AF1512="","",_xlfn.TEXTSPLIT(AF1512,"-"))</f>
        <v>0</v>
      </c>
      <c r="AH1512" s="168"/>
    </row>
    <row r="1513" spans="26:34" ht="24" customHeight="1">
      <c r="Z1513"/>
      <c r="AA1513"/>
      <c r="AB1513"/>
      <c r="AC1513"/>
      <c r="AD1513"/>
      <c r="AE1513" s="168" t="str">
        <f t="shared" si="23"/>
        <v/>
      </c>
      <c r="AF1513" s="168">
        <v>0</v>
      </c>
      <c r="AG1513" s="168" t="str" cm="1">
        <f t="array" ref="AG1513">IF(AF1513="","",_xlfn.TEXTSPLIT(AF1513,"-"))</f>
        <v>0</v>
      </c>
      <c r="AH1513" s="168"/>
    </row>
    <row r="1514" spans="26:34" ht="24" customHeight="1">
      <c r="Z1514"/>
      <c r="AA1514"/>
      <c r="AB1514"/>
      <c r="AC1514"/>
      <c r="AD1514"/>
      <c r="AE1514" s="168" t="str">
        <f t="shared" si="23"/>
        <v/>
      </c>
      <c r="AF1514" s="168">
        <v>0</v>
      </c>
      <c r="AG1514" s="168" t="str" cm="1">
        <f t="array" ref="AG1514">IF(AF1514="","",_xlfn.TEXTSPLIT(AF1514,"-"))</f>
        <v>0</v>
      </c>
      <c r="AH1514" s="168"/>
    </row>
    <row r="1515" spans="26:34" ht="24" customHeight="1">
      <c r="Z1515"/>
      <c r="AA1515"/>
      <c r="AB1515"/>
      <c r="AC1515"/>
      <c r="AD1515"/>
      <c r="AE1515" s="168" t="str">
        <f t="shared" si="23"/>
        <v/>
      </c>
      <c r="AF1515" s="168">
        <v>0</v>
      </c>
      <c r="AG1515" s="168" t="str" cm="1">
        <f t="array" ref="AG1515">IF(AF1515="","",_xlfn.TEXTSPLIT(AF1515,"-"))</f>
        <v>0</v>
      </c>
      <c r="AH1515" s="168"/>
    </row>
    <row r="1516" spans="26:34" ht="24" customHeight="1">
      <c r="Z1516"/>
      <c r="AA1516"/>
      <c r="AB1516"/>
      <c r="AC1516"/>
      <c r="AD1516"/>
      <c r="AE1516" s="168" t="str">
        <f t="shared" si="23"/>
        <v/>
      </c>
      <c r="AF1516" s="168">
        <v>0</v>
      </c>
      <c r="AG1516" s="168" t="str" cm="1">
        <f t="array" ref="AG1516">IF(AF1516="","",_xlfn.TEXTSPLIT(AF1516,"-"))</f>
        <v>0</v>
      </c>
      <c r="AH1516" s="168"/>
    </row>
    <row r="1517" spans="26:34" ht="24" customHeight="1">
      <c r="Z1517"/>
      <c r="AA1517"/>
      <c r="AB1517"/>
      <c r="AC1517"/>
      <c r="AD1517"/>
      <c r="AE1517" s="168" t="str">
        <f t="shared" si="23"/>
        <v/>
      </c>
      <c r="AF1517" s="168">
        <v>0</v>
      </c>
      <c r="AG1517" s="168" t="str" cm="1">
        <f t="array" ref="AG1517">IF(AF1517="","",_xlfn.TEXTSPLIT(AF1517,"-"))</f>
        <v>0</v>
      </c>
      <c r="AH1517" s="168"/>
    </row>
    <row r="1518" spans="26:34" ht="24" customHeight="1">
      <c r="Z1518"/>
      <c r="AA1518"/>
      <c r="AB1518"/>
      <c r="AC1518"/>
      <c r="AD1518"/>
      <c r="AE1518" s="168" t="str">
        <f t="shared" si="23"/>
        <v/>
      </c>
      <c r="AF1518" s="168">
        <v>0</v>
      </c>
      <c r="AG1518" s="168" t="str" cm="1">
        <f t="array" ref="AG1518">IF(AF1518="","",_xlfn.TEXTSPLIT(AF1518,"-"))</f>
        <v>0</v>
      </c>
      <c r="AH1518" s="168"/>
    </row>
    <row r="1519" spans="26:34" ht="24" customHeight="1">
      <c r="Z1519"/>
      <c r="AA1519"/>
      <c r="AB1519"/>
      <c r="AC1519"/>
      <c r="AD1519"/>
      <c r="AE1519" s="168" t="str">
        <f t="shared" si="23"/>
        <v/>
      </c>
      <c r="AF1519" s="168">
        <v>0</v>
      </c>
      <c r="AG1519" s="168" t="str" cm="1">
        <f t="array" ref="AG1519">IF(AF1519="","",_xlfn.TEXTSPLIT(AF1519,"-"))</f>
        <v>0</v>
      </c>
      <c r="AH1519" s="168"/>
    </row>
    <row r="1520" spans="26:34" ht="24" customHeight="1">
      <c r="Z1520"/>
      <c r="AA1520"/>
      <c r="AB1520"/>
      <c r="AC1520"/>
      <c r="AD1520"/>
      <c r="AE1520" s="168" t="str">
        <f t="shared" si="23"/>
        <v/>
      </c>
      <c r="AF1520" s="168">
        <v>0</v>
      </c>
      <c r="AG1520" s="168" t="str" cm="1">
        <f t="array" ref="AG1520">IF(AF1520="","",_xlfn.TEXTSPLIT(AF1520,"-"))</f>
        <v>0</v>
      </c>
      <c r="AH1520" s="168"/>
    </row>
    <row r="1521" spans="26:34" ht="24" customHeight="1">
      <c r="Z1521"/>
      <c r="AA1521"/>
      <c r="AB1521"/>
      <c r="AC1521"/>
      <c r="AD1521"/>
      <c r="AE1521" s="168" t="str">
        <f t="shared" si="23"/>
        <v/>
      </c>
      <c r="AF1521" s="168">
        <v>0</v>
      </c>
      <c r="AG1521" s="168" t="str" cm="1">
        <f t="array" ref="AG1521">IF(AF1521="","",_xlfn.TEXTSPLIT(AF1521,"-"))</f>
        <v>0</v>
      </c>
      <c r="AH1521" s="168"/>
    </row>
    <row r="1522" spans="26:34" ht="24" customHeight="1">
      <c r="Z1522"/>
      <c r="AA1522"/>
      <c r="AB1522"/>
      <c r="AC1522"/>
      <c r="AD1522"/>
      <c r="AE1522" s="168" t="str">
        <f t="shared" si="23"/>
        <v/>
      </c>
      <c r="AF1522" s="168">
        <v>0</v>
      </c>
      <c r="AG1522" s="168" t="str" cm="1">
        <f t="array" ref="AG1522">IF(AF1522="","",_xlfn.TEXTSPLIT(AF1522,"-"))</f>
        <v>0</v>
      </c>
      <c r="AH1522" s="168"/>
    </row>
    <row r="1523" spans="26:34" ht="24" customHeight="1">
      <c r="Z1523"/>
      <c r="AA1523"/>
      <c r="AB1523"/>
      <c r="AC1523"/>
      <c r="AD1523"/>
      <c r="AE1523" s="168" t="str">
        <f t="shared" si="23"/>
        <v/>
      </c>
      <c r="AF1523" s="168">
        <v>0</v>
      </c>
      <c r="AG1523" s="168" t="str" cm="1">
        <f t="array" ref="AG1523">IF(AF1523="","",_xlfn.TEXTSPLIT(AF1523,"-"))</f>
        <v>0</v>
      </c>
      <c r="AH1523" s="168"/>
    </row>
    <row r="1524" spans="26:34" ht="24" customHeight="1">
      <c r="Z1524"/>
      <c r="AA1524"/>
      <c r="AB1524"/>
      <c r="AC1524"/>
      <c r="AD1524"/>
      <c r="AE1524" s="168" t="str">
        <f t="shared" si="23"/>
        <v/>
      </c>
      <c r="AF1524" s="168">
        <v>0</v>
      </c>
      <c r="AG1524" s="168" t="str" cm="1">
        <f t="array" ref="AG1524">IF(AF1524="","",_xlfn.TEXTSPLIT(AF1524,"-"))</f>
        <v>0</v>
      </c>
      <c r="AH1524" s="168"/>
    </row>
    <row r="1525" spans="26:34" ht="24" customHeight="1">
      <c r="Z1525"/>
      <c r="AA1525"/>
      <c r="AB1525"/>
      <c r="AC1525"/>
      <c r="AD1525"/>
      <c r="AE1525" s="168" t="str">
        <f t="shared" si="23"/>
        <v/>
      </c>
      <c r="AF1525" s="168">
        <v>0</v>
      </c>
      <c r="AG1525" s="168" t="str" cm="1">
        <f t="array" ref="AG1525">IF(AF1525="","",_xlfn.TEXTSPLIT(AF1525,"-"))</f>
        <v>0</v>
      </c>
      <c r="AH1525" s="168"/>
    </row>
    <row r="1526" spans="26:34" ht="24" customHeight="1">
      <c r="Z1526"/>
      <c r="AA1526"/>
      <c r="AB1526"/>
      <c r="AC1526"/>
      <c r="AD1526"/>
      <c r="AE1526" s="168" t="str">
        <f t="shared" si="23"/>
        <v/>
      </c>
      <c r="AF1526" s="168">
        <v>0</v>
      </c>
      <c r="AG1526" s="168" t="str" cm="1">
        <f t="array" ref="AG1526">IF(AF1526="","",_xlfn.TEXTSPLIT(AF1526,"-"))</f>
        <v>0</v>
      </c>
      <c r="AH1526" s="168"/>
    </row>
    <row r="1527" spans="26:34" ht="24" customHeight="1">
      <c r="Z1527"/>
      <c r="AA1527"/>
      <c r="AB1527"/>
      <c r="AC1527"/>
      <c r="AD1527"/>
      <c r="AE1527" s="168" t="str">
        <f t="shared" si="23"/>
        <v/>
      </c>
      <c r="AF1527" s="168">
        <v>0</v>
      </c>
      <c r="AG1527" s="168" t="str" cm="1">
        <f t="array" ref="AG1527">IF(AF1527="","",_xlfn.TEXTSPLIT(AF1527,"-"))</f>
        <v>0</v>
      </c>
      <c r="AH1527" s="168"/>
    </row>
    <row r="1528" spans="26:34" ht="24" customHeight="1">
      <c r="Z1528"/>
      <c r="AA1528"/>
      <c r="AB1528"/>
      <c r="AC1528"/>
      <c r="AD1528"/>
      <c r="AE1528" s="168" t="str">
        <f t="shared" si="23"/>
        <v/>
      </c>
      <c r="AF1528" s="168">
        <v>0</v>
      </c>
      <c r="AG1528" s="168" t="str" cm="1">
        <f t="array" ref="AG1528">IF(AF1528="","",_xlfn.TEXTSPLIT(AF1528,"-"))</f>
        <v>0</v>
      </c>
      <c r="AH1528" s="168"/>
    </row>
    <row r="1529" spans="26:34" ht="24" customHeight="1">
      <c r="Z1529"/>
      <c r="AA1529"/>
      <c r="AB1529"/>
      <c r="AC1529"/>
      <c r="AD1529"/>
      <c r="AE1529" s="168" t="str">
        <f t="shared" si="23"/>
        <v/>
      </c>
      <c r="AF1529" s="168">
        <v>0</v>
      </c>
      <c r="AG1529" s="168" t="str" cm="1">
        <f t="array" ref="AG1529">IF(AF1529="","",_xlfn.TEXTSPLIT(AF1529,"-"))</f>
        <v>0</v>
      </c>
      <c r="AH1529" s="168"/>
    </row>
    <row r="1530" spans="26:34" ht="24" customHeight="1">
      <c r="Z1530"/>
      <c r="AA1530"/>
      <c r="AB1530"/>
      <c r="AC1530"/>
      <c r="AD1530"/>
      <c r="AE1530" s="168" t="str">
        <f t="shared" si="23"/>
        <v/>
      </c>
      <c r="AF1530" s="168">
        <v>0</v>
      </c>
      <c r="AG1530" s="168" t="str" cm="1">
        <f t="array" ref="AG1530">IF(AF1530="","",_xlfn.TEXTSPLIT(AF1530,"-"))</f>
        <v>0</v>
      </c>
      <c r="AH1530" s="168"/>
    </row>
    <row r="1531" spans="26:34" ht="24" customHeight="1">
      <c r="Z1531"/>
      <c r="AA1531"/>
      <c r="AB1531"/>
      <c r="AC1531"/>
      <c r="AD1531"/>
      <c r="AE1531" s="168" t="str">
        <f t="shared" si="23"/>
        <v/>
      </c>
      <c r="AF1531" s="168">
        <v>0</v>
      </c>
      <c r="AG1531" s="168" t="str" cm="1">
        <f t="array" ref="AG1531">IF(AF1531="","",_xlfn.TEXTSPLIT(AF1531,"-"))</f>
        <v>0</v>
      </c>
      <c r="AH1531" s="168"/>
    </row>
    <row r="1532" spans="26:34" ht="24" customHeight="1">
      <c r="Z1532"/>
      <c r="AA1532"/>
      <c r="AB1532"/>
      <c r="AC1532"/>
      <c r="AD1532"/>
      <c r="AE1532" s="168" t="str">
        <f t="shared" si="23"/>
        <v/>
      </c>
      <c r="AF1532" s="168">
        <v>0</v>
      </c>
      <c r="AG1532" s="168" t="str" cm="1">
        <f t="array" ref="AG1532">IF(AF1532="","",_xlfn.TEXTSPLIT(AF1532,"-"))</f>
        <v>0</v>
      </c>
      <c r="AH1532" s="168"/>
    </row>
    <row r="1533" spans="26:34" ht="24" customHeight="1">
      <c r="Z1533"/>
      <c r="AA1533"/>
      <c r="AB1533"/>
      <c r="AC1533"/>
      <c r="AD1533"/>
      <c r="AE1533" s="168" t="str">
        <f t="shared" si="23"/>
        <v/>
      </c>
      <c r="AF1533" s="168">
        <v>0</v>
      </c>
      <c r="AG1533" s="168" t="str" cm="1">
        <f t="array" ref="AG1533">IF(AF1533="","",_xlfn.TEXTSPLIT(AF1533,"-"))</f>
        <v>0</v>
      </c>
      <c r="AH1533" s="168"/>
    </row>
    <row r="1534" spans="26:34" ht="24" customHeight="1">
      <c r="Z1534"/>
      <c r="AA1534"/>
      <c r="AB1534"/>
      <c r="AC1534"/>
      <c r="AD1534"/>
      <c r="AE1534" s="168" t="str">
        <f t="shared" si="23"/>
        <v/>
      </c>
      <c r="AF1534" s="168">
        <v>0</v>
      </c>
      <c r="AG1534" s="168" t="str" cm="1">
        <f t="array" ref="AG1534">IF(AF1534="","",_xlfn.TEXTSPLIT(AF1534,"-"))</f>
        <v>0</v>
      </c>
      <c r="AH1534" s="168"/>
    </row>
    <row r="1535" spans="26:34" ht="24" customHeight="1">
      <c r="Z1535"/>
      <c r="AA1535"/>
      <c r="AB1535"/>
      <c r="AC1535"/>
      <c r="AD1535"/>
      <c r="AE1535" s="168" t="str">
        <f t="shared" si="23"/>
        <v/>
      </c>
      <c r="AF1535" s="168">
        <v>0</v>
      </c>
      <c r="AG1535" s="168" t="str" cm="1">
        <f t="array" ref="AG1535">IF(AF1535="","",_xlfn.TEXTSPLIT(AF1535,"-"))</f>
        <v>0</v>
      </c>
      <c r="AH1535" s="168"/>
    </row>
    <row r="1536" spans="26:34" ht="24" customHeight="1">
      <c r="Z1536"/>
      <c r="AA1536"/>
      <c r="AB1536"/>
      <c r="AC1536"/>
      <c r="AD1536"/>
      <c r="AE1536" s="168" t="str">
        <f t="shared" si="23"/>
        <v/>
      </c>
      <c r="AF1536" s="168">
        <v>0</v>
      </c>
      <c r="AG1536" s="168" t="str" cm="1">
        <f t="array" ref="AG1536">IF(AF1536="","",_xlfn.TEXTSPLIT(AF1536,"-"))</f>
        <v>0</v>
      </c>
      <c r="AH1536" s="168"/>
    </row>
    <row r="1537" spans="26:34" ht="24" customHeight="1">
      <c r="Z1537"/>
      <c r="AA1537"/>
      <c r="AB1537"/>
      <c r="AC1537"/>
      <c r="AD1537"/>
      <c r="AE1537" s="168" t="str">
        <f t="shared" si="23"/>
        <v/>
      </c>
      <c r="AF1537" s="168">
        <v>0</v>
      </c>
      <c r="AG1537" s="168" t="str" cm="1">
        <f t="array" ref="AG1537">IF(AF1537="","",_xlfn.TEXTSPLIT(AF1537,"-"))</f>
        <v>0</v>
      </c>
      <c r="AH1537" s="168"/>
    </row>
    <row r="1538" spans="26:34" ht="24" customHeight="1">
      <c r="Z1538"/>
      <c r="AA1538"/>
      <c r="AB1538"/>
      <c r="AC1538"/>
      <c r="AD1538"/>
      <c r="AE1538" s="168" t="str">
        <f t="shared" si="23"/>
        <v/>
      </c>
      <c r="AF1538" s="168">
        <v>0</v>
      </c>
      <c r="AG1538" s="168" t="str" cm="1">
        <f t="array" ref="AG1538">IF(AF1538="","",_xlfn.TEXTSPLIT(AF1538,"-"))</f>
        <v>0</v>
      </c>
      <c r="AH1538" s="168"/>
    </row>
    <row r="1539" spans="26:34" ht="24" customHeight="1">
      <c r="Z1539"/>
      <c r="AA1539"/>
      <c r="AB1539"/>
      <c r="AC1539"/>
      <c r="AD1539"/>
      <c r="AE1539" s="168" t="str">
        <f t="shared" si="23"/>
        <v/>
      </c>
      <c r="AF1539" s="168">
        <v>0</v>
      </c>
      <c r="AG1539" s="168" t="str" cm="1">
        <f t="array" ref="AG1539">IF(AF1539="","",_xlfn.TEXTSPLIT(AF1539,"-"))</f>
        <v>0</v>
      </c>
      <c r="AH1539" s="168"/>
    </row>
    <row r="1540" spans="26:34" ht="24" customHeight="1">
      <c r="Z1540"/>
      <c r="AA1540"/>
      <c r="AB1540"/>
      <c r="AC1540"/>
      <c r="AD1540"/>
      <c r="AE1540" s="168" t="str">
        <f t="shared" si="23"/>
        <v/>
      </c>
      <c r="AF1540" s="168">
        <v>0</v>
      </c>
      <c r="AG1540" s="168" t="str" cm="1">
        <f t="array" ref="AG1540">IF(AF1540="","",_xlfn.TEXTSPLIT(AF1540,"-"))</f>
        <v>0</v>
      </c>
      <c r="AH1540" s="168"/>
    </row>
    <row r="1541" spans="26:34" ht="24" customHeight="1">
      <c r="Z1541"/>
      <c r="AA1541"/>
      <c r="AB1541"/>
      <c r="AC1541"/>
      <c r="AD1541"/>
      <c r="AE1541" s="168" t="str">
        <f t="shared" ref="AE1541:AE1604" si="24">IF(AH1541="","",AH1541*1)</f>
        <v/>
      </c>
      <c r="AF1541" s="168">
        <v>0</v>
      </c>
      <c r="AG1541" s="168" t="str" cm="1">
        <f t="array" ref="AG1541">IF(AF1541="","",_xlfn.TEXTSPLIT(AF1541,"-"))</f>
        <v>0</v>
      </c>
      <c r="AH1541" s="168"/>
    </row>
    <row r="1542" spans="26:34" ht="24" customHeight="1">
      <c r="Z1542"/>
      <c r="AA1542"/>
      <c r="AB1542"/>
      <c r="AC1542"/>
      <c r="AD1542"/>
      <c r="AE1542" s="168" t="str">
        <f t="shared" si="24"/>
        <v/>
      </c>
      <c r="AF1542" s="168">
        <v>0</v>
      </c>
      <c r="AG1542" s="168" t="str" cm="1">
        <f t="array" ref="AG1542">IF(AF1542="","",_xlfn.TEXTSPLIT(AF1542,"-"))</f>
        <v>0</v>
      </c>
      <c r="AH1542" s="168"/>
    </row>
    <row r="1543" spans="26:34" ht="24" customHeight="1">
      <c r="Z1543"/>
      <c r="AA1543"/>
      <c r="AB1543"/>
      <c r="AC1543"/>
      <c r="AD1543"/>
      <c r="AE1543" s="168" t="str">
        <f t="shared" si="24"/>
        <v/>
      </c>
      <c r="AF1543" s="168">
        <v>0</v>
      </c>
      <c r="AG1543" s="168" t="str" cm="1">
        <f t="array" ref="AG1543">IF(AF1543="","",_xlfn.TEXTSPLIT(AF1543,"-"))</f>
        <v>0</v>
      </c>
      <c r="AH1543" s="168"/>
    </row>
    <row r="1544" spans="26:34" ht="24" customHeight="1">
      <c r="Z1544"/>
      <c r="AA1544"/>
      <c r="AB1544"/>
      <c r="AC1544"/>
      <c r="AD1544"/>
      <c r="AE1544" s="168" t="str">
        <f t="shared" si="24"/>
        <v/>
      </c>
      <c r="AF1544" s="168">
        <v>0</v>
      </c>
      <c r="AG1544" s="168" t="str" cm="1">
        <f t="array" ref="AG1544">IF(AF1544="","",_xlfn.TEXTSPLIT(AF1544,"-"))</f>
        <v>0</v>
      </c>
      <c r="AH1544" s="168"/>
    </row>
    <row r="1545" spans="26:34" ht="24" customHeight="1">
      <c r="Z1545"/>
      <c r="AA1545"/>
      <c r="AB1545"/>
      <c r="AC1545"/>
      <c r="AD1545"/>
      <c r="AE1545" s="168" t="str">
        <f t="shared" si="24"/>
        <v/>
      </c>
      <c r="AF1545" s="168">
        <v>0</v>
      </c>
      <c r="AG1545" s="168" t="str" cm="1">
        <f t="array" ref="AG1545">IF(AF1545="","",_xlfn.TEXTSPLIT(AF1545,"-"))</f>
        <v>0</v>
      </c>
      <c r="AH1545" s="168"/>
    </row>
    <row r="1546" spans="26:34" ht="24" customHeight="1">
      <c r="Z1546"/>
      <c r="AA1546"/>
      <c r="AB1546"/>
      <c r="AC1546"/>
      <c r="AD1546"/>
      <c r="AE1546" s="168" t="str">
        <f t="shared" si="24"/>
        <v/>
      </c>
      <c r="AF1546" s="168">
        <v>0</v>
      </c>
      <c r="AG1546" s="168" t="str" cm="1">
        <f t="array" ref="AG1546">IF(AF1546="","",_xlfn.TEXTSPLIT(AF1546,"-"))</f>
        <v>0</v>
      </c>
      <c r="AH1546" s="168"/>
    </row>
    <row r="1547" spans="26:34" ht="24" customHeight="1">
      <c r="Z1547"/>
      <c r="AA1547"/>
      <c r="AB1547"/>
      <c r="AC1547"/>
      <c r="AD1547"/>
      <c r="AE1547" s="168" t="str">
        <f t="shared" si="24"/>
        <v/>
      </c>
      <c r="AF1547" s="168">
        <v>0</v>
      </c>
      <c r="AG1547" s="168" t="str" cm="1">
        <f t="array" ref="AG1547">IF(AF1547="","",_xlfn.TEXTSPLIT(AF1547,"-"))</f>
        <v>0</v>
      </c>
      <c r="AH1547" s="168"/>
    </row>
    <row r="1548" spans="26:34" ht="24" customHeight="1">
      <c r="Z1548"/>
      <c r="AA1548"/>
      <c r="AB1548"/>
      <c r="AC1548"/>
      <c r="AD1548"/>
      <c r="AE1548" s="168" t="str">
        <f t="shared" si="24"/>
        <v/>
      </c>
      <c r="AF1548" s="168">
        <v>0</v>
      </c>
      <c r="AG1548" s="168" t="str" cm="1">
        <f t="array" ref="AG1548">IF(AF1548="","",_xlfn.TEXTSPLIT(AF1548,"-"))</f>
        <v>0</v>
      </c>
      <c r="AH1548" s="168"/>
    </row>
    <row r="1549" spans="26:34" ht="24" customHeight="1">
      <c r="Z1549"/>
      <c r="AA1549"/>
      <c r="AB1549"/>
      <c r="AC1549"/>
      <c r="AD1549"/>
      <c r="AE1549" s="168" t="str">
        <f t="shared" si="24"/>
        <v/>
      </c>
      <c r="AF1549" s="168">
        <v>0</v>
      </c>
      <c r="AG1549" s="168" t="str" cm="1">
        <f t="array" ref="AG1549">IF(AF1549="","",_xlfn.TEXTSPLIT(AF1549,"-"))</f>
        <v>0</v>
      </c>
      <c r="AH1549" s="168"/>
    </row>
    <row r="1550" spans="26:34" ht="24" customHeight="1">
      <c r="Z1550"/>
      <c r="AA1550"/>
      <c r="AB1550"/>
      <c r="AC1550"/>
      <c r="AD1550"/>
      <c r="AE1550" s="168" t="str">
        <f t="shared" si="24"/>
        <v/>
      </c>
      <c r="AF1550" s="168">
        <v>0</v>
      </c>
      <c r="AG1550" s="168" t="str" cm="1">
        <f t="array" ref="AG1550">IF(AF1550="","",_xlfn.TEXTSPLIT(AF1550,"-"))</f>
        <v>0</v>
      </c>
      <c r="AH1550" s="168"/>
    </row>
    <row r="1551" spans="26:34" ht="24" customHeight="1">
      <c r="Z1551"/>
      <c r="AA1551"/>
      <c r="AB1551"/>
      <c r="AC1551"/>
      <c r="AD1551"/>
      <c r="AE1551" s="168" t="str">
        <f t="shared" si="24"/>
        <v/>
      </c>
      <c r="AF1551" s="168">
        <v>0</v>
      </c>
      <c r="AG1551" s="168" t="str" cm="1">
        <f t="array" ref="AG1551">IF(AF1551="","",_xlfn.TEXTSPLIT(AF1551,"-"))</f>
        <v>0</v>
      </c>
      <c r="AH1551" s="168"/>
    </row>
    <row r="1552" spans="26:34" ht="24" customHeight="1">
      <c r="Z1552"/>
      <c r="AA1552"/>
      <c r="AB1552"/>
      <c r="AC1552"/>
      <c r="AD1552"/>
      <c r="AE1552" s="168" t="str">
        <f t="shared" si="24"/>
        <v/>
      </c>
      <c r="AF1552" s="168">
        <v>0</v>
      </c>
      <c r="AG1552" s="168" t="str" cm="1">
        <f t="array" ref="AG1552">IF(AF1552="","",_xlfn.TEXTSPLIT(AF1552,"-"))</f>
        <v>0</v>
      </c>
      <c r="AH1552" s="168"/>
    </row>
    <row r="1553" spans="26:34" ht="24" customHeight="1">
      <c r="Z1553"/>
      <c r="AA1553"/>
      <c r="AB1553"/>
      <c r="AC1553"/>
      <c r="AD1553"/>
      <c r="AE1553" s="168" t="str">
        <f t="shared" si="24"/>
        <v/>
      </c>
      <c r="AF1553" s="168">
        <v>0</v>
      </c>
      <c r="AG1553" s="168" t="str" cm="1">
        <f t="array" ref="AG1553">IF(AF1553="","",_xlfn.TEXTSPLIT(AF1553,"-"))</f>
        <v>0</v>
      </c>
      <c r="AH1553" s="168"/>
    </row>
    <row r="1554" spans="26:34" ht="24" customHeight="1">
      <c r="Z1554"/>
      <c r="AA1554"/>
      <c r="AB1554"/>
      <c r="AC1554"/>
      <c r="AD1554"/>
      <c r="AE1554" s="168" t="str">
        <f t="shared" si="24"/>
        <v/>
      </c>
      <c r="AF1554" s="168">
        <v>0</v>
      </c>
      <c r="AG1554" s="168" t="str" cm="1">
        <f t="array" ref="AG1554">IF(AF1554="","",_xlfn.TEXTSPLIT(AF1554,"-"))</f>
        <v>0</v>
      </c>
      <c r="AH1554" s="168"/>
    </row>
    <row r="1555" spans="26:34" ht="24" customHeight="1">
      <c r="Z1555"/>
      <c r="AA1555"/>
      <c r="AB1555"/>
      <c r="AC1555"/>
      <c r="AD1555"/>
      <c r="AE1555" s="168" t="str">
        <f t="shared" si="24"/>
        <v/>
      </c>
      <c r="AF1555" s="168">
        <v>0</v>
      </c>
      <c r="AG1555" s="168" t="str" cm="1">
        <f t="array" ref="AG1555">IF(AF1555="","",_xlfn.TEXTSPLIT(AF1555,"-"))</f>
        <v>0</v>
      </c>
      <c r="AH1555" s="168"/>
    </row>
    <row r="1556" spans="26:34" ht="24" customHeight="1">
      <c r="Z1556"/>
      <c r="AA1556"/>
      <c r="AB1556"/>
      <c r="AC1556"/>
      <c r="AD1556"/>
      <c r="AE1556" s="168" t="str">
        <f t="shared" si="24"/>
        <v/>
      </c>
      <c r="AF1556" s="168">
        <v>0</v>
      </c>
      <c r="AG1556" s="168" t="str" cm="1">
        <f t="array" ref="AG1556">IF(AF1556="","",_xlfn.TEXTSPLIT(AF1556,"-"))</f>
        <v>0</v>
      </c>
      <c r="AH1556" s="168"/>
    </row>
    <row r="1557" spans="26:34" ht="24" customHeight="1">
      <c r="Z1557"/>
      <c r="AA1557"/>
      <c r="AB1557"/>
      <c r="AC1557"/>
      <c r="AD1557"/>
      <c r="AE1557" s="168" t="str">
        <f t="shared" si="24"/>
        <v/>
      </c>
      <c r="AF1557" s="168">
        <v>0</v>
      </c>
      <c r="AG1557" s="168" t="str" cm="1">
        <f t="array" ref="AG1557">IF(AF1557="","",_xlfn.TEXTSPLIT(AF1557,"-"))</f>
        <v>0</v>
      </c>
      <c r="AH1557" s="168"/>
    </row>
    <row r="1558" spans="26:34" ht="24" customHeight="1">
      <c r="Z1558"/>
      <c r="AA1558"/>
      <c r="AB1558"/>
      <c r="AC1558"/>
      <c r="AD1558"/>
      <c r="AE1558" s="168" t="str">
        <f t="shared" si="24"/>
        <v/>
      </c>
      <c r="AF1558" s="168">
        <v>0</v>
      </c>
      <c r="AG1558" s="168" t="str" cm="1">
        <f t="array" ref="AG1558">IF(AF1558="","",_xlfn.TEXTSPLIT(AF1558,"-"))</f>
        <v>0</v>
      </c>
      <c r="AH1558" s="168"/>
    </row>
    <row r="1559" spans="26:34" ht="24" customHeight="1">
      <c r="Z1559"/>
      <c r="AA1559"/>
      <c r="AB1559"/>
      <c r="AC1559"/>
      <c r="AD1559"/>
      <c r="AE1559" s="168" t="str">
        <f t="shared" si="24"/>
        <v/>
      </c>
      <c r="AF1559" s="168">
        <v>0</v>
      </c>
      <c r="AG1559" s="168" t="str" cm="1">
        <f t="array" ref="AG1559">IF(AF1559="","",_xlfn.TEXTSPLIT(AF1559,"-"))</f>
        <v>0</v>
      </c>
      <c r="AH1559" s="168"/>
    </row>
    <row r="1560" spans="26:34" ht="24" customHeight="1">
      <c r="Z1560"/>
      <c r="AA1560"/>
      <c r="AB1560"/>
      <c r="AC1560"/>
      <c r="AD1560"/>
      <c r="AE1560" s="168" t="str">
        <f t="shared" si="24"/>
        <v/>
      </c>
      <c r="AF1560" s="168">
        <v>0</v>
      </c>
      <c r="AG1560" s="168" t="str" cm="1">
        <f t="array" ref="AG1560">IF(AF1560="","",_xlfn.TEXTSPLIT(AF1560,"-"))</f>
        <v>0</v>
      </c>
      <c r="AH1560" s="168"/>
    </row>
    <row r="1561" spans="26:34" ht="24" customHeight="1">
      <c r="Z1561"/>
      <c r="AA1561"/>
      <c r="AB1561"/>
      <c r="AC1561"/>
      <c r="AD1561"/>
      <c r="AE1561" s="168" t="str">
        <f t="shared" si="24"/>
        <v/>
      </c>
      <c r="AF1561" s="168">
        <v>0</v>
      </c>
      <c r="AG1561" s="168" t="str" cm="1">
        <f t="array" ref="AG1561">IF(AF1561="","",_xlfn.TEXTSPLIT(AF1561,"-"))</f>
        <v>0</v>
      </c>
      <c r="AH1561" s="168"/>
    </row>
    <row r="1562" spans="26:34" ht="24" customHeight="1">
      <c r="Z1562"/>
      <c r="AA1562"/>
      <c r="AB1562"/>
      <c r="AC1562"/>
      <c r="AD1562"/>
      <c r="AE1562" s="168" t="str">
        <f t="shared" si="24"/>
        <v/>
      </c>
      <c r="AF1562" s="168">
        <v>0</v>
      </c>
      <c r="AG1562" s="168" t="str" cm="1">
        <f t="array" ref="AG1562">IF(AF1562="","",_xlfn.TEXTSPLIT(AF1562,"-"))</f>
        <v>0</v>
      </c>
      <c r="AH1562" s="168"/>
    </row>
    <row r="1563" spans="26:34" ht="24" customHeight="1">
      <c r="Z1563"/>
      <c r="AA1563"/>
      <c r="AB1563"/>
      <c r="AC1563"/>
      <c r="AD1563"/>
      <c r="AE1563" s="168" t="str">
        <f t="shared" si="24"/>
        <v/>
      </c>
      <c r="AF1563" s="168">
        <v>0</v>
      </c>
      <c r="AG1563" s="168" t="str" cm="1">
        <f t="array" ref="AG1563">IF(AF1563="","",_xlfn.TEXTSPLIT(AF1563,"-"))</f>
        <v>0</v>
      </c>
      <c r="AH1563" s="168"/>
    </row>
    <row r="1564" spans="26:34" ht="24" customHeight="1">
      <c r="Z1564"/>
      <c r="AA1564"/>
      <c r="AB1564"/>
      <c r="AC1564"/>
      <c r="AD1564"/>
      <c r="AE1564" s="168" t="str">
        <f t="shared" si="24"/>
        <v/>
      </c>
      <c r="AF1564" s="168">
        <v>0</v>
      </c>
      <c r="AG1564" s="168" t="str" cm="1">
        <f t="array" ref="AG1564">IF(AF1564="","",_xlfn.TEXTSPLIT(AF1564,"-"))</f>
        <v>0</v>
      </c>
      <c r="AH1564" s="168"/>
    </row>
    <row r="1565" spans="26:34" ht="24" customHeight="1">
      <c r="Z1565"/>
      <c r="AA1565"/>
      <c r="AB1565"/>
      <c r="AC1565"/>
      <c r="AD1565"/>
      <c r="AE1565" s="168" t="str">
        <f t="shared" si="24"/>
        <v/>
      </c>
      <c r="AF1565" s="168">
        <v>0</v>
      </c>
      <c r="AG1565" s="168" t="str" cm="1">
        <f t="array" ref="AG1565">IF(AF1565="","",_xlfn.TEXTSPLIT(AF1565,"-"))</f>
        <v>0</v>
      </c>
      <c r="AH1565" s="168"/>
    </row>
    <row r="1566" spans="26:34" ht="24" customHeight="1">
      <c r="Z1566"/>
      <c r="AA1566"/>
      <c r="AB1566"/>
      <c r="AC1566"/>
      <c r="AD1566"/>
      <c r="AE1566" s="168" t="str">
        <f t="shared" si="24"/>
        <v/>
      </c>
      <c r="AF1566" s="168">
        <v>0</v>
      </c>
      <c r="AG1566" s="168" t="str" cm="1">
        <f t="array" ref="AG1566">IF(AF1566="","",_xlfn.TEXTSPLIT(AF1566,"-"))</f>
        <v>0</v>
      </c>
      <c r="AH1566" s="168"/>
    </row>
    <row r="1567" spans="26:34" ht="24" customHeight="1">
      <c r="Z1567"/>
      <c r="AA1567"/>
      <c r="AB1567"/>
      <c r="AC1567"/>
      <c r="AD1567"/>
      <c r="AE1567" s="168" t="str">
        <f t="shared" si="24"/>
        <v/>
      </c>
      <c r="AF1567" s="168">
        <v>0</v>
      </c>
      <c r="AG1567" s="168" t="str" cm="1">
        <f t="array" ref="AG1567">IF(AF1567="","",_xlfn.TEXTSPLIT(AF1567,"-"))</f>
        <v>0</v>
      </c>
      <c r="AH1567" s="168"/>
    </row>
    <row r="1568" spans="26:34" ht="24" customHeight="1">
      <c r="Z1568"/>
      <c r="AA1568"/>
      <c r="AB1568"/>
      <c r="AC1568"/>
      <c r="AD1568"/>
      <c r="AE1568" s="168" t="str">
        <f t="shared" si="24"/>
        <v/>
      </c>
      <c r="AF1568" s="168">
        <v>0</v>
      </c>
      <c r="AG1568" s="168" t="str" cm="1">
        <f t="array" ref="AG1568">IF(AF1568="","",_xlfn.TEXTSPLIT(AF1568,"-"))</f>
        <v>0</v>
      </c>
      <c r="AH1568" s="168"/>
    </row>
    <row r="1569" spans="26:34" ht="24" customHeight="1">
      <c r="Z1569"/>
      <c r="AA1569"/>
      <c r="AB1569"/>
      <c r="AC1569"/>
      <c r="AD1569"/>
      <c r="AE1569" s="168" t="str">
        <f t="shared" si="24"/>
        <v/>
      </c>
      <c r="AF1569" s="168">
        <v>0</v>
      </c>
      <c r="AG1569" s="168" t="str" cm="1">
        <f t="array" ref="AG1569">IF(AF1569="","",_xlfn.TEXTSPLIT(AF1569,"-"))</f>
        <v>0</v>
      </c>
      <c r="AH1569" s="168"/>
    </row>
    <row r="1570" spans="26:34" ht="24" customHeight="1">
      <c r="Z1570"/>
      <c r="AA1570"/>
      <c r="AB1570"/>
      <c r="AC1570"/>
      <c r="AD1570"/>
      <c r="AE1570" s="168" t="str">
        <f t="shared" si="24"/>
        <v/>
      </c>
      <c r="AF1570" s="168">
        <v>0</v>
      </c>
      <c r="AG1570" s="168" t="str" cm="1">
        <f t="array" ref="AG1570">IF(AF1570="","",_xlfn.TEXTSPLIT(AF1570,"-"))</f>
        <v>0</v>
      </c>
      <c r="AH1570" s="168"/>
    </row>
    <row r="1571" spans="26:34" ht="24" customHeight="1">
      <c r="Z1571"/>
      <c r="AA1571"/>
      <c r="AB1571"/>
      <c r="AC1571"/>
      <c r="AD1571"/>
      <c r="AE1571" s="168" t="str">
        <f t="shared" si="24"/>
        <v/>
      </c>
      <c r="AF1571" s="168">
        <v>0</v>
      </c>
      <c r="AG1571" s="168" t="str" cm="1">
        <f t="array" ref="AG1571">IF(AF1571="","",_xlfn.TEXTSPLIT(AF1571,"-"))</f>
        <v>0</v>
      </c>
      <c r="AH1571" s="168"/>
    </row>
    <row r="1572" spans="26:34" ht="24" customHeight="1">
      <c r="Z1572"/>
      <c r="AA1572"/>
      <c r="AB1572"/>
      <c r="AC1572"/>
      <c r="AD1572"/>
      <c r="AE1572" s="168" t="str">
        <f t="shared" si="24"/>
        <v/>
      </c>
      <c r="AF1572" s="168">
        <v>0</v>
      </c>
      <c r="AG1572" s="168" t="str" cm="1">
        <f t="array" ref="AG1572">IF(AF1572="","",_xlfn.TEXTSPLIT(AF1572,"-"))</f>
        <v>0</v>
      </c>
      <c r="AH1572" s="168"/>
    </row>
    <row r="1573" spans="26:34" ht="24" customHeight="1">
      <c r="Z1573"/>
      <c r="AA1573"/>
      <c r="AB1573"/>
      <c r="AC1573"/>
      <c r="AD1573"/>
      <c r="AE1573" s="168" t="str">
        <f t="shared" si="24"/>
        <v/>
      </c>
      <c r="AF1573" s="168">
        <v>0</v>
      </c>
      <c r="AG1573" s="168" t="str" cm="1">
        <f t="array" ref="AG1573">IF(AF1573="","",_xlfn.TEXTSPLIT(AF1573,"-"))</f>
        <v>0</v>
      </c>
      <c r="AH1573" s="168"/>
    </row>
    <row r="1574" spans="26:34" ht="24" customHeight="1">
      <c r="Z1574"/>
      <c r="AA1574"/>
      <c r="AB1574"/>
      <c r="AC1574"/>
      <c r="AD1574"/>
      <c r="AE1574" s="168" t="str">
        <f t="shared" si="24"/>
        <v/>
      </c>
      <c r="AF1574" s="168">
        <v>0</v>
      </c>
      <c r="AG1574" s="168" t="str" cm="1">
        <f t="array" ref="AG1574">IF(AF1574="","",_xlfn.TEXTSPLIT(AF1574,"-"))</f>
        <v>0</v>
      </c>
      <c r="AH1574" s="168"/>
    </row>
    <row r="1575" spans="26:34" ht="24" customHeight="1">
      <c r="Z1575"/>
      <c r="AA1575"/>
      <c r="AB1575"/>
      <c r="AC1575"/>
      <c r="AD1575"/>
      <c r="AE1575" s="168" t="str">
        <f t="shared" si="24"/>
        <v/>
      </c>
      <c r="AF1575" s="168">
        <v>0</v>
      </c>
      <c r="AG1575" s="168" t="str" cm="1">
        <f t="array" ref="AG1575">IF(AF1575="","",_xlfn.TEXTSPLIT(AF1575,"-"))</f>
        <v>0</v>
      </c>
      <c r="AH1575" s="168"/>
    </row>
    <row r="1576" spans="26:34" ht="24" customHeight="1">
      <c r="Z1576"/>
      <c r="AA1576"/>
      <c r="AB1576"/>
      <c r="AC1576"/>
      <c r="AD1576"/>
      <c r="AE1576" s="168" t="str">
        <f t="shared" si="24"/>
        <v/>
      </c>
      <c r="AF1576" s="168">
        <v>0</v>
      </c>
      <c r="AG1576" s="168" t="str" cm="1">
        <f t="array" ref="AG1576">IF(AF1576="","",_xlfn.TEXTSPLIT(AF1576,"-"))</f>
        <v>0</v>
      </c>
      <c r="AH1576" s="168"/>
    </row>
    <row r="1577" spans="26:34" ht="24" customHeight="1">
      <c r="Z1577"/>
      <c r="AA1577"/>
      <c r="AB1577"/>
      <c r="AC1577"/>
      <c r="AD1577"/>
      <c r="AE1577" s="168" t="str">
        <f t="shared" si="24"/>
        <v/>
      </c>
      <c r="AF1577" s="168">
        <v>0</v>
      </c>
      <c r="AG1577" s="168" t="str" cm="1">
        <f t="array" ref="AG1577">IF(AF1577="","",_xlfn.TEXTSPLIT(AF1577,"-"))</f>
        <v>0</v>
      </c>
      <c r="AH1577" s="168"/>
    </row>
    <row r="1578" spans="26:34" ht="24" customHeight="1">
      <c r="Z1578"/>
      <c r="AA1578"/>
      <c r="AB1578"/>
      <c r="AC1578"/>
      <c r="AD1578"/>
      <c r="AE1578" s="168" t="str">
        <f t="shared" si="24"/>
        <v/>
      </c>
      <c r="AF1578" s="168">
        <v>0</v>
      </c>
      <c r="AG1578" s="168" t="str" cm="1">
        <f t="array" ref="AG1578">IF(AF1578="","",_xlfn.TEXTSPLIT(AF1578,"-"))</f>
        <v>0</v>
      </c>
      <c r="AH1578" s="168"/>
    </row>
    <row r="1579" spans="26:34" ht="24" customHeight="1">
      <c r="Z1579"/>
      <c r="AA1579"/>
      <c r="AB1579"/>
      <c r="AC1579"/>
      <c r="AD1579"/>
      <c r="AE1579" s="168" t="str">
        <f t="shared" si="24"/>
        <v/>
      </c>
      <c r="AF1579" s="168">
        <v>0</v>
      </c>
      <c r="AG1579" s="168" t="str" cm="1">
        <f t="array" ref="AG1579">IF(AF1579="","",_xlfn.TEXTSPLIT(AF1579,"-"))</f>
        <v>0</v>
      </c>
      <c r="AH1579" s="168"/>
    </row>
    <row r="1580" spans="26:34" ht="24" customHeight="1">
      <c r="Z1580"/>
      <c r="AA1580"/>
      <c r="AB1580"/>
      <c r="AC1580"/>
      <c r="AD1580"/>
      <c r="AE1580" s="168" t="str">
        <f t="shared" si="24"/>
        <v/>
      </c>
      <c r="AF1580" s="168">
        <v>0</v>
      </c>
      <c r="AG1580" s="168" t="str" cm="1">
        <f t="array" ref="AG1580">IF(AF1580="","",_xlfn.TEXTSPLIT(AF1580,"-"))</f>
        <v>0</v>
      </c>
      <c r="AH1580" s="168"/>
    </row>
    <row r="1581" spans="26:34" ht="24" customHeight="1">
      <c r="Z1581"/>
      <c r="AA1581"/>
      <c r="AB1581"/>
      <c r="AC1581"/>
      <c r="AD1581"/>
      <c r="AE1581" s="168" t="str">
        <f t="shared" si="24"/>
        <v/>
      </c>
      <c r="AF1581" s="168">
        <v>0</v>
      </c>
      <c r="AG1581" s="168" t="str" cm="1">
        <f t="array" ref="AG1581">IF(AF1581="","",_xlfn.TEXTSPLIT(AF1581,"-"))</f>
        <v>0</v>
      </c>
      <c r="AH1581" s="168"/>
    </row>
    <row r="1582" spans="26:34" ht="24" customHeight="1">
      <c r="Z1582"/>
      <c r="AA1582"/>
      <c r="AB1582"/>
      <c r="AC1582"/>
      <c r="AD1582"/>
      <c r="AE1582" s="168" t="str">
        <f t="shared" si="24"/>
        <v/>
      </c>
      <c r="AF1582" s="168">
        <v>0</v>
      </c>
      <c r="AG1582" s="168" t="str" cm="1">
        <f t="array" ref="AG1582">IF(AF1582="","",_xlfn.TEXTSPLIT(AF1582,"-"))</f>
        <v>0</v>
      </c>
      <c r="AH1582" s="168"/>
    </row>
    <row r="1583" spans="26:34" ht="24" customHeight="1">
      <c r="Z1583"/>
      <c r="AA1583"/>
      <c r="AB1583"/>
      <c r="AC1583"/>
      <c r="AD1583"/>
      <c r="AE1583" s="168" t="str">
        <f t="shared" si="24"/>
        <v/>
      </c>
      <c r="AF1583" s="168">
        <v>0</v>
      </c>
      <c r="AG1583" s="168" t="str" cm="1">
        <f t="array" ref="AG1583">IF(AF1583="","",_xlfn.TEXTSPLIT(AF1583,"-"))</f>
        <v>0</v>
      </c>
      <c r="AH1583" s="168"/>
    </row>
    <row r="1584" spans="26:34" ht="24" customHeight="1">
      <c r="Z1584"/>
      <c r="AA1584"/>
      <c r="AB1584"/>
      <c r="AC1584"/>
      <c r="AD1584"/>
      <c r="AE1584" s="168" t="str">
        <f t="shared" si="24"/>
        <v/>
      </c>
      <c r="AF1584" s="168">
        <v>0</v>
      </c>
      <c r="AG1584" s="168" t="str" cm="1">
        <f t="array" ref="AG1584">IF(AF1584="","",_xlfn.TEXTSPLIT(AF1584,"-"))</f>
        <v>0</v>
      </c>
      <c r="AH1584" s="168"/>
    </row>
    <row r="1585" spans="26:34" ht="24" customHeight="1">
      <c r="Z1585"/>
      <c r="AA1585"/>
      <c r="AB1585"/>
      <c r="AC1585"/>
      <c r="AD1585"/>
      <c r="AE1585" s="168" t="str">
        <f t="shared" si="24"/>
        <v/>
      </c>
      <c r="AF1585" s="168">
        <v>0</v>
      </c>
      <c r="AG1585" s="168" t="str" cm="1">
        <f t="array" ref="AG1585">IF(AF1585="","",_xlfn.TEXTSPLIT(AF1585,"-"))</f>
        <v>0</v>
      </c>
      <c r="AH1585" s="168"/>
    </row>
    <row r="1586" spans="26:34" ht="24" customHeight="1">
      <c r="Z1586"/>
      <c r="AA1586"/>
      <c r="AB1586"/>
      <c r="AC1586"/>
      <c r="AD1586"/>
      <c r="AE1586" s="168" t="str">
        <f t="shared" si="24"/>
        <v/>
      </c>
      <c r="AF1586" s="168">
        <v>0</v>
      </c>
      <c r="AG1586" s="168" t="str" cm="1">
        <f t="array" ref="AG1586">IF(AF1586="","",_xlfn.TEXTSPLIT(AF1586,"-"))</f>
        <v>0</v>
      </c>
      <c r="AH1586" s="168"/>
    </row>
    <row r="1587" spans="26:34" ht="24" customHeight="1">
      <c r="Z1587"/>
      <c r="AA1587"/>
      <c r="AB1587"/>
      <c r="AC1587"/>
      <c r="AD1587"/>
      <c r="AE1587" s="168" t="str">
        <f t="shared" si="24"/>
        <v/>
      </c>
      <c r="AF1587" s="168">
        <v>0</v>
      </c>
      <c r="AG1587" s="168" t="str" cm="1">
        <f t="array" ref="AG1587">IF(AF1587="","",_xlfn.TEXTSPLIT(AF1587,"-"))</f>
        <v>0</v>
      </c>
      <c r="AH1587" s="168"/>
    </row>
    <row r="1588" spans="26:34" ht="24" customHeight="1">
      <c r="Z1588"/>
      <c r="AA1588"/>
      <c r="AB1588"/>
      <c r="AC1588"/>
      <c r="AD1588"/>
      <c r="AE1588" s="168" t="str">
        <f t="shared" si="24"/>
        <v/>
      </c>
      <c r="AF1588" s="168">
        <v>0</v>
      </c>
      <c r="AG1588" s="168" t="str" cm="1">
        <f t="array" ref="AG1588">IF(AF1588="","",_xlfn.TEXTSPLIT(AF1588,"-"))</f>
        <v>0</v>
      </c>
      <c r="AH1588" s="168"/>
    </row>
    <row r="1589" spans="26:34" ht="24" customHeight="1">
      <c r="Z1589"/>
      <c r="AA1589"/>
      <c r="AB1589"/>
      <c r="AC1589"/>
      <c r="AD1589"/>
      <c r="AE1589" s="168" t="str">
        <f t="shared" si="24"/>
        <v/>
      </c>
      <c r="AF1589" s="168">
        <v>0</v>
      </c>
      <c r="AG1589" s="168" t="str" cm="1">
        <f t="array" ref="AG1589">IF(AF1589="","",_xlfn.TEXTSPLIT(AF1589,"-"))</f>
        <v>0</v>
      </c>
      <c r="AH1589" s="168"/>
    </row>
    <row r="1590" spans="26:34" ht="24" customHeight="1">
      <c r="Z1590"/>
      <c r="AA1590"/>
      <c r="AB1590"/>
      <c r="AC1590"/>
      <c r="AD1590"/>
      <c r="AE1590" s="168" t="str">
        <f t="shared" si="24"/>
        <v/>
      </c>
      <c r="AF1590" s="168">
        <v>0</v>
      </c>
      <c r="AG1590" s="168" t="str" cm="1">
        <f t="array" ref="AG1590">IF(AF1590="","",_xlfn.TEXTSPLIT(AF1590,"-"))</f>
        <v>0</v>
      </c>
      <c r="AH1590" s="168"/>
    </row>
    <row r="1591" spans="26:34" ht="24" customHeight="1">
      <c r="Z1591"/>
      <c r="AA1591"/>
      <c r="AB1591"/>
      <c r="AC1591"/>
      <c r="AD1591"/>
      <c r="AE1591" s="168" t="str">
        <f t="shared" si="24"/>
        <v/>
      </c>
      <c r="AF1591" s="168">
        <v>0</v>
      </c>
      <c r="AG1591" s="168" t="str" cm="1">
        <f t="array" ref="AG1591">IF(AF1591="","",_xlfn.TEXTSPLIT(AF1591,"-"))</f>
        <v>0</v>
      </c>
      <c r="AH1591" s="168"/>
    </row>
    <row r="1592" spans="26:34" ht="24" customHeight="1">
      <c r="Z1592"/>
      <c r="AA1592"/>
      <c r="AB1592"/>
      <c r="AC1592"/>
      <c r="AD1592"/>
      <c r="AE1592" s="168" t="str">
        <f t="shared" si="24"/>
        <v/>
      </c>
      <c r="AF1592" s="168">
        <v>0</v>
      </c>
      <c r="AG1592" s="168" t="str" cm="1">
        <f t="array" ref="AG1592">IF(AF1592="","",_xlfn.TEXTSPLIT(AF1592,"-"))</f>
        <v>0</v>
      </c>
      <c r="AH1592" s="168"/>
    </row>
    <row r="1593" spans="26:34" ht="24" customHeight="1">
      <c r="Z1593"/>
      <c r="AA1593"/>
      <c r="AB1593"/>
      <c r="AC1593"/>
      <c r="AD1593"/>
      <c r="AE1593" s="168" t="str">
        <f t="shared" si="24"/>
        <v/>
      </c>
      <c r="AF1593" s="168">
        <v>0</v>
      </c>
      <c r="AG1593" s="168" t="str" cm="1">
        <f t="array" ref="AG1593">IF(AF1593="","",_xlfn.TEXTSPLIT(AF1593,"-"))</f>
        <v>0</v>
      </c>
      <c r="AH1593" s="168"/>
    </row>
    <row r="1594" spans="26:34" ht="24" customHeight="1">
      <c r="Z1594"/>
      <c r="AA1594"/>
      <c r="AB1594"/>
      <c r="AC1594"/>
      <c r="AD1594"/>
      <c r="AE1594" s="168" t="str">
        <f t="shared" si="24"/>
        <v/>
      </c>
      <c r="AF1594" s="168">
        <v>0</v>
      </c>
      <c r="AG1594" s="168" t="str" cm="1">
        <f t="array" ref="AG1594">IF(AF1594="","",_xlfn.TEXTSPLIT(AF1594,"-"))</f>
        <v>0</v>
      </c>
      <c r="AH1594" s="168"/>
    </row>
    <row r="1595" spans="26:34" ht="24" customHeight="1">
      <c r="Z1595"/>
      <c r="AA1595"/>
      <c r="AB1595"/>
      <c r="AC1595"/>
      <c r="AD1595"/>
      <c r="AE1595" s="168" t="str">
        <f t="shared" si="24"/>
        <v/>
      </c>
      <c r="AF1595" s="168">
        <v>0</v>
      </c>
      <c r="AG1595" s="168" t="str" cm="1">
        <f t="array" ref="AG1595">IF(AF1595="","",_xlfn.TEXTSPLIT(AF1595,"-"))</f>
        <v>0</v>
      </c>
      <c r="AH1595" s="168"/>
    </row>
    <row r="1596" spans="26:34" ht="24" customHeight="1">
      <c r="Z1596"/>
      <c r="AA1596"/>
      <c r="AB1596"/>
      <c r="AC1596"/>
      <c r="AD1596"/>
      <c r="AE1596" s="168" t="str">
        <f t="shared" si="24"/>
        <v/>
      </c>
      <c r="AF1596" s="168">
        <v>0</v>
      </c>
      <c r="AG1596" s="168" t="str" cm="1">
        <f t="array" ref="AG1596">IF(AF1596="","",_xlfn.TEXTSPLIT(AF1596,"-"))</f>
        <v>0</v>
      </c>
      <c r="AH1596" s="168"/>
    </row>
    <row r="1597" spans="26:34" ht="24" customHeight="1">
      <c r="Z1597"/>
      <c r="AA1597"/>
      <c r="AB1597"/>
      <c r="AC1597"/>
      <c r="AD1597"/>
      <c r="AE1597" s="168" t="str">
        <f t="shared" si="24"/>
        <v/>
      </c>
      <c r="AF1597" s="168">
        <v>0</v>
      </c>
      <c r="AG1597" s="168" t="str" cm="1">
        <f t="array" ref="AG1597">IF(AF1597="","",_xlfn.TEXTSPLIT(AF1597,"-"))</f>
        <v>0</v>
      </c>
      <c r="AH1597" s="168"/>
    </row>
    <row r="1598" spans="26:34" ht="24" customHeight="1">
      <c r="Z1598"/>
      <c r="AA1598"/>
      <c r="AB1598"/>
      <c r="AC1598"/>
      <c r="AD1598"/>
      <c r="AE1598" s="168" t="str">
        <f t="shared" si="24"/>
        <v/>
      </c>
      <c r="AF1598" s="168">
        <v>0</v>
      </c>
      <c r="AG1598" s="168" t="str" cm="1">
        <f t="array" ref="AG1598">IF(AF1598="","",_xlfn.TEXTSPLIT(AF1598,"-"))</f>
        <v>0</v>
      </c>
      <c r="AH1598" s="168"/>
    </row>
    <row r="1599" spans="26:34" ht="24" customHeight="1">
      <c r="Z1599"/>
      <c r="AA1599"/>
      <c r="AB1599"/>
      <c r="AC1599"/>
      <c r="AD1599"/>
      <c r="AE1599" s="168" t="str">
        <f t="shared" si="24"/>
        <v/>
      </c>
      <c r="AF1599" s="168">
        <v>0</v>
      </c>
      <c r="AG1599" s="168" t="str" cm="1">
        <f t="array" ref="AG1599">IF(AF1599="","",_xlfn.TEXTSPLIT(AF1599,"-"))</f>
        <v>0</v>
      </c>
      <c r="AH1599" s="168"/>
    </row>
    <row r="1600" spans="26:34" ht="24" customHeight="1">
      <c r="Z1600"/>
      <c r="AA1600"/>
      <c r="AB1600"/>
      <c r="AC1600"/>
      <c r="AD1600"/>
      <c r="AE1600" s="168" t="str">
        <f t="shared" si="24"/>
        <v/>
      </c>
      <c r="AF1600" s="168">
        <v>0</v>
      </c>
      <c r="AG1600" s="168" t="str" cm="1">
        <f t="array" ref="AG1600">IF(AF1600="","",_xlfn.TEXTSPLIT(AF1600,"-"))</f>
        <v>0</v>
      </c>
      <c r="AH1600" s="168"/>
    </row>
    <row r="1601" spans="26:34" ht="24" customHeight="1">
      <c r="Z1601"/>
      <c r="AA1601"/>
      <c r="AB1601"/>
      <c r="AC1601"/>
      <c r="AD1601"/>
      <c r="AE1601" s="168" t="str">
        <f t="shared" si="24"/>
        <v/>
      </c>
      <c r="AF1601" s="168">
        <v>0</v>
      </c>
      <c r="AG1601" s="168" t="str" cm="1">
        <f t="array" ref="AG1601">IF(AF1601="","",_xlfn.TEXTSPLIT(AF1601,"-"))</f>
        <v>0</v>
      </c>
      <c r="AH1601" s="168"/>
    </row>
    <row r="1602" spans="26:34" ht="24" customHeight="1">
      <c r="Z1602"/>
      <c r="AA1602"/>
      <c r="AB1602"/>
      <c r="AC1602"/>
      <c r="AD1602"/>
      <c r="AE1602" s="168" t="str">
        <f t="shared" si="24"/>
        <v/>
      </c>
      <c r="AF1602" s="168">
        <v>0</v>
      </c>
      <c r="AG1602" s="168" t="str" cm="1">
        <f t="array" ref="AG1602">IF(AF1602="","",_xlfn.TEXTSPLIT(AF1602,"-"))</f>
        <v>0</v>
      </c>
      <c r="AH1602" s="168"/>
    </row>
    <row r="1603" spans="26:34" ht="24" customHeight="1">
      <c r="Z1603"/>
      <c r="AA1603"/>
      <c r="AB1603"/>
      <c r="AC1603"/>
      <c r="AD1603"/>
      <c r="AE1603" s="168" t="str">
        <f t="shared" si="24"/>
        <v/>
      </c>
      <c r="AF1603" s="168">
        <v>0</v>
      </c>
      <c r="AG1603" s="168" t="str" cm="1">
        <f t="array" ref="AG1603">IF(AF1603="","",_xlfn.TEXTSPLIT(AF1603,"-"))</f>
        <v>0</v>
      </c>
      <c r="AH1603" s="168"/>
    </row>
    <row r="1604" spans="26:34" ht="24" customHeight="1">
      <c r="Z1604"/>
      <c r="AA1604"/>
      <c r="AB1604"/>
      <c r="AC1604"/>
      <c r="AD1604"/>
      <c r="AE1604" s="168" t="str">
        <f t="shared" si="24"/>
        <v/>
      </c>
      <c r="AF1604" s="168">
        <v>0</v>
      </c>
      <c r="AG1604" s="168" t="str" cm="1">
        <f t="array" ref="AG1604">IF(AF1604="","",_xlfn.TEXTSPLIT(AF1604,"-"))</f>
        <v>0</v>
      </c>
      <c r="AH1604" s="168"/>
    </row>
    <row r="1605" spans="26:34" ht="24" customHeight="1">
      <c r="Z1605"/>
      <c r="AA1605"/>
      <c r="AB1605"/>
      <c r="AC1605"/>
      <c r="AD1605"/>
      <c r="AE1605" s="168" t="str">
        <f t="shared" ref="AE1605:AE1668" si="25">IF(AH1605="","",AH1605*1)</f>
        <v/>
      </c>
      <c r="AF1605" s="168">
        <v>0</v>
      </c>
      <c r="AG1605" s="168" t="str" cm="1">
        <f t="array" ref="AG1605">IF(AF1605="","",_xlfn.TEXTSPLIT(AF1605,"-"))</f>
        <v>0</v>
      </c>
      <c r="AH1605" s="168"/>
    </row>
    <row r="1606" spans="26:34" ht="24" customHeight="1">
      <c r="Z1606"/>
      <c r="AA1606"/>
      <c r="AB1606"/>
      <c r="AC1606"/>
      <c r="AD1606"/>
      <c r="AE1606" s="168" t="str">
        <f t="shared" si="25"/>
        <v/>
      </c>
      <c r="AF1606" s="168">
        <v>0</v>
      </c>
      <c r="AG1606" s="168" t="str" cm="1">
        <f t="array" ref="AG1606">IF(AF1606="","",_xlfn.TEXTSPLIT(AF1606,"-"))</f>
        <v>0</v>
      </c>
      <c r="AH1606" s="168"/>
    </row>
    <row r="1607" spans="26:34" ht="24" customHeight="1">
      <c r="Z1607"/>
      <c r="AA1607"/>
      <c r="AB1607"/>
      <c r="AC1607"/>
      <c r="AD1607"/>
      <c r="AE1607" s="168" t="str">
        <f t="shared" si="25"/>
        <v/>
      </c>
      <c r="AF1607" s="168">
        <v>0</v>
      </c>
      <c r="AG1607" s="168" t="str" cm="1">
        <f t="array" ref="AG1607">IF(AF1607="","",_xlfn.TEXTSPLIT(AF1607,"-"))</f>
        <v>0</v>
      </c>
      <c r="AH1607" s="168"/>
    </row>
    <row r="1608" spans="26:34" ht="24" customHeight="1">
      <c r="Z1608"/>
      <c r="AA1608"/>
      <c r="AB1608"/>
      <c r="AC1608"/>
      <c r="AD1608"/>
      <c r="AE1608" s="168" t="str">
        <f t="shared" si="25"/>
        <v/>
      </c>
      <c r="AF1608" s="168">
        <v>0</v>
      </c>
      <c r="AG1608" s="168" t="str" cm="1">
        <f t="array" ref="AG1608">IF(AF1608="","",_xlfn.TEXTSPLIT(AF1608,"-"))</f>
        <v>0</v>
      </c>
      <c r="AH1608" s="168"/>
    </row>
    <row r="1609" spans="26:34" ht="24" customHeight="1">
      <c r="Z1609"/>
      <c r="AA1609"/>
      <c r="AB1609"/>
      <c r="AC1609"/>
      <c r="AD1609"/>
      <c r="AE1609" s="168" t="str">
        <f t="shared" si="25"/>
        <v/>
      </c>
      <c r="AF1609" s="168">
        <v>0</v>
      </c>
      <c r="AG1609" s="168" t="str" cm="1">
        <f t="array" ref="AG1609">IF(AF1609="","",_xlfn.TEXTSPLIT(AF1609,"-"))</f>
        <v>0</v>
      </c>
      <c r="AH1609" s="168"/>
    </row>
    <row r="1610" spans="26:34" ht="24" customHeight="1">
      <c r="Z1610"/>
      <c r="AA1610"/>
      <c r="AB1610"/>
      <c r="AC1610"/>
      <c r="AD1610"/>
      <c r="AE1610" s="168" t="str">
        <f t="shared" si="25"/>
        <v/>
      </c>
      <c r="AF1610" s="168">
        <v>0</v>
      </c>
      <c r="AG1610" s="168" t="str" cm="1">
        <f t="array" ref="AG1610">IF(AF1610="","",_xlfn.TEXTSPLIT(AF1610,"-"))</f>
        <v>0</v>
      </c>
      <c r="AH1610" s="168"/>
    </row>
    <row r="1611" spans="26:34" ht="24" customHeight="1">
      <c r="Z1611"/>
      <c r="AA1611"/>
      <c r="AB1611"/>
      <c r="AC1611"/>
      <c r="AD1611"/>
      <c r="AE1611" s="168" t="str">
        <f t="shared" si="25"/>
        <v/>
      </c>
      <c r="AF1611" s="168">
        <v>0</v>
      </c>
      <c r="AG1611" s="168" t="str" cm="1">
        <f t="array" ref="AG1611">IF(AF1611="","",_xlfn.TEXTSPLIT(AF1611,"-"))</f>
        <v>0</v>
      </c>
      <c r="AH1611" s="168"/>
    </row>
    <row r="1612" spans="26:34" ht="24" customHeight="1">
      <c r="Z1612"/>
      <c r="AA1612"/>
      <c r="AB1612"/>
      <c r="AC1612"/>
      <c r="AD1612"/>
      <c r="AE1612" s="168" t="str">
        <f t="shared" si="25"/>
        <v/>
      </c>
      <c r="AF1612" s="168">
        <v>0</v>
      </c>
      <c r="AG1612" s="168" t="str" cm="1">
        <f t="array" ref="AG1612">IF(AF1612="","",_xlfn.TEXTSPLIT(AF1612,"-"))</f>
        <v>0</v>
      </c>
      <c r="AH1612" s="168"/>
    </row>
    <row r="1613" spans="26:34" ht="24" customHeight="1">
      <c r="Z1613"/>
      <c r="AA1613"/>
      <c r="AB1613"/>
      <c r="AC1613"/>
      <c r="AD1613"/>
      <c r="AE1613" s="168" t="str">
        <f t="shared" si="25"/>
        <v/>
      </c>
      <c r="AF1613" s="168">
        <v>0</v>
      </c>
      <c r="AG1613" s="168" t="str" cm="1">
        <f t="array" ref="AG1613">IF(AF1613="","",_xlfn.TEXTSPLIT(AF1613,"-"))</f>
        <v>0</v>
      </c>
      <c r="AH1613" s="168"/>
    </row>
    <row r="1614" spans="26:34" ht="24" customHeight="1">
      <c r="Z1614"/>
      <c r="AA1614"/>
      <c r="AB1614"/>
      <c r="AC1614"/>
      <c r="AD1614"/>
      <c r="AE1614" s="168" t="str">
        <f t="shared" si="25"/>
        <v/>
      </c>
      <c r="AF1614" s="168">
        <v>0</v>
      </c>
      <c r="AG1614" s="168" t="str" cm="1">
        <f t="array" ref="AG1614">IF(AF1614="","",_xlfn.TEXTSPLIT(AF1614,"-"))</f>
        <v>0</v>
      </c>
      <c r="AH1614" s="168"/>
    </row>
    <row r="1615" spans="26:34" ht="24" customHeight="1">
      <c r="Z1615"/>
      <c r="AA1615"/>
      <c r="AB1615"/>
      <c r="AC1615"/>
      <c r="AD1615"/>
      <c r="AE1615" s="168" t="str">
        <f t="shared" si="25"/>
        <v/>
      </c>
      <c r="AF1615" s="168">
        <v>0</v>
      </c>
      <c r="AG1615" s="168" t="str" cm="1">
        <f t="array" ref="AG1615">IF(AF1615="","",_xlfn.TEXTSPLIT(AF1615,"-"))</f>
        <v>0</v>
      </c>
      <c r="AH1615" s="168"/>
    </row>
    <row r="1616" spans="26:34" ht="24" customHeight="1">
      <c r="Z1616"/>
      <c r="AA1616"/>
      <c r="AB1616"/>
      <c r="AC1616"/>
      <c r="AD1616"/>
      <c r="AE1616" s="168" t="str">
        <f t="shared" si="25"/>
        <v/>
      </c>
      <c r="AF1616" s="168">
        <v>0</v>
      </c>
      <c r="AG1616" s="168" t="str" cm="1">
        <f t="array" ref="AG1616">IF(AF1616="","",_xlfn.TEXTSPLIT(AF1616,"-"))</f>
        <v>0</v>
      </c>
      <c r="AH1616" s="168"/>
    </row>
    <row r="1617" spans="26:34" ht="24" customHeight="1">
      <c r="Z1617"/>
      <c r="AA1617"/>
      <c r="AB1617"/>
      <c r="AC1617"/>
      <c r="AD1617"/>
      <c r="AE1617" s="168" t="str">
        <f t="shared" si="25"/>
        <v/>
      </c>
      <c r="AF1617" s="168">
        <v>0</v>
      </c>
      <c r="AG1617" s="168" t="str" cm="1">
        <f t="array" ref="AG1617">IF(AF1617="","",_xlfn.TEXTSPLIT(AF1617,"-"))</f>
        <v>0</v>
      </c>
      <c r="AH1617" s="168"/>
    </row>
    <row r="1618" spans="26:34" ht="24" customHeight="1">
      <c r="Z1618"/>
      <c r="AA1618"/>
      <c r="AB1618"/>
      <c r="AC1618"/>
      <c r="AD1618"/>
      <c r="AE1618" s="168" t="str">
        <f t="shared" si="25"/>
        <v/>
      </c>
      <c r="AF1618" s="168">
        <v>0</v>
      </c>
      <c r="AG1618" s="168" t="str" cm="1">
        <f t="array" ref="AG1618">IF(AF1618="","",_xlfn.TEXTSPLIT(AF1618,"-"))</f>
        <v>0</v>
      </c>
      <c r="AH1618" s="168"/>
    </row>
    <row r="1619" spans="26:34" ht="24" customHeight="1">
      <c r="Z1619"/>
      <c r="AA1619"/>
      <c r="AB1619"/>
      <c r="AC1619"/>
      <c r="AD1619"/>
      <c r="AE1619" s="168" t="str">
        <f t="shared" si="25"/>
        <v/>
      </c>
      <c r="AF1619" s="168">
        <v>0</v>
      </c>
      <c r="AG1619" s="168" t="str" cm="1">
        <f t="array" ref="AG1619">IF(AF1619="","",_xlfn.TEXTSPLIT(AF1619,"-"))</f>
        <v>0</v>
      </c>
      <c r="AH1619" s="168"/>
    </row>
    <row r="1620" spans="26:34" ht="24" customHeight="1">
      <c r="Z1620"/>
      <c r="AA1620"/>
      <c r="AB1620"/>
      <c r="AC1620"/>
      <c r="AD1620"/>
      <c r="AE1620" s="168" t="str">
        <f t="shared" si="25"/>
        <v/>
      </c>
      <c r="AF1620" s="168">
        <v>0</v>
      </c>
      <c r="AG1620" s="168" t="str" cm="1">
        <f t="array" ref="AG1620">IF(AF1620="","",_xlfn.TEXTSPLIT(AF1620,"-"))</f>
        <v>0</v>
      </c>
      <c r="AH1620" s="168"/>
    </row>
    <row r="1621" spans="26:34" ht="24" customHeight="1">
      <c r="Z1621"/>
      <c r="AA1621"/>
      <c r="AB1621"/>
      <c r="AC1621"/>
      <c r="AD1621"/>
      <c r="AE1621" s="168" t="str">
        <f t="shared" si="25"/>
        <v/>
      </c>
      <c r="AF1621" s="168">
        <v>0</v>
      </c>
      <c r="AG1621" s="168" t="str" cm="1">
        <f t="array" ref="AG1621">IF(AF1621="","",_xlfn.TEXTSPLIT(AF1621,"-"))</f>
        <v>0</v>
      </c>
      <c r="AH1621" s="168"/>
    </row>
    <row r="1622" spans="26:34" ht="24" customHeight="1">
      <c r="Z1622"/>
      <c r="AA1622"/>
      <c r="AB1622"/>
      <c r="AC1622"/>
      <c r="AD1622"/>
      <c r="AE1622" s="168" t="str">
        <f t="shared" si="25"/>
        <v/>
      </c>
      <c r="AF1622" s="168">
        <v>0</v>
      </c>
      <c r="AG1622" s="168" t="str" cm="1">
        <f t="array" ref="AG1622">IF(AF1622="","",_xlfn.TEXTSPLIT(AF1622,"-"))</f>
        <v>0</v>
      </c>
      <c r="AH1622" s="168"/>
    </row>
    <row r="1623" spans="26:34" ht="24" customHeight="1">
      <c r="Z1623"/>
      <c r="AA1623"/>
      <c r="AB1623"/>
      <c r="AC1623"/>
      <c r="AD1623"/>
      <c r="AE1623" s="168" t="str">
        <f t="shared" si="25"/>
        <v/>
      </c>
      <c r="AF1623" s="168">
        <v>0</v>
      </c>
      <c r="AG1623" s="168" t="str" cm="1">
        <f t="array" ref="AG1623">IF(AF1623="","",_xlfn.TEXTSPLIT(AF1623,"-"))</f>
        <v>0</v>
      </c>
      <c r="AH1623" s="168"/>
    </row>
    <row r="1624" spans="26:34" ht="24" customHeight="1">
      <c r="Z1624"/>
      <c r="AA1624"/>
      <c r="AB1624"/>
      <c r="AC1624"/>
      <c r="AD1624"/>
      <c r="AE1624" s="168" t="str">
        <f t="shared" si="25"/>
        <v/>
      </c>
      <c r="AF1624" s="168">
        <v>0</v>
      </c>
      <c r="AG1624" s="168" t="str" cm="1">
        <f t="array" ref="AG1624">IF(AF1624="","",_xlfn.TEXTSPLIT(AF1624,"-"))</f>
        <v>0</v>
      </c>
      <c r="AH1624" s="168"/>
    </row>
    <row r="1625" spans="26:34" ht="24" customHeight="1">
      <c r="Z1625"/>
      <c r="AA1625"/>
      <c r="AB1625"/>
      <c r="AC1625"/>
      <c r="AD1625"/>
      <c r="AE1625" s="168" t="str">
        <f t="shared" si="25"/>
        <v/>
      </c>
      <c r="AF1625" s="168">
        <v>0</v>
      </c>
      <c r="AG1625" s="168" t="str" cm="1">
        <f t="array" ref="AG1625">IF(AF1625="","",_xlfn.TEXTSPLIT(AF1625,"-"))</f>
        <v>0</v>
      </c>
      <c r="AH1625" s="168"/>
    </row>
    <row r="1626" spans="26:34" ht="24" customHeight="1">
      <c r="Z1626"/>
      <c r="AA1626"/>
      <c r="AB1626"/>
      <c r="AC1626"/>
      <c r="AD1626"/>
      <c r="AE1626" s="168" t="str">
        <f t="shared" si="25"/>
        <v/>
      </c>
      <c r="AF1626" s="168">
        <v>0</v>
      </c>
      <c r="AG1626" s="168" t="str" cm="1">
        <f t="array" ref="AG1626">IF(AF1626="","",_xlfn.TEXTSPLIT(AF1626,"-"))</f>
        <v>0</v>
      </c>
      <c r="AH1626" s="168"/>
    </row>
    <row r="1627" spans="26:34" ht="24" customHeight="1">
      <c r="Z1627"/>
      <c r="AA1627"/>
      <c r="AB1627"/>
      <c r="AC1627"/>
      <c r="AD1627"/>
      <c r="AE1627" s="168" t="str">
        <f t="shared" si="25"/>
        <v/>
      </c>
      <c r="AF1627" s="168">
        <v>0</v>
      </c>
      <c r="AG1627" s="168" t="str" cm="1">
        <f t="array" ref="AG1627">IF(AF1627="","",_xlfn.TEXTSPLIT(AF1627,"-"))</f>
        <v>0</v>
      </c>
      <c r="AH1627" s="168"/>
    </row>
    <row r="1628" spans="26:34" ht="24" customHeight="1">
      <c r="Z1628"/>
      <c r="AA1628"/>
      <c r="AB1628"/>
      <c r="AC1628"/>
      <c r="AD1628"/>
      <c r="AE1628" s="168" t="str">
        <f t="shared" si="25"/>
        <v/>
      </c>
      <c r="AF1628" s="168">
        <v>0</v>
      </c>
      <c r="AG1628" s="168" t="str" cm="1">
        <f t="array" ref="AG1628">IF(AF1628="","",_xlfn.TEXTSPLIT(AF1628,"-"))</f>
        <v>0</v>
      </c>
      <c r="AH1628" s="168"/>
    </row>
    <row r="1629" spans="26:34" ht="24" customHeight="1">
      <c r="Z1629"/>
      <c r="AA1629"/>
      <c r="AB1629"/>
      <c r="AC1629"/>
      <c r="AD1629"/>
      <c r="AE1629" s="168" t="str">
        <f t="shared" si="25"/>
        <v/>
      </c>
      <c r="AF1629" s="168">
        <v>0</v>
      </c>
      <c r="AG1629" s="168" t="str" cm="1">
        <f t="array" ref="AG1629">IF(AF1629="","",_xlfn.TEXTSPLIT(AF1629,"-"))</f>
        <v>0</v>
      </c>
      <c r="AH1629" s="168"/>
    </row>
    <row r="1630" spans="26:34" ht="24" customHeight="1">
      <c r="Z1630"/>
      <c r="AA1630"/>
      <c r="AB1630"/>
      <c r="AC1630"/>
      <c r="AD1630"/>
      <c r="AE1630" s="168" t="str">
        <f t="shared" si="25"/>
        <v/>
      </c>
      <c r="AF1630" s="168">
        <v>0</v>
      </c>
      <c r="AG1630" s="168" t="str" cm="1">
        <f t="array" ref="AG1630">IF(AF1630="","",_xlfn.TEXTSPLIT(AF1630,"-"))</f>
        <v>0</v>
      </c>
      <c r="AH1630" s="168"/>
    </row>
    <row r="1631" spans="26:34" ht="24" customHeight="1">
      <c r="Z1631"/>
      <c r="AA1631"/>
      <c r="AB1631"/>
      <c r="AC1631"/>
      <c r="AD1631"/>
      <c r="AE1631" s="168" t="str">
        <f t="shared" si="25"/>
        <v/>
      </c>
      <c r="AF1631" s="168">
        <v>0</v>
      </c>
      <c r="AG1631" s="168" t="str" cm="1">
        <f t="array" ref="AG1631">IF(AF1631="","",_xlfn.TEXTSPLIT(AF1631,"-"))</f>
        <v>0</v>
      </c>
      <c r="AH1631" s="168"/>
    </row>
    <row r="1632" spans="26:34" ht="24" customHeight="1">
      <c r="Z1632"/>
      <c r="AA1632"/>
      <c r="AB1632"/>
      <c r="AC1632"/>
      <c r="AD1632"/>
      <c r="AE1632" s="168" t="str">
        <f t="shared" si="25"/>
        <v/>
      </c>
      <c r="AF1632" s="168">
        <v>0</v>
      </c>
      <c r="AG1632" s="168" t="str" cm="1">
        <f t="array" ref="AG1632">IF(AF1632="","",_xlfn.TEXTSPLIT(AF1632,"-"))</f>
        <v>0</v>
      </c>
      <c r="AH1632" s="168"/>
    </row>
    <row r="1633" spans="26:34" ht="24" customHeight="1">
      <c r="Z1633"/>
      <c r="AA1633"/>
      <c r="AB1633"/>
      <c r="AC1633"/>
      <c r="AD1633"/>
      <c r="AE1633" s="168" t="str">
        <f t="shared" si="25"/>
        <v/>
      </c>
      <c r="AF1633" s="168">
        <v>0</v>
      </c>
      <c r="AG1633" s="168" t="str" cm="1">
        <f t="array" ref="AG1633">IF(AF1633="","",_xlfn.TEXTSPLIT(AF1633,"-"))</f>
        <v>0</v>
      </c>
      <c r="AH1633" s="168"/>
    </row>
    <row r="1634" spans="26:34" ht="24" customHeight="1">
      <c r="Z1634"/>
      <c r="AA1634"/>
      <c r="AB1634"/>
      <c r="AC1634"/>
      <c r="AD1634"/>
      <c r="AE1634" s="168" t="str">
        <f t="shared" si="25"/>
        <v/>
      </c>
      <c r="AF1634" s="168">
        <v>0</v>
      </c>
      <c r="AG1634" s="168" t="str" cm="1">
        <f t="array" ref="AG1634">IF(AF1634="","",_xlfn.TEXTSPLIT(AF1634,"-"))</f>
        <v>0</v>
      </c>
      <c r="AH1634" s="168"/>
    </row>
    <row r="1635" spans="26:34" ht="24" customHeight="1">
      <c r="Z1635"/>
      <c r="AA1635"/>
      <c r="AB1635"/>
      <c r="AC1635"/>
      <c r="AD1635"/>
      <c r="AE1635" s="168" t="str">
        <f t="shared" si="25"/>
        <v/>
      </c>
      <c r="AF1635" s="168">
        <v>0</v>
      </c>
      <c r="AG1635" s="168" t="str" cm="1">
        <f t="array" ref="AG1635">IF(AF1635="","",_xlfn.TEXTSPLIT(AF1635,"-"))</f>
        <v>0</v>
      </c>
      <c r="AH1635" s="168"/>
    </row>
    <row r="1636" spans="26:34" ht="24" customHeight="1">
      <c r="Z1636"/>
      <c r="AA1636"/>
      <c r="AB1636"/>
      <c r="AC1636"/>
      <c r="AD1636"/>
      <c r="AE1636" s="168" t="str">
        <f t="shared" si="25"/>
        <v/>
      </c>
      <c r="AF1636" s="168">
        <v>0</v>
      </c>
      <c r="AG1636" s="168" t="str" cm="1">
        <f t="array" ref="AG1636">IF(AF1636="","",_xlfn.TEXTSPLIT(AF1636,"-"))</f>
        <v>0</v>
      </c>
      <c r="AH1636" s="168"/>
    </row>
    <row r="1637" spans="26:34" ht="24" customHeight="1">
      <c r="Z1637"/>
      <c r="AA1637"/>
      <c r="AB1637"/>
      <c r="AC1637"/>
      <c r="AD1637"/>
      <c r="AE1637" s="168" t="str">
        <f t="shared" si="25"/>
        <v/>
      </c>
      <c r="AF1637" s="168">
        <v>0</v>
      </c>
      <c r="AG1637" s="168" t="str" cm="1">
        <f t="array" ref="AG1637">IF(AF1637="","",_xlfn.TEXTSPLIT(AF1637,"-"))</f>
        <v>0</v>
      </c>
      <c r="AH1637" s="168"/>
    </row>
    <row r="1638" spans="26:34" ht="24" customHeight="1">
      <c r="Z1638"/>
      <c r="AA1638"/>
      <c r="AB1638"/>
      <c r="AC1638"/>
      <c r="AD1638"/>
      <c r="AE1638" s="168" t="str">
        <f t="shared" si="25"/>
        <v/>
      </c>
      <c r="AF1638" s="168">
        <v>0</v>
      </c>
      <c r="AG1638" s="168" t="str" cm="1">
        <f t="array" ref="AG1638">IF(AF1638="","",_xlfn.TEXTSPLIT(AF1638,"-"))</f>
        <v>0</v>
      </c>
      <c r="AH1638" s="168"/>
    </row>
    <row r="1639" spans="26:34" ht="24" customHeight="1">
      <c r="Z1639"/>
      <c r="AA1639"/>
      <c r="AB1639"/>
      <c r="AC1639"/>
      <c r="AD1639"/>
      <c r="AE1639" s="168" t="str">
        <f t="shared" si="25"/>
        <v/>
      </c>
      <c r="AF1639" s="168">
        <v>0</v>
      </c>
      <c r="AG1639" s="168" t="str" cm="1">
        <f t="array" ref="AG1639">IF(AF1639="","",_xlfn.TEXTSPLIT(AF1639,"-"))</f>
        <v>0</v>
      </c>
      <c r="AH1639" s="168"/>
    </row>
    <row r="1640" spans="26:34" ht="24" customHeight="1">
      <c r="Z1640"/>
      <c r="AA1640"/>
      <c r="AB1640"/>
      <c r="AC1640"/>
      <c r="AD1640"/>
      <c r="AE1640" s="168" t="str">
        <f t="shared" si="25"/>
        <v/>
      </c>
      <c r="AF1640" s="168">
        <v>0</v>
      </c>
      <c r="AG1640" s="168" t="str" cm="1">
        <f t="array" ref="AG1640">IF(AF1640="","",_xlfn.TEXTSPLIT(AF1640,"-"))</f>
        <v>0</v>
      </c>
      <c r="AH1640" s="168"/>
    </row>
    <row r="1641" spans="26:34" ht="24" customHeight="1">
      <c r="Z1641"/>
      <c r="AA1641"/>
      <c r="AB1641"/>
      <c r="AC1641"/>
      <c r="AD1641"/>
      <c r="AE1641" s="168" t="str">
        <f t="shared" si="25"/>
        <v/>
      </c>
      <c r="AF1641" s="168">
        <v>0</v>
      </c>
      <c r="AG1641" s="168" t="str" cm="1">
        <f t="array" ref="AG1641">IF(AF1641="","",_xlfn.TEXTSPLIT(AF1641,"-"))</f>
        <v>0</v>
      </c>
      <c r="AH1641" s="168"/>
    </row>
    <row r="1642" spans="26:34" ht="24" customHeight="1">
      <c r="Z1642"/>
      <c r="AA1642"/>
      <c r="AB1642"/>
      <c r="AC1642"/>
      <c r="AD1642"/>
      <c r="AE1642" s="168" t="str">
        <f t="shared" si="25"/>
        <v/>
      </c>
      <c r="AF1642" s="168">
        <v>0</v>
      </c>
      <c r="AG1642" s="168" t="str" cm="1">
        <f t="array" ref="AG1642">IF(AF1642="","",_xlfn.TEXTSPLIT(AF1642,"-"))</f>
        <v>0</v>
      </c>
      <c r="AH1642" s="168"/>
    </row>
    <row r="1643" spans="26:34" ht="24" customHeight="1">
      <c r="Z1643"/>
      <c r="AA1643"/>
      <c r="AB1643"/>
      <c r="AC1643"/>
      <c r="AD1643"/>
      <c r="AE1643" s="168" t="str">
        <f t="shared" si="25"/>
        <v/>
      </c>
      <c r="AF1643" s="168">
        <v>0</v>
      </c>
      <c r="AG1643" s="168" t="str" cm="1">
        <f t="array" ref="AG1643">IF(AF1643="","",_xlfn.TEXTSPLIT(AF1643,"-"))</f>
        <v>0</v>
      </c>
      <c r="AH1643" s="168"/>
    </row>
    <row r="1644" spans="26:34" ht="24" customHeight="1">
      <c r="Z1644"/>
      <c r="AA1644"/>
      <c r="AB1644"/>
      <c r="AC1644"/>
      <c r="AD1644"/>
      <c r="AE1644" s="168" t="str">
        <f t="shared" si="25"/>
        <v/>
      </c>
      <c r="AF1644" s="168">
        <v>0</v>
      </c>
      <c r="AG1644" s="168" t="str" cm="1">
        <f t="array" ref="AG1644">IF(AF1644="","",_xlfn.TEXTSPLIT(AF1644,"-"))</f>
        <v>0</v>
      </c>
      <c r="AH1644" s="168"/>
    </row>
    <row r="1645" spans="26:34" ht="24" customHeight="1">
      <c r="Z1645"/>
      <c r="AA1645"/>
      <c r="AB1645"/>
      <c r="AC1645"/>
      <c r="AD1645"/>
      <c r="AE1645" s="168" t="str">
        <f t="shared" si="25"/>
        <v/>
      </c>
      <c r="AF1645" s="168">
        <v>0</v>
      </c>
      <c r="AG1645" s="168" t="str" cm="1">
        <f t="array" ref="AG1645">IF(AF1645="","",_xlfn.TEXTSPLIT(AF1645,"-"))</f>
        <v>0</v>
      </c>
      <c r="AH1645" s="168"/>
    </row>
    <row r="1646" spans="26:34" ht="24" customHeight="1">
      <c r="Z1646"/>
      <c r="AA1646"/>
      <c r="AB1646"/>
      <c r="AC1646"/>
      <c r="AD1646"/>
      <c r="AE1646" s="168" t="str">
        <f t="shared" si="25"/>
        <v/>
      </c>
      <c r="AF1646" s="168">
        <v>0</v>
      </c>
      <c r="AG1646" s="168" t="str" cm="1">
        <f t="array" ref="AG1646">IF(AF1646="","",_xlfn.TEXTSPLIT(AF1646,"-"))</f>
        <v>0</v>
      </c>
      <c r="AH1646" s="168"/>
    </row>
    <row r="1647" spans="26:34" ht="24" customHeight="1">
      <c r="Z1647"/>
      <c r="AA1647"/>
      <c r="AB1647"/>
      <c r="AC1647"/>
      <c r="AD1647"/>
      <c r="AE1647" s="168" t="str">
        <f t="shared" si="25"/>
        <v/>
      </c>
      <c r="AF1647" s="168">
        <v>0</v>
      </c>
      <c r="AG1647" s="168" t="str" cm="1">
        <f t="array" ref="AG1647">IF(AF1647="","",_xlfn.TEXTSPLIT(AF1647,"-"))</f>
        <v>0</v>
      </c>
      <c r="AH1647" s="168"/>
    </row>
    <row r="1648" spans="26:34" ht="24" customHeight="1">
      <c r="Z1648"/>
      <c r="AA1648"/>
      <c r="AB1648"/>
      <c r="AC1648"/>
      <c r="AD1648"/>
      <c r="AE1648" s="168" t="str">
        <f t="shared" si="25"/>
        <v/>
      </c>
      <c r="AF1648" s="168">
        <v>0</v>
      </c>
      <c r="AG1648" s="168" t="str" cm="1">
        <f t="array" ref="AG1648">IF(AF1648="","",_xlfn.TEXTSPLIT(AF1648,"-"))</f>
        <v>0</v>
      </c>
      <c r="AH1648" s="168"/>
    </row>
    <row r="1649" spans="26:34" ht="24" customHeight="1">
      <c r="Z1649"/>
      <c r="AA1649"/>
      <c r="AB1649"/>
      <c r="AC1649"/>
      <c r="AD1649"/>
      <c r="AE1649" s="168" t="str">
        <f t="shared" si="25"/>
        <v/>
      </c>
      <c r="AF1649" s="168">
        <v>0</v>
      </c>
      <c r="AG1649" s="168" t="str" cm="1">
        <f t="array" ref="AG1649">IF(AF1649="","",_xlfn.TEXTSPLIT(AF1649,"-"))</f>
        <v>0</v>
      </c>
      <c r="AH1649" s="168"/>
    </row>
    <row r="1650" spans="26:34" ht="24" customHeight="1">
      <c r="Z1650"/>
      <c r="AA1650"/>
      <c r="AB1650"/>
      <c r="AC1650"/>
      <c r="AD1650"/>
      <c r="AE1650" s="168" t="str">
        <f t="shared" si="25"/>
        <v/>
      </c>
      <c r="AF1650" s="168">
        <v>0</v>
      </c>
      <c r="AG1650" s="168" t="str" cm="1">
        <f t="array" ref="AG1650">IF(AF1650="","",_xlfn.TEXTSPLIT(AF1650,"-"))</f>
        <v>0</v>
      </c>
      <c r="AH1650" s="168"/>
    </row>
    <row r="1651" spans="26:34" ht="24" customHeight="1">
      <c r="Z1651"/>
      <c r="AA1651"/>
      <c r="AB1651"/>
      <c r="AC1651"/>
      <c r="AD1651"/>
      <c r="AE1651" s="168" t="str">
        <f t="shared" si="25"/>
        <v/>
      </c>
      <c r="AF1651" s="168">
        <v>0</v>
      </c>
      <c r="AG1651" s="168" t="str" cm="1">
        <f t="array" ref="AG1651">IF(AF1651="","",_xlfn.TEXTSPLIT(AF1651,"-"))</f>
        <v>0</v>
      </c>
      <c r="AH1651" s="168"/>
    </row>
    <row r="1652" spans="26:34" ht="24" customHeight="1">
      <c r="Z1652"/>
      <c r="AA1652"/>
      <c r="AB1652"/>
      <c r="AC1652"/>
      <c r="AD1652"/>
      <c r="AE1652" s="168" t="str">
        <f t="shared" si="25"/>
        <v/>
      </c>
      <c r="AF1652" s="168">
        <v>0</v>
      </c>
      <c r="AG1652" s="168" t="str" cm="1">
        <f t="array" ref="AG1652">IF(AF1652="","",_xlfn.TEXTSPLIT(AF1652,"-"))</f>
        <v>0</v>
      </c>
      <c r="AH1652" s="168"/>
    </row>
    <row r="1653" spans="26:34" ht="24" customHeight="1">
      <c r="Z1653"/>
      <c r="AA1653"/>
      <c r="AB1653"/>
      <c r="AC1653"/>
      <c r="AD1653"/>
      <c r="AE1653" s="168" t="str">
        <f t="shared" si="25"/>
        <v/>
      </c>
      <c r="AF1653" s="168">
        <v>0</v>
      </c>
      <c r="AG1653" s="168" t="str" cm="1">
        <f t="array" ref="AG1653">IF(AF1653="","",_xlfn.TEXTSPLIT(AF1653,"-"))</f>
        <v>0</v>
      </c>
      <c r="AH1653" s="168"/>
    </row>
    <row r="1654" spans="26:34" ht="24" customHeight="1">
      <c r="Z1654"/>
      <c r="AA1654"/>
      <c r="AB1654"/>
      <c r="AC1654"/>
      <c r="AD1654"/>
      <c r="AE1654" s="168" t="str">
        <f t="shared" si="25"/>
        <v/>
      </c>
      <c r="AF1654" s="168">
        <v>0</v>
      </c>
      <c r="AG1654" s="168" t="str" cm="1">
        <f t="array" ref="AG1654">IF(AF1654="","",_xlfn.TEXTSPLIT(AF1654,"-"))</f>
        <v>0</v>
      </c>
      <c r="AH1654" s="168"/>
    </row>
    <row r="1655" spans="26:34" ht="24" customHeight="1">
      <c r="Z1655"/>
      <c r="AA1655"/>
      <c r="AB1655"/>
      <c r="AC1655"/>
      <c r="AD1655"/>
      <c r="AE1655" s="168" t="str">
        <f t="shared" si="25"/>
        <v/>
      </c>
      <c r="AF1655" s="168">
        <v>0</v>
      </c>
      <c r="AG1655" s="168" t="str" cm="1">
        <f t="array" ref="AG1655">IF(AF1655="","",_xlfn.TEXTSPLIT(AF1655,"-"))</f>
        <v>0</v>
      </c>
      <c r="AH1655" s="168"/>
    </row>
    <row r="1656" spans="26:34" ht="24" customHeight="1">
      <c r="Z1656"/>
      <c r="AA1656"/>
      <c r="AB1656"/>
      <c r="AC1656"/>
      <c r="AD1656"/>
      <c r="AE1656" s="168" t="str">
        <f t="shared" si="25"/>
        <v/>
      </c>
      <c r="AF1656" s="168">
        <v>0</v>
      </c>
      <c r="AG1656" s="168" t="str" cm="1">
        <f t="array" ref="AG1656">IF(AF1656="","",_xlfn.TEXTSPLIT(AF1656,"-"))</f>
        <v>0</v>
      </c>
      <c r="AH1656" s="168"/>
    </row>
    <row r="1657" spans="26:34" ht="24" customHeight="1">
      <c r="Z1657"/>
      <c r="AA1657"/>
      <c r="AB1657"/>
      <c r="AC1657"/>
      <c r="AD1657"/>
      <c r="AE1657" s="168" t="str">
        <f t="shared" si="25"/>
        <v/>
      </c>
      <c r="AF1657" s="168">
        <v>0</v>
      </c>
      <c r="AG1657" s="168" t="str" cm="1">
        <f t="array" ref="AG1657">IF(AF1657="","",_xlfn.TEXTSPLIT(AF1657,"-"))</f>
        <v>0</v>
      </c>
      <c r="AH1657" s="168"/>
    </row>
    <row r="1658" spans="26:34" ht="24" customHeight="1">
      <c r="Z1658"/>
      <c r="AA1658"/>
      <c r="AB1658"/>
      <c r="AC1658"/>
      <c r="AD1658"/>
      <c r="AE1658" s="168" t="str">
        <f t="shared" si="25"/>
        <v/>
      </c>
      <c r="AF1658" s="168">
        <v>0</v>
      </c>
      <c r="AG1658" s="168" t="str" cm="1">
        <f t="array" ref="AG1658">IF(AF1658="","",_xlfn.TEXTSPLIT(AF1658,"-"))</f>
        <v>0</v>
      </c>
      <c r="AH1658" s="168"/>
    </row>
    <row r="1659" spans="26:34" ht="24" customHeight="1">
      <c r="Z1659"/>
      <c r="AA1659"/>
      <c r="AB1659"/>
      <c r="AC1659"/>
      <c r="AD1659"/>
      <c r="AE1659" s="168" t="str">
        <f t="shared" si="25"/>
        <v/>
      </c>
      <c r="AF1659" s="168">
        <v>0</v>
      </c>
      <c r="AG1659" s="168" t="str" cm="1">
        <f t="array" ref="AG1659">IF(AF1659="","",_xlfn.TEXTSPLIT(AF1659,"-"))</f>
        <v>0</v>
      </c>
      <c r="AH1659" s="168"/>
    </row>
    <row r="1660" spans="26:34" ht="24" customHeight="1">
      <c r="Z1660"/>
      <c r="AA1660"/>
      <c r="AB1660"/>
      <c r="AC1660"/>
      <c r="AD1660"/>
      <c r="AE1660" s="168" t="str">
        <f t="shared" si="25"/>
        <v/>
      </c>
      <c r="AF1660" s="168">
        <v>0</v>
      </c>
      <c r="AG1660" s="168" t="str" cm="1">
        <f t="array" ref="AG1660">IF(AF1660="","",_xlfn.TEXTSPLIT(AF1660,"-"))</f>
        <v>0</v>
      </c>
      <c r="AH1660" s="168"/>
    </row>
    <row r="1661" spans="26:34" ht="24" customHeight="1">
      <c r="Z1661"/>
      <c r="AA1661"/>
      <c r="AB1661"/>
      <c r="AC1661"/>
      <c r="AD1661"/>
      <c r="AE1661" s="168" t="str">
        <f t="shared" si="25"/>
        <v/>
      </c>
      <c r="AF1661" s="168">
        <v>0</v>
      </c>
      <c r="AG1661" s="168" t="str" cm="1">
        <f t="array" ref="AG1661">IF(AF1661="","",_xlfn.TEXTSPLIT(AF1661,"-"))</f>
        <v>0</v>
      </c>
      <c r="AH1661" s="168"/>
    </row>
    <row r="1662" spans="26:34" ht="24" customHeight="1">
      <c r="Z1662"/>
      <c r="AA1662"/>
      <c r="AB1662"/>
      <c r="AC1662"/>
      <c r="AD1662"/>
      <c r="AE1662" s="168" t="str">
        <f t="shared" si="25"/>
        <v/>
      </c>
      <c r="AF1662" s="168">
        <v>0</v>
      </c>
      <c r="AG1662" s="168" t="str" cm="1">
        <f t="array" ref="AG1662">IF(AF1662="","",_xlfn.TEXTSPLIT(AF1662,"-"))</f>
        <v>0</v>
      </c>
      <c r="AH1662" s="168"/>
    </row>
    <row r="1663" spans="26:34" ht="24" customHeight="1">
      <c r="Z1663"/>
      <c r="AA1663"/>
      <c r="AB1663"/>
      <c r="AC1663"/>
      <c r="AD1663"/>
      <c r="AE1663" s="168" t="str">
        <f t="shared" si="25"/>
        <v/>
      </c>
      <c r="AF1663" s="168">
        <v>0</v>
      </c>
      <c r="AG1663" s="168" t="str" cm="1">
        <f t="array" ref="AG1663">IF(AF1663="","",_xlfn.TEXTSPLIT(AF1663,"-"))</f>
        <v>0</v>
      </c>
      <c r="AH1663" s="168"/>
    </row>
    <row r="1664" spans="26:34" ht="24" customHeight="1">
      <c r="Z1664"/>
      <c r="AA1664"/>
      <c r="AB1664"/>
      <c r="AC1664"/>
      <c r="AD1664"/>
      <c r="AE1664" s="168" t="str">
        <f t="shared" si="25"/>
        <v/>
      </c>
      <c r="AF1664" s="168">
        <v>0</v>
      </c>
      <c r="AG1664" s="168" t="str" cm="1">
        <f t="array" ref="AG1664">IF(AF1664="","",_xlfn.TEXTSPLIT(AF1664,"-"))</f>
        <v>0</v>
      </c>
      <c r="AH1664" s="168"/>
    </row>
    <row r="1665" spans="26:34" ht="24" customHeight="1">
      <c r="Z1665"/>
      <c r="AA1665"/>
      <c r="AB1665"/>
      <c r="AC1665"/>
      <c r="AD1665"/>
      <c r="AE1665" s="168" t="str">
        <f t="shared" si="25"/>
        <v/>
      </c>
      <c r="AF1665" s="168">
        <v>0</v>
      </c>
      <c r="AG1665" s="168" t="str" cm="1">
        <f t="array" ref="AG1665">IF(AF1665="","",_xlfn.TEXTSPLIT(AF1665,"-"))</f>
        <v>0</v>
      </c>
      <c r="AH1665" s="168"/>
    </row>
    <row r="1666" spans="26:34" ht="24" customHeight="1">
      <c r="Z1666"/>
      <c r="AA1666"/>
      <c r="AB1666"/>
      <c r="AC1666"/>
      <c r="AD1666"/>
      <c r="AE1666" s="168" t="str">
        <f t="shared" si="25"/>
        <v/>
      </c>
      <c r="AF1666" s="168">
        <v>0</v>
      </c>
      <c r="AG1666" s="168" t="str" cm="1">
        <f t="array" ref="AG1666">IF(AF1666="","",_xlfn.TEXTSPLIT(AF1666,"-"))</f>
        <v>0</v>
      </c>
      <c r="AH1666" s="168"/>
    </row>
    <row r="1667" spans="26:34" ht="24" customHeight="1">
      <c r="Z1667"/>
      <c r="AA1667"/>
      <c r="AB1667"/>
      <c r="AC1667"/>
      <c r="AD1667"/>
      <c r="AE1667" s="168" t="str">
        <f t="shared" si="25"/>
        <v/>
      </c>
      <c r="AF1667" s="168">
        <v>0</v>
      </c>
      <c r="AG1667" s="168" t="str" cm="1">
        <f t="array" ref="AG1667">IF(AF1667="","",_xlfn.TEXTSPLIT(AF1667,"-"))</f>
        <v>0</v>
      </c>
      <c r="AH1667" s="168"/>
    </row>
    <row r="1668" spans="26:34" ht="24" customHeight="1">
      <c r="Z1668"/>
      <c r="AA1668"/>
      <c r="AB1668"/>
      <c r="AC1668"/>
      <c r="AD1668"/>
      <c r="AE1668" s="168" t="str">
        <f t="shared" si="25"/>
        <v/>
      </c>
      <c r="AF1668" s="168">
        <v>0</v>
      </c>
      <c r="AG1668" s="168" t="str" cm="1">
        <f t="array" ref="AG1668">IF(AF1668="","",_xlfn.TEXTSPLIT(AF1668,"-"))</f>
        <v>0</v>
      </c>
      <c r="AH1668" s="168"/>
    </row>
    <row r="1669" spans="26:34" ht="24" customHeight="1">
      <c r="Z1669"/>
      <c r="AA1669"/>
      <c r="AB1669"/>
      <c r="AC1669"/>
      <c r="AD1669"/>
      <c r="AE1669" s="168" t="str">
        <f t="shared" ref="AE1669:AE1732" si="26">IF(AH1669="","",AH1669*1)</f>
        <v/>
      </c>
      <c r="AF1669" s="168">
        <v>0</v>
      </c>
      <c r="AG1669" s="168" t="str" cm="1">
        <f t="array" ref="AG1669">IF(AF1669="","",_xlfn.TEXTSPLIT(AF1669,"-"))</f>
        <v>0</v>
      </c>
      <c r="AH1669" s="168"/>
    </row>
    <row r="1670" spans="26:34" ht="24" customHeight="1">
      <c r="Z1670"/>
      <c r="AA1670"/>
      <c r="AB1670"/>
      <c r="AC1670"/>
      <c r="AD1670"/>
      <c r="AE1670" s="168" t="str">
        <f t="shared" si="26"/>
        <v/>
      </c>
      <c r="AF1670" s="168">
        <v>0</v>
      </c>
      <c r="AG1670" s="168" t="str" cm="1">
        <f t="array" ref="AG1670">IF(AF1670="","",_xlfn.TEXTSPLIT(AF1670,"-"))</f>
        <v>0</v>
      </c>
      <c r="AH1670" s="168"/>
    </row>
    <row r="1671" spans="26:34" ht="24" customHeight="1">
      <c r="Z1671"/>
      <c r="AA1671"/>
      <c r="AB1671"/>
      <c r="AC1671"/>
      <c r="AD1671"/>
      <c r="AE1671" s="168" t="str">
        <f t="shared" si="26"/>
        <v/>
      </c>
      <c r="AF1671" s="168">
        <v>0</v>
      </c>
      <c r="AG1671" s="168" t="str" cm="1">
        <f t="array" ref="AG1671">IF(AF1671="","",_xlfn.TEXTSPLIT(AF1671,"-"))</f>
        <v>0</v>
      </c>
      <c r="AH1671" s="168"/>
    </row>
    <row r="1672" spans="26:34" ht="24" customHeight="1">
      <c r="Z1672"/>
      <c r="AA1672"/>
      <c r="AB1672"/>
      <c r="AC1672"/>
      <c r="AD1672"/>
      <c r="AE1672" s="168" t="str">
        <f t="shared" si="26"/>
        <v/>
      </c>
      <c r="AF1672" s="168">
        <v>0</v>
      </c>
      <c r="AG1672" s="168" t="str" cm="1">
        <f t="array" ref="AG1672">IF(AF1672="","",_xlfn.TEXTSPLIT(AF1672,"-"))</f>
        <v>0</v>
      </c>
      <c r="AH1672" s="168"/>
    </row>
    <row r="1673" spans="26:34" ht="24" customHeight="1">
      <c r="Z1673"/>
      <c r="AA1673"/>
      <c r="AB1673"/>
      <c r="AC1673"/>
      <c r="AD1673"/>
      <c r="AE1673" s="168" t="str">
        <f t="shared" si="26"/>
        <v/>
      </c>
      <c r="AF1673" s="168">
        <v>0</v>
      </c>
      <c r="AG1673" s="168" t="str" cm="1">
        <f t="array" ref="AG1673">IF(AF1673="","",_xlfn.TEXTSPLIT(AF1673,"-"))</f>
        <v>0</v>
      </c>
      <c r="AH1673" s="168"/>
    </row>
    <row r="1674" spans="26:34" ht="24" customHeight="1">
      <c r="Z1674"/>
      <c r="AA1674"/>
      <c r="AB1674"/>
      <c r="AC1674"/>
      <c r="AD1674"/>
      <c r="AE1674" s="168" t="str">
        <f t="shared" si="26"/>
        <v/>
      </c>
      <c r="AF1674" s="168">
        <v>0</v>
      </c>
      <c r="AG1674" s="168" t="str" cm="1">
        <f t="array" ref="AG1674">IF(AF1674="","",_xlfn.TEXTSPLIT(AF1674,"-"))</f>
        <v>0</v>
      </c>
      <c r="AH1674" s="168"/>
    </row>
    <row r="1675" spans="26:34" ht="24" customHeight="1">
      <c r="Z1675"/>
      <c r="AA1675"/>
      <c r="AB1675"/>
      <c r="AC1675"/>
      <c r="AD1675"/>
      <c r="AE1675" s="168" t="str">
        <f t="shared" si="26"/>
        <v/>
      </c>
      <c r="AF1675" s="168">
        <v>0</v>
      </c>
      <c r="AG1675" s="168" t="str" cm="1">
        <f t="array" ref="AG1675">IF(AF1675="","",_xlfn.TEXTSPLIT(AF1675,"-"))</f>
        <v>0</v>
      </c>
      <c r="AH1675" s="168"/>
    </row>
    <row r="1676" spans="26:34" ht="24" customHeight="1">
      <c r="Z1676"/>
      <c r="AA1676"/>
      <c r="AB1676"/>
      <c r="AC1676"/>
      <c r="AD1676"/>
      <c r="AE1676" s="168" t="str">
        <f t="shared" si="26"/>
        <v/>
      </c>
      <c r="AF1676" s="168">
        <v>0</v>
      </c>
      <c r="AG1676" s="168" t="str" cm="1">
        <f t="array" ref="AG1676">IF(AF1676="","",_xlfn.TEXTSPLIT(AF1676,"-"))</f>
        <v>0</v>
      </c>
      <c r="AH1676" s="168"/>
    </row>
    <row r="1677" spans="26:34" ht="24" customHeight="1">
      <c r="Z1677"/>
      <c r="AA1677"/>
      <c r="AB1677"/>
      <c r="AC1677"/>
      <c r="AD1677"/>
      <c r="AE1677" s="168" t="str">
        <f t="shared" si="26"/>
        <v/>
      </c>
      <c r="AF1677" s="168">
        <v>0</v>
      </c>
      <c r="AG1677" s="168" t="str" cm="1">
        <f t="array" ref="AG1677">IF(AF1677="","",_xlfn.TEXTSPLIT(AF1677,"-"))</f>
        <v>0</v>
      </c>
      <c r="AH1677" s="168"/>
    </row>
    <row r="1678" spans="26:34" ht="24" customHeight="1">
      <c r="Z1678"/>
      <c r="AA1678"/>
      <c r="AB1678"/>
      <c r="AC1678"/>
      <c r="AD1678"/>
      <c r="AE1678" s="168" t="str">
        <f t="shared" si="26"/>
        <v/>
      </c>
      <c r="AF1678" s="168">
        <v>0</v>
      </c>
      <c r="AG1678" s="168" t="str" cm="1">
        <f t="array" ref="AG1678">IF(AF1678="","",_xlfn.TEXTSPLIT(AF1678,"-"))</f>
        <v>0</v>
      </c>
      <c r="AH1678" s="168"/>
    </row>
    <row r="1679" spans="26:34" ht="24" customHeight="1">
      <c r="Z1679"/>
      <c r="AA1679"/>
      <c r="AB1679"/>
      <c r="AC1679"/>
      <c r="AD1679"/>
      <c r="AE1679" s="168" t="str">
        <f t="shared" si="26"/>
        <v/>
      </c>
      <c r="AF1679" s="168">
        <v>0</v>
      </c>
      <c r="AG1679" s="168" t="str" cm="1">
        <f t="array" ref="AG1679">IF(AF1679="","",_xlfn.TEXTSPLIT(AF1679,"-"))</f>
        <v>0</v>
      </c>
      <c r="AH1679" s="168"/>
    </row>
    <row r="1680" spans="26:34" ht="24" customHeight="1">
      <c r="Z1680"/>
      <c r="AA1680"/>
      <c r="AB1680"/>
      <c r="AC1680"/>
      <c r="AD1680"/>
      <c r="AE1680" s="168" t="str">
        <f t="shared" si="26"/>
        <v/>
      </c>
      <c r="AF1680" s="168">
        <v>0</v>
      </c>
      <c r="AG1680" s="168" t="str" cm="1">
        <f t="array" ref="AG1680">IF(AF1680="","",_xlfn.TEXTSPLIT(AF1680,"-"))</f>
        <v>0</v>
      </c>
      <c r="AH1680" s="168"/>
    </row>
    <row r="1681" spans="26:34" ht="24" customHeight="1">
      <c r="Z1681"/>
      <c r="AA1681"/>
      <c r="AB1681"/>
      <c r="AC1681"/>
      <c r="AD1681"/>
      <c r="AE1681" s="168" t="str">
        <f t="shared" si="26"/>
        <v/>
      </c>
      <c r="AF1681" s="168">
        <v>0</v>
      </c>
      <c r="AG1681" s="168" t="str" cm="1">
        <f t="array" ref="AG1681">IF(AF1681="","",_xlfn.TEXTSPLIT(AF1681,"-"))</f>
        <v>0</v>
      </c>
      <c r="AH1681" s="168"/>
    </row>
    <row r="1682" spans="26:34" ht="24" customHeight="1">
      <c r="Z1682"/>
      <c r="AA1682"/>
      <c r="AB1682"/>
      <c r="AC1682"/>
      <c r="AD1682"/>
      <c r="AE1682" s="168" t="str">
        <f t="shared" si="26"/>
        <v/>
      </c>
      <c r="AF1682" s="168">
        <v>0</v>
      </c>
      <c r="AG1682" s="168" t="str" cm="1">
        <f t="array" ref="AG1682">IF(AF1682="","",_xlfn.TEXTSPLIT(AF1682,"-"))</f>
        <v>0</v>
      </c>
      <c r="AH1682" s="168"/>
    </row>
    <row r="1683" spans="26:34" ht="24" customHeight="1">
      <c r="Z1683"/>
      <c r="AA1683"/>
      <c r="AB1683"/>
      <c r="AC1683"/>
      <c r="AD1683"/>
      <c r="AE1683" s="168" t="str">
        <f t="shared" si="26"/>
        <v/>
      </c>
      <c r="AF1683" s="168">
        <v>0</v>
      </c>
      <c r="AG1683" s="168" t="str" cm="1">
        <f t="array" ref="AG1683">IF(AF1683="","",_xlfn.TEXTSPLIT(AF1683,"-"))</f>
        <v>0</v>
      </c>
      <c r="AH1683" s="168"/>
    </row>
    <row r="1684" spans="26:34" ht="24" customHeight="1">
      <c r="Z1684"/>
      <c r="AA1684"/>
      <c r="AB1684"/>
      <c r="AC1684"/>
      <c r="AD1684"/>
      <c r="AE1684" s="168" t="str">
        <f t="shared" si="26"/>
        <v/>
      </c>
      <c r="AF1684" s="168">
        <v>0</v>
      </c>
      <c r="AG1684" s="168" t="str" cm="1">
        <f t="array" ref="AG1684">IF(AF1684="","",_xlfn.TEXTSPLIT(AF1684,"-"))</f>
        <v>0</v>
      </c>
      <c r="AH1684" s="168"/>
    </row>
    <row r="1685" spans="26:34" ht="24" customHeight="1">
      <c r="Z1685"/>
      <c r="AA1685"/>
      <c r="AB1685"/>
      <c r="AC1685"/>
      <c r="AD1685"/>
      <c r="AE1685" s="168" t="str">
        <f t="shared" si="26"/>
        <v/>
      </c>
      <c r="AF1685" s="168">
        <v>0</v>
      </c>
      <c r="AG1685" s="168" t="str" cm="1">
        <f t="array" ref="AG1685">IF(AF1685="","",_xlfn.TEXTSPLIT(AF1685,"-"))</f>
        <v>0</v>
      </c>
      <c r="AH1685" s="168"/>
    </row>
    <row r="1686" spans="26:34" ht="24" customHeight="1">
      <c r="Z1686"/>
      <c r="AA1686"/>
      <c r="AB1686"/>
      <c r="AC1686"/>
      <c r="AD1686"/>
      <c r="AE1686" s="168" t="str">
        <f t="shared" si="26"/>
        <v/>
      </c>
      <c r="AF1686" s="168">
        <v>0</v>
      </c>
      <c r="AG1686" s="168" t="str" cm="1">
        <f t="array" ref="AG1686">IF(AF1686="","",_xlfn.TEXTSPLIT(AF1686,"-"))</f>
        <v>0</v>
      </c>
      <c r="AH1686" s="168"/>
    </row>
    <row r="1687" spans="26:34" ht="24" customHeight="1">
      <c r="Z1687"/>
      <c r="AA1687"/>
      <c r="AB1687"/>
      <c r="AC1687"/>
      <c r="AD1687"/>
      <c r="AE1687" s="168" t="str">
        <f t="shared" si="26"/>
        <v/>
      </c>
      <c r="AF1687" s="168">
        <v>0</v>
      </c>
      <c r="AG1687" s="168" t="str" cm="1">
        <f t="array" ref="AG1687">IF(AF1687="","",_xlfn.TEXTSPLIT(AF1687,"-"))</f>
        <v>0</v>
      </c>
      <c r="AH1687" s="168"/>
    </row>
    <row r="1688" spans="26:34" ht="24" customHeight="1">
      <c r="Z1688"/>
      <c r="AA1688"/>
      <c r="AB1688"/>
      <c r="AC1688"/>
      <c r="AD1688"/>
      <c r="AE1688" s="168" t="str">
        <f t="shared" si="26"/>
        <v/>
      </c>
      <c r="AF1688" s="168">
        <v>0</v>
      </c>
      <c r="AG1688" s="168" t="str" cm="1">
        <f t="array" ref="AG1688">IF(AF1688="","",_xlfn.TEXTSPLIT(AF1688,"-"))</f>
        <v>0</v>
      </c>
      <c r="AH1688" s="168"/>
    </row>
    <row r="1689" spans="26:34" ht="24" customHeight="1">
      <c r="Z1689"/>
      <c r="AA1689"/>
      <c r="AB1689"/>
      <c r="AC1689"/>
      <c r="AD1689"/>
      <c r="AE1689" s="168" t="str">
        <f t="shared" si="26"/>
        <v/>
      </c>
      <c r="AF1689" s="168">
        <v>0</v>
      </c>
      <c r="AG1689" s="168" t="str" cm="1">
        <f t="array" ref="AG1689">IF(AF1689="","",_xlfn.TEXTSPLIT(AF1689,"-"))</f>
        <v>0</v>
      </c>
      <c r="AH1689" s="168"/>
    </row>
    <row r="1690" spans="26:34" ht="24" customHeight="1">
      <c r="Z1690"/>
      <c r="AA1690"/>
      <c r="AB1690"/>
      <c r="AC1690"/>
      <c r="AD1690"/>
      <c r="AE1690" s="168" t="str">
        <f t="shared" si="26"/>
        <v/>
      </c>
      <c r="AF1690" s="168">
        <v>0</v>
      </c>
      <c r="AG1690" s="168" t="str" cm="1">
        <f t="array" ref="AG1690">IF(AF1690="","",_xlfn.TEXTSPLIT(AF1690,"-"))</f>
        <v>0</v>
      </c>
      <c r="AH1690" s="168"/>
    </row>
    <row r="1691" spans="26:34" ht="24" customHeight="1">
      <c r="Z1691"/>
      <c r="AA1691"/>
      <c r="AB1691"/>
      <c r="AC1691"/>
      <c r="AD1691"/>
      <c r="AE1691" s="168" t="str">
        <f t="shared" si="26"/>
        <v/>
      </c>
      <c r="AF1691" s="168">
        <v>0</v>
      </c>
      <c r="AG1691" s="168" t="str" cm="1">
        <f t="array" ref="AG1691">IF(AF1691="","",_xlfn.TEXTSPLIT(AF1691,"-"))</f>
        <v>0</v>
      </c>
      <c r="AH1691" s="168"/>
    </row>
    <row r="1692" spans="26:34" ht="24" customHeight="1">
      <c r="Z1692"/>
      <c r="AA1692"/>
      <c r="AB1692"/>
      <c r="AC1692"/>
      <c r="AD1692"/>
      <c r="AE1692" s="168" t="str">
        <f t="shared" si="26"/>
        <v/>
      </c>
      <c r="AF1692" s="168">
        <v>0</v>
      </c>
      <c r="AG1692" s="168" t="str" cm="1">
        <f t="array" ref="AG1692">IF(AF1692="","",_xlfn.TEXTSPLIT(AF1692,"-"))</f>
        <v>0</v>
      </c>
      <c r="AH1692" s="168"/>
    </row>
    <row r="1693" spans="26:34" ht="24" customHeight="1">
      <c r="Z1693"/>
      <c r="AA1693"/>
      <c r="AB1693"/>
      <c r="AC1693"/>
      <c r="AD1693"/>
      <c r="AE1693" s="168" t="str">
        <f t="shared" si="26"/>
        <v/>
      </c>
      <c r="AF1693" s="168">
        <v>0</v>
      </c>
      <c r="AG1693" s="168" t="str" cm="1">
        <f t="array" ref="AG1693">IF(AF1693="","",_xlfn.TEXTSPLIT(AF1693,"-"))</f>
        <v>0</v>
      </c>
      <c r="AH1693" s="168"/>
    </row>
    <row r="1694" spans="26:34" ht="24" customHeight="1">
      <c r="Z1694"/>
      <c r="AA1694"/>
      <c r="AB1694"/>
      <c r="AC1694"/>
      <c r="AD1694"/>
      <c r="AE1694" s="168" t="str">
        <f t="shared" si="26"/>
        <v/>
      </c>
      <c r="AF1694" s="168">
        <v>0</v>
      </c>
      <c r="AG1694" s="168" t="str" cm="1">
        <f t="array" ref="AG1694">IF(AF1694="","",_xlfn.TEXTSPLIT(AF1694,"-"))</f>
        <v>0</v>
      </c>
      <c r="AH1694" s="168"/>
    </row>
    <row r="1695" spans="26:34" ht="24" customHeight="1">
      <c r="Z1695"/>
      <c r="AA1695"/>
      <c r="AB1695"/>
      <c r="AC1695"/>
      <c r="AD1695"/>
      <c r="AE1695" s="168" t="str">
        <f t="shared" si="26"/>
        <v/>
      </c>
      <c r="AF1695" s="168">
        <v>0</v>
      </c>
      <c r="AG1695" s="168" t="str" cm="1">
        <f t="array" ref="AG1695">IF(AF1695="","",_xlfn.TEXTSPLIT(AF1695,"-"))</f>
        <v>0</v>
      </c>
      <c r="AH1695" s="168"/>
    </row>
    <row r="1696" spans="26:34" ht="24" customHeight="1">
      <c r="Z1696"/>
      <c r="AA1696"/>
      <c r="AB1696"/>
      <c r="AC1696"/>
      <c r="AD1696"/>
      <c r="AE1696" s="168" t="str">
        <f t="shared" si="26"/>
        <v/>
      </c>
      <c r="AF1696" s="168">
        <v>0</v>
      </c>
      <c r="AG1696" s="168" t="str" cm="1">
        <f t="array" ref="AG1696">IF(AF1696="","",_xlfn.TEXTSPLIT(AF1696,"-"))</f>
        <v>0</v>
      </c>
      <c r="AH1696" s="168"/>
    </row>
    <row r="1697" spans="26:34" ht="24" customHeight="1">
      <c r="Z1697"/>
      <c r="AA1697"/>
      <c r="AB1697"/>
      <c r="AC1697"/>
      <c r="AD1697"/>
      <c r="AE1697" s="168" t="str">
        <f t="shared" si="26"/>
        <v/>
      </c>
      <c r="AF1697" s="168">
        <v>0</v>
      </c>
      <c r="AG1697" s="168" t="str" cm="1">
        <f t="array" ref="AG1697">IF(AF1697="","",_xlfn.TEXTSPLIT(AF1697,"-"))</f>
        <v>0</v>
      </c>
      <c r="AH1697" s="168"/>
    </row>
    <row r="1698" spans="26:34" ht="24" customHeight="1">
      <c r="Z1698"/>
      <c r="AA1698"/>
      <c r="AB1698"/>
      <c r="AC1698"/>
      <c r="AD1698"/>
      <c r="AE1698" s="168" t="str">
        <f t="shared" si="26"/>
        <v/>
      </c>
      <c r="AF1698" s="168">
        <v>0</v>
      </c>
      <c r="AG1698" s="168" t="str" cm="1">
        <f t="array" ref="AG1698">IF(AF1698="","",_xlfn.TEXTSPLIT(AF1698,"-"))</f>
        <v>0</v>
      </c>
      <c r="AH1698" s="168"/>
    </row>
    <row r="1699" spans="26:34" ht="24" customHeight="1">
      <c r="Z1699"/>
      <c r="AA1699"/>
      <c r="AB1699"/>
      <c r="AC1699"/>
      <c r="AD1699"/>
      <c r="AE1699" s="168" t="str">
        <f t="shared" si="26"/>
        <v/>
      </c>
      <c r="AF1699" s="168">
        <v>0</v>
      </c>
      <c r="AG1699" s="168" t="str" cm="1">
        <f t="array" ref="AG1699">IF(AF1699="","",_xlfn.TEXTSPLIT(AF1699,"-"))</f>
        <v>0</v>
      </c>
      <c r="AH1699" s="168"/>
    </row>
    <row r="1700" spans="26:34" ht="24" customHeight="1">
      <c r="Z1700"/>
      <c r="AA1700"/>
      <c r="AB1700"/>
      <c r="AC1700"/>
      <c r="AD1700"/>
      <c r="AE1700" s="168" t="str">
        <f t="shared" si="26"/>
        <v/>
      </c>
      <c r="AF1700" s="168">
        <v>0</v>
      </c>
      <c r="AG1700" s="168" t="str" cm="1">
        <f t="array" ref="AG1700">IF(AF1700="","",_xlfn.TEXTSPLIT(AF1700,"-"))</f>
        <v>0</v>
      </c>
      <c r="AH1700" s="168"/>
    </row>
    <row r="1701" spans="26:34" ht="24" customHeight="1">
      <c r="Z1701"/>
      <c r="AA1701"/>
      <c r="AB1701"/>
      <c r="AC1701"/>
      <c r="AD1701"/>
      <c r="AE1701" s="168" t="str">
        <f t="shared" si="26"/>
        <v/>
      </c>
      <c r="AF1701" s="168">
        <v>0</v>
      </c>
      <c r="AG1701" s="168" t="str" cm="1">
        <f t="array" ref="AG1701">IF(AF1701="","",_xlfn.TEXTSPLIT(AF1701,"-"))</f>
        <v>0</v>
      </c>
      <c r="AH1701" s="168"/>
    </row>
    <row r="1702" spans="26:34" ht="24" customHeight="1">
      <c r="Z1702"/>
      <c r="AA1702"/>
      <c r="AB1702"/>
      <c r="AC1702"/>
      <c r="AD1702"/>
      <c r="AE1702" s="168" t="str">
        <f t="shared" si="26"/>
        <v/>
      </c>
      <c r="AF1702" s="168">
        <v>0</v>
      </c>
      <c r="AG1702" s="168" t="str" cm="1">
        <f t="array" ref="AG1702">IF(AF1702="","",_xlfn.TEXTSPLIT(AF1702,"-"))</f>
        <v>0</v>
      </c>
      <c r="AH1702" s="168"/>
    </row>
    <row r="1703" spans="26:34" ht="24" customHeight="1">
      <c r="Z1703"/>
      <c r="AA1703"/>
      <c r="AB1703"/>
      <c r="AC1703"/>
      <c r="AD1703"/>
      <c r="AE1703" s="168" t="str">
        <f t="shared" si="26"/>
        <v/>
      </c>
      <c r="AF1703" s="168">
        <v>0</v>
      </c>
      <c r="AG1703" s="168" t="str" cm="1">
        <f t="array" ref="AG1703">IF(AF1703="","",_xlfn.TEXTSPLIT(AF1703,"-"))</f>
        <v>0</v>
      </c>
      <c r="AH1703" s="168"/>
    </row>
    <row r="1704" spans="26:34" ht="24" customHeight="1">
      <c r="Z1704"/>
      <c r="AA1704"/>
      <c r="AB1704"/>
      <c r="AC1704"/>
      <c r="AD1704"/>
      <c r="AE1704" s="168" t="str">
        <f t="shared" si="26"/>
        <v/>
      </c>
      <c r="AF1704" s="168">
        <v>0</v>
      </c>
      <c r="AG1704" s="168" t="str" cm="1">
        <f t="array" ref="AG1704">IF(AF1704="","",_xlfn.TEXTSPLIT(AF1704,"-"))</f>
        <v>0</v>
      </c>
      <c r="AH1704" s="168"/>
    </row>
    <row r="1705" spans="26:34" ht="24" customHeight="1">
      <c r="Z1705"/>
      <c r="AA1705"/>
      <c r="AB1705"/>
      <c r="AC1705"/>
      <c r="AD1705"/>
      <c r="AE1705" s="168" t="str">
        <f t="shared" si="26"/>
        <v/>
      </c>
      <c r="AF1705" s="168">
        <v>0</v>
      </c>
      <c r="AG1705" s="168" t="str" cm="1">
        <f t="array" ref="AG1705">IF(AF1705="","",_xlfn.TEXTSPLIT(AF1705,"-"))</f>
        <v>0</v>
      </c>
      <c r="AH1705" s="168"/>
    </row>
    <row r="1706" spans="26:34" ht="24" customHeight="1">
      <c r="Z1706"/>
      <c r="AA1706"/>
      <c r="AB1706"/>
      <c r="AC1706"/>
      <c r="AD1706"/>
      <c r="AE1706" s="168" t="str">
        <f t="shared" si="26"/>
        <v/>
      </c>
      <c r="AF1706" s="168">
        <v>0</v>
      </c>
      <c r="AG1706" s="168" t="str" cm="1">
        <f t="array" ref="AG1706">IF(AF1706="","",_xlfn.TEXTSPLIT(AF1706,"-"))</f>
        <v>0</v>
      </c>
      <c r="AH1706" s="168"/>
    </row>
    <row r="1707" spans="26:34" ht="24" customHeight="1">
      <c r="Z1707"/>
      <c r="AA1707"/>
      <c r="AB1707"/>
      <c r="AC1707"/>
      <c r="AD1707"/>
      <c r="AE1707" s="168" t="str">
        <f t="shared" si="26"/>
        <v/>
      </c>
      <c r="AF1707" s="168">
        <v>0</v>
      </c>
      <c r="AG1707" s="168" t="str" cm="1">
        <f t="array" ref="AG1707">IF(AF1707="","",_xlfn.TEXTSPLIT(AF1707,"-"))</f>
        <v>0</v>
      </c>
      <c r="AH1707" s="168"/>
    </row>
    <row r="1708" spans="26:34" ht="24" customHeight="1">
      <c r="Z1708"/>
      <c r="AA1708"/>
      <c r="AB1708"/>
      <c r="AC1708"/>
      <c r="AD1708"/>
      <c r="AE1708" s="168" t="str">
        <f t="shared" si="26"/>
        <v/>
      </c>
      <c r="AF1708" s="168">
        <v>0</v>
      </c>
      <c r="AG1708" s="168" t="str" cm="1">
        <f t="array" ref="AG1708">IF(AF1708="","",_xlfn.TEXTSPLIT(AF1708,"-"))</f>
        <v>0</v>
      </c>
      <c r="AH1708" s="168"/>
    </row>
    <row r="1709" spans="26:34" ht="24" customHeight="1">
      <c r="Z1709"/>
      <c r="AA1709"/>
      <c r="AB1709"/>
      <c r="AC1709"/>
      <c r="AD1709"/>
      <c r="AE1709" s="168" t="str">
        <f t="shared" si="26"/>
        <v/>
      </c>
      <c r="AF1709" s="168">
        <v>0</v>
      </c>
      <c r="AG1709" s="168" t="str" cm="1">
        <f t="array" ref="AG1709">IF(AF1709="","",_xlfn.TEXTSPLIT(AF1709,"-"))</f>
        <v>0</v>
      </c>
      <c r="AH1709" s="168"/>
    </row>
    <row r="1710" spans="26:34" ht="24" customHeight="1">
      <c r="Z1710"/>
      <c r="AA1710"/>
      <c r="AB1710"/>
      <c r="AC1710"/>
      <c r="AD1710"/>
      <c r="AE1710" s="168" t="str">
        <f t="shared" si="26"/>
        <v/>
      </c>
      <c r="AF1710" s="168">
        <v>0</v>
      </c>
      <c r="AG1710" s="168" t="str" cm="1">
        <f t="array" ref="AG1710">IF(AF1710="","",_xlfn.TEXTSPLIT(AF1710,"-"))</f>
        <v>0</v>
      </c>
      <c r="AH1710" s="168"/>
    </row>
    <row r="1711" spans="26:34" ht="24" customHeight="1">
      <c r="Z1711"/>
      <c r="AA1711"/>
      <c r="AB1711"/>
      <c r="AC1711"/>
      <c r="AD1711"/>
      <c r="AE1711" s="168" t="str">
        <f t="shared" si="26"/>
        <v/>
      </c>
      <c r="AF1711" s="168">
        <v>0</v>
      </c>
      <c r="AG1711" s="168" t="str" cm="1">
        <f t="array" ref="AG1711">IF(AF1711="","",_xlfn.TEXTSPLIT(AF1711,"-"))</f>
        <v>0</v>
      </c>
      <c r="AH1711" s="168"/>
    </row>
    <row r="1712" spans="26:34" ht="24" customHeight="1">
      <c r="Z1712"/>
      <c r="AA1712"/>
      <c r="AB1712"/>
      <c r="AC1712"/>
      <c r="AD1712"/>
      <c r="AE1712" s="168" t="str">
        <f t="shared" si="26"/>
        <v/>
      </c>
      <c r="AF1712" s="168">
        <v>0</v>
      </c>
      <c r="AG1712" s="168" t="str" cm="1">
        <f t="array" ref="AG1712">IF(AF1712="","",_xlfn.TEXTSPLIT(AF1712,"-"))</f>
        <v>0</v>
      </c>
      <c r="AH1712" s="168"/>
    </row>
    <row r="1713" spans="26:34" ht="24" customHeight="1">
      <c r="Z1713"/>
      <c r="AA1713"/>
      <c r="AB1713"/>
      <c r="AC1713"/>
      <c r="AD1713"/>
      <c r="AE1713" s="168" t="str">
        <f t="shared" si="26"/>
        <v/>
      </c>
      <c r="AF1713" s="168">
        <v>0</v>
      </c>
      <c r="AG1713" s="168" t="str" cm="1">
        <f t="array" ref="AG1713">IF(AF1713="","",_xlfn.TEXTSPLIT(AF1713,"-"))</f>
        <v>0</v>
      </c>
      <c r="AH1713" s="168"/>
    </row>
    <row r="1714" spans="26:34" ht="24" customHeight="1">
      <c r="Z1714"/>
      <c r="AA1714"/>
      <c r="AB1714"/>
      <c r="AC1714"/>
      <c r="AD1714"/>
      <c r="AE1714" s="168" t="str">
        <f t="shared" si="26"/>
        <v/>
      </c>
      <c r="AF1714" s="168">
        <v>0</v>
      </c>
      <c r="AG1714" s="168" t="str" cm="1">
        <f t="array" ref="AG1714">IF(AF1714="","",_xlfn.TEXTSPLIT(AF1714,"-"))</f>
        <v>0</v>
      </c>
      <c r="AH1714" s="168"/>
    </row>
    <row r="1715" spans="26:34" ht="24" customHeight="1">
      <c r="Z1715"/>
      <c r="AA1715"/>
      <c r="AB1715"/>
      <c r="AC1715"/>
      <c r="AD1715"/>
      <c r="AE1715" s="168" t="str">
        <f t="shared" si="26"/>
        <v/>
      </c>
      <c r="AF1715" s="168">
        <v>0</v>
      </c>
      <c r="AG1715" s="168" t="str" cm="1">
        <f t="array" ref="AG1715">IF(AF1715="","",_xlfn.TEXTSPLIT(AF1715,"-"))</f>
        <v>0</v>
      </c>
      <c r="AH1715" s="168"/>
    </row>
    <row r="1716" spans="26:34" ht="24" customHeight="1">
      <c r="Z1716"/>
      <c r="AA1716"/>
      <c r="AB1716"/>
      <c r="AC1716"/>
      <c r="AD1716"/>
      <c r="AE1716" s="168" t="str">
        <f t="shared" si="26"/>
        <v/>
      </c>
      <c r="AF1716" s="168">
        <v>0</v>
      </c>
      <c r="AG1716" s="168" t="str" cm="1">
        <f t="array" ref="AG1716">IF(AF1716="","",_xlfn.TEXTSPLIT(AF1716,"-"))</f>
        <v>0</v>
      </c>
      <c r="AH1716" s="168"/>
    </row>
    <row r="1717" spans="26:34" ht="24" customHeight="1">
      <c r="Z1717"/>
      <c r="AA1717"/>
      <c r="AB1717"/>
      <c r="AC1717"/>
      <c r="AD1717"/>
      <c r="AE1717" s="168" t="str">
        <f t="shared" si="26"/>
        <v/>
      </c>
      <c r="AF1717" s="168">
        <v>0</v>
      </c>
      <c r="AG1717" s="168" t="str" cm="1">
        <f t="array" ref="AG1717">IF(AF1717="","",_xlfn.TEXTSPLIT(AF1717,"-"))</f>
        <v>0</v>
      </c>
      <c r="AH1717" s="168"/>
    </row>
    <row r="1718" spans="26:34" ht="24" customHeight="1">
      <c r="Z1718"/>
      <c r="AA1718"/>
      <c r="AB1718"/>
      <c r="AC1718"/>
      <c r="AD1718"/>
      <c r="AE1718" s="168" t="str">
        <f t="shared" si="26"/>
        <v/>
      </c>
      <c r="AF1718" s="168">
        <v>0</v>
      </c>
      <c r="AG1718" s="168" t="str" cm="1">
        <f t="array" ref="AG1718">IF(AF1718="","",_xlfn.TEXTSPLIT(AF1718,"-"))</f>
        <v>0</v>
      </c>
      <c r="AH1718" s="168"/>
    </row>
    <row r="1719" spans="26:34" ht="24" customHeight="1">
      <c r="Z1719"/>
      <c r="AA1719"/>
      <c r="AB1719"/>
      <c r="AC1719"/>
      <c r="AD1719"/>
      <c r="AE1719" s="168" t="str">
        <f t="shared" si="26"/>
        <v/>
      </c>
      <c r="AF1719" s="168">
        <v>0</v>
      </c>
      <c r="AG1719" s="168" t="str" cm="1">
        <f t="array" ref="AG1719">IF(AF1719="","",_xlfn.TEXTSPLIT(AF1719,"-"))</f>
        <v>0</v>
      </c>
      <c r="AH1719" s="168"/>
    </row>
    <row r="1720" spans="26:34" ht="24" customHeight="1">
      <c r="Z1720"/>
      <c r="AA1720"/>
      <c r="AB1720"/>
      <c r="AC1720"/>
      <c r="AD1720"/>
      <c r="AE1720" s="168" t="str">
        <f t="shared" si="26"/>
        <v/>
      </c>
      <c r="AF1720" s="168">
        <v>0</v>
      </c>
      <c r="AG1720" s="168" t="str" cm="1">
        <f t="array" ref="AG1720">IF(AF1720="","",_xlfn.TEXTSPLIT(AF1720,"-"))</f>
        <v>0</v>
      </c>
      <c r="AH1720" s="168"/>
    </row>
    <row r="1721" spans="26:34" ht="24" customHeight="1">
      <c r="Z1721"/>
      <c r="AA1721"/>
      <c r="AB1721"/>
      <c r="AC1721"/>
      <c r="AD1721"/>
      <c r="AE1721" s="168" t="str">
        <f t="shared" si="26"/>
        <v/>
      </c>
      <c r="AF1721" s="168">
        <v>0</v>
      </c>
      <c r="AG1721" s="168" t="str" cm="1">
        <f t="array" ref="AG1721">IF(AF1721="","",_xlfn.TEXTSPLIT(AF1721,"-"))</f>
        <v>0</v>
      </c>
      <c r="AH1721" s="168"/>
    </row>
    <row r="1722" spans="26:34" ht="24" customHeight="1">
      <c r="Z1722"/>
      <c r="AA1722"/>
      <c r="AB1722"/>
      <c r="AC1722"/>
      <c r="AD1722"/>
      <c r="AE1722" s="168" t="str">
        <f t="shared" si="26"/>
        <v/>
      </c>
      <c r="AF1722" s="168">
        <v>0</v>
      </c>
      <c r="AG1722" s="168" t="str" cm="1">
        <f t="array" ref="AG1722">IF(AF1722="","",_xlfn.TEXTSPLIT(AF1722,"-"))</f>
        <v>0</v>
      </c>
      <c r="AH1722" s="168"/>
    </row>
    <row r="1723" spans="26:34" ht="24" customHeight="1">
      <c r="Z1723"/>
      <c r="AA1723"/>
      <c r="AB1723"/>
      <c r="AC1723"/>
      <c r="AD1723"/>
      <c r="AE1723" s="168" t="str">
        <f t="shared" si="26"/>
        <v/>
      </c>
      <c r="AF1723" s="168">
        <v>0</v>
      </c>
      <c r="AG1723" s="168" t="str" cm="1">
        <f t="array" ref="AG1723">IF(AF1723="","",_xlfn.TEXTSPLIT(AF1723,"-"))</f>
        <v>0</v>
      </c>
      <c r="AH1723" s="168"/>
    </row>
    <row r="1724" spans="26:34" ht="24" customHeight="1">
      <c r="Z1724"/>
      <c r="AA1724"/>
      <c r="AB1724"/>
      <c r="AC1724"/>
      <c r="AD1724"/>
      <c r="AE1724" s="168" t="str">
        <f t="shared" si="26"/>
        <v/>
      </c>
      <c r="AF1724" s="168">
        <v>0</v>
      </c>
      <c r="AG1724" s="168" t="str" cm="1">
        <f t="array" ref="AG1724">IF(AF1724="","",_xlfn.TEXTSPLIT(AF1724,"-"))</f>
        <v>0</v>
      </c>
      <c r="AH1724" s="168"/>
    </row>
    <row r="1725" spans="26:34" ht="24" customHeight="1">
      <c r="Z1725"/>
      <c r="AA1725"/>
      <c r="AB1725"/>
      <c r="AC1725"/>
      <c r="AD1725"/>
      <c r="AE1725" s="168" t="str">
        <f t="shared" si="26"/>
        <v/>
      </c>
      <c r="AF1725" s="168">
        <v>0</v>
      </c>
      <c r="AG1725" s="168" t="str" cm="1">
        <f t="array" ref="AG1725">IF(AF1725="","",_xlfn.TEXTSPLIT(AF1725,"-"))</f>
        <v>0</v>
      </c>
      <c r="AH1725" s="168"/>
    </row>
    <row r="1726" spans="26:34" ht="24" customHeight="1">
      <c r="Z1726"/>
      <c r="AA1726"/>
      <c r="AB1726"/>
      <c r="AC1726"/>
      <c r="AD1726"/>
      <c r="AE1726" s="168" t="str">
        <f t="shared" si="26"/>
        <v/>
      </c>
      <c r="AF1726" s="168">
        <v>0</v>
      </c>
      <c r="AG1726" s="168" t="str" cm="1">
        <f t="array" ref="AG1726">IF(AF1726="","",_xlfn.TEXTSPLIT(AF1726,"-"))</f>
        <v>0</v>
      </c>
      <c r="AH1726" s="168"/>
    </row>
    <row r="1727" spans="26:34" ht="24" customHeight="1">
      <c r="Z1727"/>
      <c r="AA1727"/>
      <c r="AB1727"/>
      <c r="AC1727"/>
      <c r="AD1727"/>
      <c r="AE1727" s="168" t="str">
        <f t="shared" si="26"/>
        <v/>
      </c>
      <c r="AF1727" s="168">
        <v>0</v>
      </c>
      <c r="AG1727" s="168" t="str" cm="1">
        <f t="array" ref="AG1727">IF(AF1727="","",_xlfn.TEXTSPLIT(AF1727,"-"))</f>
        <v>0</v>
      </c>
      <c r="AH1727" s="168"/>
    </row>
    <row r="1728" spans="26:34" ht="24" customHeight="1">
      <c r="Z1728"/>
      <c r="AA1728"/>
      <c r="AB1728"/>
      <c r="AC1728"/>
      <c r="AD1728"/>
      <c r="AE1728" s="168" t="str">
        <f t="shared" si="26"/>
        <v/>
      </c>
      <c r="AF1728" s="168">
        <v>0</v>
      </c>
      <c r="AG1728" s="168" t="str" cm="1">
        <f t="array" ref="AG1728">IF(AF1728="","",_xlfn.TEXTSPLIT(AF1728,"-"))</f>
        <v>0</v>
      </c>
      <c r="AH1728" s="168"/>
    </row>
    <row r="1729" spans="26:34" ht="24" customHeight="1">
      <c r="Z1729"/>
      <c r="AA1729"/>
      <c r="AB1729"/>
      <c r="AC1729"/>
      <c r="AD1729"/>
      <c r="AE1729" s="168" t="str">
        <f t="shared" si="26"/>
        <v/>
      </c>
      <c r="AF1729" s="168">
        <v>0</v>
      </c>
      <c r="AG1729" s="168" t="str" cm="1">
        <f t="array" ref="AG1729">IF(AF1729="","",_xlfn.TEXTSPLIT(AF1729,"-"))</f>
        <v>0</v>
      </c>
      <c r="AH1729" s="168"/>
    </row>
    <row r="1730" spans="26:34" ht="24" customHeight="1">
      <c r="Z1730"/>
      <c r="AA1730"/>
      <c r="AB1730"/>
      <c r="AC1730"/>
      <c r="AD1730"/>
      <c r="AE1730" s="168" t="str">
        <f t="shared" si="26"/>
        <v/>
      </c>
      <c r="AF1730" s="168">
        <v>0</v>
      </c>
      <c r="AG1730" s="168" t="str" cm="1">
        <f t="array" ref="AG1730">IF(AF1730="","",_xlfn.TEXTSPLIT(AF1730,"-"))</f>
        <v>0</v>
      </c>
      <c r="AH1730" s="168"/>
    </row>
    <row r="1731" spans="26:34" ht="24" customHeight="1">
      <c r="Z1731"/>
      <c r="AA1731"/>
      <c r="AB1731"/>
      <c r="AC1731"/>
      <c r="AD1731"/>
      <c r="AE1731" s="168" t="str">
        <f t="shared" si="26"/>
        <v/>
      </c>
      <c r="AF1731" s="168">
        <v>0</v>
      </c>
      <c r="AG1731" s="168" t="str" cm="1">
        <f t="array" ref="AG1731">IF(AF1731="","",_xlfn.TEXTSPLIT(AF1731,"-"))</f>
        <v>0</v>
      </c>
      <c r="AH1731" s="168"/>
    </row>
    <row r="1732" spans="26:34" ht="24" customHeight="1">
      <c r="Z1732"/>
      <c r="AA1732"/>
      <c r="AB1732"/>
      <c r="AC1732"/>
      <c r="AD1732"/>
      <c r="AE1732" s="168" t="str">
        <f t="shared" si="26"/>
        <v/>
      </c>
      <c r="AF1732" s="168">
        <v>0</v>
      </c>
      <c r="AG1732" s="168" t="str" cm="1">
        <f t="array" ref="AG1732">IF(AF1732="","",_xlfn.TEXTSPLIT(AF1732,"-"))</f>
        <v>0</v>
      </c>
      <c r="AH1732" s="168"/>
    </row>
    <row r="1733" spans="26:34" ht="24" customHeight="1">
      <c r="Z1733"/>
      <c r="AA1733"/>
      <c r="AB1733"/>
      <c r="AC1733"/>
      <c r="AD1733"/>
      <c r="AE1733" s="168" t="str">
        <f t="shared" ref="AE1733:AE1796" si="27">IF(AH1733="","",AH1733*1)</f>
        <v/>
      </c>
      <c r="AF1733" s="168">
        <v>0</v>
      </c>
      <c r="AG1733" s="168" t="str" cm="1">
        <f t="array" ref="AG1733">IF(AF1733="","",_xlfn.TEXTSPLIT(AF1733,"-"))</f>
        <v>0</v>
      </c>
      <c r="AH1733" s="168"/>
    </row>
    <row r="1734" spans="26:34" ht="24" customHeight="1">
      <c r="Z1734"/>
      <c r="AA1734"/>
      <c r="AB1734"/>
      <c r="AC1734"/>
      <c r="AD1734"/>
      <c r="AE1734" s="168" t="str">
        <f t="shared" si="27"/>
        <v/>
      </c>
      <c r="AF1734" s="168">
        <v>0</v>
      </c>
      <c r="AG1734" s="168" t="str" cm="1">
        <f t="array" ref="AG1734">IF(AF1734="","",_xlfn.TEXTSPLIT(AF1734,"-"))</f>
        <v>0</v>
      </c>
      <c r="AH1734" s="168"/>
    </row>
    <row r="1735" spans="26:34" ht="24" customHeight="1">
      <c r="Z1735"/>
      <c r="AA1735"/>
      <c r="AB1735"/>
      <c r="AC1735"/>
      <c r="AD1735"/>
      <c r="AE1735" s="168" t="str">
        <f t="shared" si="27"/>
        <v/>
      </c>
      <c r="AF1735" s="168">
        <v>0</v>
      </c>
      <c r="AG1735" s="168" t="str" cm="1">
        <f t="array" ref="AG1735">IF(AF1735="","",_xlfn.TEXTSPLIT(AF1735,"-"))</f>
        <v>0</v>
      </c>
      <c r="AH1735" s="168"/>
    </row>
    <row r="1736" spans="26:34" ht="24" customHeight="1">
      <c r="Z1736"/>
      <c r="AA1736"/>
      <c r="AB1736"/>
      <c r="AC1736"/>
      <c r="AD1736"/>
      <c r="AE1736" s="168" t="str">
        <f t="shared" si="27"/>
        <v/>
      </c>
      <c r="AF1736" s="168">
        <v>0</v>
      </c>
      <c r="AG1736" s="168" t="str" cm="1">
        <f t="array" ref="AG1736">IF(AF1736="","",_xlfn.TEXTSPLIT(AF1736,"-"))</f>
        <v>0</v>
      </c>
      <c r="AH1736" s="168"/>
    </row>
    <row r="1737" spans="26:34" ht="24" customHeight="1">
      <c r="Z1737"/>
      <c r="AA1737"/>
      <c r="AB1737"/>
      <c r="AC1737"/>
      <c r="AD1737"/>
      <c r="AE1737" s="168" t="str">
        <f t="shared" si="27"/>
        <v/>
      </c>
      <c r="AF1737" s="168">
        <v>0</v>
      </c>
      <c r="AG1737" s="168" t="str" cm="1">
        <f t="array" ref="AG1737">IF(AF1737="","",_xlfn.TEXTSPLIT(AF1737,"-"))</f>
        <v>0</v>
      </c>
      <c r="AH1737" s="168"/>
    </row>
    <row r="1738" spans="26:34" ht="24" customHeight="1">
      <c r="Z1738"/>
      <c r="AA1738"/>
      <c r="AB1738"/>
      <c r="AC1738"/>
      <c r="AD1738"/>
      <c r="AE1738" s="168" t="str">
        <f t="shared" si="27"/>
        <v/>
      </c>
      <c r="AF1738" s="168">
        <v>0</v>
      </c>
      <c r="AG1738" s="168" t="str" cm="1">
        <f t="array" ref="AG1738">IF(AF1738="","",_xlfn.TEXTSPLIT(AF1738,"-"))</f>
        <v>0</v>
      </c>
      <c r="AH1738" s="168"/>
    </row>
    <row r="1739" spans="26:34" ht="24" customHeight="1">
      <c r="Z1739"/>
      <c r="AA1739"/>
      <c r="AB1739"/>
      <c r="AC1739"/>
      <c r="AD1739"/>
      <c r="AE1739" s="168" t="str">
        <f t="shared" si="27"/>
        <v/>
      </c>
      <c r="AF1739" s="168">
        <v>0</v>
      </c>
      <c r="AG1739" s="168" t="str" cm="1">
        <f t="array" ref="AG1739">IF(AF1739="","",_xlfn.TEXTSPLIT(AF1739,"-"))</f>
        <v>0</v>
      </c>
      <c r="AH1739" s="168"/>
    </row>
    <row r="1740" spans="26:34" ht="24" customHeight="1">
      <c r="Z1740"/>
      <c r="AA1740"/>
      <c r="AB1740"/>
      <c r="AC1740"/>
      <c r="AD1740"/>
      <c r="AE1740" s="168" t="str">
        <f t="shared" si="27"/>
        <v/>
      </c>
      <c r="AF1740" s="168">
        <v>0</v>
      </c>
      <c r="AG1740" s="168" t="str" cm="1">
        <f t="array" ref="AG1740">IF(AF1740="","",_xlfn.TEXTSPLIT(AF1740,"-"))</f>
        <v>0</v>
      </c>
      <c r="AH1740" s="168"/>
    </row>
    <row r="1741" spans="26:34" ht="24" customHeight="1">
      <c r="Z1741"/>
      <c r="AA1741"/>
      <c r="AB1741"/>
      <c r="AC1741"/>
      <c r="AD1741"/>
      <c r="AE1741" s="168" t="str">
        <f t="shared" si="27"/>
        <v/>
      </c>
      <c r="AF1741" s="168">
        <v>0</v>
      </c>
      <c r="AG1741" s="168" t="str" cm="1">
        <f t="array" ref="AG1741">IF(AF1741="","",_xlfn.TEXTSPLIT(AF1741,"-"))</f>
        <v>0</v>
      </c>
      <c r="AH1741" s="168"/>
    </row>
    <row r="1742" spans="26:34" ht="24" customHeight="1">
      <c r="Z1742"/>
      <c r="AA1742"/>
      <c r="AB1742"/>
      <c r="AC1742"/>
      <c r="AD1742"/>
      <c r="AE1742" s="168" t="str">
        <f t="shared" si="27"/>
        <v/>
      </c>
      <c r="AF1742" s="168">
        <v>0</v>
      </c>
      <c r="AG1742" s="168" t="str" cm="1">
        <f t="array" ref="AG1742">IF(AF1742="","",_xlfn.TEXTSPLIT(AF1742,"-"))</f>
        <v>0</v>
      </c>
      <c r="AH1742" s="168"/>
    </row>
    <row r="1743" spans="26:34" ht="24" customHeight="1">
      <c r="Z1743"/>
      <c r="AA1743"/>
      <c r="AB1743"/>
      <c r="AC1743"/>
      <c r="AD1743"/>
      <c r="AE1743" s="168" t="str">
        <f t="shared" si="27"/>
        <v/>
      </c>
      <c r="AF1743" s="168">
        <v>0</v>
      </c>
      <c r="AG1743" s="168" t="str" cm="1">
        <f t="array" ref="AG1743">IF(AF1743="","",_xlfn.TEXTSPLIT(AF1743,"-"))</f>
        <v>0</v>
      </c>
      <c r="AH1743" s="168"/>
    </row>
    <row r="1744" spans="26:34" ht="24" customHeight="1">
      <c r="Z1744"/>
      <c r="AA1744"/>
      <c r="AB1744"/>
      <c r="AC1744"/>
      <c r="AD1744"/>
      <c r="AE1744" s="168" t="str">
        <f t="shared" si="27"/>
        <v/>
      </c>
      <c r="AF1744" s="168">
        <v>0</v>
      </c>
      <c r="AG1744" s="168" t="str" cm="1">
        <f t="array" ref="AG1744">IF(AF1744="","",_xlfn.TEXTSPLIT(AF1744,"-"))</f>
        <v>0</v>
      </c>
      <c r="AH1744" s="168"/>
    </row>
    <row r="1745" spans="26:34" ht="24" customHeight="1">
      <c r="Z1745"/>
      <c r="AA1745"/>
      <c r="AB1745"/>
      <c r="AC1745"/>
      <c r="AD1745"/>
      <c r="AE1745" s="168" t="str">
        <f t="shared" si="27"/>
        <v/>
      </c>
      <c r="AF1745" s="168">
        <v>0</v>
      </c>
      <c r="AG1745" s="168" t="str" cm="1">
        <f t="array" ref="AG1745">IF(AF1745="","",_xlfn.TEXTSPLIT(AF1745,"-"))</f>
        <v>0</v>
      </c>
      <c r="AH1745" s="168"/>
    </row>
    <row r="1746" spans="26:34" ht="24" customHeight="1">
      <c r="Z1746"/>
      <c r="AA1746"/>
      <c r="AB1746"/>
      <c r="AC1746"/>
      <c r="AD1746"/>
      <c r="AE1746" s="168" t="str">
        <f t="shared" si="27"/>
        <v/>
      </c>
      <c r="AF1746" s="168">
        <v>0</v>
      </c>
      <c r="AG1746" s="168" t="str" cm="1">
        <f t="array" ref="AG1746">IF(AF1746="","",_xlfn.TEXTSPLIT(AF1746,"-"))</f>
        <v>0</v>
      </c>
      <c r="AH1746" s="168"/>
    </row>
    <row r="1747" spans="26:34" ht="24" customHeight="1">
      <c r="Z1747"/>
      <c r="AA1747"/>
      <c r="AB1747"/>
      <c r="AC1747"/>
      <c r="AD1747"/>
      <c r="AE1747" s="168" t="str">
        <f t="shared" si="27"/>
        <v/>
      </c>
      <c r="AF1747" s="168">
        <v>0</v>
      </c>
      <c r="AG1747" s="168" t="str" cm="1">
        <f t="array" ref="AG1747">IF(AF1747="","",_xlfn.TEXTSPLIT(AF1747,"-"))</f>
        <v>0</v>
      </c>
      <c r="AH1747" s="168"/>
    </row>
    <row r="1748" spans="26:34" ht="24" customHeight="1">
      <c r="Z1748"/>
      <c r="AA1748"/>
      <c r="AB1748"/>
      <c r="AC1748"/>
      <c r="AD1748"/>
      <c r="AE1748" s="168" t="str">
        <f t="shared" si="27"/>
        <v/>
      </c>
      <c r="AF1748" s="168">
        <v>0</v>
      </c>
      <c r="AG1748" s="168" t="str" cm="1">
        <f t="array" ref="AG1748">IF(AF1748="","",_xlfn.TEXTSPLIT(AF1748,"-"))</f>
        <v>0</v>
      </c>
      <c r="AH1748" s="168"/>
    </row>
    <row r="1749" spans="26:34" ht="24" customHeight="1">
      <c r="Z1749"/>
      <c r="AA1749"/>
      <c r="AB1749"/>
      <c r="AC1749"/>
      <c r="AD1749"/>
      <c r="AE1749" s="168" t="str">
        <f t="shared" si="27"/>
        <v/>
      </c>
      <c r="AF1749" s="168">
        <v>0</v>
      </c>
      <c r="AG1749" s="168" t="str" cm="1">
        <f t="array" ref="AG1749">IF(AF1749="","",_xlfn.TEXTSPLIT(AF1749,"-"))</f>
        <v>0</v>
      </c>
      <c r="AH1749" s="168"/>
    </row>
    <row r="1750" spans="26:34" ht="24" customHeight="1">
      <c r="Z1750"/>
      <c r="AA1750"/>
      <c r="AB1750"/>
      <c r="AC1750"/>
      <c r="AD1750"/>
      <c r="AE1750" s="168" t="str">
        <f t="shared" si="27"/>
        <v/>
      </c>
      <c r="AF1750" s="168">
        <v>0</v>
      </c>
      <c r="AG1750" s="168" t="str" cm="1">
        <f t="array" ref="AG1750">IF(AF1750="","",_xlfn.TEXTSPLIT(AF1750,"-"))</f>
        <v>0</v>
      </c>
      <c r="AH1750" s="168"/>
    </row>
    <row r="1751" spans="26:34" ht="24" customHeight="1">
      <c r="Z1751"/>
      <c r="AA1751"/>
      <c r="AB1751"/>
      <c r="AC1751"/>
      <c r="AD1751"/>
      <c r="AE1751" s="168" t="str">
        <f t="shared" si="27"/>
        <v/>
      </c>
      <c r="AF1751" s="168">
        <v>0</v>
      </c>
      <c r="AG1751" s="168" t="str" cm="1">
        <f t="array" ref="AG1751">IF(AF1751="","",_xlfn.TEXTSPLIT(AF1751,"-"))</f>
        <v>0</v>
      </c>
      <c r="AH1751" s="168"/>
    </row>
    <row r="1752" spans="26:34" ht="24" customHeight="1">
      <c r="Z1752"/>
      <c r="AA1752"/>
      <c r="AB1752"/>
      <c r="AC1752"/>
      <c r="AD1752"/>
      <c r="AE1752" s="168" t="str">
        <f t="shared" si="27"/>
        <v/>
      </c>
      <c r="AF1752" s="168">
        <v>0</v>
      </c>
      <c r="AG1752" s="168" t="str" cm="1">
        <f t="array" ref="AG1752">IF(AF1752="","",_xlfn.TEXTSPLIT(AF1752,"-"))</f>
        <v>0</v>
      </c>
      <c r="AH1752" s="168"/>
    </row>
    <row r="1753" spans="26:34" ht="24" customHeight="1">
      <c r="Z1753"/>
      <c r="AA1753"/>
      <c r="AB1753"/>
      <c r="AC1753"/>
      <c r="AD1753"/>
      <c r="AE1753" s="168" t="str">
        <f t="shared" si="27"/>
        <v/>
      </c>
      <c r="AF1753" s="168">
        <v>0</v>
      </c>
      <c r="AG1753" s="168" t="str" cm="1">
        <f t="array" ref="AG1753">IF(AF1753="","",_xlfn.TEXTSPLIT(AF1753,"-"))</f>
        <v>0</v>
      </c>
      <c r="AH1753" s="168"/>
    </row>
    <row r="1754" spans="26:34" ht="24" customHeight="1">
      <c r="Z1754"/>
      <c r="AA1754"/>
      <c r="AB1754"/>
      <c r="AC1754"/>
      <c r="AD1754"/>
      <c r="AE1754" s="168" t="str">
        <f t="shared" si="27"/>
        <v/>
      </c>
      <c r="AF1754" s="168">
        <v>0</v>
      </c>
      <c r="AG1754" s="168" t="str" cm="1">
        <f t="array" ref="AG1754">IF(AF1754="","",_xlfn.TEXTSPLIT(AF1754,"-"))</f>
        <v>0</v>
      </c>
      <c r="AH1754" s="168"/>
    </row>
    <row r="1755" spans="26:34" ht="24" customHeight="1">
      <c r="Z1755"/>
      <c r="AA1755"/>
      <c r="AB1755"/>
      <c r="AC1755"/>
      <c r="AD1755"/>
      <c r="AE1755" s="168" t="str">
        <f t="shared" si="27"/>
        <v/>
      </c>
      <c r="AF1755" s="168">
        <v>0</v>
      </c>
      <c r="AG1755" s="168" t="str" cm="1">
        <f t="array" ref="AG1755">IF(AF1755="","",_xlfn.TEXTSPLIT(AF1755,"-"))</f>
        <v>0</v>
      </c>
      <c r="AH1755" s="168"/>
    </row>
    <row r="1756" spans="26:34" ht="24" customHeight="1">
      <c r="Z1756"/>
      <c r="AA1756"/>
      <c r="AB1756"/>
      <c r="AC1756"/>
      <c r="AD1756"/>
      <c r="AE1756" s="168" t="str">
        <f t="shared" si="27"/>
        <v/>
      </c>
      <c r="AF1756" s="168">
        <v>0</v>
      </c>
      <c r="AG1756" s="168" t="str" cm="1">
        <f t="array" ref="AG1756">IF(AF1756="","",_xlfn.TEXTSPLIT(AF1756,"-"))</f>
        <v>0</v>
      </c>
      <c r="AH1756" s="168"/>
    </row>
    <row r="1757" spans="26:34" ht="24" customHeight="1">
      <c r="Z1757"/>
      <c r="AA1757"/>
      <c r="AB1757"/>
      <c r="AC1757"/>
      <c r="AD1757"/>
      <c r="AE1757" s="168" t="str">
        <f t="shared" si="27"/>
        <v/>
      </c>
      <c r="AF1757" s="168">
        <v>0</v>
      </c>
      <c r="AG1757" s="168" t="str" cm="1">
        <f t="array" ref="AG1757">IF(AF1757="","",_xlfn.TEXTSPLIT(AF1757,"-"))</f>
        <v>0</v>
      </c>
      <c r="AH1757" s="168"/>
    </row>
    <row r="1758" spans="26:34" ht="24" customHeight="1">
      <c r="Z1758"/>
      <c r="AA1758"/>
      <c r="AB1758"/>
      <c r="AC1758"/>
      <c r="AD1758"/>
      <c r="AE1758" s="168" t="str">
        <f t="shared" si="27"/>
        <v/>
      </c>
      <c r="AF1758" s="168">
        <v>0</v>
      </c>
      <c r="AG1758" s="168" t="str" cm="1">
        <f t="array" ref="AG1758">IF(AF1758="","",_xlfn.TEXTSPLIT(AF1758,"-"))</f>
        <v>0</v>
      </c>
      <c r="AH1758" s="168"/>
    </row>
    <row r="1759" spans="26:34" ht="24" customHeight="1">
      <c r="Z1759"/>
      <c r="AA1759"/>
      <c r="AB1759"/>
      <c r="AC1759"/>
      <c r="AD1759"/>
      <c r="AE1759" s="168" t="str">
        <f t="shared" si="27"/>
        <v/>
      </c>
      <c r="AF1759" s="168">
        <v>0</v>
      </c>
      <c r="AG1759" s="168" t="str" cm="1">
        <f t="array" ref="AG1759">IF(AF1759="","",_xlfn.TEXTSPLIT(AF1759,"-"))</f>
        <v>0</v>
      </c>
      <c r="AH1759" s="168"/>
    </row>
    <row r="1760" spans="26:34" ht="24" customHeight="1">
      <c r="Z1760"/>
      <c r="AA1760"/>
      <c r="AB1760"/>
      <c r="AC1760"/>
      <c r="AD1760"/>
      <c r="AE1760" s="168" t="str">
        <f t="shared" si="27"/>
        <v/>
      </c>
      <c r="AF1760" s="168">
        <v>0</v>
      </c>
      <c r="AG1760" s="168" t="str" cm="1">
        <f t="array" ref="AG1760">IF(AF1760="","",_xlfn.TEXTSPLIT(AF1760,"-"))</f>
        <v>0</v>
      </c>
      <c r="AH1760" s="168"/>
    </row>
    <row r="1761" spans="26:34" ht="24" customHeight="1">
      <c r="Z1761"/>
      <c r="AA1761"/>
      <c r="AB1761"/>
      <c r="AC1761"/>
      <c r="AD1761"/>
      <c r="AE1761" s="168" t="str">
        <f t="shared" si="27"/>
        <v/>
      </c>
      <c r="AF1761" s="168">
        <v>0</v>
      </c>
      <c r="AG1761" s="168" t="str" cm="1">
        <f t="array" ref="AG1761">IF(AF1761="","",_xlfn.TEXTSPLIT(AF1761,"-"))</f>
        <v>0</v>
      </c>
      <c r="AH1761" s="168"/>
    </row>
    <row r="1762" spans="26:34" ht="24" customHeight="1">
      <c r="Z1762"/>
      <c r="AA1762"/>
      <c r="AB1762"/>
      <c r="AC1762"/>
      <c r="AD1762"/>
      <c r="AE1762" s="168" t="str">
        <f t="shared" si="27"/>
        <v/>
      </c>
      <c r="AF1762" s="168">
        <v>0</v>
      </c>
      <c r="AG1762" s="168" t="str" cm="1">
        <f t="array" ref="AG1762">IF(AF1762="","",_xlfn.TEXTSPLIT(AF1762,"-"))</f>
        <v>0</v>
      </c>
      <c r="AH1762" s="168"/>
    </row>
    <row r="1763" spans="26:34" ht="24" customHeight="1">
      <c r="Z1763"/>
      <c r="AA1763"/>
      <c r="AB1763"/>
      <c r="AC1763"/>
      <c r="AD1763"/>
      <c r="AE1763" s="168" t="str">
        <f t="shared" si="27"/>
        <v/>
      </c>
      <c r="AF1763" s="168">
        <v>0</v>
      </c>
      <c r="AG1763" s="168" t="str" cm="1">
        <f t="array" ref="AG1763">IF(AF1763="","",_xlfn.TEXTSPLIT(AF1763,"-"))</f>
        <v>0</v>
      </c>
      <c r="AH1763" s="168"/>
    </row>
    <row r="1764" spans="26:34" ht="24" customHeight="1">
      <c r="Z1764"/>
      <c r="AA1764"/>
      <c r="AB1764"/>
      <c r="AC1764"/>
      <c r="AD1764"/>
      <c r="AE1764" s="168" t="str">
        <f t="shared" si="27"/>
        <v/>
      </c>
      <c r="AF1764" s="168">
        <v>0</v>
      </c>
      <c r="AG1764" s="168" t="str" cm="1">
        <f t="array" ref="AG1764">IF(AF1764="","",_xlfn.TEXTSPLIT(AF1764,"-"))</f>
        <v>0</v>
      </c>
      <c r="AH1764" s="168"/>
    </row>
    <row r="1765" spans="26:34" ht="24" customHeight="1">
      <c r="Z1765"/>
      <c r="AA1765"/>
      <c r="AB1765"/>
      <c r="AC1765"/>
      <c r="AD1765"/>
      <c r="AE1765" s="168" t="str">
        <f t="shared" si="27"/>
        <v/>
      </c>
      <c r="AF1765" s="168">
        <v>0</v>
      </c>
      <c r="AG1765" s="168" t="str" cm="1">
        <f t="array" ref="AG1765">IF(AF1765="","",_xlfn.TEXTSPLIT(AF1765,"-"))</f>
        <v>0</v>
      </c>
      <c r="AH1765" s="168"/>
    </row>
    <row r="1766" spans="26:34" ht="24" customHeight="1">
      <c r="Z1766"/>
      <c r="AA1766"/>
      <c r="AB1766"/>
      <c r="AC1766"/>
      <c r="AD1766"/>
      <c r="AE1766" s="168" t="str">
        <f t="shared" si="27"/>
        <v/>
      </c>
      <c r="AF1766" s="168">
        <v>0</v>
      </c>
      <c r="AG1766" s="168" t="str" cm="1">
        <f t="array" ref="AG1766">IF(AF1766="","",_xlfn.TEXTSPLIT(AF1766,"-"))</f>
        <v>0</v>
      </c>
      <c r="AH1766" s="168"/>
    </row>
    <row r="1767" spans="26:34" ht="24" customHeight="1">
      <c r="Z1767"/>
      <c r="AA1767"/>
      <c r="AB1767"/>
      <c r="AC1767"/>
      <c r="AD1767"/>
      <c r="AE1767" s="168" t="str">
        <f t="shared" si="27"/>
        <v/>
      </c>
      <c r="AF1767" s="168">
        <v>0</v>
      </c>
      <c r="AG1767" s="168" t="str" cm="1">
        <f t="array" ref="AG1767">IF(AF1767="","",_xlfn.TEXTSPLIT(AF1767,"-"))</f>
        <v>0</v>
      </c>
      <c r="AH1767" s="168"/>
    </row>
    <row r="1768" spans="26:34" ht="24" customHeight="1">
      <c r="Z1768"/>
      <c r="AA1768"/>
      <c r="AB1768"/>
      <c r="AC1768"/>
      <c r="AD1768"/>
      <c r="AE1768" s="168" t="str">
        <f t="shared" si="27"/>
        <v/>
      </c>
      <c r="AF1768" s="168">
        <v>0</v>
      </c>
      <c r="AG1768" s="168" t="str" cm="1">
        <f t="array" ref="AG1768">IF(AF1768="","",_xlfn.TEXTSPLIT(AF1768,"-"))</f>
        <v>0</v>
      </c>
      <c r="AH1768" s="168"/>
    </row>
    <row r="1769" spans="26:34" ht="24" customHeight="1">
      <c r="Z1769"/>
      <c r="AA1769"/>
      <c r="AB1769"/>
      <c r="AC1769"/>
      <c r="AD1769"/>
      <c r="AE1769" s="168" t="str">
        <f t="shared" si="27"/>
        <v/>
      </c>
      <c r="AF1769" s="168">
        <v>0</v>
      </c>
      <c r="AG1769" s="168" t="str" cm="1">
        <f t="array" ref="AG1769">IF(AF1769="","",_xlfn.TEXTSPLIT(AF1769,"-"))</f>
        <v>0</v>
      </c>
      <c r="AH1769" s="168"/>
    </row>
    <row r="1770" spans="26:34" ht="24" customHeight="1">
      <c r="Z1770"/>
      <c r="AA1770"/>
      <c r="AB1770"/>
      <c r="AC1770"/>
      <c r="AD1770"/>
      <c r="AE1770" s="168" t="str">
        <f t="shared" si="27"/>
        <v/>
      </c>
      <c r="AF1770" s="168">
        <v>0</v>
      </c>
      <c r="AG1770" s="168" t="str" cm="1">
        <f t="array" ref="AG1770">IF(AF1770="","",_xlfn.TEXTSPLIT(AF1770,"-"))</f>
        <v>0</v>
      </c>
      <c r="AH1770" s="168"/>
    </row>
    <row r="1771" spans="26:34" ht="24" customHeight="1">
      <c r="Z1771"/>
      <c r="AA1771"/>
      <c r="AB1771"/>
      <c r="AC1771"/>
      <c r="AD1771"/>
      <c r="AE1771" s="168" t="str">
        <f t="shared" si="27"/>
        <v/>
      </c>
      <c r="AF1771" s="168">
        <v>0</v>
      </c>
      <c r="AG1771" s="168" t="str" cm="1">
        <f t="array" ref="AG1771">IF(AF1771="","",_xlfn.TEXTSPLIT(AF1771,"-"))</f>
        <v>0</v>
      </c>
      <c r="AH1771" s="168"/>
    </row>
    <row r="1772" spans="26:34" ht="24" customHeight="1">
      <c r="Z1772"/>
      <c r="AA1772"/>
      <c r="AB1772"/>
      <c r="AC1772"/>
      <c r="AD1772"/>
      <c r="AE1772" s="168" t="str">
        <f t="shared" si="27"/>
        <v/>
      </c>
      <c r="AF1772" s="168">
        <v>0</v>
      </c>
      <c r="AG1772" s="168" t="str" cm="1">
        <f t="array" ref="AG1772">IF(AF1772="","",_xlfn.TEXTSPLIT(AF1772,"-"))</f>
        <v>0</v>
      </c>
      <c r="AH1772" s="168"/>
    </row>
    <row r="1773" spans="26:34" ht="24" customHeight="1">
      <c r="Z1773"/>
      <c r="AA1773"/>
      <c r="AB1773"/>
      <c r="AC1773"/>
      <c r="AD1773"/>
      <c r="AE1773" s="168" t="str">
        <f t="shared" si="27"/>
        <v/>
      </c>
      <c r="AF1773" s="168">
        <v>0</v>
      </c>
      <c r="AG1773" s="168" t="str" cm="1">
        <f t="array" ref="AG1773">IF(AF1773="","",_xlfn.TEXTSPLIT(AF1773,"-"))</f>
        <v>0</v>
      </c>
      <c r="AH1773" s="168"/>
    </row>
    <row r="1774" spans="26:34" ht="24" customHeight="1">
      <c r="Z1774"/>
      <c r="AA1774"/>
      <c r="AB1774"/>
      <c r="AC1774"/>
      <c r="AD1774"/>
      <c r="AE1774" s="168" t="str">
        <f t="shared" si="27"/>
        <v/>
      </c>
      <c r="AF1774" s="168">
        <v>0</v>
      </c>
      <c r="AG1774" s="168" t="str" cm="1">
        <f t="array" ref="AG1774">IF(AF1774="","",_xlfn.TEXTSPLIT(AF1774,"-"))</f>
        <v>0</v>
      </c>
      <c r="AH1774" s="168"/>
    </row>
    <row r="1775" spans="26:34" ht="24" customHeight="1">
      <c r="Z1775"/>
      <c r="AA1775"/>
      <c r="AB1775"/>
      <c r="AC1775"/>
      <c r="AD1775"/>
      <c r="AE1775" s="168" t="str">
        <f t="shared" si="27"/>
        <v/>
      </c>
      <c r="AF1775" s="168">
        <v>0</v>
      </c>
      <c r="AG1775" s="168" t="str" cm="1">
        <f t="array" ref="AG1775">IF(AF1775="","",_xlfn.TEXTSPLIT(AF1775,"-"))</f>
        <v>0</v>
      </c>
      <c r="AH1775" s="168"/>
    </row>
    <row r="1776" spans="26:34" ht="24" customHeight="1">
      <c r="Z1776"/>
      <c r="AA1776"/>
      <c r="AB1776"/>
      <c r="AC1776"/>
      <c r="AD1776"/>
      <c r="AE1776" s="168" t="str">
        <f t="shared" si="27"/>
        <v/>
      </c>
      <c r="AF1776" s="168">
        <v>0</v>
      </c>
      <c r="AG1776" s="168" t="str" cm="1">
        <f t="array" ref="AG1776">IF(AF1776="","",_xlfn.TEXTSPLIT(AF1776,"-"))</f>
        <v>0</v>
      </c>
      <c r="AH1776" s="168"/>
    </row>
    <row r="1777" spans="26:34" ht="24" customHeight="1">
      <c r="Z1777"/>
      <c r="AA1777"/>
      <c r="AB1777"/>
      <c r="AC1777"/>
      <c r="AD1777"/>
      <c r="AE1777" s="168" t="str">
        <f t="shared" si="27"/>
        <v/>
      </c>
      <c r="AF1777" s="168">
        <v>0</v>
      </c>
      <c r="AG1777" s="168" t="str" cm="1">
        <f t="array" ref="AG1777">IF(AF1777="","",_xlfn.TEXTSPLIT(AF1777,"-"))</f>
        <v>0</v>
      </c>
      <c r="AH1777" s="168"/>
    </row>
    <row r="1778" spans="26:34" ht="24" customHeight="1">
      <c r="Z1778"/>
      <c r="AA1778"/>
      <c r="AB1778"/>
      <c r="AC1778"/>
      <c r="AD1778"/>
      <c r="AE1778" s="168" t="str">
        <f t="shared" si="27"/>
        <v/>
      </c>
      <c r="AF1778" s="168">
        <v>0</v>
      </c>
      <c r="AG1778" s="168" t="str" cm="1">
        <f t="array" ref="AG1778">IF(AF1778="","",_xlfn.TEXTSPLIT(AF1778,"-"))</f>
        <v>0</v>
      </c>
      <c r="AH1778" s="168"/>
    </row>
    <row r="1779" spans="26:34" ht="24" customHeight="1">
      <c r="Z1779"/>
      <c r="AA1779"/>
      <c r="AB1779"/>
      <c r="AC1779"/>
      <c r="AD1779"/>
      <c r="AE1779" s="168" t="str">
        <f t="shared" si="27"/>
        <v/>
      </c>
      <c r="AF1779" s="168">
        <v>0</v>
      </c>
      <c r="AG1779" s="168" t="str" cm="1">
        <f t="array" ref="AG1779">IF(AF1779="","",_xlfn.TEXTSPLIT(AF1779,"-"))</f>
        <v>0</v>
      </c>
      <c r="AH1779" s="168"/>
    </row>
    <row r="1780" spans="26:34" ht="24" customHeight="1">
      <c r="Z1780"/>
      <c r="AA1780"/>
      <c r="AB1780"/>
      <c r="AC1780"/>
      <c r="AD1780"/>
      <c r="AE1780" s="168" t="str">
        <f t="shared" si="27"/>
        <v/>
      </c>
      <c r="AF1780" s="168">
        <v>0</v>
      </c>
      <c r="AG1780" s="168" t="str" cm="1">
        <f t="array" ref="AG1780">IF(AF1780="","",_xlfn.TEXTSPLIT(AF1780,"-"))</f>
        <v>0</v>
      </c>
      <c r="AH1780" s="168"/>
    </row>
    <row r="1781" spans="26:34" ht="24" customHeight="1">
      <c r="Z1781"/>
      <c r="AA1781"/>
      <c r="AB1781"/>
      <c r="AC1781"/>
      <c r="AD1781"/>
      <c r="AE1781" s="168" t="str">
        <f t="shared" si="27"/>
        <v/>
      </c>
      <c r="AF1781" s="168">
        <v>0</v>
      </c>
      <c r="AG1781" s="168" t="str" cm="1">
        <f t="array" ref="AG1781">IF(AF1781="","",_xlfn.TEXTSPLIT(AF1781,"-"))</f>
        <v>0</v>
      </c>
      <c r="AH1781" s="168"/>
    </row>
    <row r="1782" spans="26:34" ht="24" customHeight="1">
      <c r="Z1782"/>
      <c r="AA1782"/>
      <c r="AB1782"/>
      <c r="AC1782"/>
      <c r="AD1782"/>
      <c r="AE1782" s="168" t="str">
        <f t="shared" si="27"/>
        <v/>
      </c>
      <c r="AF1782" s="168">
        <v>0</v>
      </c>
      <c r="AG1782" s="168" t="str" cm="1">
        <f t="array" ref="AG1782">IF(AF1782="","",_xlfn.TEXTSPLIT(AF1782,"-"))</f>
        <v>0</v>
      </c>
      <c r="AH1782" s="168"/>
    </row>
    <row r="1783" spans="26:34" ht="24" customHeight="1">
      <c r="Z1783"/>
      <c r="AA1783"/>
      <c r="AB1783"/>
      <c r="AC1783"/>
      <c r="AD1783"/>
      <c r="AE1783" s="168" t="str">
        <f t="shared" si="27"/>
        <v/>
      </c>
      <c r="AF1783" s="168">
        <v>0</v>
      </c>
      <c r="AG1783" s="168" t="str" cm="1">
        <f t="array" ref="AG1783">IF(AF1783="","",_xlfn.TEXTSPLIT(AF1783,"-"))</f>
        <v>0</v>
      </c>
      <c r="AH1783" s="168"/>
    </row>
    <row r="1784" spans="26:34" ht="24" customHeight="1">
      <c r="Z1784"/>
      <c r="AA1784"/>
      <c r="AB1784"/>
      <c r="AC1784"/>
      <c r="AD1784"/>
      <c r="AE1784" s="168" t="str">
        <f t="shared" si="27"/>
        <v/>
      </c>
      <c r="AF1784" s="168">
        <v>0</v>
      </c>
      <c r="AG1784" s="168" t="str" cm="1">
        <f t="array" ref="AG1784">IF(AF1784="","",_xlfn.TEXTSPLIT(AF1784,"-"))</f>
        <v>0</v>
      </c>
      <c r="AH1784" s="168"/>
    </row>
    <row r="1785" spans="26:34" ht="24" customHeight="1">
      <c r="Z1785"/>
      <c r="AA1785"/>
      <c r="AB1785"/>
      <c r="AC1785"/>
      <c r="AD1785"/>
      <c r="AE1785" s="168" t="str">
        <f t="shared" si="27"/>
        <v/>
      </c>
      <c r="AF1785" s="168">
        <v>0</v>
      </c>
      <c r="AG1785" s="168" t="str" cm="1">
        <f t="array" ref="AG1785">IF(AF1785="","",_xlfn.TEXTSPLIT(AF1785,"-"))</f>
        <v>0</v>
      </c>
      <c r="AH1785" s="168"/>
    </row>
    <row r="1786" spans="26:34" ht="24" customHeight="1">
      <c r="Z1786"/>
      <c r="AA1786"/>
      <c r="AB1786"/>
      <c r="AC1786"/>
      <c r="AD1786"/>
      <c r="AE1786" s="168" t="str">
        <f t="shared" si="27"/>
        <v/>
      </c>
      <c r="AF1786" s="168">
        <v>0</v>
      </c>
      <c r="AG1786" s="168" t="str" cm="1">
        <f t="array" ref="AG1786">IF(AF1786="","",_xlfn.TEXTSPLIT(AF1786,"-"))</f>
        <v>0</v>
      </c>
      <c r="AH1786" s="168"/>
    </row>
    <row r="1787" spans="26:34" ht="24" customHeight="1">
      <c r="Z1787"/>
      <c r="AA1787"/>
      <c r="AB1787"/>
      <c r="AC1787"/>
      <c r="AD1787"/>
      <c r="AE1787" s="168" t="str">
        <f t="shared" si="27"/>
        <v/>
      </c>
      <c r="AF1787" s="168">
        <v>0</v>
      </c>
      <c r="AG1787" s="168" t="str" cm="1">
        <f t="array" ref="AG1787">IF(AF1787="","",_xlfn.TEXTSPLIT(AF1787,"-"))</f>
        <v>0</v>
      </c>
      <c r="AH1787" s="168"/>
    </row>
    <row r="1788" spans="26:34" ht="24" customHeight="1">
      <c r="Z1788"/>
      <c r="AA1788"/>
      <c r="AB1788"/>
      <c r="AC1788"/>
      <c r="AD1788"/>
      <c r="AE1788" s="168" t="str">
        <f t="shared" si="27"/>
        <v/>
      </c>
      <c r="AF1788" s="168">
        <v>0</v>
      </c>
      <c r="AG1788" s="168" t="str" cm="1">
        <f t="array" ref="AG1788">IF(AF1788="","",_xlfn.TEXTSPLIT(AF1788,"-"))</f>
        <v>0</v>
      </c>
      <c r="AH1788" s="168"/>
    </row>
    <row r="1789" spans="26:34" ht="24" customHeight="1">
      <c r="Z1789"/>
      <c r="AA1789"/>
      <c r="AB1789"/>
      <c r="AC1789"/>
      <c r="AD1789"/>
      <c r="AE1789" s="168" t="str">
        <f t="shared" si="27"/>
        <v/>
      </c>
      <c r="AF1789" s="168">
        <v>0</v>
      </c>
      <c r="AG1789" s="168" t="str" cm="1">
        <f t="array" ref="AG1789">IF(AF1789="","",_xlfn.TEXTSPLIT(AF1789,"-"))</f>
        <v>0</v>
      </c>
      <c r="AH1789" s="168"/>
    </row>
    <row r="1790" spans="26:34" ht="24" customHeight="1">
      <c r="Z1790"/>
      <c r="AA1790"/>
      <c r="AB1790"/>
      <c r="AC1790"/>
      <c r="AD1790"/>
      <c r="AE1790" s="168" t="str">
        <f t="shared" si="27"/>
        <v/>
      </c>
      <c r="AF1790" s="168">
        <v>0</v>
      </c>
      <c r="AG1790" s="168" t="str" cm="1">
        <f t="array" ref="AG1790">IF(AF1790="","",_xlfn.TEXTSPLIT(AF1790,"-"))</f>
        <v>0</v>
      </c>
      <c r="AH1790" s="168"/>
    </row>
    <row r="1791" spans="26:34" ht="24" customHeight="1">
      <c r="Z1791"/>
      <c r="AA1791"/>
      <c r="AB1791"/>
      <c r="AC1791"/>
      <c r="AD1791"/>
      <c r="AE1791" s="168" t="str">
        <f t="shared" si="27"/>
        <v/>
      </c>
      <c r="AF1791" s="168">
        <v>0</v>
      </c>
      <c r="AG1791" s="168" t="str" cm="1">
        <f t="array" ref="AG1791">IF(AF1791="","",_xlfn.TEXTSPLIT(AF1791,"-"))</f>
        <v>0</v>
      </c>
      <c r="AH1791" s="168"/>
    </row>
    <row r="1792" spans="26:34" ht="24" customHeight="1">
      <c r="Z1792"/>
      <c r="AA1792"/>
      <c r="AB1792"/>
      <c r="AC1792"/>
      <c r="AD1792"/>
      <c r="AE1792" s="168" t="str">
        <f t="shared" si="27"/>
        <v/>
      </c>
      <c r="AF1792" s="168">
        <v>0</v>
      </c>
      <c r="AG1792" s="168" t="str" cm="1">
        <f t="array" ref="AG1792">IF(AF1792="","",_xlfn.TEXTSPLIT(AF1792,"-"))</f>
        <v>0</v>
      </c>
      <c r="AH1792" s="168"/>
    </row>
    <row r="1793" spans="26:34" ht="24" customHeight="1">
      <c r="Z1793"/>
      <c r="AA1793"/>
      <c r="AB1793"/>
      <c r="AC1793"/>
      <c r="AD1793"/>
      <c r="AE1793" s="168" t="str">
        <f t="shared" si="27"/>
        <v/>
      </c>
      <c r="AF1793" s="168">
        <v>0</v>
      </c>
      <c r="AG1793" s="168" t="str" cm="1">
        <f t="array" ref="AG1793">IF(AF1793="","",_xlfn.TEXTSPLIT(AF1793,"-"))</f>
        <v>0</v>
      </c>
      <c r="AH1793" s="168"/>
    </row>
    <row r="1794" spans="26:34" ht="24" customHeight="1">
      <c r="Z1794"/>
      <c r="AA1794"/>
      <c r="AB1794"/>
      <c r="AC1794"/>
      <c r="AD1794"/>
      <c r="AE1794" s="168" t="str">
        <f t="shared" si="27"/>
        <v/>
      </c>
      <c r="AF1794" s="168">
        <v>0</v>
      </c>
      <c r="AG1794" s="168" t="str" cm="1">
        <f t="array" ref="AG1794">IF(AF1794="","",_xlfn.TEXTSPLIT(AF1794,"-"))</f>
        <v>0</v>
      </c>
      <c r="AH1794" s="168"/>
    </row>
    <row r="1795" spans="26:34" ht="24" customHeight="1">
      <c r="Z1795"/>
      <c r="AA1795"/>
      <c r="AB1795"/>
      <c r="AC1795"/>
      <c r="AD1795"/>
      <c r="AE1795" s="168" t="str">
        <f t="shared" si="27"/>
        <v/>
      </c>
      <c r="AF1795" s="168">
        <v>0</v>
      </c>
      <c r="AG1795" s="168" t="str" cm="1">
        <f t="array" ref="AG1795">IF(AF1795="","",_xlfn.TEXTSPLIT(AF1795,"-"))</f>
        <v>0</v>
      </c>
      <c r="AH1795" s="168"/>
    </row>
    <row r="1796" spans="26:34" ht="24" customHeight="1">
      <c r="Z1796"/>
      <c r="AA1796"/>
      <c r="AB1796"/>
      <c r="AC1796"/>
      <c r="AD1796"/>
      <c r="AE1796" s="168" t="str">
        <f t="shared" si="27"/>
        <v/>
      </c>
      <c r="AF1796" s="168">
        <v>0</v>
      </c>
      <c r="AG1796" s="168" t="str" cm="1">
        <f t="array" ref="AG1796">IF(AF1796="","",_xlfn.TEXTSPLIT(AF1796,"-"))</f>
        <v>0</v>
      </c>
      <c r="AH1796" s="168"/>
    </row>
    <row r="1797" spans="26:34" ht="24" customHeight="1">
      <c r="Z1797"/>
      <c r="AA1797"/>
      <c r="AB1797"/>
      <c r="AC1797"/>
      <c r="AD1797"/>
      <c r="AE1797" s="168" t="str">
        <f t="shared" ref="AE1797:AE1860" si="28">IF(AH1797="","",AH1797*1)</f>
        <v/>
      </c>
      <c r="AF1797" s="168">
        <v>0</v>
      </c>
      <c r="AG1797" s="168" t="str" cm="1">
        <f t="array" ref="AG1797">IF(AF1797="","",_xlfn.TEXTSPLIT(AF1797,"-"))</f>
        <v>0</v>
      </c>
      <c r="AH1797" s="168"/>
    </row>
    <row r="1798" spans="26:34" ht="24" customHeight="1">
      <c r="Z1798"/>
      <c r="AA1798"/>
      <c r="AB1798"/>
      <c r="AC1798"/>
      <c r="AD1798"/>
      <c r="AE1798" s="168" t="str">
        <f t="shared" si="28"/>
        <v/>
      </c>
      <c r="AF1798" s="168">
        <v>0</v>
      </c>
      <c r="AG1798" s="168" t="str" cm="1">
        <f t="array" ref="AG1798">IF(AF1798="","",_xlfn.TEXTSPLIT(AF1798,"-"))</f>
        <v>0</v>
      </c>
      <c r="AH1798" s="168"/>
    </row>
    <row r="1799" spans="26:34" ht="24" customHeight="1">
      <c r="Z1799"/>
      <c r="AA1799"/>
      <c r="AB1799"/>
      <c r="AC1799"/>
      <c r="AD1799"/>
      <c r="AE1799" s="168" t="str">
        <f t="shared" si="28"/>
        <v/>
      </c>
      <c r="AF1799" s="168">
        <v>0</v>
      </c>
      <c r="AG1799" s="168" t="str" cm="1">
        <f t="array" ref="AG1799">IF(AF1799="","",_xlfn.TEXTSPLIT(AF1799,"-"))</f>
        <v>0</v>
      </c>
      <c r="AH1799" s="168"/>
    </row>
    <row r="1800" spans="26:34" ht="24" customHeight="1">
      <c r="Z1800"/>
      <c r="AA1800"/>
      <c r="AB1800"/>
      <c r="AC1800"/>
      <c r="AD1800"/>
      <c r="AE1800" s="168" t="str">
        <f t="shared" si="28"/>
        <v/>
      </c>
      <c r="AF1800" s="168">
        <v>0</v>
      </c>
      <c r="AG1800" s="168" t="str" cm="1">
        <f t="array" ref="AG1800">IF(AF1800="","",_xlfn.TEXTSPLIT(AF1800,"-"))</f>
        <v>0</v>
      </c>
      <c r="AH1800" s="168"/>
    </row>
    <row r="1801" spans="26:34" ht="24" customHeight="1">
      <c r="Z1801"/>
      <c r="AA1801"/>
      <c r="AB1801"/>
      <c r="AC1801"/>
      <c r="AD1801"/>
      <c r="AE1801" s="168" t="str">
        <f t="shared" si="28"/>
        <v/>
      </c>
      <c r="AF1801" s="168">
        <v>0</v>
      </c>
      <c r="AG1801" s="168" t="str" cm="1">
        <f t="array" ref="AG1801">IF(AF1801="","",_xlfn.TEXTSPLIT(AF1801,"-"))</f>
        <v>0</v>
      </c>
      <c r="AH1801" s="168"/>
    </row>
    <row r="1802" spans="26:34" ht="24" customHeight="1">
      <c r="Z1802"/>
      <c r="AA1802"/>
      <c r="AB1802"/>
      <c r="AC1802"/>
      <c r="AD1802"/>
      <c r="AE1802" s="168" t="str">
        <f t="shared" si="28"/>
        <v/>
      </c>
      <c r="AF1802" s="168">
        <v>0</v>
      </c>
      <c r="AG1802" s="168" t="str" cm="1">
        <f t="array" ref="AG1802">IF(AF1802="","",_xlfn.TEXTSPLIT(AF1802,"-"))</f>
        <v>0</v>
      </c>
      <c r="AH1802" s="168"/>
    </row>
    <row r="1803" spans="26:34" ht="24" customHeight="1">
      <c r="Z1803"/>
      <c r="AA1803"/>
      <c r="AB1803"/>
      <c r="AC1803"/>
      <c r="AD1803"/>
      <c r="AE1803" s="168" t="str">
        <f t="shared" si="28"/>
        <v/>
      </c>
      <c r="AF1803" s="168">
        <v>0</v>
      </c>
      <c r="AG1803" s="168" t="str" cm="1">
        <f t="array" ref="AG1803">IF(AF1803="","",_xlfn.TEXTSPLIT(AF1803,"-"))</f>
        <v>0</v>
      </c>
      <c r="AH1803" s="168"/>
    </row>
    <row r="1804" spans="26:34" ht="24" customHeight="1">
      <c r="Z1804"/>
      <c r="AA1804"/>
      <c r="AB1804"/>
      <c r="AC1804"/>
      <c r="AD1804"/>
      <c r="AE1804" s="168" t="str">
        <f t="shared" si="28"/>
        <v/>
      </c>
      <c r="AF1804" s="168">
        <v>0</v>
      </c>
      <c r="AG1804" s="168" t="str" cm="1">
        <f t="array" ref="AG1804">IF(AF1804="","",_xlfn.TEXTSPLIT(AF1804,"-"))</f>
        <v>0</v>
      </c>
      <c r="AH1804" s="168"/>
    </row>
    <row r="1805" spans="26:34" ht="24" customHeight="1">
      <c r="Z1805"/>
      <c r="AA1805"/>
      <c r="AB1805"/>
      <c r="AC1805"/>
      <c r="AD1805"/>
      <c r="AE1805" s="168" t="str">
        <f t="shared" si="28"/>
        <v/>
      </c>
      <c r="AF1805" s="168">
        <v>0</v>
      </c>
      <c r="AG1805" s="168" t="str" cm="1">
        <f t="array" ref="AG1805">IF(AF1805="","",_xlfn.TEXTSPLIT(AF1805,"-"))</f>
        <v>0</v>
      </c>
      <c r="AH1805" s="168"/>
    </row>
    <row r="1806" spans="26:34" ht="24" customHeight="1">
      <c r="Z1806"/>
      <c r="AA1806"/>
      <c r="AB1806"/>
      <c r="AC1806"/>
      <c r="AD1806"/>
      <c r="AE1806" s="168" t="str">
        <f t="shared" si="28"/>
        <v/>
      </c>
      <c r="AF1806" s="168">
        <v>0</v>
      </c>
      <c r="AG1806" s="168" t="str" cm="1">
        <f t="array" ref="AG1806">IF(AF1806="","",_xlfn.TEXTSPLIT(AF1806,"-"))</f>
        <v>0</v>
      </c>
      <c r="AH1806" s="168"/>
    </row>
    <row r="1807" spans="26:34" ht="24" customHeight="1">
      <c r="Z1807"/>
      <c r="AA1807"/>
      <c r="AB1807"/>
      <c r="AC1807"/>
      <c r="AD1807"/>
      <c r="AE1807" s="168" t="str">
        <f t="shared" si="28"/>
        <v/>
      </c>
      <c r="AF1807" s="168">
        <v>0</v>
      </c>
      <c r="AG1807" s="168" t="str" cm="1">
        <f t="array" ref="AG1807">IF(AF1807="","",_xlfn.TEXTSPLIT(AF1807,"-"))</f>
        <v>0</v>
      </c>
      <c r="AH1807" s="168"/>
    </row>
    <row r="1808" spans="26:34" ht="24" customHeight="1">
      <c r="Z1808"/>
      <c r="AA1808"/>
      <c r="AB1808"/>
      <c r="AC1808"/>
      <c r="AD1808"/>
      <c r="AE1808" s="168" t="str">
        <f t="shared" si="28"/>
        <v/>
      </c>
      <c r="AF1808" s="168">
        <v>0</v>
      </c>
      <c r="AG1808" s="168" t="str" cm="1">
        <f t="array" ref="AG1808">IF(AF1808="","",_xlfn.TEXTSPLIT(AF1808,"-"))</f>
        <v>0</v>
      </c>
      <c r="AH1808" s="168"/>
    </row>
    <row r="1809" spans="26:34" ht="24" customHeight="1">
      <c r="Z1809"/>
      <c r="AA1809"/>
      <c r="AB1809"/>
      <c r="AC1809"/>
      <c r="AD1809"/>
      <c r="AE1809" s="168" t="str">
        <f t="shared" si="28"/>
        <v/>
      </c>
      <c r="AF1809" s="168">
        <v>0</v>
      </c>
      <c r="AG1809" s="168" t="str" cm="1">
        <f t="array" ref="AG1809">IF(AF1809="","",_xlfn.TEXTSPLIT(AF1809,"-"))</f>
        <v>0</v>
      </c>
      <c r="AH1809" s="168"/>
    </row>
    <row r="1810" spans="26:34" ht="24" customHeight="1">
      <c r="Z1810"/>
      <c r="AA1810"/>
      <c r="AB1810"/>
      <c r="AC1810"/>
      <c r="AD1810"/>
      <c r="AE1810" s="168" t="str">
        <f t="shared" si="28"/>
        <v/>
      </c>
      <c r="AF1810" s="168">
        <v>0</v>
      </c>
      <c r="AG1810" s="168" t="str" cm="1">
        <f t="array" ref="AG1810">IF(AF1810="","",_xlfn.TEXTSPLIT(AF1810,"-"))</f>
        <v>0</v>
      </c>
      <c r="AH1810" s="168"/>
    </row>
    <row r="1811" spans="26:34" ht="24" customHeight="1">
      <c r="Z1811"/>
      <c r="AA1811"/>
      <c r="AB1811"/>
      <c r="AC1811"/>
      <c r="AD1811"/>
      <c r="AE1811" s="168" t="str">
        <f t="shared" si="28"/>
        <v/>
      </c>
      <c r="AF1811" s="168">
        <v>0</v>
      </c>
      <c r="AG1811" s="168" t="str" cm="1">
        <f t="array" ref="AG1811">IF(AF1811="","",_xlfn.TEXTSPLIT(AF1811,"-"))</f>
        <v>0</v>
      </c>
      <c r="AH1811" s="168"/>
    </row>
    <row r="1812" spans="26:34" ht="24" customHeight="1">
      <c r="Z1812"/>
      <c r="AA1812"/>
      <c r="AB1812"/>
      <c r="AC1812"/>
      <c r="AD1812"/>
      <c r="AE1812" s="168" t="str">
        <f t="shared" si="28"/>
        <v/>
      </c>
      <c r="AF1812" s="168">
        <v>0</v>
      </c>
      <c r="AG1812" s="168" t="str" cm="1">
        <f t="array" ref="AG1812">IF(AF1812="","",_xlfn.TEXTSPLIT(AF1812,"-"))</f>
        <v>0</v>
      </c>
      <c r="AH1812" s="168"/>
    </row>
    <row r="1813" spans="26:34" ht="24" customHeight="1">
      <c r="Z1813"/>
      <c r="AA1813"/>
      <c r="AB1813"/>
      <c r="AC1813"/>
      <c r="AD1813"/>
      <c r="AE1813" s="168" t="str">
        <f t="shared" si="28"/>
        <v/>
      </c>
      <c r="AF1813" s="168">
        <v>0</v>
      </c>
      <c r="AG1813" s="168" t="str" cm="1">
        <f t="array" ref="AG1813">IF(AF1813="","",_xlfn.TEXTSPLIT(AF1813,"-"))</f>
        <v>0</v>
      </c>
      <c r="AH1813" s="168"/>
    </row>
    <row r="1814" spans="26:34" ht="24" customHeight="1">
      <c r="Z1814"/>
      <c r="AA1814"/>
      <c r="AB1814"/>
      <c r="AC1814"/>
      <c r="AD1814"/>
      <c r="AE1814" s="168" t="str">
        <f t="shared" si="28"/>
        <v/>
      </c>
      <c r="AF1814" s="168">
        <v>0</v>
      </c>
      <c r="AG1814" s="168" t="str" cm="1">
        <f t="array" ref="AG1814">IF(AF1814="","",_xlfn.TEXTSPLIT(AF1814,"-"))</f>
        <v>0</v>
      </c>
      <c r="AH1814" s="168"/>
    </row>
    <row r="1815" spans="26:34" ht="24" customHeight="1">
      <c r="Z1815"/>
      <c r="AA1815"/>
      <c r="AB1815"/>
      <c r="AC1815"/>
      <c r="AD1815"/>
      <c r="AE1815" s="168" t="str">
        <f t="shared" si="28"/>
        <v/>
      </c>
      <c r="AF1815" s="168">
        <v>0</v>
      </c>
      <c r="AG1815" s="168" t="str" cm="1">
        <f t="array" ref="AG1815">IF(AF1815="","",_xlfn.TEXTSPLIT(AF1815,"-"))</f>
        <v>0</v>
      </c>
      <c r="AH1815" s="168"/>
    </row>
    <row r="1816" spans="26:34" ht="24" customHeight="1">
      <c r="Z1816"/>
      <c r="AA1816"/>
      <c r="AB1816"/>
      <c r="AC1816"/>
      <c r="AD1816"/>
      <c r="AE1816" s="168" t="str">
        <f t="shared" si="28"/>
        <v/>
      </c>
      <c r="AF1816" s="168">
        <v>0</v>
      </c>
      <c r="AG1816" s="168" t="str" cm="1">
        <f t="array" ref="AG1816">IF(AF1816="","",_xlfn.TEXTSPLIT(AF1816,"-"))</f>
        <v>0</v>
      </c>
      <c r="AH1816" s="168"/>
    </row>
    <row r="1817" spans="26:34" ht="24" customHeight="1">
      <c r="Z1817"/>
      <c r="AA1817"/>
      <c r="AB1817"/>
      <c r="AC1817"/>
      <c r="AD1817"/>
      <c r="AE1817" s="168" t="str">
        <f t="shared" si="28"/>
        <v/>
      </c>
      <c r="AF1817" s="168">
        <v>0</v>
      </c>
      <c r="AG1817" s="168" t="str" cm="1">
        <f t="array" ref="AG1817">IF(AF1817="","",_xlfn.TEXTSPLIT(AF1817,"-"))</f>
        <v>0</v>
      </c>
      <c r="AH1817" s="168"/>
    </row>
    <row r="1818" spans="26:34" ht="24" customHeight="1">
      <c r="Z1818"/>
      <c r="AA1818"/>
      <c r="AB1818"/>
      <c r="AC1818"/>
      <c r="AD1818"/>
      <c r="AE1818" s="168" t="str">
        <f t="shared" si="28"/>
        <v/>
      </c>
      <c r="AF1818" s="168">
        <v>0</v>
      </c>
      <c r="AG1818" s="168" t="str" cm="1">
        <f t="array" ref="AG1818">IF(AF1818="","",_xlfn.TEXTSPLIT(AF1818,"-"))</f>
        <v>0</v>
      </c>
      <c r="AH1818" s="168"/>
    </row>
    <row r="1819" spans="26:34" ht="24" customHeight="1">
      <c r="Z1819"/>
      <c r="AA1819"/>
      <c r="AB1819"/>
      <c r="AC1819"/>
      <c r="AD1819"/>
      <c r="AE1819" s="168" t="str">
        <f t="shared" si="28"/>
        <v/>
      </c>
      <c r="AF1819" s="168">
        <v>0</v>
      </c>
      <c r="AG1819" s="168" t="str" cm="1">
        <f t="array" ref="AG1819">IF(AF1819="","",_xlfn.TEXTSPLIT(AF1819,"-"))</f>
        <v>0</v>
      </c>
      <c r="AH1819" s="168"/>
    </row>
    <row r="1820" spans="26:34" ht="24" customHeight="1">
      <c r="Z1820"/>
      <c r="AA1820"/>
      <c r="AB1820"/>
      <c r="AC1820"/>
      <c r="AD1820"/>
      <c r="AE1820" s="168" t="str">
        <f t="shared" si="28"/>
        <v/>
      </c>
      <c r="AF1820" s="168">
        <v>0</v>
      </c>
      <c r="AG1820" s="168" t="str" cm="1">
        <f t="array" ref="AG1820">IF(AF1820="","",_xlfn.TEXTSPLIT(AF1820,"-"))</f>
        <v>0</v>
      </c>
      <c r="AH1820" s="168"/>
    </row>
    <row r="1821" spans="26:34" ht="24" customHeight="1">
      <c r="Z1821"/>
      <c r="AA1821"/>
      <c r="AB1821"/>
      <c r="AC1821"/>
      <c r="AD1821"/>
      <c r="AE1821" s="168" t="str">
        <f t="shared" si="28"/>
        <v/>
      </c>
      <c r="AF1821" s="168">
        <v>0</v>
      </c>
      <c r="AG1821" s="168" t="str" cm="1">
        <f t="array" ref="AG1821">IF(AF1821="","",_xlfn.TEXTSPLIT(AF1821,"-"))</f>
        <v>0</v>
      </c>
      <c r="AH1821" s="168"/>
    </row>
    <row r="1822" spans="26:34" ht="24" customHeight="1">
      <c r="Z1822"/>
      <c r="AA1822"/>
      <c r="AB1822"/>
      <c r="AC1822"/>
      <c r="AD1822"/>
      <c r="AE1822" s="168" t="str">
        <f t="shared" si="28"/>
        <v/>
      </c>
      <c r="AF1822" s="168">
        <v>0</v>
      </c>
      <c r="AG1822" s="168" t="str" cm="1">
        <f t="array" ref="AG1822">IF(AF1822="","",_xlfn.TEXTSPLIT(AF1822,"-"))</f>
        <v>0</v>
      </c>
      <c r="AH1822" s="168"/>
    </row>
    <row r="1823" spans="26:34" ht="24" customHeight="1">
      <c r="Z1823"/>
      <c r="AA1823"/>
      <c r="AB1823"/>
      <c r="AC1823"/>
      <c r="AD1823"/>
      <c r="AE1823" s="168" t="str">
        <f t="shared" si="28"/>
        <v/>
      </c>
      <c r="AF1823" s="168">
        <v>0</v>
      </c>
      <c r="AG1823" s="168" t="str" cm="1">
        <f t="array" ref="AG1823">IF(AF1823="","",_xlfn.TEXTSPLIT(AF1823,"-"))</f>
        <v>0</v>
      </c>
      <c r="AH1823" s="168"/>
    </row>
    <row r="1824" spans="26:34" ht="24" customHeight="1">
      <c r="Z1824"/>
      <c r="AA1824"/>
      <c r="AB1824"/>
      <c r="AC1824"/>
      <c r="AD1824"/>
      <c r="AE1824" s="168" t="str">
        <f t="shared" si="28"/>
        <v/>
      </c>
      <c r="AF1824" s="168">
        <v>0</v>
      </c>
      <c r="AG1824" s="168" t="str" cm="1">
        <f t="array" ref="AG1824">IF(AF1824="","",_xlfn.TEXTSPLIT(AF1824,"-"))</f>
        <v>0</v>
      </c>
      <c r="AH1824" s="168"/>
    </row>
    <row r="1825" spans="26:34" ht="24" customHeight="1">
      <c r="Z1825"/>
      <c r="AA1825"/>
      <c r="AB1825"/>
      <c r="AC1825"/>
      <c r="AD1825"/>
      <c r="AE1825" s="168" t="str">
        <f t="shared" si="28"/>
        <v/>
      </c>
      <c r="AF1825" s="168">
        <v>0</v>
      </c>
      <c r="AG1825" s="168" t="str" cm="1">
        <f t="array" ref="AG1825">IF(AF1825="","",_xlfn.TEXTSPLIT(AF1825,"-"))</f>
        <v>0</v>
      </c>
      <c r="AH1825" s="168"/>
    </row>
    <row r="1826" spans="26:34" ht="24" customHeight="1">
      <c r="Z1826"/>
      <c r="AA1826"/>
      <c r="AB1826"/>
      <c r="AC1826"/>
      <c r="AD1826"/>
      <c r="AE1826" s="168" t="str">
        <f t="shared" si="28"/>
        <v/>
      </c>
      <c r="AF1826" s="168">
        <v>0</v>
      </c>
      <c r="AG1826" s="168" t="str" cm="1">
        <f t="array" ref="AG1826">IF(AF1826="","",_xlfn.TEXTSPLIT(AF1826,"-"))</f>
        <v>0</v>
      </c>
      <c r="AH1826" s="168"/>
    </row>
    <row r="1827" spans="26:34" ht="24" customHeight="1">
      <c r="Z1827"/>
      <c r="AA1827"/>
      <c r="AB1827"/>
      <c r="AC1827"/>
      <c r="AD1827"/>
      <c r="AE1827" s="168" t="str">
        <f t="shared" si="28"/>
        <v/>
      </c>
      <c r="AF1827" s="168">
        <v>0</v>
      </c>
      <c r="AG1827" s="168" t="str" cm="1">
        <f t="array" ref="AG1827">IF(AF1827="","",_xlfn.TEXTSPLIT(AF1827,"-"))</f>
        <v>0</v>
      </c>
      <c r="AH1827" s="168"/>
    </row>
    <row r="1828" spans="26:34" ht="24" customHeight="1">
      <c r="Z1828"/>
      <c r="AA1828"/>
      <c r="AB1828"/>
      <c r="AC1828"/>
      <c r="AD1828"/>
      <c r="AE1828" s="168" t="str">
        <f t="shared" si="28"/>
        <v/>
      </c>
      <c r="AF1828" s="168">
        <v>0</v>
      </c>
      <c r="AG1828" s="168" t="str" cm="1">
        <f t="array" ref="AG1828">IF(AF1828="","",_xlfn.TEXTSPLIT(AF1828,"-"))</f>
        <v>0</v>
      </c>
      <c r="AH1828" s="168"/>
    </row>
    <row r="1829" spans="26:34" ht="24" customHeight="1">
      <c r="Z1829"/>
      <c r="AA1829"/>
      <c r="AB1829"/>
      <c r="AC1829"/>
      <c r="AD1829"/>
      <c r="AE1829" s="168" t="str">
        <f t="shared" si="28"/>
        <v/>
      </c>
      <c r="AF1829" s="168">
        <v>0</v>
      </c>
      <c r="AG1829" s="168" t="str" cm="1">
        <f t="array" ref="AG1829">IF(AF1829="","",_xlfn.TEXTSPLIT(AF1829,"-"))</f>
        <v>0</v>
      </c>
      <c r="AH1829" s="168"/>
    </row>
    <row r="1830" spans="26:34" ht="24" customHeight="1">
      <c r="Z1830"/>
      <c r="AA1830"/>
      <c r="AB1830"/>
      <c r="AC1830"/>
      <c r="AD1830"/>
      <c r="AE1830" s="168" t="str">
        <f t="shared" si="28"/>
        <v/>
      </c>
      <c r="AF1830" s="168">
        <v>0</v>
      </c>
      <c r="AG1830" s="168" t="str" cm="1">
        <f t="array" ref="AG1830">IF(AF1830="","",_xlfn.TEXTSPLIT(AF1830,"-"))</f>
        <v>0</v>
      </c>
      <c r="AH1830" s="168"/>
    </row>
    <row r="1831" spans="26:34" ht="24" customHeight="1">
      <c r="Z1831"/>
      <c r="AA1831"/>
      <c r="AB1831"/>
      <c r="AC1831"/>
      <c r="AD1831"/>
      <c r="AE1831" s="168" t="str">
        <f t="shared" si="28"/>
        <v/>
      </c>
      <c r="AF1831" s="168">
        <v>0</v>
      </c>
      <c r="AG1831" s="168" t="str" cm="1">
        <f t="array" ref="AG1831">IF(AF1831="","",_xlfn.TEXTSPLIT(AF1831,"-"))</f>
        <v>0</v>
      </c>
      <c r="AH1831" s="168"/>
    </row>
    <row r="1832" spans="26:34" ht="24" customHeight="1">
      <c r="Z1832"/>
      <c r="AA1832"/>
      <c r="AB1832"/>
      <c r="AC1832"/>
      <c r="AD1832"/>
      <c r="AE1832" s="168" t="str">
        <f t="shared" si="28"/>
        <v/>
      </c>
      <c r="AF1832" s="168">
        <v>0</v>
      </c>
      <c r="AG1832" s="168" t="str" cm="1">
        <f t="array" ref="AG1832">IF(AF1832="","",_xlfn.TEXTSPLIT(AF1832,"-"))</f>
        <v>0</v>
      </c>
      <c r="AH1832" s="168"/>
    </row>
    <row r="1833" spans="26:34" ht="24" customHeight="1">
      <c r="Z1833"/>
      <c r="AA1833"/>
      <c r="AB1833"/>
      <c r="AC1833"/>
      <c r="AD1833"/>
      <c r="AE1833" s="168" t="str">
        <f t="shared" si="28"/>
        <v/>
      </c>
      <c r="AF1833" s="168">
        <v>0</v>
      </c>
      <c r="AG1833" s="168" t="str" cm="1">
        <f t="array" ref="AG1833">IF(AF1833="","",_xlfn.TEXTSPLIT(AF1833,"-"))</f>
        <v>0</v>
      </c>
      <c r="AH1833" s="168"/>
    </row>
    <row r="1834" spans="26:34" ht="24" customHeight="1">
      <c r="Z1834"/>
      <c r="AA1834"/>
      <c r="AB1834"/>
      <c r="AC1834"/>
      <c r="AD1834"/>
      <c r="AE1834" s="168" t="str">
        <f t="shared" si="28"/>
        <v/>
      </c>
      <c r="AF1834" s="168">
        <v>0</v>
      </c>
      <c r="AG1834" s="168" t="str" cm="1">
        <f t="array" ref="AG1834">IF(AF1834="","",_xlfn.TEXTSPLIT(AF1834,"-"))</f>
        <v>0</v>
      </c>
      <c r="AH1834" s="168"/>
    </row>
    <row r="1835" spans="26:34" ht="24" customHeight="1">
      <c r="Z1835"/>
      <c r="AA1835"/>
      <c r="AB1835"/>
      <c r="AC1835"/>
      <c r="AD1835"/>
      <c r="AE1835" s="168" t="str">
        <f t="shared" si="28"/>
        <v/>
      </c>
      <c r="AF1835" s="168">
        <v>0</v>
      </c>
      <c r="AG1835" s="168" t="str" cm="1">
        <f t="array" ref="AG1835">IF(AF1835="","",_xlfn.TEXTSPLIT(AF1835,"-"))</f>
        <v>0</v>
      </c>
      <c r="AH1835" s="168"/>
    </row>
    <row r="1836" spans="26:34" ht="24" customHeight="1">
      <c r="Z1836"/>
      <c r="AA1836"/>
      <c r="AB1836"/>
      <c r="AC1836"/>
      <c r="AD1836"/>
      <c r="AE1836" s="168" t="str">
        <f t="shared" si="28"/>
        <v/>
      </c>
      <c r="AF1836" s="168">
        <v>0</v>
      </c>
      <c r="AG1836" s="168" t="str" cm="1">
        <f t="array" ref="AG1836">IF(AF1836="","",_xlfn.TEXTSPLIT(AF1836,"-"))</f>
        <v>0</v>
      </c>
      <c r="AH1836" s="168"/>
    </row>
    <row r="1837" spans="26:34" ht="24" customHeight="1">
      <c r="Z1837"/>
      <c r="AA1837"/>
      <c r="AB1837"/>
      <c r="AC1837"/>
      <c r="AD1837"/>
      <c r="AE1837" s="168" t="str">
        <f t="shared" si="28"/>
        <v/>
      </c>
      <c r="AF1837" s="168">
        <v>0</v>
      </c>
      <c r="AG1837" s="168" t="str" cm="1">
        <f t="array" ref="AG1837">IF(AF1837="","",_xlfn.TEXTSPLIT(AF1837,"-"))</f>
        <v>0</v>
      </c>
      <c r="AH1837" s="168"/>
    </row>
    <row r="1838" spans="26:34" ht="24" customHeight="1">
      <c r="Z1838"/>
      <c r="AA1838"/>
      <c r="AB1838"/>
      <c r="AC1838"/>
      <c r="AD1838"/>
      <c r="AE1838" s="168" t="str">
        <f t="shared" si="28"/>
        <v/>
      </c>
      <c r="AF1838" s="168">
        <v>0</v>
      </c>
      <c r="AG1838" s="168" t="str" cm="1">
        <f t="array" ref="AG1838">IF(AF1838="","",_xlfn.TEXTSPLIT(AF1838,"-"))</f>
        <v>0</v>
      </c>
      <c r="AH1838" s="168"/>
    </row>
    <row r="1839" spans="26:34" ht="24" customHeight="1">
      <c r="Z1839"/>
      <c r="AA1839"/>
      <c r="AB1839"/>
      <c r="AC1839"/>
      <c r="AD1839"/>
      <c r="AE1839" s="168" t="str">
        <f t="shared" si="28"/>
        <v/>
      </c>
      <c r="AF1839" s="168">
        <v>0</v>
      </c>
      <c r="AG1839" s="168" t="str" cm="1">
        <f t="array" ref="AG1839">IF(AF1839="","",_xlfn.TEXTSPLIT(AF1839,"-"))</f>
        <v>0</v>
      </c>
      <c r="AH1839" s="168"/>
    </row>
    <row r="1840" spans="26:34" ht="24" customHeight="1">
      <c r="Z1840"/>
      <c r="AA1840"/>
      <c r="AB1840"/>
      <c r="AC1840"/>
      <c r="AD1840"/>
      <c r="AE1840" s="168" t="str">
        <f t="shared" si="28"/>
        <v/>
      </c>
      <c r="AF1840" s="168">
        <v>0</v>
      </c>
      <c r="AG1840" s="168" t="str" cm="1">
        <f t="array" ref="AG1840">IF(AF1840="","",_xlfn.TEXTSPLIT(AF1840,"-"))</f>
        <v>0</v>
      </c>
      <c r="AH1840" s="168"/>
    </row>
    <row r="1841" spans="26:34" ht="24" customHeight="1">
      <c r="Z1841"/>
      <c r="AA1841"/>
      <c r="AB1841"/>
      <c r="AC1841"/>
      <c r="AD1841"/>
      <c r="AE1841" s="168" t="str">
        <f t="shared" si="28"/>
        <v/>
      </c>
      <c r="AF1841" s="168">
        <v>0</v>
      </c>
      <c r="AG1841" s="168" t="str" cm="1">
        <f t="array" ref="AG1841">IF(AF1841="","",_xlfn.TEXTSPLIT(AF1841,"-"))</f>
        <v>0</v>
      </c>
      <c r="AH1841" s="168"/>
    </row>
    <row r="1842" spans="26:34" ht="24" customHeight="1">
      <c r="Z1842"/>
      <c r="AA1842"/>
      <c r="AB1842"/>
      <c r="AC1842"/>
      <c r="AD1842"/>
      <c r="AE1842" s="168" t="str">
        <f t="shared" si="28"/>
        <v/>
      </c>
      <c r="AF1842" s="168">
        <v>0</v>
      </c>
      <c r="AG1842" s="168" t="str" cm="1">
        <f t="array" ref="AG1842">IF(AF1842="","",_xlfn.TEXTSPLIT(AF1842,"-"))</f>
        <v>0</v>
      </c>
      <c r="AH1842" s="168"/>
    </row>
    <row r="1843" spans="26:34" ht="24" customHeight="1">
      <c r="Z1843"/>
      <c r="AA1843"/>
      <c r="AB1843"/>
      <c r="AC1843"/>
      <c r="AD1843"/>
      <c r="AE1843" s="168" t="str">
        <f t="shared" si="28"/>
        <v/>
      </c>
      <c r="AF1843" s="168">
        <v>0</v>
      </c>
      <c r="AG1843" s="168" t="str" cm="1">
        <f t="array" ref="AG1843">IF(AF1843="","",_xlfn.TEXTSPLIT(AF1843,"-"))</f>
        <v>0</v>
      </c>
      <c r="AH1843" s="168"/>
    </row>
    <row r="1844" spans="26:34" ht="24" customHeight="1">
      <c r="Z1844"/>
      <c r="AA1844"/>
      <c r="AB1844"/>
      <c r="AC1844"/>
      <c r="AD1844"/>
      <c r="AE1844" s="168" t="str">
        <f t="shared" si="28"/>
        <v/>
      </c>
      <c r="AF1844" s="168">
        <v>0</v>
      </c>
      <c r="AG1844" s="168" t="str" cm="1">
        <f t="array" ref="AG1844">IF(AF1844="","",_xlfn.TEXTSPLIT(AF1844,"-"))</f>
        <v>0</v>
      </c>
      <c r="AH1844" s="168"/>
    </row>
    <row r="1845" spans="26:34" ht="24" customHeight="1">
      <c r="Z1845"/>
      <c r="AA1845"/>
      <c r="AB1845"/>
      <c r="AC1845"/>
      <c r="AD1845"/>
      <c r="AE1845" s="168" t="str">
        <f t="shared" si="28"/>
        <v/>
      </c>
      <c r="AF1845" s="168">
        <v>0</v>
      </c>
      <c r="AG1845" s="168" t="str" cm="1">
        <f t="array" ref="AG1845">IF(AF1845="","",_xlfn.TEXTSPLIT(AF1845,"-"))</f>
        <v>0</v>
      </c>
      <c r="AH1845" s="168"/>
    </row>
    <row r="1846" spans="26:34" ht="24" customHeight="1">
      <c r="Z1846"/>
      <c r="AA1846"/>
      <c r="AB1846"/>
      <c r="AC1846"/>
      <c r="AD1846"/>
      <c r="AE1846" s="168" t="str">
        <f t="shared" si="28"/>
        <v/>
      </c>
      <c r="AF1846" s="168">
        <v>0</v>
      </c>
      <c r="AG1846" s="168" t="str" cm="1">
        <f t="array" ref="AG1846">IF(AF1846="","",_xlfn.TEXTSPLIT(AF1846,"-"))</f>
        <v>0</v>
      </c>
      <c r="AH1846" s="168"/>
    </row>
    <row r="1847" spans="26:34" ht="24" customHeight="1">
      <c r="Z1847"/>
      <c r="AA1847"/>
      <c r="AB1847"/>
      <c r="AC1847"/>
      <c r="AD1847"/>
      <c r="AE1847" s="168" t="str">
        <f t="shared" si="28"/>
        <v/>
      </c>
      <c r="AF1847" s="168">
        <v>0</v>
      </c>
      <c r="AG1847" s="168" t="str" cm="1">
        <f t="array" ref="AG1847">IF(AF1847="","",_xlfn.TEXTSPLIT(AF1847,"-"))</f>
        <v>0</v>
      </c>
      <c r="AH1847" s="168"/>
    </row>
    <row r="1848" spans="26:34" ht="24" customHeight="1">
      <c r="Z1848"/>
      <c r="AA1848"/>
      <c r="AB1848"/>
      <c r="AC1848"/>
      <c r="AD1848"/>
      <c r="AE1848" s="168" t="str">
        <f t="shared" si="28"/>
        <v/>
      </c>
      <c r="AF1848" s="168">
        <v>0</v>
      </c>
      <c r="AG1848" s="168" t="str" cm="1">
        <f t="array" ref="AG1848">IF(AF1848="","",_xlfn.TEXTSPLIT(AF1848,"-"))</f>
        <v>0</v>
      </c>
      <c r="AH1848" s="168"/>
    </row>
    <row r="1849" spans="26:34" ht="24" customHeight="1">
      <c r="Z1849"/>
      <c r="AA1849"/>
      <c r="AB1849"/>
      <c r="AC1849"/>
      <c r="AD1849"/>
      <c r="AE1849" s="168" t="str">
        <f t="shared" si="28"/>
        <v/>
      </c>
      <c r="AF1849" s="168">
        <v>0</v>
      </c>
      <c r="AG1849" s="168" t="str" cm="1">
        <f t="array" ref="AG1849">IF(AF1849="","",_xlfn.TEXTSPLIT(AF1849,"-"))</f>
        <v>0</v>
      </c>
      <c r="AH1849" s="168"/>
    </row>
    <row r="1850" spans="26:34" ht="24" customHeight="1">
      <c r="Z1850"/>
      <c r="AA1850"/>
      <c r="AB1850"/>
      <c r="AC1850"/>
      <c r="AD1850"/>
      <c r="AE1850" s="168" t="str">
        <f t="shared" si="28"/>
        <v/>
      </c>
      <c r="AF1850" s="168">
        <v>0</v>
      </c>
      <c r="AG1850" s="168" t="str" cm="1">
        <f t="array" ref="AG1850">IF(AF1850="","",_xlfn.TEXTSPLIT(AF1850,"-"))</f>
        <v>0</v>
      </c>
      <c r="AH1850" s="168"/>
    </row>
    <row r="1851" spans="26:34" ht="24" customHeight="1">
      <c r="Z1851"/>
      <c r="AA1851"/>
      <c r="AB1851"/>
      <c r="AC1851"/>
      <c r="AD1851"/>
      <c r="AE1851" s="168" t="str">
        <f t="shared" si="28"/>
        <v/>
      </c>
      <c r="AF1851" s="168">
        <v>0</v>
      </c>
      <c r="AG1851" s="168" t="str" cm="1">
        <f t="array" ref="AG1851">IF(AF1851="","",_xlfn.TEXTSPLIT(AF1851,"-"))</f>
        <v>0</v>
      </c>
      <c r="AH1851" s="168"/>
    </row>
    <row r="1852" spans="26:34" ht="24" customHeight="1">
      <c r="Z1852"/>
      <c r="AA1852"/>
      <c r="AB1852"/>
      <c r="AC1852"/>
      <c r="AD1852"/>
      <c r="AE1852" s="168" t="str">
        <f t="shared" si="28"/>
        <v/>
      </c>
      <c r="AF1852" s="168">
        <v>0</v>
      </c>
      <c r="AG1852" s="168" t="str" cm="1">
        <f t="array" ref="AG1852">IF(AF1852="","",_xlfn.TEXTSPLIT(AF1852,"-"))</f>
        <v>0</v>
      </c>
      <c r="AH1852" s="168"/>
    </row>
    <row r="1853" spans="26:34" ht="24" customHeight="1">
      <c r="Z1853"/>
      <c r="AA1853"/>
      <c r="AB1853"/>
      <c r="AC1853"/>
      <c r="AD1853"/>
      <c r="AE1853" s="168" t="str">
        <f t="shared" si="28"/>
        <v/>
      </c>
      <c r="AF1853" s="168">
        <v>0</v>
      </c>
      <c r="AG1853" s="168" t="str" cm="1">
        <f t="array" ref="AG1853">IF(AF1853="","",_xlfn.TEXTSPLIT(AF1853,"-"))</f>
        <v>0</v>
      </c>
      <c r="AH1853" s="168"/>
    </row>
    <row r="1854" spans="26:34" ht="24" customHeight="1">
      <c r="Z1854"/>
      <c r="AA1854"/>
      <c r="AB1854"/>
      <c r="AC1854"/>
      <c r="AD1854"/>
      <c r="AE1854" s="168" t="str">
        <f t="shared" si="28"/>
        <v/>
      </c>
      <c r="AF1854" s="168">
        <v>0</v>
      </c>
      <c r="AG1854" s="168" t="str" cm="1">
        <f t="array" ref="AG1854">IF(AF1854="","",_xlfn.TEXTSPLIT(AF1854,"-"))</f>
        <v>0</v>
      </c>
      <c r="AH1854" s="168"/>
    </row>
    <row r="1855" spans="26:34" ht="24" customHeight="1">
      <c r="Z1855"/>
      <c r="AA1855"/>
      <c r="AB1855"/>
      <c r="AC1855"/>
      <c r="AD1855"/>
      <c r="AE1855" s="168" t="str">
        <f t="shared" si="28"/>
        <v/>
      </c>
      <c r="AF1855" s="168">
        <v>0</v>
      </c>
      <c r="AG1855" s="168" t="str" cm="1">
        <f t="array" ref="AG1855">IF(AF1855="","",_xlfn.TEXTSPLIT(AF1855,"-"))</f>
        <v>0</v>
      </c>
      <c r="AH1855" s="168"/>
    </row>
    <row r="1856" spans="26:34" ht="24" customHeight="1">
      <c r="Z1856"/>
      <c r="AA1856"/>
      <c r="AB1856"/>
      <c r="AC1856"/>
      <c r="AD1856"/>
      <c r="AE1856" s="168" t="str">
        <f t="shared" si="28"/>
        <v/>
      </c>
      <c r="AF1856" s="168">
        <v>0</v>
      </c>
      <c r="AG1856" s="168" t="str" cm="1">
        <f t="array" ref="AG1856">IF(AF1856="","",_xlfn.TEXTSPLIT(AF1856,"-"))</f>
        <v>0</v>
      </c>
      <c r="AH1856" s="168"/>
    </row>
    <row r="1857" spans="26:34" ht="24" customHeight="1">
      <c r="Z1857"/>
      <c r="AA1857"/>
      <c r="AB1857"/>
      <c r="AC1857"/>
      <c r="AD1857"/>
      <c r="AE1857" s="168" t="str">
        <f t="shared" si="28"/>
        <v/>
      </c>
      <c r="AF1857" s="168">
        <v>0</v>
      </c>
      <c r="AG1857" s="168" t="str" cm="1">
        <f t="array" ref="AG1857">IF(AF1857="","",_xlfn.TEXTSPLIT(AF1857,"-"))</f>
        <v>0</v>
      </c>
      <c r="AH1857" s="168"/>
    </row>
    <row r="1858" spans="26:34" ht="24" customHeight="1">
      <c r="Z1858"/>
      <c r="AA1858"/>
      <c r="AB1858"/>
      <c r="AC1858"/>
      <c r="AD1858"/>
      <c r="AE1858" s="168" t="str">
        <f t="shared" si="28"/>
        <v/>
      </c>
      <c r="AF1858" s="168">
        <v>0</v>
      </c>
      <c r="AG1858" s="168" t="str" cm="1">
        <f t="array" ref="AG1858">IF(AF1858="","",_xlfn.TEXTSPLIT(AF1858,"-"))</f>
        <v>0</v>
      </c>
      <c r="AH1858" s="168"/>
    </row>
    <row r="1859" spans="26:34" ht="24" customHeight="1">
      <c r="Z1859"/>
      <c r="AA1859"/>
      <c r="AB1859"/>
      <c r="AC1859"/>
      <c r="AD1859"/>
      <c r="AE1859" s="168" t="str">
        <f t="shared" si="28"/>
        <v/>
      </c>
      <c r="AF1859" s="168">
        <v>0</v>
      </c>
      <c r="AG1859" s="168" t="str" cm="1">
        <f t="array" ref="AG1859">IF(AF1859="","",_xlfn.TEXTSPLIT(AF1859,"-"))</f>
        <v>0</v>
      </c>
      <c r="AH1859" s="168"/>
    </row>
    <row r="1860" spans="26:34" ht="24" customHeight="1">
      <c r="Z1860"/>
      <c r="AA1860"/>
      <c r="AB1860"/>
      <c r="AC1860"/>
      <c r="AD1860"/>
      <c r="AE1860" s="168" t="str">
        <f t="shared" si="28"/>
        <v/>
      </c>
      <c r="AF1860" s="168">
        <v>0</v>
      </c>
      <c r="AG1860" s="168" t="str" cm="1">
        <f t="array" ref="AG1860">IF(AF1860="","",_xlfn.TEXTSPLIT(AF1860,"-"))</f>
        <v>0</v>
      </c>
      <c r="AH1860" s="168"/>
    </row>
    <row r="1861" spans="26:34" ht="24" customHeight="1">
      <c r="Z1861"/>
      <c r="AA1861"/>
      <c r="AB1861"/>
      <c r="AC1861"/>
      <c r="AD1861"/>
      <c r="AE1861" s="168" t="str">
        <f t="shared" ref="AE1861:AE1924" si="29">IF(AH1861="","",AH1861*1)</f>
        <v/>
      </c>
      <c r="AF1861" s="168">
        <v>0</v>
      </c>
      <c r="AG1861" s="168" t="str" cm="1">
        <f t="array" ref="AG1861">IF(AF1861="","",_xlfn.TEXTSPLIT(AF1861,"-"))</f>
        <v>0</v>
      </c>
      <c r="AH1861" s="168"/>
    </row>
    <row r="1862" spans="26:34" ht="24" customHeight="1">
      <c r="Z1862"/>
      <c r="AA1862"/>
      <c r="AB1862"/>
      <c r="AC1862"/>
      <c r="AD1862"/>
      <c r="AE1862" s="168" t="str">
        <f t="shared" si="29"/>
        <v/>
      </c>
      <c r="AF1862" s="168">
        <v>0</v>
      </c>
      <c r="AG1862" s="168" t="str" cm="1">
        <f t="array" ref="AG1862">IF(AF1862="","",_xlfn.TEXTSPLIT(AF1862,"-"))</f>
        <v>0</v>
      </c>
      <c r="AH1862" s="168"/>
    </row>
    <row r="1863" spans="26:34" ht="24" customHeight="1">
      <c r="Z1863"/>
      <c r="AA1863"/>
      <c r="AB1863"/>
      <c r="AC1863"/>
      <c r="AD1863"/>
      <c r="AE1863" s="168" t="str">
        <f t="shared" si="29"/>
        <v/>
      </c>
      <c r="AF1863" s="168">
        <v>0</v>
      </c>
      <c r="AG1863" s="168" t="str" cm="1">
        <f t="array" ref="AG1863">IF(AF1863="","",_xlfn.TEXTSPLIT(AF1863,"-"))</f>
        <v>0</v>
      </c>
      <c r="AH1863" s="168"/>
    </row>
    <row r="1864" spans="26:34" ht="24" customHeight="1">
      <c r="Z1864"/>
      <c r="AA1864"/>
      <c r="AB1864"/>
      <c r="AC1864"/>
      <c r="AD1864"/>
      <c r="AE1864" s="168" t="str">
        <f t="shared" si="29"/>
        <v/>
      </c>
      <c r="AF1864" s="168">
        <v>0</v>
      </c>
      <c r="AG1864" s="168" t="str" cm="1">
        <f t="array" ref="AG1864">IF(AF1864="","",_xlfn.TEXTSPLIT(AF1864,"-"))</f>
        <v>0</v>
      </c>
      <c r="AH1864" s="168"/>
    </row>
    <row r="1865" spans="26:34" ht="24" customHeight="1">
      <c r="Z1865"/>
      <c r="AA1865"/>
      <c r="AB1865"/>
      <c r="AC1865"/>
      <c r="AD1865"/>
      <c r="AE1865" s="168" t="str">
        <f t="shared" si="29"/>
        <v/>
      </c>
      <c r="AF1865" s="168">
        <v>0</v>
      </c>
      <c r="AG1865" s="168" t="str" cm="1">
        <f t="array" ref="AG1865">IF(AF1865="","",_xlfn.TEXTSPLIT(AF1865,"-"))</f>
        <v>0</v>
      </c>
      <c r="AH1865" s="168"/>
    </row>
    <row r="1866" spans="26:34" ht="24" customHeight="1">
      <c r="Z1866"/>
      <c r="AA1866"/>
      <c r="AB1866"/>
      <c r="AC1866"/>
      <c r="AD1866"/>
      <c r="AE1866" s="168" t="str">
        <f t="shared" si="29"/>
        <v/>
      </c>
      <c r="AF1866" s="168">
        <v>0</v>
      </c>
      <c r="AG1866" s="168" t="str" cm="1">
        <f t="array" ref="AG1866">IF(AF1866="","",_xlfn.TEXTSPLIT(AF1866,"-"))</f>
        <v>0</v>
      </c>
      <c r="AH1866" s="168"/>
    </row>
    <row r="1867" spans="26:34" ht="24" customHeight="1">
      <c r="Z1867"/>
      <c r="AA1867"/>
      <c r="AB1867"/>
      <c r="AC1867"/>
      <c r="AD1867"/>
      <c r="AE1867" s="168" t="str">
        <f t="shared" si="29"/>
        <v/>
      </c>
      <c r="AF1867" s="168">
        <v>0</v>
      </c>
      <c r="AG1867" s="168" t="str" cm="1">
        <f t="array" ref="AG1867">IF(AF1867="","",_xlfn.TEXTSPLIT(AF1867,"-"))</f>
        <v>0</v>
      </c>
      <c r="AH1867" s="168"/>
    </row>
    <row r="1868" spans="26:34" ht="24" customHeight="1">
      <c r="Z1868"/>
      <c r="AA1868"/>
      <c r="AB1868"/>
      <c r="AC1868"/>
      <c r="AD1868"/>
      <c r="AE1868" s="168" t="str">
        <f t="shared" si="29"/>
        <v/>
      </c>
      <c r="AF1868" s="168">
        <v>0</v>
      </c>
      <c r="AG1868" s="168" t="str" cm="1">
        <f t="array" ref="AG1868">IF(AF1868="","",_xlfn.TEXTSPLIT(AF1868,"-"))</f>
        <v>0</v>
      </c>
      <c r="AH1868" s="168"/>
    </row>
    <row r="1869" spans="26:34" ht="24" customHeight="1">
      <c r="Z1869"/>
      <c r="AA1869"/>
      <c r="AB1869"/>
      <c r="AC1869"/>
      <c r="AD1869"/>
      <c r="AE1869" s="168" t="str">
        <f t="shared" si="29"/>
        <v/>
      </c>
      <c r="AF1869" s="168">
        <v>0</v>
      </c>
      <c r="AG1869" s="168" t="str" cm="1">
        <f t="array" ref="AG1869">IF(AF1869="","",_xlfn.TEXTSPLIT(AF1869,"-"))</f>
        <v>0</v>
      </c>
      <c r="AH1869" s="168"/>
    </row>
    <row r="1870" spans="26:34" ht="24" customHeight="1">
      <c r="Z1870"/>
      <c r="AA1870"/>
      <c r="AB1870"/>
      <c r="AC1870"/>
      <c r="AD1870"/>
      <c r="AE1870" s="168" t="str">
        <f t="shared" si="29"/>
        <v/>
      </c>
      <c r="AF1870" s="168">
        <v>0</v>
      </c>
      <c r="AG1870" s="168" t="str" cm="1">
        <f t="array" ref="AG1870">IF(AF1870="","",_xlfn.TEXTSPLIT(AF1870,"-"))</f>
        <v>0</v>
      </c>
      <c r="AH1870" s="168"/>
    </row>
    <row r="1871" spans="26:34" ht="24" customHeight="1">
      <c r="Z1871"/>
      <c r="AA1871"/>
      <c r="AB1871"/>
      <c r="AC1871"/>
      <c r="AD1871"/>
      <c r="AE1871" s="168" t="str">
        <f t="shared" si="29"/>
        <v/>
      </c>
      <c r="AF1871" s="168">
        <v>0</v>
      </c>
      <c r="AG1871" s="168" t="str" cm="1">
        <f t="array" ref="AG1871">IF(AF1871="","",_xlfn.TEXTSPLIT(AF1871,"-"))</f>
        <v>0</v>
      </c>
      <c r="AH1871" s="168"/>
    </row>
    <row r="1872" spans="26:34" ht="24" customHeight="1">
      <c r="Z1872"/>
      <c r="AA1872"/>
      <c r="AB1872"/>
      <c r="AC1872"/>
      <c r="AD1872"/>
      <c r="AE1872" s="168" t="str">
        <f t="shared" si="29"/>
        <v/>
      </c>
      <c r="AF1872" s="168">
        <v>0</v>
      </c>
      <c r="AG1872" s="168" t="str" cm="1">
        <f t="array" ref="AG1872">IF(AF1872="","",_xlfn.TEXTSPLIT(AF1872,"-"))</f>
        <v>0</v>
      </c>
      <c r="AH1872" s="168"/>
    </row>
    <row r="1873" spans="26:34" ht="24" customHeight="1">
      <c r="Z1873"/>
      <c r="AA1873"/>
      <c r="AB1873"/>
      <c r="AC1873"/>
      <c r="AD1873"/>
      <c r="AE1873" s="168" t="str">
        <f t="shared" si="29"/>
        <v/>
      </c>
      <c r="AF1873" s="168">
        <v>0</v>
      </c>
      <c r="AG1873" s="168" t="str" cm="1">
        <f t="array" ref="AG1873">IF(AF1873="","",_xlfn.TEXTSPLIT(AF1873,"-"))</f>
        <v>0</v>
      </c>
      <c r="AH1873" s="168"/>
    </row>
    <row r="1874" spans="26:34" ht="24" customHeight="1">
      <c r="Z1874"/>
      <c r="AA1874"/>
      <c r="AB1874"/>
      <c r="AC1874"/>
      <c r="AD1874"/>
      <c r="AE1874" s="168" t="str">
        <f t="shared" si="29"/>
        <v/>
      </c>
      <c r="AF1874" s="168">
        <v>0</v>
      </c>
      <c r="AG1874" s="168" t="str" cm="1">
        <f t="array" ref="AG1874">IF(AF1874="","",_xlfn.TEXTSPLIT(AF1874,"-"))</f>
        <v>0</v>
      </c>
      <c r="AH1874" s="168"/>
    </row>
    <row r="1875" spans="26:34" ht="24" customHeight="1">
      <c r="Z1875"/>
      <c r="AA1875"/>
      <c r="AB1875"/>
      <c r="AC1875"/>
      <c r="AD1875"/>
      <c r="AE1875" s="168" t="str">
        <f t="shared" si="29"/>
        <v/>
      </c>
      <c r="AF1875" s="168">
        <v>0</v>
      </c>
      <c r="AG1875" s="168" t="str" cm="1">
        <f t="array" ref="AG1875">IF(AF1875="","",_xlfn.TEXTSPLIT(AF1875,"-"))</f>
        <v>0</v>
      </c>
      <c r="AH1875" s="168"/>
    </row>
    <row r="1876" spans="26:34" ht="24" customHeight="1">
      <c r="Z1876"/>
      <c r="AA1876"/>
      <c r="AB1876"/>
      <c r="AC1876"/>
      <c r="AD1876"/>
      <c r="AE1876" s="168" t="str">
        <f t="shared" si="29"/>
        <v/>
      </c>
      <c r="AF1876" s="168">
        <v>0</v>
      </c>
      <c r="AG1876" s="168" t="str" cm="1">
        <f t="array" ref="AG1876">IF(AF1876="","",_xlfn.TEXTSPLIT(AF1876,"-"))</f>
        <v>0</v>
      </c>
      <c r="AH1876" s="168"/>
    </row>
    <row r="1877" spans="26:34" ht="24" customHeight="1">
      <c r="Z1877"/>
      <c r="AA1877"/>
      <c r="AB1877"/>
      <c r="AC1877"/>
      <c r="AD1877"/>
      <c r="AE1877" s="168" t="str">
        <f t="shared" si="29"/>
        <v/>
      </c>
      <c r="AF1877" s="168">
        <v>0</v>
      </c>
      <c r="AG1877" s="168" t="str" cm="1">
        <f t="array" ref="AG1877">IF(AF1877="","",_xlfn.TEXTSPLIT(AF1877,"-"))</f>
        <v>0</v>
      </c>
      <c r="AH1877" s="168"/>
    </row>
    <row r="1878" spans="26:34" ht="24" customHeight="1">
      <c r="Z1878"/>
      <c r="AA1878"/>
      <c r="AB1878"/>
      <c r="AC1878"/>
      <c r="AD1878"/>
      <c r="AE1878" s="168" t="str">
        <f t="shared" si="29"/>
        <v/>
      </c>
      <c r="AF1878" s="168">
        <v>0</v>
      </c>
      <c r="AG1878" s="168" t="str" cm="1">
        <f t="array" ref="AG1878">IF(AF1878="","",_xlfn.TEXTSPLIT(AF1878,"-"))</f>
        <v>0</v>
      </c>
      <c r="AH1878" s="168"/>
    </row>
    <row r="1879" spans="26:34" ht="24" customHeight="1">
      <c r="Z1879"/>
      <c r="AA1879"/>
      <c r="AB1879"/>
      <c r="AC1879"/>
      <c r="AD1879"/>
      <c r="AE1879" s="168" t="str">
        <f t="shared" si="29"/>
        <v/>
      </c>
      <c r="AF1879" s="168">
        <v>0</v>
      </c>
      <c r="AG1879" s="168" t="str" cm="1">
        <f t="array" ref="AG1879">IF(AF1879="","",_xlfn.TEXTSPLIT(AF1879,"-"))</f>
        <v>0</v>
      </c>
      <c r="AH1879" s="168"/>
    </row>
    <row r="1880" spans="26:34" ht="24" customHeight="1">
      <c r="Z1880"/>
      <c r="AA1880"/>
      <c r="AB1880"/>
      <c r="AC1880"/>
      <c r="AD1880"/>
      <c r="AE1880" s="168" t="str">
        <f t="shared" si="29"/>
        <v/>
      </c>
      <c r="AF1880" s="168">
        <v>0</v>
      </c>
      <c r="AG1880" s="168" t="str" cm="1">
        <f t="array" ref="AG1880">IF(AF1880="","",_xlfn.TEXTSPLIT(AF1880,"-"))</f>
        <v>0</v>
      </c>
      <c r="AH1880" s="168"/>
    </row>
    <row r="1881" spans="26:34" ht="24" customHeight="1">
      <c r="Z1881"/>
      <c r="AA1881"/>
      <c r="AB1881"/>
      <c r="AC1881"/>
      <c r="AD1881"/>
      <c r="AE1881" s="168" t="str">
        <f t="shared" si="29"/>
        <v/>
      </c>
      <c r="AF1881" s="168">
        <v>0</v>
      </c>
      <c r="AG1881" s="168" t="str" cm="1">
        <f t="array" ref="AG1881">IF(AF1881="","",_xlfn.TEXTSPLIT(AF1881,"-"))</f>
        <v>0</v>
      </c>
      <c r="AH1881" s="168"/>
    </row>
    <row r="1882" spans="26:34" ht="24" customHeight="1">
      <c r="Z1882"/>
      <c r="AA1882"/>
      <c r="AB1882"/>
      <c r="AC1882"/>
      <c r="AD1882"/>
      <c r="AE1882" s="168" t="str">
        <f t="shared" si="29"/>
        <v/>
      </c>
      <c r="AF1882" s="168">
        <v>0</v>
      </c>
      <c r="AG1882" s="168" t="str" cm="1">
        <f t="array" ref="AG1882">IF(AF1882="","",_xlfn.TEXTSPLIT(AF1882,"-"))</f>
        <v>0</v>
      </c>
      <c r="AH1882" s="168"/>
    </row>
    <row r="1883" spans="26:34" ht="24" customHeight="1">
      <c r="Z1883"/>
      <c r="AA1883"/>
      <c r="AB1883"/>
      <c r="AC1883"/>
      <c r="AD1883"/>
      <c r="AE1883" s="168" t="str">
        <f t="shared" si="29"/>
        <v/>
      </c>
      <c r="AF1883" s="168">
        <v>0</v>
      </c>
      <c r="AG1883" s="168" t="str" cm="1">
        <f t="array" ref="AG1883">IF(AF1883="","",_xlfn.TEXTSPLIT(AF1883,"-"))</f>
        <v>0</v>
      </c>
      <c r="AH1883" s="168"/>
    </row>
    <row r="1884" spans="26:34" ht="24" customHeight="1">
      <c r="Z1884"/>
      <c r="AA1884"/>
      <c r="AB1884"/>
      <c r="AC1884"/>
      <c r="AD1884"/>
      <c r="AE1884" s="168" t="str">
        <f t="shared" si="29"/>
        <v/>
      </c>
      <c r="AF1884" s="168">
        <v>0</v>
      </c>
      <c r="AG1884" s="168" t="str" cm="1">
        <f t="array" ref="AG1884">IF(AF1884="","",_xlfn.TEXTSPLIT(AF1884,"-"))</f>
        <v>0</v>
      </c>
      <c r="AH1884" s="168"/>
    </row>
    <row r="1885" spans="26:34" ht="24" customHeight="1">
      <c r="Z1885"/>
      <c r="AA1885"/>
      <c r="AB1885"/>
      <c r="AC1885"/>
      <c r="AD1885"/>
      <c r="AE1885" s="168" t="str">
        <f t="shared" si="29"/>
        <v/>
      </c>
      <c r="AF1885" s="168">
        <v>0</v>
      </c>
      <c r="AG1885" s="168" t="str" cm="1">
        <f t="array" ref="AG1885">IF(AF1885="","",_xlfn.TEXTSPLIT(AF1885,"-"))</f>
        <v>0</v>
      </c>
      <c r="AH1885" s="168"/>
    </row>
    <row r="1886" spans="26:34" ht="24" customHeight="1">
      <c r="Z1886"/>
      <c r="AA1886"/>
      <c r="AB1886"/>
      <c r="AC1886"/>
      <c r="AD1886"/>
      <c r="AE1886" s="168" t="str">
        <f t="shared" si="29"/>
        <v/>
      </c>
      <c r="AF1886" s="168">
        <v>0</v>
      </c>
      <c r="AG1886" s="168" t="str" cm="1">
        <f t="array" ref="AG1886">IF(AF1886="","",_xlfn.TEXTSPLIT(AF1886,"-"))</f>
        <v>0</v>
      </c>
      <c r="AH1886" s="168"/>
    </row>
    <row r="1887" spans="26:34" ht="24" customHeight="1">
      <c r="Z1887"/>
      <c r="AA1887"/>
      <c r="AB1887"/>
      <c r="AC1887"/>
      <c r="AD1887"/>
      <c r="AE1887" s="168" t="str">
        <f t="shared" si="29"/>
        <v/>
      </c>
      <c r="AF1887" s="168">
        <v>0</v>
      </c>
      <c r="AG1887" s="168" t="str" cm="1">
        <f t="array" ref="AG1887">IF(AF1887="","",_xlfn.TEXTSPLIT(AF1887,"-"))</f>
        <v>0</v>
      </c>
      <c r="AH1887" s="168"/>
    </row>
    <row r="1888" spans="26:34" ht="24" customHeight="1">
      <c r="Z1888"/>
      <c r="AA1888"/>
      <c r="AB1888"/>
      <c r="AC1888"/>
      <c r="AD1888"/>
      <c r="AE1888" s="168" t="str">
        <f t="shared" si="29"/>
        <v/>
      </c>
      <c r="AF1888" s="168">
        <v>0</v>
      </c>
      <c r="AG1888" s="168" t="str" cm="1">
        <f t="array" ref="AG1888">IF(AF1888="","",_xlfn.TEXTSPLIT(AF1888,"-"))</f>
        <v>0</v>
      </c>
      <c r="AH1888" s="168"/>
    </row>
    <row r="1889" spans="26:34" ht="24" customHeight="1">
      <c r="Z1889"/>
      <c r="AA1889"/>
      <c r="AB1889"/>
      <c r="AC1889"/>
      <c r="AD1889"/>
      <c r="AE1889" s="168" t="str">
        <f t="shared" si="29"/>
        <v/>
      </c>
      <c r="AF1889" s="168">
        <v>0</v>
      </c>
      <c r="AG1889" s="168" t="str" cm="1">
        <f t="array" ref="AG1889">IF(AF1889="","",_xlfn.TEXTSPLIT(AF1889,"-"))</f>
        <v>0</v>
      </c>
      <c r="AH1889" s="168"/>
    </row>
    <row r="1890" spans="26:34" ht="24" customHeight="1">
      <c r="Z1890"/>
      <c r="AA1890"/>
      <c r="AB1890"/>
      <c r="AC1890"/>
      <c r="AD1890"/>
      <c r="AE1890" s="168" t="str">
        <f t="shared" si="29"/>
        <v/>
      </c>
      <c r="AF1890" s="168">
        <v>0</v>
      </c>
      <c r="AG1890" s="168" t="str" cm="1">
        <f t="array" ref="AG1890">IF(AF1890="","",_xlfn.TEXTSPLIT(AF1890,"-"))</f>
        <v>0</v>
      </c>
      <c r="AH1890" s="168"/>
    </row>
    <row r="1891" spans="26:34" ht="24" customHeight="1">
      <c r="Z1891"/>
      <c r="AA1891"/>
      <c r="AB1891"/>
      <c r="AC1891"/>
      <c r="AD1891"/>
      <c r="AE1891" s="168" t="str">
        <f t="shared" si="29"/>
        <v/>
      </c>
      <c r="AF1891" s="168">
        <v>0</v>
      </c>
      <c r="AG1891" s="168" t="str" cm="1">
        <f t="array" ref="AG1891">IF(AF1891="","",_xlfn.TEXTSPLIT(AF1891,"-"))</f>
        <v>0</v>
      </c>
      <c r="AH1891" s="168"/>
    </row>
    <row r="1892" spans="26:34" ht="24" customHeight="1">
      <c r="Z1892"/>
      <c r="AA1892"/>
      <c r="AB1892"/>
      <c r="AC1892"/>
      <c r="AD1892"/>
      <c r="AE1892" s="168" t="str">
        <f t="shared" si="29"/>
        <v/>
      </c>
      <c r="AF1892" s="168">
        <v>0</v>
      </c>
      <c r="AG1892" s="168" t="str" cm="1">
        <f t="array" ref="AG1892">IF(AF1892="","",_xlfn.TEXTSPLIT(AF1892,"-"))</f>
        <v>0</v>
      </c>
      <c r="AH1892" s="168"/>
    </row>
    <row r="1893" spans="26:34" ht="24" customHeight="1">
      <c r="Z1893"/>
      <c r="AA1893"/>
      <c r="AB1893"/>
      <c r="AC1893"/>
      <c r="AD1893"/>
      <c r="AE1893" s="168" t="str">
        <f t="shared" si="29"/>
        <v/>
      </c>
      <c r="AF1893" s="168">
        <v>0</v>
      </c>
      <c r="AG1893" s="168" t="str" cm="1">
        <f t="array" ref="AG1893">IF(AF1893="","",_xlfn.TEXTSPLIT(AF1893,"-"))</f>
        <v>0</v>
      </c>
      <c r="AH1893" s="168"/>
    </row>
    <row r="1894" spans="26:34" ht="24" customHeight="1">
      <c r="Z1894"/>
      <c r="AA1894"/>
      <c r="AB1894"/>
      <c r="AC1894"/>
      <c r="AD1894"/>
      <c r="AE1894" s="168" t="str">
        <f t="shared" si="29"/>
        <v/>
      </c>
      <c r="AF1894" s="168">
        <v>0</v>
      </c>
      <c r="AG1894" s="168" t="str" cm="1">
        <f t="array" ref="AG1894">IF(AF1894="","",_xlfn.TEXTSPLIT(AF1894,"-"))</f>
        <v>0</v>
      </c>
      <c r="AH1894" s="168"/>
    </row>
    <row r="1895" spans="26:34" ht="24" customHeight="1">
      <c r="Z1895"/>
      <c r="AA1895"/>
      <c r="AB1895"/>
      <c r="AC1895"/>
      <c r="AD1895"/>
      <c r="AE1895" s="168" t="str">
        <f t="shared" si="29"/>
        <v/>
      </c>
      <c r="AF1895" s="168">
        <v>0</v>
      </c>
      <c r="AG1895" s="168" t="str" cm="1">
        <f t="array" ref="AG1895">IF(AF1895="","",_xlfn.TEXTSPLIT(AF1895,"-"))</f>
        <v>0</v>
      </c>
      <c r="AH1895" s="168"/>
    </row>
    <row r="1896" spans="26:34" ht="24" customHeight="1">
      <c r="Z1896"/>
      <c r="AA1896"/>
      <c r="AB1896"/>
      <c r="AC1896"/>
      <c r="AD1896"/>
      <c r="AE1896" s="168" t="str">
        <f t="shared" si="29"/>
        <v/>
      </c>
      <c r="AF1896" s="168">
        <v>0</v>
      </c>
      <c r="AG1896" s="168" t="str" cm="1">
        <f t="array" ref="AG1896">IF(AF1896="","",_xlfn.TEXTSPLIT(AF1896,"-"))</f>
        <v>0</v>
      </c>
      <c r="AH1896" s="168"/>
    </row>
    <row r="1897" spans="26:34" ht="24" customHeight="1">
      <c r="Z1897"/>
      <c r="AA1897"/>
      <c r="AB1897"/>
      <c r="AC1897"/>
      <c r="AD1897"/>
      <c r="AE1897" s="168" t="str">
        <f t="shared" si="29"/>
        <v/>
      </c>
      <c r="AF1897" s="168">
        <v>0</v>
      </c>
      <c r="AG1897" s="168" t="str" cm="1">
        <f t="array" ref="AG1897">IF(AF1897="","",_xlfn.TEXTSPLIT(AF1897,"-"))</f>
        <v>0</v>
      </c>
      <c r="AH1897" s="168"/>
    </row>
    <row r="1898" spans="26:34" ht="24" customHeight="1">
      <c r="Z1898"/>
      <c r="AA1898"/>
      <c r="AB1898"/>
      <c r="AC1898"/>
      <c r="AD1898"/>
      <c r="AE1898" s="168" t="str">
        <f t="shared" si="29"/>
        <v/>
      </c>
      <c r="AF1898" s="168">
        <v>0</v>
      </c>
      <c r="AG1898" s="168" t="str" cm="1">
        <f t="array" ref="AG1898">IF(AF1898="","",_xlfn.TEXTSPLIT(AF1898,"-"))</f>
        <v>0</v>
      </c>
      <c r="AH1898" s="168"/>
    </row>
    <row r="1899" spans="26:34" ht="24" customHeight="1">
      <c r="Z1899"/>
      <c r="AA1899"/>
      <c r="AB1899"/>
      <c r="AC1899"/>
      <c r="AD1899"/>
      <c r="AE1899" s="168" t="str">
        <f t="shared" si="29"/>
        <v/>
      </c>
      <c r="AF1899" s="168">
        <v>0</v>
      </c>
      <c r="AG1899" s="168" t="str" cm="1">
        <f t="array" ref="AG1899">IF(AF1899="","",_xlfn.TEXTSPLIT(AF1899,"-"))</f>
        <v>0</v>
      </c>
      <c r="AH1899" s="168"/>
    </row>
    <row r="1900" spans="26:34" ht="24" customHeight="1">
      <c r="Z1900"/>
      <c r="AA1900"/>
      <c r="AB1900"/>
      <c r="AC1900"/>
      <c r="AD1900"/>
      <c r="AE1900" s="168" t="str">
        <f t="shared" si="29"/>
        <v/>
      </c>
      <c r="AF1900" s="168">
        <v>0</v>
      </c>
      <c r="AG1900" s="168" t="str" cm="1">
        <f t="array" ref="AG1900">IF(AF1900="","",_xlfn.TEXTSPLIT(AF1900,"-"))</f>
        <v>0</v>
      </c>
      <c r="AH1900" s="168"/>
    </row>
    <row r="1901" spans="26:34" ht="24" customHeight="1">
      <c r="Z1901"/>
      <c r="AA1901"/>
      <c r="AB1901"/>
      <c r="AC1901"/>
      <c r="AD1901"/>
      <c r="AE1901" s="168" t="str">
        <f t="shared" si="29"/>
        <v/>
      </c>
      <c r="AF1901" s="168">
        <v>0</v>
      </c>
      <c r="AG1901" s="168" t="str" cm="1">
        <f t="array" ref="AG1901">IF(AF1901="","",_xlfn.TEXTSPLIT(AF1901,"-"))</f>
        <v>0</v>
      </c>
      <c r="AH1901" s="168"/>
    </row>
    <row r="1902" spans="26:34" ht="24" customHeight="1">
      <c r="Z1902"/>
      <c r="AA1902"/>
      <c r="AB1902"/>
      <c r="AC1902"/>
      <c r="AD1902"/>
      <c r="AE1902" s="168" t="str">
        <f t="shared" si="29"/>
        <v/>
      </c>
      <c r="AF1902" s="168">
        <v>0</v>
      </c>
      <c r="AG1902" s="168" t="str" cm="1">
        <f t="array" ref="AG1902">IF(AF1902="","",_xlfn.TEXTSPLIT(AF1902,"-"))</f>
        <v>0</v>
      </c>
      <c r="AH1902" s="168"/>
    </row>
    <row r="1903" spans="26:34" ht="24" customHeight="1">
      <c r="Z1903"/>
      <c r="AA1903"/>
      <c r="AB1903"/>
      <c r="AC1903"/>
      <c r="AD1903"/>
      <c r="AE1903" s="168" t="str">
        <f t="shared" si="29"/>
        <v/>
      </c>
      <c r="AF1903" s="168">
        <v>0</v>
      </c>
      <c r="AG1903" s="168" t="str" cm="1">
        <f t="array" ref="AG1903">IF(AF1903="","",_xlfn.TEXTSPLIT(AF1903,"-"))</f>
        <v>0</v>
      </c>
      <c r="AH1903" s="168"/>
    </row>
    <row r="1904" spans="26:34" ht="24" customHeight="1">
      <c r="Z1904"/>
      <c r="AA1904"/>
      <c r="AB1904"/>
      <c r="AC1904"/>
      <c r="AD1904"/>
      <c r="AE1904" s="168" t="str">
        <f t="shared" si="29"/>
        <v/>
      </c>
      <c r="AF1904" s="168">
        <v>0</v>
      </c>
      <c r="AG1904" s="168" t="str" cm="1">
        <f t="array" ref="AG1904">IF(AF1904="","",_xlfn.TEXTSPLIT(AF1904,"-"))</f>
        <v>0</v>
      </c>
      <c r="AH1904" s="168"/>
    </row>
    <row r="1905" spans="26:34" ht="24" customHeight="1">
      <c r="Z1905"/>
      <c r="AA1905"/>
      <c r="AB1905"/>
      <c r="AC1905"/>
      <c r="AD1905"/>
      <c r="AE1905" s="168" t="str">
        <f t="shared" si="29"/>
        <v/>
      </c>
      <c r="AF1905" s="168">
        <v>0</v>
      </c>
      <c r="AG1905" s="168" t="str" cm="1">
        <f t="array" ref="AG1905">IF(AF1905="","",_xlfn.TEXTSPLIT(AF1905,"-"))</f>
        <v>0</v>
      </c>
      <c r="AH1905" s="168"/>
    </row>
    <row r="1906" spans="26:34" ht="24" customHeight="1">
      <c r="Z1906"/>
      <c r="AA1906"/>
      <c r="AB1906"/>
      <c r="AC1906"/>
      <c r="AD1906"/>
      <c r="AE1906" s="168" t="str">
        <f t="shared" si="29"/>
        <v/>
      </c>
      <c r="AF1906" s="168">
        <v>0</v>
      </c>
      <c r="AG1906" s="168" t="str" cm="1">
        <f t="array" ref="AG1906">IF(AF1906="","",_xlfn.TEXTSPLIT(AF1906,"-"))</f>
        <v>0</v>
      </c>
      <c r="AH1906" s="168"/>
    </row>
    <row r="1907" spans="26:34" ht="24" customHeight="1">
      <c r="Z1907"/>
      <c r="AA1907"/>
      <c r="AB1907"/>
      <c r="AC1907"/>
      <c r="AD1907"/>
      <c r="AE1907" s="168" t="str">
        <f t="shared" si="29"/>
        <v/>
      </c>
      <c r="AF1907" s="168">
        <v>0</v>
      </c>
      <c r="AG1907" s="168" t="str" cm="1">
        <f t="array" ref="AG1907">IF(AF1907="","",_xlfn.TEXTSPLIT(AF1907,"-"))</f>
        <v>0</v>
      </c>
      <c r="AH1907" s="168"/>
    </row>
    <row r="1908" spans="26:34" ht="24" customHeight="1">
      <c r="Z1908"/>
      <c r="AA1908"/>
      <c r="AB1908"/>
      <c r="AC1908"/>
      <c r="AD1908"/>
      <c r="AE1908" s="168" t="str">
        <f t="shared" si="29"/>
        <v/>
      </c>
      <c r="AF1908" s="168">
        <v>0</v>
      </c>
      <c r="AG1908" s="168" t="str" cm="1">
        <f t="array" ref="AG1908">IF(AF1908="","",_xlfn.TEXTSPLIT(AF1908,"-"))</f>
        <v>0</v>
      </c>
      <c r="AH1908" s="168"/>
    </row>
    <row r="1909" spans="26:34" ht="24" customHeight="1">
      <c r="Z1909"/>
      <c r="AA1909"/>
      <c r="AB1909"/>
      <c r="AC1909"/>
      <c r="AD1909"/>
      <c r="AE1909" s="168" t="str">
        <f t="shared" si="29"/>
        <v/>
      </c>
      <c r="AF1909" s="168">
        <v>0</v>
      </c>
      <c r="AG1909" s="168" t="str" cm="1">
        <f t="array" ref="AG1909">IF(AF1909="","",_xlfn.TEXTSPLIT(AF1909,"-"))</f>
        <v>0</v>
      </c>
      <c r="AH1909" s="168"/>
    </row>
    <row r="1910" spans="26:34" ht="24" customHeight="1">
      <c r="Z1910"/>
      <c r="AA1910"/>
      <c r="AB1910"/>
      <c r="AC1910"/>
      <c r="AD1910"/>
      <c r="AE1910" s="168" t="str">
        <f t="shared" si="29"/>
        <v/>
      </c>
      <c r="AF1910" s="168">
        <v>0</v>
      </c>
      <c r="AG1910" s="168" t="str" cm="1">
        <f t="array" ref="AG1910">IF(AF1910="","",_xlfn.TEXTSPLIT(AF1910,"-"))</f>
        <v>0</v>
      </c>
      <c r="AH1910" s="168"/>
    </row>
    <row r="1911" spans="26:34" ht="24" customHeight="1">
      <c r="Z1911"/>
      <c r="AA1911"/>
      <c r="AB1911"/>
      <c r="AC1911"/>
      <c r="AD1911"/>
      <c r="AE1911" s="168" t="str">
        <f t="shared" si="29"/>
        <v/>
      </c>
      <c r="AF1911" s="168">
        <v>0</v>
      </c>
      <c r="AG1911" s="168" t="str" cm="1">
        <f t="array" ref="AG1911">IF(AF1911="","",_xlfn.TEXTSPLIT(AF1911,"-"))</f>
        <v>0</v>
      </c>
      <c r="AH1911" s="168"/>
    </row>
    <row r="1912" spans="26:34" ht="24" customHeight="1">
      <c r="Z1912"/>
      <c r="AA1912"/>
      <c r="AB1912"/>
      <c r="AC1912"/>
      <c r="AD1912"/>
      <c r="AE1912" s="168" t="str">
        <f t="shared" si="29"/>
        <v/>
      </c>
      <c r="AF1912" s="168">
        <v>0</v>
      </c>
      <c r="AG1912" s="168" t="str" cm="1">
        <f t="array" ref="AG1912">IF(AF1912="","",_xlfn.TEXTSPLIT(AF1912,"-"))</f>
        <v>0</v>
      </c>
      <c r="AH1912" s="168"/>
    </row>
    <row r="1913" spans="26:34" ht="24" customHeight="1">
      <c r="Z1913"/>
      <c r="AA1913"/>
      <c r="AB1913"/>
      <c r="AC1913"/>
      <c r="AD1913"/>
      <c r="AE1913" s="168" t="str">
        <f t="shared" si="29"/>
        <v/>
      </c>
      <c r="AF1913" s="168">
        <v>0</v>
      </c>
      <c r="AG1913" s="168" t="str" cm="1">
        <f t="array" ref="AG1913">IF(AF1913="","",_xlfn.TEXTSPLIT(AF1913,"-"))</f>
        <v>0</v>
      </c>
      <c r="AH1913" s="168"/>
    </row>
    <row r="1914" spans="26:34" ht="24" customHeight="1">
      <c r="Z1914"/>
      <c r="AA1914"/>
      <c r="AB1914"/>
      <c r="AC1914"/>
      <c r="AD1914"/>
      <c r="AE1914" s="168" t="str">
        <f t="shared" si="29"/>
        <v/>
      </c>
      <c r="AF1914" s="168">
        <v>0</v>
      </c>
      <c r="AG1914" s="168" t="str" cm="1">
        <f t="array" ref="AG1914">IF(AF1914="","",_xlfn.TEXTSPLIT(AF1914,"-"))</f>
        <v>0</v>
      </c>
      <c r="AH1914" s="168"/>
    </row>
    <row r="1915" spans="26:34" ht="24" customHeight="1">
      <c r="Z1915"/>
      <c r="AA1915"/>
      <c r="AB1915"/>
      <c r="AC1915"/>
      <c r="AD1915"/>
      <c r="AE1915" s="168" t="str">
        <f t="shared" si="29"/>
        <v/>
      </c>
      <c r="AF1915" s="168">
        <v>0</v>
      </c>
      <c r="AG1915" s="168" t="str" cm="1">
        <f t="array" ref="AG1915">IF(AF1915="","",_xlfn.TEXTSPLIT(AF1915,"-"))</f>
        <v>0</v>
      </c>
      <c r="AH1915" s="168"/>
    </row>
    <row r="1916" spans="26:34" ht="24" customHeight="1">
      <c r="Z1916"/>
      <c r="AA1916"/>
      <c r="AB1916"/>
      <c r="AC1916"/>
      <c r="AD1916"/>
      <c r="AE1916" s="168" t="str">
        <f t="shared" si="29"/>
        <v/>
      </c>
      <c r="AF1916" s="168">
        <v>0</v>
      </c>
      <c r="AG1916" s="168" t="str" cm="1">
        <f t="array" ref="AG1916">IF(AF1916="","",_xlfn.TEXTSPLIT(AF1916,"-"))</f>
        <v>0</v>
      </c>
      <c r="AH1916" s="168"/>
    </row>
    <row r="1917" spans="26:34" ht="24" customHeight="1">
      <c r="Z1917"/>
      <c r="AA1917"/>
      <c r="AB1917"/>
      <c r="AC1917"/>
      <c r="AD1917"/>
      <c r="AE1917" s="168" t="str">
        <f t="shared" si="29"/>
        <v/>
      </c>
      <c r="AF1917" s="168">
        <v>0</v>
      </c>
      <c r="AG1917" s="168" t="str" cm="1">
        <f t="array" ref="AG1917">IF(AF1917="","",_xlfn.TEXTSPLIT(AF1917,"-"))</f>
        <v>0</v>
      </c>
      <c r="AH1917" s="168"/>
    </row>
    <row r="1918" spans="26:34" ht="24" customHeight="1">
      <c r="Z1918"/>
      <c r="AA1918"/>
      <c r="AB1918"/>
      <c r="AC1918"/>
      <c r="AD1918"/>
      <c r="AE1918" s="168" t="str">
        <f t="shared" si="29"/>
        <v/>
      </c>
      <c r="AF1918" s="168">
        <v>0</v>
      </c>
      <c r="AG1918" s="168" t="str" cm="1">
        <f t="array" ref="AG1918">IF(AF1918="","",_xlfn.TEXTSPLIT(AF1918,"-"))</f>
        <v>0</v>
      </c>
      <c r="AH1918" s="168"/>
    </row>
    <row r="1919" spans="26:34" ht="24" customHeight="1">
      <c r="Z1919"/>
      <c r="AA1919"/>
      <c r="AB1919"/>
      <c r="AC1919"/>
      <c r="AD1919"/>
      <c r="AE1919" s="168" t="str">
        <f t="shared" si="29"/>
        <v/>
      </c>
      <c r="AF1919" s="168">
        <v>0</v>
      </c>
      <c r="AG1919" s="168" t="str" cm="1">
        <f t="array" ref="AG1919">IF(AF1919="","",_xlfn.TEXTSPLIT(AF1919,"-"))</f>
        <v>0</v>
      </c>
      <c r="AH1919" s="168"/>
    </row>
    <row r="1920" spans="26:34" ht="24" customHeight="1">
      <c r="Z1920"/>
      <c r="AA1920"/>
      <c r="AB1920"/>
      <c r="AC1920"/>
      <c r="AD1920"/>
      <c r="AE1920" s="168" t="str">
        <f t="shared" si="29"/>
        <v/>
      </c>
      <c r="AF1920" s="168">
        <v>0</v>
      </c>
      <c r="AG1920" s="168" t="str" cm="1">
        <f t="array" ref="AG1920">IF(AF1920="","",_xlfn.TEXTSPLIT(AF1920,"-"))</f>
        <v>0</v>
      </c>
      <c r="AH1920" s="168"/>
    </row>
    <row r="1921" spans="26:34" ht="24" customHeight="1">
      <c r="Z1921"/>
      <c r="AA1921"/>
      <c r="AB1921"/>
      <c r="AC1921"/>
      <c r="AD1921"/>
      <c r="AE1921" s="168" t="str">
        <f t="shared" si="29"/>
        <v/>
      </c>
      <c r="AF1921" s="168">
        <v>0</v>
      </c>
      <c r="AG1921" s="168" t="str" cm="1">
        <f t="array" ref="AG1921">IF(AF1921="","",_xlfn.TEXTSPLIT(AF1921,"-"))</f>
        <v>0</v>
      </c>
      <c r="AH1921" s="168"/>
    </row>
    <row r="1922" spans="26:34" ht="24" customHeight="1">
      <c r="Z1922"/>
      <c r="AA1922"/>
      <c r="AB1922"/>
      <c r="AC1922"/>
      <c r="AD1922"/>
      <c r="AE1922" s="168" t="str">
        <f t="shared" si="29"/>
        <v/>
      </c>
      <c r="AF1922" s="168">
        <v>0</v>
      </c>
      <c r="AG1922" s="168" t="str" cm="1">
        <f t="array" ref="AG1922">IF(AF1922="","",_xlfn.TEXTSPLIT(AF1922,"-"))</f>
        <v>0</v>
      </c>
      <c r="AH1922" s="168"/>
    </row>
    <row r="1923" spans="26:34" ht="24" customHeight="1">
      <c r="Z1923"/>
      <c r="AA1923"/>
      <c r="AB1923"/>
      <c r="AC1923"/>
      <c r="AD1923"/>
      <c r="AE1923" s="168" t="str">
        <f t="shared" si="29"/>
        <v/>
      </c>
      <c r="AF1923" s="168">
        <v>0</v>
      </c>
      <c r="AG1923" s="168" t="str" cm="1">
        <f t="array" ref="AG1923">IF(AF1923="","",_xlfn.TEXTSPLIT(AF1923,"-"))</f>
        <v>0</v>
      </c>
      <c r="AH1923" s="168"/>
    </row>
    <row r="1924" spans="26:34" ht="24" customHeight="1">
      <c r="Z1924"/>
      <c r="AA1924"/>
      <c r="AB1924"/>
      <c r="AC1924"/>
      <c r="AD1924"/>
      <c r="AE1924" s="168" t="str">
        <f t="shared" si="29"/>
        <v/>
      </c>
      <c r="AF1924" s="168">
        <v>0</v>
      </c>
      <c r="AG1924" s="168" t="str" cm="1">
        <f t="array" ref="AG1924">IF(AF1924="","",_xlfn.TEXTSPLIT(AF1924,"-"))</f>
        <v>0</v>
      </c>
      <c r="AH1924" s="168"/>
    </row>
    <row r="1925" spans="26:34" ht="24" customHeight="1">
      <c r="Z1925"/>
      <c r="AA1925"/>
      <c r="AB1925"/>
      <c r="AC1925"/>
      <c r="AD1925"/>
      <c r="AE1925" s="168" t="str">
        <f t="shared" ref="AE1925:AE1988" si="30">IF(AH1925="","",AH1925*1)</f>
        <v/>
      </c>
      <c r="AF1925" s="168">
        <v>0</v>
      </c>
      <c r="AG1925" s="168" t="str" cm="1">
        <f t="array" ref="AG1925">IF(AF1925="","",_xlfn.TEXTSPLIT(AF1925,"-"))</f>
        <v>0</v>
      </c>
      <c r="AH1925" s="168"/>
    </row>
    <row r="1926" spans="26:34" ht="24" customHeight="1">
      <c r="Z1926"/>
      <c r="AA1926"/>
      <c r="AB1926"/>
      <c r="AC1926"/>
      <c r="AD1926"/>
      <c r="AE1926" s="168" t="str">
        <f t="shared" si="30"/>
        <v/>
      </c>
      <c r="AF1926" s="168">
        <v>0</v>
      </c>
      <c r="AG1926" s="168" t="str" cm="1">
        <f t="array" ref="AG1926">IF(AF1926="","",_xlfn.TEXTSPLIT(AF1926,"-"))</f>
        <v>0</v>
      </c>
      <c r="AH1926" s="168"/>
    </row>
    <row r="1927" spans="26:34" ht="24" customHeight="1">
      <c r="Z1927"/>
      <c r="AA1927"/>
      <c r="AB1927"/>
      <c r="AC1927"/>
      <c r="AD1927"/>
      <c r="AE1927" s="168" t="str">
        <f t="shared" si="30"/>
        <v/>
      </c>
      <c r="AF1927" s="168">
        <v>0</v>
      </c>
      <c r="AG1927" s="168" t="str" cm="1">
        <f t="array" ref="AG1927">IF(AF1927="","",_xlfn.TEXTSPLIT(AF1927,"-"))</f>
        <v>0</v>
      </c>
      <c r="AH1927" s="168"/>
    </row>
    <row r="1928" spans="26:34" ht="24" customHeight="1">
      <c r="Z1928"/>
      <c r="AA1928"/>
      <c r="AB1928"/>
      <c r="AC1928"/>
      <c r="AD1928"/>
      <c r="AE1928" s="168" t="str">
        <f t="shared" si="30"/>
        <v/>
      </c>
      <c r="AF1928" s="168">
        <v>0</v>
      </c>
      <c r="AG1928" s="168" t="str" cm="1">
        <f t="array" ref="AG1928">IF(AF1928="","",_xlfn.TEXTSPLIT(AF1928,"-"))</f>
        <v>0</v>
      </c>
      <c r="AH1928" s="168"/>
    </row>
    <row r="1929" spans="26:34" ht="24" customHeight="1">
      <c r="Z1929"/>
      <c r="AA1929"/>
      <c r="AB1929"/>
      <c r="AC1929"/>
      <c r="AD1929"/>
      <c r="AE1929" s="168" t="str">
        <f t="shared" si="30"/>
        <v/>
      </c>
      <c r="AF1929" s="168">
        <v>0</v>
      </c>
      <c r="AG1929" s="168" t="str" cm="1">
        <f t="array" ref="AG1929">IF(AF1929="","",_xlfn.TEXTSPLIT(AF1929,"-"))</f>
        <v>0</v>
      </c>
      <c r="AH1929" s="168"/>
    </row>
    <row r="1930" spans="26:34" ht="24" customHeight="1">
      <c r="Z1930"/>
      <c r="AA1930"/>
      <c r="AB1930"/>
      <c r="AC1930"/>
      <c r="AD1930"/>
      <c r="AE1930" s="168" t="str">
        <f t="shared" si="30"/>
        <v/>
      </c>
      <c r="AF1930" s="168">
        <v>0</v>
      </c>
      <c r="AG1930" s="168" t="str" cm="1">
        <f t="array" ref="AG1930">IF(AF1930="","",_xlfn.TEXTSPLIT(AF1930,"-"))</f>
        <v>0</v>
      </c>
      <c r="AH1930" s="168"/>
    </row>
    <row r="1931" spans="26:34" ht="24" customHeight="1">
      <c r="Z1931"/>
      <c r="AA1931"/>
      <c r="AB1931"/>
      <c r="AC1931"/>
      <c r="AD1931"/>
      <c r="AE1931" s="168" t="str">
        <f t="shared" si="30"/>
        <v/>
      </c>
      <c r="AF1931" s="168">
        <v>0</v>
      </c>
      <c r="AG1931" s="168" t="str" cm="1">
        <f t="array" ref="AG1931">IF(AF1931="","",_xlfn.TEXTSPLIT(AF1931,"-"))</f>
        <v>0</v>
      </c>
      <c r="AH1931" s="168"/>
    </row>
    <row r="1932" spans="26:34" ht="24" customHeight="1">
      <c r="Z1932"/>
      <c r="AA1932"/>
      <c r="AB1932"/>
      <c r="AC1932"/>
      <c r="AD1932"/>
      <c r="AE1932" s="168" t="str">
        <f t="shared" si="30"/>
        <v/>
      </c>
      <c r="AF1932" s="168">
        <v>0</v>
      </c>
      <c r="AG1932" s="168" t="str" cm="1">
        <f t="array" ref="AG1932">IF(AF1932="","",_xlfn.TEXTSPLIT(AF1932,"-"))</f>
        <v>0</v>
      </c>
      <c r="AH1932" s="168"/>
    </row>
    <row r="1933" spans="26:34" ht="24" customHeight="1">
      <c r="Z1933"/>
      <c r="AA1933"/>
      <c r="AB1933"/>
      <c r="AC1933"/>
      <c r="AD1933"/>
      <c r="AE1933" s="168" t="str">
        <f t="shared" si="30"/>
        <v/>
      </c>
      <c r="AF1933" s="168">
        <v>0</v>
      </c>
      <c r="AG1933" s="168" t="str" cm="1">
        <f t="array" ref="AG1933">IF(AF1933="","",_xlfn.TEXTSPLIT(AF1933,"-"))</f>
        <v>0</v>
      </c>
      <c r="AH1933" s="168"/>
    </row>
    <row r="1934" spans="26:34" ht="24" customHeight="1">
      <c r="Z1934"/>
      <c r="AA1934"/>
      <c r="AB1934"/>
      <c r="AC1934"/>
      <c r="AD1934"/>
      <c r="AE1934" s="168" t="str">
        <f t="shared" si="30"/>
        <v/>
      </c>
      <c r="AF1934" s="168">
        <v>0</v>
      </c>
      <c r="AG1934" s="168" t="str" cm="1">
        <f t="array" ref="AG1934">IF(AF1934="","",_xlfn.TEXTSPLIT(AF1934,"-"))</f>
        <v>0</v>
      </c>
      <c r="AH1934" s="168"/>
    </row>
    <row r="1935" spans="26:34" ht="24" customHeight="1">
      <c r="Z1935"/>
      <c r="AA1935"/>
      <c r="AB1935"/>
      <c r="AC1935"/>
      <c r="AD1935"/>
      <c r="AE1935" s="168" t="str">
        <f t="shared" si="30"/>
        <v/>
      </c>
      <c r="AF1935" s="168">
        <v>0</v>
      </c>
      <c r="AG1935" s="168" t="str" cm="1">
        <f t="array" ref="AG1935">IF(AF1935="","",_xlfn.TEXTSPLIT(AF1935,"-"))</f>
        <v>0</v>
      </c>
      <c r="AH1935" s="168"/>
    </row>
    <row r="1936" spans="26:34" ht="24" customHeight="1">
      <c r="Z1936"/>
      <c r="AA1936"/>
      <c r="AB1936"/>
      <c r="AC1936"/>
      <c r="AD1936"/>
      <c r="AE1936" s="168" t="str">
        <f t="shared" si="30"/>
        <v/>
      </c>
      <c r="AF1936" s="168">
        <v>0</v>
      </c>
      <c r="AG1936" s="168" t="str" cm="1">
        <f t="array" ref="AG1936">IF(AF1936="","",_xlfn.TEXTSPLIT(AF1936,"-"))</f>
        <v>0</v>
      </c>
      <c r="AH1936" s="168"/>
    </row>
    <row r="1937" spans="26:34" ht="24" customHeight="1">
      <c r="Z1937"/>
      <c r="AA1937"/>
      <c r="AB1937"/>
      <c r="AC1937"/>
      <c r="AD1937"/>
      <c r="AE1937" s="168" t="str">
        <f t="shared" si="30"/>
        <v/>
      </c>
      <c r="AF1937" s="168">
        <v>0</v>
      </c>
      <c r="AG1937" s="168" t="str" cm="1">
        <f t="array" ref="AG1937">IF(AF1937="","",_xlfn.TEXTSPLIT(AF1937,"-"))</f>
        <v>0</v>
      </c>
      <c r="AH1937" s="168"/>
    </row>
    <row r="1938" spans="26:34" ht="24" customHeight="1">
      <c r="Z1938"/>
      <c r="AA1938"/>
      <c r="AB1938"/>
      <c r="AC1938"/>
      <c r="AD1938"/>
      <c r="AE1938" s="168" t="str">
        <f t="shared" si="30"/>
        <v/>
      </c>
      <c r="AF1938" s="168">
        <v>0</v>
      </c>
      <c r="AG1938" s="168" t="str" cm="1">
        <f t="array" ref="AG1938">IF(AF1938="","",_xlfn.TEXTSPLIT(AF1938,"-"))</f>
        <v>0</v>
      </c>
      <c r="AH1938" s="168"/>
    </row>
    <row r="1939" spans="26:34" ht="24" customHeight="1">
      <c r="Z1939"/>
      <c r="AA1939"/>
      <c r="AB1939"/>
      <c r="AC1939"/>
      <c r="AD1939"/>
      <c r="AE1939" s="168" t="str">
        <f t="shared" si="30"/>
        <v/>
      </c>
      <c r="AF1939" s="168">
        <v>0</v>
      </c>
      <c r="AG1939" s="168" t="str" cm="1">
        <f t="array" ref="AG1939">IF(AF1939="","",_xlfn.TEXTSPLIT(AF1939,"-"))</f>
        <v>0</v>
      </c>
      <c r="AH1939" s="168"/>
    </row>
    <row r="1940" spans="26:34" ht="24" customHeight="1">
      <c r="Z1940"/>
      <c r="AA1940"/>
      <c r="AB1940"/>
      <c r="AC1940"/>
      <c r="AD1940"/>
      <c r="AE1940" s="168" t="str">
        <f t="shared" si="30"/>
        <v/>
      </c>
      <c r="AF1940" s="168">
        <v>0</v>
      </c>
      <c r="AG1940" s="168" t="str" cm="1">
        <f t="array" ref="AG1940">IF(AF1940="","",_xlfn.TEXTSPLIT(AF1940,"-"))</f>
        <v>0</v>
      </c>
      <c r="AH1940" s="168"/>
    </row>
    <row r="1941" spans="26:34" ht="24" customHeight="1">
      <c r="Z1941"/>
      <c r="AA1941"/>
      <c r="AB1941"/>
      <c r="AC1941"/>
      <c r="AD1941"/>
      <c r="AE1941" s="168" t="str">
        <f t="shared" si="30"/>
        <v/>
      </c>
      <c r="AF1941" s="168">
        <v>0</v>
      </c>
      <c r="AG1941" s="168" t="str" cm="1">
        <f t="array" ref="AG1941">IF(AF1941="","",_xlfn.TEXTSPLIT(AF1941,"-"))</f>
        <v>0</v>
      </c>
      <c r="AH1941" s="168"/>
    </row>
    <row r="1942" spans="26:34" ht="24" customHeight="1">
      <c r="Z1942"/>
      <c r="AA1942"/>
      <c r="AB1942"/>
      <c r="AC1942"/>
      <c r="AD1942"/>
      <c r="AE1942" s="168" t="str">
        <f t="shared" si="30"/>
        <v/>
      </c>
      <c r="AF1942" s="168">
        <v>0</v>
      </c>
      <c r="AG1942" s="168" t="str" cm="1">
        <f t="array" ref="AG1942">IF(AF1942="","",_xlfn.TEXTSPLIT(AF1942,"-"))</f>
        <v>0</v>
      </c>
      <c r="AH1942" s="168"/>
    </row>
    <row r="1943" spans="26:34" ht="24" customHeight="1">
      <c r="Z1943"/>
      <c r="AA1943"/>
      <c r="AB1943"/>
      <c r="AC1943"/>
      <c r="AD1943"/>
      <c r="AE1943" s="168" t="str">
        <f t="shared" si="30"/>
        <v/>
      </c>
      <c r="AF1943" s="168">
        <v>0</v>
      </c>
      <c r="AG1943" s="168" t="str" cm="1">
        <f t="array" ref="AG1943">IF(AF1943="","",_xlfn.TEXTSPLIT(AF1943,"-"))</f>
        <v>0</v>
      </c>
      <c r="AH1943" s="168"/>
    </row>
    <row r="1944" spans="26:34" ht="24" customHeight="1">
      <c r="Z1944"/>
      <c r="AA1944"/>
      <c r="AB1944"/>
      <c r="AC1944"/>
      <c r="AD1944"/>
      <c r="AE1944" s="168" t="str">
        <f t="shared" si="30"/>
        <v/>
      </c>
      <c r="AF1944" s="168">
        <v>0</v>
      </c>
      <c r="AG1944" s="168" t="str" cm="1">
        <f t="array" ref="AG1944">IF(AF1944="","",_xlfn.TEXTSPLIT(AF1944,"-"))</f>
        <v>0</v>
      </c>
      <c r="AH1944" s="168"/>
    </row>
    <row r="1945" spans="26:34" ht="24" customHeight="1">
      <c r="Z1945"/>
      <c r="AA1945"/>
      <c r="AB1945"/>
      <c r="AC1945"/>
      <c r="AD1945"/>
      <c r="AE1945" s="168" t="str">
        <f t="shared" si="30"/>
        <v/>
      </c>
      <c r="AF1945" s="168">
        <v>0</v>
      </c>
      <c r="AG1945" s="168" t="str" cm="1">
        <f t="array" ref="AG1945">IF(AF1945="","",_xlfn.TEXTSPLIT(AF1945,"-"))</f>
        <v>0</v>
      </c>
      <c r="AH1945" s="168"/>
    </row>
    <row r="1946" spans="26:34" ht="24" customHeight="1">
      <c r="Z1946"/>
      <c r="AA1946"/>
      <c r="AB1946"/>
      <c r="AC1946"/>
      <c r="AD1946"/>
      <c r="AE1946" s="168" t="str">
        <f t="shared" si="30"/>
        <v/>
      </c>
      <c r="AF1946" s="168">
        <v>0</v>
      </c>
      <c r="AG1946" s="168" t="str" cm="1">
        <f t="array" ref="AG1946">IF(AF1946="","",_xlfn.TEXTSPLIT(AF1946,"-"))</f>
        <v>0</v>
      </c>
      <c r="AH1946" s="168"/>
    </row>
    <row r="1947" spans="26:34" ht="24" customHeight="1">
      <c r="Z1947"/>
      <c r="AA1947"/>
      <c r="AB1947"/>
      <c r="AC1947"/>
      <c r="AD1947"/>
      <c r="AE1947" s="168" t="str">
        <f t="shared" si="30"/>
        <v/>
      </c>
      <c r="AF1947" s="168">
        <v>0</v>
      </c>
      <c r="AG1947" s="168" t="str" cm="1">
        <f t="array" ref="AG1947">IF(AF1947="","",_xlfn.TEXTSPLIT(AF1947,"-"))</f>
        <v>0</v>
      </c>
      <c r="AH1947" s="168"/>
    </row>
    <row r="1948" spans="26:34" ht="24" customHeight="1">
      <c r="Z1948"/>
      <c r="AA1948"/>
      <c r="AB1948"/>
      <c r="AC1948"/>
      <c r="AD1948"/>
      <c r="AE1948" s="168" t="str">
        <f t="shared" si="30"/>
        <v/>
      </c>
      <c r="AF1948" s="168">
        <v>0</v>
      </c>
      <c r="AG1948" s="168" t="str" cm="1">
        <f t="array" ref="AG1948">IF(AF1948="","",_xlfn.TEXTSPLIT(AF1948,"-"))</f>
        <v>0</v>
      </c>
      <c r="AH1948" s="168"/>
    </row>
    <row r="1949" spans="26:34" ht="24" customHeight="1">
      <c r="Z1949"/>
      <c r="AA1949"/>
      <c r="AB1949"/>
      <c r="AC1949"/>
      <c r="AD1949"/>
      <c r="AE1949" s="168" t="str">
        <f t="shared" si="30"/>
        <v/>
      </c>
      <c r="AF1949" s="168">
        <v>0</v>
      </c>
      <c r="AG1949" s="168" t="str" cm="1">
        <f t="array" ref="AG1949">IF(AF1949="","",_xlfn.TEXTSPLIT(AF1949,"-"))</f>
        <v>0</v>
      </c>
      <c r="AH1949" s="168"/>
    </row>
    <row r="1950" spans="26:34" ht="24" customHeight="1">
      <c r="Z1950"/>
      <c r="AA1950"/>
      <c r="AB1950"/>
      <c r="AC1950"/>
      <c r="AD1950"/>
      <c r="AE1950" s="168" t="str">
        <f t="shared" si="30"/>
        <v/>
      </c>
      <c r="AF1950" s="168">
        <v>0</v>
      </c>
      <c r="AG1950" s="168" t="str" cm="1">
        <f t="array" ref="AG1950">IF(AF1950="","",_xlfn.TEXTSPLIT(AF1950,"-"))</f>
        <v>0</v>
      </c>
      <c r="AH1950" s="168"/>
    </row>
    <row r="1951" spans="26:34" ht="24" customHeight="1">
      <c r="Z1951"/>
      <c r="AA1951"/>
      <c r="AB1951"/>
      <c r="AC1951"/>
      <c r="AD1951"/>
      <c r="AE1951" s="168" t="str">
        <f t="shared" si="30"/>
        <v/>
      </c>
      <c r="AF1951" s="168">
        <v>0</v>
      </c>
      <c r="AG1951" s="168" t="str" cm="1">
        <f t="array" ref="AG1951">IF(AF1951="","",_xlfn.TEXTSPLIT(AF1951,"-"))</f>
        <v>0</v>
      </c>
      <c r="AH1951" s="168"/>
    </row>
    <row r="1952" spans="26:34" ht="24" customHeight="1">
      <c r="Z1952"/>
      <c r="AA1952"/>
      <c r="AB1952"/>
      <c r="AC1952"/>
      <c r="AD1952"/>
      <c r="AE1952" s="168" t="str">
        <f t="shared" si="30"/>
        <v/>
      </c>
      <c r="AF1952" s="168">
        <v>0</v>
      </c>
      <c r="AG1952" s="168" t="str" cm="1">
        <f t="array" ref="AG1952">IF(AF1952="","",_xlfn.TEXTSPLIT(AF1952,"-"))</f>
        <v>0</v>
      </c>
      <c r="AH1952" s="168"/>
    </row>
    <row r="1953" spans="26:34" ht="24" customHeight="1">
      <c r="Z1953"/>
      <c r="AA1953"/>
      <c r="AB1953"/>
      <c r="AC1953"/>
      <c r="AD1953"/>
      <c r="AE1953" s="168" t="str">
        <f t="shared" si="30"/>
        <v/>
      </c>
      <c r="AF1953" s="168">
        <v>0</v>
      </c>
      <c r="AG1953" s="168" t="str" cm="1">
        <f t="array" ref="AG1953">IF(AF1953="","",_xlfn.TEXTSPLIT(AF1953,"-"))</f>
        <v>0</v>
      </c>
      <c r="AH1953" s="168"/>
    </row>
    <row r="1954" spans="26:34" ht="24" customHeight="1">
      <c r="Z1954"/>
      <c r="AA1954"/>
      <c r="AB1954"/>
      <c r="AC1954"/>
      <c r="AD1954"/>
      <c r="AE1954" s="168" t="str">
        <f t="shared" si="30"/>
        <v/>
      </c>
      <c r="AF1954" s="168">
        <v>0</v>
      </c>
      <c r="AG1954" s="168" t="str" cm="1">
        <f t="array" ref="AG1954">IF(AF1954="","",_xlfn.TEXTSPLIT(AF1954,"-"))</f>
        <v>0</v>
      </c>
      <c r="AH1954" s="168"/>
    </row>
    <row r="1955" spans="26:34" ht="24" customHeight="1">
      <c r="Z1955"/>
      <c r="AA1955"/>
      <c r="AB1955"/>
      <c r="AC1955"/>
      <c r="AD1955"/>
      <c r="AE1955" s="168" t="str">
        <f t="shared" si="30"/>
        <v/>
      </c>
      <c r="AF1955" s="168">
        <v>0</v>
      </c>
      <c r="AG1955" s="168" t="str" cm="1">
        <f t="array" ref="AG1955">IF(AF1955="","",_xlfn.TEXTSPLIT(AF1955,"-"))</f>
        <v>0</v>
      </c>
      <c r="AH1955" s="168"/>
    </row>
    <row r="1956" spans="26:34" ht="24" customHeight="1">
      <c r="Z1956"/>
      <c r="AA1956"/>
      <c r="AB1956"/>
      <c r="AC1956"/>
      <c r="AD1956"/>
      <c r="AE1956" s="168" t="str">
        <f t="shared" si="30"/>
        <v/>
      </c>
      <c r="AF1956" s="168">
        <v>0</v>
      </c>
      <c r="AG1956" s="168" t="str" cm="1">
        <f t="array" ref="AG1956">IF(AF1956="","",_xlfn.TEXTSPLIT(AF1956,"-"))</f>
        <v>0</v>
      </c>
      <c r="AH1956" s="168"/>
    </row>
    <row r="1957" spans="26:34" ht="24" customHeight="1">
      <c r="Z1957"/>
      <c r="AA1957"/>
      <c r="AB1957"/>
      <c r="AC1957"/>
      <c r="AD1957"/>
      <c r="AE1957" s="168" t="str">
        <f t="shared" si="30"/>
        <v/>
      </c>
      <c r="AF1957" s="168">
        <v>0</v>
      </c>
      <c r="AG1957" s="168" t="str" cm="1">
        <f t="array" ref="AG1957">IF(AF1957="","",_xlfn.TEXTSPLIT(AF1957,"-"))</f>
        <v>0</v>
      </c>
      <c r="AH1957" s="168"/>
    </row>
    <row r="1958" spans="26:34" ht="24" customHeight="1">
      <c r="Z1958"/>
      <c r="AA1958"/>
      <c r="AB1958"/>
      <c r="AC1958"/>
      <c r="AD1958"/>
      <c r="AE1958" s="168" t="str">
        <f t="shared" si="30"/>
        <v/>
      </c>
      <c r="AF1958" s="168">
        <v>0</v>
      </c>
      <c r="AG1958" s="168" t="str" cm="1">
        <f t="array" ref="AG1958">IF(AF1958="","",_xlfn.TEXTSPLIT(AF1958,"-"))</f>
        <v>0</v>
      </c>
      <c r="AH1958" s="168"/>
    </row>
    <row r="1959" spans="26:34" ht="24" customHeight="1">
      <c r="Z1959"/>
      <c r="AA1959"/>
      <c r="AB1959"/>
      <c r="AC1959"/>
      <c r="AD1959"/>
      <c r="AE1959" s="168" t="str">
        <f t="shared" si="30"/>
        <v/>
      </c>
      <c r="AF1959" s="168">
        <v>0</v>
      </c>
      <c r="AG1959" s="168" t="str" cm="1">
        <f t="array" ref="AG1959">IF(AF1959="","",_xlfn.TEXTSPLIT(AF1959,"-"))</f>
        <v>0</v>
      </c>
      <c r="AH1959" s="168"/>
    </row>
    <row r="1960" spans="26:34" ht="24" customHeight="1">
      <c r="Z1960"/>
      <c r="AA1960"/>
      <c r="AB1960"/>
      <c r="AC1960"/>
      <c r="AD1960"/>
      <c r="AE1960" s="168" t="str">
        <f t="shared" si="30"/>
        <v/>
      </c>
      <c r="AF1960" s="168">
        <v>0</v>
      </c>
      <c r="AG1960" s="168" t="str" cm="1">
        <f t="array" ref="AG1960">IF(AF1960="","",_xlfn.TEXTSPLIT(AF1960,"-"))</f>
        <v>0</v>
      </c>
      <c r="AH1960" s="168"/>
    </row>
    <row r="1961" spans="26:34" ht="24" customHeight="1">
      <c r="Z1961"/>
      <c r="AA1961"/>
      <c r="AB1961"/>
      <c r="AC1961"/>
      <c r="AD1961"/>
      <c r="AE1961" s="168" t="str">
        <f t="shared" si="30"/>
        <v/>
      </c>
      <c r="AF1961" s="168">
        <v>0</v>
      </c>
      <c r="AG1961" s="168" t="str" cm="1">
        <f t="array" ref="AG1961">IF(AF1961="","",_xlfn.TEXTSPLIT(AF1961,"-"))</f>
        <v>0</v>
      </c>
      <c r="AH1961" s="168"/>
    </row>
    <row r="1962" spans="26:34" ht="24" customHeight="1">
      <c r="Z1962"/>
      <c r="AA1962"/>
      <c r="AB1962"/>
      <c r="AC1962"/>
      <c r="AD1962"/>
      <c r="AE1962" s="168" t="str">
        <f t="shared" si="30"/>
        <v/>
      </c>
      <c r="AF1962" s="168">
        <v>0</v>
      </c>
      <c r="AG1962" s="168" t="str" cm="1">
        <f t="array" ref="AG1962">IF(AF1962="","",_xlfn.TEXTSPLIT(AF1962,"-"))</f>
        <v>0</v>
      </c>
      <c r="AH1962" s="168"/>
    </row>
    <row r="1963" spans="26:34" ht="24" customHeight="1">
      <c r="Z1963"/>
      <c r="AA1963"/>
      <c r="AB1963"/>
      <c r="AC1963"/>
      <c r="AD1963"/>
      <c r="AE1963" s="168" t="str">
        <f t="shared" si="30"/>
        <v/>
      </c>
      <c r="AF1963" s="168">
        <v>0</v>
      </c>
      <c r="AG1963" s="168" t="str" cm="1">
        <f t="array" ref="AG1963">IF(AF1963="","",_xlfn.TEXTSPLIT(AF1963,"-"))</f>
        <v>0</v>
      </c>
      <c r="AH1963" s="168"/>
    </row>
    <row r="1964" spans="26:34" ht="24" customHeight="1">
      <c r="Z1964"/>
      <c r="AA1964"/>
      <c r="AB1964"/>
      <c r="AC1964"/>
      <c r="AD1964"/>
      <c r="AE1964" s="168" t="str">
        <f t="shared" si="30"/>
        <v/>
      </c>
      <c r="AF1964" s="168">
        <v>0</v>
      </c>
      <c r="AG1964" s="168" t="str" cm="1">
        <f t="array" ref="AG1964">IF(AF1964="","",_xlfn.TEXTSPLIT(AF1964,"-"))</f>
        <v>0</v>
      </c>
      <c r="AH1964" s="168"/>
    </row>
    <row r="1965" spans="26:34" ht="24" customHeight="1">
      <c r="Z1965"/>
      <c r="AA1965"/>
      <c r="AB1965"/>
      <c r="AC1965"/>
      <c r="AD1965"/>
      <c r="AE1965" s="168" t="str">
        <f t="shared" si="30"/>
        <v/>
      </c>
      <c r="AF1965" s="168">
        <v>0</v>
      </c>
      <c r="AG1965" s="168" t="str" cm="1">
        <f t="array" ref="AG1965">IF(AF1965="","",_xlfn.TEXTSPLIT(AF1965,"-"))</f>
        <v>0</v>
      </c>
      <c r="AH1965" s="168"/>
    </row>
    <row r="1966" spans="26:34" ht="24" customHeight="1">
      <c r="Z1966"/>
      <c r="AA1966"/>
      <c r="AB1966"/>
      <c r="AC1966"/>
      <c r="AD1966"/>
      <c r="AE1966" s="168" t="str">
        <f t="shared" si="30"/>
        <v/>
      </c>
      <c r="AF1966" s="168">
        <v>0</v>
      </c>
      <c r="AG1966" s="168" t="str" cm="1">
        <f t="array" ref="AG1966">IF(AF1966="","",_xlfn.TEXTSPLIT(AF1966,"-"))</f>
        <v>0</v>
      </c>
      <c r="AH1966" s="168"/>
    </row>
    <row r="1967" spans="26:34" ht="24" customHeight="1">
      <c r="Z1967"/>
      <c r="AA1967"/>
      <c r="AB1967"/>
      <c r="AC1967"/>
      <c r="AD1967"/>
      <c r="AE1967" s="168" t="str">
        <f t="shared" si="30"/>
        <v/>
      </c>
      <c r="AF1967" s="168">
        <v>0</v>
      </c>
      <c r="AG1967" s="168" t="str" cm="1">
        <f t="array" ref="AG1967">IF(AF1967="","",_xlfn.TEXTSPLIT(AF1967,"-"))</f>
        <v>0</v>
      </c>
      <c r="AH1967" s="168"/>
    </row>
    <row r="1968" spans="26:34" ht="24" customHeight="1">
      <c r="Z1968"/>
      <c r="AA1968"/>
      <c r="AB1968"/>
      <c r="AC1968"/>
      <c r="AD1968"/>
      <c r="AE1968" s="168" t="str">
        <f t="shared" si="30"/>
        <v/>
      </c>
      <c r="AF1968" s="168">
        <v>0</v>
      </c>
      <c r="AG1968" s="168" t="str" cm="1">
        <f t="array" ref="AG1968">IF(AF1968="","",_xlfn.TEXTSPLIT(AF1968,"-"))</f>
        <v>0</v>
      </c>
      <c r="AH1968" s="168"/>
    </row>
    <row r="1969" spans="26:34" ht="24" customHeight="1">
      <c r="Z1969"/>
      <c r="AA1969"/>
      <c r="AB1969"/>
      <c r="AC1969"/>
      <c r="AD1969"/>
      <c r="AE1969" s="168" t="str">
        <f t="shared" si="30"/>
        <v/>
      </c>
      <c r="AF1969" s="168">
        <v>0</v>
      </c>
      <c r="AG1969" s="168" t="str" cm="1">
        <f t="array" ref="AG1969">IF(AF1969="","",_xlfn.TEXTSPLIT(AF1969,"-"))</f>
        <v>0</v>
      </c>
      <c r="AH1969" s="168"/>
    </row>
    <row r="1970" spans="26:34" ht="24" customHeight="1">
      <c r="Z1970"/>
      <c r="AA1970"/>
      <c r="AB1970"/>
      <c r="AC1970"/>
      <c r="AD1970"/>
      <c r="AE1970" s="168" t="str">
        <f t="shared" si="30"/>
        <v/>
      </c>
      <c r="AF1970" s="168">
        <v>0</v>
      </c>
      <c r="AG1970" s="168" t="str" cm="1">
        <f t="array" ref="AG1970">IF(AF1970="","",_xlfn.TEXTSPLIT(AF1970,"-"))</f>
        <v>0</v>
      </c>
      <c r="AH1970" s="168"/>
    </row>
    <row r="1971" spans="26:34" ht="24" customHeight="1">
      <c r="Z1971"/>
      <c r="AA1971"/>
      <c r="AB1971"/>
      <c r="AC1971"/>
      <c r="AD1971"/>
      <c r="AE1971" s="168" t="str">
        <f t="shared" si="30"/>
        <v/>
      </c>
      <c r="AF1971" s="168">
        <v>0</v>
      </c>
      <c r="AG1971" s="168" t="str" cm="1">
        <f t="array" ref="AG1971">IF(AF1971="","",_xlfn.TEXTSPLIT(AF1971,"-"))</f>
        <v>0</v>
      </c>
      <c r="AH1971" s="168"/>
    </row>
    <row r="1972" spans="26:34" ht="24" customHeight="1">
      <c r="Z1972"/>
      <c r="AA1972"/>
      <c r="AB1972"/>
      <c r="AC1972"/>
      <c r="AD1972"/>
      <c r="AE1972" s="168" t="str">
        <f t="shared" si="30"/>
        <v/>
      </c>
      <c r="AF1972" s="168">
        <v>0</v>
      </c>
      <c r="AG1972" s="168" t="str" cm="1">
        <f t="array" ref="AG1972">IF(AF1972="","",_xlfn.TEXTSPLIT(AF1972,"-"))</f>
        <v>0</v>
      </c>
      <c r="AH1972" s="168"/>
    </row>
    <row r="1973" spans="26:34" ht="24" customHeight="1">
      <c r="Z1973"/>
      <c r="AA1973"/>
      <c r="AB1973"/>
      <c r="AC1973"/>
      <c r="AD1973"/>
      <c r="AE1973" s="168" t="str">
        <f t="shared" si="30"/>
        <v/>
      </c>
      <c r="AF1973" s="168">
        <v>0</v>
      </c>
      <c r="AG1973" s="168" t="str" cm="1">
        <f t="array" ref="AG1973">IF(AF1973="","",_xlfn.TEXTSPLIT(AF1973,"-"))</f>
        <v>0</v>
      </c>
      <c r="AH1973" s="168"/>
    </row>
    <row r="1974" spans="26:34" ht="24" customHeight="1">
      <c r="Z1974"/>
      <c r="AA1974"/>
      <c r="AB1974"/>
      <c r="AC1974"/>
      <c r="AD1974"/>
      <c r="AE1974" s="168" t="str">
        <f t="shared" si="30"/>
        <v/>
      </c>
      <c r="AF1974" s="168">
        <v>0</v>
      </c>
      <c r="AG1974" s="168" t="str" cm="1">
        <f t="array" ref="AG1974">IF(AF1974="","",_xlfn.TEXTSPLIT(AF1974,"-"))</f>
        <v>0</v>
      </c>
      <c r="AH1974" s="168"/>
    </row>
    <row r="1975" spans="26:34" ht="24" customHeight="1">
      <c r="Z1975"/>
      <c r="AA1975"/>
      <c r="AB1975"/>
      <c r="AC1975"/>
      <c r="AD1975"/>
      <c r="AE1975" s="168" t="str">
        <f t="shared" si="30"/>
        <v/>
      </c>
      <c r="AF1975" s="168">
        <v>0</v>
      </c>
      <c r="AG1975" s="168" t="str" cm="1">
        <f t="array" ref="AG1975">IF(AF1975="","",_xlfn.TEXTSPLIT(AF1975,"-"))</f>
        <v>0</v>
      </c>
      <c r="AH1975" s="168"/>
    </row>
    <row r="1976" spans="26:34" ht="24" customHeight="1">
      <c r="Z1976"/>
      <c r="AA1976"/>
      <c r="AB1976"/>
      <c r="AC1976"/>
      <c r="AD1976"/>
      <c r="AE1976" s="168" t="str">
        <f t="shared" si="30"/>
        <v/>
      </c>
      <c r="AF1976" s="168">
        <v>0</v>
      </c>
      <c r="AG1976" s="168" t="str" cm="1">
        <f t="array" ref="AG1976">IF(AF1976="","",_xlfn.TEXTSPLIT(AF1976,"-"))</f>
        <v>0</v>
      </c>
      <c r="AH1976" s="168"/>
    </row>
    <row r="1977" spans="26:34" ht="24" customHeight="1">
      <c r="Z1977"/>
      <c r="AA1977"/>
      <c r="AB1977"/>
      <c r="AC1977"/>
      <c r="AD1977"/>
      <c r="AE1977" s="168" t="str">
        <f t="shared" si="30"/>
        <v/>
      </c>
      <c r="AF1977" s="168">
        <v>0</v>
      </c>
      <c r="AG1977" s="168" t="str" cm="1">
        <f t="array" ref="AG1977">IF(AF1977="","",_xlfn.TEXTSPLIT(AF1977,"-"))</f>
        <v>0</v>
      </c>
      <c r="AH1977" s="168"/>
    </row>
    <row r="1978" spans="26:34" ht="24" customHeight="1">
      <c r="Z1978"/>
      <c r="AA1978"/>
      <c r="AB1978"/>
      <c r="AC1978"/>
      <c r="AD1978"/>
      <c r="AE1978" s="168" t="str">
        <f t="shared" si="30"/>
        <v/>
      </c>
      <c r="AF1978" s="168">
        <v>0</v>
      </c>
      <c r="AG1978" s="168" t="str" cm="1">
        <f t="array" ref="AG1978">IF(AF1978="","",_xlfn.TEXTSPLIT(AF1978,"-"))</f>
        <v>0</v>
      </c>
      <c r="AH1978" s="168"/>
    </row>
    <row r="1979" spans="26:34" ht="24" customHeight="1">
      <c r="Z1979"/>
      <c r="AA1979"/>
      <c r="AB1979"/>
      <c r="AC1979"/>
      <c r="AD1979"/>
      <c r="AE1979" s="168" t="str">
        <f t="shared" si="30"/>
        <v/>
      </c>
      <c r="AF1979" s="168">
        <v>0</v>
      </c>
      <c r="AG1979" s="168" t="str" cm="1">
        <f t="array" ref="AG1979">IF(AF1979="","",_xlfn.TEXTSPLIT(AF1979,"-"))</f>
        <v>0</v>
      </c>
      <c r="AH1979" s="168"/>
    </row>
    <row r="1980" spans="26:34" ht="24" customHeight="1">
      <c r="Z1980"/>
      <c r="AA1980"/>
      <c r="AB1980"/>
      <c r="AC1980"/>
      <c r="AD1980"/>
      <c r="AE1980" s="168" t="str">
        <f t="shared" si="30"/>
        <v/>
      </c>
      <c r="AF1980" s="168">
        <v>0</v>
      </c>
      <c r="AG1980" s="168" t="str" cm="1">
        <f t="array" ref="AG1980">IF(AF1980="","",_xlfn.TEXTSPLIT(AF1980,"-"))</f>
        <v>0</v>
      </c>
      <c r="AH1980" s="168"/>
    </row>
    <row r="1981" spans="26:34" ht="24" customHeight="1">
      <c r="Z1981"/>
      <c r="AA1981"/>
      <c r="AB1981"/>
      <c r="AC1981"/>
      <c r="AD1981"/>
      <c r="AE1981" s="168" t="str">
        <f t="shared" si="30"/>
        <v/>
      </c>
      <c r="AF1981" s="168">
        <v>0</v>
      </c>
      <c r="AG1981" s="168" t="str" cm="1">
        <f t="array" ref="AG1981">IF(AF1981="","",_xlfn.TEXTSPLIT(AF1981,"-"))</f>
        <v>0</v>
      </c>
      <c r="AH1981" s="168"/>
    </row>
    <row r="1982" spans="26:34" ht="24" customHeight="1">
      <c r="Z1982"/>
      <c r="AA1982"/>
      <c r="AB1982"/>
      <c r="AC1982"/>
      <c r="AD1982"/>
      <c r="AE1982" s="168" t="str">
        <f t="shared" si="30"/>
        <v/>
      </c>
      <c r="AF1982" s="168">
        <v>0</v>
      </c>
      <c r="AG1982" s="168" t="str" cm="1">
        <f t="array" ref="AG1982">IF(AF1982="","",_xlfn.TEXTSPLIT(AF1982,"-"))</f>
        <v>0</v>
      </c>
      <c r="AH1982" s="168"/>
    </row>
    <row r="1983" spans="26:34" ht="24" customHeight="1">
      <c r="Z1983"/>
      <c r="AA1983"/>
      <c r="AB1983"/>
      <c r="AC1983"/>
      <c r="AD1983"/>
      <c r="AE1983" s="168" t="str">
        <f t="shared" si="30"/>
        <v/>
      </c>
      <c r="AF1983" s="168">
        <v>0</v>
      </c>
      <c r="AG1983" s="168" t="str" cm="1">
        <f t="array" ref="AG1983">IF(AF1983="","",_xlfn.TEXTSPLIT(AF1983,"-"))</f>
        <v>0</v>
      </c>
      <c r="AH1983" s="168"/>
    </row>
    <row r="1984" spans="26:34" ht="24" customHeight="1">
      <c r="Z1984"/>
      <c r="AA1984"/>
      <c r="AB1984"/>
      <c r="AC1984"/>
      <c r="AD1984"/>
      <c r="AE1984" s="168" t="str">
        <f t="shared" si="30"/>
        <v/>
      </c>
      <c r="AF1984" s="168">
        <v>0</v>
      </c>
      <c r="AG1984" s="168" t="str" cm="1">
        <f t="array" ref="AG1984">IF(AF1984="","",_xlfn.TEXTSPLIT(AF1984,"-"))</f>
        <v>0</v>
      </c>
      <c r="AH1984" s="168"/>
    </row>
    <row r="1985" spans="26:34" ht="24" customHeight="1">
      <c r="Z1985"/>
      <c r="AA1985"/>
      <c r="AB1985"/>
      <c r="AC1985"/>
      <c r="AD1985"/>
      <c r="AE1985" s="168" t="str">
        <f t="shared" si="30"/>
        <v/>
      </c>
      <c r="AF1985" s="168">
        <v>0</v>
      </c>
      <c r="AG1985" s="168" t="str" cm="1">
        <f t="array" ref="AG1985">IF(AF1985="","",_xlfn.TEXTSPLIT(AF1985,"-"))</f>
        <v>0</v>
      </c>
      <c r="AH1985" s="168"/>
    </row>
    <row r="1986" spans="26:34" ht="24" customHeight="1">
      <c r="Z1986"/>
      <c r="AA1986"/>
      <c r="AB1986"/>
      <c r="AC1986"/>
      <c r="AD1986"/>
      <c r="AE1986" s="168" t="str">
        <f t="shared" si="30"/>
        <v/>
      </c>
      <c r="AF1986" s="168">
        <v>0</v>
      </c>
      <c r="AG1986" s="168" t="str" cm="1">
        <f t="array" ref="AG1986">IF(AF1986="","",_xlfn.TEXTSPLIT(AF1986,"-"))</f>
        <v>0</v>
      </c>
      <c r="AH1986" s="168"/>
    </row>
    <row r="1987" spans="26:34" ht="24" customHeight="1">
      <c r="Z1987"/>
      <c r="AA1987"/>
      <c r="AB1987"/>
      <c r="AC1987"/>
      <c r="AD1987"/>
      <c r="AE1987" s="168" t="str">
        <f t="shared" si="30"/>
        <v/>
      </c>
      <c r="AF1987" s="168">
        <v>0</v>
      </c>
      <c r="AG1987" s="168" t="str" cm="1">
        <f t="array" ref="AG1987">IF(AF1987="","",_xlfn.TEXTSPLIT(AF1987,"-"))</f>
        <v>0</v>
      </c>
      <c r="AH1987" s="168"/>
    </row>
    <row r="1988" spans="26:34" ht="24" customHeight="1">
      <c r="Z1988"/>
      <c r="AA1988"/>
      <c r="AB1988"/>
      <c r="AC1988"/>
      <c r="AD1988"/>
      <c r="AE1988" s="168" t="str">
        <f t="shared" si="30"/>
        <v/>
      </c>
      <c r="AF1988" s="168">
        <v>0</v>
      </c>
      <c r="AG1988" s="168" t="str" cm="1">
        <f t="array" ref="AG1988">IF(AF1988="","",_xlfn.TEXTSPLIT(AF1988,"-"))</f>
        <v>0</v>
      </c>
      <c r="AH1988" s="168"/>
    </row>
    <row r="1989" spans="26:34" ht="24" customHeight="1">
      <c r="Z1989"/>
      <c r="AA1989"/>
      <c r="AB1989"/>
      <c r="AC1989"/>
      <c r="AD1989"/>
      <c r="AE1989" s="168" t="str">
        <f t="shared" ref="AE1989:AE2052" si="31">IF(AH1989="","",AH1989*1)</f>
        <v/>
      </c>
      <c r="AF1989" s="168">
        <v>0</v>
      </c>
      <c r="AG1989" s="168" t="str" cm="1">
        <f t="array" ref="AG1989">IF(AF1989="","",_xlfn.TEXTSPLIT(AF1989,"-"))</f>
        <v>0</v>
      </c>
      <c r="AH1989" s="168"/>
    </row>
    <row r="1990" spans="26:34" ht="24" customHeight="1">
      <c r="Z1990"/>
      <c r="AA1990"/>
      <c r="AB1990"/>
      <c r="AC1990"/>
      <c r="AD1990"/>
      <c r="AE1990" s="168" t="str">
        <f t="shared" si="31"/>
        <v/>
      </c>
      <c r="AF1990" s="168">
        <v>0</v>
      </c>
      <c r="AG1990" s="168" t="str" cm="1">
        <f t="array" ref="AG1990">IF(AF1990="","",_xlfn.TEXTSPLIT(AF1990,"-"))</f>
        <v>0</v>
      </c>
      <c r="AH1990" s="168"/>
    </row>
    <row r="1991" spans="26:34" ht="24" customHeight="1">
      <c r="Z1991"/>
      <c r="AA1991"/>
      <c r="AB1991"/>
      <c r="AC1991"/>
      <c r="AD1991"/>
      <c r="AE1991" s="168" t="str">
        <f t="shared" si="31"/>
        <v/>
      </c>
      <c r="AF1991" s="168">
        <v>0</v>
      </c>
      <c r="AG1991" s="168" t="str" cm="1">
        <f t="array" ref="AG1991">IF(AF1991="","",_xlfn.TEXTSPLIT(AF1991,"-"))</f>
        <v>0</v>
      </c>
      <c r="AH1991" s="168"/>
    </row>
    <row r="1992" spans="26:34" ht="24" customHeight="1">
      <c r="Z1992"/>
      <c r="AA1992"/>
      <c r="AB1992"/>
      <c r="AC1992"/>
      <c r="AD1992"/>
      <c r="AE1992" s="168" t="str">
        <f t="shared" si="31"/>
        <v/>
      </c>
      <c r="AF1992" s="168">
        <v>0</v>
      </c>
      <c r="AG1992" s="168" t="str" cm="1">
        <f t="array" ref="AG1992">IF(AF1992="","",_xlfn.TEXTSPLIT(AF1992,"-"))</f>
        <v>0</v>
      </c>
      <c r="AH1992" s="168"/>
    </row>
    <row r="1993" spans="26:34" ht="24" customHeight="1">
      <c r="Z1993"/>
      <c r="AA1993"/>
      <c r="AB1993"/>
      <c r="AC1993"/>
      <c r="AD1993"/>
      <c r="AE1993" s="168" t="str">
        <f t="shared" si="31"/>
        <v/>
      </c>
      <c r="AF1993" s="168">
        <v>0</v>
      </c>
      <c r="AG1993" s="168" t="str" cm="1">
        <f t="array" ref="AG1993">IF(AF1993="","",_xlfn.TEXTSPLIT(AF1993,"-"))</f>
        <v>0</v>
      </c>
      <c r="AH1993" s="168"/>
    </row>
    <row r="1994" spans="26:34" ht="24" customHeight="1">
      <c r="Z1994"/>
      <c r="AA1994"/>
      <c r="AB1994"/>
      <c r="AC1994"/>
      <c r="AD1994"/>
      <c r="AE1994" s="168" t="str">
        <f t="shared" si="31"/>
        <v/>
      </c>
      <c r="AF1994" s="168">
        <v>0</v>
      </c>
      <c r="AG1994" s="168" t="str" cm="1">
        <f t="array" ref="AG1994">IF(AF1994="","",_xlfn.TEXTSPLIT(AF1994,"-"))</f>
        <v>0</v>
      </c>
      <c r="AH1994" s="168"/>
    </row>
    <row r="1995" spans="26:34" ht="24" customHeight="1">
      <c r="Z1995"/>
      <c r="AA1995"/>
      <c r="AB1995"/>
      <c r="AC1995"/>
      <c r="AD1995"/>
      <c r="AE1995" s="168" t="str">
        <f t="shared" si="31"/>
        <v/>
      </c>
      <c r="AF1995" s="168">
        <v>0</v>
      </c>
      <c r="AG1995" s="168" t="str" cm="1">
        <f t="array" ref="AG1995">IF(AF1995="","",_xlfn.TEXTSPLIT(AF1995,"-"))</f>
        <v>0</v>
      </c>
      <c r="AH1995" s="168"/>
    </row>
    <row r="1996" spans="26:34" ht="24" customHeight="1">
      <c r="Z1996"/>
      <c r="AA1996"/>
      <c r="AB1996"/>
      <c r="AC1996"/>
      <c r="AD1996"/>
      <c r="AE1996" s="168" t="str">
        <f t="shared" si="31"/>
        <v/>
      </c>
      <c r="AF1996" s="168">
        <v>0</v>
      </c>
      <c r="AG1996" s="168" t="str" cm="1">
        <f t="array" ref="AG1996">IF(AF1996="","",_xlfn.TEXTSPLIT(AF1996,"-"))</f>
        <v>0</v>
      </c>
      <c r="AH1996" s="168"/>
    </row>
    <row r="1997" spans="26:34" ht="24" customHeight="1">
      <c r="Z1997"/>
      <c r="AA1997"/>
      <c r="AB1997"/>
      <c r="AC1997"/>
      <c r="AD1997"/>
      <c r="AE1997" s="168" t="str">
        <f t="shared" si="31"/>
        <v/>
      </c>
      <c r="AF1997" s="168">
        <v>0</v>
      </c>
      <c r="AG1997" s="168" t="str" cm="1">
        <f t="array" ref="AG1997">IF(AF1997="","",_xlfn.TEXTSPLIT(AF1997,"-"))</f>
        <v>0</v>
      </c>
      <c r="AH1997" s="168"/>
    </row>
    <row r="1998" spans="26:34" ht="24" customHeight="1">
      <c r="Z1998"/>
      <c r="AA1998"/>
      <c r="AB1998"/>
      <c r="AC1998"/>
      <c r="AD1998"/>
      <c r="AE1998" s="168" t="str">
        <f t="shared" si="31"/>
        <v/>
      </c>
      <c r="AF1998" s="168">
        <v>0</v>
      </c>
      <c r="AG1998" s="168" t="str" cm="1">
        <f t="array" ref="AG1998">IF(AF1998="","",_xlfn.TEXTSPLIT(AF1998,"-"))</f>
        <v>0</v>
      </c>
      <c r="AH1998" s="168"/>
    </row>
    <row r="1999" spans="26:34" ht="24" customHeight="1">
      <c r="Z1999"/>
      <c r="AA1999"/>
      <c r="AB1999"/>
      <c r="AC1999"/>
      <c r="AD1999"/>
      <c r="AE1999" s="168" t="str">
        <f t="shared" si="31"/>
        <v/>
      </c>
      <c r="AF1999" s="168">
        <v>0</v>
      </c>
      <c r="AG1999" s="168" t="str" cm="1">
        <f t="array" ref="AG1999">IF(AF1999="","",_xlfn.TEXTSPLIT(AF1999,"-"))</f>
        <v>0</v>
      </c>
      <c r="AH1999" s="168"/>
    </row>
    <row r="2000" spans="26:34" ht="24" customHeight="1">
      <c r="Z2000"/>
      <c r="AA2000"/>
      <c r="AB2000"/>
      <c r="AC2000"/>
      <c r="AD2000"/>
      <c r="AE2000" s="168" t="str">
        <f t="shared" si="31"/>
        <v/>
      </c>
      <c r="AF2000" s="168">
        <v>0</v>
      </c>
      <c r="AG2000" s="168" t="str" cm="1">
        <f t="array" ref="AG2000">IF(AF2000="","",_xlfn.TEXTSPLIT(AF2000,"-"))</f>
        <v>0</v>
      </c>
      <c r="AH2000" s="168"/>
    </row>
    <row r="2001" spans="26:34" ht="24" customHeight="1">
      <c r="Z2001"/>
      <c r="AA2001"/>
      <c r="AB2001"/>
      <c r="AC2001"/>
      <c r="AD2001"/>
      <c r="AE2001" s="168" t="str">
        <f t="shared" si="31"/>
        <v/>
      </c>
      <c r="AF2001" s="168">
        <v>0</v>
      </c>
      <c r="AG2001" s="168" t="str" cm="1">
        <f t="array" ref="AG2001">IF(AF2001="","",_xlfn.TEXTSPLIT(AF2001,"-"))</f>
        <v>0</v>
      </c>
      <c r="AH2001" s="168"/>
    </row>
    <row r="2002" spans="26:34" ht="24" customHeight="1">
      <c r="Z2002"/>
      <c r="AA2002"/>
      <c r="AB2002"/>
      <c r="AC2002"/>
      <c r="AD2002"/>
      <c r="AE2002" s="168" t="str">
        <f t="shared" si="31"/>
        <v/>
      </c>
      <c r="AF2002" s="168">
        <v>0</v>
      </c>
      <c r="AG2002" s="168" t="str" cm="1">
        <f t="array" ref="AG2002">IF(AF2002="","",_xlfn.TEXTSPLIT(AF2002,"-"))</f>
        <v>0</v>
      </c>
      <c r="AH2002" s="168"/>
    </row>
    <row r="2003" spans="26:34" ht="24" customHeight="1">
      <c r="Z2003"/>
      <c r="AA2003"/>
      <c r="AB2003"/>
      <c r="AC2003"/>
      <c r="AD2003"/>
      <c r="AE2003" s="168" t="str">
        <f t="shared" si="31"/>
        <v/>
      </c>
      <c r="AF2003" s="168">
        <v>0</v>
      </c>
      <c r="AG2003" s="168" t="str" cm="1">
        <f t="array" ref="AG2003">IF(AF2003="","",_xlfn.TEXTSPLIT(AF2003,"-"))</f>
        <v>0</v>
      </c>
      <c r="AH2003" s="168"/>
    </row>
    <row r="2004" spans="26:34" ht="24" customHeight="1">
      <c r="Z2004"/>
      <c r="AA2004"/>
      <c r="AB2004"/>
      <c r="AC2004"/>
      <c r="AD2004"/>
      <c r="AE2004" s="168" t="str">
        <f t="shared" si="31"/>
        <v/>
      </c>
      <c r="AF2004" s="168">
        <v>0</v>
      </c>
      <c r="AG2004" s="168" t="str" cm="1">
        <f t="array" ref="AG2004">IF(AF2004="","",_xlfn.TEXTSPLIT(AF2004,"-"))</f>
        <v>0</v>
      </c>
      <c r="AH2004" s="168"/>
    </row>
    <row r="2005" spans="26:34" ht="24" customHeight="1">
      <c r="Z2005"/>
      <c r="AA2005"/>
      <c r="AB2005"/>
      <c r="AC2005"/>
      <c r="AD2005"/>
      <c r="AE2005" s="168" t="str">
        <f t="shared" si="31"/>
        <v/>
      </c>
      <c r="AF2005" s="168">
        <v>0</v>
      </c>
      <c r="AG2005" s="168" t="str" cm="1">
        <f t="array" ref="AG2005">IF(AF2005="","",_xlfn.TEXTSPLIT(AF2005,"-"))</f>
        <v>0</v>
      </c>
      <c r="AH2005" s="168"/>
    </row>
    <row r="2006" spans="26:34" ht="24" customHeight="1">
      <c r="Z2006"/>
      <c r="AA2006"/>
      <c r="AB2006"/>
      <c r="AC2006"/>
      <c r="AD2006"/>
      <c r="AE2006" s="168" t="str">
        <f t="shared" si="31"/>
        <v/>
      </c>
      <c r="AF2006" s="168">
        <v>0</v>
      </c>
      <c r="AG2006" s="168" t="str" cm="1">
        <f t="array" ref="AG2006">IF(AF2006="","",_xlfn.TEXTSPLIT(AF2006,"-"))</f>
        <v>0</v>
      </c>
      <c r="AH2006" s="168"/>
    </row>
    <row r="2007" spans="26:34" ht="24" customHeight="1">
      <c r="Z2007"/>
      <c r="AA2007"/>
      <c r="AB2007"/>
      <c r="AC2007"/>
      <c r="AD2007"/>
      <c r="AE2007" s="168" t="str">
        <f t="shared" si="31"/>
        <v/>
      </c>
      <c r="AF2007" s="168">
        <v>0</v>
      </c>
      <c r="AG2007" s="168" t="str" cm="1">
        <f t="array" ref="AG2007">IF(AF2007="","",_xlfn.TEXTSPLIT(AF2007,"-"))</f>
        <v>0</v>
      </c>
      <c r="AH2007" s="168"/>
    </row>
    <row r="2008" spans="26:34" ht="24" customHeight="1">
      <c r="Z2008"/>
      <c r="AA2008"/>
      <c r="AB2008"/>
      <c r="AC2008"/>
      <c r="AD2008"/>
      <c r="AE2008" s="168" t="str">
        <f t="shared" si="31"/>
        <v/>
      </c>
      <c r="AF2008" s="168">
        <v>0</v>
      </c>
      <c r="AG2008" s="168" t="str" cm="1">
        <f t="array" ref="AG2008">IF(AF2008="","",_xlfn.TEXTSPLIT(AF2008,"-"))</f>
        <v>0</v>
      </c>
      <c r="AH2008" s="168"/>
    </row>
    <row r="2009" spans="26:34" ht="24" customHeight="1">
      <c r="Z2009"/>
      <c r="AA2009"/>
      <c r="AB2009"/>
      <c r="AC2009"/>
      <c r="AD2009"/>
      <c r="AE2009" s="168" t="str">
        <f t="shared" si="31"/>
        <v/>
      </c>
      <c r="AF2009" s="168">
        <v>0</v>
      </c>
      <c r="AG2009" s="168" t="str" cm="1">
        <f t="array" ref="AG2009">IF(AF2009="","",_xlfn.TEXTSPLIT(AF2009,"-"))</f>
        <v>0</v>
      </c>
      <c r="AH2009" s="168"/>
    </row>
    <row r="2010" spans="26:34" ht="24" customHeight="1">
      <c r="Z2010"/>
      <c r="AA2010"/>
      <c r="AB2010"/>
      <c r="AC2010"/>
      <c r="AD2010"/>
      <c r="AE2010" s="168" t="str">
        <f t="shared" si="31"/>
        <v/>
      </c>
      <c r="AF2010" s="168">
        <v>0</v>
      </c>
      <c r="AG2010" s="168" t="str" cm="1">
        <f t="array" ref="AG2010">IF(AF2010="","",_xlfn.TEXTSPLIT(AF2010,"-"))</f>
        <v>0</v>
      </c>
      <c r="AH2010" s="168"/>
    </row>
    <row r="2011" spans="26:34" ht="24" customHeight="1">
      <c r="Z2011"/>
      <c r="AA2011"/>
      <c r="AB2011"/>
      <c r="AC2011"/>
      <c r="AD2011"/>
      <c r="AE2011" s="168" t="str">
        <f t="shared" si="31"/>
        <v/>
      </c>
      <c r="AF2011" s="168">
        <v>0</v>
      </c>
      <c r="AG2011" s="168" t="str" cm="1">
        <f t="array" ref="AG2011">IF(AF2011="","",_xlfn.TEXTSPLIT(AF2011,"-"))</f>
        <v>0</v>
      </c>
      <c r="AH2011" s="168"/>
    </row>
    <row r="2012" spans="26:34" ht="24" customHeight="1">
      <c r="Z2012"/>
      <c r="AA2012"/>
      <c r="AB2012"/>
      <c r="AC2012"/>
      <c r="AD2012"/>
      <c r="AE2012" s="168" t="str">
        <f t="shared" si="31"/>
        <v/>
      </c>
      <c r="AF2012" s="168">
        <v>0</v>
      </c>
      <c r="AG2012" s="168" t="str" cm="1">
        <f t="array" ref="AG2012">IF(AF2012="","",_xlfn.TEXTSPLIT(AF2012,"-"))</f>
        <v>0</v>
      </c>
      <c r="AH2012" s="168"/>
    </row>
    <row r="2013" spans="26:34" ht="24" customHeight="1">
      <c r="Z2013"/>
      <c r="AA2013"/>
      <c r="AB2013"/>
      <c r="AC2013"/>
      <c r="AD2013"/>
      <c r="AE2013" s="168" t="str">
        <f t="shared" si="31"/>
        <v/>
      </c>
      <c r="AF2013" s="168">
        <v>0</v>
      </c>
      <c r="AG2013" s="168" t="str" cm="1">
        <f t="array" ref="AG2013">IF(AF2013="","",_xlfn.TEXTSPLIT(AF2013,"-"))</f>
        <v>0</v>
      </c>
      <c r="AH2013" s="168"/>
    </row>
    <row r="2014" spans="26:34" ht="24" customHeight="1">
      <c r="Z2014"/>
      <c r="AA2014"/>
      <c r="AB2014"/>
      <c r="AC2014"/>
      <c r="AD2014"/>
      <c r="AE2014" s="168" t="str">
        <f t="shared" si="31"/>
        <v/>
      </c>
      <c r="AF2014" s="168">
        <v>0</v>
      </c>
      <c r="AG2014" s="168" t="str" cm="1">
        <f t="array" ref="AG2014">IF(AF2014="","",_xlfn.TEXTSPLIT(AF2014,"-"))</f>
        <v>0</v>
      </c>
      <c r="AH2014" s="168"/>
    </row>
    <row r="2015" spans="26:34" ht="24" customHeight="1">
      <c r="Z2015"/>
      <c r="AA2015"/>
      <c r="AB2015"/>
      <c r="AC2015"/>
      <c r="AD2015"/>
      <c r="AE2015" s="168" t="str">
        <f t="shared" si="31"/>
        <v/>
      </c>
      <c r="AF2015" s="168">
        <v>0</v>
      </c>
      <c r="AG2015" s="168" t="str" cm="1">
        <f t="array" ref="AG2015">IF(AF2015="","",_xlfn.TEXTSPLIT(AF2015,"-"))</f>
        <v>0</v>
      </c>
      <c r="AH2015" s="168"/>
    </row>
    <row r="2016" spans="26:34" ht="24" customHeight="1">
      <c r="Z2016"/>
      <c r="AA2016"/>
      <c r="AB2016"/>
      <c r="AC2016"/>
      <c r="AD2016"/>
      <c r="AE2016" s="168" t="str">
        <f t="shared" si="31"/>
        <v/>
      </c>
      <c r="AF2016" s="168">
        <v>0</v>
      </c>
      <c r="AG2016" s="168" t="str" cm="1">
        <f t="array" ref="AG2016">IF(AF2016="","",_xlfn.TEXTSPLIT(AF2016,"-"))</f>
        <v>0</v>
      </c>
      <c r="AH2016" s="168"/>
    </row>
    <row r="2017" spans="26:34" ht="24" customHeight="1">
      <c r="Z2017"/>
      <c r="AA2017"/>
      <c r="AB2017"/>
      <c r="AC2017"/>
      <c r="AD2017"/>
      <c r="AE2017" s="168" t="str">
        <f t="shared" si="31"/>
        <v/>
      </c>
      <c r="AF2017" s="168">
        <v>0</v>
      </c>
      <c r="AG2017" s="168" t="str" cm="1">
        <f t="array" ref="AG2017">IF(AF2017="","",_xlfn.TEXTSPLIT(AF2017,"-"))</f>
        <v>0</v>
      </c>
      <c r="AH2017" s="168"/>
    </row>
    <row r="2018" spans="26:34" ht="24" customHeight="1">
      <c r="Z2018"/>
      <c r="AA2018"/>
      <c r="AB2018"/>
      <c r="AC2018"/>
      <c r="AD2018"/>
      <c r="AE2018" s="168" t="str">
        <f t="shared" si="31"/>
        <v/>
      </c>
      <c r="AF2018" s="168">
        <v>0</v>
      </c>
      <c r="AG2018" s="168" t="str" cm="1">
        <f t="array" ref="AG2018">IF(AF2018="","",_xlfn.TEXTSPLIT(AF2018,"-"))</f>
        <v>0</v>
      </c>
      <c r="AH2018" s="168"/>
    </row>
    <row r="2019" spans="26:34" ht="24" customHeight="1">
      <c r="Z2019"/>
      <c r="AA2019"/>
      <c r="AB2019"/>
      <c r="AC2019"/>
      <c r="AD2019"/>
      <c r="AE2019" s="168" t="str">
        <f t="shared" si="31"/>
        <v/>
      </c>
      <c r="AF2019" s="168">
        <v>0</v>
      </c>
      <c r="AG2019" s="168" t="str" cm="1">
        <f t="array" ref="AG2019">IF(AF2019="","",_xlfn.TEXTSPLIT(AF2019,"-"))</f>
        <v>0</v>
      </c>
      <c r="AH2019" s="168"/>
    </row>
    <row r="2020" spans="26:34" ht="24" customHeight="1">
      <c r="Z2020"/>
      <c r="AA2020"/>
      <c r="AB2020"/>
      <c r="AC2020"/>
      <c r="AD2020"/>
      <c r="AE2020" s="168" t="str">
        <f t="shared" si="31"/>
        <v/>
      </c>
      <c r="AF2020" s="168">
        <v>0</v>
      </c>
      <c r="AG2020" s="168" t="str" cm="1">
        <f t="array" ref="AG2020">IF(AF2020="","",_xlfn.TEXTSPLIT(AF2020,"-"))</f>
        <v>0</v>
      </c>
      <c r="AH2020" s="168"/>
    </row>
    <row r="2021" spans="26:34" ht="24" customHeight="1">
      <c r="Z2021"/>
      <c r="AA2021"/>
      <c r="AB2021"/>
      <c r="AC2021"/>
      <c r="AD2021"/>
      <c r="AE2021" s="168" t="str">
        <f t="shared" si="31"/>
        <v/>
      </c>
      <c r="AF2021" s="168">
        <v>0</v>
      </c>
      <c r="AG2021" s="168" t="str" cm="1">
        <f t="array" ref="AG2021">IF(AF2021="","",_xlfn.TEXTSPLIT(AF2021,"-"))</f>
        <v>0</v>
      </c>
      <c r="AH2021" s="168"/>
    </row>
    <row r="2022" spans="26:34" ht="24" customHeight="1">
      <c r="Z2022"/>
      <c r="AA2022"/>
      <c r="AB2022"/>
      <c r="AC2022"/>
      <c r="AD2022"/>
      <c r="AE2022" s="168" t="str">
        <f t="shared" si="31"/>
        <v/>
      </c>
      <c r="AF2022" s="168">
        <v>0</v>
      </c>
      <c r="AG2022" s="168" t="str" cm="1">
        <f t="array" ref="AG2022">IF(AF2022="","",_xlfn.TEXTSPLIT(AF2022,"-"))</f>
        <v>0</v>
      </c>
      <c r="AH2022" s="168"/>
    </row>
    <row r="2023" spans="26:34" ht="24" customHeight="1">
      <c r="Z2023"/>
      <c r="AA2023"/>
      <c r="AB2023"/>
      <c r="AC2023"/>
      <c r="AD2023"/>
      <c r="AE2023" s="168" t="str">
        <f t="shared" si="31"/>
        <v/>
      </c>
      <c r="AF2023" s="168">
        <v>0</v>
      </c>
      <c r="AG2023" s="168" t="str" cm="1">
        <f t="array" ref="AG2023">IF(AF2023="","",_xlfn.TEXTSPLIT(AF2023,"-"))</f>
        <v>0</v>
      </c>
      <c r="AH2023" s="168"/>
    </row>
    <row r="2024" spans="26:34" ht="24" customHeight="1">
      <c r="Z2024"/>
      <c r="AA2024"/>
      <c r="AB2024"/>
      <c r="AC2024"/>
      <c r="AD2024"/>
      <c r="AE2024" s="168" t="str">
        <f t="shared" si="31"/>
        <v/>
      </c>
      <c r="AF2024" s="168">
        <v>0</v>
      </c>
      <c r="AG2024" s="168" t="str" cm="1">
        <f t="array" ref="AG2024">IF(AF2024="","",_xlfn.TEXTSPLIT(AF2024,"-"))</f>
        <v>0</v>
      </c>
      <c r="AH2024" s="168"/>
    </row>
    <row r="2025" spans="26:34" ht="24" customHeight="1">
      <c r="Z2025"/>
      <c r="AA2025"/>
      <c r="AB2025"/>
      <c r="AC2025"/>
      <c r="AD2025"/>
      <c r="AE2025" s="168" t="str">
        <f t="shared" si="31"/>
        <v/>
      </c>
      <c r="AF2025" s="168">
        <v>0</v>
      </c>
      <c r="AG2025" s="168" t="str" cm="1">
        <f t="array" ref="AG2025">IF(AF2025="","",_xlfn.TEXTSPLIT(AF2025,"-"))</f>
        <v>0</v>
      </c>
      <c r="AH2025" s="168"/>
    </row>
    <row r="2026" spans="26:34" ht="24" customHeight="1">
      <c r="Z2026"/>
      <c r="AA2026"/>
      <c r="AB2026"/>
      <c r="AC2026"/>
      <c r="AD2026"/>
      <c r="AE2026" s="168" t="str">
        <f t="shared" si="31"/>
        <v/>
      </c>
      <c r="AF2026" s="168">
        <v>0</v>
      </c>
      <c r="AG2026" s="168" t="str" cm="1">
        <f t="array" ref="AG2026">IF(AF2026="","",_xlfn.TEXTSPLIT(AF2026,"-"))</f>
        <v>0</v>
      </c>
      <c r="AH2026" s="168"/>
    </row>
    <row r="2027" spans="26:34" ht="24" customHeight="1">
      <c r="Z2027"/>
      <c r="AA2027"/>
      <c r="AB2027"/>
      <c r="AC2027"/>
      <c r="AD2027"/>
      <c r="AE2027" s="168" t="str">
        <f t="shared" si="31"/>
        <v/>
      </c>
      <c r="AF2027" s="168">
        <v>0</v>
      </c>
      <c r="AG2027" s="168" t="str" cm="1">
        <f t="array" ref="AG2027">IF(AF2027="","",_xlfn.TEXTSPLIT(AF2027,"-"))</f>
        <v>0</v>
      </c>
      <c r="AH2027" s="168"/>
    </row>
    <row r="2028" spans="26:34" ht="24" customHeight="1">
      <c r="Z2028"/>
      <c r="AA2028"/>
      <c r="AB2028"/>
      <c r="AC2028"/>
      <c r="AD2028"/>
      <c r="AE2028" s="168" t="str">
        <f t="shared" si="31"/>
        <v/>
      </c>
      <c r="AF2028" s="168">
        <v>0</v>
      </c>
      <c r="AG2028" s="168" t="str" cm="1">
        <f t="array" ref="AG2028">IF(AF2028="","",_xlfn.TEXTSPLIT(AF2028,"-"))</f>
        <v>0</v>
      </c>
      <c r="AH2028" s="168"/>
    </row>
    <row r="2029" spans="26:34" ht="24" customHeight="1">
      <c r="Z2029"/>
      <c r="AA2029"/>
      <c r="AB2029"/>
      <c r="AC2029"/>
      <c r="AD2029"/>
      <c r="AE2029" s="168" t="str">
        <f t="shared" si="31"/>
        <v/>
      </c>
      <c r="AF2029" s="168">
        <v>0</v>
      </c>
      <c r="AG2029" s="168" t="str" cm="1">
        <f t="array" ref="AG2029">IF(AF2029="","",_xlfn.TEXTSPLIT(AF2029,"-"))</f>
        <v>0</v>
      </c>
      <c r="AH2029" s="168"/>
    </row>
    <row r="2030" spans="26:34" ht="24" customHeight="1">
      <c r="Z2030"/>
      <c r="AA2030"/>
      <c r="AB2030"/>
      <c r="AC2030"/>
      <c r="AD2030"/>
      <c r="AE2030" s="168" t="str">
        <f t="shared" si="31"/>
        <v/>
      </c>
      <c r="AF2030" s="168">
        <v>0</v>
      </c>
      <c r="AG2030" s="168" t="str" cm="1">
        <f t="array" ref="AG2030">IF(AF2030="","",_xlfn.TEXTSPLIT(AF2030,"-"))</f>
        <v>0</v>
      </c>
      <c r="AH2030" s="168"/>
    </row>
    <row r="2031" spans="26:34" ht="24" customHeight="1">
      <c r="Z2031"/>
      <c r="AA2031"/>
      <c r="AB2031"/>
      <c r="AC2031"/>
      <c r="AD2031"/>
      <c r="AE2031" s="168" t="str">
        <f t="shared" si="31"/>
        <v/>
      </c>
      <c r="AF2031" s="168">
        <v>0</v>
      </c>
      <c r="AG2031" s="168" t="str" cm="1">
        <f t="array" ref="AG2031">IF(AF2031="","",_xlfn.TEXTSPLIT(AF2031,"-"))</f>
        <v>0</v>
      </c>
      <c r="AH2031" s="168"/>
    </row>
    <row r="2032" spans="26:34" ht="24" customHeight="1">
      <c r="Z2032"/>
      <c r="AA2032"/>
      <c r="AB2032"/>
      <c r="AC2032"/>
      <c r="AD2032"/>
      <c r="AE2032" s="168" t="str">
        <f t="shared" si="31"/>
        <v/>
      </c>
      <c r="AF2032" s="168">
        <v>0</v>
      </c>
      <c r="AG2032" s="168" t="str" cm="1">
        <f t="array" ref="AG2032">IF(AF2032="","",_xlfn.TEXTSPLIT(AF2032,"-"))</f>
        <v>0</v>
      </c>
      <c r="AH2032" s="168"/>
    </row>
    <row r="2033" spans="26:34" ht="24" customHeight="1">
      <c r="Z2033"/>
      <c r="AA2033"/>
      <c r="AB2033"/>
      <c r="AC2033"/>
      <c r="AD2033"/>
      <c r="AE2033" s="168" t="str">
        <f t="shared" si="31"/>
        <v/>
      </c>
      <c r="AF2033" s="168">
        <v>0</v>
      </c>
      <c r="AG2033" s="168" t="str" cm="1">
        <f t="array" ref="AG2033">IF(AF2033="","",_xlfn.TEXTSPLIT(AF2033,"-"))</f>
        <v>0</v>
      </c>
      <c r="AH2033" s="168"/>
    </row>
    <row r="2034" spans="26:34" ht="24" customHeight="1">
      <c r="Z2034"/>
      <c r="AA2034"/>
      <c r="AB2034"/>
      <c r="AC2034"/>
      <c r="AD2034"/>
      <c r="AE2034" s="168" t="str">
        <f t="shared" si="31"/>
        <v/>
      </c>
      <c r="AF2034" s="168">
        <v>0</v>
      </c>
      <c r="AG2034" s="168" t="str" cm="1">
        <f t="array" ref="AG2034">IF(AF2034="","",_xlfn.TEXTSPLIT(AF2034,"-"))</f>
        <v>0</v>
      </c>
      <c r="AH2034" s="168"/>
    </row>
    <row r="2035" spans="26:34" ht="24" customHeight="1">
      <c r="Z2035"/>
      <c r="AA2035"/>
      <c r="AB2035"/>
      <c r="AC2035"/>
      <c r="AD2035"/>
      <c r="AE2035" s="168" t="str">
        <f t="shared" si="31"/>
        <v/>
      </c>
      <c r="AF2035" s="168">
        <v>0</v>
      </c>
      <c r="AG2035" s="168" t="str" cm="1">
        <f t="array" ref="AG2035">IF(AF2035="","",_xlfn.TEXTSPLIT(AF2035,"-"))</f>
        <v>0</v>
      </c>
      <c r="AH2035" s="168"/>
    </row>
    <row r="2036" spans="26:34" ht="24" customHeight="1">
      <c r="Z2036"/>
      <c r="AA2036"/>
      <c r="AB2036"/>
      <c r="AC2036"/>
      <c r="AD2036"/>
      <c r="AE2036" s="168" t="str">
        <f t="shared" si="31"/>
        <v/>
      </c>
      <c r="AF2036" s="168">
        <v>0</v>
      </c>
      <c r="AG2036" s="168" t="str" cm="1">
        <f t="array" ref="AG2036">IF(AF2036="","",_xlfn.TEXTSPLIT(AF2036,"-"))</f>
        <v>0</v>
      </c>
      <c r="AH2036" s="168"/>
    </row>
    <row r="2037" spans="26:34" ht="24" customHeight="1">
      <c r="Z2037"/>
      <c r="AA2037"/>
      <c r="AB2037"/>
      <c r="AC2037"/>
      <c r="AD2037"/>
      <c r="AE2037" s="168" t="str">
        <f t="shared" si="31"/>
        <v/>
      </c>
      <c r="AF2037" s="168">
        <v>0</v>
      </c>
      <c r="AG2037" s="168" t="str" cm="1">
        <f t="array" ref="AG2037">IF(AF2037="","",_xlfn.TEXTSPLIT(AF2037,"-"))</f>
        <v>0</v>
      </c>
      <c r="AH2037" s="168"/>
    </row>
    <row r="2038" spans="26:34" ht="24" customHeight="1">
      <c r="Z2038"/>
      <c r="AA2038"/>
      <c r="AB2038"/>
      <c r="AC2038"/>
      <c r="AD2038"/>
      <c r="AE2038" s="168" t="str">
        <f t="shared" si="31"/>
        <v/>
      </c>
      <c r="AF2038" s="168">
        <v>0</v>
      </c>
      <c r="AG2038" s="168" t="str" cm="1">
        <f t="array" ref="AG2038">IF(AF2038="","",_xlfn.TEXTSPLIT(AF2038,"-"))</f>
        <v>0</v>
      </c>
      <c r="AH2038" s="168"/>
    </row>
    <row r="2039" spans="26:34" ht="24" customHeight="1">
      <c r="Z2039"/>
      <c r="AA2039"/>
      <c r="AB2039"/>
      <c r="AC2039"/>
      <c r="AD2039"/>
      <c r="AE2039" s="168" t="str">
        <f t="shared" si="31"/>
        <v/>
      </c>
      <c r="AF2039" s="168">
        <v>0</v>
      </c>
      <c r="AG2039" s="168" t="str" cm="1">
        <f t="array" ref="AG2039">IF(AF2039="","",_xlfn.TEXTSPLIT(AF2039,"-"))</f>
        <v>0</v>
      </c>
      <c r="AH2039" s="168"/>
    </row>
    <row r="2040" spans="26:34" ht="24" customHeight="1">
      <c r="Z2040"/>
      <c r="AA2040"/>
      <c r="AB2040"/>
      <c r="AC2040"/>
      <c r="AD2040"/>
      <c r="AE2040" s="168" t="str">
        <f t="shared" si="31"/>
        <v/>
      </c>
      <c r="AF2040" s="168">
        <v>0</v>
      </c>
      <c r="AG2040" s="168" t="str" cm="1">
        <f t="array" ref="AG2040">IF(AF2040="","",_xlfn.TEXTSPLIT(AF2040,"-"))</f>
        <v>0</v>
      </c>
      <c r="AH2040" s="168"/>
    </row>
    <row r="2041" spans="26:34" ht="24" customHeight="1">
      <c r="Z2041"/>
      <c r="AA2041"/>
      <c r="AB2041"/>
      <c r="AC2041"/>
      <c r="AD2041"/>
      <c r="AE2041" s="168" t="str">
        <f t="shared" si="31"/>
        <v/>
      </c>
      <c r="AF2041" s="168">
        <v>0</v>
      </c>
      <c r="AG2041" s="168" t="str" cm="1">
        <f t="array" ref="AG2041">IF(AF2041="","",_xlfn.TEXTSPLIT(AF2041,"-"))</f>
        <v>0</v>
      </c>
      <c r="AH2041" s="168"/>
    </row>
    <row r="2042" spans="26:34" ht="24" customHeight="1">
      <c r="Z2042"/>
      <c r="AA2042"/>
      <c r="AB2042"/>
      <c r="AC2042"/>
      <c r="AD2042"/>
      <c r="AE2042" s="168" t="str">
        <f t="shared" si="31"/>
        <v/>
      </c>
      <c r="AF2042" s="168">
        <v>0</v>
      </c>
      <c r="AG2042" s="168" t="str" cm="1">
        <f t="array" ref="AG2042">IF(AF2042="","",_xlfn.TEXTSPLIT(AF2042,"-"))</f>
        <v>0</v>
      </c>
      <c r="AH2042" s="168"/>
    </row>
    <row r="2043" spans="26:34" ht="24" customHeight="1">
      <c r="Z2043"/>
      <c r="AA2043"/>
      <c r="AB2043"/>
      <c r="AC2043"/>
      <c r="AD2043"/>
      <c r="AE2043" s="168" t="str">
        <f t="shared" si="31"/>
        <v/>
      </c>
      <c r="AF2043" s="168">
        <v>0</v>
      </c>
      <c r="AG2043" s="168" t="str" cm="1">
        <f t="array" ref="AG2043">IF(AF2043="","",_xlfn.TEXTSPLIT(AF2043,"-"))</f>
        <v>0</v>
      </c>
      <c r="AH2043" s="168"/>
    </row>
    <row r="2044" spans="26:34" ht="24" customHeight="1">
      <c r="Z2044"/>
      <c r="AA2044"/>
      <c r="AB2044"/>
      <c r="AC2044"/>
      <c r="AD2044"/>
      <c r="AE2044" s="168" t="str">
        <f t="shared" si="31"/>
        <v/>
      </c>
      <c r="AF2044" s="168">
        <v>0</v>
      </c>
      <c r="AG2044" s="168" t="str" cm="1">
        <f t="array" ref="AG2044">IF(AF2044="","",_xlfn.TEXTSPLIT(AF2044,"-"))</f>
        <v>0</v>
      </c>
      <c r="AH2044" s="168"/>
    </row>
    <row r="2045" spans="26:34" ht="24" customHeight="1">
      <c r="Z2045"/>
      <c r="AA2045"/>
      <c r="AB2045"/>
      <c r="AC2045"/>
      <c r="AD2045"/>
      <c r="AE2045" s="168" t="str">
        <f t="shared" si="31"/>
        <v/>
      </c>
      <c r="AF2045" s="168">
        <v>0</v>
      </c>
      <c r="AG2045" s="168" t="str" cm="1">
        <f t="array" ref="AG2045">IF(AF2045="","",_xlfn.TEXTSPLIT(AF2045,"-"))</f>
        <v>0</v>
      </c>
      <c r="AH2045" s="168"/>
    </row>
    <row r="2046" spans="26:34" ht="24" customHeight="1">
      <c r="Z2046"/>
      <c r="AA2046"/>
      <c r="AB2046"/>
      <c r="AC2046"/>
      <c r="AD2046"/>
      <c r="AE2046" s="168" t="str">
        <f t="shared" si="31"/>
        <v/>
      </c>
      <c r="AF2046" s="168">
        <v>0</v>
      </c>
      <c r="AG2046" s="168" t="str" cm="1">
        <f t="array" ref="AG2046">IF(AF2046="","",_xlfn.TEXTSPLIT(AF2046,"-"))</f>
        <v>0</v>
      </c>
      <c r="AH2046" s="168"/>
    </row>
    <row r="2047" spans="26:34" ht="24" customHeight="1">
      <c r="Z2047"/>
      <c r="AA2047"/>
      <c r="AB2047"/>
      <c r="AC2047"/>
      <c r="AD2047"/>
      <c r="AE2047" s="168" t="str">
        <f t="shared" si="31"/>
        <v/>
      </c>
      <c r="AF2047" s="168">
        <v>0</v>
      </c>
      <c r="AG2047" s="168" t="str" cm="1">
        <f t="array" ref="AG2047">IF(AF2047="","",_xlfn.TEXTSPLIT(AF2047,"-"))</f>
        <v>0</v>
      </c>
      <c r="AH2047" s="168"/>
    </row>
    <row r="2048" spans="26:34" ht="24" customHeight="1">
      <c r="Z2048"/>
      <c r="AA2048"/>
      <c r="AB2048"/>
      <c r="AC2048"/>
      <c r="AD2048"/>
      <c r="AE2048" s="168" t="str">
        <f t="shared" si="31"/>
        <v/>
      </c>
      <c r="AF2048" s="168">
        <v>0</v>
      </c>
      <c r="AG2048" s="168" t="str" cm="1">
        <f t="array" ref="AG2048">IF(AF2048="","",_xlfn.TEXTSPLIT(AF2048,"-"))</f>
        <v>0</v>
      </c>
      <c r="AH2048" s="168"/>
    </row>
    <row r="2049" spans="26:34" ht="24" customHeight="1">
      <c r="Z2049"/>
      <c r="AA2049"/>
      <c r="AB2049"/>
      <c r="AC2049"/>
      <c r="AD2049"/>
      <c r="AE2049" s="168" t="str">
        <f t="shared" si="31"/>
        <v/>
      </c>
      <c r="AF2049" s="168">
        <v>0</v>
      </c>
      <c r="AG2049" s="168" t="str" cm="1">
        <f t="array" ref="AG2049">IF(AF2049="","",_xlfn.TEXTSPLIT(AF2049,"-"))</f>
        <v>0</v>
      </c>
      <c r="AH2049" s="168"/>
    </row>
    <row r="2050" spans="26:34" ht="24" customHeight="1">
      <c r="Z2050"/>
      <c r="AA2050"/>
      <c r="AB2050"/>
      <c r="AC2050"/>
      <c r="AD2050"/>
      <c r="AE2050" s="168" t="str">
        <f t="shared" si="31"/>
        <v/>
      </c>
      <c r="AF2050" s="168">
        <v>0</v>
      </c>
      <c r="AG2050" s="168" t="str" cm="1">
        <f t="array" ref="AG2050">IF(AF2050="","",_xlfn.TEXTSPLIT(AF2050,"-"))</f>
        <v>0</v>
      </c>
      <c r="AH2050" s="168"/>
    </row>
    <row r="2051" spans="26:34" ht="24" customHeight="1">
      <c r="Z2051"/>
      <c r="AA2051"/>
      <c r="AB2051"/>
      <c r="AC2051"/>
      <c r="AD2051"/>
      <c r="AE2051" s="168" t="str">
        <f t="shared" si="31"/>
        <v/>
      </c>
      <c r="AF2051" s="168">
        <v>0</v>
      </c>
      <c r="AG2051" s="168" t="str" cm="1">
        <f t="array" ref="AG2051">IF(AF2051="","",_xlfn.TEXTSPLIT(AF2051,"-"))</f>
        <v>0</v>
      </c>
      <c r="AH2051" s="168"/>
    </row>
    <row r="2052" spans="26:34" ht="24" customHeight="1">
      <c r="Z2052"/>
      <c r="AA2052"/>
      <c r="AB2052"/>
      <c r="AC2052"/>
      <c r="AD2052"/>
      <c r="AE2052" s="168" t="str">
        <f t="shared" si="31"/>
        <v/>
      </c>
      <c r="AF2052" s="168">
        <v>0</v>
      </c>
      <c r="AG2052" s="168" t="str" cm="1">
        <f t="array" ref="AG2052">IF(AF2052="","",_xlfn.TEXTSPLIT(AF2052,"-"))</f>
        <v>0</v>
      </c>
      <c r="AH2052" s="168"/>
    </row>
    <row r="2053" spans="26:34" ht="24" customHeight="1">
      <c r="Z2053"/>
      <c r="AA2053"/>
      <c r="AB2053"/>
      <c r="AC2053"/>
      <c r="AD2053"/>
      <c r="AE2053" s="168" t="str">
        <f t="shared" ref="AE2053:AE2116" si="32">IF(AH2053="","",AH2053*1)</f>
        <v/>
      </c>
      <c r="AF2053" s="168">
        <v>0</v>
      </c>
      <c r="AG2053" s="168" t="str" cm="1">
        <f t="array" ref="AG2053">IF(AF2053="","",_xlfn.TEXTSPLIT(AF2053,"-"))</f>
        <v>0</v>
      </c>
      <c r="AH2053" s="168"/>
    </row>
    <row r="2054" spans="26:34" ht="24" customHeight="1">
      <c r="Z2054"/>
      <c r="AA2054"/>
      <c r="AB2054"/>
      <c r="AC2054"/>
      <c r="AD2054"/>
      <c r="AE2054" s="168" t="str">
        <f t="shared" si="32"/>
        <v/>
      </c>
      <c r="AF2054" s="168">
        <v>0</v>
      </c>
      <c r="AG2054" s="168" t="str" cm="1">
        <f t="array" ref="AG2054">IF(AF2054="","",_xlfn.TEXTSPLIT(AF2054,"-"))</f>
        <v>0</v>
      </c>
      <c r="AH2054" s="168"/>
    </row>
    <row r="2055" spans="26:34" ht="24" customHeight="1">
      <c r="Z2055"/>
      <c r="AA2055"/>
      <c r="AB2055"/>
      <c r="AC2055"/>
      <c r="AD2055"/>
      <c r="AE2055" s="168" t="str">
        <f t="shared" si="32"/>
        <v/>
      </c>
      <c r="AF2055" s="168">
        <v>0</v>
      </c>
      <c r="AG2055" s="168" t="str" cm="1">
        <f t="array" ref="AG2055">IF(AF2055="","",_xlfn.TEXTSPLIT(AF2055,"-"))</f>
        <v>0</v>
      </c>
      <c r="AH2055" s="168"/>
    </row>
    <row r="2056" spans="26:34" ht="24" customHeight="1">
      <c r="Z2056"/>
      <c r="AA2056"/>
      <c r="AB2056"/>
      <c r="AC2056"/>
      <c r="AD2056"/>
      <c r="AE2056" s="168" t="str">
        <f t="shared" si="32"/>
        <v/>
      </c>
      <c r="AF2056" s="168">
        <v>0</v>
      </c>
      <c r="AG2056" s="168" t="str" cm="1">
        <f t="array" ref="AG2056">IF(AF2056="","",_xlfn.TEXTSPLIT(AF2056,"-"))</f>
        <v>0</v>
      </c>
      <c r="AH2056" s="168"/>
    </row>
    <row r="2057" spans="26:34" ht="24" customHeight="1">
      <c r="Z2057"/>
      <c r="AA2057"/>
      <c r="AB2057"/>
      <c r="AC2057"/>
      <c r="AD2057"/>
      <c r="AE2057" s="168" t="str">
        <f t="shared" si="32"/>
        <v/>
      </c>
      <c r="AF2057" s="168">
        <v>0</v>
      </c>
      <c r="AG2057" s="168" t="str" cm="1">
        <f t="array" ref="AG2057">IF(AF2057="","",_xlfn.TEXTSPLIT(AF2057,"-"))</f>
        <v>0</v>
      </c>
      <c r="AH2057" s="168"/>
    </row>
    <row r="2058" spans="26:34" ht="24" customHeight="1">
      <c r="Z2058"/>
      <c r="AA2058"/>
      <c r="AB2058"/>
      <c r="AC2058"/>
      <c r="AD2058"/>
      <c r="AE2058" s="168" t="str">
        <f t="shared" si="32"/>
        <v/>
      </c>
      <c r="AF2058" s="168">
        <v>0</v>
      </c>
      <c r="AG2058" s="168" t="str" cm="1">
        <f t="array" ref="AG2058">IF(AF2058="","",_xlfn.TEXTSPLIT(AF2058,"-"))</f>
        <v>0</v>
      </c>
      <c r="AH2058" s="168"/>
    </row>
    <row r="2059" spans="26:34" ht="24" customHeight="1">
      <c r="Z2059"/>
      <c r="AA2059"/>
      <c r="AB2059"/>
      <c r="AC2059"/>
      <c r="AD2059"/>
      <c r="AE2059" s="168" t="str">
        <f t="shared" si="32"/>
        <v/>
      </c>
      <c r="AF2059" s="168">
        <v>0</v>
      </c>
      <c r="AG2059" s="168" t="str" cm="1">
        <f t="array" ref="AG2059">IF(AF2059="","",_xlfn.TEXTSPLIT(AF2059,"-"))</f>
        <v>0</v>
      </c>
      <c r="AH2059" s="168"/>
    </row>
    <row r="2060" spans="26:34" ht="24" customHeight="1">
      <c r="Z2060"/>
      <c r="AA2060"/>
      <c r="AB2060"/>
      <c r="AC2060"/>
      <c r="AD2060"/>
      <c r="AE2060" s="168" t="str">
        <f t="shared" si="32"/>
        <v/>
      </c>
      <c r="AF2060" s="168">
        <v>0</v>
      </c>
      <c r="AG2060" s="168" t="str" cm="1">
        <f t="array" ref="AG2060">IF(AF2060="","",_xlfn.TEXTSPLIT(AF2060,"-"))</f>
        <v>0</v>
      </c>
      <c r="AH2060" s="168"/>
    </row>
    <row r="2061" spans="26:34" ht="24" customHeight="1">
      <c r="Z2061"/>
      <c r="AA2061"/>
      <c r="AB2061"/>
      <c r="AC2061"/>
      <c r="AD2061"/>
      <c r="AE2061" s="168" t="str">
        <f t="shared" si="32"/>
        <v/>
      </c>
      <c r="AF2061" s="168">
        <v>0</v>
      </c>
      <c r="AG2061" s="168" t="str" cm="1">
        <f t="array" ref="AG2061">IF(AF2061="","",_xlfn.TEXTSPLIT(AF2061,"-"))</f>
        <v>0</v>
      </c>
      <c r="AH2061" s="168"/>
    </row>
    <row r="2062" spans="26:34" ht="24" customHeight="1">
      <c r="Z2062"/>
      <c r="AA2062"/>
      <c r="AB2062"/>
      <c r="AC2062"/>
      <c r="AD2062"/>
      <c r="AE2062" s="168" t="str">
        <f t="shared" si="32"/>
        <v/>
      </c>
      <c r="AF2062" s="168">
        <v>0</v>
      </c>
      <c r="AG2062" s="168" t="str" cm="1">
        <f t="array" ref="AG2062">IF(AF2062="","",_xlfn.TEXTSPLIT(AF2062,"-"))</f>
        <v>0</v>
      </c>
      <c r="AH2062" s="168"/>
    </row>
    <row r="2063" spans="26:34" ht="24" customHeight="1">
      <c r="Z2063"/>
      <c r="AA2063"/>
      <c r="AB2063"/>
      <c r="AC2063"/>
      <c r="AD2063"/>
      <c r="AE2063" s="168" t="str">
        <f t="shared" si="32"/>
        <v/>
      </c>
      <c r="AF2063" s="168">
        <v>0</v>
      </c>
      <c r="AG2063" s="168" t="str" cm="1">
        <f t="array" ref="AG2063">IF(AF2063="","",_xlfn.TEXTSPLIT(AF2063,"-"))</f>
        <v>0</v>
      </c>
      <c r="AH2063" s="168"/>
    </row>
    <row r="2064" spans="26:34" ht="24" customHeight="1">
      <c r="Z2064"/>
      <c r="AA2064"/>
      <c r="AB2064"/>
      <c r="AC2064"/>
      <c r="AD2064"/>
      <c r="AE2064" s="168" t="str">
        <f t="shared" si="32"/>
        <v/>
      </c>
      <c r="AF2064" s="168">
        <v>0</v>
      </c>
      <c r="AG2064" s="168" t="str" cm="1">
        <f t="array" ref="AG2064">IF(AF2064="","",_xlfn.TEXTSPLIT(AF2064,"-"))</f>
        <v>0</v>
      </c>
      <c r="AH2064" s="168"/>
    </row>
    <row r="2065" spans="26:34" ht="24" customHeight="1">
      <c r="Z2065"/>
      <c r="AA2065"/>
      <c r="AB2065"/>
      <c r="AC2065"/>
      <c r="AD2065"/>
      <c r="AE2065" s="168" t="str">
        <f t="shared" si="32"/>
        <v/>
      </c>
      <c r="AF2065" s="168">
        <v>0</v>
      </c>
      <c r="AG2065" s="168" t="str" cm="1">
        <f t="array" ref="AG2065">IF(AF2065="","",_xlfn.TEXTSPLIT(AF2065,"-"))</f>
        <v>0</v>
      </c>
      <c r="AH2065" s="168"/>
    </row>
    <row r="2066" spans="26:34" ht="24" customHeight="1">
      <c r="Z2066"/>
      <c r="AA2066"/>
      <c r="AB2066"/>
      <c r="AC2066"/>
      <c r="AD2066"/>
      <c r="AE2066" s="168" t="str">
        <f t="shared" si="32"/>
        <v/>
      </c>
      <c r="AF2066" s="168">
        <v>0</v>
      </c>
      <c r="AG2066" s="168" t="str" cm="1">
        <f t="array" ref="AG2066">IF(AF2066="","",_xlfn.TEXTSPLIT(AF2066,"-"))</f>
        <v>0</v>
      </c>
      <c r="AH2066" s="168"/>
    </row>
    <row r="2067" spans="26:34" ht="24" customHeight="1">
      <c r="Z2067"/>
      <c r="AA2067"/>
      <c r="AB2067"/>
      <c r="AC2067"/>
      <c r="AD2067"/>
      <c r="AE2067" s="168" t="str">
        <f t="shared" si="32"/>
        <v/>
      </c>
      <c r="AF2067" s="168">
        <v>0</v>
      </c>
      <c r="AG2067" s="168" t="str" cm="1">
        <f t="array" ref="AG2067">IF(AF2067="","",_xlfn.TEXTSPLIT(AF2067,"-"))</f>
        <v>0</v>
      </c>
      <c r="AH2067" s="168"/>
    </row>
    <row r="2068" spans="26:34" ht="24" customHeight="1">
      <c r="Z2068"/>
      <c r="AA2068"/>
      <c r="AB2068"/>
      <c r="AC2068"/>
      <c r="AD2068"/>
      <c r="AE2068" s="168" t="str">
        <f t="shared" si="32"/>
        <v/>
      </c>
      <c r="AF2068" s="168">
        <v>0</v>
      </c>
      <c r="AG2068" s="168" t="str" cm="1">
        <f t="array" ref="AG2068">IF(AF2068="","",_xlfn.TEXTSPLIT(AF2068,"-"))</f>
        <v>0</v>
      </c>
      <c r="AH2068" s="168"/>
    </row>
    <row r="2069" spans="26:34" ht="24" customHeight="1">
      <c r="Z2069"/>
      <c r="AA2069"/>
      <c r="AB2069"/>
      <c r="AC2069"/>
      <c r="AD2069"/>
      <c r="AE2069" s="168" t="str">
        <f t="shared" si="32"/>
        <v/>
      </c>
      <c r="AF2069" s="168">
        <v>0</v>
      </c>
      <c r="AG2069" s="168" t="str" cm="1">
        <f t="array" ref="AG2069">IF(AF2069="","",_xlfn.TEXTSPLIT(AF2069,"-"))</f>
        <v>0</v>
      </c>
      <c r="AH2069" s="168"/>
    </row>
    <row r="2070" spans="26:34" ht="24" customHeight="1">
      <c r="Z2070"/>
      <c r="AA2070"/>
      <c r="AB2070"/>
      <c r="AC2070"/>
      <c r="AD2070"/>
      <c r="AE2070" s="168" t="str">
        <f t="shared" si="32"/>
        <v/>
      </c>
      <c r="AF2070" s="168">
        <v>0</v>
      </c>
      <c r="AG2070" s="168" t="str" cm="1">
        <f t="array" ref="AG2070">IF(AF2070="","",_xlfn.TEXTSPLIT(AF2070,"-"))</f>
        <v>0</v>
      </c>
      <c r="AH2070" s="168"/>
    </row>
    <row r="2071" spans="26:34" ht="24" customHeight="1">
      <c r="Z2071"/>
      <c r="AA2071"/>
      <c r="AB2071"/>
      <c r="AC2071"/>
      <c r="AD2071"/>
      <c r="AE2071" s="168" t="str">
        <f t="shared" si="32"/>
        <v/>
      </c>
      <c r="AF2071" s="168">
        <v>0</v>
      </c>
      <c r="AG2071" s="168" t="str" cm="1">
        <f t="array" ref="AG2071">IF(AF2071="","",_xlfn.TEXTSPLIT(AF2071,"-"))</f>
        <v>0</v>
      </c>
      <c r="AH2071" s="168"/>
    </row>
    <row r="2072" spans="26:34" ht="24" customHeight="1">
      <c r="Z2072"/>
      <c r="AA2072"/>
      <c r="AB2072"/>
      <c r="AC2072"/>
      <c r="AD2072"/>
      <c r="AE2072" s="168" t="str">
        <f t="shared" si="32"/>
        <v/>
      </c>
      <c r="AF2072" s="168">
        <v>0</v>
      </c>
      <c r="AG2072" s="168" t="str" cm="1">
        <f t="array" ref="AG2072">IF(AF2072="","",_xlfn.TEXTSPLIT(AF2072,"-"))</f>
        <v>0</v>
      </c>
      <c r="AH2072" s="168"/>
    </row>
    <row r="2073" spans="26:34" ht="24" customHeight="1">
      <c r="Z2073"/>
      <c r="AA2073"/>
      <c r="AB2073"/>
      <c r="AC2073"/>
      <c r="AD2073"/>
      <c r="AE2073" s="168" t="str">
        <f t="shared" si="32"/>
        <v/>
      </c>
      <c r="AF2073" s="168">
        <v>0</v>
      </c>
      <c r="AG2073" s="168" t="str" cm="1">
        <f t="array" ref="AG2073">IF(AF2073="","",_xlfn.TEXTSPLIT(AF2073,"-"))</f>
        <v>0</v>
      </c>
      <c r="AH2073" s="168"/>
    </row>
    <row r="2074" spans="26:34" ht="24" customHeight="1">
      <c r="Z2074"/>
      <c r="AA2074"/>
      <c r="AB2074"/>
      <c r="AC2074"/>
      <c r="AD2074"/>
      <c r="AE2074" s="168" t="str">
        <f t="shared" si="32"/>
        <v/>
      </c>
      <c r="AF2074" s="168">
        <v>0</v>
      </c>
      <c r="AG2074" s="168" t="str" cm="1">
        <f t="array" ref="AG2074">IF(AF2074="","",_xlfn.TEXTSPLIT(AF2074,"-"))</f>
        <v>0</v>
      </c>
      <c r="AH2074" s="168"/>
    </row>
    <row r="2075" spans="26:34" ht="24" customHeight="1">
      <c r="Z2075"/>
      <c r="AA2075"/>
      <c r="AB2075"/>
      <c r="AC2075"/>
      <c r="AD2075"/>
      <c r="AE2075" s="168" t="str">
        <f t="shared" si="32"/>
        <v/>
      </c>
      <c r="AF2075" s="168">
        <v>0</v>
      </c>
      <c r="AG2075" s="168" t="str" cm="1">
        <f t="array" ref="AG2075">IF(AF2075="","",_xlfn.TEXTSPLIT(AF2075,"-"))</f>
        <v>0</v>
      </c>
      <c r="AH2075" s="168"/>
    </row>
    <row r="2076" spans="26:34" ht="24" customHeight="1">
      <c r="Z2076"/>
      <c r="AA2076"/>
      <c r="AB2076"/>
      <c r="AC2076"/>
      <c r="AD2076"/>
      <c r="AE2076" s="168" t="str">
        <f t="shared" si="32"/>
        <v/>
      </c>
      <c r="AF2076" s="168">
        <v>0</v>
      </c>
      <c r="AG2076" s="168" t="str" cm="1">
        <f t="array" ref="AG2076">IF(AF2076="","",_xlfn.TEXTSPLIT(AF2076,"-"))</f>
        <v>0</v>
      </c>
      <c r="AH2076" s="168"/>
    </row>
    <row r="2077" spans="26:34" ht="24" customHeight="1">
      <c r="Z2077"/>
      <c r="AA2077"/>
      <c r="AB2077"/>
      <c r="AC2077"/>
      <c r="AD2077"/>
      <c r="AE2077" s="168" t="str">
        <f t="shared" si="32"/>
        <v/>
      </c>
      <c r="AF2077" s="168">
        <v>0</v>
      </c>
      <c r="AG2077" s="168" t="str" cm="1">
        <f t="array" ref="AG2077">IF(AF2077="","",_xlfn.TEXTSPLIT(AF2077,"-"))</f>
        <v>0</v>
      </c>
      <c r="AH2077" s="168"/>
    </row>
    <row r="2078" spans="26:34" ht="24" customHeight="1">
      <c r="Z2078"/>
      <c r="AA2078"/>
      <c r="AB2078"/>
      <c r="AC2078"/>
      <c r="AD2078"/>
      <c r="AE2078" s="168" t="str">
        <f t="shared" si="32"/>
        <v/>
      </c>
      <c r="AF2078" s="168">
        <v>0</v>
      </c>
      <c r="AG2078" s="168" t="str" cm="1">
        <f t="array" ref="AG2078">IF(AF2078="","",_xlfn.TEXTSPLIT(AF2078,"-"))</f>
        <v>0</v>
      </c>
      <c r="AH2078" s="168"/>
    </row>
    <row r="2079" spans="26:34" ht="24" customHeight="1">
      <c r="Z2079"/>
      <c r="AA2079"/>
      <c r="AB2079"/>
      <c r="AC2079"/>
      <c r="AD2079"/>
      <c r="AE2079" s="168" t="str">
        <f t="shared" si="32"/>
        <v/>
      </c>
      <c r="AF2079" s="168">
        <v>0</v>
      </c>
      <c r="AG2079" s="168" t="str" cm="1">
        <f t="array" ref="AG2079">IF(AF2079="","",_xlfn.TEXTSPLIT(AF2079,"-"))</f>
        <v>0</v>
      </c>
      <c r="AH2079" s="168"/>
    </row>
    <row r="2080" spans="26:34" ht="24" customHeight="1">
      <c r="Z2080"/>
      <c r="AA2080"/>
      <c r="AB2080"/>
      <c r="AC2080"/>
      <c r="AD2080"/>
      <c r="AE2080" s="168" t="str">
        <f t="shared" si="32"/>
        <v/>
      </c>
      <c r="AF2080" s="168">
        <v>0</v>
      </c>
      <c r="AG2080" s="168" t="str" cm="1">
        <f t="array" ref="AG2080">IF(AF2080="","",_xlfn.TEXTSPLIT(AF2080,"-"))</f>
        <v>0</v>
      </c>
      <c r="AH2080" s="168"/>
    </row>
    <row r="2081" spans="26:34" ht="24" customHeight="1">
      <c r="Z2081"/>
      <c r="AA2081"/>
      <c r="AB2081"/>
      <c r="AC2081"/>
      <c r="AD2081"/>
      <c r="AE2081" s="168" t="str">
        <f t="shared" si="32"/>
        <v/>
      </c>
      <c r="AF2081" s="168">
        <v>0</v>
      </c>
      <c r="AG2081" s="168" t="str" cm="1">
        <f t="array" ref="AG2081">IF(AF2081="","",_xlfn.TEXTSPLIT(AF2081,"-"))</f>
        <v>0</v>
      </c>
      <c r="AH2081" s="168"/>
    </row>
    <row r="2082" spans="26:34" ht="24" customHeight="1">
      <c r="Z2082"/>
      <c r="AA2082"/>
      <c r="AB2082"/>
      <c r="AC2082"/>
      <c r="AD2082"/>
      <c r="AE2082" s="168" t="str">
        <f t="shared" si="32"/>
        <v/>
      </c>
      <c r="AF2082" s="168">
        <v>0</v>
      </c>
      <c r="AG2082" s="168" t="str" cm="1">
        <f t="array" ref="AG2082">IF(AF2082="","",_xlfn.TEXTSPLIT(AF2082,"-"))</f>
        <v>0</v>
      </c>
      <c r="AH2082" s="168"/>
    </row>
    <row r="2083" spans="26:34" ht="24" customHeight="1">
      <c r="Z2083"/>
      <c r="AA2083"/>
      <c r="AB2083"/>
      <c r="AC2083"/>
      <c r="AD2083"/>
      <c r="AE2083" s="168" t="str">
        <f t="shared" si="32"/>
        <v/>
      </c>
      <c r="AF2083" s="168">
        <v>0</v>
      </c>
      <c r="AG2083" s="168" t="str" cm="1">
        <f t="array" ref="AG2083">IF(AF2083="","",_xlfn.TEXTSPLIT(AF2083,"-"))</f>
        <v>0</v>
      </c>
      <c r="AH2083" s="168"/>
    </row>
    <row r="2084" spans="26:34" ht="24" customHeight="1">
      <c r="Z2084"/>
      <c r="AA2084"/>
      <c r="AB2084"/>
      <c r="AC2084"/>
      <c r="AD2084"/>
      <c r="AE2084" s="168" t="str">
        <f t="shared" si="32"/>
        <v/>
      </c>
      <c r="AF2084" s="168">
        <v>0</v>
      </c>
      <c r="AG2084" s="168" t="str" cm="1">
        <f t="array" ref="AG2084">IF(AF2084="","",_xlfn.TEXTSPLIT(AF2084,"-"))</f>
        <v>0</v>
      </c>
      <c r="AH2084" s="168"/>
    </row>
    <row r="2085" spans="26:34" ht="24" customHeight="1">
      <c r="Z2085"/>
      <c r="AA2085"/>
      <c r="AB2085"/>
      <c r="AC2085"/>
      <c r="AD2085"/>
      <c r="AE2085" s="168" t="str">
        <f t="shared" si="32"/>
        <v/>
      </c>
      <c r="AF2085" s="168">
        <v>0</v>
      </c>
      <c r="AG2085" s="168" t="str" cm="1">
        <f t="array" ref="AG2085">IF(AF2085="","",_xlfn.TEXTSPLIT(AF2085,"-"))</f>
        <v>0</v>
      </c>
      <c r="AH2085" s="168"/>
    </row>
    <row r="2086" spans="26:34" ht="24" customHeight="1">
      <c r="Z2086"/>
      <c r="AA2086"/>
      <c r="AB2086"/>
      <c r="AC2086"/>
      <c r="AD2086"/>
      <c r="AE2086" s="168" t="str">
        <f t="shared" si="32"/>
        <v/>
      </c>
      <c r="AF2086" s="168">
        <v>0</v>
      </c>
      <c r="AG2086" s="168" t="str" cm="1">
        <f t="array" ref="AG2086">IF(AF2086="","",_xlfn.TEXTSPLIT(AF2086,"-"))</f>
        <v>0</v>
      </c>
      <c r="AH2086" s="168"/>
    </row>
    <row r="2087" spans="26:34" ht="24" customHeight="1">
      <c r="Z2087"/>
      <c r="AA2087"/>
      <c r="AB2087"/>
      <c r="AC2087"/>
      <c r="AD2087"/>
      <c r="AE2087" s="168" t="str">
        <f t="shared" si="32"/>
        <v/>
      </c>
      <c r="AF2087" s="168">
        <v>0</v>
      </c>
      <c r="AG2087" s="168" t="str" cm="1">
        <f t="array" ref="AG2087">IF(AF2087="","",_xlfn.TEXTSPLIT(AF2087,"-"))</f>
        <v>0</v>
      </c>
      <c r="AH2087" s="168"/>
    </row>
    <row r="2088" spans="26:34" ht="24" customHeight="1">
      <c r="Z2088"/>
      <c r="AA2088"/>
      <c r="AB2088"/>
      <c r="AC2088"/>
      <c r="AD2088"/>
      <c r="AE2088" s="168" t="str">
        <f t="shared" si="32"/>
        <v/>
      </c>
      <c r="AF2088" s="168">
        <v>0</v>
      </c>
      <c r="AG2088" s="168" t="str" cm="1">
        <f t="array" ref="AG2088">IF(AF2088="","",_xlfn.TEXTSPLIT(AF2088,"-"))</f>
        <v>0</v>
      </c>
      <c r="AH2088" s="168"/>
    </row>
    <row r="2089" spans="26:34" ht="24" customHeight="1">
      <c r="Z2089"/>
      <c r="AA2089"/>
      <c r="AB2089"/>
      <c r="AC2089"/>
      <c r="AD2089"/>
      <c r="AE2089" s="168" t="str">
        <f t="shared" si="32"/>
        <v/>
      </c>
      <c r="AF2089" s="168">
        <v>0</v>
      </c>
      <c r="AG2089" s="168" t="str" cm="1">
        <f t="array" ref="AG2089">IF(AF2089="","",_xlfn.TEXTSPLIT(AF2089,"-"))</f>
        <v>0</v>
      </c>
      <c r="AH2089" s="168"/>
    </row>
    <row r="2090" spans="26:34" ht="24" customHeight="1">
      <c r="Z2090"/>
      <c r="AA2090"/>
      <c r="AB2090"/>
      <c r="AC2090"/>
      <c r="AD2090"/>
      <c r="AE2090" s="168" t="str">
        <f t="shared" si="32"/>
        <v/>
      </c>
      <c r="AF2090" s="168">
        <v>0</v>
      </c>
      <c r="AG2090" s="168" t="str" cm="1">
        <f t="array" ref="AG2090">IF(AF2090="","",_xlfn.TEXTSPLIT(AF2090,"-"))</f>
        <v>0</v>
      </c>
      <c r="AH2090" s="168"/>
    </row>
    <row r="2091" spans="26:34" ht="24" customHeight="1">
      <c r="Z2091"/>
      <c r="AA2091"/>
      <c r="AB2091"/>
      <c r="AC2091"/>
      <c r="AD2091"/>
      <c r="AE2091" s="168" t="str">
        <f t="shared" si="32"/>
        <v/>
      </c>
      <c r="AF2091" s="168">
        <v>0</v>
      </c>
      <c r="AG2091" s="168" t="str" cm="1">
        <f t="array" ref="AG2091">IF(AF2091="","",_xlfn.TEXTSPLIT(AF2091,"-"))</f>
        <v>0</v>
      </c>
      <c r="AH2091" s="168"/>
    </row>
    <row r="2092" spans="26:34" ht="24" customHeight="1">
      <c r="Z2092"/>
      <c r="AA2092"/>
      <c r="AB2092"/>
      <c r="AC2092"/>
      <c r="AD2092"/>
      <c r="AE2092" s="168" t="str">
        <f t="shared" si="32"/>
        <v/>
      </c>
      <c r="AF2092" s="168">
        <v>0</v>
      </c>
      <c r="AG2092" s="168" t="str" cm="1">
        <f t="array" ref="AG2092">IF(AF2092="","",_xlfn.TEXTSPLIT(AF2092,"-"))</f>
        <v>0</v>
      </c>
      <c r="AH2092" s="168"/>
    </row>
    <row r="2093" spans="26:34" ht="24" customHeight="1">
      <c r="Z2093"/>
      <c r="AA2093"/>
      <c r="AB2093"/>
      <c r="AC2093"/>
      <c r="AD2093"/>
      <c r="AE2093" s="168" t="str">
        <f t="shared" si="32"/>
        <v/>
      </c>
      <c r="AF2093" s="168">
        <v>0</v>
      </c>
      <c r="AG2093" s="168" t="str" cm="1">
        <f t="array" ref="AG2093">IF(AF2093="","",_xlfn.TEXTSPLIT(AF2093,"-"))</f>
        <v>0</v>
      </c>
      <c r="AH2093" s="168"/>
    </row>
    <row r="2094" spans="26:34" ht="24" customHeight="1">
      <c r="Z2094"/>
      <c r="AA2094"/>
      <c r="AB2094"/>
      <c r="AC2094"/>
      <c r="AD2094"/>
      <c r="AE2094" s="168" t="str">
        <f t="shared" si="32"/>
        <v/>
      </c>
      <c r="AF2094" s="168">
        <v>0</v>
      </c>
      <c r="AG2094" s="168" t="str" cm="1">
        <f t="array" ref="AG2094">IF(AF2094="","",_xlfn.TEXTSPLIT(AF2094,"-"))</f>
        <v>0</v>
      </c>
      <c r="AH2094" s="168"/>
    </row>
    <row r="2095" spans="26:34" ht="24" customHeight="1">
      <c r="Z2095"/>
      <c r="AA2095"/>
      <c r="AB2095"/>
      <c r="AC2095"/>
      <c r="AD2095"/>
      <c r="AE2095" s="168" t="str">
        <f t="shared" si="32"/>
        <v/>
      </c>
      <c r="AF2095" s="168">
        <v>0</v>
      </c>
      <c r="AG2095" s="168" t="str" cm="1">
        <f t="array" ref="AG2095">IF(AF2095="","",_xlfn.TEXTSPLIT(AF2095,"-"))</f>
        <v>0</v>
      </c>
      <c r="AH2095" s="168"/>
    </row>
    <row r="2096" spans="26:34" ht="24" customHeight="1">
      <c r="Z2096"/>
      <c r="AA2096"/>
      <c r="AB2096"/>
      <c r="AC2096"/>
      <c r="AD2096"/>
      <c r="AE2096" s="168" t="str">
        <f t="shared" si="32"/>
        <v/>
      </c>
      <c r="AF2096" s="168">
        <v>0</v>
      </c>
      <c r="AG2096" s="168" t="str" cm="1">
        <f t="array" ref="AG2096">IF(AF2096="","",_xlfn.TEXTSPLIT(AF2096,"-"))</f>
        <v>0</v>
      </c>
      <c r="AH2096" s="168"/>
    </row>
    <row r="2097" spans="26:34" ht="24" customHeight="1">
      <c r="Z2097"/>
      <c r="AA2097"/>
      <c r="AB2097"/>
      <c r="AC2097"/>
      <c r="AD2097"/>
      <c r="AE2097" s="168" t="str">
        <f t="shared" si="32"/>
        <v/>
      </c>
      <c r="AF2097" s="168">
        <v>0</v>
      </c>
      <c r="AG2097" s="168" t="str" cm="1">
        <f t="array" ref="AG2097">IF(AF2097="","",_xlfn.TEXTSPLIT(AF2097,"-"))</f>
        <v>0</v>
      </c>
      <c r="AH2097" s="168"/>
    </row>
    <row r="2098" spans="26:34" ht="24" customHeight="1">
      <c r="Z2098"/>
      <c r="AA2098"/>
      <c r="AB2098"/>
      <c r="AC2098"/>
      <c r="AD2098"/>
      <c r="AE2098" s="168" t="str">
        <f t="shared" si="32"/>
        <v/>
      </c>
      <c r="AF2098" s="168">
        <v>0</v>
      </c>
      <c r="AG2098" s="168" t="str" cm="1">
        <f t="array" ref="AG2098">IF(AF2098="","",_xlfn.TEXTSPLIT(AF2098,"-"))</f>
        <v>0</v>
      </c>
      <c r="AH2098" s="168"/>
    </row>
    <row r="2099" spans="26:34" ht="24" customHeight="1">
      <c r="Z2099"/>
      <c r="AA2099"/>
      <c r="AB2099"/>
      <c r="AC2099"/>
      <c r="AD2099"/>
      <c r="AE2099" s="168" t="str">
        <f t="shared" si="32"/>
        <v/>
      </c>
      <c r="AF2099" s="168">
        <v>0</v>
      </c>
      <c r="AG2099" s="168" t="str" cm="1">
        <f t="array" ref="AG2099">IF(AF2099="","",_xlfn.TEXTSPLIT(AF2099,"-"))</f>
        <v>0</v>
      </c>
      <c r="AH2099" s="168"/>
    </row>
    <row r="2100" spans="26:34" ht="24" customHeight="1">
      <c r="Z2100"/>
      <c r="AA2100"/>
      <c r="AB2100"/>
      <c r="AC2100"/>
      <c r="AD2100"/>
      <c r="AE2100" s="168" t="str">
        <f t="shared" si="32"/>
        <v/>
      </c>
      <c r="AF2100" s="168">
        <v>0</v>
      </c>
      <c r="AG2100" s="168" t="str" cm="1">
        <f t="array" ref="AG2100">IF(AF2100="","",_xlfn.TEXTSPLIT(AF2100,"-"))</f>
        <v>0</v>
      </c>
      <c r="AH2100" s="168"/>
    </row>
    <row r="2101" spans="26:34" ht="24" customHeight="1">
      <c r="Z2101"/>
      <c r="AA2101"/>
      <c r="AB2101"/>
      <c r="AC2101"/>
      <c r="AD2101"/>
      <c r="AE2101" s="168" t="str">
        <f t="shared" si="32"/>
        <v/>
      </c>
      <c r="AF2101" s="168">
        <v>0</v>
      </c>
      <c r="AG2101" s="168" t="str" cm="1">
        <f t="array" ref="AG2101">IF(AF2101="","",_xlfn.TEXTSPLIT(AF2101,"-"))</f>
        <v>0</v>
      </c>
      <c r="AH2101" s="168"/>
    </row>
    <row r="2102" spans="26:34" ht="24" customHeight="1">
      <c r="Z2102"/>
      <c r="AA2102"/>
      <c r="AB2102"/>
      <c r="AC2102"/>
      <c r="AD2102"/>
      <c r="AE2102" s="168" t="str">
        <f t="shared" si="32"/>
        <v/>
      </c>
      <c r="AF2102" s="168">
        <v>0</v>
      </c>
      <c r="AG2102" s="168" t="str" cm="1">
        <f t="array" ref="AG2102">IF(AF2102="","",_xlfn.TEXTSPLIT(AF2102,"-"))</f>
        <v>0</v>
      </c>
      <c r="AH2102" s="168"/>
    </row>
    <row r="2103" spans="26:34" ht="24" customHeight="1">
      <c r="Z2103"/>
      <c r="AA2103"/>
      <c r="AB2103"/>
      <c r="AC2103"/>
      <c r="AD2103"/>
      <c r="AE2103" s="168" t="str">
        <f t="shared" si="32"/>
        <v/>
      </c>
      <c r="AF2103" s="168">
        <v>0</v>
      </c>
      <c r="AG2103" s="168" t="str" cm="1">
        <f t="array" ref="AG2103">IF(AF2103="","",_xlfn.TEXTSPLIT(AF2103,"-"))</f>
        <v>0</v>
      </c>
      <c r="AH2103" s="168"/>
    </row>
    <row r="2104" spans="26:34" ht="24" customHeight="1">
      <c r="Z2104"/>
      <c r="AA2104"/>
      <c r="AB2104"/>
      <c r="AC2104"/>
      <c r="AD2104"/>
      <c r="AE2104" s="168" t="str">
        <f t="shared" si="32"/>
        <v/>
      </c>
      <c r="AF2104" s="168">
        <v>0</v>
      </c>
      <c r="AG2104" s="168" t="str" cm="1">
        <f t="array" ref="AG2104">IF(AF2104="","",_xlfn.TEXTSPLIT(AF2104,"-"))</f>
        <v>0</v>
      </c>
      <c r="AH2104" s="168"/>
    </row>
    <row r="2105" spans="26:34" ht="24" customHeight="1">
      <c r="Z2105"/>
      <c r="AA2105"/>
      <c r="AB2105"/>
      <c r="AC2105"/>
      <c r="AD2105"/>
      <c r="AE2105" s="168" t="str">
        <f t="shared" si="32"/>
        <v/>
      </c>
      <c r="AF2105" s="168">
        <v>0</v>
      </c>
      <c r="AG2105" s="168" t="str" cm="1">
        <f t="array" ref="AG2105">IF(AF2105="","",_xlfn.TEXTSPLIT(AF2105,"-"))</f>
        <v>0</v>
      </c>
      <c r="AH2105" s="168"/>
    </row>
    <row r="2106" spans="26:34" ht="24" customHeight="1">
      <c r="Z2106"/>
      <c r="AA2106"/>
      <c r="AB2106"/>
      <c r="AC2106"/>
      <c r="AD2106"/>
      <c r="AE2106" s="168" t="str">
        <f t="shared" si="32"/>
        <v/>
      </c>
      <c r="AF2106" s="168">
        <v>0</v>
      </c>
      <c r="AG2106" s="168" t="str" cm="1">
        <f t="array" ref="AG2106">IF(AF2106="","",_xlfn.TEXTSPLIT(AF2106,"-"))</f>
        <v>0</v>
      </c>
      <c r="AH2106" s="168"/>
    </row>
    <row r="2107" spans="26:34" ht="24" customHeight="1">
      <c r="Z2107"/>
      <c r="AA2107"/>
      <c r="AB2107"/>
      <c r="AC2107"/>
      <c r="AD2107"/>
      <c r="AE2107" s="168" t="str">
        <f t="shared" si="32"/>
        <v/>
      </c>
      <c r="AF2107" s="168">
        <v>0</v>
      </c>
      <c r="AG2107" s="168" t="str" cm="1">
        <f t="array" ref="AG2107">IF(AF2107="","",_xlfn.TEXTSPLIT(AF2107,"-"))</f>
        <v>0</v>
      </c>
      <c r="AH2107" s="168"/>
    </row>
    <row r="2108" spans="26:34" ht="24" customHeight="1">
      <c r="Z2108"/>
      <c r="AA2108"/>
      <c r="AB2108"/>
      <c r="AC2108"/>
      <c r="AD2108"/>
      <c r="AE2108" s="168" t="str">
        <f t="shared" si="32"/>
        <v/>
      </c>
      <c r="AF2108" s="168">
        <v>0</v>
      </c>
      <c r="AG2108" s="168" t="str" cm="1">
        <f t="array" ref="AG2108">IF(AF2108="","",_xlfn.TEXTSPLIT(AF2108,"-"))</f>
        <v>0</v>
      </c>
      <c r="AH2108" s="168"/>
    </row>
    <row r="2109" spans="26:34" ht="24" customHeight="1">
      <c r="Z2109"/>
      <c r="AA2109"/>
      <c r="AB2109"/>
      <c r="AC2109"/>
      <c r="AD2109"/>
      <c r="AE2109" s="168" t="str">
        <f t="shared" si="32"/>
        <v/>
      </c>
      <c r="AF2109" s="168">
        <v>0</v>
      </c>
      <c r="AG2109" s="168" t="str" cm="1">
        <f t="array" ref="AG2109">IF(AF2109="","",_xlfn.TEXTSPLIT(AF2109,"-"))</f>
        <v>0</v>
      </c>
      <c r="AH2109" s="168"/>
    </row>
    <row r="2110" spans="26:34" ht="24" customHeight="1">
      <c r="Z2110"/>
      <c r="AA2110"/>
      <c r="AB2110"/>
      <c r="AC2110"/>
      <c r="AD2110"/>
      <c r="AE2110" s="168" t="str">
        <f t="shared" si="32"/>
        <v/>
      </c>
      <c r="AF2110" s="168">
        <v>0</v>
      </c>
      <c r="AG2110" s="168" t="str" cm="1">
        <f t="array" ref="AG2110">IF(AF2110="","",_xlfn.TEXTSPLIT(AF2110,"-"))</f>
        <v>0</v>
      </c>
      <c r="AH2110" s="168"/>
    </row>
    <row r="2111" spans="26:34" ht="24" customHeight="1">
      <c r="Z2111"/>
      <c r="AA2111"/>
      <c r="AB2111"/>
      <c r="AC2111"/>
      <c r="AD2111"/>
      <c r="AE2111" s="168" t="str">
        <f t="shared" si="32"/>
        <v/>
      </c>
      <c r="AF2111" s="168">
        <v>0</v>
      </c>
      <c r="AG2111" s="168" t="str" cm="1">
        <f t="array" ref="AG2111">IF(AF2111="","",_xlfn.TEXTSPLIT(AF2111,"-"))</f>
        <v>0</v>
      </c>
      <c r="AH2111" s="168"/>
    </row>
    <row r="2112" spans="26:34" ht="24" customHeight="1">
      <c r="Z2112"/>
      <c r="AA2112"/>
      <c r="AB2112"/>
      <c r="AC2112"/>
      <c r="AD2112"/>
      <c r="AE2112" s="168" t="str">
        <f t="shared" si="32"/>
        <v/>
      </c>
      <c r="AF2112" s="168">
        <v>0</v>
      </c>
      <c r="AG2112" s="168" t="str" cm="1">
        <f t="array" ref="AG2112">IF(AF2112="","",_xlfn.TEXTSPLIT(AF2112,"-"))</f>
        <v>0</v>
      </c>
      <c r="AH2112" s="168"/>
    </row>
    <row r="2113" spans="26:34" ht="24" customHeight="1">
      <c r="Z2113"/>
      <c r="AA2113"/>
      <c r="AB2113"/>
      <c r="AC2113"/>
      <c r="AD2113"/>
      <c r="AE2113" s="168" t="str">
        <f t="shared" si="32"/>
        <v/>
      </c>
      <c r="AF2113" s="168">
        <v>0</v>
      </c>
      <c r="AG2113" s="168" t="str" cm="1">
        <f t="array" ref="AG2113">IF(AF2113="","",_xlfn.TEXTSPLIT(AF2113,"-"))</f>
        <v>0</v>
      </c>
      <c r="AH2113" s="168"/>
    </row>
    <row r="2114" spans="26:34" ht="24" customHeight="1">
      <c r="Z2114"/>
      <c r="AA2114"/>
      <c r="AB2114"/>
      <c r="AC2114"/>
      <c r="AD2114"/>
      <c r="AE2114" s="168" t="str">
        <f t="shared" si="32"/>
        <v/>
      </c>
      <c r="AF2114" s="168">
        <v>0</v>
      </c>
      <c r="AG2114" s="168" t="str" cm="1">
        <f t="array" ref="AG2114">IF(AF2114="","",_xlfn.TEXTSPLIT(AF2114,"-"))</f>
        <v>0</v>
      </c>
      <c r="AH2114" s="168"/>
    </row>
    <row r="2115" spans="26:34" ht="24" customHeight="1">
      <c r="Z2115"/>
      <c r="AA2115"/>
      <c r="AB2115"/>
      <c r="AC2115"/>
      <c r="AD2115"/>
      <c r="AE2115" s="168" t="str">
        <f t="shared" si="32"/>
        <v/>
      </c>
      <c r="AF2115" s="168">
        <v>0</v>
      </c>
      <c r="AG2115" s="168" t="str" cm="1">
        <f t="array" ref="AG2115">IF(AF2115="","",_xlfn.TEXTSPLIT(AF2115,"-"))</f>
        <v>0</v>
      </c>
      <c r="AH2115" s="168"/>
    </row>
    <row r="2116" spans="26:34" ht="24" customHeight="1">
      <c r="Z2116"/>
      <c r="AA2116"/>
      <c r="AB2116"/>
      <c r="AC2116"/>
      <c r="AD2116"/>
      <c r="AE2116" s="168" t="str">
        <f t="shared" si="32"/>
        <v/>
      </c>
      <c r="AF2116" s="168">
        <v>0</v>
      </c>
      <c r="AG2116" s="168" t="str" cm="1">
        <f t="array" ref="AG2116">IF(AF2116="","",_xlfn.TEXTSPLIT(AF2116,"-"))</f>
        <v>0</v>
      </c>
      <c r="AH2116" s="168"/>
    </row>
    <row r="2117" spans="26:34" ht="24" customHeight="1">
      <c r="Z2117"/>
      <c r="AA2117"/>
      <c r="AB2117"/>
      <c r="AC2117"/>
      <c r="AD2117"/>
      <c r="AE2117" s="168" t="str">
        <f t="shared" ref="AE2117:AE2180" si="33">IF(AH2117="","",AH2117*1)</f>
        <v/>
      </c>
      <c r="AF2117" s="168">
        <v>0</v>
      </c>
      <c r="AG2117" s="168" t="str" cm="1">
        <f t="array" ref="AG2117">IF(AF2117="","",_xlfn.TEXTSPLIT(AF2117,"-"))</f>
        <v>0</v>
      </c>
      <c r="AH2117" s="168"/>
    </row>
    <row r="2118" spans="26:34" ht="24" customHeight="1">
      <c r="Z2118"/>
      <c r="AA2118"/>
      <c r="AB2118"/>
      <c r="AC2118"/>
      <c r="AD2118"/>
      <c r="AE2118" s="168" t="str">
        <f t="shared" si="33"/>
        <v/>
      </c>
      <c r="AF2118" s="168">
        <v>0</v>
      </c>
      <c r="AG2118" s="168" t="str" cm="1">
        <f t="array" ref="AG2118">IF(AF2118="","",_xlfn.TEXTSPLIT(AF2118,"-"))</f>
        <v>0</v>
      </c>
      <c r="AH2118" s="168"/>
    </row>
    <row r="2119" spans="26:34" ht="24" customHeight="1">
      <c r="Z2119"/>
      <c r="AA2119"/>
      <c r="AB2119"/>
      <c r="AC2119"/>
      <c r="AD2119"/>
      <c r="AE2119" s="168" t="str">
        <f t="shared" si="33"/>
        <v/>
      </c>
      <c r="AF2119" s="168">
        <v>0</v>
      </c>
      <c r="AG2119" s="168" t="str" cm="1">
        <f t="array" ref="AG2119">IF(AF2119="","",_xlfn.TEXTSPLIT(AF2119,"-"))</f>
        <v>0</v>
      </c>
      <c r="AH2119" s="168"/>
    </row>
    <row r="2120" spans="26:34" ht="24" customHeight="1">
      <c r="Z2120"/>
      <c r="AA2120"/>
      <c r="AB2120"/>
      <c r="AC2120"/>
      <c r="AD2120"/>
      <c r="AE2120" s="168" t="str">
        <f t="shared" si="33"/>
        <v/>
      </c>
      <c r="AF2120" s="168">
        <v>0</v>
      </c>
      <c r="AG2120" s="168" t="str" cm="1">
        <f t="array" ref="AG2120">IF(AF2120="","",_xlfn.TEXTSPLIT(AF2120,"-"))</f>
        <v>0</v>
      </c>
      <c r="AH2120" s="168"/>
    </row>
    <row r="2121" spans="26:34" ht="24" customHeight="1">
      <c r="Z2121"/>
      <c r="AA2121"/>
      <c r="AB2121"/>
      <c r="AC2121"/>
      <c r="AD2121"/>
      <c r="AE2121" s="168" t="str">
        <f t="shared" si="33"/>
        <v/>
      </c>
      <c r="AF2121" s="168">
        <v>0</v>
      </c>
      <c r="AG2121" s="168" t="str" cm="1">
        <f t="array" ref="AG2121">IF(AF2121="","",_xlfn.TEXTSPLIT(AF2121,"-"))</f>
        <v>0</v>
      </c>
      <c r="AH2121" s="168"/>
    </row>
    <row r="2122" spans="26:34" ht="24" customHeight="1">
      <c r="Z2122"/>
      <c r="AA2122"/>
      <c r="AB2122"/>
      <c r="AC2122"/>
      <c r="AD2122"/>
      <c r="AE2122" s="168" t="str">
        <f t="shared" si="33"/>
        <v/>
      </c>
      <c r="AF2122" s="168">
        <v>0</v>
      </c>
      <c r="AG2122" s="168" t="str" cm="1">
        <f t="array" ref="AG2122">IF(AF2122="","",_xlfn.TEXTSPLIT(AF2122,"-"))</f>
        <v>0</v>
      </c>
      <c r="AH2122" s="168"/>
    </row>
    <row r="2123" spans="26:34" ht="24" customHeight="1">
      <c r="Z2123"/>
      <c r="AA2123"/>
      <c r="AB2123"/>
      <c r="AC2123"/>
      <c r="AD2123"/>
      <c r="AE2123" s="168" t="str">
        <f t="shared" si="33"/>
        <v/>
      </c>
      <c r="AF2123" s="168">
        <v>0</v>
      </c>
      <c r="AG2123" s="168" t="str" cm="1">
        <f t="array" ref="AG2123">IF(AF2123="","",_xlfn.TEXTSPLIT(AF2123,"-"))</f>
        <v>0</v>
      </c>
      <c r="AH2123" s="168"/>
    </row>
    <row r="2124" spans="26:34" ht="24" customHeight="1">
      <c r="Z2124"/>
      <c r="AA2124"/>
      <c r="AB2124"/>
      <c r="AC2124"/>
      <c r="AD2124"/>
      <c r="AE2124" s="168" t="str">
        <f t="shared" si="33"/>
        <v/>
      </c>
      <c r="AF2124" s="168">
        <v>0</v>
      </c>
      <c r="AG2124" s="168" t="str" cm="1">
        <f t="array" ref="AG2124">IF(AF2124="","",_xlfn.TEXTSPLIT(AF2124,"-"))</f>
        <v>0</v>
      </c>
      <c r="AH2124" s="168"/>
    </row>
    <row r="2125" spans="26:34" ht="24" customHeight="1">
      <c r="Z2125"/>
      <c r="AA2125"/>
      <c r="AB2125"/>
      <c r="AC2125"/>
      <c r="AD2125"/>
      <c r="AE2125" s="168" t="str">
        <f t="shared" si="33"/>
        <v/>
      </c>
      <c r="AF2125" s="168">
        <v>0</v>
      </c>
      <c r="AG2125" s="168" t="str" cm="1">
        <f t="array" ref="AG2125">IF(AF2125="","",_xlfn.TEXTSPLIT(AF2125,"-"))</f>
        <v>0</v>
      </c>
      <c r="AH2125" s="168"/>
    </row>
    <row r="2126" spans="26:34" ht="24" customHeight="1">
      <c r="Z2126"/>
      <c r="AA2126"/>
      <c r="AB2126"/>
      <c r="AC2126"/>
      <c r="AD2126"/>
      <c r="AE2126" s="168" t="str">
        <f t="shared" si="33"/>
        <v/>
      </c>
      <c r="AF2126" s="168">
        <v>0</v>
      </c>
      <c r="AG2126" s="168" t="str" cm="1">
        <f t="array" ref="AG2126">IF(AF2126="","",_xlfn.TEXTSPLIT(AF2126,"-"))</f>
        <v>0</v>
      </c>
      <c r="AH2126" s="168"/>
    </row>
    <row r="2127" spans="26:34" ht="24" customHeight="1">
      <c r="Z2127"/>
      <c r="AA2127"/>
      <c r="AB2127"/>
      <c r="AC2127"/>
      <c r="AD2127"/>
      <c r="AE2127" s="168" t="str">
        <f t="shared" si="33"/>
        <v/>
      </c>
      <c r="AF2127" s="168">
        <v>0</v>
      </c>
      <c r="AG2127" s="168" t="str" cm="1">
        <f t="array" ref="AG2127">IF(AF2127="","",_xlfn.TEXTSPLIT(AF2127,"-"))</f>
        <v>0</v>
      </c>
      <c r="AH2127" s="168"/>
    </row>
    <row r="2128" spans="26:34" ht="24" customHeight="1">
      <c r="Z2128"/>
      <c r="AA2128"/>
      <c r="AB2128"/>
      <c r="AC2128"/>
      <c r="AD2128"/>
      <c r="AE2128" s="168" t="str">
        <f t="shared" si="33"/>
        <v/>
      </c>
      <c r="AF2128" s="168">
        <v>0</v>
      </c>
      <c r="AG2128" s="168" t="str" cm="1">
        <f t="array" ref="AG2128">IF(AF2128="","",_xlfn.TEXTSPLIT(AF2128,"-"))</f>
        <v>0</v>
      </c>
      <c r="AH2128" s="168"/>
    </row>
    <row r="2129" spans="26:34" ht="24" customHeight="1">
      <c r="Z2129"/>
      <c r="AA2129"/>
      <c r="AB2129"/>
      <c r="AC2129"/>
      <c r="AD2129"/>
      <c r="AE2129" s="168" t="str">
        <f t="shared" si="33"/>
        <v/>
      </c>
      <c r="AF2129" s="168">
        <v>0</v>
      </c>
      <c r="AG2129" s="168" t="str" cm="1">
        <f t="array" ref="AG2129">IF(AF2129="","",_xlfn.TEXTSPLIT(AF2129,"-"))</f>
        <v>0</v>
      </c>
      <c r="AH2129" s="168"/>
    </row>
    <row r="2130" spans="26:34" ht="24" customHeight="1">
      <c r="Z2130"/>
      <c r="AA2130"/>
      <c r="AB2130"/>
      <c r="AC2130"/>
      <c r="AD2130"/>
      <c r="AE2130" s="168" t="str">
        <f t="shared" si="33"/>
        <v/>
      </c>
      <c r="AF2130" s="168">
        <v>0</v>
      </c>
      <c r="AG2130" s="168" t="str" cm="1">
        <f t="array" ref="AG2130">IF(AF2130="","",_xlfn.TEXTSPLIT(AF2130,"-"))</f>
        <v>0</v>
      </c>
      <c r="AH2130" s="168"/>
    </row>
    <row r="2131" spans="26:34" ht="24" customHeight="1">
      <c r="Z2131"/>
      <c r="AA2131"/>
      <c r="AB2131"/>
      <c r="AC2131"/>
      <c r="AD2131"/>
      <c r="AE2131" s="168" t="str">
        <f t="shared" si="33"/>
        <v/>
      </c>
      <c r="AF2131" s="168">
        <v>0</v>
      </c>
      <c r="AG2131" s="168" t="str" cm="1">
        <f t="array" ref="AG2131">IF(AF2131="","",_xlfn.TEXTSPLIT(AF2131,"-"))</f>
        <v>0</v>
      </c>
      <c r="AH2131" s="168"/>
    </row>
    <row r="2132" spans="26:34" ht="24" customHeight="1">
      <c r="Z2132"/>
      <c r="AA2132"/>
      <c r="AB2132"/>
      <c r="AC2132"/>
      <c r="AD2132"/>
      <c r="AE2132" s="168" t="str">
        <f t="shared" si="33"/>
        <v/>
      </c>
      <c r="AF2132" s="168">
        <v>0</v>
      </c>
      <c r="AG2132" s="168" t="str" cm="1">
        <f t="array" ref="AG2132">IF(AF2132="","",_xlfn.TEXTSPLIT(AF2132,"-"))</f>
        <v>0</v>
      </c>
      <c r="AH2132" s="168"/>
    </row>
    <row r="2133" spans="26:34" ht="24" customHeight="1">
      <c r="Z2133"/>
      <c r="AA2133"/>
      <c r="AB2133"/>
      <c r="AC2133"/>
      <c r="AD2133"/>
      <c r="AE2133" s="168" t="str">
        <f t="shared" si="33"/>
        <v/>
      </c>
      <c r="AF2133" s="168">
        <v>0</v>
      </c>
      <c r="AG2133" s="168" t="str" cm="1">
        <f t="array" ref="AG2133">IF(AF2133="","",_xlfn.TEXTSPLIT(AF2133,"-"))</f>
        <v>0</v>
      </c>
      <c r="AH2133" s="168"/>
    </row>
    <row r="2134" spans="26:34" ht="24" customHeight="1">
      <c r="Z2134"/>
      <c r="AA2134"/>
      <c r="AB2134"/>
      <c r="AC2134"/>
      <c r="AD2134"/>
      <c r="AE2134" s="168" t="str">
        <f t="shared" si="33"/>
        <v/>
      </c>
      <c r="AF2134" s="168">
        <v>0</v>
      </c>
      <c r="AG2134" s="168" t="str" cm="1">
        <f t="array" ref="AG2134">IF(AF2134="","",_xlfn.TEXTSPLIT(AF2134,"-"))</f>
        <v>0</v>
      </c>
      <c r="AH2134" s="168"/>
    </row>
    <row r="2135" spans="26:34" ht="24" customHeight="1">
      <c r="Z2135"/>
      <c r="AA2135"/>
      <c r="AB2135"/>
      <c r="AC2135"/>
      <c r="AD2135"/>
      <c r="AE2135" s="168" t="str">
        <f t="shared" si="33"/>
        <v/>
      </c>
      <c r="AF2135" s="168">
        <v>0</v>
      </c>
      <c r="AG2135" s="168" t="str" cm="1">
        <f t="array" ref="AG2135">IF(AF2135="","",_xlfn.TEXTSPLIT(AF2135,"-"))</f>
        <v>0</v>
      </c>
      <c r="AH2135" s="168"/>
    </row>
    <row r="2136" spans="26:34" ht="24" customHeight="1">
      <c r="Z2136"/>
      <c r="AA2136"/>
      <c r="AB2136"/>
      <c r="AC2136"/>
      <c r="AD2136"/>
      <c r="AE2136" s="168" t="str">
        <f t="shared" si="33"/>
        <v/>
      </c>
      <c r="AF2136" s="168">
        <v>0</v>
      </c>
      <c r="AG2136" s="168" t="str" cm="1">
        <f t="array" ref="AG2136">IF(AF2136="","",_xlfn.TEXTSPLIT(AF2136,"-"))</f>
        <v>0</v>
      </c>
      <c r="AH2136" s="168"/>
    </row>
    <row r="2137" spans="26:34" ht="24" customHeight="1">
      <c r="Z2137"/>
      <c r="AA2137"/>
      <c r="AB2137"/>
      <c r="AC2137"/>
      <c r="AD2137"/>
      <c r="AE2137" s="168" t="str">
        <f t="shared" si="33"/>
        <v/>
      </c>
      <c r="AF2137" s="168">
        <v>0</v>
      </c>
      <c r="AG2137" s="168" t="str" cm="1">
        <f t="array" ref="AG2137">IF(AF2137="","",_xlfn.TEXTSPLIT(AF2137,"-"))</f>
        <v>0</v>
      </c>
      <c r="AH2137" s="168"/>
    </row>
    <row r="2138" spans="26:34" ht="24" customHeight="1">
      <c r="Z2138"/>
      <c r="AA2138"/>
      <c r="AB2138"/>
      <c r="AC2138"/>
      <c r="AD2138"/>
      <c r="AE2138" s="168" t="str">
        <f t="shared" si="33"/>
        <v/>
      </c>
      <c r="AF2138" s="168">
        <v>0</v>
      </c>
      <c r="AG2138" s="168" t="str" cm="1">
        <f t="array" ref="AG2138">IF(AF2138="","",_xlfn.TEXTSPLIT(AF2138,"-"))</f>
        <v>0</v>
      </c>
      <c r="AH2138" s="168"/>
    </row>
    <row r="2139" spans="26:34" ht="24" customHeight="1">
      <c r="Z2139"/>
      <c r="AA2139"/>
      <c r="AB2139"/>
      <c r="AC2139"/>
      <c r="AD2139"/>
      <c r="AE2139" s="168" t="str">
        <f t="shared" si="33"/>
        <v/>
      </c>
      <c r="AF2139" s="168">
        <v>0</v>
      </c>
      <c r="AG2139" s="168" t="str" cm="1">
        <f t="array" ref="AG2139">IF(AF2139="","",_xlfn.TEXTSPLIT(AF2139,"-"))</f>
        <v>0</v>
      </c>
      <c r="AH2139" s="168"/>
    </row>
    <row r="2140" spans="26:34" ht="24" customHeight="1">
      <c r="Z2140"/>
      <c r="AA2140"/>
      <c r="AB2140"/>
      <c r="AC2140"/>
      <c r="AD2140"/>
      <c r="AE2140" s="168" t="str">
        <f t="shared" si="33"/>
        <v/>
      </c>
      <c r="AF2140" s="168">
        <v>0</v>
      </c>
      <c r="AG2140" s="168" t="str" cm="1">
        <f t="array" ref="AG2140">IF(AF2140="","",_xlfn.TEXTSPLIT(AF2140,"-"))</f>
        <v>0</v>
      </c>
      <c r="AH2140" s="168"/>
    </row>
    <row r="2141" spans="26:34" ht="24" customHeight="1">
      <c r="Z2141"/>
      <c r="AA2141"/>
      <c r="AB2141"/>
      <c r="AC2141"/>
      <c r="AD2141"/>
      <c r="AE2141" s="168" t="str">
        <f t="shared" si="33"/>
        <v/>
      </c>
      <c r="AF2141" s="168">
        <v>0</v>
      </c>
      <c r="AG2141" s="168" t="str" cm="1">
        <f t="array" ref="AG2141">IF(AF2141="","",_xlfn.TEXTSPLIT(AF2141,"-"))</f>
        <v>0</v>
      </c>
      <c r="AH2141" s="168"/>
    </row>
    <row r="2142" spans="26:34" ht="24" customHeight="1">
      <c r="Z2142"/>
      <c r="AA2142"/>
      <c r="AB2142"/>
      <c r="AC2142"/>
      <c r="AD2142"/>
      <c r="AE2142" s="168" t="str">
        <f t="shared" si="33"/>
        <v/>
      </c>
      <c r="AF2142" s="168">
        <v>0</v>
      </c>
      <c r="AG2142" s="168" t="str" cm="1">
        <f t="array" ref="AG2142">IF(AF2142="","",_xlfn.TEXTSPLIT(AF2142,"-"))</f>
        <v>0</v>
      </c>
      <c r="AH2142" s="168"/>
    </row>
    <row r="2143" spans="26:34" ht="24" customHeight="1">
      <c r="Z2143"/>
      <c r="AA2143"/>
      <c r="AB2143"/>
      <c r="AC2143"/>
      <c r="AD2143"/>
      <c r="AE2143" s="168" t="str">
        <f t="shared" si="33"/>
        <v/>
      </c>
      <c r="AF2143" s="168">
        <v>0</v>
      </c>
      <c r="AG2143" s="168" t="str" cm="1">
        <f t="array" ref="AG2143">IF(AF2143="","",_xlfn.TEXTSPLIT(AF2143,"-"))</f>
        <v>0</v>
      </c>
      <c r="AH2143" s="168"/>
    </row>
    <row r="2144" spans="26:34" ht="24" customHeight="1">
      <c r="Z2144"/>
      <c r="AA2144"/>
      <c r="AB2144"/>
      <c r="AC2144"/>
      <c r="AD2144"/>
      <c r="AE2144" s="168" t="str">
        <f t="shared" si="33"/>
        <v/>
      </c>
      <c r="AF2144" s="168">
        <v>0</v>
      </c>
      <c r="AG2144" s="168" t="str" cm="1">
        <f t="array" ref="AG2144">IF(AF2144="","",_xlfn.TEXTSPLIT(AF2144,"-"))</f>
        <v>0</v>
      </c>
      <c r="AH2144" s="168"/>
    </row>
    <row r="2145" spans="26:34" ht="24" customHeight="1">
      <c r="Z2145"/>
      <c r="AA2145"/>
      <c r="AB2145"/>
      <c r="AC2145"/>
      <c r="AD2145"/>
      <c r="AE2145" s="168" t="str">
        <f t="shared" si="33"/>
        <v/>
      </c>
      <c r="AF2145" s="168">
        <v>0</v>
      </c>
      <c r="AG2145" s="168" t="str" cm="1">
        <f t="array" ref="AG2145">IF(AF2145="","",_xlfn.TEXTSPLIT(AF2145,"-"))</f>
        <v>0</v>
      </c>
      <c r="AH2145" s="168"/>
    </row>
    <row r="2146" spans="26:34" ht="24" customHeight="1">
      <c r="Z2146"/>
      <c r="AA2146"/>
      <c r="AB2146"/>
      <c r="AC2146"/>
      <c r="AD2146"/>
      <c r="AE2146" s="168" t="str">
        <f t="shared" si="33"/>
        <v/>
      </c>
      <c r="AF2146" s="168">
        <v>0</v>
      </c>
      <c r="AG2146" s="168" t="str" cm="1">
        <f t="array" ref="AG2146">IF(AF2146="","",_xlfn.TEXTSPLIT(AF2146,"-"))</f>
        <v>0</v>
      </c>
      <c r="AH2146" s="168"/>
    </row>
    <row r="2147" spans="26:34" ht="24" customHeight="1">
      <c r="Z2147"/>
      <c r="AA2147"/>
      <c r="AB2147"/>
      <c r="AC2147"/>
      <c r="AD2147"/>
      <c r="AE2147" s="168" t="str">
        <f t="shared" si="33"/>
        <v/>
      </c>
      <c r="AF2147" s="168">
        <v>0</v>
      </c>
      <c r="AG2147" s="168" t="str" cm="1">
        <f t="array" ref="AG2147">IF(AF2147="","",_xlfn.TEXTSPLIT(AF2147,"-"))</f>
        <v>0</v>
      </c>
      <c r="AH2147" s="168"/>
    </row>
    <row r="2148" spans="26:34" ht="24" customHeight="1">
      <c r="Z2148"/>
      <c r="AA2148"/>
      <c r="AB2148"/>
      <c r="AC2148"/>
      <c r="AD2148"/>
      <c r="AE2148" s="168" t="str">
        <f t="shared" si="33"/>
        <v/>
      </c>
      <c r="AF2148" s="168">
        <v>0</v>
      </c>
      <c r="AG2148" s="168" t="str" cm="1">
        <f t="array" ref="AG2148">IF(AF2148="","",_xlfn.TEXTSPLIT(AF2148,"-"))</f>
        <v>0</v>
      </c>
      <c r="AH2148" s="168"/>
    </row>
    <row r="2149" spans="26:34" ht="24" customHeight="1">
      <c r="Z2149"/>
      <c r="AA2149"/>
      <c r="AB2149"/>
      <c r="AC2149"/>
      <c r="AD2149"/>
      <c r="AE2149" s="168" t="str">
        <f t="shared" si="33"/>
        <v/>
      </c>
      <c r="AF2149" s="168">
        <v>0</v>
      </c>
      <c r="AG2149" s="168" t="str" cm="1">
        <f t="array" ref="AG2149">IF(AF2149="","",_xlfn.TEXTSPLIT(AF2149,"-"))</f>
        <v>0</v>
      </c>
      <c r="AH2149" s="168"/>
    </row>
    <row r="2150" spans="26:34" ht="24" customHeight="1">
      <c r="Z2150"/>
      <c r="AA2150"/>
      <c r="AB2150"/>
      <c r="AC2150"/>
      <c r="AD2150"/>
      <c r="AE2150" s="168" t="str">
        <f t="shared" si="33"/>
        <v/>
      </c>
      <c r="AF2150" s="168">
        <v>0</v>
      </c>
      <c r="AG2150" s="168" t="str" cm="1">
        <f t="array" ref="AG2150">IF(AF2150="","",_xlfn.TEXTSPLIT(AF2150,"-"))</f>
        <v>0</v>
      </c>
      <c r="AH2150" s="168"/>
    </row>
    <row r="2151" spans="26:34" ht="24" customHeight="1">
      <c r="Z2151"/>
      <c r="AA2151"/>
      <c r="AB2151"/>
      <c r="AC2151"/>
      <c r="AD2151"/>
      <c r="AE2151" s="168" t="str">
        <f t="shared" si="33"/>
        <v/>
      </c>
      <c r="AF2151" s="168">
        <v>0</v>
      </c>
      <c r="AG2151" s="168" t="str" cm="1">
        <f t="array" ref="AG2151">IF(AF2151="","",_xlfn.TEXTSPLIT(AF2151,"-"))</f>
        <v>0</v>
      </c>
      <c r="AH2151" s="168"/>
    </row>
    <row r="2152" spans="26:34" ht="24" customHeight="1">
      <c r="Z2152"/>
      <c r="AA2152"/>
      <c r="AB2152"/>
      <c r="AC2152"/>
      <c r="AD2152"/>
      <c r="AE2152" s="168" t="str">
        <f t="shared" si="33"/>
        <v/>
      </c>
      <c r="AF2152" s="168">
        <v>0</v>
      </c>
      <c r="AG2152" s="168" t="str" cm="1">
        <f t="array" ref="AG2152">IF(AF2152="","",_xlfn.TEXTSPLIT(AF2152,"-"))</f>
        <v>0</v>
      </c>
      <c r="AH2152" s="168"/>
    </row>
    <row r="2153" spans="26:34" ht="24" customHeight="1">
      <c r="Z2153"/>
      <c r="AA2153"/>
      <c r="AB2153"/>
      <c r="AC2153"/>
      <c r="AD2153"/>
      <c r="AE2153" s="168" t="str">
        <f t="shared" si="33"/>
        <v/>
      </c>
      <c r="AF2153" s="168">
        <v>0</v>
      </c>
      <c r="AG2153" s="168" t="str" cm="1">
        <f t="array" ref="AG2153">IF(AF2153="","",_xlfn.TEXTSPLIT(AF2153,"-"))</f>
        <v>0</v>
      </c>
      <c r="AH2153" s="168"/>
    </row>
    <row r="2154" spans="26:34" ht="24" customHeight="1">
      <c r="Z2154"/>
      <c r="AA2154"/>
      <c r="AB2154"/>
      <c r="AC2154"/>
      <c r="AD2154"/>
      <c r="AE2154" s="168" t="str">
        <f t="shared" si="33"/>
        <v/>
      </c>
      <c r="AF2154" s="168">
        <v>0</v>
      </c>
      <c r="AG2154" s="168" t="str" cm="1">
        <f t="array" ref="AG2154">IF(AF2154="","",_xlfn.TEXTSPLIT(AF2154,"-"))</f>
        <v>0</v>
      </c>
      <c r="AH2154" s="168"/>
    </row>
    <row r="2155" spans="26:34" ht="24" customHeight="1">
      <c r="Z2155"/>
      <c r="AA2155"/>
      <c r="AB2155"/>
      <c r="AC2155"/>
      <c r="AD2155"/>
      <c r="AE2155" s="168" t="str">
        <f t="shared" si="33"/>
        <v/>
      </c>
      <c r="AF2155" s="168">
        <v>0</v>
      </c>
      <c r="AG2155" s="168" t="str" cm="1">
        <f t="array" ref="AG2155">IF(AF2155="","",_xlfn.TEXTSPLIT(AF2155,"-"))</f>
        <v>0</v>
      </c>
      <c r="AH2155" s="168"/>
    </row>
    <row r="2156" spans="26:34" ht="24" customHeight="1">
      <c r="Z2156"/>
      <c r="AA2156"/>
      <c r="AB2156"/>
      <c r="AC2156"/>
      <c r="AD2156"/>
      <c r="AE2156" s="168" t="str">
        <f t="shared" si="33"/>
        <v/>
      </c>
      <c r="AF2156" s="168">
        <v>0</v>
      </c>
      <c r="AG2156" s="168" t="str" cm="1">
        <f t="array" ref="AG2156">IF(AF2156="","",_xlfn.TEXTSPLIT(AF2156,"-"))</f>
        <v>0</v>
      </c>
      <c r="AH2156" s="168"/>
    </row>
    <row r="2157" spans="26:34" ht="24" customHeight="1">
      <c r="Z2157"/>
      <c r="AA2157"/>
      <c r="AB2157"/>
      <c r="AC2157"/>
      <c r="AD2157"/>
      <c r="AE2157" s="168" t="str">
        <f t="shared" si="33"/>
        <v/>
      </c>
      <c r="AF2157" s="168">
        <v>0</v>
      </c>
      <c r="AG2157" s="168" t="str" cm="1">
        <f t="array" ref="AG2157">IF(AF2157="","",_xlfn.TEXTSPLIT(AF2157,"-"))</f>
        <v>0</v>
      </c>
      <c r="AH2157" s="168"/>
    </row>
    <row r="2158" spans="26:34" ht="24" customHeight="1">
      <c r="Z2158"/>
      <c r="AA2158"/>
      <c r="AB2158"/>
      <c r="AC2158"/>
      <c r="AD2158"/>
      <c r="AE2158" s="168" t="str">
        <f t="shared" si="33"/>
        <v/>
      </c>
      <c r="AF2158" s="168">
        <v>0</v>
      </c>
      <c r="AG2158" s="168" t="str" cm="1">
        <f t="array" ref="AG2158">IF(AF2158="","",_xlfn.TEXTSPLIT(AF2158,"-"))</f>
        <v>0</v>
      </c>
      <c r="AH2158" s="168"/>
    </row>
    <row r="2159" spans="26:34" ht="24" customHeight="1">
      <c r="Z2159"/>
      <c r="AA2159"/>
      <c r="AB2159"/>
      <c r="AC2159"/>
      <c r="AD2159"/>
      <c r="AE2159" s="168" t="str">
        <f t="shared" si="33"/>
        <v/>
      </c>
      <c r="AF2159" s="168">
        <v>0</v>
      </c>
      <c r="AG2159" s="168" t="str" cm="1">
        <f t="array" ref="AG2159">IF(AF2159="","",_xlfn.TEXTSPLIT(AF2159,"-"))</f>
        <v>0</v>
      </c>
      <c r="AH2159" s="168"/>
    </row>
    <row r="2160" spans="26:34" ht="24" customHeight="1">
      <c r="Z2160"/>
      <c r="AA2160"/>
      <c r="AB2160"/>
      <c r="AC2160"/>
      <c r="AD2160"/>
      <c r="AE2160" s="168" t="str">
        <f t="shared" si="33"/>
        <v/>
      </c>
      <c r="AF2160" s="168">
        <v>0</v>
      </c>
      <c r="AG2160" s="168" t="str" cm="1">
        <f t="array" ref="AG2160">IF(AF2160="","",_xlfn.TEXTSPLIT(AF2160,"-"))</f>
        <v>0</v>
      </c>
      <c r="AH2160" s="168"/>
    </row>
    <row r="2161" spans="26:34" ht="24" customHeight="1">
      <c r="Z2161"/>
      <c r="AA2161"/>
      <c r="AB2161"/>
      <c r="AC2161"/>
      <c r="AD2161"/>
      <c r="AE2161" s="168" t="str">
        <f t="shared" si="33"/>
        <v/>
      </c>
      <c r="AF2161" s="168">
        <v>0</v>
      </c>
      <c r="AG2161" s="168" t="str" cm="1">
        <f t="array" ref="AG2161">IF(AF2161="","",_xlfn.TEXTSPLIT(AF2161,"-"))</f>
        <v>0</v>
      </c>
      <c r="AH2161" s="168"/>
    </row>
    <row r="2162" spans="26:34" ht="24" customHeight="1">
      <c r="Z2162"/>
      <c r="AA2162"/>
      <c r="AB2162"/>
      <c r="AC2162"/>
      <c r="AD2162"/>
      <c r="AE2162" s="168" t="str">
        <f t="shared" si="33"/>
        <v/>
      </c>
      <c r="AF2162" s="168">
        <v>0</v>
      </c>
      <c r="AG2162" s="168" t="str" cm="1">
        <f t="array" ref="AG2162">IF(AF2162="","",_xlfn.TEXTSPLIT(AF2162,"-"))</f>
        <v>0</v>
      </c>
      <c r="AH2162" s="168"/>
    </row>
    <row r="2163" spans="26:34" ht="24" customHeight="1">
      <c r="Z2163"/>
      <c r="AA2163"/>
      <c r="AB2163"/>
      <c r="AC2163"/>
      <c r="AD2163"/>
      <c r="AE2163" s="168" t="str">
        <f t="shared" si="33"/>
        <v/>
      </c>
      <c r="AF2163" s="168">
        <v>0</v>
      </c>
      <c r="AG2163" s="168" t="str" cm="1">
        <f t="array" ref="AG2163">IF(AF2163="","",_xlfn.TEXTSPLIT(AF2163,"-"))</f>
        <v>0</v>
      </c>
      <c r="AH2163" s="168"/>
    </row>
    <row r="2164" spans="26:34" ht="24" customHeight="1">
      <c r="Z2164"/>
      <c r="AA2164"/>
      <c r="AB2164"/>
      <c r="AC2164"/>
      <c r="AD2164"/>
      <c r="AE2164" s="168" t="str">
        <f t="shared" si="33"/>
        <v/>
      </c>
      <c r="AF2164" s="168">
        <v>0</v>
      </c>
      <c r="AG2164" s="168" t="str" cm="1">
        <f t="array" ref="AG2164">IF(AF2164="","",_xlfn.TEXTSPLIT(AF2164,"-"))</f>
        <v>0</v>
      </c>
      <c r="AH2164" s="168"/>
    </row>
    <row r="2165" spans="26:34" ht="24" customHeight="1">
      <c r="Z2165"/>
      <c r="AA2165"/>
      <c r="AB2165"/>
      <c r="AC2165"/>
      <c r="AD2165"/>
      <c r="AE2165" s="168" t="str">
        <f t="shared" si="33"/>
        <v/>
      </c>
      <c r="AF2165" s="168">
        <v>0</v>
      </c>
      <c r="AG2165" s="168" t="str" cm="1">
        <f t="array" ref="AG2165">IF(AF2165="","",_xlfn.TEXTSPLIT(AF2165,"-"))</f>
        <v>0</v>
      </c>
      <c r="AH2165" s="168"/>
    </row>
    <row r="2166" spans="26:34" ht="24" customHeight="1">
      <c r="Z2166"/>
      <c r="AA2166"/>
      <c r="AB2166"/>
      <c r="AC2166"/>
      <c r="AD2166"/>
      <c r="AE2166" s="168" t="str">
        <f t="shared" si="33"/>
        <v/>
      </c>
      <c r="AF2166" s="168">
        <v>0</v>
      </c>
      <c r="AG2166" s="168" t="str" cm="1">
        <f t="array" ref="AG2166">IF(AF2166="","",_xlfn.TEXTSPLIT(AF2166,"-"))</f>
        <v>0</v>
      </c>
      <c r="AH2166" s="168"/>
    </row>
    <row r="2167" spans="26:34" ht="24" customHeight="1">
      <c r="Z2167"/>
      <c r="AA2167"/>
      <c r="AB2167"/>
      <c r="AC2167"/>
      <c r="AD2167"/>
      <c r="AE2167" s="168" t="str">
        <f t="shared" si="33"/>
        <v/>
      </c>
      <c r="AF2167" s="168">
        <v>0</v>
      </c>
      <c r="AG2167" s="168" t="str" cm="1">
        <f t="array" ref="AG2167">IF(AF2167="","",_xlfn.TEXTSPLIT(AF2167,"-"))</f>
        <v>0</v>
      </c>
      <c r="AH2167" s="168"/>
    </row>
    <row r="2168" spans="26:34" ht="24" customHeight="1">
      <c r="Z2168"/>
      <c r="AA2168"/>
      <c r="AB2168"/>
      <c r="AC2168"/>
      <c r="AD2168"/>
      <c r="AE2168" s="168" t="str">
        <f t="shared" si="33"/>
        <v/>
      </c>
      <c r="AF2168" s="168">
        <v>0</v>
      </c>
      <c r="AG2168" s="168" t="str" cm="1">
        <f t="array" ref="AG2168">IF(AF2168="","",_xlfn.TEXTSPLIT(AF2168,"-"))</f>
        <v>0</v>
      </c>
      <c r="AH2168" s="168"/>
    </row>
    <row r="2169" spans="26:34" ht="24" customHeight="1">
      <c r="Z2169"/>
      <c r="AA2169"/>
      <c r="AB2169"/>
      <c r="AC2169"/>
      <c r="AD2169"/>
      <c r="AE2169" s="168" t="str">
        <f t="shared" si="33"/>
        <v/>
      </c>
      <c r="AF2169" s="168">
        <v>0</v>
      </c>
      <c r="AG2169" s="168" t="str" cm="1">
        <f t="array" ref="AG2169">IF(AF2169="","",_xlfn.TEXTSPLIT(AF2169,"-"))</f>
        <v>0</v>
      </c>
      <c r="AH2169" s="168"/>
    </row>
    <row r="2170" spans="26:34" ht="24" customHeight="1">
      <c r="Z2170"/>
      <c r="AA2170"/>
      <c r="AB2170"/>
      <c r="AC2170"/>
      <c r="AD2170"/>
      <c r="AE2170" s="168" t="str">
        <f t="shared" si="33"/>
        <v/>
      </c>
      <c r="AF2170" s="168">
        <v>0</v>
      </c>
      <c r="AG2170" s="168" t="str" cm="1">
        <f t="array" ref="AG2170">IF(AF2170="","",_xlfn.TEXTSPLIT(AF2170,"-"))</f>
        <v>0</v>
      </c>
      <c r="AH2170" s="168"/>
    </row>
    <row r="2171" spans="26:34" ht="24" customHeight="1">
      <c r="Z2171"/>
      <c r="AA2171"/>
      <c r="AB2171"/>
      <c r="AC2171"/>
      <c r="AD2171"/>
      <c r="AE2171" s="168" t="str">
        <f t="shared" si="33"/>
        <v/>
      </c>
      <c r="AF2171" s="168">
        <v>0</v>
      </c>
      <c r="AG2171" s="168" t="str" cm="1">
        <f t="array" ref="AG2171">IF(AF2171="","",_xlfn.TEXTSPLIT(AF2171,"-"))</f>
        <v>0</v>
      </c>
      <c r="AH2171" s="168"/>
    </row>
    <row r="2172" spans="26:34" ht="24" customHeight="1">
      <c r="Z2172"/>
      <c r="AA2172"/>
      <c r="AB2172"/>
      <c r="AC2172"/>
      <c r="AD2172"/>
      <c r="AE2172" s="168" t="str">
        <f t="shared" si="33"/>
        <v/>
      </c>
      <c r="AF2172" s="168">
        <v>0</v>
      </c>
      <c r="AG2172" s="168" t="str" cm="1">
        <f t="array" ref="AG2172">IF(AF2172="","",_xlfn.TEXTSPLIT(AF2172,"-"))</f>
        <v>0</v>
      </c>
      <c r="AH2172" s="168"/>
    </row>
    <row r="2173" spans="26:34" ht="24" customHeight="1">
      <c r="Z2173"/>
      <c r="AA2173"/>
      <c r="AB2173"/>
      <c r="AC2173"/>
      <c r="AD2173"/>
      <c r="AE2173" s="168" t="str">
        <f t="shared" si="33"/>
        <v/>
      </c>
      <c r="AF2173" s="168">
        <v>0</v>
      </c>
      <c r="AG2173" s="168" t="str" cm="1">
        <f t="array" ref="AG2173">IF(AF2173="","",_xlfn.TEXTSPLIT(AF2173,"-"))</f>
        <v>0</v>
      </c>
      <c r="AH2173" s="168"/>
    </row>
    <row r="2174" spans="26:34" ht="24" customHeight="1">
      <c r="Z2174"/>
      <c r="AA2174"/>
      <c r="AB2174"/>
      <c r="AC2174"/>
      <c r="AD2174"/>
      <c r="AE2174" s="168" t="str">
        <f t="shared" si="33"/>
        <v/>
      </c>
      <c r="AF2174" s="168">
        <v>0</v>
      </c>
      <c r="AG2174" s="168" t="str" cm="1">
        <f t="array" ref="AG2174">IF(AF2174="","",_xlfn.TEXTSPLIT(AF2174,"-"))</f>
        <v>0</v>
      </c>
      <c r="AH2174" s="168"/>
    </row>
    <row r="2175" spans="26:34" ht="24" customHeight="1">
      <c r="Z2175"/>
      <c r="AA2175"/>
      <c r="AB2175"/>
      <c r="AC2175"/>
      <c r="AD2175"/>
      <c r="AE2175" s="168" t="str">
        <f t="shared" si="33"/>
        <v/>
      </c>
      <c r="AF2175" s="168">
        <v>0</v>
      </c>
      <c r="AG2175" s="168" t="str" cm="1">
        <f t="array" ref="AG2175">IF(AF2175="","",_xlfn.TEXTSPLIT(AF2175,"-"))</f>
        <v>0</v>
      </c>
      <c r="AH2175" s="168"/>
    </row>
    <row r="2176" spans="26:34" ht="24" customHeight="1">
      <c r="Z2176"/>
      <c r="AA2176"/>
      <c r="AB2176"/>
      <c r="AC2176"/>
      <c r="AD2176"/>
      <c r="AE2176" s="168" t="str">
        <f t="shared" si="33"/>
        <v/>
      </c>
      <c r="AF2176" s="168">
        <v>0</v>
      </c>
      <c r="AG2176" s="168" t="str" cm="1">
        <f t="array" ref="AG2176">IF(AF2176="","",_xlfn.TEXTSPLIT(AF2176,"-"))</f>
        <v>0</v>
      </c>
      <c r="AH2176" s="168"/>
    </row>
    <row r="2177" spans="26:34" ht="24" customHeight="1">
      <c r="Z2177"/>
      <c r="AA2177"/>
      <c r="AB2177"/>
      <c r="AC2177"/>
      <c r="AD2177"/>
      <c r="AE2177" s="168" t="str">
        <f t="shared" si="33"/>
        <v/>
      </c>
      <c r="AF2177" s="168">
        <v>0</v>
      </c>
      <c r="AG2177" s="168" t="str" cm="1">
        <f t="array" ref="AG2177">IF(AF2177="","",_xlfn.TEXTSPLIT(AF2177,"-"))</f>
        <v>0</v>
      </c>
      <c r="AH2177" s="168"/>
    </row>
    <row r="2178" spans="26:34" ht="24" customHeight="1">
      <c r="Z2178"/>
      <c r="AA2178"/>
      <c r="AB2178"/>
      <c r="AC2178"/>
      <c r="AD2178"/>
      <c r="AE2178" s="168" t="str">
        <f t="shared" si="33"/>
        <v/>
      </c>
      <c r="AF2178" s="168">
        <v>0</v>
      </c>
      <c r="AG2178" s="168" t="str" cm="1">
        <f t="array" ref="AG2178">IF(AF2178="","",_xlfn.TEXTSPLIT(AF2178,"-"))</f>
        <v>0</v>
      </c>
      <c r="AH2178" s="168"/>
    </row>
    <row r="2179" spans="26:34" ht="24" customHeight="1">
      <c r="Z2179"/>
      <c r="AA2179"/>
      <c r="AB2179"/>
      <c r="AC2179"/>
      <c r="AD2179"/>
      <c r="AE2179" s="168" t="str">
        <f t="shared" si="33"/>
        <v/>
      </c>
      <c r="AF2179" s="168">
        <v>0</v>
      </c>
      <c r="AG2179" s="168" t="str" cm="1">
        <f t="array" ref="AG2179">IF(AF2179="","",_xlfn.TEXTSPLIT(AF2179,"-"))</f>
        <v>0</v>
      </c>
      <c r="AH2179" s="168"/>
    </row>
    <row r="2180" spans="26:34" ht="24" customHeight="1">
      <c r="Z2180"/>
      <c r="AA2180"/>
      <c r="AB2180"/>
      <c r="AC2180"/>
      <c r="AD2180"/>
      <c r="AE2180" s="168" t="str">
        <f t="shared" si="33"/>
        <v/>
      </c>
      <c r="AF2180" s="168">
        <v>0</v>
      </c>
      <c r="AG2180" s="168" t="str" cm="1">
        <f t="array" ref="AG2180">IF(AF2180="","",_xlfn.TEXTSPLIT(AF2180,"-"))</f>
        <v>0</v>
      </c>
      <c r="AH2180" s="168"/>
    </row>
    <row r="2181" spans="26:34" ht="24" customHeight="1">
      <c r="Z2181"/>
      <c r="AA2181"/>
      <c r="AB2181"/>
      <c r="AC2181"/>
      <c r="AD2181"/>
      <c r="AE2181" s="168" t="str">
        <f t="shared" ref="AE2181:AE2244" si="34">IF(AH2181="","",AH2181*1)</f>
        <v/>
      </c>
      <c r="AF2181" s="168">
        <v>0</v>
      </c>
      <c r="AG2181" s="168" t="str" cm="1">
        <f t="array" ref="AG2181">IF(AF2181="","",_xlfn.TEXTSPLIT(AF2181,"-"))</f>
        <v>0</v>
      </c>
      <c r="AH2181" s="168"/>
    </row>
    <row r="2182" spans="26:34" ht="24" customHeight="1">
      <c r="Z2182"/>
      <c r="AA2182"/>
      <c r="AB2182"/>
      <c r="AC2182"/>
      <c r="AD2182"/>
      <c r="AE2182" s="168" t="str">
        <f t="shared" si="34"/>
        <v/>
      </c>
      <c r="AF2182" s="168">
        <v>0</v>
      </c>
      <c r="AG2182" s="168" t="str" cm="1">
        <f t="array" ref="AG2182">IF(AF2182="","",_xlfn.TEXTSPLIT(AF2182,"-"))</f>
        <v>0</v>
      </c>
      <c r="AH2182" s="168"/>
    </row>
    <row r="2183" spans="26:34" ht="24" customHeight="1">
      <c r="Z2183"/>
      <c r="AA2183"/>
      <c r="AB2183"/>
      <c r="AC2183"/>
      <c r="AD2183"/>
      <c r="AE2183" s="168" t="str">
        <f t="shared" si="34"/>
        <v/>
      </c>
      <c r="AF2183" s="168">
        <v>0</v>
      </c>
      <c r="AG2183" s="168" t="str" cm="1">
        <f t="array" ref="AG2183">IF(AF2183="","",_xlfn.TEXTSPLIT(AF2183,"-"))</f>
        <v>0</v>
      </c>
      <c r="AH2183" s="168"/>
    </row>
    <row r="2184" spans="26:34" ht="24" customHeight="1">
      <c r="Z2184"/>
      <c r="AA2184"/>
      <c r="AB2184"/>
      <c r="AC2184"/>
      <c r="AD2184"/>
      <c r="AE2184" s="168" t="str">
        <f t="shared" si="34"/>
        <v/>
      </c>
      <c r="AF2184" s="168">
        <v>0</v>
      </c>
      <c r="AG2184" s="168" t="str" cm="1">
        <f t="array" ref="AG2184">IF(AF2184="","",_xlfn.TEXTSPLIT(AF2184,"-"))</f>
        <v>0</v>
      </c>
      <c r="AH2184" s="168"/>
    </row>
    <row r="2185" spans="26:34" ht="24" customHeight="1">
      <c r="Z2185"/>
      <c r="AA2185"/>
      <c r="AB2185"/>
      <c r="AC2185"/>
      <c r="AD2185"/>
      <c r="AE2185" s="168" t="str">
        <f t="shared" si="34"/>
        <v/>
      </c>
      <c r="AF2185" s="168">
        <v>0</v>
      </c>
      <c r="AG2185" s="168" t="str" cm="1">
        <f t="array" ref="AG2185">IF(AF2185="","",_xlfn.TEXTSPLIT(AF2185,"-"))</f>
        <v>0</v>
      </c>
      <c r="AH2185" s="168"/>
    </row>
    <row r="2186" spans="26:34" ht="24" customHeight="1">
      <c r="Z2186"/>
      <c r="AA2186"/>
      <c r="AB2186"/>
      <c r="AC2186"/>
      <c r="AD2186"/>
      <c r="AE2186" s="168" t="str">
        <f t="shared" si="34"/>
        <v/>
      </c>
      <c r="AF2186" s="168">
        <v>0</v>
      </c>
      <c r="AG2186" s="168" t="str" cm="1">
        <f t="array" ref="AG2186">IF(AF2186="","",_xlfn.TEXTSPLIT(AF2186,"-"))</f>
        <v>0</v>
      </c>
      <c r="AH2186" s="168"/>
    </row>
    <row r="2187" spans="26:34" ht="24" customHeight="1">
      <c r="Z2187"/>
      <c r="AA2187"/>
      <c r="AB2187"/>
      <c r="AC2187"/>
      <c r="AD2187"/>
      <c r="AE2187" s="168" t="str">
        <f t="shared" si="34"/>
        <v/>
      </c>
      <c r="AF2187" s="168">
        <v>0</v>
      </c>
      <c r="AG2187" s="168" t="str" cm="1">
        <f t="array" ref="AG2187">IF(AF2187="","",_xlfn.TEXTSPLIT(AF2187,"-"))</f>
        <v>0</v>
      </c>
      <c r="AH2187" s="168"/>
    </row>
    <row r="2188" spans="26:34" ht="24" customHeight="1">
      <c r="Z2188"/>
      <c r="AA2188"/>
      <c r="AB2188"/>
      <c r="AC2188"/>
      <c r="AD2188"/>
      <c r="AE2188" s="168" t="str">
        <f t="shared" si="34"/>
        <v/>
      </c>
      <c r="AF2188" s="168">
        <v>0</v>
      </c>
      <c r="AG2188" s="168" t="str" cm="1">
        <f t="array" ref="AG2188">IF(AF2188="","",_xlfn.TEXTSPLIT(AF2188,"-"))</f>
        <v>0</v>
      </c>
      <c r="AH2188" s="168"/>
    </row>
    <row r="2189" spans="26:34" ht="24" customHeight="1">
      <c r="Z2189"/>
      <c r="AA2189"/>
      <c r="AB2189"/>
      <c r="AC2189"/>
      <c r="AD2189"/>
      <c r="AE2189" s="168" t="str">
        <f t="shared" si="34"/>
        <v/>
      </c>
      <c r="AF2189" s="168">
        <v>0</v>
      </c>
      <c r="AG2189" s="168" t="str" cm="1">
        <f t="array" ref="AG2189">IF(AF2189="","",_xlfn.TEXTSPLIT(AF2189,"-"))</f>
        <v>0</v>
      </c>
      <c r="AH2189" s="168"/>
    </row>
    <row r="2190" spans="26:34" ht="24" customHeight="1">
      <c r="Z2190"/>
      <c r="AA2190"/>
      <c r="AB2190"/>
      <c r="AC2190"/>
      <c r="AD2190"/>
      <c r="AE2190" s="168" t="str">
        <f t="shared" si="34"/>
        <v/>
      </c>
      <c r="AF2190" s="168">
        <v>0</v>
      </c>
      <c r="AG2190" s="168" t="str" cm="1">
        <f t="array" ref="AG2190">IF(AF2190="","",_xlfn.TEXTSPLIT(AF2190,"-"))</f>
        <v>0</v>
      </c>
      <c r="AH2190" s="168"/>
    </row>
    <row r="2191" spans="26:34" ht="24" customHeight="1">
      <c r="Z2191"/>
      <c r="AA2191"/>
      <c r="AB2191"/>
      <c r="AC2191"/>
      <c r="AD2191"/>
      <c r="AE2191" s="168" t="str">
        <f t="shared" si="34"/>
        <v/>
      </c>
      <c r="AF2191" s="168">
        <v>0</v>
      </c>
      <c r="AG2191" s="168" t="str" cm="1">
        <f t="array" ref="AG2191">IF(AF2191="","",_xlfn.TEXTSPLIT(AF2191,"-"))</f>
        <v>0</v>
      </c>
      <c r="AH2191" s="168"/>
    </row>
    <row r="2192" spans="26:34" ht="24" customHeight="1">
      <c r="Z2192"/>
      <c r="AA2192"/>
      <c r="AB2192"/>
      <c r="AC2192"/>
      <c r="AD2192"/>
      <c r="AE2192" s="168" t="str">
        <f t="shared" si="34"/>
        <v/>
      </c>
      <c r="AF2192" s="168">
        <v>0</v>
      </c>
      <c r="AG2192" s="168" t="str" cm="1">
        <f t="array" ref="AG2192">IF(AF2192="","",_xlfn.TEXTSPLIT(AF2192,"-"))</f>
        <v>0</v>
      </c>
      <c r="AH2192" s="168"/>
    </row>
    <row r="2193" spans="26:34" ht="24" customHeight="1">
      <c r="Z2193"/>
      <c r="AA2193"/>
      <c r="AB2193"/>
      <c r="AC2193"/>
      <c r="AD2193"/>
      <c r="AE2193" s="168" t="str">
        <f t="shared" si="34"/>
        <v/>
      </c>
      <c r="AF2193" s="168">
        <v>0</v>
      </c>
      <c r="AG2193" s="168" t="str" cm="1">
        <f t="array" ref="AG2193">IF(AF2193="","",_xlfn.TEXTSPLIT(AF2193,"-"))</f>
        <v>0</v>
      </c>
      <c r="AH2193" s="168"/>
    </row>
    <row r="2194" spans="26:34" ht="24" customHeight="1">
      <c r="Z2194"/>
      <c r="AA2194"/>
      <c r="AB2194"/>
      <c r="AC2194"/>
      <c r="AD2194"/>
      <c r="AE2194" s="168" t="str">
        <f t="shared" si="34"/>
        <v/>
      </c>
      <c r="AF2194" s="168">
        <v>0</v>
      </c>
      <c r="AG2194" s="168" t="str" cm="1">
        <f t="array" ref="AG2194">IF(AF2194="","",_xlfn.TEXTSPLIT(AF2194,"-"))</f>
        <v>0</v>
      </c>
      <c r="AH2194" s="168"/>
    </row>
    <row r="2195" spans="26:34" ht="24" customHeight="1">
      <c r="Z2195"/>
      <c r="AA2195"/>
      <c r="AB2195"/>
      <c r="AC2195"/>
      <c r="AD2195"/>
      <c r="AE2195" s="168" t="str">
        <f t="shared" si="34"/>
        <v/>
      </c>
      <c r="AF2195" s="168">
        <v>0</v>
      </c>
      <c r="AG2195" s="168" t="str" cm="1">
        <f t="array" ref="AG2195">IF(AF2195="","",_xlfn.TEXTSPLIT(AF2195,"-"))</f>
        <v>0</v>
      </c>
      <c r="AH2195" s="168"/>
    </row>
    <row r="2196" spans="26:34" ht="24" customHeight="1">
      <c r="Z2196"/>
      <c r="AA2196"/>
      <c r="AB2196"/>
      <c r="AC2196"/>
      <c r="AD2196"/>
      <c r="AE2196" s="168" t="str">
        <f t="shared" si="34"/>
        <v/>
      </c>
      <c r="AF2196" s="168">
        <v>0</v>
      </c>
      <c r="AG2196" s="168" t="str" cm="1">
        <f t="array" ref="AG2196">IF(AF2196="","",_xlfn.TEXTSPLIT(AF2196,"-"))</f>
        <v>0</v>
      </c>
      <c r="AH2196" s="168"/>
    </row>
    <row r="2197" spans="26:34" ht="24" customHeight="1">
      <c r="Z2197"/>
      <c r="AA2197"/>
      <c r="AB2197"/>
      <c r="AC2197"/>
      <c r="AD2197"/>
      <c r="AE2197" s="168" t="str">
        <f t="shared" si="34"/>
        <v/>
      </c>
      <c r="AF2197" s="168">
        <v>0</v>
      </c>
      <c r="AG2197" s="168" t="str" cm="1">
        <f t="array" ref="AG2197">IF(AF2197="","",_xlfn.TEXTSPLIT(AF2197,"-"))</f>
        <v>0</v>
      </c>
      <c r="AH2197" s="168"/>
    </row>
    <row r="2198" spans="26:34" ht="24" customHeight="1">
      <c r="Z2198"/>
      <c r="AA2198"/>
      <c r="AB2198"/>
      <c r="AC2198"/>
      <c r="AD2198"/>
      <c r="AE2198" s="168" t="str">
        <f t="shared" si="34"/>
        <v/>
      </c>
      <c r="AF2198" s="168">
        <v>0</v>
      </c>
      <c r="AG2198" s="168" t="str" cm="1">
        <f t="array" ref="AG2198">IF(AF2198="","",_xlfn.TEXTSPLIT(AF2198,"-"))</f>
        <v>0</v>
      </c>
      <c r="AH2198" s="168"/>
    </row>
    <row r="2199" spans="26:34" ht="24" customHeight="1">
      <c r="Z2199"/>
      <c r="AA2199"/>
      <c r="AB2199"/>
      <c r="AC2199"/>
      <c r="AD2199"/>
      <c r="AE2199" s="168" t="str">
        <f t="shared" si="34"/>
        <v/>
      </c>
      <c r="AF2199" s="168">
        <v>0</v>
      </c>
      <c r="AG2199" s="168" t="str" cm="1">
        <f t="array" ref="AG2199">IF(AF2199="","",_xlfn.TEXTSPLIT(AF2199,"-"))</f>
        <v>0</v>
      </c>
      <c r="AH2199" s="168"/>
    </row>
    <row r="2200" spans="26:34" ht="24" customHeight="1">
      <c r="Z2200"/>
      <c r="AA2200"/>
      <c r="AB2200"/>
      <c r="AC2200"/>
      <c r="AD2200"/>
      <c r="AE2200" s="168" t="str">
        <f t="shared" si="34"/>
        <v/>
      </c>
      <c r="AF2200" s="168">
        <v>0</v>
      </c>
      <c r="AG2200" s="168" t="str" cm="1">
        <f t="array" ref="AG2200">IF(AF2200="","",_xlfn.TEXTSPLIT(AF2200,"-"))</f>
        <v>0</v>
      </c>
      <c r="AH2200" s="168"/>
    </row>
    <row r="2201" spans="26:34" ht="24" customHeight="1">
      <c r="Z2201"/>
      <c r="AA2201"/>
      <c r="AB2201"/>
      <c r="AC2201"/>
      <c r="AD2201"/>
      <c r="AE2201" s="168" t="str">
        <f t="shared" si="34"/>
        <v/>
      </c>
      <c r="AF2201" s="168">
        <v>0</v>
      </c>
      <c r="AG2201" s="168" t="str" cm="1">
        <f t="array" ref="AG2201">IF(AF2201="","",_xlfn.TEXTSPLIT(AF2201,"-"))</f>
        <v>0</v>
      </c>
      <c r="AH2201" s="168"/>
    </row>
    <row r="2202" spans="26:34" ht="24" customHeight="1">
      <c r="Z2202"/>
      <c r="AA2202"/>
      <c r="AB2202"/>
      <c r="AC2202"/>
      <c r="AD2202"/>
      <c r="AE2202" s="168" t="str">
        <f t="shared" si="34"/>
        <v/>
      </c>
      <c r="AF2202" s="168">
        <v>0</v>
      </c>
      <c r="AG2202" s="168" t="str" cm="1">
        <f t="array" ref="AG2202">IF(AF2202="","",_xlfn.TEXTSPLIT(AF2202,"-"))</f>
        <v>0</v>
      </c>
      <c r="AH2202" s="168"/>
    </row>
    <row r="2203" spans="26:34" ht="24" customHeight="1">
      <c r="Z2203"/>
      <c r="AA2203"/>
      <c r="AB2203"/>
      <c r="AC2203"/>
      <c r="AD2203"/>
      <c r="AE2203" s="168" t="str">
        <f t="shared" si="34"/>
        <v/>
      </c>
      <c r="AF2203" s="168">
        <v>0</v>
      </c>
      <c r="AG2203" s="168" t="str" cm="1">
        <f t="array" ref="AG2203">IF(AF2203="","",_xlfn.TEXTSPLIT(AF2203,"-"))</f>
        <v>0</v>
      </c>
      <c r="AH2203" s="168"/>
    </row>
    <row r="2204" spans="26:34" ht="24" customHeight="1">
      <c r="Z2204"/>
      <c r="AA2204"/>
      <c r="AB2204"/>
      <c r="AC2204"/>
      <c r="AD2204"/>
      <c r="AE2204" s="168" t="str">
        <f t="shared" si="34"/>
        <v/>
      </c>
      <c r="AF2204" s="168">
        <v>0</v>
      </c>
      <c r="AG2204" s="168" t="str" cm="1">
        <f t="array" ref="AG2204">IF(AF2204="","",_xlfn.TEXTSPLIT(AF2204,"-"))</f>
        <v>0</v>
      </c>
      <c r="AH2204" s="168"/>
    </row>
    <row r="2205" spans="26:34" ht="24" customHeight="1">
      <c r="Z2205"/>
      <c r="AA2205"/>
      <c r="AB2205"/>
      <c r="AC2205"/>
      <c r="AD2205"/>
      <c r="AE2205" s="168" t="str">
        <f t="shared" si="34"/>
        <v/>
      </c>
      <c r="AF2205" s="168">
        <v>0</v>
      </c>
      <c r="AG2205" s="168" t="str" cm="1">
        <f t="array" ref="AG2205">IF(AF2205="","",_xlfn.TEXTSPLIT(AF2205,"-"))</f>
        <v>0</v>
      </c>
      <c r="AH2205" s="168"/>
    </row>
    <row r="2206" spans="26:34" ht="24" customHeight="1">
      <c r="Z2206"/>
      <c r="AA2206"/>
      <c r="AB2206"/>
      <c r="AC2206"/>
      <c r="AD2206"/>
      <c r="AE2206" s="168" t="str">
        <f t="shared" si="34"/>
        <v/>
      </c>
      <c r="AF2206" s="168">
        <v>0</v>
      </c>
      <c r="AG2206" s="168" t="str" cm="1">
        <f t="array" ref="AG2206">IF(AF2206="","",_xlfn.TEXTSPLIT(AF2206,"-"))</f>
        <v>0</v>
      </c>
      <c r="AH2206" s="168"/>
    </row>
    <row r="2207" spans="26:34" ht="24" customHeight="1">
      <c r="Z2207"/>
      <c r="AA2207"/>
      <c r="AB2207"/>
      <c r="AC2207"/>
      <c r="AD2207"/>
      <c r="AE2207" s="168" t="str">
        <f t="shared" si="34"/>
        <v/>
      </c>
      <c r="AF2207" s="168">
        <v>0</v>
      </c>
      <c r="AG2207" s="168" t="str" cm="1">
        <f t="array" ref="AG2207">IF(AF2207="","",_xlfn.TEXTSPLIT(AF2207,"-"))</f>
        <v>0</v>
      </c>
      <c r="AH2207" s="168"/>
    </row>
    <row r="2208" spans="26:34" ht="24" customHeight="1">
      <c r="Z2208"/>
      <c r="AA2208"/>
      <c r="AB2208"/>
      <c r="AC2208"/>
      <c r="AD2208"/>
      <c r="AE2208" s="168" t="str">
        <f t="shared" si="34"/>
        <v/>
      </c>
      <c r="AF2208" s="168">
        <v>0</v>
      </c>
      <c r="AG2208" s="168" t="str" cm="1">
        <f t="array" ref="AG2208">IF(AF2208="","",_xlfn.TEXTSPLIT(AF2208,"-"))</f>
        <v>0</v>
      </c>
      <c r="AH2208" s="168"/>
    </row>
    <row r="2209" spans="26:34" ht="24" customHeight="1">
      <c r="Z2209"/>
      <c r="AA2209"/>
      <c r="AB2209"/>
      <c r="AC2209"/>
      <c r="AD2209"/>
      <c r="AE2209" s="168" t="str">
        <f t="shared" si="34"/>
        <v/>
      </c>
      <c r="AF2209" s="168">
        <v>0</v>
      </c>
      <c r="AG2209" s="168" t="str" cm="1">
        <f t="array" ref="AG2209">IF(AF2209="","",_xlfn.TEXTSPLIT(AF2209,"-"))</f>
        <v>0</v>
      </c>
      <c r="AH2209" s="168"/>
    </row>
    <row r="2210" spans="26:34" ht="24" customHeight="1">
      <c r="Z2210"/>
      <c r="AA2210"/>
      <c r="AB2210"/>
      <c r="AC2210"/>
      <c r="AD2210"/>
      <c r="AE2210" s="168" t="str">
        <f t="shared" si="34"/>
        <v/>
      </c>
      <c r="AF2210" s="168">
        <v>0</v>
      </c>
      <c r="AG2210" s="168" t="str" cm="1">
        <f t="array" ref="AG2210">IF(AF2210="","",_xlfn.TEXTSPLIT(AF2210,"-"))</f>
        <v>0</v>
      </c>
      <c r="AH2210" s="168"/>
    </row>
    <row r="2211" spans="26:34" ht="24" customHeight="1">
      <c r="Z2211"/>
      <c r="AA2211"/>
      <c r="AB2211"/>
      <c r="AC2211"/>
      <c r="AD2211"/>
      <c r="AE2211" s="168" t="str">
        <f t="shared" si="34"/>
        <v/>
      </c>
      <c r="AF2211" s="168">
        <v>0</v>
      </c>
      <c r="AG2211" s="168" t="str" cm="1">
        <f t="array" ref="AG2211">IF(AF2211="","",_xlfn.TEXTSPLIT(AF2211,"-"))</f>
        <v>0</v>
      </c>
      <c r="AH2211" s="168"/>
    </row>
    <row r="2212" spans="26:34" ht="24" customHeight="1">
      <c r="Z2212"/>
      <c r="AA2212"/>
      <c r="AB2212"/>
      <c r="AC2212"/>
      <c r="AD2212"/>
      <c r="AE2212" s="168" t="str">
        <f t="shared" si="34"/>
        <v/>
      </c>
      <c r="AF2212" s="168">
        <v>0</v>
      </c>
      <c r="AG2212" s="168" t="str" cm="1">
        <f t="array" ref="AG2212">IF(AF2212="","",_xlfn.TEXTSPLIT(AF2212,"-"))</f>
        <v>0</v>
      </c>
      <c r="AH2212" s="168"/>
    </row>
    <row r="2213" spans="26:34" ht="24" customHeight="1">
      <c r="Z2213"/>
      <c r="AA2213"/>
      <c r="AB2213"/>
      <c r="AC2213"/>
      <c r="AD2213"/>
      <c r="AE2213" s="168" t="str">
        <f t="shared" si="34"/>
        <v/>
      </c>
      <c r="AF2213" s="168">
        <v>0</v>
      </c>
      <c r="AG2213" s="168" t="str" cm="1">
        <f t="array" ref="AG2213">IF(AF2213="","",_xlfn.TEXTSPLIT(AF2213,"-"))</f>
        <v>0</v>
      </c>
      <c r="AH2213" s="168"/>
    </row>
    <row r="2214" spans="26:34" ht="24" customHeight="1">
      <c r="Z2214"/>
      <c r="AA2214"/>
      <c r="AB2214"/>
      <c r="AC2214"/>
      <c r="AD2214"/>
      <c r="AE2214" s="168" t="str">
        <f t="shared" si="34"/>
        <v/>
      </c>
      <c r="AF2214" s="168">
        <v>0</v>
      </c>
      <c r="AG2214" s="168" t="str" cm="1">
        <f t="array" ref="AG2214">IF(AF2214="","",_xlfn.TEXTSPLIT(AF2214,"-"))</f>
        <v>0</v>
      </c>
      <c r="AH2214" s="168"/>
    </row>
    <row r="2215" spans="26:34" ht="24" customHeight="1">
      <c r="Z2215"/>
      <c r="AA2215"/>
      <c r="AB2215"/>
      <c r="AC2215"/>
      <c r="AD2215"/>
      <c r="AE2215" s="168" t="str">
        <f t="shared" si="34"/>
        <v/>
      </c>
      <c r="AF2215" s="168">
        <v>0</v>
      </c>
      <c r="AG2215" s="168" t="str" cm="1">
        <f t="array" ref="AG2215">IF(AF2215="","",_xlfn.TEXTSPLIT(AF2215,"-"))</f>
        <v>0</v>
      </c>
      <c r="AH2215" s="168"/>
    </row>
    <row r="2216" spans="26:34" ht="24" customHeight="1">
      <c r="Z2216"/>
      <c r="AA2216"/>
      <c r="AB2216"/>
      <c r="AC2216"/>
      <c r="AD2216"/>
      <c r="AE2216" s="168" t="str">
        <f t="shared" si="34"/>
        <v/>
      </c>
      <c r="AF2216" s="168">
        <v>0</v>
      </c>
      <c r="AG2216" s="168" t="str" cm="1">
        <f t="array" ref="AG2216">IF(AF2216="","",_xlfn.TEXTSPLIT(AF2216,"-"))</f>
        <v>0</v>
      </c>
      <c r="AH2216" s="168"/>
    </row>
    <row r="2217" spans="26:34" ht="24" customHeight="1">
      <c r="Z2217"/>
      <c r="AA2217"/>
      <c r="AB2217"/>
      <c r="AC2217"/>
      <c r="AD2217"/>
      <c r="AE2217" s="168" t="str">
        <f t="shared" si="34"/>
        <v/>
      </c>
      <c r="AF2217" s="168">
        <v>0</v>
      </c>
      <c r="AG2217" s="168" t="str" cm="1">
        <f t="array" ref="AG2217">IF(AF2217="","",_xlfn.TEXTSPLIT(AF2217,"-"))</f>
        <v>0</v>
      </c>
      <c r="AH2217" s="168"/>
    </row>
    <row r="2218" spans="26:34" ht="24" customHeight="1">
      <c r="Z2218"/>
      <c r="AA2218"/>
      <c r="AB2218"/>
      <c r="AC2218"/>
      <c r="AD2218"/>
      <c r="AE2218" s="168" t="str">
        <f t="shared" si="34"/>
        <v/>
      </c>
      <c r="AF2218" s="168">
        <v>0</v>
      </c>
      <c r="AG2218" s="168" t="str" cm="1">
        <f t="array" ref="AG2218">IF(AF2218="","",_xlfn.TEXTSPLIT(AF2218,"-"))</f>
        <v>0</v>
      </c>
      <c r="AH2218" s="168"/>
    </row>
    <row r="2219" spans="26:34" ht="24" customHeight="1">
      <c r="Z2219"/>
      <c r="AA2219"/>
      <c r="AB2219"/>
      <c r="AC2219"/>
      <c r="AD2219"/>
      <c r="AE2219" s="168" t="str">
        <f t="shared" si="34"/>
        <v/>
      </c>
      <c r="AF2219" s="168">
        <v>0</v>
      </c>
      <c r="AG2219" s="168" t="str" cm="1">
        <f t="array" ref="AG2219">IF(AF2219="","",_xlfn.TEXTSPLIT(AF2219,"-"))</f>
        <v>0</v>
      </c>
      <c r="AH2219" s="168"/>
    </row>
    <row r="2220" spans="26:34" ht="24" customHeight="1">
      <c r="Z2220"/>
      <c r="AA2220"/>
      <c r="AB2220"/>
      <c r="AC2220"/>
      <c r="AD2220"/>
      <c r="AE2220" s="168" t="str">
        <f t="shared" si="34"/>
        <v/>
      </c>
      <c r="AF2220" s="168">
        <v>0</v>
      </c>
      <c r="AG2220" s="168" t="str" cm="1">
        <f t="array" ref="AG2220">IF(AF2220="","",_xlfn.TEXTSPLIT(AF2220,"-"))</f>
        <v>0</v>
      </c>
      <c r="AH2220" s="168"/>
    </row>
    <row r="2221" spans="26:34" ht="24" customHeight="1">
      <c r="Z2221"/>
      <c r="AA2221"/>
      <c r="AB2221"/>
      <c r="AC2221"/>
      <c r="AD2221"/>
      <c r="AE2221" s="168" t="str">
        <f t="shared" si="34"/>
        <v/>
      </c>
      <c r="AF2221" s="168">
        <v>0</v>
      </c>
      <c r="AG2221" s="168" t="str" cm="1">
        <f t="array" ref="AG2221">IF(AF2221="","",_xlfn.TEXTSPLIT(AF2221,"-"))</f>
        <v>0</v>
      </c>
      <c r="AH2221" s="168"/>
    </row>
    <row r="2222" spans="26:34" ht="24" customHeight="1">
      <c r="Z2222"/>
      <c r="AA2222"/>
      <c r="AB2222"/>
      <c r="AC2222"/>
      <c r="AD2222"/>
      <c r="AE2222" s="168" t="str">
        <f t="shared" si="34"/>
        <v/>
      </c>
      <c r="AF2222" s="168">
        <v>0</v>
      </c>
      <c r="AG2222" s="168" t="str" cm="1">
        <f t="array" ref="AG2222">IF(AF2222="","",_xlfn.TEXTSPLIT(AF2222,"-"))</f>
        <v>0</v>
      </c>
      <c r="AH2222" s="168"/>
    </row>
    <row r="2223" spans="26:34" ht="24" customHeight="1">
      <c r="Z2223"/>
      <c r="AA2223"/>
      <c r="AB2223"/>
      <c r="AC2223"/>
      <c r="AD2223"/>
      <c r="AE2223" s="168" t="str">
        <f t="shared" si="34"/>
        <v/>
      </c>
      <c r="AF2223" s="168">
        <v>0</v>
      </c>
      <c r="AG2223" s="168" t="str" cm="1">
        <f t="array" ref="AG2223">IF(AF2223="","",_xlfn.TEXTSPLIT(AF2223,"-"))</f>
        <v>0</v>
      </c>
      <c r="AH2223" s="168"/>
    </row>
    <row r="2224" spans="26:34" ht="24" customHeight="1">
      <c r="Z2224"/>
      <c r="AA2224"/>
      <c r="AB2224"/>
      <c r="AC2224"/>
      <c r="AD2224"/>
      <c r="AE2224" s="168" t="str">
        <f t="shared" si="34"/>
        <v/>
      </c>
      <c r="AF2224" s="168">
        <v>0</v>
      </c>
      <c r="AG2224" s="168" t="str" cm="1">
        <f t="array" ref="AG2224">IF(AF2224="","",_xlfn.TEXTSPLIT(AF2224,"-"))</f>
        <v>0</v>
      </c>
      <c r="AH2224" s="168"/>
    </row>
    <row r="2225" spans="26:34" ht="24" customHeight="1">
      <c r="Z2225"/>
      <c r="AA2225"/>
      <c r="AB2225"/>
      <c r="AC2225"/>
      <c r="AD2225"/>
      <c r="AE2225" s="168" t="str">
        <f t="shared" si="34"/>
        <v/>
      </c>
      <c r="AF2225" s="168">
        <v>0</v>
      </c>
      <c r="AG2225" s="168" t="str" cm="1">
        <f t="array" ref="AG2225">IF(AF2225="","",_xlfn.TEXTSPLIT(AF2225,"-"))</f>
        <v>0</v>
      </c>
      <c r="AH2225" s="168"/>
    </row>
    <row r="2226" spans="26:34" ht="24" customHeight="1">
      <c r="Z2226"/>
      <c r="AA2226"/>
      <c r="AB2226"/>
      <c r="AC2226"/>
      <c r="AD2226"/>
      <c r="AE2226" s="168" t="str">
        <f t="shared" si="34"/>
        <v/>
      </c>
      <c r="AF2226" s="168">
        <v>0</v>
      </c>
      <c r="AG2226" s="168" t="str" cm="1">
        <f t="array" ref="AG2226">IF(AF2226="","",_xlfn.TEXTSPLIT(AF2226,"-"))</f>
        <v>0</v>
      </c>
      <c r="AH2226" s="168"/>
    </row>
    <row r="2227" spans="26:34" ht="24" customHeight="1">
      <c r="Z2227"/>
      <c r="AA2227"/>
      <c r="AB2227"/>
      <c r="AC2227"/>
      <c r="AD2227"/>
      <c r="AE2227" s="168" t="str">
        <f t="shared" si="34"/>
        <v/>
      </c>
      <c r="AF2227" s="168">
        <v>0</v>
      </c>
      <c r="AG2227" s="168" t="str" cm="1">
        <f t="array" ref="AG2227">IF(AF2227="","",_xlfn.TEXTSPLIT(AF2227,"-"))</f>
        <v>0</v>
      </c>
      <c r="AH2227" s="168"/>
    </row>
    <row r="2228" spans="26:34" ht="24" customHeight="1">
      <c r="Z2228"/>
      <c r="AA2228"/>
      <c r="AB2228"/>
      <c r="AC2228"/>
      <c r="AD2228"/>
      <c r="AE2228" s="168" t="str">
        <f t="shared" si="34"/>
        <v/>
      </c>
      <c r="AF2228" s="168">
        <v>0</v>
      </c>
      <c r="AG2228" s="168" t="str" cm="1">
        <f t="array" ref="AG2228">IF(AF2228="","",_xlfn.TEXTSPLIT(AF2228,"-"))</f>
        <v>0</v>
      </c>
      <c r="AH2228" s="168"/>
    </row>
    <row r="2229" spans="26:34" ht="24" customHeight="1">
      <c r="Z2229"/>
      <c r="AA2229"/>
      <c r="AB2229"/>
      <c r="AC2229"/>
      <c r="AD2229"/>
      <c r="AE2229" s="168" t="str">
        <f t="shared" si="34"/>
        <v/>
      </c>
      <c r="AF2229" s="168">
        <v>0</v>
      </c>
      <c r="AG2229" s="168" t="str" cm="1">
        <f t="array" ref="AG2229">IF(AF2229="","",_xlfn.TEXTSPLIT(AF2229,"-"))</f>
        <v>0</v>
      </c>
      <c r="AH2229" s="168"/>
    </row>
    <row r="2230" spans="26:34" ht="24" customHeight="1">
      <c r="Z2230"/>
      <c r="AA2230"/>
      <c r="AB2230"/>
      <c r="AC2230"/>
      <c r="AD2230"/>
      <c r="AE2230" s="168" t="str">
        <f t="shared" si="34"/>
        <v/>
      </c>
      <c r="AF2230" s="168">
        <v>0</v>
      </c>
      <c r="AG2230" s="168" t="str" cm="1">
        <f t="array" ref="AG2230">IF(AF2230="","",_xlfn.TEXTSPLIT(AF2230,"-"))</f>
        <v>0</v>
      </c>
      <c r="AH2230" s="168"/>
    </row>
    <row r="2231" spans="26:34" ht="24" customHeight="1">
      <c r="Z2231"/>
      <c r="AA2231"/>
      <c r="AB2231"/>
      <c r="AC2231"/>
      <c r="AD2231"/>
      <c r="AE2231" s="168" t="str">
        <f t="shared" si="34"/>
        <v/>
      </c>
      <c r="AF2231" s="168">
        <v>0</v>
      </c>
      <c r="AG2231" s="168" t="str" cm="1">
        <f t="array" ref="AG2231">IF(AF2231="","",_xlfn.TEXTSPLIT(AF2231,"-"))</f>
        <v>0</v>
      </c>
      <c r="AH2231" s="168"/>
    </row>
    <row r="2232" spans="26:34" ht="24" customHeight="1">
      <c r="Z2232"/>
      <c r="AA2232"/>
      <c r="AB2232"/>
      <c r="AC2232"/>
      <c r="AD2232"/>
      <c r="AE2232" s="168" t="str">
        <f t="shared" si="34"/>
        <v/>
      </c>
      <c r="AF2232" s="168">
        <v>0</v>
      </c>
      <c r="AG2232" s="168" t="str" cm="1">
        <f t="array" ref="AG2232">IF(AF2232="","",_xlfn.TEXTSPLIT(AF2232,"-"))</f>
        <v>0</v>
      </c>
      <c r="AH2232" s="168"/>
    </row>
    <row r="2233" spans="26:34" ht="24" customHeight="1">
      <c r="Z2233"/>
      <c r="AA2233"/>
      <c r="AB2233"/>
      <c r="AC2233"/>
      <c r="AD2233"/>
      <c r="AE2233" s="168" t="str">
        <f t="shared" si="34"/>
        <v/>
      </c>
      <c r="AF2233" s="168">
        <v>0</v>
      </c>
      <c r="AG2233" s="168" t="str" cm="1">
        <f t="array" ref="AG2233">IF(AF2233="","",_xlfn.TEXTSPLIT(AF2233,"-"))</f>
        <v>0</v>
      </c>
      <c r="AH2233" s="168"/>
    </row>
    <row r="2234" spans="26:34" ht="24" customHeight="1">
      <c r="Z2234"/>
      <c r="AA2234"/>
      <c r="AB2234"/>
      <c r="AC2234"/>
      <c r="AD2234"/>
      <c r="AE2234" s="168" t="str">
        <f t="shared" si="34"/>
        <v/>
      </c>
      <c r="AF2234" s="168">
        <v>0</v>
      </c>
      <c r="AG2234" s="168" t="str" cm="1">
        <f t="array" ref="AG2234">IF(AF2234="","",_xlfn.TEXTSPLIT(AF2234,"-"))</f>
        <v>0</v>
      </c>
      <c r="AH2234" s="168"/>
    </row>
    <row r="2235" spans="26:34" ht="24" customHeight="1">
      <c r="Z2235"/>
      <c r="AA2235"/>
      <c r="AB2235"/>
      <c r="AC2235"/>
      <c r="AD2235"/>
      <c r="AE2235" s="168" t="str">
        <f t="shared" si="34"/>
        <v/>
      </c>
      <c r="AF2235" s="168">
        <v>0</v>
      </c>
      <c r="AG2235" s="168" t="str" cm="1">
        <f t="array" ref="AG2235">IF(AF2235="","",_xlfn.TEXTSPLIT(AF2235,"-"))</f>
        <v>0</v>
      </c>
      <c r="AH2235" s="168"/>
    </row>
    <row r="2236" spans="26:34" ht="24" customHeight="1">
      <c r="Z2236"/>
      <c r="AA2236"/>
      <c r="AB2236"/>
      <c r="AC2236"/>
      <c r="AD2236"/>
      <c r="AE2236" s="168" t="str">
        <f t="shared" si="34"/>
        <v/>
      </c>
      <c r="AF2236" s="168">
        <v>0</v>
      </c>
      <c r="AG2236" s="168" t="str" cm="1">
        <f t="array" ref="AG2236">IF(AF2236="","",_xlfn.TEXTSPLIT(AF2236,"-"))</f>
        <v>0</v>
      </c>
      <c r="AH2236" s="168"/>
    </row>
    <row r="2237" spans="26:34" ht="24" customHeight="1">
      <c r="Z2237"/>
      <c r="AA2237"/>
      <c r="AB2237"/>
      <c r="AC2237"/>
      <c r="AD2237"/>
      <c r="AE2237" s="168" t="str">
        <f t="shared" si="34"/>
        <v/>
      </c>
      <c r="AF2237" s="168">
        <v>0</v>
      </c>
      <c r="AG2237" s="168" t="str" cm="1">
        <f t="array" ref="AG2237">IF(AF2237="","",_xlfn.TEXTSPLIT(AF2237,"-"))</f>
        <v>0</v>
      </c>
      <c r="AH2237" s="168"/>
    </row>
    <row r="2238" spans="26:34" ht="24" customHeight="1">
      <c r="Z2238"/>
      <c r="AA2238"/>
      <c r="AB2238"/>
      <c r="AC2238"/>
      <c r="AD2238"/>
      <c r="AE2238" s="168" t="str">
        <f t="shared" si="34"/>
        <v/>
      </c>
      <c r="AF2238" s="168">
        <v>0</v>
      </c>
      <c r="AG2238" s="168" t="str" cm="1">
        <f t="array" ref="AG2238">IF(AF2238="","",_xlfn.TEXTSPLIT(AF2238,"-"))</f>
        <v>0</v>
      </c>
      <c r="AH2238" s="168"/>
    </row>
    <row r="2239" spans="26:34" ht="24" customHeight="1">
      <c r="Z2239"/>
      <c r="AA2239"/>
      <c r="AB2239"/>
      <c r="AC2239"/>
      <c r="AD2239"/>
      <c r="AE2239" s="168" t="str">
        <f t="shared" si="34"/>
        <v/>
      </c>
      <c r="AF2239" s="168">
        <v>0</v>
      </c>
      <c r="AG2239" s="168" t="str" cm="1">
        <f t="array" ref="AG2239">IF(AF2239="","",_xlfn.TEXTSPLIT(AF2239,"-"))</f>
        <v>0</v>
      </c>
      <c r="AH2239" s="168"/>
    </row>
    <row r="2240" spans="26:34" ht="24" customHeight="1">
      <c r="Z2240"/>
      <c r="AA2240"/>
      <c r="AB2240"/>
      <c r="AC2240"/>
      <c r="AD2240"/>
      <c r="AE2240" s="168" t="str">
        <f t="shared" si="34"/>
        <v/>
      </c>
      <c r="AF2240" s="168">
        <v>0</v>
      </c>
      <c r="AG2240" s="168" t="str" cm="1">
        <f t="array" ref="AG2240">IF(AF2240="","",_xlfn.TEXTSPLIT(AF2240,"-"))</f>
        <v>0</v>
      </c>
      <c r="AH2240" s="168"/>
    </row>
    <row r="2241" spans="26:34" ht="24" customHeight="1">
      <c r="Z2241"/>
      <c r="AA2241"/>
      <c r="AB2241"/>
      <c r="AC2241"/>
      <c r="AD2241"/>
      <c r="AE2241" s="168" t="str">
        <f t="shared" si="34"/>
        <v/>
      </c>
      <c r="AF2241" s="168">
        <v>0</v>
      </c>
      <c r="AG2241" s="168" t="str" cm="1">
        <f t="array" ref="AG2241">IF(AF2241="","",_xlfn.TEXTSPLIT(AF2241,"-"))</f>
        <v>0</v>
      </c>
      <c r="AH2241" s="168"/>
    </row>
    <row r="2242" spans="26:34" ht="24" customHeight="1">
      <c r="Z2242"/>
      <c r="AA2242"/>
      <c r="AB2242"/>
      <c r="AC2242"/>
      <c r="AD2242"/>
      <c r="AE2242" s="168" t="str">
        <f t="shared" si="34"/>
        <v/>
      </c>
      <c r="AF2242" s="168">
        <v>0</v>
      </c>
      <c r="AG2242" s="168" t="str" cm="1">
        <f t="array" ref="AG2242">IF(AF2242="","",_xlfn.TEXTSPLIT(AF2242,"-"))</f>
        <v>0</v>
      </c>
      <c r="AH2242" s="168"/>
    </row>
    <row r="2243" spans="26:34" ht="24" customHeight="1">
      <c r="Z2243"/>
      <c r="AA2243"/>
      <c r="AB2243"/>
      <c r="AC2243"/>
      <c r="AD2243"/>
      <c r="AE2243" s="168" t="str">
        <f t="shared" si="34"/>
        <v/>
      </c>
      <c r="AF2243" s="168">
        <v>0</v>
      </c>
      <c r="AG2243" s="168" t="str" cm="1">
        <f t="array" ref="AG2243">IF(AF2243="","",_xlfn.TEXTSPLIT(AF2243,"-"))</f>
        <v>0</v>
      </c>
      <c r="AH2243" s="168"/>
    </row>
    <row r="2244" spans="26:34" ht="24" customHeight="1">
      <c r="Z2244"/>
      <c r="AA2244"/>
      <c r="AB2244"/>
      <c r="AC2244"/>
      <c r="AD2244"/>
      <c r="AE2244" s="168" t="str">
        <f t="shared" si="34"/>
        <v/>
      </c>
      <c r="AF2244" s="168">
        <v>0</v>
      </c>
      <c r="AG2244" s="168" t="str" cm="1">
        <f t="array" ref="AG2244">IF(AF2244="","",_xlfn.TEXTSPLIT(AF2244,"-"))</f>
        <v>0</v>
      </c>
      <c r="AH2244" s="168"/>
    </row>
    <row r="2245" spans="26:34" ht="24" customHeight="1">
      <c r="Z2245"/>
      <c r="AA2245"/>
      <c r="AB2245"/>
      <c r="AC2245"/>
      <c r="AD2245"/>
      <c r="AE2245" s="168" t="str">
        <f t="shared" ref="AE2245:AE2308" si="35">IF(AH2245="","",AH2245*1)</f>
        <v/>
      </c>
      <c r="AF2245" s="168">
        <v>0</v>
      </c>
      <c r="AG2245" s="168" t="str" cm="1">
        <f t="array" ref="AG2245">IF(AF2245="","",_xlfn.TEXTSPLIT(AF2245,"-"))</f>
        <v>0</v>
      </c>
      <c r="AH2245" s="168"/>
    </row>
    <row r="2246" spans="26:34" ht="24" customHeight="1">
      <c r="Z2246"/>
      <c r="AA2246"/>
      <c r="AB2246"/>
      <c r="AC2246"/>
      <c r="AD2246"/>
      <c r="AE2246" s="168" t="str">
        <f t="shared" si="35"/>
        <v/>
      </c>
      <c r="AF2246" s="168">
        <v>0</v>
      </c>
      <c r="AG2246" s="168" t="str" cm="1">
        <f t="array" ref="AG2246">IF(AF2246="","",_xlfn.TEXTSPLIT(AF2246,"-"))</f>
        <v>0</v>
      </c>
      <c r="AH2246" s="168"/>
    </row>
    <row r="2247" spans="26:34" ht="24" customHeight="1">
      <c r="Z2247"/>
      <c r="AA2247"/>
      <c r="AB2247"/>
      <c r="AC2247"/>
      <c r="AD2247"/>
      <c r="AE2247" s="168" t="str">
        <f t="shared" si="35"/>
        <v/>
      </c>
      <c r="AF2247" s="168">
        <v>0</v>
      </c>
      <c r="AG2247" s="168" t="str" cm="1">
        <f t="array" ref="AG2247">IF(AF2247="","",_xlfn.TEXTSPLIT(AF2247,"-"))</f>
        <v>0</v>
      </c>
      <c r="AH2247" s="168"/>
    </row>
    <row r="2248" spans="26:34" ht="24" customHeight="1">
      <c r="Z2248"/>
      <c r="AA2248"/>
      <c r="AB2248"/>
      <c r="AC2248"/>
      <c r="AD2248"/>
      <c r="AE2248" s="168" t="str">
        <f t="shared" si="35"/>
        <v/>
      </c>
      <c r="AF2248" s="168">
        <v>0</v>
      </c>
      <c r="AG2248" s="168" t="str" cm="1">
        <f t="array" ref="AG2248">IF(AF2248="","",_xlfn.TEXTSPLIT(AF2248,"-"))</f>
        <v>0</v>
      </c>
      <c r="AH2248" s="168"/>
    </row>
    <row r="2249" spans="26:34" ht="24" customHeight="1">
      <c r="Z2249"/>
      <c r="AA2249"/>
      <c r="AB2249"/>
      <c r="AC2249"/>
      <c r="AD2249"/>
      <c r="AE2249" s="168" t="str">
        <f t="shared" si="35"/>
        <v/>
      </c>
      <c r="AF2249" s="168">
        <v>0</v>
      </c>
      <c r="AG2249" s="168" t="str" cm="1">
        <f t="array" ref="AG2249">IF(AF2249="","",_xlfn.TEXTSPLIT(AF2249,"-"))</f>
        <v>0</v>
      </c>
      <c r="AH2249" s="168"/>
    </row>
    <row r="2250" spans="26:34" ht="24" customHeight="1">
      <c r="Z2250"/>
      <c r="AA2250"/>
      <c r="AB2250"/>
      <c r="AC2250"/>
      <c r="AD2250"/>
      <c r="AE2250" s="168" t="str">
        <f t="shared" si="35"/>
        <v/>
      </c>
      <c r="AF2250" s="168">
        <v>0</v>
      </c>
      <c r="AG2250" s="168" t="str" cm="1">
        <f t="array" ref="AG2250">IF(AF2250="","",_xlfn.TEXTSPLIT(AF2250,"-"))</f>
        <v>0</v>
      </c>
      <c r="AH2250" s="168"/>
    </row>
    <row r="2251" spans="26:34" ht="24" customHeight="1">
      <c r="Z2251"/>
      <c r="AA2251"/>
      <c r="AB2251"/>
      <c r="AC2251"/>
      <c r="AD2251"/>
      <c r="AE2251" s="168" t="str">
        <f t="shared" si="35"/>
        <v/>
      </c>
      <c r="AF2251" s="168">
        <v>0</v>
      </c>
      <c r="AG2251" s="168" t="str" cm="1">
        <f t="array" ref="AG2251">IF(AF2251="","",_xlfn.TEXTSPLIT(AF2251,"-"))</f>
        <v>0</v>
      </c>
      <c r="AH2251" s="168"/>
    </row>
    <row r="2252" spans="26:34" ht="24" customHeight="1">
      <c r="Z2252"/>
      <c r="AA2252"/>
      <c r="AB2252"/>
      <c r="AC2252"/>
      <c r="AD2252"/>
      <c r="AE2252" s="168" t="str">
        <f t="shared" si="35"/>
        <v/>
      </c>
      <c r="AF2252" s="168">
        <v>0</v>
      </c>
      <c r="AG2252" s="168" t="str" cm="1">
        <f t="array" ref="AG2252">IF(AF2252="","",_xlfn.TEXTSPLIT(AF2252,"-"))</f>
        <v>0</v>
      </c>
      <c r="AH2252" s="168"/>
    </row>
    <row r="2253" spans="26:34" ht="24" customHeight="1">
      <c r="Z2253"/>
      <c r="AA2253"/>
      <c r="AB2253"/>
      <c r="AC2253"/>
      <c r="AD2253"/>
      <c r="AE2253" s="168" t="str">
        <f t="shared" si="35"/>
        <v/>
      </c>
      <c r="AF2253" s="168">
        <v>0</v>
      </c>
      <c r="AG2253" s="168" t="str" cm="1">
        <f t="array" ref="AG2253">IF(AF2253="","",_xlfn.TEXTSPLIT(AF2253,"-"))</f>
        <v>0</v>
      </c>
      <c r="AH2253" s="168"/>
    </row>
    <row r="2254" spans="26:34" ht="24" customHeight="1">
      <c r="Z2254"/>
      <c r="AA2254"/>
      <c r="AB2254"/>
      <c r="AC2254"/>
      <c r="AD2254"/>
      <c r="AE2254" s="168" t="str">
        <f t="shared" si="35"/>
        <v/>
      </c>
      <c r="AF2254" s="168">
        <v>0</v>
      </c>
      <c r="AG2254" s="168" t="str" cm="1">
        <f t="array" ref="AG2254">IF(AF2254="","",_xlfn.TEXTSPLIT(AF2254,"-"))</f>
        <v>0</v>
      </c>
      <c r="AH2254" s="168"/>
    </row>
    <row r="2255" spans="26:34" ht="24" customHeight="1">
      <c r="Z2255"/>
      <c r="AA2255"/>
      <c r="AB2255"/>
      <c r="AC2255"/>
      <c r="AD2255"/>
      <c r="AE2255" s="168" t="str">
        <f t="shared" si="35"/>
        <v/>
      </c>
      <c r="AF2255" s="168">
        <v>0</v>
      </c>
      <c r="AG2255" s="168" t="str" cm="1">
        <f t="array" ref="AG2255">IF(AF2255="","",_xlfn.TEXTSPLIT(AF2255,"-"))</f>
        <v>0</v>
      </c>
      <c r="AH2255" s="168"/>
    </row>
    <row r="2256" spans="26:34" ht="24" customHeight="1">
      <c r="Z2256"/>
      <c r="AA2256"/>
      <c r="AB2256"/>
      <c r="AC2256"/>
      <c r="AD2256"/>
      <c r="AE2256" s="168" t="str">
        <f t="shared" si="35"/>
        <v/>
      </c>
      <c r="AF2256" s="168">
        <v>0</v>
      </c>
      <c r="AG2256" s="168" t="str" cm="1">
        <f t="array" ref="AG2256">IF(AF2256="","",_xlfn.TEXTSPLIT(AF2256,"-"))</f>
        <v>0</v>
      </c>
      <c r="AH2256" s="168"/>
    </row>
    <row r="2257" spans="26:34" ht="24" customHeight="1">
      <c r="Z2257"/>
      <c r="AA2257"/>
      <c r="AB2257"/>
      <c r="AC2257"/>
      <c r="AD2257"/>
      <c r="AE2257" s="168" t="str">
        <f t="shared" si="35"/>
        <v/>
      </c>
      <c r="AF2257" s="168">
        <v>0</v>
      </c>
      <c r="AG2257" s="168" t="str" cm="1">
        <f t="array" ref="AG2257">IF(AF2257="","",_xlfn.TEXTSPLIT(AF2257,"-"))</f>
        <v>0</v>
      </c>
      <c r="AH2257" s="168"/>
    </row>
    <row r="2258" spans="26:34" ht="24" customHeight="1">
      <c r="Z2258"/>
      <c r="AA2258"/>
      <c r="AB2258"/>
      <c r="AC2258"/>
      <c r="AD2258"/>
      <c r="AE2258" s="168" t="str">
        <f t="shared" si="35"/>
        <v/>
      </c>
      <c r="AF2258" s="168">
        <v>0</v>
      </c>
      <c r="AG2258" s="168" t="str" cm="1">
        <f t="array" ref="AG2258">IF(AF2258="","",_xlfn.TEXTSPLIT(AF2258,"-"))</f>
        <v>0</v>
      </c>
      <c r="AH2258" s="168"/>
    </row>
    <row r="2259" spans="26:34" ht="24" customHeight="1">
      <c r="Z2259"/>
      <c r="AA2259"/>
      <c r="AB2259"/>
      <c r="AC2259"/>
      <c r="AD2259"/>
      <c r="AE2259" s="168" t="str">
        <f t="shared" si="35"/>
        <v/>
      </c>
      <c r="AF2259" s="168">
        <v>0</v>
      </c>
      <c r="AG2259" s="168" t="str" cm="1">
        <f t="array" ref="AG2259">IF(AF2259="","",_xlfn.TEXTSPLIT(AF2259,"-"))</f>
        <v>0</v>
      </c>
      <c r="AH2259" s="168"/>
    </row>
    <row r="2260" spans="26:34" ht="24" customHeight="1">
      <c r="Z2260"/>
      <c r="AA2260"/>
      <c r="AB2260"/>
      <c r="AC2260"/>
      <c r="AD2260"/>
      <c r="AE2260" s="168" t="str">
        <f t="shared" si="35"/>
        <v/>
      </c>
      <c r="AF2260" s="168">
        <v>0</v>
      </c>
      <c r="AG2260" s="168" t="str" cm="1">
        <f t="array" ref="AG2260">IF(AF2260="","",_xlfn.TEXTSPLIT(AF2260,"-"))</f>
        <v>0</v>
      </c>
      <c r="AH2260" s="168"/>
    </row>
    <row r="2261" spans="26:34" ht="24" customHeight="1">
      <c r="Z2261"/>
      <c r="AA2261"/>
      <c r="AB2261"/>
      <c r="AC2261"/>
      <c r="AD2261"/>
      <c r="AE2261" s="168" t="str">
        <f t="shared" si="35"/>
        <v/>
      </c>
      <c r="AF2261" s="168">
        <v>0</v>
      </c>
      <c r="AG2261" s="168" t="str" cm="1">
        <f t="array" ref="AG2261">IF(AF2261="","",_xlfn.TEXTSPLIT(AF2261,"-"))</f>
        <v>0</v>
      </c>
      <c r="AH2261" s="168"/>
    </row>
    <row r="2262" spans="26:34" ht="24" customHeight="1">
      <c r="Z2262"/>
      <c r="AA2262"/>
      <c r="AB2262"/>
      <c r="AC2262"/>
      <c r="AD2262"/>
      <c r="AE2262" s="168" t="str">
        <f t="shared" si="35"/>
        <v/>
      </c>
      <c r="AF2262" s="168">
        <v>0</v>
      </c>
      <c r="AG2262" s="168" t="str" cm="1">
        <f t="array" ref="AG2262">IF(AF2262="","",_xlfn.TEXTSPLIT(AF2262,"-"))</f>
        <v>0</v>
      </c>
      <c r="AH2262" s="168"/>
    </row>
    <row r="2263" spans="26:34" ht="24" customHeight="1">
      <c r="Z2263"/>
      <c r="AA2263"/>
      <c r="AB2263"/>
      <c r="AC2263"/>
      <c r="AD2263"/>
      <c r="AE2263" s="168" t="str">
        <f t="shared" si="35"/>
        <v/>
      </c>
      <c r="AF2263" s="168">
        <v>0</v>
      </c>
      <c r="AG2263" s="168" t="str" cm="1">
        <f t="array" ref="AG2263">IF(AF2263="","",_xlfn.TEXTSPLIT(AF2263,"-"))</f>
        <v>0</v>
      </c>
      <c r="AH2263" s="168"/>
    </row>
    <row r="2264" spans="26:34" ht="24" customHeight="1">
      <c r="Z2264"/>
      <c r="AA2264"/>
      <c r="AB2264"/>
      <c r="AC2264"/>
      <c r="AD2264"/>
      <c r="AE2264" s="168" t="str">
        <f t="shared" si="35"/>
        <v/>
      </c>
      <c r="AF2264" s="168">
        <v>0</v>
      </c>
      <c r="AG2264" s="168" t="str" cm="1">
        <f t="array" ref="AG2264">IF(AF2264="","",_xlfn.TEXTSPLIT(AF2264,"-"))</f>
        <v>0</v>
      </c>
      <c r="AH2264" s="168"/>
    </row>
    <row r="2265" spans="26:34" ht="24" customHeight="1">
      <c r="Z2265"/>
      <c r="AA2265"/>
      <c r="AB2265"/>
      <c r="AC2265"/>
      <c r="AD2265"/>
      <c r="AE2265" s="168" t="str">
        <f t="shared" si="35"/>
        <v/>
      </c>
      <c r="AF2265" s="168">
        <v>0</v>
      </c>
      <c r="AG2265" s="168" t="str" cm="1">
        <f t="array" ref="AG2265">IF(AF2265="","",_xlfn.TEXTSPLIT(AF2265,"-"))</f>
        <v>0</v>
      </c>
      <c r="AH2265" s="168"/>
    </row>
    <row r="2266" spans="26:34" ht="24" customHeight="1">
      <c r="Z2266"/>
      <c r="AA2266"/>
      <c r="AB2266"/>
      <c r="AC2266"/>
      <c r="AD2266"/>
      <c r="AE2266" s="168" t="str">
        <f t="shared" si="35"/>
        <v/>
      </c>
      <c r="AF2266" s="168">
        <v>0</v>
      </c>
      <c r="AG2266" s="168" t="str" cm="1">
        <f t="array" ref="AG2266">IF(AF2266="","",_xlfn.TEXTSPLIT(AF2266,"-"))</f>
        <v>0</v>
      </c>
      <c r="AH2266" s="168"/>
    </row>
    <row r="2267" spans="26:34" ht="24" customHeight="1">
      <c r="Z2267"/>
      <c r="AA2267"/>
      <c r="AB2267"/>
      <c r="AC2267"/>
      <c r="AD2267"/>
      <c r="AE2267" s="168" t="str">
        <f t="shared" si="35"/>
        <v/>
      </c>
      <c r="AF2267" s="168">
        <v>0</v>
      </c>
      <c r="AG2267" s="168" t="str" cm="1">
        <f t="array" ref="AG2267">IF(AF2267="","",_xlfn.TEXTSPLIT(AF2267,"-"))</f>
        <v>0</v>
      </c>
      <c r="AH2267" s="168"/>
    </row>
    <row r="2268" spans="26:34" ht="24" customHeight="1">
      <c r="Z2268"/>
      <c r="AA2268"/>
      <c r="AB2268"/>
      <c r="AC2268"/>
      <c r="AD2268"/>
      <c r="AE2268" s="168" t="str">
        <f t="shared" si="35"/>
        <v/>
      </c>
      <c r="AF2268" s="168">
        <v>0</v>
      </c>
      <c r="AG2268" s="168" t="str" cm="1">
        <f t="array" ref="AG2268">IF(AF2268="","",_xlfn.TEXTSPLIT(AF2268,"-"))</f>
        <v>0</v>
      </c>
      <c r="AH2268" s="168"/>
    </row>
    <row r="2269" spans="26:34" ht="24" customHeight="1">
      <c r="Z2269"/>
      <c r="AA2269"/>
      <c r="AB2269"/>
      <c r="AC2269"/>
      <c r="AD2269"/>
      <c r="AE2269" s="168" t="str">
        <f t="shared" si="35"/>
        <v/>
      </c>
      <c r="AF2269" s="168">
        <v>0</v>
      </c>
      <c r="AG2269" s="168" t="str" cm="1">
        <f t="array" ref="AG2269">IF(AF2269="","",_xlfn.TEXTSPLIT(AF2269,"-"))</f>
        <v>0</v>
      </c>
      <c r="AH2269" s="168"/>
    </row>
    <row r="2270" spans="26:34" ht="24" customHeight="1">
      <c r="Z2270"/>
      <c r="AA2270"/>
      <c r="AB2270"/>
      <c r="AC2270"/>
      <c r="AD2270"/>
      <c r="AE2270" s="168" t="str">
        <f t="shared" si="35"/>
        <v/>
      </c>
      <c r="AF2270" s="168">
        <v>0</v>
      </c>
      <c r="AG2270" s="168" t="str" cm="1">
        <f t="array" ref="AG2270">IF(AF2270="","",_xlfn.TEXTSPLIT(AF2270,"-"))</f>
        <v>0</v>
      </c>
      <c r="AH2270" s="168"/>
    </row>
    <row r="2271" spans="26:34" ht="24" customHeight="1">
      <c r="Z2271"/>
      <c r="AA2271"/>
      <c r="AB2271"/>
      <c r="AC2271"/>
      <c r="AD2271"/>
      <c r="AE2271" s="168" t="str">
        <f t="shared" si="35"/>
        <v/>
      </c>
      <c r="AF2271" s="168">
        <v>0</v>
      </c>
      <c r="AG2271" s="168" t="str" cm="1">
        <f t="array" ref="AG2271">IF(AF2271="","",_xlfn.TEXTSPLIT(AF2271,"-"))</f>
        <v>0</v>
      </c>
      <c r="AH2271" s="168"/>
    </row>
    <row r="2272" spans="26:34" ht="24" customHeight="1">
      <c r="Z2272"/>
      <c r="AA2272"/>
      <c r="AB2272"/>
      <c r="AC2272"/>
      <c r="AD2272"/>
      <c r="AE2272" s="168" t="str">
        <f t="shared" si="35"/>
        <v/>
      </c>
      <c r="AF2272" s="168">
        <v>0</v>
      </c>
      <c r="AG2272" s="168" t="str" cm="1">
        <f t="array" ref="AG2272">IF(AF2272="","",_xlfn.TEXTSPLIT(AF2272,"-"))</f>
        <v>0</v>
      </c>
      <c r="AH2272" s="168"/>
    </row>
    <row r="2273" spans="26:34" ht="24" customHeight="1">
      <c r="Z2273"/>
      <c r="AA2273"/>
      <c r="AB2273"/>
      <c r="AC2273"/>
      <c r="AD2273"/>
      <c r="AE2273" s="168" t="str">
        <f t="shared" si="35"/>
        <v/>
      </c>
      <c r="AF2273" s="168">
        <v>0</v>
      </c>
      <c r="AG2273" s="168" t="str" cm="1">
        <f t="array" ref="AG2273">IF(AF2273="","",_xlfn.TEXTSPLIT(AF2273,"-"))</f>
        <v>0</v>
      </c>
      <c r="AH2273" s="168"/>
    </row>
    <row r="2274" spans="26:34" ht="24" customHeight="1">
      <c r="Z2274"/>
      <c r="AA2274"/>
      <c r="AB2274"/>
      <c r="AC2274"/>
      <c r="AD2274"/>
      <c r="AE2274" s="168" t="str">
        <f t="shared" si="35"/>
        <v/>
      </c>
      <c r="AF2274" s="168">
        <v>0</v>
      </c>
      <c r="AG2274" s="168" t="str" cm="1">
        <f t="array" ref="AG2274">IF(AF2274="","",_xlfn.TEXTSPLIT(AF2274,"-"))</f>
        <v>0</v>
      </c>
      <c r="AH2274" s="168"/>
    </row>
    <row r="2275" spans="26:34" ht="24" customHeight="1">
      <c r="Z2275"/>
      <c r="AA2275"/>
      <c r="AB2275"/>
      <c r="AC2275"/>
      <c r="AD2275"/>
      <c r="AE2275" s="168" t="str">
        <f t="shared" si="35"/>
        <v/>
      </c>
      <c r="AF2275" s="168">
        <v>0</v>
      </c>
      <c r="AG2275" s="168" t="str" cm="1">
        <f t="array" ref="AG2275">IF(AF2275="","",_xlfn.TEXTSPLIT(AF2275,"-"))</f>
        <v>0</v>
      </c>
      <c r="AH2275" s="168"/>
    </row>
    <row r="2276" spans="26:34" ht="24" customHeight="1">
      <c r="Z2276"/>
      <c r="AA2276"/>
      <c r="AB2276"/>
      <c r="AC2276"/>
      <c r="AD2276"/>
      <c r="AE2276" s="168" t="str">
        <f t="shared" si="35"/>
        <v/>
      </c>
      <c r="AF2276" s="168">
        <v>0</v>
      </c>
      <c r="AG2276" s="168" t="str" cm="1">
        <f t="array" ref="AG2276">IF(AF2276="","",_xlfn.TEXTSPLIT(AF2276,"-"))</f>
        <v>0</v>
      </c>
      <c r="AH2276" s="168"/>
    </row>
    <row r="2277" spans="26:34" ht="24" customHeight="1">
      <c r="Z2277"/>
      <c r="AA2277"/>
      <c r="AB2277"/>
      <c r="AC2277"/>
      <c r="AD2277"/>
      <c r="AE2277" s="168" t="str">
        <f t="shared" si="35"/>
        <v/>
      </c>
      <c r="AF2277" s="168">
        <v>0</v>
      </c>
      <c r="AG2277" s="168" t="str" cm="1">
        <f t="array" ref="AG2277">IF(AF2277="","",_xlfn.TEXTSPLIT(AF2277,"-"))</f>
        <v>0</v>
      </c>
      <c r="AH2277" s="168"/>
    </row>
    <row r="2278" spans="26:34" ht="24" customHeight="1">
      <c r="Z2278"/>
      <c r="AA2278"/>
      <c r="AB2278"/>
      <c r="AC2278"/>
      <c r="AD2278"/>
      <c r="AE2278" s="168" t="str">
        <f t="shared" si="35"/>
        <v/>
      </c>
      <c r="AF2278" s="168">
        <v>0</v>
      </c>
      <c r="AG2278" s="168" t="str" cm="1">
        <f t="array" ref="AG2278">IF(AF2278="","",_xlfn.TEXTSPLIT(AF2278,"-"))</f>
        <v>0</v>
      </c>
      <c r="AH2278" s="168"/>
    </row>
    <row r="2279" spans="26:34" ht="24" customHeight="1">
      <c r="Z2279"/>
      <c r="AA2279"/>
      <c r="AB2279"/>
      <c r="AC2279"/>
      <c r="AD2279"/>
      <c r="AE2279" s="168" t="str">
        <f t="shared" si="35"/>
        <v/>
      </c>
      <c r="AF2279" s="168">
        <v>0</v>
      </c>
      <c r="AG2279" s="168" t="str" cm="1">
        <f t="array" ref="AG2279">IF(AF2279="","",_xlfn.TEXTSPLIT(AF2279,"-"))</f>
        <v>0</v>
      </c>
      <c r="AH2279" s="168"/>
    </row>
    <row r="2280" spans="26:34" ht="24" customHeight="1">
      <c r="Z2280"/>
      <c r="AA2280"/>
      <c r="AB2280"/>
      <c r="AC2280"/>
      <c r="AD2280"/>
      <c r="AE2280" s="168" t="str">
        <f t="shared" si="35"/>
        <v/>
      </c>
      <c r="AF2280" s="168">
        <v>0</v>
      </c>
      <c r="AG2280" s="168" t="str" cm="1">
        <f t="array" ref="AG2280">IF(AF2280="","",_xlfn.TEXTSPLIT(AF2280,"-"))</f>
        <v>0</v>
      </c>
      <c r="AH2280" s="168"/>
    </row>
    <row r="2281" spans="26:34" ht="24" customHeight="1">
      <c r="Z2281"/>
      <c r="AA2281"/>
      <c r="AB2281"/>
      <c r="AC2281"/>
      <c r="AD2281"/>
      <c r="AE2281" s="168" t="str">
        <f t="shared" si="35"/>
        <v/>
      </c>
      <c r="AF2281" s="168">
        <v>0</v>
      </c>
      <c r="AG2281" s="168" t="str" cm="1">
        <f t="array" ref="AG2281">IF(AF2281="","",_xlfn.TEXTSPLIT(AF2281,"-"))</f>
        <v>0</v>
      </c>
      <c r="AH2281" s="168"/>
    </row>
    <row r="2282" spans="26:34" ht="24" customHeight="1">
      <c r="Z2282"/>
      <c r="AA2282"/>
      <c r="AB2282"/>
      <c r="AC2282"/>
      <c r="AD2282"/>
      <c r="AE2282" s="168" t="str">
        <f t="shared" si="35"/>
        <v/>
      </c>
      <c r="AF2282" s="168">
        <v>0</v>
      </c>
      <c r="AG2282" s="168" t="str" cm="1">
        <f t="array" ref="AG2282">IF(AF2282="","",_xlfn.TEXTSPLIT(AF2282,"-"))</f>
        <v>0</v>
      </c>
      <c r="AH2282" s="168"/>
    </row>
    <row r="2283" spans="26:34" ht="24" customHeight="1">
      <c r="Z2283"/>
      <c r="AA2283"/>
      <c r="AB2283"/>
      <c r="AC2283"/>
      <c r="AD2283"/>
      <c r="AE2283" s="168" t="str">
        <f t="shared" si="35"/>
        <v/>
      </c>
      <c r="AF2283" s="168">
        <v>0</v>
      </c>
      <c r="AG2283" s="168" t="str" cm="1">
        <f t="array" ref="AG2283">IF(AF2283="","",_xlfn.TEXTSPLIT(AF2283,"-"))</f>
        <v>0</v>
      </c>
      <c r="AH2283" s="168"/>
    </row>
    <row r="2284" spans="26:34" ht="24" customHeight="1">
      <c r="Z2284"/>
      <c r="AA2284"/>
      <c r="AB2284"/>
      <c r="AC2284"/>
      <c r="AD2284"/>
      <c r="AE2284" s="168" t="str">
        <f t="shared" si="35"/>
        <v/>
      </c>
      <c r="AF2284" s="168">
        <v>0</v>
      </c>
      <c r="AG2284" s="168" t="str" cm="1">
        <f t="array" ref="AG2284">IF(AF2284="","",_xlfn.TEXTSPLIT(AF2284,"-"))</f>
        <v>0</v>
      </c>
      <c r="AH2284" s="168"/>
    </row>
    <row r="2285" spans="26:34" ht="24" customHeight="1">
      <c r="Z2285"/>
      <c r="AA2285"/>
      <c r="AB2285"/>
      <c r="AC2285"/>
      <c r="AD2285"/>
      <c r="AE2285" s="168" t="str">
        <f t="shared" si="35"/>
        <v/>
      </c>
      <c r="AF2285" s="168">
        <v>0</v>
      </c>
      <c r="AG2285" s="168" t="str" cm="1">
        <f t="array" ref="AG2285">IF(AF2285="","",_xlfn.TEXTSPLIT(AF2285,"-"))</f>
        <v>0</v>
      </c>
      <c r="AH2285" s="168"/>
    </row>
    <row r="2286" spans="26:34" ht="24" customHeight="1">
      <c r="Z2286"/>
      <c r="AA2286"/>
      <c r="AB2286"/>
      <c r="AC2286"/>
      <c r="AD2286"/>
      <c r="AE2286" s="168" t="str">
        <f t="shared" si="35"/>
        <v/>
      </c>
      <c r="AF2286" s="168">
        <v>0</v>
      </c>
      <c r="AG2286" s="168" t="str" cm="1">
        <f t="array" ref="AG2286">IF(AF2286="","",_xlfn.TEXTSPLIT(AF2286,"-"))</f>
        <v>0</v>
      </c>
      <c r="AH2286" s="168"/>
    </row>
    <row r="2287" spans="26:34" ht="24" customHeight="1">
      <c r="Z2287"/>
      <c r="AA2287"/>
      <c r="AB2287"/>
      <c r="AC2287"/>
      <c r="AD2287"/>
      <c r="AE2287" s="168" t="str">
        <f t="shared" si="35"/>
        <v/>
      </c>
      <c r="AF2287" s="168">
        <v>0</v>
      </c>
      <c r="AG2287" s="168" t="str" cm="1">
        <f t="array" ref="AG2287">IF(AF2287="","",_xlfn.TEXTSPLIT(AF2287,"-"))</f>
        <v>0</v>
      </c>
      <c r="AH2287" s="168"/>
    </row>
    <row r="2288" spans="26:34" ht="24" customHeight="1">
      <c r="Z2288"/>
      <c r="AA2288"/>
      <c r="AB2288"/>
      <c r="AC2288"/>
      <c r="AD2288"/>
      <c r="AE2288" s="168" t="str">
        <f t="shared" si="35"/>
        <v/>
      </c>
      <c r="AF2288" s="168">
        <v>0</v>
      </c>
      <c r="AG2288" s="168" t="str" cm="1">
        <f t="array" ref="AG2288">IF(AF2288="","",_xlfn.TEXTSPLIT(AF2288,"-"))</f>
        <v>0</v>
      </c>
      <c r="AH2288" s="168"/>
    </row>
    <row r="2289" spans="26:34" ht="24" customHeight="1">
      <c r="Z2289"/>
      <c r="AA2289"/>
      <c r="AB2289"/>
      <c r="AC2289"/>
      <c r="AD2289"/>
      <c r="AE2289" s="168" t="str">
        <f t="shared" si="35"/>
        <v/>
      </c>
      <c r="AF2289" s="168">
        <v>0</v>
      </c>
      <c r="AG2289" s="168" t="str" cm="1">
        <f t="array" ref="AG2289">IF(AF2289="","",_xlfn.TEXTSPLIT(AF2289,"-"))</f>
        <v>0</v>
      </c>
      <c r="AH2289" s="168"/>
    </row>
    <row r="2290" spans="26:34" ht="24" customHeight="1">
      <c r="Z2290"/>
      <c r="AA2290"/>
      <c r="AB2290"/>
      <c r="AC2290"/>
      <c r="AD2290"/>
      <c r="AE2290" s="168" t="str">
        <f t="shared" si="35"/>
        <v/>
      </c>
      <c r="AF2290" s="168">
        <v>0</v>
      </c>
      <c r="AG2290" s="168" t="str" cm="1">
        <f t="array" ref="AG2290">IF(AF2290="","",_xlfn.TEXTSPLIT(AF2290,"-"))</f>
        <v>0</v>
      </c>
      <c r="AH2290" s="168"/>
    </row>
    <row r="2291" spans="26:34" ht="24" customHeight="1">
      <c r="Z2291"/>
      <c r="AA2291"/>
      <c r="AB2291"/>
      <c r="AC2291"/>
      <c r="AD2291"/>
      <c r="AE2291" s="168" t="str">
        <f t="shared" si="35"/>
        <v/>
      </c>
      <c r="AF2291" s="168">
        <v>0</v>
      </c>
      <c r="AG2291" s="168" t="str" cm="1">
        <f t="array" ref="AG2291">IF(AF2291="","",_xlfn.TEXTSPLIT(AF2291,"-"))</f>
        <v>0</v>
      </c>
      <c r="AH2291" s="168"/>
    </row>
    <row r="2292" spans="26:34" ht="24" customHeight="1">
      <c r="Z2292"/>
      <c r="AA2292"/>
      <c r="AB2292"/>
      <c r="AC2292"/>
      <c r="AD2292"/>
      <c r="AE2292" s="168" t="str">
        <f t="shared" si="35"/>
        <v/>
      </c>
      <c r="AF2292" s="168">
        <v>0</v>
      </c>
      <c r="AG2292" s="168" t="str" cm="1">
        <f t="array" ref="AG2292">IF(AF2292="","",_xlfn.TEXTSPLIT(AF2292,"-"))</f>
        <v>0</v>
      </c>
      <c r="AH2292" s="168"/>
    </row>
    <row r="2293" spans="26:34" ht="24" customHeight="1">
      <c r="Z2293"/>
      <c r="AA2293"/>
      <c r="AB2293"/>
      <c r="AC2293"/>
      <c r="AD2293"/>
      <c r="AE2293" s="168" t="str">
        <f t="shared" si="35"/>
        <v/>
      </c>
      <c r="AF2293" s="168">
        <v>0</v>
      </c>
      <c r="AG2293" s="168" t="str" cm="1">
        <f t="array" ref="AG2293">IF(AF2293="","",_xlfn.TEXTSPLIT(AF2293,"-"))</f>
        <v>0</v>
      </c>
      <c r="AH2293" s="168"/>
    </row>
    <row r="2294" spans="26:34" ht="24" customHeight="1">
      <c r="Z2294"/>
      <c r="AA2294"/>
      <c r="AB2294"/>
      <c r="AC2294"/>
      <c r="AD2294"/>
      <c r="AE2294" s="168" t="str">
        <f t="shared" si="35"/>
        <v/>
      </c>
      <c r="AF2294" s="168">
        <v>0</v>
      </c>
      <c r="AG2294" s="168" t="str" cm="1">
        <f t="array" ref="AG2294">IF(AF2294="","",_xlfn.TEXTSPLIT(AF2294,"-"))</f>
        <v>0</v>
      </c>
      <c r="AH2294" s="168"/>
    </row>
    <row r="2295" spans="26:34" ht="24" customHeight="1">
      <c r="Z2295"/>
      <c r="AA2295"/>
      <c r="AB2295"/>
      <c r="AC2295"/>
      <c r="AD2295"/>
      <c r="AE2295" s="168" t="str">
        <f t="shared" si="35"/>
        <v/>
      </c>
      <c r="AF2295" s="168">
        <v>0</v>
      </c>
      <c r="AG2295" s="168" t="str" cm="1">
        <f t="array" ref="AG2295">IF(AF2295="","",_xlfn.TEXTSPLIT(AF2295,"-"))</f>
        <v>0</v>
      </c>
      <c r="AH2295" s="168"/>
    </row>
    <row r="2296" spans="26:34" ht="24" customHeight="1">
      <c r="Z2296"/>
      <c r="AA2296"/>
      <c r="AB2296"/>
      <c r="AC2296"/>
      <c r="AD2296"/>
      <c r="AE2296" s="168" t="str">
        <f t="shared" si="35"/>
        <v/>
      </c>
      <c r="AF2296" s="168">
        <v>0</v>
      </c>
      <c r="AG2296" s="168" t="str" cm="1">
        <f t="array" ref="AG2296">IF(AF2296="","",_xlfn.TEXTSPLIT(AF2296,"-"))</f>
        <v>0</v>
      </c>
      <c r="AH2296" s="168"/>
    </row>
    <row r="2297" spans="26:34" ht="24" customHeight="1">
      <c r="Z2297"/>
      <c r="AA2297"/>
      <c r="AB2297"/>
      <c r="AC2297"/>
      <c r="AD2297"/>
      <c r="AE2297" s="168" t="str">
        <f t="shared" si="35"/>
        <v/>
      </c>
      <c r="AF2297" s="168">
        <v>0</v>
      </c>
      <c r="AG2297" s="168" t="str" cm="1">
        <f t="array" ref="AG2297">IF(AF2297="","",_xlfn.TEXTSPLIT(AF2297,"-"))</f>
        <v>0</v>
      </c>
      <c r="AH2297" s="168"/>
    </row>
    <row r="2298" spans="26:34" ht="24" customHeight="1">
      <c r="Z2298"/>
      <c r="AA2298"/>
      <c r="AB2298"/>
      <c r="AC2298"/>
      <c r="AD2298"/>
      <c r="AE2298" s="168" t="str">
        <f t="shared" si="35"/>
        <v/>
      </c>
      <c r="AF2298" s="168">
        <v>0</v>
      </c>
      <c r="AG2298" s="168" t="str" cm="1">
        <f t="array" ref="AG2298">IF(AF2298="","",_xlfn.TEXTSPLIT(AF2298,"-"))</f>
        <v>0</v>
      </c>
      <c r="AH2298" s="168"/>
    </row>
    <row r="2299" spans="26:34" ht="24" customHeight="1">
      <c r="Z2299"/>
      <c r="AA2299"/>
      <c r="AB2299"/>
      <c r="AC2299"/>
      <c r="AD2299"/>
      <c r="AE2299" s="168" t="str">
        <f t="shared" si="35"/>
        <v/>
      </c>
      <c r="AF2299" s="168">
        <v>0</v>
      </c>
      <c r="AG2299" s="168" t="str" cm="1">
        <f t="array" ref="AG2299">IF(AF2299="","",_xlfn.TEXTSPLIT(AF2299,"-"))</f>
        <v>0</v>
      </c>
      <c r="AH2299" s="168"/>
    </row>
    <row r="2300" spans="26:34" ht="24" customHeight="1">
      <c r="Z2300"/>
      <c r="AA2300"/>
      <c r="AB2300"/>
      <c r="AC2300"/>
      <c r="AD2300"/>
      <c r="AE2300" s="168" t="str">
        <f t="shared" si="35"/>
        <v/>
      </c>
      <c r="AF2300" s="168">
        <v>0</v>
      </c>
      <c r="AG2300" s="168" t="str" cm="1">
        <f t="array" ref="AG2300">IF(AF2300="","",_xlfn.TEXTSPLIT(AF2300,"-"))</f>
        <v>0</v>
      </c>
      <c r="AH2300" s="168"/>
    </row>
    <row r="2301" spans="26:34" ht="24" customHeight="1">
      <c r="Z2301"/>
      <c r="AA2301"/>
      <c r="AB2301"/>
      <c r="AC2301"/>
      <c r="AD2301"/>
      <c r="AE2301" s="168" t="str">
        <f t="shared" si="35"/>
        <v/>
      </c>
      <c r="AF2301" s="168">
        <v>0</v>
      </c>
      <c r="AG2301" s="168" t="str" cm="1">
        <f t="array" ref="AG2301">IF(AF2301="","",_xlfn.TEXTSPLIT(AF2301,"-"))</f>
        <v>0</v>
      </c>
      <c r="AH2301" s="168"/>
    </row>
    <row r="2302" spans="26:34" ht="24" customHeight="1">
      <c r="Z2302"/>
      <c r="AA2302"/>
      <c r="AB2302"/>
      <c r="AC2302"/>
      <c r="AD2302"/>
      <c r="AE2302" s="168" t="str">
        <f t="shared" si="35"/>
        <v/>
      </c>
      <c r="AF2302" s="168">
        <v>0</v>
      </c>
      <c r="AG2302" s="168" t="str" cm="1">
        <f t="array" ref="AG2302">IF(AF2302="","",_xlfn.TEXTSPLIT(AF2302,"-"))</f>
        <v>0</v>
      </c>
      <c r="AH2302" s="168"/>
    </row>
    <row r="2303" spans="26:34" ht="24" customHeight="1">
      <c r="Z2303"/>
      <c r="AA2303"/>
      <c r="AB2303"/>
      <c r="AC2303"/>
      <c r="AD2303"/>
      <c r="AE2303" s="168" t="str">
        <f t="shared" si="35"/>
        <v/>
      </c>
      <c r="AF2303" s="168">
        <v>0</v>
      </c>
      <c r="AG2303" s="168" t="str" cm="1">
        <f t="array" ref="AG2303">IF(AF2303="","",_xlfn.TEXTSPLIT(AF2303,"-"))</f>
        <v>0</v>
      </c>
      <c r="AH2303" s="168"/>
    </row>
    <row r="2304" spans="26:34" ht="24" customHeight="1">
      <c r="Z2304"/>
      <c r="AA2304"/>
      <c r="AB2304"/>
      <c r="AC2304"/>
      <c r="AD2304"/>
      <c r="AE2304" s="168" t="str">
        <f t="shared" si="35"/>
        <v/>
      </c>
      <c r="AF2304" s="168">
        <v>0</v>
      </c>
      <c r="AG2304" s="168" t="str" cm="1">
        <f t="array" ref="AG2304">IF(AF2304="","",_xlfn.TEXTSPLIT(AF2304,"-"))</f>
        <v>0</v>
      </c>
      <c r="AH2304" s="168"/>
    </row>
    <row r="2305" spans="26:34" ht="24" customHeight="1">
      <c r="Z2305"/>
      <c r="AA2305"/>
      <c r="AB2305"/>
      <c r="AC2305"/>
      <c r="AD2305"/>
      <c r="AE2305" s="168" t="str">
        <f t="shared" si="35"/>
        <v/>
      </c>
      <c r="AF2305" s="168">
        <v>0</v>
      </c>
      <c r="AG2305" s="168" t="str" cm="1">
        <f t="array" ref="AG2305">IF(AF2305="","",_xlfn.TEXTSPLIT(AF2305,"-"))</f>
        <v>0</v>
      </c>
      <c r="AH2305" s="168"/>
    </row>
    <row r="2306" spans="26:34" ht="24" customHeight="1">
      <c r="Z2306"/>
      <c r="AA2306"/>
      <c r="AB2306"/>
      <c r="AC2306"/>
      <c r="AD2306"/>
      <c r="AE2306" s="168" t="str">
        <f t="shared" si="35"/>
        <v/>
      </c>
      <c r="AF2306" s="168">
        <v>0</v>
      </c>
      <c r="AG2306" s="168" t="str" cm="1">
        <f t="array" ref="AG2306">IF(AF2306="","",_xlfn.TEXTSPLIT(AF2306,"-"))</f>
        <v>0</v>
      </c>
      <c r="AH2306" s="168"/>
    </row>
    <row r="2307" spans="26:34" ht="24" customHeight="1">
      <c r="Z2307"/>
      <c r="AA2307"/>
      <c r="AB2307"/>
      <c r="AC2307"/>
      <c r="AD2307"/>
      <c r="AE2307" s="168" t="str">
        <f t="shared" si="35"/>
        <v/>
      </c>
      <c r="AF2307" s="168">
        <v>0</v>
      </c>
      <c r="AG2307" s="168" t="str" cm="1">
        <f t="array" ref="AG2307">IF(AF2307="","",_xlfn.TEXTSPLIT(AF2307,"-"))</f>
        <v>0</v>
      </c>
      <c r="AH2307" s="168"/>
    </row>
    <row r="2308" spans="26:34" ht="24" customHeight="1">
      <c r="Z2308"/>
      <c r="AA2308"/>
      <c r="AB2308"/>
      <c r="AC2308"/>
      <c r="AD2308"/>
      <c r="AE2308" s="168" t="str">
        <f t="shared" si="35"/>
        <v/>
      </c>
      <c r="AF2308" s="168">
        <v>0</v>
      </c>
      <c r="AG2308" s="168" t="str" cm="1">
        <f t="array" ref="AG2308">IF(AF2308="","",_xlfn.TEXTSPLIT(AF2308,"-"))</f>
        <v>0</v>
      </c>
      <c r="AH2308" s="168"/>
    </row>
    <row r="2309" spans="26:34" ht="24" customHeight="1">
      <c r="Z2309"/>
      <c r="AA2309"/>
      <c r="AB2309"/>
      <c r="AC2309"/>
      <c r="AD2309"/>
      <c r="AE2309" s="168" t="str">
        <f t="shared" ref="AE2309:AE2372" si="36">IF(AH2309="","",AH2309*1)</f>
        <v/>
      </c>
      <c r="AF2309" s="168">
        <v>0</v>
      </c>
      <c r="AG2309" s="168" t="str" cm="1">
        <f t="array" ref="AG2309">IF(AF2309="","",_xlfn.TEXTSPLIT(AF2309,"-"))</f>
        <v>0</v>
      </c>
      <c r="AH2309" s="168"/>
    </row>
    <row r="2310" spans="26:34" ht="24" customHeight="1">
      <c r="Z2310"/>
      <c r="AA2310"/>
      <c r="AB2310"/>
      <c r="AC2310"/>
      <c r="AD2310"/>
      <c r="AE2310" s="168" t="str">
        <f t="shared" si="36"/>
        <v/>
      </c>
      <c r="AF2310" s="168">
        <v>0</v>
      </c>
      <c r="AG2310" s="168" t="str" cm="1">
        <f t="array" ref="AG2310">IF(AF2310="","",_xlfn.TEXTSPLIT(AF2310,"-"))</f>
        <v>0</v>
      </c>
      <c r="AH2310" s="168"/>
    </row>
    <row r="2311" spans="26:34" ht="24" customHeight="1">
      <c r="Z2311"/>
      <c r="AA2311"/>
      <c r="AB2311"/>
      <c r="AC2311"/>
      <c r="AD2311"/>
      <c r="AE2311" s="168" t="str">
        <f t="shared" si="36"/>
        <v/>
      </c>
      <c r="AF2311" s="168">
        <v>0</v>
      </c>
      <c r="AG2311" s="168" t="str" cm="1">
        <f t="array" ref="AG2311">IF(AF2311="","",_xlfn.TEXTSPLIT(AF2311,"-"))</f>
        <v>0</v>
      </c>
      <c r="AH2311" s="168"/>
    </row>
    <row r="2312" spans="26:34" ht="24" customHeight="1">
      <c r="Z2312"/>
      <c r="AA2312"/>
      <c r="AB2312"/>
      <c r="AC2312"/>
      <c r="AD2312"/>
      <c r="AE2312" s="168" t="str">
        <f t="shared" si="36"/>
        <v/>
      </c>
      <c r="AF2312" s="168">
        <v>0</v>
      </c>
      <c r="AG2312" s="168" t="str" cm="1">
        <f t="array" ref="AG2312">IF(AF2312="","",_xlfn.TEXTSPLIT(AF2312,"-"))</f>
        <v>0</v>
      </c>
      <c r="AH2312" s="168"/>
    </row>
    <row r="2313" spans="26:34" ht="24" customHeight="1">
      <c r="Z2313"/>
      <c r="AA2313"/>
      <c r="AB2313"/>
      <c r="AC2313"/>
      <c r="AD2313"/>
      <c r="AE2313" s="168" t="str">
        <f t="shared" si="36"/>
        <v/>
      </c>
      <c r="AF2313" s="168">
        <v>0</v>
      </c>
      <c r="AG2313" s="168" t="str" cm="1">
        <f t="array" ref="AG2313">IF(AF2313="","",_xlfn.TEXTSPLIT(AF2313,"-"))</f>
        <v>0</v>
      </c>
      <c r="AH2313" s="168"/>
    </row>
    <row r="2314" spans="26:34" ht="24" customHeight="1">
      <c r="Z2314"/>
      <c r="AA2314"/>
      <c r="AB2314"/>
      <c r="AC2314"/>
      <c r="AD2314"/>
      <c r="AE2314" s="168" t="str">
        <f t="shared" si="36"/>
        <v/>
      </c>
      <c r="AF2314" s="168">
        <v>0</v>
      </c>
      <c r="AG2314" s="168" t="str" cm="1">
        <f t="array" ref="AG2314">IF(AF2314="","",_xlfn.TEXTSPLIT(AF2314,"-"))</f>
        <v>0</v>
      </c>
      <c r="AH2314" s="168"/>
    </row>
    <row r="2315" spans="26:34" ht="24" customHeight="1">
      <c r="Z2315"/>
      <c r="AA2315"/>
      <c r="AB2315"/>
      <c r="AC2315"/>
      <c r="AD2315"/>
      <c r="AE2315" s="168" t="str">
        <f t="shared" si="36"/>
        <v/>
      </c>
      <c r="AF2315" s="168">
        <v>0</v>
      </c>
      <c r="AG2315" s="168" t="str" cm="1">
        <f t="array" ref="AG2315">IF(AF2315="","",_xlfn.TEXTSPLIT(AF2315,"-"))</f>
        <v>0</v>
      </c>
      <c r="AH2315" s="168"/>
    </row>
    <row r="2316" spans="26:34" ht="24" customHeight="1">
      <c r="Z2316"/>
      <c r="AA2316"/>
      <c r="AB2316"/>
      <c r="AC2316"/>
      <c r="AD2316"/>
      <c r="AE2316" s="168" t="str">
        <f t="shared" si="36"/>
        <v/>
      </c>
      <c r="AF2316" s="168">
        <v>0</v>
      </c>
      <c r="AG2316" s="168" t="str" cm="1">
        <f t="array" ref="AG2316">IF(AF2316="","",_xlfn.TEXTSPLIT(AF2316,"-"))</f>
        <v>0</v>
      </c>
      <c r="AH2316" s="168"/>
    </row>
    <row r="2317" spans="26:34" ht="24" customHeight="1">
      <c r="Z2317"/>
      <c r="AA2317"/>
      <c r="AB2317"/>
      <c r="AC2317"/>
      <c r="AD2317"/>
      <c r="AE2317" s="168" t="str">
        <f t="shared" si="36"/>
        <v/>
      </c>
      <c r="AF2317" s="168">
        <v>0</v>
      </c>
      <c r="AG2317" s="168" t="str" cm="1">
        <f t="array" ref="AG2317">IF(AF2317="","",_xlfn.TEXTSPLIT(AF2317,"-"))</f>
        <v>0</v>
      </c>
      <c r="AH2317" s="168"/>
    </row>
    <row r="2318" spans="26:34" ht="24" customHeight="1">
      <c r="Z2318"/>
      <c r="AA2318"/>
      <c r="AB2318"/>
      <c r="AC2318"/>
      <c r="AD2318"/>
      <c r="AE2318" s="168" t="str">
        <f t="shared" si="36"/>
        <v/>
      </c>
      <c r="AF2318" s="168">
        <v>0</v>
      </c>
      <c r="AG2318" s="168" t="str" cm="1">
        <f t="array" ref="AG2318">IF(AF2318="","",_xlfn.TEXTSPLIT(AF2318,"-"))</f>
        <v>0</v>
      </c>
      <c r="AH2318" s="168"/>
    </row>
    <row r="2319" spans="26:34" ht="24" customHeight="1">
      <c r="Z2319"/>
      <c r="AA2319"/>
      <c r="AB2319"/>
      <c r="AC2319"/>
      <c r="AD2319"/>
      <c r="AE2319" s="168" t="str">
        <f t="shared" si="36"/>
        <v/>
      </c>
      <c r="AF2319" s="168">
        <v>0</v>
      </c>
      <c r="AG2319" s="168" t="str" cm="1">
        <f t="array" ref="AG2319">IF(AF2319="","",_xlfn.TEXTSPLIT(AF2319,"-"))</f>
        <v>0</v>
      </c>
      <c r="AH2319" s="168"/>
    </row>
    <row r="2320" spans="26:34" ht="24" customHeight="1">
      <c r="Z2320"/>
      <c r="AA2320"/>
      <c r="AB2320"/>
      <c r="AC2320"/>
      <c r="AD2320"/>
      <c r="AE2320" s="168" t="str">
        <f t="shared" si="36"/>
        <v/>
      </c>
      <c r="AF2320" s="168">
        <v>0</v>
      </c>
      <c r="AG2320" s="168" t="str" cm="1">
        <f t="array" ref="AG2320">IF(AF2320="","",_xlfn.TEXTSPLIT(AF2320,"-"))</f>
        <v>0</v>
      </c>
      <c r="AH2320" s="168"/>
    </row>
    <row r="2321" spans="26:34" ht="24" customHeight="1">
      <c r="Z2321"/>
      <c r="AA2321"/>
      <c r="AB2321"/>
      <c r="AC2321"/>
      <c r="AD2321"/>
      <c r="AE2321" s="168" t="str">
        <f t="shared" si="36"/>
        <v/>
      </c>
      <c r="AF2321" s="168">
        <v>0</v>
      </c>
      <c r="AG2321" s="168" t="str" cm="1">
        <f t="array" ref="AG2321">IF(AF2321="","",_xlfn.TEXTSPLIT(AF2321,"-"))</f>
        <v>0</v>
      </c>
      <c r="AH2321" s="168"/>
    </row>
    <row r="2322" spans="26:34" ht="24" customHeight="1">
      <c r="Z2322"/>
      <c r="AA2322"/>
      <c r="AB2322"/>
      <c r="AC2322"/>
      <c r="AD2322"/>
      <c r="AE2322" s="168" t="str">
        <f t="shared" si="36"/>
        <v/>
      </c>
      <c r="AF2322" s="168">
        <v>0</v>
      </c>
      <c r="AG2322" s="168" t="str" cm="1">
        <f t="array" ref="AG2322">IF(AF2322="","",_xlfn.TEXTSPLIT(AF2322,"-"))</f>
        <v>0</v>
      </c>
      <c r="AH2322" s="168"/>
    </row>
    <row r="2323" spans="26:34" ht="24" customHeight="1">
      <c r="Z2323"/>
      <c r="AA2323"/>
      <c r="AB2323"/>
      <c r="AC2323"/>
      <c r="AD2323"/>
      <c r="AE2323" s="168" t="str">
        <f t="shared" si="36"/>
        <v/>
      </c>
      <c r="AF2323" s="168">
        <v>0</v>
      </c>
      <c r="AG2323" s="168" t="str" cm="1">
        <f t="array" ref="AG2323">IF(AF2323="","",_xlfn.TEXTSPLIT(AF2323,"-"))</f>
        <v>0</v>
      </c>
      <c r="AH2323" s="168"/>
    </row>
    <row r="2324" spans="26:34" ht="24" customHeight="1">
      <c r="Z2324"/>
      <c r="AA2324"/>
      <c r="AB2324"/>
      <c r="AC2324"/>
      <c r="AD2324"/>
      <c r="AE2324" s="168" t="str">
        <f t="shared" si="36"/>
        <v/>
      </c>
      <c r="AF2324" s="168">
        <v>0</v>
      </c>
      <c r="AG2324" s="168" t="str" cm="1">
        <f t="array" ref="AG2324">IF(AF2324="","",_xlfn.TEXTSPLIT(AF2324,"-"))</f>
        <v>0</v>
      </c>
      <c r="AH2324" s="168"/>
    </row>
    <row r="2325" spans="26:34" ht="24" customHeight="1">
      <c r="Z2325"/>
      <c r="AA2325"/>
      <c r="AB2325"/>
      <c r="AC2325"/>
      <c r="AD2325"/>
      <c r="AE2325" s="168" t="str">
        <f t="shared" si="36"/>
        <v/>
      </c>
      <c r="AF2325" s="168">
        <v>0</v>
      </c>
      <c r="AG2325" s="168" t="str" cm="1">
        <f t="array" ref="AG2325">IF(AF2325="","",_xlfn.TEXTSPLIT(AF2325,"-"))</f>
        <v>0</v>
      </c>
      <c r="AH2325" s="168"/>
    </row>
    <row r="2326" spans="26:34" ht="24" customHeight="1">
      <c r="Z2326"/>
      <c r="AA2326"/>
      <c r="AB2326"/>
      <c r="AC2326"/>
      <c r="AD2326"/>
      <c r="AE2326" s="168" t="str">
        <f t="shared" si="36"/>
        <v/>
      </c>
      <c r="AF2326" s="168">
        <v>0</v>
      </c>
      <c r="AG2326" s="168" t="str" cm="1">
        <f t="array" ref="AG2326">IF(AF2326="","",_xlfn.TEXTSPLIT(AF2326,"-"))</f>
        <v>0</v>
      </c>
      <c r="AH2326" s="168"/>
    </row>
    <row r="2327" spans="26:34" ht="24" customHeight="1">
      <c r="Z2327"/>
      <c r="AA2327"/>
      <c r="AB2327"/>
      <c r="AC2327"/>
      <c r="AD2327"/>
      <c r="AE2327" s="168" t="str">
        <f t="shared" si="36"/>
        <v/>
      </c>
      <c r="AF2327" s="168">
        <v>0</v>
      </c>
      <c r="AG2327" s="168" t="str" cm="1">
        <f t="array" ref="AG2327">IF(AF2327="","",_xlfn.TEXTSPLIT(AF2327,"-"))</f>
        <v>0</v>
      </c>
      <c r="AH2327" s="168"/>
    </row>
    <row r="2328" spans="26:34" ht="24" customHeight="1">
      <c r="Z2328"/>
      <c r="AA2328"/>
      <c r="AB2328"/>
      <c r="AC2328"/>
      <c r="AD2328"/>
      <c r="AE2328" s="168" t="str">
        <f t="shared" si="36"/>
        <v/>
      </c>
      <c r="AF2328" s="168">
        <v>0</v>
      </c>
      <c r="AG2328" s="168" t="str" cm="1">
        <f t="array" ref="AG2328">IF(AF2328="","",_xlfn.TEXTSPLIT(AF2328,"-"))</f>
        <v>0</v>
      </c>
      <c r="AH2328" s="168"/>
    </row>
    <row r="2329" spans="26:34" ht="24" customHeight="1">
      <c r="Z2329"/>
      <c r="AA2329"/>
      <c r="AB2329"/>
      <c r="AC2329"/>
      <c r="AD2329"/>
      <c r="AE2329" s="168" t="str">
        <f t="shared" si="36"/>
        <v/>
      </c>
      <c r="AF2329" s="168">
        <v>0</v>
      </c>
      <c r="AG2329" s="168" t="str" cm="1">
        <f t="array" ref="AG2329">IF(AF2329="","",_xlfn.TEXTSPLIT(AF2329,"-"))</f>
        <v>0</v>
      </c>
      <c r="AH2329" s="168"/>
    </row>
    <row r="2330" spans="26:34" ht="24" customHeight="1">
      <c r="Z2330"/>
      <c r="AA2330"/>
      <c r="AB2330"/>
      <c r="AC2330"/>
      <c r="AD2330"/>
      <c r="AE2330" s="168" t="str">
        <f t="shared" si="36"/>
        <v/>
      </c>
      <c r="AF2330" s="168">
        <v>0</v>
      </c>
      <c r="AG2330" s="168" t="str" cm="1">
        <f t="array" ref="AG2330">IF(AF2330="","",_xlfn.TEXTSPLIT(AF2330,"-"))</f>
        <v>0</v>
      </c>
      <c r="AH2330" s="168"/>
    </row>
    <row r="2331" spans="26:34" ht="24" customHeight="1">
      <c r="Z2331"/>
      <c r="AA2331"/>
      <c r="AB2331"/>
      <c r="AC2331"/>
      <c r="AD2331"/>
      <c r="AE2331" s="168" t="str">
        <f t="shared" si="36"/>
        <v/>
      </c>
      <c r="AF2331" s="168">
        <v>0</v>
      </c>
      <c r="AG2331" s="168" t="str" cm="1">
        <f t="array" ref="AG2331">IF(AF2331="","",_xlfn.TEXTSPLIT(AF2331,"-"))</f>
        <v>0</v>
      </c>
      <c r="AH2331" s="168"/>
    </row>
    <row r="2332" spans="26:34" ht="24" customHeight="1">
      <c r="Z2332"/>
      <c r="AA2332"/>
      <c r="AB2332"/>
      <c r="AC2332"/>
      <c r="AD2332"/>
      <c r="AE2332" s="168" t="str">
        <f t="shared" si="36"/>
        <v/>
      </c>
      <c r="AF2332" s="168">
        <v>0</v>
      </c>
      <c r="AG2332" s="168" t="str" cm="1">
        <f t="array" ref="AG2332">IF(AF2332="","",_xlfn.TEXTSPLIT(AF2332,"-"))</f>
        <v>0</v>
      </c>
      <c r="AH2332" s="168"/>
    </row>
    <row r="2333" spans="26:34" ht="24" customHeight="1">
      <c r="Z2333"/>
      <c r="AA2333"/>
      <c r="AB2333"/>
      <c r="AC2333"/>
      <c r="AD2333"/>
      <c r="AE2333" s="168" t="str">
        <f t="shared" si="36"/>
        <v/>
      </c>
      <c r="AF2333" s="168">
        <v>0</v>
      </c>
      <c r="AG2333" s="168" t="str" cm="1">
        <f t="array" ref="AG2333">IF(AF2333="","",_xlfn.TEXTSPLIT(AF2333,"-"))</f>
        <v>0</v>
      </c>
      <c r="AH2333" s="168"/>
    </row>
    <row r="2334" spans="26:34" ht="24" customHeight="1">
      <c r="Z2334"/>
      <c r="AA2334"/>
      <c r="AB2334"/>
      <c r="AC2334"/>
      <c r="AD2334"/>
      <c r="AE2334" s="168" t="str">
        <f t="shared" si="36"/>
        <v/>
      </c>
      <c r="AF2334" s="168">
        <v>0</v>
      </c>
      <c r="AG2334" s="168" t="str" cm="1">
        <f t="array" ref="AG2334">IF(AF2334="","",_xlfn.TEXTSPLIT(AF2334,"-"))</f>
        <v>0</v>
      </c>
      <c r="AH2334" s="168"/>
    </row>
    <row r="2335" spans="26:34" ht="24" customHeight="1">
      <c r="Z2335"/>
      <c r="AA2335"/>
      <c r="AB2335"/>
      <c r="AC2335"/>
      <c r="AD2335"/>
      <c r="AE2335" s="168" t="str">
        <f t="shared" si="36"/>
        <v/>
      </c>
      <c r="AF2335" s="168">
        <v>0</v>
      </c>
      <c r="AG2335" s="168" t="str" cm="1">
        <f t="array" ref="AG2335">IF(AF2335="","",_xlfn.TEXTSPLIT(AF2335,"-"))</f>
        <v>0</v>
      </c>
      <c r="AH2335" s="168"/>
    </row>
    <row r="2336" spans="26:34" ht="24" customHeight="1">
      <c r="Z2336"/>
      <c r="AA2336"/>
      <c r="AB2336"/>
      <c r="AC2336"/>
      <c r="AD2336"/>
      <c r="AE2336" s="168" t="str">
        <f t="shared" si="36"/>
        <v/>
      </c>
      <c r="AF2336" s="168">
        <v>0</v>
      </c>
      <c r="AG2336" s="168" t="str" cm="1">
        <f t="array" ref="AG2336">IF(AF2336="","",_xlfn.TEXTSPLIT(AF2336,"-"))</f>
        <v>0</v>
      </c>
      <c r="AH2336" s="168"/>
    </row>
    <row r="2337" spans="26:34" ht="24" customHeight="1">
      <c r="Z2337"/>
      <c r="AA2337"/>
      <c r="AB2337"/>
      <c r="AC2337"/>
      <c r="AD2337"/>
      <c r="AE2337" s="168" t="str">
        <f t="shared" si="36"/>
        <v/>
      </c>
      <c r="AF2337" s="168">
        <v>0</v>
      </c>
      <c r="AG2337" s="168" t="str" cm="1">
        <f t="array" ref="AG2337">IF(AF2337="","",_xlfn.TEXTSPLIT(AF2337,"-"))</f>
        <v>0</v>
      </c>
      <c r="AH2337" s="168"/>
    </row>
    <row r="2338" spans="26:34" ht="24" customHeight="1">
      <c r="Z2338"/>
      <c r="AA2338"/>
      <c r="AB2338"/>
      <c r="AC2338"/>
      <c r="AD2338"/>
      <c r="AE2338" s="168" t="str">
        <f t="shared" si="36"/>
        <v/>
      </c>
      <c r="AF2338" s="168">
        <v>0</v>
      </c>
      <c r="AG2338" s="168" t="str" cm="1">
        <f t="array" ref="AG2338">IF(AF2338="","",_xlfn.TEXTSPLIT(AF2338,"-"))</f>
        <v>0</v>
      </c>
      <c r="AH2338" s="168"/>
    </row>
    <row r="2339" spans="26:34" ht="24" customHeight="1">
      <c r="Z2339"/>
      <c r="AA2339"/>
      <c r="AB2339"/>
      <c r="AC2339"/>
      <c r="AD2339"/>
      <c r="AE2339" s="168" t="str">
        <f t="shared" si="36"/>
        <v/>
      </c>
      <c r="AF2339" s="168">
        <v>0</v>
      </c>
      <c r="AG2339" s="168" t="str" cm="1">
        <f t="array" ref="AG2339">IF(AF2339="","",_xlfn.TEXTSPLIT(AF2339,"-"))</f>
        <v>0</v>
      </c>
      <c r="AH2339" s="168"/>
    </row>
    <row r="2340" spans="26:34" ht="24" customHeight="1">
      <c r="Z2340"/>
      <c r="AA2340"/>
      <c r="AB2340"/>
      <c r="AC2340"/>
      <c r="AD2340"/>
      <c r="AE2340" s="168" t="str">
        <f t="shared" si="36"/>
        <v/>
      </c>
      <c r="AF2340" s="168">
        <v>0</v>
      </c>
      <c r="AG2340" s="168" t="str" cm="1">
        <f t="array" ref="AG2340">IF(AF2340="","",_xlfn.TEXTSPLIT(AF2340,"-"))</f>
        <v>0</v>
      </c>
      <c r="AH2340" s="168"/>
    </row>
    <row r="2341" spans="26:34" ht="24" customHeight="1">
      <c r="Z2341"/>
      <c r="AA2341"/>
      <c r="AB2341"/>
      <c r="AC2341"/>
      <c r="AD2341"/>
      <c r="AE2341" s="168" t="str">
        <f t="shared" si="36"/>
        <v/>
      </c>
      <c r="AF2341" s="168">
        <v>0</v>
      </c>
      <c r="AG2341" s="168" t="str" cm="1">
        <f t="array" ref="AG2341">IF(AF2341="","",_xlfn.TEXTSPLIT(AF2341,"-"))</f>
        <v>0</v>
      </c>
      <c r="AH2341" s="168"/>
    </row>
    <row r="2342" spans="26:34" ht="24" customHeight="1">
      <c r="Z2342"/>
      <c r="AA2342"/>
      <c r="AB2342"/>
      <c r="AC2342"/>
      <c r="AD2342"/>
      <c r="AE2342" s="168" t="str">
        <f t="shared" si="36"/>
        <v/>
      </c>
      <c r="AF2342" s="168">
        <v>0</v>
      </c>
      <c r="AG2342" s="168" t="str" cm="1">
        <f t="array" ref="AG2342">IF(AF2342="","",_xlfn.TEXTSPLIT(AF2342,"-"))</f>
        <v>0</v>
      </c>
      <c r="AH2342" s="168"/>
    </row>
    <row r="2343" spans="26:34" ht="24" customHeight="1">
      <c r="Z2343"/>
      <c r="AA2343"/>
      <c r="AB2343"/>
      <c r="AC2343"/>
      <c r="AD2343"/>
      <c r="AE2343" s="168" t="str">
        <f t="shared" si="36"/>
        <v/>
      </c>
      <c r="AF2343" s="168">
        <v>0</v>
      </c>
      <c r="AG2343" s="168" t="str" cm="1">
        <f t="array" ref="AG2343">IF(AF2343="","",_xlfn.TEXTSPLIT(AF2343,"-"))</f>
        <v>0</v>
      </c>
      <c r="AH2343" s="168"/>
    </row>
    <row r="2344" spans="26:34" ht="24" customHeight="1">
      <c r="Z2344"/>
      <c r="AA2344"/>
      <c r="AB2344"/>
      <c r="AC2344"/>
      <c r="AD2344"/>
      <c r="AE2344" s="168" t="str">
        <f t="shared" si="36"/>
        <v/>
      </c>
      <c r="AF2344" s="168">
        <v>0</v>
      </c>
      <c r="AG2344" s="168" t="str" cm="1">
        <f t="array" ref="AG2344">IF(AF2344="","",_xlfn.TEXTSPLIT(AF2344,"-"))</f>
        <v>0</v>
      </c>
      <c r="AH2344" s="168"/>
    </row>
    <row r="2345" spans="26:34" ht="24" customHeight="1">
      <c r="Z2345"/>
      <c r="AA2345"/>
      <c r="AB2345"/>
      <c r="AC2345"/>
      <c r="AD2345"/>
      <c r="AE2345" s="168" t="str">
        <f t="shared" si="36"/>
        <v/>
      </c>
      <c r="AF2345" s="168">
        <v>0</v>
      </c>
      <c r="AG2345" s="168" t="str" cm="1">
        <f t="array" ref="AG2345">IF(AF2345="","",_xlfn.TEXTSPLIT(AF2345,"-"))</f>
        <v>0</v>
      </c>
      <c r="AH2345" s="168"/>
    </row>
    <row r="2346" spans="26:34" ht="24" customHeight="1">
      <c r="Z2346"/>
      <c r="AA2346"/>
      <c r="AB2346"/>
      <c r="AC2346"/>
      <c r="AD2346"/>
      <c r="AE2346" s="168" t="str">
        <f t="shared" si="36"/>
        <v/>
      </c>
      <c r="AF2346" s="168">
        <v>0</v>
      </c>
      <c r="AG2346" s="168" t="str" cm="1">
        <f t="array" ref="AG2346">IF(AF2346="","",_xlfn.TEXTSPLIT(AF2346,"-"))</f>
        <v>0</v>
      </c>
      <c r="AH2346" s="168"/>
    </row>
    <row r="2347" spans="26:34" ht="24" customHeight="1">
      <c r="Z2347"/>
      <c r="AA2347"/>
      <c r="AB2347"/>
      <c r="AC2347"/>
      <c r="AD2347"/>
      <c r="AE2347" s="168" t="str">
        <f t="shared" si="36"/>
        <v/>
      </c>
      <c r="AF2347" s="168">
        <v>0</v>
      </c>
      <c r="AG2347" s="168" t="str" cm="1">
        <f t="array" ref="AG2347">IF(AF2347="","",_xlfn.TEXTSPLIT(AF2347,"-"))</f>
        <v>0</v>
      </c>
      <c r="AH2347" s="168"/>
    </row>
    <row r="2348" spans="26:34" ht="24" customHeight="1">
      <c r="Z2348"/>
      <c r="AA2348"/>
      <c r="AB2348"/>
      <c r="AC2348"/>
      <c r="AD2348"/>
      <c r="AE2348" s="168" t="str">
        <f t="shared" si="36"/>
        <v/>
      </c>
      <c r="AF2348" s="168">
        <v>0</v>
      </c>
      <c r="AG2348" s="168" t="str" cm="1">
        <f t="array" ref="AG2348">IF(AF2348="","",_xlfn.TEXTSPLIT(AF2348,"-"))</f>
        <v>0</v>
      </c>
      <c r="AH2348" s="168"/>
    </row>
    <row r="2349" spans="26:34" ht="24" customHeight="1">
      <c r="Z2349"/>
      <c r="AA2349"/>
      <c r="AB2349"/>
      <c r="AC2349"/>
      <c r="AD2349"/>
      <c r="AE2349" s="168" t="str">
        <f t="shared" si="36"/>
        <v/>
      </c>
      <c r="AF2349" s="168">
        <v>0</v>
      </c>
      <c r="AG2349" s="168" t="str" cm="1">
        <f t="array" ref="AG2349">IF(AF2349="","",_xlfn.TEXTSPLIT(AF2349,"-"))</f>
        <v>0</v>
      </c>
      <c r="AH2349" s="168"/>
    </row>
    <row r="2350" spans="26:34" ht="24" customHeight="1">
      <c r="Z2350"/>
      <c r="AA2350"/>
      <c r="AB2350"/>
      <c r="AC2350"/>
      <c r="AD2350"/>
      <c r="AE2350" s="168" t="str">
        <f t="shared" si="36"/>
        <v/>
      </c>
      <c r="AF2350" s="168">
        <v>0</v>
      </c>
      <c r="AG2350" s="168" t="str" cm="1">
        <f t="array" ref="AG2350">IF(AF2350="","",_xlfn.TEXTSPLIT(AF2350,"-"))</f>
        <v>0</v>
      </c>
      <c r="AH2350" s="168"/>
    </row>
    <row r="2351" spans="26:34" ht="24" customHeight="1">
      <c r="Z2351"/>
      <c r="AA2351"/>
      <c r="AB2351"/>
      <c r="AC2351"/>
      <c r="AD2351"/>
      <c r="AE2351" s="168" t="str">
        <f t="shared" si="36"/>
        <v/>
      </c>
      <c r="AF2351" s="168">
        <v>0</v>
      </c>
      <c r="AG2351" s="168" t="str" cm="1">
        <f t="array" ref="AG2351">IF(AF2351="","",_xlfn.TEXTSPLIT(AF2351,"-"))</f>
        <v>0</v>
      </c>
      <c r="AH2351" s="168"/>
    </row>
    <row r="2352" spans="26:34" ht="24" customHeight="1">
      <c r="Z2352"/>
      <c r="AA2352"/>
      <c r="AB2352"/>
      <c r="AC2352"/>
      <c r="AD2352"/>
      <c r="AE2352" s="168" t="str">
        <f t="shared" si="36"/>
        <v/>
      </c>
      <c r="AF2352" s="168">
        <v>0</v>
      </c>
      <c r="AG2352" s="168" t="str" cm="1">
        <f t="array" ref="AG2352">IF(AF2352="","",_xlfn.TEXTSPLIT(AF2352,"-"))</f>
        <v>0</v>
      </c>
      <c r="AH2352" s="168"/>
    </row>
    <row r="2353" spans="26:34" ht="24" customHeight="1">
      <c r="Z2353"/>
      <c r="AA2353"/>
      <c r="AB2353"/>
      <c r="AC2353"/>
      <c r="AD2353"/>
      <c r="AE2353" s="168" t="str">
        <f t="shared" si="36"/>
        <v/>
      </c>
      <c r="AF2353" s="168">
        <v>0</v>
      </c>
      <c r="AG2353" s="168" t="str" cm="1">
        <f t="array" ref="AG2353">IF(AF2353="","",_xlfn.TEXTSPLIT(AF2353,"-"))</f>
        <v>0</v>
      </c>
      <c r="AH2353" s="168"/>
    </row>
    <row r="2354" spans="26:34" ht="24" customHeight="1">
      <c r="Z2354"/>
      <c r="AA2354"/>
      <c r="AB2354"/>
      <c r="AC2354"/>
      <c r="AD2354"/>
      <c r="AE2354" s="168" t="str">
        <f t="shared" si="36"/>
        <v/>
      </c>
      <c r="AF2354" s="168">
        <v>0</v>
      </c>
      <c r="AG2354" s="168" t="str" cm="1">
        <f t="array" ref="AG2354">IF(AF2354="","",_xlfn.TEXTSPLIT(AF2354,"-"))</f>
        <v>0</v>
      </c>
      <c r="AH2354" s="168"/>
    </row>
    <row r="2355" spans="26:34" ht="24" customHeight="1">
      <c r="Z2355"/>
      <c r="AA2355"/>
      <c r="AB2355"/>
      <c r="AC2355"/>
      <c r="AD2355"/>
      <c r="AE2355" s="168" t="str">
        <f t="shared" si="36"/>
        <v/>
      </c>
      <c r="AF2355" s="168">
        <v>0</v>
      </c>
      <c r="AG2355" s="168" t="str" cm="1">
        <f t="array" ref="AG2355">IF(AF2355="","",_xlfn.TEXTSPLIT(AF2355,"-"))</f>
        <v>0</v>
      </c>
      <c r="AH2355" s="168"/>
    </row>
    <row r="2356" spans="26:34" ht="24" customHeight="1">
      <c r="Z2356"/>
      <c r="AA2356"/>
      <c r="AB2356"/>
      <c r="AC2356"/>
      <c r="AD2356"/>
      <c r="AE2356" s="168" t="str">
        <f t="shared" si="36"/>
        <v/>
      </c>
      <c r="AF2356" s="168">
        <v>0</v>
      </c>
      <c r="AG2356" s="168" t="str" cm="1">
        <f t="array" ref="AG2356">IF(AF2356="","",_xlfn.TEXTSPLIT(AF2356,"-"))</f>
        <v>0</v>
      </c>
      <c r="AH2356" s="168"/>
    </row>
    <row r="2357" spans="26:34" ht="24" customHeight="1">
      <c r="Z2357"/>
      <c r="AA2357"/>
      <c r="AB2357"/>
      <c r="AC2357"/>
      <c r="AD2357"/>
      <c r="AE2357" s="168" t="str">
        <f t="shared" si="36"/>
        <v/>
      </c>
      <c r="AF2357" s="168">
        <v>0</v>
      </c>
      <c r="AG2357" s="168" t="str" cm="1">
        <f t="array" ref="AG2357">IF(AF2357="","",_xlfn.TEXTSPLIT(AF2357,"-"))</f>
        <v>0</v>
      </c>
      <c r="AH2357" s="168"/>
    </row>
    <row r="2358" spans="26:34" ht="24" customHeight="1">
      <c r="Z2358"/>
      <c r="AA2358"/>
      <c r="AB2358"/>
      <c r="AC2358"/>
      <c r="AD2358"/>
      <c r="AE2358" s="168" t="str">
        <f t="shared" si="36"/>
        <v/>
      </c>
      <c r="AF2358" s="168">
        <v>0</v>
      </c>
      <c r="AG2358" s="168" t="str" cm="1">
        <f t="array" ref="AG2358">IF(AF2358="","",_xlfn.TEXTSPLIT(AF2358,"-"))</f>
        <v>0</v>
      </c>
      <c r="AH2358" s="168"/>
    </row>
    <row r="2359" spans="26:34" ht="24" customHeight="1">
      <c r="Z2359"/>
      <c r="AA2359"/>
      <c r="AB2359"/>
      <c r="AC2359"/>
      <c r="AD2359"/>
      <c r="AE2359" s="168" t="str">
        <f t="shared" si="36"/>
        <v/>
      </c>
      <c r="AF2359" s="168">
        <v>0</v>
      </c>
      <c r="AG2359" s="168" t="str" cm="1">
        <f t="array" ref="AG2359">IF(AF2359="","",_xlfn.TEXTSPLIT(AF2359,"-"))</f>
        <v>0</v>
      </c>
      <c r="AH2359" s="168"/>
    </row>
    <row r="2360" spans="26:34" ht="24" customHeight="1">
      <c r="Z2360"/>
      <c r="AA2360"/>
      <c r="AB2360"/>
      <c r="AC2360"/>
      <c r="AD2360"/>
      <c r="AE2360" s="168" t="str">
        <f t="shared" si="36"/>
        <v/>
      </c>
      <c r="AF2360" s="168">
        <v>0</v>
      </c>
      <c r="AG2360" s="168" t="str" cm="1">
        <f t="array" ref="AG2360">IF(AF2360="","",_xlfn.TEXTSPLIT(AF2360,"-"))</f>
        <v>0</v>
      </c>
      <c r="AH2360" s="168"/>
    </row>
    <row r="2361" spans="26:34" ht="24" customHeight="1">
      <c r="Z2361"/>
      <c r="AA2361"/>
      <c r="AB2361"/>
      <c r="AC2361"/>
      <c r="AD2361"/>
      <c r="AE2361" s="168" t="str">
        <f t="shared" si="36"/>
        <v/>
      </c>
      <c r="AF2361" s="168">
        <v>0</v>
      </c>
      <c r="AG2361" s="168" t="str" cm="1">
        <f t="array" ref="AG2361">IF(AF2361="","",_xlfn.TEXTSPLIT(AF2361,"-"))</f>
        <v>0</v>
      </c>
      <c r="AH2361" s="168"/>
    </row>
    <row r="2362" spans="26:34" ht="24" customHeight="1">
      <c r="Z2362"/>
      <c r="AA2362"/>
      <c r="AB2362"/>
      <c r="AC2362"/>
      <c r="AD2362"/>
      <c r="AE2362" s="168" t="str">
        <f t="shared" si="36"/>
        <v/>
      </c>
      <c r="AF2362" s="168">
        <v>0</v>
      </c>
      <c r="AG2362" s="168" t="str" cm="1">
        <f t="array" ref="AG2362">IF(AF2362="","",_xlfn.TEXTSPLIT(AF2362,"-"))</f>
        <v>0</v>
      </c>
      <c r="AH2362" s="168"/>
    </row>
    <row r="2363" spans="26:34" ht="24" customHeight="1">
      <c r="Z2363"/>
      <c r="AA2363"/>
      <c r="AB2363"/>
      <c r="AC2363"/>
      <c r="AD2363"/>
      <c r="AE2363" s="168" t="str">
        <f t="shared" si="36"/>
        <v/>
      </c>
      <c r="AF2363" s="168">
        <v>0</v>
      </c>
      <c r="AG2363" s="168" t="str" cm="1">
        <f t="array" ref="AG2363">IF(AF2363="","",_xlfn.TEXTSPLIT(AF2363,"-"))</f>
        <v>0</v>
      </c>
      <c r="AH2363" s="168"/>
    </row>
    <row r="2364" spans="26:34" ht="24" customHeight="1">
      <c r="Z2364"/>
      <c r="AA2364"/>
      <c r="AB2364"/>
      <c r="AC2364"/>
      <c r="AD2364"/>
      <c r="AE2364" s="168" t="str">
        <f t="shared" si="36"/>
        <v/>
      </c>
      <c r="AF2364" s="168">
        <v>0</v>
      </c>
      <c r="AG2364" s="168" t="str" cm="1">
        <f t="array" ref="AG2364">IF(AF2364="","",_xlfn.TEXTSPLIT(AF2364,"-"))</f>
        <v>0</v>
      </c>
      <c r="AH2364" s="168"/>
    </row>
    <row r="2365" spans="26:34" ht="24" customHeight="1">
      <c r="Z2365"/>
      <c r="AA2365"/>
      <c r="AB2365"/>
      <c r="AC2365"/>
      <c r="AD2365"/>
      <c r="AE2365" s="168" t="str">
        <f t="shared" si="36"/>
        <v/>
      </c>
      <c r="AF2365" s="168">
        <v>0</v>
      </c>
      <c r="AG2365" s="168" t="str" cm="1">
        <f t="array" ref="AG2365">IF(AF2365="","",_xlfn.TEXTSPLIT(AF2365,"-"))</f>
        <v>0</v>
      </c>
      <c r="AH2365" s="168"/>
    </row>
    <row r="2366" spans="26:34" ht="24" customHeight="1">
      <c r="Z2366"/>
      <c r="AA2366"/>
      <c r="AB2366"/>
      <c r="AC2366"/>
      <c r="AD2366"/>
      <c r="AE2366" s="168" t="str">
        <f t="shared" si="36"/>
        <v/>
      </c>
      <c r="AF2366" s="168">
        <v>0</v>
      </c>
      <c r="AG2366" s="168" t="str" cm="1">
        <f t="array" ref="AG2366">IF(AF2366="","",_xlfn.TEXTSPLIT(AF2366,"-"))</f>
        <v>0</v>
      </c>
      <c r="AH2366" s="168"/>
    </row>
    <row r="2367" spans="26:34" ht="24" customHeight="1">
      <c r="Z2367"/>
      <c r="AA2367"/>
      <c r="AB2367"/>
      <c r="AC2367"/>
      <c r="AD2367"/>
      <c r="AE2367" s="168" t="str">
        <f t="shared" si="36"/>
        <v/>
      </c>
      <c r="AF2367" s="168">
        <v>0</v>
      </c>
      <c r="AG2367" s="168" t="str" cm="1">
        <f t="array" ref="AG2367">IF(AF2367="","",_xlfn.TEXTSPLIT(AF2367,"-"))</f>
        <v>0</v>
      </c>
      <c r="AH2367" s="168"/>
    </row>
    <row r="2368" spans="26:34" ht="24" customHeight="1">
      <c r="Z2368"/>
      <c r="AA2368"/>
      <c r="AB2368"/>
      <c r="AC2368"/>
      <c r="AD2368"/>
      <c r="AE2368" s="168" t="str">
        <f t="shared" si="36"/>
        <v/>
      </c>
      <c r="AF2368" s="168">
        <v>0</v>
      </c>
      <c r="AG2368" s="168" t="str" cm="1">
        <f t="array" ref="AG2368">IF(AF2368="","",_xlfn.TEXTSPLIT(AF2368,"-"))</f>
        <v>0</v>
      </c>
      <c r="AH2368" s="168"/>
    </row>
    <row r="2369" spans="26:34" ht="24" customHeight="1">
      <c r="Z2369"/>
      <c r="AA2369"/>
      <c r="AB2369"/>
      <c r="AC2369"/>
      <c r="AD2369"/>
      <c r="AE2369" s="168" t="str">
        <f t="shared" si="36"/>
        <v/>
      </c>
      <c r="AF2369" s="168">
        <v>0</v>
      </c>
      <c r="AG2369" s="168" t="str" cm="1">
        <f t="array" ref="AG2369">IF(AF2369="","",_xlfn.TEXTSPLIT(AF2369,"-"))</f>
        <v>0</v>
      </c>
      <c r="AH2369" s="168"/>
    </row>
    <row r="2370" spans="26:34" ht="24" customHeight="1">
      <c r="Z2370"/>
      <c r="AA2370"/>
      <c r="AB2370"/>
      <c r="AC2370"/>
      <c r="AD2370"/>
      <c r="AE2370" s="168" t="str">
        <f t="shared" si="36"/>
        <v/>
      </c>
      <c r="AF2370" s="168">
        <v>0</v>
      </c>
      <c r="AG2370" s="168" t="str" cm="1">
        <f t="array" ref="AG2370">IF(AF2370="","",_xlfn.TEXTSPLIT(AF2370,"-"))</f>
        <v>0</v>
      </c>
      <c r="AH2370" s="168"/>
    </row>
    <row r="2371" spans="26:34" ht="24" customHeight="1">
      <c r="Z2371"/>
      <c r="AA2371"/>
      <c r="AB2371"/>
      <c r="AC2371"/>
      <c r="AD2371"/>
      <c r="AE2371" s="168" t="str">
        <f t="shared" si="36"/>
        <v/>
      </c>
      <c r="AF2371" s="168">
        <v>0</v>
      </c>
      <c r="AG2371" s="168" t="str" cm="1">
        <f t="array" ref="AG2371">IF(AF2371="","",_xlfn.TEXTSPLIT(AF2371,"-"))</f>
        <v>0</v>
      </c>
      <c r="AH2371" s="168"/>
    </row>
    <row r="2372" spans="26:34" ht="24" customHeight="1">
      <c r="Z2372"/>
      <c r="AA2372"/>
      <c r="AB2372"/>
      <c r="AC2372"/>
      <c r="AD2372"/>
      <c r="AE2372" s="168" t="str">
        <f t="shared" si="36"/>
        <v/>
      </c>
      <c r="AF2372" s="168">
        <v>0</v>
      </c>
      <c r="AG2372" s="168" t="str" cm="1">
        <f t="array" ref="AG2372">IF(AF2372="","",_xlfn.TEXTSPLIT(AF2372,"-"))</f>
        <v>0</v>
      </c>
      <c r="AH2372" s="168"/>
    </row>
    <row r="2373" spans="26:34" ht="24" customHeight="1">
      <c r="Z2373"/>
      <c r="AA2373"/>
      <c r="AB2373"/>
      <c r="AC2373"/>
      <c r="AD2373"/>
      <c r="AE2373" s="168" t="str">
        <f t="shared" ref="AE2373:AE2436" si="37">IF(AH2373="","",AH2373*1)</f>
        <v/>
      </c>
      <c r="AF2373" s="168">
        <v>0</v>
      </c>
      <c r="AG2373" s="168" t="str" cm="1">
        <f t="array" ref="AG2373">IF(AF2373="","",_xlfn.TEXTSPLIT(AF2373,"-"))</f>
        <v>0</v>
      </c>
      <c r="AH2373" s="168"/>
    </row>
    <row r="2374" spans="26:34" ht="24" customHeight="1">
      <c r="Z2374"/>
      <c r="AA2374"/>
      <c r="AB2374"/>
      <c r="AC2374"/>
      <c r="AD2374"/>
      <c r="AE2374" s="168" t="str">
        <f t="shared" si="37"/>
        <v/>
      </c>
      <c r="AF2374" s="168">
        <v>0</v>
      </c>
      <c r="AG2374" s="168" t="str" cm="1">
        <f t="array" ref="AG2374">IF(AF2374="","",_xlfn.TEXTSPLIT(AF2374,"-"))</f>
        <v>0</v>
      </c>
      <c r="AH2374" s="168"/>
    </row>
    <row r="2375" spans="26:34" ht="24" customHeight="1">
      <c r="Z2375"/>
      <c r="AA2375"/>
      <c r="AB2375"/>
      <c r="AC2375"/>
      <c r="AD2375"/>
      <c r="AE2375" s="168" t="str">
        <f t="shared" si="37"/>
        <v/>
      </c>
      <c r="AF2375" s="168">
        <v>0</v>
      </c>
      <c r="AG2375" s="168" t="str" cm="1">
        <f t="array" ref="AG2375">IF(AF2375="","",_xlfn.TEXTSPLIT(AF2375,"-"))</f>
        <v>0</v>
      </c>
      <c r="AH2375" s="168"/>
    </row>
    <row r="2376" spans="26:34" ht="24" customHeight="1">
      <c r="Z2376"/>
      <c r="AA2376"/>
      <c r="AB2376"/>
      <c r="AC2376"/>
      <c r="AD2376"/>
      <c r="AE2376" s="168" t="str">
        <f t="shared" si="37"/>
        <v/>
      </c>
      <c r="AF2376" s="168">
        <v>0</v>
      </c>
      <c r="AG2376" s="168" t="str" cm="1">
        <f t="array" ref="AG2376">IF(AF2376="","",_xlfn.TEXTSPLIT(AF2376,"-"))</f>
        <v>0</v>
      </c>
      <c r="AH2376" s="168"/>
    </row>
    <row r="2377" spans="26:34" ht="24" customHeight="1">
      <c r="Z2377"/>
      <c r="AA2377"/>
      <c r="AB2377"/>
      <c r="AC2377"/>
      <c r="AD2377"/>
      <c r="AE2377" s="168" t="str">
        <f t="shared" si="37"/>
        <v/>
      </c>
      <c r="AF2377" s="168">
        <v>0</v>
      </c>
      <c r="AG2377" s="168" t="str" cm="1">
        <f t="array" ref="AG2377">IF(AF2377="","",_xlfn.TEXTSPLIT(AF2377,"-"))</f>
        <v>0</v>
      </c>
      <c r="AH2377" s="168"/>
    </row>
    <row r="2378" spans="26:34" ht="24" customHeight="1">
      <c r="Z2378"/>
      <c r="AA2378"/>
      <c r="AB2378"/>
      <c r="AC2378"/>
      <c r="AD2378"/>
      <c r="AE2378" s="168" t="str">
        <f t="shared" si="37"/>
        <v/>
      </c>
      <c r="AF2378" s="168">
        <v>0</v>
      </c>
      <c r="AG2378" s="168" t="str" cm="1">
        <f t="array" ref="AG2378">IF(AF2378="","",_xlfn.TEXTSPLIT(AF2378,"-"))</f>
        <v>0</v>
      </c>
      <c r="AH2378" s="168"/>
    </row>
    <row r="2379" spans="26:34" ht="24" customHeight="1">
      <c r="Z2379"/>
      <c r="AA2379"/>
      <c r="AB2379"/>
      <c r="AC2379"/>
      <c r="AD2379"/>
      <c r="AE2379" s="168" t="str">
        <f t="shared" si="37"/>
        <v/>
      </c>
      <c r="AF2379" s="168">
        <v>0</v>
      </c>
      <c r="AG2379" s="168" t="str" cm="1">
        <f t="array" ref="AG2379">IF(AF2379="","",_xlfn.TEXTSPLIT(AF2379,"-"))</f>
        <v>0</v>
      </c>
      <c r="AH2379" s="168"/>
    </row>
    <row r="2380" spans="26:34" ht="24" customHeight="1">
      <c r="Z2380"/>
      <c r="AA2380"/>
      <c r="AB2380"/>
      <c r="AC2380"/>
      <c r="AD2380"/>
      <c r="AE2380" s="168" t="str">
        <f t="shared" si="37"/>
        <v/>
      </c>
      <c r="AF2380" s="168">
        <v>0</v>
      </c>
      <c r="AG2380" s="168" t="str" cm="1">
        <f t="array" ref="AG2380">IF(AF2380="","",_xlfn.TEXTSPLIT(AF2380,"-"))</f>
        <v>0</v>
      </c>
      <c r="AH2380" s="168"/>
    </row>
    <row r="2381" spans="26:34" ht="24" customHeight="1">
      <c r="Z2381"/>
      <c r="AA2381"/>
      <c r="AB2381"/>
      <c r="AC2381"/>
      <c r="AD2381"/>
      <c r="AE2381" s="168" t="str">
        <f t="shared" si="37"/>
        <v/>
      </c>
      <c r="AF2381" s="168">
        <v>0</v>
      </c>
      <c r="AG2381" s="168" t="str" cm="1">
        <f t="array" ref="AG2381">IF(AF2381="","",_xlfn.TEXTSPLIT(AF2381,"-"))</f>
        <v>0</v>
      </c>
      <c r="AH2381" s="168"/>
    </row>
    <row r="2382" spans="26:34" ht="24" customHeight="1">
      <c r="Z2382"/>
      <c r="AA2382"/>
      <c r="AB2382"/>
      <c r="AC2382"/>
      <c r="AD2382"/>
      <c r="AE2382" s="168" t="str">
        <f t="shared" si="37"/>
        <v/>
      </c>
      <c r="AF2382" s="168">
        <v>0</v>
      </c>
      <c r="AG2382" s="168" t="str" cm="1">
        <f t="array" ref="AG2382">IF(AF2382="","",_xlfn.TEXTSPLIT(AF2382,"-"))</f>
        <v>0</v>
      </c>
      <c r="AH2382" s="168"/>
    </row>
    <row r="2383" spans="26:34" ht="24" customHeight="1">
      <c r="Z2383"/>
      <c r="AA2383"/>
      <c r="AB2383"/>
      <c r="AC2383"/>
      <c r="AD2383"/>
      <c r="AE2383" s="168" t="str">
        <f t="shared" si="37"/>
        <v/>
      </c>
      <c r="AF2383" s="168">
        <v>0</v>
      </c>
      <c r="AG2383" s="168" t="str" cm="1">
        <f t="array" ref="AG2383">IF(AF2383="","",_xlfn.TEXTSPLIT(AF2383,"-"))</f>
        <v>0</v>
      </c>
      <c r="AH2383" s="168"/>
    </row>
    <row r="2384" spans="26:34" ht="24" customHeight="1">
      <c r="Z2384"/>
      <c r="AA2384"/>
      <c r="AB2384"/>
      <c r="AC2384"/>
      <c r="AD2384"/>
      <c r="AE2384" s="168" t="str">
        <f t="shared" si="37"/>
        <v/>
      </c>
      <c r="AF2384" s="168">
        <v>0</v>
      </c>
      <c r="AG2384" s="168" t="str" cm="1">
        <f t="array" ref="AG2384">IF(AF2384="","",_xlfn.TEXTSPLIT(AF2384,"-"))</f>
        <v>0</v>
      </c>
      <c r="AH2384" s="168"/>
    </row>
    <row r="2385" spans="26:34" ht="24" customHeight="1">
      <c r="Z2385"/>
      <c r="AA2385"/>
      <c r="AB2385"/>
      <c r="AC2385"/>
      <c r="AD2385"/>
      <c r="AE2385" s="168" t="str">
        <f t="shared" si="37"/>
        <v/>
      </c>
      <c r="AF2385" s="168">
        <v>0</v>
      </c>
      <c r="AG2385" s="168" t="str" cm="1">
        <f t="array" ref="AG2385">IF(AF2385="","",_xlfn.TEXTSPLIT(AF2385,"-"))</f>
        <v>0</v>
      </c>
      <c r="AH2385" s="168"/>
    </row>
    <row r="2386" spans="26:34" ht="24" customHeight="1">
      <c r="Z2386"/>
      <c r="AA2386"/>
      <c r="AB2386"/>
      <c r="AC2386"/>
      <c r="AD2386"/>
      <c r="AE2386" s="168" t="str">
        <f t="shared" si="37"/>
        <v/>
      </c>
      <c r="AF2386" s="168">
        <v>0</v>
      </c>
      <c r="AG2386" s="168" t="str" cm="1">
        <f t="array" ref="AG2386">IF(AF2386="","",_xlfn.TEXTSPLIT(AF2386,"-"))</f>
        <v>0</v>
      </c>
      <c r="AH2386" s="168"/>
    </row>
    <row r="2387" spans="26:34" ht="24" customHeight="1">
      <c r="Z2387"/>
      <c r="AA2387"/>
      <c r="AB2387"/>
      <c r="AC2387"/>
      <c r="AD2387"/>
      <c r="AE2387" s="168" t="str">
        <f t="shared" si="37"/>
        <v/>
      </c>
      <c r="AF2387" s="168">
        <v>0</v>
      </c>
      <c r="AG2387" s="168" t="str" cm="1">
        <f t="array" ref="AG2387">IF(AF2387="","",_xlfn.TEXTSPLIT(AF2387,"-"))</f>
        <v>0</v>
      </c>
      <c r="AH2387" s="168"/>
    </row>
    <row r="2388" spans="26:34" ht="24" customHeight="1">
      <c r="Z2388"/>
      <c r="AA2388"/>
      <c r="AB2388"/>
      <c r="AC2388"/>
      <c r="AD2388"/>
      <c r="AE2388" s="168" t="str">
        <f t="shared" si="37"/>
        <v/>
      </c>
      <c r="AF2388" s="168">
        <v>0</v>
      </c>
      <c r="AG2388" s="168" t="str" cm="1">
        <f t="array" ref="AG2388">IF(AF2388="","",_xlfn.TEXTSPLIT(AF2388,"-"))</f>
        <v>0</v>
      </c>
      <c r="AH2388" s="168"/>
    </row>
    <row r="2389" spans="26:34" ht="24" customHeight="1">
      <c r="Z2389"/>
      <c r="AA2389"/>
      <c r="AB2389"/>
      <c r="AC2389"/>
      <c r="AD2389"/>
      <c r="AE2389" s="168" t="str">
        <f t="shared" si="37"/>
        <v/>
      </c>
      <c r="AF2389" s="168">
        <v>0</v>
      </c>
      <c r="AG2389" s="168" t="str" cm="1">
        <f t="array" ref="AG2389">IF(AF2389="","",_xlfn.TEXTSPLIT(AF2389,"-"))</f>
        <v>0</v>
      </c>
      <c r="AH2389" s="168"/>
    </row>
    <row r="2390" spans="26:34" ht="24" customHeight="1">
      <c r="Z2390"/>
      <c r="AA2390"/>
      <c r="AB2390"/>
      <c r="AC2390"/>
      <c r="AD2390"/>
      <c r="AE2390" s="168" t="str">
        <f t="shared" si="37"/>
        <v/>
      </c>
      <c r="AF2390" s="168">
        <v>0</v>
      </c>
      <c r="AG2390" s="168" t="str" cm="1">
        <f t="array" ref="AG2390">IF(AF2390="","",_xlfn.TEXTSPLIT(AF2390,"-"))</f>
        <v>0</v>
      </c>
      <c r="AH2390" s="168"/>
    </row>
    <row r="2391" spans="26:34" ht="24" customHeight="1">
      <c r="Z2391"/>
      <c r="AA2391"/>
      <c r="AB2391"/>
      <c r="AC2391"/>
      <c r="AD2391"/>
      <c r="AE2391" s="168" t="str">
        <f t="shared" si="37"/>
        <v/>
      </c>
      <c r="AF2391" s="168">
        <v>0</v>
      </c>
      <c r="AG2391" s="168" t="str" cm="1">
        <f t="array" ref="AG2391">IF(AF2391="","",_xlfn.TEXTSPLIT(AF2391,"-"))</f>
        <v>0</v>
      </c>
      <c r="AH2391" s="168"/>
    </row>
    <row r="2392" spans="26:34" ht="24" customHeight="1">
      <c r="Z2392"/>
      <c r="AA2392"/>
      <c r="AB2392"/>
      <c r="AC2392"/>
      <c r="AD2392"/>
      <c r="AE2392" s="168" t="str">
        <f t="shared" si="37"/>
        <v/>
      </c>
      <c r="AF2392" s="168">
        <v>0</v>
      </c>
      <c r="AG2392" s="168" t="str" cm="1">
        <f t="array" ref="AG2392">IF(AF2392="","",_xlfn.TEXTSPLIT(AF2392,"-"))</f>
        <v>0</v>
      </c>
      <c r="AH2392" s="168"/>
    </row>
    <row r="2393" spans="26:34" ht="24" customHeight="1">
      <c r="Z2393"/>
      <c r="AA2393"/>
      <c r="AB2393"/>
      <c r="AC2393"/>
      <c r="AD2393"/>
      <c r="AE2393" s="168" t="str">
        <f t="shared" si="37"/>
        <v/>
      </c>
      <c r="AF2393" s="168">
        <v>0</v>
      </c>
      <c r="AG2393" s="168" t="str" cm="1">
        <f t="array" ref="AG2393">IF(AF2393="","",_xlfn.TEXTSPLIT(AF2393,"-"))</f>
        <v>0</v>
      </c>
      <c r="AH2393" s="168"/>
    </row>
    <row r="2394" spans="26:34" ht="24" customHeight="1">
      <c r="Z2394"/>
      <c r="AA2394"/>
      <c r="AB2394"/>
      <c r="AC2394"/>
      <c r="AD2394"/>
      <c r="AE2394" s="168" t="str">
        <f t="shared" si="37"/>
        <v/>
      </c>
      <c r="AF2394" s="168">
        <v>0</v>
      </c>
      <c r="AG2394" s="168" t="str" cm="1">
        <f t="array" ref="AG2394">IF(AF2394="","",_xlfn.TEXTSPLIT(AF2394,"-"))</f>
        <v>0</v>
      </c>
      <c r="AH2394" s="168"/>
    </row>
    <row r="2395" spans="26:34" ht="24" customHeight="1">
      <c r="Z2395"/>
      <c r="AA2395"/>
      <c r="AB2395"/>
      <c r="AC2395"/>
      <c r="AD2395"/>
      <c r="AE2395" s="168" t="str">
        <f t="shared" si="37"/>
        <v/>
      </c>
      <c r="AF2395" s="168">
        <v>0</v>
      </c>
      <c r="AG2395" s="168" t="str" cm="1">
        <f t="array" ref="AG2395">IF(AF2395="","",_xlfn.TEXTSPLIT(AF2395,"-"))</f>
        <v>0</v>
      </c>
      <c r="AH2395" s="168"/>
    </row>
    <row r="2396" spans="26:34" ht="24" customHeight="1">
      <c r="Z2396"/>
      <c r="AA2396"/>
      <c r="AB2396"/>
      <c r="AC2396"/>
      <c r="AD2396"/>
      <c r="AE2396" s="168" t="str">
        <f t="shared" si="37"/>
        <v/>
      </c>
      <c r="AF2396" s="168">
        <v>0</v>
      </c>
      <c r="AG2396" s="168" t="str" cm="1">
        <f t="array" ref="AG2396">IF(AF2396="","",_xlfn.TEXTSPLIT(AF2396,"-"))</f>
        <v>0</v>
      </c>
      <c r="AH2396" s="168"/>
    </row>
    <row r="2397" spans="26:34" ht="24" customHeight="1">
      <c r="Z2397"/>
      <c r="AA2397"/>
      <c r="AB2397"/>
      <c r="AC2397"/>
      <c r="AD2397"/>
      <c r="AE2397" s="168" t="str">
        <f t="shared" si="37"/>
        <v/>
      </c>
      <c r="AF2397" s="168">
        <v>0</v>
      </c>
      <c r="AG2397" s="168" t="str" cm="1">
        <f t="array" ref="AG2397">IF(AF2397="","",_xlfn.TEXTSPLIT(AF2397,"-"))</f>
        <v>0</v>
      </c>
      <c r="AH2397" s="168"/>
    </row>
    <row r="2398" spans="26:34" ht="24" customHeight="1">
      <c r="Z2398"/>
      <c r="AA2398"/>
      <c r="AB2398"/>
      <c r="AC2398"/>
      <c r="AD2398"/>
      <c r="AE2398" s="168" t="str">
        <f t="shared" si="37"/>
        <v/>
      </c>
      <c r="AF2398" s="168">
        <v>0</v>
      </c>
      <c r="AG2398" s="168" t="str" cm="1">
        <f t="array" ref="AG2398">IF(AF2398="","",_xlfn.TEXTSPLIT(AF2398,"-"))</f>
        <v>0</v>
      </c>
      <c r="AH2398" s="168"/>
    </row>
    <row r="2399" spans="26:34" ht="24" customHeight="1">
      <c r="Z2399"/>
      <c r="AA2399"/>
      <c r="AB2399"/>
      <c r="AC2399"/>
      <c r="AD2399"/>
      <c r="AE2399" s="168" t="str">
        <f t="shared" si="37"/>
        <v/>
      </c>
      <c r="AF2399" s="168">
        <v>0</v>
      </c>
      <c r="AG2399" s="168" t="str" cm="1">
        <f t="array" ref="AG2399">IF(AF2399="","",_xlfn.TEXTSPLIT(AF2399,"-"))</f>
        <v>0</v>
      </c>
      <c r="AH2399" s="168"/>
    </row>
    <row r="2400" spans="26:34" ht="24" customHeight="1">
      <c r="Z2400"/>
      <c r="AA2400"/>
      <c r="AB2400"/>
      <c r="AC2400"/>
      <c r="AD2400"/>
      <c r="AE2400" s="168" t="str">
        <f t="shared" si="37"/>
        <v/>
      </c>
      <c r="AF2400" s="168">
        <v>0</v>
      </c>
      <c r="AG2400" s="168" t="str" cm="1">
        <f t="array" ref="AG2400">IF(AF2400="","",_xlfn.TEXTSPLIT(AF2400,"-"))</f>
        <v>0</v>
      </c>
      <c r="AH2400" s="168"/>
    </row>
    <row r="2401" spans="26:34" ht="24" customHeight="1">
      <c r="Z2401"/>
      <c r="AA2401"/>
      <c r="AB2401"/>
      <c r="AC2401"/>
      <c r="AD2401"/>
      <c r="AE2401" s="168" t="str">
        <f t="shared" si="37"/>
        <v/>
      </c>
      <c r="AF2401" s="168">
        <v>0</v>
      </c>
      <c r="AG2401" s="168" t="str" cm="1">
        <f t="array" ref="AG2401">IF(AF2401="","",_xlfn.TEXTSPLIT(AF2401,"-"))</f>
        <v>0</v>
      </c>
      <c r="AH2401" s="168"/>
    </row>
    <row r="2402" spans="26:34" ht="24" customHeight="1">
      <c r="Z2402"/>
      <c r="AA2402"/>
      <c r="AB2402"/>
      <c r="AC2402"/>
      <c r="AD2402"/>
      <c r="AE2402" s="168" t="str">
        <f t="shared" si="37"/>
        <v/>
      </c>
      <c r="AF2402" s="168">
        <v>0</v>
      </c>
      <c r="AG2402" s="168" t="str" cm="1">
        <f t="array" ref="AG2402">IF(AF2402="","",_xlfn.TEXTSPLIT(AF2402,"-"))</f>
        <v>0</v>
      </c>
      <c r="AH2402" s="168"/>
    </row>
    <row r="2403" spans="26:34" ht="24" customHeight="1">
      <c r="Z2403"/>
      <c r="AA2403"/>
      <c r="AB2403"/>
      <c r="AC2403"/>
      <c r="AD2403"/>
      <c r="AE2403" s="168" t="str">
        <f t="shared" si="37"/>
        <v/>
      </c>
      <c r="AF2403" s="168">
        <v>0</v>
      </c>
      <c r="AG2403" s="168" t="str" cm="1">
        <f t="array" ref="AG2403">IF(AF2403="","",_xlfn.TEXTSPLIT(AF2403,"-"))</f>
        <v>0</v>
      </c>
      <c r="AH2403" s="168"/>
    </row>
    <row r="2404" spans="26:34" ht="24" customHeight="1">
      <c r="Z2404"/>
      <c r="AA2404"/>
      <c r="AB2404"/>
      <c r="AC2404"/>
      <c r="AD2404"/>
      <c r="AE2404" s="168" t="str">
        <f t="shared" si="37"/>
        <v/>
      </c>
      <c r="AF2404" s="168">
        <v>0</v>
      </c>
      <c r="AG2404" s="168" t="str" cm="1">
        <f t="array" ref="AG2404">IF(AF2404="","",_xlfn.TEXTSPLIT(AF2404,"-"))</f>
        <v>0</v>
      </c>
      <c r="AH2404" s="168"/>
    </row>
    <row r="2405" spans="26:34" ht="24" customHeight="1">
      <c r="Z2405"/>
      <c r="AA2405"/>
      <c r="AB2405"/>
      <c r="AC2405"/>
      <c r="AD2405"/>
      <c r="AE2405" s="168" t="str">
        <f t="shared" si="37"/>
        <v/>
      </c>
      <c r="AF2405" s="168">
        <v>0</v>
      </c>
      <c r="AG2405" s="168" t="str" cm="1">
        <f t="array" ref="AG2405">IF(AF2405="","",_xlfn.TEXTSPLIT(AF2405,"-"))</f>
        <v>0</v>
      </c>
      <c r="AH2405" s="168"/>
    </row>
    <row r="2406" spans="26:34" ht="24" customHeight="1">
      <c r="Z2406"/>
      <c r="AA2406"/>
      <c r="AB2406"/>
      <c r="AC2406"/>
      <c r="AD2406"/>
      <c r="AE2406" s="168" t="str">
        <f t="shared" si="37"/>
        <v/>
      </c>
      <c r="AF2406" s="168">
        <v>0</v>
      </c>
      <c r="AG2406" s="168" t="str" cm="1">
        <f t="array" ref="AG2406">IF(AF2406="","",_xlfn.TEXTSPLIT(AF2406,"-"))</f>
        <v>0</v>
      </c>
      <c r="AH2406" s="168"/>
    </row>
    <row r="2407" spans="26:34" ht="24" customHeight="1">
      <c r="Z2407"/>
      <c r="AA2407"/>
      <c r="AB2407"/>
      <c r="AC2407"/>
      <c r="AD2407"/>
      <c r="AE2407" s="168" t="str">
        <f t="shared" si="37"/>
        <v/>
      </c>
      <c r="AF2407" s="168">
        <v>0</v>
      </c>
      <c r="AG2407" s="168" t="str" cm="1">
        <f t="array" ref="AG2407">IF(AF2407="","",_xlfn.TEXTSPLIT(AF2407,"-"))</f>
        <v>0</v>
      </c>
      <c r="AH2407" s="168"/>
    </row>
    <row r="2408" spans="26:34" ht="24" customHeight="1">
      <c r="Z2408"/>
      <c r="AA2408"/>
      <c r="AB2408"/>
      <c r="AC2408"/>
      <c r="AD2408"/>
      <c r="AE2408" s="168" t="str">
        <f t="shared" si="37"/>
        <v/>
      </c>
      <c r="AF2408" s="168">
        <v>0</v>
      </c>
      <c r="AG2408" s="168" t="str" cm="1">
        <f t="array" ref="AG2408">IF(AF2408="","",_xlfn.TEXTSPLIT(AF2408,"-"))</f>
        <v>0</v>
      </c>
      <c r="AH2408" s="168"/>
    </row>
    <row r="2409" spans="26:34" ht="24" customHeight="1">
      <c r="Z2409"/>
      <c r="AA2409"/>
      <c r="AB2409"/>
      <c r="AC2409"/>
      <c r="AD2409"/>
      <c r="AE2409" s="168" t="str">
        <f t="shared" si="37"/>
        <v/>
      </c>
      <c r="AF2409" s="168">
        <v>0</v>
      </c>
      <c r="AG2409" s="168" t="str" cm="1">
        <f t="array" ref="AG2409">IF(AF2409="","",_xlfn.TEXTSPLIT(AF2409,"-"))</f>
        <v>0</v>
      </c>
      <c r="AH2409" s="168"/>
    </row>
    <row r="2410" spans="26:34" ht="24" customHeight="1">
      <c r="Z2410"/>
      <c r="AA2410"/>
      <c r="AB2410"/>
      <c r="AC2410"/>
      <c r="AD2410"/>
      <c r="AE2410" s="168" t="str">
        <f t="shared" si="37"/>
        <v/>
      </c>
      <c r="AF2410" s="168">
        <v>0</v>
      </c>
      <c r="AG2410" s="168" t="str" cm="1">
        <f t="array" ref="AG2410">IF(AF2410="","",_xlfn.TEXTSPLIT(AF2410,"-"))</f>
        <v>0</v>
      </c>
      <c r="AH2410" s="168"/>
    </row>
    <row r="2411" spans="26:34" ht="24" customHeight="1">
      <c r="Z2411"/>
      <c r="AA2411"/>
      <c r="AB2411"/>
      <c r="AC2411"/>
      <c r="AD2411"/>
      <c r="AE2411" s="168" t="str">
        <f t="shared" si="37"/>
        <v/>
      </c>
      <c r="AF2411" s="168">
        <v>0</v>
      </c>
      <c r="AG2411" s="168" t="str" cm="1">
        <f t="array" ref="AG2411">IF(AF2411="","",_xlfn.TEXTSPLIT(AF2411,"-"))</f>
        <v>0</v>
      </c>
      <c r="AH2411" s="168"/>
    </row>
    <row r="2412" spans="26:34" ht="24" customHeight="1">
      <c r="Z2412"/>
      <c r="AA2412"/>
      <c r="AB2412"/>
      <c r="AC2412"/>
      <c r="AD2412"/>
      <c r="AE2412" s="168" t="str">
        <f t="shared" si="37"/>
        <v/>
      </c>
      <c r="AF2412" s="168">
        <v>0</v>
      </c>
      <c r="AG2412" s="168" t="str" cm="1">
        <f t="array" ref="AG2412">IF(AF2412="","",_xlfn.TEXTSPLIT(AF2412,"-"))</f>
        <v>0</v>
      </c>
      <c r="AH2412" s="168"/>
    </row>
    <row r="2413" spans="26:34" ht="24" customHeight="1">
      <c r="Z2413"/>
      <c r="AA2413"/>
      <c r="AB2413"/>
      <c r="AC2413"/>
      <c r="AD2413"/>
      <c r="AE2413" s="168" t="str">
        <f t="shared" si="37"/>
        <v/>
      </c>
      <c r="AF2413" s="168">
        <v>0</v>
      </c>
      <c r="AG2413" s="168" t="str" cm="1">
        <f t="array" ref="AG2413">IF(AF2413="","",_xlfn.TEXTSPLIT(AF2413,"-"))</f>
        <v>0</v>
      </c>
      <c r="AH2413" s="168"/>
    </row>
    <row r="2414" spans="26:34" ht="24" customHeight="1">
      <c r="Z2414"/>
      <c r="AA2414"/>
      <c r="AB2414"/>
      <c r="AC2414"/>
      <c r="AD2414"/>
      <c r="AE2414" s="168" t="str">
        <f t="shared" si="37"/>
        <v/>
      </c>
      <c r="AF2414" s="168">
        <v>0</v>
      </c>
      <c r="AG2414" s="168" t="str" cm="1">
        <f t="array" ref="AG2414">IF(AF2414="","",_xlfn.TEXTSPLIT(AF2414,"-"))</f>
        <v>0</v>
      </c>
      <c r="AH2414" s="168"/>
    </row>
    <row r="2415" spans="26:34" ht="24" customHeight="1">
      <c r="Z2415"/>
      <c r="AA2415"/>
      <c r="AB2415"/>
      <c r="AC2415"/>
      <c r="AD2415"/>
      <c r="AE2415" s="168" t="str">
        <f t="shared" si="37"/>
        <v/>
      </c>
      <c r="AF2415" s="168">
        <v>0</v>
      </c>
      <c r="AG2415" s="168" t="str" cm="1">
        <f t="array" ref="AG2415">IF(AF2415="","",_xlfn.TEXTSPLIT(AF2415,"-"))</f>
        <v>0</v>
      </c>
      <c r="AH2415" s="168"/>
    </row>
    <row r="2416" spans="26:34" ht="24" customHeight="1">
      <c r="Z2416"/>
      <c r="AA2416"/>
      <c r="AB2416"/>
      <c r="AC2416"/>
      <c r="AD2416"/>
      <c r="AE2416" s="168" t="str">
        <f t="shared" si="37"/>
        <v/>
      </c>
      <c r="AF2416" s="168">
        <v>0</v>
      </c>
      <c r="AG2416" s="168" t="str" cm="1">
        <f t="array" ref="AG2416">IF(AF2416="","",_xlfn.TEXTSPLIT(AF2416,"-"))</f>
        <v>0</v>
      </c>
      <c r="AH2416" s="168"/>
    </row>
    <row r="2417" spans="26:34" ht="24" customHeight="1">
      <c r="Z2417"/>
      <c r="AA2417"/>
      <c r="AB2417"/>
      <c r="AC2417"/>
      <c r="AD2417"/>
      <c r="AE2417" s="168" t="str">
        <f t="shared" si="37"/>
        <v/>
      </c>
      <c r="AF2417" s="168">
        <v>0</v>
      </c>
      <c r="AG2417" s="168" t="str" cm="1">
        <f t="array" ref="AG2417">IF(AF2417="","",_xlfn.TEXTSPLIT(AF2417,"-"))</f>
        <v>0</v>
      </c>
      <c r="AH2417" s="168"/>
    </row>
    <row r="2418" spans="26:34" ht="24" customHeight="1">
      <c r="Z2418"/>
      <c r="AA2418"/>
      <c r="AB2418"/>
      <c r="AC2418"/>
      <c r="AD2418"/>
      <c r="AE2418" s="168" t="str">
        <f t="shared" si="37"/>
        <v/>
      </c>
      <c r="AF2418" s="168">
        <v>0</v>
      </c>
      <c r="AG2418" s="168" t="str" cm="1">
        <f t="array" ref="AG2418">IF(AF2418="","",_xlfn.TEXTSPLIT(AF2418,"-"))</f>
        <v>0</v>
      </c>
      <c r="AH2418" s="168"/>
    </row>
    <row r="2419" spans="26:34" ht="24" customHeight="1">
      <c r="Z2419"/>
      <c r="AA2419"/>
      <c r="AB2419"/>
      <c r="AC2419"/>
      <c r="AD2419"/>
      <c r="AE2419" s="168" t="str">
        <f t="shared" si="37"/>
        <v/>
      </c>
      <c r="AF2419" s="168">
        <v>0</v>
      </c>
      <c r="AG2419" s="168" t="str" cm="1">
        <f t="array" ref="AG2419">IF(AF2419="","",_xlfn.TEXTSPLIT(AF2419,"-"))</f>
        <v>0</v>
      </c>
      <c r="AH2419" s="168"/>
    </row>
    <row r="2420" spans="26:34" ht="24" customHeight="1">
      <c r="Z2420"/>
      <c r="AA2420"/>
      <c r="AB2420"/>
      <c r="AC2420"/>
      <c r="AD2420"/>
      <c r="AE2420" s="168" t="str">
        <f t="shared" si="37"/>
        <v/>
      </c>
      <c r="AF2420" s="168">
        <v>0</v>
      </c>
      <c r="AG2420" s="168" t="str" cm="1">
        <f t="array" ref="AG2420">IF(AF2420="","",_xlfn.TEXTSPLIT(AF2420,"-"))</f>
        <v>0</v>
      </c>
      <c r="AH2420" s="168"/>
    </row>
    <row r="2421" spans="26:34" ht="24" customHeight="1">
      <c r="Z2421"/>
      <c r="AA2421"/>
      <c r="AB2421"/>
      <c r="AC2421"/>
      <c r="AD2421"/>
      <c r="AE2421" s="168" t="str">
        <f t="shared" si="37"/>
        <v/>
      </c>
      <c r="AF2421" s="168">
        <v>0</v>
      </c>
      <c r="AG2421" s="168" t="str" cm="1">
        <f t="array" ref="AG2421">IF(AF2421="","",_xlfn.TEXTSPLIT(AF2421,"-"))</f>
        <v>0</v>
      </c>
      <c r="AH2421" s="168"/>
    </row>
    <row r="2422" spans="26:34" ht="24" customHeight="1">
      <c r="Z2422"/>
      <c r="AA2422"/>
      <c r="AB2422"/>
      <c r="AC2422"/>
      <c r="AD2422"/>
      <c r="AE2422" s="168" t="str">
        <f t="shared" si="37"/>
        <v/>
      </c>
      <c r="AF2422" s="168">
        <v>0</v>
      </c>
      <c r="AG2422" s="168" t="str" cm="1">
        <f t="array" ref="AG2422">IF(AF2422="","",_xlfn.TEXTSPLIT(AF2422,"-"))</f>
        <v>0</v>
      </c>
      <c r="AH2422" s="168"/>
    </row>
    <row r="2423" spans="26:34" ht="24" customHeight="1">
      <c r="Z2423"/>
      <c r="AA2423"/>
      <c r="AB2423"/>
      <c r="AC2423"/>
      <c r="AD2423"/>
      <c r="AE2423" s="168" t="str">
        <f t="shared" si="37"/>
        <v/>
      </c>
      <c r="AF2423" s="168">
        <v>0</v>
      </c>
      <c r="AG2423" s="168" t="str" cm="1">
        <f t="array" ref="AG2423">IF(AF2423="","",_xlfn.TEXTSPLIT(AF2423,"-"))</f>
        <v>0</v>
      </c>
      <c r="AH2423" s="168"/>
    </row>
    <row r="2424" spans="26:34" ht="24" customHeight="1">
      <c r="Z2424"/>
      <c r="AA2424"/>
      <c r="AB2424"/>
      <c r="AC2424"/>
      <c r="AD2424"/>
      <c r="AE2424" s="168" t="str">
        <f t="shared" si="37"/>
        <v/>
      </c>
      <c r="AF2424" s="168">
        <v>0</v>
      </c>
      <c r="AG2424" s="168" t="str" cm="1">
        <f t="array" ref="AG2424">IF(AF2424="","",_xlfn.TEXTSPLIT(AF2424,"-"))</f>
        <v>0</v>
      </c>
      <c r="AH2424" s="168"/>
    </row>
    <row r="2425" spans="26:34" ht="24" customHeight="1">
      <c r="Z2425"/>
      <c r="AA2425"/>
      <c r="AB2425"/>
      <c r="AC2425"/>
      <c r="AD2425"/>
      <c r="AE2425" s="168" t="str">
        <f t="shared" si="37"/>
        <v/>
      </c>
      <c r="AF2425" s="168">
        <v>0</v>
      </c>
      <c r="AG2425" s="168" t="str" cm="1">
        <f t="array" ref="AG2425">IF(AF2425="","",_xlfn.TEXTSPLIT(AF2425,"-"))</f>
        <v>0</v>
      </c>
      <c r="AH2425" s="168"/>
    </row>
    <row r="2426" spans="26:34" ht="24" customHeight="1">
      <c r="Z2426"/>
      <c r="AA2426"/>
      <c r="AB2426"/>
      <c r="AC2426"/>
      <c r="AD2426"/>
      <c r="AE2426" s="168" t="str">
        <f t="shared" si="37"/>
        <v/>
      </c>
      <c r="AF2426" s="168">
        <v>0</v>
      </c>
      <c r="AG2426" s="168" t="str" cm="1">
        <f t="array" ref="AG2426">IF(AF2426="","",_xlfn.TEXTSPLIT(AF2426,"-"))</f>
        <v>0</v>
      </c>
      <c r="AH2426" s="168"/>
    </row>
    <row r="2427" spans="26:34" ht="24" customHeight="1">
      <c r="Z2427"/>
      <c r="AA2427"/>
      <c r="AB2427"/>
      <c r="AC2427"/>
      <c r="AD2427"/>
      <c r="AE2427" s="168" t="str">
        <f t="shared" si="37"/>
        <v/>
      </c>
      <c r="AF2427" s="168">
        <v>0</v>
      </c>
      <c r="AG2427" s="168" t="str" cm="1">
        <f t="array" ref="AG2427">IF(AF2427="","",_xlfn.TEXTSPLIT(AF2427,"-"))</f>
        <v>0</v>
      </c>
      <c r="AH2427" s="168"/>
    </row>
    <row r="2428" spans="26:34" ht="24" customHeight="1">
      <c r="Z2428"/>
      <c r="AA2428"/>
      <c r="AB2428"/>
      <c r="AC2428"/>
      <c r="AD2428"/>
      <c r="AE2428" s="168" t="str">
        <f t="shared" si="37"/>
        <v/>
      </c>
      <c r="AF2428" s="168">
        <v>0</v>
      </c>
      <c r="AG2428" s="168" t="str" cm="1">
        <f t="array" ref="AG2428">IF(AF2428="","",_xlfn.TEXTSPLIT(AF2428,"-"))</f>
        <v>0</v>
      </c>
      <c r="AH2428" s="168"/>
    </row>
    <row r="2429" spans="26:34" ht="24" customHeight="1">
      <c r="Z2429"/>
      <c r="AA2429"/>
      <c r="AB2429"/>
      <c r="AC2429"/>
      <c r="AD2429"/>
      <c r="AE2429" s="168" t="str">
        <f t="shared" si="37"/>
        <v/>
      </c>
      <c r="AF2429" s="168">
        <v>0</v>
      </c>
      <c r="AG2429" s="168" t="str" cm="1">
        <f t="array" ref="AG2429">IF(AF2429="","",_xlfn.TEXTSPLIT(AF2429,"-"))</f>
        <v>0</v>
      </c>
      <c r="AH2429" s="168"/>
    </row>
    <row r="2430" spans="26:34" ht="24" customHeight="1">
      <c r="Z2430"/>
      <c r="AA2430"/>
      <c r="AB2430"/>
      <c r="AC2430"/>
      <c r="AD2430"/>
      <c r="AE2430" s="168" t="str">
        <f t="shared" si="37"/>
        <v/>
      </c>
      <c r="AF2430" s="168">
        <v>0</v>
      </c>
      <c r="AG2430" s="168" t="str" cm="1">
        <f t="array" ref="AG2430">IF(AF2430="","",_xlfn.TEXTSPLIT(AF2430,"-"))</f>
        <v>0</v>
      </c>
      <c r="AH2430" s="168"/>
    </row>
    <row r="2431" spans="26:34" ht="24" customHeight="1">
      <c r="Z2431"/>
      <c r="AA2431"/>
      <c r="AB2431"/>
      <c r="AC2431"/>
      <c r="AD2431"/>
      <c r="AE2431" s="168" t="str">
        <f t="shared" si="37"/>
        <v/>
      </c>
      <c r="AF2431" s="168">
        <v>0</v>
      </c>
      <c r="AG2431" s="168" t="str" cm="1">
        <f t="array" ref="AG2431">IF(AF2431="","",_xlfn.TEXTSPLIT(AF2431,"-"))</f>
        <v>0</v>
      </c>
      <c r="AH2431" s="168"/>
    </row>
    <row r="2432" spans="26:34" ht="24" customHeight="1">
      <c r="Z2432"/>
      <c r="AA2432"/>
      <c r="AB2432"/>
      <c r="AC2432"/>
      <c r="AD2432"/>
      <c r="AE2432" s="168" t="str">
        <f t="shared" si="37"/>
        <v/>
      </c>
      <c r="AF2432" s="168">
        <v>0</v>
      </c>
      <c r="AG2432" s="168" t="str" cm="1">
        <f t="array" ref="AG2432">IF(AF2432="","",_xlfn.TEXTSPLIT(AF2432,"-"))</f>
        <v>0</v>
      </c>
      <c r="AH2432" s="168"/>
    </row>
    <row r="2433" spans="26:34" ht="24" customHeight="1">
      <c r="Z2433"/>
      <c r="AA2433"/>
      <c r="AB2433"/>
      <c r="AC2433"/>
      <c r="AD2433"/>
      <c r="AE2433" s="168" t="str">
        <f t="shared" si="37"/>
        <v/>
      </c>
      <c r="AF2433" s="168">
        <v>0</v>
      </c>
      <c r="AG2433" s="168" t="str" cm="1">
        <f t="array" ref="AG2433">IF(AF2433="","",_xlfn.TEXTSPLIT(AF2433,"-"))</f>
        <v>0</v>
      </c>
      <c r="AH2433" s="168"/>
    </row>
    <row r="2434" spans="26:34" ht="24" customHeight="1">
      <c r="Z2434"/>
      <c r="AA2434"/>
      <c r="AB2434"/>
      <c r="AC2434"/>
      <c r="AD2434"/>
      <c r="AE2434" s="168" t="str">
        <f t="shared" si="37"/>
        <v/>
      </c>
      <c r="AF2434" s="168">
        <v>0</v>
      </c>
      <c r="AG2434" s="168" t="str" cm="1">
        <f t="array" ref="AG2434">IF(AF2434="","",_xlfn.TEXTSPLIT(AF2434,"-"))</f>
        <v>0</v>
      </c>
      <c r="AH2434" s="168"/>
    </row>
    <row r="2435" spans="26:34" ht="24" customHeight="1">
      <c r="Z2435"/>
      <c r="AA2435"/>
      <c r="AB2435"/>
      <c r="AC2435"/>
      <c r="AD2435"/>
      <c r="AE2435" s="168" t="str">
        <f t="shared" si="37"/>
        <v/>
      </c>
      <c r="AF2435" s="168">
        <v>0</v>
      </c>
      <c r="AG2435" s="168" t="str" cm="1">
        <f t="array" ref="AG2435">IF(AF2435="","",_xlfn.TEXTSPLIT(AF2435,"-"))</f>
        <v>0</v>
      </c>
      <c r="AH2435" s="168"/>
    </row>
    <row r="2436" spans="26:34" ht="24" customHeight="1">
      <c r="Z2436"/>
      <c r="AA2436"/>
      <c r="AB2436"/>
      <c r="AC2436"/>
      <c r="AD2436"/>
      <c r="AE2436" s="168" t="str">
        <f t="shared" si="37"/>
        <v/>
      </c>
      <c r="AF2436" s="168">
        <v>0</v>
      </c>
      <c r="AG2436" s="168" t="str" cm="1">
        <f t="array" ref="AG2436">IF(AF2436="","",_xlfn.TEXTSPLIT(AF2436,"-"))</f>
        <v>0</v>
      </c>
      <c r="AH2436" s="168"/>
    </row>
    <row r="2437" spans="26:34" ht="24" customHeight="1">
      <c r="Z2437"/>
      <c r="AA2437"/>
      <c r="AB2437"/>
      <c r="AC2437"/>
      <c r="AD2437"/>
      <c r="AE2437" s="168" t="str">
        <f t="shared" ref="AE2437:AE2500" si="38">IF(AH2437="","",AH2437*1)</f>
        <v/>
      </c>
      <c r="AF2437" s="168">
        <v>0</v>
      </c>
      <c r="AG2437" s="168" t="str" cm="1">
        <f t="array" ref="AG2437">IF(AF2437="","",_xlfn.TEXTSPLIT(AF2437,"-"))</f>
        <v>0</v>
      </c>
      <c r="AH2437" s="168"/>
    </row>
    <row r="2438" spans="26:34" ht="24" customHeight="1">
      <c r="Z2438"/>
      <c r="AA2438"/>
      <c r="AB2438"/>
      <c r="AC2438"/>
      <c r="AD2438"/>
      <c r="AE2438" s="168" t="str">
        <f t="shared" si="38"/>
        <v/>
      </c>
      <c r="AF2438" s="168">
        <v>0</v>
      </c>
      <c r="AG2438" s="168" t="str" cm="1">
        <f t="array" ref="AG2438">IF(AF2438="","",_xlfn.TEXTSPLIT(AF2438,"-"))</f>
        <v>0</v>
      </c>
      <c r="AH2438" s="168"/>
    </row>
    <row r="2439" spans="26:34" ht="24" customHeight="1">
      <c r="Z2439"/>
      <c r="AA2439"/>
      <c r="AB2439"/>
      <c r="AC2439"/>
      <c r="AD2439"/>
      <c r="AE2439" s="168" t="str">
        <f t="shared" si="38"/>
        <v/>
      </c>
      <c r="AF2439" s="168">
        <v>0</v>
      </c>
      <c r="AG2439" s="168" t="str" cm="1">
        <f t="array" ref="AG2439">IF(AF2439="","",_xlfn.TEXTSPLIT(AF2439,"-"))</f>
        <v>0</v>
      </c>
      <c r="AH2439" s="168"/>
    </row>
    <row r="2440" spans="26:34" ht="24" customHeight="1">
      <c r="Z2440"/>
      <c r="AA2440"/>
      <c r="AB2440"/>
      <c r="AC2440"/>
      <c r="AD2440"/>
      <c r="AE2440" s="168" t="str">
        <f t="shared" si="38"/>
        <v/>
      </c>
      <c r="AF2440" s="168">
        <v>0</v>
      </c>
      <c r="AG2440" s="168" t="str" cm="1">
        <f t="array" ref="AG2440">IF(AF2440="","",_xlfn.TEXTSPLIT(AF2440,"-"))</f>
        <v>0</v>
      </c>
      <c r="AH2440" s="168"/>
    </row>
    <row r="2441" spans="26:34" ht="24" customHeight="1">
      <c r="Z2441"/>
      <c r="AA2441"/>
      <c r="AB2441"/>
      <c r="AC2441"/>
      <c r="AD2441"/>
      <c r="AE2441" s="168" t="str">
        <f t="shared" si="38"/>
        <v/>
      </c>
      <c r="AF2441" s="168">
        <v>0</v>
      </c>
      <c r="AG2441" s="168" t="str" cm="1">
        <f t="array" ref="AG2441">IF(AF2441="","",_xlfn.TEXTSPLIT(AF2441,"-"))</f>
        <v>0</v>
      </c>
      <c r="AH2441" s="168"/>
    </row>
    <row r="2442" spans="26:34" ht="24" customHeight="1">
      <c r="Z2442"/>
      <c r="AA2442"/>
      <c r="AB2442"/>
      <c r="AC2442"/>
      <c r="AD2442"/>
      <c r="AE2442" s="168" t="str">
        <f t="shared" si="38"/>
        <v/>
      </c>
      <c r="AF2442" s="168">
        <v>0</v>
      </c>
      <c r="AG2442" s="168" t="str" cm="1">
        <f t="array" ref="AG2442">IF(AF2442="","",_xlfn.TEXTSPLIT(AF2442,"-"))</f>
        <v>0</v>
      </c>
      <c r="AH2442" s="168"/>
    </row>
    <row r="2443" spans="26:34" ht="24" customHeight="1">
      <c r="Z2443"/>
      <c r="AA2443"/>
      <c r="AB2443"/>
      <c r="AC2443"/>
      <c r="AD2443"/>
      <c r="AE2443" s="168" t="str">
        <f t="shared" si="38"/>
        <v/>
      </c>
      <c r="AF2443" s="168">
        <v>0</v>
      </c>
      <c r="AG2443" s="168" t="str" cm="1">
        <f t="array" ref="AG2443">IF(AF2443="","",_xlfn.TEXTSPLIT(AF2443,"-"))</f>
        <v>0</v>
      </c>
      <c r="AH2443" s="168"/>
    </row>
    <row r="2444" spans="26:34" ht="24" customHeight="1">
      <c r="Z2444"/>
      <c r="AA2444"/>
      <c r="AB2444"/>
      <c r="AC2444"/>
      <c r="AD2444"/>
      <c r="AE2444" s="168" t="str">
        <f t="shared" si="38"/>
        <v/>
      </c>
      <c r="AF2444" s="168">
        <v>0</v>
      </c>
      <c r="AG2444" s="168" t="str" cm="1">
        <f t="array" ref="AG2444">IF(AF2444="","",_xlfn.TEXTSPLIT(AF2444,"-"))</f>
        <v>0</v>
      </c>
      <c r="AH2444" s="168"/>
    </row>
    <row r="2445" spans="26:34" ht="24" customHeight="1">
      <c r="Z2445"/>
      <c r="AA2445"/>
      <c r="AB2445"/>
      <c r="AC2445"/>
      <c r="AD2445"/>
      <c r="AE2445" s="168" t="str">
        <f t="shared" si="38"/>
        <v/>
      </c>
      <c r="AF2445" s="168">
        <v>0</v>
      </c>
      <c r="AG2445" s="168" t="str" cm="1">
        <f t="array" ref="AG2445">IF(AF2445="","",_xlfn.TEXTSPLIT(AF2445,"-"))</f>
        <v>0</v>
      </c>
      <c r="AH2445" s="168"/>
    </row>
    <row r="2446" spans="26:34" ht="24" customHeight="1">
      <c r="Z2446"/>
      <c r="AA2446"/>
      <c r="AB2446"/>
      <c r="AC2446"/>
      <c r="AD2446"/>
      <c r="AE2446" s="168" t="str">
        <f t="shared" si="38"/>
        <v/>
      </c>
      <c r="AF2446" s="168">
        <v>0</v>
      </c>
      <c r="AG2446" s="168" t="str" cm="1">
        <f t="array" ref="AG2446">IF(AF2446="","",_xlfn.TEXTSPLIT(AF2446,"-"))</f>
        <v>0</v>
      </c>
      <c r="AH2446" s="168"/>
    </row>
    <row r="2447" spans="26:34" ht="24" customHeight="1">
      <c r="Z2447"/>
      <c r="AA2447"/>
      <c r="AB2447"/>
      <c r="AC2447"/>
      <c r="AD2447"/>
      <c r="AE2447" s="168" t="str">
        <f t="shared" si="38"/>
        <v/>
      </c>
      <c r="AF2447" s="168">
        <v>0</v>
      </c>
      <c r="AG2447" s="168" t="str" cm="1">
        <f t="array" ref="AG2447">IF(AF2447="","",_xlfn.TEXTSPLIT(AF2447,"-"))</f>
        <v>0</v>
      </c>
      <c r="AH2447" s="168"/>
    </row>
    <row r="2448" spans="26:34" ht="24" customHeight="1">
      <c r="Z2448"/>
      <c r="AA2448"/>
      <c r="AB2448"/>
      <c r="AC2448"/>
      <c r="AD2448"/>
      <c r="AE2448" s="168" t="str">
        <f t="shared" si="38"/>
        <v/>
      </c>
      <c r="AF2448" s="168">
        <v>0</v>
      </c>
      <c r="AG2448" s="168" t="str" cm="1">
        <f t="array" ref="AG2448">IF(AF2448="","",_xlfn.TEXTSPLIT(AF2448,"-"))</f>
        <v>0</v>
      </c>
      <c r="AH2448" s="168"/>
    </row>
    <row r="2449" spans="26:34" ht="24" customHeight="1">
      <c r="Z2449"/>
      <c r="AA2449"/>
      <c r="AB2449"/>
      <c r="AC2449"/>
      <c r="AD2449"/>
      <c r="AE2449" s="168" t="str">
        <f t="shared" si="38"/>
        <v/>
      </c>
      <c r="AF2449" s="168">
        <v>0</v>
      </c>
      <c r="AG2449" s="168" t="str" cm="1">
        <f t="array" ref="AG2449">IF(AF2449="","",_xlfn.TEXTSPLIT(AF2449,"-"))</f>
        <v>0</v>
      </c>
      <c r="AH2449" s="168"/>
    </row>
    <row r="2450" spans="26:34" ht="24" customHeight="1">
      <c r="Z2450"/>
      <c r="AA2450"/>
      <c r="AB2450"/>
      <c r="AC2450"/>
      <c r="AD2450"/>
      <c r="AE2450" s="168" t="str">
        <f t="shared" si="38"/>
        <v/>
      </c>
      <c r="AF2450" s="168">
        <v>0</v>
      </c>
      <c r="AG2450" s="168" t="str" cm="1">
        <f t="array" ref="AG2450">IF(AF2450="","",_xlfn.TEXTSPLIT(AF2450,"-"))</f>
        <v>0</v>
      </c>
      <c r="AH2450" s="168"/>
    </row>
    <row r="2451" spans="26:34" ht="24" customHeight="1">
      <c r="Z2451"/>
      <c r="AA2451"/>
      <c r="AB2451"/>
      <c r="AC2451"/>
      <c r="AD2451"/>
      <c r="AE2451" s="168" t="str">
        <f t="shared" si="38"/>
        <v/>
      </c>
      <c r="AF2451" s="168">
        <v>0</v>
      </c>
      <c r="AG2451" s="168" t="str" cm="1">
        <f t="array" ref="AG2451">IF(AF2451="","",_xlfn.TEXTSPLIT(AF2451,"-"))</f>
        <v>0</v>
      </c>
      <c r="AH2451" s="168"/>
    </row>
    <row r="2452" spans="26:34" ht="24" customHeight="1">
      <c r="Z2452"/>
      <c r="AA2452"/>
      <c r="AB2452"/>
      <c r="AC2452"/>
      <c r="AD2452"/>
      <c r="AE2452" s="168" t="str">
        <f t="shared" si="38"/>
        <v/>
      </c>
      <c r="AF2452" s="168">
        <v>0</v>
      </c>
      <c r="AG2452" s="168" t="str" cm="1">
        <f t="array" ref="AG2452">IF(AF2452="","",_xlfn.TEXTSPLIT(AF2452,"-"))</f>
        <v>0</v>
      </c>
      <c r="AH2452" s="168"/>
    </row>
    <row r="2453" spans="26:34" ht="24" customHeight="1">
      <c r="Z2453"/>
      <c r="AA2453"/>
      <c r="AB2453"/>
      <c r="AC2453"/>
      <c r="AD2453"/>
      <c r="AE2453" s="168" t="str">
        <f t="shared" si="38"/>
        <v/>
      </c>
      <c r="AF2453" s="168">
        <v>0</v>
      </c>
      <c r="AG2453" s="168" t="str" cm="1">
        <f t="array" ref="AG2453">IF(AF2453="","",_xlfn.TEXTSPLIT(AF2453,"-"))</f>
        <v>0</v>
      </c>
      <c r="AH2453" s="168"/>
    </row>
    <row r="2454" spans="26:34" ht="24" customHeight="1">
      <c r="Z2454"/>
      <c r="AA2454"/>
      <c r="AB2454"/>
      <c r="AC2454"/>
      <c r="AD2454"/>
      <c r="AE2454" s="168" t="str">
        <f t="shared" si="38"/>
        <v/>
      </c>
      <c r="AF2454" s="168">
        <v>0</v>
      </c>
      <c r="AG2454" s="168" t="str" cm="1">
        <f t="array" ref="AG2454">IF(AF2454="","",_xlfn.TEXTSPLIT(AF2454,"-"))</f>
        <v>0</v>
      </c>
      <c r="AH2454" s="168"/>
    </row>
    <row r="2455" spans="26:34" ht="24" customHeight="1">
      <c r="Z2455"/>
      <c r="AA2455"/>
      <c r="AB2455"/>
      <c r="AC2455"/>
      <c r="AD2455"/>
      <c r="AE2455" s="168" t="str">
        <f t="shared" si="38"/>
        <v/>
      </c>
      <c r="AF2455" s="168">
        <v>0</v>
      </c>
      <c r="AG2455" s="168" t="str" cm="1">
        <f t="array" ref="AG2455">IF(AF2455="","",_xlfn.TEXTSPLIT(AF2455,"-"))</f>
        <v>0</v>
      </c>
      <c r="AH2455" s="168"/>
    </row>
    <row r="2456" spans="26:34" ht="24" customHeight="1">
      <c r="Z2456"/>
      <c r="AA2456"/>
      <c r="AB2456"/>
      <c r="AC2456"/>
      <c r="AD2456"/>
      <c r="AE2456" s="168" t="str">
        <f t="shared" si="38"/>
        <v/>
      </c>
      <c r="AF2456" s="168">
        <v>0</v>
      </c>
      <c r="AG2456" s="168" t="str" cm="1">
        <f t="array" ref="AG2456">IF(AF2456="","",_xlfn.TEXTSPLIT(AF2456,"-"))</f>
        <v>0</v>
      </c>
      <c r="AH2456" s="168"/>
    </row>
    <row r="2457" spans="26:34" ht="24" customHeight="1">
      <c r="Z2457"/>
      <c r="AA2457"/>
      <c r="AB2457"/>
      <c r="AC2457"/>
      <c r="AD2457"/>
      <c r="AE2457" s="168" t="str">
        <f t="shared" si="38"/>
        <v/>
      </c>
      <c r="AF2457" s="168">
        <v>0</v>
      </c>
      <c r="AG2457" s="168" t="str" cm="1">
        <f t="array" ref="AG2457">IF(AF2457="","",_xlfn.TEXTSPLIT(AF2457,"-"))</f>
        <v>0</v>
      </c>
      <c r="AH2457" s="168"/>
    </row>
    <row r="2458" spans="26:34" ht="24" customHeight="1">
      <c r="Z2458"/>
      <c r="AA2458"/>
      <c r="AB2458"/>
      <c r="AC2458"/>
      <c r="AD2458"/>
      <c r="AE2458" s="168" t="str">
        <f t="shared" si="38"/>
        <v/>
      </c>
      <c r="AF2458" s="168">
        <v>0</v>
      </c>
      <c r="AG2458" s="168" t="str" cm="1">
        <f t="array" ref="AG2458">IF(AF2458="","",_xlfn.TEXTSPLIT(AF2458,"-"))</f>
        <v>0</v>
      </c>
      <c r="AH2458" s="168"/>
    </row>
    <row r="2459" spans="26:34" ht="24" customHeight="1">
      <c r="Z2459"/>
      <c r="AA2459"/>
      <c r="AB2459"/>
      <c r="AC2459"/>
      <c r="AD2459"/>
      <c r="AE2459" s="168" t="str">
        <f t="shared" si="38"/>
        <v/>
      </c>
      <c r="AF2459" s="168">
        <v>0</v>
      </c>
      <c r="AG2459" s="168" t="str" cm="1">
        <f t="array" ref="AG2459">IF(AF2459="","",_xlfn.TEXTSPLIT(AF2459,"-"))</f>
        <v>0</v>
      </c>
      <c r="AH2459" s="168"/>
    </row>
    <row r="2460" spans="26:34" ht="24" customHeight="1">
      <c r="Z2460"/>
      <c r="AA2460"/>
      <c r="AB2460"/>
      <c r="AC2460"/>
      <c r="AD2460"/>
      <c r="AE2460" s="168" t="str">
        <f t="shared" si="38"/>
        <v/>
      </c>
      <c r="AF2460" s="168">
        <v>0</v>
      </c>
      <c r="AG2460" s="168" t="str" cm="1">
        <f t="array" ref="AG2460">IF(AF2460="","",_xlfn.TEXTSPLIT(AF2460,"-"))</f>
        <v>0</v>
      </c>
      <c r="AH2460" s="168"/>
    </row>
    <row r="2461" spans="26:34" ht="24" customHeight="1">
      <c r="Z2461"/>
      <c r="AA2461"/>
      <c r="AB2461"/>
      <c r="AC2461"/>
      <c r="AD2461"/>
      <c r="AE2461" s="168" t="str">
        <f t="shared" si="38"/>
        <v/>
      </c>
      <c r="AF2461" s="168">
        <v>0</v>
      </c>
      <c r="AG2461" s="168" t="str" cm="1">
        <f t="array" ref="AG2461">IF(AF2461="","",_xlfn.TEXTSPLIT(AF2461,"-"))</f>
        <v>0</v>
      </c>
      <c r="AH2461" s="168"/>
    </row>
    <row r="2462" spans="26:34" ht="24" customHeight="1">
      <c r="Z2462"/>
      <c r="AA2462"/>
      <c r="AB2462"/>
      <c r="AC2462"/>
      <c r="AD2462"/>
      <c r="AE2462" s="168" t="str">
        <f t="shared" si="38"/>
        <v/>
      </c>
      <c r="AF2462" s="168">
        <v>0</v>
      </c>
      <c r="AG2462" s="168" t="str" cm="1">
        <f t="array" ref="AG2462">IF(AF2462="","",_xlfn.TEXTSPLIT(AF2462,"-"))</f>
        <v>0</v>
      </c>
      <c r="AH2462" s="168"/>
    </row>
    <row r="2463" spans="26:34" ht="24" customHeight="1">
      <c r="Z2463"/>
      <c r="AA2463"/>
      <c r="AB2463"/>
      <c r="AC2463"/>
      <c r="AD2463"/>
      <c r="AE2463" s="168" t="str">
        <f t="shared" si="38"/>
        <v/>
      </c>
      <c r="AF2463" s="168">
        <v>0</v>
      </c>
      <c r="AG2463" s="168" t="str" cm="1">
        <f t="array" ref="AG2463">IF(AF2463="","",_xlfn.TEXTSPLIT(AF2463,"-"))</f>
        <v>0</v>
      </c>
      <c r="AH2463" s="168"/>
    </row>
    <row r="2464" spans="26:34" ht="24" customHeight="1">
      <c r="Z2464"/>
      <c r="AA2464"/>
      <c r="AB2464"/>
      <c r="AC2464"/>
      <c r="AD2464"/>
      <c r="AE2464" s="168" t="str">
        <f t="shared" si="38"/>
        <v/>
      </c>
      <c r="AF2464" s="168">
        <v>0</v>
      </c>
      <c r="AG2464" s="168" t="str" cm="1">
        <f t="array" ref="AG2464">IF(AF2464="","",_xlfn.TEXTSPLIT(AF2464,"-"))</f>
        <v>0</v>
      </c>
      <c r="AH2464" s="168"/>
    </row>
    <row r="2465" spans="26:34" ht="24" customHeight="1">
      <c r="Z2465"/>
      <c r="AA2465"/>
      <c r="AB2465"/>
      <c r="AC2465"/>
      <c r="AD2465"/>
      <c r="AE2465" s="168" t="str">
        <f t="shared" si="38"/>
        <v/>
      </c>
      <c r="AF2465" s="168">
        <v>0</v>
      </c>
      <c r="AG2465" s="168" t="str" cm="1">
        <f t="array" ref="AG2465">IF(AF2465="","",_xlfn.TEXTSPLIT(AF2465,"-"))</f>
        <v>0</v>
      </c>
      <c r="AH2465" s="168"/>
    </row>
    <row r="2466" spans="26:34" ht="24" customHeight="1">
      <c r="Z2466"/>
      <c r="AA2466"/>
      <c r="AB2466"/>
      <c r="AC2466"/>
      <c r="AD2466"/>
      <c r="AE2466" s="168" t="str">
        <f t="shared" si="38"/>
        <v/>
      </c>
      <c r="AF2466" s="168">
        <v>0</v>
      </c>
      <c r="AG2466" s="168" t="str" cm="1">
        <f t="array" ref="AG2466">IF(AF2466="","",_xlfn.TEXTSPLIT(AF2466,"-"))</f>
        <v>0</v>
      </c>
      <c r="AH2466" s="168"/>
    </row>
    <row r="2467" spans="26:34" ht="24" customHeight="1">
      <c r="Z2467"/>
      <c r="AA2467"/>
      <c r="AB2467"/>
      <c r="AC2467"/>
      <c r="AD2467"/>
      <c r="AE2467" s="168" t="str">
        <f t="shared" si="38"/>
        <v/>
      </c>
      <c r="AF2467" s="168">
        <v>0</v>
      </c>
      <c r="AG2467" s="168" t="str" cm="1">
        <f t="array" ref="AG2467">IF(AF2467="","",_xlfn.TEXTSPLIT(AF2467,"-"))</f>
        <v>0</v>
      </c>
      <c r="AH2467" s="168"/>
    </row>
    <row r="2468" spans="26:34" ht="24" customHeight="1">
      <c r="Z2468"/>
      <c r="AA2468"/>
      <c r="AB2468"/>
      <c r="AC2468"/>
      <c r="AD2468"/>
      <c r="AE2468" s="168" t="str">
        <f t="shared" si="38"/>
        <v/>
      </c>
      <c r="AF2468" s="168">
        <v>0</v>
      </c>
      <c r="AG2468" s="168" t="str" cm="1">
        <f t="array" ref="AG2468">IF(AF2468="","",_xlfn.TEXTSPLIT(AF2468,"-"))</f>
        <v>0</v>
      </c>
      <c r="AH2468" s="168"/>
    </row>
    <row r="2469" spans="26:34" ht="24" customHeight="1">
      <c r="Z2469"/>
      <c r="AA2469"/>
      <c r="AB2469"/>
      <c r="AC2469"/>
      <c r="AD2469"/>
      <c r="AE2469" s="168" t="str">
        <f t="shared" si="38"/>
        <v/>
      </c>
      <c r="AF2469" s="168">
        <v>0</v>
      </c>
      <c r="AG2469" s="168" t="str" cm="1">
        <f t="array" ref="AG2469">IF(AF2469="","",_xlfn.TEXTSPLIT(AF2469,"-"))</f>
        <v>0</v>
      </c>
      <c r="AH2469" s="168"/>
    </row>
    <row r="2470" spans="26:34" ht="24" customHeight="1">
      <c r="Z2470"/>
      <c r="AA2470"/>
      <c r="AB2470"/>
      <c r="AC2470"/>
      <c r="AD2470"/>
      <c r="AE2470" s="168" t="str">
        <f t="shared" si="38"/>
        <v/>
      </c>
      <c r="AF2470" s="168">
        <v>0</v>
      </c>
      <c r="AG2470" s="168" t="str" cm="1">
        <f t="array" ref="AG2470">IF(AF2470="","",_xlfn.TEXTSPLIT(AF2470,"-"))</f>
        <v>0</v>
      </c>
      <c r="AH2470" s="168"/>
    </row>
    <row r="2471" spans="26:34" ht="24" customHeight="1">
      <c r="Z2471"/>
      <c r="AA2471"/>
      <c r="AB2471"/>
      <c r="AC2471"/>
      <c r="AD2471"/>
      <c r="AE2471" s="168" t="str">
        <f t="shared" si="38"/>
        <v/>
      </c>
      <c r="AF2471" s="168">
        <v>0</v>
      </c>
      <c r="AG2471" s="168" t="str" cm="1">
        <f t="array" ref="AG2471">IF(AF2471="","",_xlfn.TEXTSPLIT(AF2471,"-"))</f>
        <v>0</v>
      </c>
      <c r="AH2471" s="168"/>
    </row>
    <row r="2472" spans="26:34" ht="24" customHeight="1">
      <c r="Z2472"/>
      <c r="AA2472"/>
      <c r="AB2472"/>
      <c r="AC2472"/>
      <c r="AD2472"/>
      <c r="AE2472" s="168" t="str">
        <f t="shared" si="38"/>
        <v/>
      </c>
      <c r="AF2472" s="168">
        <v>0</v>
      </c>
      <c r="AG2472" s="168" t="str" cm="1">
        <f t="array" ref="AG2472">IF(AF2472="","",_xlfn.TEXTSPLIT(AF2472,"-"))</f>
        <v>0</v>
      </c>
      <c r="AH2472" s="168"/>
    </row>
    <row r="2473" spans="26:34" ht="24" customHeight="1">
      <c r="Z2473"/>
      <c r="AA2473"/>
      <c r="AB2473"/>
      <c r="AC2473"/>
      <c r="AD2473"/>
      <c r="AE2473" s="168" t="str">
        <f t="shared" si="38"/>
        <v/>
      </c>
      <c r="AF2473" s="168">
        <v>0</v>
      </c>
      <c r="AG2473" s="168" t="str" cm="1">
        <f t="array" ref="AG2473">IF(AF2473="","",_xlfn.TEXTSPLIT(AF2473,"-"))</f>
        <v>0</v>
      </c>
      <c r="AH2473" s="168"/>
    </row>
    <row r="2474" spans="26:34" ht="24" customHeight="1">
      <c r="Z2474"/>
      <c r="AA2474"/>
      <c r="AB2474"/>
      <c r="AC2474"/>
      <c r="AD2474"/>
      <c r="AE2474" s="168" t="str">
        <f t="shared" si="38"/>
        <v/>
      </c>
      <c r="AF2474" s="168">
        <v>0</v>
      </c>
      <c r="AG2474" s="168" t="str" cm="1">
        <f t="array" ref="AG2474">IF(AF2474="","",_xlfn.TEXTSPLIT(AF2474,"-"))</f>
        <v>0</v>
      </c>
      <c r="AH2474" s="168"/>
    </row>
    <row r="2475" spans="26:34" ht="24" customHeight="1">
      <c r="Z2475"/>
      <c r="AA2475"/>
      <c r="AB2475"/>
      <c r="AC2475"/>
      <c r="AD2475"/>
      <c r="AE2475" s="168" t="str">
        <f t="shared" si="38"/>
        <v/>
      </c>
      <c r="AF2475" s="168">
        <v>0</v>
      </c>
      <c r="AG2475" s="168" t="str" cm="1">
        <f t="array" ref="AG2475">IF(AF2475="","",_xlfn.TEXTSPLIT(AF2475,"-"))</f>
        <v>0</v>
      </c>
      <c r="AH2475" s="168"/>
    </row>
    <row r="2476" spans="26:34" ht="24" customHeight="1">
      <c r="Z2476"/>
      <c r="AA2476"/>
      <c r="AB2476"/>
      <c r="AC2476"/>
      <c r="AD2476"/>
      <c r="AE2476" s="168" t="str">
        <f t="shared" si="38"/>
        <v/>
      </c>
      <c r="AF2476" s="168">
        <v>0</v>
      </c>
      <c r="AG2476" s="168" t="str" cm="1">
        <f t="array" ref="AG2476">IF(AF2476="","",_xlfn.TEXTSPLIT(AF2476,"-"))</f>
        <v>0</v>
      </c>
      <c r="AH2476" s="168"/>
    </row>
    <row r="2477" spans="26:34" ht="24" customHeight="1">
      <c r="Z2477"/>
      <c r="AA2477"/>
      <c r="AB2477"/>
      <c r="AC2477"/>
      <c r="AD2477"/>
      <c r="AE2477" s="168" t="str">
        <f t="shared" si="38"/>
        <v/>
      </c>
      <c r="AF2477" s="168">
        <v>0</v>
      </c>
      <c r="AG2477" s="168" t="str" cm="1">
        <f t="array" ref="AG2477">IF(AF2477="","",_xlfn.TEXTSPLIT(AF2477,"-"))</f>
        <v>0</v>
      </c>
      <c r="AH2477" s="168"/>
    </row>
    <row r="2478" spans="26:34" ht="24" customHeight="1">
      <c r="Z2478"/>
      <c r="AA2478"/>
      <c r="AB2478"/>
      <c r="AC2478"/>
      <c r="AD2478"/>
      <c r="AE2478" s="168" t="str">
        <f t="shared" si="38"/>
        <v/>
      </c>
      <c r="AF2478" s="168">
        <v>0</v>
      </c>
      <c r="AG2478" s="168" t="str" cm="1">
        <f t="array" ref="AG2478">IF(AF2478="","",_xlfn.TEXTSPLIT(AF2478,"-"))</f>
        <v>0</v>
      </c>
      <c r="AH2478" s="168"/>
    </row>
    <row r="2479" spans="26:34" ht="24" customHeight="1">
      <c r="Z2479"/>
      <c r="AA2479"/>
      <c r="AB2479"/>
      <c r="AC2479"/>
      <c r="AD2479"/>
      <c r="AE2479" s="168" t="str">
        <f t="shared" si="38"/>
        <v/>
      </c>
      <c r="AF2479" s="168">
        <v>0</v>
      </c>
      <c r="AG2479" s="168" t="str" cm="1">
        <f t="array" ref="AG2479">IF(AF2479="","",_xlfn.TEXTSPLIT(AF2479,"-"))</f>
        <v>0</v>
      </c>
      <c r="AH2479" s="168"/>
    </row>
    <row r="2480" spans="26:34" ht="24" customHeight="1">
      <c r="Z2480"/>
      <c r="AA2480"/>
      <c r="AB2480"/>
      <c r="AC2480"/>
      <c r="AD2480"/>
      <c r="AE2480" s="168" t="str">
        <f t="shared" si="38"/>
        <v/>
      </c>
      <c r="AF2480" s="168">
        <v>0</v>
      </c>
      <c r="AG2480" s="168" t="str" cm="1">
        <f t="array" ref="AG2480">IF(AF2480="","",_xlfn.TEXTSPLIT(AF2480,"-"))</f>
        <v>0</v>
      </c>
      <c r="AH2480" s="168"/>
    </row>
    <row r="2481" spans="26:34" ht="24" customHeight="1">
      <c r="Z2481"/>
      <c r="AA2481"/>
      <c r="AB2481"/>
      <c r="AC2481"/>
      <c r="AD2481"/>
      <c r="AE2481" s="168" t="str">
        <f t="shared" si="38"/>
        <v/>
      </c>
      <c r="AF2481" s="168">
        <v>0</v>
      </c>
      <c r="AG2481" s="168" t="str" cm="1">
        <f t="array" ref="AG2481">IF(AF2481="","",_xlfn.TEXTSPLIT(AF2481,"-"))</f>
        <v>0</v>
      </c>
      <c r="AH2481" s="168"/>
    </row>
    <row r="2482" spans="26:34" ht="24" customHeight="1">
      <c r="Z2482"/>
      <c r="AA2482"/>
      <c r="AB2482"/>
      <c r="AC2482"/>
      <c r="AD2482"/>
      <c r="AE2482" s="168" t="str">
        <f t="shared" si="38"/>
        <v/>
      </c>
      <c r="AF2482" s="168">
        <v>0</v>
      </c>
      <c r="AG2482" s="168" t="str" cm="1">
        <f t="array" ref="AG2482">IF(AF2482="","",_xlfn.TEXTSPLIT(AF2482,"-"))</f>
        <v>0</v>
      </c>
      <c r="AH2482" s="168"/>
    </row>
    <row r="2483" spans="26:34" ht="24" customHeight="1">
      <c r="Z2483"/>
      <c r="AA2483"/>
      <c r="AB2483"/>
      <c r="AC2483"/>
      <c r="AD2483"/>
      <c r="AE2483" s="168" t="str">
        <f t="shared" si="38"/>
        <v/>
      </c>
      <c r="AF2483" s="168">
        <v>0</v>
      </c>
      <c r="AG2483" s="168" t="str" cm="1">
        <f t="array" ref="AG2483">IF(AF2483="","",_xlfn.TEXTSPLIT(AF2483,"-"))</f>
        <v>0</v>
      </c>
      <c r="AH2483" s="168"/>
    </row>
    <row r="2484" spans="26:34" ht="24" customHeight="1">
      <c r="Z2484"/>
      <c r="AA2484"/>
      <c r="AB2484"/>
      <c r="AC2484"/>
      <c r="AD2484"/>
      <c r="AE2484" s="168" t="str">
        <f t="shared" si="38"/>
        <v/>
      </c>
      <c r="AF2484" s="168">
        <v>0</v>
      </c>
      <c r="AG2484" s="168" t="str" cm="1">
        <f t="array" ref="AG2484">IF(AF2484="","",_xlfn.TEXTSPLIT(AF2484,"-"))</f>
        <v>0</v>
      </c>
      <c r="AH2484" s="168"/>
    </row>
    <row r="2485" spans="26:34" ht="24" customHeight="1">
      <c r="Z2485"/>
      <c r="AA2485"/>
      <c r="AB2485"/>
      <c r="AC2485"/>
      <c r="AD2485"/>
      <c r="AE2485" s="168" t="str">
        <f t="shared" si="38"/>
        <v/>
      </c>
      <c r="AF2485" s="168">
        <v>0</v>
      </c>
      <c r="AG2485" s="168" t="str" cm="1">
        <f t="array" ref="AG2485">IF(AF2485="","",_xlfn.TEXTSPLIT(AF2485,"-"))</f>
        <v>0</v>
      </c>
      <c r="AH2485" s="168"/>
    </row>
    <row r="2486" spans="26:34" ht="24" customHeight="1">
      <c r="Z2486"/>
      <c r="AA2486"/>
      <c r="AB2486"/>
      <c r="AC2486"/>
      <c r="AD2486"/>
      <c r="AE2486" s="168" t="str">
        <f t="shared" si="38"/>
        <v/>
      </c>
      <c r="AF2486" s="168">
        <v>0</v>
      </c>
      <c r="AG2486" s="168" t="str" cm="1">
        <f t="array" ref="AG2486">IF(AF2486="","",_xlfn.TEXTSPLIT(AF2486,"-"))</f>
        <v>0</v>
      </c>
      <c r="AH2486" s="168"/>
    </row>
    <row r="2487" spans="26:34" ht="24" customHeight="1">
      <c r="Z2487"/>
      <c r="AA2487"/>
      <c r="AB2487"/>
      <c r="AC2487"/>
      <c r="AD2487"/>
      <c r="AE2487" s="168" t="str">
        <f t="shared" si="38"/>
        <v/>
      </c>
      <c r="AF2487" s="168">
        <v>0</v>
      </c>
      <c r="AG2487" s="168" t="str" cm="1">
        <f t="array" ref="AG2487">IF(AF2487="","",_xlfn.TEXTSPLIT(AF2487,"-"))</f>
        <v>0</v>
      </c>
      <c r="AH2487" s="168"/>
    </row>
    <row r="2488" spans="26:34" ht="24" customHeight="1">
      <c r="Z2488"/>
      <c r="AA2488"/>
      <c r="AB2488"/>
      <c r="AC2488"/>
      <c r="AD2488"/>
      <c r="AE2488" s="168" t="str">
        <f t="shared" si="38"/>
        <v/>
      </c>
      <c r="AF2488" s="168">
        <v>0</v>
      </c>
      <c r="AG2488" s="168" t="str" cm="1">
        <f t="array" ref="AG2488">IF(AF2488="","",_xlfn.TEXTSPLIT(AF2488,"-"))</f>
        <v>0</v>
      </c>
      <c r="AH2488" s="168"/>
    </row>
    <row r="2489" spans="26:34" ht="24" customHeight="1">
      <c r="Z2489"/>
      <c r="AA2489"/>
      <c r="AB2489"/>
      <c r="AC2489"/>
      <c r="AD2489"/>
      <c r="AE2489" s="168" t="str">
        <f t="shared" si="38"/>
        <v/>
      </c>
      <c r="AF2489" s="168">
        <v>0</v>
      </c>
      <c r="AG2489" s="168" t="str" cm="1">
        <f t="array" ref="AG2489">IF(AF2489="","",_xlfn.TEXTSPLIT(AF2489,"-"))</f>
        <v>0</v>
      </c>
      <c r="AH2489" s="168"/>
    </row>
    <row r="2490" spans="26:34" ht="24" customHeight="1">
      <c r="Z2490"/>
      <c r="AA2490"/>
      <c r="AB2490"/>
      <c r="AC2490"/>
      <c r="AD2490"/>
      <c r="AE2490" s="168" t="str">
        <f t="shared" si="38"/>
        <v/>
      </c>
      <c r="AF2490" s="168">
        <v>0</v>
      </c>
      <c r="AG2490" s="168" t="str" cm="1">
        <f t="array" ref="AG2490">IF(AF2490="","",_xlfn.TEXTSPLIT(AF2490,"-"))</f>
        <v>0</v>
      </c>
      <c r="AH2490" s="168"/>
    </row>
    <row r="2491" spans="26:34" ht="24" customHeight="1">
      <c r="Z2491"/>
      <c r="AA2491"/>
      <c r="AB2491"/>
      <c r="AC2491"/>
      <c r="AD2491"/>
      <c r="AE2491" s="168" t="str">
        <f t="shared" si="38"/>
        <v/>
      </c>
      <c r="AF2491" s="168">
        <v>0</v>
      </c>
      <c r="AG2491" s="168" t="str" cm="1">
        <f t="array" ref="AG2491">IF(AF2491="","",_xlfn.TEXTSPLIT(AF2491,"-"))</f>
        <v>0</v>
      </c>
      <c r="AH2491" s="168"/>
    </row>
    <row r="2492" spans="26:34" ht="24" customHeight="1">
      <c r="Z2492"/>
      <c r="AA2492"/>
      <c r="AB2492"/>
      <c r="AC2492"/>
      <c r="AD2492"/>
      <c r="AE2492" s="168" t="str">
        <f t="shared" si="38"/>
        <v/>
      </c>
      <c r="AF2492" s="168">
        <v>0</v>
      </c>
      <c r="AG2492" s="168" t="str" cm="1">
        <f t="array" ref="AG2492">IF(AF2492="","",_xlfn.TEXTSPLIT(AF2492,"-"))</f>
        <v>0</v>
      </c>
      <c r="AH2492" s="168"/>
    </row>
    <row r="2493" spans="26:34" ht="24" customHeight="1">
      <c r="Z2493"/>
      <c r="AA2493"/>
      <c r="AB2493"/>
      <c r="AC2493"/>
      <c r="AD2493"/>
      <c r="AE2493" s="168" t="str">
        <f t="shared" si="38"/>
        <v/>
      </c>
      <c r="AF2493" s="168">
        <v>0</v>
      </c>
      <c r="AG2493" s="168" t="str" cm="1">
        <f t="array" ref="AG2493">IF(AF2493="","",_xlfn.TEXTSPLIT(AF2493,"-"))</f>
        <v>0</v>
      </c>
      <c r="AH2493" s="168"/>
    </row>
    <row r="2494" spans="26:34" ht="24" customHeight="1">
      <c r="Z2494"/>
      <c r="AA2494"/>
      <c r="AB2494"/>
      <c r="AC2494"/>
      <c r="AD2494"/>
      <c r="AE2494" s="168" t="str">
        <f t="shared" si="38"/>
        <v/>
      </c>
      <c r="AF2494" s="168">
        <v>0</v>
      </c>
      <c r="AG2494" s="168" t="str" cm="1">
        <f t="array" ref="AG2494">IF(AF2494="","",_xlfn.TEXTSPLIT(AF2494,"-"))</f>
        <v>0</v>
      </c>
      <c r="AH2494" s="168"/>
    </row>
    <row r="2495" spans="26:34" ht="24" customHeight="1">
      <c r="Z2495"/>
      <c r="AA2495"/>
      <c r="AB2495"/>
      <c r="AC2495"/>
      <c r="AD2495"/>
      <c r="AE2495" s="168" t="str">
        <f t="shared" si="38"/>
        <v/>
      </c>
      <c r="AF2495" s="168">
        <v>0</v>
      </c>
      <c r="AG2495" s="168" t="str" cm="1">
        <f t="array" ref="AG2495">IF(AF2495="","",_xlfn.TEXTSPLIT(AF2495,"-"))</f>
        <v>0</v>
      </c>
      <c r="AH2495" s="168"/>
    </row>
    <row r="2496" spans="26:34" ht="24" customHeight="1">
      <c r="Z2496"/>
      <c r="AA2496"/>
      <c r="AB2496"/>
      <c r="AC2496"/>
      <c r="AD2496"/>
      <c r="AE2496" s="168" t="str">
        <f t="shared" si="38"/>
        <v/>
      </c>
      <c r="AF2496" s="168">
        <v>0</v>
      </c>
      <c r="AG2496" s="168" t="str" cm="1">
        <f t="array" ref="AG2496">IF(AF2496="","",_xlfn.TEXTSPLIT(AF2496,"-"))</f>
        <v>0</v>
      </c>
      <c r="AH2496" s="168"/>
    </row>
    <row r="2497" spans="26:34" ht="24" customHeight="1">
      <c r="Z2497"/>
      <c r="AA2497"/>
      <c r="AB2497"/>
      <c r="AC2497"/>
      <c r="AD2497"/>
      <c r="AE2497" s="168" t="str">
        <f t="shared" si="38"/>
        <v/>
      </c>
      <c r="AF2497" s="168">
        <v>0</v>
      </c>
      <c r="AG2497" s="168" t="str" cm="1">
        <f t="array" ref="AG2497">IF(AF2497="","",_xlfn.TEXTSPLIT(AF2497,"-"))</f>
        <v>0</v>
      </c>
      <c r="AH2497" s="168"/>
    </row>
    <row r="2498" spans="26:34" ht="24" customHeight="1">
      <c r="Z2498"/>
      <c r="AA2498"/>
      <c r="AB2498"/>
      <c r="AC2498"/>
      <c r="AD2498"/>
      <c r="AE2498" s="168" t="str">
        <f t="shared" si="38"/>
        <v/>
      </c>
      <c r="AF2498" s="168">
        <v>0</v>
      </c>
      <c r="AG2498" s="168" t="str" cm="1">
        <f t="array" ref="AG2498">IF(AF2498="","",_xlfn.TEXTSPLIT(AF2498,"-"))</f>
        <v>0</v>
      </c>
      <c r="AH2498" s="168"/>
    </row>
    <row r="2499" spans="26:34" ht="24" customHeight="1">
      <c r="Z2499"/>
      <c r="AA2499"/>
      <c r="AB2499"/>
      <c r="AC2499"/>
      <c r="AD2499"/>
      <c r="AE2499" s="168" t="str">
        <f t="shared" si="38"/>
        <v/>
      </c>
      <c r="AF2499" s="168">
        <v>0</v>
      </c>
      <c r="AG2499" s="168" t="str" cm="1">
        <f t="array" ref="AG2499">IF(AF2499="","",_xlfn.TEXTSPLIT(AF2499,"-"))</f>
        <v>0</v>
      </c>
      <c r="AH2499" s="168"/>
    </row>
    <row r="2500" spans="26:34" ht="24" customHeight="1">
      <c r="Z2500"/>
      <c r="AA2500"/>
      <c r="AB2500"/>
      <c r="AC2500"/>
      <c r="AD2500"/>
      <c r="AE2500" s="168" t="str">
        <f t="shared" si="38"/>
        <v/>
      </c>
      <c r="AF2500" s="168">
        <v>0</v>
      </c>
      <c r="AG2500" s="168" t="str" cm="1">
        <f t="array" ref="AG2500">IF(AF2500="","",_xlfn.TEXTSPLIT(AF2500,"-"))</f>
        <v>0</v>
      </c>
      <c r="AH2500" s="168"/>
    </row>
    <row r="2501" spans="26:34" ht="24" customHeight="1">
      <c r="Z2501"/>
      <c r="AA2501"/>
      <c r="AB2501"/>
      <c r="AC2501"/>
      <c r="AD2501"/>
      <c r="AE2501" s="168" t="str">
        <f t="shared" ref="AE2501:AE2564" si="39">IF(AH2501="","",AH2501*1)</f>
        <v/>
      </c>
      <c r="AF2501" s="168">
        <v>0</v>
      </c>
      <c r="AG2501" s="168" t="str" cm="1">
        <f t="array" ref="AG2501">IF(AF2501="","",_xlfn.TEXTSPLIT(AF2501,"-"))</f>
        <v>0</v>
      </c>
      <c r="AH2501" s="168"/>
    </row>
    <row r="2502" spans="26:34" ht="24" customHeight="1">
      <c r="Z2502"/>
      <c r="AA2502"/>
      <c r="AB2502"/>
      <c r="AC2502"/>
      <c r="AD2502"/>
      <c r="AE2502" s="168" t="str">
        <f t="shared" si="39"/>
        <v/>
      </c>
      <c r="AF2502" s="168">
        <v>0</v>
      </c>
      <c r="AG2502" s="168" t="str" cm="1">
        <f t="array" ref="AG2502">IF(AF2502="","",_xlfn.TEXTSPLIT(AF2502,"-"))</f>
        <v>0</v>
      </c>
      <c r="AH2502" s="168"/>
    </row>
    <row r="2503" spans="26:34" ht="24" customHeight="1">
      <c r="Z2503"/>
      <c r="AA2503"/>
      <c r="AB2503"/>
      <c r="AC2503"/>
      <c r="AD2503"/>
      <c r="AE2503" s="168" t="str">
        <f t="shared" si="39"/>
        <v/>
      </c>
      <c r="AF2503" s="168">
        <v>0</v>
      </c>
      <c r="AG2503" s="168" t="str" cm="1">
        <f t="array" ref="AG2503">IF(AF2503="","",_xlfn.TEXTSPLIT(AF2503,"-"))</f>
        <v>0</v>
      </c>
      <c r="AH2503" s="168"/>
    </row>
    <row r="2504" spans="26:34" ht="24" customHeight="1">
      <c r="Z2504"/>
      <c r="AA2504"/>
      <c r="AB2504"/>
      <c r="AC2504"/>
      <c r="AD2504"/>
      <c r="AE2504" s="168" t="str">
        <f t="shared" si="39"/>
        <v/>
      </c>
      <c r="AF2504" s="168">
        <v>0</v>
      </c>
      <c r="AG2504" s="168" t="str" cm="1">
        <f t="array" ref="AG2504">IF(AF2504="","",_xlfn.TEXTSPLIT(AF2504,"-"))</f>
        <v>0</v>
      </c>
      <c r="AH2504" s="168"/>
    </row>
    <row r="2505" spans="26:34" ht="24" customHeight="1">
      <c r="Z2505"/>
      <c r="AA2505"/>
      <c r="AB2505"/>
      <c r="AC2505"/>
      <c r="AD2505"/>
      <c r="AE2505" s="168" t="str">
        <f t="shared" si="39"/>
        <v/>
      </c>
      <c r="AF2505" s="168">
        <v>0</v>
      </c>
      <c r="AG2505" s="168" t="str" cm="1">
        <f t="array" ref="AG2505">IF(AF2505="","",_xlfn.TEXTSPLIT(AF2505,"-"))</f>
        <v>0</v>
      </c>
      <c r="AH2505" s="168"/>
    </row>
    <row r="2506" spans="26:34" ht="24" customHeight="1">
      <c r="Z2506"/>
      <c r="AA2506"/>
      <c r="AB2506"/>
      <c r="AC2506"/>
      <c r="AD2506"/>
      <c r="AE2506" s="168" t="str">
        <f t="shared" si="39"/>
        <v/>
      </c>
      <c r="AF2506" s="168">
        <v>0</v>
      </c>
      <c r="AG2506" s="168" t="str" cm="1">
        <f t="array" ref="AG2506">IF(AF2506="","",_xlfn.TEXTSPLIT(AF2506,"-"))</f>
        <v>0</v>
      </c>
      <c r="AH2506" s="168"/>
    </row>
    <row r="2507" spans="26:34" ht="24" customHeight="1">
      <c r="Z2507"/>
      <c r="AA2507"/>
      <c r="AB2507"/>
      <c r="AC2507"/>
      <c r="AD2507"/>
      <c r="AE2507" s="168" t="str">
        <f t="shared" si="39"/>
        <v/>
      </c>
      <c r="AF2507" s="168">
        <v>0</v>
      </c>
      <c r="AG2507" s="168" t="str" cm="1">
        <f t="array" ref="AG2507">IF(AF2507="","",_xlfn.TEXTSPLIT(AF2507,"-"))</f>
        <v>0</v>
      </c>
      <c r="AH2507" s="168"/>
    </row>
    <row r="2508" spans="26:34" ht="24" customHeight="1">
      <c r="Z2508"/>
      <c r="AA2508"/>
      <c r="AB2508"/>
      <c r="AC2508"/>
      <c r="AD2508"/>
      <c r="AE2508" s="168" t="str">
        <f t="shared" si="39"/>
        <v/>
      </c>
      <c r="AF2508" s="168">
        <v>0</v>
      </c>
      <c r="AG2508" s="168" t="str" cm="1">
        <f t="array" ref="AG2508">IF(AF2508="","",_xlfn.TEXTSPLIT(AF2508,"-"))</f>
        <v>0</v>
      </c>
      <c r="AH2508" s="168"/>
    </row>
    <row r="2509" spans="26:34" ht="24" customHeight="1">
      <c r="Z2509"/>
      <c r="AA2509"/>
      <c r="AB2509"/>
      <c r="AC2509"/>
      <c r="AD2509"/>
      <c r="AE2509" s="168" t="str">
        <f t="shared" si="39"/>
        <v/>
      </c>
      <c r="AF2509" s="168">
        <v>0</v>
      </c>
      <c r="AG2509" s="168" t="str" cm="1">
        <f t="array" ref="AG2509">IF(AF2509="","",_xlfn.TEXTSPLIT(AF2509,"-"))</f>
        <v>0</v>
      </c>
      <c r="AH2509" s="168"/>
    </row>
    <row r="2510" spans="26:34" ht="24" customHeight="1">
      <c r="Z2510"/>
      <c r="AA2510"/>
      <c r="AB2510"/>
      <c r="AC2510"/>
      <c r="AD2510"/>
      <c r="AE2510" s="168" t="str">
        <f t="shared" si="39"/>
        <v/>
      </c>
      <c r="AF2510" s="168">
        <v>0</v>
      </c>
      <c r="AG2510" s="168" t="str" cm="1">
        <f t="array" ref="AG2510">IF(AF2510="","",_xlfn.TEXTSPLIT(AF2510,"-"))</f>
        <v>0</v>
      </c>
      <c r="AH2510" s="168"/>
    </row>
    <row r="2511" spans="26:34" ht="24" customHeight="1">
      <c r="Z2511"/>
      <c r="AA2511"/>
      <c r="AB2511"/>
      <c r="AC2511"/>
      <c r="AD2511"/>
      <c r="AE2511" s="168" t="str">
        <f t="shared" si="39"/>
        <v/>
      </c>
      <c r="AF2511" s="168">
        <v>0</v>
      </c>
      <c r="AG2511" s="168" t="str" cm="1">
        <f t="array" ref="AG2511">IF(AF2511="","",_xlfn.TEXTSPLIT(AF2511,"-"))</f>
        <v>0</v>
      </c>
      <c r="AH2511" s="168"/>
    </row>
    <row r="2512" spans="26:34" ht="24" customHeight="1">
      <c r="Z2512"/>
      <c r="AA2512"/>
      <c r="AB2512"/>
      <c r="AC2512"/>
      <c r="AD2512"/>
      <c r="AE2512" s="168" t="str">
        <f t="shared" si="39"/>
        <v/>
      </c>
      <c r="AF2512" s="168">
        <v>0</v>
      </c>
      <c r="AG2512" s="168" t="str" cm="1">
        <f t="array" ref="AG2512">IF(AF2512="","",_xlfn.TEXTSPLIT(AF2512,"-"))</f>
        <v>0</v>
      </c>
      <c r="AH2512" s="168"/>
    </row>
    <row r="2513" spans="26:34" ht="24" customHeight="1">
      <c r="Z2513"/>
      <c r="AA2513"/>
      <c r="AB2513"/>
      <c r="AC2513"/>
      <c r="AD2513"/>
      <c r="AE2513" s="168" t="str">
        <f t="shared" si="39"/>
        <v/>
      </c>
      <c r="AF2513" s="168">
        <v>0</v>
      </c>
      <c r="AG2513" s="168" t="str" cm="1">
        <f t="array" ref="AG2513">IF(AF2513="","",_xlfn.TEXTSPLIT(AF2513,"-"))</f>
        <v>0</v>
      </c>
      <c r="AH2513" s="168"/>
    </row>
    <row r="2514" spans="26:34" ht="24" customHeight="1">
      <c r="Z2514"/>
      <c r="AA2514"/>
      <c r="AB2514"/>
      <c r="AC2514"/>
      <c r="AD2514"/>
      <c r="AE2514" s="168" t="str">
        <f t="shared" si="39"/>
        <v/>
      </c>
      <c r="AF2514" s="168">
        <v>0</v>
      </c>
      <c r="AG2514" s="168" t="str" cm="1">
        <f t="array" ref="AG2514">IF(AF2514="","",_xlfn.TEXTSPLIT(AF2514,"-"))</f>
        <v>0</v>
      </c>
      <c r="AH2514" s="168"/>
    </row>
    <row r="2515" spans="26:34" ht="24" customHeight="1">
      <c r="Z2515"/>
      <c r="AA2515"/>
      <c r="AB2515"/>
      <c r="AC2515"/>
      <c r="AD2515"/>
      <c r="AE2515" s="168" t="str">
        <f t="shared" si="39"/>
        <v/>
      </c>
      <c r="AF2515" s="168">
        <v>0</v>
      </c>
      <c r="AG2515" s="168" t="str" cm="1">
        <f t="array" ref="AG2515">IF(AF2515="","",_xlfn.TEXTSPLIT(AF2515,"-"))</f>
        <v>0</v>
      </c>
      <c r="AH2515" s="168"/>
    </row>
    <row r="2516" spans="26:34" ht="24" customHeight="1">
      <c r="Z2516"/>
      <c r="AA2516"/>
      <c r="AB2516"/>
      <c r="AC2516"/>
      <c r="AD2516"/>
      <c r="AE2516" s="168" t="str">
        <f t="shared" si="39"/>
        <v/>
      </c>
      <c r="AF2516" s="168">
        <v>0</v>
      </c>
      <c r="AG2516" s="168" t="str" cm="1">
        <f t="array" ref="AG2516">IF(AF2516="","",_xlfn.TEXTSPLIT(AF2516,"-"))</f>
        <v>0</v>
      </c>
      <c r="AH2516" s="168"/>
    </row>
    <row r="2517" spans="26:34" ht="24" customHeight="1">
      <c r="Z2517"/>
      <c r="AA2517"/>
      <c r="AB2517"/>
      <c r="AC2517"/>
      <c r="AD2517"/>
      <c r="AE2517" s="168" t="str">
        <f t="shared" si="39"/>
        <v/>
      </c>
      <c r="AF2517" s="168">
        <v>0</v>
      </c>
      <c r="AG2517" s="168" t="str" cm="1">
        <f t="array" ref="AG2517">IF(AF2517="","",_xlfn.TEXTSPLIT(AF2517,"-"))</f>
        <v>0</v>
      </c>
      <c r="AH2517" s="168"/>
    </row>
    <row r="2518" spans="26:34" ht="24" customHeight="1">
      <c r="Z2518"/>
      <c r="AA2518"/>
      <c r="AB2518"/>
      <c r="AC2518"/>
      <c r="AD2518"/>
      <c r="AE2518" s="168" t="str">
        <f t="shared" si="39"/>
        <v/>
      </c>
      <c r="AF2518" s="168">
        <v>0</v>
      </c>
      <c r="AG2518" s="168" t="str" cm="1">
        <f t="array" ref="AG2518">IF(AF2518="","",_xlfn.TEXTSPLIT(AF2518,"-"))</f>
        <v>0</v>
      </c>
      <c r="AH2518" s="168"/>
    </row>
    <row r="2519" spans="26:34" ht="24" customHeight="1">
      <c r="Z2519"/>
      <c r="AA2519"/>
      <c r="AB2519"/>
      <c r="AC2519"/>
      <c r="AD2519"/>
      <c r="AE2519" s="168" t="str">
        <f t="shared" si="39"/>
        <v/>
      </c>
      <c r="AF2519" s="168">
        <v>0</v>
      </c>
      <c r="AG2519" s="168" t="str" cm="1">
        <f t="array" ref="AG2519">IF(AF2519="","",_xlfn.TEXTSPLIT(AF2519,"-"))</f>
        <v>0</v>
      </c>
      <c r="AH2519" s="168"/>
    </row>
    <row r="2520" spans="26:34" ht="24" customHeight="1">
      <c r="Z2520"/>
      <c r="AA2520"/>
      <c r="AB2520"/>
      <c r="AC2520"/>
      <c r="AD2520"/>
      <c r="AE2520" s="168" t="str">
        <f t="shared" si="39"/>
        <v/>
      </c>
      <c r="AF2520" s="168">
        <v>0</v>
      </c>
      <c r="AG2520" s="168" t="str" cm="1">
        <f t="array" ref="AG2520">IF(AF2520="","",_xlfn.TEXTSPLIT(AF2520,"-"))</f>
        <v>0</v>
      </c>
      <c r="AH2520" s="168"/>
    </row>
    <row r="2521" spans="26:34" ht="24" customHeight="1">
      <c r="Z2521"/>
      <c r="AA2521"/>
      <c r="AB2521"/>
      <c r="AC2521"/>
      <c r="AD2521"/>
      <c r="AE2521" s="168" t="str">
        <f t="shared" si="39"/>
        <v/>
      </c>
      <c r="AF2521" s="168">
        <v>0</v>
      </c>
      <c r="AG2521" s="168" t="str" cm="1">
        <f t="array" ref="AG2521">IF(AF2521="","",_xlfn.TEXTSPLIT(AF2521,"-"))</f>
        <v>0</v>
      </c>
      <c r="AH2521" s="168"/>
    </row>
    <row r="2522" spans="26:34" ht="24" customHeight="1">
      <c r="Z2522"/>
      <c r="AA2522"/>
      <c r="AB2522"/>
      <c r="AC2522"/>
      <c r="AD2522"/>
      <c r="AE2522" s="168" t="str">
        <f t="shared" si="39"/>
        <v/>
      </c>
      <c r="AF2522" s="168">
        <v>0</v>
      </c>
      <c r="AG2522" s="168" t="str" cm="1">
        <f t="array" ref="AG2522">IF(AF2522="","",_xlfn.TEXTSPLIT(AF2522,"-"))</f>
        <v>0</v>
      </c>
      <c r="AH2522" s="168"/>
    </row>
    <row r="2523" spans="26:34" ht="24" customHeight="1">
      <c r="Z2523"/>
      <c r="AA2523"/>
      <c r="AB2523"/>
      <c r="AC2523"/>
      <c r="AD2523"/>
      <c r="AE2523" s="168" t="str">
        <f t="shared" si="39"/>
        <v/>
      </c>
      <c r="AF2523" s="168">
        <v>0</v>
      </c>
      <c r="AG2523" s="168" t="str" cm="1">
        <f t="array" ref="AG2523">IF(AF2523="","",_xlfn.TEXTSPLIT(AF2523,"-"))</f>
        <v>0</v>
      </c>
      <c r="AH2523" s="168"/>
    </row>
    <row r="2524" spans="26:34" ht="24" customHeight="1">
      <c r="Z2524"/>
      <c r="AA2524"/>
      <c r="AB2524"/>
      <c r="AC2524"/>
      <c r="AD2524"/>
      <c r="AE2524" s="168" t="str">
        <f t="shared" si="39"/>
        <v/>
      </c>
      <c r="AF2524" s="168">
        <v>0</v>
      </c>
      <c r="AG2524" s="168" t="str" cm="1">
        <f t="array" ref="AG2524">IF(AF2524="","",_xlfn.TEXTSPLIT(AF2524,"-"))</f>
        <v>0</v>
      </c>
      <c r="AH2524" s="168"/>
    </row>
    <row r="2525" spans="26:34" ht="24" customHeight="1">
      <c r="Z2525"/>
      <c r="AA2525"/>
      <c r="AB2525"/>
      <c r="AC2525"/>
      <c r="AD2525"/>
      <c r="AE2525" s="168" t="str">
        <f t="shared" si="39"/>
        <v/>
      </c>
      <c r="AF2525" s="168">
        <v>0</v>
      </c>
      <c r="AG2525" s="168" t="str" cm="1">
        <f t="array" ref="AG2525">IF(AF2525="","",_xlfn.TEXTSPLIT(AF2525,"-"))</f>
        <v>0</v>
      </c>
      <c r="AH2525" s="168"/>
    </row>
    <row r="2526" spans="26:34" ht="24" customHeight="1">
      <c r="Z2526"/>
      <c r="AA2526"/>
      <c r="AB2526"/>
      <c r="AC2526"/>
      <c r="AD2526"/>
      <c r="AE2526" s="168" t="str">
        <f t="shared" si="39"/>
        <v/>
      </c>
      <c r="AF2526" s="168">
        <v>0</v>
      </c>
      <c r="AG2526" s="168" t="str" cm="1">
        <f t="array" ref="AG2526">IF(AF2526="","",_xlfn.TEXTSPLIT(AF2526,"-"))</f>
        <v>0</v>
      </c>
      <c r="AH2526" s="168"/>
    </row>
    <row r="2527" spans="26:34" ht="24" customHeight="1">
      <c r="Z2527"/>
      <c r="AA2527"/>
      <c r="AB2527"/>
      <c r="AC2527"/>
      <c r="AD2527"/>
      <c r="AE2527" s="168" t="str">
        <f t="shared" si="39"/>
        <v/>
      </c>
      <c r="AF2527" s="168">
        <v>0</v>
      </c>
      <c r="AG2527" s="168" t="str" cm="1">
        <f t="array" ref="AG2527">IF(AF2527="","",_xlfn.TEXTSPLIT(AF2527,"-"))</f>
        <v>0</v>
      </c>
      <c r="AH2527" s="168"/>
    </row>
    <row r="2528" spans="26:34" ht="24" customHeight="1">
      <c r="Z2528"/>
      <c r="AA2528"/>
      <c r="AB2528"/>
      <c r="AC2528"/>
      <c r="AD2528"/>
      <c r="AE2528" s="168" t="str">
        <f t="shared" si="39"/>
        <v/>
      </c>
      <c r="AF2528" s="168">
        <v>0</v>
      </c>
      <c r="AG2528" s="168" t="str" cm="1">
        <f t="array" ref="AG2528">IF(AF2528="","",_xlfn.TEXTSPLIT(AF2528,"-"))</f>
        <v>0</v>
      </c>
      <c r="AH2528" s="168"/>
    </row>
    <row r="2529" spans="26:34" ht="24" customHeight="1">
      <c r="Z2529"/>
      <c r="AA2529"/>
      <c r="AB2529"/>
      <c r="AC2529"/>
      <c r="AD2529"/>
      <c r="AE2529" s="168" t="str">
        <f t="shared" si="39"/>
        <v/>
      </c>
      <c r="AF2529" s="168">
        <v>0</v>
      </c>
      <c r="AG2529" s="168" t="str" cm="1">
        <f t="array" ref="AG2529">IF(AF2529="","",_xlfn.TEXTSPLIT(AF2529,"-"))</f>
        <v>0</v>
      </c>
      <c r="AH2529" s="168"/>
    </row>
    <row r="2530" spans="26:34" ht="24" customHeight="1">
      <c r="Z2530"/>
      <c r="AA2530"/>
      <c r="AB2530"/>
      <c r="AC2530"/>
      <c r="AD2530"/>
      <c r="AE2530" s="168" t="str">
        <f t="shared" si="39"/>
        <v/>
      </c>
      <c r="AF2530" s="168">
        <v>0</v>
      </c>
      <c r="AG2530" s="168" t="str" cm="1">
        <f t="array" ref="AG2530">IF(AF2530="","",_xlfn.TEXTSPLIT(AF2530,"-"))</f>
        <v>0</v>
      </c>
      <c r="AH2530" s="168"/>
    </row>
    <row r="2531" spans="26:34" ht="24" customHeight="1">
      <c r="Z2531"/>
      <c r="AA2531"/>
      <c r="AB2531"/>
      <c r="AC2531"/>
      <c r="AD2531"/>
      <c r="AE2531" s="168" t="str">
        <f t="shared" si="39"/>
        <v/>
      </c>
      <c r="AF2531" s="168">
        <v>0</v>
      </c>
      <c r="AG2531" s="168" t="str" cm="1">
        <f t="array" ref="AG2531">IF(AF2531="","",_xlfn.TEXTSPLIT(AF2531,"-"))</f>
        <v>0</v>
      </c>
      <c r="AH2531" s="168"/>
    </row>
    <row r="2532" spans="26:34" ht="24" customHeight="1">
      <c r="Z2532"/>
      <c r="AA2532"/>
      <c r="AB2532"/>
      <c r="AC2532"/>
      <c r="AD2532"/>
      <c r="AE2532" s="168" t="str">
        <f t="shared" si="39"/>
        <v/>
      </c>
      <c r="AF2532" s="168">
        <v>0</v>
      </c>
      <c r="AG2532" s="168" t="str" cm="1">
        <f t="array" ref="AG2532">IF(AF2532="","",_xlfn.TEXTSPLIT(AF2532,"-"))</f>
        <v>0</v>
      </c>
      <c r="AH2532" s="168"/>
    </row>
    <row r="2533" spans="26:34" ht="24" customHeight="1">
      <c r="Z2533"/>
      <c r="AA2533"/>
      <c r="AB2533"/>
      <c r="AC2533"/>
      <c r="AD2533"/>
      <c r="AE2533" s="168" t="str">
        <f t="shared" si="39"/>
        <v/>
      </c>
      <c r="AF2533" s="168">
        <v>0</v>
      </c>
      <c r="AG2533" s="168" t="str" cm="1">
        <f t="array" ref="AG2533">IF(AF2533="","",_xlfn.TEXTSPLIT(AF2533,"-"))</f>
        <v>0</v>
      </c>
      <c r="AH2533" s="168"/>
    </row>
    <row r="2534" spans="26:34" ht="24" customHeight="1">
      <c r="Z2534"/>
      <c r="AA2534"/>
      <c r="AB2534"/>
      <c r="AC2534"/>
      <c r="AD2534"/>
      <c r="AE2534" s="168" t="str">
        <f t="shared" si="39"/>
        <v/>
      </c>
      <c r="AF2534" s="168">
        <v>0</v>
      </c>
      <c r="AG2534" s="168" t="str" cm="1">
        <f t="array" ref="AG2534">IF(AF2534="","",_xlfn.TEXTSPLIT(AF2534,"-"))</f>
        <v>0</v>
      </c>
      <c r="AH2534" s="168"/>
    </row>
    <row r="2535" spans="26:34" ht="24" customHeight="1">
      <c r="Z2535"/>
      <c r="AA2535"/>
      <c r="AB2535"/>
      <c r="AC2535"/>
      <c r="AD2535"/>
      <c r="AE2535" s="168" t="str">
        <f t="shared" si="39"/>
        <v/>
      </c>
      <c r="AF2535" s="168">
        <v>0</v>
      </c>
      <c r="AG2535" s="168" t="str" cm="1">
        <f t="array" ref="AG2535">IF(AF2535="","",_xlfn.TEXTSPLIT(AF2535,"-"))</f>
        <v>0</v>
      </c>
      <c r="AH2535" s="168"/>
    </row>
    <row r="2536" spans="26:34" ht="24" customHeight="1">
      <c r="Z2536"/>
      <c r="AA2536"/>
      <c r="AB2536"/>
      <c r="AC2536"/>
      <c r="AD2536"/>
      <c r="AE2536" s="168" t="str">
        <f t="shared" si="39"/>
        <v/>
      </c>
      <c r="AF2536" s="168">
        <v>0</v>
      </c>
      <c r="AG2536" s="168" t="str" cm="1">
        <f t="array" ref="AG2536">IF(AF2536="","",_xlfn.TEXTSPLIT(AF2536,"-"))</f>
        <v>0</v>
      </c>
      <c r="AH2536" s="168"/>
    </row>
    <row r="2537" spans="26:34" ht="24" customHeight="1">
      <c r="Z2537"/>
      <c r="AA2537"/>
      <c r="AB2537"/>
      <c r="AC2537"/>
      <c r="AD2537"/>
      <c r="AE2537" s="168" t="str">
        <f t="shared" si="39"/>
        <v/>
      </c>
      <c r="AF2537" s="168">
        <v>0</v>
      </c>
      <c r="AG2537" s="168" t="str" cm="1">
        <f t="array" ref="AG2537">IF(AF2537="","",_xlfn.TEXTSPLIT(AF2537,"-"))</f>
        <v>0</v>
      </c>
      <c r="AH2537" s="168"/>
    </row>
    <row r="2538" spans="26:34" ht="24" customHeight="1">
      <c r="Z2538"/>
      <c r="AA2538"/>
      <c r="AB2538"/>
      <c r="AC2538"/>
      <c r="AD2538"/>
      <c r="AE2538" s="168" t="str">
        <f t="shared" si="39"/>
        <v/>
      </c>
      <c r="AF2538" s="168">
        <v>0</v>
      </c>
      <c r="AG2538" s="168" t="str" cm="1">
        <f t="array" ref="AG2538">IF(AF2538="","",_xlfn.TEXTSPLIT(AF2538,"-"))</f>
        <v>0</v>
      </c>
      <c r="AH2538" s="168"/>
    </row>
    <row r="2539" spans="26:34" ht="24" customHeight="1">
      <c r="Z2539"/>
      <c r="AA2539"/>
      <c r="AB2539"/>
      <c r="AC2539"/>
      <c r="AD2539"/>
      <c r="AE2539" s="168" t="str">
        <f t="shared" si="39"/>
        <v/>
      </c>
      <c r="AF2539" s="168">
        <v>0</v>
      </c>
      <c r="AG2539" s="168" t="str" cm="1">
        <f t="array" ref="AG2539">IF(AF2539="","",_xlfn.TEXTSPLIT(AF2539,"-"))</f>
        <v>0</v>
      </c>
      <c r="AH2539" s="168"/>
    </row>
    <row r="2540" spans="26:34" ht="24" customHeight="1">
      <c r="Z2540"/>
      <c r="AA2540"/>
      <c r="AB2540"/>
      <c r="AC2540"/>
      <c r="AD2540"/>
      <c r="AE2540" s="168" t="str">
        <f t="shared" si="39"/>
        <v/>
      </c>
      <c r="AF2540" s="168">
        <v>0</v>
      </c>
      <c r="AG2540" s="168" t="str" cm="1">
        <f t="array" ref="AG2540">IF(AF2540="","",_xlfn.TEXTSPLIT(AF2540,"-"))</f>
        <v>0</v>
      </c>
      <c r="AH2540" s="168"/>
    </row>
    <row r="2541" spans="26:34" ht="24" customHeight="1">
      <c r="Z2541"/>
      <c r="AA2541"/>
      <c r="AB2541"/>
      <c r="AC2541"/>
      <c r="AD2541"/>
      <c r="AE2541" s="168" t="str">
        <f t="shared" si="39"/>
        <v/>
      </c>
      <c r="AF2541" s="168">
        <v>0</v>
      </c>
      <c r="AG2541" s="168" t="str" cm="1">
        <f t="array" ref="AG2541">IF(AF2541="","",_xlfn.TEXTSPLIT(AF2541,"-"))</f>
        <v>0</v>
      </c>
      <c r="AH2541" s="168"/>
    </row>
    <row r="2542" spans="26:34" ht="24" customHeight="1">
      <c r="Z2542"/>
      <c r="AA2542"/>
      <c r="AB2542"/>
      <c r="AC2542"/>
      <c r="AD2542"/>
      <c r="AE2542" s="168" t="str">
        <f t="shared" si="39"/>
        <v/>
      </c>
      <c r="AF2542" s="168">
        <v>0</v>
      </c>
      <c r="AG2542" s="168" t="str" cm="1">
        <f t="array" ref="AG2542">IF(AF2542="","",_xlfn.TEXTSPLIT(AF2542,"-"))</f>
        <v>0</v>
      </c>
      <c r="AH2542" s="168"/>
    </row>
    <row r="2543" spans="26:34" ht="24" customHeight="1">
      <c r="Z2543"/>
      <c r="AA2543"/>
      <c r="AB2543"/>
      <c r="AC2543"/>
      <c r="AD2543"/>
      <c r="AE2543" s="168" t="str">
        <f t="shared" si="39"/>
        <v/>
      </c>
      <c r="AF2543" s="168">
        <v>0</v>
      </c>
      <c r="AG2543" s="168" t="str" cm="1">
        <f t="array" ref="AG2543">IF(AF2543="","",_xlfn.TEXTSPLIT(AF2543,"-"))</f>
        <v>0</v>
      </c>
      <c r="AH2543" s="168"/>
    </row>
    <row r="2544" spans="26:34" ht="24" customHeight="1">
      <c r="Z2544"/>
      <c r="AA2544"/>
      <c r="AB2544"/>
      <c r="AC2544"/>
      <c r="AD2544"/>
      <c r="AE2544" s="168" t="str">
        <f t="shared" si="39"/>
        <v/>
      </c>
      <c r="AF2544" s="168">
        <v>0</v>
      </c>
      <c r="AG2544" s="168" t="str" cm="1">
        <f t="array" ref="AG2544">IF(AF2544="","",_xlfn.TEXTSPLIT(AF2544,"-"))</f>
        <v>0</v>
      </c>
      <c r="AH2544" s="168"/>
    </row>
    <row r="2545" spans="26:34" ht="24" customHeight="1">
      <c r="Z2545"/>
      <c r="AA2545"/>
      <c r="AB2545"/>
      <c r="AC2545"/>
      <c r="AD2545"/>
      <c r="AE2545" s="168" t="str">
        <f t="shared" si="39"/>
        <v/>
      </c>
      <c r="AF2545" s="168">
        <v>0</v>
      </c>
      <c r="AG2545" s="168" t="str" cm="1">
        <f t="array" ref="AG2545">IF(AF2545="","",_xlfn.TEXTSPLIT(AF2545,"-"))</f>
        <v>0</v>
      </c>
      <c r="AH2545" s="168"/>
    </row>
    <row r="2546" spans="26:34" ht="24" customHeight="1">
      <c r="Z2546"/>
      <c r="AA2546"/>
      <c r="AB2546"/>
      <c r="AC2546"/>
      <c r="AD2546"/>
      <c r="AE2546" s="168" t="str">
        <f t="shared" si="39"/>
        <v/>
      </c>
      <c r="AF2546" s="168">
        <v>0</v>
      </c>
      <c r="AG2546" s="168" t="str" cm="1">
        <f t="array" ref="AG2546">IF(AF2546="","",_xlfn.TEXTSPLIT(AF2546,"-"))</f>
        <v>0</v>
      </c>
      <c r="AH2546" s="168"/>
    </row>
    <row r="2547" spans="26:34" ht="24" customHeight="1">
      <c r="Z2547"/>
      <c r="AA2547"/>
      <c r="AB2547"/>
      <c r="AC2547"/>
      <c r="AD2547"/>
      <c r="AE2547" s="168" t="str">
        <f t="shared" si="39"/>
        <v/>
      </c>
      <c r="AF2547" s="168">
        <v>0</v>
      </c>
      <c r="AG2547" s="168" t="str" cm="1">
        <f t="array" ref="AG2547">IF(AF2547="","",_xlfn.TEXTSPLIT(AF2547,"-"))</f>
        <v>0</v>
      </c>
      <c r="AH2547" s="168"/>
    </row>
    <row r="2548" spans="26:34" ht="24" customHeight="1">
      <c r="Z2548"/>
      <c r="AA2548"/>
      <c r="AB2548"/>
      <c r="AC2548"/>
      <c r="AD2548"/>
      <c r="AE2548" s="168" t="str">
        <f t="shared" si="39"/>
        <v/>
      </c>
      <c r="AF2548" s="168">
        <v>0</v>
      </c>
      <c r="AG2548" s="168" t="str" cm="1">
        <f t="array" ref="AG2548">IF(AF2548="","",_xlfn.TEXTSPLIT(AF2548,"-"))</f>
        <v>0</v>
      </c>
      <c r="AH2548" s="168"/>
    </row>
    <row r="2549" spans="26:34" ht="24" customHeight="1">
      <c r="Z2549"/>
      <c r="AA2549"/>
      <c r="AB2549"/>
      <c r="AC2549"/>
      <c r="AD2549"/>
      <c r="AE2549" s="168" t="str">
        <f t="shared" si="39"/>
        <v/>
      </c>
      <c r="AF2549" s="168">
        <v>0</v>
      </c>
      <c r="AG2549" s="168" t="str" cm="1">
        <f t="array" ref="AG2549">IF(AF2549="","",_xlfn.TEXTSPLIT(AF2549,"-"))</f>
        <v>0</v>
      </c>
      <c r="AH2549" s="168"/>
    </row>
    <row r="2550" spans="26:34" ht="24" customHeight="1">
      <c r="Z2550"/>
      <c r="AA2550"/>
      <c r="AB2550"/>
      <c r="AC2550"/>
      <c r="AD2550"/>
      <c r="AE2550" s="168" t="str">
        <f t="shared" si="39"/>
        <v/>
      </c>
      <c r="AF2550" s="168">
        <v>0</v>
      </c>
      <c r="AG2550" s="168" t="str" cm="1">
        <f t="array" ref="AG2550">IF(AF2550="","",_xlfn.TEXTSPLIT(AF2550,"-"))</f>
        <v>0</v>
      </c>
      <c r="AH2550" s="168"/>
    </row>
    <row r="2551" spans="26:34" ht="24" customHeight="1">
      <c r="Z2551"/>
      <c r="AA2551"/>
      <c r="AB2551"/>
      <c r="AC2551"/>
      <c r="AD2551"/>
      <c r="AE2551" s="168" t="str">
        <f t="shared" si="39"/>
        <v/>
      </c>
      <c r="AF2551" s="168">
        <v>0</v>
      </c>
      <c r="AG2551" s="168" t="str" cm="1">
        <f t="array" ref="AG2551">IF(AF2551="","",_xlfn.TEXTSPLIT(AF2551,"-"))</f>
        <v>0</v>
      </c>
      <c r="AH2551" s="168"/>
    </row>
    <row r="2552" spans="26:34" ht="24" customHeight="1">
      <c r="Z2552"/>
      <c r="AA2552"/>
      <c r="AB2552"/>
      <c r="AC2552"/>
      <c r="AD2552"/>
      <c r="AE2552" s="168" t="str">
        <f t="shared" si="39"/>
        <v/>
      </c>
      <c r="AF2552" s="168">
        <v>0</v>
      </c>
      <c r="AG2552" s="168" t="str" cm="1">
        <f t="array" ref="AG2552">IF(AF2552="","",_xlfn.TEXTSPLIT(AF2552,"-"))</f>
        <v>0</v>
      </c>
      <c r="AH2552" s="168"/>
    </row>
    <row r="2553" spans="26:34" ht="24" customHeight="1">
      <c r="Z2553"/>
      <c r="AA2553"/>
      <c r="AB2553"/>
      <c r="AC2553"/>
      <c r="AD2553"/>
      <c r="AE2553" s="168" t="str">
        <f t="shared" si="39"/>
        <v/>
      </c>
      <c r="AF2553" s="168">
        <v>0</v>
      </c>
      <c r="AG2553" s="168" t="str" cm="1">
        <f t="array" ref="AG2553">IF(AF2553="","",_xlfn.TEXTSPLIT(AF2553,"-"))</f>
        <v>0</v>
      </c>
      <c r="AH2553" s="168"/>
    </row>
    <row r="2554" spans="26:34" ht="24" customHeight="1">
      <c r="Z2554"/>
      <c r="AA2554"/>
      <c r="AB2554"/>
      <c r="AC2554"/>
      <c r="AD2554"/>
      <c r="AE2554" s="168" t="str">
        <f t="shared" si="39"/>
        <v/>
      </c>
      <c r="AF2554" s="168">
        <v>0</v>
      </c>
      <c r="AG2554" s="168" t="str" cm="1">
        <f t="array" ref="AG2554">IF(AF2554="","",_xlfn.TEXTSPLIT(AF2554,"-"))</f>
        <v>0</v>
      </c>
      <c r="AH2554" s="168"/>
    </row>
    <row r="2555" spans="26:34" ht="24" customHeight="1">
      <c r="Z2555"/>
      <c r="AA2555"/>
      <c r="AB2555"/>
      <c r="AC2555"/>
      <c r="AD2555"/>
      <c r="AE2555" s="168" t="str">
        <f t="shared" si="39"/>
        <v/>
      </c>
      <c r="AF2555" s="168">
        <v>0</v>
      </c>
      <c r="AG2555" s="168" t="str" cm="1">
        <f t="array" ref="AG2555">IF(AF2555="","",_xlfn.TEXTSPLIT(AF2555,"-"))</f>
        <v>0</v>
      </c>
      <c r="AH2555" s="168"/>
    </row>
    <row r="2556" spans="26:34" ht="24" customHeight="1">
      <c r="Z2556"/>
      <c r="AA2556"/>
      <c r="AB2556"/>
      <c r="AC2556"/>
      <c r="AD2556"/>
      <c r="AE2556" s="168" t="str">
        <f t="shared" si="39"/>
        <v/>
      </c>
      <c r="AF2556" s="168">
        <v>0</v>
      </c>
      <c r="AG2556" s="168" t="str" cm="1">
        <f t="array" ref="AG2556">IF(AF2556="","",_xlfn.TEXTSPLIT(AF2556,"-"))</f>
        <v>0</v>
      </c>
      <c r="AH2556" s="168"/>
    </row>
    <row r="2557" spans="26:34" ht="24" customHeight="1">
      <c r="Z2557"/>
      <c r="AA2557"/>
      <c r="AB2557"/>
      <c r="AC2557"/>
      <c r="AD2557"/>
      <c r="AE2557" s="168" t="str">
        <f t="shared" si="39"/>
        <v/>
      </c>
      <c r="AF2557" s="168">
        <v>0</v>
      </c>
      <c r="AG2557" s="168" t="str" cm="1">
        <f t="array" ref="AG2557">IF(AF2557="","",_xlfn.TEXTSPLIT(AF2557,"-"))</f>
        <v>0</v>
      </c>
      <c r="AH2557" s="168"/>
    </row>
    <row r="2558" spans="26:34" ht="24" customHeight="1">
      <c r="Z2558"/>
      <c r="AA2558"/>
      <c r="AB2558"/>
      <c r="AC2558"/>
      <c r="AD2558"/>
      <c r="AE2558" s="168" t="str">
        <f t="shared" si="39"/>
        <v/>
      </c>
      <c r="AF2558" s="168">
        <v>0</v>
      </c>
      <c r="AG2558" s="168" t="str" cm="1">
        <f t="array" ref="AG2558">IF(AF2558="","",_xlfn.TEXTSPLIT(AF2558,"-"))</f>
        <v>0</v>
      </c>
      <c r="AH2558" s="168"/>
    </row>
    <row r="2559" spans="26:34" ht="24" customHeight="1">
      <c r="Z2559"/>
      <c r="AA2559"/>
      <c r="AB2559"/>
      <c r="AC2559"/>
      <c r="AD2559"/>
      <c r="AE2559" s="168" t="str">
        <f t="shared" si="39"/>
        <v/>
      </c>
      <c r="AF2559" s="168">
        <v>0</v>
      </c>
      <c r="AG2559" s="168" t="str" cm="1">
        <f t="array" ref="AG2559">IF(AF2559="","",_xlfn.TEXTSPLIT(AF2559,"-"))</f>
        <v>0</v>
      </c>
      <c r="AH2559" s="168"/>
    </row>
    <row r="2560" spans="26:34" ht="24" customHeight="1">
      <c r="Z2560"/>
      <c r="AA2560"/>
      <c r="AB2560"/>
      <c r="AC2560"/>
      <c r="AD2560"/>
      <c r="AE2560" s="168" t="str">
        <f t="shared" si="39"/>
        <v/>
      </c>
      <c r="AF2560" s="168">
        <v>0</v>
      </c>
      <c r="AG2560" s="168" t="str" cm="1">
        <f t="array" ref="AG2560">IF(AF2560="","",_xlfn.TEXTSPLIT(AF2560,"-"))</f>
        <v>0</v>
      </c>
      <c r="AH2560" s="168"/>
    </row>
    <row r="2561" spans="26:34" ht="24" customHeight="1">
      <c r="Z2561"/>
      <c r="AA2561"/>
      <c r="AB2561"/>
      <c r="AC2561"/>
      <c r="AD2561"/>
      <c r="AE2561" s="168" t="str">
        <f t="shared" si="39"/>
        <v/>
      </c>
      <c r="AF2561" s="168">
        <v>0</v>
      </c>
      <c r="AG2561" s="168" t="str" cm="1">
        <f t="array" ref="AG2561">IF(AF2561="","",_xlfn.TEXTSPLIT(AF2561,"-"))</f>
        <v>0</v>
      </c>
      <c r="AH2561" s="168"/>
    </row>
    <row r="2562" spans="26:34" ht="24" customHeight="1">
      <c r="Z2562"/>
      <c r="AA2562"/>
      <c r="AB2562"/>
      <c r="AC2562"/>
      <c r="AD2562"/>
      <c r="AE2562" s="168" t="str">
        <f t="shared" si="39"/>
        <v/>
      </c>
      <c r="AF2562" s="168">
        <v>0</v>
      </c>
      <c r="AG2562" s="168" t="str" cm="1">
        <f t="array" ref="AG2562">IF(AF2562="","",_xlfn.TEXTSPLIT(AF2562,"-"))</f>
        <v>0</v>
      </c>
      <c r="AH2562" s="168"/>
    </row>
    <row r="2563" spans="26:34" ht="24" customHeight="1">
      <c r="Z2563"/>
      <c r="AA2563"/>
      <c r="AB2563"/>
      <c r="AC2563"/>
      <c r="AD2563"/>
      <c r="AE2563" s="168" t="str">
        <f t="shared" si="39"/>
        <v/>
      </c>
      <c r="AF2563" s="168">
        <v>0</v>
      </c>
      <c r="AG2563" s="168" t="str" cm="1">
        <f t="array" ref="AG2563">IF(AF2563="","",_xlfn.TEXTSPLIT(AF2563,"-"))</f>
        <v>0</v>
      </c>
      <c r="AH2563" s="168"/>
    </row>
    <row r="2564" spans="26:34" ht="24" customHeight="1">
      <c r="Z2564"/>
      <c r="AA2564"/>
      <c r="AB2564"/>
      <c r="AC2564"/>
      <c r="AD2564"/>
      <c r="AE2564" s="168" t="str">
        <f t="shared" si="39"/>
        <v/>
      </c>
      <c r="AF2564" s="168">
        <v>0</v>
      </c>
      <c r="AG2564" s="168" t="str" cm="1">
        <f t="array" ref="AG2564">IF(AF2564="","",_xlfn.TEXTSPLIT(AF2564,"-"))</f>
        <v>0</v>
      </c>
      <c r="AH2564" s="168"/>
    </row>
    <row r="2565" spans="26:34" ht="24" customHeight="1">
      <c r="Z2565"/>
      <c r="AA2565"/>
      <c r="AB2565"/>
      <c r="AC2565"/>
      <c r="AD2565"/>
      <c r="AE2565" s="168" t="str">
        <f t="shared" ref="AE2565:AE2628" si="40">IF(AH2565="","",AH2565*1)</f>
        <v/>
      </c>
      <c r="AF2565" s="168">
        <v>0</v>
      </c>
      <c r="AG2565" s="168" t="str" cm="1">
        <f t="array" ref="AG2565">IF(AF2565="","",_xlfn.TEXTSPLIT(AF2565,"-"))</f>
        <v>0</v>
      </c>
      <c r="AH2565" s="168"/>
    </row>
    <row r="2566" spans="26:34" ht="24" customHeight="1">
      <c r="Z2566"/>
      <c r="AA2566"/>
      <c r="AB2566"/>
      <c r="AC2566"/>
      <c r="AD2566"/>
      <c r="AE2566" s="168" t="str">
        <f t="shared" si="40"/>
        <v/>
      </c>
      <c r="AF2566" s="168">
        <v>0</v>
      </c>
      <c r="AG2566" s="168" t="str" cm="1">
        <f t="array" ref="AG2566">IF(AF2566="","",_xlfn.TEXTSPLIT(AF2566,"-"))</f>
        <v>0</v>
      </c>
      <c r="AH2566" s="168"/>
    </row>
    <row r="2567" spans="26:34" ht="24" customHeight="1">
      <c r="Z2567"/>
      <c r="AA2567"/>
      <c r="AB2567"/>
      <c r="AC2567"/>
      <c r="AD2567"/>
      <c r="AE2567" s="168" t="str">
        <f t="shared" si="40"/>
        <v/>
      </c>
      <c r="AF2567" s="168">
        <v>0</v>
      </c>
      <c r="AG2567" s="168" t="str" cm="1">
        <f t="array" ref="AG2567">IF(AF2567="","",_xlfn.TEXTSPLIT(AF2567,"-"))</f>
        <v>0</v>
      </c>
      <c r="AH2567" s="168"/>
    </row>
    <row r="2568" spans="26:34" ht="24" customHeight="1">
      <c r="Z2568"/>
      <c r="AA2568"/>
      <c r="AB2568"/>
      <c r="AC2568"/>
      <c r="AD2568"/>
      <c r="AE2568" s="168" t="str">
        <f t="shared" si="40"/>
        <v/>
      </c>
      <c r="AF2568" s="168">
        <v>0</v>
      </c>
      <c r="AG2568" s="168" t="str" cm="1">
        <f t="array" ref="AG2568">IF(AF2568="","",_xlfn.TEXTSPLIT(AF2568,"-"))</f>
        <v>0</v>
      </c>
      <c r="AH2568" s="168"/>
    </row>
    <row r="2569" spans="26:34" ht="24" customHeight="1">
      <c r="Z2569"/>
      <c r="AA2569"/>
      <c r="AB2569"/>
      <c r="AC2569"/>
      <c r="AD2569"/>
      <c r="AE2569" s="168" t="str">
        <f t="shared" si="40"/>
        <v/>
      </c>
      <c r="AF2569" s="168">
        <v>0</v>
      </c>
      <c r="AG2569" s="168" t="str" cm="1">
        <f t="array" ref="AG2569">IF(AF2569="","",_xlfn.TEXTSPLIT(AF2569,"-"))</f>
        <v>0</v>
      </c>
      <c r="AH2569" s="168"/>
    </row>
    <row r="2570" spans="26:34" ht="24" customHeight="1">
      <c r="Z2570"/>
      <c r="AA2570"/>
      <c r="AB2570"/>
      <c r="AC2570"/>
      <c r="AD2570"/>
      <c r="AE2570" s="168" t="str">
        <f t="shared" si="40"/>
        <v/>
      </c>
      <c r="AF2570" s="168">
        <v>0</v>
      </c>
      <c r="AG2570" s="168" t="str" cm="1">
        <f t="array" ref="AG2570">IF(AF2570="","",_xlfn.TEXTSPLIT(AF2570,"-"))</f>
        <v>0</v>
      </c>
      <c r="AH2570" s="168"/>
    </row>
    <row r="2571" spans="26:34" ht="24" customHeight="1">
      <c r="Z2571"/>
      <c r="AA2571"/>
      <c r="AB2571"/>
      <c r="AC2571"/>
      <c r="AD2571"/>
      <c r="AE2571" s="168" t="str">
        <f t="shared" si="40"/>
        <v/>
      </c>
      <c r="AF2571" s="168">
        <v>0</v>
      </c>
      <c r="AG2571" s="168" t="str" cm="1">
        <f t="array" ref="AG2571">IF(AF2571="","",_xlfn.TEXTSPLIT(AF2571,"-"))</f>
        <v>0</v>
      </c>
      <c r="AH2571" s="168"/>
    </row>
    <row r="2572" spans="26:34" ht="24" customHeight="1">
      <c r="Z2572"/>
      <c r="AA2572"/>
      <c r="AB2572"/>
      <c r="AC2572"/>
      <c r="AD2572"/>
      <c r="AE2572" s="168" t="str">
        <f t="shared" si="40"/>
        <v/>
      </c>
      <c r="AF2572" s="168">
        <v>0</v>
      </c>
      <c r="AG2572" s="168" t="str" cm="1">
        <f t="array" ref="AG2572">IF(AF2572="","",_xlfn.TEXTSPLIT(AF2572,"-"))</f>
        <v>0</v>
      </c>
      <c r="AH2572" s="168"/>
    </row>
    <row r="2573" spans="26:34" ht="24" customHeight="1">
      <c r="Z2573"/>
      <c r="AA2573"/>
      <c r="AB2573"/>
      <c r="AC2573"/>
      <c r="AD2573"/>
      <c r="AE2573" s="168" t="str">
        <f t="shared" si="40"/>
        <v/>
      </c>
      <c r="AF2573" s="168">
        <v>0</v>
      </c>
      <c r="AG2573" s="168" t="str" cm="1">
        <f t="array" ref="AG2573">IF(AF2573="","",_xlfn.TEXTSPLIT(AF2573,"-"))</f>
        <v>0</v>
      </c>
      <c r="AH2573" s="168"/>
    </row>
    <row r="2574" spans="26:34" ht="24" customHeight="1">
      <c r="Z2574"/>
      <c r="AA2574"/>
      <c r="AB2574"/>
      <c r="AC2574"/>
      <c r="AD2574"/>
      <c r="AE2574" s="168" t="str">
        <f t="shared" si="40"/>
        <v/>
      </c>
      <c r="AF2574" s="168">
        <v>0</v>
      </c>
      <c r="AG2574" s="168" t="str" cm="1">
        <f t="array" ref="AG2574">IF(AF2574="","",_xlfn.TEXTSPLIT(AF2574,"-"))</f>
        <v>0</v>
      </c>
      <c r="AH2574" s="168"/>
    </row>
    <row r="2575" spans="26:34" ht="24" customHeight="1">
      <c r="Z2575"/>
      <c r="AA2575"/>
      <c r="AB2575"/>
      <c r="AC2575"/>
      <c r="AD2575"/>
      <c r="AE2575" s="168" t="str">
        <f t="shared" si="40"/>
        <v/>
      </c>
      <c r="AF2575" s="168">
        <v>0</v>
      </c>
      <c r="AG2575" s="168" t="str" cm="1">
        <f t="array" ref="AG2575">IF(AF2575="","",_xlfn.TEXTSPLIT(AF2575,"-"))</f>
        <v>0</v>
      </c>
      <c r="AH2575" s="168"/>
    </row>
    <row r="2576" spans="26:34" ht="24" customHeight="1">
      <c r="Z2576"/>
      <c r="AA2576"/>
      <c r="AB2576"/>
      <c r="AC2576"/>
      <c r="AD2576"/>
      <c r="AE2576" s="168" t="str">
        <f t="shared" si="40"/>
        <v/>
      </c>
      <c r="AF2576" s="168">
        <v>0</v>
      </c>
      <c r="AG2576" s="168" t="str" cm="1">
        <f t="array" ref="AG2576">IF(AF2576="","",_xlfn.TEXTSPLIT(AF2576,"-"))</f>
        <v>0</v>
      </c>
      <c r="AH2576" s="168"/>
    </row>
    <row r="2577" spans="26:34" ht="24" customHeight="1">
      <c r="Z2577"/>
      <c r="AA2577"/>
      <c r="AB2577"/>
      <c r="AC2577"/>
      <c r="AD2577"/>
      <c r="AE2577" s="168" t="str">
        <f t="shared" si="40"/>
        <v/>
      </c>
      <c r="AF2577" s="168">
        <v>0</v>
      </c>
      <c r="AG2577" s="168" t="str" cm="1">
        <f t="array" ref="AG2577">IF(AF2577="","",_xlfn.TEXTSPLIT(AF2577,"-"))</f>
        <v>0</v>
      </c>
      <c r="AH2577" s="168"/>
    </row>
    <row r="2578" spans="26:34" ht="24" customHeight="1">
      <c r="Z2578"/>
      <c r="AA2578"/>
      <c r="AB2578"/>
      <c r="AC2578"/>
      <c r="AD2578"/>
      <c r="AE2578" s="168" t="str">
        <f t="shared" si="40"/>
        <v/>
      </c>
      <c r="AF2578" s="168">
        <v>0</v>
      </c>
      <c r="AG2578" s="168" t="str" cm="1">
        <f t="array" ref="AG2578">IF(AF2578="","",_xlfn.TEXTSPLIT(AF2578,"-"))</f>
        <v>0</v>
      </c>
      <c r="AH2578" s="168"/>
    </row>
    <row r="2579" spans="26:34" ht="24" customHeight="1">
      <c r="Z2579"/>
      <c r="AA2579"/>
      <c r="AB2579"/>
      <c r="AC2579"/>
      <c r="AD2579"/>
      <c r="AE2579" s="168" t="str">
        <f t="shared" si="40"/>
        <v/>
      </c>
      <c r="AF2579" s="168">
        <v>0</v>
      </c>
      <c r="AG2579" s="168" t="str" cm="1">
        <f t="array" ref="AG2579">IF(AF2579="","",_xlfn.TEXTSPLIT(AF2579,"-"))</f>
        <v>0</v>
      </c>
      <c r="AH2579" s="168"/>
    </row>
    <row r="2580" spans="26:34" ht="24" customHeight="1">
      <c r="Z2580"/>
      <c r="AA2580"/>
      <c r="AB2580"/>
      <c r="AC2580"/>
      <c r="AD2580"/>
      <c r="AE2580" s="168" t="str">
        <f t="shared" si="40"/>
        <v/>
      </c>
      <c r="AF2580" s="168">
        <v>0</v>
      </c>
      <c r="AG2580" s="168" t="str" cm="1">
        <f t="array" ref="AG2580">IF(AF2580="","",_xlfn.TEXTSPLIT(AF2580,"-"))</f>
        <v>0</v>
      </c>
      <c r="AH2580" s="168"/>
    </row>
    <row r="2581" spans="26:34" ht="24" customHeight="1">
      <c r="Z2581"/>
      <c r="AA2581"/>
      <c r="AB2581"/>
      <c r="AC2581"/>
      <c r="AD2581"/>
      <c r="AE2581" s="168" t="str">
        <f t="shared" si="40"/>
        <v/>
      </c>
      <c r="AF2581" s="168">
        <v>0</v>
      </c>
      <c r="AG2581" s="168" t="str" cm="1">
        <f t="array" ref="AG2581">IF(AF2581="","",_xlfn.TEXTSPLIT(AF2581,"-"))</f>
        <v>0</v>
      </c>
      <c r="AH2581" s="168"/>
    </row>
    <row r="2582" spans="26:34" ht="24" customHeight="1">
      <c r="Z2582"/>
      <c r="AA2582"/>
      <c r="AB2582"/>
      <c r="AC2582"/>
      <c r="AD2582"/>
      <c r="AE2582" s="168" t="str">
        <f t="shared" si="40"/>
        <v/>
      </c>
      <c r="AF2582" s="168">
        <v>0</v>
      </c>
      <c r="AG2582" s="168" t="str" cm="1">
        <f t="array" ref="AG2582">IF(AF2582="","",_xlfn.TEXTSPLIT(AF2582,"-"))</f>
        <v>0</v>
      </c>
      <c r="AH2582" s="168"/>
    </row>
    <row r="2583" spans="26:34" ht="24" customHeight="1">
      <c r="Z2583"/>
      <c r="AA2583"/>
      <c r="AB2583"/>
      <c r="AC2583"/>
      <c r="AD2583"/>
      <c r="AE2583" s="168" t="str">
        <f t="shared" si="40"/>
        <v/>
      </c>
      <c r="AF2583" s="168">
        <v>0</v>
      </c>
      <c r="AG2583" s="168" t="str" cm="1">
        <f t="array" ref="AG2583">IF(AF2583="","",_xlfn.TEXTSPLIT(AF2583,"-"))</f>
        <v>0</v>
      </c>
      <c r="AH2583" s="168"/>
    </row>
    <row r="2584" spans="26:34" ht="24" customHeight="1">
      <c r="Z2584"/>
      <c r="AA2584"/>
      <c r="AB2584"/>
      <c r="AC2584"/>
      <c r="AD2584"/>
      <c r="AE2584" s="168" t="str">
        <f t="shared" si="40"/>
        <v/>
      </c>
      <c r="AF2584" s="168">
        <v>0</v>
      </c>
      <c r="AG2584" s="168" t="str" cm="1">
        <f t="array" ref="AG2584">IF(AF2584="","",_xlfn.TEXTSPLIT(AF2584,"-"))</f>
        <v>0</v>
      </c>
      <c r="AH2584" s="168"/>
    </row>
    <row r="2585" spans="26:34" ht="24" customHeight="1">
      <c r="Z2585"/>
      <c r="AA2585"/>
      <c r="AB2585"/>
      <c r="AC2585"/>
      <c r="AD2585"/>
      <c r="AE2585" s="168" t="str">
        <f t="shared" si="40"/>
        <v/>
      </c>
      <c r="AF2585" s="168">
        <v>0</v>
      </c>
      <c r="AG2585" s="168" t="str" cm="1">
        <f t="array" ref="AG2585">IF(AF2585="","",_xlfn.TEXTSPLIT(AF2585,"-"))</f>
        <v>0</v>
      </c>
      <c r="AH2585" s="168"/>
    </row>
    <row r="2586" spans="26:34" ht="24" customHeight="1">
      <c r="Z2586"/>
      <c r="AA2586"/>
      <c r="AB2586"/>
      <c r="AC2586"/>
      <c r="AD2586"/>
      <c r="AE2586" s="168" t="str">
        <f t="shared" si="40"/>
        <v/>
      </c>
      <c r="AF2586" s="168">
        <v>0</v>
      </c>
      <c r="AG2586" s="168" t="str" cm="1">
        <f t="array" ref="AG2586">IF(AF2586="","",_xlfn.TEXTSPLIT(AF2586,"-"))</f>
        <v>0</v>
      </c>
      <c r="AH2586" s="168"/>
    </row>
    <row r="2587" spans="26:34" ht="24" customHeight="1">
      <c r="Z2587"/>
      <c r="AA2587"/>
      <c r="AB2587"/>
      <c r="AC2587"/>
      <c r="AD2587"/>
      <c r="AE2587" s="168" t="str">
        <f t="shared" si="40"/>
        <v/>
      </c>
      <c r="AF2587" s="168">
        <v>0</v>
      </c>
      <c r="AG2587" s="168" t="str" cm="1">
        <f t="array" ref="AG2587">IF(AF2587="","",_xlfn.TEXTSPLIT(AF2587,"-"))</f>
        <v>0</v>
      </c>
      <c r="AH2587" s="168"/>
    </row>
    <row r="2588" spans="26:34" ht="24" customHeight="1">
      <c r="Z2588"/>
      <c r="AA2588"/>
      <c r="AB2588"/>
      <c r="AC2588"/>
      <c r="AD2588"/>
      <c r="AE2588" s="168" t="str">
        <f t="shared" si="40"/>
        <v/>
      </c>
      <c r="AF2588" s="168">
        <v>0</v>
      </c>
      <c r="AG2588" s="168" t="str" cm="1">
        <f t="array" ref="AG2588">IF(AF2588="","",_xlfn.TEXTSPLIT(AF2588,"-"))</f>
        <v>0</v>
      </c>
      <c r="AH2588" s="168"/>
    </row>
    <row r="2589" spans="26:34" ht="24" customHeight="1">
      <c r="Z2589"/>
      <c r="AA2589"/>
      <c r="AB2589"/>
      <c r="AC2589"/>
      <c r="AD2589"/>
      <c r="AE2589" s="168" t="str">
        <f t="shared" si="40"/>
        <v/>
      </c>
      <c r="AF2589" s="168">
        <v>0</v>
      </c>
      <c r="AG2589" s="168" t="str" cm="1">
        <f t="array" ref="AG2589">IF(AF2589="","",_xlfn.TEXTSPLIT(AF2589,"-"))</f>
        <v>0</v>
      </c>
      <c r="AH2589" s="168"/>
    </row>
    <row r="2590" spans="26:34" ht="24" customHeight="1">
      <c r="Z2590"/>
      <c r="AA2590"/>
      <c r="AB2590"/>
      <c r="AC2590"/>
      <c r="AD2590"/>
      <c r="AE2590" s="168" t="str">
        <f t="shared" si="40"/>
        <v/>
      </c>
      <c r="AF2590" s="168">
        <v>0</v>
      </c>
      <c r="AG2590" s="168" t="str" cm="1">
        <f t="array" ref="AG2590">IF(AF2590="","",_xlfn.TEXTSPLIT(AF2590,"-"))</f>
        <v>0</v>
      </c>
      <c r="AH2590" s="168"/>
    </row>
    <row r="2591" spans="26:34" ht="24" customHeight="1">
      <c r="Z2591"/>
      <c r="AA2591"/>
      <c r="AB2591"/>
      <c r="AC2591"/>
      <c r="AD2591"/>
      <c r="AE2591" s="168" t="str">
        <f t="shared" si="40"/>
        <v/>
      </c>
      <c r="AF2591" s="168">
        <v>0</v>
      </c>
      <c r="AG2591" s="168" t="str" cm="1">
        <f t="array" ref="AG2591">IF(AF2591="","",_xlfn.TEXTSPLIT(AF2591,"-"))</f>
        <v>0</v>
      </c>
      <c r="AH2591" s="168"/>
    </row>
    <row r="2592" spans="26:34" ht="24" customHeight="1">
      <c r="Z2592"/>
      <c r="AA2592"/>
      <c r="AB2592"/>
      <c r="AC2592"/>
      <c r="AD2592"/>
      <c r="AE2592" s="168" t="str">
        <f t="shared" si="40"/>
        <v/>
      </c>
      <c r="AF2592" s="168">
        <v>0</v>
      </c>
      <c r="AG2592" s="168" t="str" cm="1">
        <f t="array" ref="AG2592">IF(AF2592="","",_xlfn.TEXTSPLIT(AF2592,"-"))</f>
        <v>0</v>
      </c>
      <c r="AH2592" s="168"/>
    </row>
    <row r="2593" spans="26:34" ht="24" customHeight="1">
      <c r="Z2593"/>
      <c r="AA2593"/>
      <c r="AB2593"/>
      <c r="AC2593"/>
      <c r="AD2593"/>
      <c r="AE2593" s="168" t="str">
        <f t="shared" si="40"/>
        <v/>
      </c>
      <c r="AF2593" s="168">
        <v>0</v>
      </c>
      <c r="AG2593" s="168" t="str" cm="1">
        <f t="array" ref="AG2593">IF(AF2593="","",_xlfn.TEXTSPLIT(AF2593,"-"))</f>
        <v>0</v>
      </c>
      <c r="AH2593" s="168"/>
    </row>
    <row r="2594" spans="26:34" ht="24" customHeight="1">
      <c r="Z2594"/>
      <c r="AA2594"/>
      <c r="AB2594"/>
      <c r="AC2594"/>
      <c r="AD2594"/>
      <c r="AE2594" s="168" t="str">
        <f t="shared" si="40"/>
        <v/>
      </c>
      <c r="AF2594" s="168">
        <v>0</v>
      </c>
      <c r="AG2594" s="168" t="str" cm="1">
        <f t="array" ref="AG2594">IF(AF2594="","",_xlfn.TEXTSPLIT(AF2594,"-"))</f>
        <v>0</v>
      </c>
      <c r="AH2594" s="168"/>
    </row>
    <row r="2595" spans="26:34" ht="24" customHeight="1">
      <c r="Z2595"/>
      <c r="AA2595"/>
      <c r="AB2595"/>
      <c r="AC2595"/>
      <c r="AD2595"/>
      <c r="AE2595" s="168" t="str">
        <f t="shared" si="40"/>
        <v/>
      </c>
      <c r="AF2595" s="168">
        <v>0</v>
      </c>
      <c r="AG2595" s="168" t="str" cm="1">
        <f t="array" ref="AG2595">IF(AF2595="","",_xlfn.TEXTSPLIT(AF2595,"-"))</f>
        <v>0</v>
      </c>
      <c r="AH2595" s="168"/>
    </row>
    <row r="2596" spans="26:34" ht="24" customHeight="1">
      <c r="Z2596"/>
      <c r="AA2596"/>
      <c r="AB2596"/>
      <c r="AC2596"/>
      <c r="AD2596"/>
      <c r="AE2596" s="168" t="str">
        <f t="shared" si="40"/>
        <v/>
      </c>
      <c r="AF2596" s="168">
        <v>0</v>
      </c>
      <c r="AG2596" s="168" t="str" cm="1">
        <f t="array" ref="AG2596">IF(AF2596="","",_xlfn.TEXTSPLIT(AF2596,"-"))</f>
        <v>0</v>
      </c>
      <c r="AH2596" s="168"/>
    </row>
    <row r="2597" spans="26:34" ht="24" customHeight="1">
      <c r="Z2597"/>
      <c r="AA2597"/>
      <c r="AB2597"/>
      <c r="AC2597"/>
      <c r="AD2597"/>
      <c r="AE2597" s="168" t="str">
        <f t="shared" si="40"/>
        <v/>
      </c>
      <c r="AF2597" s="168">
        <v>0</v>
      </c>
      <c r="AG2597" s="168" t="str" cm="1">
        <f t="array" ref="AG2597">IF(AF2597="","",_xlfn.TEXTSPLIT(AF2597,"-"))</f>
        <v>0</v>
      </c>
      <c r="AH2597" s="168"/>
    </row>
    <row r="2598" spans="26:34" ht="24" customHeight="1">
      <c r="Z2598"/>
      <c r="AA2598"/>
      <c r="AB2598"/>
      <c r="AC2598"/>
      <c r="AD2598"/>
      <c r="AE2598" s="168" t="str">
        <f t="shared" si="40"/>
        <v/>
      </c>
      <c r="AF2598" s="168">
        <v>0</v>
      </c>
      <c r="AG2598" s="168" t="str" cm="1">
        <f t="array" ref="AG2598">IF(AF2598="","",_xlfn.TEXTSPLIT(AF2598,"-"))</f>
        <v>0</v>
      </c>
      <c r="AH2598" s="168"/>
    </row>
    <row r="2599" spans="26:34" ht="24" customHeight="1">
      <c r="Z2599"/>
      <c r="AA2599"/>
      <c r="AB2599"/>
      <c r="AC2599"/>
      <c r="AD2599"/>
      <c r="AE2599" s="168" t="str">
        <f t="shared" si="40"/>
        <v/>
      </c>
      <c r="AF2599" s="168">
        <v>0</v>
      </c>
      <c r="AG2599" s="168" t="str" cm="1">
        <f t="array" ref="AG2599">IF(AF2599="","",_xlfn.TEXTSPLIT(AF2599,"-"))</f>
        <v>0</v>
      </c>
      <c r="AH2599" s="168"/>
    </row>
    <row r="2600" spans="26:34" ht="24" customHeight="1">
      <c r="Z2600"/>
      <c r="AA2600"/>
      <c r="AB2600"/>
      <c r="AC2600"/>
      <c r="AD2600"/>
      <c r="AE2600" s="168" t="str">
        <f t="shared" si="40"/>
        <v/>
      </c>
      <c r="AF2600" s="168">
        <v>0</v>
      </c>
      <c r="AG2600" s="168" t="str" cm="1">
        <f t="array" ref="AG2600">IF(AF2600="","",_xlfn.TEXTSPLIT(AF2600,"-"))</f>
        <v>0</v>
      </c>
      <c r="AH2600" s="168"/>
    </row>
    <row r="2601" spans="26:34" ht="24" customHeight="1">
      <c r="Z2601"/>
      <c r="AA2601"/>
      <c r="AB2601"/>
      <c r="AC2601"/>
      <c r="AD2601"/>
      <c r="AE2601" s="168" t="str">
        <f t="shared" si="40"/>
        <v/>
      </c>
      <c r="AF2601" s="168">
        <v>0</v>
      </c>
      <c r="AG2601" s="168" t="str" cm="1">
        <f t="array" ref="AG2601">IF(AF2601="","",_xlfn.TEXTSPLIT(AF2601,"-"))</f>
        <v>0</v>
      </c>
      <c r="AH2601" s="168"/>
    </row>
    <row r="2602" spans="26:34" ht="24" customHeight="1">
      <c r="Z2602"/>
      <c r="AA2602"/>
      <c r="AB2602"/>
      <c r="AC2602"/>
      <c r="AD2602"/>
      <c r="AE2602" s="168" t="str">
        <f t="shared" si="40"/>
        <v/>
      </c>
      <c r="AF2602" s="168">
        <v>0</v>
      </c>
      <c r="AG2602" s="168" t="str" cm="1">
        <f t="array" ref="AG2602">IF(AF2602="","",_xlfn.TEXTSPLIT(AF2602,"-"))</f>
        <v>0</v>
      </c>
      <c r="AH2602" s="168"/>
    </row>
    <row r="2603" spans="26:34" ht="24" customHeight="1">
      <c r="Z2603"/>
      <c r="AA2603"/>
      <c r="AB2603"/>
      <c r="AC2603"/>
      <c r="AD2603"/>
      <c r="AE2603" s="168" t="str">
        <f t="shared" si="40"/>
        <v/>
      </c>
      <c r="AF2603" s="168">
        <v>0</v>
      </c>
      <c r="AG2603" s="168" t="str" cm="1">
        <f t="array" ref="AG2603">IF(AF2603="","",_xlfn.TEXTSPLIT(AF2603,"-"))</f>
        <v>0</v>
      </c>
      <c r="AH2603" s="168"/>
    </row>
    <row r="2604" spans="26:34" ht="24" customHeight="1">
      <c r="Z2604"/>
      <c r="AA2604"/>
      <c r="AB2604"/>
      <c r="AC2604"/>
      <c r="AD2604"/>
      <c r="AE2604" s="168" t="str">
        <f t="shared" si="40"/>
        <v/>
      </c>
      <c r="AF2604" s="168">
        <v>0</v>
      </c>
      <c r="AG2604" s="168" t="str" cm="1">
        <f t="array" ref="AG2604">IF(AF2604="","",_xlfn.TEXTSPLIT(AF2604,"-"))</f>
        <v>0</v>
      </c>
      <c r="AH2604" s="168"/>
    </row>
    <row r="2605" spans="26:34" ht="24" customHeight="1">
      <c r="Z2605"/>
      <c r="AA2605"/>
      <c r="AB2605"/>
      <c r="AC2605"/>
      <c r="AD2605"/>
      <c r="AE2605" s="168" t="str">
        <f t="shared" si="40"/>
        <v/>
      </c>
      <c r="AF2605" s="168">
        <v>0</v>
      </c>
      <c r="AG2605" s="168" t="str" cm="1">
        <f t="array" ref="AG2605">IF(AF2605="","",_xlfn.TEXTSPLIT(AF2605,"-"))</f>
        <v>0</v>
      </c>
      <c r="AH2605" s="168"/>
    </row>
    <row r="2606" spans="26:34" ht="24" customHeight="1">
      <c r="Z2606"/>
      <c r="AA2606"/>
      <c r="AB2606"/>
      <c r="AC2606"/>
      <c r="AD2606"/>
      <c r="AE2606" s="168" t="str">
        <f t="shared" si="40"/>
        <v/>
      </c>
      <c r="AF2606" s="168">
        <v>0</v>
      </c>
      <c r="AG2606" s="168" t="str" cm="1">
        <f t="array" ref="AG2606">IF(AF2606="","",_xlfn.TEXTSPLIT(AF2606,"-"))</f>
        <v>0</v>
      </c>
      <c r="AH2606" s="168"/>
    </row>
    <row r="2607" spans="26:34" ht="24" customHeight="1">
      <c r="Z2607"/>
      <c r="AA2607"/>
      <c r="AB2607"/>
      <c r="AC2607"/>
      <c r="AD2607"/>
      <c r="AE2607" s="168" t="str">
        <f t="shared" si="40"/>
        <v/>
      </c>
      <c r="AF2607" s="168">
        <v>0</v>
      </c>
      <c r="AG2607" s="168" t="str" cm="1">
        <f t="array" ref="AG2607">IF(AF2607="","",_xlfn.TEXTSPLIT(AF2607,"-"))</f>
        <v>0</v>
      </c>
      <c r="AH2607" s="168"/>
    </row>
    <row r="2608" spans="26:34" ht="24" customHeight="1">
      <c r="Z2608"/>
      <c r="AA2608"/>
      <c r="AB2608"/>
      <c r="AC2608"/>
      <c r="AD2608"/>
      <c r="AE2608" s="168" t="str">
        <f t="shared" si="40"/>
        <v/>
      </c>
      <c r="AF2608" s="168">
        <v>0</v>
      </c>
      <c r="AG2608" s="168" t="str" cm="1">
        <f t="array" ref="AG2608">IF(AF2608="","",_xlfn.TEXTSPLIT(AF2608,"-"))</f>
        <v>0</v>
      </c>
      <c r="AH2608" s="168"/>
    </row>
    <row r="2609" spans="26:34" ht="24" customHeight="1">
      <c r="Z2609"/>
      <c r="AA2609"/>
      <c r="AB2609"/>
      <c r="AC2609"/>
      <c r="AD2609"/>
      <c r="AE2609" s="168" t="str">
        <f t="shared" si="40"/>
        <v/>
      </c>
      <c r="AF2609" s="168">
        <v>0</v>
      </c>
      <c r="AG2609" s="168" t="str" cm="1">
        <f t="array" ref="AG2609">IF(AF2609="","",_xlfn.TEXTSPLIT(AF2609,"-"))</f>
        <v>0</v>
      </c>
      <c r="AH2609" s="168"/>
    </row>
    <row r="2610" spans="26:34" ht="24" customHeight="1">
      <c r="Z2610"/>
      <c r="AA2610"/>
      <c r="AB2610"/>
      <c r="AC2610"/>
      <c r="AD2610"/>
      <c r="AE2610" s="168" t="str">
        <f t="shared" si="40"/>
        <v/>
      </c>
      <c r="AF2610" s="168">
        <v>0</v>
      </c>
      <c r="AG2610" s="168" t="str" cm="1">
        <f t="array" ref="AG2610">IF(AF2610="","",_xlfn.TEXTSPLIT(AF2610,"-"))</f>
        <v>0</v>
      </c>
      <c r="AH2610" s="168"/>
    </row>
    <row r="2611" spans="26:34" ht="24" customHeight="1">
      <c r="Z2611"/>
      <c r="AA2611"/>
      <c r="AB2611"/>
      <c r="AC2611"/>
      <c r="AD2611"/>
      <c r="AE2611" s="168" t="str">
        <f t="shared" si="40"/>
        <v/>
      </c>
      <c r="AF2611" s="168">
        <v>0</v>
      </c>
      <c r="AG2611" s="168" t="str" cm="1">
        <f t="array" ref="AG2611">IF(AF2611="","",_xlfn.TEXTSPLIT(AF2611,"-"))</f>
        <v>0</v>
      </c>
      <c r="AH2611" s="168"/>
    </row>
    <row r="2612" spans="26:34" ht="24" customHeight="1">
      <c r="Z2612"/>
      <c r="AA2612"/>
      <c r="AB2612"/>
      <c r="AC2612"/>
      <c r="AD2612"/>
      <c r="AE2612" s="168" t="str">
        <f t="shared" si="40"/>
        <v/>
      </c>
      <c r="AF2612" s="168">
        <v>0</v>
      </c>
      <c r="AG2612" s="168" t="str" cm="1">
        <f t="array" ref="AG2612">IF(AF2612="","",_xlfn.TEXTSPLIT(AF2612,"-"))</f>
        <v>0</v>
      </c>
      <c r="AH2612" s="168"/>
    </row>
    <row r="2613" spans="26:34" ht="24" customHeight="1">
      <c r="Z2613"/>
      <c r="AA2613"/>
      <c r="AB2613"/>
      <c r="AC2613"/>
      <c r="AD2613"/>
      <c r="AE2613" s="168" t="str">
        <f t="shared" si="40"/>
        <v/>
      </c>
      <c r="AF2613" s="168">
        <v>0</v>
      </c>
      <c r="AG2613" s="168" t="str" cm="1">
        <f t="array" ref="AG2613">IF(AF2613="","",_xlfn.TEXTSPLIT(AF2613,"-"))</f>
        <v>0</v>
      </c>
      <c r="AH2613" s="168"/>
    </row>
    <row r="2614" spans="26:34" ht="24" customHeight="1">
      <c r="Z2614"/>
      <c r="AA2614"/>
      <c r="AB2614"/>
      <c r="AC2614"/>
      <c r="AD2614"/>
      <c r="AE2614" s="168" t="str">
        <f t="shared" si="40"/>
        <v/>
      </c>
      <c r="AF2614" s="168">
        <v>0</v>
      </c>
      <c r="AG2614" s="168" t="str" cm="1">
        <f t="array" ref="AG2614">IF(AF2614="","",_xlfn.TEXTSPLIT(AF2614,"-"))</f>
        <v>0</v>
      </c>
      <c r="AH2614" s="168"/>
    </row>
    <row r="2615" spans="26:34" ht="24" customHeight="1">
      <c r="Z2615"/>
      <c r="AA2615"/>
      <c r="AB2615"/>
      <c r="AC2615"/>
      <c r="AD2615"/>
      <c r="AE2615" s="168" t="str">
        <f t="shared" si="40"/>
        <v/>
      </c>
      <c r="AF2615" s="168">
        <v>0</v>
      </c>
      <c r="AG2615" s="168" t="str" cm="1">
        <f t="array" ref="AG2615">IF(AF2615="","",_xlfn.TEXTSPLIT(AF2615,"-"))</f>
        <v>0</v>
      </c>
      <c r="AH2615" s="168"/>
    </row>
    <row r="2616" spans="26:34" ht="24" customHeight="1">
      <c r="Z2616"/>
      <c r="AA2616"/>
      <c r="AB2616"/>
      <c r="AC2616"/>
      <c r="AD2616"/>
      <c r="AE2616" s="168" t="str">
        <f t="shared" si="40"/>
        <v/>
      </c>
      <c r="AF2616" s="168">
        <v>0</v>
      </c>
      <c r="AG2616" s="168" t="str" cm="1">
        <f t="array" ref="AG2616">IF(AF2616="","",_xlfn.TEXTSPLIT(AF2616,"-"))</f>
        <v>0</v>
      </c>
      <c r="AH2616" s="168"/>
    </row>
    <row r="2617" spans="26:34" ht="24" customHeight="1">
      <c r="Z2617"/>
      <c r="AA2617"/>
      <c r="AB2617"/>
      <c r="AC2617"/>
      <c r="AD2617"/>
      <c r="AE2617" s="168" t="str">
        <f t="shared" si="40"/>
        <v/>
      </c>
      <c r="AF2617" s="168">
        <v>0</v>
      </c>
      <c r="AG2617" s="168" t="str" cm="1">
        <f t="array" ref="AG2617">IF(AF2617="","",_xlfn.TEXTSPLIT(AF2617,"-"))</f>
        <v>0</v>
      </c>
      <c r="AH2617" s="168"/>
    </row>
    <row r="2618" spans="26:34" ht="24" customHeight="1">
      <c r="Z2618"/>
      <c r="AA2618"/>
      <c r="AB2618"/>
      <c r="AC2618"/>
      <c r="AD2618"/>
      <c r="AE2618" s="168" t="str">
        <f t="shared" si="40"/>
        <v/>
      </c>
      <c r="AF2618" s="168">
        <v>0</v>
      </c>
      <c r="AG2618" s="168" t="str" cm="1">
        <f t="array" ref="AG2618">IF(AF2618="","",_xlfn.TEXTSPLIT(AF2618,"-"))</f>
        <v>0</v>
      </c>
      <c r="AH2618" s="168"/>
    </row>
    <row r="2619" spans="26:34" ht="24" customHeight="1">
      <c r="Z2619"/>
      <c r="AA2619"/>
      <c r="AB2619"/>
      <c r="AC2619"/>
      <c r="AD2619"/>
      <c r="AE2619" s="168" t="str">
        <f t="shared" si="40"/>
        <v/>
      </c>
      <c r="AF2619" s="168">
        <v>0</v>
      </c>
      <c r="AG2619" s="168" t="str" cm="1">
        <f t="array" ref="AG2619">IF(AF2619="","",_xlfn.TEXTSPLIT(AF2619,"-"))</f>
        <v>0</v>
      </c>
      <c r="AH2619" s="168"/>
    </row>
    <row r="2620" spans="26:34" ht="24" customHeight="1">
      <c r="Z2620"/>
      <c r="AA2620"/>
      <c r="AB2620"/>
      <c r="AC2620"/>
      <c r="AD2620"/>
      <c r="AE2620" s="168" t="str">
        <f t="shared" si="40"/>
        <v/>
      </c>
      <c r="AF2620" s="168">
        <v>0</v>
      </c>
      <c r="AG2620" s="168" t="str" cm="1">
        <f t="array" ref="AG2620">IF(AF2620="","",_xlfn.TEXTSPLIT(AF2620,"-"))</f>
        <v>0</v>
      </c>
      <c r="AH2620" s="168"/>
    </row>
    <row r="2621" spans="26:34" ht="24" customHeight="1">
      <c r="Z2621"/>
      <c r="AA2621"/>
      <c r="AB2621"/>
      <c r="AC2621"/>
      <c r="AD2621"/>
      <c r="AE2621" s="168" t="str">
        <f t="shared" si="40"/>
        <v/>
      </c>
      <c r="AF2621" s="168">
        <v>0</v>
      </c>
      <c r="AG2621" s="168" t="str" cm="1">
        <f t="array" ref="AG2621">IF(AF2621="","",_xlfn.TEXTSPLIT(AF2621,"-"))</f>
        <v>0</v>
      </c>
      <c r="AH2621" s="168"/>
    </row>
    <row r="2622" spans="26:34" ht="24" customHeight="1">
      <c r="Z2622"/>
      <c r="AA2622"/>
      <c r="AB2622"/>
      <c r="AC2622"/>
      <c r="AD2622"/>
      <c r="AE2622" s="168" t="str">
        <f t="shared" si="40"/>
        <v/>
      </c>
      <c r="AF2622" s="168">
        <v>0</v>
      </c>
      <c r="AG2622" s="168" t="str" cm="1">
        <f t="array" ref="AG2622">IF(AF2622="","",_xlfn.TEXTSPLIT(AF2622,"-"))</f>
        <v>0</v>
      </c>
      <c r="AH2622" s="168"/>
    </row>
    <row r="2623" spans="26:34" ht="24" customHeight="1">
      <c r="Z2623"/>
      <c r="AA2623"/>
      <c r="AB2623"/>
      <c r="AC2623"/>
      <c r="AD2623"/>
      <c r="AE2623" s="168" t="str">
        <f t="shared" si="40"/>
        <v/>
      </c>
      <c r="AF2623" s="168">
        <v>0</v>
      </c>
      <c r="AG2623" s="168" t="str" cm="1">
        <f t="array" ref="AG2623">IF(AF2623="","",_xlfn.TEXTSPLIT(AF2623,"-"))</f>
        <v>0</v>
      </c>
      <c r="AH2623" s="168"/>
    </row>
    <row r="2624" spans="26:34" ht="24" customHeight="1">
      <c r="Z2624"/>
      <c r="AA2624"/>
      <c r="AB2624"/>
      <c r="AC2624"/>
      <c r="AD2624"/>
      <c r="AE2624" s="168" t="str">
        <f t="shared" si="40"/>
        <v/>
      </c>
      <c r="AF2624" s="168">
        <v>0</v>
      </c>
      <c r="AG2624" s="168" t="str" cm="1">
        <f t="array" ref="AG2624">IF(AF2624="","",_xlfn.TEXTSPLIT(AF2624,"-"))</f>
        <v>0</v>
      </c>
      <c r="AH2624" s="168"/>
    </row>
    <row r="2625" spans="26:34" ht="24" customHeight="1">
      <c r="Z2625"/>
      <c r="AA2625"/>
      <c r="AB2625"/>
      <c r="AC2625"/>
      <c r="AD2625"/>
      <c r="AE2625" s="168" t="str">
        <f t="shared" si="40"/>
        <v/>
      </c>
      <c r="AF2625" s="168">
        <v>0</v>
      </c>
      <c r="AG2625" s="168" t="str" cm="1">
        <f t="array" ref="AG2625">IF(AF2625="","",_xlfn.TEXTSPLIT(AF2625,"-"))</f>
        <v>0</v>
      </c>
      <c r="AH2625" s="168"/>
    </row>
    <row r="2626" spans="26:34" ht="24" customHeight="1">
      <c r="Z2626"/>
      <c r="AA2626"/>
      <c r="AB2626"/>
      <c r="AC2626"/>
      <c r="AD2626"/>
      <c r="AE2626" s="168" t="str">
        <f t="shared" si="40"/>
        <v/>
      </c>
      <c r="AF2626" s="168">
        <v>0</v>
      </c>
      <c r="AG2626" s="168" t="str" cm="1">
        <f t="array" ref="AG2626">IF(AF2626="","",_xlfn.TEXTSPLIT(AF2626,"-"))</f>
        <v>0</v>
      </c>
      <c r="AH2626" s="168"/>
    </row>
    <row r="2627" spans="26:34" ht="24" customHeight="1">
      <c r="Z2627"/>
      <c r="AA2627"/>
      <c r="AB2627"/>
      <c r="AC2627"/>
      <c r="AD2627"/>
      <c r="AE2627" s="168" t="str">
        <f t="shared" si="40"/>
        <v/>
      </c>
      <c r="AF2627" s="168">
        <v>0</v>
      </c>
      <c r="AG2627" s="168" t="str" cm="1">
        <f t="array" ref="AG2627">IF(AF2627="","",_xlfn.TEXTSPLIT(AF2627,"-"))</f>
        <v>0</v>
      </c>
      <c r="AH2627" s="168"/>
    </row>
    <row r="2628" spans="26:34" ht="24" customHeight="1">
      <c r="Z2628"/>
      <c r="AA2628"/>
      <c r="AB2628"/>
      <c r="AC2628"/>
      <c r="AD2628"/>
      <c r="AE2628" s="168" t="str">
        <f t="shared" si="40"/>
        <v/>
      </c>
      <c r="AF2628" s="168">
        <v>0</v>
      </c>
      <c r="AG2628" s="168" t="str" cm="1">
        <f t="array" ref="AG2628">IF(AF2628="","",_xlfn.TEXTSPLIT(AF2628,"-"))</f>
        <v>0</v>
      </c>
      <c r="AH2628" s="168"/>
    </row>
    <row r="2629" spans="26:34" ht="24" customHeight="1">
      <c r="Z2629"/>
      <c r="AA2629"/>
      <c r="AB2629"/>
      <c r="AC2629"/>
      <c r="AD2629"/>
      <c r="AE2629" s="168" t="str">
        <f t="shared" ref="AE2629:AE2692" si="41">IF(AH2629="","",AH2629*1)</f>
        <v/>
      </c>
      <c r="AF2629" s="168">
        <v>0</v>
      </c>
      <c r="AG2629" s="168" t="str" cm="1">
        <f t="array" ref="AG2629">IF(AF2629="","",_xlfn.TEXTSPLIT(AF2629,"-"))</f>
        <v>0</v>
      </c>
      <c r="AH2629" s="168"/>
    </row>
    <row r="2630" spans="26:34" ht="24" customHeight="1">
      <c r="Z2630"/>
      <c r="AA2630"/>
      <c r="AB2630"/>
      <c r="AC2630"/>
      <c r="AD2630"/>
      <c r="AE2630" s="168" t="str">
        <f t="shared" si="41"/>
        <v/>
      </c>
      <c r="AF2630" s="168">
        <v>0</v>
      </c>
      <c r="AG2630" s="168" t="str" cm="1">
        <f t="array" ref="AG2630">IF(AF2630="","",_xlfn.TEXTSPLIT(AF2630,"-"))</f>
        <v>0</v>
      </c>
      <c r="AH2630" s="168"/>
    </row>
    <row r="2631" spans="26:34" ht="24" customHeight="1">
      <c r="Z2631"/>
      <c r="AA2631"/>
      <c r="AB2631"/>
      <c r="AC2631"/>
      <c r="AD2631"/>
      <c r="AE2631" s="168" t="str">
        <f t="shared" si="41"/>
        <v/>
      </c>
      <c r="AF2631" s="168">
        <v>0</v>
      </c>
      <c r="AG2631" s="168" t="str" cm="1">
        <f t="array" ref="AG2631">IF(AF2631="","",_xlfn.TEXTSPLIT(AF2631,"-"))</f>
        <v>0</v>
      </c>
      <c r="AH2631" s="168"/>
    </row>
    <row r="2632" spans="26:34" ht="24" customHeight="1">
      <c r="Z2632"/>
      <c r="AA2632"/>
      <c r="AB2632"/>
      <c r="AC2632"/>
      <c r="AD2632"/>
      <c r="AE2632" s="168" t="str">
        <f t="shared" si="41"/>
        <v/>
      </c>
      <c r="AF2632" s="168">
        <v>0</v>
      </c>
      <c r="AG2632" s="168" t="str" cm="1">
        <f t="array" ref="AG2632">IF(AF2632="","",_xlfn.TEXTSPLIT(AF2632,"-"))</f>
        <v>0</v>
      </c>
      <c r="AH2632" s="168"/>
    </row>
    <row r="2633" spans="26:34" ht="24" customHeight="1">
      <c r="Z2633"/>
      <c r="AA2633"/>
      <c r="AB2633"/>
      <c r="AC2633"/>
      <c r="AD2633"/>
      <c r="AE2633" s="168" t="str">
        <f t="shared" si="41"/>
        <v/>
      </c>
      <c r="AF2633" s="168">
        <v>0</v>
      </c>
      <c r="AG2633" s="168" t="str" cm="1">
        <f t="array" ref="AG2633">IF(AF2633="","",_xlfn.TEXTSPLIT(AF2633,"-"))</f>
        <v>0</v>
      </c>
      <c r="AH2633" s="168"/>
    </row>
    <row r="2634" spans="26:34" ht="24" customHeight="1">
      <c r="Z2634"/>
      <c r="AA2634"/>
      <c r="AB2634"/>
      <c r="AC2634"/>
      <c r="AD2634"/>
      <c r="AE2634" s="168" t="str">
        <f t="shared" si="41"/>
        <v/>
      </c>
      <c r="AF2634" s="168">
        <v>0</v>
      </c>
      <c r="AG2634" s="168" t="str" cm="1">
        <f t="array" ref="AG2634">IF(AF2634="","",_xlfn.TEXTSPLIT(AF2634,"-"))</f>
        <v>0</v>
      </c>
      <c r="AH2634" s="168"/>
    </row>
    <row r="2635" spans="26:34" ht="24" customHeight="1">
      <c r="Z2635"/>
      <c r="AA2635"/>
      <c r="AB2635"/>
      <c r="AC2635"/>
      <c r="AD2635"/>
      <c r="AE2635" s="168" t="str">
        <f t="shared" si="41"/>
        <v/>
      </c>
      <c r="AF2635" s="168">
        <v>0</v>
      </c>
      <c r="AG2635" s="168" t="str" cm="1">
        <f t="array" ref="AG2635">IF(AF2635="","",_xlfn.TEXTSPLIT(AF2635,"-"))</f>
        <v>0</v>
      </c>
      <c r="AH2635" s="168"/>
    </row>
    <row r="2636" spans="26:34" ht="24" customHeight="1">
      <c r="Z2636"/>
      <c r="AA2636"/>
      <c r="AB2636"/>
      <c r="AC2636"/>
      <c r="AD2636"/>
      <c r="AE2636" s="168" t="str">
        <f t="shared" si="41"/>
        <v/>
      </c>
      <c r="AF2636" s="168">
        <v>0</v>
      </c>
      <c r="AG2636" s="168" t="str" cm="1">
        <f t="array" ref="AG2636">IF(AF2636="","",_xlfn.TEXTSPLIT(AF2636,"-"))</f>
        <v>0</v>
      </c>
      <c r="AH2636" s="168"/>
    </row>
    <row r="2637" spans="26:34" ht="24" customHeight="1">
      <c r="Z2637"/>
      <c r="AA2637"/>
      <c r="AB2637"/>
      <c r="AC2637"/>
      <c r="AD2637"/>
      <c r="AE2637" s="168" t="str">
        <f t="shared" si="41"/>
        <v/>
      </c>
      <c r="AF2637" s="168">
        <v>0</v>
      </c>
      <c r="AG2637" s="168" t="str" cm="1">
        <f t="array" ref="AG2637">IF(AF2637="","",_xlfn.TEXTSPLIT(AF2637,"-"))</f>
        <v>0</v>
      </c>
      <c r="AH2637" s="168"/>
    </row>
    <row r="2638" spans="26:34" ht="24" customHeight="1">
      <c r="Z2638"/>
      <c r="AA2638"/>
      <c r="AB2638"/>
      <c r="AC2638"/>
      <c r="AD2638"/>
      <c r="AE2638" s="168" t="str">
        <f t="shared" si="41"/>
        <v/>
      </c>
      <c r="AF2638" s="168">
        <v>0</v>
      </c>
      <c r="AG2638" s="168" t="str" cm="1">
        <f t="array" ref="AG2638">IF(AF2638="","",_xlfn.TEXTSPLIT(AF2638,"-"))</f>
        <v>0</v>
      </c>
      <c r="AH2638" s="168"/>
    </row>
    <row r="2639" spans="26:34" ht="24" customHeight="1">
      <c r="Z2639"/>
      <c r="AA2639"/>
      <c r="AB2639"/>
      <c r="AC2639"/>
      <c r="AD2639"/>
      <c r="AE2639" s="168" t="str">
        <f t="shared" si="41"/>
        <v/>
      </c>
      <c r="AF2639" s="168">
        <v>0</v>
      </c>
      <c r="AG2639" s="168" t="str" cm="1">
        <f t="array" ref="AG2639">IF(AF2639="","",_xlfn.TEXTSPLIT(AF2639,"-"))</f>
        <v>0</v>
      </c>
      <c r="AH2639" s="168"/>
    </row>
    <row r="2640" spans="26:34" ht="24" customHeight="1">
      <c r="Z2640"/>
      <c r="AA2640"/>
      <c r="AB2640"/>
      <c r="AC2640"/>
      <c r="AD2640"/>
      <c r="AE2640" s="168" t="str">
        <f t="shared" si="41"/>
        <v/>
      </c>
      <c r="AF2640" s="168">
        <v>0</v>
      </c>
      <c r="AG2640" s="168" t="str" cm="1">
        <f t="array" ref="AG2640">IF(AF2640="","",_xlfn.TEXTSPLIT(AF2640,"-"))</f>
        <v>0</v>
      </c>
      <c r="AH2640" s="168"/>
    </row>
    <row r="2641" spans="26:34" ht="24" customHeight="1">
      <c r="Z2641"/>
      <c r="AA2641"/>
      <c r="AB2641"/>
      <c r="AC2641"/>
      <c r="AD2641"/>
      <c r="AE2641" s="168" t="str">
        <f t="shared" si="41"/>
        <v/>
      </c>
      <c r="AF2641" s="168">
        <v>0</v>
      </c>
      <c r="AG2641" s="168" t="str" cm="1">
        <f t="array" ref="AG2641">IF(AF2641="","",_xlfn.TEXTSPLIT(AF2641,"-"))</f>
        <v>0</v>
      </c>
      <c r="AH2641" s="168"/>
    </row>
    <row r="2642" spans="26:34" ht="24" customHeight="1">
      <c r="Z2642"/>
      <c r="AA2642"/>
      <c r="AB2642"/>
      <c r="AC2642"/>
      <c r="AD2642"/>
      <c r="AE2642" s="168" t="str">
        <f t="shared" si="41"/>
        <v/>
      </c>
      <c r="AF2642" s="168">
        <v>0</v>
      </c>
      <c r="AG2642" s="168" t="str" cm="1">
        <f t="array" ref="AG2642">IF(AF2642="","",_xlfn.TEXTSPLIT(AF2642,"-"))</f>
        <v>0</v>
      </c>
      <c r="AH2642" s="168"/>
    </row>
    <row r="2643" spans="26:34" ht="24" customHeight="1">
      <c r="Z2643"/>
      <c r="AA2643"/>
      <c r="AB2643"/>
      <c r="AC2643"/>
      <c r="AD2643"/>
      <c r="AE2643" s="168" t="str">
        <f t="shared" si="41"/>
        <v/>
      </c>
      <c r="AF2643" s="168">
        <v>0</v>
      </c>
      <c r="AG2643" s="168" t="str" cm="1">
        <f t="array" ref="AG2643">IF(AF2643="","",_xlfn.TEXTSPLIT(AF2643,"-"))</f>
        <v>0</v>
      </c>
      <c r="AH2643" s="168"/>
    </row>
    <row r="2644" spans="26:34" ht="24" customHeight="1">
      <c r="Z2644"/>
      <c r="AA2644"/>
      <c r="AB2644"/>
      <c r="AC2644"/>
      <c r="AD2644"/>
      <c r="AE2644" s="168" t="str">
        <f t="shared" si="41"/>
        <v/>
      </c>
      <c r="AF2644" s="168">
        <v>0</v>
      </c>
      <c r="AG2644" s="168" t="str" cm="1">
        <f t="array" ref="AG2644">IF(AF2644="","",_xlfn.TEXTSPLIT(AF2644,"-"))</f>
        <v>0</v>
      </c>
      <c r="AH2644" s="168"/>
    </row>
    <row r="2645" spans="26:34" ht="24" customHeight="1">
      <c r="Z2645"/>
      <c r="AA2645"/>
      <c r="AB2645"/>
      <c r="AC2645"/>
      <c r="AD2645"/>
      <c r="AE2645" s="168" t="str">
        <f t="shared" si="41"/>
        <v/>
      </c>
      <c r="AF2645" s="168">
        <v>0</v>
      </c>
      <c r="AG2645" s="168" t="str" cm="1">
        <f t="array" ref="AG2645">IF(AF2645="","",_xlfn.TEXTSPLIT(AF2645,"-"))</f>
        <v>0</v>
      </c>
      <c r="AH2645" s="168"/>
    </row>
    <row r="2646" spans="26:34" ht="24" customHeight="1">
      <c r="Z2646"/>
      <c r="AA2646"/>
      <c r="AB2646"/>
      <c r="AC2646"/>
      <c r="AD2646"/>
      <c r="AE2646" s="168" t="str">
        <f t="shared" si="41"/>
        <v/>
      </c>
      <c r="AF2646" s="168">
        <v>0</v>
      </c>
      <c r="AG2646" s="168" t="str" cm="1">
        <f t="array" ref="AG2646">IF(AF2646="","",_xlfn.TEXTSPLIT(AF2646,"-"))</f>
        <v>0</v>
      </c>
      <c r="AH2646" s="168"/>
    </row>
    <row r="2647" spans="26:34" ht="24" customHeight="1">
      <c r="Z2647"/>
      <c r="AA2647"/>
      <c r="AB2647"/>
      <c r="AC2647"/>
      <c r="AD2647"/>
      <c r="AE2647" s="168" t="str">
        <f t="shared" si="41"/>
        <v/>
      </c>
      <c r="AF2647" s="168">
        <v>0</v>
      </c>
      <c r="AG2647" s="168" t="str" cm="1">
        <f t="array" ref="AG2647">IF(AF2647="","",_xlfn.TEXTSPLIT(AF2647,"-"))</f>
        <v>0</v>
      </c>
      <c r="AH2647" s="168"/>
    </row>
    <row r="2648" spans="26:34" ht="24" customHeight="1">
      <c r="Z2648"/>
      <c r="AA2648"/>
      <c r="AB2648"/>
      <c r="AC2648"/>
      <c r="AD2648"/>
      <c r="AE2648" s="168" t="str">
        <f t="shared" si="41"/>
        <v/>
      </c>
      <c r="AF2648" s="168">
        <v>0</v>
      </c>
      <c r="AG2648" s="168" t="str" cm="1">
        <f t="array" ref="AG2648">IF(AF2648="","",_xlfn.TEXTSPLIT(AF2648,"-"))</f>
        <v>0</v>
      </c>
      <c r="AH2648" s="168"/>
    </row>
    <row r="2649" spans="26:34" ht="24" customHeight="1">
      <c r="Z2649"/>
      <c r="AA2649"/>
      <c r="AB2649"/>
      <c r="AC2649"/>
      <c r="AD2649"/>
      <c r="AE2649" s="168" t="str">
        <f t="shared" si="41"/>
        <v/>
      </c>
      <c r="AF2649" s="168">
        <v>0</v>
      </c>
      <c r="AG2649" s="168" t="str" cm="1">
        <f t="array" ref="AG2649">IF(AF2649="","",_xlfn.TEXTSPLIT(AF2649,"-"))</f>
        <v>0</v>
      </c>
      <c r="AH2649" s="168"/>
    </row>
    <row r="2650" spans="26:34" ht="24" customHeight="1">
      <c r="Z2650"/>
      <c r="AA2650"/>
      <c r="AB2650"/>
      <c r="AC2650"/>
      <c r="AD2650"/>
      <c r="AE2650" s="168" t="str">
        <f t="shared" si="41"/>
        <v/>
      </c>
      <c r="AF2650" s="168">
        <v>0</v>
      </c>
      <c r="AG2650" s="168" t="str" cm="1">
        <f t="array" ref="AG2650">IF(AF2650="","",_xlfn.TEXTSPLIT(AF2650,"-"))</f>
        <v>0</v>
      </c>
      <c r="AH2650" s="168"/>
    </row>
    <row r="2651" spans="26:34" ht="24" customHeight="1">
      <c r="Z2651"/>
      <c r="AA2651"/>
      <c r="AB2651"/>
      <c r="AC2651"/>
      <c r="AD2651"/>
      <c r="AE2651" s="168" t="str">
        <f t="shared" si="41"/>
        <v/>
      </c>
      <c r="AF2651" s="168">
        <v>0</v>
      </c>
      <c r="AG2651" s="168" t="str" cm="1">
        <f t="array" ref="AG2651">IF(AF2651="","",_xlfn.TEXTSPLIT(AF2651,"-"))</f>
        <v>0</v>
      </c>
      <c r="AH2651" s="168"/>
    </row>
    <row r="2652" spans="26:34" ht="24" customHeight="1">
      <c r="Z2652"/>
      <c r="AA2652"/>
      <c r="AB2652"/>
      <c r="AC2652"/>
      <c r="AD2652"/>
      <c r="AE2652" s="168" t="str">
        <f t="shared" si="41"/>
        <v/>
      </c>
      <c r="AF2652" s="168">
        <v>0</v>
      </c>
      <c r="AG2652" s="168" t="str" cm="1">
        <f t="array" ref="AG2652">IF(AF2652="","",_xlfn.TEXTSPLIT(AF2652,"-"))</f>
        <v>0</v>
      </c>
      <c r="AH2652" s="168"/>
    </row>
    <row r="2653" spans="26:34" ht="24" customHeight="1">
      <c r="Z2653"/>
      <c r="AA2653"/>
      <c r="AB2653"/>
      <c r="AC2653"/>
      <c r="AD2653"/>
      <c r="AE2653" s="168" t="str">
        <f t="shared" si="41"/>
        <v/>
      </c>
      <c r="AF2653" s="168">
        <v>0</v>
      </c>
      <c r="AG2653" s="168" t="str" cm="1">
        <f t="array" ref="AG2653">IF(AF2653="","",_xlfn.TEXTSPLIT(AF2653,"-"))</f>
        <v>0</v>
      </c>
      <c r="AH2653" s="168"/>
    </row>
    <row r="2654" spans="26:34" ht="24" customHeight="1">
      <c r="Z2654"/>
      <c r="AA2654"/>
      <c r="AB2654"/>
      <c r="AC2654"/>
      <c r="AD2654"/>
      <c r="AE2654" s="168" t="str">
        <f t="shared" si="41"/>
        <v/>
      </c>
      <c r="AF2654" s="168">
        <v>0</v>
      </c>
      <c r="AG2654" s="168" t="str" cm="1">
        <f t="array" ref="AG2654">IF(AF2654="","",_xlfn.TEXTSPLIT(AF2654,"-"))</f>
        <v>0</v>
      </c>
      <c r="AH2654" s="168"/>
    </row>
    <row r="2655" spans="26:34" ht="24" customHeight="1">
      <c r="Z2655"/>
      <c r="AA2655"/>
      <c r="AB2655"/>
      <c r="AC2655"/>
      <c r="AD2655"/>
      <c r="AE2655" s="168" t="str">
        <f t="shared" si="41"/>
        <v/>
      </c>
      <c r="AF2655" s="168">
        <v>0</v>
      </c>
      <c r="AG2655" s="168" t="str" cm="1">
        <f t="array" ref="AG2655">IF(AF2655="","",_xlfn.TEXTSPLIT(AF2655,"-"))</f>
        <v>0</v>
      </c>
      <c r="AH2655" s="168"/>
    </row>
    <row r="2656" spans="26:34" ht="24" customHeight="1">
      <c r="Z2656"/>
      <c r="AA2656"/>
      <c r="AB2656"/>
      <c r="AC2656"/>
      <c r="AD2656"/>
      <c r="AE2656" s="168" t="str">
        <f t="shared" si="41"/>
        <v/>
      </c>
      <c r="AF2656" s="168">
        <v>0</v>
      </c>
      <c r="AG2656" s="168" t="str" cm="1">
        <f t="array" ref="AG2656">IF(AF2656="","",_xlfn.TEXTSPLIT(AF2656,"-"))</f>
        <v>0</v>
      </c>
      <c r="AH2656" s="168"/>
    </row>
    <row r="2657" spans="26:34" ht="24" customHeight="1">
      <c r="Z2657"/>
      <c r="AA2657"/>
      <c r="AB2657"/>
      <c r="AC2657"/>
      <c r="AD2657"/>
      <c r="AE2657" s="168" t="str">
        <f t="shared" si="41"/>
        <v/>
      </c>
      <c r="AF2657" s="168">
        <v>0</v>
      </c>
      <c r="AG2657" s="168" t="str" cm="1">
        <f t="array" ref="AG2657">IF(AF2657="","",_xlfn.TEXTSPLIT(AF2657,"-"))</f>
        <v>0</v>
      </c>
      <c r="AH2657" s="168"/>
    </row>
    <row r="2658" spans="26:34" ht="24" customHeight="1">
      <c r="Z2658"/>
      <c r="AA2658"/>
      <c r="AB2658"/>
      <c r="AC2658"/>
      <c r="AD2658"/>
      <c r="AE2658" s="168" t="str">
        <f t="shared" si="41"/>
        <v/>
      </c>
      <c r="AF2658" s="168">
        <v>0</v>
      </c>
      <c r="AG2658" s="168" t="str" cm="1">
        <f t="array" ref="AG2658">IF(AF2658="","",_xlfn.TEXTSPLIT(AF2658,"-"))</f>
        <v>0</v>
      </c>
      <c r="AH2658" s="168"/>
    </row>
    <row r="2659" spans="26:34" ht="24" customHeight="1">
      <c r="Z2659"/>
      <c r="AA2659"/>
      <c r="AB2659"/>
      <c r="AC2659"/>
      <c r="AD2659"/>
      <c r="AE2659" s="168" t="str">
        <f t="shared" si="41"/>
        <v/>
      </c>
      <c r="AF2659" s="168">
        <v>0</v>
      </c>
      <c r="AG2659" s="168" t="str" cm="1">
        <f t="array" ref="AG2659">IF(AF2659="","",_xlfn.TEXTSPLIT(AF2659,"-"))</f>
        <v>0</v>
      </c>
      <c r="AH2659" s="168"/>
    </row>
    <row r="2660" spans="26:34" ht="24" customHeight="1">
      <c r="Z2660"/>
      <c r="AA2660"/>
      <c r="AB2660"/>
      <c r="AC2660"/>
      <c r="AD2660"/>
      <c r="AE2660" s="168" t="str">
        <f t="shared" si="41"/>
        <v/>
      </c>
      <c r="AF2660" s="168">
        <v>0</v>
      </c>
      <c r="AG2660" s="168" t="str" cm="1">
        <f t="array" ref="AG2660">IF(AF2660="","",_xlfn.TEXTSPLIT(AF2660,"-"))</f>
        <v>0</v>
      </c>
      <c r="AH2660" s="168"/>
    </row>
    <row r="2661" spans="26:34" ht="24" customHeight="1">
      <c r="Z2661"/>
      <c r="AA2661"/>
      <c r="AB2661"/>
      <c r="AC2661"/>
      <c r="AD2661"/>
      <c r="AE2661" s="168" t="str">
        <f t="shared" si="41"/>
        <v/>
      </c>
      <c r="AF2661" s="168">
        <v>0</v>
      </c>
      <c r="AG2661" s="168" t="str" cm="1">
        <f t="array" ref="AG2661">IF(AF2661="","",_xlfn.TEXTSPLIT(AF2661,"-"))</f>
        <v>0</v>
      </c>
      <c r="AH2661" s="168"/>
    </row>
    <row r="2662" spans="26:34" ht="24" customHeight="1">
      <c r="Z2662"/>
      <c r="AA2662"/>
      <c r="AB2662"/>
      <c r="AC2662"/>
      <c r="AD2662"/>
      <c r="AE2662" s="168" t="str">
        <f t="shared" si="41"/>
        <v/>
      </c>
      <c r="AF2662" s="168">
        <v>0</v>
      </c>
      <c r="AG2662" s="168" t="str" cm="1">
        <f t="array" ref="AG2662">IF(AF2662="","",_xlfn.TEXTSPLIT(AF2662,"-"))</f>
        <v>0</v>
      </c>
      <c r="AH2662" s="168"/>
    </row>
    <row r="2663" spans="26:34" ht="24" customHeight="1">
      <c r="Z2663"/>
      <c r="AA2663"/>
      <c r="AB2663"/>
      <c r="AC2663"/>
      <c r="AD2663"/>
      <c r="AE2663" s="168" t="str">
        <f t="shared" si="41"/>
        <v/>
      </c>
      <c r="AF2663" s="168">
        <v>0</v>
      </c>
      <c r="AG2663" s="168" t="str" cm="1">
        <f t="array" ref="AG2663">IF(AF2663="","",_xlfn.TEXTSPLIT(AF2663,"-"))</f>
        <v>0</v>
      </c>
      <c r="AH2663" s="168"/>
    </row>
    <row r="2664" spans="26:34" ht="24" customHeight="1">
      <c r="Z2664"/>
      <c r="AA2664"/>
      <c r="AB2664"/>
      <c r="AC2664"/>
      <c r="AD2664"/>
      <c r="AE2664" s="168" t="str">
        <f t="shared" si="41"/>
        <v/>
      </c>
      <c r="AF2664" s="168">
        <v>0</v>
      </c>
      <c r="AG2664" s="168" t="str" cm="1">
        <f t="array" ref="AG2664">IF(AF2664="","",_xlfn.TEXTSPLIT(AF2664,"-"))</f>
        <v>0</v>
      </c>
      <c r="AH2664" s="168"/>
    </row>
    <row r="2665" spans="26:34" ht="24" customHeight="1">
      <c r="Z2665"/>
      <c r="AA2665"/>
      <c r="AB2665"/>
      <c r="AC2665"/>
      <c r="AD2665"/>
      <c r="AE2665" s="168" t="str">
        <f t="shared" si="41"/>
        <v/>
      </c>
      <c r="AF2665" s="168">
        <v>0</v>
      </c>
      <c r="AG2665" s="168" t="str" cm="1">
        <f t="array" ref="AG2665">IF(AF2665="","",_xlfn.TEXTSPLIT(AF2665,"-"))</f>
        <v>0</v>
      </c>
      <c r="AH2665" s="168"/>
    </row>
    <row r="2666" spans="26:34" ht="24" customHeight="1">
      <c r="Z2666"/>
      <c r="AA2666"/>
      <c r="AB2666"/>
      <c r="AC2666"/>
      <c r="AD2666"/>
      <c r="AE2666" s="168" t="str">
        <f t="shared" si="41"/>
        <v/>
      </c>
      <c r="AF2666" s="168">
        <v>0</v>
      </c>
      <c r="AG2666" s="168" t="str" cm="1">
        <f t="array" ref="AG2666">IF(AF2666="","",_xlfn.TEXTSPLIT(AF2666,"-"))</f>
        <v>0</v>
      </c>
      <c r="AH2666" s="168"/>
    </row>
    <row r="2667" spans="26:34" ht="24" customHeight="1">
      <c r="Z2667"/>
      <c r="AA2667"/>
      <c r="AB2667"/>
      <c r="AC2667"/>
      <c r="AD2667"/>
      <c r="AE2667" s="168" t="str">
        <f t="shared" si="41"/>
        <v/>
      </c>
      <c r="AF2667" s="168">
        <v>0</v>
      </c>
      <c r="AG2667" s="168" t="str" cm="1">
        <f t="array" ref="AG2667">IF(AF2667="","",_xlfn.TEXTSPLIT(AF2667,"-"))</f>
        <v>0</v>
      </c>
      <c r="AH2667" s="168"/>
    </row>
    <row r="2668" spans="26:34" ht="24" customHeight="1">
      <c r="Z2668"/>
      <c r="AA2668"/>
      <c r="AB2668"/>
      <c r="AC2668"/>
      <c r="AD2668"/>
      <c r="AE2668" s="168" t="str">
        <f t="shared" si="41"/>
        <v/>
      </c>
      <c r="AF2668" s="168">
        <v>0</v>
      </c>
      <c r="AG2668" s="168" t="str" cm="1">
        <f t="array" ref="AG2668">IF(AF2668="","",_xlfn.TEXTSPLIT(AF2668,"-"))</f>
        <v>0</v>
      </c>
      <c r="AH2668" s="168"/>
    </row>
    <row r="2669" spans="26:34" ht="24" customHeight="1">
      <c r="Z2669"/>
      <c r="AA2669"/>
      <c r="AB2669"/>
      <c r="AC2669"/>
      <c r="AD2669"/>
      <c r="AE2669" s="168" t="str">
        <f t="shared" si="41"/>
        <v/>
      </c>
      <c r="AF2669" s="168">
        <v>0</v>
      </c>
      <c r="AG2669" s="168" t="str" cm="1">
        <f t="array" ref="AG2669">IF(AF2669="","",_xlfn.TEXTSPLIT(AF2669,"-"))</f>
        <v>0</v>
      </c>
      <c r="AH2669" s="168"/>
    </row>
    <row r="2670" spans="26:34" ht="24" customHeight="1">
      <c r="Z2670"/>
      <c r="AA2670"/>
      <c r="AB2670"/>
      <c r="AC2670"/>
      <c r="AD2670"/>
      <c r="AE2670" s="168" t="str">
        <f t="shared" si="41"/>
        <v/>
      </c>
      <c r="AF2670" s="168">
        <v>0</v>
      </c>
      <c r="AG2670" s="168" t="str" cm="1">
        <f t="array" ref="AG2670">IF(AF2670="","",_xlfn.TEXTSPLIT(AF2670,"-"))</f>
        <v>0</v>
      </c>
      <c r="AH2670" s="168"/>
    </row>
    <row r="2671" spans="26:34" ht="24" customHeight="1">
      <c r="Z2671"/>
      <c r="AA2671"/>
      <c r="AB2671"/>
      <c r="AC2671"/>
      <c r="AD2671"/>
      <c r="AE2671" s="168" t="str">
        <f t="shared" si="41"/>
        <v/>
      </c>
      <c r="AF2671" s="168">
        <v>0</v>
      </c>
      <c r="AG2671" s="168" t="str" cm="1">
        <f t="array" ref="AG2671">IF(AF2671="","",_xlfn.TEXTSPLIT(AF2671,"-"))</f>
        <v>0</v>
      </c>
      <c r="AH2671" s="168"/>
    </row>
    <row r="2672" spans="26:34" ht="24" customHeight="1">
      <c r="Z2672"/>
      <c r="AA2672"/>
      <c r="AB2672"/>
      <c r="AC2672"/>
      <c r="AD2672"/>
      <c r="AE2672" s="168" t="str">
        <f t="shared" si="41"/>
        <v/>
      </c>
      <c r="AF2672" s="168">
        <v>0</v>
      </c>
      <c r="AG2672" s="168" t="str" cm="1">
        <f t="array" ref="AG2672">IF(AF2672="","",_xlfn.TEXTSPLIT(AF2672,"-"))</f>
        <v>0</v>
      </c>
      <c r="AH2672" s="168"/>
    </row>
    <row r="2673" spans="26:34" ht="24" customHeight="1">
      <c r="Z2673"/>
      <c r="AA2673"/>
      <c r="AB2673"/>
      <c r="AC2673"/>
      <c r="AD2673"/>
      <c r="AE2673" s="168" t="str">
        <f t="shared" si="41"/>
        <v/>
      </c>
      <c r="AF2673" s="168">
        <v>0</v>
      </c>
      <c r="AG2673" s="168" t="str" cm="1">
        <f t="array" ref="AG2673">IF(AF2673="","",_xlfn.TEXTSPLIT(AF2673,"-"))</f>
        <v>0</v>
      </c>
      <c r="AH2673" s="168"/>
    </row>
    <row r="2674" spans="26:34" ht="24" customHeight="1">
      <c r="Z2674"/>
      <c r="AA2674"/>
      <c r="AB2674"/>
      <c r="AC2674"/>
      <c r="AD2674"/>
      <c r="AE2674" s="168" t="str">
        <f t="shared" si="41"/>
        <v/>
      </c>
      <c r="AF2674" s="168">
        <v>0</v>
      </c>
      <c r="AG2674" s="168" t="str" cm="1">
        <f t="array" ref="AG2674">IF(AF2674="","",_xlfn.TEXTSPLIT(AF2674,"-"))</f>
        <v>0</v>
      </c>
      <c r="AH2674" s="168"/>
    </row>
    <row r="2675" spans="26:34" ht="24" customHeight="1">
      <c r="Z2675"/>
      <c r="AA2675"/>
      <c r="AB2675"/>
      <c r="AC2675"/>
      <c r="AD2675"/>
      <c r="AE2675" s="168" t="str">
        <f t="shared" si="41"/>
        <v/>
      </c>
      <c r="AF2675" s="168">
        <v>0</v>
      </c>
      <c r="AG2675" s="168" t="str" cm="1">
        <f t="array" ref="AG2675">IF(AF2675="","",_xlfn.TEXTSPLIT(AF2675,"-"))</f>
        <v>0</v>
      </c>
      <c r="AH2675" s="168"/>
    </row>
    <row r="2676" spans="26:34" ht="24" customHeight="1">
      <c r="Z2676"/>
      <c r="AA2676"/>
      <c r="AB2676"/>
      <c r="AC2676"/>
      <c r="AD2676"/>
      <c r="AE2676" s="168" t="str">
        <f t="shared" si="41"/>
        <v/>
      </c>
      <c r="AF2676" s="168">
        <v>0</v>
      </c>
      <c r="AG2676" s="168" t="str" cm="1">
        <f t="array" ref="AG2676">IF(AF2676="","",_xlfn.TEXTSPLIT(AF2676,"-"))</f>
        <v>0</v>
      </c>
      <c r="AH2676" s="168"/>
    </row>
    <row r="2677" spans="26:34" ht="24" customHeight="1">
      <c r="Z2677"/>
      <c r="AA2677"/>
      <c r="AB2677"/>
      <c r="AC2677"/>
      <c r="AD2677"/>
      <c r="AE2677" s="168" t="str">
        <f t="shared" si="41"/>
        <v/>
      </c>
      <c r="AF2677" s="168">
        <v>0</v>
      </c>
      <c r="AG2677" s="168" t="str" cm="1">
        <f t="array" ref="AG2677">IF(AF2677="","",_xlfn.TEXTSPLIT(AF2677,"-"))</f>
        <v>0</v>
      </c>
      <c r="AH2677" s="168"/>
    </row>
    <row r="2678" spans="26:34" ht="24" customHeight="1">
      <c r="Z2678"/>
      <c r="AA2678"/>
      <c r="AB2678"/>
      <c r="AC2678"/>
      <c r="AD2678"/>
      <c r="AE2678" s="168" t="str">
        <f t="shared" si="41"/>
        <v/>
      </c>
      <c r="AF2678" s="168">
        <v>0</v>
      </c>
      <c r="AG2678" s="168" t="str" cm="1">
        <f t="array" ref="AG2678">IF(AF2678="","",_xlfn.TEXTSPLIT(AF2678,"-"))</f>
        <v>0</v>
      </c>
      <c r="AH2678" s="168"/>
    </row>
    <row r="2679" spans="26:34" ht="24" customHeight="1">
      <c r="Z2679"/>
      <c r="AA2679"/>
      <c r="AB2679"/>
      <c r="AC2679"/>
      <c r="AD2679"/>
      <c r="AE2679" s="168" t="str">
        <f t="shared" si="41"/>
        <v/>
      </c>
      <c r="AF2679" s="168">
        <v>0</v>
      </c>
      <c r="AG2679" s="168" t="str" cm="1">
        <f t="array" ref="AG2679">IF(AF2679="","",_xlfn.TEXTSPLIT(AF2679,"-"))</f>
        <v>0</v>
      </c>
      <c r="AH2679" s="168"/>
    </row>
    <row r="2680" spans="26:34" ht="24" customHeight="1">
      <c r="Z2680"/>
      <c r="AA2680"/>
      <c r="AB2680"/>
      <c r="AC2680"/>
      <c r="AD2680"/>
      <c r="AE2680" s="168" t="str">
        <f t="shared" si="41"/>
        <v/>
      </c>
      <c r="AF2680" s="168">
        <v>0</v>
      </c>
      <c r="AG2680" s="168" t="str" cm="1">
        <f t="array" ref="AG2680">IF(AF2680="","",_xlfn.TEXTSPLIT(AF2680,"-"))</f>
        <v>0</v>
      </c>
      <c r="AH2680" s="168"/>
    </row>
    <row r="2681" spans="26:34" ht="24" customHeight="1">
      <c r="Z2681"/>
      <c r="AA2681"/>
      <c r="AB2681"/>
      <c r="AC2681"/>
      <c r="AD2681"/>
      <c r="AE2681" s="168" t="str">
        <f t="shared" si="41"/>
        <v/>
      </c>
      <c r="AF2681" s="168">
        <v>0</v>
      </c>
      <c r="AG2681" s="168" t="str" cm="1">
        <f t="array" ref="AG2681">IF(AF2681="","",_xlfn.TEXTSPLIT(AF2681,"-"))</f>
        <v>0</v>
      </c>
      <c r="AH2681" s="168"/>
    </row>
    <row r="2682" spans="26:34" ht="24" customHeight="1">
      <c r="Z2682"/>
      <c r="AA2682"/>
      <c r="AB2682"/>
      <c r="AC2682"/>
      <c r="AD2682"/>
      <c r="AE2682" s="168" t="str">
        <f t="shared" si="41"/>
        <v/>
      </c>
      <c r="AF2682" s="168">
        <v>0</v>
      </c>
      <c r="AG2682" s="168" t="str" cm="1">
        <f t="array" ref="AG2682">IF(AF2682="","",_xlfn.TEXTSPLIT(AF2682,"-"))</f>
        <v>0</v>
      </c>
      <c r="AH2682" s="168"/>
    </row>
    <row r="2683" spans="26:34" ht="24" customHeight="1">
      <c r="Z2683"/>
      <c r="AA2683"/>
      <c r="AB2683"/>
      <c r="AC2683"/>
      <c r="AD2683"/>
      <c r="AE2683" s="168" t="str">
        <f t="shared" si="41"/>
        <v/>
      </c>
      <c r="AF2683" s="168">
        <v>0</v>
      </c>
      <c r="AG2683" s="168" t="str" cm="1">
        <f t="array" ref="AG2683">IF(AF2683="","",_xlfn.TEXTSPLIT(AF2683,"-"))</f>
        <v>0</v>
      </c>
      <c r="AH2683" s="168"/>
    </row>
    <row r="2684" spans="26:34" ht="24" customHeight="1">
      <c r="Z2684"/>
      <c r="AA2684"/>
      <c r="AB2684"/>
      <c r="AC2684"/>
      <c r="AD2684"/>
      <c r="AE2684" s="168" t="str">
        <f t="shared" si="41"/>
        <v/>
      </c>
      <c r="AF2684" s="168">
        <v>0</v>
      </c>
      <c r="AG2684" s="168" t="str" cm="1">
        <f t="array" ref="AG2684">IF(AF2684="","",_xlfn.TEXTSPLIT(AF2684,"-"))</f>
        <v>0</v>
      </c>
      <c r="AH2684" s="168"/>
    </row>
    <row r="2685" spans="26:34" ht="24" customHeight="1">
      <c r="Z2685"/>
      <c r="AA2685"/>
      <c r="AB2685"/>
      <c r="AC2685"/>
      <c r="AD2685"/>
      <c r="AE2685" s="168" t="str">
        <f t="shared" si="41"/>
        <v/>
      </c>
      <c r="AF2685" s="168">
        <v>0</v>
      </c>
      <c r="AG2685" s="168" t="str" cm="1">
        <f t="array" ref="AG2685">IF(AF2685="","",_xlfn.TEXTSPLIT(AF2685,"-"))</f>
        <v>0</v>
      </c>
      <c r="AH2685" s="168"/>
    </row>
    <row r="2686" spans="26:34" ht="24" customHeight="1">
      <c r="Z2686"/>
      <c r="AA2686"/>
      <c r="AB2686"/>
      <c r="AC2686"/>
      <c r="AD2686"/>
      <c r="AE2686" s="168" t="str">
        <f t="shared" si="41"/>
        <v/>
      </c>
      <c r="AF2686" s="168">
        <v>0</v>
      </c>
      <c r="AG2686" s="168" t="str" cm="1">
        <f t="array" ref="AG2686">IF(AF2686="","",_xlfn.TEXTSPLIT(AF2686,"-"))</f>
        <v>0</v>
      </c>
      <c r="AH2686" s="168"/>
    </row>
    <row r="2687" spans="26:34" ht="24" customHeight="1">
      <c r="Z2687"/>
      <c r="AA2687"/>
      <c r="AB2687"/>
      <c r="AC2687"/>
      <c r="AD2687"/>
      <c r="AE2687" s="168" t="str">
        <f t="shared" si="41"/>
        <v/>
      </c>
      <c r="AF2687" s="168">
        <v>0</v>
      </c>
      <c r="AG2687" s="168" t="str" cm="1">
        <f t="array" ref="AG2687">IF(AF2687="","",_xlfn.TEXTSPLIT(AF2687,"-"))</f>
        <v>0</v>
      </c>
      <c r="AH2687" s="168"/>
    </row>
    <row r="2688" spans="26:34" ht="24" customHeight="1">
      <c r="Z2688"/>
      <c r="AA2688"/>
      <c r="AB2688"/>
      <c r="AC2688"/>
      <c r="AD2688"/>
      <c r="AE2688" s="168" t="str">
        <f t="shared" si="41"/>
        <v/>
      </c>
      <c r="AF2688" s="168">
        <v>0</v>
      </c>
      <c r="AG2688" s="168" t="str" cm="1">
        <f t="array" ref="AG2688">IF(AF2688="","",_xlfn.TEXTSPLIT(AF2688,"-"))</f>
        <v>0</v>
      </c>
      <c r="AH2688" s="168"/>
    </row>
    <row r="2689" spans="26:34" ht="24" customHeight="1">
      <c r="Z2689"/>
      <c r="AA2689"/>
      <c r="AB2689"/>
      <c r="AC2689"/>
      <c r="AD2689"/>
      <c r="AE2689" s="168" t="str">
        <f t="shared" si="41"/>
        <v/>
      </c>
      <c r="AF2689" s="168">
        <v>0</v>
      </c>
      <c r="AG2689" s="168" t="str" cm="1">
        <f t="array" ref="AG2689">IF(AF2689="","",_xlfn.TEXTSPLIT(AF2689,"-"))</f>
        <v>0</v>
      </c>
      <c r="AH2689" s="168"/>
    </row>
    <row r="2690" spans="26:34" ht="24" customHeight="1">
      <c r="Z2690"/>
      <c r="AA2690"/>
      <c r="AB2690"/>
      <c r="AC2690"/>
      <c r="AD2690"/>
      <c r="AE2690" s="168" t="str">
        <f t="shared" si="41"/>
        <v/>
      </c>
      <c r="AF2690" s="168">
        <v>0</v>
      </c>
      <c r="AG2690" s="168" t="str" cm="1">
        <f t="array" ref="AG2690">IF(AF2690="","",_xlfn.TEXTSPLIT(AF2690,"-"))</f>
        <v>0</v>
      </c>
      <c r="AH2690" s="168"/>
    </row>
    <row r="2691" spans="26:34" ht="24" customHeight="1">
      <c r="Z2691"/>
      <c r="AA2691"/>
      <c r="AB2691"/>
      <c r="AC2691"/>
      <c r="AD2691"/>
      <c r="AE2691" s="168" t="str">
        <f t="shared" si="41"/>
        <v/>
      </c>
      <c r="AF2691" s="168">
        <v>0</v>
      </c>
      <c r="AG2691" s="168" t="str" cm="1">
        <f t="array" ref="AG2691">IF(AF2691="","",_xlfn.TEXTSPLIT(AF2691,"-"))</f>
        <v>0</v>
      </c>
      <c r="AH2691" s="168"/>
    </row>
    <row r="2692" spans="26:34" ht="24" customHeight="1">
      <c r="Z2692"/>
      <c r="AA2692"/>
      <c r="AB2692"/>
      <c r="AC2692"/>
      <c r="AD2692"/>
      <c r="AE2692" s="168" t="str">
        <f t="shared" si="41"/>
        <v/>
      </c>
      <c r="AF2692" s="168">
        <v>0</v>
      </c>
      <c r="AG2692" s="168" t="str" cm="1">
        <f t="array" ref="AG2692">IF(AF2692="","",_xlfn.TEXTSPLIT(AF2692,"-"))</f>
        <v>0</v>
      </c>
      <c r="AH2692" s="168"/>
    </row>
    <row r="2693" spans="26:34" ht="24" customHeight="1">
      <c r="Z2693"/>
      <c r="AA2693"/>
      <c r="AB2693"/>
      <c r="AC2693"/>
      <c r="AD2693"/>
      <c r="AE2693" s="168" t="str">
        <f t="shared" ref="AE2693:AE2756" si="42">IF(AH2693="","",AH2693*1)</f>
        <v/>
      </c>
      <c r="AF2693" s="168">
        <v>0</v>
      </c>
      <c r="AG2693" s="168" t="str" cm="1">
        <f t="array" ref="AG2693">IF(AF2693="","",_xlfn.TEXTSPLIT(AF2693,"-"))</f>
        <v>0</v>
      </c>
      <c r="AH2693" s="168"/>
    </row>
    <row r="2694" spans="26:34" ht="24" customHeight="1">
      <c r="Z2694"/>
      <c r="AA2694"/>
      <c r="AB2694"/>
      <c r="AC2694"/>
      <c r="AD2694"/>
      <c r="AE2694" s="168" t="str">
        <f t="shared" si="42"/>
        <v/>
      </c>
      <c r="AF2694" s="168">
        <v>0</v>
      </c>
      <c r="AG2694" s="168" t="str" cm="1">
        <f t="array" ref="AG2694">IF(AF2694="","",_xlfn.TEXTSPLIT(AF2694,"-"))</f>
        <v>0</v>
      </c>
      <c r="AH2694" s="168"/>
    </row>
    <row r="2695" spans="26:34" ht="24" customHeight="1">
      <c r="Z2695"/>
      <c r="AA2695"/>
      <c r="AB2695"/>
      <c r="AC2695"/>
      <c r="AD2695"/>
      <c r="AE2695" s="168" t="str">
        <f t="shared" si="42"/>
        <v/>
      </c>
      <c r="AF2695" s="168">
        <v>0</v>
      </c>
      <c r="AG2695" s="168" t="str" cm="1">
        <f t="array" ref="AG2695">IF(AF2695="","",_xlfn.TEXTSPLIT(AF2695,"-"))</f>
        <v>0</v>
      </c>
      <c r="AH2695" s="168"/>
    </row>
    <row r="2696" spans="26:34" ht="24" customHeight="1">
      <c r="Z2696"/>
      <c r="AA2696"/>
      <c r="AB2696"/>
      <c r="AC2696"/>
      <c r="AD2696"/>
      <c r="AE2696" s="168" t="str">
        <f t="shared" si="42"/>
        <v/>
      </c>
      <c r="AF2696" s="168">
        <v>0</v>
      </c>
      <c r="AG2696" s="168" t="str" cm="1">
        <f t="array" ref="AG2696">IF(AF2696="","",_xlfn.TEXTSPLIT(AF2696,"-"))</f>
        <v>0</v>
      </c>
      <c r="AH2696" s="168"/>
    </row>
    <row r="2697" spans="26:34" ht="24" customHeight="1">
      <c r="Z2697"/>
      <c r="AA2697"/>
      <c r="AB2697"/>
      <c r="AC2697"/>
      <c r="AD2697"/>
      <c r="AE2697" s="168" t="str">
        <f t="shared" si="42"/>
        <v/>
      </c>
      <c r="AF2697" s="168">
        <v>0</v>
      </c>
      <c r="AG2697" s="168" t="str" cm="1">
        <f t="array" ref="AG2697">IF(AF2697="","",_xlfn.TEXTSPLIT(AF2697,"-"))</f>
        <v>0</v>
      </c>
      <c r="AH2697" s="168"/>
    </row>
    <row r="2698" spans="26:34" ht="24" customHeight="1">
      <c r="Z2698"/>
      <c r="AA2698"/>
      <c r="AB2698"/>
      <c r="AC2698"/>
      <c r="AD2698"/>
      <c r="AE2698" s="168" t="str">
        <f t="shared" si="42"/>
        <v/>
      </c>
      <c r="AF2698" s="168">
        <v>0</v>
      </c>
      <c r="AG2698" s="168" t="str" cm="1">
        <f t="array" ref="AG2698">IF(AF2698="","",_xlfn.TEXTSPLIT(AF2698,"-"))</f>
        <v>0</v>
      </c>
      <c r="AH2698" s="168"/>
    </row>
    <row r="2699" spans="26:34" ht="24" customHeight="1">
      <c r="Z2699"/>
      <c r="AA2699"/>
      <c r="AB2699"/>
      <c r="AC2699"/>
      <c r="AD2699"/>
      <c r="AE2699" s="168" t="str">
        <f t="shared" si="42"/>
        <v/>
      </c>
      <c r="AF2699" s="168">
        <v>0</v>
      </c>
      <c r="AG2699" s="168" t="str" cm="1">
        <f t="array" ref="AG2699">IF(AF2699="","",_xlfn.TEXTSPLIT(AF2699,"-"))</f>
        <v>0</v>
      </c>
      <c r="AH2699" s="168"/>
    </row>
    <row r="2700" spans="26:34" ht="24" customHeight="1">
      <c r="Z2700"/>
      <c r="AA2700"/>
      <c r="AB2700"/>
      <c r="AC2700"/>
      <c r="AD2700"/>
      <c r="AE2700" s="168" t="str">
        <f t="shared" si="42"/>
        <v/>
      </c>
      <c r="AF2700" s="168">
        <v>0</v>
      </c>
      <c r="AG2700" s="168" t="str" cm="1">
        <f t="array" ref="AG2700">IF(AF2700="","",_xlfn.TEXTSPLIT(AF2700,"-"))</f>
        <v>0</v>
      </c>
      <c r="AH2700" s="168"/>
    </row>
    <row r="2701" spans="26:34" ht="24" customHeight="1">
      <c r="Z2701"/>
      <c r="AA2701"/>
      <c r="AB2701"/>
      <c r="AC2701"/>
      <c r="AD2701"/>
      <c r="AE2701" s="168" t="str">
        <f t="shared" si="42"/>
        <v/>
      </c>
      <c r="AF2701" s="168">
        <v>0</v>
      </c>
      <c r="AG2701" s="168" t="str" cm="1">
        <f t="array" ref="AG2701">IF(AF2701="","",_xlfn.TEXTSPLIT(AF2701,"-"))</f>
        <v>0</v>
      </c>
      <c r="AH2701" s="168"/>
    </row>
    <row r="2702" spans="26:34" ht="24" customHeight="1">
      <c r="Z2702"/>
      <c r="AA2702"/>
      <c r="AB2702"/>
      <c r="AC2702"/>
      <c r="AD2702"/>
      <c r="AE2702" s="168" t="str">
        <f t="shared" si="42"/>
        <v/>
      </c>
      <c r="AF2702" s="168">
        <v>0</v>
      </c>
      <c r="AG2702" s="168" t="str" cm="1">
        <f t="array" ref="AG2702">IF(AF2702="","",_xlfn.TEXTSPLIT(AF2702,"-"))</f>
        <v>0</v>
      </c>
      <c r="AH2702" s="168"/>
    </row>
    <row r="2703" spans="26:34" ht="24" customHeight="1">
      <c r="Z2703"/>
      <c r="AA2703"/>
      <c r="AB2703"/>
      <c r="AC2703"/>
      <c r="AD2703"/>
      <c r="AE2703" s="168" t="str">
        <f t="shared" si="42"/>
        <v/>
      </c>
      <c r="AF2703" s="168">
        <v>0</v>
      </c>
      <c r="AG2703" s="168" t="str" cm="1">
        <f t="array" ref="AG2703">IF(AF2703="","",_xlfn.TEXTSPLIT(AF2703,"-"))</f>
        <v>0</v>
      </c>
      <c r="AH2703" s="168"/>
    </row>
    <row r="2704" spans="26:34" ht="24" customHeight="1">
      <c r="Z2704"/>
      <c r="AA2704"/>
      <c r="AB2704"/>
      <c r="AC2704"/>
      <c r="AD2704"/>
      <c r="AE2704" s="168" t="str">
        <f t="shared" si="42"/>
        <v/>
      </c>
      <c r="AF2704" s="168">
        <v>0</v>
      </c>
      <c r="AG2704" s="168" t="str" cm="1">
        <f t="array" ref="AG2704">IF(AF2704="","",_xlfn.TEXTSPLIT(AF2704,"-"))</f>
        <v>0</v>
      </c>
      <c r="AH2704" s="168"/>
    </row>
    <row r="2705" spans="26:34" ht="24" customHeight="1">
      <c r="Z2705"/>
      <c r="AA2705"/>
      <c r="AB2705"/>
      <c r="AC2705"/>
      <c r="AD2705"/>
      <c r="AE2705" s="168" t="str">
        <f t="shared" si="42"/>
        <v/>
      </c>
      <c r="AF2705" s="168">
        <v>0</v>
      </c>
      <c r="AG2705" s="168" t="str" cm="1">
        <f t="array" ref="AG2705">IF(AF2705="","",_xlfn.TEXTSPLIT(AF2705,"-"))</f>
        <v>0</v>
      </c>
      <c r="AH2705" s="168"/>
    </row>
    <row r="2706" spans="26:34" ht="24" customHeight="1">
      <c r="Z2706"/>
      <c r="AA2706"/>
      <c r="AB2706"/>
      <c r="AC2706"/>
      <c r="AD2706"/>
      <c r="AE2706" s="168" t="str">
        <f t="shared" si="42"/>
        <v/>
      </c>
      <c r="AF2706" s="168">
        <v>0</v>
      </c>
      <c r="AG2706" s="168" t="str" cm="1">
        <f t="array" ref="AG2706">IF(AF2706="","",_xlfn.TEXTSPLIT(AF2706,"-"))</f>
        <v>0</v>
      </c>
      <c r="AH2706" s="168"/>
    </row>
    <row r="2707" spans="26:34" ht="24" customHeight="1">
      <c r="Z2707"/>
      <c r="AA2707"/>
      <c r="AB2707"/>
      <c r="AC2707"/>
      <c r="AD2707"/>
      <c r="AE2707" s="168" t="str">
        <f t="shared" si="42"/>
        <v/>
      </c>
      <c r="AF2707" s="168">
        <v>0</v>
      </c>
      <c r="AG2707" s="168" t="str" cm="1">
        <f t="array" ref="AG2707">IF(AF2707="","",_xlfn.TEXTSPLIT(AF2707,"-"))</f>
        <v>0</v>
      </c>
      <c r="AH2707" s="168"/>
    </row>
    <row r="2708" spans="26:34" ht="24" customHeight="1">
      <c r="Z2708"/>
      <c r="AA2708"/>
      <c r="AB2708"/>
      <c r="AC2708"/>
      <c r="AD2708"/>
      <c r="AE2708" s="168" t="str">
        <f t="shared" si="42"/>
        <v/>
      </c>
      <c r="AF2708" s="168">
        <v>0</v>
      </c>
      <c r="AG2708" s="168" t="str" cm="1">
        <f t="array" ref="AG2708">IF(AF2708="","",_xlfn.TEXTSPLIT(AF2708,"-"))</f>
        <v>0</v>
      </c>
      <c r="AH2708" s="168"/>
    </row>
    <row r="2709" spans="26:34" ht="24" customHeight="1">
      <c r="Z2709"/>
      <c r="AA2709"/>
      <c r="AB2709"/>
      <c r="AC2709"/>
      <c r="AD2709"/>
      <c r="AE2709" s="168" t="str">
        <f t="shared" si="42"/>
        <v/>
      </c>
      <c r="AF2709" s="168">
        <v>0</v>
      </c>
      <c r="AG2709" s="168" t="str" cm="1">
        <f t="array" ref="AG2709">IF(AF2709="","",_xlfn.TEXTSPLIT(AF2709,"-"))</f>
        <v>0</v>
      </c>
      <c r="AH2709" s="168"/>
    </row>
    <row r="2710" spans="26:34" ht="24" customHeight="1">
      <c r="Z2710"/>
      <c r="AA2710"/>
      <c r="AB2710"/>
      <c r="AC2710"/>
      <c r="AD2710"/>
      <c r="AE2710" s="168" t="str">
        <f t="shared" si="42"/>
        <v/>
      </c>
      <c r="AF2710" s="168">
        <v>0</v>
      </c>
      <c r="AG2710" s="168" t="str" cm="1">
        <f t="array" ref="AG2710">IF(AF2710="","",_xlfn.TEXTSPLIT(AF2710,"-"))</f>
        <v>0</v>
      </c>
      <c r="AH2710" s="168"/>
    </row>
    <row r="2711" spans="26:34" ht="24" customHeight="1">
      <c r="Z2711"/>
      <c r="AA2711"/>
      <c r="AB2711"/>
      <c r="AC2711"/>
      <c r="AD2711"/>
      <c r="AE2711" s="168" t="str">
        <f t="shared" si="42"/>
        <v/>
      </c>
      <c r="AF2711" s="168">
        <v>0</v>
      </c>
      <c r="AG2711" s="168" t="str" cm="1">
        <f t="array" ref="AG2711">IF(AF2711="","",_xlfn.TEXTSPLIT(AF2711,"-"))</f>
        <v>0</v>
      </c>
      <c r="AH2711" s="168"/>
    </row>
    <row r="2712" spans="26:34" ht="24" customHeight="1">
      <c r="Z2712"/>
      <c r="AA2712"/>
      <c r="AB2712"/>
      <c r="AC2712"/>
      <c r="AD2712"/>
      <c r="AE2712" s="168" t="str">
        <f t="shared" si="42"/>
        <v/>
      </c>
      <c r="AF2712" s="168">
        <v>0</v>
      </c>
      <c r="AG2712" s="168" t="str" cm="1">
        <f t="array" ref="AG2712">IF(AF2712="","",_xlfn.TEXTSPLIT(AF2712,"-"))</f>
        <v>0</v>
      </c>
      <c r="AH2712" s="168"/>
    </row>
    <row r="2713" spans="26:34" ht="24" customHeight="1">
      <c r="Z2713"/>
      <c r="AA2713"/>
      <c r="AB2713"/>
      <c r="AC2713"/>
      <c r="AD2713"/>
      <c r="AE2713" s="168" t="str">
        <f t="shared" si="42"/>
        <v/>
      </c>
      <c r="AF2713" s="168">
        <v>0</v>
      </c>
      <c r="AG2713" s="168" t="str" cm="1">
        <f t="array" ref="AG2713">IF(AF2713="","",_xlfn.TEXTSPLIT(AF2713,"-"))</f>
        <v>0</v>
      </c>
      <c r="AH2713" s="168"/>
    </row>
    <row r="2714" spans="26:34" ht="24" customHeight="1">
      <c r="Z2714"/>
      <c r="AA2714"/>
      <c r="AB2714"/>
      <c r="AC2714"/>
      <c r="AD2714"/>
      <c r="AE2714" s="168" t="str">
        <f t="shared" si="42"/>
        <v/>
      </c>
      <c r="AF2714" s="168">
        <v>0</v>
      </c>
      <c r="AG2714" s="168" t="str" cm="1">
        <f t="array" ref="AG2714">IF(AF2714="","",_xlfn.TEXTSPLIT(AF2714,"-"))</f>
        <v>0</v>
      </c>
      <c r="AH2714" s="168"/>
    </row>
    <row r="2715" spans="26:34" ht="24" customHeight="1">
      <c r="Z2715"/>
      <c r="AA2715"/>
      <c r="AB2715"/>
      <c r="AC2715"/>
      <c r="AD2715"/>
      <c r="AE2715" s="168" t="str">
        <f t="shared" si="42"/>
        <v/>
      </c>
      <c r="AF2715" s="168">
        <v>0</v>
      </c>
      <c r="AG2715" s="168" t="str" cm="1">
        <f t="array" ref="AG2715">IF(AF2715="","",_xlfn.TEXTSPLIT(AF2715,"-"))</f>
        <v>0</v>
      </c>
      <c r="AH2715" s="168"/>
    </row>
    <row r="2716" spans="26:34" ht="24" customHeight="1">
      <c r="Z2716"/>
      <c r="AA2716"/>
      <c r="AB2716"/>
      <c r="AC2716"/>
      <c r="AD2716"/>
      <c r="AE2716" s="168" t="str">
        <f t="shared" si="42"/>
        <v/>
      </c>
      <c r="AF2716" s="168">
        <v>0</v>
      </c>
      <c r="AG2716" s="168" t="str" cm="1">
        <f t="array" ref="AG2716">IF(AF2716="","",_xlfn.TEXTSPLIT(AF2716,"-"))</f>
        <v>0</v>
      </c>
      <c r="AH2716" s="168"/>
    </row>
    <row r="2717" spans="26:34" ht="24" customHeight="1">
      <c r="Z2717"/>
      <c r="AA2717"/>
      <c r="AB2717"/>
      <c r="AC2717"/>
      <c r="AD2717"/>
      <c r="AE2717" s="168" t="str">
        <f t="shared" si="42"/>
        <v/>
      </c>
      <c r="AF2717" s="168">
        <v>0</v>
      </c>
      <c r="AG2717" s="168" t="str" cm="1">
        <f t="array" ref="AG2717">IF(AF2717="","",_xlfn.TEXTSPLIT(AF2717,"-"))</f>
        <v>0</v>
      </c>
      <c r="AH2717" s="168"/>
    </row>
    <row r="2718" spans="26:34" ht="24" customHeight="1">
      <c r="Z2718"/>
      <c r="AA2718"/>
      <c r="AB2718"/>
      <c r="AC2718"/>
      <c r="AD2718"/>
      <c r="AE2718" s="168" t="str">
        <f t="shared" si="42"/>
        <v/>
      </c>
      <c r="AF2718" s="168">
        <v>0</v>
      </c>
      <c r="AG2718" s="168" t="str" cm="1">
        <f t="array" ref="AG2718">IF(AF2718="","",_xlfn.TEXTSPLIT(AF2718,"-"))</f>
        <v>0</v>
      </c>
      <c r="AH2718" s="168"/>
    </row>
    <row r="2719" spans="26:34" ht="24" customHeight="1">
      <c r="Z2719"/>
      <c r="AA2719"/>
      <c r="AB2719"/>
      <c r="AC2719"/>
      <c r="AD2719"/>
      <c r="AE2719" s="168" t="str">
        <f t="shared" si="42"/>
        <v/>
      </c>
      <c r="AF2719" s="168">
        <v>0</v>
      </c>
      <c r="AG2719" s="168" t="str" cm="1">
        <f t="array" ref="AG2719">IF(AF2719="","",_xlfn.TEXTSPLIT(AF2719,"-"))</f>
        <v>0</v>
      </c>
      <c r="AH2719" s="168"/>
    </row>
    <row r="2720" spans="26:34" ht="24" customHeight="1">
      <c r="Z2720"/>
      <c r="AA2720"/>
      <c r="AB2720"/>
      <c r="AC2720"/>
      <c r="AD2720"/>
      <c r="AE2720" s="168" t="str">
        <f t="shared" si="42"/>
        <v/>
      </c>
      <c r="AF2720" s="168">
        <v>0</v>
      </c>
      <c r="AG2720" s="168" t="str" cm="1">
        <f t="array" ref="AG2720">IF(AF2720="","",_xlfn.TEXTSPLIT(AF2720,"-"))</f>
        <v>0</v>
      </c>
      <c r="AH2720" s="168"/>
    </row>
    <row r="2721" spans="26:34" ht="24" customHeight="1">
      <c r="Z2721"/>
      <c r="AA2721"/>
      <c r="AB2721"/>
      <c r="AC2721"/>
      <c r="AD2721"/>
      <c r="AE2721" s="168" t="str">
        <f t="shared" si="42"/>
        <v/>
      </c>
      <c r="AF2721" s="168">
        <v>0</v>
      </c>
      <c r="AG2721" s="168" t="str" cm="1">
        <f t="array" ref="AG2721">IF(AF2721="","",_xlfn.TEXTSPLIT(AF2721,"-"))</f>
        <v>0</v>
      </c>
      <c r="AH2721" s="168"/>
    </row>
    <row r="2722" spans="26:34" ht="24" customHeight="1">
      <c r="Z2722"/>
      <c r="AA2722"/>
      <c r="AB2722"/>
      <c r="AC2722"/>
      <c r="AD2722"/>
      <c r="AE2722" s="168" t="str">
        <f t="shared" si="42"/>
        <v/>
      </c>
      <c r="AF2722" s="168">
        <v>0</v>
      </c>
      <c r="AG2722" s="168" t="str" cm="1">
        <f t="array" ref="AG2722">IF(AF2722="","",_xlfn.TEXTSPLIT(AF2722,"-"))</f>
        <v>0</v>
      </c>
      <c r="AH2722" s="168"/>
    </row>
    <row r="2723" spans="26:34" ht="24" customHeight="1">
      <c r="Z2723"/>
      <c r="AA2723"/>
      <c r="AB2723"/>
      <c r="AC2723"/>
      <c r="AD2723"/>
      <c r="AE2723" s="168" t="str">
        <f t="shared" si="42"/>
        <v/>
      </c>
      <c r="AF2723" s="168">
        <v>0</v>
      </c>
      <c r="AG2723" s="168" t="str" cm="1">
        <f t="array" ref="AG2723">IF(AF2723="","",_xlfn.TEXTSPLIT(AF2723,"-"))</f>
        <v>0</v>
      </c>
      <c r="AH2723" s="168"/>
    </row>
    <row r="2724" spans="26:34" ht="24" customHeight="1">
      <c r="Z2724"/>
      <c r="AA2724"/>
      <c r="AB2724"/>
      <c r="AC2724"/>
      <c r="AD2724"/>
      <c r="AE2724" s="168" t="str">
        <f t="shared" si="42"/>
        <v/>
      </c>
      <c r="AF2724" s="168">
        <v>0</v>
      </c>
      <c r="AG2724" s="168" t="str" cm="1">
        <f t="array" ref="AG2724">IF(AF2724="","",_xlfn.TEXTSPLIT(AF2724,"-"))</f>
        <v>0</v>
      </c>
      <c r="AH2724" s="168"/>
    </row>
    <row r="2725" spans="26:34" ht="24" customHeight="1">
      <c r="Z2725"/>
      <c r="AA2725"/>
      <c r="AB2725"/>
      <c r="AC2725"/>
      <c r="AD2725"/>
      <c r="AE2725" s="168" t="str">
        <f t="shared" si="42"/>
        <v/>
      </c>
      <c r="AF2725" s="168">
        <v>0</v>
      </c>
      <c r="AG2725" s="168" t="str" cm="1">
        <f t="array" ref="AG2725">IF(AF2725="","",_xlfn.TEXTSPLIT(AF2725,"-"))</f>
        <v>0</v>
      </c>
      <c r="AH2725" s="168"/>
    </row>
    <row r="2726" spans="26:34" ht="24" customHeight="1">
      <c r="Z2726"/>
      <c r="AA2726"/>
      <c r="AB2726"/>
      <c r="AC2726"/>
      <c r="AD2726"/>
      <c r="AE2726" s="168" t="str">
        <f t="shared" si="42"/>
        <v/>
      </c>
      <c r="AF2726" s="168">
        <v>0</v>
      </c>
      <c r="AG2726" s="168" t="str" cm="1">
        <f t="array" ref="AG2726">IF(AF2726="","",_xlfn.TEXTSPLIT(AF2726,"-"))</f>
        <v>0</v>
      </c>
      <c r="AH2726" s="168"/>
    </row>
    <row r="2727" spans="26:34" ht="24" customHeight="1">
      <c r="Z2727"/>
      <c r="AA2727"/>
      <c r="AB2727"/>
      <c r="AC2727"/>
      <c r="AD2727"/>
      <c r="AE2727" s="168" t="str">
        <f t="shared" si="42"/>
        <v/>
      </c>
      <c r="AF2727" s="168">
        <v>0</v>
      </c>
      <c r="AG2727" s="168" t="str" cm="1">
        <f t="array" ref="AG2727">IF(AF2727="","",_xlfn.TEXTSPLIT(AF2727,"-"))</f>
        <v>0</v>
      </c>
      <c r="AH2727" s="168"/>
    </row>
    <row r="2728" spans="26:34" ht="24" customHeight="1">
      <c r="Z2728"/>
      <c r="AA2728"/>
      <c r="AB2728"/>
      <c r="AC2728"/>
      <c r="AD2728"/>
      <c r="AE2728" s="168" t="str">
        <f t="shared" si="42"/>
        <v/>
      </c>
      <c r="AF2728" s="168">
        <v>0</v>
      </c>
      <c r="AG2728" s="168" t="str" cm="1">
        <f t="array" ref="AG2728">IF(AF2728="","",_xlfn.TEXTSPLIT(AF2728,"-"))</f>
        <v>0</v>
      </c>
      <c r="AH2728" s="168"/>
    </row>
    <row r="2729" spans="26:34" ht="24" customHeight="1">
      <c r="Z2729"/>
      <c r="AA2729"/>
      <c r="AB2729"/>
      <c r="AC2729"/>
      <c r="AD2729"/>
      <c r="AE2729" s="168" t="str">
        <f t="shared" si="42"/>
        <v/>
      </c>
      <c r="AF2729" s="168">
        <v>0</v>
      </c>
      <c r="AG2729" s="168" t="str" cm="1">
        <f t="array" ref="AG2729">IF(AF2729="","",_xlfn.TEXTSPLIT(AF2729,"-"))</f>
        <v>0</v>
      </c>
      <c r="AH2729" s="168"/>
    </row>
    <row r="2730" spans="26:34" ht="24" customHeight="1">
      <c r="Z2730"/>
      <c r="AA2730"/>
      <c r="AB2730"/>
      <c r="AC2730"/>
      <c r="AD2730"/>
      <c r="AE2730" s="168" t="str">
        <f t="shared" si="42"/>
        <v/>
      </c>
      <c r="AF2730" s="168">
        <v>0</v>
      </c>
      <c r="AG2730" s="168" t="str" cm="1">
        <f t="array" ref="AG2730">IF(AF2730="","",_xlfn.TEXTSPLIT(AF2730,"-"))</f>
        <v>0</v>
      </c>
      <c r="AH2730" s="168"/>
    </row>
    <row r="2731" spans="26:34" ht="24" customHeight="1">
      <c r="Z2731"/>
      <c r="AA2731"/>
      <c r="AB2731"/>
      <c r="AC2731"/>
      <c r="AD2731"/>
      <c r="AE2731" s="168" t="str">
        <f t="shared" si="42"/>
        <v/>
      </c>
      <c r="AF2731" s="168">
        <v>0</v>
      </c>
      <c r="AG2731" s="168" t="str" cm="1">
        <f t="array" ref="AG2731">IF(AF2731="","",_xlfn.TEXTSPLIT(AF2731,"-"))</f>
        <v>0</v>
      </c>
      <c r="AH2731" s="168"/>
    </row>
    <row r="2732" spans="26:34" ht="24" customHeight="1">
      <c r="Z2732"/>
      <c r="AA2732"/>
      <c r="AB2732"/>
      <c r="AC2732"/>
      <c r="AD2732"/>
      <c r="AE2732" s="168" t="str">
        <f t="shared" si="42"/>
        <v/>
      </c>
      <c r="AF2732" s="168">
        <v>0</v>
      </c>
      <c r="AG2732" s="168" t="str" cm="1">
        <f t="array" ref="AG2732">IF(AF2732="","",_xlfn.TEXTSPLIT(AF2732,"-"))</f>
        <v>0</v>
      </c>
      <c r="AH2732" s="168"/>
    </row>
    <row r="2733" spans="26:34" ht="24" customHeight="1">
      <c r="Z2733"/>
      <c r="AA2733"/>
      <c r="AB2733"/>
      <c r="AC2733"/>
      <c r="AD2733"/>
      <c r="AE2733" s="168" t="str">
        <f t="shared" si="42"/>
        <v/>
      </c>
      <c r="AF2733" s="168">
        <v>0</v>
      </c>
      <c r="AG2733" s="168" t="str" cm="1">
        <f t="array" ref="AG2733">IF(AF2733="","",_xlfn.TEXTSPLIT(AF2733,"-"))</f>
        <v>0</v>
      </c>
      <c r="AH2733" s="168"/>
    </row>
    <row r="2734" spans="26:34" ht="24" customHeight="1">
      <c r="Z2734"/>
      <c r="AA2734"/>
      <c r="AB2734"/>
      <c r="AC2734"/>
      <c r="AD2734"/>
      <c r="AE2734" s="168" t="str">
        <f t="shared" si="42"/>
        <v/>
      </c>
      <c r="AF2734" s="168">
        <v>0</v>
      </c>
      <c r="AG2734" s="168" t="str" cm="1">
        <f t="array" ref="AG2734">IF(AF2734="","",_xlfn.TEXTSPLIT(AF2734,"-"))</f>
        <v>0</v>
      </c>
      <c r="AH2734" s="168"/>
    </row>
    <row r="2735" spans="26:34" ht="24" customHeight="1">
      <c r="Z2735"/>
      <c r="AA2735"/>
      <c r="AB2735"/>
      <c r="AC2735"/>
      <c r="AD2735"/>
      <c r="AE2735" s="168" t="str">
        <f t="shared" si="42"/>
        <v/>
      </c>
      <c r="AF2735" s="168">
        <v>0</v>
      </c>
      <c r="AG2735" s="168" t="str" cm="1">
        <f t="array" ref="AG2735">IF(AF2735="","",_xlfn.TEXTSPLIT(AF2735,"-"))</f>
        <v>0</v>
      </c>
      <c r="AH2735" s="168"/>
    </row>
    <row r="2736" spans="26:34" ht="24" customHeight="1">
      <c r="Z2736"/>
      <c r="AA2736"/>
      <c r="AB2736"/>
      <c r="AC2736"/>
      <c r="AD2736"/>
      <c r="AE2736" s="168" t="str">
        <f t="shared" si="42"/>
        <v/>
      </c>
      <c r="AF2736" s="168">
        <v>0</v>
      </c>
      <c r="AG2736" s="168" t="str" cm="1">
        <f t="array" ref="AG2736">IF(AF2736="","",_xlfn.TEXTSPLIT(AF2736,"-"))</f>
        <v>0</v>
      </c>
      <c r="AH2736" s="168"/>
    </row>
    <row r="2737" spans="26:34" ht="24" customHeight="1">
      <c r="Z2737"/>
      <c r="AA2737"/>
      <c r="AB2737"/>
      <c r="AC2737"/>
      <c r="AD2737"/>
      <c r="AE2737" s="168" t="str">
        <f t="shared" si="42"/>
        <v/>
      </c>
      <c r="AF2737" s="168">
        <v>0</v>
      </c>
      <c r="AG2737" s="168" t="str" cm="1">
        <f t="array" ref="AG2737">IF(AF2737="","",_xlfn.TEXTSPLIT(AF2737,"-"))</f>
        <v>0</v>
      </c>
      <c r="AH2737" s="168"/>
    </row>
    <row r="2738" spans="26:34" ht="24" customHeight="1">
      <c r="Z2738"/>
      <c r="AA2738"/>
      <c r="AB2738"/>
      <c r="AC2738"/>
      <c r="AD2738"/>
      <c r="AE2738" s="168" t="str">
        <f t="shared" si="42"/>
        <v/>
      </c>
      <c r="AF2738" s="168">
        <v>0</v>
      </c>
      <c r="AG2738" s="168" t="str" cm="1">
        <f t="array" ref="AG2738">IF(AF2738="","",_xlfn.TEXTSPLIT(AF2738,"-"))</f>
        <v>0</v>
      </c>
      <c r="AH2738" s="168"/>
    </row>
    <row r="2739" spans="26:34" ht="24" customHeight="1">
      <c r="Z2739"/>
      <c r="AA2739"/>
      <c r="AB2739"/>
      <c r="AC2739"/>
      <c r="AD2739"/>
      <c r="AE2739" s="168" t="str">
        <f t="shared" si="42"/>
        <v/>
      </c>
      <c r="AF2739" s="168">
        <v>0</v>
      </c>
      <c r="AG2739" s="168" t="str" cm="1">
        <f t="array" ref="AG2739">IF(AF2739="","",_xlfn.TEXTSPLIT(AF2739,"-"))</f>
        <v>0</v>
      </c>
      <c r="AH2739" s="168"/>
    </row>
    <row r="2740" spans="26:34" ht="24" customHeight="1">
      <c r="Z2740"/>
      <c r="AA2740"/>
      <c r="AB2740"/>
      <c r="AC2740"/>
      <c r="AD2740"/>
      <c r="AE2740" s="168" t="str">
        <f t="shared" si="42"/>
        <v/>
      </c>
      <c r="AF2740" s="168">
        <v>0</v>
      </c>
      <c r="AG2740" s="168" t="str" cm="1">
        <f t="array" ref="AG2740">IF(AF2740="","",_xlfn.TEXTSPLIT(AF2740,"-"))</f>
        <v>0</v>
      </c>
      <c r="AH2740" s="168"/>
    </row>
    <row r="2741" spans="26:34" ht="24" customHeight="1">
      <c r="Z2741"/>
      <c r="AA2741"/>
      <c r="AB2741"/>
      <c r="AC2741"/>
      <c r="AD2741"/>
      <c r="AE2741" s="168" t="str">
        <f t="shared" si="42"/>
        <v/>
      </c>
      <c r="AF2741" s="168">
        <v>0</v>
      </c>
      <c r="AG2741" s="168" t="str" cm="1">
        <f t="array" ref="AG2741">IF(AF2741="","",_xlfn.TEXTSPLIT(AF2741,"-"))</f>
        <v>0</v>
      </c>
      <c r="AH2741" s="168"/>
    </row>
    <row r="2742" spans="26:34" ht="24" customHeight="1">
      <c r="Z2742"/>
      <c r="AA2742"/>
      <c r="AB2742"/>
      <c r="AC2742"/>
      <c r="AD2742"/>
      <c r="AE2742" s="168" t="str">
        <f t="shared" si="42"/>
        <v/>
      </c>
      <c r="AF2742" s="168">
        <v>0</v>
      </c>
      <c r="AG2742" s="168" t="str" cm="1">
        <f t="array" ref="AG2742">IF(AF2742="","",_xlfn.TEXTSPLIT(AF2742,"-"))</f>
        <v>0</v>
      </c>
      <c r="AH2742" s="168"/>
    </row>
    <row r="2743" spans="26:34" ht="24" customHeight="1">
      <c r="Z2743"/>
      <c r="AA2743"/>
      <c r="AB2743"/>
      <c r="AC2743"/>
      <c r="AD2743"/>
      <c r="AE2743" s="168" t="str">
        <f t="shared" si="42"/>
        <v/>
      </c>
      <c r="AF2743" s="168">
        <v>0</v>
      </c>
      <c r="AG2743" s="168" t="str" cm="1">
        <f t="array" ref="AG2743">IF(AF2743="","",_xlfn.TEXTSPLIT(AF2743,"-"))</f>
        <v>0</v>
      </c>
      <c r="AH2743" s="168"/>
    </row>
    <row r="2744" spans="26:34" ht="24" customHeight="1">
      <c r="Z2744"/>
      <c r="AA2744"/>
      <c r="AB2744"/>
      <c r="AC2744"/>
      <c r="AD2744"/>
      <c r="AE2744" s="168" t="str">
        <f t="shared" si="42"/>
        <v/>
      </c>
      <c r="AF2744" s="168">
        <v>0</v>
      </c>
      <c r="AG2744" s="168" t="str" cm="1">
        <f t="array" ref="AG2744">IF(AF2744="","",_xlfn.TEXTSPLIT(AF2744,"-"))</f>
        <v>0</v>
      </c>
      <c r="AH2744" s="168"/>
    </row>
    <row r="2745" spans="26:34" ht="24" customHeight="1">
      <c r="Z2745"/>
      <c r="AA2745"/>
      <c r="AB2745"/>
      <c r="AC2745"/>
      <c r="AD2745"/>
      <c r="AE2745" s="168" t="str">
        <f t="shared" si="42"/>
        <v/>
      </c>
      <c r="AF2745" s="168">
        <v>0</v>
      </c>
      <c r="AG2745" s="168" t="str" cm="1">
        <f t="array" ref="AG2745">IF(AF2745="","",_xlfn.TEXTSPLIT(AF2745,"-"))</f>
        <v>0</v>
      </c>
      <c r="AH2745" s="168"/>
    </row>
    <row r="2746" spans="26:34" ht="24" customHeight="1">
      <c r="Z2746"/>
      <c r="AA2746"/>
      <c r="AB2746"/>
      <c r="AC2746"/>
      <c r="AD2746"/>
      <c r="AE2746" s="168" t="str">
        <f t="shared" si="42"/>
        <v/>
      </c>
      <c r="AF2746" s="168">
        <v>0</v>
      </c>
      <c r="AG2746" s="168" t="str" cm="1">
        <f t="array" ref="AG2746">IF(AF2746="","",_xlfn.TEXTSPLIT(AF2746,"-"))</f>
        <v>0</v>
      </c>
      <c r="AH2746" s="168"/>
    </row>
    <row r="2747" spans="26:34" ht="24" customHeight="1">
      <c r="Z2747"/>
      <c r="AA2747"/>
      <c r="AB2747"/>
      <c r="AC2747"/>
      <c r="AD2747"/>
      <c r="AE2747" s="168" t="str">
        <f t="shared" si="42"/>
        <v/>
      </c>
      <c r="AF2747" s="168">
        <v>0</v>
      </c>
      <c r="AG2747" s="168" t="str" cm="1">
        <f t="array" ref="AG2747">IF(AF2747="","",_xlfn.TEXTSPLIT(AF2747,"-"))</f>
        <v>0</v>
      </c>
      <c r="AH2747" s="168"/>
    </row>
    <row r="2748" spans="26:34" ht="24" customHeight="1">
      <c r="Z2748"/>
      <c r="AA2748"/>
      <c r="AB2748"/>
      <c r="AC2748"/>
      <c r="AD2748"/>
      <c r="AE2748" s="168" t="str">
        <f t="shared" si="42"/>
        <v/>
      </c>
      <c r="AF2748" s="168">
        <v>0</v>
      </c>
      <c r="AG2748" s="168" t="str" cm="1">
        <f t="array" ref="AG2748">IF(AF2748="","",_xlfn.TEXTSPLIT(AF2748,"-"))</f>
        <v>0</v>
      </c>
      <c r="AH2748" s="168"/>
    </row>
    <row r="2749" spans="26:34" ht="24" customHeight="1">
      <c r="Z2749"/>
      <c r="AA2749"/>
      <c r="AB2749"/>
      <c r="AC2749"/>
      <c r="AD2749"/>
      <c r="AE2749" s="168" t="str">
        <f t="shared" si="42"/>
        <v/>
      </c>
      <c r="AF2749" s="168">
        <v>0</v>
      </c>
      <c r="AG2749" s="168" t="str" cm="1">
        <f t="array" ref="AG2749">IF(AF2749="","",_xlfn.TEXTSPLIT(AF2749,"-"))</f>
        <v>0</v>
      </c>
      <c r="AH2749" s="168"/>
    </row>
    <row r="2750" spans="26:34" ht="24" customHeight="1">
      <c r="Z2750"/>
      <c r="AA2750"/>
      <c r="AB2750"/>
      <c r="AC2750"/>
      <c r="AD2750"/>
      <c r="AE2750" s="168" t="str">
        <f t="shared" si="42"/>
        <v/>
      </c>
      <c r="AF2750" s="168">
        <v>0</v>
      </c>
      <c r="AG2750" s="168" t="str" cm="1">
        <f t="array" ref="AG2750">IF(AF2750="","",_xlfn.TEXTSPLIT(AF2750,"-"))</f>
        <v>0</v>
      </c>
      <c r="AH2750" s="168"/>
    </row>
    <row r="2751" spans="26:34" ht="24" customHeight="1">
      <c r="Z2751"/>
      <c r="AA2751"/>
      <c r="AB2751"/>
      <c r="AC2751"/>
      <c r="AD2751"/>
      <c r="AE2751" s="168" t="str">
        <f t="shared" si="42"/>
        <v/>
      </c>
      <c r="AF2751" s="168">
        <v>0</v>
      </c>
      <c r="AG2751" s="168" t="str" cm="1">
        <f t="array" ref="AG2751">IF(AF2751="","",_xlfn.TEXTSPLIT(AF2751,"-"))</f>
        <v>0</v>
      </c>
      <c r="AH2751" s="168"/>
    </row>
    <row r="2752" spans="26:34" ht="24" customHeight="1">
      <c r="Z2752"/>
      <c r="AA2752"/>
      <c r="AB2752"/>
      <c r="AC2752"/>
      <c r="AD2752"/>
      <c r="AE2752" s="168" t="str">
        <f t="shared" si="42"/>
        <v/>
      </c>
      <c r="AF2752" s="168">
        <v>0</v>
      </c>
      <c r="AG2752" s="168" t="str" cm="1">
        <f t="array" ref="AG2752">IF(AF2752="","",_xlfn.TEXTSPLIT(AF2752,"-"))</f>
        <v>0</v>
      </c>
      <c r="AH2752" s="168"/>
    </row>
    <row r="2753" spans="26:34" ht="24" customHeight="1">
      <c r="Z2753"/>
      <c r="AA2753"/>
      <c r="AB2753"/>
      <c r="AC2753"/>
      <c r="AD2753"/>
      <c r="AE2753" s="168" t="str">
        <f t="shared" si="42"/>
        <v/>
      </c>
      <c r="AF2753" s="168">
        <v>0</v>
      </c>
      <c r="AG2753" s="168" t="str" cm="1">
        <f t="array" ref="AG2753">IF(AF2753="","",_xlfn.TEXTSPLIT(AF2753,"-"))</f>
        <v>0</v>
      </c>
      <c r="AH2753" s="168"/>
    </row>
    <row r="2754" spans="26:34" ht="24" customHeight="1">
      <c r="Z2754"/>
      <c r="AA2754"/>
      <c r="AB2754"/>
      <c r="AC2754"/>
      <c r="AD2754"/>
      <c r="AE2754" s="168" t="str">
        <f t="shared" si="42"/>
        <v/>
      </c>
      <c r="AF2754" s="168">
        <v>0</v>
      </c>
      <c r="AG2754" s="168" t="str" cm="1">
        <f t="array" ref="AG2754">IF(AF2754="","",_xlfn.TEXTSPLIT(AF2754,"-"))</f>
        <v>0</v>
      </c>
      <c r="AH2754" s="168"/>
    </row>
    <row r="2755" spans="26:34" ht="24" customHeight="1">
      <c r="Z2755"/>
      <c r="AA2755"/>
      <c r="AB2755"/>
      <c r="AC2755"/>
      <c r="AD2755"/>
      <c r="AE2755" s="168" t="str">
        <f t="shared" si="42"/>
        <v/>
      </c>
      <c r="AF2755" s="168">
        <v>0</v>
      </c>
      <c r="AG2755" s="168" t="str" cm="1">
        <f t="array" ref="AG2755">IF(AF2755="","",_xlfn.TEXTSPLIT(AF2755,"-"))</f>
        <v>0</v>
      </c>
      <c r="AH2755" s="168"/>
    </row>
    <row r="2756" spans="26:34" ht="24" customHeight="1">
      <c r="Z2756"/>
      <c r="AA2756"/>
      <c r="AB2756"/>
      <c r="AC2756"/>
      <c r="AD2756"/>
      <c r="AE2756" s="168" t="str">
        <f t="shared" si="42"/>
        <v/>
      </c>
      <c r="AF2756" s="168">
        <v>0</v>
      </c>
      <c r="AG2756" s="168" t="str" cm="1">
        <f t="array" ref="AG2756">IF(AF2756="","",_xlfn.TEXTSPLIT(AF2756,"-"))</f>
        <v>0</v>
      </c>
      <c r="AH2756" s="168"/>
    </row>
    <row r="2757" spans="26:34" ht="24" customHeight="1">
      <c r="Z2757"/>
      <c r="AA2757"/>
      <c r="AB2757"/>
      <c r="AC2757"/>
      <c r="AD2757"/>
      <c r="AE2757" s="168" t="str">
        <f t="shared" ref="AE2757:AE2820" si="43">IF(AH2757="","",AH2757*1)</f>
        <v/>
      </c>
      <c r="AF2757" s="168">
        <v>0</v>
      </c>
      <c r="AG2757" s="168" t="str" cm="1">
        <f t="array" ref="AG2757">IF(AF2757="","",_xlfn.TEXTSPLIT(AF2757,"-"))</f>
        <v>0</v>
      </c>
      <c r="AH2757" s="168"/>
    </row>
    <row r="2758" spans="26:34" ht="24" customHeight="1">
      <c r="Z2758"/>
      <c r="AA2758"/>
      <c r="AB2758"/>
      <c r="AC2758"/>
      <c r="AD2758"/>
      <c r="AE2758" s="168" t="str">
        <f t="shared" si="43"/>
        <v/>
      </c>
      <c r="AF2758" s="168">
        <v>0</v>
      </c>
      <c r="AG2758" s="168" t="str" cm="1">
        <f t="array" ref="AG2758">IF(AF2758="","",_xlfn.TEXTSPLIT(AF2758,"-"))</f>
        <v>0</v>
      </c>
      <c r="AH2758" s="168"/>
    </row>
    <row r="2759" spans="26:34" ht="24" customHeight="1">
      <c r="Z2759"/>
      <c r="AA2759"/>
      <c r="AB2759"/>
      <c r="AC2759"/>
      <c r="AD2759"/>
      <c r="AE2759" s="168" t="str">
        <f t="shared" si="43"/>
        <v/>
      </c>
      <c r="AF2759" s="168">
        <v>0</v>
      </c>
      <c r="AG2759" s="168" t="str" cm="1">
        <f t="array" ref="AG2759">IF(AF2759="","",_xlfn.TEXTSPLIT(AF2759,"-"))</f>
        <v>0</v>
      </c>
      <c r="AH2759" s="168"/>
    </row>
    <row r="2760" spans="26:34" ht="24" customHeight="1">
      <c r="Z2760"/>
      <c r="AA2760"/>
      <c r="AB2760"/>
      <c r="AC2760"/>
      <c r="AD2760"/>
      <c r="AE2760" s="168" t="str">
        <f t="shared" si="43"/>
        <v/>
      </c>
      <c r="AF2760" s="168">
        <v>0</v>
      </c>
      <c r="AG2760" s="168" t="str" cm="1">
        <f t="array" ref="AG2760">IF(AF2760="","",_xlfn.TEXTSPLIT(AF2760,"-"))</f>
        <v>0</v>
      </c>
      <c r="AH2760" s="168"/>
    </row>
    <row r="2761" spans="26:34" ht="24" customHeight="1">
      <c r="Z2761"/>
      <c r="AA2761"/>
      <c r="AB2761"/>
      <c r="AC2761"/>
      <c r="AD2761"/>
      <c r="AE2761" s="168" t="str">
        <f t="shared" si="43"/>
        <v/>
      </c>
      <c r="AF2761" s="168">
        <v>0</v>
      </c>
      <c r="AG2761" s="168" t="str" cm="1">
        <f t="array" ref="AG2761">IF(AF2761="","",_xlfn.TEXTSPLIT(AF2761,"-"))</f>
        <v>0</v>
      </c>
      <c r="AH2761" s="168"/>
    </row>
    <row r="2762" spans="26:34" ht="24" customHeight="1">
      <c r="Z2762"/>
      <c r="AA2762"/>
      <c r="AB2762"/>
      <c r="AC2762"/>
      <c r="AD2762"/>
      <c r="AE2762" s="168" t="str">
        <f t="shared" si="43"/>
        <v/>
      </c>
      <c r="AF2762" s="168">
        <v>0</v>
      </c>
      <c r="AG2762" s="168" t="str" cm="1">
        <f t="array" ref="AG2762">IF(AF2762="","",_xlfn.TEXTSPLIT(AF2762,"-"))</f>
        <v>0</v>
      </c>
      <c r="AH2762" s="168"/>
    </row>
    <row r="2763" spans="26:34" ht="24" customHeight="1">
      <c r="Z2763"/>
      <c r="AA2763"/>
      <c r="AB2763"/>
      <c r="AC2763"/>
      <c r="AD2763"/>
      <c r="AE2763" s="168" t="str">
        <f t="shared" si="43"/>
        <v/>
      </c>
      <c r="AF2763" s="168">
        <v>0</v>
      </c>
      <c r="AG2763" s="168" t="str" cm="1">
        <f t="array" ref="AG2763">IF(AF2763="","",_xlfn.TEXTSPLIT(AF2763,"-"))</f>
        <v>0</v>
      </c>
      <c r="AH2763" s="168"/>
    </row>
    <row r="2764" spans="26:34" ht="24" customHeight="1">
      <c r="Z2764"/>
      <c r="AA2764"/>
      <c r="AB2764"/>
      <c r="AC2764"/>
      <c r="AD2764"/>
      <c r="AE2764" s="168" t="str">
        <f t="shared" si="43"/>
        <v/>
      </c>
      <c r="AF2764" s="168">
        <v>0</v>
      </c>
      <c r="AG2764" s="168" t="str" cm="1">
        <f t="array" ref="AG2764">IF(AF2764="","",_xlfn.TEXTSPLIT(AF2764,"-"))</f>
        <v>0</v>
      </c>
      <c r="AH2764" s="168"/>
    </row>
    <row r="2765" spans="26:34" ht="24" customHeight="1">
      <c r="Z2765"/>
      <c r="AA2765"/>
      <c r="AB2765"/>
      <c r="AC2765"/>
      <c r="AD2765"/>
      <c r="AE2765" s="168" t="str">
        <f t="shared" si="43"/>
        <v/>
      </c>
      <c r="AF2765" s="168">
        <v>0</v>
      </c>
      <c r="AG2765" s="168" t="str" cm="1">
        <f t="array" ref="AG2765">IF(AF2765="","",_xlfn.TEXTSPLIT(AF2765,"-"))</f>
        <v>0</v>
      </c>
      <c r="AH2765" s="168"/>
    </row>
    <row r="2766" spans="26:34" ht="24" customHeight="1">
      <c r="Z2766"/>
      <c r="AA2766"/>
      <c r="AB2766"/>
      <c r="AC2766"/>
      <c r="AD2766"/>
      <c r="AE2766" s="168" t="str">
        <f t="shared" si="43"/>
        <v/>
      </c>
      <c r="AF2766" s="168">
        <v>0</v>
      </c>
      <c r="AG2766" s="168" t="str" cm="1">
        <f t="array" ref="AG2766">IF(AF2766="","",_xlfn.TEXTSPLIT(AF2766,"-"))</f>
        <v>0</v>
      </c>
      <c r="AH2766" s="168"/>
    </row>
    <row r="2767" spans="26:34" ht="24" customHeight="1">
      <c r="Z2767"/>
      <c r="AA2767"/>
      <c r="AB2767"/>
      <c r="AC2767"/>
      <c r="AD2767"/>
      <c r="AE2767" s="168" t="str">
        <f t="shared" si="43"/>
        <v/>
      </c>
      <c r="AF2767" s="168">
        <v>0</v>
      </c>
      <c r="AG2767" s="168" t="str" cm="1">
        <f t="array" ref="AG2767">IF(AF2767="","",_xlfn.TEXTSPLIT(AF2767,"-"))</f>
        <v>0</v>
      </c>
      <c r="AH2767" s="168"/>
    </row>
    <row r="2768" spans="26:34" ht="24" customHeight="1">
      <c r="Z2768"/>
      <c r="AA2768"/>
      <c r="AB2768"/>
      <c r="AC2768"/>
      <c r="AD2768"/>
      <c r="AE2768" s="168" t="str">
        <f t="shared" si="43"/>
        <v/>
      </c>
      <c r="AF2768" s="168">
        <v>0</v>
      </c>
      <c r="AG2768" s="168" t="str" cm="1">
        <f t="array" ref="AG2768">IF(AF2768="","",_xlfn.TEXTSPLIT(AF2768,"-"))</f>
        <v>0</v>
      </c>
      <c r="AH2768" s="168"/>
    </row>
    <row r="2769" spans="26:34" ht="24" customHeight="1">
      <c r="Z2769"/>
      <c r="AA2769"/>
      <c r="AB2769"/>
      <c r="AC2769"/>
      <c r="AD2769"/>
      <c r="AE2769" s="168" t="str">
        <f t="shared" si="43"/>
        <v/>
      </c>
      <c r="AF2769" s="168">
        <v>0</v>
      </c>
      <c r="AG2769" s="168" t="str" cm="1">
        <f t="array" ref="AG2769">IF(AF2769="","",_xlfn.TEXTSPLIT(AF2769,"-"))</f>
        <v>0</v>
      </c>
      <c r="AH2769" s="168"/>
    </row>
    <row r="2770" spans="26:34" ht="24" customHeight="1">
      <c r="Z2770"/>
      <c r="AA2770"/>
      <c r="AB2770"/>
      <c r="AC2770"/>
      <c r="AD2770"/>
      <c r="AE2770" s="168" t="str">
        <f t="shared" si="43"/>
        <v/>
      </c>
      <c r="AF2770" s="168">
        <v>0</v>
      </c>
      <c r="AG2770" s="168" t="str" cm="1">
        <f t="array" ref="AG2770">IF(AF2770="","",_xlfn.TEXTSPLIT(AF2770,"-"))</f>
        <v>0</v>
      </c>
      <c r="AH2770" s="168"/>
    </row>
    <row r="2771" spans="26:34" ht="24" customHeight="1">
      <c r="Z2771"/>
      <c r="AA2771"/>
      <c r="AB2771"/>
      <c r="AC2771"/>
      <c r="AD2771"/>
      <c r="AE2771" s="168" t="str">
        <f t="shared" si="43"/>
        <v/>
      </c>
      <c r="AF2771" s="168">
        <v>0</v>
      </c>
      <c r="AG2771" s="168" t="str" cm="1">
        <f t="array" ref="AG2771">IF(AF2771="","",_xlfn.TEXTSPLIT(AF2771,"-"))</f>
        <v>0</v>
      </c>
      <c r="AH2771" s="168"/>
    </row>
    <row r="2772" spans="26:34" ht="24" customHeight="1">
      <c r="Z2772"/>
      <c r="AA2772"/>
      <c r="AB2772"/>
      <c r="AC2772"/>
      <c r="AD2772"/>
      <c r="AE2772" s="168" t="str">
        <f t="shared" si="43"/>
        <v/>
      </c>
      <c r="AF2772" s="168">
        <v>0</v>
      </c>
      <c r="AG2772" s="168" t="str" cm="1">
        <f t="array" ref="AG2772">IF(AF2772="","",_xlfn.TEXTSPLIT(AF2772,"-"))</f>
        <v>0</v>
      </c>
      <c r="AH2772" s="168"/>
    </row>
    <row r="2773" spans="26:34" ht="24" customHeight="1">
      <c r="Z2773"/>
      <c r="AA2773"/>
      <c r="AB2773"/>
      <c r="AC2773"/>
      <c r="AD2773"/>
      <c r="AE2773" s="168" t="str">
        <f t="shared" si="43"/>
        <v/>
      </c>
      <c r="AF2773" s="168">
        <v>0</v>
      </c>
      <c r="AG2773" s="168" t="str" cm="1">
        <f t="array" ref="AG2773">IF(AF2773="","",_xlfn.TEXTSPLIT(AF2773,"-"))</f>
        <v>0</v>
      </c>
      <c r="AH2773" s="168"/>
    </row>
    <row r="2774" spans="26:34" ht="24" customHeight="1">
      <c r="Z2774"/>
      <c r="AA2774"/>
      <c r="AB2774"/>
      <c r="AC2774"/>
      <c r="AD2774"/>
      <c r="AE2774" s="168" t="str">
        <f t="shared" si="43"/>
        <v/>
      </c>
      <c r="AF2774" s="168">
        <v>0</v>
      </c>
      <c r="AG2774" s="168" t="str" cm="1">
        <f t="array" ref="AG2774">IF(AF2774="","",_xlfn.TEXTSPLIT(AF2774,"-"))</f>
        <v>0</v>
      </c>
      <c r="AH2774" s="168"/>
    </row>
    <row r="2775" spans="26:34" ht="24" customHeight="1">
      <c r="Z2775"/>
      <c r="AA2775"/>
      <c r="AB2775"/>
      <c r="AC2775"/>
      <c r="AD2775"/>
      <c r="AE2775" s="168" t="str">
        <f t="shared" si="43"/>
        <v/>
      </c>
      <c r="AF2775" s="168">
        <v>0</v>
      </c>
      <c r="AG2775" s="168" t="str" cm="1">
        <f t="array" ref="AG2775">IF(AF2775="","",_xlfn.TEXTSPLIT(AF2775,"-"))</f>
        <v>0</v>
      </c>
      <c r="AH2775" s="168"/>
    </row>
    <row r="2776" spans="26:34" ht="24" customHeight="1">
      <c r="Z2776"/>
      <c r="AA2776"/>
      <c r="AB2776"/>
      <c r="AC2776"/>
      <c r="AD2776"/>
      <c r="AE2776" s="168" t="str">
        <f t="shared" si="43"/>
        <v/>
      </c>
      <c r="AF2776" s="168">
        <v>0</v>
      </c>
      <c r="AG2776" s="168" t="str" cm="1">
        <f t="array" ref="AG2776">IF(AF2776="","",_xlfn.TEXTSPLIT(AF2776,"-"))</f>
        <v>0</v>
      </c>
      <c r="AH2776" s="168"/>
    </row>
    <row r="2777" spans="26:34" ht="24" customHeight="1">
      <c r="Z2777"/>
      <c r="AA2777"/>
      <c r="AB2777"/>
      <c r="AC2777"/>
      <c r="AD2777"/>
      <c r="AE2777" s="168" t="str">
        <f t="shared" si="43"/>
        <v/>
      </c>
      <c r="AF2777" s="168">
        <v>0</v>
      </c>
      <c r="AG2777" s="168" t="str" cm="1">
        <f t="array" ref="AG2777">IF(AF2777="","",_xlfn.TEXTSPLIT(AF2777,"-"))</f>
        <v>0</v>
      </c>
      <c r="AH2777" s="168"/>
    </row>
    <row r="2778" spans="26:34" ht="24" customHeight="1">
      <c r="Z2778"/>
      <c r="AA2778"/>
      <c r="AB2778"/>
      <c r="AC2778"/>
      <c r="AD2778"/>
      <c r="AE2778" s="168" t="str">
        <f t="shared" si="43"/>
        <v/>
      </c>
      <c r="AF2778" s="168">
        <v>0</v>
      </c>
      <c r="AG2778" s="168" t="str" cm="1">
        <f t="array" ref="AG2778">IF(AF2778="","",_xlfn.TEXTSPLIT(AF2778,"-"))</f>
        <v>0</v>
      </c>
      <c r="AH2778" s="168"/>
    </row>
    <row r="2779" spans="26:34" ht="24" customHeight="1">
      <c r="Z2779"/>
      <c r="AA2779"/>
      <c r="AB2779"/>
      <c r="AC2779"/>
      <c r="AD2779"/>
      <c r="AE2779" s="168" t="str">
        <f t="shared" si="43"/>
        <v/>
      </c>
      <c r="AF2779" s="168">
        <v>0</v>
      </c>
      <c r="AG2779" s="168" t="str" cm="1">
        <f t="array" ref="AG2779">IF(AF2779="","",_xlfn.TEXTSPLIT(AF2779,"-"))</f>
        <v>0</v>
      </c>
      <c r="AH2779" s="168"/>
    </row>
    <row r="2780" spans="26:34" ht="24" customHeight="1">
      <c r="Z2780"/>
      <c r="AA2780"/>
      <c r="AB2780"/>
      <c r="AC2780"/>
      <c r="AD2780"/>
      <c r="AE2780" s="168" t="str">
        <f t="shared" si="43"/>
        <v/>
      </c>
      <c r="AF2780" s="168">
        <v>0</v>
      </c>
      <c r="AG2780" s="168" t="str" cm="1">
        <f t="array" ref="AG2780">IF(AF2780="","",_xlfn.TEXTSPLIT(AF2780,"-"))</f>
        <v>0</v>
      </c>
      <c r="AH2780" s="168"/>
    </row>
    <row r="2781" spans="26:34" ht="24" customHeight="1">
      <c r="Z2781"/>
      <c r="AA2781"/>
      <c r="AB2781"/>
      <c r="AC2781"/>
      <c r="AD2781"/>
      <c r="AE2781" s="168" t="str">
        <f t="shared" si="43"/>
        <v/>
      </c>
      <c r="AF2781" s="168">
        <v>0</v>
      </c>
      <c r="AG2781" s="168" t="str" cm="1">
        <f t="array" ref="AG2781">IF(AF2781="","",_xlfn.TEXTSPLIT(AF2781,"-"))</f>
        <v>0</v>
      </c>
      <c r="AH2781" s="168"/>
    </row>
    <row r="2782" spans="26:34" ht="24" customHeight="1">
      <c r="Z2782"/>
      <c r="AA2782"/>
      <c r="AB2782"/>
      <c r="AC2782"/>
      <c r="AD2782"/>
      <c r="AE2782" s="168" t="str">
        <f t="shared" si="43"/>
        <v/>
      </c>
      <c r="AF2782" s="168">
        <v>0</v>
      </c>
      <c r="AG2782" s="168" t="str" cm="1">
        <f t="array" ref="AG2782">IF(AF2782="","",_xlfn.TEXTSPLIT(AF2782,"-"))</f>
        <v>0</v>
      </c>
      <c r="AH2782" s="168"/>
    </row>
    <row r="2783" spans="26:34" ht="24" customHeight="1">
      <c r="Z2783"/>
      <c r="AA2783"/>
      <c r="AB2783"/>
      <c r="AC2783"/>
      <c r="AD2783"/>
      <c r="AE2783" s="168" t="str">
        <f t="shared" si="43"/>
        <v/>
      </c>
      <c r="AF2783" s="168">
        <v>0</v>
      </c>
      <c r="AG2783" s="168" t="str" cm="1">
        <f t="array" ref="AG2783">IF(AF2783="","",_xlfn.TEXTSPLIT(AF2783,"-"))</f>
        <v>0</v>
      </c>
      <c r="AH2783" s="168"/>
    </row>
    <row r="2784" spans="26:34" ht="24" customHeight="1">
      <c r="Z2784"/>
      <c r="AA2784"/>
      <c r="AB2784"/>
      <c r="AC2784"/>
      <c r="AD2784"/>
      <c r="AE2784" s="168" t="str">
        <f t="shared" si="43"/>
        <v/>
      </c>
      <c r="AF2784" s="168">
        <v>0</v>
      </c>
      <c r="AG2784" s="168" t="str" cm="1">
        <f t="array" ref="AG2784">IF(AF2784="","",_xlfn.TEXTSPLIT(AF2784,"-"))</f>
        <v>0</v>
      </c>
      <c r="AH2784" s="168"/>
    </row>
    <row r="2785" spans="26:34" ht="24" customHeight="1">
      <c r="Z2785"/>
      <c r="AA2785"/>
      <c r="AB2785"/>
      <c r="AC2785"/>
      <c r="AD2785"/>
      <c r="AE2785" s="168" t="str">
        <f t="shared" si="43"/>
        <v/>
      </c>
      <c r="AF2785" s="168">
        <v>0</v>
      </c>
      <c r="AG2785" s="168" t="str" cm="1">
        <f t="array" ref="AG2785">IF(AF2785="","",_xlfn.TEXTSPLIT(AF2785,"-"))</f>
        <v>0</v>
      </c>
      <c r="AH2785" s="168"/>
    </row>
    <row r="2786" spans="26:34" ht="24" customHeight="1">
      <c r="Z2786"/>
      <c r="AA2786"/>
      <c r="AB2786"/>
      <c r="AC2786"/>
      <c r="AD2786"/>
      <c r="AE2786" s="168" t="str">
        <f t="shared" si="43"/>
        <v/>
      </c>
      <c r="AF2786" s="168">
        <v>0</v>
      </c>
      <c r="AG2786" s="168" t="str" cm="1">
        <f t="array" ref="AG2786">IF(AF2786="","",_xlfn.TEXTSPLIT(AF2786,"-"))</f>
        <v>0</v>
      </c>
      <c r="AH2786" s="168"/>
    </row>
    <row r="2787" spans="26:34" ht="24" customHeight="1">
      <c r="Z2787"/>
      <c r="AA2787"/>
      <c r="AB2787"/>
      <c r="AC2787"/>
      <c r="AD2787"/>
      <c r="AE2787" s="168" t="str">
        <f t="shared" si="43"/>
        <v/>
      </c>
      <c r="AF2787" s="168">
        <v>0</v>
      </c>
      <c r="AG2787" s="168" t="str" cm="1">
        <f t="array" ref="AG2787">IF(AF2787="","",_xlfn.TEXTSPLIT(AF2787,"-"))</f>
        <v>0</v>
      </c>
      <c r="AH2787" s="168"/>
    </row>
    <row r="2788" spans="26:34" ht="24" customHeight="1">
      <c r="Z2788"/>
      <c r="AA2788"/>
      <c r="AB2788"/>
      <c r="AC2788"/>
      <c r="AD2788"/>
      <c r="AE2788" s="168" t="str">
        <f t="shared" si="43"/>
        <v/>
      </c>
      <c r="AF2788" s="168">
        <v>0</v>
      </c>
      <c r="AG2788" s="168" t="str" cm="1">
        <f t="array" ref="AG2788">IF(AF2788="","",_xlfn.TEXTSPLIT(AF2788,"-"))</f>
        <v>0</v>
      </c>
      <c r="AH2788" s="168"/>
    </row>
    <row r="2789" spans="26:34" ht="24" customHeight="1">
      <c r="Z2789"/>
      <c r="AA2789"/>
      <c r="AB2789"/>
      <c r="AC2789"/>
      <c r="AD2789"/>
      <c r="AE2789" s="168" t="str">
        <f t="shared" si="43"/>
        <v/>
      </c>
      <c r="AF2789" s="168">
        <v>0</v>
      </c>
      <c r="AG2789" s="168" t="str" cm="1">
        <f t="array" ref="AG2789">IF(AF2789="","",_xlfn.TEXTSPLIT(AF2789,"-"))</f>
        <v>0</v>
      </c>
      <c r="AH2789" s="168"/>
    </row>
    <row r="2790" spans="26:34" ht="24" customHeight="1">
      <c r="Z2790"/>
      <c r="AA2790"/>
      <c r="AB2790"/>
      <c r="AC2790"/>
      <c r="AD2790"/>
      <c r="AE2790" s="168" t="str">
        <f t="shared" si="43"/>
        <v/>
      </c>
      <c r="AF2790" s="168">
        <v>0</v>
      </c>
      <c r="AG2790" s="168" t="str" cm="1">
        <f t="array" ref="AG2790">IF(AF2790="","",_xlfn.TEXTSPLIT(AF2790,"-"))</f>
        <v>0</v>
      </c>
      <c r="AH2790" s="168"/>
    </row>
    <row r="2791" spans="26:34" ht="24" customHeight="1">
      <c r="Z2791"/>
      <c r="AA2791"/>
      <c r="AB2791"/>
      <c r="AC2791"/>
      <c r="AD2791"/>
      <c r="AE2791" s="168" t="str">
        <f t="shared" si="43"/>
        <v/>
      </c>
      <c r="AF2791" s="168">
        <v>0</v>
      </c>
      <c r="AG2791" s="168" t="str" cm="1">
        <f t="array" ref="AG2791">IF(AF2791="","",_xlfn.TEXTSPLIT(AF2791,"-"))</f>
        <v>0</v>
      </c>
      <c r="AH2791" s="168"/>
    </row>
    <row r="2792" spans="26:34" ht="24" customHeight="1">
      <c r="Z2792"/>
      <c r="AA2792"/>
      <c r="AB2792"/>
      <c r="AC2792"/>
      <c r="AD2792"/>
      <c r="AE2792" s="168" t="str">
        <f t="shared" si="43"/>
        <v/>
      </c>
      <c r="AF2792" s="168">
        <v>0</v>
      </c>
      <c r="AG2792" s="168" t="str" cm="1">
        <f t="array" ref="AG2792">IF(AF2792="","",_xlfn.TEXTSPLIT(AF2792,"-"))</f>
        <v>0</v>
      </c>
      <c r="AH2792" s="168"/>
    </row>
    <row r="2793" spans="26:34" ht="24" customHeight="1">
      <c r="Z2793"/>
      <c r="AA2793"/>
      <c r="AB2793"/>
      <c r="AC2793"/>
      <c r="AD2793"/>
      <c r="AE2793" s="168" t="str">
        <f t="shared" si="43"/>
        <v/>
      </c>
      <c r="AF2793" s="168">
        <v>0</v>
      </c>
      <c r="AG2793" s="168" t="str" cm="1">
        <f t="array" ref="AG2793">IF(AF2793="","",_xlfn.TEXTSPLIT(AF2793,"-"))</f>
        <v>0</v>
      </c>
      <c r="AH2793" s="168"/>
    </row>
    <row r="2794" spans="26:34" ht="24" customHeight="1">
      <c r="Z2794"/>
      <c r="AA2794"/>
      <c r="AB2794"/>
      <c r="AC2794"/>
      <c r="AD2794"/>
      <c r="AE2794" s="168" t="str">
        <f t="shared" si="43"/>
        <v/>
      </c>
      <c r="AF2794" s="168">
        <v>0</v>
      </c>
      <c r="AG2794" s="168" t="str" cm="1">
        <f t="array" ref="AG2794">IF(AF2794="","",_xlfn.TEXTSPLIT(AF2794,"-"))</f>
        <v>0</v>
      </c>
      <c r="AH2794" s="168"/>
    </row>
    <row r="2795" spans="26:34" ht="24" customHeight="1">
      <c r="Z2795"/>
      <c r="AA2795"/>
      <c r="AB2795"/>
      <c r="AC2795"/>
      <c r="AD2795"/>
      <c r="AE2795" s="168" t="str">
        <f t="shared" si="43"/>
        <v/>
      </c>
      <c r="AF2795" s="168">
        <v>0</v>
      </c>
      <c r="AG2795" s="168" t="str" cm="1">
        <f t="array" ref="AG2795">IF(AF2795="","",_xlfn.TEXTSPLIT(AF2795,"-"))</f>
        <v>0</v>
      </c>
      <c r="AH2795" s="168"/>
    </row>
    <row r="2796" spans="26:34" ht="24" customHeight="1">
      <c r="Z2796"/>
      <c r="AA2796"/>
      <c r="AB2796"/>
      <c r="AC2796"/>
      <c r="AD2796"/>
      <c r="AE2796" s="168" t="str">
        <f t="shared" si="43"/>
        <v/>
      </c>
      <c r="AF2796" s="168">
        <v>0</v>
      </c>
      <c r="AG2796" s="168" t="str" cm="1">
        <f t="array" ref="AG2796">IF(AF2796="","",_xlfn.TEXTSPLIT(AF2796,"-"))</f>
        <v>0</v>
      </c>
      <c r="AH2796" s="168"/>
    </row>
    <row r="2797" spans="26:34" ht="24" customHeight="1">
      <c r="Z2797"/>
      <c r="AA2797"/>
      <c r="AB2797"/>
      <c r="AC2797"/>
      <c r="AD2797"/>
      <c r="AE2797" s="168" t="str">
        <f t="shared" si="43"/>
        <v/>
      </c>
      <c r="AF2797" s="168">
        <v>0</v>
      </c>
      <c r="AG2797" s="168" t="str" cm="1">
        <f t="array" ref="AG2797">IF(AF2797="","",_xlfn.TEXTSPLIT(AF2797,"-"))</f>
        <v>0</v>
      </c>
      <c r="AH2797" s="168"/>
    </row>
    <row r="2798" spans="26:34" ht="24" customHeight="1">
      <c r="Z2798"/>
      <c r="AA2798"/>
      <c r="AB2798"/>
      <c r="AC2798"/>
      <c r="AD2798"/>
      <c r="AE2798" s="168" t="str">
        <f t="shared" si="43"/>
        <v/>
      </c>
      <c r="AF2798" s="168">
        <v>0</v>
      </c>
      <c r="AG2798" s="168" t="str" cm="1">
        <f t="array" ref="AG2798">IF(AF2798="","",_xlfn.TEXTSPLIT(AF2798,"-"))</f>
        <v>0</v>
      </c>
      <c r="AH2798" s="168"/>
    </row>
    <row r="2799" spans="26:34" ht="24" customHeight="1">
      <c r="Z2799"/>
      <c r="AA2799"/>
      <c r="AB2799"/>
      <c r="AC2799"/>
      <c r="AD2799"/>
      <c r="AE2799" s="168" t="str">
        <f t="shared" si="43"/>
        <v/>
      </c>
      <c r="AF2799" s="168">
        <v>0</v>
      </c>
      <c r="AG2799" s="168" t="str" cm="1">
        <f t="array" ref="AG2799">IF(AF2799="","",_xlfn.TEXTSPLIT(AF2799,"-"))</f>
        <v>0</v>
      </c>
      <c r="AH2799" s="168"/>
    </row>
    <row r="2800" spans="26:34" ht="24" customHeight="1">
      <c r="Z2800"/>
      <c r="AA2800"/>
      <c r="AB2800"/>
      <c r="AC2800"/>
      <c r="AD2800"/>
      <c r="AE2800" s="168" t="str">
        <f t="shared" si="43"/>
        <v/>
      </c>
      <c r="AF2800" s="168">
        <v>0</v>
      </c>
      <c r="AG2800" s="168" t="str" cm="1">
        <f t="array" ref="AG2800">IF(AF2800="","",_xlfn.TEXTSPLIT(AF2800,"-"))</f>
        <v>0</v>
      </c>
      <c r="AH2800" s="168"/>
    </row>
    <row r="2801" spans="26:34" ht="24" customHeight="1">
      <c r="Z2801"/>
      <c r="AA2801"/>
      <c r="AB2801"/>
      <c r="AC2801"/>
      <c r="AD2801"/>
      <c r="AE2801" s="168" t="str">
        <f t="shared" si="43"/>
        <v/>
      </c>
      <c r="AF2801" s="168">
        <v>0</v>
      </c>
      <c r="AG2801" s="168" t="str" cm="1">
        <f t="array" ref="AG2801">IF(AF2801="","",_xlfn.TEXTSPLIT(AF2801,"-"))</f>
        <v>0</v>
      </c>
      <c r="AH2801" s="168"/>
    </row>
    <row r="2802" spans="26:34" ht="24" customHeight="1">
      <c r="Z2802"/>
      <c r="AA2802"/>
      <c r="AB2802"/>
      <c r="AC2802"/>
      <c r="AD2802"/>
      <c r="AE2802" s="168" t="str">
        <f t="shared" si="43"/>
        <v/>
      </c>
      <c r="AF2802" s="168">
        <v>0</v>
      </c>
      <c r="AG2802" s="168" t="str" cm="1">
        <f t="array" ref="AG2802">IF(AF2802="","",_xlfn.TEXTSPLIT(AF2802,"-"))</f>
        <v>0</v>
      </c>
      <c r="AH2802" s="168"/>
    </row>
    <row r="2803" spans="26:34" ht="24" customHeight="1">
      <c r="Z2803"/>
      <c r="AA2803"/>
      <c r="AB2803"/>
      <c r="AC2803"/>
      <c r="AD2803"/>
      <c r="AE2803" s="168" t="str">
        <f t="shared" si="43"/>
        <v/>
      </c>
      <c r="AF2803" s="168">
        <v>0</v>
      </c>
      <c r="AG2803" s="168" t="str" cm="1">
        <f t="array" ref="AG2803">IF(AF2803="","",_xlfn.TEXTSPLIT(AF2803,"-"))</f>
        <v>0</v>
      </c>
      <c r="AH2803" s="168"/>
    </row>
    <row r="2804" spans="26:34" ht="24" customHeight="1">
      <c r="Z2804"/>
      <c r="AA2804"/>
      <c r="AB2804"/>
      <c r="AC2804"/>
      <c r="AD2804"/>
      <c r="AE2804" s="168" t="str">
        <f t="shared" si="43"/>
        <v/>
      </c>
      <c r="AF2804" s="168">
        <v>0</v>
      </c>
      <c r="AG2804" s="168" t="str" cm="1">
        <f t="array" ref="AG2804">IF(AF2804="","",_xlfn.TEXTSPLIT(AF2804,"-"))</f>
        <v>0</v>
      </c>
      <c r="AH2804" s="168"/>
    </row>
    <row r="2805" spans="26:34" ht="24" customHeight="1">
      <c r="Z2805"/>
      <c r="AA2805"/>
      <c r="AB2805"/>
      <c r="AC2805"/>
      <c r="AD2805"/>
      <c r="AE2805" s="168" t="str">
        <f t="shared" si="43"/>
        <v/>
      </c>
      <c r="AF2805" s="168">
        <v>0</v>
      </c>
      <c r="AG2805" s="168" t="str" cm="1">
        <f t="array" ref="AG2805">IF(AF2805="","",_xlfn.TEXTSPLIT(AF2805,"-"))</f>
        <v>0</v>
      </c>
      <c r="AH2805" s="168"/>
    </row>
    <row r="2806" spans="26:34" ht="24" customHeight="1">
      <c r="Z2806"/>
      <c r="AA2806"/>
      <c r="AB2806"/>
      <c r="AC2806"/>
      <c r="AD2806"/>
      <c r="AE2806" s="168" t="str">
        <f t="shared" si="43"/>
        <v/>
      </c>
      <c r="AF2806" s="168">
        <v>0</v>
      </c>
      <c r="AG2806" s="168" t="str" cm="1">
        <f t="array" ref="AG2806">IF(AF2806="","",_xlfn.TEXTSPLIT(AF2806,"-"))</f>
        <v>0</v>
      </c>
      <c r="AH2806" s="168"/>
    </row>
    <row r="2807" spans="26:34" ht="24" customHeight="1">
      <c r="Z2807"/>
      <c r="AA2807"/>
      <c r="AB2807"/>
      <c r="AC2807"/>
      <c r="AD2807"/>
      <c r="AE2807" s="168" t="str">
        <f t="shared" si="43"/>
        <v/>
      </c>
      <c r="AF2807" s="168">
        <v>0</v>
      </c>
      <c r="AG2807" s="168" t="str" cm="1">
        <f t="array" ref="AG2807">IF(AF2807="","",_xlfn.TEXTSPLIT(AF2807,"-"))</f>
        <v>0</v>
      </c>
      <c r="AH2807" s="168"/>
    </row>
    <row r="2808" spans="26:34" ht="24" customHeight="1">
      <c r="Z2808"/>
      <c r="AA2808"/>
      <c r="AB2808"/>
      <c r="AC2808"/>
      <c r="AD2808"/>
      <c r="AE2808" s="168" t="str">
        <f t="shared" si="43"/>
        <v/>
      </c>
      <c r="AF2808" s="168">
        <v>0</v>
      </c>
      <c r="AG2808" s="168" t="str" cm="1">
        <f t="array" ref="AG2808">IF(AF2808="","",_xlfn.TEXTSPLIT(AF2808,"-"))</f>
        <v>0</v>
      </c>
      <c r="AH2808" s="168"/>
    </row>
    <row r="2809" spans="26:34" ht="24" customHeight="1">
      <c r="Z2809"/>
      <c r="AA2809"/>
      <c r="AB2809"/>
      <c r="AC2809"/>
      <c r="AD2809"/>
      <c r="AE2809" s="168" t="str">
        <f t="shared" si="43"/>
        <v/>
      </c>
      <c r="AF2809" s="168">
        <v>0</v>
      </c>
      <c r="AG2809" s="168" t="str" cm="1">
        <f t="array" ref="AG2809">IF(AF2809="","",_xlfn.TEXTSPLIT(AF2809,"-"))</f>
        <v>0</v>
      </c>
      <c r="AH2809" s="168"/>
    </row>
    <row r="2810" spans="26:34" ht="24" customHeight="1">
      <c r="Z2810"/>
      <c r="AA2810"/>
      <c r="AB2810"/>
      <c r="AC2810"/>
      <c r="AD2810"/>
      <c r="AE2810" s="168" t="str">
        <f t="shared" si="43"/>
        <v/>
      </c>
      <c r="AF2810" s="168">
        <v>0</v>
      </c>
      <c r="AG2810" s="168" t="str" cm="1">
        <f t="array" ref="AG2810">IF(AF2810="","",_xlfn.TEXTSPLIT(AF2810,"-"))</f>
        <v>0</v>
      </c>
      <c r="AH2810" s="168"/>
    </row>
    <row r="2811" spans="26:34" ht="24" customHeight="1">
      <c r="Z2811"/>
      <c r="AA2811"/>
      <c r="AB2811"/>
      <c r="AC2811"/>
      <c r="AD2811"/>
      <c r="AE2811" s="168" t="str">
        <f t="shared" si="43"/>
        <v/>
      </c>
      <c r="AF2811" s="168">
        <v>0</v>
      </c>
      <c r="AG2811" s="168" t="str" cm="1">
        <f t="array" ref="AG2811">IF(AF2811="","",_xlfn.TEXTSPLIT(AF2811,"-"))</f>
        <v>0</v>
      </c>
      <c r="AH2811" s="168"/>
    </row>
    <row r="2812" spans="26:34" ht="24" customHeight="1">
      <c r="Z2812"/>
      <c r="AA2812"/>
      <c r="AB2812"/>
      <c r="AC2812"/>
      <c r="AD2812"/>
      <c r="AE2812" s="168" t="str">
        <f t="shared" si="43"/>
        <v/>
      </c>
      <c r="AF2812" s="168">
        <v>0</v>
      </c>
      <c r="AG2812" s="168" t="str" cm="1">
        <f t="array" ref="AG2812">IF(AF2812="","",_xlfn.TEXTSPLIT(AF2812,"-"))</f>
        <v>0</v>
      </c>
      <c r="AH2812" s="168"/>
    </row>
    <row r="2813" spans="26:34" ht="24" customHeight="1">
      <c r="Z2813"/>
      <c r="AA2813"/>
      <c r="AB2813"/>
      <c r="AC2813"/>
      <c r="AD2813"/>
      <c r="AE2813" s="168" t="str">
        <f t="shared" si="43"/>
        <v/>
      </c>
      <c r="AF2813" s="168">
        <v>0</v>
      </c>
      <c r="AG2813" s="168" t="str" cm="1">
        <f t="array" ref="AG2813">IF(AF2813="","",_xlfn.TEXTSPLIT(AF2813,"-"))</f>
        <v>0</v>
      </c>
      <c r="AH2813" s="168"/>
    </row>
    <row r="2814" spans="26:34" ht="24" customHeight="1">
      <c r="Z2814"/>
      <c r="AA2814"/>
      <c r="AB2814"/>
      <c r="AC2814"/>
      <c r="AD2814"/>
      <c r="AE2814" s="168" t="str">
        <f t="shared" si="43"/>
        <v/>
      </c>
      <c r="AF2814" s="168">
        <v>0</v>
      </c>
      <c r="AG2814" s="168" t="str" cm="1">
        <f t="array" ref="AG2814">IF(AF2814="","",_xlfn.TEXTSPLIT(AF2814,"-"))</f>
        <v>0</v>
      </c>
      <c r="AH2814" s="168"/>
    </row>
    <row r="2815" spans="26:34" ht="24" customHeight="1">
      <c r="Z2815"/>
      <c r="AA2815"/>
      <c r="AB2815"/>
      <c r="AC2815"/>
      <c r="AD2815"/>
      <c r="AE2815" s="168" t="str">
        <f t="shared" si="43"/>
        <v/>
      </c>
      <c r="AF2815" s="168">
        <v>0</v>
      </c>
      <c r="AG2815" s="168" t="str" cm="1">
        <f t="array" ref="AG2815">IF(AF2815="","",_xlfn.TEXTSPLIT(AF2815,"-"))</f>
        <v>0</v>
      </c>
      <c r="AH2815" s="168"/>
    </row>
    <row r="2816" spans="26:34" ht="24" customHeight="1">
      <c r="Z2816"/>
      <c r="AA2816"/>
      <c r="AB2816"/>
      <c r="AC2816"/>
      <c r="AD2816"/>
      <c r="AE2816" s="168" t="str">
        <f t="shared" si="43"/>
        <v/>
      </c>
      <c r="AF2816" s="168">
        <v>0</v>
      </c>
      <c r="AG2816" s="168" t="str" cm="1">
        <f t="array" ref="AG2816">IF(AF2816="","",_xlfn.TEXTSPLIT(AF2816,"-"))</f>
        <v>0</v>
      </c>
      <c r="AH2816" s="168"/>
    </row>
    <row r="2817" spans="26:34" ht="24" customHeight="1">
      <c r="Z2817"/>
      <c r="AA2817"/>
      <c r="AB2817"/>
      <c r="AC2817"/>
      <c r="AD2817"/>
      <c r="AE2817" s="168" t="str">
        <f t="shared" si="43"/>
        <v/>
      </c>
      <c r="AF2817" s="168">
        <v>0</v>
      </c>
      <c r="AG2817" s="168" t="str" cm="1">
        <f t="array" ref="AG2817">IF(AF2817="","",_xlfn.TEXTSPLIT(AF2817,"-"))</f>
        <v>0</v>
      </c>
      <c r="AH2817" s="168"/>
    </row>
    <row r="2818" spans="26:34" ht="24" customHeight="1">
      <c r="Z2818"/>
      <c r="AA2818"/>
      <c r="AB2818"/>
      <c r="AC2818"/>
      <c r="AD2818"/>
      <c r="AE2818" s="168" t="str">
        <f t="shared" si="43"/>
        <v/>
      </c>
      <c r="AF2818" s="168">
        <v>0</v>
      </c>
      <c r="AG2818" s="168" t="str" cm="1">
        <f t="array" ref="AG2818">IF(AF2818="","",_xlfn.TEXTSPLIT(AF2818,"-"))</f>
        <v>0</v>
      </c>
      <c r="AH2818" s="168"/>
    </row>
    <row r="2819" spans="26:34" ht="24" customHeight="1">
      <c r="Z2819"/>
      <c r="AA2819"/>
      <c r="AB2819"/>
      <c r="AC2819"/>
      <c r="AD2819"/>
      <c r="AE2819" s="168" t="str">
        <f t="shared" si="43"/>
        <v/>
      </c>
      <c r="AF2819" s="168">
        <v>0</v>
      </c>
      <c r="AG2819" s="168" t="str" cm="1">
        <f t="array" ref="AG2819">IF(AF2819="","",_xlfn.TEXTSPLIT(AF2819,"-"))</f>
        <v>0</v>
      </c>
      <c r="AH2819" s="168"/>
    </row>
    <row r="2820" spans="26:34" ht="24" customHeight="1">
      <c r="Z2820"/>
      <c r="AA2820"/>
      <c r="AB2820"/>
      <c r="AC2820"/>
      <c r="AD2820"/>
      <c r="AE2820" s="168" t="str">
        <f t="shared" si="43"/>
        <v/>
      </c>
      <c r="AF2820" s="168">
        <v>0</v>
      </c>
      <c r="AG2820" s="168" t="str" cm="1">
        <f t="array" ref="AG2820">IF(AF2820="","",_xlfn.TEXTSPLIT(AF2820,"-"))</f>
        <v>0</v>
      </c>
      <c r="AH2820" s="168"/>
    </row>
    <row r="2821" spans="26:34" ht="24" customHeight="1">
      <c r="Z2821"/>
      <c r="AA2821"/>
      <c r="AB2821"/>
      <c r="AC2821"/>
      <c r="AD2821"/>
      <c r="AE2821" s="168" t="str">
        <f t="shared" ref="AE2821:AE2884" si="44">IF(AH2821="","",AH2821*1)</f>
        <v/>
      </c>
      <c r="AF2821" s="168">
        <v>0</v>
      </c>
      <c r="AG2821" s="168" t="str" cm="1">
        <f t="array" ref="AG2821">IF(AF2821="","",_xlfn.TEXTSPLIT(AF2821,"-"))</f>
        <v>0</v>
      </c>
      <c r="AH2821" s="168"/>
    </row>
    <row r="2822" spans="26:34" ht="24" customHeight="1">
      <c r="Z2822"/>
      <c r="AA2822"/>
      <c r="AB2822"/>
      <c r="AC2822"/>
      <c r="AD2822"/>
      <c r="AE2822" s="168" t="str">
        <f t="shared" si="44"/>
        <v/>
      </c>
      <c r="AF2822" s="168">
        <v>0</v>
      </c>
      <c r="AG2822" s="168" t="str" cm="1">
        <f t="array" ref="AG2822">IF(AF2822="","",_xlfn.TEXTSPLIT(AF2822,"-"))</f>
        <v>0</v>
      </c>
      <c r="AH2822" s="168"/>
    </row>
    <row r="2823" spans="26:34" ht="24" customHeight="1">
      <c r="Z2823"/>
      <c r="AA2823"/>
      <c r="AB2823"/>
      <c r="AC2823"/>
      <c r="AD2823"/>
      <c r="AE2823" s="168" t="str">
        <f t="shared" si="44"/>
        <v/>
      </c>
      <c r="AF2823" s="168">
        <v>0</v>
      </c>
      <c r="AG2823" s="168" t="str" cm="1">
        <f t="array" ref="AG2823">IF(AF2823="","",_xlfn.TEXTSPLIT(AF2823,"-"))</f>
        <v>0</v>
      </c>
      <c r="AH2823" s="168"/>
    </row>
    <row r="2824" spans="26:34" ht="24" customHeight="1">
      <c r="Z2824"/>
      <c r="AA2824"/>
      <c r="AB2824"/>
      <c r="AC2824"/>
      <c r="AD2824"/>
      <c r="AE2824" s="168" t="str">
        <f t="shared" si="44"/>
        <v/>
      </c>
      <c r="AF2824" s="168">
        <v>0</v>
      </c>
      <c r="AG2824" s="168" t="str" cm="1">
        <f t="array" ref="AG2824">IF(AF2824="","",_xlfn.TEXTSPLIT(AF2824,"-"))</f>
        <v>0</v>
      </c>
      <c r="AH2824" s="168"/>
    </row>
    <row r="2825" spans="26:34" ht="24" customHeight="1">
      <c r="Z2825"/>
      <c r="AA2825"/>
      <c r="AB2825"/>
      <c r="AC2825"/>
      <c r="AD2825"/>
      <c r="AE2825" s="168" t="str">
        <f t="shared" si="44"/>
        <v/>
      </c>
      <c r="AF2825" s="168">
        <v>0</v>
      </c>
      <c r="AG2825" s="168" t="str" cm="1">
        <f t="array" ref="AG2825">IF(AF2825="","",_xlfn.TEXTSPLIT(AF2825,"-"))</f>
        <v>0</v>
      </c>
      <c r="AH2825" s="168"/>
    </row>
    <row r="2826" spans="26:34" ht="24" customHeight="1">
      <c r="Z2826"/>
      <c r="AA2826"/>
      <c r="AB2826"/>
      <c r="AC2826"/>
      <c r="AD2826"/>
      <c r="AE2826" s="168" t="str">
        <f t="shared" si="44"/>
        <v/>
      </c>
      <c r="AF2826" s="168">
        <v>0</v>
      </c>
      <c r="AG2826" s="168" t="str" cm="1">
        <f t="array" ref="AG2826">IF(AF2826="","",_xlfn.TEXTSPLIT(AF2826,"-"))</f>
        <v>0</v>
      </c>
      <c r="AH2826" s="168"/>
    </row>
    <row r="2827" spans="26:34" ht="24" customHeight="1">
      <c r="Z2827"/>
      <c r="AA2827"/>
      <c r="AB2827"/>
      <c r="AC2827"/>
      <c r="AD2827"/>
      <c r="AE2827" s="168" t="str">
        <f t="shared" si="44"/>
        <v/>
      </c>
      <c r="AF2827" s="168">
        <v>0</v>
      </c>
      <c r="AG2827" s="168" t="str" cm="1">
        <f t="array" ref="AG2827">IF(AF2827="","",_xlfn.TEXTSPLIT(AF2827,"-"))</f>
        <v>0</v>
      </c>
      <c r="AH2827" s="168"/>
    </row>
    <row r="2828" spans="26:34" ht="24" customHeight="1">
      <c r="Z2828"/>
      <c r="AA2828"/>
      <c r="AB2828"/>
      <c r="AC2828"/>
      <c r="AD2828"/>
      <c r="AE2828" s="168" t="str">
        <f t="shared" si="44"/>
        <v/>
      </c>
      <c r="AF2828" s="168">
        <v>0</v>
      </c>
      <c r="AG2828" s="168" t="str" cm="1">
        <f t="array" ref="AG2828">IF(AF2828="","",_xlfn.TEXTSPLIT(AF2828,"-"))</f>
        <v>0</v>
      </c>
      <c r="AH2828" s="168"/>
    </row>
    <row r="2829" spans="26:34" ht="24" customHeight="1">
      <c r="Z2829"/>
      <c r="AA2829"/>
      <c r="AB2829"/>
      <c r="AC2829"/>
      <c r="AD2829"/>
      <c r="AE2829" s="168" t="str">
        <f t="shared" si="44"/>
        <v/>
      </c>
      <c r="AF2829" s="168">
        <v>0</v>
      </c>
      <c r="AG2829" s="168" t="str" cm="1">
        <f t="array" ref="AG2829">IF(AF2829="","",_xlfn.TEXTSPLIT(AF2829,"-"))</f>
        <v>0</v>
      </c>
      <c r="AH2829" s="168"/>
    </row>
    <row r="2830" spans="26:34" ht="24" customHeight="1">
      <c r="Z2830"/>
      <c r="AA2830"/>
      <c r="AB2830"/>
      <c r="AC2830"/>
      <c r="AD2830"/>
      <c r="AE2830" s="168" t="str">
        <f t="shared" si="44"/>
        <v/>
      </c>
      <c r="AF2830" s="168">
        <v>0</v>
      </c>
      <c r="AG2830" s="168" t="str" cm="1">
        <f t="array" ref="AG2830">IF(AF2830="","",_xlfn.TEXTSPLIT(AF2830,"-"))</f>
        <v>0</v>
      </c>
      <c r="AH2830" s="168"/>
    </row>
    <row r="2831" spans="26:34" ht="24" customHeight="1">
      <c r="Z2831"/>
      <c r="AA2831"/>
      <c r="AB2831"/>
      <c r="AC2831"/>
      <c r="AD2831"/>
      <c r="AE2831" s="168" t="str">
        <f t="shared" si="44"/>
        <v/>
      </c>
      <c r="AF2831" s="168">
        <v>0</v>
      </c>
      <c r="AG2831" s="168" t="str" cm="1">
        <f t="array" ref="AG2831">IF(AF2831="","",_xlfn.TEXTSPLIT(AF2831,"-"))</f>
        <v>0</v>
      </c>
      <c r="AH2831" s="168"/>
    </row>
    <row r="2832" spans="26:34" ht="24" customHeight="1">
      <c r="Z2832"/>
      <c r="AA2832"/>
      <c r="AB2832"/>
      <c r="AC2832"/>
      <c r="AD2832"/>
      <c r="AE2832" s="168" t="str">
        <f t="shared" si="44"/>
        <v/>
      </c>
      <c r="AF2832" s="168">
        <v>0</v>
      </c>
      <c r="AG2832" s="168" t="str" cm="1">
        <f t="array" ref="AG2832">IF(AF2832="","",_xlfn.TEXTSPLIT(AF2832,"-"))</f>
        <v>0</v>
      </c>
      <c r="AH2832" s="168"/>
    </row>
    <row r="2833" spans="26:34" ht="24" customHeight="1">
      <c r="Z2833"/>
      <c r="AA2833"/>
      <c r="AB2833"/>
      <c r="AC2833"/>
      <c r="AD2833"/>
      <c r="AE2833" s="168" t="str">
        <f t="shared" si="44"/>
        <v/>
      </c>
      <c r="AF2833" s="168">
        <v>0</v>
      </c>
      <c r="AG2833" s="168" t="str" cm="1">
        <f t="array" ref="AG2833">IF(AF2833="","",_xlfn.TEXTSPLIT(AF2833,"-"))</f>
        <v>0</v>
      </c>
      <c r="AH2833" s="168"/>
    </row>
    <row r="2834" spans="26:34" ht="24" customHeight="1">
      <c r="Z2834"/>
      <c r="AA2834"/>
      <c r="AB2834"/>
      <c r="AC2834"/>
      <c r="AD2834"/>
      <c r="AE2834" s="168" t="str">
        <f t="shared" si="44"/>
        <v/>
      </c>
      <c r="AF2834" s="168">
        <v>0</v>
      </c>
      <c r="AG2834" s="168" t="str" cm="1">
        <f t="array" ref="AG2834">IF(AF2834="","",_xlfn.TEXTSPLIT(AF2834,"-"))</f>
        <v>0</v>
      </c>
      <c r="AH2834" s="168"/>
    </row>
    <row r="2835" spans="26:34" ht="24" customHeight="1">
      <c r="Z2835"/>
      <c r="AA2835"/>
      <c r="AB2835"/>
      <c r="AC2835"/>
      <c r="AD2835"/>
      <c r="AE2835" s="168" t="str">
        <f t="shared" si="44"/>
        <v/>
      </c>
      <c r="AF2835" s="168">
        <v>0</v>
      </c>
      <c r="AG2835" s="168" t="str" cm="1">
        <f t="array" ref="AG2835">IF(AF2835="","",_xlfn.TEXTSPLIT(AF2835,"-"))</f>
        <v>0</v>
      </c>
      <c r="AH2835" s="168"/>
    </row>
    <row r="2836" spans="26:34" ht="24" customHeight="1">
      <c r="Z2836"/>
      <c r="AA2836"/>
      <c r="AB2836"/>
      <c r="AC2836"/>
      <c r="AD2836"/>
      <c r="AE2836" s="168" t="str">
        <f t="shared" si="44"/>
        <v/>
      </c>
      <c r="AF2836" s="168">
        <v>0</v>
      </c>
      <c r="AG2836" s="168" t="str" cm="1">
        <f t="array" ref="AG2836">IF(AF2836="","",_xlfn.TEXTSPLIT(AF2836,"-"))</f>
        <v>0</v>
      </c>
      <c r="AH2836" s="168"/>
    </row>
    <row r="2837" spans="26:34" ht="24" customHeight="1">
      <c r="Z2837"/>
      <c r="AA2837"/>
      <c r="AB2837"/>
      <c r="AC2837"/>
      <c r="AD2837"/>
      <c r="AE2837" s="168" t="str">
        <f t="shared" si="44"/>
        <v/>
      </c>
      <c r="AF2837" s="168">
        <v>0</v>
      </c>
      <c r="AG2837" s="168" t="str" cm="1">
        <f t="array" ref="AG2837">IF(AF2837="","",_xlfn.TEXTSPLIT(AF2837,"-"))</f>
        <v>0</v>
      </c>
      <c r="AH2837" s="168"/>
    </row>
    <row r="2838" spans="26:34" ht="24" customHeight="1">
      <c r="Z2838"/>
      <c r="AA2838"/>
      <c r="AB2838"/>
      <c r="AC2838"/>
      <c r="AD2838"/>
      <c r="AE2838" s="168" t="str">
        <f t="shared" si="44"/>
        <v/>
      </c>
      <c r="AF2838" s="168">
        <v>0</v>
      </c>
      <c r="AG2838" s="168" t="str" cm="1">
        <f t="array" ref="AG2838">IF(AF2838="","",_xlfn.TEXTSPLIT(AF2838,"-"))</f>
        <v>0</v>
      </c>
      <c r="AH2838" s="168"/>
    </row>
    <row r="2839" spans="26:34" ht="24" customHeight="1">
      <c r="Z2839"/>
      <c r="AA2839"/>
      <c r="AB2839"/>
      <c r="AC2839"/>
      <c r="AD2839"/>
      <c r="AE2839" s="168" t="str">
        <f t="shared" si="44"/>
        <v/>
      </c>
      <c r="AF2839" s="168">
        <v>0</v>
      </c>
      <c r="AG2839" s="168" t="str" cm="1">
        <f t="array" ref="AG2839">IF(AF2839="","",_xlfn.TEXTSPLIT(AF2839,"-"))</f>
        <v>0</v>
      </c>
      <c r="AH2839" s="168"/>
    </row>
    <row r="2840" spans="26:34" ht="24" customHeight="1">
      <c r="Z2840"/>
      <c r="AA2840"/>
      <c r="AB2840"/>
      <c r="AC2840"/>
      <c r="AD2840"/>
      <c r="AE2840" s="168" t="str">
        <f t="shared" si="44"/>
        <v/>
      </c>
      <c r="AF2840" s="168">
        <v>0</v>
      </c>
      <c r="AG2840" s="168" t="str" cm="1">
        <f t="array" ref="AG2840">IF(AF2840="","",_xlfn.TEXTSPLIT(AF2840,"-"))</f>
        <v>0</v>
      </c>
      <c r="AH2840" s="168"/>
    </row>
    <row r="2841" spans="26:34" ht="24" customHeight="1">
      <c r="Z2841"/>
      <c r="AA2841"/>
      <c r="AB2841"/>
      <c r="AC2841"/>
      <c r="AD2841"/>
      <c r="AE2841" s="168" t="str">
        <f t="shared" si="44"/>
        <v/>
      </c>
      <c r="AF2841" s="168">
        <v>0</v>
      </c>
      <c r="AG2841" s="168" t="str" cm="1">
        <f t="array" ref="AG2841">IF(AF2841="","",_xlfn.TEXTSPLIT(AF2841,"-"))</f>
        <v>0</v>
      </c>
      <c r="AH2841" s="168"/>
    </row>
    <row r="2842" spans="26:34" ht="24" customHeight="1">
      <c r="Z2842"/>
      <c r="AA2842"/>
      <c r="AB2842"/>
      <c r="AC2842"/>
      <c r="AD2842"/>
      <c r="AE2842" s="168" t="str">
        <f t="shared" si="44"/>
        <v/>
      </c>
      <c r="AF2842" s="168">
        <v>0</v>
      </c>
      <c r="AG2842" s="168" t="str" cm="1">
        <f t="array" ref="AG2842">IF(AF2842="","",_xlfn.TEXTSPLIT(AF2842,"-"))</f>
        <v>0</v>
      </c>
      <c r="AH2842" s="168"/>
    </row>
    <row r="2843" spans="26:34" ht="24" customHeight="1">
      <c r="Z2843"/>
      <c r="AA2843"/>
      <c r="AB2843"/>
      <c r="AC2843"/>
      <c r="AD2843"/>
      <c r="AE2843" s="168" t="str">
        <f t="shared" si="44"/>
        <v/>
      </c>
      <c r="AF2843" s="168">
        <v>0</v>
      </c>
      <c r="AG2843" s="168" t="str" cm="1">
        <f t="array" ref="AG2843">IF(AF2843="","",_xlfn.TEXTSPLIT(AF2843,"-"))</f>
        <v>0</v>
      </c>
      <c r="AH2843" s="168"/>
    </row>
    <row r="2844" spans="26:34" ht="24" customHeight="1">
      <c r="Z2844"/>
      <c r="AA2844"/>
      <c r="AB2844"/>
      <c r="AC2844"/>
      <c r="AD2844"/>
      <c r="AE2844" s="168" t="str">
        <f t="shared" si="44"/>
        <v/>
      </c>
      <c r="AF2844" s="168">
        <v>0</v>
      </c>
      <c r="AG2844" s="168" t="str" cm="1">
        <f t="array" ref="AG2844">IF(AF2844="","",_xlfn.TEXTSPLIT(AF2844,"-"))</f>
        <v>0</v>
      </c>
      <c r="AH2844" s="168"/>
    </row>
    <row r="2845" spans="26:34" ht="24" customHeight="1">
      <c r="Z2845"/>
      <c r="AA2845"/>
      <c r="AB2845"/>
      <c r="AC2845"/>
      <c r="AD2845"/>
      <c r="AE2845" s="168" t="str">
        <f t="shared" si="44"/>
        <v/>
      </c>
      <c r="AF2845" s="168">
        <v>0</v>
      </c>
      <c r="AG2845" s="168" t="str" cm="1">
        <f t="array" ref="AG2845">IF(AF2845="","",_xlfn.TEXTSPLIT(AF2845,"-"))</f>
        <v>0</v>
      </c>
      <c r="AH2845" s="168"/>
    </row>
    <row r="2846" spans="26:34" ht="24" customHeight="1">
      <c r="Z2846"/>
      <c r="AA2846"/>
      <c r="AB2846"/>
      <c r="AC2846"/>
      <c r="AD2846"/>
      <c r="AE2846" s="168" t="str">
        <f t="shared" si="44"/>
        <v/>
      </c>
      <c r="AF2846" s="168">
        <v>0</v>
      </c>
      <c r="AG2846" s="168" t="str" cm="1">
        <f t="array" ref="AG2846">IF(AF2846="","",_xlfn.TEXTSPLIT(AF2846,"-"))</f>
        <v>0</v>
      </c>
      <c r="AH2846" s="168"/>
    </row>
    <row r="2847" spans="26:34" ht="24" customHeight="1">
      <c r="Z2847"/>
      <c r="AA2847"/>
      <c r="AB2847"/>
      <c r="AC2847"/>
      <c r="AD2847"/>
      <c r="AE2847" s="168" t="str">
        <f t="shared" si="44"/>
        <v/>
      </c>
      <c r="AF2847" s="168">
        <v>0</v>
      </c>
      <c r="AG2847" s="168" t="str" cm="1">
        <f t="array" ref="AG2847">IF(AF2847="","",_xlfn.TEXTSPLIT(AF2847,"-"))</f>
        <v>0</v>
      </c>
      <c r="AH2847" s="168"/>
    </row>
    <row r="2848" spans="26:34" ht="24" customHeight="1">
      <c r="Z2848"/>
      <c r="AA2848"/>
      <c r="AB2848"/>
      <c r="AC2848"/>
      <c r="AD2848"/>
      <c r="AE2848" s="168" t="str">
        <f t="shared" si="44"/>
        <v/>
      </c>
      <c r="AF2848" s="168">
        <v>0</v>
      </c>
      <c r="AG2848" s="168" t="str" cm="1">
        <f t="array" ref="AG2848">IF(AF2848="","",_xlfn.TEXTSPLIT(AF2848,"-"))</f>
        <v>0</v>
      </c>
      <c r="AH2848" s="168"/>
    </row>
    <row r="2849" spans="26:34" ht="24" customHeight="1">
      <c r="Z2849"/>
      <c r="AA2849"/>
      <c r="AB2849"/>
      <c r="AC2849"/>
      <c r="AD2849"/>
      <c r="AE2849" s="168" t="str">
        <f t="shared" si="44"/>
        <v/>
      </c>
      <c r="AF2849" s="168">
        <v>0</v>
      </c>
      <c r="AG2849" s="168" t="str" cm="1">
        <f t="array" ref="AG2849">IF(AF2849="","",_xlfn.TEXTSPLIT(AF2849,"-"))</f>
        <v>0</v>
      </c>
      <c r="AH2849" s="168"/>
    </row>
    <row r="2850" spans="26:34" ht="24" customHeight="1">
      <c r="Z2850"/>
      <c r="AA2850"/>
      <c r="AB2850"/>
      <c r="AC2850"/>
      <c r="AD2850"/>
      <c r="AE2850" s="168" t="str">
        <f t="shared" si="44"/>
        <v/>
      </c>
      <c r="AF2850" s="168">
        <v>0</v>
      </c>
      <c r="AG2850" s="168" t="str" cm="1">
        <f t="array" ref="AG2850">IF(AF2850="","",_xlfn.TEXTSPLIT(AF2850,"-"))</f>
        <v>0</v>
      </c>
      <c r="AH2850" s="168"/>
    </row>
    <row r="2851" spans="26:34" ht="24" customHeight="1">
      <c r="Z2851"/>
      <c r="AA2851"/>
      <c r="AB2851"/>
      <c r="AC2851"/>
      <c r="AD2851"/>
      <c r="AE2851" s="168" t="str">
        <f t="shared" si="44"/>
        <v/>
      </c>
      <c r="AF2851" s="168">
        <v>0</v>
      </c>
      <c r="AG2851" s="168" t="str" cm="1">
        <f t="array" ref="AG2851">IF(AF2851="","",_xlfn.TEXTSPLIT(AF2851,"-"))</f>
        <v>0</v>
      </c>
      <c r="AH2851" s="168"/>
    </row>
    <row r="2852" spans="26:34" ht="24" customHeight="1">
      <c r="Z2852"/>
      <c r="AA2852"/>
      <c r="AB2852"/>
      <c r="AC2852"/>
      <c r="AD2852"/>
      <c r="AE2852" s="168" t="str">
        <f t="shared" si="44"/>
        <v/>
      </c>
      <c r="AF2852" s="168">
        <v>0</v>
      </c>
      <c r="AG2852" s="168" t="str" cm="1">
        <f t="array" ref="AG2852">IF(AF2852="","",_xlfn.TEXTSPLIT(AF2852,"-"))</f>
        <v>0</v>
      </c>
      <c r="AH2852" s="168"/>
    </row>
    <row r="2853" spans="26:34" ht="24" customHeight="1">
      <c r="Z2853"/>
      <c r="AA2853"/>
      <c r="AB2853"/>
      <c r="AC2853"/>
      <c r="AD2853"/>
      <c r="AE2853" s="168" t="str">
        <f t="shared" si="44"/>
        <v/>
      </c>
      <c r="AF2853" s="168">
        <v>0</v>
      </c>
      <c r="AG2853" s="168" t="str" cm="1">
        <f t="array" ref="AG2853">IF(AF2853="","",_xlfn.TEXTSPLIT(AF2853,"-"))</f>
        <v>0</v>
      </c>
      <c r="AH2853" s="168"/>
    </row>
    <row r="2854" spans="26:34" ht="24" customHeight="1">
      <c r="Z2854"/>
      <c r="AA2854"/>
      <c r="AB2854"/>
      <c r="AC2854"/>
      <c r="AD2854"/>
      <c r="AE2854" s="168" t="str">
        <f t="shared" si="44"/>
        <v/>
      </c>
      <c r="AF2854" s="168">
        <v>0</v>
      </c>
      <c r="AG2854" s="168" t="str" cm="1">
        <f t="array" ref="AG2854">IF(AF2854="","",_xlfn.TEXTSPLIT(AF2854,"-"))</f>
        <v>0</v>
      </c>
      <c r="AH2854" s="168"/>
    </row>
    <row r="2855" spans="26:34" ht="24" customHeight="1">
      <c r="Z2855"/>
      <c r="AA2855"/>
      <c r="AB2855"/>
      <c r="AC2855"/>
      <c r="AD2855"/>
      <c r="AE2855" s="168" t="str">
        <f t="shared" si="44"/>
        <v/>
      </c>
      <c r="AF2855" s="168">
        <v>0</v>
      </c>
      <c r="AG2855" s="168" t="str" cm="1">
        <f t="array" ref="AG2855">IF(AF2855="","",_xlfn.TEXTSPLIT(AF2855,"-"))</f>
        <v>0</v>
      </c>
      <c r="AH2855" s="168"/>
    </row>
    <row r="2856" spans="26:34" ht="24" customHeight="1">
      <c r="Z2856"/>
      <c r="AA2856"/>
      <c r="AB2856"/>
      <c r="AC2856"/>
      <c r="AD2856"/>
      <c r="AE2856" s="168" t="str">
        <f t="shared" si="44"/>
        <v/>
      </c>
      <c r="AF2856" s="168">
        <v>0</v>
      </c>
      <c r="AG2856" s="168" t="str" cm="1">
        <f t="array" ref="AG2856">IF(AF2856="","",_xlfn.TEXTSPLIT(AF2856,"-"))</f>
        <v>0</v>
      </c>
      <c r="AH2856" s="168"/>
    </row>
    <row r="2857" spans="26:34" ht="24" customHeight="1">
      <c r="Z2857"/>
      <c r="AA2857"/>
      <c r="AB2857"/>
      <c r="AC2857"/>
      <c r="AD2857"/>
      <c r="AE2857" s="168" t="str">
        <f t="shared" si="44"/>
        <v/>
      </c>
      <c r="AF2857" s="168">
        <v>0</v>
      </c>
      <c r="AG2857" s="168" t="str" cm="1">
        <f t="array" ref="AG2857">IF(AF2857="","",_xlfn.TEXTSPLIT(AF2857,"-"))</f>
        <v>0</v>
      </c>
      <c r="AH2857" s="168"/>
    </row>
    <row r="2858" spans="26:34" ht="24" customHeight="1">
      <c r="Z2858"/>
      <c r="AA2858"/>
      <c r="AB2858"/>
      <c r="AC2858"/>
      <c r="AD2858"/>
      <c r="AE2858" s="168" t="str">
        <f t="shared" si="44"/>
        <v/>
      </c>
      <c r="AF2858" s="168">
        <v>0</v>
      </c>
      <c r="AG2858" s="168" t="str" cm="1">
        <f t="array" ref="AG2858">IF(AF2858="","",_xlfn.TEXTSPLIT(AF2858,"-"))</f>
        <v>0</v>
      </c>
      <c r="AH2858" s="168"/>
    </row>
    <row r="2859" spans="26:34" ht="24" customHeight="1">
      <c r="Z2859"/>
      <c r="AA2859"/>
      <c r="AB2859"/>
      <c r="AC2859"/>
      <c r="AD2859"/>
      <c r="AE2859" s="168" t="str">
        <f t="shared" si="44"/>
        <v/>
      </c>
      <c r="AF2859" s="168">
        <v>0</v>
      </c>
      <c r="AG2859" s="168" t="str" cm="1">
        <f t="array" ref="AG2859">IF(AF2859="","",_xlfn.TEXTSPLIT(AF2859,"-"))</f>
        <v>0</v>
      </c>
      <c r="AH2859" s="168"/>
    </row>
    <row r="2860" spans="26:34" ht="24" customHeight="1">
      <c r="Z2860"/>
      <c r="AA2860"/>
      <c r="AB2860"/>
      <c r="AC2860"/>
      <c r="AD2860"/>
      <c r="AE2860" s="168" t="str">
        <f t="shared" si="44"/>
        <v/>
      </c>
      <c r="AF2860" s="168">
        <v>0</v>
      </c>
      <c r="AG2860" s="168" t="str" cm="1">
        <f t="array" ref="AG2860">IF(AF2860="","",_xlfn.TEXTSPLIT(AF2860,"-"))</f>
        <v>0</v>
      </c>
      <c r="AH2860" s="168"/>
    </row>
    <row r="2861" spans="26:34" ht="24" customHeight="1">
      <c r="Z2861"/>
      <c r="AA2861"/>
      <c r="AB2861"/>
      <c r="AC2861"/>
      <c r="AD2861"/>
      <c r="AE2861" s="168" t="str">
        <f t="shared" si="44"/>
        <v/>
      </c>
      <c r="AF2861" s="168">
        <v>0</v>
      </c>
      <c r="AG2861" s="168" t="str" cm="1">
        <f t="array" ref="AG2861">IF(AF2861="","",_xlfn.TEXTSPLIT(AF2861,"-"))</f>
        <v>0</v>
      </c>
      <c r="AH2861" s="168"/>
    </row>
    <row r="2862" spans="26:34" ht="24" customHeight="1">
      <c r="Z2862"/>
      <c r="AA2862"/>
      <c r="AB2862"/>
      <c r="AC2862"/>
      <c r="AD2862"/>
      <c r="AE2862" s="168" t="str">
        <f t="shared" si="44"/>
        <v/>
      </c>
      <c r="AF2862" s="168">
        <v>0</v>
      </c>
      <c r="AG2862" s="168" t="str" cm="1">
        <f t="array" ref="AG2862">IF(AF2862="","",_xlfn.TEXTSPLIT(AF2862,"-"))</f>
        <v>0</v>
      </c>
      <c r="AH2862" s="168"/>
    </row>
    <row r="2863" spans="26:34" ht="24" customHeight="1">
      <c r="Z2863"/>
      <c r="AA2863"/>
      <c r="AB2863"/>
      <c r="AC2863"/>
      <c r="AD2863"/>
      <c r="AE2863" s="168" t="str">
        <f t="shared" si="44"/>
        <v/>
      </c>
      <c r="AF2863" s="168">
        <v>0</v>
      </c>
      <c r="AG2863" s="168" t="str" cm="1">
        <f t="array" ref="AG2863">IF(AF2863="","",_xlfn.TEXTSPLIT(AF2863,"-"))</f>
        <v>0</v>
      </c>
      <c r="AH2863" s="168"/>
    </row>
    <row r="2864" spans="26:34" ht="24" customHeight="1">
      <c r="Z2864"/>
      <c r="AA2864"/>
      <c r="AB2864"/>
      <c r="AC2864"/>
      <c r="AD2864"/>
      <c r="AE2864" s="168" t="str">
        <f t="shared" si="44"/>
        <v/>
      </c>
      <c r="AF2864" s="168">
        <v>0</v>
      </c>
      <c r="AG2864" s="168" t="str" cm="1">
        <f t="array" ref="AG2864">IF(AF2864="","",_xlfn.TEXTSPLIT(AF2864,"-"))</f>
        <v>0</v>
      </c>
      <c r="AH2864" s="168"/>
    </row>
    <row r="2865" spans="26:34" ht="24" customHeight="1">
      <c r="Z2865"/>
      <c r="AA2865"/>
      <c r="AB2865"/>
      <c r="AC2865"/>
      <c r="AD2865"/>
      <c r="AE2865" s="168" t="str">
        <f t="shared" si="44"/>
        <v/>
      </c>
      <c r="AF2865" s="168">
        <v>0</v>
      </c>
      <c r="AG2865" s="168" t="str" cm="1">
        <f t="array" ref="AG2865">IF(AF2865="","",_xlfn.TEXTSPLIT(AF2865,"-"))</f>
        <v>0</v>
      </c>
      <c r="AH2865" s="168"/>
    </row>
    <row r="2866" spans="26:34" ht="24" customHeight="1">
      <c r="Z2866"/>
      <c r="AA2866"/>
      <c r="AB2866"/>
      <c r="AC2866"/>
      <c r="AD2866"/>
      <c r="AE2866" s="168" t="str">
        <f t="shared" si="44"/>
        <v/>
      </c>
      <c r="AF2866" s="168">
        <v>0</v>
      </c>
      <c r="AG2866" s="168" t="str" cm="1">
        <f t="array" ref="AG2866">IF(AF2866="","",_xlfn.TEXTSPLIT(AF2866,"-"))</f>
        <v>0</v>
      </c>
      <c r="AH2866" s="168"/>
    </row>
    <row r="2867" spans="26:34" ht="24" customHeight="1">
      <c r="Z2867"/>
      <c r="AA2867"/>
      <c r="AB2867"/>
      <c r="AC2867"/>
      <c r="AD2867"/>
      <c r="AE2867" s="168" t="str">
        <f t="shared" si="44"/>
        <v/>
      </c>
      <c r="AF2867" s="168">
        <v>0</v>
      </c>
      <c r="AG2867" s="168" t="str" cm="1">
        <f t="array" ref="AG2867">IF(AF2867="","",_xlfn.TEXTSPLIT(AF2867,"-"))</f>
        <v>0</v>
      </c>
      <c r="AH2867" s="168"/>
    </row>
    <row r="2868" spans="26:34" ht="24" customHeight="1">
      <c r="Z2868"/>
      <c r="AA2868"/>
      <c r="AB2868"/>
      <c r="AC2868"/>
      <c r="AD2868"/>
      <c r="AE2868" s="168" t="str">
        <f t="shared" si="44"/>
        <v/>
      </c>
      <c r="AF2868" s="168">
        <v>0</v>
      </c>
      <c r="AG2868" s="168" t="str" cm="1">
        <f t="array" ref="AG2868">IF(AF2868="","",_xlfn.TEXTSPLIT(AF2868,"-"))</f>
        <v>0</v>
      </c>
      <c r="AH2868" s="168"/>
    </row>
    <row r="2869" spans="26:34" ht="24" customHeight="1">
      <c r="Z2869"/>
      <c r="AA2869"/>
      <c r="AB2869"/>
      <c r="AC2869"/>
      <c r="AD2869"/>
      <c r="AE2869" s="168" t="str">
        <f t="shared" si="44"/>
        <v/>
      </c>
      <c r="AF2869" s="168">
        <v>0</v>
      </c>
      <c r="AG2869" s="168" t="str" cm="1">
        <f t="array" ref="AG2869">IF(AF2869="","",_xlfn.TEXTSPLIT(AF2869,"-"))</f>
        <v>0</v>
      </c>
      <c r="AH2869" s="168"/>
    </row>
    <row r="2870" spans="26:34" ht="24" customHeight="1">
      <c r="Z2870"/>
      <c r="AA2870"/>
      <c r="AB2870"/>
      <c r="AC2870"/>
      <c r="AD2870"/>
      <c r="AE2870" s="168" t="str">
        <f t="shared" si="44"/>
        <v/>
      </c>
      <c r="AF2870" s="168">
        <v>0</v>
      </c>
      <c r="AG2870" s="168" t="str" cm="1">
        <f t="array" ref="AG2870">IF(AF2870="","",_xlfn.TEXTSPLIT(AF2870,"-"))</f>
        <v>0</v>
      </c>
      <c r="AH2870" s="168"/>
    </row>
    <row r="2871" spans="26:34" ht="24" customHeight="1">
      <c r="Z2871"/>
      <c r="AA2871"/>
      <c r="AB2871"/>
      <c r="AC2871"/>
      <c r="AD2871"/>
      <c r="AE2871" s="168" t="str">
        <f t="shared" si="44"/>
        <v/>
      </c>
      <c r="AF2871" s="168">
        <v>0</v>
      </c>
      <c r="AG2871" s="168" t="str" cm="1">
        <f t="array" ref="AG2871">IF(AF2871="","",_xlfn.TEXTSPLIT(AF2871,"-"))</f>
        <v>0</v>
      </c>
      <c r="AH2871" s="168"/>
    </row>
    <row r="2872" spans="26:34" ht="24" customHeight="1">
      <c r="Z2872"/>
      <c r="AA2872"/>
      <c r="AB2872"/>
      <c r="AC2872"/>
      <c r="AD2872"/>
      <c r="AE2872" s="168" t="str">
        <f t="shared" si="44"/>
        <v/>
      </c>
      <c r="AF2872" s="168">
        <v>0</v>
      </c>
      <c r="AG2872" s="168" t="str" cm="1">
        <f t="array" ref="AG2872">IF(AF2872="","",_xlfn.TEXTSPLIT(AF2872,"-"))</f>
        <v>0</v>
      </c>
      <c r="AH2872" s="168"/>
    </row>
    <row r="2873" spans="26:34" ht="24" customHeight="1">
      <c r="Z2873"/>
      <c r="AA2873"/>
      <c r="AB2873"/>
      <c r="AC2873"/>
      <c r="AD2873"/>
      <c r="AE2873" s="168" t="str">
        <f t="shared" si="44"/>
        <v/>
      </c>
      <c r="AF2873" s="168">
        <v>0</v>
      </c>
      <c r="AG2873" s="168" t="str" cm="1">
        <f t="array" ref="AG2873">IF(AF2873="","",_xlfn.TEXTSPLIT(AF2873,"-"))</f>
        <v>0</v>
      </c>
      <c r="AH2873" s="168"/>
    </row>
    <row r="2874" spans="26:34" ht="24" customHeight="1">
      <c r="Z2874"/>
      <c r="AA2874"/>
      <c r="AB2874"/>
      <c r="AC2874"/>
      <c r="AD2874"/>
      <c r="AE2874" s="168" t="str">
        <f t="shared" si="44"/>
        <v/>
      </c>
      <c r="AF2874" s="168">
        <v>0</v>
      </c>
      <c r="AG2874" s="168" t="str" cm="1">
        <f t="array" ref="AG2874">IF(AF2874="","",_xlfn.TEXTSPLIT(AF2874,"-"))</f>
        <v>0</v>
      </c>
      <c r="AH2874" s="168"/>
    </row>
    <row r="2875" spans="26:34" ht="24" customHeight="1">
      <c r="Z2875"/>
      <c r="AA2875"/>
      <c r="AB2875"/>
      <c r="AC2875"/>
      <c r="AD2875"/>
      <c r="AE2875" s="168" t="str">
        <f t="shared" si="44"/>
        <v/>
      </c>
      <c r="AF2875" s="168">
        <v>0</v>
      </c>
      <c r="AG2875" s="168" t="str" cm="1">
        <f t="array" ref="AG2875">IF(AF2875="","",_xlfn.TEXTSPLIT(AF2875,"-"))</f>
        <v>0</v>
      </c>
      <c r="AH2875" s="168"/>
    </row>
    <row r="2876" spans="26:34" ht="24" customHeight="1">
      <c r="Z2876"/>
      <c r="AA2876"/>
      <c r="AB2876"/>
      <c r="AC2876"/>
      <c r="AD2876"/>
      <c r="AE2876" s="168" t="str">
        <f t="shared" si="44"/>
        <v/>
      </c>
      <c r="AF2876" s="168">
        <v>0</v>
      </c>
      <c r="AG2876" s="168" t="str" cm="1">
        <f t="array" ref="AG2876">IF(AF2876="","",_xlfn.TEXTSPLIT(AF2876,"-"))</f>
        <v>0</v>
      </c>
      <c r="AH2876" s="168"/>
    </row>
    <row r="2877" spans="26:34" ht="24" customHeight="1">
      <c r="Z2877"/>
      <c r="AA2877"/>
      <c r="AB2877"/>
      <c r="AC2877"/>
      <c r="AD2877"/>
      <c r="AE2877" s="168" t="str">
        <f t="shared" si="44"/>
        <v/>
      </c>
      <c r="AF2877" s="168">
        <v>0</v>
      </c>
      <c r="AG2877" s="168" t="str" cm="1">
        <f t="array" ref="AG2877">IF(AF2877="","",_xlfn.TEXTSPLIT(AF2877,"-"))</f>
        <v>0</v>
      </c>
      <c r="AH2877" s="168"/>
    </row>
    <row r="2878" spans="26:34" ht="24" customHeight="1">
      <c r="Z2878"/>
      <c r="AA2878"/>
      <c r="AB2878"/>
      <c r="AC2878"/>
      <c r="AD2878"/>
      <c r="AE2878" s="168" t="str">
        <f t="shared" si="44"/>
        <v/>
      </c>
      <c r="AF2878" s="168">
        <v>0</v>
      </c>
      <c r="AG2878" s="168" t="str" cm="1">
        <f t="array" ref="AG2878">IF(AF2878="","",_xlfn.TEXTSPLIT(AF2878,"-"))</f>
        <v>0</v>
      </c>
      <c r="AH2878" s="168"/>
    </row>
    <row r="2879" spans="26:34" ht="24" customHeight="1">
      <c r="Z2879"/>
      <c r="AA2879"/>
      <c r="AB2879"/>
      <c r="AC2879"/>
      <c r="AD2879"/>
      <c r="AE2879" s="168" t="str">
        <f t="shared" si="44"/>
        <v/>
      </c>
      <c r="AF2879" s="168">
        <v>0</v>
      </c>
      <c r="AG2879" s="168" t="str" cm="1">
        <f t="array" ref="AG2879">IF(AF2879="","",_xlfn.TEXTSPLIT(AF2879,"-"))</f>
        <v>0</v>
      </c>
      <c r="AH2879" s="168"/>
    </row>
    <row r="2880" spans="26:34" ht="24" customHeight="1">
      <c r="Z2880"/>
      <c r="AA2880"/>
      <c r="AB2880"/>
      <c r="AC2880"/>
      <c r="AD2880"/>
      <c r="AE2880" s="168" t="str">
        <f t="shared" si="44"/>
        <v/>
      </c>
      <c r="AF2880" s="168">
        <v>0</v>
      </c>
      <c r="AG2880" s="168" t="str" cm="1">
        <f t="array" ref="AG2880">IF(AF2880="","",_xlfn.TEXTSPLIT(AF2880,"-"))</f>
        <v>0</v>
      </c>
      <c r="AH2880" s="168"/>
    </row>
    <row r="2881" spans="26:34" ht="24" customHeight="1">
      <c r="Z2881"/>
      <c r="AA2881"/>
      <c r="AB2881"/>
      <c r="AC2881"/>
      <c r="AD2881"/>
      <c r="AE2881" s="168" t="str">
        <f t="shared" si="44"/>
        <v/>
      </c>
      <c r="AF2881" s="168">
        <v>0</v>
      </c>
      <c r="AG2881" s="168" t="str" cm="1">
        <f t="array" ref="AG2881">IF(AF2881="","",_xlfn.TEXTSPLIT(AF2881,"-"))</f>
        <v>0</v>
      </c>
      <c r="AH2881" s="168"/>
    </row>
    <row r="2882" spans="26:34" ht="24" customHeight="1">
      <c r="Z2882"/>
      <c r="AA2882"/>
      <c r="AB2882"/>
      <c r="AC2882"/>
      <c r="AD2882"/>
      <c r="AE2882" s="168" t="str">
        <f t="shared" si="44"/>
        <v/>
      </c>
      <c r="AF2882" s="168">
        <v>0</v>
      </c>
      <c r="AG2882" s="168" t="str" cm="1">
        <f t="array" ref="AG2882">IF(AF2882="","",_xlfn.TEXTSPLIT(AF2882,"-"))</f>
        <v>0</v>
      </c>
      <c r="AH2882" s="168"/>
    </row>
    <row r="2883" spans="26:34" ht="24" customHeight="1">
      <c r="Z2883"/>
      <c r="AA2883"/>
      <c r="AB2883"/>
      <c r="AC2883"/>
      <c r="AD2883"/>
      <c r="AE2883" s="168" t="str">
        <f t="shared" si="44"/>
        <v/>
      </c>
      <c r="AF2883" s="168">
        <v>0</v>
      </c>
      <c r="AG2883" s="168" t="str" cm="1">
        <f t="array" ref="AG2883">IF(AF2883="","",_xlfn.TEXTSPLIT(AF2883,"-"))</f>
        <v>0</v>
      </c>
      <c r="AH2883" s="168"/>
    </row>
    <row r="2884" spans="26:34" ht="24" customHeight="1">
      <c r="Z2884"/>
      <c r="AA2884"/>
      <c r="AB2884"/>
      <c r="AC2884"/>
      <c r="AD2884"/>
      <c r="AE2884" s="168" t="str">
        <f t="shared" si="44"/>
        <v/>
      </c>
      <c r="AF2884" s="168">
        <v>0</v>
      </c>
      <c r="AG2884" s="168" t="str" cm="1">
        <f t="array" ref="AG2884">IF(AF2884="","",_xlfn.TEXTSPLIT(AF2884,"-"))</f>
        <v>0</v>
      </c>
      <c r="AH2884" s="168"/>
    </row>
    <row r="2885" spans="26:34" ht="24" customHeight="1">
      <c r="Z2885"/>
      <c r="AA2885"/>
      <c r="AB2885"/>
      <c r="AC2885"/>
      <c r="AD2885"/>
      <c r="AE2885" s="168" t="str">
        <f t="shared" ref="AE2885:AE2948" si="45">IF(AH2885="","",AH2885*1)</f>
        <v/>
      </c>
      <c r="AF2885" s="168">
        <v>0</v>
      </c>
      <c r="AG2885" s="168" t="str" cm="1">
        <f t="array" ref="AG2885">IF(AF2885="","",_xlfn.TEXTSPLIT(AF2885,"-"))</f>
        <v>0</v>
      </c>
      <c r="AH2885" s="168"/>
    </row>
    <row r="2886" spans="26:34" ht="24" customHeight="1">
      <c r="Z2886"/>
      <c r="AA2886"/>
      <c r="AB2886"/>
      <c r="AC2886"/>
      <c r="AD2886"/>
      <c r="AE2886" s="168" t="str">
        <f t="shared" si="45"/>
        <v/>
      </c>
      <c r="AF2886" s="168">
        <v>0</v>
      </c>
      <c r="AG2886" s="168" t="str" cm="1">
        <f t="array" ref="AG2886">IF(AF2886="","",_xlfn.TEXTSPLIT(AF2886,"-"))</f>
        <v>0</v>
      </c>
      <c r="AH2886" s="168"/>
    </row>
    <row r="2887" spans="26:34" ht="24" customHeight="1">
      <c r="Z2887"/>
      <c r="AA2887"/>
      <c r="AB2887"/>
      <c r="AC2887"/>
      <c r="AD2887"/>
      <c r="AE2887" s="168" t="str">
        <f t="shared" si="45"/>
        <v/>
      </c>
      <c r="AF2887" s="168">
        <v>0</v>
      </c>
      <c r="AG2887" s="168" t="str" cm="1">
        <f t="array" ref="AG2887">IF(AF2887="","",_xlfn.TEXTSPLIT(AF2887,"-"))</f>
        <v>0</v>
      </c>
      <c r="AH2887" s="168"/>
    </row>
    <row r="2888" spans="26:34" ht="24" customHeight="1">
      <c r="Z2888"/>
      <c r="AA2888"/>
      <c r="AB2888"/>
      <c r="AC2888"/>
      <c r="AD2888"/>
      <c r="AE2888" s="168" t="str">
        <f t="shared" si="45"/>
        <v/>
      </c>
      <c r="AF2888" s="168">
        <v>0</v>
      </c>
      <c r="AG2888" s="168" t="str" cm="1">
        <f t="array" ref="AG2888">IF(AF2888="","",_xlfn.TEXTSPLIT(AF2888,"-"))</f>
        <v>0</v>
      </c>
      <c r="AH2888" s="168"/>
    </row>
    <row r="2889" spans="26:34" ht="24" customHeight="1">
      <c r="Z2889"/>
      <c r="AA2889"/>
      <c r="AB2889"/>
      <c r="AC2889"/>
      <c r="AD2889"/>
      <c r="AE2889" s="168" t="str">
        <f t="shared" si="45"/>
        <v/>
      </c>
      <c r="AF2889" s="168">
        <v>0</v>
      </c>
      <c r="AG2889" s="168" t="str" cm="1">
        <f t="array" ref="AG2889">IF(AF2889="","",_xlfn.TEXTSPLIT(AF2889,"-"))</f>
        <v>0</v>
      </c>
      <c r="AH2889" s="168"/>
    </row>
    <row r="2890" spans="26:34" ht="24" customHeight="1">
      <c r="Z2890"/>
      <c r="AA2890"/>
      <c r="AB2890"/>
      <c r="AC2890"/>
      <c r="AD2890"/>
      <c r="AE2890" s="168" t="str">
        <f t="shared" si="45"/>
        <v/>
      </c>
      <c r="AF2890" s="168">
        <v>0</v>
      </c>
      <c r="AG2890" s="168" t="str" cm="1">
        <f t="array" ref="AG2890">IF(AF2890="","",_xlfn.TEXTSPLIT(AF2890,"-"))</f>
        <v>0</v>
      </c>
      <c r="AH2890" s="168"/>
    </row>
    <row r="2891" spans="26:34" ht="24" customHeight="1">
      <c r="Z2891"/>
      <c r="AA2891"/>
      <c r="AB2891"/>
      <c r="AC2891"/>
      <c r="AD2891"/>
      <c r="AE2891" s="168" t="str">
        <f t="shared" si="45"/>
        <v/>
      </c>
      <c r="AF2891" s="168">
        <v>0</v>
      </c>
      <c r="AG2891" s="168" t="str" cm="1">
        <f t="array" ref="AG2891">IF(AF2891="","",_xlfn.TEXTSPLIT(AF2891,"-"))</f>
        <v>0</v>
      </c>
      <c r="AH2891" s="168"/>
    </row>
    <row r="2892" spans="26:34" ht="24" customHeight="1">
      <c r="Z2892"/>
      <c r="AA2892"/>
      <c r="AB2892"/>
      <c r="AC2892"/>
      <c r="AD2892"/>
      <c r="AE2892" s="168" t="str">
        <f t="shared" si="45"/>
        <v/>
      </c>
      <c r="AF2892" s="168">
        <v>0</v>
      </c>
      <c r="AG2892" s="168" t="str" cm="1">
        <f t="array" ref="AG2892">IF(AF2892="","",_xlfn.TEXTSPLIT(AF2892,"-"))</f>
        <v>0</v>
      </c>
      <c r="AH2892" s="168"/>
    </row>
    <row r="2893" spans="26:34" ht="24" customHeight="1">
      <c r="Z2893"/>
      <c r="AA2893"/>
      <c r="AB2893"/>
      <c r="AC2893"/>
      <c r="AD2893"/>
      <c r="AE2893" s="168" t="str">
        <f t="shared" si="45"/>
        <v/>
      </c>
      <c r="AF2893" s="168">
        <v>0</v>
      </c>
      <c r="AG2893" s="168" t="str" cm="1">
        <f t="array" ref="AG2893">IF(AF2893="","",_xlfn.TEXTSPLIT(AF2893,"-"))</f>
        <v>0</v>
      </c>
      <c r="AH2893" s="168"/>
    </row>
    <row r="2894" spans="26:34" ht="24" customHeight="1">
      <c r="Z2894"/>
      <c r="AA2894"/>
      <c r="AB2894"/>
      <c r="AC2894"/>
      <c r="AD2894"/>
      <c r="AE2894" s="168" t="str">
        <f t="shared" si="45"/>
        <v/>
      </c>
      <c r="AF2894" s="168">
        <v>0</v>
      </c>
      <c r="AG2894" s="168" t="str" cm="1">
        <f t="array" ref="AG2894">IF(AF2894="","",_xlfn.TEXTSPLIT(AF2894,"-"))</f>
        <v>0</v>
      </c>
      <c r="AH2894" s="168"/>
    </row>
    <row r="2895" spans="26:34" ht="24" customHeight="1">
      <c r="Z2895"/>
      <c r="AA2895"/>
      <c r="AB2895"/>
      <c r="AC2895"/>
      <c r="AD2895"/>
      <c r="AE2895" s="168" t="str">
        <f t="shared" si="45"/>
        <v/>
      </c>
      <c r="AF2895" s="168">
        <v>0</v>
      </c>
      <c r="AG2895" s="168" t="str" cm="1">
        <f t="array" ref="AG2895">IF(AF2895="","",_xlfn.TEXTSPLIT(AF2895,"-"))</f>
        <v>0</v>
      </c>
      <c r="AH2895" s="168"/>
    </row>
    <row r="2896" spans="26:34" ht="24" customHeight="1">
      <c r="Z2896"/>
      <c r="AA2896"/>
      <c r="AB2896"/>
      <c r="AC2896"/>
      <c r="AD2896"/>
      <c r="AE2896" s="168" t="str">
        <f t="shared" si="45"/>
        <v/>
      </c>
      <c r="AF2896" s="168">
        <v>0</v>
      </c>
      <c r="AG2896" s="168" t="str" cm="1">
        <f t="array" ref="AG2896">IF(AF2896="","",_xlfn.TEXTSPLIT(AF2896,"-"))</f>
        <v>0</v>
      </c>
      <c r="AH2896" s="168"/>
    </row>
    <row r="2897" spans="26:34" ht="24" customHeight="1">
      <c r="Z2897"/>
      <c r="AA2897"/>
      <c r="AB2897"/>
      <c r="AC2897"/>
      <c r="AD2897"/>
      <c r="AE2897" s="168" t="str">
        <f t="shared" si="45"/>
        <v/>
      </c>
      <c r="AF2897" s="168">
        <v>0</v>
      </c>
      <c r="AG2897" s="168" t="str" cm="1">
        <f t="array" ref="AG2897">IF(AF2897="","",_xlfn.TEXTSPLIT(AF2897,"-"))</f>
        <v>0</v>
      </c>
      <c r="AH2897" s="168"/>
    </row>
    <row r="2898" spans="26:34" ht="24" customHeight="1">
      <c r="Z2898"/>
      <c r="AA2898"/>
      <c r="AB2898"/>
      <c r="AC2898"/>
      <c r="AD2898"/>
      <c r="AE2898" s="168" t="str">
        <f t="shared" si="45"/>
        <v/>
      </c>
      <c r="AF2898" s="168">
        <v>0</v>
      </c>
      <c r="AG2898" s="168" t="str" cm="1">
        <f t="array" ref="AG2898">IF(AF2898="","",_xlfn.TEXTSPLIT(AF2898,"-"))</f>
        <v>0</v>
      </c>
      <c r="AH2898" s="168"/>
    </row>
    <row r="2899" spans="26:34" ht="24" customHeight="1">
      <c r="Z2899"/>
      <c r="AA2899"/>
      <c r="AB2899"/>
      <c r="AC2899"/>
      <c r="AD2899"/>
      <c r="AE2899" s="168" t="str">
        <f t="shared" si="45"/>
        <v/>
      </c>
      <c r="AF2899" s="168">
        <v>0</v>
      </c>
      <c r="AG2899" s="168" t="str" cm="1">
        <f t="array" ref="AG2899">IF(AF2899="","",_xlfn.TEXTSPLIT(AF2899,"-"))</f>
        <v>0</v>
      </c>
      <c r="AH2899" s="168"/>
    </row>
    <row r="2900" spans="26:34" ht="24" customHeight="1">
      <c r="Z2900"/>
      <c r="AA2900"/>
      <c r="AB2900"/>
      <c r="AC2900"/>
      <c r="AD2900"/>
      <c r="AE2900" s="168" t="str">
        <f t="shared" si="45"/>
        <v/>
      </c>
      <c r="AF2900" s="168">
        <v>0</v>
      </c>
      <c r="AG2900" s="168" t="str" cm="1">
        <f t="array" ref="AG2900">IF(AF2900="","",_xlfn.TEXTSPLIT(AF2900,"-"))</f>
        <v>0</v>
      </c>
      <c r="AH2900" s="168"/>
    </row>
    <row r="2901" spans="26:34" ht="24" customHeight="1">
      <c r="Z2901"/>
      <c r="AA2901"/>
      <c r="AB2901"/>
      <c r="AC2901"/>
      <c r="AD2901"/>
      <c r="AE2901" s="168" t="str">
        <f t="shared" si="45"/>
        <v/>
      </c>
      <c r="AF2901" s="168">
        <v>0</v>
      </c>
      <c r="AG2901" s="168" t="str" cm="1">
        <f t="array" ref="AG2901">IF(AF2901="","",_xlfn.TEXTSPLIT(AF2901,"-"))</f>
        <v>0</v>
      </c>
      <c r="AH2901" s="168"/>
    </row>
    <row r="2902" spans="26:34" ht="24" customHeight="1">
      <c r="Z2902"/>
      <c r="AA2902"/>
      <c r="AB2902"/>
      <c r="AC2902"/>
      <c r="AD2902"/>
      <c r="AE2902" s="168" t="str">
        <f t="shared" si="45"/>
        <v/>
      </c>
      <c r="AF2902" s="168">
        <v>0</v>
      </c>
      <c r="AG2902" s="168" t="str" cm="1">
        <f t="array" ref="AG2902">IF(AF2902="","",_xlfn.TEXTSPLIT(AF2902,"-"))</f>
        <v>0</v>
      </c>
      <c r="AH2902" s="168"/>
    </row>
    <row r="2903" spans="26:34" ht="24" customHeight="1">
      <c r="Z2903"/>
      <c r="AA2903"/>
      <c r="AB2903"/>
      <c r="AC2903"/>
      <c r="AD2903"/>
      <c r="AE2903" s="168" t="str">
        <f t="shared" si="45"/>
        <v/>
      </c>
      <c r="AF2903" s="168">
        <v>0</v>
      </c>
      <c r="AG2903" s="168" t="str" cm="1">
        <f t="array" ref="AG2903">IF(AF2903="","",_xlfn.TEXTSPLIT(AF2903,"-"))</f>
        <v>0</v>
      </c>
      <c r="AH2903" s="168"/>
    </row>
    <row r="2904" spans="26:34" ht="24" customHeight="1">
      <c r="Z2904"/>
      <c r="AA2904"/>
      <c r="AB2904"/>
      <c r="AC2904"/>
      <c r="AD2904"/>
      <c r="AE2904" s="168" t="str">
        <f t="shared" si="45"/>
        <v/>
      </c>
      <c r="AF2904" s="168">
        <v>0</v>
      </c>
      <c r="AG2904" s="168" t="str" cm="1">
        <f t="array" ref="AG2904">IF(AF2904="","",_xlfn.TEXTSPLIT(AF2904,"-"))</f>
        <v>0</v>
      </c>
      <c r="AH2904" s="168"/>
    </row>
    <row r="2905" spans="26:34" ht="24" customHeight="1">
      <c r="Z2905"/>
      <c r="AA2905"/>
      <c r="AB2905"/>
      <c r="AC2905"/>
      <c r="AD2905"/>
      <c r="AE2905" s="168" t="str">
        <f t="shared" si="45"/>
        <v/>
      </c>
      <c r="AF2905" s="168">
        <v>0</v>
      </c>
      <c r="AG2905" s="168" t="str" cm="1">
        <f t="array" ref="AG2905">IF(AF2905="","",_xlfn.TEXTSPLIT(AF2905,"-"))</f>
        <v>0</v>
      </c>
      <c r="AH2905" s="168"/>
    </row>
    <row r="2906" spans="26:34" ht="24" customHeight="1">
      <c r="Z2906"/>
      <c r="AA2906"/>
      <c r="AB2906"/>
      <c r="AC2906"/>
      <c r="AD2906"/>
      <c r="AE2906" s="168" t="str">
        <f t="shared" si="45"/>
        <v/>
      </c>
      <c r="AF2906" s="168">
        <v>0</v>
      </c>
      <c r="AG2906" s="168" t="str" cm="1">
        <f t="array" ref="AG2906">IF(AF2906="","",_xlfn.TEXTSPLIT(AF2906,"-"))</f>
        <v>0</v>
      </c>
      <c r="AH2906" s="168"/>
    </row>
    <row r="2907" spans="26:34" ht="24" customHeight="1">
      <c r="Z2907"/>
      <c r="AA2907"/>
      <c r="AB2907"/>
      <c r="AC2907"/>
      <c r="AD2907"/>
      <c r="AE2907" s="168" t="str">
        <f t="shared" si="45"/>
        <v/>
      </c>
      <c r="AF2907" s="168">
        <v>0</v>
      </c>
      <c r="AG2907" s="168" t="str" cm="1">
        <f t="array" ref="AG2907">IF(AF2907="","",_xlfn.TEXTSPLIT(AF2907,"-"))</f>
        <v>0</v>
      </c>
      <c r="AH2907" s="168"/>
    </row>
    <row r="2908" spans="26:34" ht="24" customHeight="1">
      <c r="Z2908"/>
      <c r="AA2908"/>
      <c r="AB2908"/>
      <c r="AC2908"/>
      <c r="AD2908"/>
      <c r="AE2908" s="168" t="str">
        <f t="shared" si="45"/>
        <v/>
      </c>
      <c r="AF2908" s="168">
        <v>0</v>
      </c>
      <c r="AG2908" s="168" t="str" cm="1">
        <f t="array" ref="AG2908">IF(AF2908="","",_xlfn.TEXTSPLIT(AF2908,"-"))</f>
        <v>0</v>
      </c>
      <c r="AH2908" s="168"/>
    </row>
    <row r="2909" spans="26:34" ht="24" customHeight="1">
      <c r="Z2909"/>
      <c r="AA2909"/>
      <c r="AB2909"/>
      <c r="AC2909"/>
      <c r="AD2909"/>
      <c r="AE2909" s="168" t="str">
        <f t="shared" si="45"/>
        <v/>
      </c>
      <c r="AF2909" s="168">
        <v>0</v>
      </c>
      <c r="AG2909" s="168" t="str" cm="1">
        <f t="array" ref="AG2909">IF(AF2909="","",_xlfn.TEXTSPLIT(AF2909,"-"))</f>
        <v>0</v>
      </c>
      <c r="AH2909" s="168"/>
    </row>
    <row r="2910" spans="26:34" ht="24" customHeight="1">
      <c r="Z2910"/>
      <c r="AA2910"/>
      <c r="AB2910"/>
      <c r="AC2910"/>
      <c r="AD2910"/>
      <c r="AE2910" s="168" t="str">
        <f t="shared" si="45"/>
        <v/>
      </c>
      <c r="AF2910" s="168">
        <v>0</v>
      </c>
      <c r="AG2910" s="168" t="str" cm="1">
        <f t="array" ref="AG2910">IF(AF2910="","",_xlfn.TEXTSPLIT(AF2910,"-"))</f>
        <v>0</v>
      </c>
      <c r="AH2910" s="168"/>
    </row>
    <row r="2911" spans="26:34" ht="24" customHeight="1">
      <c r="Z2911"/>
      <c r="AA2911"/>
      <c r="AB2911"/>
      <c r="AC2911"/>
      <c r="AD2911"/>
      <c r="AE2911" s="168" t="str">
        <f t="shared" si="45"/>
        <v/>
      </c>
      <c r="AF2911" s="168">
        <v>0</v>
      </c>
      <c r="AG2911" s="168" t="str" cm="1">
        <f t="array" ref="AG2911">IF(AF2911="","",_xlfn.TEXTSPLIT(AF2911,"-"))</f>
        <v>0</v>
      </c>
      <c r="AH2911" s="168"/>
    </row>
    <row r="2912" spans="26:34" ht="24" customHeight="1">
      <c r="Z2912"/>
      <c r="AA2912"/>
      <c r="AB2912"/>
      <c r="AC2912"/>
      <c r="AD2912"/>
      <c r="AE2912" s="168" t="str">
        <f t="shared" si="45"/>
        <v/>
      </c>
      <c r="AF2912" s="168">
        <v>0</v>
      </c>
      <c r="AG2912" s="168" t="str" cm="1">
        <f t="array" ref="AG2912">IF(AF2912="","",_xlfn.TEXTSPLIT(AF2912,"-"))</f>
        <v>0</v>
      </c>
      <c r="AH2912" s="168"/>
    </row>
    <row r="2913" spans="26:34" ht="24" customHeight="1">
      <c r="Z2913"/>
      <c r="AA2913"/>
      <c r="AB2913"/>
      <c r="AC2913"/>
      <c r="AD2913"/>
      <c r="AE2913" s="168" t="str">
        <f t="shared" si="45"/>
        <v/>
      </c>
      <c r="AF2913" s="168">
        <v>0</v>
      </c>
      <c r="AG2913" s="168" t="str" cm="1">
        <f t="array" ref="AG2913">IF(AF2913="","",_xlfn.TEXTSPLIT(AF2913,"-"))</f>
        <v>0</v>
      </c>
      <c r="AH2913" s="168"/>
    </row>
    <row r="2914" spans="26:34" ht="24" customHeight="1">
      <c r="Z2914"/>
      <c r="AA2914"/>
      <c r="AB2914"/>
      <c r="AC2914"/>
      <c r="AD2914"/>
      <c r="AE2914" s="168" t="str">
        <f t="shared" si="45"/>
        <v/>
      </c>
      <c r="AF2914" s="168">
        <v>0</v>
      </c>
      <c r="AG2914" s="168" t="str" cm="1">
        <f t="array" ref="AG2914">IF(AF2914="","",_xlfn.TEXTSPLIT(AF2914,"-"))</f>
        <v>0</v>
      </c>
      <c r="AH2914" s="168"/>
    </row>
    <row r="2915" spans="26:34" ht="24" customHeight="1">
      <c r="Z2915"/>
      <c r="AA2915"/>
      <c r="AB2915"/>
      <c r="AC2915"/>
      <c r="AD2915"/>
      <c r="AE2915" s="168" t="str">
        <f t="shared" si="45"/>
        <v/>
      </c>
      <c r="AF2915" s="168">
        <v>0</v>
      </c>
      <c r="AG2915" s="168" t="str" cm="1">
        <f t="array" ref="AG2915">IF(AF2915="","",_xlfn.TEXTSPLIT(AF2915,"-"))</f>
        <v>0</v>
      </c>
      <c r="AH2915" s="168"/>
    </row>
    <row r="2916" spans="26:34" ht="24" customHeight="1">
      <c r="Z2916"/>
      <c r="AA2916"/>
      <c r="AB2916"/>
      <c r="AC2916"/>
      <c r="AD2916"/>
      <c r="AE2916" s="168" t="str">
        <f t="shared" si="45"/>
        <v/>
      </c>
      <c r="AF2916" s="168">
        <v>0</v>
      </c>
      <c r="AG2916" s="168" t="str" cm="1">
        <f t="array" ref="AG2916">IF(AF2916="","",_xlfn.TEXTSPLIT(AF2916,"-"))</f>
        <v>0</v>
      </c>
      <c r="AH2916" s="168"/>
    </row>
    <row r="2917" spans="26:34" ht="24" customHeight="1">
      <c r="Z2917"/>
      <c r="AA2917"/>
      <c r="AB2917"/>
      <c r="AC2917"/>
      <c r="AD2917"/>
      <c r="AE2917" s="168" t="str">
        <f t="shared" si="45"/>
        <v/>
      </c>
      <c r="AF2917" s="168">
        <v>0</v>
      </c>
      <c r="AG2917" s="168" t="str" cm="1">
        <f t="array" ref="AG2917">IF(AF2917="","",_xlfn.TEXTSPLIT(AF2917,"-"))</f>
        <v>0</v>
      </c>
      <c r="AH2917" s="168"/>
    </row>
    <row r="2918" spans="26:34" ht="24" customHeight="1">
      <c r="Z2918"/>
      <c r="AA2918"/>
      <c r="AB2918"/>
      <c r="AC2918"/>
      <c r="AD2918"/>
      <c r="AE2918" s="168" t="str">
        <f t="shared" si="45"/>
        <v/>
      </c>
      <c r="AF2918" s="168">
        <v>0</v>
      </c>
      <c r="AG2918" s="168" t="str" cm="1">
        <f t="array" ref="AG2918">IF(AF2918="","",_xlfn.TEXTSPLIT(AF2918,"-"))</f>
        <v>0</v>
      </c>
      <c r="AH2918" s="168"/>
    </row>
    <row r="2919" spans="26:34" ht="24" customHeight="1">
      <c r="Z2919"/>
      <c r="AA2919"/>
      <c r="AB2919"/>
      <c r="AC2919"/>
      <c r="AD2919"/>
      <c r="AE2919" s="168" t="str">
        <f t="shared" si="45"/>
        <v/>
      </c>
      <c r="AF2919" s="168">
        <v>0</v>
      </c>
      <c r="AG2919" s="168" t="str" cm="1">
        <f t="array" ref="AG2919">IF(AF2919="","",_xlfn.TEXTSPLIT(AF2919,"-"))</f>
        <v>0</v>
      </c>
      <c r="AH2919" s="168"/>
    </row>
    <row r="2920" spans="26:34" ht="24" customHeight="1">
      <c r="Z2920"/>
      <c r="AA2920"/>
      <c r="AB2920"/>
      <c r="AC2920"/>
      <c r="AD2920"/>
      <c r="AE2920" s="168" t="str">
        <f t="shared" si="45"/>
        <v/>
      </c>
      <c r="AF2920" s="168">
        <v>0</v>
      </c>
      <c r="AG2920" s="168" t="str" cm="1">
        <f t="array" ref="AG2920">IF(AF2920="","",_xlfn.TEXTSPLIT(AF2920,"-"))</f>
        <v>0</v>
      </c>
      <c r="AH2920" s="168"/>
    </row>
    <row r="2921" spans="26:34" ht="24" customHeight="1">
      <c r="Z2921"/>
      <c r="AA2921"/>
      <c r="AB2921"/>
      <c r="AC2921"/>
      <c r="AD2921"/>
      <c r="AE2921" s="168" t="str">
        <f t="shared" si="45"/>
        <v/>
      </c>
      <c r="AF2921" s="168">
        <v>0</v>
      </c>
      <c r="AG2921" s="168" t="str" cm="1">
        <f t="array" ref="AG2921">IF(AF2921="","",_xlfn.TEXTSPLIT(AF2921,"-"))</f>
        <v>0</v>
      </c>
      <c r="AH2921" s="168"/>
    </row>
    <row r="2922" spans="26:34" ht="24" customHeight="1">
      <c r="Z2922"/>
      <c r="AA2922"/>
      <c r="AB2922"/>
      <c r="AC2922"/>
      <c r="AD2922"/>
      <c r="AE2922" s="168" t="str">
        <f t="shared" si="45"/>
        <v/>
      </c>
      <c r="AF2922" s="168">
        <v>0</v>
      </c>
      <c r="AG2922" s="168" t="str" cm="1">
        <f t="array" ref="AG2922">IF(AF2922="","",_xlfn.TEXTSPLIT(AF2922,"-"))</f>
        <v>0</v>
      </c>
      <c r="AH2922" s="168"/>
    </row>
    <row r="2923" spans="26:34" ht="24" customHeight="1">
      <c r="Z2923"/>
      <c r="AA2923"/>
      <c r="AB2923"/>
      <c r="AC2923"/>
      <c r="AD2923"/>
      <c r="AE2923" s="168" t="str">
        <f t="shared" si="45"/>
        <v/>
      </c>
      <c r="AF2923" s="168">
        <v>0</v>
      </c>
      <c r="AG2923" s="168" t="str" cm="1">
        <f t="array" ref="AG2923">IF(AF2923="","",_xlfn.TEXTSPLIT(AF2923,"-"))</f>
        <v>0</v>
      </c>
      <c r="AH2923" s="168"/>
    </row>
    <row r="2924" spans="26:34" ht="24" customHeight="1">
      <c r="Z2924"/>
      <c r="AA2924"/>
      <c r="AB2924"/>
      <c r="AC2924"/>
      <c r="AD2924"/>
      <c r="AE2924" s="168" t="str">
        <f t="shared" si="45"/>
        <v/>
      </c>
      <c r="AF2924" s="168">
        <v>0</v>
      </c>
      <c r="AG2924" s="168" t="str" cm="1">
        <f t="array" ref="AG2924">IF(AF2924="","",_xlfn.TEXTSPLIT(AF2924,"-"))</f>
        <v>0</v>
      </c>
      <c r="AH2924" s="168"/>
    </row>
    <row r="2925" spans="26:34" ht="24" customHeight="1">
      <c r="Z2925"/>
      <c r="AA2925"/>
      <c r="AB2925"/>
      <c r="AC2925"/>
      <c r="AD2925"/>
      <c r="AE2925" s="168" t="str">
        <f t="shared" si="45"/>
        <v/>
      </c>
      <c r="AF2925" s="168">
        <v>0</v>
      </c>
      <c r="AG2925" s="168" t="str" cm="1">
        <f t="array" ref="AG2925">IF(AF2925="","",_xlfn.TEXTSPLIT(AF2925,"-"))</f>
        <v>0</v>
      </c>
      <c r="AH2925" s="168"/>
    </row>
    <row r="2926" spans="26:34" ht="24" customHeight="1">
      <c r="Z2926"/>
      <c r="AA2926"/>
      <c r="AB2926"/>
      <c r="AC2926"/>
      <c r="AD2926"/>
      <c r="AE2926" s="168" t="str">
        <f t="shared" si="45"/>
        <v/>
      </c>
      <c r="AF2926" s="168">
        <v>0</v>
      </c>
      <c r="AG2926" s="168" t="str" cm="1">
        <f t="array" ref="AG2926">IF(AF2926="","",_xlfn.TEXTSPLIT(AF2926,"-"))</f>
        <v>0</v>
      </c>
      <c r="AH2926" s="168"/>
    </row>
    <row r="2927" spans="26:34" ht="24" customHeight="1">
      <c r="Z2927"/>
      <c r="AA2927"/>
      <c r="AB2927"/>
      <c r="AC2927"/>
      <c r="AD2927"/>
      <c r="AE2927" s="168" t="str">
        <f t="shared" si="45"/>
        <v/>
      </c>
      <c r="AF2927" s="168">
        <v>0</v>
      </c>
      <c r="AG2927" s="168" t="str" cm="1">
        <f t="array" ref="AG2927">IF(AF2927="","",_xlfn.TEXTSPLIT(AF2927,"-"))</f>
        <v>0</v>
      </c>
      <c r="AH2927" s="168"/>
    </row>
    <row r="2928" spans="26:34" ht="24" customHeight="1">
      <c r="Z2928"/>
      <c r="AA2928"/>
      <c r="AB2928"/>
      <c r="AC2928"/>
      <c r="AD2928"/>
      <c r="AE2928" s="168" t="str">
        <f t="shared" si="45"/>
        <v/>
      </c>
      <c r="AF2928" s="168">
        <v>0</v>
      </c>
      <c r="AG2928" s="168" t="str" cm="1">
        <f t="array" ref="AG2928">IF(AF2928="","",_xlfn.TEXTSPLIT(AF2928,"-"))</f>
        <v>0</v>
      </c>
      <c r="AH2928" s="168"/>
    </row>
    <row r="2929" spans="26:34" ht="24" customHeight="1">
      <c r="Z2929"/>
      <c r="AA2929"/>
      <c r="AB2929"/>
      <c r="AC2929"/>
      <c r="AD2929"/>
      <c r="AE2929" s="168" t="str">
        <f t="shared" si="45"/>
        <v/>
      </c>
      <c r="AF2929" s="168">
        <v>0</v>
      </c>
      <c r="AG2929" s="168" t="str" cm="1">
        <f t="array" ref="AG2929">IF(AF2929="","",_xlfn.TEXTSPLIT(AF2929,"-"))</f>
        <v>0</v>
      </c>
      <c r="AH2929" s="168"/>
    </row>
    <row r="2930" spans="26:34" ht="24" customHeight="1">
      <c r="Z2930"/>
      <c r="AA2930"/>
      <c r="AB2930"/>
      <c r="AC2930"/>
      <c r="AD2930"/>
      <c r="AE2930" s="168" t="str">
        <f t="shared" si="45"/>
        <v/>
      </c>
      <c r="AF2930" s="168">
        <v>0</v>
      </c>
      <c r="AG2930" s="168" t="str" cm="1">
        <f t="array" ref="AG2930">IF(AF2930="","",_xlfn.TEXTSPLIT(AF2930,"-"))</f>
        <v>0</v>
      </c>
      <c r="AH2930" s="168"/>
    </row>
    <row r="2931" spans="26:34" ht="24" customHeight="1">
      <c r="Z2931"/>
      <c r="AA2931"/>
      <c r="AB2931"/>
      <c r="AC2931"/>
      <c r="AD2931"/>
      <c r="AE2931" s="168" t="str">
        <f t="shared" si="45"/>
        <v/>
      </c>
      <c r="AF2931" s="168">
        <v>0</v>
      </c>
      <c r="AG2931" s="168" t="str" cm="1">
        <f t="array" ref="AG2931">IF(AF2931="","",_xlfn.TEXTSPLIT(AF2931,"-"))</f>
        <v>0</v>
      </c>
      <c r="AH2931" s="168"/>
    </row>
    <row r="2932" spans="26:34" ht="24" customHeight="1">
      <c r="Z2932"/>
      <c r="AA2932"/>
      <c r="AB2932"/>
      <c r="AC2932"/>
      <c r="AD2932"/>
      <c r="AE2932" s="168" t="str">
        <f t="shared" si="45"/>
        <v/>
      </c>
      <c r="AF2932" s="168">
        <v>0</v>
      </c>
      <c r="AG2932" s="168" t="str" cm="1">
        <f t="array" ref="AG2932">IF(AF2932="","",_xlfn.TEXTSPLIT(AF2932,"-"))</f>
        <v>0</v>
      </c>
      <c r="AH2932" s="168"/>
    </row>
    <row r="2933" spans="26:34" ht="24" customHeight="1">
      <c r="Z2933"/>
      <c r="AA2933"/>
      <c r="AB2933"/>
      <c r="AC2933"/>
      <c r="AD2933"/>
      <c r="AE2933" s="168" t="str">
        <f t="shared" si="45"/>
        <v/>
      </c>
      <c r="AF2933" s="168">
        <v>0</v>
      </c>
      <c r="AG2933" s="168" t="str" cm="1">
        <f t="array" ref="AG2933">IF(AF2933="","",_xlfn.TEXTSPLIT(AF2933,"-"))</f>
        <v>0</v>
      </c>
      <c r="AH2933" s="168"/>
    </row>
    <row r="2934" spans="26:34" ht="24" customHeight="1">
      <c r="Z2934"/>
      <c r="AA2934"/>
      <c r="AB2934"/>
      <c r="AC2934"/>
      <c r="AD2934"/>
      <c r="AE2934" s="168" t="str">
        <f t="shared" si="45"/>
        <v/>
      </c>
      <c r="AF2934" s="168">
        <v>0</v>
      </c>
      <c r="AG2934" s="168" t="str" cm="1">
        <f t="array" ref="AG2934">IF(AF2934="","",_xlfn.TEXTSPLIT(AF2934,"-"))</f>
        <v>0</v>
      </c>
      <c r="AH2934" s="168"/>
    </row>
    <row r="2935" spans="26:34" ht="24" customHeight="1">
      <c r="Z2935"/>
      <c r="AA2935"/>
      <c r="AB2935"/>
      <c r="AC2935"/>
      <c r="AD2935"/>
      <c r="AE2935" s="168" t="str">
        <f t="shared" si="45"/>
        <v/>
      </c>
      <c r="AF2935" s="168">
        <v>0</v>
      </c>
      <c r="AG2935" s="168" t="str" cm="1">
        <f t="array" ref="AG2935">IF(AF2935="","",_xlfn.TEXTSPLIT(AF2935,"-"))</f>
        <v>0</v>
      </c>
      <c r="AH2935" s="168"/>
    </row>
    <row r="2936" spans="26:34" ht="24" customHeight="1">
      <c r="Z2936"/>
      <c r="AA2936"/>
      <c r="AB2936"/>
      <c r="AC2936"/>
      <c r="AD2936"/>
      <c r="AE2936" s="168" t="str">
        <f t="shared" si="45"/>
        <v/>
      </c>
      <c r="AF2936" s="168">
        <v>0</v>
      </c>
      <c r="AG2936" s="168" t="str" cm="1">
        <f t="array" ref="AG2936">IF(AF2936="","",_xlfn.TEXTSPLIT(AF2936,"-"))</f>
        <v>0</v>
      </c>
      <c r="AH2936" s="168"/>
    </row>
    <row r="2937" spans="26:34" ht="24" customHeight="1">
      <c r="Z2937"/>
      <c r="AA2937"/>
      <c r="AB2937"/>
      <c r="AC2937"/>
      <c r="AD2937"/>
      <c r="AE2937" s="168" t="str">
        <f t="shared" si="45"/>
        <v/>
      </c>
      <c r="AF2937" s="168">
        <v>0</v>
      </c>
      <c r="AG2937" s="168" t="str" cm="1">
        <f t="array" ref="AG2937">IF(AF2937="","",_xlfn.TEXTSPLIT(AF2937,"-"))</f>
        <v>0</v>
      </c>
      <c r="AH2937" s="168"/>
    </row>
    <row r="2938" spans="26:34" ht="24" customHeight="1">
      <c r="Z2938"/>
      <c r="AA2938"/>
      <c r="AB2938"/>
      <c r="AC2938"/>
      <c r="AD2938"/>
      <c r="AE2938" s="168" t="str">
        <f t="shared" si="45"/>
        <v/>
      </c>
      <c r="AF2938" s="168">
        <v>0</v>
      </c>
      <c r="AG2938" s="168" t="str" cm="1">
        <f t="array" ref="AG2938">IF(AF2938="","",_xlfn.TEXTSPLIT(AF2938,"-"))</f>
        <v>0</v>
      </c>
      <c r="AH2938" s="168"/>
    </row>
    <row r="2939" spans="26:34" ht="24" customHeight="1">
      <c r="Z2939"/>
      <c r="AA2939"/>
      <c r="AB2939"/>
      <c r="AC2939"/>
      <c r="AD2939"/>
      <c r="AE2939" s="168" t="str">
        <f t="shared" si="45"/>
        <v/>
      </c>
      <c r="AF2939" s="168">
        <v>0</v>
      </c>
      <c r="AG2939" s="168" t="str" cm="1">
        <f t="array" ref="AG2939">IF(AF2939="","",_xlfn.TEXTSPLIT(AF2939,"-"))</f>
        <v>0</v>
      </c>
      <c r="AH2939" s="168"/>
    </row>
    <row r="2940" spans="26:34" ht="24" customHeight="1">
      <c r="Z2940"/>
      <c r="AA2940"/>
      <c r="AB2940"/>
      <c r="AC2940"/>
      <c r="AD2940"/>
      <c r="AE2940" s="168" t="str">
        <f t="shared" si="45"/>
        <v/>
      </c>
      <c r="AF2940" s="168">
        <v>0</v>
      </c>
      <c r="AG2940" s="168" t="str" cm="1">
        <f t="array" ref="AG2940">IF(AF2940="","",_xlfn.TEXTSPLIT(AF2940,"-"))</f>
        <v>0</v>
      </c>
      <c r="AH2940" s="168"/>
    </row>
    <row r="2941" spans="26:34" ht="24" customHeight="1">
      <c r="Z2941"/>
      <c r="AA2941"/>
      <c r="AB2941"/>
      <c r="AC2941"/>
      <c r="AD2941"/>
      <c r="AE2941" s="168" t="str">
        <f t="shared" si="45"/>
        <v/>
      </c>
      <c r="AF2941" s="168">
        <v>0</v>
      </c>
      <c r="AG2941" s="168" t="str" cm="1">
        <f t="array" ref="AG2941">IF(AF2941="","",_xlfn.TEXTSPLIT(AF2941,"-"))</f>
        <v>0</v>
      </c>
      <c r="AH2941" s="168"/>
    </row>
    <row r="2942" spans="26:34" ht="24" customHeight="1">
      <c r="Z2942"/>
      <c r="AA2942"/>
      <c r="AB2942"/>
      <c r="AC2942"/>
      <c r="AD2942"/>
      <c r="AE2942" s="168" t="str">
        <f t="shared" si="45"/>
        <v/>
      </c>
      <c r="AF2942" s="168">
        <v>0</v>
      </c>
      <c r="AG2942" s="168" t="str" cm="1">
        <f t="array" ref="AG2942">IF(AF2942="","",_xlfn.TEXTSPLIT(AF2942,"-"))</f>
        <v>0</v>
      </c>
      <c r="AH2942" s="168"/>
    </row>
    <row r="2943" spans="26:34" ht="24" customHeight="1">
      <c r="Z2943"/>
      <c r="AA2943"/>
      <c r="AB2943"/>
      <c r="AC2943"/>
      <c r="AD2943"/>
      <c r="AE2943" s="168" t="str">
        <f t="shared" si="45"/>
        <v/>
      </c>
      <c r="AF2943" s="168">
        <v>0</v>
      </c>
      <c r="AG2943" s="168" t="str" cm="1">
        <f t="array" ref="AG2943">IF(AF2943="","",_xlfn.TEXTSPLIT(AF2943,"-"))</f>
        <v>0</v>
      </c>
      <c r="AH2943" s="168"/>
    </row>
    <row r="2944" spans="26:34" ht="24" customHeight="1">
      <c r="Z2944"/>
      <c r="AA2944"/>
      <c r="AB2944"/>
      <c r="AC2944"/>
      <c r="AD2944"/>
      <c r="AE2944" s="168" t="str">
        <f t="shared" si="45"/>
        <v/>
      </c>
      <c r="AF2944" s="168">
        <v>0</v>
      </c>
      <c r="AG2944" s="168" t="str" cm="1">
        <f t="array" ref="AG2944">IF(AF2944="","",_xlfn.TEXTSPLIT(AF2944,"-"))</f>
        <v>0</v>
      </c>
      <c r="AH2944" s="168"/>
    </row>
    <row r="2945" spans="26:34" ht="24" customHeight="1">
      <c r="Z2945"/>
      <c r="AA2945"/>
      <c r="AB2945"/>
      <c r="AC2945"/>
      <c r="AD2945"/>
      <c r="AE2945" s="168" t="str">
        <f t="shared" si="45"/>
        <v/>
      </c>
      <c r="AF2945" s="168">
        <v>0</v>
      </c>
      <c r="AG2945" s="168" t="str" cm="1">
        <f t="array" ref="AG2945">IF(AF2945="","",_xlfn.TEXTSPLIT(AF2945,"-"))</f>
        <v>0</v>
      </c>
      <c r="AH2945" s="168"/>
    </row>
    <row r="2946" spans="26:34" ht="24" customHeight="1">
      <c r="Z2946"/>
      <c r="AA2946"/>
      <c r="AB2946"/>
      <c r="AC2946"/>
      <c r="AD2946"/>
      <c r="AE2946" s="168" t="str">
        <f t="shared" si="45"/>
        <v/>
      </c>
      <c r="AF2946" s="168">
        <v>0</v>
      </c>
      <c r="AG2946" s="168" t="str" cm="1">
        <f t="array" ref="AG2946">IF(AF2946="","",_xlfn.TEXTSPLIT(AF2946,"-"))</f>
        <v>0</v>
      </c>
      <c r="AH2946" s="168"/>
    </row>
    <row r="2947" spans="26:34" ht="24" customHeight="1">
      <c r="Z2947"/>
      <c r="AA2947"/>
      <c r="AB2947"/>
      <c r="AC2947"/>
      <c r="AD2947"/>
      <c r="AE2947" s="168" t="str">
        <f t="shared" si="45"/>
        <v/>
      </c>
      <c r="AF2947" s="168">
        <v>0</v>
      </c>
      <c r="AG2947" s="168" t="str" cm="1">
        <f t="array" ref="AG2947">IF(AF2947="","",_xlfn.TEXTSPLIT(AF2947,"-"))</f>
        <v>0</v>
      </c>
      <c r="AH2947" s="168"/>
    </row>
    <row r="2948" spans="26:34" ht="24" customHeight="1">
      <c r="Z2948"/>
      <c r="AA2948"/>
      <c r="AB2948"/>
      <c r="AC2948"/>
      <c r="AD2948"/>
      <c r="AE2948" s="168" t="str">
        <f t="shared" si="45"/>
        <v/>
      </c>
      <c r="AF2948" s="168">
        <v>0</v>
      </c>
      <c r="AG2948" s="168" t="str" cm="1">
        <f t="array" ref="AG2948">IF(AF2948="","",_xlfn.TEXTSPLIT(AF2948,"-"))</f>
        <v>0</v>
      </c>
      <c r="AH2948" s="168"/>
    </row>
    <row r="2949" spans="26:34" ht="24" customHeight="1">
      <c r="Z2949"/>
      <c r="AA2949"/>
      <c r="AB2949"/>
      <c r="AC2949"/>
      <c r="AD2949"/>
      <c r="AE2949" s="168" t="str">
        <f t="shared" ref="AE2949:AE3012" si="46">IF(AH2949="","",AH2949*1)</f>
        <v/>
      </c>
      <c r="AF2949" s="168">
        <v>0</v>
      </c>
      <c r="AG2949" s="168" t="str" cm="1">
        <f t="array" ref="AG2949">IF(AF2949="","",_xlfn.TEXTSPLIT(AF2949,"-"))</f>
        <v>0</v>
      </c>
      <c r="AH2949" s="168"/>
    </row>
    <row r="2950" spans="26:34" ht="24" customHeight="1">
      <c r="Z2950"/>
      <c r="AA2950"/>
      <c r="AB2950"/>
      <c r="AC2950"/>
      <c r="AD2950"/>
      <c r="AE2950" s="168" t="str">
        <f t="shared" si="46"/>
        <v/>
      </c>
      <c r="AF2950" s="168">
        <v>0</v>
      </c>
      <c r="AG2950" s="168" t="str" cm="1">
        <f t="array" ref="AG2950">IF(AF2950="","",_xlfn.TEXTSPLIT(AF2950,"-"))</f>
        <v>0</v>
      </c>
      <c r="AH2950" s="168"/>
    </row>
    <row r="2951" spans="26:34" ht="24" customHeight="1">
      <c r="Z2951"/>
      <c r="AA2951"/>
      <c r="AB2951"/>
      <c r="AC2951"/>
      <c r="AD2951"/>
      <c r="AE2951" s="168" t="str">
        <f t="shared" si="46"/>
        <v/>
      </c>
      <c r="AF2951" s="168">
        <v>0</v>
      </c>
      <c r="AG2951" s="168" t="str" cm="1">
        <f t="array" ref="AG2951">IF(AF2951="","",_xlfn.TEXTSPLIT(AF2951,"-"))</f>
        <v>0</v>
      </c>
      <c r="AH2951" s="168"/>
    </row>
    <row r="2952" spans="26:34" ht="24" customHeight="1">
      <c r="Z2952"/>
      <c r="AA2952"/>
      <c r="AB2952"/>
      <c r="AC2952"/>
      <c r="AD2952"/>
      <c r="AE2952" s="168" t="str">
        <f t="shared" si="46"/>
        <v/>
      </c>
      <c r="AF2952" s="168">
        <v>0</v>
      </c>
      <c r="AG2952" s="168" t="str" cm="1">
        <f t="array" ref="AG2952">IF(AF2952="","",_xlfn.TEXTSPLIT(AF2952,"-"))</f>
        <v>0</v>
      </c>
      <c r="AH2952" s="168"/>
    </row>
    <row r="2953" spans="26:34" ht="24" customHeight="1">
      <c r="Z2953"/>
      <c r="AA2953"/>
      <c r="AB2953"/>
      <c r="AC2953"/>
      <c r="AD2953"/>
      <c r="AE2953" s="168" t="str">
        <f t="shared" si="46"/>
        <v/>
      </c>
      <c r="AF2953" s="168">
        <v>0</v>
      </c>
      <c r="AG2953" s="168" t="str" cm="1">
        <f t="array" ref="AG2953">IF(AF2953="","",_xlfn.TEXTSPLIT(AF2953,"-"))</f>
        <v>0</v>
      </c>
      <c r="AH2953" s="168"/>
    </row>
    <row r="2954" spans="26:34" ht="24" customHeight="1">
      <c r="Z2954"/>
      <c r="AA2954"/>
      <c r="AB2954"/>
      <c r="AC2954"/>
      <c r="AD2954"/>
      <c r="AE2954" s="168" t="str">
        <f t="shared" si="46"/>
        <v/>
      </c>
      <c r="AF2954" s="168">
        <v>0</v>
      </c>
      <c r="AG2954" s="168" t="str" cm="1">
        <f t="array" ref="AG2954">IF(AF2954="","",_xlfn.TEXTSPLIT(AF2954,"-"))</f>
        <v>0</v>
      </c>
      <c r="AH2954" s="168"/>
    </row>
    <row r="2955" spans="26:34" ht="24" customHeight="1">
      <c r="Z2955"/>
      <c r="AA2955"/>
      <c r="AB2955"/>
      <c r="AC2955"/>
      <c r="AD2955"/>
      <c r="AE2955" s="168" t="str">
        <f t="shared" si="46"/>
        <v/>
      </c>
      <c r="AF2955" s="168">
        <v>0</v>
      </c>
      <c r="AG2955" s="168" t="str" cm="1">
        <f t="array" ref="AG2955">IF(AF2955="","",_xlfn.TEXTSPLIT(AF2955,"-"))</f>
        <v>0</v>
      </c>
      <c r="AH2955" s="168"/>
    </row>
    <row r="2956" spans="26:34" ht="24" customHeight="1">
      <c r="Z2956"/>
      <c r="AA2956"/>
      <c r="AB2956"/>
      <c r="AC2956"/>
      <c r="AD2956"/>
      <c r="AE2956" s="168" t="str">
        <f t="shared" si="46"/>
        <v/>
      </c>
      <c r="AF2956" s="168">
        <v>0</v>
      </c>
      <c r="AG2956" s="168" t="str" cm="1">
        <f t="array" ref="AG2956">IF(AF2956="","",_xlfn.TEXTSPLIT(AF2956,"-"))</f>
        <v>0</v>
      </c>
      <c r="AH2956" s="168"/>
    </row>
    <row r="2957" spans="26:34" ht="24" customHeight="1">
      <c r="Z2957"/>
      <c r="AA2957"/>
      <c r="AB2957"/>
      <c r="AC2957"/>
      <c r="AD2957"/>
      <c r="AE2957" s="168" t="str">
        <f t="shared" si="46"/>
        <v/>
      </c>
      <c r="AF2957" s="168">
        <v>0</v>
      </c>
      <c r="AG2957" s="168" t="str" cm="1">
        <f t="array" ref="AG2957">IF(AF2957="","",_xlfn.TEXTSPLIT(AF2957,"-"))</f>
        <v>0</v>
      </c>
      <c r="AH2957" s="168"/>
    </row>
    <row r="2958" spans="26:34" ht="24" customHeight="1">
      <c r="Z2958"/>
      <c r="AA2958"/>
      <c r="AB2958"/>
      <c r="AC2958"/>
      <c r="AD2958"/>
      <c r="AE2958" s="168" t="str">
        <f t="shared" si="46"/>
        <v/>
      </c>
      <c r="AF2958" s="168">
        <v>0</v>
      </c>
      <c r="AG2958" s="168" t="str" cm="1">
        <f t="array" ref="AG2958">IF(AF2958="","",_xlfn.TEXTSPLIT(AF2958,"-"))</f>
        <v>0</v>
      </c>
      <c r="AH2958" s="168"/>
    </row>
    <row r="2959" spans="26:34" ht="24" customHeight="1">
      <c r="Z2959"/>
      <c r="AA2959"/>
      <c r="AB2959"/>
      <c r="AC2959"/>
      <c r="AD2959"/>
      <c r="AE2959" s="168" t="str">
        <f t="shared" si="46"/>
        <v/>
      </c>
      <c r="AF2959" s="168">
        <v>0</v>
      </c>
      <c r="AG2959" s="168" t="str" cm="1">
        <f t="array" ref="AG2959">IF(AF2959="","",_xlfn.TEXTSPLIT(AF2959,"-"))</f>
        <v>0</v>
      </c>
      <c r="AH2959" s="168"/>
    </row>
    <row r="2960" spans="26:34" ht="24" customHeight="1">
      <c r="Z2960"/>
      <c r="AA2960"/>
      <c r="AB2960"/>
      <c r="AC2960"/>
      <c r="AD2960"/>
      <c r="AE2960" s="168" t="str">
        <f t="shared" si="46"/>
        <v/>
      </c>
      <c r="AF2960" s="168">
        <v>0</v>
      </c>
      <c r="AG2960" s="168" t="str" cm="1">
        <f t="array" ref="AG2960">IF(AF2960="","",_xlfn.TEXTSPLIT(AF2960,"-"))</f>
        <v>0</v>
      </c>
      <c r="AH2960" s="168"/>
    </row>
    <row r="2961" spans="26:34" ht="24" customHeight="1">
      <c r="Z2961"/>
      <c r="AA2961"/>
      <c r="AB2961"/>
      <c r="AC2961"/>
      <c r="AD2961"/>
      <c r="AE2961" s="168" t="str">
        <f t="shared" si="46"/>
        <v/>
      </c>
      <c r="AF2961" s="168">
        <v>0</v>
      </c>
      <c r="AG2961" s="168" t="str" cm="1">
        <f t="array" ref="AG2961">IF(AF2961="","",_xlfn.TEXTSPLIT(AF2961,"-"))</f>
        <v>0</v>
      </c>
      <c r="AH2961" s="168"/>
    </row>
    <row r="2962" spans="26:34" ht="24" customHeight="1">
      <c r="Z2962"/>
      <c r="AA2962"/>
      <c r="AB2962"/>
      <c r="AC2962"/>
      <c r="AD2962"/>
      <c r="AE2962" s="168" t="str">
        <f t="shared" si="46"/>
        <v/>
      </c>
      <c r="AF2962" s="168">
        <v>0</v>
      </c>
      <c r="AG2962" s="168" t="str" cm="1">
        <f t="array" ref="AG2962">IF(AF2962="","",_xlfn.TEXTSPLIT(AF2962,"-"))</f>
        <v>0</v>
      </c>
      <c r="AH2962" s="168"/>
    </row>
    <row r="2963" spans="26:34" ht="24" customHeight="1">
      <c r="Z2963"/>
      <c r="AA2963"/>
      <c r="AB2963"/>
      <c r="AC2963"/>
      <c r="AD2963"/>
      <c r="AE2963" s="168" t="str">
        <f t="shared" si="46"/>
        <v/>
      </c>
      <c r="AF2963" s="168">
        <v>0</v>
      </c>
      <c r="AG2963" s="168" t="str" cm="1">
        <f t="array" ref="AG2963">IF(AF2963="","",_xlfn.TEXTSPLIT(AF2963,"-"))</f>
        <v>0</v>
      </c>
      <c r="AH2963" s="168"/>
    </row>
    <row r="2964" spans="26:34" ht="24" customHeight="1">
      <c r="Z2964"/>
      <c r="AA2964"/>
      <c r="AB2964"/>
      <c r="AC2964"/>
      <c r="AD2964"/>
      <c r="AE2964" s="168" t="str">
        <f t="shared" si="46"/>
        <v/>
      </c>
      <c r="AF2964" s="168">
        <v>0</v>
      </c>
      <c r="AG2964" s="168" t="str" cm="1">
        <f t="array" ref="AG2964">IF(AF2964="","",_xlfn.TEXTSPLIT(AF2964,"-"))</f>
        <v>0</v>
      </c>
      <c r="AH2964" s="168"/>
    </row>
    <row r="2965" spans="26:34" ht="24" customHeight="1">
      <c r="Z2965"/>
      <c r="AA2965"/>
      <c r="AB2965"/>
      <c r="AC2965"/>
      <c r="AD2965"/>
      <c r="AE2965" s="168" t="str">
        <f t="shared" si="46"/>
        <v/>
      </c>
      <c r="AF2965" s="168">
        <v>0</v>
      </c>
      <c r="AG2965" s="168" t="str" cm="1">
        <f t="array" ref="AG2965">IF(AF2965="","",_xlfn.TEXTSPLIT(AF2965,"-"))</f>
        <v>0</v>
      </c>
      <c r="AH2965" s="168"/>
    </row>
    <row r="2966" spans="26:34" ht="24" customHeight="1">
      <c r="Z2966"/>
      <c r="AA2966"/>
      <c r="AB2966"/>
      <c r="AC2966"/>
      <c r="AD2966"/>
      <c r="AE2966" s="168" t="str">
        <f t="shared" si="46"/>
        <v/>
      </c>
      <c r="AF2966" s="168">
        <v>0</v>
      </c>
      <c r="AG2966" s="168" t="str" cm="1">
        <f t="array" ref="AG2966">IF(AF2966="","",_xlfn.TEXTSPLIT(AF2966,"-"))</f>
        <v>0</v>
      </c>
      <c r="AH2966" s="168"/>
    </row>
    <row r="2967" spans="26:34" ht="24" customHeight="1">
      <c r="Z2967"/>
      <c r="AA2967"/>
      <c r="AB2967"/>
      <c r="AC2967"/>
      <c r="AD2967"/>
      <c r="AE2967" s="168" t="str">
        <f t="shared" si="46"/>
        <v/>
      </c>
      <c r="AF2967" s="168">
        <v>0</v>
      </c>
      <c r="AG2967" s="168" t="str" cm="1">
        <f t="array" ref="AG2967">IF(AF2967="","",_xlfn.TEXTSPLIT(AF2967,"-"))</f>
        <v>0</v>
      </c>
      <c r="AH2967" s="168"/>
    </row>
    <row r="2968" spans="26:34" ht="24" customHeight="1">
      <c r="Z2968"/>
      <c r="AA2968"/>
      <c r="AB2968"/>
      <c r="AC2968"/>
      <c r="AD2968"/>
      <c r="AE2968" s="168" t="str">
        <f t="shared" si="46"/>
        <v/>
      </c>
      <c r="AF2968" s="168">
        <v>0</v>
      </c>
      <c r="AG2968" s="168" t="str" cm="1">
        <f t="array" ref="AG2968">IF(AF2968="","",_xlfn.TEXTSPLIT(AF2968,"-"))</f>
        <v>0</v>
      </c>
      <c r="AH2968" s="168"/>
    </row>
    <row r="2969" spans="26:34" ht="24" customHeight="1">
      <c r="Z2969"/>
      <c r="AA2969"/>
      <c r="AB2969"/>
      <c r="AC2969"/>
      <c r="AD2969"/>
      <c r="AE2969" s="168" t="str">
        <f t="shared" si="46"/>
        <v/>
      </c>
      <c r="AF2969" s="168">
        <v>0</v>
      </c>
      <c r="AG2969" s="168" t="str" cm="1">
        <f t="array" ref="AG2969">IF(AF2969="","",_xlfn.TEXTSPLIT(AF2969,"-"))</f>
        <v>0</v>
      </c>
      <c r="AH2969" s="168"/>
    </row>
    <row r="2970" spans="26:34" ht="24" customHeight="1">
      <c r="Z2970"/>
      <c r="AA2970"/>
      <c r="AB2970"/>
      <c r="AC2970"/>
      <c r="AD2970"/>
      <c r="AE2970" s="168" t="str">
        <f t="shared" si="46"/>
        <v/>
      </c>
      <c r="AF2970" s="168">
        <v>0</v>
      </c>
      <c r="AG2970" s="168" t="str" cm="1">
        <f t="array" ref="AG2970">IF(AF2970="","",_xlfn.TEXTSPLIT(AF2970,"-"))</f>
        <v>0</v>
      </c>
      <c r="AH2970" s="168"/>
    </row>
    <row r="2971" spans="26:34" ht="24" customHeight="1">
      <c r="Z2971"/>
      <c r="AA2971"/>
      <c r="AB2971"/>
      <c r="AC2971"/>
      <c r="AD2971"/>
      <c r="AE2971" s="168" t="str">
        <f t="shared" si="46"/>
        <v/>
      </c>
      <c r="AF2971" s="168">
        <v>0</v>
      </c>
      <c r="AG2971" s="168" t="str" cm="1">
        <f t="array" ref="AG2971">IF(AF2971="","",_xlfn.TEXTSPLIT(AF2971,"-"))</f>
        <v>0</v>
      </c>
      <c r="AH2971" s="168"/>
    </row>
    <row r="2972" spans="26:34" ht="24" customHeight="1">
      <c r="Z2972"/>
      <c r="AA2972"/>
      <c r="AB2972"/>
      <c r="AC2972"/>
      <c r="AD2972"/>
      <c r="AE2972" s="168" t="str">
        <f t="shared" si="46"/>
        <v/>
      </c>
      <c r="AF2972" s="168">
        <v>0</v>
      </c>
      <c r="AG2972" s="168" t="str" cm="1">
        <f t="array" ref="AG2972">IF(AF2972="","",_xlfn.TEXTSPLIT(AF2972,"-"))</f>
        <v>0</v>
      </c>
      <c r="AH2972" s="168"/>
    </row>
    <row r="2973" spans="26:34" ht="24" customHeight="1">
      <c r="Z2973"/>
      <c r="AA2973"/>
      <c r="AB2973"/>
      <c r="AC2973"/>
      <c r="AD2973"/>
      <c r="AE2973" s="168" t="str">
        <f t="shared" si="46"/>
        <v/>
      </c>
      <c r="AF2973" s="168">
        <v>0</v>
      </c>
      <c r="AG2973" s="168" t="str" cm="1">
        <f t="array" ref="AG2973">IF(AF2973="","",_xlfn.TEXTSPLIT(AF2973,"-"))</f>
        <v>0</v>
      </c>
      <c r="AH2973" s="168"/>
    </row>
    <row r="2974" spans="26:34" ht="24" customHeight="1">
      <c r="Z2974"/>
      <c r="AA2974"/>
      <c r="AB2974"/>
      <c r="AC2974"/>
      <c r="AD2974"/>
      <c r="AE2974" s="168" t="str">
        <f t="shared" si="46"/>
        <v/>
      </c>
      <c r="AF2974" s="168">
        <v>0</v>
      </c>
      <c r="AG2974" s="168" t="str" cm="1">
        <f t="array" ref="AG2974">IF(AF2974="","",_xlfn.TEXTSPLIT(AF2974,"-"))</f>
        <v>0</v>
      </c>
      <c r="AH2974" s="168"/>
    </row>
    <row r="2975" spans="26:34" ht="24" customHeight="1">
      <c r="Z2975"/>
      <c r="AA2975"/>
      <c r="AB2975"/>
      <c r="AC2975"/>
      <c r="AD2975"/>
      <c r="AE2975" s="168" t="str">
        <f t="shared" si="46"/>
        <v/>
      </c>
      <c r="AF2975" s="168">
        <v>0</v>
      </c>
      <c r="AG2975" s="168" t="str" cm="1">
        <f t="array" ref="AG2975">IF(AF2975="","",_xlfn.TEXTSPLIT(AF2975,"-"))</f>
        <v>0</v>
      </c>
      <c r="AH2975" s="168"/>
    </row>
    <row r="2976" spans="26:34" ht="24" customHeight="1">
      <c r="Z2976"/>
      <c r="AA2976"/>
      <c r="AB2976"/>
      <c r="AC2976"/>
      <c r="AD2976"/>
      <c r="AE2976" s="168" t="str">
        <f t="shared" si="46"/>
        <v/>
      </c>
      <c r="AF2976" s="168">
        <v>0</v>
      </c>
      <c r="AG2976" s="168" t="str" cm="1">
        <f t="array" ref="AG2976">IF(AF2976="","",_xlfn.TEXTSPLIT(AF2976,"-"))</f>
        <v>0</v>
      </c>
      <c r="AH2976" s="168"/>
    </row>
    <row r="2977" spans="26:34" ht="24" customHeight="1">
      <c r="Z2977"/>
      <c r="AA2977"/>
      <c r="AB2977"/>
      <c r="AC2977"/>
      <c r="AD2977"/>
      <c r="AE2977" s="168" t="str">
        <f t="shared" si="46"/>
        <v/>
      </c>
      <c r="AF2977" s="168">
        <v>0</v>
      </c>
      <c r="AG2977" s="168" t="str" cm="1">
        <f t="array" ref="AG2977">IF(AF2977="","",_xlfn.TEXTSPLIT(AF2977,"-"))</f>
        <v>0</v>
      </c>
      <c r="AH2977" s="168"/>
    </row>
    <row r="2978" spans="26:34" ht="24" customHeight="1">
      <c r="Z2978"/>
      <c r="AA2978"/>
      <c r="AB2978"/>
      <c r="AC2978"/>
      <c r="AD2978"/>
      <c r="AE2978" s="168" t="str">
        <f t="shared" si="46"/>
        <v/>
      </c>
      <c r="AF2978" s="168">
        <v>0</v>
      </c>
      <c r="AG2978" s="168" t="str" cm="1">
        <f t="array" ref="AG2978">IF(AF2978="","",_xlfn.TEXTSPLIT(AF2978,"-"))</f>
        <v>0</v>
      </c>
      <c r="AH2978" s="168"/>
    </row>
    <row r="2979" spans="26:34" ht="24" customHeight="1">
      <c r="Z2979"/>
      <c r="AA2979"/>
      <c r="AB2979"/>
      <c r="AC2979"/>
      <c r="AD2979"/>
      <c r="AE2979" s="168" t="str">
        <f t="shared" si="46"/>
        <v/>
      </c>
      <c r="AF2979" s="168">
        <v>0</v>
      </c>
      <c r="AG2979" s="168" t="str" cm="1">
        <f t="array" ref="AG2979">IF(AF2979="","",_xlfn.TEXTSPLIT(AF2979,"-"))</f>
        <v>0</v>
      </c>
      <c r="AH2979" s="168"/>
    </row>
    <row r="2980" spans="26:34" ht="24" customHeight="1">
      <c r="Z2980"/>
      <c r="AA2980"/>
      <c r="AB2980"/>
      <c r="AC2980"/>
      <c r="AD2980"/>
      <c r="AE2980" s="168" t="str">
        <f t="shared" si="46"/>
        <v/>
      </c>
      <c r="AF2980" s="168">
        <v>0</v>
      </c>
      <c r="AG2980" s="168" t="str" cm="1">
        <f t="array" ref="AG2980">IF(AF2980="","",_xlfn.TEXTSPLIT(AF2980,"-"))</f>
        <v>0</v>
      </c>
      <c r="AH2980" s="168"/>
    </row>
    <row r="2981" spans="26:34" ht="24" customHeight="1">
      <c r="Z2981"/>
      <c r="AA2981"/>
      <c r="AB2981"/>
      <c r="AC2981"/>
      <c r="AD2981"/>
      <c r="AE2981" s="168" t="str">
        <f t="shared" si="46"/>
        <v/>
      </c>
      <c r="AF2981" s="168">
        <v>0</v>
      </c>
      <c r="AG2981" s="168" t="str" cm="1">
        <f t="array" ref="AG2981">IF(AF2981="","",_xlfn.TEXTSPLIT(AF2981,"-"))</f>
        <v>0</v>
      </c>
      <c r="AH2981" s="168"/>
    </row>
    <row r="2982" spans="26:34" ht="24" customHeight="1">
      <c r="Z2982"/>
      <c r="AA2982"/>
      <c r="AB2982"/>
      <c r="AC2982"/>
      <c r="AD2982"/>
      <c r="AE2982" s="168" t="str">
        <f t="shared" si="46"/>
        <v/>
      </c>
      <c r="AF2982" s="168">
        <v>0</v>
      </c>
      <c r="AG2982" s="168" t="str" cm="1">
        <f t="array" ref="AG2982">IF(AF2982="","",_xlfn.TEXTSPLIT(AF2982,"-"))</f>
        <v>0</v>
      </c>
      <c r="AH2982" s="168"/>
    </row>
    <row r="2983" spans="26:34" ht="24" customHeight="1">
      <c r="Z2983"/>
      <c r="AA2983"/>
      <c r="AB2983"/>
      <c r="AC2983"/>
      <c r="AD2983"/>
      <c r="AE2983" s="168" t="str">
        <f t="shared" si="46"/>
        <v/>
      </c>
      <c r="AF2983" s="168">
        <v>0</v>
      </c>
      <c r="AG2983" s="168" t="str" cm="1">
        <f t="array" ref="AG2983">IF(AF2983="","",_xlfn.TEXTSPLIT(AF2983,"-"))</f>
        <v>0</v>
      </c>
      <c r="AH2983" s="168"/>
    </row>
    <row r="2984" spans="26:34" ht="24" customHeight="1">
      <c r="Z2984"/>
      <c r="AA2984"/>
      <c r="AB2984"/>
      <c r="AC2984"/>
      <c r="AD2984"/>
      <c r="AE2984" s="168" t="str">
        <f t="shared" si="46"/>
        <v/>
      </c>
      <c r="AF2984" s="168">
        <v>0</v>
      </c>
      <c r="AG2984" s="168" t="str" cm="1">
        <f t="array" ref="AG2984">IF(AF2984="","",_xlfn.TEXTSPLIT(AF2984,"-"))</f>
        <v>0</v>
      </c>
      <c r="AH2984" s="168"/>
    </row>
    <row r="2985" spans="26:34" ht="24" customHeight="1">
      <c r="Z2985"/>
      <c r="AA2985"/>
      <c r="AB2985"/>
      <c r="AC2985"/>
      <c r="AD2985"/>
      <c r="AE2985" s="168" t="str">
        <f t="shared" si="46"/>
        <v/>
      </c>
      <c r="AF2985" s="168">
        <v>0</v>
      </c>
      <c r="AG2985" s="168" t="str" cm="1">
        <f t="array" ref="AG2985">IF(AF2985="","",_xlfn.TEXTSPLIT(AF2985,"-"))</f>
        <v>0</v>
      </c>
      <c r="AH2985" s="168"/>
    </row>
    <row r="2986" spans="26:34" ht="24" customHeight="1">
      <c r="Z2986"/>
      <c r="AA2986"/>
      <c r="AB2986"/>
      <c r="AC2986"/>
      <c r="AD2986"/>
      <c r="AE2986" s="168" t="str">
        <f t="shared" si="46"/>
        <v/>
      </c>
      <c r="AF2986" s="168">
        <v>0</v>
      </c>
      <c r="AG2986" s="168" t="str" cm="1">
        <f t="array" ref="AG2986">IF(AF2986="","",_xlfn.TEXTSPLIT(AF2986,"-"))</f>
        <v>0</v>
      </c>
      <c r="AH2986" s="168"/>
    </row>
    <row r="2987" spans="26:34" ht="24" customHeight="1">
      <c r="Z2987"/>
      <c r="AA2987"/>
      <c r="AB2987"/>
      <c r="AC2987"/>
      <c r="AD2987"/>
      <c r="AE2987" s="168" t="str">
        <f t="shared" si="46"/>
        <v/>
      </c>
      <c r="AF2987" s="168">
        <v>0</v>
      </c>
      <c r="AG2987" s="168" t="str" cm="1">
        <f t="array" ref="AG2987">IF(AF2987="","",_xlfn.TEXTSPLIT(AF2987,"-"))</f>
        <v>0</v>
      </c>
      <c r="AH2987" s="168"/>
    </row>
    <row r="2988" spans="26:34" ht="24" customHeight="1">
      <c r="Z2988"/>
      <c r="AA2988"/>
      <c r="AB2988"/>
      <c r="AC2988"/>
      <c r="AD2988"/>
      <c r="AE2988" s="168" t="str">
        <f t="shared" si="46"/>
        <v/>
      </c>
      <c r="AF2988" s="168">
        <v>0</v>
      </c>
      <c r="AG2988" s="168" t="str" cm="1">
        <f t="array" ref="AG2988">IF(AF2988="","",_xlfn.TEXTSPLIT(AF2988,"-"))</f>
        <v>0</v>
      </c>
      <c r="AH2988" s="168"/>
    </row>
    <row r="2989" spans="26:34" ht="24" customHeight="1">
      <c r="Z2989"/>
      <c r="AA2989"/>
      <c r="AB2989"/>
      <c r="AC2989"/>
      <c r="AD2989"/>
      <c r="AE2989" s="168" t="str">
        <f t="shared" si="46"/>
        <v/>
      </c>
      <c r="AF2989" s="168">
        <v>0</v>
      </c>
      <c r="AG2989" s="168" t="str" cm="1">
        <f t="array" ref="AG2989">IF(AF2989="","",_xlfn.TEXTSPLIT(AF2989,"-"))</f>
        <v>0</v>
      </c>
      <c r="AH2989" s="168"/>
    </row>
    <row r="2990" spans="26:34" ht="24" customHeight="1">
      <c r="Z2990"/>
      <c r="AA2990"/>
      <c r="AB2990"/>
      <c r="AC2990"/>
      <c r="AD2990"/>
      <c r="AE2990" s="168" t="str">
        <f t="shared" si="46"/>
        <v/>
      </c>
      <c r="AF2990" s="168">
        <v>0</v>
      </c>
      <c r="AG2990" s="168" t="str" cm="1">
        <f t="array" ref="AG2990">IF(AF2990="","",_xlfn.TEXTSPLIT(AF2990,"-"))</f>
        <v>0</v>
      </c>
      <c r="AH2990" s="168"/>
    </row>
    <row r="2991" spans="26:34" ht="24" customHeight="1">
      <c r="Z2991"/>
      <c r="AA2991"/>
      <c r="AB2991"/>
      <c r="AC2991"/>
      <c r="AD2991"/>
      <c r="AE2991" s="168" t="str">
        <f t="shared" si="46"/>
        <v/>
      </c>
      <c r="AF2991" s="168">
        <v>0</v>
      </c>
      <c r="AG2991" s="168" t="str" cm="1">
        <f t="array" ref="AG2991">IF(AF2991="","",_xlfn.TEXTSPLIT(AF2991,"-"))</f>
        <v>0</v>
      </c>
      <c r="AH2991" s="168"/>
    </row>
    <row r="2992" spans="26:34" ht="24" customHeight="1">
      <c r="Z2992"/>
      <c r="AA2992"/>
      <c r="AB2992"/>
      <c r="AC2992"/>
      <c r="AD2992"/>
      <c r="AE2992" s="168" t="str">
        <f t="shared" si="46"/>
        <v/>
      </c>
      <c r="AF2992" s="168">
        <v>0</v>
      </c>
      <c r="AG2992" s="168" t="str" cm="1">
        <f t="array" ref="AG2992">IF(AF2992="","",_xlfn.TEXTSPLIT(AF2992,"-"))</f>
        <v>0</v>
      </c>
      <c r="AH2992" s="168"/>
    </row>
    <row r="2993" spans="26:34" ht="24" customHeight="1">
      <c r="Z2993"/>
      <c r="AA2993"/>
      <c r="AB2993"/>
      <c r="AC2993"/>
      <c r="AD2993"/>
      <c r="AE2993" s="168" t="str">
        <f t="shared" si="46"/>
        <v/>
      </c>
      <c r="AF2993" s="168">
        <v>0</v>
      </c>
      <c r="AG2993" s="168" t="str" cm="1">
        <f t="array" ref="AG2993">IF(AF2993="","",_xlfn.TEXTSPLIT(AF2993,"-"))</f>
        <v>0</v>
      </c>
      <c r="AH2993" s="168"/>
    </row>
    <row r="2994" spans="26:34" ht="24" customHeight="1">
      <c r="Z2994"/>
      <c r="AA2994"/>
      <c r="AB2994"/>
      <c r="AC2994"/>
      <c r="AD2994"/>
      <c r="AE2994" s="168" t="str">
        <f t="shared" si="46"/>
        <v/>
      </c>
      <c r="AF2994" s="168">
        <v>0</v>
      </c>
      <c r="AG2994" s="168" t="str" cm="1">
        <f t="array" ref="AG2994">IF(AF2994="","",_xlfn.TEXTSPLIT(AF2994,"-"))</f>
        <v>0</v>
      </c>
      <c r="AH2994" s="168"/>
    </row>
    <row r="2995" spans="26:34" ht="24" customHeight="1">
      <c r="Z2995"/>
      <c r="AA2995"/>
      <c r="AB2995"/>
      <c r="AC2995"/>
      <c r="AD2995"/>
      <c r="AE2995" s="168" t="str">
        <f t="shared" si="46"/>
        <v/>
      </c>
      <c r="AF2995" s="168">
        <v>0</v>
      </c>
      <c r="AG2995" s="168" t="str" cm="1">
        <f t="array" ref="AG2995">IF(AF2995="","",_xlfn.TEXTSPLIT(AF2995,"-"))</f>
        <v>0</v>
      </c>
      <c r="AH2995" s="168"/>
    </row>
    <row r="2996" spans="26:34" ht="24" customHeight="1">
      <c r="Z2996"/>
      <c r="AA2996"/>
      <c r="AB2996"/>
      <c r="AC2996"/>
      <c r="AD2996"/>
      <c r="AE2996" s="168" t="str">
        <f t="shared" si="46"/>
        <v/>
      </c>
      <c r="AF2996" s="168">
        <v>0</v>
      </c>
      <c r="AG2996" s="168" t="str" cm="1">
        <f t="array" ref="AG2996">IF(AF2996="","",_xlfn.TEXTSPLIT(AF2996,"-"))</f>
        <v>0</v>
      </c>
      <c r="AH2996" s="168"/>
    </row>
    <row r="2997" spans="26:34" ht="24" customHeight="1">
      <c r="Z2997"/>
      <c r="AA2997"/>
      <c r="AB2997"/>
      <c r="AC2997"/>
      <c r="AD2997"/>
      <c r="AE2997" s="168" t="str">
        <f t="shared" si="46"/>
        <v/>
      </c>
      <c r="AF2997" s="168">
        <v>0</v>
      </c>
      <c r="AG2997" s="168" t="str" cm="1">
        <f t="array" ref="AG2997">IF(AF2997="","",_xlfn.TEXTSPLIT(AF2997,"-"))</f>
        <v>0</v>
      </c>
      <c r="AH2997" s="168"/>
    </row>
    <row r="2998" spans="26:34" ht="24" customHeight="1">
      <c r="Z2998"/>
      <c r="AA2998"/>
      <c r="AB2998"/>
      <c r="AC2998"/>
      <c r="AD2998"/>
      <c r="AE2998" s="168" t="str">
        <f t="shared" si="46"/>
        <v/>
      </c>
      <c r="AF2998" s="168">
        <v>0</v>
      </c>
      <c r="AG2998" s="168" t="str" cm="1">
        <f t="array" ref="AG2998">IF(AF2998="","",_xlfn.TEXTSPLIT(AF2998,"-"))</f>
        <v>0</v>
      </c>
      <c r="AH2998" s="168"/>
    </row>
    <row r="2999" spans="26:34" ht="24" customHeight="1">
      <c r="Z2999"/>
      <c r="AA2999"/>
      <c r="AB2999"/>
      <c r="AC2999"/>
      <c r="AD2999"/>
      <c r="AE2999" s="168" t="str">
        <f t="shared" si="46"/>
        <v/>
      </c>
      <c r="AF2999" s="168">
        <v>0</v>
      </c>
      <c r="AG2999" s="168" t="str" cm="1">
        <f t="array" ref="AG2999">IF(AF2999="","",_xlfn.TEXTSPLIT(AF2999,"-"))</f>
        <v>0</v>
      </c>
      <c r="AH2999" s="168"/>
    </row>
    <row r="3000" spans="26:34" ht="24" customHeight="1">
      <c r="Z3000"/>
      <c r="AA3000"/>
      <c r="AB3000"/>
      <c r="AC3000"/>
      <c r="AD3000"/>
      <c r="AE3000" s="168" t="str">
        <f t="shared" si="46"/>
        <v/>
      </c>
      <c r="AF3000" s="168">
        <v>0</v>
      </c>
      <c r="AG3000" s="168" t="str" cm="1">
        <f t="array" ref="AG3000">IF(AF3000="","",_xlfn.TEXTSPLIT(AF3000,"-"))</f>
        <v>0</v>
      </c>
      <c r="AH3000" s="168"/>
    </row>
    <row r="3001" spans="26:34" ht="24" customHeight="1">
      <c r="Z3001"/>
      <c r="AA3001"/>
      <c r="AB3001"/>
      <c r="AC3001"/>
      <c r="AD3001"/>
      <c r="AE3001" s="168" t="str">
        <f t="shared" si="46"/>
        <v/>
      </c>
      <c r="AF3001" s="168">
        <v>0</v>
      </c>
      <c r="AG3001" s="168" t="str" cm="1">
        <f t="array" ref="AG3001">IF(AF3001="","",_xlfn.TEXTSPLIT(AF3001,"-"))</f>
        <v>0</v>
      </c>
      <c r="AH3001" s="168"/>
    </row>
    <row r="3002" spans="26:34" ht="24" customHeight="1">
      <c r="Z3002"/>
      <c r="AA3002"/>
      <c r="AB3002"/>
      <c r="AC3002"/>
      <c r="AD3002"/>
      <c r="AE3002" s="168" t="str">
        <f t="shared" si="46"/>
        <v/>
      </c>
      <c r="AF3002" s="168">
        <v>0</v>
      </c>
      <c r="AG3002" s="168" t="str" cm="1">
        <f t="array" ref="AG3002">IF(AF3002="","",_xlfn.TEXTSPLIT(AF3002,"-"))</f>
        <v>0</v>
      </c>
      <c r="AH3002" s="168"/>
    </row>
    <row r="3003" spans="26:34" ht="24" customHeight="1">
      <c r="Z3003"/>
      <c r="AA3003"/>
      <c r="AB3003"/>
      <c r="AC3003"/>
      <c r="AD3003"/>
      <c r="AE3003" s="168" t="str">
        <f t="shared" si="46"/>
        <v/>
      </c>
      <c r="AF3003" s="168">
        <v>0</v>
      </c>
      <c r="AG3003" s="168" t="str" cm="1">
        <f t="array" ref="AG3003">IF(AF3003="","",_xlfn.TEXTSPLIT(AF3003,"-"))</f>
        <v>0</v>
      </c>
      <c r="AH3003" s="168"/>
    </row>
    <row r="3004" spans="26:34" ht="24" customHeight="1">
      <c r="Z3004"/>
      <c r="AA3004"/>
      <c r="AB3004"/>
      <c r="AC3004"/>
      <c r="AD3004"/>
      <c r="AE3004" s="168" t="str">
        <f t="shared" si="46"/>
        <v/>
      </c>
      <c r="AF3004" s="168">
        <v>0</v>
      </c>
      <c r="AG3004" s="168" t="str" cm="1">
        <f t="array" ref="AG3004">IF(AF3004="","",_xlfn.TEXTSPLIT(AF3004,"-"))</f>
        <v>0</v>
      </c>
      <c r="AH3004" s="168"/>
    </row>
    <row r="3005" spans="26:34" ht="24" customHeight="1">
      <c r="Z3005"/>
      <c r="AA3005"/>
      <c r="AB3005"/>
      <c r="AC3005"/>
      <c r="AD3005"/>
      <c r="AE3005" s="168" t="str">
        <f t="shared" si="46"/>
        <v/>
      </c>
      <c r="AF3005" s="168">
        <v>0</v>
      </c>
      <c r="AG3005" s="168" t="str" cm="1">
        <f t="array" ref="AG3005">IF(AF3005="","",_xlfn.TEXTSPLIT(AF3005,"-"))</f>
        <v>0</v>
      </c>
      <c r="AH3005" s="168"/>
    </row>
    <row r="3006" spans="26:34" ht="24" customHeight="1">
      <c r="Z3006"/>
      <c r="AA3006"/>
      <c r="AB3006"/>
      <c r="AC3006"/>
      <c r="AD3006"/>
      <c r="AE3006" s="168" t="str">
        <f t="shared" si="46"/>
        <v/>
      </c>
      <c r="AF3006" s="168">
        <v>0</v>
      </c>
      <c r="AG3006" s="168" t="str" cm="1">
        <f t="array" ref="AG3006">IF(AF3006="","",_xlfn.TEXTSPLIT(AF3006,"-"))</f>
        <v>0</v>
      </c>
      <c r="AH3006" s="168"/>
    </row>
    <row r="3007" spans="26:34" ht="24" customHeight="1">
      <c r="Z3007"/>
      <c r="AA3007"/>
      <c r="AB3007"/>
      <c r="AC3007"/>
      <c r="AD3007"/>
      <c r="AE3007" s="168" t="str">
        <f t="shared" si="46"/>
        <v/>
      </c>
      <c r="AF3007" s="168">
        <v>0</v>
      </c>
      <c r="AG3007" s="168" t="str" cm="1">
        <f t="array" ref="AG3007">IF(AF3007="","",_xlfn.TEXTSPLIT(AF3007,"-"))</f>
        <v>0</v>
      </c>
      <c r="AH3007" s="168"/>
    </row>
    <row r="3008" spans="26:34" ht="24" customHeight="1">
      <c r="Z3008"/>
      <c r="AA3008"/>
      <c r="AB3008"/>
      <c r="AC3008"/>
      <c r="AD3008"/>
      <c r="AE3008" s="168" t="str">
        <f t="shared" si="46"/>
        <v/>
      </c>
      <c r="AF3008" s="168">
        <v>0</v>
      </c>
      <c r="AG3008" s="168" t="str" cm="1">
        <f t="array" ref="AG3008">IF(AF3008="","",_xlfn.TEXTSPLIT(AF3008,"-"))</f>
        <v>0</v>
      </c>
      <c r="AH3008" s="168"/>
    </row>
    <row r="3009" spans="26:34" ht="24" customHeight="1">
      <c r="Z3009"/>
      <c r="AA3009"/>
      <c r="AB3009"/>
      <c r="AC3009"/>
      <c r="AD3009"/>
      <c r="AE3009" s="168" t="str">
        <f t="shared" si="46"/>
        <v/>
      </c>
      <c r="AF3009" s="168">
        <v>0</v>
      </c>
      <c r="AG3009" s="168" t="str" cm="1">
        <f t="array" ref="AG3009">IF(AF3009="","",_xlfn.TEXTSPLIT(AF3009,"-"))</f>
        <v>0</v>
      </c>
      <c r="AH3009" s="168"/>
    </row>
    <row r="3010" spans="26:34" ht="24" customHeight="1">
      <c r="Z3010"/>
      <c r="AA3010"/>
      <c r="AB3010"/>
      <c r="AC3010"/>
      <c r="AD3010"/>
      <c r="AE3010" s="168" t="str">
        <f t="shared" si="46"/>
        <v/>
      </c>
      <c r="AF3010" s="168">
        <v>0</v>
      </c>
      <c r="AG3010" s="168" t="str" cm="1">
        <f t="array" ref="AG3010">IF(AF3010="","",_xlfn.TEXTSPLIT(AF3010,"-"))</f>
        <v>0</v>
      </c>
      <c r="AH3010" s="168"/>
    </row>
    <row r="3011" spans="26:34" ht="24" customHeight="1">
      <c r="Z3011"/>
      <c r="AA3011"/>
      <c r="AB3011"/>
      <c r="AC3011"/>
      <c r="AD3011"/>
      <c r="AE3011" s="168" t="str">
        <f t="shared" si="46"/>
        <v/>
      </c>
      <c r="AF3011" s="168">
        <v>0</v>
      </c>
      <c r="AG3011" s="168" t="str" cm="1">
        <f t="array" ref="AG3011">IF(AF3011="","",_xlfn.TEXTSPLIT(AF3011,"-"))</f>
        <v>0</v>
      </c>
      <c r="AH3011" s="168"/>
    </row>
    <row r="3012" spans="26:34" ht="24" customHeight="1">
      <c r="Z3012"/>
      <c r="AA3012"/>
      <c r="AB3012"/>
      <c r="AC3012"/>
      <c r="AD3012"/>
      <c r="AE3012" s="168" t="str">
        <f t="shared" si="46"/>
        <v/>
      </c>
      <c r="AF3012" s="168">
        <v>0</v>
      </c>
      <c r="AG3012" s="168" t="str" cm="1">
        <f t="array" ref="AG3012">IF(AF3012="","",_xlfn.TEXTSPLIT(AF3012,"-"))</f>
        <v>0</v>
      </c>
      <c r="AH3012" s="168"/>
    </row>
    <row r="3013" spans="26:34" ht="24" customHeight="1">
      <c r="Z3013"/>
      <c r="AA3013"/>
      <c r="AB3013"/>
      <c r="AC3013"/>
      <c r="AD3013"/>
      <c r="AE3013" s="168" t="str">
        <f t="shared" ref="AE3013:AE3076" si="47">IF(AH3013="","",AH3013*1)</f>
        <v/>
      </c>
      <c r="AF3013" s="168">
        <v>0</v>
      </c>
      <c r="AG3013" s="168" t="str" cm="1">
        <f t="array" ref="AG3013">IF(AF3013="","",_xlfn.TEXTSPLIT(AF3013,"-"))</f>
        <v>0</v>
      </c>
      <c r="AH3013" s="168"/>
    </row>
    <row r="3014" spans="26:34" ht="24" customHeight="1">
      <c r="Z3014"/>
      <c r="AA3014"/>
      <c r="AB3014"/>
      <c r="AC3014"/>
      <c r="AD3014"/>
      <c r="AE3014" s="168" t="str">
        <f t="shared" si="47"/>
        <v/>
      </c>
      <c r="AF3014" s="168">
        <v>0</v>
      </c>
      <c r="AG3014" s="168" t="str" cm="1">
        <f t="array" ref="AG3014">IF(AF3014="","",_xlfn.TEXTSPLIT(AF3014,"-"))</f>
        <v>0</v>
      </c>
      <c r="AH3014" s="168"/>
    </row>
    <row r="3015" spans="26:34" ht="24" customHeight="1">
      <c r="Z3015"/>
      <c r="AA3015"/>
      <c r="AB3015"/>
      <c r="AC3015"/>
      <c r="AD3015"/>
      <c r="AE3015" s="168" t="str">
        <f t="shared" si="47"/>
        <v/>
      </c>
      <c r="AF3015" s="168">
        <v>0</v>
      </c>
      <c r="AG3015" s="168" t="str" cm="1">
        <f t="array" ref="AG3015">IF(AF3015="","",_xlfn.TEXTSPLIT(AF3015,"-"))</f>
        <v>0</v>
      </c>
      <c r="AH3015" s="168"/>
    </row>
    <row r="3016" spans="26:34" ht="24" customHeight="1">
      <c r="Z3016"/>
      <c r="AA3016"/>
      <c r="AB3016"/>
      <c r="AC3016"/>
      <c r="AD3016"/>
      <c r="AE3016" s="168" t="str">
        <f t="shared" si="47"/>
        <v/>
      </c>
      <c r="AF3016" s="168">
        <v>0</v>
      </c>
      <c r="AG3016" s="168" t="str" cm="1">
        <f t="array" ref="AG3016">IF(AF3016="","",_xlfn.TEXTSPLIT(AF3016,"-"))</f>
        <v>0</v>
      </c>
      <c r="AH3016" s="168"/>
    </row>
    <row r="3017" spans="26:34" ht="24" customHeight="1">
      <c r="Z3017"/>
      <c r="AA3017"/>
      <c r="AB3017"/>
      <c r="AC3017"/>
      <c r="AD3017"/>
      <c r="AE3017" s="168" t="str">
        <f t="shared" si="47"/>
        <v/>
      </c>
      <c r="AF3017" s="168">
        <v>0</v>
      </c>
      <c r="AG3017" s="168" t="str" cm="1">
        <f t="array" ref="AG3017">IF(AF3017="","",_xlfn.TEXTSPLIT(AF3017,"-"))</f>
        <v>0</v>
      </c>
      <c r="AH3017" s="168"/>
    </row>
    <row r="3018" spans="26:34" ht="24" customHeight="1">
      <c r="Z3018"/>
      <c r="AA3018"/>
      <c r="AB3018"/>
      <c r="AC3018"/>
      <c r="AD3018"/>
      <c r="AE3018" s="168" t="str">
        <f t="shared" si="47"/>
        <v/>
      </c>
      <c r="AF3018" s="168">
        <v>0</v>
      </c>
      <c r="AG3018" s="168" t="str" cm="1">
        <f t="array" ref="AG3018">IF(AF3018="","",_xlfn.TEXTSPLIT(AF3018,"-"))</f>
        <v>0</v>
      </c>
      <c r="AH3018" s="168"/>
    </row>
    <row r="3019" spans="26:34" ht="24" customHeight="1">
      <c r="Z3019"/>
      <c r="AA3019"/>
      <c r="AB3019"/>
      <c r="AC3019"/>
      <c r="AD3019"/>
      <c r="AE3019" s="168" t="str">
        <f t="shared" si="47"/>
        <v/>
      </c>
      <c r="AF3019" s="168">
        <v>0</v>
      </c>
      <c r="AG3019" s="168" t="str" cm="1">
        <f t="array" ref="AG3019">IF(AF3019="","",_xlfn.TEXTSPLIT(AF3019,"-"))</f>
        <v>0</v>
      </c>
      <c r="AH3019" s="168"/>
    </row>
    <row r="3020" spans="26:34" ht="24" customHeight="1">
      <c r="Z3020"/>
      <c r="AA3020"/>
      <c r="AB3020"/>
      <c r="AC3020"/>
      <c r="AD3020"/>
      <c r="AE3020" s="168" t="str">
        <f t="shared" si="47"/>
        <v/>
      </c>
      <c r="AF3020" s="168">
        <v>0</v>
      </c>
      <c r="AG3020" s="168" t="str" cm="1">
        <f t="array" ref="AG3020">IF(AF3020="","",_xlfn.TEXTSPLIT(AF3020,"-"))</f>
        <v>0</v>
      </c>
      <c r="AH3020" s="168"/>
    </row>
    <row r="3021" spans="26:34" ht="24" customHeight="1">
      <c r="Z3021"/>
      <c r="AA3021"/>
      <c r="AB3021"/>
      <c r="AC3021"/>
      <c r="AD3021"/>
      <c r="AE3021" s="168" t="str">
        <f t="shared" si="47"/>
        <v/>
      </c>
      <c r="AF3021" s="168">
        <v>0</v>
      </c>
      <c r="AG3021" s="168" t="str" cm="1">
        <f t="array" ref="AG3021">IF(AF3021="","",_xlfn.TEXTSPLIT(AF3021,"-"))</f>
        <v>0</v>
      </c>
      <c r="AH3021" s="168"/>
    </row>
    <row r="3022" spans="26:34" ht="24" customHeight="1">
      <c r="Z3022"/>
      <c r="AA3022"/>
      <c r="AB3022"/>
      <c r="AC3022"/>
      <c r="AD3022"/>
      <c r="AE3022" s="168" t="str">
        <f t="shared" si="47"/>
        <v/>
      </c>
      <c r="AF3022" s="168">
        <v>0</v>
      </c>
      <c r="AG3022" s="168" t="str" cm="1">
        <f t="array" ref="AG3022">IF(AF3022="","",_xlfn.TEXTSPLIT(AF3022,"-"))</f>
        <v>0</v>
      </c>
      <c r="AH3022" s="168"/>
    </row>
    <row r="3023" spans="26:34" ht="24" customHeight="1">
      <c r="Z3023"/>
      <c r="AA3023"/>
      <c r="AB3023"/>
      <c r="AC3023"/>
      <c r="AD3023"/>
      <c r="AE3023" s="168" t="str">
        <f t="shared" si="47"/>
        <v/>
      </c>
      <c r="AF3023" s="168">
        <v>0</v>
      </c>
      <c r="AG3023" s="168" t="str" cm="1">
        <f t="array" ref="AG3023">IF(AF3023="","",_xlfn.TEXTSPLIT(AF3023,"-"))</f>
        <v>0</v>
      </c>
      <c r="AH3023" s="168"/>
    </row>
    <row r="3024" spans="26:34" ht="24" customHeight="1">
      <c r="Z3024"/>
      <c r="AA3024"/>
      <c r="AB3024"/>
      <c r="AC3024"/>
      <c r="AD3024"/>
      <c r="AE3024" s="168" t="str">
        <f t="shared" si="47"/>
        <v/>
      </c>
      <c r="AF3024" s="168">
        <v>0</v>
      </c>
      <c r="AG3024" s="168" t="str" cm="1">
        <f t="array" ref="AG3024">IF(AF3024="","",_xlfn.TEXTSPLIT(AF3024,"-"))</f>
        <v>0</v>
      </c>
      <c r="AH3024" s="168"/>
    </row>
    <row r="3025" spans="26:34" ht="24" customHeight="1">
      <c r="Z3025"/>
      <c r="AA3025"/>
      <c r="AB3025"/>
      <c r="AC3025"/>
      <c r="AD3025"/>
      <c r="AE3025" s="168" t="str">
        <f t="shared" si="47"/>
        <v/>
      </c>
      <c r="AF3025" s="168">
        <v>0</v>
      </c>
      <c r="AG3025" s="168" t="str" cm="1">
        <f t="array" ref="AG3025">IF(AF3025="","",_xlfn.TEXTSPLIT(AF3025,"-"))</f>
        <v>0</v>
      </c>
      <c r="AH3025" s="168"/>
    </row>
    <row r="3026" spans="26:34" ht="24" customHeight="1">
      <c r="Z3026"/>
      <c r="AA3026"/>
      <c r="AB3026"/>
      <c r="AC3026"/>
      <c r="AD3026"/>
      <c r="AE3026" s="168" t="str">
        <f t="shared" si="47"/>
        <v/>
      </c>
      <c r="AF3026" s="168">
        <v>0</v>
      </c>
      <c r="AG3026" s="168" t="str" cm="1">
        <f t="array" ref="AG3026">IF(AF3026="","",_xlfn.TEXTSPLIT(AF3026,"-"))</f>
        <v>0</v>
      </c>
      <c r="AH3026" s="168"/>
    </row>
    <row r="3027" spans="26:34" ht="24" customHeight="1">
      <c r="Z3027"/>
      <c r="AA3027"/>
      <c r="AB3027"/>
      <c r="AC3027"/>
      <c r="AD3027"/>
      <c r="AE3027" s="168" t="str">
        <f t="shared" si="47"/>
        <v/>
      </c>
      <c r="AF3027" s="168">
        <v>0</v>
      </c>
      <c r="AG3027" s="168" t="str" cm="1">
        <f t="array" ref="AG3027">IF(AF3027="","",_xlfn.TEXTSPLIT(AF3027,"-"))</f>
        <v>0</v>
      </c>
      <c r="AH3027" s="168"/>
    </row>
    <row r="3028" spans="26:34" ht="24" customHeight="1">
      <c r="Z3028"/>
      <c r="AA3028"/>
      <c r="AB3028"/>
      <c r="AC3028"/>
      <c r="AD3028"/>
      <c r="AE3028" s="168" t="str">
        <f t="shared" si="47"/>
        <v/>
      </c>
      <c r="AF3028" s="168">
        <v>0</v>
      </c>
      <c r="AG3028" s="168" t="str" cm="1">
        <f t="array" ref="AG3028">IF(AF3028="","",_xlfn.TEXTSPLIT(AF3028,"-"))</f>
        <v>0</v>
      </c>
      <c r="AH3028" s="168"/>
    </row>
    <row r="3029" spans="26:34" ht="24" customHeight="1">
      <c r="Z3029"/>
      <c r="AA3029"/>
      <c r="AB3029"/>
      <c r="AC3029"/>
      <c r="AD3029"/>
      <c r="AE3029" s="168" t="str">
        <f t="shared" si="47"/>
        <v/>
      </c>
      <c r="AF3029" s="168">
        <v>0</v>
      </c>
      <c r="AG3029" s="168" t="str" cm="1">
        <f t="array" ref="AG3029">IF(AF3029="","",_xlfn.TEXTSPLIT(AF3029,"-"))</f>
        <v>0</v>
      </c>
      <c r="AH3029" s="168"/>
    </row>
    <row r="3030" spans="26:34" ht="24" customHeight="1">
      <c r="Z3030"/>
      <c r="AA3030"/>
      <c r="AB3030"/>
      <c r="AC3030"/>
      <c r="AD3030"/>
      <c r="AE3030" s="168" t="str">
        <f t="shared" si="47"/>
        <v/>
      </c>
      <c r="AF3030" s="168">
        <v>0</v>
      </c>
      <c r="AG3030" s="168" t="str" cm="1">
        <f t="array" ref="AG3030">IF(AF3030="","",_xlfn.TEXTSPLIT(AF3030,"-"))</f>
        <v>0</v>
      </c>
      <c r="AH3030" s="168"/>
    </row>
    <row r="3031" spans="26:34" ht="24" customHeight="1">
      <c r="Z3031"/>
      <c r="AA3031"/>
      <c r="AB3031"/>
      <c r="AC3031"/>
      <c r="AD3031"/>
      <c r="AE3031" s="168" t="str">
        <f t="shared" si="47"/>
        <v/>
      </c>
      <c r="AF3031" s="168">
        <v>0</v>
      </c>
      <c r="AG3031" s="168" t="str" cm="1">
        <f t="array" ref="AG3031">IF(AF3031="","",_xlfn.TEXTSPLIT(AF3031,"-"))</f>
        <v>0</v>
      </c>
      <c r="AH3031" s="168"/>
    </row>
    <row r="3032" spans="26:34" ht="24" customHeight="1">
      <c r="Z3032"/>
      <c r="AA3032"/>
      <c r="AB3032"/>
      <c r="AC3032"/>
      <c r="AD3032"/>
      <c r="AE3032" s="168" t="str">
        <f t="shared" si="47"/>
        <v/>
      </c>
      <c r="AF3032" s="168">
        <v>0</v>
      </c>
      <c r="AG3032" s="168" t="str" cm="1">
        <f t="array" ref="AG3032">IF(AF3032="","",_xlfn.TEXTSPLIT(AF3032,"-"))</f>
        <v>0</v>
      </c>
      <c r="AH3032" s="168"/>
    </row>
    <row r="3033" spans="26:34" ht="24" customHeight="1">
      <c r="Z3033"/>
      <c r="AA3033"/>
      <c r="AB3033"/>
      <c r="AC3033"/>
      <c r="AD3033"/>
      <c r="AE3033" s="168" t="str">
        <f t="shared" si="47"/>
        <v/>
      </c>
      <c r="AF3033" s="168">
        <v>0</v>
      </c>
      <c r="AG3033" s="168" t="str" cm="1">
        <f t="array" ref="AG3033">IF(AF3033="","",_xlfn.TEXTSPLIT(AF3033,"-"))</f>
        <v>0</v>
      </c>
      <c r="AH3033" s="168"/>
    </row>
    <row r="3034" spans="26:34" ht="24" customHeight="1">
      <c r="Z3034"/>
      <c r="AA3034"/>
      <c r="AB3034"/>
      <c r="AC3034"/>
      <c r="AD3034"/>
      <c r="AE3034" s="168" t="str">
        <f t="shared" si="47"/>
        <v/>
      </c>
      <c r="AF3034" s="168">
        <v>0</v>
      </c>
      <c r="AG3034" s="168" t="str" cm="1">
        <f t="array" ref="AG3034">IF(AF3034="","",_xlfn.TEXTSPLIT(AF3034,"-"))</f>
        <v>0</v>
      </c>
      <c r="AH3034" s="168"/>
    </row>
    <row r="3035" spans="26:34" ht="24" customHeight="1">
      <c r="Z3035"/>
      <c r="AA3035"/>
      <c r="AB3035"/>
      <c r="AC3035"/>
      <c r="AD3035"/>
      <c r="AE3035" s="168" t="str">
        <f t="shared" si="47"/>
        <v/>
      </c>
      <c r="AF3035" s="168">
        <v>0</v>
      </c>
      <c r="AG3035" s="168" t="str" cm="1">
        <f t="array" ref="AG3035">IF(AF3035="","",_xlfn.TEXTSPLIT(AF3035,"-"))</f>
        <v>0</v>
      </c>
      <c r="AH3035" s="168"/>
    </row>
    <row r="3036" spans="26:34" ht="24" customHeight="1">
      <c r="Z3036"/>
      <c r="AA3036"/>
      <c r="AB3036"/>
      <c r="AC3036"/>
      <c r="AD3036"/>
      <c r="AE3036" s="168" t="str">
        <f t="shared" si="47"/>
        <v/>
      </c>
      <c r="AF3036" s="168">
        <v>0</v>
      </c>
      <c r="AG3036" s="168" t="str" cm="1">
        <f t="array" ref="AG3036">IF(AF3036="","",_xlfn.TEXTSPLIT(AF3036,"-"))</f>
        <v>0</v>
      </c>
      <c r="AH3036" s="168"/>
    </row>
    <row r="3037" spans="26:34" ht="24" customHeight="1">
      <c r="Z3037"/>
      <c r="AA3037"/>
      <c r="AB3037"/>
      <c r="AC3037"/>
      <c r="AD3037"/>
      <c r="AE3037" s="168" t="str">
        <f t="shared" si="47"/>
        <v/>
      </c>
      <c r="AF3037" s="168">
        <v>0</v>
      </c>
      <c r="AG3037" s="168" t="str" cm="1">
        <f t="array" ref="AG3037">IF(AF3037="","",_xlfn.TEXTSPLIT(AF3037,"-"))</f>
        <v>0</v>
      </c>
      <c r="AH3037" s="168"/>
    </row>
    <row r="3038" spans="26:34" ht="24" customHeight="1">
      <c r="Z3038"/>
      <c r="AA3038"/>
      <c r="AB3038"/>
      <c r="AC3038"/>
      <c r="AD3038"/>
      <c r="AE3038" s="168" t="str">
        <f t="shared" si="47"/>
        <v/>
      </c>
      <c r="AF3038" s="168">
        <v>0</v>
      </c>
      <c r="AG3038" s="168" t="str" cm="1">
        <f t="array" ref="AG3038">IF(AF3038="","",_xlfn.TEXTSPLIT(AF3038,"-"))</f>
        <v>0</v>
      </c>
      <c r="AH3038" s="168"/>
    </row>
    <row r="3039" spans="26:34" ht="24" customHeight="1">
      <c r="Z3039"/>
      <c r="AA3039"/>
      <c r="AB3039"/>
      <c r="AC3039"/>
      <c r="AD3039"/>
      <c r="AE3039" s="168" t="str">
        <f t="shared" si="47"/>
        <v/>
      </c>
      <c r="AF3039" s="168">
        <v>0</v>
      </c>
      <c r="AG3039" s="168" t="str" cm="1">
        <f t="array" ref="AG3039">IF(AF3039="","",_xlfn.TEXTSPLIT(AF3039,"-"))</f>
        <v>0</v>
      </c>
      <c r="AH3039" s="168"/>
    </row>
    <row r="3040" spans="26:34" ht="24" customHeight="1">
      <c r="Z3040"/>
      <c r="AA3040"/>
      <c r="AB3040"/>
      <c r="AC3040"/>
      <c r="AD3040"/>
      <c r="AE3040" s="168" t="str">
        <f t="shared" si="47"/>
        <v/>
      </c>
      <c r="AF3040" s="168">
        <v>0</v>
      </c>
      <c r="AG3040" s="168" t="str" cm="1">
        <f t="array" ref="AG3040">IF(AF3040="","",_xlfn.TEXTSPLIT(AF3040,"-"))</f>
        <v>0</v>
      </c>
      <c r="AH3040" s="168"/>
    </row>
    <row r="3041" spans="26:34" ht="24" customHeight="1">
      <c r="Z3041"/>
      <c r="AA3041"/>
      <c r="AB3041"/>
      <c r="AC3041"/>
      <c r="AD3041"/>
      <c r="AE3041" s="168" t="str">
        <f t="shared" si="47"/>
        <v/>
      </c>
      <c r="AF3041" s="168">
        <v>0</v>
      </c>
      <c r="AG3041" s="168" t="str" cm="1">
        <f t="array" ref="AG3041">IF(AF3041="","",_xlfn.TEXTSPLIT(AF3041,"-"))</f>
        <v>0</v>
      </c>
      <c r="AH3041" s="168"/>
    </row>
    <row r="3042" spans="26:34" ht="24" customHeight="1">
      <c r="Z3042"/>
      <c r="AA3042"/>
      <c r="AB3042"/>
      <c r="AC3042"/>
      <c r="AD3042"/>
      <c r="AE3042" s="168" t="str">
        <f t="shared" si="47"/>
        <v/>
      </c>
      <c r="AF3042" s="168">
        <v>0</v>
      </c>
      <c r="AG3042" s="168" t="str" cm="1">
        <f t="array" ref="AG3042">IF(AF3042="","",_xlfn.TEXTSPLIT(AF3042,"-"))</f>
        <v>0</v>
      </c>
      <c r="AH3042" s="168"/>
    </row>
    <row r="3043" spans="26:34" ht="24" customHeight="1">
      <c r="Z3043"/>
      <c r="AA3043"/>
      <c r="AB3043"/>
      <c r="AC3043"/>
      <c r="AD3043"/>
      <c r="AE3043" s="168" t="str">
        <f t="shared" si="47"/>
        <v/>
      </c>
      <c r="AF3043" s="168">
        <v>0</v>
      </c>
      <c r="AG3043" s="168" t="str" cm="1">
        <f t="array" ref="AG3043">IF(AF3043="","",_xlfn.TEXTSPLIT(AF3043,"-"))</f>
        <v>0</v>
      </c>
      <c r="AH3043" s="168"/>
    </row>
    <row r="3044" spans="26:34" ht="24" customHeight="1">
      <c r="Z3044"/>
      <c r="AA3044"/>
      <c r="AB3044"/>
      <c r="AC3044"/>
      <c r="AD3044"/>
      <c r="AE3044" s="168" t="str">
        <f t="shared" si="47"/>
        <v/>
      </c>
      <c r="AF3044" s="168">
        <v>0</v>
      </c>
      <c r="AG3044" s="168" t="str" cm="1">
        <f t="array" ref="AG3044">IF(AF3044="","",_xlfn.TEXTSPLIT(AF3044,"-"))</f>
        <v>0</v>
      </c>
      <c r="AH3044" s="168"/>
    </row>
    <row r="3045" spans="26:34" ht="24" customHeight="1">
      <c r="Z3045"/>
      <c r="AA3045"/>
      <c r="AB3045"/>
      <c r="AC3045"/>
      <c r="AD3045"/>
      <c r="AE3045" s="168" t="str">
        <f t="shared" si="47"/>
        <v/>
      </c>
      <c r="AF3045" s="168">
        <v>0</v>
      </c>
      <c r="AG3045" s="168" t="str" cm="1">
        <f t="array" ref="AG3045">IF(AF3045="","",_xlfn.TEXTSPLIT(AF3045,"-"))</f>
        <v>0</v>
      </c>
      <c r="AH3045" s="168"/>
    </row>
    <row r="3046" spans="26:34" ht="24" customHeight="1">
      <c r="Z3046"/>
      <c r="AA3046"/>
      <c r="AB3046"/>
      <c r="AC3046"/>
      <c r="AD3046"/>
      <c r="AE3046" s="168" t="str">
        <f t="shared" si="47"/>
        <v/>
      </c>
      <c r="AF3046" s="168">
        <v>0</v>
      </c>
      <c r="AG3046" s="168" t="str" cm="1">
        <f t="array" ref="AG3046">IF(AF3046="","",_xlfn.TEXTSPLIT(AF3046,"-"))</f>
        <v>0</v>
      </c>
      <c r="AH3046" s="168"/>
    </row>
    <row r="3047" spans="26:34" ht="24" customHeight="1">
      <c r="Z3047"/>
      <c r="AA3047"/>
      <c r="AB3047"/>
      <c r="AC3047"/>
      <c r="AD3047"/>
      <c r="AE3047" s="168" t="str">
        <f t="shared" si="47"/>
        <v/>
      </c>
      <c r="AF3047" s="168">
        <v>0</v>
      </c>
      <c r="AG3047" s="168" t="str" cm="1">
        <f t="array" ref="AG3047">IF(AF3047="","",_xlfn.TEXTSPLIT(AF3047,"-"))</f>
        <v>0</v>
      </c>
      <c r="AH3047" s="168"/>
    </row>
    <row r="3048" spans="26:34" ht="24" customHeight="1">
      <c r="Z3048"/>
      <c r="AA3048"/>
      <c r="AB3048"/>
      <c r="AC3048"/>
      <c r="AD3048"/>
      <c r="AE3048" s="168" t="str">
        <f t="shared" si="47"/>
        <v/>
      </c>
      <c r="AF3048" s="168">
        <v>0</v>
      </c>
      <c r="AG3048" s="168" t="str" cm="1">
        <f t="array" ref="AG3048">IF(AF3048="","",_xlfn.TEXTSPLIT(AF3048,"-"))</f>
        <v>0</v>
      </c>
      <c r="AH3048" s="168"/>
    </row>
    <row r="3049" spans="26:34" ht="24" customHeight="1">
      <c r="Z3049"/>
      <c r="AA3049"/>
      <c r="AB3049"/>
      <c r="AC3049"/>
      <c r="AD3049"/>
      <c r="AE3049" s="168" t="str">
        <f t="shared" si="47"/>
        <v/>
      </c>
      <c r="AF3049" s="168">
        <v>0</v>
      </c>
      <c r="AG3049" s="168" t="str" cm="1">
        <f t="array" ref="AG3049">IF(AF3049="","",_xlfn.TEXTSPLIT(AF3049,"-"))</f>
        <v>0</v>
      </c>
      <c r="AH3049" s="168"/>
    </row>
    <row r="3050" spans="26:34" ht="24" customHeight="1">
      <c r="Z3050"/>
      <c r="AA3050"/>
      <c r="AB3050"/>
      <c r="AC3050"/>
      <c r="AD3050"/>
      <c r="AE3050" s="168" t="str">
        <f t="shared" si="47"/>
        <v/>
      </c>
      <c r="AF3050" s="168">
        <v>0</v>
      </c>
      <c r="AG3050" s="168" t="str" cm="1">
        <f t="array" ref="AG3050">IF(AF3050="","",_xlfn.TEXTSPLIT(AF3050,"-"))</f>
        <v>0</v>
      </c>
      <c r="AH3050" s="168"/>
    </row>
    <row r="3051" spans="26:34" ht="24" customHeight="1">
      <c r="Z3051"/>
      <c r="AA3051"/>
      <c r="AB3051"/>
      <c r="AC3051"/>
      <c r="AD3051"/>
      <c r="AE3051" s="168" t="str">
        <f t="shared" si="47"/>
        <v/>
      </c>
      <c r="AF3051" s="168">
        <v>0</v>
      </c>
      <c r="AG3051" s="168" t="str" cm="1">
        <f t="array" ref="AG3051">IF(AF3051="","",_xlfn.TEXTSPLIT(AF3051,"-"))</f>
        <v>0</v>
      </c>
      <c r="AH3051" s="168"/>
    </row>
    <row r="3052" spans="26:34" ht="24" customHeight="1">
      <c r="Z3052"/>
      <c r="AA3052"/>
      <c r="AB3052"/>
      <c r="AC3052"/>
      <c r="AD3052"/>
      <c r="AE3052" s="168" t="str">
        <f t="shared" si="47"/>
        <v/>
      </c>
      <c r="AF3052" s="168">
        <v>0</v>
      </c>
      <c r="AG3052" s="168" t="str" cm="1">
        <f t="array" ref="AG3052">IF(AF3052="","",_xlfn.TEXTSPLIT(AF3052,"-"))</f>
        <v>0</v>
      </c>
      <c r="AH3052" s="168"/>
    </row>
    <row r="3053" spans="26:34" ht="24" customHeight="1">
      <c r="Z3053"/>
      <c r="AA3053"/>
      <c r="AB3053"/>
      <c r="AC3053"/>
      <c r="AD3053"/>
      <c r="AE3053" s="168" t="str">
        <f t="shared" si="47"/>
        <v/>
      </c>
      <c r="AF3053" s="168">
        <v>0</v>
      </c>
      <c r="AG3053" s="168" t="str" cm="1">
        <f t="array" ref="AG3053">IF(AF3053="","",_xlfn.TEXTSPLIT(AF3053,"-"))</f>
        <v>0</v>
      </c>
      <c r="AH3053" s="168"/>
    </row>
    <row r="3054" spans="26:34" ht="24" customHeight="1">
      <c r="Z3054"/>
      <c r="AA3054"/>
      <c r="AB3054"/>
      <c r="AC3054"/>
      <c r="AD3054"/>
      <c r="AE3054" s="168" t="str">
        <f t="shared" si="47"/>
        <v/>
      </c>
      <c r="AF3054" s="168">
        <v>0</v>
      </c>
      <c r="AG3054" s="168" t="str" cm="1">
        <f t="array" ref="AG3054">IF(AF3054="","",_xlfn.TEXTSPLIT(AF3054,"-"))</f>
        <v>0</v>
      </c>
      <c r="AH3054" s="168"/>
    </row>
    <row r="3055" spans="26:34" ht="24" customHeight="1">
      <c r="Z3055"/>
      <c r="AA3055"/>
      <c r="AB3055"/>
      <c r="AC3055"/>
      <c r="AD3055"/>
      <c r="AE3055" s="168" t="str">
        <f t="shared" si="47"/>
        <v/>
      </c>
      <c r="AF3055" s="168">
        <v>0</v>
      </c>
      <c r="AG3055" s="168" t="str" cm="1">
        <f t="array" ref="AG3055">IF(AF3055="","",_xlfn.TEXTSPLIT(AF3055,"-"))</f>
        <v>0</v>
      </c>
      <c r="AH3055" s="168"/>
    </row>
    <row r="3056" spans="26:34" ht="24" customHeight="1">
      <c r="Z3056"/>
      <c r="AA3056"/>
      <c r="AB3056"/>
      <c r="AC3056"/>
      <c r="AD3056"/>
      <c r="AE3056" s="168" t="str">
        <f t="shared" si="47"/>
        <v/>
      </c>
      <c r="AF3056" s="168">
        <v>0</v>
      </c>
      <c r="AG3056" s="168" t="str" cm="1">
        <f t="array" ref="AG3056">IF(AF3056="","",_xlfn.TEXTSPLIT(AF3056,"-"))</f>
        <v>0</v>
      </c>
      <c r="AH3056" s="168"/>
    </row>
    <row r="3057" spans="26:34" ht="24" customHeight="1">
      <c r="Z3057"/>
      <c r="AA3057"/>
      <c r="AB3057"/>
      <c r="AC3057"/>
      <c r="AD3057"/>
      <c r="AE3057" s="168" t="str">
        <f t="shared" si="47"/>
        <v/>
      </c>
      <c r="AF3057" s="168">
        <v>0</v>
      </c>
      <c r="AG3057" s="168" t="str" cm="1">
        <f t="array" ref="AG3057">IF(AF3057="","",_xlfn.TEXTSPLIT(AF3057,"-"))</f>
        <v>0</v>
      </c>
      <c r="AH3057" s="168"/>
    </row>
    <row r="3058" spans="26:34" ht="24" customHeight="1">
      <c r="Z3058"/>
      <c r="AA3058"/>
      <c r="AB3058"/>
      <c r="AC3058"/>
      <c r="AD3058"/>
      <c r="AE3058" s="168" t="str">
        <f t="shared" si="47"/>
        <v/>
      </c>
      <c r="AF3058" s="168">
        <v>0</v>
      </c>
      <c r="AG3058" s="168" t="str" cm="1">
        <f t="array" ref="AG3058">IF(AF3058="","",_xlfn.TEXTSPLIT(AF3058,"-"))</f>
        <v>0</v>
      </c>
      <c r="AH3058" s="168"/>
    </row>
    <row r="3059" spans="26:34" ht="24" customHeight="1">
      <c r="Z3059"/>
      <c r="AA3059"/>
      <c r="AB3059"/>
      <c r="AC3059"/>
      <c r="AD3059"/>
      <c r="AE3059" s="168" t="str">
        <f t="shared" si="47"/>
        <v/>
      </c>
      <c r="AF3059" s="168">
        <v>0</v>
      </c>
      <c r="AG3059" s="168" t="str" cm="1">
        <f t="array" ref="AG3059">IF(AF3059="","",_xlfn.TEXTSPLIT(AF3059,"-"))</f>
        <v>0</v>
      </c>
      <c r="AH3059" s="168"/>
    </row>
    <row r="3060" spans="26:34" ht="24" customHeight="1">
      <c r="Z3060"/>
      <c r="AA3060"/>
      <c r="AB3060"/>
      <c r="AC3060"/>
      <c r="AD3060"/>
      <c r="AE3060" s="168" t="str">
        <f t="shared" si="47"/>
        <v/>
      </c>
      <c r="AF3060" s="168">
        <v>0</v>
      </c>
      <c r="AG3060" s="168" t="str" cm="1">
        <f t="array" ref="AG3060">IF(AF3060="","",_xlfn.TEXTSPLIT(AF3060,"-"))</f>
        <v>0</v>
      </c>
      <c r="AH3060" s="168"/>
    </row>
    <row r="3061" spans="26:34" ht="24" customHeight="1">
      <c r="Z3061"/>
      <c r="AA3061"/>
      <c r="AB3061"/>
      <c r="AC3061"/>
      <c r="AD3061"/>
      <c r="AE3061" s="168" t="str">
        <f t="shared" si="47"/>
        <v/>
      </c>
      <c r="AF3061" s="168">
        <v>0</v>
      </c>
      <c r="AG3061" s="168" t="str" cm="1">
        <f t="array" ref="AG3061">IF(AF3061="","",_xlfn.TEXTSPLIT(AF3061,"-"))</f>
        <v>0</v>
      </c>
      <c r="AH3061" s="168"/>
    </row>
    <row r="3062" spans="26:34" ht="24" customHeight="1">
      <c r="Z3062"/>
      <c r="AA3062"/>
      <c r="AB3062"/>
      <c r="AC3062"/>
      <c r="AD3062"/>
      <c r="AE3062" s="168" t="str">
        <f t="shared" si="47"/>
        <v/>
      </c>
      <c r="AF3062" s="168">
        <v>0</v>
      </c>
      <c r="AG3062" s="168" t="str" cm="1">
        <f t="array" ref="AG3062">IF(AF3062="","",_xlfn.TEXTSPLIT(AF3062,"-"))</f>
        <v>0</v>
      </c>
      <c r="AH3062" s="168"/>
    </row>
    <row r="3063" spans="26:34" ht="24" customHeight="1">
      <c r="Z3063"/>
      <c r="AA3063"/>
      <c r="AB3063"/>
      <c r="AC3063"/>
      <c r="AD3063"/>
      <c r="AE3063" s="168" t="str">
        <f t="shared" si="47"/>
        <v/>
      </c>
      <c r="AF3063" s="168">
        <v>0</v>
      </c>
      <c r="AG3063" s="168" t="str" cm="1">
        <f t="array" ref="AG3063">IF(AF3063="","",_xlfn.TEXTSPLIT(AF3063,"-"))</f>
        <v>0</v>
      </c>
      <c r="AH3063" s="168"/>
    </row>
    <row r="3064" spans="26:34" ht="24" customHeight="1">
      <c r="Z3064"/>
      <c r="AA3064"/>
      <c r="AB3064"/>
      <c r="AC3064"/>
      <c r="AD3064"/>
      <c r="AE3064" s="168" t="str">
        <f t="shared" si="47"/>
        <v/>
      </c>
      <c r="AF3064" s="168">
        <v>0</v>
      </c>
      <c r="AG3064" s="168" t="str" cm="1">
        <f t="array" ref="AG3064">IF(AF3064="","",_xlfn.TEXTSPLIT(AF3064,"-"))</f>
        <v>0</v>
      </c>
      <c r="AH3064" s="168"/>
    </row>
    <row r="3065" spans="26:34" ht="24" customHeight="1">
      <c r="Z3065"/>
      <c r="AA3065"/>
      <c r="AB3065"/>
      <c r="AC3065"/>
      <c r="AD3065"/>
      <c r="AE3065" s="168" t="str">
        <f t="shared" si="47"/>
        <v/>
      </c>
      <c r="AF3065" s="168">
        <v>0</v>
      </c>
      <c r="AG3065" s="168" t="str" cm="1">
        <f t="array" ref="AG3065">IF(AF3065="","",_xlfn.TEXTSPLIT(AF3065,"-"))</f>
        <v>0</v>
      </c>
      <c r="AH3065" s="168"/>
    </row>
    <row r="3066" spans="26:34" ht="24" customHeight="1">
      <c r="Z3066"/>
      <c r="AA3066"/>
      <c r="AB3066"/>
      <c r="AC3066"/>
      <c r="AD3066"/>
      <c r="AE3066" s="168" t="str">
        <f t="shared" si="47"/>
        <v/>
      </c>
      <c r="AF3066" s="168">
        <v>0</v>
      </c>
      <c r="AG3066" s="168" t="str" cm="1">
        <f t="array" ref="AG3066">IF(AF3066="","",_xlfn.TEXTSPLIT(AF3066,"-"))</f>
        <v>0</v>
      </c>
      <c r="AH3066" s="168"/>
    </row>
    <row r="3067" spans="26:34" ht="24" customHeight="1">
      <c r="Z3067"/>
      <c r="AA3067"/>
      <c r="AB3067"/>
      <c r="AC3067"/>
      <c r="AD3067"/>
      <c r="AE3067" s="168" t="str">
        <f t="shared" si="47"/>
        <v/>
      </c>
      <c r="AF3067" s="168">
        <v>0</v>
      </c>
      <c r="AG3067" s="168" t="str" cm="1">
        <f t="array" ref="AG3067">IF(AF3067="","",_xlfn.TEXTSPLIT(AF3067,"-"))</f>
        <v>0</v>
      </c>
      <c r="AH3067" s="168"/>
    </row>
    <row r="3068" spans="26:34" ht="24" customHeight="1">
      <c r="Z3068"/>
      <c r="AA3068"/>
      <c r="AB3068"/>
      <c r="AC3068"/>
      <c r="AD3068"/>
      <c r="AE3068" s="168" t="str">
        <f t="shared" si="47"/>
        <v/>
      </c>
      <c r="AF3068" s="168">
        <v>0</v>
      </c>
      <c r="AG3068" s="168" t="str" cm="1">
        <f t="array" ref="AG3068">IF(AF3068="","",_xlfn.TEXTSPLIT(AF3068,"-"))</f>
        <v>0</v>
      </c>
      <c r="AH3068" s="168"/>
    </row>
    <row r="3069" spans="26:34" ht="24" customHeight="1">
      <c r="Z3069"/>
      <c r="AA3069"/>
      <c r="AB3069"/>
      <c r="AC3069"/>
      <c r="AD3069"/>
      <c r="AE3069" s="168" t="str">
        <f t="shared" si="47"/>
        <v/>
      </c>
      <c r="AF3069" s="168">
        <v>0</v>
      </c>
      <c r="AG3069" s="168" t="str" cm="1">
        <f t="array" ref="AG3069">IF(AF3069="","",_xlfn.TEXTSPLIT(AF3069,"-"))</f>
        <v>0</v>
      </c>
      <c r="AH3069" s="168"/>
    </row>
    <row r="3070" spans="26:34" ht="24" customHeight="1">
      <c r="Z3070"/>
      <c r="AA3070"/>
      <c r="AB3070"/>
      <c r="AC3070"/>
      <c r="AD3070"/>
      <c r="AE3070" s="168" t="str">
        <f t="shared" si="47"/>
        <v/>
      </c>
      <c r="AF3070" s="168">
        <v>0</v>
      </c>
      <c r="AG3070" s="168" t="str" cm="1">
        <f t="array" ref="AG3070">IF(AF3070="","",_xlfn.TEXTSPLIT(AF3070,"-"))</f>
        <v>0</v>
      </c>
      <c r="AH3070" s="168"/>
    </row>
    <row r="3071" spans="26:34" ht="24" customHeight="1">
      <c r="Z3071"/>
      <c r="AA3071"/>
      <c r="AB3071"/>
      <c r="AC3071"/>
      <c r="AD3071"/>
      <c r="AE3071" s="168" t="str">
        <f t="shared" si="47"/>
        <v/>
      </c>
      <c r="AF3071" s="168">
        <v>0</v>
      </c>
      <c r="AG3071" s="168" t="str" cm="1">
        <f t="array" ref="AG3071">IF(AF3071="","",_xlfn.TEXTSPLIT(AF3071,"-"))</f>
        <v>0</v>
      </c>
      <c r="AH3071" s="168"/>
    </row>
    <row r="3072" spans="26:34" ht="24" customHeight="1">
      <c r="Z3072"/>
      <c r="AA3072"/>
      <c r="AB3072"/>
      <c r="AC3072"/>
      <c r="AD3072"/>
      <c r="AE3072" s="168" t="str">
        <f t="shared" si="47"/>
        <v/>
      </c>
      <c r="AF3072" s="168">
        <v>0</v>
      </c>
      <c r="AG3072" s="168" t="str" cm="1">
        <f t="array" ref="AG3072">IF(AF3072="","",_xlfn.TEXTSPLIT(AF3072,"-"))</f>
        <v>0</v>
      </c>
      <c r="AH3072" s="168"/>
    </row>
    <row r="3073" spans="26:34" ht="24" customHeight="1">
      <c r="Z3073"/>
      <c r="AA3073"/>
      <c r="AB3073"/>
      <c r="AC3073"/>
      <c r="AD3073"/>
      <c r="AE3073" s="168" t="str">
        <f t="shared" si="47"/>
        <v/>
      </c>
      <c r="AF3073" s="168">
        <v>0</v>
      </c>
      <c r="AG3073" s="168" t="str" cm="1">
        <f t="array" ref="AG3073">IF(AF3073="","",_xlfn.TEXTSPLIT(AF3073,"-"))</f>
        <v>0</v>
      </c>
      <c r="AH3073" s="168"/>
    </row>
    <row r="3074" spans="26:34" ht="24" customHeight="1">
      <c r="Z3074"/>
      <c r="AA3074"/>
      <c r="AB3074"/>
      <c r="AC3074"/>
      <c r="AD3074"/>
      <c r="AE3074" s="168" t="str">
        <f t="shared" si="47"/>
        <v/>
      </c>
      <c r="AF3074" s="168">
        <v>0</v>
      </c>
      <c r="AG3074" s="168" t="str" cm="1">
        <f t="array" ref="AG3074">IF(AF3074="","",_xlfn.TEXTSPLIT(AF3074,"-"))</f>
        <v>0</v>
      </c>
      <c r="AH3074" s="168"/>
    </row>
    <row r="3075" spans="26:34" ht="24" customHeight="1">
      <c r="Z3075"/>
      <c r="AA3075"/>
      <c r="AB3075"/>
      <c r="AC3075"/>
      <c r="AD3075"/>
      <c r="AE3075" s="168" t="str">
        <f t="shared" si="47"/>
        <v/>
      </c>
      <c r="AF3075" s="168">
        <v>0</v>
      </c>
      <c r="AG3075" s="168" t="str" cm="1">
        <f t="array" ref="AG3075">IF(AF3075="","",_xlfn.TEXTSPLIT(AF3075,"-"))</f>
        <v>0</v>
      </c>
      <c r="AH3075" s="168"/>
    </row>
    <row r="3076" spans="26:34" ht="24" customHeight="1">
      <c r="Z3076"/>
      <c r="AA3076"/>
      <c r="AB3076"/>
      <c r="AC3076"/>
      <c r="AD3076"/>
      <c r="AE3076" s="168" t="str">
        <f t="shared" si="47"/>
        <v/>
      </c>
      <c r="AF3076" s="168">
        <v>0</v>
      </c>
      <c r="AG3076" s="168" t="str" cm="1">
        <f t="array" ref="AG3076">IF(AF3076="","",_xlfn.TEXTSPLIT(AF3076,"-"))</f>
        <v>0</v>
      </c>
      <c r="AH3076" s="168"/>
    </row>
    <row r="3077" spans="26:34" ht="24" customHeight="1">
      <c r="Z3077"/>
      <c r="AA3077"/>
      <c r="AB3077"/>
      <c r="AC3077"/>
      <c r="AD3077"/>
      <c r="AE3077" s="168" t="str">
        <f t="shared" ref="AE3077:AE3140" si="48">IF(AH3077="","",AH3077*1)</f>
        <v/>
      </c>
      <c r="AF3077" s="168">
        <v>0</v>
      </c>
      <c r="AG3077" s="168" t="str" cm="1">
        <f t="array" ref="AG3077">IF(AF3077="","",_xlfn.TEXTSPLIT(AF3077,"-"))</f>
        <v>0</v>
      </c>
      <c r="AH3077" s="168"/>
    </row>
    <row r="3078" spans="26:34" ht="24" customHeight="1">
      <c r="Z3078"/>
      <c r="AA3078"/>
      <c r="AB3078"/>
      <c r="AC3078"/>
      <c r="AD3078"/>
      <c r="AE3078" s="168" t="str">
        <f t="shared" si="48"/>
        <v/>
      </c>
      <c r="AF3078" s="168">
        <v>0</v>
      </c>
      <c r="AG3078" s="168" t="str" cm="1">
        <f t="array" ref="AG3078">IF(AF3078="","",_xlfn.TEXTSPLIT(AF3078,"-"))</f>
        <v>0</v>
      </c>
      <c r="AH3078" s="168"/>
    </row>
    <row r="3079" spans="26:34" ht="24" customHeight="1">
      <c r="Z3079"/>
      <c r="AA3079"/>
      <c r="AB3079"/>
      <c r="AC3079"/>
      <c r="AD3079"/>
      <c r="AE3079" s="168" t="str">
        <f t="shared" si="48"/>
        <v/>
      </c>
      <c r="AF3079" s="168">
        <v>0</v>
      </c>
      <c r="AG3079" s="168" t="str" cm="1">
        <f t="array" ref="AG3079">IF(AF3079="","",_xlfn.TEXTSPLIT(AF3079,"-"))</f>
        <v>0</v>
      </c>
      <c r="AH3079" s="168"/>
    </row>
    <row r="3080" spans="26:34" ht="24" customHeight="1">
      <c r="Z3080"/>
      <c r="AA3080"/>
      <c r="AB3080"/>
      <c r="AC3080"/>
      <c r="AD3080"/>
      <c r="AE3080" s="168" t="str">
        <f t="shared" si="48"/>
        <v/>
      </c>
      <c r="AF3080" s="168">
        <v>0</v>
      </c>
      <c r="AG3080" s="168" t="str" cm="1">
        <f t="array" ref="AG3080">IF(AF3080="","",_xlfn.TEXTSPLIT(AF3080,"-"))</f>
        <v>0</v>
      </c>
      <c r="AH3080" s="168"/>
    </row>
    <row r="3081" spans="26:34" ht="24" customHeight="1">
      <c r="Z3081"/>
      <c r="AA3081"/>
      <c r="AB3081"/>
      <c r="AC3081"/>
      <c r="AD3081"/>
      <c r="AE3081" s="168" t="str">
        <f t="shared" si="48"/>
        <v/>
      </c>
      <c r="AF3081" s="168">
        <v>0</v>
      </c>
      <c r="AG3081" s="168" t="str" cm="1">
        <f t="array" ref="AG3081">IF(AF3081="","",_xlfn.TEXTSPLIT(AF3081,"-"))</f>
        <v>0</v>
      </c>
      <c r="AH3081" s="168"/>
    </row>
    <row r="3082" spans="26:34" ht="24" customHeight="1">
      <c r="Z3082"/>
      <c r="AA3082"/>
      <c r="AB3082"/>
      <c r="AC3082"/>
      <c r="AD3082"/>
      <c r="AE3082" s="168" t="str">
        <f t="shared" si="48"/>
        <v/>
      </c>
      <c r="AF3082" s="168">
        <v>0</v>
      </c>
      <c r="AG3082" s="168" t="str" cm="1">
        <f t="array" ref="AG3082">IF(AF3082="","",_xlfn.TEXTSPLIT(AF3082,"-"))</f>
        <v>0</v>
      </c>
      <c r="AH3082" s="168"/>
    </row>
    <row r="3083" spans="26:34" ht="24" customHeight="1">
      <c r="Z3083"/>
      <c r="AA3083"/>
      <c r="AB3083"/>
      <c r="AC3083"/>
      <c r="AD3083"/>
      <c r="AE3083" s="168" t="str">
        <f t="shared" si="48"/>
        <v/>
      </c>
      <c r="AF3083" s="168">
        <v>0</v>
      </c>
      <c r="AG3083" s="168" t="str" cm="1">
        <f t="array" ref="AG3083">IF(AF3083="","",_xlfn.TEXTSPLIT(AF3083,"-"))</f>
        <v>0</v>
      </c>
      <c r="AH3083" s="168"/>
    </row>
    <row r="3084" spans="26:34" ht="24" customHeight="1">
      <c r="Z3084"/>
      <c r="AA3084"/>
      <c r="AB3084"/>
      <c r="AC3084"/>
      <c r="AD3084"/>
      <c r="AE3084" s="168" t="str">
        <f t="shared" si="48"/>
        <v/>
      </c>
      <c r="AF3084" s="168">
        <v>0</v>
      </c>
      <c r="AG3084" s="168" t="str" cm="1">
        <f t="array" ref="AG3084">IF(AF3084="","",_xlfn.TEXTSPLIT(AF3084,"-"))</f>
        <v>0</v>
      </c>
      <c r="AH3084" s="168"/>
    </row>
    <row r="3085" spans="26:34" ht="24" customHeight="1">
      <c r="Z3085"/>
      <c r="AA3085"/>
      <c r="AB3085"/>
      <c r="AC3085"/>
      <c r="AD3085"/>
      <c r="AE3085" s="168" t="str">
        <f t="shared" si="48"/>
        <v/>
      </c>
      <c r="AF3085" s="168">
        <v>0</v>
      </c>
      <c r="AG3085" s="168" t="str" cm="1">
        <f t="array" ref="AG3085">IF(AF3085="","",_xlfn.TEXTSPLIT(AF3085,"-"))</f>
        <v>0</v>
      </c>
      <c r="AH3085" s="168"/>
    </row>
    <row r="3086" spans="26:34" ht="24" customHeight="1">
      <c r="Z3086"/>
      <c r="AA3086"/>
      <c r="AB3086"/>
      <c r="AC3086"/>
      <c r="AD3086"/>
      <c r="AE3086" s="168" t="str">
        <f t="shared" si="48"/>
        <v/>
      </c>
      <c r="AF3086" s="168">
        <v>0</v>
      </c>
      <c r="AG3086" s="168" t="str" cm="1">
        <f t="array" ref="AG3086">IF(AF3086="","",_xlfn.TEXTSPLIT(AF3086,"-"))</f>
        <v>0</v>
      </c>
      <c r="AH3086" s="168"/>
    </row>
    <row r="3087" spans="26:34" ht="24" customHeight="1">
      <c r="Z3087"/>
      <c r="AA3087"/>
      <c r="AB3087"/>
      <c r="AC3087"/>
      <c r="AD3087"/>
      <c r="AE3087" s="168" t="str">
        <f t="shared" si="48"/>
        <v/>
      </c>
      <c r="AF3087" s="168">
        <v>0</v>
      </c>
      <c r="AG3087" s="168" t="str" cm="1">
        <f t="array" ref="AG3087">IF(AF3087="","",_xlfn.TEXTSPLIT(AF3087,"-"))</f>
        <v>0</v>
      </c>
      <c r="AH3087" s="168"/>
    </row>
    <row r="3088" spans="26:34" ht="24" customHeight="1">
      <c r="Z3088"/>
      <c r="AA3088"/>
      <c r="AB3088"/>
      <c r="AC3088"/>
      <c r="AD3088"/>
      <c r="AE3088" s="168" t="str">
        <f t="shared" si="48"/>
        <v/>
      </c>
      <c r="AF3088" s="168">
        <v>0</v>
      </c>
      <c r="AG3088" s="168" t="str" cm="1">
        <f t="array" ref="AG3088">IF(AF3088="","",_xlfn.TEXTSPLIT(AF3088,"-"))</f>
        <v>0</v>
      </c>
      <c r="AH3088" s="168"/>
    </row>
    <row r="3089" spans="26:34" ht="24" customHeight="1">
      <c r="Z3089"/>
      <c r="AA3089"/>
      <c r="AB3089"/>
      <c r="AC3089"/>
      <c r="AD3089"/>
      <c r="AE3089" s="168" t="str">
        <f t="shared" si="48"/>
        <v/>
      </c>
      <c r="AF3089" s="168">
        <v>0</v>
      </c>
      <c r="AG3089" s="168" t="str" cm="1">
        <f t="array" ref="AG3089">IF(AF3089="","",_xlfn.TEXTSPLIT(AF3089,"-"))</f>
        <v>0</v>
      </c>
      <c r="AH3089" s="168"/>
    </row>
    <row r="3090" spans="26:34" ht="24" customHeight="1">
      <c r="Z3090"/>
      <c r="AA3090"/>
      <c r="AB3090"/>
      <c r="AC3090"/>
      <c r="AD3090"/>
      <c r="AE3090" s="168" t="str">
        <f t="shared" si="48"/>
        <v/>
      </c>
      <c r="AF3090" s="168">
        <v>0</v>
      </c>
      <c r="AG3090" s="168" t="str" cm="1">
        <f t="array" ref="AG3090">IF(AF3090="","",_xlfn.TEXTSPLIT(AF3090,"-"))</f>
        <v>0</v>
      </c>
      <c r="AH3090" s="168"/>
    </row>
    <row r="3091" spans="26:34" ht="24" customHeight="1">
      <c r="Z3091"/>
      <c r="AA3091"/>
      <c r="AB3091"/>
      <c r="AC3091"/>
      <c r="AD3091"/>
      <c r="AE3091" s="168" t="str">
        <f t="shared" si="48"/>
        <v/>
      </c>
      <c r="AF3091" s="168">
        <v>0</v>
      </c>
      <c r="AG3091" s="168" t="str" cm="1">
        <f t="array" ref="AG3091">IF(AF3091="","",_xlfn.TEXTSPLIT(AF3091,"-"))</f>
        <v>0</v>
      </c>
      <c r="AH3091" s="168"/>
    </row>
    <row r="3092" spans="26:34" ht="24" customHeight="1">
      <c r="Z3092"/>
      <c r="AA3092"/>
      <c r="AB3092"/>
      <c r="AC3092"/>
      <c r="AD3092"/>
      <c r="AE3092" s="168" t="str">
        <f t="shared" si="48"/>
        <v/>
      </c>
      <c r="AF3092" s="168">
        <v>0</v>
      </c>
      <c r="AG3092" s="168" t="str" cm="1">
        <f t="array" ref="AG3092">IF(AF3092="","",_xlfn.TEXTSPLIT(AF3092,"-"))</f>
        <v>0</v>
      </c>
      <c r="AH3092" s="168"/>
    </row>
    <row r="3093" spans="26:34" ht="24" customHeight="1">
      <c r="Z3093"/>
      <c r="AA3093"/>
      <c r="AB3093"/>
      <c r="AC3093"/>
      <c r="AD3093"/>
      <c r="AE3093" s="168" t="str">
        <f t="shared" si="48"/>
        <v/>
      </c>
      <c r="AF3093" s="168">
        <v>0</v>
      </c>
      <c r="AG3093" s="168" t="str" cm="1">
        <f t="array" ref="AG3093">IF(AF3093="","",_xlfn.TEXTSPLIT(AF3093,"-"))</f>
        <v>0</v>
      </c>
      <c r="AH3093" s="168"/>
    </row>
    <row r="3094" spans="26:34" ht="24" customHeight="1">
      <c r="Z3094"/>
      <c r="AA3094"/>
      <c r="AB3094"/>
      <c r="AC3094"/>
      <c r="AD3094"/>
      <c r="AE3094" s="168" t="str">
        <f t="shared" si="48"/>
        <v/>
      </c>
      <c r="AF3094" s="168">
        <v>0</v>
      </c>
      <c r="AG3094" s="168" t="str" cm="1">
        <f t="array" ref="AG3094">IF(AF3094="","",_xlfn.TEXTSPLIT(AF3094,"-"))</f>
        <v>0</v>
      </c>
      <c r="AH3094" s="168"/>
    </row>
    <row r="3095" spans="26:34" ht="24" customHeight="1">
      <c r="Z3095"/>
      <c r="AA3095"/>
      <c r="AB3095"/>
      <c r="AC3095"/>
      <c r="AD3095"/>
      <c r="AE3095" s="168" t="str">
        <f t="shared" si="48"/>
        <v/>
      </c>
      <c r="AF3095" s="168">
        <v>0</v>
      </c>
      <c r="AG3095" s="168" t="str" cm="1">
        <f t="array" ref="AG3095">IF(AF3095="","",_xlfn.TEXTSPLIT(AF3095,"-"))</f>
        <v>0</v>
      </c>
      <c r="AH3095" s="168"/>
    </row>
    <row r="3096" spans="26:34" ht="24" customHeight="1">
      <c r="Z3096"/>
      <c r="AA3096"/>
      <c r="AB3096"/>
      <c r="AC3096"/>
      <c r="AD3096"/>
      <c r="AE3096" s="168" t="str">
        <f t="shared" si="48"/>
        <v/>
      </c>
      <c r="AF3096" s="168">
        <v>0</v>
      </c>
      <c r="AG3096" s="168" t="str" cm="1">
        <f t="array" ref="AG3096">IF(AF3096="","",_xlfn.TEXTSPLIT(AF3096,"-"))</f>
        <v>0</v>
      </c>
      <c r="AH3096" s="168"/>
    </row>
    <row r="3097" spans="26:34" ht="24" customHeight="1">
      <c r="Z3097"/>
      <c r="AA3097"/>
      <c r="AB3097"/>
      <c r="AC3097"/>
      <c r="AD3097"/>
      <c r="AE3097" s="168" t="str">
        <f t="shared" si="48"/>
        <v/>
      </c>
      <c r="AF3097" s="168">
        <v>0</v>
      </c>
      <c r="AG3097" s="168" t="str" cm="1">
        <f t="array" ref="AG3097">IF(AF3097="","",_xlfn.TEXTSPLIT(AF3097,"-"))</f>
        <v>0</v>
      </c>
      <c r="AH3097" s="168"/>
    </row>
    <row r="3098" spans="26:34" ht="24" customHeight="1">
      <c r="Z3098"/>
      <c r="AA3098"/>
      <c r="AB3098"/>
      <c r="AC3098"/>
      <c r="AD3098"/>
      <c r="AE3098" s="168" t="str">
        <f t="shared" si="48"/>
        <v/>
      </c>
      <c r="AF3098" s="168">
        <v>0</v>
      </c>
      <c r="AG3098" s="168" t="str" cm="1">
        <f t="array" ref="AG3098">IF(AF3098="","",_xlfn.TEXTSPLIT(AF3098,"-"))</f>
        <v>0</v>
      </c>
      <c r="AH3098" s="168"/>
    </row>
    <row r="3099" spans="26:34" ht="24" customHeight="1">
      <c r="Z3099"/>
      <c r="AA3099"/>
      <c r="AB3099"/>
      <c r="AC3099"/>
      <c r="AD3099"/>
      <c r="AE3099" s="168" t="str">
        <f t="shared" si="48"/>
        <v/>
      </c>
      <c r="AF3099" s="168">
        <v>0</v>
      </c>
      <c r="AG3099" s="168" t="str" cm="1">
        <f t="array" ref="AG3099">IF(AF3099="","",_xlfn.TEXTSPLIT(AF3099,"-"))</f>
        <v>0</v>
      </c>
      <c r="AH3099" s="168"/>
    </row>
    <row r="3100" spans="26:34" ht="24" customHeight="1">
      <c r="Z3100"/>
      <c r="AA3100"/>
      <c r="AB3100"/>
      <c r="AC3100"/>
      <c r="AD3100"/>
      <c r="AE3100" s="168" t="str">
        <f t="shared" si="48"/>
        <v/>
      </c>
      <c r="AF3100" s="168">
        <v>0</v>
      </c>
      <c r="AG3100" s="168" t="str" cm="1">
        <f t="array" ref="AG3100">IF(AF3100="","",_xlfn.TEXTSPLIT(AF3100,"-"))</f>
        <v>0</v>
      </c>
      <c r="AH3100" s="168"/>
    </row>
    <row r="3101" spans="26:34" ht="24" customHeight="1">
      <c r="Z3101"/>
      <c r="AA3101"/>
      <c r="AB3101"/>
      <c r="AC3101"/>
      <c r="AD3101"/>
      <c r="AE3101" s="168" t="str">
        <f t="shared" si="48"/>
        <v/>
      </c>
      <c r="AF3101" s="168">
        <v>0</v>
      </c>
      <c r="AG3101" s="168" t="str" cm="1">
        <f t="array" ref="AG3101">IF(AF3101="","",_xlfn.TEXTSPLIT(AF3101,"-"))</f>
        <v>0</v>
      </c>
      <c r="AH3101" s="168"/>
    </row>
    <row r="3102" spans="26:34" ht="24" customHeight="1">
      <c r="Z3102"/>
      <c r="AA3102"/>
      <c r="AB3102"/>
      <c r="AC3102"/>
      <c r="AD3102"/>
      <c r="AE3102" s="168" t="str">
        <f t="shared" si="48"/>
        <v/>
      </c>
      <c r="AF3102" s="168">
        <v>0</v>
      </c>
      <c r="AG3102" s="168" t="str" cm="1">
        <f t="array" ref="AG3102">IF(AF3102="","",_xlfn.TEXTSPLIT(AF3102,"-"))</f>
        <v>0</v>
      </c>
      <c r="AH3102" s="168"/>
    </row>
    <row r="3103" spans="26:34" ht="24" customHeight="1">
      <c r="Z3103"/>
      <c r="AA3103"/>
      <c r="AB3103"/>
      <c r="AC3103"/>
      <c r="AD3103"/>
      <c r="AE3103" s="168" t="str">
        <f t="shared" si="48"/>
        <v/>
      </c>
      <c r="AF3103" s="168">
        <v>0</v>
      </c>
      <c r="AG3103" s="168" t="str" cm="1">
        <f t="array" ref="AG3103">IF(AF3103="","",_xlfn.TEXTSPLIT(AF3103,"-"))</f>
        <v>0</v>
      </c>
      <c r="AH3103" s="168"/>
    </row>
    <row r="3104" spans="26:34" ht="24" customHeight="1">
      <c r="Z3104"/>
      <c r="AA3104"/>
      <c r="AB3104"/>
      <c r="AC3104"/>
      <c r="AD3104"/>
      <c r="AE3104" s="168" t="str">
        <f t="shared" si="48"/>
        <v/>
      </c>
      <c r="AF3104" s="168">
        <v>0</v>
      </c>
      <c r="AG3104" s="168" t="str" cm="1">
        <f t="array" ref="AG3104">IF(AF3104="","",_xlfn.TEXTSPLIT(AF3104,"-"))</f>
        <v>0</v>
      </c>
      <c r="AH3104" s="168"/>
    </row>
    <row r="3105" spans="26:34" ht="24" customHeight="1">
      <c r="Z3105"/>
      <c r="AA3105"/>
      <c r="AB3105"/>
      <c r="AC3105"/>
      <c r="AD3105"/>
      <c r="AE3105" s="168" t="str">
        <f t="shared" si="48"/>
        <v/>
      </c>
      <c r="AF3105" s="168">
        <v>0</v>
      </c>
      <c r="AG3105" s="168" t="str" cm="1">
        <f t="array" ref="AG3105">IF(AF3105="","",_xlfn.TEXTSPLIT(AF3105,"-"))</f>
        <v>0</v>
      </c>
      <c r="AH3105" s="168"/>
    </row>
    <row r="3106" spans="26:34" ht="24" customHeight="1">
      <c r="Z3106"/>
      <c r="AA3106"/>
      <c r="AB3106"/>
      <c r="AC3106"/>
      <c r="AD3106"/>
      <c r="AE3106" s="168" t="str">
        <f t="shared" si="48"/>
        <v/>
      </c>
      <c r="AF3106" s="168">
        <v>0</v>
      </c>
      <c r="AG3106" s="168" t="str" cm="1">
        <f t="array" ref="AG3106">IF(AF3106="","",_xlfn.TEXTSPLIT(AF3106,"-"))</f>
        <v>0</v>
      </c>
      <c r="AH3106" s="168"/>
    </row>
    <row r="3107" spans="26:34" ht="24" customHeight="1">
      <c r="Z3107"/>
      <c r="AA3107"/>
      <c r="AB3107"/>
      <c r="AC3107"/>
      <c r="AD3107"/>
      <c r="AE3107" s="168" t="str">
        <f t="shared" si="48"/>
        <v/>
      </c>
      <c r="AF3107" s="168">
        <v>0</v>
      </c>
      <c r="AG3107" s="168" t="str" cm="1">
        <f t="array" ref="AG3107">IF(AF3107="","",_xlfn.TEXTSPLIT(AF3107,"-"))</f>
        <v>0</v>
      </c>
      <c r="AH3107" s="168"/>
    </row>
    <row r="3108" spans="26:34" ht="24" customHeight="1">
      <c r="Z3108"/>
      <c r="AA3108"/>
      <c r="AB3108"/>
      <c r="AC3108"/>
      <c r="AD3108"/>
      <c r="AE3108" s="168" t="str">
        <f t="shared" si="48"/>
        <v/>
      </c>
      <c r="AF3108" s="168">
        <v>0</v>
      </c>
      <c r="AG3108" s="168" t="str" cm="1">
        <f t="array" ref="AG3108">IF(AF3108="","",_xlfn.TEXTSPLIT(AF3108,"-"))</f>
        <v>0</v>
      </c>
      <c r="AH3108" s="168"/>
    </row>
    <row r="3109" spans="26:34" ht="24" customHeight="1">
      <c r="Z3109"/>
      <c r="AA3109"/>
      <c r="AB3109"/>
      <c r="AC3109"/>
      <c r="AD3109"/>
      <c r="AE3109" s="168" t="str">
        <f t="shared" si="48"/>
        <v/>
      </c>
      <c r="AF3109" s="168">
        <v>0</v>
      </c>
      <c r="AG3109" s="168" t="str" cm="1">
        <f t="array" ref="AG3109">IF(AF3109="","",_xlfn.TEXTSPLIT(AF3109,"-"))</f>
        <v>0</v>
      </c>
      <c r="AH3109" s="168"/>
    </row>
    <row r="3110" spans="26:34" ht="24" customHeight="1">
      <c r="Z3110"/>
      <c r="AA3110"/>
      <c r="AB3110"/>
      <c r="AC3110"/>
      <c r="AD3110"/>
      <c r="AE3110" s="168" t="str">
        <f t="shared" si="48"/>
        <v/>
      </c>
      <c r="AF3110" s="168">
        <v>0</v>
      </c>
      <c r="AG3110" s="168" t="str" cm="1">
        <f t="array" ref="AG3110">IF(AF3110="","",_xlfn.TEXTSPLIT(AF3110,"-"))</f>
        <v>0</v>
      </c>
      <c r="AH3110" s="168"/>
    </row>
    <row r="3111" spans="26:34" ht="24" customHeight="1">
      <c r="Z3111"/>
      <c r="AA3111"/>
      <c r="AB3111"/>
      <c r="AC3111"/>
      <c r="AD3111"/>
      <c r="AE3111" s="168" t="str">
        <f t="shared" si="48"/>
        <v/>
      </c>
      <c r="AF3111" s="168">
        <v>0</v>
      </c>
      <c r="AG3111" s="168" t="str" cm="1">
        <f t="array" ref="AG3111">IF(AF3111="","",_xlfn.TEXTSPLIT(AF3111,"-"))</f>
        <v>0</v>
      </c>
      <c r="AH3111" s="168"/>
    </row>
    <row r="3112" spans="26:34" ht="24" customHeight="1">
      <c r="Z3112"/>
      <c r="AA3112"/>
      <c r="AB3112"/>
      <c r="AC3112"/>
      <c r="AD3112"/>
      <c r="AE3112" s="168" t="str">
        <f t="shared" si="48"/>
        <v/>
      </c>
      <c r="AF3112" s="168">
        <v>0</v>
      </c>
      <c r="AG3112" s="168" t="str" cm="1">
        <f t="array" ref="AG3112">IF(AF3112="","",_xlfn.TEXTSPLIT(AF3112,"-"))</f>
        <v>0</v>
      </c>
      <c r="AH3112" s="168"/>
    </row>
    <row r="3113" spans="26:34" ht="24" customHeight="1">
      <c r="Z3113"/>
      <c r="AA3113"/>
      <c r="AB3113"/>
      <c r="AC3113"/>
      <c r="AD3113"/>
      <c r="AE3113" s="168" t="str">
        <f t="shared" si="48"/>
        <v/>
      </c>
      <c r="AF3113" s="168">
        <v>0</v>
      </c>
      <c r="AG3113" s="168" t="str" cm="1">
        <f t="array" ref="AG3113">IF(AF3113="","",_xlfn.TEXTSPLIT(AF3113,"-"))</f>
        <v>0</v>
      </c>
      <c r="AH3113" s="168"/>
    </row>
    <row r="3114" spans="26:34" ht="24" customHeight="1">
      <c r="Z3114"/>
      <c r="AA3114"/>
      <c r="AB3114"/>
      <c r="AC3114"/>
      <c r="AD3114"/>
      <c r="AE3114" s="168" t="str">
        <f t="shared" si="48"/>
        <v/>
      </c>
      <c r="AF3114" s="168">
        <v>0</v>
      </c>
      <c r="AG3114" s="168" t="str" cm="1">
        <f t="array" ref="AG3114">IF(AF3114="","",_xlfn.TEXTSPLIT(AF3114,"-"))</f>
        <v>0</v>
      </c>
      <c r="AH3114" s="168"/>
    </row>
    <row r="3115" spans="26:34" ht="24" customHeight="1">
      <c r="Z3115"/>
      <c r="AA3115"/>
      <c r="AB3115"/>
      <c r="AC3115"/>
      <c r="AD3115"/>
      <c r="AE3115" s="168" t="str">
        <f t="shared" si="48"/>
        <v/>
      </c>
      <c r="AF3115" s="168">
        <v>0</v>
      </c>
      <c r="AG3115" s="168" t="str" cm="1">
        <f t="array" ref="AG3115">IF(AF3115="","",_xlfn.TEXTSPLIT(AF3115,"-"))</f>
        <v>0</v>
      </c>
      <c r="AH3115" s="168"/>
    </row>
    <row r="3116" spans="26:34" ht="24" customHeight="1">
      <c r="Z3116"/>
      <c r="AA3116"/>
      <c r="AB3116"/>
      <c r="AC3116"/>
      <c r="AD3116"/>
      <c r="AE3116" s="168" t="str">
        <f t="shared" si="48"/>
        <v/>
      </c>
      <c r="AF3116" s="168">
        <v>0</v>
      </c>
      <c r="AG3116" s="168" t="str" cm="1">
        <f t="array" ref="AG3116">IF(AF3116="","",_xlfn.TEXTSPLIT(AF3116,"-"))</f>
        <v>0</v>
      </c>
      <c r="AH3116" s="168"/>
    </row>
    <row r="3117" spans="26:34" ht="24" customHeight="1">
      <c r="Z3117"/>
      <c r="AA3117"/>
      <c r="AB3117"/>
      <c r="AC3117"/>
      <c r="AD3117"/>
      <c r="AE3117" s="168" t="str">
        <f t="shared" si="48"/>
        <v/>
      </c>
      <c r="AF3117" s="168">
        <v>0</v>
      </c>
      <c r="AG3117" s="168" t="str" cm="1">
        <f t="array" ref="AG3117">IF(AF3117="","",_xlfn.TEXTSPLIT(AF3117,"-"))</f>
        <v>0</v>
      </c>
      <c r="AH3117" s="168"/>
    </row>
    <row r="3118" spans="26:34" ht="24" customHeight="1">
      <c r="Z3118"/>
      <c r="AA3118"/>
      <c r="AB3118"/>
      <c r="AC3118"/>
      <c r="AD3118"/>
      <c r="AE3118" s="168" t="str">
        <f t="shared" si="48"/>
        <v/>
      </c>
      <c r="AF3118" s="168">
        <v>0</v>
      </c>
      <c r="AG3118" s="168" t="str" cm="1">
        <f t="array" ref="AG3118">IF(AF3118="","",_xlfn.TEXTSPLIT(AF3118,"-"))</f>
        <v>0</v>
      </c>
      <c r="AH3118" s="168"/>
    </row>
    <row r="3119" spans="26:34" ht="24" customHeight="1">
      <c r="Z3119"/>
      <c r="AA3119"/>
      <c r="AB3119"/>
      <c r="AC3119"/>
      <c r="AD3119"/>
      <c r="AE3119" s="168" t="str">
        <f t="shared" si="48"/>
        <v/>
      </c>
      <c r="AF3119" s="168">
        <v>0</v>
      </c>
      <c r="AG3119" s="168" t="str" cm="1">
        <f t="array" ref="AG3119">IF(AF3119="","",_xlfn.TEXTSPLIT(AF3119,"-"))</f>
        <v>0</v>
      </c>
      <c r="AH3119" s="168"/>
    </row>
    <row r="3120" spans="26:34" ht="24" customHeight="1">
      <c r="Z3120"/>
      <c r="AA3120"/>
      <c r="AB3120"/>
      <c r="AC3120"/>
      <c r="AD3120"/>
      <c r="AE3120" s="168" t="str">
        <f t="shared" si="48"/>
        <v/>
      </c>
      <c r="AF3120" s="168">
        <v>0</v>
      </c>
      <c r="AG3120" s="168" t="str" cm="1">
        <f t="array" ref="AG3120">IF(AF3120="","",_xlfn.TEXTSPLIT(AF3120,"-"))</f>
        <v>0</v>
      </c>
      <c r="AH3120" s="168"/>
    </row>
    <row r="3121" spans="26:34" ht="24" customHeight="1">
      <c r="Z3121"/>
      <c r="AA3121"/>
      <c r="AB3121"/>
      <c r="AC3121"/>
      <c r="AD3121"/>
      <c r="AE3121" s="168" t="str">
        <f t="shared" si="48"/>
        <v/>
      </c>
      <c r="AF3121" s="168">
        <v>0</v>
      </c>
      <c r="AG3121" s="168" t="str" cm="1">
        <f t="array" ref="AG3121">IF(AF3121="","",_xlfn.TEXTSPLIT(AF3121,"-"))</f>
        <v>0</v>
      </c>
      <c r="AH3121" s="168"/>
    </row>
    <row r="3122" spans="26:34" ht="24" customHeight="1">
      <c r="Z3122"/>
      <c r="AA3122"/>
      <c r="AB3122"/>
      <c r="AC3122"/>
      <c r="AD3122"/>
      <c r="AE3122" s="168" t="str">
        <f t="shared" si="48"/>
        <v/>
      </c>
      <c r="AF3122" s="168">
        <v>0</v>
      </c>
      <c r="AG3122" s="168" t="str" cm="1">
        <f t="array" ref="AG3122">IF(AF3122="","",_xlfn.TEXTSPLIT(AF3122,"-"))</f>
        <v>0</v>
      </c>
      <c r="AH3122" s="168"/>
    </row>
    <row r="3123" spans="26:34" ht="24" customHeight="1">
      <c r="Z3123"/>
      <c r="AA3123"/>
      <c r="AB3123"/>
      <c r="AC3123"/>
      <c r="AD3123"/>
      <c r="AE3123" s="168" t="str">
        <f t="shared" si="48"/>
        <v/>
      </c>
      <c r="AF3123" s="168">
        <v>0</v>
      </c>
      <c r="AG3123" s="168" t="str" cm="1">
        <f t="array" ref="AG3123">IF(AF3123="","",_xlfn.TEXTSPLIT(AF3123,"-"))</f>
        <v>0</v>
      </c>
      <c r="AH3123" s="168"/>
    </row>
    <row r="3124" spans="26:34" ht="24" customHeight="1">
      <c r="Z3124"/>
      <c r="AA3124"/>
      <c r="AB3124"/>
      <c r="AC3124"/>
      <c r="AD3124"/>
      <c r="AE3124" s="168" t="str">
        <f t="shared" si="48"/>
        <v/>
      </c>
      <c r="AF3124" s="168">
        <v>0</v>
      </c>
      <c r="AG3124" s="168" t="str" cm="1">
        <f t="array" ref="AG3124">IF(AF3124="","",_xlfn.TEXTSPLIT(AF3124,"-"))</f>
        <v>0</v>
      </c>
      <c r="AH3124" s="168"/>
    </row>
    <row r="3125" spans="26:34" ht="24" customHeight="1">
      <c r="Z3125"/>
      <c r="AA3125"/>
      <c r="AB3125"/>
      <c r="AC3125"/>
      <c r="AD3125"/>
      <c r="AE3125" s="168" t="str">
        <f t="shared" si="48"/>
        <v/>
      </c>
      <c r="AF3125" s="168">
        <v>0</v>
      </c>
      <c r="AG3125" s="168" t="str" cm="1">
        <f t="array" ref="AG3125">IF(AF3125="","",_xlfn.TEXTSPLIT(AF3125,"-"))</f>
        <v>0</v>
      </c>
      <c r="AH3125" s="168"/>
    </row>
    <row r="3126" spans="26:34" ht="24" customHeight="1">
      <c r="Z3126"/>
      <c r="AA3126"/>
      <c r="AB3126"/>
      <c r="AC3126"/>
      <c r="AD3126"/>
      <c r="AE3126" s="168" t="str">
        <f t="shared" si="48"/>
        <v/>
      </c>
      <c r="AF3126" s="168">
        <v>0</v>
      </c>
      <c r="AG3126" s="168" t="str" cm="1">
        <f t="array" ref="AG3126">IF(AF3126="","",_xlfn.TEXTSPLIT(AF3126,"-"))</f>
        <v>0</v>
      </c>
      <c r="AH3126" s="168"/>
    </row>
    <row r="3127" spans="26:34" ht="24" customHeight="1">
      <c r="Z3127"/>
      <c r="AA3127"/>
      <c r="AB3127"/>
      <c r="AC3127"/>
      <c r="AD3127"/>
      <c r="AE3127" s="168" t="str">
        <f t="shared" si="48"/>
        <v/>
      </c>
      <c r="AF3127" s="168">
        <v>0</v>
      </c>
      <c r="AG3127" s="168" t="str" cm="1">
        <f t="array" ref="AG3127">IF(AF3127="","",_xlfn.TEXTSPLIT(AF3127,"-"))</f>
        <v>0</v>
      </c>
      <c r="AH3127" s="168"/>
    </row>
    <row r="3128" spans="26:34" ht="24" customHeight="1">
      <c r="Z3128"/>
      <c r="AA3128"/>
      <c r="AB3128"/>
      <c r="AC3128"/>
      <c r="AD3128"/>
      <c r="AE3128" s="168" t="str">
        <f t="shared" si="48"/>
        <v/>
      </c>
      <c r="AF3128" s="168">
        <v>0</v>
      </c>
      <c r="AG3128" s="168" t="str" cm="1">
        <f t="array" ref="AG3128">IF(AF3128="","",_xlfn.TEXTSPLIT(AF3128,"-"))</f>
        <v>0</v>
      </c>
      <c r="AH3128" s="168"/>
    </row>
    <row r="3129" spans="26:34" ht="24" customHeight="1">
      <c r="Z3129"/>
      <c r="AA3129"/>
      <c r="AB3129"/>
      <c r="AC3129"/>
      <c r="AD3129"/>
      <c r="AE3129" s="168" t="str">
        <f t="shared" si="48"/>
        <v/>
      </c>
      <c r="AF3129" s="168">
        <v>0</v>
      </c>
      <c r="AG3129" s="168" t="str" cm="1">
        <f t="array" ref="AG3129">IF(AF3129="","",_xlfn.TEXTSPLIT(AF3129,"-"))</f>
        <v>0</v>
      </c>
      <c r="AH3129" s="168"/>
    </row>
    <row r="3130" spans="26:34" ht="24" customHeight="1">
      <c r="Z3130"/>
      <c r="AA3130"/>
      <c r="AB3130"/>
      <c r="AC3130"/>
      <c r="AD3130"/>
      <c r="AE3130" s="168" t="str">
        <f t="shared" si="48"/>
        <v/>
      </c>
      <c r="AF3130" s="168">
        <v>0</v>
      </c>
      <c r="AG3130" s="168" t="str" cm="1">
        <f t="array" ref="AG3130">IF(AF3130="","",_xlfn.TEXTSPLIT(AF3130,"-"))</f>
        <v>0</v>
      </c>
      <c r="AH3130" s="168"/>
    </row>
    <row r="3131" spans="26:34" ht="24" customHeight="1">
      <c r="Z3131"/>
      <c r="AA3131"/>
      <c r="AB3131"/>
      <c r="AC3131"/>
      <c r="AD3131"/>
      <c r="AE3131" s="168" t="str">
        <f t="shared" si="48"/>
        <v/>
      </c>
      <c r="AF3131" s="168">
        <v>0</v>
      </c>
      <c r="AG3131" s="168" t="str" cm="1">
        <f t="array" ref="AG3131">IF(AF3131="","",_xlfn.TEXTSPLIT(AF3131,"-"))</f>
        <v>0</v>
      </c>
      <c r="AH3131" s="168"/>
    </row>
    <row r="3132" spans="26:34" ht="24" customHeight="1">
      <c r="Z3132"/>
      <c r="AA3132"/>
      <c r="AB3132"/>
      <c r="AC3132"/>
      <c r="AD3132"/>
      <c r="AE3132" s="168" t="str">
        <f t="shared" si="48"/>
        <v/>
      </c>
      <c r="AF3132" s="168">
        <v>0</v>
      </c>
      <c r="AG3132" s="168" t="str" cm="1">
        <f t="array" ref="AG3132">IF(AF3132="","",_xlfn.TEXTSPLIT(AF3132,"-"))</f>
        <v>0</v>
      </c>
      <c r="AH3132" s="168"/>
    </row>
    <row r="3133" spans="26:34" ht="24" customHeight="1">
      <c r="Z3133"/>
      <c r="AA3133"/>
      <c r="AB3133"/>
      <c r="AC3133"/>
      <c r="AD3133"/>
      <c r="AE3133" s="168" t="str">
        <f t="shared" si="48"/>
        <v/>
      </c>
      <c r="AF3133" s="168">
        <v>0</v>
      </c>
      <c r="AG3133" s="168" t="str" cm="1">
        <f t="array" ref="AG3133">IF(AF3133="","",_xlfn.TEXTSPLIT(AF3133,"-"))</f>
        <v>0</v>
      </c>
      <c r="AH3133" s="168"/>
    </row>
    <row r="3134" spans="26:34" ht="24" customHeight="1">
      <c r="Z3134"/>
      <c r="AA3134"/>
      <c r="AB3134"/>
      <c r="AC3134"/>
      <c r="AD3134"/>
      <c r="AE3134" s="168" t="str">
        <f t="shared" si="48"/>
        <v/>
      </c>
      <c r="AF3134" s="168">
        <v>0</v>
      </c>
      <c r="AG3134" s="168" t="str" cm="1">
        <f t="array" ref="AG3134">IF(AF3134="","",_xlfn.TEXTSPLIT(AF3134,"-"))</f>
        <v>0</v>
      </c>
      <c r="AH3134" s="168"/>
    </row>
    <row r="3135" spans="26:34" ht="24" customHeight="1">
      <c r="Z3135"/>
      <c r="AA3135"/>
      <c r="AB3135"/>
      <c r="AC3135"/>
      <c r="AD3135"/>
      <c r="AE3135" s="168" t="str">
        <f t="shared" si="48"/>
        <v/>
      </c>
      <c r="AF3135" s="168">
        <v>0</v>
      </c>
      <c r="AG3135" s="168" t="str" cm="1">
        <f t="array" ref="AG3135">IF(AF3135="","",_xlfn.TEXTSPLIT(AF3135,"-"))</f>
        <v>0</v>
      </c>
      <c r="AH3135" s="168"/>
    </row>
    <row r="3136" spans="26:34" ht="24" customHeight="1">
      <c r="Z3136"/>
      <c r="AA3136"/>
      <c r="AB3136"/>
      <c r="AC3136"/>
      <c r="AD3136"/>
      <c r="AE3136" s="168" t="str">
        <f t="shared" si="48"/>
        <v/>
      </c>
      <c r="AF3136" s="168">
        <v>0</v>
      </c>
      <c r="AG3136" s="168" t="str" cm="1">
        <f t="array" ref="AG3136">IF(AF3136="","",_xlfn.TEXTSPLIT(AF3136,"-"))</f>
        <v>0</v>
      </c>
      <c r="AH3136" s="168"/>
    </row>
    <row r="3137" spans="26:34" ht="24" customHeight="1">
      <c r="Z3137"/>
      <c r="AA3137"/>
      <c r="AB3137"/>
      <c r="AC3137"/>
      <c r="AD3137"/>
      <c r="AE3137" s="168" t="str">
        <f t="shared" si="48"/>
        <v/>
      </c>
      <c r="AF3137" s="168">
        <v>0</v>
      </c>
      <c r="AG3137" s="168" t="str" cm="1">
        <f t="array" ref="AG3137">IF(AF3137="","",_xlfn.TEXTSPLIT(AF3137,"-"))</f>
        <v>0</v>
      </c>
      <c r="AH3137" s="168"/>
    </row>
    <row r="3138" spans="26:34" ht="24" customHeight="1">
      <c r="Z3138"/>
      <c r="AA3138"/>
      <c r="AB3138"/>
      <c r="AC3138"/>
      <c r="AD3138"/>
      <c r="AE3138" s="168" t="str">
        <f t="shared" si="48"/>
        <v/>
      </c>
      <c r="AF3138" s="168">
        <v>0</v>
      </c>
      <c r="AG3138" s="168" t="str" cm="1">
        <f t="array" ref="AG3138">IF(AF3138="","",_xlfn.TEXTSPLIT(AF3138,"-"))</f>
        <v>0</v>
      </c>
      <c r="AH3138" s="168"/>
    </row>
    <row r="3139" spans="26:34" ht="24" customHeight="1">
      <c r="Z3139"/>
      <c r="AA3139"/>
      <c r="AB3139"/>
      <c r="AC3139"/>
      <c r="AD3139"/>
      <c r="AE3139" s="168" t="str">
        <f t="shared" si="48"/>
        <v/>
      </c>
      <c r="AF3139" s="168">
        <v>0</v>
      </c>
      <c r="AG3139" s="168" t="str" cm="1">
        <f t="array" ref="AG3139">IF(AF3139="","",_xlfn.TEXTSPLIT(AF3139,"-"))</f>
        <v>0</v>
      </c>
      <c r="AH3139" s="168"/>
    </row>
    <row r="3140" spans="26:34" ht="24" customHeight="1">
      <c r="Z3140"/>
      <c r="AA3140"/>
      <c r="AB3140"/>
      <c r="AC3140"/>
      <c r="AD3140"/>
      <c r="AE3140" s="168" t="str">
        <f t="shared" si="48"/>
        <v/>
      </c>
      <c r="AF3140" s="168">
        <v>0</v>
      </c>
      <c r="AG3140" s="168" t="str" cm="1">
        <f t="array" ref="AG3140">IF(AF3140="","",_xlfn.TEXTSPLIT(AF3140,"-"))</f>
        <v>0</v>
      </c>
      <c r="AH3140" s="168"/>
    </row>
    <row r="3141" spans="26:34" ht="24" customHeight="1">
      <c r="Z3141"/>
      <c r="AA3141"/>
      <c r="AB3141"/>
      <c r="AC3141"/>
      <c r="AD3141"/>
      <c r="AE3141" s="168" t="str">
        <f t="shared" ref="AE3141:AE3204" si="49">IF(AH3141="","",AH3141*1)</f>
        <v/>
      </c>
      <c r="AF3141" s="168">
        <v>0</v>
      </c>
      <c r="AG3141" s="168" t="str" cm="1">
        <f t="array" ref="AG3141">IF(AF3141="","",_xlfn.TEXTSPLIT(AF3141,"-"))</f>
        <v>0</v>
      </c>
      <c r="AH3141" s="168"/>
    </row>
    <row r="3142" spans="26:34" ht="24" customHeight="1">
      <c r="Z3142"/>
      <c r="AA3142"/>
      <c r="AB3142"/>
      <c r="AC3142"/>
      <c r="AD3142"/>
      <c r="AE3142" s="168" t="str">
        <f t="shared" si="49"/>
        <v/>
      </c>
      <c r="AF3142" s="168">
        <v>0</v>
      </c>
      <c r="AG3142" s="168" t="str" cm="1">
        <f t="array" ref="AG3142">IF(AF3142="","",_xlfn.TEXTSPLIT(AF3142,"-"))</f>
        <v>0</v>
      </c>
      <c r="AH3142" s="168"/>
    </row>
    <row r="3143" spans="26:34" ht="24" customHeight="1">
      <c r="Z3143"/>
      <c r="AA3143"/>
      <c r="AB3143"/>
      <c r="AC3143"/>
      <c r="AD3143"/>
      <c r="AE3143" s="168" t="str">
        <f t="shared" si="49"/>
        <v/>
      </c>
      <c r="AF3143" s="168">
        <v>0</v>
      </c>
      <c r="AG3143" s="168" t="str" cm="1">
        <f t="array" ref="AG3143">IF(AF3143="","",_xlfn.TEXTSPLIT(AF3143,"-"))</f>
        <v>0</v>
      </c>
      <c r="AH3143" s="168"/>
    </row>
    <row r="3144" spans="26:34" ht="24" customHeight="1">
      <c r="Z3144"/>
      <c r="AA3144"/>
      <c r="AB3144"/>
      <c r="AC3144"/>
      <c r="AD3144"/>
      <c r="AE3144" s="168" t="str">
        <f t="shared" si="49"/>
        <v/>
      </c>
      <c r="AF3144" s="168">
        <v>0</v>
      </c>
      <c r="AG3144" s="168" t="str" cm="1">
        <f t="array" ref="AG3144">IF(AF3144="","",_xlfn.TEXTSPLIT(AF3144,"-"))</f>
        <v>0</v>
      </c>
      <c r="AH3144" s="168"/>
    </row>
    <row r="3145" spans="26:34" ht="24" customHeight="1">
      <c r="Z3145"/>
      <c r="AA3145"/>
      <c r="AB3145"/>
      <c r="AC3145"/>
      <c r="AD3145"/>
      <c r="AE3145" s="168" t="str">
        <f t="shared" si="49"/>
        <v/>
      </c>
      <c r="AF3145" s="168">
        <v>0</v>
      </c>
      <c r="AG3145" s="168" t="str" cm="1">
        <f t="array" ref="AG3145">IF(AF3145="","",_xlfn.TEXTSPLIT(AF3145,"-"))</f>
        <v>0</v>
      </c>
      <c r="AH3145" s="168"/>
    </row>
    <row r="3146" spans="26:34" ht="24" customHeight="1">
      <c r="Z3146"/>
      <c r="AA3146"/>
      <c r="AB3146"/>
      <c r="AC3146"/>
      <c r="AD3146"/>
      <c r="AE3146" s="168" t="str">
        <f t="shared" si="49"/>
        <v/>
      </c>
      <c r="AF3146" s="168">
        <v>0</v>
      </c>
      <c r="AG3146" s="168" t="str" cm="1">
        <f t="array" ref="AG3146">IF(AF3146="","",_xlfn.TEXTSPLIT(AF3146,"-"))</f>
        <v>0</v>
      </c>
      <c r="AH3146" s="168"/>
    </row>
    <row r="3147" spans="26:34" ht="24" customHeight="1">
      <c r="Z3147"/>
      <c r="AA3147"/>
      <c r="AB3147"/>
      <c r="AC3147"/>
      <c r="AD3147"/>
      <c r="AE3147" s="168" t="str">
        <f t="shared" si="49"/>
        <v/>
      </c>
      <c r="AF3147" s="168">
        <v>0</v>
      </c>
      <c r="AG3147" s="168" t="str" cm="1">
        <f t="array" ref="AG3147">IF(AF3147="","",_xlfn.TEXTSPLIT(AF3147,"-"))</f>
        <v>0</v>
      </c>
      <c r="AH3147" s="168"/>
    </row>
    <row r="3148" spans="26:34" ht="24" customHeight="1">
      <c r="Z3148"/>
      <c r="AA3148"/>
      <c r="AB3148"/>
      <c r="AC3148"/>
      <c r="AD3148"/>
      <c r="AE3148" s="168" t="str">
        <f t="shared" si="49"/>
        <v/>
      </c>
      <c r="AF3148" s="168">
        <v>0</v>
      </c>
      <c r="AG3148" s="168" t="str" cm="1">
        <f t="array" ref="AG3148">IF(AF3148="","",_xlfn.TEXTSPLIT(AF3148,"-"))</f>
        <v>0</v>
      </c>
      <c r="AH3148" s="168"/>
    </row>
    <row r="3149" spans="26:34" ht="24" customHeight="1">
      <c r="Z3149"/>
      <c r="AA3149"/>
      <c r="AB3149"/>
      <c r="AC3149"/>
      <c r="AD3149"/>
      <c r="AE3149" s="168" t="str">
        <f t="shared" si="49"/>
        <v/>
      </c>
      <c r="AF3149" s="168">
        <v>0</v>
      </c>
      <c r="AG3149" s="168" t="str" cm="1">
        <f t="array" ref="AG3149">IF(AF3149="","",_xlfn.TEXTSPLIT(AF3149,"-"))</f>
        <v>0</v>
      </c>
      <c r="AH3149" s="168"/>
    </row>
    <row r="3150" spans="26:34" ht="24" customHeight="1">
      <c r="Z3150"/>
      <c r="AA3150"/>
      <c r="AB3150"/>
      <c r="AC3150"/>
      <c r="AD3150"/>
      <c r="AE3150" s="168" t="str">
        <f t="shared" si="49"/>
        <v/>
      </c>
      <c r="AF3150" s="168">
        <v>0</v>
      </c>
      <c r="AG3150" s="168" t="str" cm="1">
        <f t="array" ref="AG3150">IF(AF3150="","",_xlfn.TEXTSPLIT(AF3150,"-"))</f>
        <v>0</v>
      </c>
      <c r="AH3150" s="168"/>
    </row>
    <row r="3151" spans="26:34" ht="24" customHeight="1">
      <c r="Z3151"/>
      <c r="AA3151"/>
      <c r="AB3151"/>
      <c r="AC3151"/>
      <c r="AD3151"/>
      <c r="AE3151" s="168" t="str">
        <f t="shared" si="49"/>
        <v/>
      </c>
      <c r="AF3151" s="168">
        <v>0</v>
      </c>
      <c r="AG3151" s="168" t="str" cm="1">
        <f t="array" ref="AG3151">IF(AF3151="","",_xlfn.TEXTSPLIT(AF3151,"-"))</f>
        <v>0</v>
      </c>
      <c r="AH3151" s="168"/>
    </row>
    <row r="3152" spans="26:34" ht="24" customHeight="1">
      <c r="Z3152"/>
      <c r="AA3152"/>
      <c r="AB3152"/>
      <c r="AC3152"/>
      <c r="AD3152"/>
      <c r="AE3152" s="168" t="str">
        <f t="shared" si="49"/>
        <v/>
      </c>
      <c r="AF3152" s="168">
        <v>0</v>
      </c>
      <c r="AG3152" s="168" t="str" cm="1">
        <f t="array" ref="AG3152">IF(AF3152="","",_xlfn.TEXTSPLIT(AF3152,"-"))</f>
        <v>0</v>
      </c>
      <c r="AH3152" s="168"/>
    </row>
    <row r="3153" spans="26:34" ht="24" customHeight="1">
      <c r="Z3153"/>
      <c r="AA3153"/>
      <c r="AB3153"/>
      <c r="AC3153"/>
      <c r="AD3153"/>
      <c r="AE3153" s="168" t="str">
        <f t="shared" si="49"/>
        <v/>
      </c>
      <c r="AF3153" s="168">
        <v>0</v>
      </c>
      <c r="AG3153" s="168" t="str" cm="1">
        <f t="array" ref="AG3153">IF(AF3153="","",_xlfn.TEXTSPLIT(AF3153,"-"))</f>
        <v>0</v>
      </c>
      <c r="AH3153" s="168"/>
    </row>
    <row r="3154" spans="26:34" ht="24" customHeight="1">
      <c r="Z3154"/>
      <c r="AA3154"/>
      <c r="AB3154"/>
      <c r="AC3154"/>
      <c r="AD3154"/>
      <c r="AE3154" s="168" t="str">
        <f t="shared" si="49"/>
        <v/>
      </c>
      <c r="AF3154" s="168">
        <v>0</v>
      </c>
      <c r="AG3154" s="168" t="str" cm="1">
        <f t="array" ref="AG3154">IF(AF3154="","",_xlfn.TEXTSPLIT(AF3154,"-"))</f>
        <v>0</v>
      </c>
      <c r="AH3154" s="168"/>
    </row>
    <row r="3155" spans="26:34" ht="24" customHeight="1">
      <c r="Z3155"/>
      <c r="AA3155"/>
      <c r="AB3155"/>
      <c r="AC3155"/>
      <c r="AD3155"/>
      <c r="AE3155" s="168" t="str">
        <f t="shared" si="49"/>
        <v/>
      </c>
      <c r="AF3155" s="168">
        <v>0</v>
      </c>
      <c r="AG3155" s="168" t="str" cm="1">
        <f t="array" ref="AG3155">IF(AF3155="","",_xlfn.TEXTSPLIT(AF3155,"-"))</f>
        <v>0</v>
      </c>
      <c r="AH3155" s="168"/>
    </row>
    <row r="3156" spans="26:34" ht="24" customHeight="1">
      <c r="Z3156"/>
      <c r="AA3156"/>
      <c r="AB3156"/>
      <c r="AC3156"/>
      <c r="AD3156"/>
      <c r="AE3156" s="168" t="str">
        <f t="shared" si="49"/>
        <v/>
      </c>
      <c r="AF3156" s="168">
        <v>0</v>
      </c>
      <c r="AG3156" s="168" t="str" cm="1">
        <f t="array" ref="AG3156">IF(AF3156="","",_xlfn.TEXTSPLIT(AF3156,"-"))</f>
        <v>0</v>
      </c>
      <c r="AH3156" s="168"/>
    </row>
    <row r="3157" spans="26:34" ht="24" customHeight="1">
      <c r="Z3157"/>
      <c r="AA3157"/>
      <c r="AB3157"/>
      <c r="AC3157"/>
      <c r="AD3157"/>
      <c r="AE3157" s="168" t="str">
        <f t="shared" si="49"/>
        <v/>
      </c>
      <c r="AF3157" s="168">
        <v>0</v>
      </c>
      <c r="AG3157" s="168" t="str" cm="1">
        <f t="array" ref="AG3157">IF(AF3157="","",_xlfn.TEXTSPLIT(AF3157,"-"))</f>
        <v>0</v>
      </c>
      <c r="AH3157" s="168"/>
    </row>
    <row r="3158" spans="26:34" ht="24" customHeight="1">
      <c r="Z3158"/>
      <c r="AA3158"/>
      <c r="AB3158"/>
      <c r="AC3158"/>
      <c r="AD3158"/>
      <c r="AE3158" s="168" t="str">
        <f t="shared" si="49"/>
        <v/>
      </c>
      <c r="AF3158" s="168">
        <v>0</v>
      </c>
      <c r="AG3158" s="168" t="str" cm="1">
        <f t="array" ref="AG3158">IF(AF3158="","",_xlfn.TEXTSPLIT(AF3158,"-"))</f>
        <v>0</v>
      </c>
      <c r="AH3158" s="168"/>
    </row>
    <row r="3159" spans="26:34" ht="24" customHeight="1">
      <c r="Z3159"/>
      <c r="AA3159"/>
      <c r="AB3159"/>
      <c r="AC3159"/>
      <c r="AD3159"/>
      <c r="AE3159" s="168" t="str">
        <f t="shared" si="49"/>
        <v/>
      </c>
      <c r="AF3159" s="168">
        <v>0</v>
      </c>
      <c r="AG3159" s="168" t="str" cm="1">
        <f t="array" ref="AG3159">IF(AF3159="","",_xlfn.TEXTSPLIT(AF3159,"-"))</f>
        <v>0</v>
      </c>
      <c r="AH3159" s="168"/>
    </row>
    <row r="3160" spans="26:34" ht="24" customHeight="1">
      <c r="Z3160"/>
      <c r="AA3160"/>
      <c r="AB3160"/>
      <c r="AC3160"/>
      <c r="AD3160"/>
      <c r="AE3160" s="168" t="str">
        <f t="shared" si="49"/>
        <v/>
      </c>
      <c r="AF3160" s="168">
        <v>0</v>
      </c>
      <c r="AG3160" s="168" t="str" cm="1">
        <f t="array" ref="AG3160">IF(AF3160="","",_xlfn.TEXTSPLIT(AF3160,"-"))</f>
        <v>0</v>
      </c>
      <c r="AH3160" s="168"/>
    </row>
    <row r="3161" spans="26:34" ht="24" customHeight="1">
      <c r="Z3161"/>
      <c r="AA3161"/>
      <c r="AB3161"/>
      <c r="AC3161"/>
      <c r="AD3161"/>
      <c r="AE3161" s="168" t="str">
        <f t="shared" si="49"/>
        <v/>
      </c>
      <c r="AF3161" s="168">
        <v>0</v>
      </c>
      <c r="AG3161" s="168" t="str" cm="1">
        <f t="array" ref="AG3161">IF(AF3161="","",_xlfn.TEXTSPLIT(AF3161,"-"))</f>
        <v>0</v>
      </c>
      <c r="AH3161" s="168"/>
    </row>
    <row r="3162" spans="26:34" ht="24" customHeight="1">
      <c r="Z3162"/>
      <c r="AA3162"/>
      <c r="AB3162"/>
      <c r="AC3162"/>
      <c r="AD3162"/>
      <c r="AE3162" s="168" t="str">
        <f t="shared" si="49"/>
        <v/>
      </c>
      <c r="AF3162" s="168">
        <v>0</v>
      </c>
      <c r="AG3162" s="168" t="str" cm="1">
        <f t="array" ref="AG3162">IF(AF3162="","",_xlfn.TEXTSPLIT(AF3162,"-"))</f>
        <v>0</v>
      </c>
      <c r="AH3162" s="168"/>
    </row>
    <row r="3163" spans="26:34" ht="24" customHeight="1">
      <c r="Z3163"/>
      <c r="AA3163"/>
      <c r="AB3163"/>
      <c r="AC3163"/>
      <c r="AD3163"/>
      <c r="AE3163" s="168" t="str">
        <f t="shared" si="49"/>
        <v/>
      </c>
      <c r="AF3163" s="168">
        <v>0</v>
      </c>
      <c r="AG3163" s="168" t="str" cm="1">
        <f t="array" ref="AG3163">IF(AF3163="","",_xlfn.TEXTSPLIT(AF3163,"-"))</f>
        <v>0</v>
      </c>
      <c r="AH3163" s="168"/>
    </row>
    <row r="3164" spans="26:34" ht="24" customHeight="1">
      <c r="Z3164"/>
      <c r="AA3164"/>
      <c r="AB3164"/>
      <c r="AC3164"/>
      <c r="AD3164"/>
      <c r="AE3164" s="168" t="str">
        <f t="shared" si="49"/>
        <v/>
      </c>
      <c r="AF3164" s="168">
        <v>0</v>
      </c>
      <c r="AG3164" s="168" t="str" cm="1">
        <f t="array" ref="AG3164">IF(AF3164="","",_xlfn.TEXTSPLIT(AF3164,"-"))</f>
        <v>0</v>
      </c>
      <c r="AH3164" s="168"/>
    </row>
    <row r="3165" spans="26:34" ht="24" customHeight="1">
      <c r="Z3165"/>
      <c r="AA3165"/>
      <c r="AB3165"/>
      <c r="AC3165"/>
      <c r="AD3165"/>
      <c r="AE3165" s="168" t="str">
        <f t="shared" si="49"/>
        <v/>
      </c>
      <c r="AF3165" s="168">
        <v>0</v>
      </c>
      <c r="AG3165" s="168" t="str" cm="1">
        <f t="array" ref="AG3165">IF(AF3165="","",_xlfn.TEXTSPLIT(AF3165,"-"))</f>
        <v>0</v>
      </c>
      <c r="AH3165" s="168"/>
    </row>
    <row r="3166" spans="26:34" ht="24" customHeight="1">
      <c r="Z3166"/>
      <c r="AA3166"/>
      <c r="AB3166"/>
      <c r="AC3166"/>
      <c r="AD3166"/>
      <c r="AE3166" s="168" t="str">
        <f t="shared" si="49"/>
        <v/>
      </c>
      <c r="AF3166" s="168">
        <v>0</v>
      </c>
      <c r="AG3166" s="168" t="str" cm="1">
        <f t="array" ref="AG3166">IF(AF3166="","",_xlfn.TEXTSPLIT(AF3166,"-"))</f>
        <v>0</v>
      </c>
      <c r="AH3166" s="168"/>
    </row>
    <row r="3167" spans="26:34" ht="24" customHeight="1">
      <c r="Z3167"/>
      <c r="AA3167"/>
      <c r="AB3167"/>
      <c r="AC3167"/>
      <c r="AD3167"/>
      <c r="AE3167" s="168" t="str">
        <f t="shared" si="49"/>
        <v/>
      </c>
      <c r="AF3167" s="168">
        <v>0</v>
      </c>
      <c r="AG3167" s="168" t="str" cm="1">
        <f t="array" ref="AG3167">IF(AF3167="","",_xlfn.TEXTSPLIT(AF3167,"-"))</f>
        <v>0</v>
      </c>
      <c r="AH3167" s="168"/>
    </row>
    <row r="3168" spans="26:34" ht="24" customHeight="1">
      <c r="Z3168"/>
      <c r="AA3168"/>
      <c r="AB3168"/>
      <c r="AC3168"/>
      <c r="AD3168"/>
      <c r="AE3168" s="168" t="str">
        <f t="shared" si="49"/>
        <v/>
      </c>
      <c r="AF3168" s="168">
        <v>0</v>
      </c>
      <c r="AG3168" s="168" t="str" cm="1">
        <f t="array" ref="AG3168">IF(AF3168="","",_xlfn.TEXTSPLIT(AF3168,"-"))</f>
        <v>0</v>
      </c>
      <c r="AH3168" s="168"/>
    </row>
    <row r="3169" spans="26:34" ht="24" customHeight="1">
      <c r="Z3169"/>
      <c r="AA3169"/>
      <c r="AB3169"/>
      <c r="AC3169"/>
      <c r="AD3169"/>
      <c r="AE3169" s="168" t="str">
        <f t="shared" si="49"/>
        <v/>
      </c>
      <c r="AF3169" s="168">
        <v>0</v>
      </c>
      <c r="AG3169" s="168" t="str" cm="1">
        <f t="array" ref="AG3169">IF(AF3169="","",_xlfn.TEXTSPLIT(AF3169,"-"))</f>
        <v>0</v>
      </c>
      <c r="AH3169" s="168"/>
    </row>
    <row r="3170" spans="26:34" ht="24" customHeight="1">
      <c r="Z3170"/>
      <c r="AA3170"/>
      <c r="AB3170"/>
      <c r="AC3170"/>
      <c r="AD3170"/>
      <c r="AE3170" s="168" t="str">
        <f t="shared" si="49"/>
        <v/>
      </c>
      <c r="AF3170" s="168">
        <v>0</v>
      </c>
      <c r="AG3170" s="168" t="str" cm="1">
        <f t="array" ref="AG3170">IF(AF3170="","",_xlfn.TEXTSPLIT(AF3170,"-"))</f>
        <v>0</v>
      </c>
      <c r="AH3170" s="168"/>
    </row>
    <row r="3171" spans="26:34" ht="24" customHeight="1">
      <c r="Z3171"/>
      <c r="AA3171"/>
      <c r="AB3171"/>
      <c r="AC3171"/>
      <c r="AD3171"/>
      <c r="AE3171" s="168" t="str">
        <f t="shared" si="49"/>
        <v/>
      </c>
      <c r="AF3171" s="168">
        <v>0</v>
      </c>
      <c r="AG3171" s="168" t="str" cm="1">
        <f t="array" ref="AG3171">IF(AF3171="","",_xlfn.TEXTSPLIT(AF3171,"-"))</f>
        <v>0</v>
      </c>
      <c r="AH3171" s="168"/>
    </row>
    <row r="3172" spans="26:34" ht="24" customHeight="1">
      <c r="Z3172"/>
      <c r="AA3172"/>
      <c r="AB3172"/>
      <c r="AC3172"/>
      <c r="AD3172"/>
      <c r="AE3172" s="168" t="str">
        <f t="shared" si="49"/>
        <v/>
      </c>
      <c r="AF3172" s="168">
        <v>0</v>
      </c>
      <c r="AG3172" s="168" t="str" cm="1">
        <f t="array" ref="AG3172">IF(AF3172="","",_xlfn.TEXTSPLIT(AF3172,"-"))</f>
        <v>0</v>
      </c>
      <c r="AH3172" s="168"/>
    </row>
    <row r="3173" spans="26:34" ht="24" customHeight="1">
      <c r="Z3173"/>
      <c r="AA3173"/>
      <c r="AB3173"/>
      <c r="AC3173"/>
      <c r="AD3173"/>
      <c r="AE3173" s="168" t="str">
        <f t="shared" si="49"/>
        <v/>
      </c>
      <c r="AF3173" s="168">
        <v>0</v>
      </c>
      <c r="AG3173" s="168" t="str" cm="1">
        <f t="array" ref="AG3173">IF(AF3173="","",_xlfn.TEXTSPLIT(AF3173,"-"))</f>
        <v>0</v>
      </c>
      <c r="AH3173" s="168"/>
    </row>
    <row r="3174" spans="26:34" ht="24" customHeight="1">
      <c r="Z3174"/>
      <c r="AA3174"/>
      <c r="AB3174"/>
      <c r="AC3174"/>
      <c r="AD3174"/>
      <c r="AE3174" s="168" t="str">
        <f t="shared" si="49"/>
        <v/>
      </c>
      <c r="AF3174" s="168">
        <v>0</v>
      </c>
      <c r="AG3174" s="168" t="str" cm="1">
        <f t="array" ref="AG3174">IF(AF3174="","",_xlfn.TEXTSPLIT(AF3174,"-"))</f>
        <v>0</v>
      </c>
      <c r="AH3174" s="168"/>
    </row>
    <row r="3175" spans="26:34" ht="24" customHeight="1">
      <c r="Z3175"/>
      <c r="AA3175"/>
      <c r="AB3175"/>
      <c r="AC3175"/>
      <c r="AD3175"/>
      <c r="AE3175" s="168" t="str">
        <f t="shared" si="49"/>
        <v/>
      </c>
      <c r="AF3175" s="168">
        <v>0</v>
      </c>
      <c r="AG3175" s="168" t="str" cm="1">
        <f t="array" ref="AG3175">IF(AF3175="","",_xlfn.TEXTSPLIT(AF3175,"-"))</f>
        <v>0</v>
      </c>
      <c r="AH3175" s="168"/>
    </row>
    <row r="3176" spans="26:34" ht="24" customHeight="1">
      <c r="Z3176"/>
      <c r="AA3176"/>
      <c r="AB3176"/>
      <c r="AC3176"/>
      <c r="AD3176"/>
      <c r="AE3176" s="168" t="str">
        <f t="shared" si="49"/>
        <v/>
      </c>
      <c r="AF3176" s="168">
        <v>0</v>
      </c>
      <c r="AG3176" s="168" t="str" cm="1">
        <f t="array" ref="AG3176">IF(AF3176="","",_xlfn.TEXTSPLIT(AF3176,"-"))</f>
        <v>0</v>
      </c>
      <c r="AH3176" s="168"/>
    </row>
    <row r="3177" spans="26:34" ht="24" customHeight="1">
      <c r="Z3177"/>
      <c r="AA3177"/>
      <c r="AB3177"/>
      <c r="AC3177"/>
      <c r="AD3177"/>
      <c r="AE3177" s="168" t="str">
        <f t="shared" si="49"/>
        <v/>
      </c>
      <c r="AF3177" s="168">
        <v>0</v>
      </c>
      <c r="AG3177" s="168" t="str" cm="1">
        <f t="array" ref="AG3177">IF(AF3177="","",_xlfn.TEXTSPLIT(AF3177,"-"))</f>
        <v>0</v>
      </c>
      <c r="AH3177" s="168"/>
    </row>
    <row r="3178" spans="26:34" ht="24" customHeight="1">
      <c r="Z3178"/>
      <c r="AA3178"/>
      <c r="AB3178"/>
      <c r="AC3178"/>
      <c r="AD3178"/>
      <c r="AE3178" s="168" t="str">
        <f t="shared" si="49"/>
        <v/>
      </c>
      <c r="AF3178" s="168">
        <v>0</v>
      </c>
      <c r="AG3178" s="168" t="str" cm="1">
        <f t="array" ref="AG3178">IF(AF3178="","",_xlfn.TEXTSPLIT(AF3178,"-"))</f>
        <v>0</v>
      </c>
      <c r="AH3178" s="168"/>
    </row>
    <row r="3179" spans="26:34" ht="24" customHeight="1">
      <c r="Z3179"/>
      <c r="AA3179"/>
      <c r="AB3179"/>
      <c r="AC3179"/>
      <c r="AD3179"/>
      <c r="AE3179" s="168" t="str">
        <f t="shared" si="49"/>
        <v/>
      </c>
      <c r="AF3179" s="168">
        <v>0</v>
      </c>
      <c r="AG3179" s="168" t="str" cm="1">
        <f t="array" ref="AG3179">IF(AF3179="","",_xlfn.TEXTSPLIT(AF3179,"-"))</f>
        <v>0</v>
      </c>
      <c r="AH3179" s="168"/>
    </row>
    <row r="3180" spans="26:34" ht="24" customHeight="1">
      <c r="Z3180"/>
      <c r="AA3180"/>
      <c r="AB3180"/>
      <c r="AC3180"/>
      <c r="AD3180"/>
      <c r="AE3180" s="168" t="str">
        <f t="shared" si="49"/>
        <v/>
      </c>
      <c r="AF3180" s="168">
        <v>0</v>
      </c>
      <c r="AG3180" s="168" t="str" cm="1">
        <f t="array" ref="AG3180">IF(AF3180="","",_xlfn.TEXTSPLIT(AF3180,"-"))</f>
        <v>0</v>
      </c>
      <c r="AH3180" s="168"/>
    </row>
    <row r="3181" spans="26:34" ht="24" customHeight="1">
      <c r="Z3181"/>
      <c r="AA3181"/>
      <c r="AB3181"/>
      <c r="AC3181"/>
      <c r="AD3181"/>
      <c r="AE3181" s="168" t="str">
        <f t="shared" si="49"/>
        <v/>
      </c>
      <c r="AF3181" s="168">
        <v>0</v>
      </c>
      <c r="AG3181" s="168" t="str" cm="1">
        <f t="array" ref="AG3181">IF(AF3181="","",_xlfn.TEXTSPLIT(AF3181,"-"))</f>
        <v>0</v>
      </c>
      <c r="AH3181" s="168"/>
    </row>
    <row r="3182" spans="26:34" ht="24" customHeight="1">
      <c r="Z3182"/>
      <c r="AA3182"/>
      <c r="AB3182"/>
      <c r="AC3182"/>
      <c r="AD3182"/>
      <c r="AE3182" s="168" t="str">
        <f t="shared" si="49"/>
        <v/>
      </c>
      <c r="AF3182" s="168">
        <v>0</v>
      </c>
      <c r="AG3182" s="168" t="str" cm="1">
        <f t="array" ref="AG3182">IF(AF3182="","",_xlfn.TEXTSPLIT(AF3182,"-"))</f>
        <v>0</v>
      </c>
      <c r="AH3182" s="168"/>
    </row>
    <row r="3183" spans="26:34" ht="24" customHeight="1">
      <c r="Z3183"/>
      <c r="AA3183"/>
      <c r="AB3183"/>
      <c r="AC3183"/>
      <c r="AD3183"/>
      <c r="AE3183" s="168" t="str">
        <f t="shared" si="49"/>
        <v/>
      </c>
      <c r="AF3183" s="168">
        <v>0</v>
      </c>
      <c r="AG3183" s="168" t="str" cm="1">
        <f t="array" ref="AG3183">IF(AF3183="","",_xlfn.TEXTSPLIT(AF3183,"-"))</f>
        <v>0</v>
      </c>
      <c r="AH3183" s="168"/>
    </row>
    <row r="3184" spans="26:34" ht="24" customHeight="1">
      <c r="Z3184"/>
      <c r="AA3184"/>
      <c r="AB3184"/>
      <c r="AC3184"/>
      <c r="AD3184"/>
      <c r="AE3184" s="168" t="str">
        <f t="shared" si="49"/>
        <v/>
      </c>
      <c r="AF3184" s="168">
        <v>0</v>
      </c>
      <c r="AG3184" s="168" t="str" cm="1">
        <f t="array" ref="AG3184">IF(AF3184="","",_xlfn.TEXTSPLIT(AF3184,"-"))</f>
        <v>0</v>
      </c>
      <c r="AH3184" s="168"/>
    </row>
    <row r="3185" spans="26:34" ht="24" customHeight="1">
      <c r="Z3185"/>
      <c r="AA3185"/>
      <c r="AB3185"/>
      <c r="AC3185"/>
      <c r="AD3185"/>
      <c r="AE3185" s="168" t="str">
        <f t="shared" si="49"/>
        <v/>
      </c>
      <c r="AF3185" s="168">
        <v>0</v>
      </c>
      <c r="AG3185" s="168" t="str" cm="1">
        <f t="array" ref="AG3185">IF(AF3185="","",_xlfn.TEXTSPLIT(AF3185,"-"))</f>
        <v>0</v>
      </c>
      <c r="AH3185" s="168"/>
    </row>
    <row r="3186" spans="26:34" ht="24" customHeight="1">
      <c r="Z3186"/>
      <c r="AA3186"/>
      <c r="AB3186"/>
      <c r="AC3186"/>
      <c r="AD3186"/>
      <c r="AE3186" s="168" t="str">
        <f t="shared" si="49"/>
        <v/>
      </c>
      <c r="AF3186" s="168">
        <v>0</v>
      </c>
      <c r="AG3186" s="168" t="str" cm="1">
        <f t="array" ref="AG3186">IF(AF3186="","",_xlfn.TEXTSPLIT(AF3186,"-"))</f>
        <v>0</v>
      </c>
      <c r="AH3186" s="168"/>
    </row>
    <row r="3187" spans="26:34" ht="24" customHeight="1">
      <c r="Z3187"/>
      <c r="AA3187"/>
      <c r="AB3187"/>
      <c r="AC3187"/>
      <c r="AD3187"/>
      <c r="AE3187" s="168" t="str">
        <f t="shared" si="49"/>
        <v/>
      </c>
      <c r="AF3187" s="168">
        <v>0</v>
      </c>
      <c r="AG3187" s="168" t="str" cm="1">
        <f t="array" ref="AG3187">IF(AF3187="","",_xlfn.TEXTSPLIT(AF3187,"-"))</f>
        <v>0</v>
      </c>
      <c r="AH3187" s="168"/>
    </row>
    <row r="3188" spans="26:34" ht="24" customHeight="1">
      <c r="Z3188"/>
      <c r="AA3188"/>
      <c r="AB3188"/>
      <c r="AC3188"/>
      <c r="AD3188"/>
      <c r="AE3188" s="168" t="str">
        <f t="shared" si="49"/>
        <v/>
      </c>
      <c r="AF3188" s="168">
        <v>0</v>
      </c>
      <c r="AG3188" s="168" t="str" cm="1">
        <f t="array" ref="AG3188">IF(AF3188="","",_xlfn.TEXTSPLIT(AF3188,"-"))</f>
        <v>0</v>
      </c>
      <c r="AH3188" s="168"/>
    </row>
    <row r="3189" spans="26:34" ht="24" customHeight="1">
      <c r="Z3189"/>
      <c r="AA3189"/>
      <c r="AB3189"/>
      <c r="AC3189"/>
      <c r="AD3189"/>
      <c r="AE3189" s="168" t="str">
        <f t="shared" si="49"/>
        <v/>
      </c>
      <c r="AF3189" s="168">
        <v>0</v>
      </c>
      <c r="AG3189" s="168" t="str" cm="1">
        <f t="array" ref="AG3189">IF(AF3189="","",_xlfn.TEXTSPLIT(AF3189,"-"))</f>
        <v>0</v>
      </c>
      <c r="AH3189" s="168"/>
    </row>
    <row r="3190" spans="26:34" ht="24" customHeight="1">
      <c r="Z3190"/>
      <c r="AA3190"/>
      <c r="AB3190"/>
      <c r="AC3190"/>
      <c r="AD3190"/>
      <c r="AE3190" s="168" t="str">
        <f t="shared" si="49"/>
        <v/>
      </c>
      <c r="AF3190" s="168">
        <v>0</v>
      </c>
      <c r="AG3190" s="168" t="str" cm="1">
        <f t="array" ref="AG3190">IF(AF3190="","",_xlfn.TEXTSPLIT(AF3190,"-"))</f>
        <v>0</v>
      </c>
      <c r="AH3190" s="168"/>
    </row>
    <row r="3191" spans="26:34" ht="24" customHeight="1">
      <c r="Z3191"/>
      <c r="AA3191"/>
      <c r="AB3191"/>
      <c r="AC3191"/>
      <c r="AD3191"/>
      <c r="AE3191" s="168" t="str">
        <f t="shared" si="49"/>
        <v/>
      </c>
      <c r="AF3191" s="168">
        <v>0</v>
      </c>
      <c r="AG3191" s="168" t="str" cm="1">
        <f t="array" ref="AG3191">IF(AF3191="","",_xlfn.TEXTSPLIT(AF3191,"-"))</f>
        <v>0</v>
      </c>
      <c r="AH3191" s="168"/>
    </row>
    <row r="3192" spans="26:34" ht="24" customHeight="1">
      <c r="Z3192"/>
      <c r="AA3192"/>
      <c r="AB3192"/>
      <c r="AC3192"/>
      <c r="AD3192"/>
      <c r="AE3192" s="168" t="str">
        <f t="shared" si="49"/>
        <v/>
      </c>
      <c r="AF3192" s="168">
        <v>0</v>
      </c>
      <c r="AG3192" s="168" t="str" cm="1">
        <f t="array" ref="AG3192">IF(AF3192="","",_xlfn.TEXTSPLIT(AF3192,"-"))</f>
        <v>0</v>
      </c>
      <c r="AH3192" s="168"/>
    </row>
    <row r="3193" spans="26:34" ht="24" customHeight="1">
      <c r="Z3193"/>
      <c r="AA3193"/>
      <c r="AB3193"/>
      <c r="AC3193"/>
      <c r="AD3193"/>
      <c r="AE3193" s="168" t="str">
        <f t="shared" si="49"/>
        <v/>
      </c>
      <c r="AF3193" s="168">
        <v>0</v>
      </c>
      <c r="AG3193" s="168" t="str" cm="1">
        <f t="array" ref="AG3193">IF(AF3193="","",_xlfn.TEXTSPLIT(AF3193,"-"))</f>
        <v>0</v>
      </c>
      <c r="AH3193" s="168"/>
    </row>
    <row r="3194" spans="26:34" ht="24" customHeight="1">
      <c r="Z3194"/>
      <c r="AA3194"/>
      <c r="AB3194"/>
      <c r="AC3194"/>
      <c r="AD3194"/>
      <c r="AE3194" s="168" t="str">
        <f t="shared" si="49"/>
        <v/>
      </c>
      <c r="AF3194" s="168">
        <v>0</v>
      </c>
      <c r="AG3194" s="168" t="str" cm="1">
        <f t="array" ref="AG3194">IF(AF3194="","",_xlfn.TEXTSPLIT(AF3194,"-"))</f>
        <v>0</v>
      </c>
      <c r="AH3194" s="168"/>
    </row>
    <row r="3195" spans="26:34" ht="24" customHeight="1">
      <c r="Z3195"/>
      <c r="AA3195"/>
      <c r="AB3195"/>
      <c r="AC3195"/>
      <c r="AD3195"/>
      <c r="AE3195" s="168" t="str">
        <f t="shared" si="49"/>
        <v/>
      </c>
      <c r="AF3195" s="168">
        <v>0</v>
      </c>
      <c r="AG3195" s="168" t="str" cm="1">
        <f t="array" ref="AG3195">IF(AF3195="","",_xlfn.TEXTSPLIT(AF3195,"-"))</f>
        <v>0</v>
      </c>
      <c r="AH3195" s="168"/>
    </row>
    <row r="3196" spans="26:34" ht="24" customHeight="1">
      <c r="Z3196"/>
      <c r="AA3196"/>
      <c r="AB3196"/>
      <c r="AC3196"/>
      <c r="AD3196"/>
      <c r="AE3196" s="168" t="str">
        <f t="shared" si="49"/>
        <v/>
      </c>
      <c r="AF3196" s="168">
        <v>0</v>
      </c>
      <c r="AG3196" s="168" t="str" cm="1">
        <f t="array" ref="AG3196">IF(AF3196="","",_xlfn.TEXTSPLIT(AF3196,"-"))</f>
        <v>0</v>
      </c>
      <c r="AH3196" s="168"/>
    </row>
    <row r="3197" spans="26:34" ht="24" customHeight="1">
      <c r="Z3197"/>
      <c r="AA3197"/>
      <c r="AB3197"/>
      <c r="AC3197"/>
      <c r="AD3197"/>
      <c r="AE3197" s="168" t="str">
        <f t="shared" si="49"/>
        <v/>
      </c>
      <c r="AF3197" s="168">
        <v>0</v>
      </c>
      <c r="AG3197" s="168" t="str" cm="1">
        <f t="array" ref="AG3197">IF(AF3197="","",_xlfn.TEXTSPLIT(AF3197,"-"))</f>
        <v>0</v>
      </c>
      <c r="AH3197" s="168"/>
    </row>
    <row r="3198" spans="26:34" ht="24" customHeight="1">
      <c r="Z3198"/>
      <c r="AA3198"/>
      <c r="AB3198"/>
      <c r="AC3198"/>
      <c r="AD3198"/>
      <c r="AE3198" s="168" t="str">
        <f t="shared" si="49"/>
        <v/>
      </c>
      <c r="AF3198" s="168">
        <v>0</v>
      </c>
      <c r="AG3198" s="168" t="str" cm="1">
        <f t="array" ref="AG3198">IF(AF3198="","",_xlfn.TEXTSPLIT(AF3198,"-"))</f>
        <v>0</v>
      </c>
      <c r="AH3198" s="168"/>
    </row>
    <row r="3199" spans="26:34" ht="24" customHeight="1">
      <c r="Z3199"/>
      <c r="AA3199"/>
      <c r="AB3199"/>
      <c r="AC3199"/>
      <c r="AD3199"/>
      <c r="AE3199" s="168" t="str">
        <f t="shared" si="49"/>
        <v/>
      </c>
      <c r="AF3199" s="168">
        <v>0</v>
      </c>
      <c r="AG3199" s="168" t="str" cm="1">
        <f t="array" ref="AG3199">IF(AF3199="","",_xlfn.TEXTSPLIT(AF3199,"-"))</f>
        <v>0</v>
      </c>
      <c r="AH3199" s="168"/>
    </row>
    <row r="3200" spans="26:34" ht="24" customHeight="1">
      <c r="Z3200"/>
      <c r="AA3200"/>
      <c r="AB3200"/>
      <c r="AC3200"/>
      <c r="AD3200"/>
      <c r="AE3200" s="168" t="str">
        <f t="shared" si="49"/>
        <v/>
      </c>
      <c r="AF3200" s="168">
        <v>0</v>
      </c>
      <c r="AG3200" s="168" t="str" cm="1">
        <f t="array" ref="AG3200">IF(AF3200="","",_xlfn.TEXTSPLIT(AF3200,"-"))</f>
        <v>0</v>
      </c>
      <c r="AH3200" s="168"/>
    </row>
    <row r="3201" spans="26:34" ht="24" customHeight="1">
      <c r="Z3201"/>
      <c r="AA3201"/>
      <c r="AB3201"/>
      <c r="AC3201"/>
      <c r="AD3201"/>
      <c r="AE3201" s="168" t="str">
        <f t="shared" si="49"/>
        <v/>
      </c>
      <c r="AF3201" s="168">
        <v>0</v>
      </c>
      <c r="AG3201" s="168" t="str" cm="1">
        <f t="array" ref="AG3201">IF(AF3201="","",_xlfn.TEXTSPLIT(AF3201,"-"))</f>
        <v>0</v>
      </c>
      <c r="AH3201" s="168"/>
    </row>
    <row r="3202" spans="26:34" ht="24" customHeight="1">
      <c r="Z3202"/>
      <c r="AA3202"/>
      <c r="AB3202"/>
      <c r="AC3202"/>
      <c r="AD3202"/>
      <c r="AE3202" s="168" t="str">
        <f t="shared" si="49"/>
        <v/>
      </c>
      <c r="AF3202" s="168">
        <v>0</v>
      </c>
      <c r="AG3202" s="168" t="str" cm="1">
        <f t="array" ref="AG3202">IF(AF3202="","",_xlfn.TEXTSPLIT(AF3202,"-"))</f>
        <v>0</v>
      </c>
      <c r="AH3202" s="168"/>
    </row>
    <row r="3203" spans="26:34" ht="24" customHeight="1">
      <c r="Z3203"/>
      <c r="AA3203"/>
      <c r="AB3203"/>
      <c r="AC3203"/>
      <c r="AD3203"/>
      <c r="AE3203" s="168" t="str">
        <f t="shared" si="49"/>
        <v/>
      </c>
      <c r="AF3203" s="168">
        <v>0</v>
      </c>
      <c r="AG3203" s="168" t="str" cm="1">
        <f t="array" ref="AG3203">IF(AF3203="","",_xlfn.TEXTSPLIT(AF3203,"-"))</f>
        <v>0</v>
      </c>
      <c r="AH3203" s="168"/>
    </row>
    <row r="3204" spans="26:34" ht="24" customHeight="1">
      <c r="Z3204"/>
      <c r="AA3204"/>
      <c r="AB3204"/>
      <c r="AC3204"/>
      <c r="AD3204"/>
      <c r="AE3204" s="168" t="str">
        <f t="shared" si="49"/>
        <v/>
      </c>
      <c r="AF3204" s="168">
        <v>0</v>
      </c>
      <c r="AG3204" s="168" t="str" cm="1">
        <f t="array" ref="AG3204">IF(AF3204="","",_xlfn.TEXTSPLIT(AF3204,"-"))</f>
        <v>0</v>
      </c>
      <c r="AH3204" s="168"/>
    </row>
    <row r="3205" spans="26:34" ht="24" customHeight="1">
      <c r="Z3205"/>
      <c r="AA3205"/>
      <c r="AB3205"/>
      <c r="AC3205"/>
      <c r="AD3205"/>
      <c r="AE3205" s="168" t="str">
        <f t="shared" ref="AE3205:AE3268" si="50">IF(AH3205="","",AH3205*1)</f>
        <v/>
      </c>
      <c r="AF3205" s="168">
        <v>0</v>
      </c>
      <c r="AG3205" s="168" t="str" cm="1">
        <f t="array" ref="AG3205">IF(AF3205="","",_xlfn.TEXTSPLIT(AF3205,"-"))</f>
        <v>0</v>
      </c>
      <c r="AH3205" s="168"/>
    </row>
    <row r="3206" spans="26:34" ht="24" customHeight="1">
      <c r="Z3206"/>
      <c r="AA3206"/>
      <c r="AB3206"/>
      <c r="AC3206"/>
      <c r="AD3206"/>
      <c r="AE3206" s="168" t="str">
        <f t="shared" si="50"/>
        <v/>
      </c>
      <c r="AF3206" s="168">
        <v>0</v>
      </c>
      <c r="AG3206" s="168" t="str" cm="1">
        <f t="array" ref="AG3206">IF(AF3206="","",_xlfn.TEXTSPLIT(AF3206,"-"))</f>
        <v>0</v>
      </c>
      <c r="AH3206" s="168"/>
    </row>
    <row r="3207" spans="26:34" ht="24" customHeight="1">
      <c r="Z3207"/>
      <c r="AA3207"/>
      <c r="AB3207"/>
      <c r="AC3207"/>
      <c r="AD3207"/>
      <c r="AE3207" s="168" t="str">
        <f t="shared" si="50"/>
        <v/>
      </c>
      <c r="AF3207" s="168">
        <v>0</v>
      </c>
      <c r="AG3207" s="168" t="str" cm="1">
        <f t="array" ref="AG3207">IF(AF3207="","",_xlfn.TEXTSPLIT(AF3207,"-"))</f>
        <v>0</v>
      </c>
      <c r="AH3207" s="168"/>
    </row>
    <row r="3208" spans="26:34" ht="24" customHeight="1">
      <c r="Z3208"/>
      <c r="AA3208"/>
      <c r="AB3208"/>
      <c r="AC3208"/>
      <c r="AD3208"/>
      <c r="AE3208" s="168" t="str">
        <f t="shared" si="50"/>
        <v/>
      </c>
      <c r="AF3208" s="168">
        <v>0</v>
      </c>
      <c r="AG3208" s="168" t="str" cm="1">
        <f t="array" ref="AG3208">IF(AF3208="","",_xlfn.TEXTSPLIT(AF3208,"-"))</f>
        <v>0</v>
      </c>
      <c r="AH3208" s="168"/>
    </row>
    <row r="3209" spans="26:34" ht="24" customHeight="1">
      <c r="Z3209"/>
      <c r="AA3209"/>
      <c r="AB3209"/>
      <c r="AC3209"/>
      <c r="AD3209"/>
      <c r="AE3209" s="168" t="str">
        <f t="shared" si="50"/>
        <v/>
      </c>
      <c r="AF3209" s="168">
        <v>0</v>
      </c>
      <c r="AG3209" s="168" t="str" cm="1">
        <f t="array" ref="AG3209">IF(AF3209="","",_xlfn.TEXTSPLIT(AF3209,"-"))</f>
        <v>0</v>
      </c>
      <c r="AH3209" s="168"/>
    </row>
    <row r="3210" spans="26:34" ht="24" customHeight="1">
      <c r="Z3210"/>
      <c r="AA3210"/>
      <c r="AB3210"/>
      <c r="AC3210"/>
      <c r="AD3210"/>
      <c r="AE3210" s="168" t="str">
        <f t="shared" si="50"/>
        <v/>
      </c>
      <c r="AF3210" s="168">
        <v>0</v>
      </c>
      <c r="AG3210" s="168" t="str" cm="1">
        <f t="array" ref="AG3210">IF(AF3210="","",_xlfn.TEXTSPLIT(AF3210,"-"))</f>
        <v>0</v>
      </c>
      <c r="AH3210" s="168"/>
    </row>
    <row r="3211" spans="26:34" ht="24" customHeight="1">
      <c r="Z3211"/>
      <c r="AA3211"/>
      <c r="AB3211"/>
      <c r="AC3211"/>
      <c r="AD3211"/>
      <c r="AE3211" s="168" t="str">
        <f t="shared" si="50"/>
        <v/>
      </c>
      <c r="AF3211" s="168">
        <v>0</v>
      </c>
      <c r="AG3211" s="168" t="str" cm="1">
        <f t="array" ref="AG3211">IF(AF3211="","",_xlfn.TEXTSPLIT(AF3211,"-"))</f>
        <v>0</v>
      </c>
      <c r="AH3211" s="168"/>
    </row>
    <row r="3212" spans="26:34" ht="24" customHeight="1">
      <c r="Z3212"/>
      <c r="AA3212"/>
      <c r="AB3212"/>
      <c r="AC3212"/>
      <c r="AD3212"/>
      <c r="AE3212" s="168" t="str">
        <f t="shared" si="50"/>
        <v/>
      </c>
      <c r="AF3212" s="168">
        <v>0</v>
      </c>
      <c r="AG3212" s="168" t="str" cm="1">
        <f t="array" ref="AG3212">IF(AF3212="","",_xlfn.TEXTSPLIT(AF3212,"-"))</f>
        <v>0</v>
      </c>
      <c r="AH3212" s="168"/>
    </row>
    <row r="3213" spans="26:34" ht="24" customHeight="1">
      <c r="Z3213"/>
      <c r="AA3213"/>
      <c r="AB3213"/>
      <c r="AC3213"/>
      <c r="AD3213"/>
      <c r="AE3213" s="168" t="str">
        <f t="shared" si="50"/>
        <v/>
      </c>
      <c r="AF3213" s="168">
        <v>0</v>
      </c>
      <c r="AG3213" s="168" t="str" cm="1">
        <f t="array" ref="AG3213">IF(AF3213="","",_xlfn.TEXTSPLIT(AF3213,"-"))</f>
        <v>0</v>
      </c>
      <c r="AH3213" s="168"/>
    </row>
    <row r="3214" spans="26:34" ht="24" customHeight="1">
      <c r="Z3214"/>
      <c r="AA3214"/>
      <c r="AB3214"/>
      <c r="AC3214"/>
      <c r="AD3214"/>
      <c r="AE3214" s="168" t="str">
        <f t="shared" si="50"/>
        <v/>
      </c>
      <c r="AF3214" s="168">
        <v>0</v>
      </c>
      <c r="AG3214" s="168" t="str" cm="1">
        <f t="array" ref="AG3214">IF(AF3214="","",_xlfn.TEXTSPLIT(AF3214,"-"))</f>
        <v>0</v>
      </c>
      <c r="AH3214" s="168"/>
    </row>
    <row r="3215" spans="26:34" ht="24" customHeight="1">
      <c r="Z3215"/>
      <c r="AA3215"/>
      <c r="AB3215"/>
      <c r="AC3215"/>
      <c r="AD3215"/>
      <c r="AE3215" s="168" t="str">
        <f t="shared" si="50"/>
        <v/>
      </c>
      <c r="AF3215" s="168">
        <v>0</v>
      </c>
      <c r="AG3215" s="168" t="str" cm="1">
        <f t="array" ref="AG3215">IF(AF3215="","",_xlfn.TEXTSPLIT(AF3215,"-"))</f>
        <v>0</v>
      </c>
      <c r="AH3215" s="168"/>
    </row>
    <row r="3216" spans="26:34" ht="24" customHeight="1">
      <c r="Z3216"/>
      <c r="AA3216"/>
      <c r="AB3216"/>
      <c r="AC3216"/>
      <c r="AD3216"/>
      <c r="AE3216" s="168" t="str">
        <f t="shared" si="50"/>
        <v/>
      </c>
      <c r="AF3216" s="168">
        <v>0</v>
      </c>
      <c r="AG3216" s="168" t="str" cm="1">
        <f t="array" ref="AG3216">IF(AF3216="","",_xlfn.TEXTSPLIT(AF3216,"-"))</f>
        <v>0</v>
      </c>
      <c r="AH3216" s="168"/>
    </row>
    <row r="3217" spans="26:34" ht="24" customHeight="1">
      <c r="Z3217"/>
      <c r="AA3217"/>
      <c r="AB3217"/>
      <c r="AC3217"/>
      <c r="AD3217"/>
      <c r="AE3217" s="168" t="str">
        <f t="shared" si="50"/>
        <v/>
      </c>
      <c r="AF3217" s="168">
        <v>0</v>
      </c>
      <c r="AG3217" s="168" t="str" cm="1">
        <f t="array" ref="AG3217">IF(AF3217="","",_xlfn.TEXTSPLIT(AF3217,"-"))</f>
        <v>0</v>
      </c>
      <c r="AH3217" s="168"/>
    </row>
    <row r="3218" spans="26:34" ht="24" customHeight="1">
      <c r="Z3218"/>
      <c r="AA3218"/>
      <c r="AB3218"/>
      <c r="AC3218"/>
      <c r="AD3218"/>
      <c r="AE3218" s="168" t="str">
        <f t="shared" si="50"/>
        <v/>
      </c>
      <c r="AF3218" s="168">
        <v>0</v>
      </c>
      <c r="AG3218" s="168" t="str" cm="1">
        <f t="array" ref="AG3218">IF(AF3218="","",_xlfn.TEXTSPLIT(AF3218,"-"))</f>
        <v>0</v>
      </c>
      <c r="AH3218" s="168"/>
    </row>
    <row r="3219" spans="26:34" ht="24" customHeight="1">
      <c r="Z3219"/>
      <c r="AA3219"/>
      <c r="AB3219"/>
      <c r="AC3219"/>
      <c r="AD3219"/>
      <c r="AE3219" s="168" t="str">
        <f t="shared" si="50"/>
        <v/>
      </c>
      <c r="AF3219" s="168">
        <v>0</v>
      </c>
      <c r="AG3219" s="168" t="str" cm="1">
        <f t="array" ref="AG3219">IF(AF3219="","",_xlfn.TEXTSPLIT(AF3219,"-"))</f>
        <v>0</v>
      </c>
      <c r="AH3219" s="168"/>
    </row>
    <row r="3220" spans="26:34" ht="24" customHeight="1">
      <c r="Z3220"/>
      <c r="AA3220"/>
      <c r="AB3220"/>
      <c r="AC3220"/>
      <c r="AD3220"/>
      <c r="AE3220" s="168" t="str">
        <f t="shared" si="50"/>
        <v/>
      </c>
      <c r="AF3220" s="168">
        <v>0</v>
      </c>
      <c r="AG3220" s="168" t="str" cm="1">
        <f t="array" ref="AG3220">IF(AF3220="","",_xlfn.TEXTSPLIT(AF3220,"-"))</f>
        <v>0</v>
      </c>
      <c r="AH3220" s="168"/>
    </row>
    <row r="3221" spans="26:34" ht="24" customHeight="1">
      <c r="Z3221"/>
      <c r="AA3221"/>
      <c r="AB3221"/>
      <c r="AC3221"/>
      <c r="AD3221"/>
      <c r="AE3221" s="168" t="str">
        <f t="shared" si="50"/>
        <v/>
      </c>
      <c r="AF3221" s="168">
        <v>0</v>
      </c>
      <c r="AG3221" s="168" t="str" cm="1">
        <f t="array" ref="AG3221">IF(AF3221="","",_xlfn.TEXTSPLIT(AF3221,"-"))</f>
        <v>0</v>
      </c>
      <c r="AH3221" s="168"/>
    </row>
    <row r="3222" spans="26:34" ht="24" customHeight="1">
      <c r="Z3222"/>
      <c r="AA3222"/>
      <c r="AB3222"/>
      <c r="AC3222"/>
      <c r="AD3222"/>
      <c r="AE3222" s="168" t="str">
        <f t="shared" si="50"/>
        <v/>
      </c>
      <c r="AF3222" s="168">
        <v>0</v>
      </c>
      <c r="AG3222" s="168" t="str" cm="1">
        <f t="array" ref="AG3222">IF(AF3222="","",_xlfn.TEXTSPLIT(AF3222,"-"))</f>
        <v>0</v>
      </c>
      <c r="AH3222" s="168"/>
    </row>
    <row r="3223" spans="26:34" ht="24" customHeight="1">
      <c r="Z3223"/>
      <c r="AA3223"/>
      <c r="AB3223"/>
      <c r="AC3223"/>
      <c r="AD3223"/>
      <c r="AE3223" s="168" t="str">
        <f t="shared" si="50"/>
        <v/>
      </c>
      <c r="AF3223" s="168">
        <v>0</v>
      </c>
      <c r="AG3223" s="168" t="str" cm="1">
        <f t="array" ref="AG3223">IF(AF3223="","",_xlfn.TEXTSPLIT(AF3223,"-"))</f>
        <v>0</v>
      </c>
      <c r="AH3223" s="168"/>
    </row>
    <row r="3224" spans="26:34" ht="24" customHeight="1">
      <c r="Z3224"/>
      <c r="AA3224"/>
      <c r="AB3224"/>
      <c r="AC3224"/>
      <c r="AD3224"/>
      <c r="AE3224" s="168" t="str">
        <f t="shared" si="50"/>
        <v/>
      </c>
      <c r="AF3224" s="168">
        <v>0</v>
      </c>
      <c r="AG3224" s="168" t="str" cm="1">
        <f t="array" ref="AG3224">IF(AF3224="","",_xlfn.TEXTSPLIT(AF3224,"-"))</f>
        <v>0</v>
      </c>
      <c r="AH3224" s="168"/>
    </row>
    <row r="3225" spans="26:34" ht="24" customHeight="1">
      <c r="Z3225"/>
      <c r="AA3225"/>
      <c r="AB3225"/>
      <c r="AC3225"/>
      <c r="AD3225"/>
      <c r="AE3225" s="168" t="str">
        <f t="shared" si="50"/>
        <v/>
      </c>
      <c r="AF3225" s="168">
        <v>0</v>
      </c>
      <c r="AG3225" s="168" t="str" cm="1">
        <f t="array" ref="AG3225">IF(AF3225="","",_xlfn.TEXTSPLIT(AF3225,"-"))</f>
        <v>0</v>
      </c>
      <c r="AH3225" s="168"/>
    </row>
    <row r="3226" spans="26:34" ht="24" customHeight="1">
      <c r="Z3226"/>
      <c r="AA3226"/>
      <c r="AB3226"/>
      <c r="AC3226"/>
      <c r="AD3226"/>
      <c r="AE3226" s="168" t="str">
        <f t="shared" si="50"/>
        <v/>
      </c>
      <c r="AF3226" s="168">
        <v>0</v>
      </c>
      <c r="AG3226" s="168" t="str" cm="1">
        <f t="array" ref="AG3226">IF(AF3226="","",_xlfn.TEXTSPLIT(AF3226,"-"))</f>
        <v>0</v>
      </c>
      <c r="AH3226" s="168"/>
    </row>
    <row r="3227" spans="26:34" ht="24" customHeight="1">
      <c r="Z3227"/>
      <c r="AA3227"/>
      <c r="AB3227"/>
      <c r="AC3227"/>
      <c r="AD3227"/>
      <c r="AE3227" s="168" t="str">
        <f t="shared" si="50"/>
        <v/>
      </c>
      <c r="AF3227" s="168">
        <v>0</v>
      </c>
      <c r="AG3227" s="168" t="str" cm="1">
        <f t="array" ref="AG3227">IF(AF3227="","",_xlfn.TEXTSPLIT(AF3227,"-"))</f>
        <v>0</v>
      </c>
      <c r="AH3227" s="168"/>
    </row>
    <row r="3228" spans="26:34" ht="24" customHeight="1">
      <c r="Z3228"/>
      <c r="AA3228"/>
      <c r="AB3228"/>
      <c r="AC3228"/>
      <c r="AD3228"/>
      <c r="AE3228" s="168" t="str">
        <f t="shared" si="50"/>
        <v/>
      </c>
      <c r="AF3228" s="168">
        <v>0</v>
      </c>
      <c r="AG3228" s="168" t="str" cm="1">
        <f t="array" ref="AG3228">IF(AF3228="","",_xlfn.TEXTSPLIT(AF3228,"-"))</f>
        <v>0</v>
      </c>
      <c r="AH3228" s="168"/>
    </row>
    <row r="3229" spans="26:34" ht="24" customHeight="1">
      <c r="Z3229"/>
      <c r="AA3229"/>
      <c r="AB3229"/>
      <c r="AC3229"/>
      <c r="AD3229"/>
      <c r="AE3229" s="168" t="str">
        <f t="shared" si="50"/>
        <v/>
      </c>
      <c r="AF3229" s="168">
        <v>0</v>
      </c>
      <c r="AG3229" s="168" t="str" cm="1">
        <f t="array" ref="AG3229">IF(AF3229="","",_xlfn.TEXTSPLIT(AF3229,"-"))</f>
        <v>0</v>
      </c>
      <c r="AH3229" s="168"/>
    </row>
    <row r="3230" spans="26:34" ht="24" customHeight="1">
      <c r="Z3230"/>
      <c r="AA3230"/>
      <c r="AB3230"/>
      <c r="AC3230"/>
      <c r="AD3230"/>
      <c r="AE3230" s="168" t="str">
        <f t="shared" si="50"/>
        <v/>
      </c>
      <c r="AF3230" s="168">
        <v>0</v>
      </c>
      <c r="AG3230" s="168" t="str" cm="1">
        <f t="array" ref="AG3230">IF(AF3230="","",_xlfn.TEXTSPLIT(AF3230,"-"))</f>
        <v>0</v>
      </c>
      <c r="AH3230" s="168"/>
    </row>
    <row r="3231" spans="26:34" ht="24" customHeight="1">
      <c r="Z3231"/>
      <c r="AA3231"/>
      <c r="AB3231"/>
      <c r="AC3231"/>
      <c r="AD3231"/>
      <c r="AE3231" s="168" t="str">
        <f t="shared" si="50"/>
        <v/>
      </c>
      <c r="AF3231" s="168">
        <v>0</v>
      </c>
      <c r="AG3231" s="168" t="str" cm="1">
        <f t="array" ref="AG3231">IF(AF3231="","",_xlfn.TEXTSPLIT(AF3231,"-"))</f>
        <v>0</v>
      </c>
      <c r="AH3231" s="168"/>
    </row>
    <row r="3232" spans="26:34" ht="24" customHeight="1">
      <c r="Z3232"/>
      <c r="AA3232"/>
      <c r="AB3232"/>
      <c r="AC3232"/>
      <c r="AD3232"/>
      <c r="AE3232" s="168" t="str">
        <f t="shared" si="50"/>
        <v/>
      </c>
      <c r="AF3232" s="168">
        <v>0</v>
      </c>
      <c r="AG3232" s="168" t="str" cm="1">
        <f t="array" ref="AG3232">IF(AF3232="","",_xlfn.TEXTSPLIT(AF3232,"-"))</f>
        <v>0</v>
      </c>
      <c r="AH3232" s="168"/>
    </row>
    <row r="3233" spans="26:34" ht="24" customHeight="1">
      <c r="Z3233"/>
      <c r="AA3233"/>
      <c r="AB3233"/>
      <c r="AC3233"/>
      <c r="AD3233"/>
      <c r="AE3233" s="168" t="str">
        <f t="shared" si="50"/>
        <v/>
      </c>
      <c r="AF3233" s="168">
        <v>0</v>
      </c>
      <c r="AG3233" s="168" t="str" cm="1">
        <f t="array" ref="AG3233">IF(AF3233="","",_xlfn.TEXTSPLIT(AF3233,"-"))</f>
        <v>0</v>
      </c>
      <c r="AH3233" s="168"/>
    </row>
    <row r="3234" spans="26:34" ht="24" customHeight="1">
      <c r="Z3234"/>
      <c r="AA3234"/>
      <c r="AB3234"/>
      <c r="AC3234"/>
      <c r="AD3234"/>
      <c r="AE3234" s="168" t="str">
        <f t="shared" si="50"/>
        <v/>
      </c>
      <c r="AF3234" s="168">
        <v>0</v>
      </c>
      <c r="AG3234" s="168" t="str" cm="1">
        <f t="array" ref="AG3234">IF(AF3234="","",_xlfn.TEXTSPLIT(AF3234,"-"))</f>
        <v>0</v>
      </c>
      <c r="AH3234" s="168"/>
    </row>
    <row r="3235" spans="26:34" ht="24" customHeight="1">
      <c r="Z3235"/>
      <c r="AA3235"/>
      <c r="AB3235"/>
      <c r="AC3235"/>
      <c r="AD3235"/>
      <c r="AE3235" s="168" t="str">
        <f t="shared" si="50"/>
        <v/>
      </c>
      <c r="AF3235" s="168">
        <v>0</v>
      </c>
      <c r="AG3235" s="168" t="str" cm="1">
        <f t="array" ref="AG3235">IF(AF3235="","",_xlfn.TEXTSPLIT(AF3235,"-"))</f>
        <v>0</v>
      </c>
      <c r="AH3235" s="168"/>
    </row>
    <row r="3236" spans="26:34" ht="24" customHeight="1">
      <c r="Z3236"/>
      <c r="AA3236"/>
      <c r="AB3236"/>
      <c r="AC3236"/>
      <c r="AD3236"/>
      <c r="AE3236" s="168" t="str">
        <f t="shared" si="50"/>
        <v/>
      </c>
      <c r="AF3236" s="168">
        <v>0</v>
      </c>
      <c r="AG3236" s="168" t="str" cm="1">
        <f t="array" ref="AG3236">IF(AF3236="","",_xlfn.TEXTSPLIT(AF3236,"-"))</f>
        <v>0</v>
      </c>
      <c r="AH3236" s="168"/>
    </row>
    <row r="3237" spans="26:34" ht="24" customHeight="1">
      <c r="Z3237"/>
      <c r="AA3237"/>
      <c r="AB3237"/>
      <c r="AC3237"/>
      <c r="AD3237"/>
      <c r="AE3237" s="168" t="str">
        <f t="shared" si="50"/>
        <v/>
      </c>
      <c r="AF3237" s="168">
        <v>0</v>
      </c>
      <c r="AG3237" s="168" t="str" cm="1">
        <f t="array" ref="AG3237">IF(AF3237="","",_xlfn.TEXTSPLIT(AF3237,"-"))</f>
        <v>0</v>
      </c>
      <c r="AH3237" s="168"/>
    </row>
    <row r="3238" spans="26:34" ht="24" customHeight="1">
      <c r="Z3238"/>
      <c r="AA3238"/>
      <c r="AB3238"/>
      <c r="AC3238"/>
      <c r="AD3238"/>
      <c r="AE3238" s="168" t="str">
        <f t="shared" si="50"/>
        <v/>
      </c>
      <c r="AF3238" s="168">
        <v>0</v>
      </c>
      <c r="AG3238" s="168" t="str" cm="1">
        <f t="array" ref="AG3238">IF(AF3238="","",_xlfn.TEXTSPLIT(AF3238,"-"))</f>
        <v>0</v>
      </c>
      <c r="AH3238" s="168"/>
    </row>
    <row r="3239" spans="26:34" ht="24" customHeight="1">
      <c r="Z3239"/>
      <c r="AA3239"/>
      <c r="AB3239"/>
      <c r="AC3239"/>
      <c r="AD3239"/>
      <c r="AE3239" s="168" t="str">
        <f t="shared" si="50"/>
        <v/>
      </c>
      <c r="AF3239" s="168">
        <v>0</v>
      </c>
      <c r="AG3239" s="168" t="str" cm="1">
        <f t="array" ref="AG3239">IF(AF3239="","",_xlfn.TEXTSPLIT(AF3239,"-"))</f>
        <v>0</v>
      </c>
      <c r="AH3239" s="168"/>
    </row>
    <row r="3240" spans="26:34" ht="24" customHeight="1">
      <c r="Z3240"/>
      <c r="AA3240"/>
      <c r="AB3240"/>
      <c r="AC3240"/>
      <c r="AD3240"/>
      <c r="AE3240" s="168" t="str">
        <f t="shared" si="50"/>
        <v/>
      </c>
      <c r="AF3240" s="168">
        <v>0</v>
      </c>
      <c r="AG3240" s="168" t="str" cm="1">
        <f t="array" ref="AG3240">IF(AF3240="","",_xlfn.TEXTSPLIT(AF3240,"-"))</f>
        <v>0</v>
      </c>
      <c r="AH3240" s="168"/>
    </row>
    <row r="3241" spans="26:34" ht="24" customHeight="1">
      <c r="Z3241"/>
      <c r="AA3241"/>
      <c r="AB3241"/>
      <c r="AC3241"/>
      <c r="AD3241"/>
      <c r="AE3241" s="168" t="str">
        <f t="shared" si="50"/>
        <v/>
      </c>
      <c r="AF3241" s="168">
        <v>0</v>
      </c>
      <c r="AG3241" s="168" t="str" cm="1">
        <f t="array" ref="AG3241">IF(AF3241="","",_xlfn.TEXTSPLIT(AF3241,"-"))</f>
        <v>0</v>
      </c>
      <c r="AH3241" s="168"/>
    </row>
    <row r="3242" spans="26:34" ht="24" customHeight="1">
      <c r="Z3242"/>
      <c r="AA3242"/>
      <c r="AB3242"/>
      <c r="AC3242"/>
      <c r="AD3242"/>
      <c r="AE3242" s="168" t="str">
        <f t="shared" si="50"/>
        <v/>
      </c>
      <c r="AF3242" s="168">
        <v>0</v>
      </c>
      <c r="AG3242" s="168" t="str" cm="1">
        <f t="array" ref="AG3242">IF(AF3242="","",_xlfn.TEXTSPLIT(AF3242,"-"))</f>
        <v>0</v>
      </c>
      <c r="AH3242" s="168"/>
    </row>
    <row r="3243" spans="26:34" ht="24" customHeight="1">
      <c r="Z3243"/>
      <c r="AA3243"/>
      <c r="AB3243"/>
      <c r="AC3243"/>
      <c r="AD3243"/>
      <c r="AE3243" s="168" t="str">
        <f t="shared" si="50"/>
        <v/>
      </c>
      <c r="AF3243" s="168">
        <v>0</v>
      </c>
      <c r="AG3243" s="168" t="str" cm="1">
        <f t="array" ref="AG3243">IF(AF3243="","",_xlfn.TEXTSPLIT(AF3243,"-"))</f>
        <v>0</v>
      </c>
      <c r="AH3243" s="168"/>
    </row>
    <row r="3244" spans="26:34" ht="24" customHeight="1">
      <c r="Z3244"/>
      <c r="AA3244"/>
      <c r="AB3244"/>
      <c r="AC3244"/>
      <c r="AD3244"/>
      <c r="AE3244" s="168" t="str">
        <f t="shared" si="50"/>
        <v/>
      </c>
      <c r="AF3244" s="168">
        <v>0</v>
      </c>
      <c r="AG3244" s="168" t="str" cm="1">
        <f t="array" ref="AG3244">IF(AF3244="","",_xlfn.TEXTSPLIT(AF3244,"-"))</f>
        <v>0</v>
      </c>
      <c r="AH3244" s="168"/>
    </row>
    <row r="3245" spans="26:34" ht="24" customHeight="1">
      <c r="Z3245"/>
      <c r="AA3245"/>
      <c r="AB3245"/>
      <c r="AC3245"/>
      <c r="AD3245"/>
      <c r="AE3245" s="168" t="str">
        <f t="shared" si="50"/>
        <v/>
      </c>
      <c r="AF3245" s="168">
        <v>0</v>
      </c>
      <c r="AG3245" s="168" t="str" cm="1">
        <f t="array" ref="AG3245">IF(AF3245="","",_xlfn.TEXTSPLIT(AF3245,"-"))</f>
        <v>0</v>
      </c>
      <c r="AH3245" s="168"/>
    </row>
    <row r="3246" spans="26:34" ht="24" customHeight="1">
      <c r="Z3246"/>
      <c r="AA3246"/>
      <c r="AB3246"/>
      <c r="AC3246"/>
      <c r="AD3246"/>
      <c r="AE3246" s="168" t="str">
        <f t="shared" si="50"/>
        <v/>
      </c>
      <c r="AF3246" s="168">
        <v>0</v>
      </c>
      <c r="AG3246" s="168" t="str" cm="1">
        <f t="array" ref="AG3246">IF(AF3246="","",_xlfn.TEXTSPLIT(AF3246,"-"))</f>
        <v>0</v>
      </c>
      <c r="AH3246" s="168"/>
    </row>
    <row r="3247" spans="26:34" ht="24" customHeight="1">
      <c r="Z3247"/>
      <c r="AA3247"/>
      <c r="AB3247"/>
      <c r="AC3247"/>
      <c r="AD3247"/>
      <c r="AE3247" s="168" t="str">
        <f t="shared" si="50"/>
        <v/>
      </c>
      <c r="AF3247" s="168">
        <v>0</v>
      </c>
      <c r="AG3247" s="168" t="str" cm="1">
        <f t="array" ref="AG3247">IF(AF3247="","",_xlfn.TEXTSPLIT(AF3247,"-"))</f>
        <v>0</v>
      </c>
      <c r="AH3247" s="168"/>
    </row>
    <row r="3248" spans="26:34" ht="24" customHeight="1">
      <c r="Z3248"/>
      <c r="AA3248"/>
      <c r="AB3248"/>
      <c r="AC3248"/>
      <c r="AD3248"/>
      <c r="AE3248" s="168" t="str">
        <f t="shared" si="50"/>
        <v/>
      </c>
      <c r="AF3248" s="168">
        <v>0</v>
      </c>
      <c r="AG3248" s="168" t="str" cm="1">
        <f t="array" ref="AG3248">IF(AF3248="","",_xlfn.TEXTSPLIT(AF3248,"-"))</f>
        <v>0</v>
      </c>
      <c r="AH3248" s="168"/>
    </row>
    <row r="3249" spans="26:34" ht="24" customHeight="1">
      <c r="Z3249"/>
      <c r="AA3249"/>
      <c r="AB3249"/>
      <c r="AC3249"/>
      <c r="AD3249"/>
      <c r="AE3249" s="168" t="str">
        <f t="shared" si="50"/>
        <v/>
      </c>
      <c r="AF3249" s="168">
        <v>0</v>
      </c>
      <c r="AG3249" s="168" t="str" cm="1">
        <f t="array" ref="AG3249">IF(AF3249="","",_xlfn.TEXTSPLIT(AF3249,"-"))</f>
        <v>0</v>
      </c>
      <c r="AH3249" s="168"/>
    </row>
    <row r="3250" spans="26:34" ht="24" customHeight="1">
      <c r="Z3250"/>
      <c r="AA3250"/>
      <c r="AB3250"/>
      <c r="AC3250"/>
      <c r="AD3250"/>
      <c r="AE3250" s="168" t="str">
        <f t="shared" si="50"/>
        <v/>
      </c>
      <c r="AF3250" s="168">
        <v>0</v>
      </c>
      <c r="AG3250" s="168" t="str" cm="1">
        <f t="array" ref="AG3250">IF(AF3250="","",_xlfn.TEXTSPLIT(AF3250,"-"))</f>
        <v>0</v>
      </c>
      <c r="AH3250" s="168"/>
    </row>
    <row r="3251" spans="26:34" ht="24" customHeight="1">
      <c r="Z3251"/>
      <c r="AA3251"/>
      <c r="AB3251"/>
      <c r="AC3251"/>
      <c r="AD3251"/>
      <c r="AE3251" s="168" t="str">
        <f t="shared" si="50"/>
        <v/>
      </c>
      <c r="AF3251" s="168">
        <v>0</v>
      </c>
      <c r="AG3251" s="168" t="str" cm="1">
        <f t="array" ref="AG3251">IF(AF3251="","",_xlfn.TEXTSPLIT(AF3251,"-"))</f>
        <v>0</v>
      </c>
      <c r="AH3251" s="168"/>
    </row>
    <row r="3252" spans="26:34" ht="24" customHeight="1">
      <c r="Z3252"/>
      <c r="AA3252"/>
      <c r="AB3252"/>
      <c r="AC3252"/>
      <c r="AD3252"/>
      <c r="AE3252" s="168" t="str">
        <f t="shared" si="50"/>
        <v/>
      </c>
      <c r="AF3252" s="168">
        <v>0</v>
      </c>
      <c r="AG3252" s="168" t="str" cm="1">
        <f t="array" ref="AG3252">IF(AF3252="","",_xlfn.TEXTSPLIT(AF3252,"-"))</f>
        <v>0</v>
      </c>
      <c r="AH3252" s="168"/>
    </row>
    <row r="3253" spans="26:34" ht="24" customHeight="1">
      <c r="Z3253"/>
      <c r="AA3253"/>
      <c r="AB3253"/>
      <c r="AC3253"/>
      <c r="AD3253"/>
      <c r="AE3253" s="168" t="str">
        <f t="shared" si="50"/>
        <v/>
      </c>
      <c r="AF3253" s="168">
        <v>0</v>
      </c>
      <c r="AG3253" s="168" t="str" cm="1">
        <f t="array" ref="AG3253">IF(AF3253="","",_xlfn.TEXTSPLIT(AF3253,"-"))</f>
        <v>0</v>
      </c>
      <c r="AH3253" s="168"/>
    </row>
    <row r="3254" spans="26:34" ht="24" customHeight="1">
      <c r="Z3254"/>
      <c r="AA3254"/>
      <c r="AB3254"/>
      <c r="AC3254"/>
      <c r="AD3254"/>
      <c r="AE3254" s="168" t="str">
        <f t="shared" si="50"/>
        <v/>
      </c>
      <c r="AF3254" s="168">
        <v>0</v>
      </c>
      <c r="AG3254" s="168" t="str" cm="1">
        <f t="array" ref="AG3254">IF(AF3254="","",_xlfn.TEXTSPLIT(AF3254,"-"))</f>
        <v>0</v>
      </c>
      <c r="AH3254" s="168"/>
    </row>
    <row r="3255" spans="26:34" ht="24" customHeight="1">
      <c r="Z3255"/>
      <c r="AA3255"/>
      <c r="AB3255"/>
      <c r="AC3255"/>
      <c r="AD3255"/>
      <c r="AE3255" s="168" t="str">
        <f t="shared" si="50"/>
        <v/>
      </c>
      <c r="AF3255" s="168">
        <v>0</v>
      </c>
      <c r="AG3255" s="168" t="str" cm="1">
        <f t="array" ref="AG3255">IF(AF3255="","",_xlfn.TEXTSPLIT(AF3255,"-"))</f>
        <v>0</v>
      </c>
      <c r="AH3255" s="168"/>
    </row>
    <row r="3256" spans="26:34" ht="24" customHeight="1">
      <c r="Z3256"/>
      <c r="AA3256"/>
      <c r="AB3256"/>
      <c r="AC3256"/>
      <c r="AD3256"/>
      <c r="AE3256" s="168" t="str">
        <f t="shared" si="50"/>
        <v/>
      </c>
      <c r="AF3256" s="168">
        <v>0</v>
      </c>
      <c r="AG3256" s="168" t="str" cm="1">
        <f t="array" ref="AG3256">IF(AF3256="","",_xlfn.TEXTSPLIT(AF3256,"-"))</f>
        <v>0</v>
      </c>
      <c r="AH3256" s="168"/>
    </row>
    <row r="3257" spans="26:34" ht="24" customHeight="1">
      <c r="Z3257"/>
      <c r="AA3257"/>
      <c r="AB3257"/>
      <c r="AC3257"/>
      <c r="AD3257"/>
      <c r="AE3257" s="168" t="str">
        <f t="shared" si="50"/>
        <v/>
      </c>
      <c r="AF3257" s="168">
        <v>0</v>
      </c>
      <c r="AG3257" s="168" t="str" cm="1">
        <f t="array" ref="AG3257">IF(AF3257="","",_xlfn.TEXTSPLIT(AF3257,"-"))</f>
        <v>0</v>
      </c>
      <c r="AH3257" s="168"/>
    </row>
    <row r="3258" spans="26:34" ht="24" customHeight="1">
      <c r="Z3258"/>
      <c r="AA3258"/>
      <c r="AB3258"/>
      <c r="AC3258"/>
      <c r="AD3258"/>
      <c r="AE3258" s="168" t="str">
        <f t="shared" si="50"/>
        <v/>
      </c>
      <c r="AF3258" s="168">
        <v>0</v>
      </c>
      <c r="AG3258" s="168" t="str" cm="1">
        <f t="array" ref="AG3258">IF(AF3258="","",_xlfn.TEXTSPLIT(AF3258,"-"))</f>
        <v>0</v>
      </c>
      <c r="AH3258" s="168"/>
    </row>
    <row r="3259" spans="26:34" ht="24" customHeight="1">
      <c r="Z3259"/>
      <c r="AA3259"/>
      <c r="AB3259"/>
      <c r="AC3259"/>
      <c r="AD3259"/>
      <c r="AE3259" s="168" t="str">
        <f t="shared" si="50"/>
        <v/>
      </c>
      <c r="AF3259" s="168">
        <v>0</v>
      </c>
      <c r="AG3259" s="168" t="str" cm="1">
        <f t="array" ref="AG3259">IF(AF3259="","",_xlfn.TEXTSPLIT(AF3259,"-"))</f>
        <v>0</v>
      </c>
      <c r="AH3259" s="168"/>
    </row>
    <row r="3260" spans="26:34" ht="24" customHeight="1">
      <c r="Z3260"/>
      <c r="AA3260"/>
      <c r="AB3260"/>
      <c r="AC3260"/>
      <c r="AD3260"/>
      <c r="AE3260" s="168" t="str">
        <f t="shared" si="50"/>
        <v/>
      </c>
      <c r="AF3260" s="168">
        <v>0</v>
      </c>
      <c r="AG3260" s="168" t="str" cm="1">
        <f t="array" ref="AG3260">IF(AF3260="","",_xlfn.TEXTSPLIT(AF3260,"-"))</f>
        <v>0</v>
      </c>
      <c r="AH3260" s="168"/>
    </row>
    <row r="3261" spans="26:34" ht="24" customHeight="1">
      <c r="Z3261"/>
      <c r="AA3261"/>
      <c r="AB3261"/>
      <c r="AC3261"/>
      <c r="AD3261"/>
      <c r="AE3261" s="168" t="str">
        <f t="shared" si="50"/>
        <v/>
      </c>
      <c r="AF3261" s="168">
        <v>0</v>
      </c>
      <c r="AG3261" s="168" t="str" cm="1">
        <f t="array" ref="AG3261">IF(AF3261="","",_xlfn.TEXTSPLIT(AF3261,"-"))</f>
        <v>0</v>
      </c>
      <c r="AH3261" s="168"/>
    </row>
    <row r="3262" spans="26:34" ht="24" customHeight="1">
      <c r="Z3262"/>
      <c r="AA3262"/>
      <c r="AB3262"/>
      <c r="AC3262"/>
      <c r="AD3262"/>
      <c r="AE3262" s="168" t="str">
        <f t="shared" si="50"/>
        <v/>
      </c>
      <c r="AF3262" s="168">
        <v>0</v>
      </c>
      <c r="AG3262" s="168" t="str" cm="1">
        <f t="array" ref="AG3262">IF(AF3262="","",_xlfn.TEXTSPLIT(AF3262,"-"))</f>
        <v>0</v>
      </c>
      <c r="AH3262" s="168"/>
    </row>
    <row r="3263" spans="26:34" ht="24" customHeight="1">
      <c r="Z3263"/>
      <c r="AA3263"/>
      <c r="AB3263"/>
      <c r="AC3263"/>
      <c r="AD3263"/>
      <c r="AE3263" s="168" t="str">
        <f t="shared" si="50"/>
        <v/>
      </c>
      <c r="AF3263" s="168">
        <v>0</v>
      </c>
      <c r="AG3263" s="168" t="str" cm="1">
        <f t="array" ref="AG3263">IF(AF3263="","",_xlfn.TEXTSPLIT(AF3263,"-"))</f>
        <v>0</v>
      </c>
      <c r="AH3263" s="168"/>
    </row>
    <row r="3264" spans="26:34" ht="24" customHeight="1">
      <c r="Z3264"/>
      <c r="AA3264"/>
      <c r="AB3264"/>
      <c r="AC3264"/>
      <c r="AD3264"/>
      <c r="AE3264" s="168" t="str">
        <f t="shared" si="50"/>
        <v/>
      </c>
      <c r="AF3264" s="168">
        <v>0</v>
      </c>
      <c r="AG3264" s="168" t="str" cm="1">
        <f t="array" ref="AG3264">IF(AF3264="","",_xlfn.TEXTSPLIT(AF3264,"-"))</f>
        <v>0</v>
      </c>
      <c r="AH3264" s="168"/>
    </row>
    <row r="3265" spans="26:34" ht="24" customHeight="1">
      <c r="Z3265"/>
      <c r="AA3265"/>
      <c r="AB3265"/>
      <c r="AC3265"/>
      <c r="AD3265"/>
      <c r="AE3265" s="168" t="str">
        <f t="shared" si="50"/>
        <v/>
      </c>
      <c r="AF3265" s="168">
        <v>0</v>
      </c>
      <c r="AG3265" s="168" t="str" cm="1">
        <f t="array" ref="AG3265">IF(AF3265="","",_xlfn.TEXTSPLIT(AF3265,"-"))</f>
        <v>0</v>
      </c>
      <c r="AH3265" s="168"/>
    </row>
    <row r="3266" spans="26:34" ht="24" customHeight="1">
      <c r="Z3266"/>
      <c r="AA3266"/>
      <c r="AB3266"/>
      <c r="AC3266"/>
      <c r="AD3266"/>
      <c r="AE3266" s="168" t="str">
        <f t="shared" si="50"/>
        <v/>
      </c>
      <c r="AF3266" s="168">
        <v>0</v>
      </c>
      <c r="AG3266" s="168" t="str" cm="1">
        <f t="array" ref="AG3266">IF(AF3266="","",_xlfn.TEXTSPLIT(AF3266,"-"))</f>
        <v>0</v>
      </c>
      <c r="AH3266" s="168"/>
    </row>
    <row r="3267" spans="26:34" ht="24" customHeight="1">
      <c r="Z3267"/>
      <c r="AA3267"/>
      <c r="AB3267"/>
      <c r="AC3267"/>
      <c r="AD3267"/>
      <c r="AE3267" s="168" t="str">
        <f t="shared" si="50"/>
        <v/>
      </c>
      <c r="AF3267" s="168">
        <v>0</v>
      </c>
      <c r="AG3267" s="168" t="str" cm="1">
        <f t="array" ref="AG3267">IF(AF3267="","",_xlfn.TEXTSPLIT(AF3267,"-"))</f>
        <v>0</v>
      </c>
      <c r="AH3267" s="168"/>
    </row>
    <row r="3268" spans="26:34" ht="24" customHeight="1">
      <c r="Z3268"/>
      <c r="AA3268"/>
      <c r="AB3268"/>
      <c r="AC3268"/>
      <c r="AD3268"/>
      <c r="AE3268" s="168" t="str">
        <f t="shared" si="50"/>
        <v/>
      </c>
      <c r="AF3268" s="168">
        <v>0</v>
      </c>
      <c r="AG3268" s="168" t="str" cm="1">
        <f t="array" ref="AG3268">IF(AF3268="","",_xlfn.TEXTSPLIT(AF3268,"-"))</f>
        <v>0</v>
      </c>
      <c r="AH3268" s="168"/>
    </row>
    <row r="3269" spans="26:34" ht="24" customHeight="1">
      <c r="Z3269"/>
      <c r="AA3269"/>
      <c r="AB3269"/>
      <c r="AC3269"/>
      <c r="AD3269"/>
      <c r="AE3269" s="168" t="str">
        <f t="shared" ref="AE3269:AE3277" si="51">IF(AH3269="","",AH3269*1)</f>
        <v/>
      </c>
      <c r="AF3269" s="168">
        <v>0</v>
      </c>
      <c r="AG3269" s="168" t="str" cm="1">
        <f t="array" ref="AG3269">IF(AF3269="","",_xlfn.TEXTSPLIT(AF3269,"-"))</f>
        <v>0</v>
      </c>
      <c r="AH3269" s="168"/>
    </row>
    <row r="3270" spans="26:34" ht="24" customHeight="1">
      <c r="Z3270"/>
      <c r="AA3270"/>
      <c r="AB3270"/>
      <c r="AC3270"/>
      <c r="AD3270"/>
      <c r="AE3270" s="168" t="str">
        <f t="shared" si="51"/>
        <v/>
      </c>
      <c r="AF3270" s="168">
        <v>0</v>
      </c>
      <c r="AG3270" s="168" t="str" cm="1">
        <f t="array" ref="AG3270">IF(AF3270="","",_xlfn.TEXTSPLIT(AF3270,"-"))</f>
        <v>0</v>
      </c>
      <c r="AH3270" s="168"/>
    </row>
    <row r="3271" spans="26:34" ht="24" customHeight="1">
      <c r="Z3271"/>
      <c r="AA3271"/>
      <c r="AB3271"/>
      <c r="AC3271"/>
      <c r="AD3271"/>
      <c r="AE3271" s="168" t="str">
        <f t="shared" si="51"/>
        <v/>
      </c>
      <c r="AF3271" s="168">
        <v>0</v>
      </c>
      <c r="AG3271" s="168" t="str" cm="1">
        <f t="array" ref="AG3271">IF(AF3271="","",_xlfn.TEXTSPLIT(AF3271,"-"))</f>
        <v>0</v>
      </c>
      <c r="AH3271" s="168"/>
    </row>
    <row r="3272" spans="26:34" ht="24" customHeight="1">
      <c r="Z3272"/>
      <c r="AA3272"/>
      <c r="AB3272"/>
      <c r="AC3272"/>
      <c r="AD3272"/>
      <c r="AE3272" s="168" t="str">
        <f t="shared" si="51"/>
        <v/>
      </c>
      <c r="AF3272" s="168">
        <v>0</v>
      </c>
      <c r="AG3272" s="168" t="str" cm="1">
        <f t="array" ref="AG3272">IF(AF3272="","",_xlfn.TEXTSPLIT(AF3272,"-"))</f>
        <v>0</v>
      </c>
      <c r="AH3272" s="168"/>
    </row>
    <row r="3273" spans="26:34" ht="24" customHeight="1">
      <c r="Z3273"/>
      <c r="AA3273"/>
      <c r="AB3273"/>
      <c r="AC3273"/>
      <c r="AD3273"/>
      <c r="AE3273" s="168" t="str">
        <f t="shared" si="51"/>
        <v/>
      </c>
      <c r="AF3273" s="168">
        <v>0</v>
      </c>
      <c r="AG3273" s="168" t="str" cm="1">
        <f t="array" ref="AG3273">IF(AF3273="","",_xlfn.TEXTSPLIT(AF3273,"-"))</f>
        <v>0</v>
      </c>
      <c r="AH3273" s="168"/>
    </row>
    <row r="3274" spans="26:34" ht="24" customHeight="1">
      <c r="Z3274"/>
      <c r="AA3274"/>
      <c r="AB3274"/>
      <c r="AC3274"/>
      <c r="AD3274"/>
      <c r="AE3274" s="168" t="str">
        <f t="shared" si="51"/>
        <v/>
      </c>
      <c r="AF3274" s="168">
        <v>0</v>
      </c>
      <c r="AG3274" s="168" t="str" cm="1">
        <f t="array" ref="AG3274">IF(AF3274="","",_xlfn.TEXTSPLIT(AF3274,"-"))</f>
        <v>0</v>
      </c>
      <c r="AH3274" s="168"/>
    </row>
    <row r="3275" spans="26:34" ht="24" customHeight="1">
      <c r="Z3275"/>
      <c r="AA3275"/>
      <c r="AB3275"/>
      <c r="AC3275"/>
      <c r="AD3275"/>
      <c r="AE3275" s="168" t="str">
        <f t="shared" si="51"/>
        <v/>
      </c>
      <c r="AF3275" s="168">
        <v>0</v>
      </c>
      <c r="AG3275" s="168" t="str" cm="1">
        <f t="array" ref="AG3275">IF(AF3275="","",_xlfn.TEXTSPLIT(AF3275,"-"))</f>
        <v>0</v>
      </c>
      <c r="AH3275" s="168"/>
    </row>
    <row r="3276" spans="26:34" ht="24" customHeight="1">
      <c r="Z3276"/>
      <c r="AA3276"/>
      <c r="AB3276"/>
      <c r="AC3276"/>
      <c r="AD3276"/>
      <c r="AE3276" s="168" t="str">
        <f t="shared" si="51"/>
        <v/>
      </c>
      <c r="AF3276" s="168">
        <v>0</v>
      </c>
      <c r="AG3276" s="168" t="str" cm="1">
        <f t="array" ref="AG3276">IF(AF3276="","",_xlfn.TEXTSPLIT(AF3276,"-"))</f>
        <v>0</v>
      </c>
      <c r="AH3276" s="168"/>
    </row>
    <row r="3277" spans="26:34" ht="24" customHeight="1">
      <c r="Z3277"/>
      <c r="AA3277"/>
      <c r="AB3277"/>
      <c r="AC3277"/>
      <c r="AD3277"/>
      <c r="AE3277" s="168" t="str">
        <f t="shared" si="51"/>
        <v/>
      </c>
      <c r="AF3277" s="168">
        <v>0</v>
      </c>
      <c r="AG3277" s="168" t="str" cm="1">
        <f t="array" ref="AG3277">IF(AF3277="","",_xlfn.TEXTSPLIT(AF3277,"-"))</f>
        <v>0</v>
      </c>
      <c r="AH3277" s="168"/>
    </row>
    <row r="3278" spans="26:34" ht="24" customHeight="1">
      <c r="Z3278"/>
      <c r="AA3278"/>
      <c r="AB3278"/>
      <c r="AC3278"/>
      <c r="AD3278"/>
      <c r="AE3278" s="168"/>
      <c r="AF3278" s="168">
        <v>0</v>
      </c>
      <c r="AG3278" s="168" t="str" cm="1">
        <f t="array" ref="AG3278">IF(AF3278="","",_xlfn.TEXTSPLIT(AF3278,"-"))</f>
        <v>0</v>
      </c>
      <c r="AH3278" s="168"/>
    </row>
    <row r="3279" spans="26:34" ht="24" customHeight="1">
      <c r="Z3279"/>
      <c r="AA3279"/>
      <c r="AB3279"/>
      <c r="AC3279"/>
      <c r="AD3279"/>
      <c r="AE3279" s="168"/>
      <c r="AF3279" s="168">
        <v>0</v>
      </c>
      <c r="AG3279" s="168" t="str" cm="1">
        <f t="array" ref="AG3279">IF(AF3279="","",_xlfn.TEXTSPLIT(AF3279,"-"))</f>
        <v>0</v>
      </c>
      <c r="AH3279" s="168"/>
    </row>
    <row r="3280" spans="26:34" ht="24" customHeight="1">
      <c r="Z3280"/>
      <c r="AA3280"/>
      <c r="AB3280"/>
      <c r="AC3280"/>
      <c r="AD3280"/>
      <c r="AE3280" s="168"/>
      <c r="AF3280" s="168">
        <v>0</v>
      </c>
      <c r="AG3280" s="168" t="str" cm="1">
        <f t="array" ref="AG3280">IF(AF3280="","",_xlfn.TEXTSPLIT(AF3280,"-"))</f>
        <v>0</v>
      </c>
      <c r="AH3280" s="168"/>
    </row>
    <row r="3281" spans="26:34" ht="24" customHeight="1">
      <c r="Z3281"/>
      <c r="AA3281"/>
      <c r="AB3281"/>
      <c r="AC3281"/>
      <c r="AD3281"/>
      <c r="AE3281" s="168"/>
      <c r="AF3281" s="168">
        <v>0</v>
      </c>
      <c r="AG3281" s="168" t="str" cm="1">
        <f t="array" ref="AG3281">IF(AF3281="","",_xlfn.TEXTSPLIT(AF3281,"-"))</f>
        <v>0</v>
      </c>
      <c r="AH3281" s="168"/>
    </row>
    <row r="3282" spans="26:34" ht="24" customHeight="1">
      <c r="Z3282"/>
      <c r="AA3282"/>
      <c r="AB3282"/>
      <c r="AC3282"/>
      <c r="AD3282"/>
      <c r="AE3282" s="168"/>
      <c r="AF3282" s="168">
        <v>0</v>
      </c>
      <c r="AG3282" s="168" t="str" cm="1">
        <f t="array" ref="AG3282">IF(AF3282="","",_xlfn.TEXTSPLIT(AF3282,"-"))</f>
        <v>0</v>
      </c>
      <c r="AH3282" s="168"/>
    </row>
    <row r="3283" spans="26:34" ht="24" customHeight="1">
      <c r="Z3283"/>
      <c r="AA3283"/>
      <c r="AB3283"/>
      <c r="AC3283"/>
      <c r="AD3283"/>
      <c r="AE3283" s="168"/>
      <c r="AF3283" s="168">
        <v>0</v>
      </c>
      <c r="AG3283" s="168" t="str" cm="1">
        <f t="array" ref="AG3283">IF(AF3283="","",_xlfn.TEXTSPLIT(AF3283,"-"))</f>
        <v>0</v>
      </c>
      <c r="AH3283" s="168"/>
    </row>
    <row r="3284" spans="26:34" ht="24" customHeight="1">
      <c r="Z3284"/>
      <c r="AA3284"/>
      <c r="AB3284"/>
      <c r="AC3284"/>
      <c r="AD3284"/>
      <c r="AE3284" s="168"/>
      <c r="AF3284" s="168">
        <v>0</v>
      </c>
      <c r="AG3284" s="168" t="str" cm="1">
        <f t="array" ref="AG3284">IF(AF3284="","",_xlfn.TEXTSPLIT(AF3284,"-"))</f>
        <v>0</v>
      </c>
      <c r="AH3284" s="168"/>
    </row>
    <row r="3285" spans="26:34" ht="24" customHeight="1">
      <c r="Z3285"/>
      <c r="AA3285"/>
      <c r="AB3285"/>
      <c r="AC3285"/>
      <c r="AD3285"/>
      <c r="AE3285" s="168"/>
      <c r="AF3285" s="168">
        <v>0</v>
      </c>
      <c r="AG3285" s="168" t="str" cm="1">
        <f t="array" ref="AG3285">IF(AF3285="","",_xlfn.TEXTSPLIT(AF3285,"-"))</f>
        <v>0</v>
      </c>
      <c r="AH3285" s="168"/>
    </row>
    <row r="3286" spans="26:34" ht="24" customHeight="1">
      <c r="Z3286"/>
      <c r="AA3286"/>
      <c r="AB3286"/>
      <c r="AC3286"/>
      <c r="AD3286"/>
      <c r="AE3286" s="168"/>
      <c r="AF3286" s="168">
        <v>0</v>
      </c>
      <c r="AG3286" s="168" t="str" cm="1">
        <f t="array" ref="AG3286">IF(AF3286="","",_xlfn.TEXTSPLIT(AF3286,"-"))</f>
        <v>0</v>
      </c>
      <c r="AH3286" s="168"/>
    </row>
    <row r="3287" spans="26:34" ht="24" customHeight="1">
      <c r="Z3287"/>
      <c r="AA3287"/>
      <c r="AB3287"/>
      <c r="AC3287"/>
      <c r="AD3287"/>
      <c r="AE3287" s="168"/>
      <c r="AF3287" s="168">
        <v>0</v>
      </c>
      <c r="AG3287" s="168" t="str" cm="1">
        <f t="array" ref="AG3287">IF(AF3287="","",_xlfn.TEXTSPLIT(AF3287,"-"))</f>
        <v>0</v>
      </c>
      <c r="AH3287" s="168"/>
    </row>
    <row r="3288" spans="26:34" ht="24" customHeight="1">
      <c r="Z3288"/>
      <c r="AA3288"/>
      <c r="AB3288"/>
      <c r="AC3288"/>
      <c r="AD3288"/>
      <c r="AE3288" s="168"/>
      <c r="AF3288" s="168">
        <v>0</v>
      </c>
      <c r="AG3288" s="168" t="str" cm="1">
        <f t="array" ref="AG3288">IF(AF3288="","",_xlfn.TEXTSPLIT(AF3288,"-"))</f>
        <v>0</v>
      </c>
      <c r="AH3288" s="168"/>
    </row>
    <row r="3289" spans="26:34" ht="24" customHeight="1">
      <c r="Z3289"/>
      <c r="AA3289"/>
      <c r="AB3289"/>
      <c r="AC3289"/>
      <c r="AD3289"/>
      <c r="AE3289" s="168"/>
      <c r="AF3289" s="168">
        <v>0</v>
      </c>
      <c r="AG3289" s="168" t="str" cm="1">
        <f t="array" ref="AG3289">IF(AF3289="","",_xlfn.TEXTSPLIT(AF3289,"-"))</f>
        <v>0</v>
      </c>
      <c r="AH3289" s="168"/>
    </row>
    <row r="3290" spans="26:34" ht="24" customHeight="1">
      <c r="Z3290"/>
      <c r="AA3290"/>
      <c r="AB3290"/>
      <c r="AC3290"/>
      <c r="AD3290"/>
      <c r="AE3290" s="168"/>
      <c r="AF3290" s="168">
        <v>0</v>
      </c>
      <c r="AG3290" s="168" t="str" cm="1">
        <f t="array" ref="AG3290">IF(AF3290="","",_xlfn.TEXTSPLIT(AF3290,"-"))</f>
        <v>0</v>
      </c>
      <c r="AH3290" s="168"/>
    </row>
    <row r="3291" spans="26:34" ht="24" customHeight="1">
      <c r="Z3291"/>
      <c r="AA3291"/>
      <c r="AB3291"/>
      <c r="AC3291"/>
      <c r="AD3291"/>
      <c r="AE3291" s="168"/>
      <c r="AF3291" s="168">
        <v>0</v>
      </c>
      <c r="AG3291" s="168" t="str" cm="1">
        <f t="array" ref="AG3291">IF(AF3291="","",_xlfn.TEXTSPLIT(AF3291,"-"))</f>
        <v>0</v>
      </c>
      <c r="AH3291" s="168"/>
    </row>
    <row r="3292" spans="26:34" ht="24" customHeight="1">
      <c r="Z3292"/>
      <c r="AA3292"/>
      <c r="AB3292"/>
      <c r="AC3292"/>
      <c r="AD3292"/>
      <c r="AE3292" s="168"/>
      <c r="AF3292" s="168">
        <v>0</v>
      </c>
      <c r="AG3292" s="168" t="str" cm="1">
        <f t="array" ref="AG3292">IF(AF3292="","",_xlfn.TEXTSPLIT(AF3292,"-"))</f>
        <v>0</v>
      </c>
      <c r="AH3292" s="168"/>
    </row>
    <row r="3293" spans="26:34" ht="24" customHeight="1">
      <c r="Z3293"/>
      <c r="AA3293"/>
      <c r="AB3293"/>
      <c r="AC3293"/>
      <c r="AD3293"/>
      <c r="AE3293" s="168"/>
      <c r="AF3293" s="168">
        <v>0</v>
      </c>
      <c r="AG3293" s="168" t="str" cm="1">
        <f t="array" ref="AG3293">IF(AF3293="","",_xlfn.TEXTSPLIT(AF3293,"-"))</f>
        <v>0</v>
      </c>
      <c r="AH3293" s="168"/>
    </row>
    <row r="3294" spans="26:34" ht="24" customHeight="1">
      <c r="Z3294"/>
      <c r="AA3294"/>
      <c r="AB3294"/>
      <c r="AC3294"/>
      <c r="AD3294"/>
      <c r="AE3294" s="168"/>
      <c r="AF3294" s="168">
        <v>0</v>
      </c>
      <c r="AG3294" s="168" t="str" cm="1">
        <f t="array" ref="AG3294">IF(AF3294="","",_xlfn.TEXTSPLIT(AF3294,"-"))</f>
        <v>0</v>
      </c>
      <c r="AH3294" s="168"/>
    </row>
    <row r="3295" spans="26:34" ht="24" customHeight="1">
      <c r="Z3295"/>
      <c r="AA3295"/>
      <c r="AB3295"/>
      <c r="AC3295"/>
      <c r="AD3295"/>
      <c r="AE3295" s="168"/>
      <c r="AF3295" s="168">
        <v>0</v>
      </c>
      <c r="AG3295" s="168" t="str" cm="1">
        <f t="array" ref="AG3295">IF(AF3295="","",_xlfn.TEXTSPLIT(AF3295,"-"))</f>
        <v>0</v>
      </c>
      <c r="AH3295" s="168"/>
    </row>
    <row r="3296" spans="26:34" ht="24" customHeight="1">
      <c r="Z3296"/>
      <c r="AA3296"/>
      <c r="AB3296"/>
      <c r="AC3296"/>
      <c r="AD3296"/>
      <c r="AE3296" s="168"/>
      <c r="AF3296" s="168">
        <v>0</v>
      </c>
      <c r="AG3296" s="168" t="str" cm="1">
        <f t="array" ref="AG3296">IF(AF3296="","",_xlfn.TEXTSPLIT(AF3296,"-"))</f>
        <v>0</v>
      </c>
      <c r="AH3296" s="168"/>
    </row>
    <row r="3297" spans="26:34" ht="24" customHeight="1">
      <c r="Z3297"/>
      <c r="AA3297"/>
      <c r="AB3297"/>
      <c r="AC3297"/>
      <c r="AD3297"/>
      <c r="AE3297" s="168"/>
      <c r="AF3297" s="168">
        <v>0</v>
      </c>
      <c r="AG3297" s="168" t="str" cm="1">
        <f t="array" ref="AG3297">IF(AF3297="","",_xlfn.TEXTSPLIT(AF3297,"-"))</f>
        <v>0</v>
      </c>
      <c r="AH3297" s="168"/>
    </row>
    <row r="3298" spans="26:34" ht="24" customHeight="1">
      <c r="Z3298"/>
      <c r="AA3298"/>
      <c r="AB3298"/>
      <c r="AC3298"/>
      <c r="AD3298"/>
      <c r="AE3298" s="168"/>
      <c r="AF3298" s="168">
        <v>0</v>
      </c>
      <c r="AG3298" s="168" t="str" cm="1">
        <f t="array" ref="AG3298">IF(AF3298="","",_xlfn.TEXTSPLIT(AF3298,"-"))</f>
        <v>0</v>
      </c>
      <c r="AH3298" s="168"/>
    </row>
    <row r="3299" spans="26:34" ht="24" customHeight="1">
      <c r="Z3299"/>
      <c r="AA3299"/>
      <c r="AB3299"/>
      <c r="AC3299"/>
      <c r="AD3299"/>
      <c r="AE3299" s="168"/>
      <c r="AF3299" s="168">
        <v>0</v>
      </c>
      <c r="AG3299" s="168" t="str" cm="1">
        <f t="array" ref="AG3299">IF(AF3299="","",_xlfn.TEXTSPLIT(AF3299,"-"))</f>
        <v>0</v>
      </c>
      <c r="AH3299" s="168"/>
    </row>
    <row r="3300" spans="26:34" ht="24" customHeight="1">
      <c r="Z3300"/>
      <c r="AA3300"/>
      <c r="AB3300"/>
      <c r="AC3300"/>
      <c r="AD3300"/>
      <c r="AE3300" s="168"/>
      <c r="AF3300" s="168">
        <v>0</v>
      </c>
      <c r="AG3300" s="168" t="str" cm="1">
        <f t="array" ref="AG3300">IF(AF3300="","",_xlfn.TEXTSPLIT(AF3300,"-"))</f>
        <v>0</v>
      </c>
      <c r="AH3300" s="168"/>
    </row>
    <row r="3301" spans="26:34" ht="24" customHeight="1">
      <c r="Z3301"/>
      <c r="AA3301"/>
      <c r="AB3301"/>
      <c r="AC3301"/>
      <c r="AD3301"/>
      <c r="AE3301" s="168"/>
      <c r="AF3301" s="168">
        <v>0</v>
      </c>
      <c r="AG3301" s="168" t="str" cm="1">
        <f t="array" ref="AG3301">IF(AF3301="","",_xlfn.TEXTSPLIT(AF3301,"-"))</f>
        <v>0</v>
      </c>
      <c r="AH3301" s="168"/>
    </row>
    <row r="3302" spans="26:34" ht="24" customHeight="1">
      <c r="Z3302"/>
      <c r="AA3302"/>
      <c r="AB3302"/>
      <c r="AC3302"/>
      <c r="AD3302"/>
      <c r="AE3302" s="168"/>
      <c r="AF3302" s="168">
        <v>0</v>
      </c>
      <c r="AG3302" s="168" t="str" cm="1">
        <f t="array" ref="AG3302">IF(AF3302="","",_xlfn.TEXTSPLIT(AF3302,"-"))</f>
        <v>0</v>
      </c>
      <c r="AH3302" s="168"/>
    </row>
    <row r="3303" spans="26:34" ht="24" customHeight="1">
      <c r="Z3303"/>
      <c r="AA3303"/>
      <c r="AB3303"/>
      <c r="AC3303"/>
      <c r="AD3303"/>
      <c r="AE3303" s="168"/>
      <c r="AF3303" s="168">
        <v>0</v>
      </c>
      <c r="AG3303" s="168" t="str" cm="1">
        <f t="array" ref="AG3303">IF(AF3303="","",_xlfn.TEXTSPLIT(AF3303,"-"))</f>
        <v>0</v>
      </c>
      <c r="AH3303" s="168"/>
    </row>
    <row r="3304" spans="26:34" ht="24" customHeight="1">
      <c r="Z3304"/>
      <c r="AA3304"/>
      <c r="AB3304"/>
      <c r="AC3304"/>
      <c r="AD3304"/>
      <c r="AE3304" s="168"/>
      <c r="AF3304" s="168">
        <v>0</v>
      </c>
      <c r="AG3304" s="168" t="str" cm="1">
        <f t="array" ref="AG3304">IF(AF3304="","",_xlfn.TEXTSPLIT(AF3304,"-"))</f>
        <v>0</v>
      </c>
      <c r="AH3304" s="168"/>
    </row>
    <row r="3305" spans="26:34" ht="24" customHeight="1">
      <c r="Z3305"/>
      <c r="AA3305"/>
      <c r="AB3305"/>
      <c r="AC3305"/>
      <c r="AD3305"/>
      <c r="AE3305" s="168"/>
      <c r="AF3305" s="168">
        <v>0</v>
      </c>
      <c r="AG3305" s="168" t="str" cm="1">
        <f t="array" ref="AG3305">IF(AF3305="","",_xlfn.TEXTSPLIT(AF3305,"-"))</f>
        <v>0</v>
      </c>
      <c r="AH3305" s="168"/>
    </row>
    <row r="3306" spans="26:34" ht="24" customHeight="1">
      <c r="Z3306"/>
      <c r="AA3306"/>
      <c r="AB3306"/>
      <c r="AC3306"/>
      <c r="AD3306"/>
      <c r="AE3306" s="168"/>
      <c r="AF3306" s="168">
        <v>0</v>
      </c>
      <c r="AG3306" s="168" t="str" cm="1">
        <f t="array" ref="AG3306">IF(AF3306="","",_xlfn.TEXTSPLIT(AF3306,"-"))</f>
        <v>0</v>
      </c>
      <c r="AH3306" s="168"/>
    </row>
    <row r="3307" spans="26:34" ht="24" customHeight="1">
      <c r="Z3307"/>
      <c r="AA3307"/>
      <c r="AB3307"/>
      <c r="AC3307"/>
      <c r="AD3307"/>
      <c r="AE3307" s="168"/>
      <c r="AF3307" s="168">
        <v>0</v>
      </c>
      <c r="AG3307" s="168" t="str" cm="1">
        <f t="array" ref="AG3307">IF(AF3307="","",_xlfn.TEXTSPLIT(AF3307,"-"))</f>
        <v>0</v>
      </c>
      <c r="AH3307" s="168"/>
    </row>
    <row r="3308" spans="26:34" ht="24" customHeight="1">
      <c r="Z3308"/>
      <c r="AA3308"/>
      <c r="AB3308"/>
      <c r="AC3308"/>
      <c r="AD3308"/>
      <c r="AE3308" s="168"/>
      <c r="AF3308" s="168">
        <v>0</v>
      </c>
      <c r="AG3308" s="168" t="str" cm="1">
        <f t="array" ref="AG3308">IF(AF3308="","",_xlfn.TEXTSPLIT(AF3308,"-"))</f>
        <v>0</v>
      </c>
      <c r="AH3308" s="168"/>
    </row>
    <row r="3309" spans="26:34" ht="24" customHeight="1">
      <c r="Z3309"/>
      <c r="AA3309"/>
      <c r="AB3309"/>
      <c r="AC3309"/>
      <c r="AD3309"/>
      <c r="AE3309" s="168"/>
      <c r="AF3309" s="168">
        <v>0</v>
      </c>
      <c r="AG3309" s="168" t="str" cm="1">
        <f t="array" ref="AG3309">IF(AF3309="","",_xlfn.TEXTSPLIT(AF3309,"-"))</f>
        <v>0</v>
      </c>
      <c r="AH3309" s="168"/>
    </row>
    <row r="3310" spans="26:34" ht="24" customHeight="1">
      <c r="Z3310"/>
      <c r="AA3310"/>
      <c r="AB3310"/>
      <c r="AC3310"/>
      <c r="AD3310"/>
      <c r="AE3310" s="168"/>
      <c r="AF3310" s="168">
        <v>0</v>
      </c>
      <c r="AG3310" s="168" t="str" cm="1">
        <f t="array" ref="AG3310">IF(AF3310="","",_xlfn.TEXTSPLIT(AF3310,"-"))</f>
        <v>0</v>
      </c>
      <c r="AH3310" s="168"/>
    </row>
    <row r="3311" spans="26:34" ht="24" customHeight="1">
      <c r="Z3311"/>
      <c r="AA3311"/>
      <c r="AB3311"/>
      <c r="AC3311"/>
      <c r="AD3311"/>
      <c r="AE3311" s="168"/>
      <c r="AF3311" s="168">
        <v>0</v>
      </c>
      <c r="AG3311" s="168" t="str" cm="1">
        <f t="array" ref="AG3311">IF(AF3311="","",_xlfn.TEXTSPLIT(AF3311,"-"))</f>
        <v>0</v>
      </c>
      <c r="AH3311" s="168"/>
    </row>
    <row r="3312" spans="26:34" ht="24" customHeight="1">
      <c r="Z3312"/>
      <c r="AA3312"/>
      <c r="AB3312"/>
      <c r="AC3312"/>
      <c r="AD3312"/>
      <c r="AE3312" s="168"/>
      <c r="AF3312" s="168">
        <v>0</v>
      </c>
      <c r="AG3312" s="168" t="str" cm="1">
        <f t="array" ref="AG3312">IF(AF3312="","",_xlfn.TEXTSPLIT(AF3312,"-"))</f>
        <v>0</v>
      </c>
      <c r="AH3312" s="168"/>
    </row>
    <row r="3313" spans="26:34" ht="24" customHeight="1">
      <c r="Z3313"/>
      <c r="AA3313"/>
      <c r="AB3313"/>
      <c r="AC3313"/>
      <c r="AD3313"/>
      <c r="AE3313" s="168"/>
      <c r="AF3313" s="168">
        <v>0</v>
      </c>
      <c r="AG3313" s="168" t="str" cm="1">
        <f t="array" ref="AG3313">IF(AF3313="","",_xlfn.TEXTSPLIT(AF3313,"-"))</f>
        <v>0</v>
      </c>
      <c r="AH3313" s="168"/>
    </row>
    <row r="3314" spans="26:34" ht="24" customHeight="1">
      <c r="Z3314"/>
      <c r="AA3314"/>
      <c r="AB3314"/>
      <c r="AC3314"/>
      <c r="AD3314"/>
      <c r="AE3314" s="168"/>
      <c r="AF3314" s="168">
        <v>0</v>
      </c>
      <c r="AG3314" s="168" t="str" cm="1">
        <f t="array" ref="AG3314">IF(AF3314="","",_xlfn.TEXTSPLIT(AF3314,"-"))</f>
        <v>0</v>
      </c>
      <c r="AH3314" s="168"/>
    </row>
    <row r="3315" spans="26:34" ht="24" customHeight="1">
      <c r="Z3315"/>
      <c r="AA3315"/>
      <c r="AB3315"/>
      <c r="AC3315"/>
      <c r="AD3315"/>
      <c r="AE3315" s="168"/>
      <c r="AF3315" s="168">
        <v>0</v>
      </c>
      <c r="AG3315" s="168" t="str" cm="1">
        <f t="array" ref="AG3315">IF(AF3315="","",_xlfn.TEXTSPLIT(AF3315,"-"))</f>
        <v>0</v>
      </c>
      <c r="AH3315" s="168"/>
    </row>
    <row r="3316" spans="26:34" ht="24" customHeight="1">
      <c r="Z3316"/>
      <c r="AA3316"/>
      <c r="AB3316"/>
      <c r="AC3316"/>
      <c r="AD3316"/>
      <c r="AE3316" s="168"/>
      <c r="AF3316" s="168">
        <v>0</v>
      </c>
      <c r="AG3316" s="168" t="str" cm="1">
        <f t="array" ref="AG3316">IF(AF3316="","",_xlfn.TEXTSPLIT(AF3316,"-"))</f>
        <v>0</v>
      </c>
      <c r="AH3316" s="168"/>
    </row>
    <row r="3317" spans="26:34" ht="24" customHeight="1">
      <c r="Z3317"/>
      <c r="AA3317"/>
      <c r="AB3317"/>
      <c r="AC3317"/>
      <c r="AD3317"/>
      <c r="AE3317" s="168"/>
      <c r="AF3317" s="168">
        <v>0</v>
      </c>
      <c r="AG3317" s="168" t="str" cm="1">
        <f t="array" ref="AG3317">IF(AF3317="","",_xlfn.TEXTSPLIT(AF3317,"-"))</f>
        <v>0</v>
      </c>
      <c r="AH3317" s="168"/>
    </row>
    <row r="3318" spans="26:34" ht="24" customHeight="1">
      <c r="Z3318"/>
      <c r="AA3318"/>
      <c r="AB3318"/>
      <c r="AC3318"/>
      <c r="AD3318"/>
      <c r="AE3318" s="168"/>
      <c r="AF3318" s="168">
        <v>0</v>
      </c>
      <c r="AG3318" s="168" t="str" cm="1">
        <f t="array" ref="AG3318">IF(AF3318="","",_xlfn.TEXTSPLIT(AF3318,"-"))</f>
        <v>0</v>
      </c>
      <c r="AH3318" s="168"/>
    </row>
    <row r="3319" spans="26:34" ht="24" customHeight="1">
      <c r="Z3319"/>
      <c r="AA3319"/>
      <c r="AB3319"/>
      <c r="AC3319"/>
      <c r="AD3319"/>
      <c r="AE3319" s="168"/>
      <c r="AF3319" s="168">
        <v>0</v>
      </c>
      <c r="AG3319" s="168" t="str" cm="1">
        <f t="array" ref="AG3319">IF(AF3319="","",_xlfn.TEXTSPLIT(AF3319,"-"))</f>
        <v>0</v>
      </c>
      <c r="AH3319" s="168"/>
    </row>
    <row r="3320" spans="26:34" ht="24" customHeight="1">
      <c r="Z3320"/>
      <c r="AA3320"/>
      <c r="AB3320"/>
      <c r="AC3320"/>
      <c r="AD3320"/>
      <c r="AE3320" s="168"/>
      <c r="AF3320" s="168">
        <v>0</v>
      </c>
      <c r="AG3320" s="168" t="str" cm="1">
        <f t="array" ref="AG3320">IF(AF3320="","",_xlfn.TEXTSPLIT(AF3320,"-"))</f>
        <v>0</v>
      </c>
      <c r="AH3320" s="168"/>
    </row>
    <row r="3321" spans="26:34" ht="24" customHeight="1">
      <c r="Z3321"/>
      <c r="AA3321"/>
      <c r="AB3321"/>
      <c r="AC3321"/>
      <c r="AD3321"/>
      <c r="AE3321" s="168"/>
      <c r="AF3321" s="168">
        <v>0</v>
      </c>
      <c r="AG3321" s="168" t="str" cm="1">
        <f t="array" ref="AG3321">IF(AF3321="","",_xlfn.TEXTSPLIT(AF3321,"-"))</f>
        <v>0</v>
      </c>
      <c r="AH3321" s="168"/>
    </row>
    <row r="3322" spans="26:34" ht="24" customHeight="1">
      <c r="Z3322"/>
      <c r="AA3322"/>
      <c r="AB3322"/>
      <c r="AC3322"/>
      <c r="AD3322"/>
      <c r="AE3322" s="168"/>
      <c r="AF3322" s="168">
        <v>0</v>
      </c>
      <c r="AG3322" s="168" t="str" cm="1">
        <f t="array" ref="AG3322">IF(AF3322="","",_xlfn.TEXTSPLIT(AF3322,"-"))</f>
        <v>0</v>
      </c>
      <c r="AH3322" s="168"/>
    </row>
    <row r="3323" spans="26:34" ht="24" customHeight="1">
      <c r="Z3323"/>
      <c r="AA3323"/>
      <c r="AB3323"/>
      <c r="AC3323"/>
      <c r="AD3323"/>
      <c r="AE3323" s="168"/>
      <c r="AF3323" s="168">
        <v>0</v>
      </c>
      <c r="AG3323" s="168" t="str" cm="1">
        <f t="array" ref="AG3323">IF(AF3323="","",_xlfn.TEXTSPLIT(AF3323,"-"))</f>
        <v>0</v>
      </c>
      <c r="AH3323" s="168"/>
    </row>
    <row r="3324" spans="26:34" ht="24" customHeight="1">
      <c r="Z3324"/>
      <c r="AA3324"/>
      <c r="AB3324"/>
      <c r="AC3324"/>
      <c r="AD3324"/>
      <c r="AE3324" s="168"/>
      <c r="AF3324" s="168">
        <v>0</v>
      </c>
      <c r="AG3324" s="168" t="str" cm="1">
        <f t="array" ref="AG3324">IF(AF3324="","",_xlfn.TEXTSPLIT(AF3324,"-"))</f>
        <v>0</v>
      </c>
      <c r="AH3324" s="168"/>
    </row>
    <row r="3325" spans="26:34" ht="24" customHeight="1">
      <c r="Z3325"/>
      <c r="AA3325"/>
      <c r="AB3325"/>
      <c r="AC3325"/>
      <c r="AD3325"/>
      <c r="AE3325" s="168"/>
      <c r="AF3325" s="168">
        <v>0</v>
      </c>
      <c r="AG3325" s="168" t="str" cm="1">
        <f t="array" ref="AG3325">IF(AF3325="","",_xlfn.TEXTSPLIT(AF3325,"-"))</f>
        <v>0</v>
      </c>
      <c r="AH3325" s="168"/>
    </row>
    <row r="3326" spans="26:34" ht="24" customHeight="1">
      <c r="Z3326"/>
      <c r="AA3326"/>
      <c r="AB3326"/>
      <c r="AC3326"/>
      <c r="AD3326"/>
      <c r="AE3326" s="168"/>
      <c r="AF3326" s="168">
        <v>0</v>
      </c>
      <c r="AG3326" s="168" t="str" cm="1">
        <f t="array" ref="AG3326">IF(AF3326="","",_xlfn.TEXTSPLIT(AF3326,"-"))</f>
        <v>0</v>
      </c>
      <c r="AH3326" s="168"/>
    </row>
    <row r="3327" spans="26:34" ht="24" customHeight="1">
      <c r="Z3327"/>
      <c r="AA3327"/>
      <c r="AB3327"/>
      <c r="AC3327"/>
      <c r="AD3327"/>
      <c r="AE3327" s="168"/>
      <c r="AF3327" s="168">
        <v>0</v>
      </c>
      <c r="AG3327" s="168" t="str" cm="1">
        <f t="array" ref="AG3327">IF(AF3327="","",_xlfn.TEXTSPLIT(AF3327,"-"))</f>
        <v>0</v>
      </c>
      <c r="AH3327" s="168"/>
    </row>
    <row r="3328" spans="26:34" ht="24" customHeight="1">
      <c r="Z3328"/>
      <c r="AA3328"/>
      <c r="AB3328"/>
      <c r="AC3328"/>
      <c r="AD3328"/>
      <c r="AE3328" s="168"/>
      <c r="AF3328" s="168">
        <v>0</v>
      </c>
      <c r="AG3328" s="168" t="str" cm="1">
        <f t="array" ref="AG3328">IF(AF3328="","",_xlfn.TEXTSPLIT(AF3328,"-"))</f>
        <v>0</v>
      </c>
      <c r="AH3328" s="168"/>
    </row>
    <row r="3329" spans="26:34" ht="24" customHeight="1">
      <c r="Z3329"/>
      <c r="AA3329"/>
      <c r="AB3329"/>
      <c r="AC3329"/>
      <c r="AD3329"/>
      <c r="AE3329" s="168"/>
      <c r="AF3329" s="168">
        <v>0</v>
      </c>
      <c r="AG3329" s="168" t="str" cm="1">
        <f t="array" ref="AG3329">IF(AF3329="","",_xlfn.TEXTSPLIT(AF3329,"-"))</f>
        <v>0</v>
      </c>
      <c r="AH3329" s="168"/>
    </row>
    <row r="3330" spans="26:34" ht="24" customHeight="1">
      <c r="Z3330"/>
      <c r="AA3330"/>
      <c r="AB3330"/>
      <c r="AC3330"/>
      <c r="AD3330"/>
      <c r="AE3330" s="168"/>
      <c r="AF3330" s="168">
        <v>0</v>
      </c>
      <c r="AG3330" s="168" t="str" cm="1">
        <f t="array" ref="AG3330">IF(AF3330="","",_xlfn.TEXTSPLIT(AF3330,"-"))</f>
        <v>0</v>
      </c>
      <c r="AH3330" s="168"/>
    </row>
    <row r="3331" spans="26:34" ht="24" customHeight="1">
      <c r="Z3331"/>
      <c r="AA3331"/>
      <c r="AB3331"/>
      <c r="AC3331"/>
      <c r="AD3331"/>
      <c r="AE3331" s="168"/>
      <c r="AF3331" s="168">
        <v>0</v>
      </c>
      <c r="AG3331" s="168" t="str" cm="1">
        <f t="array" ref="AG3331">IF(AF3331="","",_xlfn.TEXTSPLIT(AF3331,"-"))</f>
        <v>0</v>
      </c>
      <c r="AH3331" s="168"/>
    </row>
    <row r="3332" spans="26:34" ht="24" customHeight="1">
      <c r="Z3332"/>
      <c r="AA3332"/>
      <c r="AB3332"/>
      <c r="AC3332"/>
      <c r="AD3332"/>
      <c r="AE3332" s="168"/>
      <c r="AF3332" s="168">
        <v>0</v>
      </c>
      <c r="AG3332" s="168" t="str" cm="1">
        <f t="array" ref="AG3332">IF(AF3332="","",_xlfn.TEXTSPLIT(AF3332,"-"))</f>
        <v>0</v>
      </c>
      <c r="AH3332" s="168"/>
    </row>
    <row r="3333" spans="26:34" ht="24" customHeight="1">
      <c r="Z3333"/>
      <c r="AA3333"/>
      <c r="AB3333"/>
      <c r="AC3333"/>
      <c r="AD3333"/>
      <c r="AE3333" s="168"/>
      <c r="AF3333" s="168">
        <v>0</v>
      </c>
      <c r="AG3333" s="168" t="str" cm="1">
        <f t="array" ref="AG3333">IF(AF3333="","",_xlfn.TEXTSPLIT(AF3333,"-"))</f>
        <v>0</v>
      </c>
      <c r="AH3333" s="168"/>
    </row>
    <row r="3334" spans="26:34" ht="24" customHeight="1">
      <c r="Z3334"/>
      <c r="AA3334"/>
      <c r="AB3334"/>
      <c r="AC3334"/>
      <c r="AD3334"/>
      <c r="AE3334" s="168"/>
      <c r="AF3334" s="168">
        <v>0</v>
      </c>
      <c r="AG3334" s="168" t="str" cm="1">
        <f t="array" ref="AG3334">IF(AF3334="","",_xlfn.TEXTSPLIT(AF3334,"-"))</f>
        <v>0</v>
      </c>
      <c r="AH3334" s="168"/>
    </row>
    <row r="3335" spans="26:34" ht="24" customHeight="1">
      <c r="Z3335"/>
      <c r="AA3335"/>
      <c r="AB3335"/>
      <c r="AC3335"/>
      <c r="AD3335"/>
      <c r="AE3335" s="168"/>
      <c r="AF3335" s="168">
        <v>0</v>
      </c>
      <c r="AG3335" s="168" t="str" cm="1">
        <f t="array" ref="AG3335">IF(AF3335="","",_xlfn.TEXTSPLIT(AF3335,"-"))</f>
        <v>0</v>
      </c>
      <c r="AH3335" s="168"/>
    </row>
    <row r="3336" spans="26:34" ht="24" customHeight="1">
      <c r="Z3336"/>
      <c r="AA3336"/>
      <c r="AB3336"/>
      <c r="AC3336"/>
      <c r="AD3336"/>
      <c r="AE3336" s="168"/>
      <c r="AF3336" s="168">
        <v>0</v>
      </c>
      <c r="AG3336" s="168" t="str" cm="1">
        <f t="array" ref="AG3336">IF(AF3336="","",_xlfn.TEXTSPLIT(AF3336,"-"))</f>
        <v>0</v>
      </c>
      <c r="AH3336" s="168"/>
    </row>
    <row r="3337" spans="26:34" ht="24" customHeight="1">
      <c r="Z3337"/>
      <c r="AA3337"/>
      <c r="AB3337"/>
      <c r="AC3337"/>
      <c r="AD3337"/>
      <c r="AE3337" s="168"/>
      <c r="AF3337" s="168">
        <v>0</v>
      </c>
      <c r="AG3337" s="168" t="str" cm="1">
        <f t="array" ref="AG3337">IF(AF3337="","",_xlfn.TEXTSPLIT(AF3337,"-"))</f>
        <v>0</v>
      </c>
      <c r="AH3337" s="168"/>
    </row>
    <row r="3338" spans="26:34" ht="24" customHeight="1">
      <c r="Z3338"/>
      <c r="AA3338"/>
      <c r="AB3338"/>
      <c r="AC3338"/>
      <c r="AD3338"/>
      <c r="AE3338" s="168"/>
      <c r="AF3338" s="168">
        <v>0</v>
      </c>
      <c r="AG3338" s="168" t="str" cm="1">
        <f t="array" ref="AG3338">IF(AF3338="","",_xlfn.TEXTSPLIT(AF3338,"-"))</f>
        <v>0</v>
      </c>
      <c r="AH3338" s="168"/>
    </row>
    <row r="3339" spans="26:34" ht="24" customHeight="1">
      <c r="Z3339"/>
      <c r="AA3339"/>
      <c r="AB3339"/>
      <c r="AC3339"/>
      <c r="AD3339"/>
      <c r="AE3339" s="168"/>
      <c r="AF3339" s="168">
        <v>0</v>
      </c>
      <c r="AG3339" s="168" t="str" cm="1">
        <f t="array" ref="AG3339">IF(AF3339="","",_xlfn.TEXTSPLIT(AF3339,"-"))</f>
        <v>0</v>
      </c>
      <c r="AH3339" s="168"/>
    </row>
    <row r="3340" spans="26:34" ht="24" customHeight="1">
      <c r="Z3340"/>
      <c r="AA3340"/>
      <c r="AB3340"/>
      <c r="AC3340"/>
      <c r="AD3340"/>
      <c r="AE3340" s="168"/>
      <c r="AF3340" s="168">
        <v>0</v>
      </c>
      <c r="AG3340" s="168" t="str" cm="1">
        <f t="array" ref="AG3340">IF(AF3340="","",_xlfn.TEXTSPLIT(AF3340,"-"))</f>
        <v>0</v>
      </c>
      <c r="AH3340" s="168"/>
    </row>
    <row r="3341" spans="26:34" ht="24" customHeight="1">
      <c r="Z3341"/>
      <c r="AA3341"/>
      <c r="AB3341"/>
      <c r="AC3341"/>
      <c r="AD3341"/>
      <c r="AE3341" s="168"/>
      <c r="AF3341" s="168">
        <v>0</v>
      </c>
      <c r="AG3341" s="168" t="str" cm="1">
        <f t="array" ref="AG3341">IF(AF3341="","",_xlfn.TEXTSPLIT(AF3341,"-"))</f>
        <v>0</v>
      </c>
      <c r="AH3341" s="168"/>
    </row>
    <row r="3342" spans="26:34" ht="24" customHeight="1">
      <c r="Z3342"/>
      <c r="AA3342"/>
      <c r="AB3342"/>
      <c r="AC3342"/>
      <c r="AD3342"/>
      <c r="AE3342" s="168"/>
      <c r="AF3342" s="168">
        <v>0</v>
      </c>
      <c r="AG3342" s="168" t="str" cm="1">
        <f t="array" ref="AG3342">IF(AF3342="","",_xlfn.TEXTSPLIT(AF3342,"-"))</f>
        <v>0</v>
      </c>
      <c r="AH3342" s="168"/>
    </row>
    <row r="3343" spans="26:34" ht="24" customHeight="1">
      <c r="Z3343"/>
      <c r="AA3343"/>
      <c r="AB3343"/>
      <c r="AC3343"/>
      <c r="AD3343"/>
      <c r="AE3343" s="168"/>
      <c r="AF3343" s="168">
        <v>0</v>
      </c>
      <c r="AG3343" s="168" t="str" cm="1">
        <f t="array" ref="AG3343">IF(AF3343="","",_xlfn.TEXTSPLIT(AF3343,"-"))</f>
        <v>0</v>
      </c>
      <c r="AH3343" s="168"/>
    </row>
    <row r="3344" spans="26:34" ht="24" customHeight="1">
      <c r="Z3344"/>
      <c r="AA3344"/>
      <c r="AB3344"/>
      <c r="AC3344"/>
      <c r="AD3344"/>
      <c r="AE3344" s="168"/>
      <c r="AF3344" s="168">
        <v>0</v>
      </c>
      <c r="AG3344" s="168" t="str" cm="1">
        <f t="array" ref="AG3344">IF(AF3344="","",_xlfn.TEXTSPLIT(AF3344,"-"))</f>
        <v>0</v>
      </c>
      <c r="AH3344" s="168"/>
    </row>
    <row r="3345" spans="26:34" ht="24" customHeight="1">
      <c r="Z3345"/>
      <c r="AA3345"/>
      <c r="AB3345"/>
      <c r="AC3345"/>
      <c r="AD3345"/>
      <c r="AE3345" s="168"/>
      <c r="AF3345" s="168">
        <v>0</v>
      </c>
      <c r="AG3345" s="168" t="str" cm="1">
        <f t="array" ref="AG3345">IF(AF3345="","",_xlfn.TEXTSPLIT(AF3345,"-"))</f>
        <v>0</v>
      </c>
      <c r="AH3345" s="168"/>
    </row>
    <row r="3346" spans="26:34" ht="24" customHeight="1">
      <c r="Z3346"/>
      <c r="AA3346"/>
      <c r="AB3346"/>
      <c r="AC3346"/>
      <c r="AD3346"/>
      <c r="AE3346" s="168"/>
      <c r="AF3346" s="168">
        <v>0</v>
      </c>
      <c r="AG3346" s="168" t="str" cm="1">
        <f t="array" ref="AG3346">IF(AF3346="","",_xlfn.TEXTSPLIT(AF3346,"-"))</f>
        <v>0</v>
      </c>
      <c r="AH3346" s="168"/>
    </row>
    <row r="3347" spans="26:34" ht="24" customHeight="1">
      <c r="Z3347"/>
      <c r="AA3347"/>
      <c r="AB3347"/>
      <c r="AC3347"/>
      <c r="AD3347"/>
      <c r="AE3347" s="168"/>
      <c r="AF3347" s="168">
        <v>0</v>
      </c>
      <c r="AG3347" s="168" t="str" cm="1">
        <f t="array" ref="AG3347">IF(AF3347="","",_xlfn.TEXTSPLIT(AF3347,"-"))</f>
        <v>0</v>
      </c>
      <c r="AH3347" s="168"/>
    </row>
    <row r="3348" spans="26:34" ht="24" customHeight="1">
      <c r="Z3348"/>
      <c r="AA3348"/>
      <c r="AB3348"/>
      <c r="AC3348"/>
      <c r="AD3348"/>
      <c r="AE3348" s="168"/>
      <c r="AF3348" s="168">
        <v>0</v>
      </c>
      <c r="AG3348" s="168" t="str" cm="1">
        <f t="array" ref="AG3348">IF(AF3348="","",_xlfn.TEXTSPLIT(AF3348,"-"))</f>
        <v>0</v>
      </c>
      <c r="AH3348" s="168"/>
    </row>
    <row r="3349" spans="26:34" ht="24" customHeight="1">
      <c r="Z3349"/>
      <c r="AA3349"/>
      <c r="AB3349"/>
      <c r="AC3349"/>
      <c r="AD3349"/>
      <c r="AE3349" s="168"/>
      <c r="AF3349" s="168">
        <v>0</v>
      </c>
      <c r="AG3349" s="168" t="str" cm="1">
        <f t="array" ref="AG3349">IF(AF3349="","",_xlfn.TEXTSPLIT(AF3349,"-"))</f>
        <v>0</v>
      </c>
      <c r="AH3349" s="168"/>
    </row>
    <row r="3350" spans="26:34" ht="24" customHeight="1">
      <c r="Z3350"/>
      <c r="AA3350"/>
      <c r="AB3350"/>
      <c r="AC3350"/>
      <c r="AD3350"/>
      <c r="AE3350" s="168"/>
      <c r="AF3350" s="168">
        <v>0</v>
      </c>
      <c r="AG3350" s="168" t="str" cm="1">
        <f t="array" ref="AG3350">IF(AF3350="","",_xlfn.TEXTSPLIT(AF3350,"-"))</f>
        <v>0</v>
      </c>
      <c r="AH3350" s="168"/>
    </row>
    <row r="3351" spans="26:34" ht="24" customHeight="1">
      <c r="Z3351"/>
      <c r="AA3351"/>
      <c r="AB3351"/>
      <c r="AC3351"/>
      <c r="AD3351"/>
      <c r="AE3351" s="168"/>
      <c r="AF3351" s="168">
        <v>0</v>
      </c>
      <c r="AG3351" s="168" t="str" cm="1">
        <f t="array" ref="AG3351">IF(AF3351="","",_xlfn.TEXTSPLIT(AF3351,"-"))</f>
        <v>0</v>
      </c>
      <c r="AH3351" s="168"/>
    </row>
    <row r="3352" spans="26:34" ht="24" customHeight="1">
      <c r="Z3352"/>
      <c r="AA3352"/>
      <c r="AB3352"/>
      <c r="AC3352"/>
      <c r="AD3352"/>
      <c r="AE3352" s="168"/>
      <c r="AF3352" s="168">
        <v>0</v>
      </c>
      <c r="AG3352" s="168" t="str" cm="1">
        <f t="array" ref="AG3352">IF(AF3352="","",_xlfn.TEXTSPLIT(AF3352,"-"))</f>
        <v>0</v>
      </c>
      <c r="AH3352" s="168"/>
    </row>
    <row r="3353" spans="26:34" ht="24" customHeight="1">
      <c r="Z3353"/>
      <c r="AA3353"/>
      <c r="AB3353"/>
      <c r="AC3353"/>
      <c r="AD3353"/>
      <c r="AE3353" s="168"/>
      <c r="AF3353" s="168">
        <v>0</v>
      </c>
      <c r="AG3353" s="168" t="str" cm="1">
        <f t="array" ref="AG3353">IF(AF3353="","",_xlfn.TEXTSPLIT(AF3353,"-"))</f>
        <v>0</v>
      </c>
      <c r="AH3353" s="168"/>
    </row>
    <row r="3354" spans="26:34" ht="24" customHeight="1">
      <c r="Z3354"/>
      <c r="AA3354"/>
      <c r="AB3354"/>
      <c r="AC3354"/>
      <c r="AD3354"/>
      <c r="AE3354" s="168"/>
      <c r="AF3354" s="168">
        <v>0</v>
      </c>
      <c r="AG3354" s="168" t="str" cm="1">
        <f t="array" ref="AG3354">IF(AF3354="","",_xlfn.TEXTSPLIT(AF3354,"-"))</f>
        <v>0</v>
      </c>
      <c r="AH3354" s="168"/>
    </row>
    <row r="3355" spans="26:34" ht="24" customHeight="1">
      <c r="Z3355"/>
      <c r="AA3355"/>
      <c r="AB3355"/>
      <c r="AC3355"/>
      <c r="AD3355"/>
      <c r="AE3355" s="168"/>
      <c r="AF3355" s="168">
        <v>0</v>
      </c>
      <c r="AG3355" s="168" t="str" cm="1">
        <f t="array" ref="AG3355">IF(AF3355="","",_xlfn.TEXTSPLIT(AF3355,"-"))</f>
        <v>0</v>
      </c>
      <c r="AH3355" s="168"/>
    </row>
    <row r="3356" spans="26:34" ht="24" customHeight="1">
      <c r="Z3356"/>
      <c r="AA3356"/>
      <c r="AB3356"/>
      <c r="AC3356"/>
      <c r="AD3356"/>
      <c r="AE3356" s="168"/>
      <c r="AF3356" s="168">
        <v>0</v>
      </c>
      <c r="AG3356" s="168" t="str" cm="1">
        <f t="array" ref="AG3356">IF(AF3356="","",_xlfn.TEXTSPLIT(AF3356,"-"))</f>
        <v>0</v>
      </c>
      <c r="AH3356" s="168"/>
    </row>
    <row r="3357" spans="26:34" ht="24" customHeight="1">
      <c r="Z3357"/>
      <c r="AA3357"/>
      <c r="AB3357"/>
      <c r="AC3357"/>
      <c r="AD3357"/>
      <c r="AE3357" s="168"/>
      <c r="AF3357" s="168">
        <v>0</v>
      </c>
      <c r="AG3357" s="168" t="str" cm="1">
        <f t="array" ref="AG3357">IF(AF3357="","",_xlfn.TEXTSPLIT(AF3357,"-"))</f>
        <v>0</v>
      </c>
      <c r="AH3357" s="168"/>
    </row>
    <row r="3358" spans="26:34" ht="24" customHeight="1">
      <c r="Z3358"/>
      <c r="AA3358"/>
      <c r="AB3358"/>
      <c r="AC3358"/>
      <c r="AD3358"/>
      <c r="AE3358" s="168"/>
      <c r="AF3358" s="168">
        <v>0</v>
      </c>
      <c r="AG3358" s="168" t="str" cm="1">
        <f t="array" ref="AG3358">IF(AF3358="","",_xlfn.TEXTSPLIT(AF3358,"-"))</f>
        <v>0</v>
      </c>
      <c r="AH3358" s="168"/>
    </row>
    <row r="3359" spans="26:34" ht="24" customHeight="1">
      <c r="Z3359"/>
      <c r="AA3359"/>
      <c r="AB3359"/>
      <c r="AC3359"/>
      <c r="AD3359"/>
      <c r="AE3359" s="168"/>
      <c r="AF3359" s="168">
        <v>0</v>
      </c>
      <c r="AG3359" s="168" t="str" cm="1">
        <f t="array" ref="AG3359">IF(AF3359="","",_xlfn.TEXTSPLIT(AF3359,"-"))</f>
        <v>0</v>
      </c>
      <c r="AH3359" s="168"/>
    </row>
    <row r="3360" spans="26:34" ht="24" customHeight="1">
      <c r="Z3360"/>
      <c r="AA3360"/>
      <c r="AB3360"/>
      <c r="AC3360"/>
      <c r="AD3360"/>
      <c r="AE3360" s="168"/>
      <c r="AF3360" s="168">
        <v>0</v>
      </c>
      <c r="AG3360" s="168" t="str" cm="1">
        <f t="array" ref="AG3360">IF(AF3360="","",_xlfn.TEXTSPLIT(AF3360,"-"))</f>
        <v>0</v>
      </c>
      <c r="AH3360" s="168"/>
    </row>
    <row r="3361" spans="26:34" ht="24" customHeight="1">
      <c r="Z3361"/>
      <c r="AA3361"/>
      <c r="AB3361"/>
      <c r="AC3361"/>
      <c r="AD3361"/>
      <c r="AE3361" s="168"/>
      <c r="AF3361" s="168">
        <v>0</v>
      </c>
      <c r="AG3361" s="168" t="str" cm="1">
        <f t="array" ref="AG3361">IF(AF3361="","",_xlfn.TEXTSPLIT(AF3361,"-"))</f>
        <v>0</v>
      </c>
      <c r="AH3361" s="168"/>
    </row>
    <row r="3362" spans="26:34" ht="24" customHeight="1">
      <c r="Z3362"/>
      <c r="AA3362"/>
      <c r="AB3362"/>
      <c r="AC3362"/>
      <c r="AD3362"/>
      <c r="AE3362" s="168"/>
      <c r="AF3362" s="168">
        <v>0</v>
      </c>
      <c r="AG3362" s="168" t="str" cm="1">
        <f t="array" ref="AG3362">IF(AF3362="","",_xlfn.TEXTSPLIT(AF3362,"-"))</f>
        <v>0</v>
      </c>
      <c r="AH3362" s="168"/>
    </row>
    <row r="3363" spans="26:34" ht="24" customHeight="1">
      <c r="Z3363"/>
      <c r="AA3363"/>
      <c r="AB3363"/>
      <c r="AC3363"/>
      <c r="AD3363"/>
      <c r="AE3363" s="168"/>
      <c r="AF3363" s="168">
        <v>0</v>
      </c>
      <c r="AG3363" s="168" t="str" cm="1">
        <f t="array" ref="AG3363">IF(AF3363="","",_xlfn.TEXTSPLIT(AF3363,"-"))</f>
        <v>0</v>
      </c>
      <c r="AH3363" s="168"/>
    </row>
    <row r="3364" spans="26:34" ht="24" customHeight="1">
      <c r="Z3364"/>
      <c r="AA3364"/>
      <c r="AB3364"/>
      <c r="AC3364"/>
      <c r="AD3364"/>
      <c r="AE3364" s="168"/>
      <c r="AF3364" s="168">
        <v>0</v>
      </c>
      <c r="AG3364" s="168" t="str" cm="1">
        <f t="array" ref="AG3364">IF(AF3364="","",_xlfn.TEXTSPLIT(AF3364,"-"))</f>
        <v>0</v>
      </c>
      <c r="AH3364" s="168"/>
    </row>
    <row r="3365" spans="26:34" ht="24" customHeight="1">
      <c r="Z3365"/>
      <c r="AA3365"/>
      <c r="AB3365"/>
      <c r="AC3365"/>
      <c r="AD3365"/>
      <c r="AE3365" s="168"/>
      <c r="AF3365" s="168">
        <v>0</v>
      </c>
      <c r="AG3365" s="168" t="str" cm="1">
        <f t="array" ref="AG3365">IF(AF3365="","",_xlfn.TEXTSPLIT(AF3365,"-"))</f>
        <v>0</v>
      </c>
      <c r="AH3365" s="168"/>
    </row>
    <row r="3366" spans="26:34" ht="24" customHeight="1">
      <c r="Z3366"/>
      <c r="AA3366"/>
      <c r="AB3366"/>
      <c r="AC3366"/>
      <c r="AD3366"/>
      <c r="AE3366" s="168"/>
      <c r="AF3366" s="168">
        <v>0</v>
      </c>
      <c r="AG3366" s="168" t="str" cm="1">
        <f t="array" ref="AG3366">IF(AF3366="","",_xlfn.TEXTSPLIT(AF3366,"-"))</f>
        <v>0</v>
      </c>
      <c r="AH3366" s="168"/>
    </row>
    <row r="3367" spans="26:34" ht="24" customHeight="1">
      <c r="Z3367"/>
      <c r="AA3367"/>
      <c r="AB3367"/>
      <c r="AC3367"/>
      <c r="AD3367"/>
      <c r="AE3367" s="168"/>
      <c r="AF3367" s="168">
        <v>0</v>
      </c>
      <c r="AG3367" s="168" t="str" cm="1">
        <f t="array" ref="AG3367">IF(AF3367="","",_xlfn.TEXTSPLIT(AF3367,"-"))</f>
        <v>0</v>
      </c>
      <c r="AH3367" s="168"/>
    </row>
    <row r="3368" spans="26:34" ht="24" customHeight="1">
      <c r="Z3368"/>
      <c r="AA3368"/>
      <c r="AB3368"/>
      <c r="AC3368"/>
      <c r="AD3368"/>
      <c r="AE3368" s="168"/>
      <c r="AF3368" s="168">
        <v>0</v>
      </c>
      <c r="AG3368" s="168" t="str" cm="1">
        <f t="array" ref="AG3368">IF(AF3368="","",_xlfn.TEXTSPLIT(AF3368,"-"))</f>
        <v>0</v>
      </c>
      <c r="AH3368" s="168"/>
    </row>
    <row r="3369" spans="26:34" ht="24" customHeight="1">
      <c r="Z3369"/>
      <c r="AA3369"/>
      <c r="AB3369"/>
      <c r="AC3369"/>
      <c r="AD3369"/>
      <c r="AE3369" s="168"/>
      <c r="AF3369" s="168">
        <v>0</v>
      </c>
      <c r="AG3369" s="168" t="str" cm="1">
        <f t="array" ref="AG3369">IF(AF3369="","",_xlfn.TEXTSPLIT(AF3369,"-"))</f>
        <v>0</v>
      </c>
      <c r="AH3369" s="168"/>
    </row>
    <row r="3370" spans="26:34" ht="24" customHeight="1">
      <c r="Z3370"/>
      <c r="AA3370"/>
      <c r="AB3370"/>
      <c r="AC3370"/>
      <c r="AD3370"/>
      <c r="AE3370" s="168"/>
      <c r="AF3370" s="168">
        <v>0</v>
      </c>
      <c r="AG3370" s="168" t="str" cm="1">
        <f t="array" ref="AG3370">IF(AF3370="","",_xlfn.TEXTSPLIT(AF3370,"-"))</f>
        <v>0</v>
      </c>
      <c r="AH3370" s="168"/>
    </row>
    <row r="3371" spans="26:34" ht="24" customHeight="1">
      <c r="Z3371"/>
      <c r="AA3371"/>
      <c r="AB3371"/>
      <c r="AC3371"/>
      <c r="AD3371"/>
      <c r="AE3371" s="168"/>
      <c r="AF3371" s="168">
        <v>0</v>
      </c>
      <c r="AG3371" s="168" t="str" cm="1">
        <f t="array" ref="AG3371">IF(AF3371="","",_xlfn.TEXTSPLIT(AF3371,"-"))</f>
        <v>0</v>
      </c>
      <c r="AH3371" s="168"/>
    </row>
    <row r="3372" spans="26:34" ht="24" customHeight="1">
      <c r="Z3372"/>
      <c r="AA3372"/>
      <c r="AB3372"/>
      <c r="AC3372"/>
      <c r="AD3372"/>
      <c r="AE3372" s="168"/>
      <c r="AF3372" s="168">
        <v>0</v>
      </c>
      <c r="AG3372" s="168" t="str" cm="1">
        <f t="array" ref="AG3372">IF(AF3372="","",_xlfn.TEXTSPLIT(AF3372,"-"))</f>
        <v>0</v>
      </c>
      <c r="AH3372" s="168"/>
    </row>
    <row r="3373" spans="26:34" ht="24" customHeight="1">
      <c r="Z3373"/>
      <c r="AA3373"/>
      <c r="AB3373"/>
      <c r="AC3373"/>
      <c r="AD3373"/>
      <c r="AE3373" s="168"/>
      <c r="AF3373" s="168">
        <v>0</v>
      </c>
      <c r="AG3373" s="168" t="str" cm="1">
        <f t="array" ref="AG3373">IF(AF3373="","",_xlfn.TEXTSPLIT(AF3373,"-"))</f>
        <v>0</v>
      </c>
      <c r="AH3373" s="168"/>
    </row>
    <row r="3374" spans="26:34" ht="24" customHeight="1">
      <c r="Z3374"/>
      <c r="AA3374"/>
      <c r="AB3374"/>
      <c r="AC3374"/>
      <c r="AD3374"/>
      <c r="AE3374" s="168"/>
      <c r="AF3374" s="168">
        <v>0</v>
      </c>
      <c r="AG3374" s="168" t="str" cm="1">
        <f t="array" ref="AG3374">IF(AF3374="","",_xlfn.TEXTSPLIT(AF3374,"-"))</f>
        <v>0</v>
      </c>
      <c r="AH3374" s="168"/>
    </row>
    <row r="3375" spans="26:34" ht="24" customHeight="1">
      <c r="Z3375"/>
      <c r="AA3375"/>
      <c r="AB3375"/>
      <c r="AC3375"/>
      <c r="AD3375"/>
      <c r="AE3375" s="168"/>
      <c r="AF3375" s="168">
        <v>0</v>
      </c>
      <c r="AG3375" s="168" t="str" cm="1">
        <f t="array" ref="AG3375">IF(AF3375="","",_xlfn.TEXTSPLIT(AF3375,"-"))</f>
        <v>0</v>
      </c>
      <c r="AH3375" s="168"/>
    </row>
    <row r="3376" spans="26:34" ht="24" customHeight="1">
      <c r="Z3376"/>
      <c r="AA3376"/>
      <c r="AB3376"/>
      <c r="AC3376"/>
      <c r="AD3376"/>
      <c r="AE3376" s="168"/>
      <c r="AF3376" s="168">
        <v>0</v>
      </c>
      <c r="AG3376" s="168" t="str" cm="1">
        <f t="array" ref="AG3376">IF(AF3376="","",_xlfn.TEXTSPLIT(AF3376,"-"))</f>
        <v>0</v>
      </c>
      <c r="AH3376" s="168"/>
    </row>
    <row r="3377" spans="26:34" ht="24" customHeight="1">
      <c r="Z3377"/>
      <c r="AA3377"/>
      <c r="AB3377"/>
      <c r="AC3377"/>
      <c r="AD3377"/>
      <c r="AE3377" s="168"/>
      <c r="AF3377" s="168">
        <v>0</v>
      </c>
      <c r="AG3377" s="168" t="str" cm="1">
        <f t="array" ref="AG3377">IF(AF3377="","",_xlfn.TEXTSPLIT(AF3377,"-"))</f>
        <v>0</v>
      </c>
      <c r="AH3377" s="168"/>
    </row>
    <row r="3378" spans="26:34" ht="24" customHeight="1">
      <c r="Z3378"/>
      <c r="AA3378"/>
      <c r="AB3378"/>
      <c r="AC3378"/>
      <c r="AD3378"/>
      <c r="AE3378" s="168"/>
      <c r="AF3378" s="168">
        <v>0</v>
      </c>
      <c r="AG3378" s="168" t="str" cm="1">
        <f t="array" ref="AG3378">IF(AF3378="","",_xlfn.TEXTSPLIT(AF3378,"-"))</f>
        <v>0</v>
      </c>
      <c r="AH3378" s="168"/>
    </row>
    <row r="3379" spans="26:34" ht="24" customHeight="1">
      <c r="Z3379"/>
      <c r="AA3379"/>
      <c r="AB3379"/>
      <c r="AC3379"/>
      <c r="AD3379"/>
      <c r="AE3379" s="168"/>
      <c r="AF3379" s="168">
        <v>0</v>
      </c>
      <c r="AG3379" s="168" t="str" cm="1">
        <f t="array" ref="AG3379">IF(AF3379="","",_xlfn.TEXTSPLIT(AF3379,"-"))</f>
        <v>0</v>
      </c>
      <c r="AH3379" s="168"/>
    </row>
    <row r="3380" spans="26:34" ht="24" customHeight="1">
      <c r="Z3380"/>
      <c r="AA3380"/>
      <c r="AB3380"/>
      <c r="AC3380"/>
      <c r="AD3380"/>
      <c r="AE3380" s="168"/>
      <c r="AF3380" s="168">
        <v>0</v>
      </c>
      <c r="AG3380" s="168" t="str" cm="1">
        <f t="array" ref="AG3380">IF(AF3380="","",_xlfn.TEXTSPLIT(AF3380,"-"))</f>
        <v>0</v>
      </c>
      <c r="AH3380" s="168"/>
    </row>
    <row r="3381" spans="26:34" ht="24" customHeight="1">
      <c r="Z3381"/>
      <c r="AA3381"/>
      <c r="AB3381"/>
      <c r="AC3381"/>
      <c r="AD3381"/>
      <c r="AE3381" s="168"/>
      <c r="AF3381" s="168">
        <v>0</v>
      </c>
      <c r="AG3381" s="168" t="str" cm="1">
        <f t="array" ref="AG3381">IF(AF3381="","",_xlfn.TEXTSPLIT(AF3381,"-"))</f>
        <v>0</v>
      </c>
      <c r="AH3381" s="168"/>
    </row>
    <row r="3382" spans="26:34" ht="24" customHeight="1">
      <c r="Z3382"/>
      <c r="AA3382"/>
      <c r="AB3382"/>
      <c r="AC3382"/>
      <c r="AD3382"/>
      <c r="AE3382" s="168"/>
      <c r="AF3382" s="168">
        <v>0</v>
      </c>
      <c r="AG3382" s="168" t="str" cm="1">
        <f t="array" ref="AG3382">IF(AF3382="","",_xlfn.TEXTSPLIT(AF3382,"-"))</f>
        <v>0</v>
      </c>
      <c r="AH3382" s="168"/>
    </row>
    <row r="3383" spans="26:34" ht="24" customHeight="1">
      <c r="Z3383"/>
      <c r="AA3383"/>
      <c r="AB3383"/>
      <c r="AC3383"/>
      <c r="AD3383"/>
      <c r="AE3383" s="168"/>
      <c r="AF3383" s="168">
        <v>0</v>
      </c>
      <c r="AG3383" s="168" t="str" cm="1">
        <f t="array" ref="AG3383">IF(AF3383="","",_xlfn.TEXTSPLIT(AF3383,"-"))</f>
        <v>0</v>
      </c>
      <c r="AH3383" s="168"/>
    </row>
    <row r="3384" spans="26:34" ht="24" customHeight="1">
      <c r="Z3384"/>
      <c r="AA3384"/>
      <c r="AB3384"/>
      <c r="AC3384"/>
      <c r="AD3384"/>
      <c r="AE3384" s="168"/>
      <c r="AF3384" s="168">
        <v>0</v>
      </c>
      <c r="AG3384" s="168" t="str" cm="1">
        <f t="array" ref="AG3384">IF(AF3384="","",_xlfn.TEXTSPLIT(AF3384,"-"))</f>
        <v>0</v>
      </c>
      <c r="AH3384" s="168"/>
    </row>
    <row r="3385" spans="26:34" ht="24" customHeight="1">
      <c r="Z3385"/>
      <c r="AA3385"/>
      <c r="AB3385"/>
      <c r="AC3385"/>
      <c r="AD3385"/>
      <c r="AE3385" s="168"/>
      <c r="AF3385" s="168">
        <v>0</v>
      </c>
      <c r="AG3385" s="168" t="str" cm="1">
        <f t="array" ref="AG3385">IF(AF3385="","",_xlfn.TEXTSPLIT(AF3385,"-"))</f>
        <v>0</v>
      </c>
      <c r="AH3385" s="168"/>
    </row>
    <row r="3386" spans="26:34" ht="24" customHeight="1">
      <c r="Z3386"/>
      <c r="AA3386"/>
      <c r="AB3386"/>
      <c r="AC3386"/>
      <c r="AD3386"/>
      <c r="AE3386" s="168"/>
      <c r="AF3386" s="168">
        <v>0</v>
      </c>
      <c r="AG3386" s="168" t="str" cm="1">
        <f t="array" ref="AG3386">IF(AF3386="","",_xlfn.TEXTSPLIT(AF3386,"-"))</f>
        <v>0</v>
      </c>
      <c r="AH3386" s="168"/>
    </row>
    <row r="3387" spans="26:34" ht="24" customHeight="1">
      <c r="Z3387"/>
      <c r="AA3387"/>
      <c r="AB3387"/>
      <c r="AC3387"/>
      <c r="AD3387"/>
      <c r="AE3387" s="168"/>
      <c r="AF3387" s="168">
        <v>0</v>
      </c>
      <c r="AG3387" s="168" t="str" cm="1">
        <f t="array" ref="AG3387">IF(AF3387="","",_xlfn.TEXTSPLIT(AF3387,"-"))</f>
        <v>0</v>
      </c>
      <c r="AH3387" s="168"/>
    </row>
    <row r="3388" spans="26:34" ht="24" customHeight="1">
      <c r="Z3388"/>
      <c r="AA3388"/>
      <c r="AB3388"/>
      <c r="AC3388"/>
      <c r="AD3388"/>
      <c r="AE3388" s="168"/>
      <c r="AF3388" s="168">
        <v>0</v>
      </c>
      <c r="AG3388" s="168" t="str" cm="1">
        <f t="array" ref="AG3388">IF(AF3388="","",_xlfn.TEXTSPLIT(AF3388,"-"))</f>
        <v>0</v>
      </c>
      <c r="AH3388" s="168"/>
    </row>
    <row r="3389" spans="26:34" ht="24" customHeight="1">
      <c r="Z3389"/>
      <c r="AA3389"/>
      <c r="AB3389"/>
      <c r="AC3389"/>
      <c r="AD3389"/>
      <c r="AE3389" s="168"/>
      <c r="AF3389" s="168">
        <v>0</v>
      </c>
      <c r="AG3389" s="168" t="str" cm="1">
        <f t="array" ref="AG3389">IF(AF3389="","",_xlfn.TEXTSPLIT(AF3389,"-"))</f>
        <v>0</v>
      </c>
      <c r="AH3389" s="168"/>
    </row>
    <row r="3390" spans="26:34" ht="24" customHeight="1">
      <c r="Z3390"/>
      <c r="AA3390"/>
      <c r="AB3390"/>
      <c r="AC3390"/>
      <c r="AD3390"/>
      <c r="AE3390" s="168"/>
      <c r="AF3390" s="168">
        <v>0</v>
      </c>
      <c r="AG3390" s="168" t="str" cm="1">
        <f t="array" ref="AG3390">IF(AF3390="","",_xlfn.TEXTSPLIT(AF3390,"-"))</f>
        <v>0</v>
      </c>
      <c r="AH3390" s="168"/>
    </row>
    <row r="3391" spans="26:34" ht="24" customHeight="1">
      <c r="Z3391"/>
      <c r="AA3391"/>
      <c r="AB3391"/>
      <c r="AC3391"/>
      <c r="AD3391"/>
      <c r="AE3391" s="168"/>
      <c r="AF3391" s="168">
        <v>0</v>
      </c>
      <c r="AG3391" s="168" t="str" cm="1">
        <f t="array" ref="AG3391">IF(AF3391="","",_xlfn.TEXTSPLIT(AF3391,"-"))</f>
        <v>0</v>
      </c>
      <c r="AH3391" s="168"/>
    </row>
    <row r="3392" spans="26:34" ht="24" customHeight="1">
      <c r="Z3392"/>
      <c r="AA3392"/>
      <c r="AB3392"/>
      <c r="AC3392"/>
      <c r="AD3392"/>
      <c r="AE3392" s="168"/>
      <c r="AF3392" s="168">
        <v>0</v>
      </c>
      <c r="AG3392" s="168" t="str" cm="1">
        <f t="array" ref="AG3392">IF(AF3392="","",_xlfn.TEXTSPLIT(AF3392,"-"))</f>
        <v>0</v>
      </c>
      <c r="AH3392" s="168"/>
    </row>
    <row r="3393" spans="26:34" ht="24" customHeight="1">
      <c r="Z3393"/>
      <c r="AA3393"/>
      <c r="AB3393"/>
      <c r="AC3393"/>
      <c r="AD3393"/>
      <c r="AE3393" s="168"/>
      <c r="AF3393" s="168">
        <v>0</v>
      </c>
      <c r="AG3393" s="168" t="str" cm="1">
        <f t="array" ref="AG3393">IF(AF3393="","",_xlfn.TEXTSPLIT(AF3393,"-"))</f>
        <v>0</v>
      </c>
      <c r="AH3393" s="168"/>
    </row>
    <row r="3394" spans="26:34" ht="24" customHeight="1">
      <c r="Z3394"/>
      <c r="AA3394"/>
      <c r="AB3394"/>
      <c r="AC3394"/>
      <c r="AD3394"/>
      <c r="AE3394" s="168"/>
      <c r="AF3394" s="168">
        <v>0</v>
      </c>
      <c r="AG3394" s="168" t="str" cm="1">
        <f t="array" ref="AG3394">IF(AF3394="","",_xlfn.TEXTSPLIT(AF3394,"-"))</f>
        <v>0</v>
      </c>
      <c r="AH3394" s="168"/>
    </row>
    <row r="3395" spans="26:34" ht="24" customHeight="1">
      <c r="Z3395"/>
      <c r="AA3395"/>
      <c r="AB3395"/>
      <c r="AC3395"/>
      <c r="AD3395"/>
      <c r="AE3395" s="168"/>
      <c r="AF3395" s="168">
        <v>0</v>
      </c>
      <c r="AG3395" s="168" t="str" cm="1">
        <f t="array" ref="AG3395">IF(AF3395="","",_xlfn.TEXTSPLIT(AF3395,"-"))</f>
        <v>0</v>
      </c>
      <c r="AH3395" s="168"/>
    </row>
    <row r="3396" spans="26:34" ht="24" customHeight="1">
      <c r="Z3396"/>
      <c r="AA3396"/>
      <c r="AB3396"/>
      <c r="AC3396"/>
      <c r="AD3396"/>
      <c r="AE3396" s="168"/>
      <c r="AF3396" s="168">
        <v>0</v>
      </c>
      <c r="AG3396" s="168" t="str" cm="1">
        <f t="array" ref="AG3396">IF(AF3396="","",_xlfn.TEXTSPLIT(AF3396,"-"))</f>
        <v>0</v>
      </c>
      <c r="AH3396" s="168"/>
    </row>
    <row r="3397" spans="26:34" ht="24" customHeight="1">
      <c r="Z3397"/>
      <c r="AA3397"/>
      <c r="AB3397"/>
      <c r="AC3397"/>
      <c r="AD3397"/>
      <c r="AE3397" s="168"/>
      <c r="AF3397" s="168">
        <v>0</v>
      </c>
      <c r="AG3397" s="168" t="str" cm="1">
        <f t="array" ref="AG3397">IF(AF3397="","",_xlfn.TEXTSPLIT(AF3397,"-"))</f>
        <v>0</v>
      </c>
      <c r="AH3397" s="168"/>
    </row>
    <row r="3398" spans="26:34" ht="24" customHeight="1">
      <c r="Z3398"/>
      <c r="AA3398"/>
      <c r="AB3398"/>
      <c r="AC3398"/>
      <c r="AD3398"/>
      <c r="AE3398" s="168"/>
      <c r="AF3398" s="168">
        <v>0</v>
      </c>
      <c r="AG3398" s="168" t="str" cm="1">
        <f t="array" ref="AG3398">IF(AF3398="","",_xlfn.TEXTSPLIT(AF3398,"-"))</f>
        <v>0</v>
      </c>
      <c r="AH3398" s="168"/>
    </row>
    <row r="3399" spans="26:34" ht="24" customHeight="1">
      <c r="Z3399"/>
      <c r="AA3399"/>
      <c r="AB3399"/>
      <c r="AC3399"/>
      <c r="AD3399"/>
      <c r="AE3399" s="168"/>
      <c r="AF3399" s="168">
        <v>0</v>
      </c>
      <c r="AG3399" s="168" t="str" cm="1">
        <f t="array" ref="AG3399">IF(AF3399="","",_xlfn.TEXTSPLIT(AF3399,"-"))</f>
        <v>0</v>
      </c>
      <c r="AH3399" s="168"/>
    </row>
    <row r="3400" spans="26:34" ht="24" customHeight="1">
      <c r="Z3400"/>
      <c r="AA3400"/>
      <c r="AB3400"/>
      <c r="AC3400"/>
      <c r="AD3400"/>
      <c r="AE3400" s="168"/>
      <c r="AF3400" s="168">
        <v>0</v>
      </c>
      <c r="AG3400" s="168" t="str" cm="1">
        <f t="array" ref="AG3400">IF(AF3400="","",_xlfn.TEXTSPLIT(AF3400,"-"))</f>
        <v>0</v>
      </c>
      <c r="AH3400" s="168"/>
    </row>
    <row r="3401" spans="26:34" ht="24" customHeight="1">
      <c r="Z3401"/>
      <c r="AA3401"/>
      <c r="AB3401"/>
      <c r="AC3401"/>
      <c r="AD3401"/>
      <c r="AE3401" s="168"/>
      <c r="AF3401" s="168">
        <v>0</v>
      </c>
      <c r="AG3401" s="168" t="str" cm="1">
        <f t="array" ref="AG3401">IF(AF3401="","",_xlfn.TEXTSPLIT(AF3401,"-"))</f>
        <v>0</v>
      </c>
      <c r="AH3401" s="168"/>
    </row>
    <row r="3402" spans="26:34" ht="24" customHeight="1">
      <c r="Z3402"/>
      <c r="AA3402"/>
      <c r="AB3402"/>
      <c r="AC3402"/>
      <c r="AD3402"/>
      <c r="AE3402" s="168"/>
      <c r="AF3402" s="168">
        <v>0</v>
      </c>
      <c r="AG3402" s="168" t="str" cm="1">
        <f t="array" ref="AG3402">IF(AF3402="","",_xlfn.TEXTSPLIT(AF3402,"-"))</f>
        <v>0</v>
      </c>
      <c r="AH3402" s="168"/>
    </row>
    <row r="3403" spans="26:34" ht="24" customHeight="1">
      <c r="Z3403"/>
      <c r="AA3403"/>
      <c r="AB3403"/>
      <c r="AC3403"/>
      <c r="AD3403"/>
      <c r="AE3403" s="168"/>
      <c r="AF3403" s="168">
        <v>0</v>
      </c>
      <c r="AG3403" s="168" t="str" cm="1">
        <f t="array" ref="AG3403">IF(AF3403="","",_xlfn.TEXTSPLIT(AF3403,"-"))</f>
        <v>0</v>
      </c>
      <c r="AH3403" s="168"/>
    </row>
    <row r="3404" spans="26:34" ht="24" customHeight="1">
      <c r="Z3404"/>
      <c r="AA3404"/>
      <c r="AB3404"/>
      <c r="AC3404"/>
      <c r="AD3404"/>
      <c r="AE3404" s="168"/>
      <c r="AF3404" s="168">
        <v>0</v>
      </c>
      <c r="AG3404" s="168" t="str" cm="1">
        <f t="array" ref="AG3404">IF(AF3404="","",_xlfn.TEXTSPLIT(AF3404,"-"))</f>
        <v>0</v>
      </c>
      <c r="AH3404" s="168"/>
    </row>
    <row r="3405" spans="26:34" ht="24" customHeight="1">
      <c r="Z3405"/>
      <c r="AA3405"/>
      <c r="AB3405"/>
      <c r="AC3405"/>
      <c r="AD3405"/>
      <c r="AE3405" s="168"/>
      <c r="AF3405" s="168">
        <v>0</v>
      </c>
      <c r="AG3405" s="168" t="str" cm="1">
        <f t="array" ref="AG3405">IF(AF3405="","",_xlfn.TEXTSPLIT(AF3405,"-"))</f>
        <v>0</v>
      </c>
      <c r="AH3405" s="168"/>
    </row>
    <row r="3406" spans="26:34" ht="24" customHeight="1">
      <c r="Z3406"/>
      <c r="AA3406"/>
      <c r="AB3406"/>
      <c r="AC3406"/>
      <c r="AD3406"/>
      <c r="AE3406" s="168"/>
      <c r="AF3406" s="168">
        <v>0</v>
      </c>
      <c r="AG3406" s="168" t="str" cm="1">
        <f t="array" ref="AG3406">IF(AF3406="","",_xlfn.TEXTSPLIT(AF3406,"-"))</f>
        <v>0</v>
      </c>
      <c r="AH3406" s="168"/>
    </row>
    <row r="3407" spans="26:34" ht="24" customHeight="1">
      <c r="Z3407"/>
      <c r="AA3407"/>
      <c r="AB3407"/>
      <c r="AC3407"/>
      <c r="AD3407"/>
      <c r="AE3407" s="168"/>
      <c r="AF3407" s="168">
        <v>0</v>
      </c>
      <c r="AG3407" s="168" t="str" cm="1">
        <f t="array" ref="AG3407">IF(AF3407="","",_xlfn.TEXTSPLIT(AF3407,"-"))</f>
        <v>0</v>
      </c>
      <c r="AH3407" s="168"/>
    </row>
    <row r="3408" spans="26:34" ht="24" customHeight="1">
      <c r="Z3408"/>
      <c r="AA3408"/>
      <c r="AB3408"/>
      <c r="AC3408"/>
      <c r="AD3408"/>
      <c r="AE3408" s="168"/>
      <c r="AF3408" s="168">
        <v>0</v>
      </c>
      <c r="AG3408" s="168" t="str" cm="1">
        <f t="array" ref="AG3408">IF(AF3408="","",_xlfn.TEXTSPLIT(AF3408,"-"))</f>
        <v>0</v>
      </c>
      <c r="AH3408" s="168"/>
    </row>
    <row r="3409" spans="26:34" ht="24" customHeight="1">
      <c r="Z3409"/>
      <c r="AA3409"/>
      <c r="AB3409"/>
      <c r="AC3409"/>
      <c r="AD3409"/>
      <c r="AE3409" s="168"/>
      <c r="AF3409" s="168">
        <v>0</v>
      </c>
      <c r="AG3409" s="168" t="str" cm="1">
        <f t="array" ref="AG3409">IF(AF3409="","",_xlfn.TEXTSPLIT(AF3409,"-"))</f>
        <v>0</v>
      </c>
      <c r="AH3409" s="168"/>
    </row>
    <row r="3410" spans="26:34" ht="24" customHeight="1">
      <c r="Z3410"/>
      <c r="AA3410"/>
      <c r="AB3410"/>
      <c r="AC3410"/>
      <c r="AD3410"/>
      <c r="AE3410" s="168"/>
      <c r="AF3410" s="168">
        <v>0</v>
      </c>
      <c r="AG3410" s="168" t="str" cm="1">
        <f t="array" ref="AG3410">IF(AF3410="","",_xlfn.TEXTSPLIT(AF3410,"-"))</f>
        <v>0</v>
      </c>
      <c r="AH3410" s="168"/>
    </row>
    <row r="3411" spans="26:34" ht="24" customHeight="1">
      <c r="Z3411"/>
      <c r="AA3411"/>
      <c r="AB3411"/>
      <c r="AC3411"/>
      <c r="AD3411"/>
      <c r="AE3411" s="168"/>
      <c r="AF3411" s="168">
        <v>0</v>
      </c>
      <c r="AG3411" s="168" t="str" cm="1">
        <f t="array" ref="AG3411">IF(AF3411="","",_xlfn.TEXTSPLIT(AF3411,"-"))</f>
        <v>0</v>
      </c>
      <c r="AH3411" s="168"/>
    </row>
    <row r="3412" spans="26:34" ht="24" customHeight="1">
      <c r="Z3412"/>
      <c r="AA3412"/>
      <c r="AB3412"/>
      <c r="AC3412"/>
      <c r="AD3412"/>
      <c r="AE3412" s="168"/>
      <c r="AF3412" s="168">
        <v>0</v>
      </c>
      <c r="AG3412" s="168" t="str" cm="1">
        <f t="array" ref="AG3412">IF(AF3412="","",_xlfn.TEXTSPLIT(AF3412,"-"))</f>
        <v>0</v>
      </c>
      <c r="AH3412" s="168"/>
    </row>
    <row r="3413" spans="26:34" ht="24" customHeight="1">
      <c r="Z3413"/>
      <c r="AA3413"/>
      <c r="AB3413"/>
      <c r="AC3413"/>
      <c r="AD3413"/>
      <c r="AE3413" s="168"/>
      <c r="AF3413" s="168">
        <v>0</v>
      </c>
      <c r="AG3413" s="168" t="str" cm="1">
        <f t="array" ref="AG3413">IF(AF3413="","",_xlfn.TEXTSPLIT(AF3413,"-"))</f>
        <v>0</v>
      </c>
      <c r="AH3413" s="168"/>
    </row>
    <row r="3414" spans="26:34" ht="24" customHeight="1">
      <c r="Z3414"/>
      <c r="AA3414"/>
      <c r="AB3414"/>
      <c r="AC3414"/>
      <c r="AD3414"/>
      <c r="AE3414" s="168"/>
      <c r="AF3414" s="168">
        <v>0</v>
      </c>
      <c r="AG3414" s="168" t="str" cm="1">
        <f t="array" ref="AG3414">IF(AF3414="","",_xlfn.TEXTSPLIT(AF3414,"-"))</f>
        <v>0</v>
      </c>
      <c r="AH3414" s="168"/>
    </row>
    <row r="3415" spans="26:34" ht="24" customHeight="1">
      <c r="Z3415"/>
      <c r="AA3415"/>
      <c r="AB3415"/>
      <c r="AC3415"/>
      <c r="AD3415"/>
      <c r="AE3415" s="168"/>
      <c r="AF3415" s="168">
        <v>0</v>
      </c>
      <c r="AG3415" s="168" t="str" cm="1">
        <f t="array" ref="AG3415">IF(AF3415="","",_xlfn.TEXTSPLIT(AF3415,"-"))</f>
        <v>0</v>
      </c>
      <c r="AH3415" s="168"/>
    </row>
    <row r="3416" spans="26:34" ht="24" customHeight="1">
      <c r="Z3416"/>
      <c r="AA3416"/>
      <c r="AB3416"/>
      <c r="AC3416"/>
      <c r="AD3416"/>
      <c r="AE3416" s="168"/>
      <c r="AF3416" s="168">
        <v>0</v>
      </c>
      <c r="AG3416" s="168" t="str" cm="1">
        <f t="array" ref="AG3416">IF(AF3416="","",_xlfn.TEXTSPLIT(AF3416,"-"))</f>
        <v>0</v>
      </c>
      <c r="AH3416" s="168"/>
    </row>
    <row r="3417" spans="26:34" ht="24" customHeight="1">
      <c r="Z3417"/>
      <c r="AA3417"/>
      <c r="AB3417"/>
      <c r="AC3417"/>
      <c r="AD3417"/>
      <c r="AE3417" s="168"/>
      <c r="AF3417" s="168">
        <v>0</v>
      </c>
      <c r="AG3417" s="168" t="str" cm="1">
        <f t="array" ref="AG3417">IF(AF3417="","",_xlfn.TEXTSPLIT(AF3417,"-"))</f>
        <v>0</v>
      </c>
      <c r="AH3417" s="168"/>
    </row>
    <row r="3418" spans="26:34" ht="24" customHeight="1">
      <c r="Z3418"/>
      <c r="AA3418"/>
      <c r="AB3418"/>
      <c r="AC3418"/>
      <c r="AD3418"/>
      <c r="AE3418" s="168"/>
      <c r="AF3418" s="168">
        <v>0</v>
      </c>
      <c r="AG3418" s="168" t="str" cm="1">
        <f t="array" ref="AG3418">IF(AF3418="","",_xlfn.TEXTSPLIT(AF3418,"-"))</f>
        <v>0</v>
      </c>
      <c r="AH3418" s="168"/>
    </row>
    <row r="3419" spans="26:34" ht="24" customHeight="1">
      <c r="Z3419"/>
      <c r="AA3419"/>
      <c r="AB3419"/>
      <c r="AC3419"/>
      <c r="AD3419"/>
      <c r="AE3419" s="168"/>
      <c r="AF3419" s="168">
        <v>0</v>
      </c>
      <c r="AG3419" s="168" t="str" cm="1">
        <f t="array" ref="AG3419">IF(AF3419="","",_xlfn.TEXTSPLIT(AF3419,"-"))</f>
        <v>0</v>
      </c>
      <c r="AH3419" s="168"/>
    </row>
    <row r="3420" spans="26:34" ht="24" customHeight="1">
      <c r="Z3420"/>
      <c r="AA3420"/>
      <c r="AB3420"/>
      <c r="AC3420"/>
      <c r="AD3420"/>
      <c r="AE3420" s="168"/>
      <c r="AF3420" s="168">
        <v>0</v>
      </c>
      <c r="AG3420" s="168" t="str" cm="1">
        <f t="array" ref="AG3420">IF(AF3420="","",_xlfn.TEXTSPLIT(AF3420,"-"))</f>
        <v>0</v>
      </c>
      <c r="AH3420" s="168"/>
    </row>
    <row r="3421" spans="26:34" ht="24" customHeight="1">
      <c r="Z3421"/>
      <c r="AA3421"/>
      <c r="AB3421"/>
      <c r="AC3421"/>
      <c r="AD3421"/>
      <c r="AE3421" s="168"/>
      <c r="AF3421" s="168">
        <v>0</v>
      </c>
      <c r="AG3421" s="168" t="str" cm="1">
        <f t="array" ref="AG3421">IF(AF3421="","",_xlfn.TEXTSPLIT(AF3421,"-"))</f>
        <v>0</v>
      </c>
      <c r="AH3421" s="168"/>
    </row>
    <row r="3422" spans="26:34" ht="24" customHeight="1">
      <c r="Z3422"/>
      <c r="AA3422"/>
      <c r="AB3422"/>
      <c r="AC3422"/>
      <c r="AD3422"/>
      <c r="AE3422" s="168"/>
      <c r="AF3422" s="168">
        <v>0</v>
      </c>
      <c r="AG3422" s="168" t="str" cm="1">
        <f t="array" ref="AG3422">IF(AF3422="","",_xlfn.TEXTSPLIT(AF3422,"-"))</f>
        <v>0</v>
      </c>
      <c r="AH3422" s="168"/>
    </row>
    <row r="3423" spans="26:34" ht="24" customHeight="1">
      <c r="Z3423"/>
      <c r="AA3423"/>
      <c r="AB3423"/>
      <c r="AC3423"/>
      <c r="AD3423"/>
      <c r="AE3423" s="168"/>
      <c r="AF3423" s="168">
        <v>0</v>
      </c>
      <c r="AG3423" s="168" t="str" cm="1">
        <f t="array" ref="AG3423">IF(AF3423="","",_xlfn.TEXTSPLIT(AF3423,"-"))</f>
        <v>0</v>
      </c>
      <c r="AH3423" s="168"/>
    </row>
    <row r="3424" spans="26:34" ht="24" customHeight="1">
      <c r="Z3424"/>
      <c r="AA3424"/>
      <c r="AB3424"/>
      <c r="AC3424"/>
      <c r="AD3424"/>
      <c r="AE3424" s="168"/>
      <c r="AF3424" s="168">
        <v>0</v>
      </c>
      <c r="AG3424" s="168" t="str" cm="1">
        <f t="array" ref="AG3424">IF(AF3424="","",_xlfn.TEXTSPLIT(AF3424,"-"))</f>
        <v>0</v>
      </c>
      <c r="AH3424" s="168"/>
    </row>
    <row r="3425" spans="26:34" ht="24" customHeight="1">
      <c r="Z3425"/>
      <c r="AA3425"/>
      <c r="AB3425"/>
      <c r="AC3425"/>
      <c r="AD3425"/>
      <c r="AE3425" s="168"/>
      <c r="AF3425" s="168">
        <v>0</v>
      </c>
      <c r="AG3425" s="168" t="str" cm="1">
        <f t="array" ref="AG3425">IF(AF3425="","",_xlfn.TEXTSPLIT(AF3425,"-"))</f>
        <v>0</v>
      </c>
      <c r="AH3425" s="168"/>
    </row>
    <row r="3426" spans="26:34" ht="24" customHeight="1">
      <c r="Z3426"/>
      <c r="AA3426"/>
      <c r="AB3426"/>
      <c r="AC3426"/>
      <c r="AD3426"/>
      <c r="AE3426" s="168"/>
      <c r="AF3426" s="168">
        <v>0</v>
      </c>
      <c r="AG3426" s="168" t="str" cm="1">
        <f t="array" ref="AG3426">IF(AF3426="","",_xlfn.TEXTSPLIT(AF3426,"-"))</f>
        <v>0</v>
      </c>
      <c r="AH3426" s="168"/>
    </row>
    <row r="3427" spans="26:34" ht="24" customHeight="1">
      <c r="Z3427"/>
      <c r="AA3427"/>
      <c r="AB3427"/>
      <c r="AC3427"/>
      <c r="AD3427"/>
      <c r="AE3427" s="168"/>
      <c r="AF3427" s="168">
        <v>0</v>
      </c>
      <c r="AG3427" s="168" t="str" cm="1">
        <f t="array" ref="AG3427">IF(AF3427="","",_xlfn.TEXTSPLIT(AF3427,"-"))</f>
        <v>0</v>
      </c>
      <c r="AH3427" s="168"/>
    </row>
    <row r="3428" spans="26:34" ht="24" customHeight="1">
      <c r="Z3428"/>
      <c r="AA3428"/>
      <c r="AB3428"/>
      <c r="AC3428"/>
      <c r="AD3428"/>
      <c r="AE3428" s="168"/>
      <c r="AF3428" s="168">
        <v>0</v>
      </c>
      <c r="AG3428" s="168" t="str" cm="1">
        <f t="array" ref="AG3428">IF(AF3428="","",_xlfn.TEXTSPLIT(AF3428,"-"))</f>
        <v>0</v>
      </c>
      <c r="AH3428" s="168"/>
    </row>
    <row r="3429" spans="26:34" ht="24" customHeight="1">
      <c r="Z3429"/>
      <c r="AA3429"/>
      <c r="AB3429"/>
      <c r="AC3429"/>
      <c r="AD3429"/>
      <c r="AE3429" s="168"/>
      <c r="AF3429" s="168">
        <v>0</v>
      </c>
      <c r="AG3429" s="168" t="str" cm="1">
        <f t="array" ref="AG3429">IF(AF3429="","",_xlfn.TEXTSPLIT(AF3429,"-"))</f>
        <v>0</v>
      </c>
      <c r="AH3429" s="168"/>
    </row>
    <row r="3430" spans="26:34" ht="24" customHeight="1">
      <c r="Z3430"/>
      <c r="AA3430"/>
      <c r="AB3430"/>
      <c r="AC3430"/>
      <c r="AD3430"/>
      <c r="AE3430" s="168"/>
      <c r="AF3430" s="168">
        <v>0</v>
      </c>
      <c r="AG3430" s="168" t="str" cm="1">
        <f t="array" ref="AG3430">IF(AF3430="","",_xlfn.TEXTSPLIT(AF3430,"-"))</f>
        <v>0</v>
      </c>
      <c r="AH3430" s="168"/>
    </row>
    <row r="3431" spans="26:34" ht="24" customHeight="1">
      <c r="Z3431"/>
      <c r="AA3431"/>
      <c r="AB3431"/>
      <c r="AC3431"/>
      <c r="AD3431"/>
      <c r="AE3431" s="168"/>
      <c r="AF3431" s="168">
        <v>0</v>
      </c>
      <c r="AG3431" s="168" t="str" cm="1">
        <f t="array" ref="AG3431">IF(AF3431="","",_xlfn.TEXTSPLIT(AF3431,"-"))</f>
        <v>0</v>
      </c>
      <c r="AH3431" s="168"/>
    </row>
    <row r="3432" spans="26:34" ht="24" customHeight="1">
      <c r="Z3432"/>
      <c r="AA3432"/>
      <c r="AB3432"/>
      <c r="AC3432"/>
      <c r="AD3432"/>
      <c r="AE3432" s="168"/>
      <c r="AF3432" s="168">
        <v>0</v>
      </c>
      <c r="AG3432" s="168" t="str" cm="1">
        <f t="array" ref="AG3432">IF(AF3432="","",_xlfn.TEXTSPLIT(AF3432,"-"))</f>
        <v>0</v>
      </c>
      <c r="AH3432" s="168"/>
    </row>
    <row r="3433" spans="26:34" ht="24" customHeight="1">
      <c r="Z3433"/>
      <c r="AA3433"/>
      <c r="AB3433"/>
      <c r="AC3433"/>
      <c r="AD3433"/>
      <c r="AE3433" s="168"/>
      <c r="AF3433" s="168">
        <v>0</v>
      </c>
      <c r="AG3433" s="168" t="str" cm="1">
        <f t="array" ref="AG3433">IF(AF3433="","",_xlfn.TEXTSPLIT(AF3433,"-"))</f>
        <v>0</v>
      </c>
      <c r="AH3433" s="168"/>
    </row>
    <row r="3434" spans="26:34" ht="24" customHeight="1">
      <c r="Z3434"/>
      <c r="AA3434"/>
      <c r="AB3434"/>
      <c r="AC3434"/>
      <c r="AD3434"/>
      <c r="AE3434" s="168"/>
      <c r="AF3434" s="168">
        <v>0</v>
      </c>
      <c r="AG3434" s="168" t="str" cm="1">
        <f t="array" ref="AG3434">IF(AF3434="","",_xlfn.TEXTSPLIT(AF3434,"-"))</f>
        <v>0</v>
      </c>
      <c r="AH3434" s="168"/>
    </row>
    <row r="3435" spans="26:34" ht="24" customHeight="1">
      <c r="Z3435"/>
      <c r="AA3435"/>
      <c r="AB3435"/>
      <c r="AC3435"/>
      <c r="AD3435"/>
      <c r="AE3435" s="168"/>
      <c r="AF3435" s="168">
        <v>0</v>
      </c>
      <c r="AG3435" s="168" t="str" cm="1">
        <f t="array" ref="AG3435">IF(AF3435="","",_xlfn.TEXTSPLIT(AF3435,"-"))</f>
        <v>0</v>
      </c>
      <c r="AH3435" s="168"/>
    </row>
    <row r="3436" spans="26:34" ht="24" customHeight="1">
      <c r="Z3436"/>
      <c r="AA3436"/>
      <c r="AB3436"/>
      <c r="AC3436"/>
      <c r="AD3436"/>
      <c r="AE3436" s="168"/>
      <c r="AF3436" s="168">
        <v>0</v>
      </c>
      <c r="AG3436" s="168" t="str" cm="1">
        <f t="array" ref="AG3436">IF(AF3436="","",_xlfn.TEXTSPLIT(AF3436,"-"))</f>
        <v>0</v>
      </c>
      <c r="AH3436" s="168"/>
    </row>
    <row r="3437" spans="26:34" ht="24" customHeight="1">
      <c r="Z3437"/>
      <c r="AA3437"/>
      <c r="AB3437"/>
      <c r="AC3437"/>
      <c r="AD3437"/>
      <c r="AE3437" s="168"/>
      <c r="AF3437" s="168">
        <v>0</v>
      </c>
      <c r="AG3437" s="168" t="str" cm="1">
        <f t="array" ref="AG3437">IF(AF3437="","",_xlfn.TEXTSPLIT(AF3437,"-"))</f>
        <v>0</v>
      </c>
      <c r="AH3437" s="168"/>
    </row>
    <row r="3438" spans="26:34" ht="24" customHeight="1">
      <c r="Z3438"/>
      <c r="AA3438"/>
      <c r="AB3438"/>
      <c r="AC3438"/>
      <c r="AD3438"/>
      <c r="AE3438" s="168"/>
      <c r="AF3438" s="168">
        <v>0</v>
      </c>
      <c r="AG3438" s="168" t="str" cm="1">
        <f t="array" ref="AG3438">IF(AF3438="","",_xlfn.TEXTSPLIT(AF3438,"-"))</f>
        <v>0</v>
      </c>
      <c r="AH3438" s="168"/>
    </row>
    <row r="3439" spans="26:34" ht="24" customHeight="1">
      <c r="Z3439"/>
      <c r="AA3439"/>
      <c r="AB3439"/>
      <c r="AC3439"/>
      <c r="AD3439"/>
      <c r="AE3439" s="168"/>
      <c r="AF3439" s="168">
        <v>0</v>
      </c>
      <c r="AG3439" s="168" t="str" cm="1">
        <f t="array" ref="AG3439">IF(AF3439="","",_xlfn.TEXTSPLIT(AF3439,"-"))</f>
        <v>0</v>
      </c>
      <c r="AH3439" s="168"/>
    </row>
    <row r="3440" spans="26:34" ht="24" customHeight="1">
      <c r="Z3440"/>
      <c r="AA3440"/>
      <c r="AB3440"/>
      <c r="AC3440"/>
      <c r="AD3440"/>
      <c r="AE3440" s="168"/>
      <c r="AF3440" s="168">
        <v>0</v>
      </c>
      <c r="AG3440" s="168" t="str" cm="1">
        <f t="array" ref="AG3440">IF(AF3440="","",_xlfn.TEXTSPLIT(AF3440,"-"))</f>
        <v>0</v>
      </c>
      <c r="AH3440" s="168"/>
    </row>
    <row r="3441" spans="26:34" ht="24" customHeight="1">
      <c r="Z3441"/>
      <c r="AA3441"/>
      <c r="AB3441"/>
      <c r="AC3441"/>
      <c r="AD3441"/>
      <c r="AE3441" s="168"/>
      <c r="AF3441" s="168">
        <v>0</v>
      </c>
      <c r="AG3441" s="168" t="str" cm="1">
        <f t="array" ref="AG3441">IF(AF3441="","",_xlfn.TEXTSPLIT(AF3441,"-"))</f>
        <v>0</v>
      </c>
      <c r="AH3441" s="168"/>
    </row>
    <row r="3442" spans="26:34" ht="24" customHeight="1">
      <c r="Z3442"/>
      <c r="AA3442"/>
      <c r="AB3442"/>
      <c r="AC3442"/>
      <c r="AD3442"/>
      <c r="AE3442" s="168"/>
      <c r="AF3442" s="168">
        <v>0</v>
      </c>
      <c r="AG3442" s="168" t="str" cm="1">
        <f t="array" ref="AG3442">IF(AF3442="","",_xlfn.TEXTSPLIT(AF3442,"-"))</f>
        <v>0</v>
      </c>
      <c r="AH3442" s="168"/>
    </row>
    <row r="3443" spans="26:34" ht="24" customHeight="1">
      <c r="Z3443"/>
      <c r="AA3443"/>
      <c r="AB3443"/>
      <c r="AC3443"/>
      <c r="AD3443"/>
      <c r="AE3443" s="168"/>
      <c r="AF3443" s="168">
        <v>0</v>
      </c>
      <c r="AG3443" s="168" t="str" cm="1">
        <f t="array" ref="AG3443">IF(AF3443="","",_xlfn.TEXTSPLIT(AF3443,"-"))</f>
        <v>0</v>
      </c>
      <c r="AH3443" s="168"/>
    </row>
    <row r="3444" spans="26:34" ht="24" customHeight="1">
      <c r="Z3444"/>
      <c r="AA3444"/>
      <c r="AB3444"/>
      <c r="AC3444"/>
      <c r="AD3444"/>
      <c r="AE3444" s="168"/>
      <c r="AF3444" s="168">
        <v>0</v>
      </c>
      <c r="AG3444" s="168" t="str" cm="1">
        <f t="array" ref="AG3444">IF(AF3444="","",_xlfn.TEXTSPLIT(AF3444,"-"))</f>
        <v>0</v>
      </c>
      <c r="AH3444" s="168"/>
    </row>
    <row r="3445" spans="26:34" ht="24" customHeight="1">
      <c r="Z3445"/>
      <c r="AA3445"/>
      <c r="AB3445"/>
      <c r="AC3445"/>
      <c r="AD3445"/>
      <c r="AE3445" s="168"/>
      <c r="AF3445" s="168">
        <v>0</v>
      </c>
      <c r="AG3445" s="168" t="str" cm="1">
        <f t="array" ref="AG3445">IF(AF3445="","",_xlfn.TEXTSPLIT(AF3445,"-"))</f>
        <v>0</v>
      </c>
      <c r="AH3445" s="168"/>
    </row>
    <row r="3446" spans="26:34" ht="24" customHeight="1">
      <c r="Z3446"/>
      <c r="AA3446"/>
      <c r="AB3446"/>
      <c r="AC3446"/>
      <c r="AD3446"/>
      <c r="AE3446" s="168"/>
      <c r="AF3446" s="168">
        <v>0</v>
      </c>
      <c r="AG3446" s="168" t="str" cm="1">
        <f t="array" ref="AG3446">IF(AF3446="","",_xlfn.TEXTSPLIT(AF3446,"-"))</f>
        <v>0</v>
      </c>
      <c r="AH3446" s="168"/>
    </row>
    <row r="3447" spans="26:34" ht="24" customHeight="1">
      <c r="Z3447"/>
      <c r="AA3447"/>
      <c r="AB3447"/>
      <c r="AC3447"/>
      <c r="AD3447"/>
      <c r="AE3447" s="168"/>
      <c r="AF3447" s="168">
        <v>0</v>
      </c>
      <c r="AG3447" s="168" t="str" cm="1">
        <f t="array" ref="AG3447">IF(AF3447="","",_xlfn.TEXTSPLIT(AF3447,"-"))</f>
        <v>0</v>
      </c>
      <c r="AH3447" s="168"/>
    </row>
    <row r="3448" spans="26:34" ht="24" customHeight="1">
      <c r="Z3448"/>
      <c r="AA3448"/>
      <c r="AB3448"/>
      <c r="AC3448"/>
      <c r="AD3448"/>
      <c r="AE3448" s="168"/>
      <c r="AF3448" s="168">
        <v>0</v>
      </c>
      <c r="AG3448" s="168" t="str" cm="1">
        <f t="array" ref="AG3448">IF(AF3448="","",_xlfn.TEXTSPLIT(AF3448,"-"))</f>
        <v>0</v>
      </c>
      <c r="AH3448" s="168"/>
    </row>
    <row r="3449" spans="26:34" ht="24" customHeight="1">
      <c r="Z3449"/>
      <c r="AA3449"/>
      <c r="AB3449"/>
      <c r="AC3449"/>
      <c r="AD3449"/>
      <c r="AE3449" s="168"/>
      <c r="AF3449" s="168">
        <v>0</v>
      </c>
      <c r="AG3449" s="168" t="str" cm="1">
        <f t="array" ref="AG3449">IF(AF3449="","",_xlfn.TEXTSPLIT(AF3449,"-"))</f>
        <v>0</v>
      </c>
      <c r="AH3449" s="168"/>
    </row>
    <row r="3450" spans="26:34" ht="24" customHeight="1">
      <c r="Z3450"/>
      <c r="AA3450"/>
      <c r="AB3450"/>
      <c r="AC3450"/>
      <c r="AD3450"/>
      <c r="AE3450" s="168"/>
      <c r="AF3450" s="168">
        <v>0</v>
      </c>
      <c r="AG3450" s="168" t="str" cm="1">
        <f t="array" ref="AG3450">IF(AF3450="","",_xlfn.TEXTSPLIT(AF3450,"-"))</f>
        <v>0</v>
      </c>
      <c r="AH3450" s="168"/>
    </row>
    <row r="3451" spans="26:34" ht="24" customHeight="1">
      <c r="Z3451"/>
      <c r="AA3451"/>
      <c r="AB3451"/>
      <c r="AC3451"/>
      <c r="AD3451"/>
      <c r="AE3451" s="168"/>
      <c r="AF3451" s="168">
        <v>0</v>
      </c>
      <c r="AG3451" s="168" t="str" cm="1">
        <f t="array" ref="AG3451">IF(AF3451="","",_xlfn.TEXTSPLIT(AF3451,"-"))</f>
        <v>0</v>
      </c>
      <c r="AH3451" s="168"/>
    </row>
    <row r="3452" spans="26:34" ht="24" customHeight="1">
      <c r="Z3452"/>
      <c r="AA3452"/>
      <c r="AB3452"/>
      <c r="AC3452"/>
      <c r="AD3452"/>
      <c r="AE3452" s="168"/>
      <c r="AF3452" s="168">
        <v>0</v>
      </c>
      <c r="AG3452" s="168" t="str" cm="1">
        <f t="array" ref="AG3452">IF(AF3452="","",_xlfn.TEXTSPLIT(AF3452,"-"))</f>
        <v>0</v>
      </c>
      <c r="AH3452" s="168"/>
    </row>
    <row r="3453" spans="26:34" ht="24" customHeight="1">
      <c r="Z3453"/>
      <c r="AA3453"/>
      <c r="AB3453"/>
      <c r="AC3453"/>
      <c r="AD3453"/>
      <c r="AE3453" s="168"/>
      <c r="AF3453" s="168">
        <v>0</v>
      </c>
      <c r="AG3453" s="168" t="str" cm="1">
        <f t="array" ref="AG3453">IF(AF3453="","",_xlfn.TEXTSPLIT(AF3453,"-"))</f>
        <v>0</v>
      </c>
      <c r="AH3453" s="168"/>
    </row>
    <row r="3454" spans="26:34" ht="24" customHeight="1">
      <c r="Z3454"/>
      <c r="AA3454"/>
      <c r="AB3454"/>
      <c r="AC3454"/>
      <c r="AD3454"/>
      <c r="AE3454" s="168"/>
      <c r="AF3454" s="168">
        <v>0</v>
      </c>
      <c r="AG3454" s="168" t="str" cm="1">
        <f t="array" ref="AG3454">IF(AF3454="","",_xlfn.TEXTSPLIT(AF3454,"-"))</f>
        <v>0</v>
      </c>
      <c r="AH3454" s="168"/>
    </row>
    <row r="3455" spans="26:34" ht="24" customHeight="1">
      <c r="Z3455"/>
      <c r="AA3455"/>
      <c r="AB3455"/>
      <c r="AC3455"/>
      <c r="AD3455"/>
      <c r="AE3455" s="168"/>
      <c r="AF3455" s="168">
        <v>0</v>
      </c>
      <c r="AG3455" s="168" t="str" cm="1">
        <f t="array" ref="AG3455">IF(AF3455="","",_xlfn.TEXTSPLIT(AF3455,"-"))</f>
        <v>0</v>
      </c>
      <c r="AH3455" s="168"/>
    </row>
    <row r="3456" spans="26:34" ht="24" customHeight="1">
      <c r="Z3456"/>
      <c r="AA3456"/>
      <c r="AB3456"/>
      <c r="AC3456"/>
      <c r="AD3456"/>
      <c r="AE3456" s="168"/>
      <c r="AF3456" s="168">
        <v>0</v>
      </c>
      <c r="AG3456" s="168" t="str" cm="1">
        <f t="array" ref="AG3456">IF(AF3456="","",_xlfn.TEXTSPLIT(AF3456,"-"))</f>
        <v>0</v>
      </c>
      <c r="AH3456" s="168"/>
    </row>
    <row r="3457" spans="26:34" ht="24" customHeight="1">
      <c r="Z3457"/>
      <c r="AA3457"/>
      <c r="AB3457"/>
      <c r="AC3457"/>
      <c r="AD3457"/>
      <c r="AE3457" s="168"/>
      <c r="AF3457" s="168">
        <v>0</v>
      </c>
      <c r="AG3457" s="168" t="str" cm="1">
        <f t="array" ref="AG3457">IF(AF3457="","",_xlfn.TEXTSPLIT(AF3457,"-"))</f>
        <v>0</v>
      </c>
      <c r="AH3457" s="168"/>
    </row>
    <row r="3458" spans="26:34" ht="24" customHeight="1">
      <c r="Z3458"/>
      <c r="AA3458"/>
      <c r="AB3458"/>
      <c r="AC3458"/>
      <c r="AD3458"/>
      <c r="AE3458" s="168"/>
      <c r="AF3458" s="168">
        <v>0</v>
      </c>
      <c r="AG3458" s="168" t="str" cm="1">
        <f t="array" ref="AG3458">IF(AF3458="","",_xlfn.TEXTSPLIT(AF3458,"-"))</f>
        <v>0</v>
      </c>
      <c r="AH3458" s="168"/>
    </row>
    <row r="3459" spans="26:34" ht="24" customHeight="1">
      <c r="Z3459"/>
      <c r="AA3459"/>
      <c r="AB3459"/>
      <c r="AC3459"/>
      <c r="AD3459"/>
      <c r="AE3459" s="168"/>
      <c r="AF3459" s="168">
        <v>0</v>
      </c>
      <c r="AG3459" s="168" t="str" cm="1">
        <f t="array" ref="AG3459">IF(AF3459="","",_xlfn.TEXTSPLIT(AF3459,"-"))</f>
        <v>0</v>
      </c>
      <c r="AH3459" s="168"/>
    </row>
    <row r="3460" spans="26:34" ht="24" customHeight="1">
      <c r="Z3460"/>
      <c r="AA3460"/>
      <c r="AB3460"/>
      <c r="AC3460"/>
      <c r="AD3460"/>
      <c r="AE3460" s="168"/>
      <c r="AF3460" s="168">
        <v>0</v>
      </c>
      <c r="AG3460" s="168" t="str" cm="1">
        <f t="array" ref="AG3460">IF(AF3460="","",_xlfn.TEXTSPLIT(AF3460,"-"))</f>
        <v>0</v>
      </c>
      <c r="AH3460" s="168"/>
    </row>
    <row r="3461" spans="26:34" ht="24" customHeight="1">
      <c r="Z3461"/>
      <c r="AA3461"/>
      <c r="AB3461"/>
      <c r="AC3461"/>
      <c r="AD3461"/>
      <c r="AE3461" s="168"/>
      <c r="AF3461" s="168">
        <v>0</v>
      </c>
      <c r="AG3461" s="168" t="str" cm="1">
        <f t="array" ref="AG3461">IF(AF3461="","",_xlfn.TEXTSPLIT(AF3461,"-"))</f>
        <v>0</v>
      </c>
      <c r="AH3461" s="168"/>
    </row>
    <row r="3462" spans="26:34" ht="24" customHeight="1">
      <c r="Z3462"/>
      <c r="AA3462"/>
      <c r="AB3462"/>
      <c r="AC3462"/>
      <c r="AD3462"/>
      <c r="AE3462" s="168"/>
      <c r="AF3462" s="168">
        <v>0</v>
      </c>
      <c r="AG3462" s="168" t="str" cm="1">
        <f t="array" ref="AG3462">IF(AF3462="","",_xlfn.TEXTSPLIT(AF3462,"-"))</f>
        <v>0</v>
      </c>
      <c r="AH3462" s="168"/>
    </row>
    <row r="3463" spans="26:34" ht="24" customHeight="1">
      <c r="Z3463"/>
      <c r="AA3463"/>
      <c r="AB3463"/>
      <c r="AC3463"/>
      <c r="AD3463"/>
      <c r="AE3463" s="168"/>
      <c r="AF3463" s="168">
        <v>0</v>
      </c>
      <c r="AG3463" s="168" t="str" cm="1">
        <f t="array" ref="AG3463">IF(AF3463="","",_xlfn.TEXTSPLIT(AF3463,"-"))</f>
        <v>0</v>
      </c>
      <c r="AH3463" s="168"/>
    </row>
    <row r="3464" spans="26:34" ht="24" customHeight="1">
      <c r="Z3464"/>
      <c r="AA3464"/>
      <c r="AB3464"/>
      <c r="AC3464"/>
      <c r="AD3464"/>
      <c r="AE3464" s="168"/>
      <c r="AF3464" s="168">
        <v>0</v>
      </c>
      <c r="AG3464" s="168" t="str" cm="1">
        <f t="array" ref="AG3464">IF(AF3464="","",_xlfn.TEXTSPLIT(AF3464,"-"))</f>
        <v>0</v>
      </c>
      <c r="AH3464" s="168"/>
    </row>
    <row r="3465" spans="26:34" ht="24" customHeight="1">
      <c r="Z3465"/>
      <c r="AA3465"/>
      <c r="AB3465"/>
      <c r="AC3465"/>
      <c r="AD3465"/>
      <c r="AE3465" s="168"/>
      <c r="AF3465" s="168">
        <v>0</v>
      </c>
      <c r="AG3465" s="168" t="str" cm="1">
        <f t="array" ref="AG3465">IF(AF3465="","",_xlfn.TEXTSPLIT(AF3465,"-"))</f>
        <v>0</v>
      </c>
      <c r="AH3465" s="168"/>
    </row>
    <row r="3466" spans="26:34" ht="24" customHeight="1">
      <c r="Z3466"/>
      <c r="AA3466"/>
      <c r="AB3466"/>
      <c r="AC3466"/>
      <c r="AD3466"/>
      <c r="AE3466" s="168"/>
      <c r="AF3466" s="168">
        <v>0</v>
      </c>
      <c r="AG3466" s="168" t="str" cm="1">
        <f t="array" ref="AG3466">IF(AF3466="","",_xlfn.TEXTSPLIT(AF3466,"-"))</f>
        <v>0</v>
      </c>
      <c r="AH3466" s="168"/>
    </row>
    <row r="3467" spans="26:34" ht="24" customHeight="1">
      <c r="Z3467"/>
      <c r="AA3467"/>
      <c r="AB3467"/>
      <c r="AC3467"/>
      <c r="AD3467"/>
      <c r="AE3467" s="168"/>
      <c r="AF3467" s="168">
        <v>0</v>
      </c>
      <c r="AG3467" s="168" t="str" cm="1">
        <f t="array" ref="AG3467">IF(AF3467="","",_xlfn.TEXTSPLIT(AF3467,"-"))</f>
        <v>0</v>
      </c>
      <c r="AH3467" s="168"/>
    </row>
    <row r="3468" spans="26:34" ht="24" customHeight="1">
      <c r="Z3468"/>
      <c r="AA3468"/>
      <c r="AB3468"/>
      <c r="AC3468"/>
      <c r="AD3468"/>
      <c r="AE3468" s="168"/>
      <c r="AF3468" s="168">
        <v>0</v>
      </c>
      <c r="AG3468" s="168" t="str" cm="1">
        <f t="array" ref="AG3468">IF(AF3468="","",_xlfn.TEXTSPLIT(AF3468,"-"))</f>
        <v>0</v>
      </c>
      <c r="AH3468" s="168"/>
    </row>
    <row r="3469" spans="26:34" ht="24" customHeight="1">
      <c r="Z3469"/>
      <c r="AA3469"/>
      <c r="AB3469"/>
      <c r="AC3469"/>
      <c r="AD3469"/>
      <c r="AE3469" s="168"/>
      <c r="AF3469" s="168">
        <v>0</v>
      </c>
      <c r="AG3469" s="168" t="str" cm="1">
        <f t="array" ref="AG3469">IF(AF3469="","",_xlfn.TEXTSPLIT(AF3469,"-"))</f>
        <v>0</v>
      </c>
      <c r="AH3469" s="168"/>
    </row>
    <row r="3470" spans="26:34" ht="24" customHeight="1">
      <c r="Z3470"/>
      <c r="AA3470"/>
      <c r="AB3470"/>
      <c r="AC3470"/>
      <c r="AD3470"/>
      <c r="AE3470" s="168"/>
      <c r="AF3470" s="168">
        <v>0</v>
      </c>
      <c r="AG3470" s="168" t="str" cm="1">
        <f t="array" ref="AG3470">IF(AF3470="","",_xlfn.TEXTSPLIT(AF3470,"-"))</f>
        <v>0</v>
      </c>
      <c r="AH3470" s="168"/>
    </row>
    <row r="3471" spans="26:34" ht="24" customHeight="1">
      <c r="Z3471"/>
      <c r="AA3471"/>
      <c r="AB3471"/>
      <c r="AC3471"/>
      <c r="AD3471"/>
      <c r="AE3471" s="168"/>
      <c r="AF3471" s="168">
        <v>0</v>
      </c>
      <c r="AG3471" s="168" t="str" cm="1">
        <f t="array" ref="AG3471">IF(AF3471="","",_xlfn.TEXTSPLIT(AF3471,"-"))</f>
        <v>0</v>
      </c>
      <c r="AH3471" s="168"/>
    </row>
    <row r="3472" spans="26:34" ht="24" customHeight="1">
      <c r="Z3472"/>
      <c r="AA3472"/>
      <c r="AB3472"/>
      <c r="AC3472"/>
      <c r="AD3472"/>
      <c r="AE3472" s="168"/>
      <c r="AF3472" s="168">
        <v>0</v>
      </c>
      <c r="AG3472" s="168" t="str" cm="1">
        <f t="array" ref="AG3472">IF(AF3472="","",_xlfn.TEXTSPLIT(AF3472,"-"))</f>
        <v>0</v>
      </c>
      <c r="AH3472" s="168"/>
    </row>
    <row r="3473" spans="26:34" ht="24" customHeight="1">
      <c r="Z3473"/>
      <c r="AA3473"/>
      <c r="AB3473"/>
      <c r="AC3473"/>
      <c r="AD3473"/>
      <c r="AE3473" s="168"/>
      <c r="AF3473" s="168">
        <v>0</v>
      </c>
      <c r="AG3473" s="168" t="str" cm="1">
        <f t="array" ref="AG3473">IF(AF3473="","",_xlfn.TEXTSPLIT(AF3473,"-"))</f>
        <v>0</v>
      </c>
      <c r="AH3473" s="168"/>
    </row>
    <row r="3474" spans="26:34" ht="24" customHeight="1">
      <c r="Z3474"/>
      <c r="AA3474"/>
      <c r="AB3474"/>
      <c r="AC3474"/>
      <c r="AD3474"/>
      <c r="AE3474" s="168"/>
      <c r="AF3474" s="168">
        <v>0</v>
      </c>
      <c r="AG3474" s="168" t="str" cm="1">
        <f t="array" ref="AG3474">IF(AF3474="","",_xlfn.TEXTSPLIT(AF3474,"-"))</f>
        <v>0</v>
      </c>
      <c r="AH3474" s="168"/>
    </row>
    <row r="3475" spans="26:34" ht="24" customHeight="1">
      <c r="Z3475"/>
      <c r="AA3475"/>
      <c r="AB3475"/>
      <c r="AC3475"/>
      <c r="AD3475"/>
      <c r="AE3475" s="168"/>
      <c r="AF3475" s="168">
        <v>0</v>
      </c>
      <c r="AG3475" s="168" t="str" cm="1">
        <f t="array" ref="AG3475">IF(AF3475="","",_xlfn.TEXTSPLIT(AF3475,"-"))</f>
        <v>0</v>
      </c>
      <c r="AH3475" s="168"/>
    </row>
    <row r="3476" spans="26:34" ht="24" customHeight="1">
      <c r="Z3476"/>
      <c r="AA3476"/>
      <c r="AB3476"/>
      <c r="AC3476"/>
      <c r="AD3476"/>
      <c r="AE3476" s="168"/>
      <c r="AF3476" s="168">
        <v>0</v>
      </c>
      <c r="AG3476" s="168" t="str" cm="1">
        <f t="array" ref="AG3476">IF(AF3476="","",_xlfn.TEXTSPLIT(AF3476,"-"))</f>
        <v>0</v>
      </c>
      <c r="AH3476" s="168"/>
    </row>
    <row r="3477" spans="26:34" ht="24" customHeight="1">
      <c r="Z3477"/>
      <c r="AA3477"/>
      <c r="AB3477"/>
      <c r="AC3477"/>
      <c r="AD3477"/>
      <c r="AE3477" s="168"/>
      <c r="AF3477" s="168">
        <v>0</v>
      </c>
      <c r="AG3477" s="168" t="str" cm="1">
        <f t="array" ref="AG3477">IF(AF3477="","",_xlfn.TEXTSPLIT(AF3477,"-"))</f>
        <v>0</v>
      </c>
      <c r="AH3477" s="168"/>
    </row>
    <row r="3478" spans="26:34" ht="24" customHeight="1">
      <c r="Z3478"/>
      <c r="AA3478"/>
      <c r="AB3478"/>
      <c r="AC3478"/>
      <c r="AD3478"/>
      <c r="AE3478" s="168"/>
      <c r="AF3478" s="168">
        <v>0</v>
      </c>
      <c r="AG3478" s="168" t="str" cm="1">
        <f t="array" ref="AG3478">IF(AF3478="","",_xlfn.TEXTSPLIT(AF3478,"-"))</f>
        <v>0</v>
      </c>
      <c r="AH3478" s="168"/>
    </row>
    <row r="3479" spans="26:34" ht="24" customHeight="1">
      <c r="Z3479"/>
      <c r="AA3479"/>
      <c r="AB3479"/>
      <c r="AC3479"/>
      <c r="AD3479"/>
      <c r="AE3479" s="168"/>
      <c r="AF3479" s="168">
        <v>0</v>
      </c>
      <c r="AG3479" s="168" t="str" cm="1">
        <f t="array" ref="AG3479">IF(AF3479="","",_xlfn.TEXTSPLIT(AF3479,"-"))</f>
        <v>0</v>
      </c>
      <c r="AH3479" s="168"/>
    </row>
    <row r="3480" spans="26:34" ht="24" customHeight="1">
      <c r="Z3480"/>
      <c r="AA3480"/>
      <c r="AB3480"/>
      <c r="AC3480"/>
      <c r="AD3480"/>
      <c r="AE3480" s="168"/>
      <c r="AF3480" s="168">
        <v>0</v>
      </c>
      <c r="AG3480" s="168" t="str" cm="1">
        <f t="array" ref="AG3480">IF(AF3480="","",_xlfn.TEXTSPLIT(AF3480,"-"))</f>
        <v>0</v>
      </c>
      <c r="AH3480" s="168"/>
    </row>
    <row r="3481" spans="26:34" ht="24" customHeight="1">
      <c r="Z3481"/>
      <c r="AA3481"/>
      <c r="AB3481"/>
      <c r="AC3481"/>
      <c r="AD3481"/>
      <c r="AE3481" s="168"/>
      <c r="AF3481" s="168">
        <v>0</v>
      </c>
      <c r="AG3481" s="168" t="str" cm="1">
        <f t="array" ref="AG3481">IF(AF3481="","",_xlfn.TEXTSPLIT(AF3481,"-"))</f>
        <v>0</v>
      </c>
      <c r="AH3481" s="168"/>
    </row>
    <row r="3482" spans="26:34" ht="24" customHeight="1">
      <c r="Z3482"/>
      <c r="AA3482"/>
      <c r="AB3482"/>
      <c r="AC3482"/>
      <c r="AD3482"/>
      <c r="AE3482" s="168"/>
      <c r="AF3482" s="168">
        <v>0</v>
      </c>
      <c r="AG3482" s="168" t="str" cm="1">
        <f t="array" ref="AG3482">IF(AF3482="","",_xlfn.TEXTSPLIT(AF3482,"-"))</f>
        <v>0</v>
      </c>
      <c r="AH3482" s="168"/>
    </row>
    <row r="3483" spans="26:34" ht="24" customHeight="1">
      <c r="Z3483"/>
      <c r="AA3483"/>
      <c r="AB3483"/>
      <c r="AC3483"/>
      <c r="AD3483"/>
      <c r="AE3483" s="168"/>
      <c r="AF3483" s="168">
        <v>0</v>
      </c>
      <c r="AG3483" s="168" t="str" cm="1">
        <f t="array" ref="AG3483">IF(AF3483="","",_xlfn.TEXTSPLIT(AF3483,"-"))</f>
        <v>0</v>
      </c>
      <c r="AH3483" s="168"/>
    </row>
    <row r="3484" spans="26:34" ht="24" customHeight="1">
      <c r="Z3484"/>
      <c r="AA3484"/>
      <c r="AB3484"/>
      <c r="AC3484"/>
      <c r="AD3484"/>
      <c r="AE3484" s="168"/>
      <c r="AF3484" s="168">
        <v>0</v>
      </c>
      <c r="AG3484" s="168" t="str" cm="1">
        <f t="array" ref="AG3484">IF(AF3484="","",_xlfn.TEXTSPLIT(AF3484,"-"))</f>
        <v>0</v>
      </c>
      <c r="AH3484" s="168"/>
    </row>
    <row r="3485" spans="26:34" ht="24" customHeight="1">
      <c r="Z3485"/>
      <c r="AA3485"/>
      <c r="AB3485"/>
      <c r="AC3485"/>
      <c r="AD3485"/>
      <c r="AE3485" s="168"/>
      <c r="AF3485" s="168">
        <v>0</v>
      </c>
      <c r="AG3485" s="168" t="str" cm="1">
        <f t="array" ref="AG3485">IF(AF3485="","",_xlfn.TEXTSPLIT(AF3485,"-"))</f>
        <v>0</v>
      </c>
      <c r="AH3485" s="168"/>
    </row>
    <row r="3486" spans="26:34" ht="24" customHeight="1">
      <c r="Z3486"/>
      <c r="AA3486"/>
      <c r="AB3486"/>
      <c r="AC3486"/>
      <c r="AD3486"/>
      <c r="AE3486" s="168"/>
      <c r="AF3486" s="168">
        <v>0</v>
      </c>
      <c r="AG3486" s="168" t="str" cm="1">
        <f t="array" ref="AG3486">IF(AF3486="","",_xlfn.TEXTSPLIT(AF3486,"-"))</f>
        <v>0</v>
      </c>
      <c r="AH3486" s="168"/>
    </row>
    <row r="3487" spans="26:34" ht="24" customHeight="1">
      <c r="Z3487"/>
      <c r="AA3487"/>
      <c r="AB3487"/>
      <c r="AC3487"/>
      <c r="AD3487"/>
      <c r="AE3487" s="168"/>
      <c r="AF3487" s="168">
        <v>0</v>
      </c>
      <c r="AG3487" s="168" t="str" cm="1">
        <f t="array" ref="AG3487">IF(AF3487="","",_xlfn.TEXTSPLIT(AF3487,"-"))</f>
        <v>0</v>
      </c>
      <c r="AH3487" s="168"/>
    </row>
    <row r="3488" spans="26:34" ht="24" customHeight="1">
      <c r="Z3488"/>
      <c r="AA3488"/>
      <c r="AB3488"/>
      <c r="AC3488"/>
      <c r="AD3488"/>
      <c r="AE3488" s="168"/>
      <c r="AF3488" s="168">
        <v>0</v>
      </c>
      <c r="AG3488" s="168" t="str" cm="1">
        <f t="array" ref="AG3488">IF(AF3488="","",_xlfn.TEXTSPLIT(AF3488,"-"))</f>
        <v>0</v>
      </c>
      <c r="AH3488" s="168"/>
    </row>
    <row r="3489" spans="26:34" ht="24" customHeight="1">
      <c r="Z3489"/>
      <c r="AA3489"/>
      <c r="AB3489"/>
      <c r="AC3489"/>
      <c r="AD3489"/>
      <c r="AE3489" s="168"/>
      <c r="AF3489" s="168">
        <v>0</v>
      </c>
      <c r="AG3489" s="168" t="str" cm="1">
        <f t="array" ref="AG3489">IF(AF3489="","",_xlfn.TEXTSPLIT(AF3489,"-"))</f>
        <v>0</v>
      </c>
      <c r="AH3489" s="168"/>
    </row>
    <row r="3490" spans="26:34" ht="24" customHeight="1">
      <c r="Z3490"/>
      <c r="AA3490"/>
      <c r="AB3490"/>
      <c r="AC3490"/>
      <c r="AD3490"/>
      <c r="AE3490" s="168"/>
      <c r="AF3490" s="168">
        <v>0</v>
      </c>
      <c r="AG3490" s="168" t="str" cm="1">
        <f t="array" ref="AG3490">IF(AF3490="","",_xlfn.TEXTSPLIT(AF3490,"-"))</f>
        <v>0</v>
      </c>
      <c r="AH3490" s="168"/>
    </row>
    <row r="3491" spans="26:34" ht="24" customHeight="1">
      <c r="Z3491"/>
      <c r="AA3491"/>
      <c r="AB3491"/>
      <c r="AC3491"/>
      <c r="AD3491"/>
      <c r="AE3491" s="168"/>
      <c r="AF3491" s="168">
        <v>0</v>
      </c>
      <c r="AG3491" s="168" t="str" cm="1">
        <f t="array" ref="AG3491">IF(AF3491="","",_xlfn.TEXTSPLIT(AF3491,"-"))</f>
        <v>0</v>
      </c>
      <c r="AH3491" s="168"/>
    </row>
    <row r="3492" spans="26:34" ht="24" customHeight="1">
      <c r="Z3492"/>
      <c r="AA3492"/>
      <c r="AB3492"/>
      <c r="AC3492"/>
      <c r="AD3492"/>
      <c r="AE3492" s="168"/>
      <c r="AF3492" s="168">
        <v>0</v>
      </c>
      <c r="AG3492" s="168" t="str" cm="1">
        <f t="array" ref="AG3492">IF(AF3492="","",_xlfn.TEXTSPLIT(AF3492,"-"))</f>
        <v>0</v>
      </c>
      <c r="AH3492" s="168"/>
    </row>
    <row r="3493" spans="26:34" ht="24" customHeight="1">
      <c r="Z3493"/>
      <c r="AA3493"/>
      <c r="AB3493"/>
      <c r="AC3493"/>
      <c r="AD3493"/>
      <c r="AE3493" s="168"/>
      <c r="AF3493" s="168">
        <v>0</v>
      </c>
      <c r="AG3493" s="168" t="str" cm="1">
        <f t="array" ref="AG3493">IF(AF3493="","",_xlfn.TEXTSPLIT(AF3493,"-"))</f>
        <v>0</v>
      </c>
      <c r="AH3493" s="168"/>
    </row>
    <row r="3494" spans="26:34" ht="24" customHeight="1">
      <c r="Z3494"/>
      <c r="AA3494"/>
      <c r="AB3494"/>
      <c r="AC3494"/>
      <c r="AD3494"/>
      <c r="AE3494" s="168"/>
      <c r="AF3494" s="168">
        <v>0</v>
      </c>
      <c r="AG3494" s="168" t="str" cm="1">
        <f t="array" ref="AG3494">IF(AF3494="","",_xlfn.TEXTSPLIT(AF3494,"-"))</f>
        <v>0</v>
      </c>
      <c r="AH3494" s="168"/>
    </row>
    <row r="3495" spans="26:34" ht="24" customHeight="1">
      <c r="Z3495"/>
      <c r="AA3495"/>
      <c r="AB3495"/>
      <c r="AC3495"/>
      <c r="AD3495"/>
      <c r="AE3495" s="168"/>
      <c r="AF3495" s="168">
        <v>0</v>
      </c>
      <c r="AG3495" s="168" t="str" cm="1">
        <f t="array" ref="AG3495">IF(AF3495="","",_xlfn.TEXTSPLIT(AF3495,"-"))</f>
        <v>0</v>
      </c>
      <c r="AH3495" s="168"/>
    </row>
    <row r="3496" spans="26:34" ht="24" customHeight="1">
      <c r="Z3496"/>
      <c r="AA3496"/>
      <c r="AB3496"/>
      <c r="AC3496"/>
      <c r="AD3496"/>
      <c r="AE3496" s="168"/>
      <c r="AF3496" s="168">
        <v>0</v>
      </c>
      <c r="AG3496" s="168" t="str" cm="1">
        <f t="array" ref="AG3496">IF(AF3496="","",_xlfn.TEXTSPLIT(AF3496,"-"))</f>
        <v>0</v>
      </c>
      <c r="AH3496" s="168"/>
    </row>
    <row r="3497" spans="26:34" ht="24" customHeight="1">
      <c r="Z3497"/>
      <c r="AA3497"/>
      <c r="AB3497"/>
      <c r="AC3497"/>
      <c r="AD3497"/>
      <c r="AE3497" s="168"/>
      <c r="AF3497" s="168">
        <v>0</v>
      </c>
      <c r="AG3497" s="168" t="str" cm="1">
        <f t="array" ref="AG3497">IF(AF3497="","",_xlfn.TEXTSPLIT(AF3497,"-"))</f>
        <v>0</v>
      </c>
      <c r="AH3497" s="168"/>
    </row>
    <row r="3498" spans="26:34" ht="24" customHeight="1">
      <c r="Z3498"/>
      <c r="AA3498"/>
      <c r="AB3498"/>
      <c r="AC3498"/>
      <c r="AD3498"/>
      <c r="AE3498" s="168"/>
      <c r="AF3498" s="168">
        <v>0</v>
      </c>
      <c r="AG3498" s="168" t="str" cm="1">
        <f t="array" ref="AG3498">IF(AF3498="","",_xlfn.TEXTSPLIT(AF3498,"-"))</f>
        <v>0</v>
      </c>
      <c r="AH3498" s="168"/>
    </row>
    <row r="3499" spans="26:34" ht="24" customHeight="1">
      <c r="Z3499"/>
      <c r="AA3499"/>
      <c r="AB3499"/>
      <c r="AC3499"/>
      <c r="AD3499"/>
      <c r="AE3499" s="168"/>
      <c r="AF3499" s="168">
        <v>0</v>
      </c>
      <c r="AG3499" s="168" t="str" cm="1">
        <f t="array" ref="AG3499">IF(AF3499="","",_xlfn.TEXTSPLIT(AF3499,"-"))</f>
        <v>0</v>
      </c>
      <c r="AH3499" s="168"/>
    </row>
    <row r="3500" spans="26:34" ht="24" customHeight="1">
      <c r="Z3500"/>
      <c r="AA3500"/>
      <c r="AB3500"/>
      <c r="AC3500"/>
      <c r="AD3500"/>
      <c r="AE3500" s="168"/>
      <c r="AF3500" s="168">
        <v>0</v>
      </c>
      <c r="AG3500" s="168" t="str" cm="1">
        <f t="array" ref="AG3500">IF(AF3500="","",_xlfn.TEXTSPLIT(AF3500,"-"))</f>
        <v>0</v>
      </c>
      <c r="AH3500" s="168"/>
    </row>
    <row r="3501" spans="26:34" ht="24" customHeight="1">
      <c r="Z3501"/>
      <c r="AA3501"/>
      <c r="AB3501"/>
      <c r="AC3501"/>
      <c r="AD3501"/>
      <c r="AE3501" s="168"/>
      <c r="AF3501" s="168">
        <v>0</v>
      </c>
      <c r="AG3501" s="168" t="str" cm="1">
        <f t="array" ref="AG3501">IF(AF3501="","",_xlfn.TEXTSPLIT(AF3501,"-"))</f>
        <v>0</v>
      </c>
      <c r="AH3501" s="168"/>
    </row>
    <row r="3502" spans="26:34" ht="24" customHeight="1">
      <c r="Z3502"/>
      <c r="AA3502"/>
      <c r="AB3502"/>
      <c r="AC3502"/>
      <c r="AD3502"/>
      <c r="AE3502" s="168"/>
      <c r="AF3502" s="168">
        <v>0</v>
      </c>
      <c r="AG3502" s="168" t="str" cm="1">
        <f t="array" ref="AG3502">IF(AF3502="","",_xlfn.TEXTSPLIT(AF3502,"-"))</f>
        <v>0</v>
      </c>
      <c r="AH3502" s="168"/>
    </row>
    <row r="3503" spans="26:34" ht="24" customHeight="1">
      <c r="Z3503"/>
      <c r="AA3503"/>
      <c r="AB3503"/>
      <c r="AC3503"/>
      <c r="AD3503"/>
      <c r="AE3503" s="168"/>
      <c r="AF3503" s="168">
        <v>0</v>
      </c>
      <c r="AG3503" s="168" t="str" cm="1">
        <f t="array" ref="AG3503">IF(AF3503="","",_xlfn.TEXTSPLIT(AF3503,"-"))</f>
        <v>0</v>
      </c>
      <c r="AH3503" s="168"/>
    </row>
    <row r="3504" spans="26:34" ht="24" customHeight="1">
      <c r="Z3504"/>
      <c r="AA3504"/>
      <c r="AB3504"/>
      <c r="AC3504"/>
      <c r="AD3504"/>
      <c r="AE3504" s="168"/>
      <c r="AF3504" s="168">
        <v>0</v>
      </c>
      <c r="AG3504" s="168" t="str" cm="1">
        <f t="array" ref="AG3504">IF(AF3504="","",_xlfn.TEXTSPLIT(AF3504,"-"))</f>
        <v>0</v>
      </c>
      <c r="AH3504" s="168"/>
    </row>
    <row r="3505" spans="26:34" ht="24" customHeight="1">
      <c r="Z3505"/>
      <c r="AA3505"/>
      <c r="AB3505"/>
      <c r="AC3505"/>
      <c r="AD3505"/>
      <c r="AE3505" s="168"/>
      <c r="AF3505" s="168">
        <v>0</v>
      </c>
      <c r="AG3505" s="168" t="str" cm="1">
        <f t="array" ref="AG3505">IF(AF3505="","",_xlfn.TEXTSPLIT(AF3505,"-"))</f>
        <v>0</v>
      </c>
      <c r="AH3505" s="168"/>
    </row>
    <row r="3506" spans="26:34" ht="24" customHeight="1">
      <c r="Z3506"/>
      <c r="AA3506"/>
      <c r="AB3506"/>
      <c r="AC3506"/>
      <c r="AD3506"/>
      <c r="AE3506" s="168"/>
      <c r="AF3506" s="168">
        <v>0</v>
      </c>
      <c r="AG3506" s="168" t="str" cm="1">
        <f t="array" ref="AG3506">IF(AF3506="","",_xlfn.TEXTSPLIT(AF3506,"-"))</f>
        <v>0</v>
      </c>
      <c r="AH3506" s="168"/>
    </row>
    <row r="3507" spans="26:34" ht="24" customHeight="1">
      <c r="Z3507"/>
      <c r="AA3507"/>
      <c r="AB3507"/>
      <c r="AC3507"/>
      <c r="AD3507"/>
      <c r="AE3507" s="168"/>
      <c r="AF3507" s="168">
        <v>0</v>
      </c>
      <c r="AG3507" s="168" t="str" cm="1">
        <f t="array" ref="AG3507">IF(AF3507="","",_xlfn.TEXTSPLIT(AF3507,"-"))</f>
        <v>0</v>
      </c>
      <c r="AH3507" s="168"/>
    </row>
    <row r="3508" spans="26:34" ht="24" customHeight="1">
      <c r="Z3508"/>
      <c r="AA3508"/>
      <c r="AB3508"/>
      <c r="AC3508"/>
      <c r="AD3508"/>
      <c r="AE3508" s="168"/>
      <c r="AF3508" s="168">
        <v>0</v>
      </c>
      <c r="AG3508" s="168" t="str" cm="1">
        <f t="array" ref="AG3508">IF(AF3508="","",_xlfn.TEXTSPLIT(AF3508,"-"))</f>
        <v>0</v>
      </c>
      <c r="AH3508" s="168"/>
    </row>
    <row r="3509" spans="26:34" ht="24" customHeight="1">
      <c r="Z3509"/>
      <c r="AA3509"/>
      <c r="AB3509"/>
      <c r="AC3509"/>
      <c r="AD3509"/>
      <c r="AE3509" s="168"/>
      <c r="AF3509" s="168">
        <v>0</v>
      </c>
      <c r="AG3509" s="168" t="str" cm="1">
        <f t="array" ref="AG3509">IF(AF3509="","",_xlfn.TEXTSPLIT(AF3509,"-"))</f>
        <v>0</v>
      </c>
      <c r="AH3509" s="168"/>
    </row>
    <row r="3510" spans="26:34" ht="24" customHeight="1">
      <c r="Z3510"/>
      <c r="AA3510"/>
      <c r="AB3510"/>
      <c r="AC3510"/>
      <c r="AD3510"/>
      <c r="AE3510" s="168"/>
      <c r="AF3510" s="168">
        <v>0</v>
      </c>
      <c r="AG3510" s="168" t="str" cm="1">
        <f t="array" ref="AG3510">IF(AF3510="","",_xlfn.TEXTSPLIT(AF3510,"-"))</f>
        <v>0</v>
      </c>
      <c r="AH3510" s="168"/>
    </row>
    <row r="3511" spans="26:34" ht="24" customHeight="1">
      <c r="Z3511"/>
      <c r="AA3511"/>
      <c r="AB3511"/>
      <c r="AC3511"/>
      <c r="AD3511"/>
      <c r="AE3511" s="168"/>
      <c r="AF3511" s="168">
        <v>0</v>
      </c>
      <c r="AG3511" s="168" t="str" cm="1">
        <f t="array" ref="AG3511">IF(AF3511="","",_xlfn.TEXTSPLIT(AF3511,"-"))</f>
        <v>0</v>
      </c>
      <c r="AH3511" s="168"/>
    </row>
    <row r="3512" spans="26:34" ht="24" customHeight="1">
      <c r="Z3512"/>
      <c r="AA3512"/>
      <c r="AB3512"/>
      <c r="AC3512"/>
      <c r="AD3512"/>
      <c r="AE3512" s="168"/>
      <c r="AF3512" s="168">
        <v>0</v>
      </c>
      <c r="AG3512" s="168" t="str" cm="1">
        <f t="array" ref="AG3512">IF(AF3512="","",_xlfn.TEXTSPLIT(AF3512,"-"))</f>
        <v>0</v>
      </c>
      <c r="AH3512" s="168"/>
    </row>
    <row r="3513" spans="26:34" ht="24" customHeight="1">
      <c r="Z3513"/>
      <c r="AA3513"/>
      <c r="AB3513"/>
      <c r="AC3513"/>
      <c r="AD3513"/>
      <c r="AE3513" s="168"/>
      <c r="AF3513" s="168">
        <v>0</v>
      </c>
      <c r="AG3513" s="168" t="str" cm="1">
        <f t="array" ref="AG3513">IF(AF3513="","",_xlfn.TEXTSPLIT(AF3513,"-"))</f>
        <v>0</v>
      </c>
      <c r="AH3513" s="168"/>
    </row>
    <row r="3514" spans="26:34" ht="24" customHeight="1">
      <c r="Z3514"/>
      <c r="AA3514"/>
      <c r="AB3514"/>
      <c r="AC3514"/>
      <c r="AD3514"/>
      <c r="AE3514" s="168"/>
      <c r="AF3514" s="168">
        <v>0</v>
      </c>
      <c r="AG3514" s="168" t="str" cm="1">
        <f t="array" ref="AG3514">IF(AF3514="","",_xlfn.TEXTSPLIT(AF3514,"-"))</f>
        <v>0</v>
      </c>
      <c r="AH3514" s="168"/>
    </row>
    <row r="3515" spans="26:34" ht="24" customHeight="1">
      <c r="Z3515"/>
      <c r="AA3515"/>
      <c r="AB3515"/>
      <c r="AC3515"/>
      <c r="AD3515"/>
      <c r="AE3515" s="168"/>
      <c r="AF3515" s="168">
        <v>0</v>
      </c>
      <c r="AG3515" s="168" t="str" cm="1">
        <f t="array" ref="AG3515">IF(AF3515="","",_xlfn.TEXTSPLIT(AF3515,"-"))</f>
        <v>0</v>
      </c>
      <c r="AH3515" s="168"/>
    </row>
    <row r="3516" spans="26:34" ht="24" customHeight="1">
      <c r="Z3516"/>
      <c r="AA3516"/>
      <c r="AB3516"/>
      <c r="AC3516"/>
      <c r="AD3516"/>
      <c r="AE3516" s="168"/>
      <c r="AF3516" s="168">
        <v>0</v>
      </c>
      <c r="AG3516" s="168" t="str" cm="1">
        <f t="array" ref="AG3516">IF(AF3516="","",_xlfn.TEXTSPLIT(AF3516,"-"))</f>
        <v>0</v>
      </c>
      <c r="AH3516" s="168"/>
    </row>
    <row r="3517" spans="26:34" ht="24" customHeight="1">
      <c r="Z3517"/>
      <c r="AA3517"/>
      <c r="AB3517"/>
      <c r="AC3517"/>
      <c r="AD3517"/>
      <c r="AE3517" s="168"/>
      <c r="AF3517" s="168">
        <v>0</v>
      </c>
      <c r="AG3517" s="168" t="str" cm="1">
        <f t="array" ref="AG3517">IF(AF3517="","",_xlfn.TEXTSPLIT(AF3517,"-"))</f>
        <v>0</v>
      </c>
      <c r="AH3517" s="168"/>
    </row>
    <row r="3518" spans="26:34" ht="24" customHeight="1">
      <c r="Z3518"/>
      <c r="AA3518"/>
      <c r="AB3518"/>
      <c r="AC3518"/>
      <c r="AD3518"/>
      <c r="AE3518" s="168"/>
      <c r="AF3518" s="168">
        <v>0</v>
      </c>
      <c r="AG3518" s="168" t="str" cm="1">
        <f t="array" ref="AG3518">IF(AF3518="","",_xlfn.TEXTSPLIT(AF3518,"-"))</f>
        <v>0</v>
      </c>
      <c r="AH3518" s="168"/>
    </row>
    <row r="3519" spans="26:34" ht="24" customHeight="1">
      <c r="Z3519"/>
      <c r="AA3519"/>
      <c r="AB3519"/>
      <c r="AC3519"/>
      <c r="AD3519"/>
      <c r="AE3519" s="168"/>
      <c r="AF3519" s="168">
        <v>0</v>
      </c>
      <c r="AG3519" s="168" t="str" cm="1">
        <f t="array" ref="AG3519">IF(AF3519="","",_xlfn.TEXTSPLIT(AF3519,"-"))</f>
        <v>0</v>
      </c>
      <c r="AH3519" s="168"/>
    </row>
    <row r="3520" spans="26:34" ht="24" customHeight="1">
      <c r="Z3520"/>
      <c r="AA3520"/>
      <c r="AB3520"/>
      <c r="AC3520"/>
      <c r="AD3520"/>
      <c r="AE3520" s="168"/>
      <c r="AF3520" s="168">
        <v>0</v>
      </c>
      <c r="AG3520" s="168" t="str" cm="1">
        <f t="array" ref="AG3520">IF(AF3520="","",_xlfn.TEXTSPLIT(AF3520,"-"))</f>
        <v>0</v>
      </c>
      <c r="AH3520" s="168"/>
    </row>
    <row r="3521" spans="26:34" ht="24" customHeight="1">
      <c r="Z3521"/>
      <c r="AA3521"/>
      <c r="AB3521"/>
      <c r="AC3521"/>
      <c r="AD3521"/>
      <c r="AE3521" s="168"/>
      <c r="AF3521" s="168">
        <v>0</v>
      </c>
      <c r="AG3521" s="168" t="str" cm="1">
        <f t="array" ref="AG3521">IF(AF3521="","",_xlfn.TEXTSPLIT(AF3521,"-"))</f>
        <v>0</v>
      </c>
      <c r="AH3521" s="168"/>
    </row>
    <row r="3522" spans="26:34" ht="24" customHeight="1">
      <c r="Z3522"/>
      <c r="AA3522"/>
      <c r="AB3522"/>
      <c r="AC3522"/>
      <c r="AD3522"/>
      <c r="AE3522" s="168"/>
      <c r="AF3522" s="168">
        <v>0</v>
      </c>
      <c r="AG3522" s="168" t="str" cm="1">
        <f t="array" ref="AG3522">IF(AF3522="","",_xlfn.TEXTSPLIT(AF3522,"-"))</f>
        <v>0</v>
      </c>
      <c r="AH3522" s="168"/>
    </row>
    <row r="3523" spans="26:34" ht="24" customHeight="1">
      <c r="Z3523"/>
      <c r="AA3523"/>
      <c r="AB3523"/>
      <c r="AC3523"/>
      <c r="AD3523"/>
      <c r="AE3523" s="168"/>
      <c r="AF3523" s="168">
        <v>0</v>
      </c>
      <c r="AG3523" s="168" t="str" cm="1">
        <f t="array" ref="AG3523">IF(AF3523="","",_xlfn.TEXTSPLIT(AF3523,"-"))</f>
        <v>0</v>
      </c>
      <c r="AH3523" s="168"/>
    </row>
    <row r="3524" spans="26:34" ht="24" customHeight="1">
      <c r="Z3524"/>
      <c r="AA3524"/>
      <c r="AB3524"/>
      <c r="AC3524"/>
      <c r="AD3524"/>
      <c r="AE3524" s="168"/>
      <c r="AF3524" s="168">
        <v>0</v>
      </c>
      <c r="AG3524" s="168" t="str" cm="1">
        <f t="array" ref="AG3524">IF(AF3524="","",_xlfn.TEXTSPLIT(AF3524,"-"))</f>
        <v>0</v>
      </c>
      <c r="AH3524" s="168"/>
    </row>
    <row r="3525" spans="26:34" ht="24" customHeight="1">
      <c r="Z3525"/>
      <c r="AA3525"/>
      <c r="AB3525"/>
      <c r="AC3525"/>
      <c r="AD3525"/>
      <c r="AE3525" s="168"/>
      <c r="AF3525" s="168">
        <v>0</v>
      </c>
      <c r="AG3525" s="168" t="str" cm="1">
        <f t="array" ref="AG3525">IF(AF3525="","",_xlfn.TEXTSPLIT(AF3525,"-"))</f>
        <v>0</v>
      </c>
      <c r="AH3525" s="168"/>
    </row>
    <row r="3526" spans="26:34" ht="24" customHeight="1">
      <c r="Z3526"/>
      <c r="AA3526"/>
      <c r="AB3526"/>
      <c r="AC3526"/>
      <c r="AD3526"/>
      <c r="AE3526" s="168"/>
      <c r="AF3526" s="168">
        <v>0</v>
      </c>
      <c r="AG3526" s="168" t="str" cm="1">
        <f t="array" ref="AG3526">IF(AF3526="","",_xlfn.TEXTSPLIT(AF3526,"-"))</f>
        <v>0</v>
      </c>
      <c r="AH3526" s="168"/>
    </row>
    <row r="3527" spans="26:34" ht="24" customHeight="1">
      <c r="Z3527"/>
      <c r="AA3527"/>
      <c r="AB3527"/>
      <c r="AC3527"/>
      <c r="AD3527"/>
      <c r="AE3527" s="168"/>
      <c r="AF3527" s="168">
        <v>0</v>
      </c>
      <c r="AG3527" s="168" t="str" cm="1">
        <f t="array" ref="AG3527">IF(AF3527="","",_xlfn.TEXTSPLIT(AF3527,"-"))</f>
        <v>0</v>
      </c>
      <c r="AH3527" s="168"/>
    </row>
    <row r="3528" spans="26:34" ht="24" customHeight="1">
      <c r="Z3528"/>
      <c r="AA3528"/>
      <c r="AB3528"/>
      <c r="AC3528"/>
      <c r="AD3528"/>
      <c r="AE3528" s="168"/>
      <c r="AF3528" s="168">
        <v>0</v>
      </c>
      <c r="AG3528" s="168" t="str" cm="1">
        <f t="array" ref="AG3528">IF(AF3528="","",_xlfn.TEXTSPLIT(AF3528,"-"))</f>
        <v>0</v>
      </c>
      <c r="AH3528" s="168"/>
    </row>
    <row r="3529" spans="26:34" ht="24" customHeight="1">
      <c r="Z3529"/>
      <c r="AA3529"/>
      <c r="AB3529"/>
      <c r="AC3529"/>
      <c r="AD3529"/>
      <c r="AE3529" s="168"/>
      <c r="AF3529" s="168">
        <v>0</v>
      </c>
      <c r="AG3529" s="168" t="str" cm="1">
        <f t="array" ref="AG3529">IF(AF3529="","",_xlfn.TEXTSPLIT(AF3529,"-"))</f>
        <v>0</v>
      </c>
      <c r="AH3529" s="168"/>
    </row>
    <row r="3530" spans="26:34" ht="24" customHeight="1">
      <c r="Z3530"/>
      <c r="AA3530"/>
      <c r="AB3530"/>
      <c r="AC3530"/>
      <c r="AD3530"/>
      <c r="AE3530" s="168"/>
      <c r="AF3530" s="168">
        <v>0</v>
      </c>
      <c r="AG3530" s="168" t="str" cm="1">
        <f t="array" ref="AG3530">IF(AF3530="","",_xlfn.TEXTSPLIT(AF3530,"-"))</f>
        <v>0</v>
      </c>
      <c r="AH3530" s="168"/>
    </row>
    <row r="3531" spans="26:34" ht="24" customHeight="1">
      <c r="Z3531"/>
      <c r="AA3531"/>
      <c r="AB3531"/>
      <c r="AC3531"/>
      <c r="AD3531"/>
      <c r="AE3531" s="168"/>
      <c r="AF3531" s="168">
        <v>0</v>
      </c>
      <c r="AG3531" s="168" t="str" cm="1">
        <f t="array" ref="AG3531">IF(AF3531="","",_xlfn.TEXTSPLIT(AF3531,"-"))</f>
        <v>0</v>
      </c>
      <c r="AH3531" s="168"/>
    </row>
    <row r="3532" spans="26:34" ht="24" customHeight="1">
      <c r="Z3532"/>
      <c r="AA3532"/>
      <c r="AB3532"/>
      <c r="AC3532"/>
      <c r="AD3532"/>
      <c r="AE3532" s="168"/>
      <c r="AF3532" s="168">
        <v>0</v>
      </c>
      <c r="AG3532" s="168" t="str" cm="1">
        <f t="array" ref="AG3532">IF(AF3532="","",_xlfn.TEXTSPLIT(AF3532,"-"))</f>
        <v>0</v>
      </c>
      <c r="AH3532" s="168"/>
    </row>
    <row r="3533" spans="26:34" ht="24" customHeight="1">
      <c r="Z3533"/>
      <c r="AA3533"/>
      <c r="AB3533"/>
      <c r="AC3533"/>
      <c r="AD3533"/>
      <c r="AE3533" s="168"/>
      <c r="AF3533" s="168">
        <v>0</v>
      </c>
      <c r="AG3533" s="168" t="str" cm="1">
        <f t="array" ref="AG3533">IF(AF3533="","",_xlfn.TEXTSPLIT(AF3533,"-"))</f>
        <v>0</v>
      </c>
      <c r="AH3533" s="168"/>
    </row>
    <row r="3534" spans="26:34" ht="24" customHeight="1">
      <c r="Z3534"/>
      <c r="AA3534"/>
      <c r="AB3534"/>
      <c r="AC3534"/>
      <c r="AD3534"/>
      <c r="AE3534" s="168"/>
      <c r="AF3534" s="168">
        <v>0</v>
      </c>
      <c r="AG3534" s="168" t="str" cm="1">
        <f t="array" ref="AG3534">IF(AF3534="","",_xlfn.TEXTSPLIT(AF3534,"-"))</f>
        <v>0</v>
      </c>
      <c r="AH3534" s="168"/>
    </row>
    <row r="3535" spans="26:34" ht="24" customHeight="1">
      <c r="Z3535"/>
      <c r="AA3535"/>
      <c r="AB3535"/>
      <c r="AC3535"/>
      <c r="AD3535"/>
      <c r="AE3535" s="168"/>
      <c r="AF3535" s="168">
        <v>0</v>
      </c>
      <c r="AG3535" s="168" t="str" cm="1">
        <f t="array" ref="AG3535">IF(AF3535="","",_xlfn.TEXTSPLIT(AF3535,"-"))</f>
        <v>0</v>
      </c>
      <c r="AH3535" s="168"/>
    </row>
    <row r="3536" spans="26:34" ht="24" customHeight="1">
      <c r="Z3536"/>
      <c r="AA3536"/>
      <c r="AB3536"/>
      <c r="AC3536"/>
      <c r="AD3536"/>
      <c r="AE3536" s="168"/>
      <c r="AF3536" s="168">
        <v>0</v>
      </c>
      <c r="AG3536" s="168" t="str" cm="1">
        <f t="array" ref="AG3536">IF(AF3536="","",_xlfn.TEXTSPLIT(AF3536,"-"))</f>
        <v>0</v>
      </c>
      <c r="AH3536" s="168"/>
    </row>
    <row r="3537" spans="26:34" ht="24" customHeight="1">
      <c r="Z3537"/>
      <c r="AA3537"/>
      <c r="AB3537"/>
      <c r="AC3537"/>
      <c r="AD3537"/>
      <c r="AE3537" s="168"/>
      <c r="AF3537" s="168">
        <v>0</v>
      </c>
      <c r="AG3537" s="168" t="str" cm="1">
        <f t="array" ref="AG3537">IF(AF3537="","",_xlfn.TEXTSPLIT(AF3537,"-"))</f>
        <v>0</v>
      </c>
      <c r="AH3537" s="168"/>
    </row>
    <row r="3538" spans="26:34" ht="24" customHeight="1">
      <c r="Z3538"/>
      <c r="AA3538"/>
      <c r="AB3538"/>
      <c r="AC3538"/>
      <c r="AD3538"/>
      <c r="AE3538" s="168"/>
      <c r="AF3538" s="168">
        <v>0</v>
      </c>
      <c r="AG3538" s="168" t="str" cm="1">
        <f t="array" ref="AG3538">IF(AF3538="","",_xlfn.TEXTSPLIT(AF3538,"-"))</f>
        <v>0</v>
      </c>
      <c r="AH3538" s="168"/>
    </row>
    <row r="3539" spans="26:34" ht="24" customHeight="1">
      <c r="Z3539"/>
      <c r="AA3539"/>
      <c r="AB3539"/>
      <c r="AC3539"/>
      <c r="AD3539"/>
      <c r="AE3539" s="168"/>
      <c r="AF3539" s="168">
        <v>0</v>
      </c>
      <c r="AG3539" s="168" t="str" cm="1">
        <f t="array" ref="AG3539">IF(AF3539="","",_xlfn.TEXTSPLIT(AF3539,"-"))</f>
        <v>0</v>
      </c>
      <c r="AH3539" s="168"/>
    </row>
    <row r="3540" spans="26:34" ht="24" customHeight="1">
      <c r="Z3540"/>
      <c r="AA3540"/>
      <c r="AB3540"/>
      <c r="AC3540"/>
      <c r="AD3540"/>
      <c r="AE3540" s="168"/>
      <c r="AF3540" s="168">
        <v>0</v>
      </c>
      <c r="AG3540" s="168" t="str" cm="1">
        <f t="array" ref="AG3540">IF(AF3540="","",_xlfn.TEXTSPLIT(AF3540,"-"))</f>
        <v>0</v>
      </c>
      <c r="AH3540" s="168"/>
    </row>
    <row r="3541" spans="26:34" ht="24" customHeight="1">
      <c r="Z3541"/>
      <c r="AA3541"/>
      <c r="AB3541"/>
      <c r="AC3541"/>
      <c r="AD3541"/>
      <c r="AE3541" s="168"/>
      <c r="AF3541" s="168">
        <v>0</v>
      </c>
      <c r="AG3541" s="168" t="str" cm="1">
        <f t="array" ref="AG3541">IF(AF3541="","",_xlfn.TEXTSPLIT(AF3541,"-"))</f>
        <v>0</v>
      </c>
      <c r="AH3541" s="168"/>
    </row>
    <row r="3542" spans="26:34" ht="24" customHeight="1">
      <c r="Z3542"/>
      <c r="AA3542"/>
      <c r="AB3542"/>
      <c r="AC3542"/>
      <c r="AD3542"/>
      <c r="AE3542" s="168"/>
      <c r="AF3542" s="168">
        <v>0</v>
      </c>
      <c r="AG3542" s="168" t="str" cm="1">
        <f t="array" ref="AG3542">IF(AF3542="","",_xlfn.TEXTSPLIT(AF3542,"-"))</f>
        <v>0</v>
      </c>
      <c r="AH3542" s="168"/>
    </row>
    <row r="3543" spans="26:34" ht="24" customHeight="1">
      <c r="Z3543"/>
      <c r="AA3543"/>
      <c r="AB3543"/>
      <c r="AC3543"/>
      <c r="AD3543"/>
      <c r="AE3543" s="168"/>
      <c r="AF3543" s="168">
        <v>0</v>
      </c>
      <c r="AG3543" s="168" t="str" cm="1">
        <f t="array" ref="AG3543">IF(AF3543="","",_xlfn.TEXTSPLIT(AF3543,"-"))</f>
        <v>0</v>
      </c>
      <c r="AH3543" s="168"/>
    </row>
    <row r="3544" spans="26:34" ht="24" customHeight="1">
      <c r="Z3544"/>
      <c r="AA3544"/>
      <c r="AB3544"/>
      <c r="AC3544"/>
      <c r="AD3544"/>
      <c r="AE3544" s="168"/>
      <c r="AF3544" s="168">
        <v>0</v>
      </c>
      <c r="AG3544" s="168" t="str" cm="1">
        <f t="array" ref="AG3544">IF(AF3544="","",_xlfn.TEXTSPLIT(AF3544,"-"))</f>
        <v>0</v>
      </c>
      <c r="AH3544" s="168"/>
    </row>
    <row r="3545" spans="26:34" ht="24" customHeight="1">
      <c r="Z3545"/>
      <c r="AA3545"/>
      <c r="AB3545"/>
      <c r="AC3545"/>
      <c r="AD3545"/>
      <c r="AE3545" s="168"/>
      <c r="AF3545" s="168">
        <v>0</v>
      </c>
      <c r="AG3545" s="168" t="str" cm="1">
        <f t="array" ref="AG3545">IF(AF3545="","",_xlfn.TEXTSPLIT(AF3545,"-"))</f>
        <v>0</v>
      </c>
      <c r="AH3545" s="168"/>
    </row>
    <row r="3546" spans="26:34" ht="24" customHeight="1">
      <c r="Z3546"/>
      <c r="AA3546"/>
      <c r="AB3546"/>
      <c r="AC3546"/>
      <c r="AD3546"/>
      <c r="AE3546" s="168"/>
      <c r="AF3546" s="168">
        <v>0</v>
      </c>
      <c r="AG3546" s="168" t="str" cm="1">
        <f t="array" ref="AG3546">IF(AF3546="","",_xlfn.TEXTSPLIT(AF3546,"-"))</f>
        <v>0</v>
      </c>
      <c r="AH3546" s="168"/>
    </row>
    <row r="3547" spans="26:34" ht="24" customHeight="1">
      <c r="Z3547"/>
      <c r="AA3547"/>
      <c r="AB3547"/>
      <c r="AC3547"/>
      <c r="AD3547"/>
      <c r="AE3547" s="168"/>
      <c r="AF3547" s="168">
        <v>0</v>
      </c>
      <c r="AG3547" s="168" t="str" cm="1">
        <f t="array" ref="AG3547">IF(AF3547="","",_xlfn.TEXTSPLIT(AF3547,"-"))</f>
        <v>0</v>
      </c>
      <c r="AH3547" s="168"/>
    </row>
    <row r="3548" spans="26:34" ht="24" customHeight="1">
      <c r="Z3548"/>
      <c r="AA3548"/>
      <c r="AB3548"/>
      <c r="AC3548"/>
      <c r="AD3548"/>
      <c r="AE3548" s="168"/>
      <c r="AF3548" s="168">
        <v>0</v>
      </c>
      <c r="AG3548" s="168" t="str" cm="1">
        <f t="array" ref="AG3548">IF(AF3548="","",_xlfn.TEXTSPLIT(AF3548,"-"))</f>
        <v>0</v>
      </c>
      <c r="AH3548" s="168"/>
    </row>
    <row r="3549" spans="26:34" ht="24" customHeight="1">
      <c r="Z3549"/>
      <c r="AA3549"/>
      <c r="AB3549"/>
      <c r="AC3549"/>
      <c r="AD3549"/>
      <c r="AE3549" s="168"/>
      <c r="AF3549" s="168">
        <v>0</v>
      </c>
      <c r="AG3549" s="168" t="str" cm="1">
        <f t="array" ref="AG3549">IF(AF3549="","",_xlfn.TEXTSPLIT(AF3549,"-"))</f>
        <v>0</v>
      </c>
      <c r="AH3549" s="168"/>
    </row>
    <row r="3550" spans="26:34" ht="24" customHeight="1">
      <c r="Z3550"/>
      <c r="AA3550"/>
      <c r="AB3550"/>
      <c r="AC3550"/>
      <c r="AD3550"/>
      <c r="AE3550" s="168"/>
      <c r="AF3550" s="168">
        <v>0</v>
      </c>
      <c r="AG3550" s="168" t="str" cm="1">
        <f t="array" ref="AG3550">IF(AF3550="","",_xlfn.TEXTSPLIT(AF3550,"-"))</f>
        <v>0</v>
      </c>
      <c r="AH3550" s="168"/>
    </row>
    <row r="3551" spans="26:34" ht="24" customHeight="1">
      <c r="Z3551"/>
      <c r="AA3551"/>
      <c r="AB3551"/>
      <c r="AC3551"/>
      <c r="AD3551"/>
      <c r="AE3551" s="168"/>
      <c r="AF3551" s="168">
        <v>0</v>
      </c>
      <c r="AG3551" s="168" t="str" cm="1">
        <f t="array" ref="AG3551">IF(AF3551="","",_xlfn.TEXTSPLIT(AF3551,"-"))</f>
        <v>0</v>
      </c>
      <c r="AH3551" s="168"/>
    </row>
    <row r="3552" spans="26:34" ht="24" customHeight="1">
      <c r="Z3552"/>
      <c r="AA3552"/>
      <c r="AB3552"/>
      <c r="AC3552"/>
      <c r="AD3552"/>
      <c r="AE3552" s="168"/>
      <c r="AF3552" s="168">
        <v>0</v>
      </c>
      <c r="AG3552" s="168" t="str" cm="1">
        <f t="array" ref="AG3552">IF(AF3552="","",_xlfn.TEXTSPLIT(AF3552,"-"))</f>
        <v>0</v>
      </c>
      <c r="AH3552" s="168"/>
    </row>
    <row r="3553" spans="26:34" ht="24" customHeight="1">
      <c r="Z3553"/>
      <c r="AA3553"/>
      <c r="AB3553"/>
      <c r="AC3553"/>
      <c r="AD3553"/>
      <c r="AE3553" s="168"/>
      <c r="AF3553" s="168">
        <v>0</v>
      </c>
      <c r="AG3553" s="168" t="str" cm="1">
        <f t="array" ref="AG3553">IF(AF3553="","",_xlfn.TEXTSPLIT(AF3553,"-"))</f>
        <v>0</v>
      </c>
      <c r="AH3553" s="168"/>
    </row>
    <row r="3554" spans="26:34" ht="24" customHeight="1">
      <c r="Z3554"/>
      <c r="AA3554"/>
      <c r="AB3554"/>
      <c r="AC3554"/>
      <c r="AD3554"/>
      <c r="AE3554" s="168"/>
      <c r="AF3554" s="168">
        <v>0</v>
      </c>
      <c r="AG3554" s="168" t="str" cm="1">
        <f t="array" ref="AG3554">IF(AF3554="","",_xlfn.TEXTSPLIT(AF3554,"-"))</f>
        <v>0</v>
      </c>
      <c r="AH3554" s="168"/>
    </row>
    <row r="3555" spans="26:34" ht="24" customHeight="1">
      <c r="Z3555"/>
      <c r="AA3555"/>
      <c r="AB3555"/>
      <c r="AC3555"/>
      <c r="AD3555"/>
      <c r="AE3555" s="168"/>
      <c r="AF3555" s="168">
        <v>0</v>
      </c>
      <c r="AG3555" s="168" t="str" cm="1">
        <f t="array" ref="AG3555">IF(AF3555="","",_xlfn.TEXTSPLIT(AF3555,"-"))</f>
        <v>0</v>
      </c>
      <c r="AH3555" s="168"/>
    </row>
    <row r="3556" spans="26:34" ht="24" customHeight="1">
      <c r="Z3556"/>
      <c r="AA3556"/>
      <c r="AB3556"/>
      <c r="AC3556"/>
      <c r="AD3556"/>
      <c r="AE3556" s="168"/>
      <c r="AF3556" s="168">
        <v>0</v>
      </c>
      <c r="AG3556" s="168" t="str" cm="1">
        <f t="array" ref="AG3556">IF(AF3556="","",_xlfn.TEXTSPLIT(AF3556,"-"))</f>
        <v>0</v>
      </c>
      <c r="AH3556" s="168"/>
    </row>
    <row r="3557" spans="26:34" ht="24" customHeight="1">
      <c r="Z3557"/>
      <c r="AA3557"/>
      <c r="AB3557"/>
      <c r="AC3557"/>
      <c r="AD3557"/>
      <c r="AE3557" s="168"/>
      <c r="AF3557" s="168">
        <v>0</v>
      </c>
      <c r="AG3557" s="168" t="str" cm="1">
        <f t="array" ref="AG3557">IF(AF3557="","",_xlfn.TEXTSPLIT(AF3557,"-"))</f>
        <v>0</v>
      </c>
      <c r="AH3557" s="168"/>
    </row>
    <row r="3558" spans="26:34" ht="24" customHeight="1">
      <c r="Z3558"/>
      <c r="AA3558"/>
      <c r="AB3558"/>
      <c r="AC3558"/>
      <c r="AD3558"/>
      <c r="AE3558" s="168"/>
      <c r="AF3558" s="168">
        <v>0</v>
      </c>
      <c r="AG3558" s="168" t="str" cm="1">
        <f t="array" ref="AG3558">IF(AF3558="","",_xlfn.TEXTSPLIT(AF3558,"-"))</f>
        <v>0</v>
      </c>
      <c r="AH3558" s="168"/>
    </row>
    <row r="3559" spans="26:34" ht="24" customHeight="1">
      <c r="Z3559"/>
      <c r="AA3559"/>
      <c r="AB3559"/>
      <c r="AC3559"/>
      <c r="AD3559"/>
      <c r="AE3559" s="168"/>
      <c r="AF3559" s="168">
        <v>0</v>
      </c>
      <c r="AG3559" s="168" t="str" cm="1">
        <f t="array" ref="AG3559">IF(AF3559="","",_xlfn.TEXTSPLIT(AF3559,"-"))</f>
        <v>0</v>
      </c>
      <c r="AH3559" s="168"/>
    </row>
    <row r="3560" spans="26:34" ht="24" customHeight="1">
      <c r="Z3560"/>
      <c r="AA3560"/>
      <c r="AB3560"/>
      <c r="AC3560"/>
      <c r="AD3560"/>
      <c r="AE3560" s="168"/>
      <c r="AF3560" s="168">
        <v>0</v>
      </c>
      <c r="AG3560" s="168" t="str" cm="1">
        <f t="array" ref="AG3560">IF(AF3560="","",_xlfn.TEXTSPLIT(AF3560,"-"))</f>
        <v>0</v>
      </c>
      <c r="AH3560" s="168"/>
    </row>
    <row r="3561" spans="26:34" ht="24" customHeight="1">
      <c r="Z3561"/>
      <c r="AA3561"/>
      <c r="AB3561"/>
      <c r="AC3561"/>
      <c r="AD3561"/>
      <c r="AE3561" s="168"/>
      <c r="AF3561" s="168">
        <v>0</v>
      </c>
      <c r="AG3561" s="168" t="str" cm="1">
        <f t="array" ref="AG3561">IF(AF3561="","",_xlfn.TEXTSPLIT(AF3561,"-"))</f>
        <v>0</v>
      </c>
      <c r="AH3561" s="168"/>
    </row>
    <row r="3562" spans="26:34" ht="24" customHeight="1">
      <c r="Z3562"/>
      <c r="AA3562"/>
      <c r="AB3562"/>
      <c r="AC3562"/>
      <c r="AD3562"/>
      <c r="AE3562" s="168"/>
      <c r="AF3562" s="168">
        <v>0</v>
      </c>
      <c r="AG3562" s="168" t="str" cm="1">
        <f t="array" ref="AG3562">IF(AF3562="","",_xlfn.TEXTSPLIT(AF3562,"-"))</f>
        <v>0</v>
      </c>
      <c r="AH3562" s="168"/>
    </row>
    <row r="3563" spans="26:34" ht="24" customHeight="1">
      <c r="Z3563"/>
      <c r="AA3563"/>
      <c r="AB3563"/>
      <c r="AC3563"/>
      <c r="AD3563"/>
      <c r="AE3563" s="168"/>
      <c r="AF3563" s="168">
        <v>0</v>
      </c>
      <c r="AG3563" s="168" t="str" cm="1">
        <f t="array" ref="AG3563">IF(AF3563="","",_xlfn.TEXTSPLIT(AF3563,"-"))</f>
        <v>0</v>
      </c>
      <c r="AH3563" s="168"/>
    </row>
    <row r="3564" spans="26:34" ht="24" customHeight="1">
      <c r="Z3564"/>
      <c r="AA3564"/>
      <c r="AB3564"/>
      <c r="AC3564"/>
      <c r="AD3564"/>
      <c r="AE3564" s="168"/>
      <c r="AF3564" s="168">
        <v>0</v>
      </c>
      <c r="AG3564" s="168" t="str" cm="1">
        <f t="array" ref="AG3564">IF(AF3564="","",_xlfn.TEXTSPLIT(AF3564,"-"))</f>
        <v>0</v>
      </c>
      <c r="AH3564" s="168"/>
    </row>
    <row r="3565" spans="26:34" ht="24" customHeight="1">
      <c r="Z3565"/>
      <c r="AA3565"/>
      <c r="AB3565"/>
      <c r="AC3565"/>
      <c r="AD3565"/>
      <c r="AE3565" s="168"/>
      <c r="AF3565" s="168">
        <v>0</v>
      </c>
      <c r="AG3565" s="168" t="str" cm="1">
        <f t="array" ref="AG3565">IF(AF3565="","",_xlfn.TEXTSPLIT(AF3565,"-"))</f>
        <v>0</v>
      </c>
      <c r="AH3565" s="168"/>
    </row>
    <row r="3566" spans="26:34" ht="24" customHeight="1">
      <c r="Z3566"/>
      <c r="AA3566"/>
      <c r="AB3566"/>
      <c r="AC3566"/>
      <c r="AD3566"/>
      <c r="AE3566" s="168"/>
      <c r="AF3566" s="168">
        <v>0</v>
      </c>
      <c r="AG3566" s="168" t="str" cm="1">
        <f t="array" ref="AG3566">IF(AF3566="","",_xlfn.TEXTSPLIT(AF3566,"-"))</f>
        <v>0</v>
      </c>
      <c r="AH3566" s="168"/>
    </row>
    <row r="3567" spans="26:34" ht="24" customHeight="1">
      <c r="Z3567"/>
      <c r="AA3567"/>
      <c r="AB3567"/>
      <c r="AC3567"/>
      <c r="AD3567"/>
      <c r="AE3567" s="168"/>
      <c r="AF3567" s="168">
        <v>0</v>
      </c>
      <c r="AG3567" s="168" t="str" cm="1">
        <f t="array" ref="AG3567">IF(AF3567="","",_xlfn.TEXTSPLIT(AF3567,"-"))</f>
        <v>0</v>
      </c>
      <c r="AH3567" s="168"/>
    </row>
    <row r="3568" spans="26:34" ht="24" customHeight="1">
      <c r="Z3568"/>
      <c r="AA3568"/>
      <c r="AB3568"/>
      <c r="AC3568"/>
      <c r="AD3568"/>
      <c r="AE3568" s="168"/>
      <c r="AF3568" s="168">
        <v>0</v>
      </c>
      <c r="AG3568" s="168" t="str" cm="1">
        <f t="array" ref="AG3568">IF(AF3568="","",_xlfn.TEXTSPLIT(AF3568,"-"))</f>
        <v>0</v>
      </c>
      <c r="AH3568" s="168"/>
    </row>
    <row r="3569" spans="26:34" ht="24" customHeight="1">
      <c r="Z3569"/>
      <c r="AA3569"/>
      <c r="AB3569"/>
      <c r="AC3569"/>
      <c r="AD3569"/>
      <c r="AE3569" s="168"/>
      <c r="AF3569" s="168">
        <v>0</v>
      </c>
      <c r="AG3569" s="168" t="str" cm="1">
        <f t="array" ref="AG3569">IF(AF3569="","",_xlfn.TEXTSPLIT(AF3569,"-"))</f>
        <v>0</v>
      </c>
      <c r="AH3569" s="168"/>
    </row>
    <row r="3570" spans="26:34" ht="24" customHeight="1">
      <c r="Z3570"/>
      <c r="AA3570"/>
      <c r="AB3570"/>
      <c r="AC3570"/>
      <c r="AD3570"/>
      <c r="AE3570" s="168"/>
      <c r="AF3570" s="168">
        <v>0</v>
      </c>
      <c r="AG3570" s="168" t="str" cm="1">
        <f t="array" ref="AG3570">IF(AF3570="","",_xlfn.TEXTSPLIT(AF3570,"-"))</f>
        <v>0</v>
      </c>
      <c r="AH3570" s="168"/>
    </row>
    <row r="3571" spans="26:34" ht="24" customHeight="1">
      <c r="Z3571"/>
      <c r="AA3571"/>
      <c r="AB3571"/>
      <c r="AC3571"/>
      <c r="AD3571"/>
      <c r="AE3571" s="168"/>
      <c r="AF3571" s="168">
        <v>0</v>
      </c>
      <c r="AG3571" s="168" t="str" cm="1">
        <f t="array" ref="AG3571">IF(AF3571="","",_xlfn.TEXTSPLIT(AF3571,"-"))</f>
        <v>0</v>
      </c>
      <c r="AH3571" s="168"/>
    </row>
    <row r="3572" spans="26:34" ht="24" customHeight="1">
      <c r="Z3572"/>
      <c r="AA3572"/>
      <c r="AB3572"/>
      <c r="AC3572"/>
      <c r="AD3572"/>
      <c r="AE3572" s="168"/>
      <c r="AF3572" s="168">
        <v>0</v>
      </c>
      <c r="AG3572" s="168" t="str" cm="1">
        <f t="array" ref="AG3572">IF(AF3572="","",_xlfn.TEXTSPLIT(AF3572,"-"))</f>
        <v>0</v>
      </c>
      <c r="AH3572" s="168"/>
    </row>
    <row r="3573" spans="26:34" ht="24" customHeight="1">
      <c r="Z3573"/>
      <c r="AA3573"/>
      <c r="AB3573"/>
      <c r="AC3573"/>
      <c r="AD3573"/>
      <c r="AE3573" s="168"/>
      <c r="AF3573" s="168">
        <v>0</v>
      </c>
      <c r="AG3573" s="168" t="str" cm="1">
        <f t="array" ref="AG3573">IF(AF3573="","",_xlfn.TEXTSPLIT(AF3573,"-"))</f>
        <v>0</v>
      </c>
      <c r="AH3573" s="168"/>
    </row>
    <row r="3574" spans="26:34" ht="24" customHeight="1">
      <c r="Z3574"/>
      <c r="AA3574"/>
      <c r="AB3574"/>
      <c r="AC3574"/>
      <c r="AD3574"/>
      <c r="AE3574" s="168"/>
      <c r="AF3574" s="168">
        <v>0</v>
      </c>
      <c r="AG3574" s="168" t="str" cm="1">
        <f t="array" ref="AG3574">IF(AF3574="","",_xlfn.TEXTSPLIT(AF3574,"-"))</f>
        <v>0</v>
      </c>
      <c r="AH3574" s="168"/>
    </row>
    <row r="3575" spans="26:34" ht="24" customHeight="1">
      <c r="Z3575"/>
      <c r="AA3575"/>
      <c r="AB3575"/>
      <c r="AC3575"/>
      <c r="AD3575"/>
      <c r="AE3575" s="168"/>
      <c r="AF3575" s="168">
        <v>0</v>
      </c>
      <c r="AG3575" s="168" t="str" cm="1">
        <f t="array" ref="AG3575">IF(AF3575="","",_xlfn.TEXTSPLIT(AF3575,"-"))</f>
        <v>0</v>
      </c>
      <c r="AH3575" s="168"/>
    </row>
    <row r="3576" spans="26:34" ht="24" customHeight="1">
      <c r="Z3576"/>
      <c r="AA3576"/>
      <c r="AB3576"/>
      <c r="AC3576"/>
      <c r="AD3576"/>
      <c r="AE3576" s="168"/>
      <c r="AF3576" s="168">
        <v>0</v>
      </c>
      <c r="AG3576" s="168" t="str" cm="1">
        <f t="array" ref="AG3576">IF(AF3576="","",_xlfn.TEXTSPLIT(AF3576,"-"))</f>
        <v>0</v>
      </c>
      <c r="AH3576" s="168"/>
    </row>
    <row r="3577" spans="26:34" ht="24" customHeight="1">
      <c r="Z3577"/>
      <c r="AA3577"/>
      <c r="AB3577"/>
      <c r="AC3577"/>
      <c r="AD3577"/>
      <c r="AE3577" s="168"/>
      <c r="AF3577" s="168">
        <v>0</v>
      </c>
      <c r="AG3577" s="168" t="str" cm="1">
        <f t="array" ref="AG3577">IF(AF3577="","",_xlfn.TEXTSPLIT(AF3577,"-"))</f>
        <v>0</v>
      </c>
      <c r="AH3577" s="168"/>
    </row>
    <row r="3578" spans="26:34" ht="24" customHeight="1">
      <c r="Z3578"/>
      <c r="AA3578"/>
      <c r="AB3578"/>
      <c r="AC3578"/>
      <c r="AD3578"/>
      <c r="AE3578" s="168"/>
      <c r="AF3578" s="168">
        <v>0</v>
      </c>
      <c r="AG3578" s="168" t="str" cm="1">
        <f t="array" ref="AG3578">IF(AF3578="","",_xlfn.TEXTSPLIT(AF3578,"-"))</f>
        <v>0</v>
      </c>
      <c r="AH3578" s="168"/>
    </row>
    <row r="3579" spans="26:34" ht="24" customHeight="1">
      <c r="Z3579"/>
      <c r="AA3579"/>
      <c r="AB3579"/>
      <c r="AC3579"/>
      <c r="AD3579"/>
      <c r="AE3579" s="168"/>
      <c r="AF3579" s="168">
        <v>0</v>
      </c>
      <c r="AG3579" s="168" t="str" cm="1">
        <f t="array" ref="AG3579">IF(AF3579="","",_xlfn.TEXTSPLIT(AF3579,"-"))</f>
        <v>0</v>
      </c>
      <c r="AH3579" s="168"/>
    </row>
    <row r="3580" spans="26:34" ht="24" customHeight="1">
      <c r="Z3580"/>
      <c r="AA3580"/>
      <c r="AB3580"/>
      <c r="AC3580"/>
      <c r="AD3580"/>
      <c r="AE3580" s="168"/>
      <c r="AF3580" s="168">
        <v>0</v>
      </c>
      <c r="AG3580" s="168" t="str" cm="1">
        <f t="array" ref="AG3580">IF(AF3580="","",_xlfn.TEXTSPLIT(AF3580,"-"))</f>
        <v>0</v>
      </c>
      <c r="AH3580" s="168"/>
    </row>
    <row r="3581" spans="26:34" ht="24" customHeight="1">
      <c r="Z3581"/>
      <c r="AA3581"/>
      <c r="AB3581"/>
      <c r="AC3581"/>
      <c r="AD3581"/>
      <c r="AE3581" s="168"/>
      <c r="AF3581" s="168">
        <v>0</v>
      </c>
      <c r="AG3581" s="168" t="str" cm="1">
        <f t="array" ref="AG3581">IF(AF3581="","",_xlfn.TEXTSPLIT(AF3581,"-"))</f>
        <v>0</v>
      </c>
      <c r="AH3581" s="168"/>
    </row>
    <row r="3582" spans="26:34" ht="24" customHeight="1">
      <c r="Z3582"/>
      <c r="AA3582"/>
      <c r="AB3582"/>
      <c r="AC3582"/>
      <c r="AD3582"/>
      <c r="AE3582" s="168"/>
      <c r="AF3582" s="168">
        <v>0</v>
      </c>
      <c r="AG3582" s="168" t="str" cm="1">
        <f t="array" ref="AG3582">IF(AF3582="","",_xlfn.TEXTSPLIT(AF3582,"-"))</f>
        <v>0</v>
      </c>
      <c r="AH3582" s="168"/>
    </row>
    <row r="3583" spans="26:34" ht="24" customHeight="1">
      <c r="Z3583"/>
      <c r="AA3583"/>
      <c r="AB3583"/>
      <c r="AC3583"/>
      <c r="AD3583"/>
      <c r="AE3583" s="168"/>
      <c r="AF3583" s="168">
        <v>0</v>
      </c>
      <c r="AG3583" s="168" t="str" cm="1">
        <f t="array" ref="AG3583">IF(AF3583="","",_xlfn.TEXTSPLIT(AF3583,"-"))</f>
        <v>0</v>
      </c>
      <c r="AH3583" s="168"/>
    </row>
    <row r="3584" spans="26:34" ht="24" customHeight="1">
      <c r="Z3584"/>
      <c r="AA3584"/>
      <c r="AB3584"/>
      <c r="AC3584"/>
      <c r="AD3584"/>
      <c r="AE3584" s="168"/>
      <c r="AF3584" s="168">
        <v>0</v>
      </c>
      <c r="AG3584" s="168" t="str" cm="1">
        <f t="array" ref="AG3584">IF(AF3584="","",_xlfn.TEXTSPLIT(AF3584,"-"))</f>
        <v>0</v>
      </c>
      <c r="AH3584" s="168"/>
    </row>
    <row r="3585" spans="26:34" ht="24" customHeight="1">
      <c r="Z3585"/>
      <c r="AA3585"/>
      <c r="AB3585"/>
      <c r="AC3585"/>
      <c r="AD3585"/>
      <c r="AE3585" s="168"/>
      <c r="AF3585" s="168">
        <v>0</v>
      </c>
      <c r="AG3585" s="168" t="str" cm="1">
        <f t="array" ref="AG3585">IF(AF3585="","",_xlfn.TEXTSPLIT(AF3585,"-"))</f>
        <v>0</v>
      </c>
      <c r="AH3585" s="168"/>
    </row>
    <row r="3586" spans="26:34" ht="24" customHeight="1">
      <c r="Z3586"/>
      <c r="AA3586"/>
      <c r="AB3586"/>
      <c r="AC3586"/>
      <c r="AD3586"/>
      <c r="AE3586" s="168"/>
      <c r="AF3586" s="168">
        <v>0</v>
      </c>
      <c r="AG3586" s="168" t="str" cm="1">
        <f t="array" ref="AG3586">IF(AF3586="","",_xlfn.TEXTSPLIT(AF3586,"-"))</f>
        <v>0</v>
      </c>
      <c r="AH3586" s="168"/>
    </row>
    <row r="3587" spans="26:34" ht="24" customHeight="1">
      <c r="Z3587"/>
      <c r="AA3587"/>
      <c r="AB3587"/>
      <c r="AC3587"/>
      <c r="AD3587"/>
      <c r="AE3587" s="168"/>
      <c r="AF3587" s="168">
        <v>0</v>
      </c>
      <c r="AG3587" s="168" t="str" cm="1">
        <f t="array" ref="AG3587">IF(AF3587="","",_xlfn.TEXTSPLIT(AF3587,"-"))</f>
        <v>0</v>
      </c>
      <c r="AH3587" s="168"/>
    </row>
    <row r="3588" spans="26:34" ht="24" customHeight="1">
      <c r="Z3588"/>
      <c r="AA3588"/>
      <c r="AB3588"/>
      <c r="AC3588"/>
      <c r="AD3588"/>
      <c r="AE3588" s="168"/>
      <c r="AF3588" s="168">
        <v>0</v>
      </c>
      <c r="AG3588" s="168" t="str" cm="1">
        <f t="array" ref="AG3588">IF(AF3588="","",_xlfn.TEXTSPLIT(AF3588,"-"))</f>
        <v>0</v>
      </c>
      <c r="AH3588" s="168"/>
    </row>
    <row r="3589" spans="26:34" ht="24" customHeight="1">
      <c r="Z3589"/>
      <c r="AA3589"/>
      <c r="AB3589"/>
      <c r="AC3589"/>
      <c r="AD3589"/>
      <c r="AE3589" s="168"/>
      <c r="AF3589" s="168">
        <v>0</v>
      </c>
      <c r="AG3589" s="168" t="str" cm="1">
        <f t="array" ref="AG3589">IF(AF3589="","",_xlfn.TEXTSPLIT(AF3589,"-"))</f>
        <v>0</v>
      </c>
      <c r="AH3589" s="168"/>
    </row>
    <row r="3590" spans="26:34" ht="24" customHeight="1">
      <c r="Z3590"/>
      <c r="AA3590"/>
      <c r="AB3590"/>
      <c r="AC3590"/>
      <c r="AD3590"/>
      <c r="AE3590" s="168"/>
      <c r="AF3590" s="168">
        <v>0</v>
      </c>
      <c r="AG3590" s="168" t="str" cm="1">
        <f t="array" ref="AG3590">IF(AF3590="","",_xlfn.TEXTSPLIT(AF3590,"-"))</f>
        <v>0</v>
      </c>
      <c r="AH3590" s="168"/>
    </row>
    <row r="3591" spans="26:34" ht="24" customHeight="1">
      <c r="Z3591"/>
      <c r="AA3591"/>
      <c r="AB3591"/>
      <c r="AC3591"/>
      <c r="AD3591"/>
      <c r="AE3591" s="168"/>
      <c r="AF3591" s="168">
        <v>0</v>
      </c>
      <c r="AG3591" s="168" t="str" cm="1">
        <f t="array" ref="AG3591">IF(AF3591="","",_xlfn.TEXTSPLIT(AF3591,"-"))</f>
        <v>0</v>
      </c>
      <c r="AH3591" s="168"/>
    </row>
    <row r="3592" spans="26:34" ht="24" customHeight="1">
      <c r="Z3592"/>
      <c r="AA3592"/>
      <c r="AB3592"/>
      <c r="AC3592"/>
      <c r="AD3592"/>
      <c r="AE3592" s="168"/>
      <c r="AF3592" s="168">
        <v>0</v>
      </c>
      <c r="AG3592" s="168" t="str" cm="1">
        <f t="array" ref="AG3592">IF(AF3592="","",_xlfn.TEXTSPLIT(AF3592,"-"))</f>
        <v>0</v>
      </c>
      <c r="AH3592" s="168"/>
    </row>
    <row r="3593" spans="26:34" ht="24" customHeight="1">
      <c r="Z3593"/>
      <c r="AA3593"/>
      <c r="AB3593"/>
      <c r="AC3593"/>
      <c r="AD3593"/>
      <c r="AE3593" s="168"/>
      <c r="AF3593" s="168">
        <v>0</v>
      </c>
      <c r="AG3593" s="168" t="str" cm="1">
        <f t="array" ref="AG3593">IF(AF3593="","",_xlfn.TEXTSPLIT(AF3593,"-"))</f>
        <v>0</v>
      </c>
      <c r="AH3593" s="168"/>
    </row>
    <row r="3594" spans="26:34" ht="24" customHeight="1">
      <c r="Z3594"/>
      <c r="AA3594"/>
      <c r="AB3594"/>
      <c r="AC3594"/>
      <c r="AD3594"/>
      <c r="AE3594" s="168"/>
      <c r="AF3594" s="168">
        <v>0</v>
      </c>
      <c r="AG3594" s="168" t="str" cm="1">
        <f t="array" ref="AG3594">IF(AF3594="","",_xlfn.TEXTSPLIT(AF3594,"-"))</f>
        <v>0</v>
      </c>
      <c r="AH3594" s="168"/>
    </row>
    <row r="3595" spans="26:34" ht="24" customHeight="1">
      <c r="Z3595"/>
      <c r="AA3595"/>
      <c r="AB3595"/>
      <c r="AC3595"/>
      <c r="AD3595"/>
      <c r="AE3595" s="168"/>
      <c r="AF3595" s="168">
        <v>0</v>
      </c>
      <c r="AG3595" s="168" t="str" cm="1">
        <f t="array" ref="AG3595">IF(AF3595="","",_xlfn.TEXTSPLIT(AF3595,"-"))</f>
        <v>0</v>
      </c>
      <c r="AH3595" s="168"/>
    </row>
    <row r="3596" spans="26:34" ht="24" customHeight="1">
      <c r="Z3596"/>
      <c r="AA3596"/>
      <c r="AB3596"/>
      <c r="AC3596"/>
      <c r="AD3596"/>
      <c r="AE3596" s="168"/>
      <c r="AF3596" s="168">
        <v>0</v>
      </c>
      <c r="AG3596" s="168" t="str" cm="1">
        <f t="array" ref="AG3596">IF(AF3596="","",_xlfn.TEXTSPLIT(AF3596,"-"))</f>
        <v>0</v>
      </c>
      <c r="AH3596" s="168"/>
    </row>
    <row r="3597" spans="26:34" ht="24" customHeight="1">
      <c r="Z3597"/>
      <c r="AA3597"/>
      <c r="AB3597"/>
      <c r="AC3597"/>
      <c r="AD3597"/>
      <c r="AE3597" s="168"/>
      <c r="AF3597" s="168">
        <v>0</v>
      </c>
      <c r="AG3597" s="168" t="str" cm="1">
        <f t="array" ref="AG3597">IF(AF3597="","",_xlfn.TEXTSPLIT(AF3597,"-"))</f>
        <v>0</v>
      </c>
      <c r="AH3597" s="168"/>
    </row>
    <row r="3598" spans="26:34" ht="24" customHeight="1">
      <c r="Z3598"/>
      <c r="AA3598"/>
      <c r="AB3598"/>
      <c r="AC3598"/>
      <c r="AD3598"/>
      <c r="AE3598" s="168"/>
      <c r="AF3598" s="168">
        <v>0</v>
      </c>
      <c r="AG3598" s="168" t="str" cm="1">
        <f t="array" ref="AG3598">IF(AF3598="","",_xlfn.TEXTSPLIT(AF3598,"-"))</f>
        <v>0</v>
      </c>
      <c r="AH3598" s="168"/>
    </row>
    <row r="3599" spans="26:34" ht="24" customHeight="1">
      <c r="Z3599"/>
      <c r="AA3599"/>
      <c r="AB3599"/>
      <c r="AC3599"/>
      <c r="AD3599"/>
      <c r="AE3599" s="168"/>
      <c r="AF3599" s="168">
        <v>0</v>
      </c>
      <c r="AG3599" s="168" t="str" cm="1">
        <f t="array" ref="AG3599">IF(AF3599="","",_xlfn.TEXTSPLIT(AF3599,"-"))</f>
        <v>0</v>
      </c>
      <c r="AH3599" s="168"/>
    </row>
    <row r="3600" spans="26:34" ht="24" customHeight="1">
      <c r="Z3600"/>
      <c r="AA3600"/>
      <c r="AB3600"/>
      <c r="AC3600"/>
      <c r="AD3600"/>
      <c r="AE3600" s="168"/>
      <c r="AF3600" s="168">
        <v>0</v>
      </c>
      <c r="AG3600" s="168" t="str" cm="1">
        <f t="array" ref="AG3600">IF(AF3600="","",_xlfn.TEXTSPLIT(AF3600,"-"))</f>
        <v>0</v>
      </c>
      <c r="AH3600" s="168"/>
    </row>
    <row r="3601" spans="26:34" ht="24" customHeight="1">
      <c r="Z3601"/>
      <c r="AA3601"/>
      <c r="AB3601"/>
      <c r="AC3601"/>
      <c r="AD3601"/>
      <c r="AE3601" s="168"/>
      <c r="AF3601" s="168">
        <v>0</v>
      </c>
      <c r="AG3601" s="168" t="str" cm="1">
        <f t="array" ref="AG3601">IF(AF3601="","",_xlfn.TEXTSPLIT(AF3601,"-"))</f>
        <v>0</v>
      </c>
      <c r="AH3601" s="168"/>
    </row>
    <row r="3602" spans="26:34" ht="24" customHeight="1">
      <c r="Z3602"/>
      <c r="AA3602"/>
      <c r="AB3602"/>
      <c r="AC3602"/>
      <c r="AD3602"/>
      <c r="AE3602" s="168"/>
      <c r="AF3602" s="168">
        <v>0</v>
      </c>
      <c r="AG3602" s="168" t="str" cm="1">
        <f t="array" ref="AG3602">IF(AF3602="","",_xlfn.TEXTSPLIT(AF3602,"-"))</f>
        <v>0</v>
      </c>
      <c r="AH3602" s="168"/>
    </row>
    <row r="3603" spans="26:34" ht="24" customHeight="1">
      <c r="Z3603"/>
      <c r="AA3603"/>
      <c r="AB3603"/>
      <c r="AC3603"/>
      <c r="AD3603"/>
      <c r="AE3603" s="168"/>
      <c r="AF3603" s="168">
        <v>0</v>
      </c>
      <c r="AG3603" s="168" t="str" cm="1">
        <f t="array" ref="AG3603">IF(AF3603="","",_xlfn.TEXTSPLIT(AF3603,"-"))</f>
        <v>0</v>
      </c>
      <c r="AH3603" s="168"/>
    </row>
    <row r="3604" spans="26:34" ht="24" customHeight="1">
      <c r="Z3604"/>
      <c r="AA3604"/>
      <c r="AB3604"/>
      <c r="AC3604"/>
      <c r="AD3604"/>
      <c r="AE3604" s="168"/>
      <c r="AF3604" s="168">
        <v>0</v>
      </c>
      <c r="AG3604" s="168" t="str" cm="1">
        <f t="array" ref="AG3604">IF(AF3604="","",_xlfn.TEXTSPLIT(AF3604,"-"))</f>
        <v>0</v>
      </c>
      <c r="AH3604" s="168"/>
    </row>
    <row r="3605" spans="26:34" ht="24" customHeight="1">
      <c r="Z3605"/>
      <c r="AA3605"/>
      <c r="AB3605"/>
      <c r="AC3605"/>
      <c r="AD3605"/>
      <c r="AE3605" s="168"/>
      <c r="AF3605" s="168">
        <v>0</v>
      </c>
      <c r="AG3605" s="168" t="str" cm="1">
        <f t="array" ref="AG3605">IF(AF3605="","",_xlfn.TEXTSPLIT(AF3605,"-"))</f>
        <v>0</v>
      </c>
      <c r="AH3605" s="168"/>
    </row>
    <row r="3606" spans="26:34" ht="24" customHeight="1">
      <c r="Z3606"/>
      <c r="AA3606"/>
      <c r="AB3606"/>
      <c r="AC3606"/>
      <c r="AD3606"/>
      <c r="AE3606" s="168"/>
      <c r="AF3606" s="168">
        <v>0</v>
      </c>
      <c r="AG3606" s="168" t="str" cm="1">
        <f t="array" ref="AG3606">IF(AF3606="","",_xlfn.TEXTSPLIT(AF3606,"-"))</f>
        <v>0</v>
      </c>
      <c r="AH3606" s="168"/>
    </row>
    <row r="3607" spans="26:34" ht="24" customHeight="1">
      <c r="Z3607"/>
      <c r="AA3607"/>
      <c r="AB3607"/>
      <c r="AC3607"/>
      <c r="AD3607"/>
      <c r="AE3607" s="168"/>
      <c r="AF3607" s="168">
        <v>0</v>
      </c>
      <c r="AG3607" s="168" t="str" cm="1">
        <f t="array" ref="AG3607">IF(AF3607="","",_xlfn.TEXTSPLIT(AF3607,"-"))</f>
        <v>0</v>
      </c>
      <c r="AH3607" s="168"/>
    </row>
    <row r="3608" spans="26:34" ht="24" customHeight="1">
      <c r="Z3608"/>
      <c r="AA3608"/>
      <c r="AB3608"/>
      <c r="AC3608"/>
      <c r="AD3608"/>
      <c r="AE3608" s="168"/>
      <c r="AF3608" s="168">
        <v>0</v>
      </c>
      <c r="AG3608" s="168" t="str" cm="1">
        <f t="array" ref="AG3608">IF(AF3608="","",_xlfn.TEXTSPLIT(AF3608,"-"))</f>
        <v>0</v>
      </c>
      <c r="AH3608" s="168"/>
    </row>
    <row r="3609" spans="26:34" ht="24" customHeight="1">
      <c r="Z3609"/>
      <c r="AA3609"/>
      <c r="AB3609"/>
      <c r="AC3609"/>
      <c r="AD3609"/>
      <c r="AE3609" s="168"/>
      <c r="AF3609" s="168">
        <v>0</v>
      </c>
      <c r="AG3609" s="168" t="str" cm="1">
        <f t="array" ref="AG3609">IF(AF3609="","",_xlfn.TEXTSPLIT(AF3609,"-"))</f>
        <v>0</v>
      </c>
      <c r="AH3609" s="168"/>
    </row>
    <row r="3610" spans="26:34" ht="24" customHeight="1">
      <c r="Z3610"/>
      <c r="AA3610"/>
      <c r="AB3610"/>
      <c r="AC3610"/>
      <c r="AD3610"/>
      <c r="AE3610" s="168"/>
      <c r="AF3610" s="168">
        <v>0</v>
      </c>
      <c r="AG3610" s="168" t="str" cm="1">
        <f t="array" ref="AG3610">IF(AF3610="","",_xlfn.TEXTSPLIT(AF3610,"-"))</f>
        <v>0</v>
      </c>
      <c r="AH3610" s="168"/>
    </row>
    <row r="3611" spans="26:34" ht="24" customHeight="1">
      <c r="Z3611"/>
      <c r="AA3611"/>
      <c r="AB3611"/>
      <c r="AC3611"/>
      <c r="AD3611"/>
      <c r="AE3611" s="168"/>
      <c r="AF3611" s="168">
        <v>0</v>
      </c>
      <c r="AG3611" s="168" t="str" cm="1">
        <f t="array" ref="AG3611">IF(AF3611="","",_xlfn.TEXTSPLIT(AF3611,"-"))</f>
        <v>0</v>
      </c>
      <c r="AH3611" s="168"/>
    </row>
    <row r="3612" spans="26:34" ht="24" customHeight="1">
      <c r="Z3612"/>
      <c r="AA3612"/>
      <c r="AB3612"/>
      <c r="AC3612"/>
      <c r="AD3612"/>
      <c r="AE3612" s="168"/>
      <c r="AF3612" s="168">
        <v>0</v>
      </c>
      <c r="AG3612" s="168" t="str" cm="1">
        <f t="array" ref="AG3612">IF(AF3612="","",_xlfn.TEXTSPLIT(AF3612,"-"))</f>
        <v>0</v>
      </c>
      <c r="AH3612" s="168"/>
    </row>
    <row r="3613" spans="26:34" ht="24" customHeight="1">
      <c r="Z3613"/>
      <c r="AA3613"/>
      <c r="AB3613"/>
      <c r="AC3613"/>
      <c r="AD3613"/>
      <c r="AE3613" s="168"/>
      <c r="AF3613" s="168">
        <v>0</v>
      </c>
      <c r="AG3613" s="168" t="str" cm="1">
        <f t="array" ref="AG3613">IF(AF3613="","",_xlfn.TEXTSPLIT(AF3613,"-"))</f>
        <v>0</v>
      </c>
      <c r="AH3613" s="168"/>
    </row>
    <row r="3614" spans="26:34" ht="24" customHeight="1">
      <c r="Z3614"/>
      <c r="AA3614"/>
      <c r="AB3614"/>
      <c r="AC3614"/>
      <c r="AD3614"/>
      <c r="AE3614" s="168"/>
      <c r="AF3614" s="168">
        <v>0</v>
      </c>
      <c r="AG3614" s="168" t="str" cm="1">
        <f t="array" ref="AG3614">IF(AF3614="","",_xlfn.TEXTSPLIT(AF3614,"-"))</f>
        <v>0</v>
      </c>
      <c r="AH3614" s="168"/>
    </row>
    <row r="3615" spans="26:34" ht="24" customHeight="1">
      <c r="Z3615"/>
      <c r="AA3615"/>
      <c r="AB3615"/>
      <c r="AC3615"/>
      <c r="AD3615"/>
      <c r="AE3615" s="168"/>
      <c r="AF3615" s="168">
        <v>0</v>
      </c>
      <c r="AG3615" s="168" t="str" cm="1">
        <f t="array" ref="AG3615">IF(AF3615="","",_xlfn.TEXTSPLIT(AF3615,"-"))</f>
        <v>0</v>
      </c>
      <c r="AH3615" s="168"/>
    </row>
    <row r="3616" spans="26:34" ht="24" customHeight="1">
      <c r="Z3616"/>
      <c r="AA3616"/>
      <c r="AB3616"/>
      <c r="AC3616"/>
      <c r="AD3616"/>
      <c r="AE3616" s="168"/>
      <c r="AF3616" s="168">
        <v>0</v>
      </c>
      <c r="AG3616" s="168" t="str" cm="1">
        <f t="array" ref="AG3616">IF(AF3616="","",_xlfn.TEXTSPLIT(AF3616,"-"))</f>
        <v>0</v>
      </c>
      <c r="AH3616" s="168"/>
    </row>
    <row r="3617" spans="26:34" ht="24" customHeight="1">
      <c r="Z3617"/>
      <c r="AA3617"/>
      <c r="AB3617"/>
      <c r="AC3617"/>
      <c r="AD3617"/>
      <c r="AE3617" s="168"/>
      <c r="AF3617" s="168">
        <v>0</v>
      </c>
      <c r="AG3617" s="168" t="str" cm="1">
        <f t="array" ref="AG3617">IF(AF3617="","",_xlfn.TEXTSPLIT(AF3617,"-"))</f>
        <v>0</v>
      </c>
      <c r="AH3617" s="168"/>
    </row>
    <row r="3618" spans="26:34" ht="24" customHeight="1">
      <c r="Z3618"/>
      <c r="AA3618"/>
      <c r="AB3618"/>
      <c r="AC3618"/>
      <c r="AD3618"/>
      <c r="AE3618" s="168"/>
      <c r="AF3618" s="168">
        <v>0</v>
      </c>
      <c r="AG3618" s="168" t="str" cm="1">
        <f t="array" ref="AG3618">IF(AF3618="","",_xlfn.TEXTSPLIT(AF3618,"-"))</f>
        <v>0</v>
      </c>
      <c r="AH3618" s="168"/>
    </row>
    <row r="3619" spans="26:34" ht="24" customHeight="1">
      <c r="Z3619"/>
      <c r="AA3619"/>
      <c r="AB3619"/>
      <c r="AC3619"/>
      <c r="AD3619"/>
      <c r="AE3619" s="168"/>
      <c r="AF3619" s="168">
        <v>0</v>
      </c>
      <c r="AG3619" s="168" t="str" cm="1">
        <f t="array" ref="AG3619">IF(AF3619="","",_xlfn.TEXTSPLIT(AF3619,"-"))</f>
        <v>0</v>
      </c>
      <c r="AH3619" s="168"/>
    </row>
    <row r="3620" spans="26:34" ht="24" customHeight="1">
      <c r="Z3620"/>
      <c r="AA3620"/>
      <c r="AB3620"/>
      <c r="AC3620"/>
      <c r="AD3620"/>
      <c r="AE3620" s="168"/>
      <c r="AF3620" s="168">
        <v>0</v>
      </c>
      <c r="AG3620" s="168" t="str" cm="1">
        <f t="array" ref="AG3620">IF(AF3620="","",_xlfn.TEXTSPLIT(AF3620,"-"))</f>
        <v>0</v>
      </c>
      <c r="AH3620" s="168"/>
    </row>
    <row r="3621" spans="26:34" ht="24" customHeight="1">
      <c r="Z3621"/>
      <c r="AA3621"/>
      <c r="AB3621"/>
      <c r="AC3621"/>
      <c r="AD3621"/>
      <c r="AE3621" s="168"/>
      <c r="AF3621" s="168">
        <v>0</v>
      </c>
      <c r="AG3621" s="168" t="str" cm="1">
        <f t="array" ref="AG3621">IF(AF3621="","",_xlfn.TEXTSPLIT(AF3621,"-"))</f>
        <v>0</v>
      </c>
      <c r="AH3621" s="168"/>
    </row>
    <row r="3622" spans="26:34" ht="24" customHeight="1">
      <c r="Z3622"/>
      <c r="AA3622"/>
      <c r="AB3622"/>
      <c r="AC3622"/>
      <c r="AD3622"/>
      <c r="AE3622" s="168"/>
      <c r="AF3622" s="168">
        <v>0</v>
      </c>
      <c r="AG3622" s="168" t="str" cm="1">
        <f t="array" ref="AG3622">IF(AF3622="","",_xlfn.TEXTSPLIT(AF3622,"-"))</f>
        <v>0</v>
      </c>
      <c r="AH3622" s="168"/>
    </row>
    <row r="3623" spans="26:34" ht="24" customHeight="1">
      <c r="Z3623"/>
      <c r="AA3623"/>
      <c r="AB3623"/>
      <c r="AC3623"/>
      <c r="AD3623"/>
      <c r="AE3623" s="168"/>
      <c r="AF3623" s="168">
        <v>0</v>
      </c>
      <c r="AG3623" s="168" t="str" cm="1">
        <f t="array" ref="AG3623">IF(AF3623="","",_xlfn.TEXTSPLIT(AF3623,"-"))</f>
        <v>0</v>
      </c>
      <c r="AH3623" s="168"/>
    </row>
    <row r="3624" spans="26:34" ht="24" customHeight="1">
      <c r="Z3624"/>
      <c r="AA3624"/>
      <c r="AB3624"/>
      <c r="AC3624"/>
      <c r="AD3624"/>
      <c r="AE3624" s="168"/>
      <c r="AF3624" s="168">
        <v>0</v>
      </c>
      <c r="AG3624" s="168" t="str" cm="1">
        <f t="array" ref="AG3624">IF(AF3624="","",_xlfn.TEXTSPLIT(AF3624,"-"))</f>
        <v>0</v>
      </c>
      <c r="AH3624" s="168"/>
    </row>
    <row r="3625" spans="26:34" ht="24" customHeight="1">
      <c r="Z3625"/>
      <c r="AA3625"/>
      <c r="AB3625"/>
      <c r="AC3625"/>
      <c r="AD3625"/>
      <c r="AE3625" s="168"/>
      <c r="AF3625" s="168">
        <v>0</v>
      </c>
      <c r="AG3625" s="168" t="str" cm="1">
        <f t="array" ref="AG3625">IF(AF3625="","",_xlfn.TEXTSPLIT(AF3625,"-"))</f>
        <v>0</v>
      </c>
      <c r="AH3625" s="168"/>
    </row>
    <row r="3626" spans="26:34" ht="24" customHeight="1">
      <c r="Z3626"/>
      <c r="AA3626"/>
      <c r="AB3626"/>
      <c r="AC3626"/>
      <c r="AD3626"/>
      <c r="AE3626" s="168"/>
      <c r="AF3626" s="168">
        <v>0</v>
      </c>
      <c r="AG3626" s="168" t="str" cm="1">
        <f t="array" ref="AG3626">IF(AF3626="","",_xlfn.TEXTSPLIT(AF3626,"-"))</f>
        <v>0</v>
      </c>
      <c r="AH3626" s="168"/>
    </row>
    <row r="3627" spans="26:34" ht="24" customHeight="1">
      <c r="Z3627"/>
      <c r="AA3627"/>
      <c r="AB3627"/>
      <c r="AC3627"/>
      <c r="AD3627"/>
      <c r="AE3627" s="168"/>
      <c r="AF3627" s="168">
        <v>0</v>
      </c>
      <c r="AG3627" s="168" t="str" cm="1">
        <f t="array" ref="AG3627">IF(AF3627="","",_xlfn.TEXTSPLIT(AF3627,"-"))</f>
        <v>0</v>
      </c>
      <c r="AH3627" s="168"/>
    </row>
    <row r="3628" spans="26:34" ht="24" customHeight="1">
      <c r="Z3628"/>
      <c r="AA3628"/>
      <c r="AB3628"/>
      <c r="AC3628"/>
      <c r="AD3628"/>
      <c r="AE3628" s="168"/>
      <c r="AF3628" s="168">
        <v>0</v>
      </c>
      <c r="AG3628" s="168" t="str" cm="1">
        <f t="array" ref="AG3628">IF(AF3628="","",_xlfn.TEXTSPLIT(AF3628,"-"))</f>
        <v>0</v>
      </c>
      <c r="AH3628" s="168"/>
    </row>
    <row r="3629" spans="26:34" ht="24" customHeight="1">
      <c r="Z3629"/>
      <c r="AA3629"/>
      <c r="AB3629"/>
      <c r="AC3629"/>
      <c r="AD3629"/>
      <c r="AE3629" s="168"/>
      <c r="AF3629" s="168">
        <v>0</v>
      </c>
      <c r="AG3629" s="168" t="str" cm="1">
        <f t="array" ref="AG3629">IF(AF3629="","",_xlfn.TEXTSPLIT(AF3629,"-"))</f>
        <v>0</v>
      </c>
      <c r="AH3629" s="168"/>
    </row>
    <row r="3630" spans="26:34" ht="24" customHeight="1">
      <c r="Z3630"/>
      <c r="AA3630"/>
      <c r="AB3630"/>
      <c r="AC3630"/>
      <c r="AD3630"/>
      <c r="AE3630" s="168"/>
      <c r="AF3630" s="168">
        <v>0</v>
      </c>
      <c r="AG3630" s="168" t="str" cm="1">
        <f t="array" ref="AG3630">IF(AF3630="","",_xlfn.TEXTSPLIT(AF3630,"-"))</f>
        <v>0</v>
      </c>
      <c r="AH3630" s="168"/>
    </row>
    <row r="3631" spans="26:34" ht="24" customHeight="1">
      <c r="Z3631"/>
      <c r="AA3631"/>
      <c r="AB3631"/>
      <c r="AC3631"/>
      <c r="AD3631"/>
      <c r="AE3631" s="168"/>
      <c r="AF3631" s="168">
        <v>0</v>
      </c>
      <c r="AG3631" s="168" t="str" cm="1">
        <f t="array" ref="AG3631">IF(AF3631="","",_xlfn.TEXTSPLIT(AF3631,"-"))</f>
        <v>0</v>
      </c>
      <c r="AH3631" s="168"/>
    </row>
    <row r="3632" spans="26:34" ht="24" customHeight="1">
      <c r="Z3632"/>
      <c r="AA3632"/>
      <c r="AB3632"/>
      <c r="AC3632"/>
      <c r="AD3632"/>
      <c r="AE3632" s="168"/>
      <c r="AF3632" s="168">
        <v>0</v>
      </c>
      <c r="AG3632" s="168" t="str" cm="1">
        <f t="array" ref="AG3632">IF(AF3632="","",_xlfn.TEXTSPLIT(AF3632,"-"))</f>
        <v>0</v>
      </c>
      <c r="AH3632" s="168"/>
    </row>
    <row r="3633" spans="26:34" ht="24" customHeight="1">
      <c r="Z3633"/>
      <c r="AA3633"/>
      <c r="AB3633"/>
      <c r="AC3633"/>
      <c r="AD3633"/>
      <c r="AE3633" s="168"/>
      <c r="AF3633" s="168">
        <v>0</v>
      </c>
      <c r="AG3633" s="168" t="str" cm="1">
        <f t="array" ref="AG3633">IF(AF3633="","",_xlfn.TEXTSPLIT(AF3633,"-"))</f>
        <v>0</v>
      </c>
      <c r="AH3633" s="168"/>
    </row>
    <row r="3634" spans="26:34" ht="24" customHeight="1">
      <c r="Z3634"/>
      <c r="AA3634"/>
      <c r="AB3634"/>
      <c r="AC3634"/>
      <c r="AD3634"/>
      <c r="AE3634" s="168"/>
      <c r="AF3634" s="168">
        <v>0</v>
      </c>
      <c r="AG3634" s="168" t="str" cm="1">
        <f t="array" ref="AG3634">IF(AF3634="","",_xlfn.TEXTSPLIT(AF3634,"-"))</f>
        <v>0</v>
      </c>
      <c r="AH3634" s="168"/>
    </row>
    <row r="3635" spans="26:34" ht="24" customHeight="1">
      <c r="Z3635"/>
      <c r="AA3635"/>
      <c r="AB3635"/>
      <c r="AC3635"/>
      <c r="AD3635"/>
      <c r="AE3635" s="168"/>
      <c r="AF3635" s="168">
        <v>0</v>
      </c>
      <c r="AG3635" s="168" t="str" cm="1">
        <f t="array" ref="AG3635">IF(AF3635="","",_xlfn.TEXTSPLIT(AF3635,"-"))</f>
        <v>0</v>
      </c>
      <c r="AH3635" s="168"/>
    </row>
    <row r="3636" spans="26:34" ht="24" customHeight="1">
      <c r="Z3636"/>
      <c r="AA3636"/>
      <c r="AB3636"/>
      <c r="AC3636"/>
      <c r="AD3636"/>
      <c r="AE3636" s="168"/>
      <c r="AF3636" s="168">
        <v>0</v>
      </c>
      <c r="AG3636" s="168" t="str" cm="1">
        <f t="array" ref="AG3636">IF(AF3636="","",_xlfn.TEXTSPLIT(AF3636,"-"))</f>
        <v>0</v>
      </c>
      <c r="AH3636" s="168"/>
    </row>
    <row r="3637" spans="26:34" ht="24" customHeight="1">
      <c r="Z3637"/>
      <c r="AA3637"/>
      <c r="AB3637"/>
      <c r="AC3637"/>
      <c r="AD3637"/>
      <c r="AE3637" s="168"/>
      <c r="AF3637" s="168">
        <v>0</v>
      </c>
      <c r="AG3637" s="168" t="str" cm="1">
        <f t="array" ref="AG3637">IF(AF3637="","",_xlfn.TEXTSPLIT(AF3637,"-"))</f>
        <v>0</v>
      </c>
      <c r="AH3637" s="168"/>
    </row>
    <row r="3638" spans="26:34" ht="24" customHeight="1">
      <c r="Z3638"/>
      <c r="AA3638"/>
      <c r="AB3638"/>
      <c r="AC3638"/>
      <c r="AD3638"/>
      <c r="AE3638" s="168"/>
      <c r="AF3638" s="168">
        <v>0</v>
      </c>
      <c r="AG3638" s="168" t="str" cm="1">
        <f t="array" ref="AG3638">IF(AF3638="","",_xlfn.TEXTSPLIT(AF3638,"-"))</f>
        <v>0</v>
      </c>
      <c r="AH3638" s="168"/>
    </row>
    <row r="3639" spans="26:34" ht="24" customHeight="1">
      <c r="Z3639"/>
      <c r="AA3639"/>
      <c r="AB3639"/>
      <c r="AC3639"/>
      <c r="AD3639"/>
      <c r="AE3639" s="168"/>
      <c r="AF3639" s="168">
        <v>0</v>
      </c>
      <c r="AG3639" s="168" t="str" cm="1">
        <f t="array" ref="AG3639">IF(AF3639="","",_xlfn.TEXTSPLIT(AF3639,"-"))</f>
        <v>0</v>
      </c>
      <c r="AH3639" s="168"/>
    </row>
    <row r="3640" spans="26:34" ht="24" customHeight="1">
      <c r="Z3640"/>
      <c r="AA3640"/>
      <c r="AB3640"/>
      <c r="AC3640"/>
      <c r="AD3640"/>
      <c r="AE3640" s="168"/>
      <c r="AF3640" s="168">
        <v>0</v>
      </c>
      <c r="AG3640" s="168" t="str" cm="1">
        <f t="array" ref="AG3640">IF(AF3640="","",_xlfn.TEXTSPLIT(AF3640,"-"))</f>
        <v>0</v>
      </c>
      <c r="AH3640" s="168"/>
    </row>
    <row r="3641" spans="26:34" ht="24" customHeight="1">
      <c r="Z3641"/>
      <c r="AA3641"/>
      <c r="AB3641"/>
      <c r="AC3641"/>
      <c r="AD3641"/>
      <c r="AE3641" s="168"/>
      <c r="AF3641" s="168">
        <v>0</v>
      </c>
      <c r="AG3641" s="168" t="str" cm="1">
        <f t="array" ref="AG3641">IF(AF3641="","",_xlfn.TEXTSPLIT(AF3641,"-"))</f>
        <v>0</v>
      </c>
      <c r="AH3641" s="168"/>
    </row>
    <row r="3642" spans="26:34" ht="24" customHeight="1">
      <c r="Z3642"/>
      <c r="AA3642"/>
      <c r="AB3642"/>
      <c r="AC3642"/>
      <c r="AD3642"/>
      <c r="AE3642" s="168"/>
      <c r="AF3642" s="168">
        <v>0</v>
      </c>
      <c r="AG3642" s="168" t="str" cm="1">
        <f t="array" ref="AG3642">IF(AF3642="","",_xlfn.TEXTSPLIT(AF3642,"-"))</f>
        <v>0</v>
      </c>
      <c r="AH3642" s="168"/>
    </row>
    <row r="3643" spans="26:34" ht="24" customHeight="1">
      <c r="Z3643"/>
      <c r="AA3643"/>
      <c r="AB3643"/>
      <c r="AC3643"/>
      <c r="AD3643"/>
      <c r="AE3643" s="168"/>
      <c r="AF3643" s="168">
        <v>0</v>
      </c>
      <c r="AG3643" s="168" t="str" cm="1">
        <f t="array" ref="AG3643">IF(AF3643="","",_xlfn.TEXTSPLIT(AF3643,"-"))</f>
        <v>0</v>
      </c>
      <c r="AH3643" s="168"/>
    </row>
    <row r="3644" spans="26:34" ht="24" customHeight="1">
      <c r="Z3644"/>
      <c r="AA3644"/>
      <c r="AB3644"/>
      <c r="AC3644"/>
      <c r="AD3644"/>
      <c r="AE3644" s="168"/>
      <c r="AF3644" s="168">
        <v>0</v>
      </c>
      <c r="AG3644" s="168" t="str" cm="1">
        <f t="array" ref="AG3644">IF(AF3644="","",_xlfn.TEXTSPLIT(AF3644,"-"))</f>
        <v>0</v>
      </c>
      <c r="AH3644" s="168"/>
    </row>
    <row r="3645" spans="26:34" ht="24" customHeight="1">
      <c r="Z3645"/>
      <c r="AA3645"/>
      <c r="AB3645"/>
      <c r="AC3645"/>
      <c r="AD3645"/>
      <c r="AE3645" s="168"/>
      <c r="AF3645" s="168">
        <v>0</v>
      </c>
      <c r="AG3645" s="168" t="str" cm="1">
        <f t="array" ref="AG3645">IF(AF3645="","",_xlfn.TEXTSPLIT(AF3645,"-"))</f>
        <v>0</v>
      </c>
      <c r="AH3645" s="168"/>
    </row>
    <row r="3646" spans="26:34" ht="24" customHeight="1">
      <c r="Z3646"/>
      <c r="AA3646"/>
      <c r="AB3646"/>
      <c r="AC3646"/>
      <c r="AD3646"/>
      <c r="AE3646" s="168"/>
      <c r="AF3646" s="168">
        <v>0</v>
      </c>
      <c r="AG3646" s="168" t="str" cm="1">
        <f t="array" ref="AG3646">IF(AF3646="","",_xlfn.TEXTSPLIT(AF3646,"-"))</f>
        <v>0</v>
      </c>
      <c r="AH3646" s="168"/>
    </row>
    <row r="3647" spans="26:34" ht="24" customHeight="1">
      <c r="Z3647"/>
      <c r="AA3647"/>
      <c r="AB3647"/>
      <c r="AC3647"/>
      <c r="AD3647"/>
      <c r="AE3647" s="168"/>
      <c r="AF3647" s="168">
        <v>0</v>
      </c>
      <c r="AG3647" s="168" t="str" cm="1">
        <f t="array" ref="AG3647">IF(AF3647="","",_xlfn.TEXTSPLIT(AF3647,"-"))</f>
        <v>0</v>
      </c>
      <c r="AH3647" s="168"/>
    </row>
    <row r="3648" spans="26:34" ht="24" customHeight="1">
      <c r="Z3648"/>
      <c r="AA3648"/>
      <c r="AB3648"/>
      <c r="AC3648"/>
      <c r="AD3648"/>
      <c r="AE3648" s="168"/>
      <c r="AF3648" s="168">
        <v>0</v>
      </c>
      <c r="AG3648" s="168" t="str" cm="1">
        <f t="array" ref="AG3648">IF(AF3648="","",_xlfn.TEXTSPLIT(AF3648,"-"))</f>
        <v>0</v>
      </c>
      <c r="AH3648" s="168"/>
    </row>
    <row r="3649" spans="26:34" ht="24" customHeight="1">
      <c r="Z3649"/>
      <c r="AA3649"/>
      <c r="AB3649"/>
      <c r="AC3649"/>
      <c r="AD3649"/>
      <c r="AE3649" s="168"/>
      <c r="AF3649" s="168">
        <v>0</v>
      </c>
      <c r="AG3649" s="168" t="str" cm="1">
        <f t="array" ref="AG3649">IF(AF3649="","",_xlfn.TEXTSPLIT(AF3649,"-"))</f>
        <v>0</v>
      </c>
      <c r="AH3649" s="168"/>
    </row>
    <row r="3650" spans="26:34" ht="24" customHeight="1">
      <c r="Z3650"/>
      <c r="AA3650"/>
      <c r="AB3650"/>
      <c r="AC3650"/>
      <c r="AD3650"/>
      <c r="AE3650" s="168"/>
      <c r="AF3650" s="168">
        <v>0</v>
      </c>
      <c r="AG3650" s="168" t="str" cm="1">
        <f t="array" ref="AG3650">IF(AF3650="","",_xlfn.TEXTSPLIT(AF3650,"-"))</f>
        <v>0</v>
      </c>
      <c r="AH3650" s="168"/>
    </row>
    <row r="3651" spans="26:34" ht="24" customHeight="1">
      <c r="Z3651"/>
      <c r="AA3651"/>
      <c r="AB3651"/>
      <c r="AC3651"/>
      <c r="AD3651"/>
      <c r="AE3651" s="168"/>
      <c r="AF3651" s="168">
        <v>0</v>
      </c>
      <c r="AG3651" s="168" t="str" cm="1">
        <f t="array" ref="AG3651">IF(AF3651="","",_xlfn.TEXTSPLIT(AF3651,"-"))</f>
        <v>0</v>
      </c>
      <c r="AH3651" s="168"/>
    </row>
    <row r="3652" spans="26:34" ht="24" customHeight="1">
      <c r="Z3652"/>
      <c r="AA3652"/>
      <c r="AB3652"/>
      <c r="AC3652"/>
      <c r="AD3652"/>
      <c r="AE3652" s="168"/>
      <c r="AF3652" s="168">
        <v>0</v>
      </c>
      <c r="AG3652" s="168" t="str" cm="1">
        <f t="array" ref="AG3652">IF(AF3652="","",_xlfn.TEXTSPLIT(AF3652,"-"))</f>
        <v>0</v>
      </c>
      <c r="AH3652" s="168"/>
    </row>
    <row r="3653" spans="26:34" ht="24" customHeight="1">
      <c r="Z3653"/>
      <c r="AA3653"/>
      <c r="AB3653"/>
      <c r="AC3653"/>
      <c r="AD3653"/>
      <c r="AE3653" s="168"/>
      <c r="AF3653" s="168">
        <v>0</v>
      </c>
      <c r="AG3653" s="168" t="str" cm="1">
        <f t="array" ref="AG3653">IF(AF3653="","",_xlfn.TEXTSPLIT(AF3653,"-"))</f>
        <v>0</v>
      </c>
      <c r="AH3653" s="168"/>
    </row>
    <row r="3654" spans="26:34" ht="24" customHeight="1">
      <c r="Z3654"/>
      <c r="AA3654"/>
      <c r="AB3654"/>
      <c r="AC3654"/>
      <c r="AD3654"/>
      <c r="AE3654" s="168"/>
      <c r="AF3654" s="168">
        <v>0</v>
      </c>
      <c r="AG3654" s="168" t="str" cm="1">
        <f t="array" ref="AG3654">IF(AF3654="","",_xlfn.TEXTSPLIT(AF3654,"-"))</f>
        <v>0</v>
      </c>
      <c r="AH3654" s="168"/>
    </row>
    <row r="3655" spans="26:34" ht="24" customHeight="1">
      <c r="Z3655"/>
      <c r="AA3655"/>
      <c r="AB3655"/>
      <c r="AC3655"/>
      <c r="AD3655"/>
      <c r="AE3655" s="168"/>
      <c r="AF3655" s="168">
        <v>0</v>
      </c>
      <c r="AG3655" s="168" t="str" cm="1">
        <f t="array" ref="AG3655">IF(AF3655="","",_xlfn.TEXTSPLIT(AF3655,"-"))</f>
        <v>0</v>
      </c>
      <c r="AH3655" s="168"/>
    </row>
    <row r="3656" spans="26:34" ht="24" customHeight="1">
      <c r="Z3656"/>
      <c r="AA3656"/>
      <c r="AB3656"/>
      <c r="AC3656"/>
      <c r="AD3656"/>
      <c r="AE3656" s="168"/>
      <c r="AF3656" s="168">
        <v>0</v>
      </c>
      <c r="AG3656" s="168" t="str" cm="1">
        <f t="array" ref="AG3656">IF(AF3656="","",_xlfn.TEXTSPLIT(AF3656,"-"))</f>
        <v>0</v>
      </c>
      <c r="AH3656" s="168"/>
    </row>
    <row r="3657" spans="26:34" ht="24" customHeight="1">
      <c r="Z3657"/>
      <c r="AA3657"/>
      <c r="AB3657"/>
      <c r="AC3657"/>
      <c r="AD3657"/>
      <c r="AE3657" s="168"/>
      <c r="AF3657" s="168">
        <v>0</v>
      </c>
      <c r="AG3657" s="168" t="str" cm="1">
        <f t="array" ref="AG3657">IF(AF3657="","",_xlfn.TEXTSPLIT(AF3657,"-"))</f>
        <v>0</v>
      </c>
      <c r="AH3657" s="168"/>
    </row>
    <row r="3658" spans="26:34" ht="24" customHeight="1">
      <c r="Z3658"/>
      <c r="AA3658"/>
      <c r="AB3658"/>
      <c r="AC3658"/>
      <c r="AD3658"/>
      <c r="AE3658" s="168"/>
      <c r="AF3658" s="168">
        <v>0</v>
      </c>
      <c r="AG3658" s="168" t="str" cm="1">
        <f t="array" ref="AG3658">IF(AF3658="","",_xlfn.TEXTSPLIT(AF3658,"-"))</f>
        <v>0</v>
      </c>
      <c r="AH3658" s="168"/>
    </row>
    <row r="3659" spans="26:34" ht="24" customHeight="1">
      <c r="Z3659"/>
      <c r="AA3659"/>
      <c r="AB3659"/>
      <c r="AC3659"/>
      <c r="AD3659"/>
      <c r="AE3659" s="168"/>
      <c r="AF3659" s="168">
        <v>0</v>
      </c>
      <c r="AG3659" s="168" t="str" cm="1">
        <f t="array" ref="AG3659">IF(AF3659="","",_xlfn.TEXTSPLIT(AF3659,"-"))</f>
        <v>0</v>
      </c>
      <c r="AH3659" s="168"/>
    </row>
    <row r="3660" spans="26:34" ht="24" customHeight="1">
      <c r="Z3660"/>
      <c r="AA3660"/>
      <c r="AB3660"/>
      <c r="AC3660"/>
      <c r="AD3660"/>
      <c r="AE3660" s="168"/>
      <c r="AF3660" s="168">
        <v>0</v>
      </c>
      <c r="AG3660" s="168" t="str" cm="1">
        <f t="array" ref="AG3660">IF(AF3660="","",_xlfn.TEXTSPLIT(AF3660,"-"))</f>
        <v>0</v>
      </c>
      <c r="AH3660" s="168"/>
    </row>
    <row r="3661" spans="26:34" ht="24" customHeight="1">
      <c r="Z3661"/>
      <c r="AA3661"/>
      <c r="AB3661"/>
      <c r="AC3661"/>
      <c r="AD3661"/>
      <c r="AE3661" s="168"/>
      <c r="AF3661" s="168">
        <v>0</v>
      </c>
      <c r="AG3661" s="168" t="str" cm="1">
        <f t="array" ref="AG3661">IF(AF3661="","",_xlfn.TEXTSPLIT(AF3661,"-"))</f>
        <v>0</v>
      </c>
      <c r="AH3661" s="168"/>
    </row>
    <row r="3662" spans="26:34" ht="24" customHeight="1">
      <c r="Z3662"/>
      <c r="AA3662"/>
      <c r="AB3662"/>
      <c r="AC3662"/>
      <c r="AD3662"/>
      <c r="AE3662" s="168"/>
      <c r="AF3662" s="168">
        <v>0</v>
      </c>
      <c r="AG3662" s="168" t="str" cm="1">
        <f t="array" ref="AG3662">IF(AF3662="","",_xlfn.TEXTSPLIT(AF3662,"-"))</f>
        <v>0</v>
      </c>
      <c r="AH3662" s="168"/>
    </row>
    <row r="3663" spans="26:34" ht="24" customHeight="1">
      <c r="Z3663"/>
      <c r="AA3663"/>
      <c r="AB3663"/>
      <c r="AC3663"/>
      <c r="AD3663"/>
      <c r="AE3663" s="168"/>
      <c r="AF3663" s="168">
        <v>0</v>
      </c>
      <c r="AG3663" s="168" t="str" cm="1">
        <f t="array" ref="AG3663">IF(AF3663="","",_xlfn.TEXTSPLIT(AF3663,"-"))</f>
        <v>0</v>
      </c>
      <c r="AH3663" s="168"/>
    </row>
    <row r="3664" spans="26:34" ht="24" customHeight="1">
      <c r="Z3664"/>
      <c r="AA3664"/>
      <c r="AB3664"/>
      <c r="AC3664"/>
      <c r="AD3664"/>
      <c r="AE3664" s="168"/>
      <c r="AF3664" s="168">
        <v>0</v>
      </c>
      <c r="AG3664" s="168" t="str" cm="1">
        <f t="array" ref="AG3664">IF(AF3664="","",_xlfn.TEXTSPLIT(AF3664,"-"))</f>
        <v>0</v>
      </c>
      <c r="AH3664" s="168"/>
    </row>
    <row r="3665" spans="26:34" ht="24" customHeight="1">
      <c r="Z3665"/>
      <c r="AA3665"/>
      <c r="AB3665"/>
      <c r="AC3665"/>
      <c r="AD3665"/>
      <c r="AE3665" s="168"/>
      <c r="AF3665" s="168">
        <v>0</v>
      </c>
      <c r="AG3665" s="168" t="str" cm="1">
        <f t="array" ref="AG3665">IF(AF3665="","",_xlfn.TEXTSPLIT(AF3665,"-"))</f>
        <v>0</v>
      </c>
      <c r="AH3665" s="168"/>
    </row>
    <row r="3666" spans="26:34" ht="24" customHeight="1">
      <c r="Z3666"/>
      <c r="AA3666"/>
      <c r="AB3666"/>
      <c r="AC3666"/>
      <c r="AD3666"/>
      <c r="AE3666" s="168"/>
      <c r="AF3666" s="168">
        <v>0</v>
      </c>
      <c r="AG3666" s="168" t="str" cm="1">
        <f t="array" ref="AG3666">IF(AF3666="","",_xlfn.TEXTSPLIT(AF3666,"-"))</f>
        <v>0</v>
      </c>
      <c r="AH3666" s="168"/>
    </row>
    <row r="3667" spans="26:34" ht="24" customHeight="1">
      <c r="Z3667"/>
      <c r="AA3667"/>
      <c r="AB3667"/>
      <c r="AC3667"/>
      <c r="AD3667"/>
      <c r="AE3667" s="168"/>
      <c r="AF3667" s="168">
        <v>0</v>
      </c>
      <c r="AG3667" s="168" t="str" cm="1">
        <f t="array" ref="AG3667">IF(AF3667="","",_xlfn.TEXTSPLIT(AF3667,"-"))</f>
        <v>0</v>
      </c>
      <c r="AH3667" s="168"/>
    </row>
    <row r="3668" spans="26:34" ht="24" customHeight="1">
      <c r="Z3668"/>
      <c r="AA3668"/>
      <c r="AB3668"/>
      <c r="AC3668"/>
      <c r="AD3668"/>
      <c r="AE3668" s="168"/>
      <c r="AF3668" s="168">
        <v>0</v>
      </c>
      <c r="AG3668" s="168" t="str" cm="1">
        <f t="array" ref="AG3668">IF(AF3668="","",_xlfn.TEXTSPLIT(AF3668,"-"))</f>
        <v>0</v>
      </c>
      <c r="AH3668" s="168"/>
    </row>
    <row r="3669" spans="26:34" ht="24" customHeight="1">
      <c r="Z3669"/>
      <c r="AA3669"/>
      <c r="AB3669"/>
      <c r="AC3669"/>
      <c r="AD3669"/>
      <c r="AE3669" s="168"/>
      <c r="AF3669" s="168">
        <v>0</v>
      </c>
      <c r="AG3669" s="168" t="str" cm="1">
        <f t="array" ref="AG3669">IF(AF3669="","",_xlfn.TEXTSPLIT(AF3669,"-"))</f>
        <v>0</v>
      </c>
      <c r="AH3669" s="168"/>
    </row>
    <row r="3670" spans="26:34" ht="24" customHeight="1">
      <c r="Z3670"/>
      <c r="AA3670"/>
      <c r="AB3670"/>
      <c r="AC3670"/>
      <c r="AD3670"/>
      <c r="AE3670" s="168"/>
      <c r="AF3670" s="168">
        <v>0</v>
      </c>
      <c r="AG3670" s="168" t="str" cm="1">
        <f t="array" ref="AG3670">IF(AF3670="","",_xlfn.TEXTSPLIT(AF3670,"-"))</f>
        <v>0</v>
      </c>
      <c r="AH3670" s="168"/>
    </row>
    <row r="3671" spans="26:34" ht="24" customHeight="1">
      <c r="Z3671"/>
      <c r="AA3671"/>
      <c r="AB3671"/>
      <c r="AC3671"/>
      <c r="AD3671"/>
      <c r="AE3671" s="168"/>
      <c r="AF3671" s="168">
        <v>0</v>
      </c>
      <c r="AG3671" s="168" t="str" cm="1">
        <f t="array" ref="AG3671">IF(AF3671="","",_xlfn.TEXTSPLIT(AF3671,"-"))</f>
        <v>0</v>
      </c>
      <c r="AH3671" s="168"/>
    </row>
    <row r="3672" spans="26:34" ht="24" customHeight="1">
      <c r="Z3672"/>
      <c r="AA3672"/>
      <c r="AB3672"/>
      <c r="AC3672"/>
      <c r="AD3672"/>
      <c r="AE3672" s="168"/>
      <c r="AF3672" s="168">
        <v>0</v>
      </c>
      <c r="AG3672" s="168" t="str" cm="1">
        <f t="array" ref="AG3672">IF(AF3672="","",_xlfn.TEXTSPLIT(AF3672,"-"))</f>
        <v>0</v>
      </c>
      <c r="AH3672" s="168"/>
    </row>
    <row r="3673" spans="26:34" ht="24" customHeight="1">
      <c r="Z3673"/>
      <c r="AA3673"/>
      <c r="AB3673"/>
      <c r="AC3673"/>
      <c r="AD3673"/>
      <c r="AE3673" s="168"/>
      <c r="AF3673" s="168">
        <v>0</v>
      </c>
      <c r="AG3673" s="168" t="str" cm="1">
        <f t="array" ref="AG3673">IF(AF3673="","",_xlfn.TEXTSPLIT(AF3673,"-"))</f>
        <v>0</v>
      </c>
      <c r="AH3673" s="168"/>
    </row>
    <row r="3674" spans="26:34" ht="24" customHeight="1">
      <c r="Z3674"/>
      <c r="AA3674"/>
      <c r="AB3674"/>
      <c r="AC3674"/>
      <c r="AD3674"/>
      <c r="AE3674" s="168"/>
      <c r="AF3674" s="168">
        <v>0</v>
      </c>
      <c r="AG3674" s="168" t="str" cm="1">
        <f t="array" ref="AG3674">IF(AF3674="","",_xlfn.TEXTSPLIT(AF3674,"-"))</f>
        <v>0</v>
      </c>
      <c r="AH3674" s="168"/>
    </row>
    <row r="3675" spans="26:34" ht="24" customHeight="1">
      <c r="Z3675"/>
      <c r="AA3675"/>
      <c r="AB3675"/>
      <c r="AC3675"/>
      <c r="AD3675"/>
      <c r="AE3675" s="168"/>
      <c r="AF3675" s="168">
        <v>0</v>
      </c>
      <c r="AG3675" s="168" t="str" cm="1">
        <f t="array" ref="AG3675">IF(AF3675="","",_xlfn.TEXTSPLIT(AF3675,"-"))</f>
        <v>0</v>
      </c>
      <c r="AH3675" s="168"/>
    </row>
    <row r="3676" spans="26:34" ht="24" customHeight="1">
      <c r="Z3676"/>
      <c r="AA3676"/>
      <c r="AB3676"/>
      <c r="AC3676"/>
      <c r="AD3676"/>
      <c r="AE3676" s="168"/>
      <c r="AF3676" s="168">
        <v>0</v>
      </c>
      <c r="AG3676" s="168" t="str" cm="1">
        <f t="array" ref="AG3676">IF(AF3676="","",_xlfn.TEXTSPLIT(AF3676,"-"))</f>
        <v>0</v>
      </c>
      <c r="AH3676" s="168"/>
    </row>
    <row r="3677" spans="26:34" ht="24" customHeight="1">
      <c r="Z3677"/>
      <c r="AA3677"/>
      <c r="AB3677"/>
      <c r="AC3677"/>
      <c r="AD3677"/>
      <c r="AE3677" s="168"/>
      <c r="AF3677" s="168">
        <v>0</v>
      </c>
      <c r="AG3677" s="168" t="str" cm="1">
        <f t="array" ref="AG3677">IF(AF3677="","",_xlfn.TEXTSPLIT(AF3677,"-"))</f>
        <v>0</v>
      </c>
      <c r="AH3677" s="168"/>
    </row>
    <row r="3678" spans="26:34" ht="24" customHeight="1">
      <c r="Z3678"/>
      <c r="AA3678"/>
      <c r="AB3678"/>
      <c r="AC3678"/>
      <c r="AD3678"/>
      <c r="AE3678" s="168"/>
      <c r="AF3678" s="168">
        <v>0</v>
      </c>
      <c r="AG3678" s="168" t="str" cm="1">
        <f t="array" ref="AG3678">IF(AF3678="","",_xlfn.TEXTSPLIT(AF3678,"-"))</f>
        <v>0</v>
      </c>
      <c r="AH3678" s="168"/>
    </row>
    <row r="3679" spans="26:34" ht="24" customHeight="1">
      <c r="Z3679"/>
      <c r="AA3679"/>
      <c r="AB3679"/>
      <c r="AC3679"/>
      <c r="AD3679"/>
      <c r="AE3679" s="168"/>
      <c r="AF3679" s="168">
        <v>0</v>
      </c>
      <c r="AG3679" s="168" t="str" cm="1">
        <f t="array" ref="AG3679">IF(AF3679="","",_xlfn.TEXTSPLIT(AF3679,"-"))</f>
        <v>0</v>
      </c>
      <c r="AH3679" s="168"/>
    </row>
    <row r="3680" spans="26:34" ht="24" customHeight="1">
      <c r="Z3680"/>
      <c r="AA3680"/>
      <c r="AB3680"/>
      <c r="AC3680"/>
      <c r="AD3680"/>
      <c r="AE3680" s="168"/>
      <c r="AF3680" s="168">
        <v>0</v>
      </c>
      <c r="AG3680" s="168" t="str" cm="1">
        <f t="array" ref="AG3680">IF(AF3680="","",_xlfn.TEXTSPLIT(AF3680,"-"))</f>
        <v>0</v>
      </c>
      <c r="AH3680" s="168"/>
    </row>
    <row r="3681" spans="26:34" ht="24" customHeight="1">
      <c r="Z3681"/>
      <c r="AA3681"/>
      <c r="AB3681"/>
      <c r="AC3681"/>
      <c r="AD3681"/>
      <c r="AE3681" s="168"/>
      <c r="AF3681" s="168">
        <v>0</v>
      </c>
      <c r="AG3681" s="168" t="str" cm="1">
        <f t="array" ref="AG3681">IF(AF3681="","",_xlfn.TEXTSPLIT(AF3681,"-"))</f>
        <v>0</v>
      </c>
      <c r="AH3681" s="168"/>
    </row>
    <row r="3682" spans="26:34" ht="24" customHeight="1">
      <c r="Z3682"/>
      <c r="AA3682"/>
      <c r="AB3682"/>
      <c r="AC3682"/>
      <c r="AD3682"/>
      <c r="AE3682" s="168"/>
      <c r="AF3682" s="168">
        <v>0</v>
      </c>
      <c r="AG3682" s="168" t="str" cm="1">
        <f t="array" ref="AG3682">IF(AF3682="","",_xlfn.TEXTSPLIT(AF3682,"-"))</f>
        <v>0</v>
      </c>
      <c r="AH3682" s="168"/>
    </row>
    <row r="3683" spans="26:34" ht="24" customHeight="1">
      <c r="Z3683"/>
      <c r="AA3683"/>
      <c r="AB3683"/>
      <c r="AC3683"/>
      <c r="AD3683"/>
      <c r="AE3683" s="168"/>
      <c r="AF3683" s="168">
        <v>0</v>
      </c>
      <c r="AG3683" s="168" t="str" cm="1">
        <f t="array" ref="AG3683">IF(AF3683="","",_xlfn.TEXTSPLIT(AF3683,"-"))</f>
        <v>0</v>
      </c>
      <c r="AH3683" s="168"/>
    </row>
    <row r="3684" spans="26:34" ht="24" customHeight="1">
      <c r="Z3684"/>
      <c r="AA3684"/>
      <c r="AB3684"/>
      <c r="AC3684"/>
      <c r="AD3684"/>
      <c r="AE3684" s="168"/>
      <c r="AF3684" s="168">
        <v>0</v>
      </c>
      <c r="AG3684" s="168" t="str" cm="1">
        <f t="array" ref="AG3684">IF(AF3684="","",_xlfn.TEXTSPLIT(AF3684,"-"))</f>
        <v>0</v>
      </c>
      <c r="AH3684" s="168"/>
    </row>
    <row r="3685" spans="26:34" ht="24" customHeight="1">
      <c r="Z3685"/>
      <c r="AA3685"/>
      <c r="AB3685"/>
      <c r="AC3685"/>
      <c r="AD3685"/>
      <c r="AE3685" s="168"/>
      <c r="AF3685" s="168">
        <v>0</v>
      </c>
      <c r="AG3685" s="168" t="str" cm="1">
        <f t="array" ref="AG3685">IF(AF3685="","",_xlfn.TEXTSPLIT(AF3685,"-"))</f>
        <v>0</v>
      </c>
      <c r="AH3685" s="168"/>
    </row>
    <row r="3686" spans="26:34" ht="24" customHeight="1">
      <c r="Z3686"/>
      <c r="AA3686"/>
      <c r="AB3686"/>
      <c r="AC3686"/>
      <c r="AD3686"/>
      <c r="AE3686" s="168"/>
      <c r="AF3686" s="168">
        <v>0</v>
      </c>
      <c r="AG3686" s="168" t="str" cm="1">
        <f t="array" ref="AG3686">IF(AF3686="","",_xlfn.TEXTSPLIT(AF3686,"-"))</f>
        <v>0</v>
      </c>
      <c r="AH3686" s="168"/>
    </row>
    <row r="3687" spans="26:34" ht="24" customHeight="1">
      <c r="Z3687"/>
      <c r="AA3687"/>
      <c r="AB3687"/>
      <c r="AC3687"/>
      <c r="AD3687"/>
      <c r="AE3687" s="168"/>
      <c r="AF3687" s="168">
        <v>0</v>
      </c>
      <c r="AG3687" s="168" t="str" cm="1">
        <f t="array" ref="AG3687">IF(AF3687="","",_xlfn.TEXTSPLIT(AF3687,"-"))</f>
        <v>0</v>
      </c>
      <c r="AH3687" s="168"/>
    </row>
    <row r="3688" spans="26:34" ht="24" customHeight="1">
      <c r="Z3688"/>
      <c r="AA3688"/>
      <c r="AB3688"/>
      <c r="AC3688"/>
      <c r="AD3688"/>
      <c r="AE3688" s="168"/>
      <c r="AF3688" s="168">
        <v>0</v>
      </c>
      <c r="AG3688" s="168" t="str" cm="1">
        <f t="array" ref="AG3688">IF(AF3688="","",_xlfn.TEXTSPLIT(AF3688,"-"))</f>
        <v>0</v>
      </c>
      <c r="AH3688" s="168"/>
    </row>
    <row r="3689" spans="26:34" ht="24" customHeight="1">
      <c r="Z3689"/>
      <c r="AA3689"/>
      <c r="AB3689"/>
      <c r="AC3689"/>
      <c r="AD3689"/>
      <c r="AE3689" s="168"/>
      <c r="AF3689" s="168">
        <v>0</v>
      </c>
      <c r="AG3689" s="168" t="str" cm="1">
        <f t="array" ref="AG3689">IF(AF3689="","",_xlfn.TEXTSPLIT(AF3689,"-"))</f>
        <v>0</v>
      </c>
      <c r="AH3689" s="168"/>
    </row>
    <row r="3690" spans="26:34" ht="24" customHeight="1">
      <c r="Z3690"/>
      <c r="AA3690"/>
      <c r="AB3690"/>
      <c r="AC3690"/>
      <c r="AD3690"/>
      <c r="AE3690" s="168"/>
      <c r="AF3690" s="168">
        <v>0</v>
      </c>
      <c r="AG3690" s="168" t="str" cm="1">
        <f t="array" ref="AG3690">IF(AF3690="","",_xlfn.TEXTSPLIT(AF3690,"-"))</f>
        <v>0</v>
      </c>
      <c r="AH3690" s="168"/>
    </row>
    <row r="3691" spans="26:34" ht="24" customHeight="1">
      <c r="Z3691"/>
      <c r="AA3691"/>
      <c r="AB3691"/>
      <c r="AC3691"/>
      <c r="AD3691"/>
      <c r="AE3691" s="168"/>
      <c r="AF3691" s="168">
        <v>0</v>
      </c>
      <c r="AG3691" s="168" t="str" cm="1">
        <f t="array" ref="AG3691">IF(AF3691="","",_xlfn.TEXTSPLIT(AF3691,"-"))</f>
        <v>0</v>
      </c>
      <c r="AH3691" s="168"/>
    </row>
    <row r="3692" spans="26:34" ht="24" customHeight="1">
      <c r="Z3692"/>
      <c r="AA3692"/>
      <c r="AB3692"/>
      <c r="AC3692"/>
      <c r="AD3692"/>
      <c r="AE3692" s="168"/>
      <c r="AF3692" s="168">
        <v>0</v>
      </c>
      <c r="AG3692" s="168" t="str" cm="1">
        <f t="array" ref="AG3692">IF(AF3692="","",_xlfn.TEXTSPLIT(AF3692,"-"))</f>
        <v>0</v>
      </c>
      <c r="AH3692" s="168"/>
    </row>
    <row r="3693" spans="26:34" ht="24" customHeight="1">
      <c r="Z3693"/>
      <c r="AA3693"/>
      <c r="AB3693"/>
      <c r="AC3693"/>
      <c r="AD3693"/>
      <c r="AE3693" s="168"/>
      <c r="AF3693" s="168">
        <v>0</v>
      </c>
      <c r="AG3693" s="168" t="str" cm="1">
        <f t="array" ref="AG3693">IF(AF3693="","",_xlfn.TEXTSPLIT(AF3693,"-"))</f>
        <v>0</v>
      </c>
      <c r="AH3693" s="168"/>
    </row>
    <row r="3694" spans="26:34" ht="24" customHeight="1">
      <c r="Z3694"/>
      <c r="AA3694"/>
      <c r="AB3694"/>
      <c r="AC3694"/>
      <c r="AD3694"/>
      <c r="AE3694" s="168"/>
      <c r="AF3694" s="168">
        <v>0</v>
      </c>
      <c r="AG3694" s="168" t="str" cm="1">
        <f t="array" ref="AG3694">IF(AF3694="","",_xlfn.TEXTSPLIT(AF3694,"-"))</f>
        <v>0</v>
      </c>
      <c r="AH3694" s="168"/>
    </row>
    <row r="3695" spans="26:34" ht="24" customHeight="1">
      <c r="Z3695"/>
      <c r="AA3695"/>
      <c r="AB3695"/>
      <c r="AC3695"/>
      <c r="AD3695"/>
      <c r="AE3695" s="168"/>
      <c r="AF3695" s="168">
        <v>0</v>
      </c>
      <c r="AG3695" s="168" t="str" cm="1">
        <f t="array" ref="AG3695">IF(AF3695="","",_xlfn.TEXTSPLIT(AF3695,"-"))</f>
        <v>0</v>
      </c>
      <c r="AH3695" s="168"/>
    </row>
    <row r="3696" spans="26:34" ht="24" customHeight="1">
      <c r="Z3696"/>
      <c r="AA3696"/>
      <c r="AB3696"/>
      <c r="AC3696"/>
      <c r="AD3696"/>
      <c r="AE3696" s="168"/>
      <c r="AF3696" s="168">
        <v>0</v>
      </c>
      <c r="AG3696" s="168" t="str" cm="1">
        <f t="array" ref="AG3696">IF(AF3696="","",_xlfn.TEXTSPLIT(AF3696,"-"))</f>
        <v>0</v>
      </c>
      <c r="AH3696" s="168"/>
    </row>
    <row r="3697" spans="26:34" ht="24" customHeight="1">
      <c r="Z3697"/>
      <c r="AA3697"/>
      <c r="AB3697"/>
      <c r="AC3697"/>
      <c r="AD3697"/>
      <c r="AE3697" s="168"/>
      <c r="AF3697" s="168">
        <v>0</v>
      </c>
      <c r="AG3697" s="168" t="str" cm="1">
        <f t="array" ref="AG3697">IF(AF3697="","",_xlfn.TEXTSPLIT(AF3697,"-"))</f>
        <v>0</v>
      </c>
      <c r="AH3697" s="168"/>
    </row>
    <row r="3698" spans="26:34" ht="24" customHeight="1">
      <c r="Z3698"/>
      <c r="AA3698"/>
      <c r="AB3698"/>
      <c r="AC3698"/>
      <c r="AD3698"/>
      <c r="AE3698" s="168"/>
      <c r="AF3698" s="168">
        <v>0</v>
      </c>
      <c r="AG3698" s="168" t="str" cm="1">
        <f t="array" ref="AG3698">IF(AF3698="","",_xlfn.TEXTSPLIT(AF3698,"-"))</f>
        <v>0</v>
      </c>
      <c r="AH3698" s="168"/>
    </row>
    <row r="3699" spans="26:34" ht="24" customHeight="1">
      <c r="Z3699"/>
      <c r="AA3699"/>
      <c r="AB3699"/>
      <c r="AC3699"/>
      <c r="AD3699"/>
      <c r="AE3699" s="168"/>
      <c r="AF3699" s="168">
        <v>0</v>
      </c>
      <c r="AG3699" s="168" t="str" cm="1">
        <f t="array" ref="AG3699">IF(AF3699="","",_xlfn.TEXTSPLIT(AF3699,"-"))</f>
        <v>0</v>
      </c>
      <c r="AH3699" s="168"/>
    </row>
    <row r="3700" spans="26:34" ht="24" customHeight="1">
      <c r="Z3700"/>
      <c r="AA3700"/>
      <c r="AB3700"/>
      <c r="AC3700"/>
      <c r="AD3700"/>
      <c r="AE3700" s="168"/>
      <c r="AF3700" s="168">
        <v>0</v>
      </c>
      <c r="AG3700" s="168" t="str" cm="1">
        <f t="array" ref="AG3700">IF(AF3700="","",_xlfn.TEXTSPLIT(AF3700,"-"))</f>
        <v>0</v>
      </c>
      <c r="AH3700" s="168"/>
    </row>
    <row r="3701" spans="26:34" ht="24" customHeight="1">
      <c r="Z3701"/>
      <c r="AA3701"/>
      <c r="AB3701"/>
      <c r="AC3701"/>
      <c r="AD3701"/>
      <c r="AE3701" s="168"/>
      <c r="AF3701" s="168">
        <v>0</v>
      </c>
      <c r="AG3701" s="168" t="str" cm="1">
        <f t="array" ref="AG3701">IF(AF3701="","",_xlfn.TEXTSPLIT(AF3701,"-"))</f>
        <v>0</v>
      </c>
      <c r="AH3701" s="168"/>
    </row>
    <row r="3702" spans="26:34" ht="24" customHeight="1">
      <c r="Z3702"/>
      <c r="AA3702"/>
      <c r="AB3702"/>
      <c r="AC3702"/>
      <c r="AD3702"/>
      <c r="AE3702" s="168"/>
      <c r="AF3702" s="168">
        <v>0</v>
      </c>
      <c r="AG3702" s="168" t="str" cm="1">
        <f t="array" ref="AG3702">IF(AF3702="","",_xlfn.TEXTSPLIT(AF3702,"-"))</f>
        <v>0</v>
      </c>
      <c r="AH3702" s="168"/>
    </row>
    <row r="3703" spans="26:34" ht="24" customHeight="1">
      <c r="Z3703"/>
      <c r="AA3703"/>
      <c r="AB3703"/>
      <c r="AC3703"/>
      <c r="AD3703"/>
      <c r="AE3703" s="168"/>
      <c r="AF3703" s="168">
        <v>0</v>
      </c>
      <c r="AG3703" s="168" t="str" cm="1">
        <f t="array" ref="AG3703">IF(AF3703="","",_xlfn.TEXTSPLIT(AF3703,"-"))</f>
        <v>0</v>
      </c>
      <c r="AH3703" s="168"/>
    </row>
    <row r="3704" spans="26:34" ht="24" customHeight="1">
      <c r="Z3704"/>
      <c r="AA3704"/>
      <c r="AB3704"/>
      <c r="AC3704"/>
      <c r="AD3704"/>
      <c r="AE3704" s="168"/>
      <c r="AF3704" s="168">
        <v>0</v>
      </c>
      <c r="AG3704" s="168" t="str" cm="1">
        <f t="array" ref="AG3704">IF(AF3704="","",_xlfn.TEXTSPLIT(AF3704,"-"))</f>
        <v>0</v>
      </c>
      <c r="AH3704" s="168"/>
    </row>
    <row r="3705" spans="26:34" ht="24" customHeight="1">
      <c r="Z3705"/>
      <c r="AA3705"/>
      <c r="AB3705"/>
      <c r="AC3705"/>
      <c r="AD3705"/>
      <c r="AE3705" s="168"/>
      <c r="AF3705" s="168">
        <v>0</v>
      </c>
      <c r="AG3705" s="168" t="str" cm="1">
        <f t="array" ref="AG3705">IF(AF3705="","",_xlfn.TEXTSPLIT(AF3705,"-"))</f>
        <v>0</v>
      </c>
      <c r="AH3705" s="168"/>
    </row>
    <row r="3706" spans="26:34" ht="24" customHeight="1">
      <c r="Z3706"/>
      <c r="AA3706"/>
      <c r="AB3706"/>
      <c r="AC3706"/>
      <c r="AD3706"/>
      <c r="AE3706" s="168"/>
      <c r="AF3706" s="168">
        <v>0</v>
      </c>
      <c r="AG3706" s="168" t="str" cm="1">
        <f t="array" ref="AG3706">IF(AF3706="","",_xlfn.TEXTSPLIT(AF3706,"-"))</f>
        <v>0</v>
      </c>
      <c r="AH3706" s="168"/>
    </row>
    <row r="3707" spans="26:34" ht="24" customHeight="1">
      <c r="Z3707"/>
      <c r="AA3707"/>
      <c r="AB3707"/>
      <c r="AC3707"/>
      <c r="AD3707"/>
      <c r="AE3707" s="168"/>
      <c r="AF3707" s="168">
        <v>0</v>
      </c>
      <c r="AG3707" s="168" t="str" cm="1">
        <f t="array" ref="AG3707">IF(AF3707="","",_xlfn.TEXTSPLIT(AF3707,"-"))</f>
        <v>0</v>
      </c>
      <c r="AH3707" s="168"/>
    </row>
    <row r="3708" spans="26:34" ht="24" customHeight="1">
      <c r="Z3708"/>
      <c r="AA3708"/>
      <c r="AB3708"/>
      <c r="AC3708"/>
      <c r="AD3708"/>
      <c r="AE3708" s="168"/>
      <c r="AF3708" s="168">
        <v>0</v>
      </c>
      <c r="AG3708" s="168" t="str" cm="1">
        <f t="array" ref="AG3708">IF(AF3708="","",_xlfn.TEXTSPLIT(AF3708,"-"))</f>
        <v>0</v>
      </c>
      <c r="AH3708" s="168"/>
    </row>
    <row r="3709" spans="26:34" ht="24" customHeight="1">
      <c r="Z3709"/>
      <c r="AA3709"/>
      <c r="AB3709"/>
      <c r="AC3709"/>
      <c r="AD3709"/>
      <c r="AE3709" s="168"/>
      <c r="AF3709" s="168">
        <v>0</v>
      </c>
      <c r="AG3709" s="168" t="str" cm="1">
        <f t="array" ref="AG3709">IF(AF3709="","",_xlfn.TEXTSPLIT(AF3709,"-"))</f>
        <v>0</v>
      </c>
      <c r="AH3709" s="168"/>
    </row>
    <row r="3710" spans="26:34" ht="24" customHeight="1">
      <c r="Z3710"/>
      <c r="AA3710"/>
      <c r="AB3710"/>
      <c r="AC3710"/>
      <c r="AD3710"/>
      <c r="AE3710" s="168"/>
      <c r="AF3710" s="168">
        <v>0</v>
      </c>
      <c r="AG3710" s="168" t="str" cm="1">
        <f t="array" ref="AG3710">IF(AF3710="","",_xlfn.TEXTSPLIT(AF3710,"-"))</f>
        <v>0</v>
      </c>
      <c r="AH3710" s="168"/>
    </row>
    <row r="3711" spans="26:34" ht="24" customHeight="1">
      <c r="Z3711"/>
      <c r="AA3711"/>
      <c r="AB3711"/>
      <c r="AC3711"/>
      <c r="AD3711"/>
      <c r="AE3711" s="168"/>
      <c r="AF3711" s="168">
        <v>0</v>
      </c>
      <c r="AG3711" s="168" t="str" cm="1">
        <f t="array" ref="AG3711">IF(AF3711="","",_xlfn.TEXTSPLIT(AF3711,"-"))</f>
        <v>0</v>
      </c>
      <c r="AH3711" s="168"/>
    </row>
    <row r="3712" spans="26:34" ht="24" customHeight="1">
      <c r="Z3712"/>
      <c r="AA3712"/>
      <c r="AB3712"/>
      <c r="AC3712"/>
      <c r="AD3712"/>
      <c r="AE3712" s="168"/>
      <c r="AF3712" s="168">
        <v>0</v>
      </c>
      <c r="AG3712" s="168" t="str" cm="1">
        <f t="array" ref="AG3712">IF(AF3712="","",_xlfn.TEXTSPLIT(AF3712,"-"))</f>
        <v>0</v>
      </c>
      <c r="AH3712" s="168"/>
    </row>
    <row r="3713" spans="26:34" ht="24" customHeight="1">
      <c r="Z3713"/>
      <c r="AA3713"/>
      <c r="AB3713"/>
      <c r="AC3713"/>
      <c r="AD3713"/>
      <c r="AE3713" s="168"/>
      <c r="AF3713" s="168">
        <v>0</v>
      </c>
      <c r="AG3713" s="168" t="str" cm="1">
        <f t="array" ref="AG3713">IF(AF3713="","",_xlfn.TEXTSPLIT(AF3713,"-"))</f>
        <v>0</v>
      </c>
      <c r="AH3713" s="168"/>
    </row>
    <row r="3714" spans="26:34" ht="24" customHeight="1">
      <c r="Z3714"/>
      <c r="AA3714"/>
      <c r="AB3714"/>
      <c r="AC3714"/>
      <c r="AD3714"/>
      <c r="AE3714" s="168"/>
      <c r="AF3714" s="168">
        <v>0</v>
      </c>
      <c r="AG3714" s="168" t="str" cm="1">
        <f t="array" ref="AG3714">IF(AF3714="","",_xlfn.TEXTSPLIT(AF3714,"-"))</f>
        <v>0</v>
      </c>
      <c r="AH3714" s="168"/>
    </row>
    <row r="3715" spans="26:34" ht="24" customHeight="1">
      <c r="Z3715"/>
      <c r="AA3715"/>
      <c r="AB3715"/>
      <c r="AC3715"/>
      <c r="AD3715"/>
      <c r="AE3715" s="168"/>
      <c r="AF3715" s="168">
        <v>0</v>
      </c>
      <c r="AG3715" s="168" t="str" cm="1">
        <f t="array" ref="AG3715">IF(AF3715="","",_xlfn.TEXTSPLIT(AF3715,"-"))</f>
        <v>0</v>
      </c>
      <c r="AH3715" s="168"/>
    </row>
    <row r="3716" spans="26:34" ht="24" customHeight="1">
      <c r="Z3716"/>
      <c r="AA3716"/>
      <c r="AB3716"/>
      <c r="AC3716"/>
      <c r="AD3716"/>
      <c r="AE3716" s="168"/>
      <c r="AF3716" s="168">
        <v>0</v>
      </c>
      <c r="AG3716" s="168" t="str" cm="1">
        <f t="array" ref="AG3716">IF(AF3716="","",_xlfn.TEXTSPLIT(AF3716,"-"))</f>
        <v>0</v>
      </c>
      <c r="AH3716" s="168"/>
    </row>
    <row r="3717" spans="26:34" ht="24" customHeight="1">
      <c r="Z3717"/>
      <c r="AA3717"/>
      <c r="AB3717"/>
      <c r="AC3717"/>
      <c r="AD3717"/>
      <c r="AE3717" s="168"/>
      <c r="AF3717" s="168">
        <v>0</v>
      </c>
      <c r="AG3717" s="168" t="str" cm="1">
        <f t="array" ref="AG3717">IF(AF3717="","",_xlfn.TEXTSPLIT(AF3717,"-"))</f>
        <v>0</v>
      </c>
      <c r="AH3717" s="168"/>
    </row>
    <row r="3718" spans="26:34" ht="24" customHeight="1">
      <c r="Z3718"/>
      <c r="AA3718"/>
      <c r="AB3718"/>
      <c r="AC3718"/>
      <c r="AD3718"/>
      <c r="AE3718" s="168"/>
      <c r="AF3718" s="168">
        <v>0</v>
      </c>
      <c r="AG3718" s="168" t="str" cm="1">
        <f t="array" ref="AG3718">IF(AF3718="","",_xlfn.TEXTSPLIT(AF3718,"-"))</f>
        <v>0</v>
      </c>
      <c r="AH3718" s="168"/>
    </row>
    <row r="3719" spans="26:34" ht="24" customHeight="1">
      <c r="Z3719"/>
      <c r="AA3719"/>
      <c r="AB3719"/>
      <c r="AC3719"/>
      <c r="AD3719"/>
      <c r="AE3719" s="168"/>
      <c r="AF3719" s="168">
        <v>0</v>
      </c>
      <c r="AG3719" s="168" t="str" cm="1">
        <f t="array" ref="AG3719">IF(AF3719="","",_xlfn.TEXTSPLIT(AF3719,"-"))</f>
        <v>0</v>
      </c>
      <c r="AH3719" s="168"/>
    </row>
    <row r="3720" spans="26:34" ht="24" customHeight="1">
      <c r="Z3720"/>
      <c r="AA3720"/>
      <c r="AB3720"/>
      <c r="AC3720"/>
      <c r="AD3720"/>
      <c r="AE3720" s="168"/>
      <c r="AF3720" s="168">
        <v>0</v>
      </c>
      <c r="AG3720" s="168" t="str" cm="1">
        <f t="array" ref="AG3720">IF(AF3720="","",_xlfn.TEXTSPLIT(AF3720,"-"))</f>
        <v>0</v>
      </c>
      <c r="AH3720" s="168"/>
    </row>
    <row r="3721" spans="26:34" ht="24" customHeight="1">
      <c r="Z3721"/>
      <c r="AA3721"/>
      <c r="AB3721"/>
      <c r="AC3721"/>
      <c r="AD3721"/>
      <c r="AE3721" s="168"/>
      <c r="AF3721" s="168">
        <v>0</v>
      </c>
      <c r="AG3721" s="168" t="str" cm="1">
        <f t="array" ref="AG3721">IF(AF3721="","",_xlfn.TEXTSPLIT(AF3721,"-"))</f>
        <v>0</v>
      </c>
      <c r="AH3721" s="168"/>
    </row>
    <row r="3722" spans="26:34" ht="24" customHeight="1">
      <c r="Z3722"/>
      <c r="AA3722"/>
      <c r="AB3722"/>
      <c r="AC3722"/>
      <c r="AD3722"/>
      <c r="AE3722" s="168"/>
      <c r="AF3722" s="168">
        <v>0</v>
      </c>
      <c r="AG3722" s="168" t="str" cm="1">
        <f t="array" ref="AG3722">IF(AF3722="","",_xlfn.TEXTSPLIT(AF3722,"-"))</f>
        <v>0</v>
      </c>
      <c r="AH3722" s="168"/>
    </row>
    <row r="3723" spans="26:34" ht="24" customHeight="1">
      <c r="Z3723"/>
      <c r="AA3723"/>
      <c r="AB3723"/>
      <c r="AC3723"/>
      <c r="AD3723"/>
      <c r="AE3723" s="168"/>
      <c r="AF3723" s="168">
        <v>0</v>
      </c>
      <c r="AG3723" s="168" t="str" cm="1">
        <f t="array" ref="AG3723">IF(AF3723="","",_xlfn.TEXTSPLIT(AF3723,"-"))</f>
        <v>0</v>
      </c>
      <c r="AH3723" s="168"/>
    </row>
    <row r="3724" spans="26:34" ht="24" customHeight="1">
      <c r="Z3724"/>
      <c r="AA3724"/>
      <c r="AB3724"/>
      <c r="AC3724"/>
      <c r="AD3724"/>
      <c r="AE3724" s="168"/>
      <c r="AF3724" s="168">
        <v>0</v>
      </c>
      <c r="AG3724" s="168" t="str" cm="1">
        <f t="array" ref="AG3724">IF(AF3724="","",_xlfn.TEXTSPLIT(AF3724,"-"))</f>
        <v>0</v>
      </c>
      <c r="AH3724" s="168"/>
    </row>
    <row r="3725" spans="26:34" ht="24" customHeight="1">
      <c r="Z3725"/>
      <c r="AA3725"/>
      <c r="AB3725"/>
      <c r="AC3725"/>
      <c r="AD3725"/>
      <c r="AE3725" s="168"/>
      <c r="AF3725" s="168">
        <v>0</v>
      </c>
      <c r="AG3725" s="168" t="str" cm="1">
        <f t="array" ref="AG3725">IF(AF3725="","",_xlfn.TEXTSPLIT(AF3725,"-"))</f>
        <v>0</v>
      </c>
      <c r="AH3725" s="168"/>
    </row>
    <row r="3726" spans="26:34" ht="24" customHeight="1">
      <c r="Z3726"/>
      <c r="AA3726"/>
      <c r="AB3726"/>
      <c r="AC3726"/>
      <c r="AD3726"/>
      <c r="AE3726" s="168"/>
      <c r="AF3726" s="168">
        <v>0</v>
      </c>
      <c r="AG3726" s="168" t="str" cm="1">
        <f t="array" ref="AG3726">IF(AF3726="","",_xlfn.TEXTSPLIT(AF3726,"-"))</f>
        <v>0</v>
      </c>
      <c r="AH3726" s="168"/>
    </row>
    <row r="3727" spans="26:34" ht="24" customHeight="1">
      <c r="Z3727"/>
      <c r="AA3727"/>
      <c r="AB3727"/>
      <c r="AC3727"/>
      <c r="AD3727"/>
      <c r="AE3727" s="168"/>
      <c r="AF3727" s="168">
        <v>0</v>
      </c>
      <c r="AG3727" s="168" t="str" cm="1">
        <f t="array" ref="AG3727">IF(AF3727="","",_xlfn.TEXTSPLIT(AF3727,"-"))</f>
        <v>0</v>
      </c>
      <c r="AH3727" s="168"/>
    </row>
    <row r="3728" spans="26:34" ht="24" customHeight="1">
      <c r="Z3728"/>
      <c r="AA3728"/>
      <c r="AB3728"/>
      <c r="AC3728"/>
      <c r="AD3728"/>
      <c r="AE3728" s="168"/>
      <c r="AF3728" s="168">
        <v>0</v>
      </c>
      <c r="AG3728" s="168" t="str" cm="1">
        <f t="array" ref="AG3728">IF(AF3728="","",_xlfn.TEXTSPLIT(AF3728,"-"))</f>
        <v>0</v>
      </c>
      <c r="AH3728" s="168"/>
    </row>
    <row r="3729" spans="26:34" ht="24" customHeight="1">
      <c r="Z3729"/>
      <c r="AA3729"/>
      <c r="AB3729"/>
      <c r="AC3729"/>
      <c r="AD3729"/>
      <c r="AE3729" s="168"/>
      <c r="AF3729" s="168">
        <v>0</v>
      </c>
      <c r="AG3729" s="168" t="str" cm="1">
        <f t="array" ref="AG3729">IF(AF3729="","",_xlfn.TEXTSPLIT(AF3729,"-"))</f>
        <v>0</v>
      </c>
      <c r="AH3729" s="168"/>
    </row>
    <row r="3730" spans="26:34" ht="24" customHeight="1">
      <c r="Z3730"/>
      <c r="AA3730"/>
      <c r="AB3730"/>
      <c r="AC3730"/>
      <c r="AD3730"/>
      <c r="AE3730" s="168"/>
      <c r="AF3730" s="168">
        <v>0</v>
      </c>
      <c r="AG3730" s="168" t="str" cm="1">
        <f t="array" ref="AG3730">IF(AF3730="","",_xlfn.TEXTSPLIT(AF3730,"-"))</f>
        <v>0</v>
      </c>
      <c r="AH3730" s="168"/>
    </row>
    <row r="3731" spans="26:34" ht="24" customHeight="1">
      <c r="Z3731"/>
      <c r="AA3731"/>
      <c r="AB3731"/>
      <c r="AC3731"/>
      <c r="AD3731"/>
      <c r="AE3731" s="168"/>
      <c r="AF3731" s="168">
        <v>0</v>
      </c>
      <c r="AG3731" s="168" t="str" cm="1">
        <f t="array" ref="AG3731">IF(AF3731="","",_xlfn.TEXTSPLIT(AF3731,"-"))</f>
        <v>0</v>
      </c>
      <c r="AH3731" s="168"/>
    </row>
    <row r="3732" spans="26:34" ht="24" customHeight="1">
      <c r="Z3732"/>
      <c r="AA3732"/>
      <c r="AB3732"/>
      <c r="AC3732"/>
      <c r="AD3732"/>
      <c r="AE3732" s="168"/>
      <c r="AF3732" s="168">
        <v>0</v>
      </c>
      <c r="AG3732" s="168" t="str" cm="1">
        <f t="array" ref="AG3732">IF(AF3732="","",_xlfn.TEXTSPLIT(AF3732,"-"))</f>
        <v>0</v>
      </c>
      <c r="AH3732" s="168"/>
    </row>
    <row r="3733" spans="26:34" ht="24" customHeight="1">
      <c r="Z3733"/>
      <c r="AA3733"/>
      <c r="AB3733"/>
      <c r="AC3733"/>
      <c r="AD3733"/>
      <c r="AE3733" s="168"/>
      <c r="AF3733" s="168">
        <v>0</v>
      </c>
      <c r="AG3733" s="168" t="str" cm="1">
        <f t="array" ref="AG3733">IF(AF3733="","",_xlfn.TEXTSPLIT(AF3733,"-"))</f>
        <v>0</v>
      </c>
      <c r="AH3733" s="168"/>
    </row>
    <row r="3734" spans="26:34" ht="24" customHeight="1">
      <c r="Z3734"/>
      <c r="AA3734"/>
      <c r="AB3734"/>
      <c r="AC3734"/>
      <c r="AD3734"/>
      <c r="AE3734" s="168"/>
      <c r="AF3734" s="168">
        <v>0</v>
      </c>
      <c r="AG3734" s="168" t="str" cm="1">
        <f t="array" ref="AG3734">IF(AF3734="","",_xlfn.TEXTSPLIT(AF3734,"-"))</f>
        <v>0</v>
      </c>
      <c r="AH3734" s="168"/>
    </row>
    <row r="3735" spans="26:34" ht="24" customHeight="1">
      <c r="Z3735"/>
      <c r="AA3735"/>
      <c r="AB3735"/>
      <c r="AC3735"/>
      <c r="AD3735"/>
      <c r="AE3735" s="168"/>
      <c r="AF3735" s="168">
        <v>0</v>
      </c>
      <c r="AG3735" s="168" t="str" cm="1">
        <f t="array" ref="AG3735">IF(AF3735="","",_xlfn.TEXTSPLIT(AF3735,"-"))</f>
        <v>0</v>
      </c>
      <c r="AH3735" s="168"/>
    </row>
    <row r="3736" spans="26:34" ht="24" customHeight="1">
      <c r="Z3736"/>
      <c r="AA3736"/>
      <c r="AB3736"/>
      <c r="AC3736"/>
      <c r="AD3736"/>
      <c r="AE3736" s="168"/>
      <c r="AF3736" s="168">
        <v>0</v>
      </c>
      <c r="AG3736" s="168" t="str" cm="1">
        <f t="array" ref="AG3736">IF(AF3736="","",_xlfn.TEXTSPLIT(AF3736,"-"))</f>
        <v>0</v>
      </c>
      <c r="AH3736" s="168"/>
    </row>
    <row r="3737" spans="26:34" ht="24" customHeight="1">
      <c r="Z3737"/>
      <c r="AA3737"/>
      <c r="AB3737"/>
      <c r="AC3737"/>
      <c r="AD3737"/>
      <c r="AE3737" s="168"/>
      <c r="AF3737" s="168">
        <v>0</v>
      </c>
      <c r="AG3737" s="168" t="str" cm="1">
        <f t="array" ref="AG3737">IF(AF3737="","",_xlfn.TEXTSPLIT(AF3737,"-"))</f>
        <v>0</v>
      </c>
      <c r="AH3737" s="168"/>
    </row>
    <row r="3738" spans="26:34" ht="24" customHeight="1">
      <c r="Z3738"/>
      <c r="AA3738"/>
      <c r="AB3738"/>
      <c r="AC3738"/>
      <c r="AD3738"/>
      <c r="AE3738" s="168"/>
      <c r="AF3738" s="168">
        <v>0</v>
      </c>
      <c r="AG3738" s="168" t="str" cm="1">
        <f t="array" ref="AG3738">IF(AF3738="","",_xlfn.TEXTSPLIT(AF3738,"-"))</f>
        <v>0</v>
      </c>
      <c r="AH3738" s="168"/>
    </row>
    <row r="3739" spans="26:34" ht="24" customHeight="1">
      <c r="Z3739"/>
      <c r="AA3739"/>
      <c r="AB3739"/>
      <c r="AC3739"/>
      <c r="AD3739"/>
      <c r="AE3739" s="168"/>
      <c r="AF3739" s="168">
        <v>0</v>
      </c>
      <c r="AG3739" s="168" t="str" cm="1">
        <f t="array" ref="AG3739">IF(AF3739="","",_xlfn.TEXTSPLIT(AF3739,"-"))</f>
        <v>0</v>
      </c>
      <c r="AH3739" s="168"/>
    </row>
    <row r="3740" spans="26:34" ht="24" customHeight="1">
      <c r="Z3740"/>
      <c r="AA3740"/>
      <c r="AB3740"/>
      <c r="AC3740"/>
      <c r="AD3740"/>
      <c r="AE3740" s="168"/>
      <c r="AF3740" s="168">
        <v>0</v>
      </c>
      <c r="AG3740" s="168" t="str" cm="1">
        <f t="array" ref="AG3740">IF(AF3740="","",_xlfn.TEXTSPLIT(AF3740,"-"))</f>
        <v>0</v>
      </c>
      <c r="AH3740" s="168"/>
    </row>
    <row r="3741" spans="26:34" ht="24" customHeight="1">
      <c r="Z3741"/>
      <c r="AA3741"/>
      <c r="AB3741"/>
      <c r="AC3741"/>
      <c r="AD3741"/>
      <c r="AE3741" s="168"/>
      <c r="AF3741" s="168">
        <v>0</v>
      </c>
      <c r="AG3741" s="168" t="str" cm="1">
        <f t="array" ref="AG3741">IF(AF3741="","",_xlfn.TEXTSPLIT(AF3741,"-"))</f>
        <v>0</v>
      </c>
      <c r="AH3741" s="168"/>
    </row>
    <row r="3742" spans="26:34" ht="24" customHeight="1">
      <c r="Z3742"/>
      <c r="AA3742"/>
      <c r="AB3742"/>
      <c r="AC3742"/>
      <c r="AD3742"/>
      <c r="AE3742" s="168"/>
      <c r="AF3742" s="168">
        <v>0</v>
      </c>
      <c r="AG3742" s="168" t="str" cm="1">
        <f t="array" ref="AG3742">IF(AF3742="","",_xlfn.TEXTSPLIT(AF3742,"-"))</f>
        <v>0</v>
      </c>
      <c r="AH3742" s="168"/>
    </row>
    <row r="3743" spans="26:34" ht="24" customHeight="1">
      <c r="Z3743"/>
      <c r="AA3743"/>
      <c r="AB3743"/>
      <c r="AC3743"/>
      <c r="AD3743"/>
      <c r="AE3743" s="168"/>
      <c r="AF3743" s="168">
        <v>0</v>
      </c>
      <c r="AG3743" s="168" t="str" cm="1">
        <f t="array" ref="AG3743">IF(AF3743="","",_xlfn.TEXTSPLIT(AF3743,"-"))</f>
        <v>0</v>
      </c>
      <c r="AH3743" s="168"/>
    </row>
    <row r="3744" spans="26:34" ht="24" customHeight="1">
      <c r="Z3744"/>
      <c r="AA3744"/>
      <c r="AB3744"/>
      <c r="AC3744"/>
      <c r="AD3744"/>
      <c r="AE3744" s="168"/>
      <c r="AF3744" s="168">
        <v>0</v>
      </c>
      <c r="AG3744" s="168" t="str" cm="1">
        <f t="array" ref="AG3744">IF(AF3744="","",_xlfn.TEXTSPLIT(AF3744,"-"))</f>
        <v>0</v>
      </c>
      <c r="AH3744" s="168"/>
    </row>
    <row r="3745" spans="26:34" ht="24" customHeight="1">
      <c r="Z3745"/>
      <c r="AA3745"/>
      <c r="AB3745"/>
      <c r="AC3745"/>
      <c r="AD3745"/>
      <c r="AE3745" s="168"/>
      <c r="AF3745" s="168">
        <v>0</v>
      </c>
      <c r="AG3745" s="168" t="str" cm="1">
        <f t="array" ref="AG3745">IF(AF3745="","",_xlfn.TEXTSPLIT(AF3745,"-"))</f>
        <v>0</v>
      </c>
      <c r="AH3745" s="168"/>
    </row>
    <row r="3746" spans="26:34" ht="24" customHeight="1">
      <c r="Z3746"/>
      <c r="AA3746"/>
      <c r="AB3746"/>
      <c r="AC3746"/>
      <c r="AD3746"/>
      <c r="AE3746" s="168"/>
      <c r="AF3746" s="168">
        <v>0</v>
      </c>
      <c r="AG3746" s="168" t="str" cm="1">
        <f t="array" ref="AG3746">IF(AF3746="","",_xlfn.TEXTSPLIT(AF3746,"-"))</f>
        <v>0</v>
      </c>
      <c r="AH3746" s="168"/>
    </row>
    <row r="3747" spans="26:34" ht="24" customHeight="1">
      <c r="Z3747"/>
      <c r="AA3747"/>
      <c r="AB3747"/>
      <c r="AC3747"/>
      <c r="AD3747"/>
      <c r="AE3747" s="168"/>
      <c r="AF3747" s="168">
        <v>0</v>
      </c>
      <c r="AG3747" s="168" t="str" cm="1">
        <f t="array" ref="AG3747">IF(AF3747="","",_xlfn.TEXTSPLIT(AF3747,"-"))</f>
        <v>0</v>
      </c>
      <c r="AH3747" s="168"/>
    </row>
    <row r="3748" spans="26:34" ht="24" customHeight="1">
      <c r="Z3748"/>
      <c r="AA3748"/>
      <c r="AB3748"/>
      <c r="AC3748"/>
      <c r="AD3748"/>
      <c r="AE3748" s="168"/>
      <c r="AF3748" s="168">
        <v>0</v>
      </c>
      <c r="AG3748" s="168" t="str" cm="1">
        <f t="array" ref="AG3748">IF(AF3748="","",_xlfn.TEXTSPLIT(AF3748,"-"))</f>
        <v>0</v>
      </c>
      <c r="AH3748" s="168"/>
    </row>
    <row r="3749" spans="26:34" ht="24" customHeight="1">
      <c r="Z3749"/>
      <c r="AA3749"/>
      <c r="AB3749"/>
      <c r="AC3749"/>
      <c r="AD3749"/>
      <c r="AE3749" s="168"/>
      <c r="AF3749" s="168">
        <v>0</v>
      </c>
      <c r="AG3749" s="168" t="str" cm="1">
        <f t="array" ref="AG3749">IF(AF3749="","",_xlfn.TEXTSPLIT(AF3749,"-"))</f>
        <v>0</v>
      </c>
      <c r="AH3749" s="168"/>
    </row>
    <row r="3750" spans="26:34" ht="24" customHeight="1">
      <c r="Z3750"/>
      <c r="AA3750"/>
      <c r="AB3750"/>
      <c r="AC3750"/>
      <c r="AD3750"/>
      <c r="AE3750" s="168"/>
      <c r="AF3750" s="168">
        <v>0</v>
      </c>
      <c r="AG3750" s="168" t="str" cm="1">
        <f t="array" ref="AG3750">IF(AF3750="","",_xlfn.TEXTSPLIT(AF3750,"-"))</f>
        <v>0</v>
      </c>
      <c r="AH3750" s="168"/>
    </row>
    <row r="3751" spans="26:34" ht="24" customHeight="1">
      <c r="Z3751"/>
      <c r="AA3751"/>
      <c r="AB3751"/>
      <c r="AC3751"/>
      <c r="AD3751"/>
      <c r="AE3751" s="168"/>
      <c r="AF3751" s="168">
        <v>0</v>
      </c>
      <c r="AG3751" s="168" t="str" cm="1">
        <f t="array" ref="AG3751">IF(AF3751="","",_xlfn.TEXTSPLIT(AF3751,"-"))</f>
        <v>0</v>
      </c>
      <c r="AH3751" s="168"/>
    </row>
    <row r="3752" spans="26:34" ht="24" customHeight="1">
      <c r="Z3752"/>
      <c r="AA3752"/>
      <c r="AB3752"/>
      <c r="AC3752"/>
      <c r="AD3752"/>
      <c r="AE3752" s="168"/>
      <c r="AF3752" s="168">
        <v>0</v>
      </c>
      <c r="AG3752" s="168" t="str" cm="1">
        <f t="array" ref="AG3752">IF(AF3752="","",_xlfn.TEXTSPLIT(AF3752,"-"))</f>
        <v>0</v>
      </c>
      <c r="AH3752" s="168"/>
    </row>
    <row r="3753" spans="26:34" ht="24" customHeight="1">
      <c r="Z3753"/>
      <c r="AA3753"/>
      <c r="AB3753"/>
      <c r="AC3753"/>
      <c r="AD3753"/>
      <c r="AE3753" s="168"/>
      <c r="AF3753" s="168">
        <v>0</v>
      </c>
      <c r="AG3753" s="168" t="str" cm="1">
        <f t="array" ref="AG3753">IF(AF3753="","",_xlfn.TEXTSPLIT(AF3753,"-"))</f>
        <v>0</v>
      </c>
      <c r="AH3753" s="168"/>
    </row>
    <row r="3754" spans="26:34" ht="24" customHeight="1">
      <c r="Z3754"/>
      <c r="AA3754"/>
      <c r="AB3754"/>
      <c r="AC3754"/>
      <c r="AD3754"/>
      <c r="AE3754" s="168"/>
      <c r="AF3754" s="168">
        <v>0</v>
      </c>
      <c r="AG3754" s="168" t="str" cm="1">
        <f t="array" ref="AG3754">IF(AF3754="","",_xlfn.TEXTSPLIT(AF3754,"-"))</f>
        <v>0</v>
      </c>
      <c r="AH3754" s="168"/>
    </row>
    <row r="3755" spans="26:34" ht="24" customHeight="1">
      <c r="Z3755"/>
      <c r="AA3755"/>
      <c r="AB3755"/>
      <c r="AC3755"/>
      <c r="AD3755"/>
      <c r="AE3755" s="168"/>
      <c r="AF3755" s="168">
        <v>0</v>
      </c>
      <c r="AG3755" s="168" t="str" cm="1">
        <f t="array" ref="AG3755">IF(AF3755="","",_xlfn.TEXTSPLIT(AF3755,"-"))</f>
        <v>0</v>
      </c>
      <c r="AH3755" s="168"/>
    </row>
    <row r="3756" spans="26:34" ht="24" customHeight="1">
      <c r="Z3756"/>
      <c r="AA3756"/>
      <c r="AB3756"/>
      <c r="AC3756"/>
      <c r="AD3756"/>
      <c r="AE3756" s="168"/>
      <c r="AF3756" s="168">
        <v>0</v>
      </c>
      <c r="AG3756" s="168" t="str" cm="1">
        <f t="array" ref="AG3756">IF(AF3756="","",_xlfn.TEXTSPLIT(AF3756,"-"))</f>
        <v>0</v>
      </c>
      <c r="AH3756" s="168"/>
    </row>
    <row r="3757" spans="26:34" ht="24" customHeight="1">
      <c r="Z3757"/>
      <c r="AA3757"/>
      <c r="AB3757"/>
      <c r="AC3757"/>
      <c r="AD3757"/>
      <c r="AE3757" s="168"/>
      <c r="AF3757" s="168">
        <v>0</v>
      </c>
      <c r="AG3757" s="168" t="str" cm="1">
        <f t="array" ref="AG3757">IF(AF3757="","",_xlfn.TEXTSPLIT(AF3757,"-"))</f>
        <v>0</v>
      </c>
      <c r="AH3757" s="168"/>
    </row>
    <row r="3758" spans="26:34" ht="24" customHeight="1">
      <c r="Z3758"/>
      <c r="AA3758"/>
      <c r="AB3758"/>
      <c r="AC3758"/>
      <c r="AD3758"/>
      <c r="AE3758" s="168"/>
      <c r="AF3758" s="168">
        <v>0</v>
      </c>
      <c r="AG3758" s="168" t="str" cm="1">
        <f t="array" ref="AG3758">IF(AF3758="","",_xlfn.TEXTSPLIT(AF3758,"-"))</f>
        <v>0</v>
      </c>
      <c r="AH3758" s="168"/>
    </row>
    <row r="3759" spans="26:34" ht="24" customHeight="1">
      <c r="Z3759"/>
      <c r="AA3759"/>
      <c r="AB3759"/>
      <c r="AC3759"/>
      <c r="AD3759"/>
      <c r="AE3759" s="168"/>
      <c r="AF3759" s="168">
        <v>0</v>
      </c>
      <c r="AG3759" s="168" t="str" cm="1">
        <f t="array" ref="AG3759">IF(AF3759="","",_xlfn.TEXTSPLIT(AF3759,"-"))</f>
        <v>0</v>
      </c>
      <c r="AH3759" s="168"/>
    </row>
    <row r="3760" spans="26:34" ht="24" customHeight="1">
      <c r="Z3760"/>
      <c r="AA3760"/>
      <c r="AB3760"/>
      <c r="AC3760"/>
      <c r="AD3760"/>
      <c r="AE3760" s="168"/>
      <c r="AF3760" s="168">
        <v>0</v>
      </c>
      <c r="AG3760" s="168" t="str" cm="1">
        <f t="array" ref="AG3760">IF(AF3760="","",_xlfn.TEXTSPLIT(AF3760,"-"))</f>
        <v>0</v>
      </c>
      <c r="AH3760" s="168"/>
    </row>
    <row r="3761" spans="26:34" ht="24" customHeight="1">
      <c r="Z3761"/>
      <c r="AA3761"/>
      <c r="AB3761"/>
      <c r="AC3761"/>
      <c r="AD3761"/>
      <c r="AE3761" s="168"/>
      <c r="AF3761" s="168">
        <v>0</v>
      </c>
      <c r="AG3761" s="168" t="str" cm="1">
        <f t="array" ref="AG3761">IF(AF3761="","",_xlfn.TEXTSPLIT(AF3761,"-"))</f>
        <v>0</v>
      </c>
      <c r="AH3761" s="168"/>
    </row>
    <row r="3762" spans="26:34" ht="24" customHeight="1">
      <c r="Z3762"/>
      <c r="AA3762"/>
      <c r="AB3762"/>
      <c r="AC3762"/>
      <c r="AD3762"/>
      <c r="AE3762" s="168"/>
      <c r="AF3762" s="168">
        <v>0</v>
      </c>
      <c r="AG3762" s="168" t="str" cm="1">
        <f t="array" ref="AG3762">IF(AF3762="","",_xlfn.TEXTSPLIT(AF3762,"-"))</f>
        <v>0</v>
      </c>
      <c r="AH3762" s="168"/>
    </row>
    <row r="3763" spans="26:34" ht="24" customHeight="1">
      <c r="Z3763"/>
      <c r="AA3763"/>
      <c r="AB3763"/>
      <c r="AC3763"/>
      <c r="AD3763"/>
      <c r="AE3763" s="168"/>
      <c r="AF3763" s="168">
        <v>0</v>
      </c>
      <c r="AG3763" s="168" t="str" cm="1">
        <f t="array" ref="AG3763">IF(AF3763="","",_xlfn.TEXTSPLIT(AF3763,"-"))</f>
        <v>0</v>
      </c>
      <c r="AH3763" s="168"/>
    </row>
    <row r="3764" spans="26:34" ht="24" customHeight="1">
      <c r="Z3764"/>
      <c r="AA3764"/>
      <c r="AB3764"/>
      <c r="AC3764"/>
      <c r="AD3764"/>
      <c r="AE3764" s="168"/>
      <c r="AF3764" s="168">
        <v>0</v>
      </c>
      <c r="AG3764" s="168" t="str" cm="1">
        <f t="array" ref="AG3764">IF(AF3764="","",_xlfn.TEXTSPLIT(AF3764,"-"))</f>
        <v>0</v>
      </c>
      <c r="AH3764" s="168"/>
    </row>
    <row r="3765" spans="26:34" ht="24" customHeight="1">
      <c r="Z3765"/>
      <c r="AA3765"/>
      <c r="AB3765"/>
      <c r="AC3765"/>
      <c r="AD3765"/>
      <c r="AE3765" s="168"/>
      <c r="AF3765" s="168">
        <v>0</v>
      </c>
      <c r="AG3765" s="168" t="str" cm="1">
        <f t="array" ref="AG3765">IF(AF3765="","",_xlfn.TEXTSPLIT(AF3765,"-"))</f>
        <v>0</v>
      </c>
      <c r="AH3765" s="168"/>
    </row>
    <row r="3766" spans="26:34" ht="24" customHeight="1">
      <c r="Z3766"/>
      <c r="AA3766"/>
      <c r="AB3766"/>
      <c r="AC3766"/>
      <c r="AD3766"/>
      <c r="AE3766" s="168"/>
      <c r="AF3766" s="168">
        <v>0</v>
      </c>
      <c r="AG3766" s="168" t="str" cm="1">
        <f t="array" ref="AG3766">IF(AF3766="","",_xlfn.TEXTSPLIT(AF3766,"-"))</f>
        <v>0</v>
      </c>
      <c r="AH3766" s="168"/>
    </row>
    <row r="3767" spans="26:34" ht="24" customHeight="1">
      <c r="Z3767"/>
      <c r="AA3767"/>
      <c r="AB3767"/>
      <c r="AC3767"/>
      <c r="AD3767"/>
      <c r="AE3767" s="168"/>
      <c r="AF3767" s="168">
        <v>0</v>
      </c>
      <c r="AG3767" s="168" t="str" cm="1">
        <f t="array" ref="AG3767">IF(AF3767="","",_xlfn.TEXTSPLIT(AF3767,"-"))</f>
        <v>0</v>
      </c>
      <c r="AH3767" s="168"/>
    </row>
    <row r="3768" spans="26:34" ht="24" customHeight="1">
      <c r="Z3768"/>
      <c r="AA3768"/>
      <c r="AB3768"/>
      <c r="AC3768"/>
      <c r="AD3768"/>
      <c r="AE3768" s="168"/>
      <c r="AF3768" s="168">
        <v>0</v>
      </c>
      <c r="AG3768" s="168" t="str" cm="1">
        <f t="array" ref="AG3768">IF(AF3768="","",_xlfn.TEXTSPLIT(AF3768,"-"))</f>
        <v>0</v>
      </c>
      <c r="AH3768" s="168"/>
    </row>
    <row r="3769" spans="26:34" ht="24" customHeight="1">
      <c r="Z3769"/>
      <c r="AA3769"/>
      <c r="AB3769"/>
      <c r="AC3769"/>
      <c r="AD3769"/>
      <c r="AE3769" s="168"/>
      <c r="AF3769" s="168">
        <v>0</v>
      </c>
      <c r="AG3769" s="168" t="str" cm="1">
        <f t="array" ref="AG3769">IF(AF3769="","",_xlfn.TEXTSPLIT(AF3769,"-"))</f>
        <v>0</v>
      </c>
      <c r="AH3769" s="168"/>
    </row>
    <row r="3770" spans="26:34" ht="24" customHeight="1">
      <c r="Z3770"/>
      <c r="AA3770"/>
      <c r="AB3770"/>
      <c r="AC3770"/>
      <c r="AD3770"/>
      <c r="AE3770" s="168"/>
      <c r="AF3770" s="168">
        <v>0</v>
      </c>
      <c r="AG3770" s="168" t="str" cm="1">
        <f t="array" ref="AG3770">IF(AF3770="","",_xlfn.TEXTSPLIT(AF3770,"-"))</f>
        <v>0</v>
      </c>
      <c r="AH3770" s="168"/>
    </row>
    <row r="3771" spans="26:34" ht="24" customHeight="1">
      <c r="Z3771"/>
      <c r="AA3771"/>
      <c r="AB3771"/>
      <c r="AC3771"/>
      <c r="AD3771"/>
      <c r="AE3771" s="168"/>
      <c r="AF3771" s="168">
        <v>0</v>
      </c>
      <c r="AG3771" s="168" t="str" cm="1">
        <f t="array" ref="AG3771">IF(AF3771="","",_xlfn.TEXTSPLIT(AF3771,"-"))</f>
        <v>0</v>
      </c>
      <c r="AH3771" s="168"/>
    </row>
    <row r="3772" spans="26:34" ht="24" customHeight="1">
      <c r="Z3772"/>
      <c r="AA3772"/>
      <c r="AB3772"/>
      <c r="AC3772"/>
      <c r="AD3772"/>
      <c r="AE3772" s="168"/>
      <c r="AF3772" s="168">
        <v>0</v>
      </c>
      <c r="AG3772" s="168" t="str" cm="1">
        <f t="array" ref="AG3772">IF(AF3772="","",_xlfn.TEXTSPLIT(AF3772,"-"))</f>
        <v>0</v>
      </c>
      <c r="AH3772" s="168"/>
    </row>
    <row r="3773" spans="26:34" ht="24" customHeight="1">
      <c r="Z3773"/>
      <c r="AA3773"/>
      <c r="AB3773"/>
      <c r="AC3773"/>
      <c r="AD3773"/>
      <c r="AE3773" s="168"/>
      <c r="AF3773" s="168">
        <v>0</v>
      </c>
      <c r="AG3773" s="168" t="str" cm="1">
        <f t="array" ref="AG3773">IF(AF3773="","",_xlfn.TEXTSPLIT(AF3773,"-"))</f>
        <v>0</v>
      </c>
      <c r="AH3773" s="168"/>
    </row>
    <row r="3774" spans="26:34" ht="24" customHeight="1">
      <c r="Z3774"/>
      <c r="AA3774"/>
      <c r="AB3774"/>
      <c r="AC3774"/>
      <c r="AD3774"/>
      <c r="AE3774" s="168"/>
      <c r="AF3774" s="168">
        <v>0</v>
      </c>
      <c r="AG3774" s="168" t="str" cm="1">
        <f t="array" ref="AG3774">IF(AF3774="","",_xlfn.TEXTSPLIT(AF3774,"-"))</f>
        <v>0</v>
      </c>
      <c r="AH3774" s="168"/>
    </row>
    <row r="3775" spans="26:34" ht="24" customHeight="1">
      <c r="Z3775"/>
      <c r="AA3775"/>
      <c r="AB3775"/>
      <c r="AC3775"/>
      <c r="AD3775"/>
      <c r="AE3775" s="168"/>
      <c r="AF3775" s="168">
        <v>0</v>
      </c>
      <c r="AG3775" s="168" t="str" cm="1">
        <f t="array" ref="AG3775">IF(AF3775="","",_xlfn.TEXTSPLIT(AF3775,"-"))</f>
        <v>0</v>
      </c>
      <c r="AH3775" s="168"/>
    </row>
    <row r="3776" spans="26:34" ht="24" customHeight="1">
      <c r="Z3776"/>
      <c r="AA3776"/>
      <c r="AB3776"/>
      <c r="AC3776"/>
      <c r="AD3776"/>
      <c r="AE3776" s="168"/>
      <c r="AF3776" s="168">
        <v>0</v>
      </c>
      <c r="AG3776" s="168" t="str" cm="1">
        <f t="array" ref="AG3776">IF(AF3776="","",_xlfn.TEXTSPLIT(AF3776,"-"))</f>
        <v>0</v>
      </c>
      <c r="AH3776" s="168"/>
    </row>
    <row r="3777" spans="26:34" ht="24" customHeight="1">
      <c r="Z3777"/>
      <c r="AA3777"/>
      <c r="AB3777"/>
      <c r="AC3777"/>
      <c r="AD3777"/>
      <c r="AE3777" s="168"/>
      <c r="AF3777" s="168">
        <v>0</v>
      </c>
      <c r="AG3777" s="168" t="str" cm="1">
        <f t="array" ref="AG3777">IF(AF3777="","",_xlfn.TEXTSPLIT(AF3777,"-"))</f>
        <v>0</v>
      </c>
      <c r="AH3777" s="168"/>
    </row>
    <row r="3778" spans="26:34" ht="24" customHeight="1">
      <c r="Z3778"/>
      <c r="AA3778"/>
      <c r="AB3778"/>
      <c r="AC3778"/>
      <c r="AD3778"/>
      <c r="AE3778" s="168"/>
      <c r="AF3778" s="168">
        <v>0</v>
      </c>
      <c r="AG3778" s="168" t="str" cm="1">
        <f t="array" ref="AG3778">IF(AF3778="","",_xlfn.TEXTSPLIT(AF3778,"-"))</f>
        <v>0</v>
      </c>
      <c r="AH3778" s="168"/>
    </row>
    <row r="3779" spans="26:34" ht="24" customHeight="1">
      <c r="Z3779"/>
      <c r="AA3779"/>
      <c r="AB3779"/>
      <c r="AC3779"/>
      <c r="AD3779"/>
      <c r="AE3779" s="168"/>
      <c r="AF3779" s="168">
        <v>0</v>
      </c>
      <c r="AG3779" s="168" t="str" cm="1">
        <f t="array" ref="AG3779">IF(AF3779="","",_xlfn.TEXTSPLIT(AF3779,"-"))</f>
        <v>0</v>
      </c>
      <c r="AH3779" s="168"/>
    </row>
    <row r="3780" spans="26:34" ht="24" customHeight="1">
      <c r="Z3780"/>
      <c r="AA3780"/>
      <c r="AB3780"/>
      <c r="AC3780"/>
      <c r="AD3780"/>
      <c r="AE3780" s="168"/>
      <c r="AF3780" s="168">
        <v>0</v>
      </c>
      <c r="AG3780" s="168" t="str" cm="1">
        <f t="array" ref="AG3780">IF(AF3780="","",_xlfn.TEXTSPLIT(AF3780,"-"))</f>
        <v>0</v>
      </c>
      <c r="AH3780" s="168"/>
    </row>
    <row r="3781" spans="26:34" ht="24" customHeight="1">
      <c r="Z3781"/>
      <c r="AA3781"/>
      <c r="AB3781"/>
      <c r="AC3781"/>
      <c r="AD3781"/>
      <c r="AE3781" s="168"/>
      <c r="AF3781" s="168">
        <v>0</v>
      </c>
      <c r="AG3781" s="168" t="str" cm="1">
        <f t="array" ref="AG3781">IF(AF3781="","",_xlfn.TEXTSPLIT(AF3781,"-"))</f>
        <v>0</v>
      </c>
      <c r="AH3781" s="168"/>
    </row>
    <row r="3782" spans="26:34" ht="24" customHeight="1">
      <c r="Z3782"/>
      <c r="AA3782"/>
      <c r="AB3782"/>
      <c r="AC3782"/>
      <c r="AD3782"/>
      <c r="AE3782" s="168"/>
      <c r="AF3782" s="168">
        <v>0</v>
      </c>
      <c r="AG3782" s="168" t="str" cm="1">
        <f t="array" ref="AG3782">IF(AF3782="","",_xlfn.TEXTSPLIT(AF3782,"-"))</f>
        <v>0</v>
      </c>
      <c r="AH3782" s="168"/>
    </row>
    <row r="3783" spans="26:34" ht="24" customHeight="1">
      <c r="Z3783"/>
      <c r="AA3783"/>
      <c r="AB3783"/>
      <c r="AC3783"/>
      <c r="AD3783"/>
      <c r="AE3783" s="168"/>
      <c r="AF3783" s="168">
        <v>0</v>
      </c>
      <c r="AG3783" s="168" t="str" cm="1">
        <f t="array" ref="AG3783">IF(AF3783="","",_xlfn.TEXTSPLIT(AF3783,"-"))</f>
        <v>0</v>
      </c>
      <c r="AH3783" s="168"/>
    </row>
    <row r="3784" spans="26:34" ht="24" customHeight="1">
      <c r="Z3784"/>
      <c r="AA3784"/>
      <c r="AB3784"/>
      <c r="AC3784"/>
      <c r="AD3784"/>
      <c r="AE3784" s="168"/>
      <c r="AF3784" s="168">
        <v>0</v>
      </c>
      <c r="AG3784" s="168" t="str" cm="1">
        <f t="array" ref="AG3784">IF(AF3784="","",_xlfn.TEXTSPLIT(AF3784,"-"))</f>
        <v>0</v>
      </c>
      <c r="AH3784" s="168"/>
    </row>
    <row r="3785" spans="26:34" ht="24" customHeight="1">
      <c r="Z3785"/>
      <c r="AA3785"/>
      <c r="AB3785"/>
      <c r="AC3785"/>
      <c r="AD3785"/>
      <c r="AE3785" s="168"/>
      <c r="AF3785" s="168">
        <v>0</v>
      </c>
      <c r="AG3785" s="168" t="str" cm="1">
        <f t="array" ref="AG3785">IF(AF3785="","",_xlfn.TEXTSPLIT(AF3785,"-"))</f>
        <v>0</v>
      </c>
      <c r="AH3785" s="168"/>
    </row>
    <row r="3786" spans="26:34" ht="24" customHeight="1">
      <c r="Z3786"/>
      <c r="AA3786"/>
      <c r="AB3786"/>
      <c r="AC3786"/>
      <c r="AD3786"/>
      <c r="AE3786" s="168"/>
      <c r="AF3786" s="168">
        <v>0</v>
      </c>
      <c r="AG3786" s="168" t="str" cm="1">
        <f t="array" ref="AG3786">IF(AF3786="","",_xlfn.TEXTSPLIT(AF3786,"-"))</f>
        <v>0</v>
      </c>
      <c r="AH3786" s="168"/>
    </row>
    <row r="3787" spans="26:34" ht="24" customHeight="1">
      <c r="Z3787"/>
      <c r="AA3787"/>
      <c r="AB3787"/>
      <c r="AC3787"/>
      <c r="AD3787"/>
      <c r="AE3787" s="168"/>
      <c r="AF3787" s="168">
        <v>0</v>
      </c>
      <c r="AG3787" s="168" t="str" cm="1">
        <f t="array" ref="AG3787">IF(AF3787="","",_xlfn.TEXTSPLIT(AF3787,"-"))</f>
        <v>0</v>
      </c>
      <c r="AH3787" s="168"/>
    </row>
    <row r="3788" spans="26:34" ht="24" customHeight="1">
      <c r="Z3788"/>
      <c r="AA3788"/>
      <c r="AB3788"/>
      <c r="AC3788"/>
      <c r="AD3788"/>
      <c r="AE3788" s="168"/>
      <c r="AF3788" s="168">
        <v>0</v>
      </c>
      <c r="AG3788" s="168" t="str" cm="1">
        <f t="array" ref="AG3788">IF(AF3788="","",_xlfn.TEXTSPLIT(AF3788,"-"))</f>
        <v>0</v>
      </c>
      <c r="AH3788" s="168"/>
    </row>
    <row r="3789" spans="26:34" ht="24" customHeight="1">
      <c r="Z3789"/>
      <c r="AA3789"/>
      <c r="AB3789"/>
      <c r="AC3789"/>
      <c r="AD3789"/>
      <c r="AE3789" s="168"/>
      <c r="AF3789" s="168">
        <v>0</v>
      </c>
      <c r="AG3789" s="168" t="str" cm="1">
        <f t="array" ref="AG3789">IF(AF3789="","",_xlfn.TEXTSPLIT(AF3789,"-"))</f>
        <v>0</v>
      </c>
      <c r="AH3789" s="168"/>
    </row>
    <row r="3790" spans="26:34" ht="24" customHeight="1">
      <c r="Z3790"/>
      <c r="AA3790"/>
      <c r="AB3790"/>
      <c r="AC3790"/>
      <c r="AD3790"/>
      <c r="AE3790" s="168"/>
      <c r="AF3790" s="168">
        <v>0</v>
      </c>
      <c r="AG3790" s="168" t="str" cm="1">
        <f t="array" ref="AG3790">IF(AF3790="","",_xlfn.TEXTSPLIT(AF3790,"-"))</f>
        <v>0</v>
      </c>
      <c r="AH3790" s="168"/>
    </row>
    <row r="3791" spans="26:34" ht="24" customHeight="1">
      <c r="Z3791"/>
      <c r="AA3791"/>
      <c r="AB3791"/>
      <c r="AC3791"/>
      <c r="AD3791"/>
      <c r="AE3791" s="168"/>
      <c r="AF3791" s="168">
        <v>0</v>
      </c>
      <c r="AG3791" s="168" t="str" cm="1">
        <f t="array" ref="AG3791">IF(AF3791="","",_xlfn.TEXTSPLIT(AF3791,"-"))</f>
        <v>0</v>
      </c>
      <c r="AH3791" s="168"/>
    </row>
    <row r="3792" spans="26:34" ht="24" customHeight="1">
      <c r="Z3792"/>
      <c r="AA3792"/>
      <c r="AB3792"/>
      <c r="AC3792"/>
      <c r="AD3792"/>
      <c r="AE3792" s="168"/>
      <c r="AF3792" s="168">
        <v>0</v>
      </c>
      <c r="AG3792" s="168" t="str" cm="1">
        <f t="array" ref="AG3792">IF(AF3792="","",_xlfn.TEXTSPLIT(AF3792,"-"))</f>
        <v>0</v>
      </c>
      <c r="AH3792" s="168"/>
    </row>
    <row r="3793" spans="26:34" ht="24" customHeight="1">
      <c r="Z3793"/>
      <c r="AA3793"/>
      <c r="AB3793"/>
      <c r="AC3793"/>
      <c r="AD3793"/>
      <c r="AE3793" s="168"/>
      <c r="AF3793" s="168">
        <v>0</v>
      </c>
      <c r="AG3793" s="168" t="str" cm="1">
        <f t="array" ref="AG3793">IF(AF3793="","",_xlfn.TEXTSPLIT(AF3793,"-"))</f>
        <v>0</v>
      </c>
      <c r="AH3793" s="168"/>
    </row>
    <row r="3794" spans="26:34" ht="24" customHeight="1">
      <c r="Z3794"/>
      <c r="AA3794"/>
      <c r="AB3794"/>
      <c r="AC3794"/>
      <c r="AD3794"/>
      <c r="AE3794" s="168"/>
      <c r="AF3794" s="168">
        <v>0</v>
      </c>
      <c r="AG3794" s="168" t="str" cm="1">
        <f t="array" ref="AG3794">IF(AF3794="","",_xlfn.TEXTSPLIT(AF3794,"-"))</f>
        <v>0</v>
      </c>
      <c r="AH3794" s="168"/>
    </row>
    <row r="3795" spans="26:34" ht="24" customHeight="1">
      <c r="Z3795"/>
      <c r="AA3795"/>
      <c r="AB3795"/>
      <c r="AC3795"/>
      <c r="AD3795"/>
      <c r="AE3795" s="168"/>
      <c r="AF3795" s="168">
        <v>0</v>
      </c>
      <c r="AG3795" s="168" t="str" cm="1">
        <f t="array" ref="AG3795">IF(AF3795="","",_xlfn.TEXTSPLIT(AF3795,"-"))</f>
        <v>0</v>
      </c>
      <c r="AH3795" s="168"/>
    </row>
    <row r="3796" spans="26:34" ht="24" customHeight="1">
      <c r="Z3796"/>
      <c r="AA3796"/>
      <c r="AB3796"/>
      <c r="AC3796"/>
      <c r="AD3796"/>
      <c r="AE3796" s="168"/>
      <c r="AF3796" s="168">
        <v>0</v>
      </c>
      <c r="AG3796" s="168" t="str" cm="1">
        <f t="array" ref="AG3796">IF(AF3796="","",_xlfn.TEXTSPLIT(AF3796,"-"))</f>
        <v>0</v>
      </c>
      <c r="AH3796" s="168"/>
    </row>
    <row r="3797" spans="26:34" ht="24" customHeight="1">
      <c r="Z3797"/>
      <c r="AA3797"/>
      <c r="AB3797"/>
      <c r="AC3797"/>
      <c r="AD3797"/>
      <c r="AE3797" s="168"/>
      <c r="AF3797" s="168">
        <v>0</v>
      </c>
      <c r="AG3797" s="168" t="str" cm="1">
        <f t="array" ref="AG3797">IF(AF3797="","",_xlfn.TEXTSPLIT(AF3797,"-"))</f>
        <v>0</v>
      </c>
      <c r="AH3797" s="168"/>
    </row>
    <row r="3798" spans="26:34" ht="24" customHeight="1">
      <c r="Z3798"/>
      <c r="AA3798"/>
      <c r="AB3798"/>
      <c r="AC3798"/>
      <c r="AD3798"/>
      <c r="AE3798" s="168"/>
      <c r="AF3798" s="168">
        <v>0</v>
      </c>
      <c r="AG3798" s="168" t="str" cm="1">
        <f t="array" ref="AG3798">IF(AF3798="","",_xlfn.TEXTSPLIT(AF3798,"-"))</f>
        <v>0</v>
      </c>
      <c r="AH3798" s="168"/>
    </row>
    <row r="3799" spans="26:34" ht="24" customHeight="1">
      <c r="Z3799"/>
      <c r="AA3799"/>
      <c r="AB3799"/>
      <c r="AC3799"/>
      <c r="AD3799"/>
      <c r="AE3799" s="168"/>
      <c r="AF3799" s="168">
        <v>0</v>
      </c>
      <c r="AG3799" s="168" t="str" cm="1">
        <f t="array" ref="AG3799">IF(AF3799="","",_xlfn.TEXTSPLIT(AF3799,"-"))</f>
        <v>0</v>
      </c>
      <c r="AH3799" s="168"/>
    </row>
    <row r="3800" spans="26:34" ht="24" customHeight="1">
      <c r="Z3800"/>
      <c r="AA3800"/>
      <c r="AB3800"/>
      <c r="AC3800"/>
      <c r="AD3800"/>
      <c r="AE3800" s="168"/>
      <c r="AF3800" s="168">
        <v>0</v>
      </c>
      <c r="AG3800" s="168" t="str" cm="1">
        <f t="array" ref="AG3800">IF(AF3800="","",_xlfn.TEXTSPLIT(AF3800,"-"))</f>
        <v>0</v>
      </c>
      <c r="AH3800" s="168"/>
    </row>
    <row r="3801" spans="26:34" ht="24" customHeight="1">
      <c r="Z3801"/>
      <c r="AA3801"/>
      <c r="AB3801"/>
      <c r="AC3801"/>
      <c r="AD3801"/>
      <c r="AE3801" s="168"/>
      <c r="AF3801" s="168">
        <v>0</v>
      </c>
      <c r="AG3801" s="168" t="str" cm="1">
        <f t="array" ref="AG3801">IF(AF3801="","",_xlfn.TEXTSPLIT(AF3801,"-"))</f>
        <v>0</v>
      </c>
      <c r="AH3801" s="168"/>
    </row>
    <row r="3802" spans="26:34" ht="24" customHeight="1">
      <c r="Z3802"/>
      <c r="AA3802"/>
      <c r="AB3802"/>
      <c r="AC3802"/>
      <c r="AD3802"/>
      <c r="AE3802" s="168"/>
      <c r="AF3802" s="168">
        <v>0</v>
      </c>
      <c r="AG3802" s="168" t="str" cm="1">
        <f t="array" ref="AG3802">IF(AF3802="","",_xlfn.TEXTSPLIT(AF3802,"-"))</f>
        <v>0</v>
      </c>
      <c r="AH3802" s="168"/>
    </row>
    <row r="3803" spans="26:34" ht="24" customHeight="1">
      <c r="Z3803"/>
      <c r="AA3803"/>
      <c r="AB3803"/>
      <c r="AC3803"/>
      <c r="AD3803"/>
      <c r="AE3803" s="168"/>
      <c r="AF3803" s="168">
        <v>0</v>
      </c>
      <c r="AG3803" s="168" t="str" cm="1">
        <f t="array" ref="AG3803">IF(AF3803="","",_xlfn.TEXTSPLIT(AF3803,"-"))</f>
        <v>0</v>
      </c>
      <c r="AH3803" s="168"/>
    </row>
    <row r="3804" spans="26:34" ht="24" customHeight="1">
      <c r="Z3804"/>
      <c r="AA3804"/>
      <c r="AB3804"/>
      <c r="AC3804"/>
      <c r="AD3804"/>
      <c r="AE3804" s="168"/>
      <c r="AF3804" s="168">
        <v>0</v>
      </c>
      <c r="AG3804" s="168" t="str" cm="1">
        <f t="array" ref="AG3804">IF(AF3804="","",_xlfn.TEXTSPLIT(AF3804,"-"))</f>
        <v>0</v>
      </c>
      <c r="AH3804" s="168"/>
    </row>
    <row r="3805" spans="26:34" ht="24" customHeight="1">
      <c r="Z3805"/>
      <c r="AA3805"/>
      <c r="AB3805"/>
      <c r="AC3805"/>
      <c r="AD3805"/>
      <c r="AE3805" s="168"/>
      <c r="AF3805" s="168">
        <v>0</v>
      </c>
      <c r="AG3805" s="168" t="str" cm="1">
        <f t="array" ref="AG3805">IF(AF3805="","",_xlfn.TEXTSPLIT(AF3805,"-"))</f>
        <v>0</v>
      </c>
      <c r="AH3805" s="168"/>
    </row>
    <row r="3806" spans="26:34" ht="24" customHeight="1">
      <c r="Z3806"/>
      <c r="AA3806"/>
      <c r="AB3806"/>
      <c r="AC3806"/>
      <c r="AD3806"/>
      <c r="AE3806" s="168"/>
      <c r="AF3806" s="168">
        <v>0</v>
      </c>
      <c r="AG3806" s="168" t="str" cm="1">
        <f t="array" ref="AG3806">IF(AF3806="","",_xlfn.TEXTSPLIT(AF3806,"-"))</f>
        <v>0</v>
      </c>
      <c r="AH3806" s="168"/>
    </row>
    <row r="3807" spans="26:34" ht="24" customHeight="1">
      <c r="Z3807"/>
      <c r="AA3807"/>
      <c r="AB3807"/>
      <c r="AC3807"/>
      <c r="AD3807"/>
      <c r="AE3807" s="168"/>
      <c r="AF3807" s="168">
        <v>0</v>
      </c>
      <c r="AG3807" s="168" t="str" cm="1">
        <f t="array" ref="AG3807">IF(AF3807="","",_xlfn.TEXTSPLIT(AF3807,"-"))</f>
        <v>0</v>
      </c>
      <c r="AH3807" s="168"/>
    </row>
    <row r="3808" spans="26:34" ht="24" customHeight="1">
      <c r="Z3808"/>
      <c r="AA3808"/>
      <c r="AB3808"/>
      <c r="AC3808"/>
      <c r="AD3808"/>
      <c r="AE3808" s="168"/>
      <c r="AF3808" s="168">
        <v>0</v>
      </c>
      <c r="AG3808" s="168" t="str" cm="1">
        <f t="array" ref="AG3808">IF(AF3808="","",_xlfn.TEXTSPLIT(AF3808,"-"))</f>
        <v>0</v>
      </c>
      <c r="AH3808" s="168"/>
    </row>
    <row r="3809" spans="26:34" ht="24" customHeight="1">
      <c r="Z3809"/>
      <c r="AA3809"/>
      <c r="AB3809"/>
      <c r="AC3809"/>
      <c r="AD3809"/>
      <c r="AE3809" s="168"/>
      <c r="AF3809" s="168">
        <v>0</v>
      </c>
      <c r="AG3809" s="168" t="str" cm="1">
        <f t="array" ref="AG3809">IF(AF3809="","",_xlfn.TEXTSPLIT(AF3809,"-"))</f>
        <v>0</v>
      </c>
      <c r="AH3809" s="168"/>
    </row>
    <row r="3810" spans="26:34" ht="24" customHeight="1">
      <c r="Z3810"/>
      <c r="AA3810"/>
      <c r="AB3810"/>
      <c r="AC3810"/>
      <c r="AD3810"/>
      <c r="AE3810" s="168"/>
      <c r="AF3810" s="168">
        <v>0</v>
      </c>
      <c r="AG3810" s="168" t="str" cm="1">
        <f t="array" ref="AG3810">IF(AF3810="","",_xlfn.TEXTSPLIT(AF3810,"-"))</f>
        <v>0</v>
      </c>
      <c r="AH3810" s="168"/>
    </row>
    <row r="3811" spans="26:34" ht="24" customHeight="1">
      <c r="Z3811"/>
      <c r="AA3811"/>
      <c r="AB3811"/>
      <c r="AC3811"/>
      <c r="AD3811"/>
      <c r="AE3811" s="168"/>
      <c r="AF3811" s="168">
        <v>0</v>
      </c>
      <c r="AG3811" s="168" t="str" cm="1">
        <f t="array" ref="AG3811">IF(AF3811="","",_xlfn.TEXTSPLIT(AF3811,"-"))</f>
        <v>0</v>
      </c>
      <c r="AH3811" s="168"/>
    </row>
    <row r="3812" spans="26:34" ht="24" customHeight="1">
      <c r="Z3812"/>
      <c r="AA3812"/>
      <c r="AB3812"/>
      <c r="AC3812"/>
      <c r="AD3812"/>
      <c r="AE3812" s="168"/>
      <c r="AF3812" s="168">
        <v>0</v>
      </c>
      <c r="AG3812" s="168" t="str" cm="1">
        <f t="array" ref="AG3812">IF(AF3812="","",_xlfn.TEXTSPLIT(AF3812,"-"))</f>
        <v>0</v>
      </c>
      <c r="AH3812" s="168"/>
    </row>
    <row r="3813" spans="26:34" ht="24" customHeight="1">
      <c r="Z3813"/>
      <c r="AA3813"/>
      <c r="AB3813"/>
      <c r="AC3813"/>
      <c r="AD3813"/>
      <c r="AE3813" s="168"/>
      <c r="AF3813" s="168">
        <v>0</v>
      </c>
      <c r="AG3813" s="168" t="str" cm="1">
        <f t="array" ref="AG3813">IF(AF3813="","",_xlfn.TEXTSPLIT(AF3813,"-"))</f>
        <v>0</v>
      </c>
      <c r="AH3813" s="168"/>
    </row>
    <row r="3814" spans="26:34" ht="24" customHeight="1">
      <c r="Z3814"/>
      <c r="AA3814"/>
      <c r="AB3814"/>
      <c r="AC3814"/>
      <c r="AD3814"/>
      <c r="AE3814" s="168"/>
      <c r="AF3814" s="168">
        <v>0</v>
      </c>
      <c r="AG3814" s="168" t="str" cm="1">
        <f t="array" ref="AG3814">IF(AF3814="","",_xlfn.TEXTSPLIT(AF3814,"-"))</f>
        <v>0</v>
      </c>
      <c r="AH3814" s="168"/>
    </row>
    <row r="3815" spans="26:34" ht="24" customHeight="1">
      <c r="Z3815"/>
      <c r="AA3815"/>
      <c r="AB3815"/>
      <c r="AC3815"/>
      <c r="AD3815"/>
      <c r="AE3815" s="168"/>
      <c r="AF3815" s="168">
        <v>0</v>
      </c>
      <c r="AG3815" s="168" t="str" cm="1">
        <f t="array" ref="AG3815">IF(AF3815="","",_xlfn.TEXTSPLIT(AF3815,"-"))</f>
        <v>0</v>
      </c>
      <c r="AH3815" s="168"/>
    </row>
    <row r="3816" spans="26:34" ht="24" customHeight="1">
      <c r="Z3816"/>
      <c r="AA3816"/>
      <c r="AB3816"/>
      <c r="AC3816"/>
      <c r="AD3816"/>
      <c r="AE3816" s="168"/>
      <c r="AF3816" s="168">
        <v>0</v>
      </c>
      <c r="AG3816" s="168" t="str" cm="1">
        <f t="array" ref="AG3816">IF(AF3816="","",_xlfn.TEXTSPLIT(AF3816,"-"))</f>
        <v>0</v>
      </c>
      <c r="AH3816" s="168"/>
    </row>
    <row r="3817" spans="26:34" ht="24" customHeight="1">
      <c r="Z3817"/>
      <c r="AA3817"/>
      <c r="AB3817"/>
      <c r="AC3817"/>
      <c r="AD3817"/>
      <c r="AE3817" s="168"/>
      <c r="AF3817" s="168">
        <v>0</v>
      </c>
      <c r="AG3817" s="168" t="str" cm="1">
        <f t="array" ref="AG3817">IF(AF3817="","",_xlfn.TEXTSPLIT(AF3817,"-"))</f>
        <v>0</v>
      </c>
      <c r="AH3817" s="168"/>
    </row>
    <row r="3818" spans="26:34" ht="24" customHeight="1">
      <c r="Z3818"/>
      <c r="AA3818"/>
      <c r="AB3818"/>
      <c r="AC3818"/>
      <c r="AD3818"/>
      <c r="AE3818" s="168"/>
      <c r="AF3818" s="168">
        <v>0</v>
      </c>
      <c r="AG3818" s="168" t="str" cm="1">
        <f t="array" ref="AG3818">IF(AF3818="","",_xlfn.TEXTSPLIT(AF3818,"-"))</f>
        <v>0</v>
      </c>
      <c r="AH3818" s="168"/>
    </row>
    <row r="3819" spans="26:34" ht="24" customHeight="1">
      <c r="Z3819"/>
      <c r="AA3819"/>
      <c r="AB3819"/>
      <c r="AC3819"/>
      <c r="AD3819"/>
      <c r="AE3819" s="168"/>
      <c r="AF3819" s="168">
        <v>0</v>
      </c>
      <c r="AG3819" s="168" t="str" cm="1">
        <f t="array" ref="AG3819">IF(AF3819="","",_xlfn.TEXTSPLIT(AF3819,"-"))</f>
        <v>0</v>
      </c>
      <c r="AH3819" s="168"/>
    </row>
    <row r="3820" spans="26:34" ht="24" customHeight="1">
      <c r="Z3820"/>
      <c r="AA3820"/>
      <c r="AB3820"/>
      <c r="AC3820"/>
      <c r="AD3820"/>
      <c r="AE3820" s="168"/>
      <c r="AF3820" s="168">
        <v>0</v>
      </c>
      <c r="AG3820" s="168" t="str" cm="1">
        <f t="array" ref="AG3820">IF(AF3820="","",_xlfn.TEXTSPLIT(AF3820,"-"))</f>
        <v>0</v>
      </c>
      <c r="AH3820" s="168"/>
    </row>
    <row r="3821" spans="26:34" ht="24" customHeight="1">
      <c r="Z3821"/>
      <c r="AA3821"/>
      <c r="AB3821"/>
      <c r="AC3821"/>
      <c r="AD3821"/>
      <c r="AE3821" s="168"/>
      <c r="AF3821" s="168">
        <v>0</v>
      </c>
      <c r="AG3821" s="168" t="str" cm="1">
        <f t="array" ref="AG3821">IF(AF3821="","",_xlfn.TEXTSPLIT(AF3821,"-"))</f>
        <v>0</v>
      </c>
      <c r="AH3821" s="168"/>
    </row>
    <row r="3822" spans="26:34" ht="24" customHeight="1">
      <c r="Z3822"/>
      <c r="AA3822"/>
      <c r="AB3822"/>
      <c r="AC3822"/>
      <c r="AD3822"/>
      <c r="AE3822" s="168"/>
      <c r="AF3822" s="168">
        <v>0</v>
      </c>
      <c r="AG3822" s="168" t="str" cm="1">
        <f t="array" ref="AG3822">IF(AF3822="","",_xlfn.TEXTSPLIT(AF3822,"-"))</f>
        <v>0</v>
      </c>
      <c r="AH3822" s="168"/>
    </row>
    <row r="3823" spans="26:34" ht="24" customHeight="1">
      <c r="Z3823"/>
      <c r="AA3823"/>
      <c r="AB3823"/>
      <c r="AC3823"/>
      <c r="AD3823"/>
      <c r="AE3823" s="168"/>
      <c r="AF3823" s="168">
        <v>0</v>
      </c>
      <c r="AG3823" s="168" t="str" cm="1">
        <f t="array" ref="AG3823">IF(AF3823="","",_xlfn.TEXTSPLIT(AF3823,"-"))</f>
        <v>0</v>
      </c>
      <c r="AH3823" s="168"/>
    </row>
    <row r="3824" spans="26:34" ht="24" customHeight="1">
      <c r="Z3824"/>
      <c r="AA3824"/>
      <c r="AB3824"/>
      <c r="AC3824"/>
      <c r="AD3824"/>
      <c r="AE3824" s="168"/>
      <c r="AF3824" s="168">
        <v>0</v>
      </c>
      <c r="AG3824" s="168" t="str" cm="1">
        <f t="array" ref="AG3824">IF(AF3824="","",_xlfn.TEXTSPLIT(AF3824,"-"))</f>
        <v>0</v>
      </c>
      <c r="AH3824" s="168"/>
    </row>
    <row r="3825" spans="26:34" ht="24" customHeight="1">
      <c r="Z3825"/>
      <c r="AA3825"/>
      <c r="AB3825"/>
      <c r="AC3825"/>
      <c r="AD3825"/>
      <c r="AE3825" s="168"/>
      <c r="AF3825" s="168">
        <v>0</v>
      </c>
      <c r="AG3825" s="168" t="str" cm="1">
        <f t="array" ref="AG3825">IF(AF3825="","",_xlfn.TEXTSPLIT(AF3825,"-"))</f>
        <v>0</v>
      </c>
      <c r="AH3825" s="168"/>
    </row>
    <row r="3826" spans="26:34" ht="24" customHeight="1">
      <c r="Z3826"/>
      <c r="AA3826"/>
      <c r="AB3826"/>
      <c r="AC3826"/>
      <c r="AD3826"/>
      <c r="AE3826" s="168"/>
      <c r="AF3826" s="168">
        <v>0</v>
      </c>
      <c r="AG3826" s="168" t="str" cm="1">
        <f t="array" ref="AG3826">IF(AF3826="","",_xlfn.TEXTSPLIT(AF3826,"-"))</f>
        <v>0</v>
      </c>
      <c r="AH3826" s="168"/>
    </row>
    <row r="3827" spans="26:34" ht="24" customHeight="1">
      <c r="Z3827"/>
      <c r="AA3827"/>
      <c r="AB3827"/>
      <c r="AC3827"/>
      <c r="AD3827"/>
      <c r="AE3827" s="168"/>
      <c r="AF3827" s="168">
        <v>0</v>
      </c>
      <c r="AG3827" s="168" t="str" cm="1">
        <f t="array" ref="AG3827">IF(AF3827="","",_xlfn.TEXTSPLIT(AF3827,"-"))</f>
        <v>0</v>
      </c>
      <c r="AH3827" s="168"/>
    </row>
    <row r="3828" spans="26:34" ht="24" customHeight="1">
      <c r="Z3828"/>
      <c r="AA3828"/>
      <c r="AB3828"/>
      <c r="AC3828"/>
      <c r="AD3828"/>
      <c r="AE3828" s="168"/>
      <c r="AF3828" s="168">
        <v>0</v>
      </c>
      <c r="AG3828" s="168" t="str" cm="1">
        <f t="array" ref="AG3828">IF(AF3828="","",_xlfn.TEXTSPLIT(AF3828,"-"))</f>
        <v>0</v>
      </c>
      <c r="AH3828" s="168"/>
    </row>
    <row r="3829" spans="26:34" ht="24" customHeight="1">
      <c r="Z3829"/>
      <c r="AA3829"/>
      <c r="AB3829"/>
      <c r="AC3829"/>
      <c r="AD3829"/>
      <c r="AE3829" s="168"/>
      <c r="AF3829" s="168">
        <v>0</v>
      </c>
      <c r="AG3829" s="168" t="str" cm="1">
        <f t="array" ref="AG3829">IF(AF3829="","",_xlfn.TEXTSPLIT(AF3829,"-"))</f>
        <v>0</v>
      </c>
      <c r="AH3829" s="168"/>
    </row>
    <row r="3830" spans="26:34" ht="24" customHeight="1">
      <c r="Z3830"/>
      <c r="AA3830"/>
      <c r="AB3830"/>
      <c r="AC3830"/>
      <c r="AD3830"/>
      <c r="AE3830" s="168"/>
      <c r="AF3830" s="168">
        <v>0</v>
      </c>
      <c r="AG3830" s="168" t="str" cm="1">
        <f t="array" ref="AG3830">IF(AF3830="","",_xlfn.TEXTSPLIT(AF3830,"-"))</f>
        <v>0</v>
      </c>
      <c r="AH3830" s="168"/>
    </row>
    <row r="3831" spans="26:34" ht="24" customHeight="1">
      <c r="Z3831"/>
      <c r="AA3831"/>
      <c r="AB3831"/>
      <c r="AC3831"/>
      <c r="AD3831"/>
      <c r="AE3831" s="168"/>
      <c r="AF3831" s="168">
        <v>0</v>
      </c>
      <c r="AG3831" s="168" t="str" cm="1">
        <f t="array" ref="AG3831">IF(AF3831="","",_xlfn.TEXTSPLIT(AF3831,"-"))</f>
        <v>0</v>
      </c>
      <c r="AH3831" s="168"/>
    </row>
    <row r="3832" spans="26:34" ht="24" customHeight="1">
      <c r="Z3832"/>
      <c r="AA3832"/>
      <c r="AB3832"/>
      <c r="AC3832"/>
      <c r="AD3832"/>
      <c r="AE3832" s="168"/>
      <c r="AF3832" s="168">
        <v>0</v>
      </c>
      <c r="AG3832" s="168" t="str" cm="1">
        <f t="array" ref="AG3832">IF(AF3832="","",_xlfn.TEXTSPLIT(AF3832,"-"))</f>
        <v>0</v>
      </c>
      <c r="AH3832" s="168"/>
    </row>
    <row r="3833" spans="26:34" ht="24" customHeight="1">
      <c r="Z3833"/>
      <c r="AA3833"/>
      <c r="AB3833"/>
      <c r="AC3833"/>
      <c r="AD3833"/>
      <c r="AE3833" s="168"/>
      <c r="AF3833" s="168">
        <v>0</v>
      </c>
      <c r="AG3833" s="168" t="str" cm="1">
        <f t="array" ref="AG3833">IF(AF3833="","",_xlfn.TEXTSPLIT(AF3833,"-"))</f>
        <v>0</v>
      </c>
      <c r="AH3833" s="168"/>
    </row>
    <row r="3834" spans="26:34" ht="24" customHeight="1">
      <c r="Z3834"/>
      <c r="AA3834"/>
      <c r="AB3834"/>
      <c r="AC3834"/>
      <c r="AD3834"/>
      <c r="AE3834" s="168"/>
      <c r="AF3834" s="168">
        <v>0</v>
      </c>
      <c r="AG3834" s="168" t="str" cm="1">
        <f t="array" ref="AG3834">IF(AF3834="","",_xlfn.TEXTSPLIT(AF3834,"-"))</f>
        <v>0</v>
      </c>
      <c r="AH3834" s="168"/>
    </row>
    <row r="3835" spans="26:34" ht="24" customHeight="1">
      <c r="Z3835"/>
      <c r="AA3835"/>
      <c r="AB3835"/>
      <c r="AC3835"/>
      <c r="AD3835"/>
      <c r="AE3835" s="168"/>
      <c r="AF3835" s="168">
        <v>0</v>
      </c>
      <c r="AG3835" s="168" t="str" cm="1">
        <f t="array" ref="AG3835">IF(AF3835="","",_xlfn.TEXTSPLIT(AF3835,"-"))</f>
        <v>0</v>
      </c>
      <c r="AH3835" s="168"/>
    </row>
    <row r="3836" spans="26:34" ht="24" customHeight="1">
      <c r="Z3836"/>
      <c r="AA3836"/>
      <c r="AB3836"/>
      <c r="AC3836"/>
      <c r="AD3836"/>
      <c r="AE3836" s="168"/>
      <c r="AF3836" s="168">
        <v>0</v>
      </c>
      <c r="AG3836" s="168" t="str" cm="1">
        <f t="array" ref="AG3836">IF(AF3836="","",_xlfn.TEXTSPLIT(AF3836,"-"))</f>
        <v>0</v>
      </c>
      <c r="AH3836" s="168"/>
    </row>
    <row r="3837" spans="26:34" ht="24" customHeight="1">
      <c r="Z3837"/>
      <c r="AA3837"/>
      <c r="AB3837"/>
      <c r="AC3837"/>
      <c r="AD3837"/>
      <c r="AE3837" s="168"/>
      <c r="AF3837" s="168">
        <v>0</v>
      </c>
      <c r="AG3837" s="168" t="str" cm="1">
        <f t="array" ref="AG3837">IF(AF3837="","",_xlfn.TEXTSPLIT(AF3837,"-"))</f>
        <v>0</v>
      </c>
      <c r="AH3837" s="168"/>
    </row>
    <row r="3838" spans="26:34" ht="24" customHeight="1">
      <c r="Z3838"/>
      <c r="AA3838"/>
      <c r="AB3838"/>
      <c r="AC3838"/>
      <c r="AD3838"/>
      <c r="AE3838" s="168"/>
      <c r="AF3838" s="168">
        <v>0</v>
      </c>
      <c r="AG3838" s="168" t="str" cm="1">
        <f t="array" ref="AG3838">IF(AF3838="","",_xlfn.TEXTSPLIT(AF3838,"-"))</f>
        <v>0</v>
      </c>
      <c r="AH3838" s="168"/>
    </row>
    <row r="3839" spans="26:34" ht="24" customHeight="1">
      <c r="Z3839"/>
      <c r="AA3839"/>
      <c r="AB3839"/>
      <c r="AC3839"/>
      <c r="AD3839"/>
      <c r="AE3839" s="168"/>
      <c r="AF3839" s="168">
        <v>0</v>
      </c>
      <c r="AG3839" s="168" t="str" cm="1">
        <f t="array" ref="AG3839">IF(AF3839="","",_xlfn.TEXTSPLIT(AF3839,"-"))</f>
        <v>0</v>
      </c>
      <c r="AH3839" s="168"/>
    </row>
    <row r="3840" spans="26:34" ht="24" customHeight="1">
      <c r="Z3840"/>
      <c r="AA3840"/>
      <c r="AB3840"/>
      <c r="AC3840"/>
      <c r="AD3840"/>
      <c r="AE3840" s="168"/>
      <c r="AF3840" s="168">
        <v>0</v>
      </c>
      <c r="AG3840" s="168" t="str" cm="1">
        <f t="array" ref="AG3840">IF(AF3840="","",_xlfn.TEXTSPLIT(AF3840,"-"))</f>
        <v>0</v>
      </c>
      <c r="AH3840" s="168"/>
    </row>
    <row r="3841" spans="26:34" ht="24" customHeight="1">
      <c r="Z3841"/>
      <c r="AA3841"/>
      <c r="AB3841"/>
      <c r="AC3841"/>
      <c r="AD3841"/>
      <c r="AE3841" s="168"/>
      <c r="AF3841" s="168">
        <v>0</v>
      </c>
      <c r="AG3841" s="168" t="str" cm="1">
        <f t="array" ref="AG3841">IF(AF3841="","",_xlfn.TEXTSPLIT(AF3841,"-"))</f>
        <v>0</v>
      </c>
      <c r="AH3841" s="168"/>
    </row>
    <row r="3842" spans="26:34" ht="24" customHeight="1">
      <c r="Z3842"/>
      <c r="AA3842"/>
      <c r="AB3842"/>
      <c r="AC3842"/>
      <c r="AD3842"/>
      <c r="AE3842" s="168"/>
      <c r="AF3842" s="168">
        <v>0</v>
      </c>
      <c r="AG3842" s="168" t="str" cm="1">
        <f t="array" ref="AG3842">IF(AF3842="","",_xlfn.TEXTSPLIT(AF3842,"-"))</f>
        <v>0</v>
      </c>
      <c r="AH3842" s="168"/>
    </row>
    <row r="3843" spans="26:34" ht="24" customHeight="1">
      <c r="Z3843"/>
      <c r="AA3843"/>
      <c r="AB3843"/>
      <c r="AC3843"/>
      <c r="AD3843"/>
      <c r="AE3843" s="168"/>
      <c r="AF3843" s="168">
        <v>0</v>
      </c>
      <c r="AG3843" s="168" t="str" cm="1">
        <f t="array" ref="AG3843">IF(AF3843="","",_xlfn.TEXTSPLIT(AF3843,"-"))</f>
        <v>0</v>
      </c>
      <c r="AH3843" s="168"/>
    </row>
    <row r="3844" spans="26:34" ht="24" customHeight="1">
      <c r="Z3844"/>
      <c r="AA3844"/>
      <c r="AB3844"/>
      <c r="AC3844"/>
      <c r="AD3844"/>
      <c r="AE3844" s="168"/>
      <c r="AF3844" s="168">
        <v>0</v>
      </c>
      <c r="AG3844" s="168" t="str" cm="1">
        <f t="array" ref="AG3844">IF(AF3844="","",_xlfn.TEXTSPLIT(AF3844,"-"))</f>
        <v>0</v>
      </c>
      <c r="AH3844" s="168"/>
    </row>
    <row r="3845" spans="26:34" ht="24" customHeight="1">
      <c r="Z3845"/>
      <c r="AA3845"/>
      <c r="AB3845"/>
      <c r="AC3845"/>
      <c r="AD3845"/>
      <c r="AE3845" s="168"/>
      <c r="AF3845" s="168">
        <v>0</v>
      </c>
      <c r="AG3845" s="168" t="str" cm="1">
        <f t="array" ref="AG3845">IF(AF3845="","",_xlfn.TEXTSPLIT(AF3845,"-"))</f>
        <v>0</v>
      </c>
      <c r="AH3845" s="168"/>
    </row>
    <row r="3846" spans="26:34" ht="24" customHeight="1">
      <c r="Z3846"/>
      <c r="AA3846"/>
      <c r="AB3846"/>
      <c r="AC3846"/>
      <c r="AD3846"/>
      <c r="AE3846" s="168"/>
      <c r="AF3846" s="168">
        <v>0</v>
      </c>
      <c r="AG3846" s="168" t="str" cm="1">
        <f t="array" ref="AG3846">IF(AF3846="","",_xlfn.TEXTSPLIT(AF3846,"-"))</f>
        <v>0</v>
      </c>
      <c r="AH3846" s="168"/>
    </row>
    <row r="3847" spans="26:34" ht="24" customHeight="1">
      <c r="Z3847"/>
      <c r="AA3847"/>
      <c r="AB3847"/>
      <c r="AC3847"/>
      <c r="AD3847"/>
      <c r="AE3847" s="168"/>
      <c r="AF3847" s="168">
        <v>0</v>
      </c>
      <c r="AG3847" s="168" t="str" cm="1">
        <f t="array" ref="AG3847">IF(AF3847="","",_xlfn.TEXTSPLIT(AF3847,"-"))</f>
        <v>0</v>
      </c>
      <c r="AH3847" s="168"/>
    </row>
    <row r="3848" spans="26:34" ht="24" customHeight="1">
      <c r="Z3848"/>
      <c r="AA3848"/>
      <c r="AB3848"/>
      <c r="AC3848"/>
      <c r="AD3848"/>
      <c r="AE3848" s="168"/>
      <c r="AF3848" s="168">
        <v>0</v>
      </c>
      <c r="AG3848" s="168" t="str" cm="1">
        <f t="array" ref="AG3848">IF(AF3848="","",_xlfn.TEXTSPLIT(AF3848,"-"))</f>
        <v>0</v>
      </c>
      <c r="AH3848" s="168"/>
    </row>
    <row r="3849" spans="26:34" ht="24" customHeight="1">
      <c r="Z3849"/>
      <c r="AA3849"/>
      <c r="AB3849"/>
      <c r="AC3849"/>
      <c r="AD3849"/>
      <c r="AE3849" s="168"/>
      <c r="AF3849" s="168">
        <v>0</v>
      </c>
      <c r="AG3849" s="168" t="str" cm="1">
        <f t="array" ref="AG3849">IF(AF3849="","",_xlfn.TEXTSPLIT(AF3849,"-"))</f>
        <v>0</v>
      </c>
      <c r="AH3849" s="168"/>
    </row>
    <row r="3850" spans="26:34" ht="24" customHeight="1">
      <c r="Z3850"/>
      <c r="AA3850"/>
      <c r="AB3850"/>
      <c r="AC3850"/>
      <c r="AD3850"/>
      <c r="AE3850" s="168"/>
      <c r="AF3850" s="168">
        <v>0</v>
      </c>
      <c r="AG3850" s="168" t="str" cm="1">
        <f t="array" ref="AG3850">IF(AF3850="","",_xlfn.TEXTSPLIT(AF3850,"-"))</f>
        <v>0</v>
      </c>
      <c r="AH3850" s="168"/>
    </row>
    <row r="3851" spans="26:34" ht="24" customHeight="1">
      <c r="Z3851"/>
      <c r="AA3851"/>
      <c r="AB3851"/>
      <c r="AC3851"/>
      <c r="AD3851"/>
      <c r="AE3851" s="168"/>
      <c r="AF3851" s="168">
        <v>0</v>
      </c>
      <c r="AG3851" s="168" t="str" cm="1">
        <f t="array" ref="AG3851">IF(AF3851="","",_xlfn.TEXTSPLIT(AF3851,"-"))</f>
        <v>0</v>
      </c>
      <c r="AH3851" s="168"/>
    </row>
    <row r="3852" spans="26:34" ht="24" customHeight="1">
      <c r="Z3852"/>
      <c r="AA3852"/>
      <c r="AB3852"/>
      <c r="AC3852"/>
      <c r="AD3852"/>
      <c r="AE3852" s="168"/>
      <c r="AF3852" s="168">
        <v>0</v>
      </c>
      <c r="AG3852" s="168" t="str" cm="1">
        <f t="array" ref="AG3852">IF(AF3852="","",_xlfn.TEXTSPLIT(AF3852,"-"))</f>
        <v>0</v>
      </c>
      <c r="AH3852" s="168"/>
    </row>
    <row r="3853" spans="26:34" ht="24" customHeight="1">
      <c r="Z3853"/>
      <c r="AA3853"/>
      <c r="AB3853"/>
      <c r="AC3853"/>
      <c r="AD3853"/>
      <c r="AE3853" s="168"/>
      <c r="AF3853" s="168">
        <v>0</v>
      </c>
      <c r="AG3853" s="168" t="str" cm="1">
        <f t="array" ref="AG3853">IF(AF3853="","",_xlfn.TEXTSPLIT(AF3853,"-"))</f>
        <v>0</v>
      </c>
      <c r="AH3853" s="168"/>
    </row>
    <row r="3854" spans="26:34" ht="24" customHeight="1">
      <c r="Z3854"/>
      <c r="AA3854"/>
      <c r="AB3854"/>
      <c r="AC3854"/>
      <c r="AD3854"/>
      <c r="AE3854" s="168"/>
      <c r="AF3854" s="168">
        <v>0</v>
      </c>
      <c r="AG3854" s="168" t="str" cm="1">
        <f t="array" ref="AG3854">IF(AF3854="","",_xlfn.TEXTSPLIT(AF3854,"-"))</f>
        <v>0</v>
      </c>
      <c r="AH3854" s="168"/>
    </row>
    <row r="3855" spans="26:34" ht="24" customHeight="1">
      <c r="Z3855"/>
      <c r="AA3855"/>
      <c r="AB3855"/>
      <c r="AC3855"/>
      <c r="AD3855"/>
      <c r="AE3855" s="168"/>
      <c r="AF3855" s="168">
        <v>0</v>
      </c>
      <c r="AG3855" s="168" t="str" cm="1">
        <f t="array" ref="AG3855">IF(AF3855="","",_xlfn.TEXTSPLIT(AF3855,"-"))</f>
        <v>0</v>
      </c>
      <c r="AH3855" s="168"/>
    </row>
    <row r="3856" spans="26:34" ht="24" customHeight="1">
      <c r="Z3856"/>
      <c r="AA3856"/>
      <c r="AB3856"/>
      <c r="AC3856"/>
      <c r="AD3856"/>
      <c r="AE3856" s="168"/>
      <c r="AF3856" s="168">
        <v>0</v>
      </c>
      <c r="AG3856" s="168" t="str" cm="1">
        <f t="array" ref="AG3856">IF(AF3856="","",_xlfn.TEXTSPLIT(AF3856,"-"))</f>
        <v>0</v>
      </c>
      <c r="AH3856" s="168"/>
    </row>
    <row r="3857" spans="26:34" ht="24" customHeight="1">
      <c r="Z3857"/>
      <c r="AA3857"/>
      <c r="AB3857"/>
      <c r="AC3857"/>
      <c r="AD3857"/>
      <c r="AE3857" s="168"/>
      <c r="AF3857" s="168">
        <v>0</v>
      </c>
      <c r="AG3857" s="168" t="str" cm="1">
        <f t="array" ref="AG3857">IF(AF3857="","",_xlfn.TEXTSPLIT(AF3857,"-"))</f>
        <v>0</v>
      </c>
      <c r="AH3857" s="168"/>
    </row>
    <row r="3858" spans="26:34" ht="24" customHeight="1">
      <c r="Z3858"/>
      <c r="AA3858"/>
      <c r="AB3858"/>
      <c r="AC3858"/>
      <c r="AD3858"/>
      <c r="AE3858" s="168"/>
      <c r="AF3858" s="168">
        <v>0</v>
      </c>
      <c r="AG3858" s="168" t="str" cm="1">
        <f t="array" ref="AG3858">IF(AF3858="","",_xlfn.TEXTSPLIT(AF3858,"-"))</f>
        <v>0</v>
      </c>
      <c r="AH3858" s="168"/>
    </row>
    <row r="3859" spans="26:34" ht="24" customHeight="1">
      <c r="Z3859"/>
      <c r="AA3859"/>
      <c r="AB3859"/>
      <c r="AC3859"/>
      <c r="AD3859"/>
      <c r="AE3859" s="168"/>
      <c r="AF3859" s="168">
        <v>0</v>
      </c>
      <c r="AG3859" s="168" t="str" cm="1">
        <f t="array" ref="AG3859">IF(AF3859="","",_xlfn.TEXTSPLIT(AF3859,"-"))</f>
        <v>0</v>
      </c>
      <c r="AH3859" s="168"/>
    </row>
    <row r="3860" spans="26:34" ht="24" customHeight="1">
      <c r="Z3860"/>
      <c r="AA3860"/>
      <c r="AB3860"/>
      <c r="AC3860"/>
      <c r="AD3860"/>
      <c r="AE3860" s="168"/>
      <c r="AF3860" s="168">
        <v>0</v>
      </c>
      <c r="AG3860" s="168" t="str" cm="1">
        <f t="array" ref="AG3860">IF(AF3860="","",_xlfn.TEXTSPLIT(AF3860,"-"))</f>
        <v>0</v>
      </c>
      <c r="AH3860" s="168"/>
    </row>
    <row r="3861" spans="26:34" ht="24" customHeight="1">
      <c r="Z3861"/>
      <c r="AA3861"/>
      <c r="AB3861"/>
      <c r="AC3861"/>
      <c r="AD3861"/>
      <c r="AE3861" s="168"/>
      <c r="AF3861" s="168">
        <v>0</v>
      </c>
      <c r="AG3861" s="168" t="str" cm="1">
        <f t="array" ref="AG3861">IF(AF3861="","",_xlfn.TEXTSPLIT(AF3861,"-"))</f>
        <v>0</v>
      </c>
      <c r="AH3861" s="168"/>
    </row>
    <row r="3862" spans="26:34" ht="24" customHeight="1">
      <c r="Z3862"/>
      <c r="AA3862"/>
      <c r="AB3862"/>
      <c r="AC3862"/>
      <c r="AD3862"/>
      <c r="AE3862" s="168"/>
      <c r="AF3862" s="168">
        <v>0</v>
      </c>
      <c r="AG3862" s="168" t="str" cm="1">
        <f t="array" ref="AG3862">IF(AF3862="","",_xlfn.TEXTSPLIT(AF3862,"-"))</f>
        <v>0</v>
      </c>
      <c r="AH3862" s="168"/>
    </row>
    <row r="3863" spans="26:34" ht="24" customHeight="1">
      <c r="Z3863"/>
      <c r="AA3863"/>
      <c r="AB3863"/>
      <c r="AC3863"/>
      <c r="AD3863"/>
      <c r="AE3863" s="168"/>
      <c r="AF3863" s="168">
        <v>0</v>
      </c>
      <c r="AG3863" s="168" t="str" cm="1">
        <f t="array" ref="AG3863">IF(AF3863="","",_xlfn.TEXTSPLIT(AF3863,"-"))</f>
        <v>0</v>
      </c>
      <c r="AH3863" s="168"/>
    </row>
    <row r="3864" spans="26:34" ht="24" customHeight="1">
      <c r="Z3864"/>
      <c r="AA3864"/>
      <c r="AB3864"/>
      <c r="AC3864"/>
      <c r="AD3864"/>
      <c r="AE3864" s="168"/>
      <c r="AF3864" s="168">
        <v>0</v>
      </c>
      <c r="AG3864" s="168" t="str" cm="1">
        <f t="array" ref="AG3864">IF(AF3864="","",_xlfn.TEXTSPLIT(AF3864,"-"))</f>
        <v>0</v>
      </c>
      <c r="AH3864" s="168"/>
    </row>
    <row r="3865" spans="26:34" ht="24" customHeight="1">
      <c r="Z3865"/>
      <c r="AA3865"/>
      <c r="AB3865"/>
      <c r="AC3865"/>
      <c r="AD3865"/>
      <c r="AE3865" s="168"/>
      <c r="AF3865" s="168">
        <v>0</v>
      </c>
      <c r="AG3865" s="168" t="str" cm="1">
        <f t="array" ref="AG3865">IF(AF3865="","",_xlfn.TEXTSPLIT(AF3865,"-"))</f>
        <v>0</v>
      </c>
      <c r="AH3865" s="168"/>
    </row>
    <row r="3866" spans="26:34" ht="24" customHeight="1">
      <c r="Z3866"/>
      <c r="AA3866"/>
      <c r="AB3866"/>
      <c r="AC3866"/>
      <c r="AD3866"/>
      <c r="AE3866" s="168"/>
      <c r="AF3866" s="168">
        <v>0</v>
      </c>
      <c r="AG3866" s="168" t="str" cm="1">
        <f t="array" ref="AG3866">IF(AF3866="","",_xlfn.TEXTSPLIT(AF3866,"-"))</f>
        <v>0</v>
      </c>
      <c r="AH3866" s="168"/>
    </row>
    <row r="3867" spans="26:34" ht="24" customHeight="1">
      <c r="Z3867"/>
      <c r="AA3867"/>
      <c r="AB3867"/>
      <c r="AC3867"/>
      <c r="AD3867"/>
      <c r="AE3867" s="168"/>
      <c r="AF3867" s="168">
        <v>0</v>
      </c>
      <c r="AG3867" s="168" t="str" cm="1">
        <f t="array" ref="AG3867">IF(AF3867="","",_xlfn.TEXTSPLIT(AF3867,"-"))</f>
        <v>0</v>
      </c>
      <c r="AH3867" s="168"/>
    </row>
    <row r="3868" spans="26:34" ht="24" customHeight="1">
      <c r="Z3868"/>
      <c r="AA3868"/>
      <c r="AB3868"/>
      <c r="AC3868"/>
      <c r="AD3868"/>
      <c r="AE3868" s="168"/>
      <c r="AF3868" s="168">
        <v>0</v>
      </c>
      <c r="AG3868" s="168" t="str" cm="1">
        <f t="array" ref="AG3868">IF(AF3868="","",_xlfn.TEXTSPLIT(AF3868,"-"))</f>
        <v>0</v>
      </c>
      <c r="AH3868" s="168"/>
    </row>
    <row r="3869" spans="26:34" ht="24" customHeight="1">
      <c r="Z3869"/>
      <c r="AA3869"/>
      <c r="AB3869"/>
      <c r="AC3869"/>
      <c r="AD3869"/>
      <c r="AE3869" s="168"/>
      <c r="AF3869" s="168">
        <v>0</v>
      </c>
      <c r="AG3869" s="168" t="str" cm="1">
        <f t="array" ref="AG3869">IF(AF3869="","",_xlfn.TEXTSPLIT(AF3869,"-"))</f>
        <v>0</v>
      </c>
      <c r="AH3869" s="168"/>
    </row>
    <row r="3870" spans="26:34" ht="24" customHeight="1">
      <c r="Z3870"/>
      <c r="AA3870"/>
      <c r="AB3870"/>
      <c r="AC3870"/>
      <c r="AD3870"/>
      <c r="AE3870" s="168"/>
      <c r="AF3870" s="168">
        <v>0</v>
      </c>
      <c r="AG3870" s="168" t="str" cm="1">
        <f t="array" ref="AG3870">IF(AF3870="","",_xlfn.TEXTSPLIT(AF3870,"-"))</f>
        <v>0</v>
      </c>
      <c r="AH3870" s="168"/>
    </row>
    <row r="3871" spans="26:34" ht="24" customHeight="1">
      <c r="Z3871"/>
      <c r="AA3871"/>
      <c r="AB3871"/>
      <c r="AC3871"/>
      <c r="AD3871"/>
      <c r="AE3871" s="168"/>
      <c r="AF3871" s="168">
        <v>0</v>
      </c>
      <c r="AG3871" s="168" t="str" cm="1">
        <f t="array" ref="AG3871">IF(AF3871="","",_xlfn.TEXTSPLIT(AF3871,"-"))</f>
        <v>0</v>
      </c>
      <c r="AH3871" s="168"/>
    </row>
    <row r="3872" spans="26:34" ht="24" customHeight="1">
      <c r="Z3872"/>
      <c r="AA3872"/>
      <c r="AB3872"/>
      <c r="AC3872"/>
      <c r="AD3872"/>
      <c r="AE3872" s="168"/>
      <c r="AF3872" s="168">
        <v>0</v>
      </c>
      <c r="AG3872" s="168" t="str" cm="1">
        <f t="array" ref="AG3872">IF(AF3872="","",_xlfn.TEXTSPLIT(AF3872,"-"))</f>
        <v>0</v>
      </c>
      <c r="AH3872" s="168"/>
    </row>
    <row r="3873" spans="26:34" ht="24" customHeight="1">
      <c r="Z3873"/>
      <c r="AA3873"/>
      <c r="AB3873"/>
      <c r="AC3873"/>
      <c r="AD3873"/>
      <c r="AE3873" s="168"/>
      <c r="AF3873" s="168">
        <v>0</v>
      </c>
      <c r="AG3873" s="168" t="str" cm="1">
        <f t="array" ref="AG3873">IF(AF3873="","",_xlfn.TEXTSPLIT(AF3873,"-"))</f>
        <v>0</v>
      </c>
      <c r="AH3873" s="168"/>
    </row>
    <row r="3874" spans="26:34" ht="24" customHeight="1">
      <c r="Z3874"/>
      <c r="AA3874"/>
      <c r="AB3874"/>
      <c r="AC3874"/>
      <c r="AD3874"/>
      <c r="AE3874" s="168"/>
      <c r="AF3874" s="168">
        <v>0</v>
      </c>
      <c r="AG3874" s="168" t="str" cm="1">
        <f t="array" ref="AG3874">IF(AF3874="","",_xlfn.TEXTSPLIT(AF3874,"-"))</f>
        <v>0</v>
      </c>
      <c r="AH3874" s="168"/>
    </row>
    <row r="3875" spans="26:34" ht="24" customHeight="1">
      <c r="Z3875"/>
      <c r="AA3875"/>
      <c r="AB3875"/>
      <c r="AC3875"/>
      <c r="AD3875"/>
      <c r="AE3875" s="168"/>
      <c r="AF3875" s="168">
        <v>0</v>
      </c>
      <c r="AG3875" s="168" t="str" cm="1">
        <f t="array" ref="AG3875">IF(AF3875="","",_xlfn.TEXTSPLIT(AF3875,"-"))</f>
        <v>0</v>
      </c>
      <c r="AH3875" s="168"/>
    </row>
    <row r="3876" spans="26:34" ht="24" customHeight="1">
      <c r="Z3876"/>
      <c r="AA3876"/>
      <c r="AB3876"/>
      <c r="AC3876"/>
      <c r="AD3876"/>
      <c r="AE3876" s="168"/>
      <c r="AF3876" s="168">
        <v>0</v>
      </c>
      <c r="AG3876" s="168" t="str" cm="1">
        <f t="array" ref="AG3876">IF(AF3876="","",_xlfn.TEXTSPLIT(AF3876,"-"))</f>
        <v>0</v>
      </c>
      <c r="AH3876" s="168"/>
    </row>
    <row r="3877" spans="26:34" ht="24" customHeight="1">
      <c r="Z3877"/>
      <c r="AA3877"/>
      <c r="AB3877"/>
      <c r="AC3877"/>
      <c r="AD3877"/>
      <c r="AE3877" s="168"/>
      <c r="AF3877" s="168">
        <v>0</v>
      </c>
      <c r="AG3877" s="168" t="str" cm="1">
        <f t="array" ref="AG3877">IF(AF3877="","",_xlfn.TEXTSPLIT(AF3877,"-"))</f>
        <v>0</v>
      </c>
      <c r="AH3877" s="168"/>
    </row>
    <row r="3878" spans="26:34" ht="24" customHeight="1">
      <c r="Z3878"/>
      <c r="AA3878"/>
      <c r="AB3878"/>
      <c r="AC3878"/>
      <c r="AD3878"/>
      <c r="AE3878" s="168"/>
      <c r="AF3878" s="168">
        <v>0</v>
      </c>
      <c r="AG3878" s="168" t="str" cm="1">
        <f t="array" ref="AG3878">IF(AF3878="","",_xlfn.TEXTSPLIT(AF3878,"-"))</f>
        <v>0</v>
      </c>
      <c r="AH3878" s="168"/>
    </row>
    <row r="3879" spans="26:34" ht="24" customHeight="1">
      <c r="Z3879"/>
      <c r="AA3879"/>
      <c r="AB3879"/>
      <c r="AC3879"/>
      <c r="AD3879"/>
      <c r="AE3879" s="168"/>
      <c r="AF3879" s="168">
        <v>0</v>
      </c>
      <c r="AG3879" s="168" t="str" cm="1">
        <f t="array" ref="AG3879">IF(AF3879="","",_xlfn.TEXTSPLIT(AF3879,"-"))</f>
        <v>0</v>
      </c>
      <c r="AH3879" s="168"/>
    </row>
    <row r="3880" spans="26:34" ht="24" customHeight="1">
      <c r="Z3880"/>
      <c r="AA3880"/>
      <c r="AB3880"/>
      <c r="AC3880"/>
      <c r="AD3880"/>
      <c r="AE3880" s="168"/>
      <c r="AF3880" s="168">
        <v>0</v>
      </c>
      <c r="AG3880" s="168" t="str" cm="1">
        <f t="array" ref="AG3880">IF(AF3880="","",_xlfn.TEXTSPLIT(AF3880,"-"))</f>
        <v>0</v>
      </c>
      <c r="AH3880" s="168"/>
    </row>
    <row r="3881" spans="26:34" ht="24" customHeight="1">
      <c r="Z3881"/>
      <c r="AA3881"/>
      <c r="AB3881"/>
      <c r="AC3881"/>
      <c r="AD3881"/>
      <c r="AE3881" s="168"/>
      <c r="AF3881" s="168">
        <v>0</v>
      </c>
      <c r="AG3881" s="168" t="str" cm="1">
        <f t="array" ref="AG3881">IF(AF3881="","",_xlfn.TEXTSPLIT(AF3881,"-"))</f>
        <v>0</v>
      </c>
      <c r="AH3881" s="168"/>
    </row>
    <row r="3882" spans="26:34" ht="24" customHeight="1">
      <c r="Z3882"/>
      <c r="AA3882"/>
      <c r="AB3882"/>
      <c r="AC3882"/>
      <c r="AD3882"/>
      <c r="AE3882" s="168"/>
      <c r="AF3882" s="168">
        <v>0</v>
      </c>
      <c r="AG3882" s="168" t="str" cm="1">
        <f t="array" ref="AG3882">IF(AF3882="","",_xlfn.TEXTSPLIT(AF3882,"-"))</f>
        <v>0</v>
      </c>
      <c r="AH3882" s="168"/>
    </row>
    <row r="3883" spans="26:34" ht="24" customHeight="1">
      <c r="Z3883"/>
      <c r="AA3883"/>
      <c r="AB3883"/>
      <c r="AC3883"/>
      <c r="AD3883"/>
      <c r="AE3883" s="168"/>
      <c r="AF3883" s="168">
        <v>0</v>
      </c>
      <c r="AG3883" s="168" t="str" cm="1">
        <f t="array" ref="AG3883">IF(AF3883="","",_xlfn.TEXTSPLIT(AF3883,"-"))</f>
        <v>0</v>
      </c>
      <c r="AH3883" s="168"/>
    </row>
    <row r="3884" spans="26:34" ht="24" customHeight="1">
      <c r="Z3884"/>
      <c r="AA3884"/>
      <c r="AB3884"/>
      <c r="AC3884"/>
      <c r="AD3884"/>
      <c r="AE3884" s="168"/>
      <c r="AF3884" s="168">
        <v>0</v>
      </c>
      <c r="AG3884" s="168" t="str" cm="1">
        <f t="array" ref="AG3884">IF(AF3884="","",_xlfn.TEXTSPLIT(AF3884,"-"))</f>
        <v>0</v>
      </c>
      <c r="AH3884" s="168"/>
    </row>
    <row r="3885" spans="26:34" ht="24" customHeight="1">
      <c r="Z3885"/>
      <c r="AA3885"/>
      <c r="AB3885"/>
      <c r="AC3885"/>
      <c r="AD3885"/>
      <c r="AE3885" s="168"/>
      <c r="AF3885" s="168">
        <v>0</v>
      </c>
      <c r="AG3885" s="168" t="str" cm="1">
        <f t="array" ref="AG3885">IF(AF3885="","",_xlfn.TEXTSPLIT(AF3885,"-"))</f>
        <v>0</v>
      </c>
      <c r="AH3885" s="168"/>
    </row>
    <row r="3886" spans="26:34" ht="24" customHeight="1">
      <c r="Z3886"/>
      <c r="AA3886"/>
      <c r="AB3886"/>
      <c r="AC3886"/>
      <c r="AD3886"/>
      <c r="AE3886" s="168"/>
      <c r="AF3886" s="168">
        <v>0</v>
      </c>
      <c r="AG3886" s="168" t="str" cm="1">
        <f t="array" ref="AG3886">IF(AF3886="","",_xlfn.TEXTSPLIT(AF3886,"-"))</f>
        <v>0</v>
      </c>
      <c r="AH3886" s="168"/>
    </row>
    <row r="3887" spans="26:34" ht="24" customHeight="1">
      <c r="Z3887"/>
      <c r="AA3887"/>
      <c r="AB3887"/>
      <c r="AC3887"/>
      <c r="AD3887"/>
      <c r="AE3887" s="168"/>
      <c r="AF3887" s="168">
        <v>0</v>
      </c>
      <c r="AG3887" s="168" t="str" cm="1">
        <f t="array" ref="AG3887">IF(AF3887="","",_xlfn.TEXTSPLIT(AF3887,"-"))</f>
        <v>0</v>
      </c>
      <c r="AH3887" s="168"/>
    </row>
    <row r="3888" spans="26:34" ht="24" customHeight="1">
      <c r="Z3888"/>
      <c r="AA3888"/>
      <c r="AB3888"/>
      <c r="AC3888"/>
      <c r="AD3888"/>
      <c r="AE3888" s="168"/>
      <c r="AF3888" s="168">
        <v>0</v>
      </c>
      <c r="AG3888" s="168" t="str" cm="1">
        <f t="array" ref="AG3888">IF(AF3888="","",_xlfn.TEXTSPLIT(AF3888,"-"))</f>
        <v>0</v>
      </c>
      <c r="AH3888" s="168"/>
    </row>
    <row r="3889" spans="26:34" ht="24" customHeight="1">
      <c r="Z3889"/>
      <c r="AA3889"/>
      <c r="AB3889"/>
      <c r="AC3889"/>
      <c r="AD3889"/>
      <c r="AE3889" s="168"/>
      <c r="AF3889" s="168">
        <v>0</v>
      </c>
      <c r="AG3889" s="168" t="str" cm="1">
        <f t="array" ref="AG3889">IF(AF3889="","",_xlfn.TEXTSPLIT(AF3889,"-"))</f>
        <v>0</v>
      </c>
      <c r="AH3889" s="168"/>
    </row>
    <row r="3890" spans="26:34" ht="24" customHeight="1">
      <c r="Z3890"/>
      <c r="AA3890"/>
      <c r="AB3890"/>
      <c r="AC3890"/>
      <c r="AD3890"/>
      <c r="AE3890" s="168"/>
      <c r="AF3890" s="168">
        <v>0</v>
      </c>
      <c r="AG3890" s="168" t="str" cm="1">
        <f t="array" ref="AG3890">IF(AF3890="","",_xlfn.TEXTSPLIT(AF3890,"-"))</f>
        <v>0</v>
      </c>
      <c r="AH3890" s="168"/>
    </row>
    <row r="3891" spans="26:34" ht="24" customHeight="1">
      <c r="Z3891"/>
      <c r="AA3891"/>
      <c r="AB3891"/>
      <c r="AC3891"/>
      <c r="AD3891"/>
      <c r="AE3891" s="168"/>
      <c r="AF3891" s="168">
        <v>0</v>
      </c>
      <c r="AG3891" s="168" t="str" cm="1">
        <f t="array" ref="AG3891">IF(AF3891="","",_xlfn.TEXTSPLIT(AF3891,"-"))</f>
        <v>0</v>
      </c>
      <c r="AH3891" s="168"/>
    </row>
    <row r="3892" spans="26:34" ht="24" customHeight="1">
      <c r="Z3892"/>
      <c r="AA3892"/>
      <c r="AB3892"/>
      <c r="AC3892"/>
      <c r="AD3892"/>
      <c r="AE3892" s="168"/>
      <c r="AF3892" s="168">
        <v>0</v>
      </c>
      <c r="AG3892" s="168" t="str" cm="1">
        <f t="array" ref="AG3892">IF(AF3892="","",_xlfn.TEXTSPLIT(AF3892,"-"))</f>
        <v>0</v>
      </c>
      <c r="AH3892" s="168"/>
    </row>
    <row r="3893" spans="26:34" ht="24" customHeight="1">
      <c r="Z3893"/>
      <c r="AA3893"/>
      <c r="AB3893"/>
      <c r="AC3893"/>
      <c r="AD3893"/>
      <c r="AE3893" s="168"/>
      <c r="AF3893" s="168">
        <v>0</v>
      </c>
      <c r="AG3893" s="168" t="str" cm="1">
        <f t="array" ref="AG3893">IF(AF3893="","",_xlfn.TEXTSPLIT(AF3893,"-"))</f>
        <v>0</v>
      </c>
      <c r="AH3893" s="168"/>
    </row>
    <row r="3894" spans="26:34" ht="24" customHeight="1">
      <c r="Z3894"/>
      <c r="AA3894"/>
      <c r="AB3894"/>
      <c r="AC3894"/>
      <c r="AD3894"/>
      <c r="AE3894" s="168"/>
      <c r="AF3894" s="168">
        <v>0</v>
      </c>
      <c r="AG3894" s="168" t="str" cm="1">
        <f t="array" ref="AG3894">IF(AF3894="","",_xlfn.TEXTSPLIT(AF3894,"-"))</f>
        <v>0</v>
      </c>
      <c r="AH3894" s="168"/>
    </row>
    <row r="3895" spans="26:34" ht="24" customHeight="1">
      <c r="Z3895"/>
      <c r="AA3895"/>
      <c r="AB3895"/>
      <c r="AC3895"/>
      <c r="AD3895"/>
      <c r="AE3895" s="168"/>
      <c r="AF3895" s="168">
        <v>0</v>
      </c>
      <c r="AG3895" s="168" t="str" cm="1">
        <f t="array" ref="AG3895">IF(AF3895="","",_xlfn.TEXTSPLIT(AF3895,"-"))</f>
        <v>0</v>
      </c>
      <c r="AH3895" s="168"/>
    </row>
    <row r="3896" spans="26:34" ht="24" customHeight="1">
      <c r="Z3896"/>
      <c r="AA3896"/>
      <c r="AB3896"/>
      <c r="AC3896"/>
      <c r="AD3896"/>
      <c r="AE3896" s="168"/>
      <c r="AF3896" s="168">
        <v>0</v>
      </c>
      <c r="AG3896" s="168" t="str" cm="1">
        <f t="array" ref="AG3896">IF(AF3896="","",_xlfn.TEXTSPLIT(AF3896,"-"))</f>
        <v>0</v>
      </c>
      <c r="AH3896" s="168"/>
    </row>
    <row r="3897" spans="26:34" ht="24" customHeight="1">
      <c r="Z3897"/>
      <c r="AA3897"/>
      <c r="AB3897"/>
      <c r="AC3897"/>
      <c r="AD3897"/>
      <c r="AE3897" s="168"/>
      <c r="AF3897" s="168">
        <v>0</v>
      </c>
      <c r="AG3897" s="168" t="str" cm="1">
        <f t="array" ref="AG3897">IF(AF3897="","",_xlfn.TEXTSPLIT(AF3897,"-"))</f>
        <v>0</v>
      </c>
      <c r="AH3897" s="168"/>
    </row>
    <row r="3898" spans="26:34" ht="24" customHeight="1">
      <c r="Z3898"/>
      <c r="AA3898"/>
      <c r="AB3898"/>
      <c r="AC3898"/>
      <c r="AD3898"/>
      <c r="AE3898" s="168"/>
      <c r="AF3898" s="168">
        <v>0</v>
      </c>
      <c r="AG3898" s="168" t="str" cm="1">
        <f t="array" ref="AG3898">IF(AF3898="","",_xlfn.TEXTSPLIT(AF3898,"-"))</f>
        <v>0</v>
      </c>
      <c r="AH3898" s="168"/>
    </row>
    <row r="3899" spans="26:34" ht="24" customHeight="1">
      <c r="Z3899"/>
      <c r="AA3899"/>
      <c r="AB3899"/>
      <c r="AC3899"/>
      <c r="AD3899"/>
      <c r="AE3899" s="168"/>
      <c r="AF3899" s="168">
        <v>0</v>
      </c>
      <c r="AG3899" s="168" t="str" cm="1">
        <f t="array" ref="AG3899">IF(AF3899="","",_xlfn.TEXTSPLIT(AF3899,"-"))</f>
        <v>0</v>
      </c>
      <c r="AH3899" s="168"/>
    </row>
    <row r="3900" spans="26:34" ht="24" customHeight="1">
      <c r="Z3900"/>
      <c r="AA3900"/>
      <c r="AB3900"/>
      <c r="AC3900"/>
      <c r="AD3900"/>
      <c r="AE3900" s="168"/>
      <c r="AF3900" s="168">
        <v>0</v>
      </c>
      <c r="AG3900" s="168" t="str" cm="1">
        <f t="array" ref="AG3900">IF(AF3900="","",_xlfn.TEXTSPLIT(AF3900,"-"))</f>
        <v>0</v>
      </c>
      <c r="AH3900" s="168"/>
    </row>
    <row r="3901" spans="26:34" ht="24" customHeight="1">
      <c r="Z3901"/>
      <c r="AA3901"/>
      <c r="AB3901"/>
      <c r="AC3901"/>
      <c r="AD3901"/>
      <c r="AE3901" s="168"/>
      <c r="AF3901" s="168">
        <v>0</v>
      </c>
      <c r="AG3901" s="168" t="str" cm="1">
        <f t="array" ref="AG3901">IF(AF3901="","",_xlfn.TEXTSPLIT(AF3901,"-"))</f>
        <v>0</v>
      </c>
      <c r="AH3901" s="168"/>
    </row>
    <row r="3902" spans="26:34" ht="24" customHeight="1">
      <c r="Z3902"/>
      <c r="AA3902"/>
      <c r="AB3902"/>
      <c r="AC3902"/>
      <c r="AD3902"/>
      <c r="AE3902" s="168"/>
      <c r="AF3902" s="168">
        <v>0</v>
      </c>
      <c r="AG3902" s="168" t="str" cm="1">
        <f t="array" ref="AG3902">IF(AF3902="","",_xlfn.TEXTSPLIT(AF3902,"-"))</f>
        <v>0</v>
      </c>
      <c r="AH3902" s="168"/>
    </row>
    <row r="3903" spans="26:34" ht="24" customHeight="1">
      <c r="Z3903"/>
      <c r="AA3903"/>
      <c r="AB3903"/>
      <c r="AC3903"/>
      <c r="AD3903"/>
      <c r="AE3903" s="168"/>
      <c r="AF3903" s="168">
        <v>0</v>
      </c>
      <c r="AG3903" s="168" t="str" cm="1">
        <f t="array" ref="AG3903">IF(AF3903="","",_xlfn.TEXTSPLIT(AF3903,"-"))</f>
        <v>0</v>
      </c>
      <c r="AH3903" s="168"/>
    </row>
    <row r="3904" spans="26:34" ht="24" customHeight="1">
      <c r="Z3904"/>
      <c r="AA3904"/>
      <c r="AB3904"/>
      <c r="AC3904"/>
      <c r="AD3904"/>
      <c r="AE3904" s="168"/>
      <c r="AF3904" s="168">
        <v>0</v>
      </c>
      <c r="AG3904" s="168" t="str" cm="1">
        <f t="array" ref="AG3904">IF(AF3904="","",_xlfn.TEXTSPLIT(AF3904,"-"))</f>
        <v>0</v>
      </c>
      <c r="AH3904" s="168"/>
    </row>
    <row r="3905" spans="26:34" ht="24" customHeight="1">
      <c r="Z3905"/>
      <c r="AA3905"/>
      <c r="AB3905"/>
      <c r="AC3905"/>
      <c r="AD3905"/>
      <c r="AE3905" s="168"/>
      <c r="AF3905" s="168">
        <v>0</v>
      </c>
      <c r="AG3905" s="168" t="str" cm="1">
        <f t="array" ref="AG3905">IF(AF3905="","",_xlfn.TEXTSPLIT(AF3905,"-"))</f>
        <v>0</v>
      </c>
      <c r="AH3905" s="168"/>
    </row>
    <row r="3906" spans="26:34" ht="24" customHeight="1">
      <c r="Z3906"/>
      <c r="AA3906"/>
      <c r="AB3906"/>
      <c r="AC3906"/>
      <c r="AD3906"/>
      <c r="AE3906" s="168"/>
      <c r="AF3906" s="168">
        <v>0</v>
      </c>
      <c r="AG3906" s="168" t="str" cm="1">
        <f t="array" ref="AG3906">IF(AF3906="","",_xlfn.TEXTSPLIT(AF3906,"-"))</f>
        <v>0</v>
      </c>
      <c r="AH3906" s="168"/>
    </row>
    <row r="3907" spans="26:34" ht="24" customHeight="1">
      <c r="Z3907"/>
      <c r="AA3907"/>
      <c r="AB3907"/>
      <c r="AC3907"/>
      <c r="AD3907"/>
      <c r="AE3907" s="168"/>
      <c r="AF3907" s="168">
        <v>0</v>
      </c>
      <c r="AG3907" s="168" t="str" cm="1">
        <f t="array" ref="AG3907">IF(AF3907="","",_xlfn.TEXTSPLIT(AF3907,"-"))</f>
        <v>0</v>
      </c>
      <c r="AH3907" s="168"/>
    </row>
    <row r="3908" spans="26:34" ht="24" customHeight="1">
      <c r="Z3908"/>
      <c r="AA3908"/>
      <c r="AB3908"/>
      <c r="AC3908"/>
      <c r="AD3908"/>
      <c r="AE3908" s="168"/>
      <c r="AF3908" s="168">
        <v>0</v>
      </c>
      <c r="AG3908" s="168" t="str" cm="1">
        <f t="array" ref="AG3908">IF(AF3908="","",_xlfn.TEXTSPLIT(AF3908,"-"))</f>
        <v>0</v>
      </c>
      <c r="AH3908" s="168"/>
    </row>
    <row r="3909" spans="26:34" ht="24" customHeight="1">
      <c r="Z3909"/>
      <c r="AA3909"/>
      <c r="AB3909"/>
      <c r="AC3909"/>
      <c r="AD3909"/>
      <c r="AE3909" s="168"/>
      <c r="AF3909" s="168">
        <v>0</v>
      </c>
      <c r="AG3909" s="168" t="str" cm="1">
        <f t="array" ref="AG3909">IF(AF3909="","",_xlfn.TEXTSPLIT(AF3909,"-"))</f>
        <v>0</v>
      </c>
      <c r="AH3909" s="168"/>
    </row>
    <row r="3910" spans="26:34" ht="24" customHeight="1">
      <c r="Z3910"/>
      <c r="AA3910"/>
      <c r="AB3910"/>
      <c r="AC3910"/>
      <c r="AD3910"/>
      <c r="AE3910" s="168"/>
      <c r="AF3910" s="168">
        <v>0</v>
      </c>
      <c r="AG3910" s="168" t="str" cm="1">
        <f t="array" ref="AG3910">IF(AF3910="","",_xlfn.TEXTSPLIT(AF3910,"-"))</f>
        <v>0</v>
      </c>
      <c r="AH3910" s="168"/>
    </row>
    <row r="3911" spans="26:34" ht="24" customHeight="1">
      <c r="Z3911"/>
      <c r="AA3911"/>
      <c r="AB3911"/>
      <c r="AC3911"/>
      <c r="AD3911"/>
      <c r="AE3911" s="168"/>
      <c r="AF3911" s="168">
        <v>0</v>
      </c>
      <c r="AG3911" s="168" t="str" cm="1">
        <f t="array" ref="AG3911">IF(AF3911="","",_xlfn.TEXTSPLIT(AF3911,"-"))</f>
        <v>0</v>
      </c>
      <c r="AH3911" s="168"/>
    </row>
    <row r="3912" spans="26:34" ht="24" customHeight="1">
      <c r="Z3912"/>
      <c r="AA3912"/>
      <c r="AB3912"/>
      <c r="AC3912"/>
      <c r="AD3912"/>
      <c r="AE3912" s="168"/>
      <c r="AF3912" s="168">
        <v>0</v>
      </c>
      <c r="AG3912" s="168" t="str" cm="1">
        <f t="array" ref="AG3912">IF(AF3912="","",_xlfn.TEXTSPLIT(AF3912,"-"))</f>
        <v>0</v>
      </c>
      <c r="AH3912" s="168"/>
    </row>
    <row r="3913" spans="26:34" ht="24" customHeight="1">
      <c r="Z3913"/>
      <c r="AA3913"/>
      <c r="AB3913"/>
      <c r="AC3913"/>
      <c r="AD3913"/>
      <c r="AE3913" s="168"/>
      <c r="AF3913" s="168">
        <v>0</v>
      </c>
      <c r="AG3913" s="168" t="str" cm="1">
        <f t="array" ref="AG3913">IF(AF3913="","",_xlfn.TEXTSPLIT(AF3913,"-"))</f>
        <v>0</v>
      </c>
      <c r="AH3913" s="168"/>
    </row>
    <row r="3914" spans="26:34" ht="24" customHeight="1">
      <c r="Z3914"/>
      <c r="AA3914"/>
      <c r="AB3914"/>
      <c r="AC3914"/>
      <c r="AD3914"/>
      <c r="AE3914" s="168"/>
      <c r="AF3914" s="168">
        <v>0</v>
      </c>
      <c r="AG3914" s="168"/>
      <c r="AH3914" s="168"/>
    </row>
    <row r="3915" spans="26:34" ht="24" customHeight="1">
      <c r="Z3915"/>
      <c r="AA3915"/>
      <c r="AB3915"/>
      <c r="AC3915"/>
      <c r="AD3915"/>
      <c r="AE3915" s="168"/>
      <c r="AF3915" s="168">
        <v>0</v>
      </c>
      <c r="AG3915" s="168"/>
      <c r="AH3915" s="168"/>
    </row>
    <row r="3916" spans="26:34" ht="24" customHeight="1">
      <c r="Z3916"/>
      <c r="AA3916"/>
      <c r="AB3916"/>
      <c r="AC3916"/>
      <c r="AD3916"/>
      <c r="AE3916" s="168"/>
      <c r="AF3916" s="168">
        <v>0</v>
      </c>
      <c r="AG3916" s="168"/>
      <c r="AH3916" s="168"/>
    </row>
    <row r="3917" spans="26:34" ht="24" customHeight="1">
      <c r="Z3917"/>
      <c r="AA3917"/>
      <c r="AB3917"/>
      <c r="AC3917"/>
      <c r="AD3917"/>
      <c r="AE3917" s="168"/>
      <c r="AF3917" s="168">
        <v>0</v>
      </c>
      <c r="AG3917" s="168"/>
      <c r="AH3917" s="168"/>
    </row>
    <row r="3918" spans="26:34" ht="24" customHeight="1">
      <c r="Z3918"/>
      <c r="AA3918"/>
      <c r="AB3918"/>
      <c r="AC3918"/>
      <c r="AD3918"/>
      <c r="AE3918" s="168"/>
      <c r="AF3918" s="168">
        <v>0</v>
      </c>
      <c r="AG3918" s="168"/>
      <c r="AH3918" s="168"/>
    </row>
    <row r="3919" spans="26:34" ht="24" customHeight="1">
      <c r="Z3919"/>
      <c r="AA3919"/>
      <c r="AB3919"/>
      <c r="AC3919"/>
      <c r="AD3919"/>
      <c r="AE3919" s="168"/>
      <c r="AF3919" s="168">
        <v>0</v>
      </c>
      <c r="AG3919" s="168"/>
      <c r="AH3919" s="168"/>
    </row>
    <row r="3920" spans="26:34" ht="24" customHeight="1">
      <c r="Z3920"/>
      <c r="AA3920"/>
      <c r="AB3920"/>
      <c r="AC3920"/>
      <c r="AD3920"/>
      <c r="AE3920" s="168"/>
      <c r="AF3920" s="168">
        <v>0</v>
      </c>
      <c r="AG3920" s="168"/>
      <c r="AH3920" s="168"/>
    </row>
    <row r="3921" spans="26:34" ht="24" customHeight="1">
      <c r="Z3921"/>
      <c r="AA3921"/>
      <c r="AB3921"/>
      <c r="AC3921"/>
      <c r="AD3921"/>
      <c r="AE3921" s="168"/>
      <c r="AF3921" s="168">
        <v>0</v>
      </c>
      <c r="AG3921" s="168"/>
      <c r="AH3921" s="168"/>
    </row>
    <row r="3922" spans="26:34" ht="24" customHeight="1">
      <c r="Z3922"/>
      <c r="AA3922"/>
      <c r="AB3922"/>
      <c r="AC3922"/>
      <c r="AD3922"/>
      <c r="AE3922" s="168"/>
      <c r="AF3922" s="168">
        <v>0</v>
      </c>
      <c r="AG3922" s="168"/>
      <c r="AH3922" s="168"/>
    </row>
    <row r="3923" spans="26:34" ht="24" customHeight="1">
      <c r="Z3923"/>
      <c r="AA3923"/>
      <c r="AB3923"/>
      <c r="AC3923"/>
      <c r="AD3923"/>
      <c r="AE3923" s="168"/>
      <c r="AF3923" s="168">
        <v>0</v>
      </c>
      <c r="AG3923" s="168"/>
      <c r="AH3923" s="168"/>
    </row>
    <row r="3924" spans="26:34" ht="24" customHeight="1">
      <c r="Z3924"/>
      <c r="AA3924"/>
      <c r="AB3924"/>
      <c r="AC3924"/>
      <c r="AD3924"/>
      <c r="AE3924" s="168"/>
      <c r="AF3924" s="168">
        <v>0</v>
      </c>
      <c r="AG3924" s="168"/>
      <c r="AH3924" s="168"/>
    </row>
    <row r="3925" spans="26:34" ht="24" customHeight="1">
      <c r="Z3925"/>
      <c r="AA3925"/>
      <c r="AB3925"/>
      <c r="AC3925"/>
      <c r="AD3925"/>
      <c r="AE3925" s="168"/>
      <c r="AF3925" s="168">
        <v>0</v>
      </c>
      <c r="AG3925" s="168"/>
      <c r="AH3925" s="168"/>
    </row>
    <row r="3926" spans="26:34" ht="24" customHeight="1">
      <c r="Z3926"/>
      <c r="AA3926"/>
      <c r="AB3926"/>
      <c r="AC3926"/>
      <c r="AD3926"/>
      <c r="AE3926" s="168"/>
      <c r="AF3926" s="168">
        <v>0</v>
      </c>
      <c r="AG3926" s="168"/>
      <c r="AH3926" s="168"/>
    </row>
    <row r="3927" spans="26:34" ht="24" customHeight="1">
      <c r="Z3927"/>
      <c r="AA3927"/>
      <c r="AB3927"/>
      <c r="AC3927"/>
      <c r="AD3927"/>
      <c r="AE3927" s="168"/>
      <c r="AF3927" s="168">
        <v>0</v>
      </c>
      <c r="AG3927" s="168"/>
      <c r="AH3927" s="168"/>
    </row>
    <row r="3928" spans="26:34" ht="24" customHeight="1">
      <c r="Z3928"/>
      <c r="AA3928"/>
      <c r="AB3928"/>
      <c r="AC3928"/>
      <c r="AD3928"/>
      <c r="AE3928" s="168"/>
      <c r="AF3928" s="168">
        <v>0</v>
      </c>
      <c r="AG3928" s="168"/>
      <c r="AH3928" s="168"/>
    </row>
    <row r="3929" spans="26:34" ht="24" customHeight="1">
      <c r="Z3929"/>
      <c r="AA3929"/>
      <c r="AB3929"/>
      <c r="AC3929"/>
      <c r="AD3929"/>
      <c r="AE3929" s="168"/>
      <c r="AF3929" s="168">
        <v>0</v>
      </c>
      <c r="AG3929" s="168"/>
      <c r="AH3929" s="168"/>
    </row>
    <row r="3930" spans="26:34" ht="24" customHeight="1">
      <c r="Z3930"/>
      <c r="AA3930"/>
      <c r="AB3930"/>
      <c r="AC3930"/>
      <c r="AD3930"/>
      <c r="AE3930" s="168"/>
      <c r="AF3930" s="168">
        <v>0</v>
      </c>
      <c r="AG3930" s="168"/>
      <c r="AH3930" s="168"/>
    </row>
    <row r="3931" spans="26:34" ht="24" customHeight="1">
      <c r="Z3931"/>
      <c r="AA3931"/>
      <c r="AB3931"/>
      <c r="AC3931"/>
      <c r="AD3931"/>
      <c r="AE3931" s="168"/>
      <c r="AF3931" s="168">
        <v>0</v>
      </c>
      <c r="AG3931" s="168"/>
      <c r="AH3931" s="168"/>
    </row>
    <row r="3932" spans="26:34" ht="24" customHeight="1">
      <c r="Z3932"/>
      <c r="AA3932"/>
      <c r="AB3932"/>
      <c r="AC3932"/>
      <c r="AD3932"/>
      <c r="AE3932" s="168"/>
      <c r="AF3932" s="168">
        <v>0</v>
      </c>
      <c r="AG3932" s="168"/>
      <c r="AH3932" s="168"/>
    </row>
    <row r="3933" spans="26:34" ht="24" customHeight="1">
      <c r="Z3933"/>
      <c r="AA3933"/>
      <c r="AB3933"/>
      <c r="AC3933"/>
      <c r="AD3933"/>
      <c r="AE3933" s="168"/>
      <c r="AF3933" s="168">
        <v>0</v>
      </c>
      <c r="AG3933" s="168"/>
      <c r="AH3933" s="168"/>
    </row>
    <row r="3934" spans="26:34" ht="24" customHeight="1">
      <c r="Z3934"/>
      <c r="AA3934"/>
      <c r="AB3934"/>
      <c r="AC3934"/>
      <c r="AD3934"/>
      <c r="AE3934" s="168"/>
      <c r="AF3934" s="168">
        <v>0</v>
      </c>
      <c r="AG3934" s="168"/>
      <c r="AH3934" s="168"/>
    </row>
    <row r="3935" spans="26:34" ht="24" customHeight="1">
      <c r="Z3935"/>
      <c r="AA3935"/>
      <c r="AB3935"/>
      <c r="AC3935"/>
      <c r="AD3935"/>
      <c r="AE3935" s="168"/>
      <c r="AF3935" s="168">
        <v>0</v>
      </c>
      <c r="AG3935" s="168"/>
      <c r="AH3935" s="168"/>
    </row>
    <row r="3936" spans="26:34" ht="24" customHeight="1">
      <c r="Z3936"/>
      <c r="AA3936"/>
      <c r="AB3936"/>
      <c r="AC3936"/>
      <c r="AD3936"/>
      <c r="AE3936" s="168"/>
      <c r="AF3936" s="168">
        <v>0</v>
      </c>
      <c r="AG3936" s="168"/>
      <c r="AH3936" s="168"/>
    </row>
    <row r="3937" spans="26:34" ht="24" customHeight="1">
      <c r="Z3937"/>
      <c r="AA3937"/>
      <c r="AB3937"/>
      <c r="AC3937"/>
      <c r="AD3937"/>
      <c r="AE3937" s="168"/>
      <c r="AF3937" s="168">
        <v>0</v>
      </c>
      <c r="AG3937" s="168"/>
      <c r="AH3937" s="168"/>
    </row>
    <row r="3938" spans="26:34" ht="24" customHeight="1">
      <c r="Z3938"/>
      <c r="AA3938"/>
      <c r="AB3938"/>
      <c r="AC3938"/>
      <c r="AD3938"/>
      <c r="AE3938" s="168"/>
      <c r="AF3938" s="168">
        <v>0</v>
      </c>
      <c r="AG3938" s="168"/>
      <c r="AH3938" s="168"/>
    </row>
    <row r="3939" spans="26:34" ht="24" customHeight="1">
      <c r="Z3939"/>
      <c r="AA3939"/>
      <c r="AB3939"/>
      <c r="AC3939"/>
      <c r="AD3939"/>
      <c r="AE3939" s="168"/>
      <c r="AF3939" s="168">
        <v>0</v>
      </c>
      <c r="AG3939" s="168"/>
      <c r="AH3939" s="168"/>
    </row>
    <row r="3940" spans="26:34" ht="24" customHeight="1">
      <c r="Z3940"/>
      <c r="AA3940"/>
      <c r="AB3940"/>
      <c r="AC3940"/>
      <c r="AD3940"/>
      <c r="AE3940" s="168"/>
      <c r="AF3940" s="168">
        <v>0</v>
      </c>
      <c r="AG3940" s="168"/>
      <c r="AH3940" s="168"/>
    </row>
    <row r="3941" spans="26:34" ht="24" customHeight="1">
      <c r="Z3941"/>
      <c r="AA3941"/>
      <c r="AB3941"/>
      <c r="AC3941"/>
      <c r="AD3941"/>
      <c r="AE3941" s="168"/>
      <c r="AF3941" s="168">
        <v>0</v>
      </c>
      <c r="AG3941" s="168"/>
      <c r="AH3941" s="168"/>
    </row>
    <row r="3942" spans="26:34" ht="24" customHeight="1">
      <c r="Z3942"/>
      <c r="AA3942"/>
      <c r="AB3942"/>
      <c r="AC3942"/>
      <c r="AD3942"/>
      <c r="AE3942" s="168"/>
      <c r="AF3942" s="168">
        <v>0</v>
      </c>
      <c r="AG3942" s="168"/>
      <c r="AH3942" s="168"/>
    </row>
    <row r="3943" spans="26:34" ht="24" customHeight="1">
      <c r="Z3943"/>
      <c r="AA3943"/>
      <c r="AB3943"/>
      <c r="AC3943"/>
      <c r="AD3943"/>
      <c r="AE3943" s="168"/>
      <c r="AF3943" s="168">
        <v>0</v>
      </c>
      <c r="AG3943" s="168"/>
      <c r="AH3943" s="168"/>
    </row>
    <row r="3944" spans="26:34" ht="24" customHeight="1">
      <c r="Z3944"/>
      <c r="AA3944"/>
      <c r="AB3944"/>
      <c r="AC3944"/>
      <c r="AD3944"/>
      <c r="AE3944" s="168"/>
      <c r="AF3944" s="168">
        <v>0</v>
      </c>
      <c r="AG3944" s="168"/>
      <c r="AH3944" s="168"/>
    </row>
    <row r="3945" spans="26:34" ht="24" customHeight="1">
      <c r="Z3945"/>
      <c r="AA3945"/>
      <c r="AB3945"/>
      <c r="AC3945"/>
      <c r="AD3945"/>
      <c r="AE3945" s="168"/>
      <c r="AF3945" s="168">
        <v>0</v>
      </c>
      <c r="AG3945" s="168"/>
      <c r="AH3945" s="168"/>
    </row>
    <row r="3946" spans="26:34" ht="24" customHeight="1">
      <c r="Z3946"/>
      <c r="AA3946"/>
      <c r="AB3946"/>
      <c r="AC3946"/>
      <c r="AD3946"/>
      <c r="AE3946" s="168"/>
      <c r="AF3946" s="168">
        <v>0</v>
      </c>
      <c r="AG3946" s="168"/>
      <c r="AH3946" s="168"/>
    </row>
    <row r="3947" spans="26:34" ht="24" customHeight="1">
      <c r="Z3947"/>
      <c r="AA3947"/>
      <c r="AB3947"/>
      <c r="AC3947"/>
      <c r="AD3947"/>
      <c r="AE3947" s="168"/>
      <c r="AF3947" s="168">
        <v>0</v>
      </c>
      <c r="AG3947" s="168"/>
      <c r="AH3947" s="168"/>
    </row>
    <row r="3948" spans="26:34" ht="24" customHeight="1">
      <c r="Z3948"/>
      <c r="AA3948"/>
      <c r="AB3948"/>
      <c r="AC3948"/>
      <c r="AD3948"/>
      <c r="AE3948" s="168"/>
      <c r="AF3948" s="168">
        <v>0</v>
      </c>
      <c r="AG3948" s="168"/>
      <c r="AH3948" s="168"/>
    </row>
    <row r="3949" spans="26:34" ht="24" customHeight="1">
      <c r="Z3949"/>
      <c r="AA3949"/>
      <c r="AB3949"/>
      <c r="AC3949"/>
      <c r="AD3949"/>
      <c r="AE3949" s="168"/>
      <c r="AF3949" s="168">
        <v>0</v>
      </c>
      <c r="AG3949" s="168"/>
      <c r="AH3949" s="168"/>
    </row>
    <row r="3950" spans="26:34" ht="24" customHeight="1">
      <c r="Z3950"/>
      <c r="AA3950"/>
      <c r="AB3950"/>
      <c r="AC3950"/>
      <c r="AD3950"/>
      <c r="AE3950" s="168"/>
      <c r="AF3950" s="168">
        <v>0</v>
      </c>
      <c r="AG3950" s="168"/>
      <c r="AH3950" s="168"/>
    </row>
    <row r="3951" spans="26:34" ht="24" customHeight="1">
      <c r="Z3951"/>
      <c r="AA3951"/>
      <c r="AB3951"/>
      <c r="AC3951"/>
      <c r="AD3951"/>
      <c r="AE3951" s="168"/>
      <c r="AF3951" s="168">
        <v>0</v>
      </c>
      <c r="AG3951" s="168"/>
      <c r="AH3951" s="168"/>
    </row>
    <row r="3952" spans="26:34" ht="24" customHeight="1">
      <c r="Z3952"/>
      <c r="AA3952"/>
      <c r="AB3952"/>
      <c r="AC3952"/>
      <c r="AD3952"/>
      <c r="AE3952" s="168"/>
      <c r="AF3952" s="168">
        <v>0</v>
      </c>
      <c r="AG3952" s="168"/>
      <c r="AH3952" s="168"/>
    </row>
    <row r="3953" spans="26:34" ht="24" customHeight="1">
      <c r="Z3953"/>
      <c r="AA3953"/>
      <c r="AB3953"/>
      <c r="AC3953"/>
      <c r="AD3953"/>
      <c r="AE3953" s="168"/>
      <c r="AF3953" s="168">
        <v>0</v>
      </c>
      <c r="AG3953" s="168"/>
      <c r="AH3953" s="168"/>
    </row>
    <row r="3954" spans="26:34" ht="24" customHeight="1">
      <c r="Z3954"/>
      <c r="AA3954"/>
      <c r="AB3954"/>
      <c r="AC3954"/>
      <c r="AD3954"/>
      <c r="AE3954" s="168"/>
      <c r="AF3954" s="168">
        <v>0</v>
      </c>
      <c r="AG3954" s="168"/>
      <c r="AH3954" s="168"/>
    </row>
    <row r="3955" spans="26:34" ht="24" customHeight="1">
      <c r="Z3955"/>
      <c r="AA3955"/>
      <c r="AB3955"/>
      <c r="AC3955"/>
      <c r="AD3955"/>
      <c r="AE3955" s="168"/>
      <c r="AF3955" s="168">
        <v>0</v>
      </c>
      <c r="AG3955" s="168"/>
      <c r="AH3955" s="168"/>
    </row>
    <row r="3956" spans="26:34" ht="24" customHeight="1">
      <c r="Z3956"/>
      <c r="AA3956"/>
      <c r="AB3956"/>
      <c r="AC3956"/>
      <c r="AD3956"/>
      <c r="AE3956" s="168"/>
      <c r="AF3956" s="168">
        <v>0</v>
      </c>
      <c r="AG3956" s="168"/>
      <c r="AH3956" s="168"/>
    </row>
    <row r="3957" spans="26:34" ht="24" customHeight="1">
      <c r="Z3957"/>
      <c r="AA3957"/>
      <c r="AB3957"/>
      <c r="AC3957"/>
      <c r="AD3957"/>
      <c r="AE3957" s="168"/>
      <c r="AF3957" s="168">
        <v>0</v>
      </c>
      <c r="AG3957" s="168"/>
      <c r="AH3957" s="168"/>
    </row>
    <row r="3958" spans="26:34" ht="24" customHeight="1">
      <c r="Z3958"/>
      <c r="AA3958"/>
      <c r="AB3958"/>
      <c r="AC3958"/>
      <c r="AD3958"/>
      <c r="AE3958" s="168"/>
      <c r="AF3958" s="168">
        <v>0</v>
      </c>
      <c r="AG3958" s="168"/>
      <c r="AH3958" s="168"/>
    </row>
    <row r="3959" spans="26:34" ht="24" customHeight="1">
      <c r="Z3959"/>
      <c r="AA3959"/>
      <c r="AB3959"/>
      <c r="AC3959"/>
      <c r="AD3959"/>
      <c r="AE3959" s="168"/>
      <c r="AF3959" s="168">
        <v>0</v>
      </c>
      <c r="AG3959" s="168"/>
      <c r="AH3959" s="168"/>
    </row>
    <row r="3960" spans="26:34" ht="24" customHeight="1">
      <c r="Z3960"/>
      <c r="AA3960"/>
      <c r="AB3960"/>
      <c r="AC3960"/>
      <c r="AD3960"/>
      <c r="AE3960" s="168"/>
      <c r="AF3960" s="168">
        <v>0</v>
      </c>
      <c r="AG3960" s="168"/>
      <c r="AH3960" s="168"/>
    </row>
    <row r="3961" spans="26:34" ht="24" customHeight="1">
      <c r="Z3961"/>
      <c r="AA3961"/>
      <c r="AB3961"/>
      <c r="AC3961"/>
      <c r="AD3961"/>
      <c r="AE3961" s="168"/>
      <c r="AF3961" s="168">
        <v>0</v>
      </c>
      <c r="AG3961" s="168"/>
      <c r="AH3961" s="168"/>
    </row>
    <row r="3962" spans="26:34" ht="24" customHeight="1">
      <c r="Z3962"/>
      <c r="AA3962"/>
      <c r="AB3962"/>
      <c r="AC3962"/>
      <c r="AD3962"/>
      <c r="AE3962" s="168"/>
      <c r="AF3962" s="168">
        <v>0</v>
      </c>
      <c r="AG3962" s="168"/>
      <c r="AH3962" s="168"/>
    </row>
    <row r="3963" spans="26:34" ht="24" customHeight="1">
      <c r="Z3963"/>
      <c r="AA3963"/>
      <c r="AB3963"/>
      <c r="AC3963"/>
      <c r="AD3963"/>
      <c r="AE3963" s="168"/>
      <c r="AF3963" s="168">
        <v>0</v>
      </c>
      <c r="AG3963" s="168"/>
      <c r="AH3963" s="168"/>
    </row>
    <row r="3964" spans="26:34" ht="24" customHeight="1">
      <c r="Z3964"/>
      <c r="AA3964"/>
      <c r="AB3964"/>
      <c r="AC3964"/>
      <c r="AD3964"/>
      <c r="AE3964" s="168"/>
      <c r="AF3964" s="168">
        <v>0</v>
      </c>
      <c r="AG3964" s="168"/>
      <c r="AH3964" s="168"/>
    </row>
    <row r="3965" spans="26:34" ht="24" customHeight="1">
      <c r="Z3965"/>
      <c r="AA3965"/>
      <c r="AB3965"/>
      <c r="AC3965"/>
      <c r="AD3965"/>
      <c r="AE3965" s="168"/>
      <c r="AF3965" s="168">
        <v>0</v>
      </c>
      <c r="AG3965" s="168"/>
      <c r="AH3965" s="168"/>
    </row>
    <row r="3966" spans="26:34" ht="24" customHeight="1">
      <c r="Z3966"/>
      <c r="AA3966"/>
      <c r="AB3966"/>
      <c r="AC3966"/>
      <c r="AD3966"/>
      <c r="AE3966" s="168"/>
      <c r="AF3966" s="168">
        <v>0</v>
      </c>
      <c r="AG3966" s="168"/>
      <c r="AH3966" s="168"/>
    </row>
    <row r="3967" spans="26:34" ht="24" customHeight="1">
      <c r="Z3967"/>
      <c r="AA3967"/>
      <c r="AB3967"/>
      <c r="AC3967"/>
      <c r="AD3967"/>
      <c r="AE3967" s="168"/>
      <c r="AF3967" s="168">
        <v>0</v>
      </c>
      <c r="AG3967" s="168"/>
      <c r="AH3967" s="168"/>
    </row>
    <row r="3968" spans="26:34" ht="24" customHeight="1">
      <c r="Z3968"/>
      <c r="AA3968"/>
      <c r="AB3968"/>
      <c r="AC3968"/>
      <c r="AD3968"/>
      <c r="AE3968" s="168"/>
      <c r="AF3968" s="168">
        <v>0</v>
      </c>
      <c r="AG3968" s="168"/>
      <c r="AH3968" s="168"/>
    </row>
    <row r="3969" spans="26:34" ht="24" customHeight="1">
      <c r="Z3969"/>
      <c r="AA3969"/>
      <c r="AB3969"/>
      <c r="AC3969"/>
      <c r="AD3969"/>
      <c r="AE3969" s="168"/>
      <c r="AF3969" s="168">
        <v>0</v>
      </c>
      <c r="AG3969" s="168"/>
      <c r="AH3969" s="168"/>
    </row>
    <row r="3970" spans="26:34" ht="24" customHeight="1">
      <c r="Z3970"/>
      <c r="AA3970"/>
      <c r="AB3970"/>
      <c r="AC3970"/>
      <c r="AD3970"/>
      <c r="AE3970" s="168"/>
      <c r="AF3970" s="168">
        <v>0</v>
      </c>
      <c r="AG3970" s="168"/>
      <c r="AH3970" s="168"/>
    </row>
    <row r="3971" spans="26:34" ht="24" customHeight="1">
      <c r="Z3971"/>
      <c r="AA3971"/>
      <c r="AB3971"/>
      <c r="AC3971"/>
      <c r="AD3971"/>
      <c r="AE3971" s="168"/>
      <c r="AF3971" s="168">
        <v>0</v>
      </c>
      <c r="AG3971" s="168"/>
      <c r="AH3971" s="168"/>
    </row>
    <row r="3972" spans="26:34" ht="24" customHeight="1">
      <c r="Z3972"/>
      <c r="AA3972"/>
      <c r="AB3972"/>
      <c r="AC3972"/>
      <c r="AD3972"/>
      <c r="AE3972" s="168"/>
      <c r="AF3972" s="168">
        <v>0</v>
      </c>
      <c r="AG3972" s="168"/>
      <c r="AH3972" s="168"/>
    </row>
    <row r="3973" spans="26:34" ht="24" customHeight="1">
      <c r="Z3973"/>
      <c r="AA3973"/>
      <c r="AB3973"/>
      <c r="AC3973"/>
      <c r="AD3973"/>
      <c r="AE3973" s="168"/>
      <c r="AF3973" s="168">
        <v>0</v>
      </c>
      <c r="AG3973" s="168"/>
      <c r="AH3973" s="168"/>
    </row>
    <row r="3974" spans="26:34" ht="24" customHeight="1">
      <c r="Z3974"/>
      <c r="AA3974"/>
      <c r="AB3974"/>
      <c r="AC3974"/>
      <c r="AD3974"/>
      <c r="AE3974" s="168"/>
      <c r="AF3974" s="168">
        <v>0</v>
      </c>
      <c r="AG3974" s="168"/>
      <c r="AH3974" s="168"/>
    </row>
    <row r="3975" spans="26:34" ht="24" customHeight="1">
      <c r="Z3975"/>
      <c r="AA3975"/>
      <c r="AB3975"/>
      <c r="AC3975"/>
      <c r="AD3975"/>
      <c r="AE3975" s="168"/>
      <c r="AF3975" s="168">
        <v>0</v>
      </c>
      <c r="AG3975" s="168"/>
      <c r="AH3975" s="168"/>
    </row>
    <row r="3976" spans="26:34" ht="24" customHeight="1">
      <c r="Z3976"/>
      <c r="AA3976"/>
      <c r="AB3976"/>
      <c r="AC3976"/>
      <c r="AD3976"/>
      <c r="AE3976" s="168"/>
      <c r="AF3976" s="168">
        <v>0</v>
      </c>
      <c r="AG3976" s="168"/>
      <c r="AH3976" s="168"/>
    </row>
    <row r="3977" spans="26:34" ht="24" customHeight="1">
      <c r="Z3977"/>
      <c r="AA3977"/>
      <c r="AB3977"/>
      <c r="AC3977"/>
      <c r="AD3977"/>
      <c r="AE3977" s="168"/>
      <c r="AF3977" s="168">
        <v>0</v>
      </c>
      <c r="AG3977" s="168"/>
      <c r="AH3977" s="168"/>
    </row>
    <row r="3978" spans="26:34" ht="24" customHeight="1">
      <c r="Z3978"/>
      <c r="AA3978"/>
      <c r="AB3978"/>
      <c r="AC3978"/>
      <c r="AD3978"/>
      <c r="AE3978" s="168"/>
      <c r="AF3978" s="168">
        <v>0</v>
      </c>
      <c r="AG3978" s="168"/>
      <c r="AH3978" s="168"/>
    </row>
    <row r="3979" spans="26:34" ht="24" customHeight="1">
      <c r="Z3979"/>
      <c r="AA3979"/>
      <c r="AB3979"/>
      <c r="AC3979"/>
      <c r="AD3979"/>
      <c r="AE3979" s="168"/>
      <c r="AF3979" s="168">
        <v>0</v>
      </c>
      <c r="AG3979" s="168"/>
      <c r="AH3979" s="168"/>
    </row>
    <row r="3980" spans="26:34" ht="24" customHeight="1">
      <c r="Z3980"/>
      <c r="AA3980"/>
      <c r="AB3980"/>
      <c r="AC3980"/>
      <c r="AD3980"/>
      <c r="AE3980" s="168"/>
      <c r="AF3980" s="168">
        <v>0</v>
      </c>
      <c r="AG3980" s="168"/>
      <c r="AH3980" s="168"/>
    </row>
    <row r="3981" spans="26:34" ht="24" customHeight="1">
      <c r="Z3981"/>
      <c r="AA3981"/>
      <c r="AB3981"/>
      <c r="AC3981"/>
      <c r="AD3981"/>
      <c r="AE3981" s="168"/>
      <c r="AF3981" s="168">
        <v>0</v>
      </c>
      <c r="AG3981" s="168"/>
      <c r="AH3981" s="168"/>
    </row>
    <row r="3982" spans="26:34" ht="24" customHeight="1">
      <c r="Z3982"/>
      <c r="AA3982"/>
      <c r="AB3982"/>
      <c r="AC3982"/>
      <c r="AD3982"/>
      <c r="AE3982" s="168"/>
      <c r="AF3982" s="168">
        <v>0</v>
      </c>
      <c r="AG3982" s="168"/>
      <c r="AH3982" s="168"/>
    </row>
    <row r="3983" spans="26:34" ht="24" customHeight="1">
      <c r="Z3983"/>
      <c r="AA3983"/>
      <c r="AB3983"/>
      <c r="AC3983"/>
      <c r="AD3983"/>
      <c r="AE3983" s="168"/>
      <c r="AF3983" s="168">
        <v>0</v>
      </c>
      <c r="AG3983" s="168"/>
      <c r="AH3983" s="168"/>
    </row>
    <row r="3984" spans="26:34" ht="24" customHeight="1">
      <c r="Z3984"/>
      <c r="AA3984"/>
      <c r="AB3984"/>
      <c r="AC3984"/>
      <c r="AD3984"/>
      <c r="AE3984" s="168"/>
      <c r="AF3984" s="168">
        <v>0</v>
      </c>
      <c r="AG3984" s="168"/>
      <c r="AH3984" s="168"/>
    </row>
    <row r="3985" spans="26:34" ht="24" customHeight="1">
      <c r="Z3985"/>
      <c r="AA3985"/>
      <c r="AB3985"/>
      <c r="AC3985"/>
      <c r="AD3985"/>
      <c r="AE3985" s="168"/>
      <c r="AF3985" s="168">
        <v>0</v>
      </c>
      <c r="AG3985" s="168"/>
      <c r="AH3985" s="168"/>
    </row>
    <row r="3986" spans="26:34" ht="24" customHeight="1">
      <c r="Z3986"/>
      <c r="AA3986"/>
      <c r="AB3986"/>
      <c r="AC3986"/>
      <c r="AD3986"/>
      <c r="AE3986" s="168"/>
      <c r="AF3986" s="168">
        <v>0</v>
      </c>
      <c r="AG3986" s="168"/>
      <c r="AH3986" s="168"/>
    </row>
    <row r="3987" spans="26:34" ht="24" customHeight="1">
      <c r="Z3987"/>
      <c r="AA3987"/>
      <c r="AB3987"/>
      <c r="AC3987"/>
      <c r="AD3987"/>
      <c r="AE3987" s="168"/>
      <c r="AF3987" s="168">
        <v>0</v>
      </c>
      <c r="AG3987" s="168"/>
      <c r="AH3987" s="168"/>
    </row>
    <row r="3988" spans="26:34" ht="24" customHeight="1">
      <c r="Z3988"/>
      <c r="AA3988"/>
      <c r="AB3988"/>
      <c r="AC3988"/>
      <c r="AD3988"/>
      <c r="AE3988" s="168"/>
      <c r="AF3988" s="168">
        <v>0</v>
      </c>
      <c r="AG3988" s="168"/>
      <c r="AH3988" s="168"/>
    </row>
    <row r="3989" spans="26:34" ht="24" customHeight="1">
      <c r="Z3989"/>
      <c r="AA3989"/>
      <c r="AB3989"/>
      <c r="AC3989"/>
      <c r="AD3989"/>
      <c r="AE3989" s="168"/>
      <c r="AF3989" s="168">
        <v>0</v>
      </c>
      <c r="AG3989" s="168"/>
      <c r="AH3989" s="168"/>
    </row>
    <row r="3990" spans="26:34" ht="24" customHeight="1">
      <c r="Z3990"/>
      <c r="AA3990"/>
      <c r="AB3990"/>
      <c r="AC3990"/>
      <c r="AD3990"/>
      <c r="AE3990" s="168"/>
      <c r="AF3990" s="168">
        <v>0</v>
      </c>
      <c r="AG3990" s="168"/>
      <c r="AH3990" s="168"/>
    </row>
    <row r="3991" spans="26:34" ht="24" customHeight="1">
      <c r="Z3991"/>
      <c r="AA3991"/>
      <c r="AB3991"/>
      <c r="AC3991"/>
      <c r="AD3991"/>
      <c r="AE3991" s="168"/>
      <c r="AF3991" s="168">
        <v>0</v>
      </c>
      <c r="AG3991" s="168"/>
      <c r="AH3991" s="168"/>
    </row>
    <row r="3992" spans="26:34" ht="24" customHeight="1">
      <c r="Z3992"/>
      <c r="AA3992"/>
      <c r="AB3992"/>
      <c r="AC3992"/>
      <c r="AD3992"/>
      <c r="AE3992" s="168"/>
      <c r="AF3992" s="168">
        <v>0</v>
      </c>
      <c r="AG3992" s="168"/>
      <c r="AH3992" s="168"/>
    </row>
    <row r="3993" spans="26:34" ht="24" customHeight="1">
      <c r="Z3993"/>
      <c r="AA3993"/>
      <c r="AB3993"/>
      <c r="AC3993"/>
      <c r="AD3993"/>
      <c r="AE3993" s="168"/>
      <c r="AF3993" s="168">
        <v>0</v>
      </c>
      <c r="AG3993" s="168"/>
      <c r="AH3993" s="168"/>
    </row>
    <row r="3994" spans="26:34" ht="24" customHeight="1">
      <c r="Z3994"/>
      <c r="AA3994"/>
      <c r="AB3994"/>
      <c r="AC3994"/>
      <c r="AD3994"/>
      <c r="AE3994" s="168"/>
      <c r="AF3994" s="168">
        <v>0</v>
      </c>
      <c r="AG3994" s="168"/>
      <c r="AH3994" s="168"/>
    </row>
    <row r="3995" spans="26:34" ht="24" customHeight="1">
      <c r="Z3995"/>
      <c r="AA3995"/>
      <c r="AB3995"/>
      <c r="AC3995"/>
      <c r="AD3995"/>
      <c r="AE3995" s="168"/>
      <c r="AF3995" s="168">
        <v>0</v>
      </c>
      <c r="AG3995" s="168"/>
      <c r="AH3995" s="168"/>
    </row>
    <row r="3996" spans="26:34" ht="24" customHeight="1">
      <c r="Z3996"/>
      <c r="AA3996"/>
      <c r="AB3996"/>
      <c r="AC3996"/>
      <c r="AD3996"/>
      <c r="AE3996" s="168"/>
      <c r="AF3996" s="168">
        <v>0</v>
      </c>
      <c r="AG3996" s="168"/>
      <c r="AH3996" s="168"/>
    </row>
    <row r="3997" spans="26:34" ht="24" customHeight="1">
      <c r="Z3997"/>
      <c r="AA3997"/>
      <c r="AB3997"/>
      <c r="AC3997"/>
      <c r="AD3997"/>
      <c r="AE3997" s="168"/>
      <c r="AF3997" s="168">
        <v>0</v>
      </c>
      <c r="AG3997" s="168"/>
      <c r="AH3997" s="168"/>
    </row>
    <row r="3998" spans="26:34" ht="24" customHeight="1">
      <c r="Z3998"/>
      <c r="AA3998"/>
      <c r="AB3998"/>
      <c r="AC3998"/>
      <c r="AD3998"/>
      <c r="AE3998" s="168"/>
      <c r="AF3998" s="168">
        <v>0</v>
      </c>
      <c r="AG3998" s="168"/>
      <c r="AH3998" s="168"/>
    </row>
    <row r="3999" spans="26:34" ht="24" customHeight="1">
      <c r="Z3999"/>
      <c r="AA3999"/>
      <c r="AB3999"/>
      <c r="AC3999"/>
      <c r="AD3999"/>
      <c r="AE3999" s="168"/>
      <c r="AF3999" s="168">
        <v>0</v>
      </c>
      <c r="AG3999" s="168"/>
      <c r="AH3999" s="168"/>
    </row>
    <row r="4000" spans="26:34" ht="24" customHeight="1">
      <c r="Z4000"/>
      <c r="AA4000"/>
      <c r="AB4000"/>
      <c r="AC4000"/>
      <c r="AD4000"/>
      <c r="AE4000" s="168"/>
      <c r="AF4000" s="168">
        <v>0</v>
      </c>
      <c r="AG4000" s="168"/>
      <c r="AH4000" s="168"/>
    </row>
    <row r="4001" spans="26:34" ht="24" customHeight="1">
      <c r="Z4001"/>
      <c r="AA4001"/>
      <c r="AB4001"/>
      <c r="AC4001"/>
      <c r="AD4001"/>
      <c r="AE4001" s="168"/>
      <c r="AF4001" s="168">
        <v>0</v>
      </c>
      <c r="AG4001" s="168"/>
      <c r="AH4001" s="168"/>
    </row>
    <row r="4002" spans="26:34" ht="24" customHeight="1">
      <c r="Z4002"/>
      <c r="AA4002"/>
      <c r="AB4002"/>
      <c r="AC4002"/>
      <c r="AD4002"/>
      <c r="AE4002" s="168"/>
      <c r="AF4002" s="168">
        <v>0</v>
      </c>
      <c r="AG4002" s="168"/>
      <c r="AH4002" s="168"/>
    </row>
    <row r="4003" spans="26:34" ht="24" customHeight="1">
      <c r="Z4003"/>
      <c r="AA4003"/>
      <c r="AB4003"/>
      <c r="AC4003"/>
      <c r="AD4003"/>
      <c r="AE4003" s="168"/>
      <c r="AF4003" s="168">
        <v>0</v>
      </c>
      <c r="AG4003" s="168"/>
      <c r="AH4003" s="168"/>
    </row>
    <row r="4004" spans="26:34" ht="24" customHeight="1">
      <c r="Z4004"/>
      <c r="AA4004"/>
      <c r="AB4004"/>
      <c r="AC4004"/>
      <c r="AD4004"/>
      <c r="AE4004" s="168"/>
      <c r="AF4004" s="168">
        <v>0</v>
      </c>
      <c r="AG4004" s="168"/>
      <c r="AH4004" s="168"/>
    </row>
    <row r="4005" spans="26:34" ht="24" customHeight="1">
      <c r="Z4005"/>
      <c r="AA4005"/>
      <c r="AB4005"/>
      <c r="AC4005"/>
      <c r="AD4005"/>
      <c r="AE4005" s="168"/>
      <c r="AF4005" s="168">
        <v>0</v>
      </c>
      <c r="AG4005" s="168"/>
      <c r="AH4005" s="168"/>
    </row>
    <row r="4006" spans="26:34" ht="24" customHeight="1">
      <c r="Z4006"/>
      <c r="AA4006"/>
      <c r="AB4006"/>
      <c r="AC4006"/>
      <c r="AD4006"/>
      <c r="AE4006" s="168"/>
      <c r="AF4006" s="168">
        <v>0</v>
      </c>
      <c r="AG4006" s="168"/>
      <c r="AH4006" s="168"/>
    </row>
    <row r="4007" spans="26:34" ht="24" customHeight="1">
      <c r="Z4007"/>
      <c r="AA4007"/>
      <c r="AB4007"/>
      <c r="AC4007"/>
      <c r="AD4007"/>
      <c r="AE4007" s="168"/>
      <c r="AF4007" s="168">
        <v>0</v>
      </c>
      <c r="AG4007" s="168"/>
      <c r="AH4007" s="168"/>
    </row>
    <row r="4008" spans="26:34" ht="24" customHeight="1">
      <c r="Z4008"/>
      <c r="AA4008"/>
      <c r="AB4008"/>
      <c r="AC4008"/>
      <c r="AD4008"/>
      <c r="AE4008" s="168"/>
      <c r="AF4008" s="168">
        <v>0</v>
      </c>
      <c r="AG4008" s="168"/>
      <c r="AH4008" s="168"/>
    </row>
    <row r="4009" spans="26:34" ht="24" customHeight="1">
      <c r="Z4009"/>
      <c r="AA4009"/>
      <c r="AB4009"/>
      <c r="AC4009"/>
      <c r="AD4009"/>
      <c r="AE4009" s="168"/>
      <c r="AF4009" s="168">
        <v>0</v>
      </c>
      <c r="AG4009" s="168"/>
      <c r="AH4009" s="168"/>
    </row>
    <row r="4010" spans="26:34" ht="24" customHeight="1">
      <c r="Z4010"/>
      <c r="AA4010"/>
      <c r="AB4010"/>
      <c r="AC4010"/>
      <c r="AD4010"/>
      <c r="AE4010" s="168"/>
      <c r="AF4010" s="168">
        <v>0</v>
      </c>
      <c r="AG4010" s="168"/>
      <c r="AH4010" s="168"/>
    </row>
    <row r="4011" spans="26:34" ht="24" customHeight="1">
      <c r="Z4011"/>
      <c r="AA4011"/>
      <c r="AB4011"/>
      <c r="AC4011"/>
      <c r="AD4011"/>
      <c r="AE4011" s="168"/>
      <c r="AF4011" s="168">
        <v>0</v>
      </c>
      <c r="AG4011" s="168"/>
      <c r="AH4011" s="168"/>
    </row>
    <row r="4012" spans="26:34" ht="24" customHeight="1">
      <c r="Z4012"/>
      <c r="AA4012"/>
      <c r="AB4012"/>
      <c r="AC4012"/>
      <c r="AD4012"/>
      <c r="AE4012" s="168"/>
      <c r="AF4012" s="168">
        <v>0</v>
      </c>
      <c r="AG4012" s="168"/>
      <c r="AH4012" s="168"/>
    </row>
    <row r="4013" spans="26:34" ht="24" customHeight="1">
      <c r="Z4013"/>
      <c r="AA4013"/>
      <c r="AB4013"/>
      <c r="AC4013"/>
      <c r="AD4013"/>
      <c r="AE4013" s="168"/>
      <c r="AF4013" s="168">
        <v>0</v>
      </c>
      <c r="AG4013" s="168"/>
      <c r="AH4013" s="168"/>
    </row>
    <row r="4014" spans="26:34" ht="24" customHeight="1">
      <c r="Z4014"/>
      <c r="AA4014"/>
      <c r="AB4014"/>
      <c r="AC4014"/>
      <c r="AD4014"/>
      <c r="AE4014" s="168"/>
      <c r="AF4014" s="168">
        <v>0</v>
      </c>
      <c r="AG4014" s="168"/>
      <c r="AH4014" s="168"/>
    </row>
    <row r="4015" spans="26:34" ht="24" customHeight="1">
      <c r="Z4015"/>
      <c r="AA4015"/>
      <c r="AB4015"/>
      <c r="AC4015"/>
      <c r="AD4015"/>
      <c r="AE4015" s="168"/>
      <c r="AF4015" s="168">
        <v>0</v>
      </c>
      <c r="AG4015" s="168"/>
      <c r="AH4015" s="168"/>
    </row>
    <row r="4016" spans="26:34" ht="24" customHeight="1">
      <c r="Z4016"/>
      <c r="AA4016"/>
      <c r="AB4016"/>
      <c r="AC4016"/>
      <c r="AD4016"/>
      <c r="AE4016" s="168"/>
      <c r="AF4016" s="168">
        <v>0</v>
      </c>
      <c r="AG4016" s="168"/>
      <c r="AH4016" s="168"/>
    </row>
    <row r="4017" spans="26:34" ht="24" customHeight="1">
      <c r="Z4017"/>
      <c r="AA4017"/>
      <c r="AB4017"/>
      <c r="AC4017"/>
      <c r="AD4017"/>
      <c r="AE4017" s="168"/>
      <c r="AF4017" s="168">
        <v>0</v>
      </c>
      <c r="AG4017" s="168"/>
      <c r="AH4017" s="168"/>
    </row>
    <row r="4018" spans="26:34" ht="24" customHeight="1">
      <c r="Z4018"/>
      <c r="AA4018"/>
      <c r="AB4018"/>
      <c r="AC4018"/>
      <c r="AD4018"/>
      <c r="AE4018" s="168"/>
      <c r="AF4018" s="168">
        <v>0</v>
      </c>
      <c r="AG4018" s="168"/>
      <c r="AH4018" s="168"/>
    </row>
    <row r="4019" spans="26:34" ht="24" customHeight="1">
      <c r="Z4019"/>
      <c r="AA4019"/>
      <c r="AB4019"/>
      <c r="AC4019"/>
      <c r="AD4019"/>
      <c r="AE4019" s="168"/>
      <c r="AF4019" s="168">
        <v>0</v>
      </c>
      <c r="AG4019" s="168"/>
      <c r="AH4019" s="168"/>
    </row>
    <row r="4020" spans="26:34" ht="24" customHeight="1">
      <c r="Z4020"/>
      <c r="AA4020"/>
      <c r="AB4020"/>
      <c r="AC4020"/>
      <c r="AD4020"/>
      <c r="AE4020" s="168"/>
      <c r="AF4020" s="168">
        <v>0</v>
      </c>
      <c r="AG4020" s="168"/>
      <c r="AH4020" s="168"/>
    </row>
    <row r="4021" spans="26:34" ht="24" customHeight="1">
      <c r="Z4021"/>
      <c r="AA4021"/>
      <c r="AB4021"/>
      <c r="AC4021"/>
      <c r="AD4021"/>
      <c r="AE4021" s="168"/>
      <c r="AF4021" s="168">
        <v>0</v>
      </c>
      <c r="AG4021" s="168"/>
      <c r="AH4021" s="168"/>
    </row>
    <row r="4022" spans="26:34" ht="24" customHeight="1">
      <c r="Z4022"/>
      <c r="AA4022"/>
      <c r="AB4022"/>
      <c r="AC4022"/>
      <c r="AD4022"/>
      <c r="AE4022" s="168"/>
      <c r="AF4022" s="168">
        <v>0</v>
      </c>
      <c r="AG4022" s="168"/>
      <c r="AH4022" s="168"/>
    </row>
    <row r="4023" spans="26:34" ht="24" customHeight="1">
      <c r="Z4023"/>
      <c r="AA4023"/>
      <c r="AB4023"/>
      <c r="AC4023"/>
      <c r="AD4023"/>
      <c r="AE4023" s="168"/>
      <c r="AF4023" s="168">
        <v>0</v>
      </c>
      <c r="AG4023" s="168"/>
      <c r="AH4023" s="168"/>
    </row>
    <row r="4024" spans="26:34" ht="24" customHeight="1">
      <c r="Z4024"/>
      <c r="AA4024"/>
      <c r="AB4024"/>
      <c r="AC4024"/>
      <c r="AD4024"/>
      <c r="AE4024" s="168"/>
      <c r="AF4024" s="168">
        <v>0</v>
      </c>
      <c r="AG4024" s="168"/>
      <c r="AH4024" s="168"/>
    </row>
    <row r="4025" spans="26:34" ht="24" customHeight="1">
      <c r="Z4025"/>
      <c r="AA4025"/>
      <c r="AB4025"/>
      <c r="AC4025"/>
      <c r="AD4025"/>
      <c r="AE4025" s="168"/>
      <c r="AF4025" s="168">
        <v>0</v>
      </c>
      <c r="AG4025" s="168"/>
      <c r="AH4025" s="168"/>
    </row>
    <row r="4026" spans="26:34" ht="24" customHeight="1">
      <c r="Z4026"/>
      <c r="AA4026"/>
      <c r="AB4026"/>
      <c r="AC4026"/>
      <c r="AD4026"/>
      <c r="AE4026" s="168"/>
      <c r="AF4026" s="168">
        <v>0</v>
      </c>
      <c r="AG4026" s="168"/>
      <c r="AH4026" s="168"/>
    </row>
    <row r="4027" spans="26:34" ht="24" customHeight="1">
      <c r="Z4027"/>
      <c r="AA4027"/>
      <c r="AB4027"/>
      <c r="AC4027"/>
      <c r="AD4027"/>
      <c r="AE4027" s="168"/>
      <c r="AF4027" s="168">
        <v>0</v>
      </c>
      <c r="AG4027" s="168"/>
      <c r="AH4027" s="168"/>
    </row>
    <row r="4028" spans="26:34" ht="24" customHeight="1">
      <c r="Z4028"/>
      <c r="AA4028"/>
      <c r="AB4028"/>
      <c r="AC4028"/>
      <c r="AD4028"/>
      <c r="AE4028" s="168"/>
      <c r="AF4028" s="168">
        <v>0</v>
      </c>
      <c r="AG4028" s="168"/>
      <c r="AH4028" s="168"/>
    </row>
    <row r="4029" spans="26:34" ht="24" customHeight="1">
      <c r="Z4029"/>
      <c r="AA4029"/>
      <c r="AB4029"/>
      <c r="AC4029"/>
      <c r="AD4029"/>
      <c r="AE4029" s="168"/>
      <c r="AF4029" s="168">
        <v>0</v>
      </c>
      <c r="AG4029" s="168"/>
      <c r="AH4029" s="168"/>
    </row>
    <row r="4030" spans="26:34" ht="24" customHeight="1">
      <c r="Z4030"/>
      <c r="AA4030"/>
      <c r="AB4030"/>
      <c r="AC4030"/>
      <c r="AD4030"/>
      <c r="AE4030" s="168"/>
      <c r="AF4030" s="168">
        <v>0</v>
      </c>
      <c r="AG4030" s="168"/>
      <c r="AH4030" s="168"/>
    </row>
    <row r="4031" spans="26:34" ht="24" customHeight="1">
      <c r="Z4031"/>
      <c r="AA4031"/>
      <c r="AB4031"/>
      <c r="AC4031"/>
      <c r="AD4031"/>
      <c r="AE4031" s="168"/>
      <c r="AF4031" s="168">
        <v>0</v>
      </c>
      <c r="AG4031" s="168"/>
      <c r="AH4031" s="168"/>
    </row>
    <row r="4032" spans="26:34" ht="24" customHeight="1">
      <c r="Z4032"/>
      <c r="AA4032"/>
      <c r="AB4032"/>
      <c r="AC4032"/>
      <c r="AD4032"/>
      <c r="AE4032" s="168"/>
      <c r="AF4032" s="168">
        <v>0</v>
      </c>
      <c r="AG4032" s="168"/>
      <c r="AH4032" s="168"/>
    </row>
    <row r="4033" spans="26:34" ht="24" customHeight="1">
      <c r="Z4033"/>
      <c r="AA4033"/>
      <c r="AB4033"/>
      <c r="AC4033"/>
      <c r="AD4033"/>
      <c r="AE4033" s="168"/>
      <c r="AF4033" s="168">
        <v>0</v>
      </c>
      <c r="AG4033" s="168"/>
      <c r="AH4033" s="168"/>
    </row>
    <row r="4034" spans="26:34" ht="24" customHeight="1">
      <c r="Z4034"/>
      <c r="AA4034"/>
      <c r="AB4034"/>
      <c r="AC4034"/>
      <c r="AD4034"/>
      <c r="AE4034" s="168"/>
      <c r="AF4034" s="168">
        <v>0</v>
      </c>
      <c r="AG4034" s="168"/>
      <c r="AH4034" s="168"/>
    </row>
    <row r="4035" spans="26:34" ht="24" customHeight="1">
      <c r="Z4035"/>
      <c r="AA4035"/>
      <c r="AB4035"/>
      <c r="AC4035"/>
      <c r="AD4035"/>
      <c r="AE4035" s="168"/>
      <c r="AF4035" s="168">
        <v>0</v>
      </c>
      <c r="AG4035" s="168"/>
      <c r="AH4035" s="168"/>
    </row>
    <row r="4036" spans="26:34" ht="24" customHeight="1">
      <c r="Z4036"/>
      <c r="AA4036"/>
      <c r="AB4036"/>
      <c r="AC4036"/>
      <c r="AD4036"/>
      <c r="AE4036" s="168"/>
      <c r="AF4036" s="168">
        <v>0</v>
      </c>
      <c r="AG4036" s="168"/>
      <c r="AH4036" s="168"/>
    </row>
    <row r="4037" spans="26:34" ht="24" customHeight="1">
      <c r="Z4037"/>
      <c r="AA4037"/>
      <c r="AB4037"/>
      <c r="AC4037"/>
      <c r="AD4037"/>
      <c r="AE4037" s="168"/>
      <c r="AF4037" s="168">
        <v>0</v>
      </c>
      <c r="AG4037" s="168"/>
      <c r="AH4037" s="168"/>
    </row>
    <row r="4038" spans="26:34" ht="24" customHeight="1">
      <c r="Z4038"/>
      <c r="AA4038"/>
      <c r="AB4038"/>
      <c r="AC4038"/>
      <c r="AD4038"/>
      <c r="AE4038" s="168"/>
      <c r="AF4038" s="168">
        <v>0</v>
      </c>
      <c r="AG4038" s="168"/>
      <c r="AH4038" s="168"/>
    </row>
    <row r="4039" spans="26:34" ht="24" customHeight="1">
      <c r="Z4039"/>
      <c r="AA4039"/>
      <c r="AB4039"/>
      <c r="AC4039"/>
      <c r="AD4039"/>
      <c r="AE4039" s="168"/>
      <c r="AF4039" s="168">
        <v>0</v>
      </c>
      <c r="AG4039" s="168"/>
      <c r="AH4039" s="168"/>
    </row>
    <row r="4040" spans="26:34" ht="24" customHeight="1">
      <c r="Z4040"/>
      <c r="AA4040"/>
      <c r="AB4040"/>
      <c r="AC4040"/>
      <c r="AD4040"/>
      <c r="AE4040" s="168"/>
      <c r="AF4040" s="168">
        <v>0</v>
      </c>
      <c r="AG4040" s="168"/>
      <c r="AH4040" s="168"/>
    </row>
    <row r="4041" spans="26:34" ht="24" customHeight="1">
      <c r="Z4041"/>
      <c r="AA4041"/>
      <c r="AB4041"/>
      <c r="AC4041"/>
      <c r="AD4041"/>
      <c r="AE4041" s="168"/>
      <c r="AF4041" s="168">
        <v>0</v>
      </c>
      <c r="AG4041" s="168"/>
      <c r="AH4041" s="168"/>
    </row>
    <row r="4042" spans="26:34" ht="24" customHeight="1">
      <c r="Z4042"/>
      <c r="AA4042"/>
      <c r="AB4042"/>
      <c r="AC4042"/>
      <c r="AD4042"/>
      <c r="AE4042" s="168"/>
      <c r="AF4042" s="168">
        <v>0</v>
      </c>
      <c r="AG4042" s="168"/>
      <c r="AH4042" s="168"/>
    </row>
    <row r="4043" spans="26:34" ht="24" customHeight="1">
      <c r="Z4043"/>
      <c r="AA4043"/>
      <c r="AB4043"/>
      <c r="AC4043"/>
      <c r="AD4043"/>
      <c r="AE4043" s="168"/>
      <c r="AF4043" s="168">
        <v>0</v>
      </c>
      <c r="AG4043" s="168"/>
      <c r="AH4043" s="168"/>
    </row>
    <row r="4044" spans="26:34" ht="24" customHeight="1">
      <c r="Z4044"/>
      <c r="AA4044"/>
      <c r="AB4044"/>
      <c r="AC4044"/>
      <c r="AD4044"/>
      <c r="AE4044" s="168"/>
      <c r="AF4044" s="168">
        <v>0</v>
      </c>
      <c r="AG4044" s="168"/>
      <c r="AH4044" s="168"/>
    </row>
    <row r="4045" spans="26:34" ht="24" customHeight="1">
      <c r="Z4045"/>
      <c r="AA4045"/>
      <c r="AB4045"/>
      <c r="AC4045"/>
      <c r="AD4045"/>
      <c r="AE4045" s="168"/>
      <c r="AF4045" s="168">
        <v>0</v>
      </c>
      <c r="AG4045" s="168"/>
      <c r="AH4045" s="168"/>
    </row>
    <row r="4046" spans="26:34" ht="24" customHeight="1">
      <c r="Z4046"/>
      <c r="AA4046"/>
      <c r="AB4046"/>
      <c r="AC4046"/>
      <c r="AD4046"/>
      <c r="AE4046" s="168"/>
      <c r="AF4046" s="168">
        <v>0</v>
      </c>
      <c r="AG4046" s="168"/>
      <c r="AH4046" s="168"/>
    </row>
    <row r="4047" spans="26:34" ht="24" customHeight="1">
      <c r="Z4047"/>
      <c r="AA4047"/>
      <c r="AB4047"/>
      <c r="AC4047"/>
      <c r="AD4047"/>
      <c r="AE4047" s="168"/>
      <c r="AF4047" s="168">
        <v>0</v>
      </c>
      <c r="AG4047" s="168"/>
      <c r="AH4047" s="168"/>
    </row>
    <row r="4048" spans="26:34" ht="24" customHeight="1">
      <c r="Z4048"/>
      <c r="AA4048"/>
      <c r="AB4048"/>
      <c r="AC4048"/>
      <c r="AD4048"/>
      <c r="AE4048" s="168"/>
      <c r="AF4048" s="168">
        <v>0</v>
      </c>
      <c r="AG4048" s="168"/>
      <c r="AH4048" s="168"/>
    </row>
    <row r="4049" spans="26:34" ht="24" customHeight="1">
      <c r="Z4049"/>
      <c r="AA4049"/>
      <c r="AB4049"/>
      <c r="AC4049"/>
      <c r="AD4049"/>
      <c r="AE4049" s="168"/>
      <c r="AF4049" s="168">
        <v>0</v>
      </c>
      <c r="AG4049" s="168"/>
      <c r="AH4049" s="168"/>
    </row>
    <row r="4050" spans="26:34" ht="24" customHeight="1">
      <c r="Z4050"/>
      <c r="AA4050"/>
      <c r="AB4050"/>
      <c r="AC4050"/>
      <c r="AD4050"/>
      <c r="AE4050" s="168"/>
      <c r="AF4050" s="168">
        <v>0</v>
      </c>
      <c r="AG4050" s="168"/>
      <c r="AH4050" s="168"/>
    </row>
    <row r="4051" spans="26:34" ht="24" customHeight="1">
      <c r="Z4051"/>
      <c r="AA4051"/>
      <c r="AB4051"/>
      <c r="AC4051"/>
      <c r="AD4051"/>
      <c r="AE4051" s="168"/>
      <c r="AF4051" s="168">
        <v>0</v>
      </c>
      <c r="AG4051" s="168"/>
      <c r="AH4051" s="168"/>
    </row>
    <row r="4052" spans="26:34" ht="24" customHeight="1">
      <c r="Z4052"/>
      <c r="AA4052"/>
      <c r="AB4052"/>
      <c r="AC4052"/>
      <c r="AD4052"/>
      <c r="AE4052" s="168"/>
      <c r="AF4052" s="168">
        <v>0</v>
      </c>
      <c r="AG4052" s="168"/>
      <c r="AH4052" s="168"/>
    </row>
    <row r="4053" spans="26:34" ht="24" customHeight="1">
      <c r="Z4053"/>
      <c r="AA4053"/>
      <c r="AB4053"/>
      <c r="AC4053"/>
      <c r="AD4053"/>
      <c r="AE4053" s="168"/>
      <c r="AF4053" s="168">
        <v>0</v>
      </c>
      <c r="AG4053" s="168"/>
      <c r="AH4053" s="168"/>
    </row>
    <row r="4054" spans="26:34" ht="24" customHeight="1">
      <c r="Z4054"/>
      <c r="AA4054"/>
      <c r="AB4054"/>
      <c r="AC4054"/>
      <c r="AD4054"/>
      <c r="AE4054" s="168"/>
      <c r="AF4054" s="168">
        <v>0</v>
      </c>
      <c r="AG4054" s="168"/>
      <c r="AH4054" s="168"/>
    </row>
    <row r="4055" spans="26:34" ht="24" customHeight="1">
      <c r="Z4055"/>
      <c r="AA4055"/>
      <c r="AB4055"/>
      <c r="AC4055"/>
      <c r="AD4055"/>
      <c r="AE4055" s="168"/>
      <c r="AF4055" s="168">
        <v>0</v>
      </c>
      <c r="AG4055" s="168"/>
      <c r="AH4055" s="168"/>
    </row>
    <row r="4056" spans="26:34" ht="24" customHeight="1">
      <c r="Z4056"/>
      <c r="AA4056"/>
      <c r="AB4056"/>
      <c r="AC4056"/>
      <c r="AD4056"/>
      <c r="AE4056" s="168"/>
      <c r="AF4056" s="168">
        <v>0</v>
      </c>
      <c r="AG4056" s="168"/>
      <c r="AH4056" s="168"/>
    </row>
    <row r="4057" spans="26:34" ht="24" customHeight="1">
      <c r="Z4057"/>
      <c r="AA4057"/>
      <c r="AB4057"/>
      <c r="AC4057"/>
      <c r="AD4057"/>
      <c r="AE4057" s="168"/>
      <c r="AF4057" s="168">
        <v>0</v>
      </c>
      <c r="AG4057" s="168"/>
      <c r="AH4057" s="168"/>
    </row>
    <row r="4058" spans="26:34" ht="24" customHeight="1">
      <c r="Z4058"/>
      <c r="AA4058"/>
      <c r="AB4058"/>
      <c r="AC4058"/>
      <c r="AD4058"/>
      <c r="AE4058" s="168"/>
      <c r="AF4058" s="168">
        <v>0</v>
      </c>
      <c r="AG4058" s="168"/>
      <c r="AH4058" s="168"/>
    </row>
    <row r="4059" spans="26:34" ht="24" customHeight="1">
      <c r="Z4059"/>
      <c r="AA4059"/>
      <c r="AB4059"/>
      <c r="AC4059"/>
      <c r="AD4059"/>
      <c r="AE4059" s="168"/>
      <c r="AF4059" s="168">
        <v>0</v>
      </c>
      <c r="AG4059" s="168"/>
      <c r="AH4059" s="168"/>
    </row>
    <row r="4060" spans="26:34" ht="24" customHeight="1">
      <c r="Z4060"/>
      <c r="AA4060"/>
      <c r="AB4060"/>
      <c r="AC4060"/>
      <c r="AD4060"/>
      <c r="AE4060" s="168"/>
      <c r="AF4060" s="168">
        <v>0</v>
      </c>
      <c r="AG4060" s="168"/>
      <c r="AH4060" s="168"/>
    </row>
    <row r="4061" spans="26:34" ht="24" customHeight="1">
      <c r="Z4061"/>
      <c r="AA4061"/>
      <c r="AB4061"/>
      <c r="AC4061"/>
      <c r="AD4061"/>
      <c r="AE4061" s="168"/>
      <c r="AF4061" s="168">
        <v>0</v>
      </c>
      <c r="AG4061" s="168"/>
      <c r="AH4061" s="168"/>
    </row>
    <row r="4062" spans="26:34" ht="24" customHeight="1">
      <c r="Z4062"/>
      <c r="AA4062"/>
      <c r="AB4062"/>
      <c r="AC4062"/>
      <c r="AD4062"/>
      <c r="AE4062" s="168"/>
      <c r="AF4062" s="168">
        <v>0</v>
      </c>
      <c r="AG4062" s="168"/>
      <c r="AH4062" s="168"/>
    </row>
    <row r="4063" spans="26:34" ht="24" customHeight="1">
      <c r="Z4063"/>
      <c r="AA4063"/>
      <c r="AB4063"/>
      <c r="AC4063"/>
      <c r="AD4063"/>
      <c r="AE4063" s="168"/>
      <c r="AF4063" s="168">
        <v>0</v>
      </c>
      <c r="AG4063" s="168"/>
      <c r="AH4063" s="168"/>
    </row>
    <row r="4064" spans="26:34" ht="24" customHeight="1">
      <c r="Z4064"/>
      <c r="AA4064"/>
      <c r="AB4064"/>
      <c r="AC4064"/>
      <c r="AD4064"/>
      <c r="AE4064" s="168"/>
      <c r="AF4064" s="168">
        <v>0</v>
      </c>
      <c r="AG4064" s="168"/>
      <c r="AH4064" s="168"/>
    </row>
    <row r="4065" spans="26:34" ht="24" customHeight="1">
      <c r="Z4065"/>
      <c r="AA4065"/>
      <c r="AB4065"/>
      <c r="AC4065"/>
      <c r="AD4065"/>
      <c r="AE4065" s="168"/>
      <c r="AF4065" s="168">
        <v>0</v>
      </c>
      <c r="AG4065" s="168"/>
      <c r="AH4065" s="168"/>
    </row>
    <row r="4066" spans="26:34" ht="24" customHeight="1">
      <c r="Z4066"/>
      <c r="AA4066"/>
      <c r="AB4066"/>
      <c r="AC4066"/>
      <c r="AD4066"/>
      <c r="AE4066" s="168"/>
      <c r="AF4066" s="168">
        <v>0</v>
      </c>
      <c r="AG4066" s="168"/>
      <c r="AH4066" s="168"/>
    </row>
    <row r="4067" spans="26:34" ht="24" customHeight="1">
      <c r="Z4067"/>
      <c r="AA4067"/>
      <c r="AB4067"/>
      <c r="AC4067"/>
      <c r="AD4067"/>
      <c r="AE4067" s="168"/>
      <c r="AF4067" s="168">
        <v>0</v>
      </c>
      <c r="AG4067" s="168"/>
      <c r="AH4067" s="168"/>
    </row>
    <row r="4068" spans="26:34" ht="24" customHeight="1">
      <c r="Z4068"/>
      <c r="AA4068"/>
      <c r="AB4068"/>
      <c r="AC4068"/>
      <c r="AD4068"/>
      <c r="AE4068" s="168"/>
      <c r="AF4068" s="168">
        <v>0</v>
      </c>
      <c r="AG4068" s="168"/>
      <c r="AH4068" s="168"/>
    </row>
    <row r="4069" spans="26:34" ht="24" customHeight="1">
      <c r="Z4069"/>
      <c r="AA4069"/>
      <c r="AB4069"/>
      <c r="AC4069"/>
      <c r="AD4069"/>
      <c r="AE4069" s="168"/>
      <c r="AF4069" s="168">
        <v>0</v>
      </c>
      <c r="AG4069" s="168"/>
      <c r="AH4069" s="168"/>
    </row>
    <row r="4070" spans="26:34" ht="24" customHeight="1">
      <c r="Z4070"/>
      <c r="AA4070"/>
      <c r="AB4070"/>
      <c r="AC4070"/>
      <c r="AD4070"/>
      <c r="AE4070" s="168"/>
      <c r="AF4070" s="168">
        <v>0</v>
      </c>
      <c r="AG4070" s="168"/>
      <c r="AH4070" s="168"/>
    </row>
    <row r="4071" spans="26:34" ht="24" customHeight="1">
      <c r="Z4071"/>
      <c r="AA4071"/>
      <c r="AB4071"/>
      <c r="AC4071"/>
      <c r="AD4071"/>
      <c r="AE4071" s="168"/>
      <c r="AF4071" s="168">
        <v>0</v>
      </c>
      <c r="AG4071" s="168"/>
      <c r="AH4071" s="168"/>
    </row>
    <row r="4072" spans="26:34" ht="24" customHeight="1">
      <c r="Z4072"/>
      <c r="AA4072"/>
      <c r="AB4072"/>
      <c r="AC4072"/>
      <c r="AD4072"/>
      <c r="AE4072" s="168"/>
      <c r="AF4072" s="168">
        <v>0</v>
      </c>
      <c r="AG4072" s="168"/>
      <c r="AH4072" s="168"/>
    </row>
    <row r="4073" spans="26:34" ht="24" customHeight="1">
      <c r="Z4073"/>
      <c r="AA4073"/>
      <c r="AB4073"/>
      <c r="AC4073"/>
      <c r="AD4073"/>
      <c r="AE4073" s="168"/>
      <c r="AF4073" s="168">
        <v>0</v>
      </c>
      <c r="AG4073" s="168"/>
      <c r="AH4073" s="168"/>
    </row>
    <row r="4074" spans="26:34" ht="24" customHeight="1">
      <c r="Z4074"/>
      <c r="AA4074"/>
      <c r="AB4074"/>
      <c r="AC4074"/>
      <c r="AD4074"/>
      <c r="AE4074" s="168"/>
      <c r="AF4074" s="168">
        <v>0</v>
      </c>
      <c r="AG4074" s="168"/>
      <c r="AH4074" s="168"/>
    </row>
    <row r="4075" spans="26:34" ht="24" customHeight="1">
      <c r="Z4075"/>
      <c r="AA4075"/>
      <c r="AB4075"/>
      <c r="AC4075"/>
      <c r="AD4075"/>
      <c r="AE4075" s="168"/>
      <c r="AF4075" s="168">
        <v>0</v>
      </c>
      <c r="AG4075" s="168"/>
      <c r="AH4075" s="168"/>
    </row>
    <row r="4076" spans="26:34" ht="24" customHeight="1">
      <c r="Z4076"/>
      <c r="AA4076"/>
      <c r="AB4076"/>
      <c r="AC4076"/>
      <c r="AD4076"/>
      <c r="AE4076" s="168"/>
      <c r="AF4076" s="168">
        <v>0</v>
      </c>
      <c r="AG4076" s="168"/>
      <c r="AH4076" s="168"/>
    </row>
    <row r="4077" spans="26:34" ht="24" customHeight="1">
      <c r="Z4077"/>
      <c r="AA4077"/>
      <c r="AB4077"/>
      <c r="AC4077"/>
      <c r="AD4077"/>
      <c r="AE4077" s="168"/>
      <c r="AF4077" s="168">
        <v>0</v>
      </c>
      <c r="AG4077" s="168"/>
      <c r="AH4077" s="168"/>
    </row>
    <row r="4078" spans="26:34" ht="24" customHeight="1">
      <c r="Z4078"/>
      <c r="AA4078"/>
      <c r="AB4078"/>
      <c r="AC4078"/>
      <c r="AD4078"/>
      <c r="AE4078" s="168"/>
      <c r="AF4078" s="168">
        <v>0</v>
      </c>
      <c r="AG4078" s="168"/>
      <c r="AH4078" s="168"/>
    </row>
    <row r="4079" spans="26:34" ht="24" customHeight="1">
      <c r="Z4079"/>
      <c r="AA4079"/>
      <c r="AB4079"/>
      <c r="AC4079"/>
      <c r="AD4079"/>
      <c r="AE4079" s="168"/>
      <c r="AF4079" s="168">
        <v>0</v>
      </c>
      <c r="AG4079" s="168"/>
      <c r="AH4079" s="168"/>
    </row>
    <row r="4080" spans="26:34" ht="24" customHeight="1">
      <c r="Z4080"/>
      <c r="AA4080"/>
      <c r="AB4080"/>
      <c r="AC4080"/>
      <c r="AD4080"/>
      <c r="AE4080" s="168"/>
      <c r="AF4080" s="168">
        <v>0</v>
      </c>
      <c r="AG4080" s="168"/>
      <c r="AH4080" s="168"/>
    </row>
    <row r="4081" spans="26:34" ht="24" customHeight="1">
      <c r="Z4081"/>
      <c r="AA4081"/>
      <c r="AB4081"/>
      <c r="AC4081"/>
      <c r="AD4081"/>
      <c r="AE4081" s="168"/>
      <c r="AF4081" s="168">
        <v>0</v>
      </c>
      <c r="AG4081" s="168"/>
      <c r="AH4081" s="168"/>
    </row>
    <row r="4082" spans="26:34" ht="24" customHeight="1">
      <c r="Z4082"/>
      <c r="AA4082"/>
      <c r="AB4082"/>
      <c r="AC4082"/>
      <c r="AD4082"/>
      <c r="AE4082" s="168"/>
      <c r="AF4082" s="168">
        <v>0</v>
      </c>
      <c r="AG4082" s="168"/>
      <c r="AH4082" s="168"/>
    </row>
    <row r="4083" spans="26:34" ht="24" customHeight="1">
      <c r="Z4083"/>
      <c r="AA4083"/>
      <c r="AB4083"/>
      <c r="AC4083"/>
      <c r="AD4083"/>
      <c r="AE4083" s="168"/>
      <c r="AF4083" s="168">
        <v>0</v>
      </c>
      <c r="AG4083" s="168"/>
      <c r="AH4083" s="168"/>
    </row>
    <row r="4084" spans="26:34" ht="24" customHeight="1">
      <c r="Z4084"/>
      <c r="AA4084"/>
      <c r="AB4084"/>
      <c r="AC4084"/>
      <c r="AD4084"/>
      <c r="AE4084" s="168"/>
      <c r="AF4084" s="168">
        <v>0</v>
      </c>
      <c r="AG4084" s="168"/>
      <c r="AH4084" s="168"/>
    </row>
    <row r="4085" spans="26:34" ht="24" customHeight="1">
      <c r="Z4085"/>
      <c r="AA4085"/>
      <c r="AB4085"/>
      <c r="AC4085"/>
      <c r="AD4085"/>
      <c r="AE4085" s="168"/>
      <c r="AF4085" s="168">
        <v>0</v>
      </c>
      <c r="AG4085" s="168"/>
      <c r="AH4085" s="168"/>
    </row>
    <row r="4086" spans="26:34" ht="24" customHeight="1">
      <c r="Z4086"/>
      <c r="AA4086"/>
      <c r="AB4086"/>
      <c r="AC4086"/>
      <c r="AD4086"/>
      <c r="AE4086" s="168"/>
      <c r="AF4086" s="168">
        <v>0</v>
      </c>
      <c r="AG4086" s="168"/>
      <c r="AH4086" s="168"/>
    </row>
    <row r="4087" spans="26:34" ht="24" customHeight="1">
      <c r="Z4087"/>
      <c r="AA4087"/>
      <c r="AB4087"/>
      <c r="AC4087"/>
      <c r="AD4087"/>
      <c r="AE4087" s="168"/>
      <c r="AF4087" s="168">
        <v>0</v>
      </c>
      <c r="AG4087" s="168"/>
      <c r="AH4087" s="168"/>
    </row>
    <row r="4088" spans="26:34" ht="24" customHeight="1">
      <c r="Z4088"/>
      <c r="AA4088"/>
      <c r="AB4088"/>
      <c r="AC4088"/>
      <c r="AD4088"/>
      <c r="AE4088" s="168"/>
      <c r="AF4088" s="168">
        <v>0</v>
      </c>
      <c r="AG4088" s="168"/>
      <c r="AH4088" s="168"/>
    </row>
    <row r="4089" spans="26:34" ht="24" customHeight="1">
      <c r="Z4089"/>
      <c r="AA4089"/>
      <c r="AB4089"/>
      <c r="AC4089"/>
      <c r="AD4089"/>
      <c r="AE4089" s="168"/>
      <c r="AF4089" s="168">
        <v>0</v>
      </c>
      <c r="AG4089" s="168"/>
      <c r="AH4089" s="168"/>
    </row>
    <row r="4090" spans="26:34" ht="24" customHeight="1">
      <c r="Z4090"/>
      <c r="AA4090"/>
      <c r="AB4090"/>
      <c r="AC4090"/>
      <c r="AD4090"/>
      <c r="AE4090" s="168"/>
      <c r="AF4090" s="168">
        <v>0</v>
      </c>
      <c r="AG4090" s="168"/>
      <c r="AH4090" s="168"/>
    </row>
    <row r="4091" spans="26:34" ht="24" customHeight="1">
      <c r="Z4091"/>
      <c r="AA4091"/>
      <c r="AB4091"/>
      <c r="AC4091"/>
      <c r="AD4091"/>
      <c r="AE4091" s="168"/>
      <c r="AF4091" s="168">
        <v>0</v>
      </c>
      <c r="AG4091" s="168"/>
      <c r="AH4091" s="168"/>
    </row>
    <row r="4092" spans="26:34" ht="24" customHeight="1">
      <c r="Z4092"/>
      <c r="AA4092"/>
      <c r="AB4092"/>
      <c r="AC4092"/>
      <c r="AD4092"/>
      <c r="AE4092" s="168"/>
      <c r="AF4092" s="168">
        <v>0</v>
      </c>
      <c r="AG4092" s="168"/>
      <c r="AH4092" s="168"/>
    </row>
    <row r="4093" spans="26:34" ht="24" customHeight="1">
      <c r="Z4093"/>
      <c r="AA4093"/>
      <c r="AB4093"/>
      <c r="AC4093"/>
      <c r="AD4093"/>
      <c r="AE4093" s="168"/>
      <c r="AF4093" s="168">
        <v>0</v>
      </c>
      <c r="AG4093" s="168"/>
      <c r="AH4093" s="168"/>
    </row>
    <row r="4094" spans="26:34" ht="24" customHeight="1">
      <c r="Z4094"/>
      <c r="AA4094"/>
      <c r="AB4094"/>
      <c r="AC4094"/>
      <c r="AD4094"/>
      <c r="AE4094" s="168"/>
      <c r="AF4094" s="168">
        <v>0</v>
      </c>
      <c r="AG4094" s="168"/>
      <c r="AH4094" s="168"/>
    </row>
    <row r="4095" spans="26:34" ht="24" customHeight="1">
      <c r="Z4095"/>
      <c r="AA4095"/>
      <c r="AB4095"/>
      <c r="AC4095"/>
      <c r="AD4095"/>
      <c r="AE4095" s="168"/>
      <c r="AF4095" s="168">
        <v>0</v>
      </c>
      <c r="AG4095" s="168"/>
      <c r="AH4095" s="168"/>
    </row>
    <row r="4096" spans="26:34" ht="24" customHeight="1">
      <c r="Z4096"/>
      <c r="AA4096"/>
      <c r="AB4096"/>
      <c r="AC4096"/>
      <c r="AD4096"/>
      <c r="AE4096" s="168"/>
      <c r="AF4096" s="168">
        <v>0</v>
      </c>
      <c r="AG4096" s="168"/>
      <c r="AH4096" s="168"/>
    </row>
    <row r="4097" spans="26:34" ht="24" customHeight="1">
      <c r="Z4097"/>
      <c r="AA4097"/>
      <c r="AB4097"/>
      <c r="AC4097"/>
      <c r="AD4097"/>
      <c r="AE4097" s="168"/>
      <c r="AF4097" s="168">
        <v>0</v>
      </c>
      <c r="AG4097" s="168"/>
      <c r="AH4097" s="168"/>
    </row>
    <row r="4098" spans="26:34" ht="24" customHeight="1">
      <c r="Z4098"/>
      <c r="AA4098"/>
      <c r="AB4098"/>
      <c r="AC4098"/>
      <c r="AD4098"/>
      <c r="AE4098" s="168"/>
      <c r="AF4098" s="168">
        <v>0</v>
      </c>
      <c r="AG4098" s="168"/>
      <c r="AH4098" s="168"/>
    </row>
    <row r="4099" spans="26:34" ht="24" customHeight="1">
      <c r="Z4099"/>
      <c r="AA4099"/>
      <c r="AB4099"/>
      <c r="AC4099"/>
      <c r="AD4099"/>
      <c r="AE4099" s="168"/>
      <c r="AF4099" s="168">
        <v>0</v>
      </c>
      <c r="AG4099" s="168"/>
      <c r="AH4099" s="168"/>
    </row>
    <row r="4100" spans="26:34" ht="24" customHeight="1">
      <c r="Z4100"/>
      <c r="AA4100"/>
      <c r="AB4100"/>
      <c r="AC4100"/>
      <c r="AD4100"/>
      <c r="AE4100" s="168"/>
      <c r="AF4100" s="168">
        <v>0</v>
      </c>
      <c r="AG4100" s="168"/>
      <c r="AH4100" s="168"/>
    </row>
    <row r="4101" spans="26:34" ht="24" customHeight="1">
      <c r="Z4101"/>
      <c r="AA4101"/>
      <c r="AB4101"/>
      <c r="AC4101"/>
      <c r="AD4101"/>
      <c r="AE4101" s="168"/>
      <c r="AF4101" s="168">
        <v>0</v>
      </c>
      <c r="AG4101" s="168"/>
      <c r="AH4101" s="168"/>
    </row>
    <row r="4102" spans="26:34" ht="24" customHeight="1">
      <c r="Z4102"/>
      <c r="AA4102"/>
      <c r="AB4102"/>
      <c r="AC4102"/>
      <c r="AD4102"/>
      <c r="AE4102" s="168"/>
      <c r="AF4102" s="168">
        <v>0</v>
      </c>
      <c r="AG4102" s="168"/>
      <c r="AH4102" s="168"/>
    </row>
    <row r="4103" spans="26:34" ht="24" customHeight="1">
      <c r="Z4103"/>
      <c r="AA4103"/>
      <c r="AB4103"/>
      <c r="AC4103"/>
      <c r="AD4103"/>
      <c r="AE4103" s="168"/>
      <c r="AF4103" s="168">
        <v>0</v>
      </c>
      <c r="AG4103" s="168"/>
      <c r="AH4103" s="168"/>
    </row>
    <row r="4104" spans="26:34" ht="24" customHeight="1">
      <c r="Z4104"/>
      <c r="AA4104"/>
      <c r="AB4104"/>
      <c r="AC4104"/>
      <c r="AD4104"/>
      <c r="AE4104" s="168"/>
      <c r="AF4104" s="168">
        <v>0</v>
      </c>
      <c r="AG4104" s="168"/>
      <c r="AH4104" s="168"/>
    </row>
    <row r="4105" spans="26:34" ht="24" customHeight="1">
      <c r="Z4105"/>
      <c r="AA4105"/>
      <c r="AB4105"/>
      <c r="AC4105"/>
      <c r="AD4105"/>
      <c r="AE4105" s="168"/>
      <c r="AF4105" s="168">
        <v>0</v>
      </c>
      <c r="AG4105" s="168"/>
      <c r="AH4105" s="168"/>
    </row>
    <row r="4106" spans="26:34" ht="24" customHeight="1">
      <c r="Z4106"/>
      <c r="AA4106"/>
      <c r="AB4106"/>
      <c r="AC4106"/>
      <c r="AD4106"/>
      <c r="AE4106" s="168"/>
      <c r="AF4106" s="168">
        <v>0</v>
      </c>
      <c r="AG4106" s="168"/>
      <c r="AH4106" s="168"/>
    </row>
    <row r="4107" spans="26:34" ht="24" customHeight="1">
      <c r="Z4107"/>
      <c r="AA4107"/>
      <c r="AB4107"/>
      <c r="AC4107"/>
      <c r="AD4107"/>
      <c r="AE4107" s="168"/>
      <c r="AF4107" s="168">
        <v>0</v>
      </c>
      <c r="AG4107" s="168"/>
      <c r="AH4107" s="168"/>
    </row>
    <row r="4108" spans="26:34" ht="24" customHeight="1">
      <c r="Z4108"/>
      <c r="AA4108"/>
      <c r="AB4108"/>
      <c r="AC4108"/>
      <c r="AD4108"/>
      <c r="AE4108" s="168"/>
      <c r="AF4108" s="168">
        <v>0</v>
      </c>
      <c r="AG4108" s="168"/>
      <c r="AH4108" s="168"/>
    </row>
    <row r="4109" spans="26:34" ht="24" customHeight="1">
      <c r="Z4109"/>
      <c r="AA4109"/>
      <c r="AB4109"/>
      <c r="AC4109"/>
      <c r="AD4109"/>
      <c r="AE4109" s="168"/>
      <c r="AF4109" s="168">
        <v>0</v>
      </c>
      <c r="AG4109" s="168"/>
      <c r="AH4109" s="168"/>
    </row>
    <row r="4110" spans="26:34" ht="24" customHeight="1">
      <c r="Z4110"/>
      <c r="AA4110"/>
      <c r="AB4110"/>
      <c r="AC4110"/>
      <c r="AD4110"/>
      <c r="AE4110" s="168"/>
      <c r="AF4110" s="168">
        <v>0</v>
      </c>
      <c r="AG4110" s="168"/>
      <c r="AH4110" s="168"/>
    </row>
    <row r="4111" spans="26:34" ht="24" customHeight="1">
      <c r="Z4111"/>
      <c r="AA4111"/>
      <c r="AB4111"/>
      <c r="AC4111"/>
      <c r="AD4111"/>
      <c r="AE4111" s="168"/>
      <c r="AF4111" s="168">
        <v>0</v>
      </c>
      <c r="AG4111" s="168"/>
      <c r="AH4111" s="168"/>
    </row>
    <row r="4112" spans="26:34" ht="24" customHeight="1">
      <c r="Z4112"/>
      <c r="AA4112"/>
      <c r="AB4112"/>
      <c r="AC4112"/>
      <c r="AD4112"/>
      <c r="AE4112" s="168"/>
      <c r="AF4112" s="168">
        <v>0</v>
      </c>
      <c r="AG4112" s="168"/>
      <c r="AH4112" s="168"/>
    </row>
    <row r="4113" spans="26:34" ht="24" customHeight="1">
      <c r="Z4113"/>
      <c r="AA4113"/>
      <c r="AB4113"/>
      <c r="AC4113"/>
      <c r="AD4113"/>
      <c r="AE4113" s="168"/>
      <c r="AF4113" s="168">
        <v>0</v>
      </c>
      <c r="AG4113" s="168"/>
      <c r="AH4113" s="168"/>
    </row>
    <row r="4114" spans="26:34" ht="24" customHeight="1">
      <c r="Z4114"/>
      <c r="AA4114"/>
      <c r="AB4114"/>
      <c r="AC4114"/>
      <c r="AD4114"/>
      <c r="AE4114" s="168"/>
      <c r="AF4114" s="168">
        <v>0</v>
      </c>
      <c r="AG4114" s="168"/>
      <c r="AH4114" s="168"/>
    </row>
    <row r="4115" spans="26:34" ht="24" customHeight="1">
      <c r="Z4115"/>
      <c r="AA4115"/>
      <c r="AB4115"/>
      <c r="AC4115"/>
      <c r="AD4115"/>
      <c r="AE4115" s="168"/>
      <c r="AF4115" s="168">
        <v>0</v>
      </c>
      <c r="AG4115" s="168"/>
      <c r="AH4115" s="168"/>
    </row>
    <row r="4116" spans="26:34" ht="24" customHeight="1">
      <c r="Z4116"/>
      <c r="AA4116"/>
      <c r="AB4116"/>
      <c r="AC4116"/>
      <c r="AD4116"/>
      <c r="AE4116" s="168"/>
      <c r="AF4116" s="168">
        <v>0</v>
      </c>
      <c r="AG4116" s="168"/>
      <c r="AH4116" s="168"/>
    </row>
    <row r="4117" spans="26:34" ht="24" customHeight="1">
      <c r="Z4117"/>
      <c r="AA4117"/>
      <c r="AB4117"/>
      <c r="AC4117"/>
      <c r="AD4117"/>
      <c r="AE4117" s="168"/>
      <c r="AF4117" s="168">
        <v>0</v>
      </c>
      <c r="AG4117" s="168"/>
      <c r="AH4117" s="168"/>
    </row>
    <row r="4118" spans="26:34" ht="24" customHeight="1">
      <c r="Z4118"/>
      <c r="AA4118"/>
      <c r="AB4118"/>
      <c r="AC4118"/>
      <c r="AD4118"/>
      <c r="AE4118" s="168"/>
      <c r="AF4118" s="168">
        <v>0</v>
      </c>
      <c r="AG4118" s="168"/>
      <c r="AH4118" s="168"/>
    </row>
    <row r="4119" spans="26:34" ht="24" customHeight="1">
      <c r="Z4119"/>
      <c r="AA4119"/>
      <c r="AB4119"/>
      <c r="AC4119"/>
      <c r="AD4119"/>
      <c r="AE4119" s="168"/>
      <c r="AF4119" s="168">
        <v>0</v>
      </c>
      <c r="AG4119" s="168"/>
      <c r="AH4119" s="168"/>
    </row>
    <row r="4120" spans="26:34" ht="24" customHeight="1">
      <c r="Z4120"/>
      <c r="AA4120"/>
      <c r="AB4120"/>
      <c r="AC4120"/>
      <c r="AD4120"/>
      <c r="AE4120" s="168"/>
      <c r="AF4120" s="168">
        <v>0</v>
      </c>
      <c r="AG4120" s="168"/>
      <c r="AH4120" s="168"/>
    </row>
    <row r="4121" spans="26:34" ht="24" customHeight="1">
      <c r="Z4121"/>
      <c r="AA4121"/>
      <c r="AB4121"/>
      <c r="AC4121"/>
      <c r="AD4121"/>
      <c r="AE4121" s="168"/>
      <c r="AF4121" s="168">
        <v>0</v>
      </c>
      <c r="AG4121" s="168"/>
      <c r="AH4121" s="168"/>
    </row>
    <row r="4122" spans="26:34" ht="24" customHeight="1">
      <c r="Z4122"/>
      <c r="AA4122"/>
      <c r="AB4122"/>
      <c r="AC4122"/>
      <c r="AD4122"/>
      <c r="AE4122" s="168"/>
      <c r="AF4122" s="168">
        <v>0</v>
      </c>
      <c r="AG4122" s="168"/>
      <c r="AH4122" s="168"/>
    </row>
    <row r="4123" spans="26:34" ht="24" customHeight="1">
      <c r="Z4123"/>
      <c r="AA4123"/>
      <c r="AB4123"/>
      <c r="AC4123"/>
      <c r="AD4123"/>
      <c r="AE4123" s="168"/>
      <c r="AF4123" s="168">
        <v>0</v>
      </c>
      <c r="AG4123" s="168"/>
      <c r="AH4123" s="168"/>
    </row>
    <row r="4124" spans="26:34" ht="24" customHeight="1">
      <c r="Z4124"/>
      <c r="AA4124"/>
      <c r="AB4124"/>
      <c r="AC4124"/>
      <c r="AD4124"/>
      <c r="AE4124" s="168"/>
      <c r="AF4124" s="168">
        <v>0</v>
      </c>
      <c r="AG4124" s="168"/>
      <c r="AH4124" s="168"/>
    </row>
    <row r="4125" spans="26:34" ht="24" customHeight="1">
      <c r="Z4125"/>
      <c r="AA4125"/>
      <c r="AB4125"/>
      <c r="AC4125"/>
      <c r="AD4125"/>
      <c r="AE4125" s="168"/>
      <c r="AF4125" s="168">
        <v>0</v>
      </c>
      <c r="AG4125" s="168"/>
      <c r="AH4125" s="168"/>
    </row>
    <row r="4126" spans="26:34" ht="24" customHeight="1">
      <c r="Z4126"/>
      <c r="AA4126"/>
      <c r="AB4126"/>
      <c r="AC4126"/>
      <c r="AD4126"/>
      <c r="AE4126" s="168"/>
      <c r="AF4126" s="168">
        <v>0</v>
      </c>
      <c r="AG4126" s="168"/>
      <c r="AH4126" s="168"/>
    </row>
    <row r="4127" spans="26:34" ht="24" customHeight="1">
      <c r="Z4127"/>
      <c r="AA4127"/>
      <c r="AB4127"/>
      <c r="AC4127"/>
      <c r="AD4127"/>
      <c r="AE4127" s="168"/>
      <c r="AF4127" s="168">
        <v>0</v>
      </c>
      <c r="AG4127" s="168"/>
      <c r="AH4127" s="168"/>
    </row>
    <row r="4128" spans="26:34" ht="24" customHeight="1">
      <c r="Z4128"/>
      <c r="AA4128"/>
      <c r="AB4128"/>
      <c r="AC4128"/>
      <c r="AD4128"/>
      <c r="AE4128" s="168"/>
      <c r="AF4128" s="168">
        <v>0</v>
      </c>
      <c r="AG4128" s="168"/>
      <c r="AH4128" s="168"/>
    </row>
    <row r="4129" spans="26:34" ht="24" customHeight="1">
      <c r="Z4129"/>
      <c r="AA4129"/>
      <c r="AB4129"/>
      <c r="AC4129"/>
      <c r="AD4129"/>
      <c r="AE4129" s="168"/>
      <c r="AF4129" s="168">
        <v>0</v>
      </c>
      <c r="AG4129" s="168"/>
      <c r="AH4129" s="168"/>
    </row>
    <row r="4130" spans="26:34" ht="24" customHeight="1">
      <c r="Z4130"/>
      <c r="AA4130"/>
      <c r="AB4130"/>
      <c r="AC4130"/>
      <c r="AD4130"/>
      <c r="AE4130" s="168"/>
      <c r="AF4130" s="168">
        <v>0</v>
      </c>
      <c r="AG4130" s="168"/>
      <c r="AH4130" s="168"/>
    </row>
    <row r="4131" spans="26:34" ht="24" customHeight="1">
      <c r="Z4131"/>
      <c r="AA4131"/>
      <c r="AB4131"/>
      <c r="AC4131"/>
      <c r="AD4131"/>
      <c r="AE4131" s="168"/>
      <c r="AF4131" s="168">
        <v>0</v>
      </c>
      <c r="AG4131" s="168"/>
      <c r="AH4131" s="168"/>
    </row>
    <row r="4132" spans="26:34" ht="24" customHeight="1">
      <c r="Z4132"/>
      <c r="AA4132"/>
      <c r="AB4132"/>
      <c r="AC4132"/>
      <c r="AD4132"/>
      <c r="AE4132" s="168"/>
      <c r="AF4132" s="168">
        <v>0</v>
      </c>
      <c r="AG4132" s="168"/>
      <c r="AH4132" s="168"/>
    </row>
    <row r="4133" spans="26:34" ht="24" customHeight="1">
      <c r="Z4133"/>
      <c r="AA4133"/>
      <c r="AB4133"/>
      <c r="AC4133"/>
      <c r="AD4133"/>
      <c r="AE4133" s="168"/>
      <c r="AF4133" s="168">
        <v>0</v>
      </c>
      <c r="AG4133" s="168"/>
      <c r="AH4133" s="168"/>
    </row>
    <row r="4134" spans="26:34" ht="24" customHeight="1">
      <c r="Z4134"/>
      <c r="AA4134"/>
      <c r="AB4134"/>
      <c r="AC4134"/>
      <c r="AD4134"/>
      <c r="AE4134" s="168"/>
      <c r="AF4134" s="168">
        <v>0</v>
      </c>
      <c r="AG4134" s="168"/>
      <c r="AH4134" s="168"/>
    </row>
    <row r="4135" spans="26:34" ht="24" customHeight="1">
      <c r="Z4135"/>
      <c r="AA4135"/>
      <c r="AB4135"/>
      <c r="AC4135"/>
      <c r="AD4135"/>
      <c r="AE4135" s="168"/>
      <c r="AF4135" s="168">
        <v>0</v>
      </c>
      <c r="AG4135" s="168"/>
      <c r="AH4135" s="168"/>
    </row>
    <row r="4136" spans="26:34" ht="24" customHeight="1">
      <c r="Z4136"/>
      <c r="AA4136"/>
      <c r="AB4136"/>
      <c r="AC4136"/>
      <c r="AD4136"/>
      <c r="AE4136" s="168"/>
      <c r="AF4136" s="168">
        <v>0</v>
      </c>
      <c r="AG4136" s="168"/>
      <c r="AH4136" s="168"/>
    </row>
    <row r="4137" spans="26:34" ht="24" customHeight="1">
      <c r="Z4137"/>
      <c r="AA4137"/>
      <c r="AB4137"/>
      <c r="AC4137"/>
      <c r="AD4137"/>
      <c r="AE4137" s="168"/>
      <c r="AF4137" s="168">
        <v>0</v>
      </c>
      <c r="AG4137" s="168"/>
      <c r="AH4137" s="168"/>
    </row>
    <row r="4138" spans="26:34" ht="24" customHeight="1">
      <c r="Z4138"/>
      <c r="AA4138"/>
      <c r="AB4138"/>
      <c r="AC4138"/>
      <c r="AD4138"/>
      <c r="AE4138" s="168"/>
      <c r="AF4138" s="168">
        <v>0</v>
      </c>
      <c r="AG4138" s="168"/>
      <c r="AH4138" s="168"/>
    </row>
    <row r="4139" spans="26:34" ht="24" customHeight="1">
      <c r="Z4139"/>
      <c r="AA4139"/>
      <c r="AB4139"/>
      <c r="AC4139"/>
      <c r="AD4139"/>
      <c r="AE4139" s="168"/>
      <c r="AF4139" s="168">
        <v>0</v>
      </c>
      <c r="AG4139" s="168"/>
      <c r="AH4139" s="168"/>
    </row>
    <row r="4140" spans="26:34" ht="24" customHeight="1">
      <c r="Z4140"/>
      <c r="AA4140"/>
      <c r="AB4140"/>
      <c r="AC4140"/>
      <c r="AD4140"/>
      <c r="AE4140" s="168"/>
      <c r="AF4140" s="168">
        <v>0</v>
      </c>
      <c r="AG4140" s="168"/>
      <c r="AH4140" s="168"/>
    </row>
    <row r="4141" spans="26:34" ht="24" customHeight="1">
      <c r="Z4141"/>
      <c r="AA4141"/>
      <c r="AB4141"/>
      <c r="AC4141"/>
      <c r="AD4141"/>
      <c r="AE4141" s="168"/>
      <c r="AF4141" s="168">
        <v>0</v>
      </c>
      <c r="AG4141" s="168"/>
      <c r="AH4141" s="168"/>
    </row>
    <row r="4142" spans="26:34" ht="24" customHeight="1">
      <c r="Z4142"/>
      <c r="AA4142"/>
      <c r="AB4142"/>
      <c r="AC4142"/>
      <c r="AD4142"/>
      <c r="AE4142" s="168"/>
      <c r="AF4142" s="168">
        <v>0</v>
      </c>
      <c r="AG4142" s="168"/>
      <c r="AH4142" s="168"/>
    </row>
    <row r="4143" spans="26:34" ht="24" customHeight="1">
      <c r="Z4143"/>
      <c r="AA4143"/>
      <c r="AB4143"/>
      <c r="AC4143"/>
      <c r="AD4143"/>
      <c r="AE4143" s="168"/>
      <c r="AF4143" s="168">
        <v>0</v>
      </c>
      <c r="AG4143" s="168"/>
      <c r="AH4143" s="168"/>
    </row>
    <row r="4144" spans="26:34" ht="24" customHeight="1">
      <c r="Z4144"/>
      <c r="AA4144"/>
      <c r="AB4144"/>
      <c r="AC4144"/>
      <c r="AD4144"/>
      <c r="AE4144" s="168"/>
      <c r="AF4144" s="168">
        <v>0</v>
      </c>
      <c r="AG4144" s="168"/>
      <c r="AH4144" s="168"/>
    </row>
    <row r="4145" spans="26:34" ht="24" customHeight="1">
      <c r="Z4145"/>
      <c r="AA4145"/>
      <c r="AB4145"/>
      <c r="AC4145"/>
      <c r="AD4145"/>
      <c r="AE4145" s="168"/>
      <c r="AF4145" s="168">
        <v>0</v>
      </c>
      <c r="AG4145" s="168"/>
      <c r="AH4145" s="168"/>
    </row>
    <row r="4146" spans="26:34" ht="24" customHeight="1">
      <c r="Z4146"/>
      <c r="AA4146"/>
      <c r="AB4146"/>
      <c r="AC4146"/>
      <c r="AD4146"/>
      <c r="AE4146" s="168"/>
      <c r="AF4146" s="168">
        <v>0</v>
      </c>
      <c r="AG4146" s="168"/>
      <c r="AH4146" s="168"/>
    </row>
    <row r="4147" spans="26:34" ht="24" customHeight="1">
      <c r="Z4147"/>
      <c r="AA4147"/>
      <c r="AB4147"/>
      <c r="AC4147"/>
      <c r="AD4147"/>
      <c r="AE4147" s="168"/>
      <c r="AF4147" s="168">
        <v>0</v>
      </c>
      <c r="AG4147" s="168"/>
      <c r="AH4147" s="168"/>
    </row>
    <row r="4148" spans="26:34" ht="24" customHeight="1">
      <c r="Z4148"/>
      <c r="AA4148"/>
      <c r="AB4148"/>
      <c r="AC4148"/>
      <c r="AD4148"/>
      <c r="AE4148" s="168"/>
      <c r="AF4148" s="168">
        <v>0</v>
      </c>
      <c r="AG4148" s="168"/>
      <c r="AH4148" s="168"/>
    </row>
    <row r="4149" spans="26:34" ht="24" customHeight="1">
      <c r="Z4149"/>
      <c r="AA4149"/>
      <c r="AB4149"/>
      <c r="AC4149"/>
      <c r="AD4149"/>
      <c r="AE4149" s="168"/>
      <c r="AF4149" s="168">
        <v>0</v>
      </c>
      <c r="AG4149" s="168"/>
      <c r="AH4149" s="168"/>
    </row>
    <row r="4150" spans="26:34" ht="24" customHeight="1">
      <c r="Z4150"/>
      <c r="AA4150"/>
      <c r="AB4150"/>
      <c r="AC4150"/>
      <c r="AD4150"/>
      <c r="AE4150" s="168"/>
      <c r="AF4150" s="168">
        <v>0</v>
      </c>
      <c r="AG4150" s="168"/>
      <c r="AH4150" s="168"/>
    </row>
    <row r="4151" spans="26:34" ht="24" customHeight="1">
      <c r="Z4151"/>
      <c r="AA4151"/>
      <c r="AB4151"/>
      <c r="AC4151"/>
      <c r="AD4151"/>
      <c r="AE4151" s="168"/>
      <c r="AF4151" s="168">
        <v>0</v>
      </c>
      <c r="AG4151" s="168"/>
      <c r="AH4151" s="168"/>
    </row>
    <row r="4152" spans="26:34" ht="24" customHeight="1">
      <c r="Z4152"/>
      <c r="AA4152"/>
      <c r="AB4152"/>
      <c r="AC4152"/>
      <c r="AD4152"/>
      <c r="AE4152" s="168"/>
      <c r="AF4152" s="168">
        <v>0</v>
      </c>
      <c r="AG4152" s="168"/>
      <c r="AH4152" s="168"/>
    </row>
    <row r="4153" spans="26:34" ht="24" customHeight="1">
      <c r="Z4153"/>
      <c r="AA4153"/>
      <c r="AB4153"/>
      <c r="AC4153"/>
      <c r="AD4153"/>
      <c r="AE4153" s="168"/>
      <c r="AF4153" s="168">
        <v>0</v>
      </c>
      <c r="AG4153" s="168"/>
      <c r="AH4153" s="168"/>
    </row>
    <row r="4154" spans="26:34" ht="24" customHeight="1">
      <c r="Z4154"/>
      <c r="AA4154"/>
      <c r="AB4154"/>
      <c r="AC4154"/>
      <c r="AD4154"/>
      <c r="AE4154" s="168"/>
      <c r="AF4154" s="168">
        <v>0</v>
      </c>
      <c r="AG4154" s="168"/>
      <c r="AH4154" s="168"/>
    </row>
    <row r="4155" spans="26:34" ht="24" customHeight="1">
      <c r="Z4155"/>
      <c r="AA4155"/>
      <c r="AB4155"/>
      <c r="AC4155"/>
      <c r="AD4155"/>
      <c r="AE4155" s="168"/>
      <c r="AF4155" s="168">
        <v>0</v>
      </c>
      <c r="AG4155" s="168"/>
      <c r="AH4155" s="168"/>
    </row>
    <row r="4156" spans="26:34" ht="24" customHeight="1">
      <c r="Z4156"/>
      <c r="AA4156"/>
      <c r="AB4156"/>
      <c r="AC4156"/>
      <c r="AD4156"/>
      <c r="AE4156" s="168"/>
      <c r="AF4156" s="168">
        <v>0</v>
      </c>
      <c r="AG4156" s="168"/>
      <c r="AH4156" s="168"/>
    </row>
    <row r="4157" spans="26:34" ht="24" customHeight="1">
      <c r="Z4157"/>
      <c r="AA4157"/>
      <c r="AB4157"/>
      <c r="AC4157"/>
      <c r="AD4157"/>
      <c r="AE4157" s="168"/>
      <c r="AF4157" s="168">
        <v>0</v>
      </c>
      <c r="AG4157" s="168"/>
      <c r="AH4157" s="168"/>
    </row>
    <row r="4158" spans="26:34" ht="24" customHeight="1">
      <c r="Z4158"/>
      <c r="AA4158"/>
      <c r="AB4158"/>
      <c r="AC4158"/>
      <c r="AD4158"/>
      <c r="AE4158" s="168"/>
      <c r="AF4158" s="168">
        <v>0</v>
      </c>
      <c r="AG4158" s="168"/>
      <c r="AH4158" s="168"/>
    </row>
    <row r="4159" spans="26:34" ht="24" customHeight="1">
      <c r="Z4159"/>
      <c r="AA4159"/>
      <c r="AB4159"/>
      <c r="AC4159"/>
      <c r="AD4159"/>
      <c r="AE4159" s="168"/>
      <c r="AF4159" s="168">
        <v>0</v>
      </c>
      <c r="AG4159" s="168"/>
      <c r="AH4159" s="168"/>
    </row>
    <row r="4160" spans="26:34" ht="24" customHeight="1">
      <c r="Z4160"/>
      <c r="AA4160"/>
      <c r="AB4160"/>
      <c r="AC4160"/>
      <c r="AD4160"/>
      <c r="AE4160" s="168"/>
      <c r="AF4160" s="168">
        <v>0</v>
      </c>
      <c r="AG4160" s="168"/>
      <c r="AH4160" s="168"/>
    </row>
    <row r="4161" spans="26:34" ht="24" customHeight="1">
      <c r="Z4161"/>
      <c r="AA4161"/>
      <c r="AB4161"/>
      <c r="AC4161"/>
      <c r="AD4161"/>
      <c r="AE4161" s="168"/>
      <c r="AF4161" s="168">
        <v>0</v>
      </c>
      <c r="AG4161" s="168"/>
      <c r="AH4161" s="168"/>
    </row>
    <row r="4162" spans="26:34" ht="24" customHeight="1">
      <c r="Z4162"/>
      <c r="AA4162"/>
      <c r="AB4162"/>
      <c r="AC4162"/>
      <c r="AD4162"/>
      <c r="AE4162" s="168"/>
      <c r="AF4162" s="168">
        <v>0</v>
      </c>
      <c r="AG4162" s="168"/>
      <c r="AH4162" s="168"/>
    </row>
    <row r="4163" spans="26:34" ht="24" customHeight="1">
      <c r="Z4163"/>
      <c r="AA4163"/>
      <c r="AB4163"/>
      <c r="AC4163"/>
      <c r="AD4163"/>
      <c r="AE4163" s="168"/>
      <c r="AF4163" s="168">
        <v>0</v>
      </c>
      <c r="AG4163" s="168"/>
      <c r="AH4163" s="168"/>
    </row>
    <row r="4164" spans="26:34" ht="24" customHeight="1">
      <c r="Z4164"/>
      <c r="AA4164"/>
      <c r="AB4164"/>
      <c r="AC4164"/>
      <c r="AD4164"/>
      <c r="AE4164" s="168"/>
      <c r="AF4164" s="168">
        <v>0</v>
      </c>
      <c r="AG4164" s="168"/>
      <c r="AH4164" s="168"/>
    </row>
    <row r="4165" spans="26:34" ht="24" customHeight="1">
      <c r="Z4165"/>
      <c r="AA4165"/>
      <c r="AB4165"/>
      <c r="AC4165"/>
      <c r="AD4165"/>
      <c r="AE4165" s="168"/>
      <c r="AF4165" s="168">
        <v>0</v>
      </c>
      <c r="AG4165" s="168"/>
      <c r="AH4165" s="168"/>
    </row>
    <row r="4166" spans="26:34" ht="24" customHeight="1">
      <c r="Z4166"/>
      <c r="AA4166"/>
      <c r="AB4166"/>
      <c r="AC4166"/>
      <c r="AD4166"/>
      <c r="AE4166" s="168"/>
      <c r="AF4166" s="168">
        <v>0</v>
      </c>
      <c r="AG4166" s="168"/>
      <c r="AH4166" s="168"/>
    </row>
    <row r="4167" spans="26:34" ht="24" customHeight="1">
      <c r="Z4167"/>
      <c r="AA4167"/>
      <c r="AB4167"/>
      <c r="AC4167"/>
      <c r="AD4167"/>
      <c r="AE4167" s="168"/>
      <c r="AF4167" s="168">
        <v>0</v>
      </c>
      <c r="AG4167" s="168"/>
      <c r="AH4167" s="168"/>
    </row>
    <row r="4168" spans="26:34" ht="24" customHeight="1">
      <c r="Z4168"/>
      <c r="AA4168"/>
      <c r="AB4168"/>
      <c r="AC4168"/>
      <c r="AD4168"/>
      <c r="AE4168" s="168"/>
      <c r="AF4168" s="168">
        <v>0</v>
      </c>
      <c r="AG4168" s="168"/>
      <c r="AH4168" s="168"/>
    </row>
    <row r="4169" spans="26:34" ht="24" customHeight="1">
      <c r="Z4169"/>
      <c r="AA4169"/>
      <c r="AB4169"/>
      <c r="AC4169"/>
      <c r="AD4169"/>
      <c r="AE4169" s="168"/>
      <c r="AF4169" s="168">
        <v>0</v>
      </c>
      <c r="AG4169" s="168"/>
      <c r="AH4169" s="168"/>
    </row>
    <row r="4170" spans="26:34" ht="24" customHeight="1">
      <c r="Z4170"/>
      <c r="AA4170"/>
      <c r="AB4170"/>
      <c r="AC4170"/>
      <c r="AD4170"/>
      <c r="AE4170" s="168"/>
      <c r="AF4170" s="168">
        <v>0</v>
      </c>
      <c r="AG4170" s="168"/>
      <c r="AH4170" s="168"/>
    </row>
    <row r="4171" spans="26:34" ht="24" customHeight="1">
      <c r="Z4171"/>
      <c r="AA4171"/>
      <c r="AB4171"/>
      <c r="AC4171"/>
      <c r="AD4171"/>
      <c r="AE4171" s="168"/>
      <c r="AF4171" s="168">
        <v>0</v>
      </c>
      <c r="AG4171" s="168"/>
      <c r="AH4171" s="168"/>
    </row>
    <row r="4172" spans="26:34" ht="24" customHeight="1">
      <c r="Z4172"/>
      <c r="AA4172"/>
      <c r="AB4172"/>
      <c r="AC4172"/>
      <c r="AD4172"/>
      <c r="AE4172" s="168"/>
      <c r="AF4172" s="168">
        <v>0</v>
      </c>
      <c r="AG4172" s="168"/>
      <c r="AH4172" s="168"/>
    </row>
    <row r="4173" spans="26:34" ht="24" customHeight="1">
      <c r="Z4173"/>
      <c r="AA4173"/>
      <c r="AB4173"/>
      <c r="AC4173"/>
      <c r="AD4173"/>
      <c r="AE4173" s="168"/>
      <c r="AF4173" s="168">
        <v>0</v>
      </c>
      <c r="AG4173" s="168"/>
      <c r="AH4173" s="168"/>
    </row>
    <row r="4174" spans="26:34" ht="24" customHeight="1">
      <c r="Z4174"/>
      <c r="AA4174"/>
      <c r="AB4174"/>
      <c r="AC4174"/>
      <c r="AD4174"/>
      <c r="AE4174" s="168"/>
      <c r="AF4174" s="168">
        <v>0</v>
      </c>
      <c r="AG4174" s="168"/>
      <c r="AH4174" s="168"/>
    </row>
    <row r="4175" spans="26:34" ht="24" customHeight="1">
      <c r="Z4175"/>
      <c r="AA4175"/>
      <c r="AB4175"/>
      <c r="AC4175"/>
      <c r="AD4175"/>
      <c r="AE4175" s="168"/>
      <c r="AF4175" s="168">
        <v>0</v>
      </c>
      <c r="AG4175" s="168"/>
      <c r="AH4175" s="168"/>
    </row>
    <row r="4176" spans="26:34" ht="24" customHeight="1">
      <c r="Z4176"/>
      <c r="AA4176"/>
      <c r="AB4176"/>
      <c r="AC4176"/>
      <c r="AD4176"/>
      <c r="AE4176" s="168"/>
      <c r="AF4176" s="168">
        <v>0</v>
      </c>
      <c r="AG4176" s="168"/>
      <c r="AH4176" s="168"/>
    </row>
    <row r="4177" spans="26:34" ht="24" customHeight="1">
      <c r="Z4177"/>
      <c r="AA4177"/>
      <c r="AB4177"/>
      <c r="AC4177"/>
      <c r="AD4177"/>
      <c r="AE4177" s="168"/>
      <c r="AF4177" s="168">
        <v>0</v>
      </c>
      <c r="AG4177" s="168"/>
      <c r="AH4177" s="168"/>
    </row>
    <row r="4178" spans="26:34" ht="24" customHeight="1">
      <c r="Z4178"/>
      <c r="AA4178"/>
      <c r="AB4178"/>
      <c r="AC4178"/>
      <c r="AD4178"/>
      <c r="AE4178" s="168"/>
      <c r="AF4178" s="168">
        <v>0</v>
      </c>
      <c r="AG4178" s="168"/>
      <c r="AH4178" s="168"/>
    </row>
    <row r="4179" spans="26:34" ht="24" customHeight="1">
      <c r="Z4179"/>
      <c r="AA4179"/>
      <c r="AB4179"/>
      <c r="AC4179"/>
      <c r="AD4179"/>
      <c r="AE4179" s="168"/>
      <c r="AF4179" s="168">
        <v>0</v>
      </c>
      <c r="AG4179" s="168"/>
      <c r="AH4179" s="168"/>
    </row>
    <row r="4180" spans="26:34" ht="24" customHeight="1">
      <c r="Z4180"/>
      <c r="AA4180"/>
      <c r="AB4180"/>
      <c r="AC4180"/>
      <c r="AD4180"/>
      <c r="AE4180" s="168"/>
      <c r="AF4180" s="168">
        <v>0</v>
      </c>
      <c r="AG4180" s="168"/>
      <c r="AH4180" s="168"/>
    </row>
    <row r="4181" spans="26:34" ht="24" customHeight="1">
      <c r="Z4181"/>
      <c r="AA4181"/>
      <c r="AB4181"/>
      <c r="AC4181"/>
      <c r="AD4181"/>
      <c r="AE4181" s="168"/>
      <c r="AF4181" s="168">
        <v>0</v>
      </c>
      <c r="AG4181" s="168"/>
      <c r="AH4181" s="168"/>
    </row>
    <row r="4182" spans="26:34" ht="24" customHeight="1">
      <c r="Z4182"/>
      <c r="AA4182"/>
      <c r="AB4182"/>
      <c r="AC4182"/>
      <c r="AD4182"/>
      <c r="AE4182" s="168"/>
      <c r="AF4182" s="168">
        <v>0</v>
      </c>
      <c r="AG4182" s="168"/>
      <c r="AH4182" s="168"/>
    </row>
    <row r="4183" spans="26:34" ht="24" customHeight="1">
      <c r="Z4183"/>
      <c r="AA4183"/>
      <c r="AB4183"/>
      <c r="AC4183"/>
      <c r="AD4183"/>
      <c r="AE4183" s="168"/>
      <c r="AF4183" s="168">
        <v>0</v>
      </c>
      <c r="AG4183" s="168"/>
      <c r="AH4183" s="168"/>
    </row>
    <row r="4184" spans="26:34" ht="24" customHeight="1">
      <c r="Z4184"/>
      <c r="AA4184"/>
      <c r="AB4184"/>
      <c r="AC4184"/>
      <c r="AD4184"/>
      <c r="AE4184" s="168"/>
      <c r="AF4184" s="168">
        <v>0</v>
      </c>
      <c r="AG4184" s="168"/>
      <c r="AH4184" s="168"/>
    </row>
    <row r="4185" spans="26:34" ht="24" customHeight="1">
      <c r="Z4185"/>
      <c r="AA4185"/>
      <c r="AB4185"/>
      <c r="AC4185"/>
      <c r="AD4185"/>
      <c r="AE4185" s="168"/>
      <c r="AF4185" s="168">
        <v>0</v>
      </c>
      <c r="AG4185" s="168"/>
      <c r="AH4185" s="168"/>
    </row>
    <row r="4186" spans="26:34" ht="24" customHeight="1">
      <c r="Z4186"/>
      <c r="AA4186"/>
      <c r="AB4186"/>
      <c r="AC4186"/>
      <c r="AD4186"/>
      <c r="AE4186" s="168"/>
      <c r="AF4186" s="168">
        <v>0</v>
      </c>
      <c r="AG4186" s="168"/>
      <c r="AH4186" s="168"/>
    </row>
    <row r="4187" spans="26:34" ht="24" customHeight="1">
      <c r="Z4187"/>
      <c r="AA4187"/>
      <c r="AB4187"/>
      <c r="AC4187"/>
      <c r="AD4187"/>
      <c r="AE4187" s="168"/>
      <c r="AF4187" s="168">
        <v>0</v>
      </c>
      <c r="AG4187" s="168"/>
      <c r="AH4187" s="168"/>
    </row>
    <row r="4188" spans="26:34" ht="24" customHeight="1">
      <c r="Z4188"/>
      <c r="AA4188"/>
      <c r="AB4188"/>
      <c r="AC4188"/>
      <c r="AD4188"/>
      <c r="AE4188" s="168"/>
      <c r="AF4188" s="168">
        <v>0</v>
      </c>
      <c r="AG4188" s="168"/>
      <c r="AH4188" s="168"/>
    </row>
    <row r="4189" spans="26:34" ht="24" customHeight="1">
      <c r="Z4189"/>
      <c r="AA4189"/>
      <c r="AB4189"/>
      <c r="AC4189"/>
      <c r="AD4189"/>
      <c r="AE4189" s="168"/>
      <c r="AF4189" s="168">
        <v>0</v>
      </c>
      <c r="AG4189" s="168"/>
      <c r="AH4189" s="168"/>
    </row>
    <row r="4190" spans="26:34" ht="24" customHeight="1">
      <c r="Z4190"/>
      <c r="AA4190"/>
      <c r="AB4190"/>
      <c r="AC4190"/>
      <c r="AD4190"/>
      <c r="AE4190" s="168"/>
      <c r="AF4190" s="168">
        <v>0</v>
      </c>
      <c r="AG4190" s="168"/>
      <c r="AH4190" s="168"/>
    </row>
    <row r="4191" spans="26:34" ht="24" customHeight="1">
      <c r="Z4191"/>
      <c r="AA4191"/>
      <c r="AB4191"/>
      <c r="AC4191"/>
      <c r="AD4191"/>
      <c r="AE4191" s="168"/>
      <c r="AF4191" s="168">
        <v>0</v>
      </c>
      <c r="AG4191" s="168"/>
      <c r="AH4191" s="168"/>
    </row>
    <row r="4192" spans="26:34" ht="24" customHeight="1">
      <c r="Z4192"/>
      <c r="AA4192"/>
      <c r="AB4192"/>
      <c r="AC4192"/>
      <c r="AD4192"/>
      <c r="AE4192" s="168"/>
      <c r="AF4192" s="168">
        <v>0</v>
      </c>
      <c r="AG4192" s="168"/>
      <c r="AH4192" s="168"/>
    </row>
    <row r="4193" spans="26:34" ht="24" customHeight="1">
      <c r="Z4193"/>
      <c r="AA4193"/>
      <c r="AB4193"/>
      <c r="AC4193"/>
      <c r="AD4193"/>
      <c r="AE4193" s="168"/>
      <c r="AF4193" s="168">
        <v>0</v>
      </c>
      <c r="AG4193" s="168"/>
      <c r="AH4193" s="168"/>
    </row>
    <row r="4194" spans="26:34" ht="24" customHeight="1">
      <c r="Z4194"/>
      <c r="AA4194"/>
      <c r="AB4194"/>
      <c r="AC4194"/>
      <c r="AD4194"/>
      <c r="AE4194" s="168"/>
      <c r="AF4194" s="168">
        <v>0</v>
      </c>
      <c r="AG4194" s="168"/>
      <c r="AH4194" s="168"/>
    </row>
    <row r="4195" spans="26:34" ht="24" customHeight="1">
      <c r="Z4195"/>
      <c r="AA4195"/>
      <c r="AB4195"/>
      <c r="AC4195"/>
      <c r="AD4195"/>
      <c r="AE4195" s="168"/>
      <c r="AF4195" s="168">
        <v>0</v>
      </c>
      <c r="AG4195" s="168"/>
      <c r="AH4195" s="168"/>
    </row>
    <row r="4196" spans="26:34" ht="24" customHeight="1">
      <c r="Z4196"/>
      <c r="AA4196"/>
      <c r="AB4196"/>
      <c r="AC4196"/>
      <c r="AD4196"/>
      <c r="AE4196" s="168"/>
      <c r="AF4196" s="168">
        <v>0</v>
      </c>
      <c r="AG4196" s="168"/>
      <c r="AH4196" s="168"/>
    </row>
    <row r="4197" spans="26:34" ht="24" customHeight="1">
      <c r="Z4197"/>
      <c r="AA4197"/>
      <c r="AB4197"/>
      <c r="AC4197"/>
      <c r="AD4197"/>
      <c r="AE4197" s="168"/>
      <c r="AF4197" s="168">
        <v>0</v>
      </c>
      <c r="AG4197" s="168"/>
      <c r="AH4197" s="168"/>
    </row>
    <row r="4198" spans="26:34" ht="24" customHeight="1">
      <c r="Z4198"/>
      <c r="AA4198"/>
      <c r="AB4198"/>
      <c r="AC4198"/>
      <c r="AD4198"/>
      <c r="AE4198" s="168"/>
      <c r="AF4198" s="168">
        <v>0</v>
      </c>
      <c r="AG4198" s="168"/>
      <c r="AH4198" s="168"/>
    </row>
    <row r="4199" spans="26:34" ht="24" customHeight="1">
      <c r="Z4199"/>
      <c r="AA4199"/>
      <c r="AB4199"/>
      <c r="AC4199"/>
      <c r="AD4199"/>
      <c r="AE4199" s="168"/>
      <c r="AF4199" s="168">
        <v>0</v>
      </c>
      <c r="AG4199" s="168"/>
      <c r="AH4199" s="168"/>
    </row>
    <row r="4200" spans="26:34" ht="24" customHeight="1">
      <c r="Z4200"/>
      <c r="AA4200"/>
      <c r="AB4200"/>
      <c r="AC4200"/>
      <c r="AD4200"/>
      <c r="AE4200" s="168"/>
      <c r="AF4200" s="168">
        <v>0</v>
      </c>
      <c r="AG4200" s="168"/>
      <c r="AH4200" s="168"/>
    </row>
    <row r="4201" spans="26:34" ht="24" customHeight="1">
      <c r="Z4201"/>
      <c r="AA4201"/>
      <c r="AB4201"/>
      <c r="AC4201"/>
      <c r="AD4201"/>
      <c r="AE4201" s="168"/>
      <c r="AF4201" s="168">
        <v>0</v>
      </c>
      <c r="AG4201" s="168"/>
      <c r="AH4201" s="168"/>
    </row>
    <row r="4202" spans="26:34" ht="24" customHeight="1">
      <c r="Z4202"/>
      <c r="AA4202"/>
      <c r="AB4202"/>
      <c r="AC4202"/>
      <c r="AD4202"/>
      <c r="AE4202" s="168"/>
      <c r="AF4202" s="168">
        <v>0</v>
      </c>
      <c r="AG4202" s="168"/>
      <c r="AH4202" s="168"/>
    </row>
    <row r="4203" spans="26:34" ht="24" customHeight="1">
      <c r="Z4203"/>
      <c r="AA4203"/>
      <c r="AB4203"/>
      <c r="AC4203"/>
      <c r="AD4203"/>
      <c r="AE4203" s="168"/>
      <c r="AF4203" s="168">
        <v>0</v>
      </c>
      <c r="AG4203" s="168"/>
      <c r="AH4203" s="168"/>
    </row>
    <row r="4204" spans="26:34" ht="24" customHeight="1">
      <c r="Z4204"/>
      <c r="AA4204"/>
      <c r="AB4204"/>
      <c r="AC4204"/>
      <c r="AD4204"/>
      <c r="AE4204" s="168"/>
      <c r="AF4204" s="168">
        <v>0</v>
      </c>
      <c r="AG4204" s="168"/>
      <c r="AH4204" s="168"/>
    </row>
    <row r="4205" spans="26:34" ht="24" customHeight="1">
      <c r="Z4205"/>
      <c r="AA4205"/>
      <c r="AB4205"/>
      <c r="AC4205"/>
      <c r="AD4205"/>
      <c r="AE4205" s="168"/>
      <c r="AF4205" s="168">
        <v>0</v>
      </c>
      <c r="AG4205" s="168"/>
      <c r="AH4205" s="168"/>
    </row>
    <row r="4206" spans="26:34" ht="24" customHeight="1">
      <c r="Z4206"/>
      <c r="AA4206"/>
      <c r="AB4206"/>
      <c r="AC4206"/>
      <c r="AD4206"/>
      <c r="AE4206" s="168"/>
      <c r="AF4206" s="168">
        <v>0</v>
      </c>
      <c r="AG4206" s="168"/>
      <c r="AH4206" s="168"/>
    </row>
    <row r="4207" spans="26:34" ht="24" customHeight="1">
      <c r="Z4207"/>
      <c r="AA4207"/>
      <c r="AB4207"/>
      <c r="AC4207"/>
      <c r="AD4207"/>
      <c r="AE4207" s="168"/>
      <c r="AF4207" s="168">
        <v>0</v>
      </c>
      <c r="AG4207" s="168"/>
      <c r="AH4207" s="168"/>
    </row>
    <row r="4208" spans="26:34" ht="24" customHeight="1">
      <c r="Z4208"/>
      <c r="AA4208"/>
      <c r="AB4208"/>
      <c r="AC4208"/>
      <c r="AD4208"/>
      <c r="AE4208" s="168"/>
      <c r="AF4208" s="168">
        <v>0</v>
      </c>
      <c r="AG4208" s="168"/>
      <c r="AH4208" s="168"/>
    </row>
    <row r="4209" spans="26:34" ht="24" customHeight="1">
      <c r="Z4209"/>
      <c r="AA4209"/>
      <c r="AB4209"/>
      <c r="AC4209"/>
      <c r="AD4209"/>
      <c r="AE4209" s="168"/>
      <c r="AF4209" s="168">
        <v>0</v>
      </c>
      <c r="AG4209" s="168"/>
      <c r="AH4209" s="168"/>
    </row>
    <row r="4210" spans="26:34" ht="24" customHeight="1">
      <c r="Z4210"/>
      <c r="AA4210"/>
      <c r="AB4210"/>
      <c r="AC4210"/>
      <c r="AD4210"/>
      <c r="AE4210" s="168"/>
      <c r="AF4210" s="168">
        <v>0</v>
      </c>
      <c r="AG4210" s="168"/>
      <c r="AH4210" s="168"/>
    </row>
    <row r="4211" spans="26:34" ht="24" customHeight="1">
      <c r="Z4211"/>
      <c r="AA4211"/>
      <c r="AB4211"/>
      <c r="AC4211"/>
      <c r="AD4211"/>
      <c r="AE4211" s="168"/>
      <c r="AF4211" s="168">
        <v>0</v>
      </c>
      <c r="AG4211" s="168"/>
      <c r="AH4211" s="168"/>
    </row>
    <row r="4212" spans="26:34" ht="24" customHeight="1">
      <c r="Z4212"/>
      <c r="AA4212"/>
      <c r="AB4212"/>
      <c r="AC4212"/>
      <c r="AD4212"/>
      <c r="AE4212" s="168"/>
      <c r="AF4212" s="168">
        <v>0</v>
      </c>
      <c r="AG4212" s="168"/>
      <c r="AH4212" s="168"/>
    </row>
    <row r="4213" spans="26:34" ht="24" customHeight="1">
      <c r="Z4213"/>
      <c r="AA4213"/>
      <c r="AB4213"/>
      <c r="AC4213"/>
      <c r="AD4213"/>
      <c r="AE4213" s="168"/>
      <c r="AF4213" s="168">
        <v>0</v>
      </c>
      <c r="AG4213" s="168"/>
      <c r="AH4213" s="168"/>
    </row>
    <row r="4214" spans="26:34" ht="24" customHeight="1">
      <c r="Z4214"/>
      <c r="AA4214"/>
      <c r="AB4214"/>
      <c r="AC4214"/>
      <c r="AD4214"/>
      <c r="AE4214" s="168"/>
      <c r="AF4214" s="168">
        <v>0</v>
      </c>
      <c r="AG4214" s="168"/>
      <c r="AH4214" s="168"/>
    </row>
    <row r="4215" spans="26:34" ht="24" customHeight="1">
      <c r="Z4215"/>
      <c r="AA4215"/>
      <c r="AB4215"/>
      <c r="AC4215"/>
      <c r="AD4215"/>
      <c r="AE4215" s="168"/>
      <c r="AF4215" s="168">
        <v>0</v>
      </c>
      <c r="AG4215" s="168"/>
      <c r="AH4215" s="168"/>
    </row>
    <row r="4216" spans="26:34" ht="24" customHeight="1">
      <c r="Z4216"/>
      <c r="AA4216"/>
      <c r="AB4216"/>
      <c r="AC4216"/>
      <c r="AD4216"/>
      <c r="AE4216" s="168"/>
      <c r="AF4216" s="168">
        <v>0</v>
      </c>
      <c r="AG4216" s="168"/>
      <c r="AH4216" s="168"/>
    </row>
    <row r="4217" spans="26:34" ht="24" customHeight="1">
      <c r="Z4217"/>
      <c r="AA4217"/>
      <c r="AB4217"/>
      <c r="AC4217"/>
      <c r="AD4217"/>
      <c r="AE4217" s="168"/>
      <c r="AF4217" s="168">
        <v>0</v>
      </c>
      <c r="AG4217" s="168"/>
      <c r="AH4217" s="168"/>
    </row>
    <row r="4218" spans="26:34" ht="24" customHeight="1">
      <c r="Z4218"/>
      <c r="AA4218"/>
      <c r="AB4218"/>
      <c r="AC4218"/>
      <c r="AD4218"/>
      <c r="AE4218" s="168"/>
      <c r="AF4218" s="168">
        <v>0</v>
      </c>
      <c r="AG4218" s="168"/>
      <c r="AH4218" s="168"/>
    </row>
    <row r="4219" spans="26:34" ht="24" customHeight="1">
      <c r="Z4219"/>
      <c r="AA4219"/>
      <c r="AB4219"/>
      <c r="AC4219"/>
      <c r="AD4219"/>
      <c r="AE4219" s="168"/>
      <c r="AF4219" s="168">
        <v>0</v>
      </c>
      <c r="AG4219" s="168"/>
      <c r="AH4219" s="168"/>
    </row>
    <row r="4220" spans="26:34" ht="24" customHeight="1">
      <c r="Z4220"/>
      <c r="AA4220"/>
      <c r="AB4220"/>
      <c r="AC4220"/>
      <c r="AD4220"/>
      <c r="AE4220" s="168"/>
      <c r="AF4220" s="168">
        <v>0</v>
      </c>
      <c r="AG4220" s="168"/>
      <c r="AH4220" s="168"/>
    </row>
    <row r="4221" spans="26:34" ht="24" customHeight="1">
      <c r="Z4221"/>
      <c r="AA4221"/>
      <c r="AB4221"/>
      <c r="AC4221"/>
      <c r="AD4221"/>
      <c r="AE4221" s="168"/>
      <c r="AF4221" s="168">
        <v>0</v>
      </c>
      <c r="AG4221" s="168"/>
      <c r="AH4221" s="168"/>
    </row>
    <row r="4222" spans="26:34" ht="24" customHeight="1">
      <c r="Z4222"/>
      <c r="AA4222"/>
      <c r="AB4222"/>
      <c r="AC4222"/>
      <c r="AD4222"/>
      <c r="AE4222" s="168"/>
      <c r="AF4222" s="168">
        <v>0</v>
      </c>
      <c r="AG4222" s="168"/>
      <c r="AH4222" s="168"/>
    </row>
    <row r="4223" spans="26:34" ht="24" customHeight="1">
      <c r="Z4223"/>
      <c r="AA4223"/>
      <c r="AB4223"/>
      <c r="AC4223"/>
      <c r="AD4223"/>
      <c r="AE4223" s="168"/>
      <c r="AF4223" s="168">
        <v>0</v>
      </c>
      <c r="AG4223" s="168"/>
      <c r="AH4223" s="168"/>
    </row>
    <row r="4224" spans="26:34" ht="24" customHeight="1">
      <c r="Z4224"/>
      <c r="AA4224"/>
      <c r="AB4224"/>
      <c r="AC4224"/>
      <c r="AD4224"/>
      <c r="AE4224" s="168"/>
      <c r="AF4224" s="168">
        <v>0</v>
      </c>
      <c r="AG4224" s="168"/>
      <c r="AH4224" s="168"/>
    </row>
    <row r="4225" spans="26:34" ht="24" customHeight="1">
      <c r="Z4225"/>
      <c r="AA4225"/>
      <c r="AB4225"/>
      <c r="AC4225"/>
      <c r="AD4225"/>
      <c r="AE4225" s="168"/>
      <c r="AF4225" s="168">
        <v>0</v>
      </c>
      <c r="AG4225" s="168"/>
      <c r="AH4225" s="168"/>
    </row>
    <row r="4226" spans="26:34" ht="24" customHeight="1">
      <c r="Z4226"/>
      <c r="AA4226"/>
      <c r="AB4226"/>
      <c r="AC4226"/>
      <c r="AD4226"/>
      <c r="AE4226" s="168"/>
      <c r="AF4226" s="168">
        <v>0</v>
      </c>
      <c r="AG4226" s="168"/>
      <c r="AH4226" s="168"/>
    </row>
    <row r="4227" spans="26:34" ht="24" customHeight="1">
      <c r="Z4227"/>
      <c r="AA4227"/>
      <c r="AB4227"/>
      <c r="AC4227"/>
      <c r="AD4227"/>
      <c r="AE4227" s="168"/>
      <c r="AF4227" s="168">
        <v>0</v>
      </c>
      <c r="AG4227" s="168"/>
      <c r="AH4227" s="168"/>
    </row>
    <row r="4228" spans="26:34" ht="24" customHeight="1">
      <c r="Z4228"/>
      <c r="AA4228"/>
      <c r="AB4228"/>
      <c r="AC4228"/>
      <c r="AD4228"/>
      <c r="AE4228" s="168"/>
      <c r="AF4228" s="168">
        <v>0</v>
      </c>
      <c r="AG4228" s="168"/>
      <c r="AH4228" s="168"/>
    </row>
    <row r="4229" spans="26:34" ht="24" customHeight="1">
      <c r="Z4229"/>
      <c r="AA4229"/>
      <c r="AB4229"/>
      <c r="AC4229"/>
      <c r="AD4229"/>
      <c r="AE4229" s="168"/>
      <c r="AF4229" s="168">
        <v>0</v>
      </c>
      <c r="AG4229" s="168"/>
      <c r="AH4229" s="168"/>
    </row>
    <row r="4230" spans="26:34" ht="24" customHeight="1">
      <c r="Z4230"/>
      <c r="AA4230"/>
      <c r="AB4230"/>
      <c r="AC4230"/>
      <c r="AD4230"/>
      <c r="AE4230" s="168"/>
      <c r="AF4230" s="168">
        <v>0</v>
      </c>
      <c r="AG4230" s="168"/>
      <c r="AH4230" s="168"/>
    </row>
    <row r="4231" spans="26:34" ht="24" customHeight="1">
      <c r="Z4231"/>
      <c r="AA4231"/>
      <c r="AB4231"/>
      <c r="AC4231"/>
      <c r="AD4231"/>
      <c r="AE4231" s="168"/>
      <c r="AF4231" s="168">
        <v>0</v>
      </c>
      <c r="AG4231" s="168"/>
      <c r="AH4231" s="168"/>
    </row>
    <row r="4232" spans="26:34" ht="24" customHeight="1">
      <c r="Z4232"/>
      <c r="AA4232"/>
      <c r="AB4232"/>
      <c r="AC4232"/>
      <c r="AD4232"/>
      <c r="AE4232" s="168"/>
      <c r="AF4232" s="168">
        <v>0</v>
      </c>
      <c r="AG4232" s="168"/>
      <c r="AH4232" s="168"/>
    </row>
    <row r="4233" spans="26:34" ht="24" customHeight="1">
      <c r="Z4233"/>
      <c r="AA4233"/>
      <c r="AB4233"/>
      <c r="AC4233"/>
      <c r="AD4233"/>
      <c r="AE4233" s="168"/>
      <c r="AF4233" s="168">
        <v>0</v>
      </c>
      <c r="AG4233" s="168"/>
      <c r="AH4233" s="168"/>
    </row>
    <row r="4234" spans="26:34" ht="24" customHeight="1">
      <c r="Z4234"/>
      <c r="AA4234"/>
      <c r="AB4234"/>
      <c r="AC4234"/>
      <c r="AD4234"/>
      <c r="AE4234" s="168"/>
      <c r="AF4234" s="168">
        <v>0</v>
      </c>
      <c r="AG4234" s="168"/>
      <c r="AH4234" s="168"/>
    </row>
    <row r="4235" spans="26:34" ht="24" customHeight="1">
      <c r="Z4235"/>
      <c r="AA4235"/>
      <c r="AB4235"/>
      <c r="AC4235"/>
      <c r="AD4235"/>
      <c r="AE4235" s="168"/>
      <c r="AF4235" s="168">
        <v>0</v>
      </c>
      <c r="AG4235" s="168"/>
      <c r="AH4235" s="168"/>
    </row>
    <row r="4236" spans="26:34" ht="24" customHeight="1">
      <c r="Z4236"/>
      <c r="AA4236"/>
      <c r="AB4236"/>
      <c r="AC4236"/>
      <c r="AD4236"/>
      <c r="AE4236" s="168"/>
      <c r="AF4236" s="168">
        <v>0</v>
      </c>
      <c r="AG4236" s="168"/>
      <c r="AH4236" s="168"/>
    </row>
    <row r="4237" spans="26:34" ht="24" customHeight="1">
      <c r="Z4237"/>
      <c r="AA4237"/>
      <c r="AB4237"/>
      <c r="AC4237"/>
      <c r="AD4237"/>
      <c r="AE4237" s="168"/>
      <c r="AF4237" s="168">
        <v>0</v>
      </c>
      <c r="AG4237" s="168"/>
      <c r="AH4237" s="168"/>
    </row>
    <row r="4238" spans="26:34" ht="24" customHeight="1">
      <c r="Z4238"/>
      <c r="AA4238"/>
      <c r="AB4238"/>
      <c r="AC4238"/>
      <c r="AD4238"/>
      <c r="AE4238" s="168"/>
      <c r="AF4238" s="168">
        <v>0</v>
      </c>
      <c r="AG4238" s="168"/>
      <c r="AH4238" s="168"/>
    </row>
    <row r="4239" spans="26:34" ht="24" customHeight="1">
      <c r="Z4239"/>
      <c r="AA4239"/>
      <c r="AB4239"/>
      <c r="AC4239"/>
      <c r="AD4239"/>
      <c r="AE4239" s="168"/>
      <c r="AF4239" s="168">
        <v>0</v>
      </c>
      <c r="AG4239" s="168"/>
      <c r="AH4239" s="168"/>
    </row>
    <row r="4240" spans="26:34" ht="24" customHeight="1">
      <c r="Z4240"/>
      <c r="AA4240"/>
      <c r="AB4240"/>
      <c r="AC4240"/>
      <c r="AD4240"/>
      <c r="AE4240" s="168"/>
      <c r="AF4240" s="168">
        <v>0</v>
      </c>
      <c r="AG4240" s="168"/>
      <c r="AH4240" s="168"/>
    </row>
    <row r="4241" spans="26:34" ht="24" customHeight="1">
      <c r="Z4241"/>
      <c r="AA4241"/>
      <c r="AB4241"/>
      <c r="AC4241"/>
      <c r="AD4241"/>
      <c r="AE4241" s="168"/>
      <c r="AF4241" s="168">
        <v>0</v>
      </c>
      <c r="AG4241" s="168"/>
      <c r="AH4241" s="168"/>
    </row>
    <row r="4242" spans="26:34" ht="24" customHeight="1">
      <c r="Z4242"/>
      <c r="AA4242"/>
      <c r="AB4242"/>
      <c r="AC4242"/>
      <c r="AD4242"/>
      <c r="AE4242" s="168"/>
      <c r="AF4242" s="168">
        <v>0</v>
      </c>
      <c r="AG4242" s="168"/>
      <c r="AH4242" s="168"/>
    </row>
    <row r="4243" spans="26:34" ht="24" customHeight="1">
      <c r="Z4243"/>
      <c r="AA4243"/>
      <c r="AB4243"/>
      <c r="AC4243"/>
      <c r="AD4243"/>
      <c r="AE4243" s="168"/>
      <c r="AF4243" s="168">
        <v>0</v>
      </c>
      <c r="AG4243" s="168"/>
      <c r="AH4243" s="168"/>
    </row>
    <row r="4244" spans="26:34" ht="24" customHeight="1">
      <c r="Z4244"/>
      <c r="AA4244"/>
      <c r="AB4244"/>
      <c r="AC4244"/>
      <c r="AD4244"/>
      <c r="AE4244" s="168"/>
      <c r="AF4244" s="168">
        <v>0</v>
      </c>
      <c r="AG4244" s="168"/>
      <c r="AH4244" s="168"/>
    </row>
    <row r="4245" spans="26:34" ht="24" customHeight="1">
      <c r="Z4245"/>
      <c r="AA4245"/>
      <c r="AB4245"/>
      <c r="AC4245"/>
      <c r="AD4245"/>
      <c r="AE4245" s="168"/>
      <c r="AF4245" s="168">
        <v>0</v>
      </c>
      <c r="AG4245" s="168"/>
      <c r="AH4245" s="168"/>
    </row>
    <row r="4246" spans="26:34" ht="24" customHeight="1">
      <c r="Z4246"/>
      <c r="AA4246"/>
      <c r="AB4246"/>
      <c r="AC4246"/>
      <c r="AD4246"/>
      <c r="AE4246" s="168"/>
      <c r="AF4246" s="168">
        <v>0</v>
      </c>
      <c r="AG4246" s="168"/>
      <c r="AH4246" s="168"/>
    </row>
    <row r="4247" spans="26:34" ht="24" customHeight="1">
      <c r="Z4247"/>
      <c r="AA4247"/>
      <c r="AB4247"/>
      <c r="AC4247"/>
      <c r="AD4247"/>
      <c r="AE4247" s="168"/>
      <c r="AF4247" s="168">
        <v>0</v>
      </c>
      <c r="AG4247" s="168"/>
      <c r="AH4247" s="168"/>
    </row>
    <row r="4248" spans="26:34" ht="24" customHeight="1">
      <c r="Z4248"/>
      <c r="AA4248"/>
      <c r="AB4248"/>
      <c r="AC4248"/>
      <c r="AD4248"/>
      <c r="AE4248" s="168"/>
      <c r="AF4248" s="168">
        <v>0</v>
      </c>
      <c r="AG4248" s="168"/>
      <c r="AH4248" s="168"/>
    </row>
    <row r="4249" spans="26:34" ht="24" customHeight="1">
      <c r="Z4249"/>
      <c r="AA4249"/>
      <c r="AB4249"/>
      <c r="AC4249"/>
      <c r="AD4249"/>
      <c r="AE4249" s="168"/>
      <c r="AF4249" s="168">
        <v>0</v>
      </c>
      <c r="AG4249" s="168"/>
      <c r="AH4249" s="168"/>
    </row>
    <row r="4250" spans="26:34" ht="24" customHeight="1">
      <c r="Z4250"/>
      <c r="AA4250"/>
      <c r="AB4250"/>
      <c r="AC4250"/>
      <c r="AD4250"/>
      <c r="AE4250" s="168"/>
      <c r="AF4250" s="168">
        <v>0</v>
      </c>
      <c r="AG4250" s="168"/>
      <c r="AH4250" s="168"/>
    </row>
    <row r="4251" spans="26:34" ht="24" customHeight="1">
      <c r="Z4251"/>
      <c r="AA4251"/>
      <c r="AB4251"/>
      <c r="AC4251"/>
      <c r="AD4251"/>
      <c r="AE4251" s="168"/>
      <c r="AF4251" s="168">
        <v>0</v>
      </c>
      <c r="AG4251" s="168"/>
      <c r="AH4251" s="168"/>
    </row>
    <row r="4252" spans="26:34" ht="24" customHeight="1">
      <c r="Z4252"/>
      <c r="AA4252"/>
      <c r="AB4252"/>
      <c r="AC4252"/>
      <c r="AD4252"/>
      <c r="AE4252" s="168"/>
      <c r="AF4252" s="168">
        <v>0</v>
      </c>
      <c r="AG4252" s="168"/>
      <c r="AH4252" s="168"/>
    </row>
    <row r="4253" spans="26:34" ht="24" customHeight="1">
      <c r="Z4253"/>
      <c r="AA4253"/>
      <c r="AB4253"/>
      <c r="AC4253"/>
      <c r="AD4253"/>
      <c r="AE4253" s="168"/>
      <c r="AF4253" s="168">
        <v>0</v>
      </c>
      <c r="AG4253" s="168"/>
      <c r="AH4253" s="168"/>
    </row>
    <row r="4254" spans="26:34" ht="24" customHeight="1">
      <c r="Z4254"/>
      <c r="AA4254"/>
      <c r="AB4254"/>
      <c r="AC4254"/>
      <c r="AD4254"/>
      <c r="AE4254" s="168"/>
      <c r="AF4254" s="168">
        <v>0</v>
      </c>
      <c r="AG4254" s="168"/>
      <c r="AH4254" s="168"/>
    </row>
    <row r="4255" spans="26:34" ht="24" customHeight="1">
      <c r="Z4255"/>
      <c r="AA4255"/>
      <c r="AB4255"/>
      <c r="AC4255"/>
      <c r="AD4255"/>
      <c r="AE4255" s="168"/>
      <c r="AF4255" s="168">
        <v>0</v>
      </c>
      <c r="AG4255" s="168"/>
      <c r="AH4255" s="168"/>
    </row>
    <row r="4256" spans="26:34" ht="24" customHeight="1">
      <c r="Z4256"/>
      <c r="AA4256"/>
      <c r="AB4256"/>
      <c r="AC4256"/>
      <c r="AD4256"/>
      <c r="AE4256" s="168"/>
      <c r="AF4256" s="168">
        <v>0</v>
      </c>
      <c r="AG4256" s="168"/>
      <c r="AH4256" s="168"/>
    </row>
    <row r="4257" spans="26:34" ht="24" customHeight="1">
      <c r="Z4257"/>
      <c r="AA4257"/>
      <c r="AB4257"/>
      <c r="AC4257"/>
      <c r="AD4257"/>
      <c r="AE4257" s="168"/>
      <c r="AF4257" s="168">
        <v>0</v>
      </c>
      <c r="AG4257" s="168"/>
      <c r="AH4257" s="168"/>
    </row>
    <row r="4258" spans="26:34" ht="24" customHeight="1">
      <c r="Z4258"/>
      <c r="AA4258"/>
      <c r="AB4258"/>
      <c r="AC4258"/>
      <c r="AD4258"/>
      <c r="AE4258" s="168"/>
      <c r="AF4258" s="168">
        <v>0</v>
      </c>
      <c r="AG4258" s="168"/>
      <c r="AH4258" s="168"/>
    </row>
    <row r="4259" spans="26:34" ht="24" customHeight="1">
      <c r="Z4259"/>
      <c r="AA4259"/>
      <c r="AB4259"/>
      <c r="AC4259"/>
      <c r="AD4259"/>
      <c r="AE4259" s="168"/>
      <c r="AF4259" s="168">
        <v>0</v>
      </c>
      <c r="AG4259" s="168"/>
      <c r="AH4259" s="168"/>
    </row>
    <row r="4260" spans="26:34" ht="24" customHeight="1">
      <c r="Z4260"/>
      <c r="AA4260"/>
      <c r="AB4260"/>
      <c r="AC4260"/>
      <c r="AD4260"/>
      <c r="AE4260" s="168"/>
      <c r="AF4260" s="168">
        <v>0</v>
      </c>
      <c r="AG4260" s="168"/>
      <c r="AH4260" s="168"/>
    </row>
    <row r="4261" spans="26:34" ht="24" customHeight="1">
      <c r="Z4261"/>
      <c r="AA4261"/>
      <c r="AB4261"/>
      <c r="AC4261"/>
      <c r="AD4261"/>
      <c r="AE4261" s="168"/>
      <c r="AF4261" s="168">
        <v>0</v>
      </c>
      <c r="AG4261" s="168"/>
      <c r="AH4261" s="168"/>
    </row>
    <row r="4262" spans="26:34" ht="24" customHeight="1">
      <c r="Z4262"/>
      <c r="AA4262"/>
      <c r="AB4262"/>
      <c r="AC4262"/>
      <c r="AD4262"/>
      <c r="AE4262" s="168"/>
      <c r="AF4262" s="168">
        <v>0</v>
      </c>
      <c r="AG4262" s="168"/>
      <c r="AH4262" s="168"/>
    </row>
    <row r="4263" spans="26:34" ht="24" customHeight="1">
      <c r="Z4263"/>
      <c r="AA4263"/>
      <c r="AB4263"/>
      <c r="AC4263"/>
      <c r="AD4263"/>
      <c r="AE4263" s="168"/>
      <c r="AF4263" s="168">
        <v>0</v>
      </c>
      <c r="AG4263" s="168"/>
      <c r="AH4263" s="168"/>
    </row>
    <row r="4264" spans="26:34" ht="24" customHeight="1">
      <c r="Z4264"/>
      <c r="AA4264"/>
      <c r="AB4264"/>
      <c r="AC4264"/>
      <c r="AD4264"/>
      <c r="AE4264" s="168"/>
      <c r="AF4264" s="168">
        <v>0</v>
      </c>
      <c r="AG4264" s="168"/>
      <c r="AH4264" s="168"/>
    </row>
    <row r="4265" spans="26:34" ht="24" customHeight="1">
      <c r="Z4265"/>
      <c r="AA4265"/>
      <c r="AB4265"/>
      <c r="AC4265"/>
      <c r="AD4265"/>
      <c r="AE4265" s="168"/>
      <c r="AF4265" s="168">
        <v>0</v>
      </c>
      <c r="AG4265" s="168"/>
      <c r="AH4265" s="168"/>
    </row>
    <row r="4266" spans="26:34" ht="24" customHeight="1">
      <c r="Z4266"/>
      <c r="AA4266"/>
      <c r="AB4266"/>
      <c r="AC4266"/>
      <c r="AD4266"/>
      <c r="AE4266" s="168"/>
      <c r="AF4266" s="168">
        <v>0</v>
      </c>
      <c r="AG4266" s="168"/>
      <c r="AH4266" s="168"/>
    </row>
    <row r="4267" spans="26:34" ht="24" customHeight="1">
      <c r="Z4267"/>
      <c r="AA4267"/>
      <c r="AB4267"/>
      <c r="AC4267"/>
      <c r="AD4267"/>
      <c r="AE4267" s="168"/>
      <c r="AF4267" s="168">
        <v>0</v>
      </c>
      <c r="AG4267" s="168"/>
      <c r="AH4267" s="168"/>
    </row>
    <row r="4268" spans="26:34" ht="24" customHeight="1">
      <c r="Z4268"/>
      <c r="AA4268"/>
      <c r="AB4268"/>
      <c r="AC4268"/>
      <c r="AD4268"/>
      <c r="AE4268" s="168"/>
      <c r="AF4268" s="168">
        <v>0</v>
      </c>
      <c r="AG4268" s="168"/>
      <c r="AH4268" s="168"/>
    </row>
    <row r="4269" spans="26:34" ht="24" customHeight="1">
      <c r="Z4269"/>
      <c r="AA4269"/>
      <c r="AB4269"/>
      <c r="AC4269"/>
      <c r="AD4269"/>
      <c r="AE4269" s="168"/>
      <c r="AF4269" s="168">
        <v>0</v>
      </c>
      <c r="AG4269" s="168"/>
      <c r="AH4269" s="168"/>
    </row>
    <row r="4270" spans="26:34" ht="24" customHeight="1">
      <c r="Z4270"/>
      <c r="AA4270"/>
      <c r="AB4270"/>
      <c r="AC4270"/>
      <c r="AD4270"/>
      <c r="AE4270" s="168"/>
      <c r="AF4270" s="168">
        <v>0</v>
      </c>
      <c r="AG4270" s="168"/>
      <c r="AH4270" s="168"/>
    </row>
    <row r="4271" spans="26:34" ht="24" customHeight="1">
      <c r="Z4271"/>
      <c r="AA4271"/>
      <c r="AB4271"/>
      <c r="AC4271"/>
      <c r="AD4271"/>
      <c r="AE4271" s="168"/>
      <c r="AF4271" s="168">
        <v>0</v>
      </c>
      <c r="AG4271" s="168"/>
      <c r="AH4271" s="168"/>
    </row>
    <row r="4272" spans="26:34" ht="24" customHeight="1">
      <c r="Z4272"/>
      <c r="AA4272"/>
      <c r="AB4272"/>
      <c r="AC4272"/>
      <c r="AD4272"/>
      <c r="AE4272" s="168"/>
      <c r="AF4272" s="168">
        <v>0</v>
      </c>
      <c r="AG4272" s="168"/>
      <c r="AH4272" s="168"/>
    </row>
    <row r="4273" spans="26:34" ht="24" customHeight="1">
      <c r="Z4273"/>
      <c r="AA4273"/>
      <c r="AB4273"/>
      <c r="AC4273"/>
      <c r="AD4273"/>
      <c r="AE4273" s="168"/>
      <c r="AF4273" s="168">
        <v>0</v>
      </c>
      <c r="AG4273" s="168"/>
      <c r="AH4273" s="168"/>
    </row>
    <row r="4274" spans="26:34" ht="24" customHeight="1">
      <c r="Z4274"/>
      <c r="AA4274"/>
      <c r="AB4274"/>
      <c r="AC4274"/>
      <c r="AD4274"/>
      <c r="AE4274" s="168"/>
      <c r="AF4274" s="168">
        <v>0</v>
      </c>
      <c r="AG4274" s="168"/>
      <c r="AH4274" s="168"/>
    </row>
    <row r="4275" spans="26:34" ht="24" customHeight="1">
      <c r="Z4275"/>
      <c r="AA4275"/>
      <c r="AB4275"/>
      <c r="AC4275"/>
      <c r="AD4275"/>
      <c r="AE4275" s="168"/>
      <c r="AF4275" s="168">
        <v>0</v>
      </c>
      <c r="AG4275" s="168"/>
      <c r="AH4275" s="168"/>
    </row>
    <row r="4276" spans="26:34" ht="24" customHeight="1">
      <c r="Z4276"/>
      <c r="AA4276"/>
      <c r="AB4276"/>
      <c r="AC4276"/>
      <c r="AD4276"/>
      <c r="AE4276" s="168"/>
      <c r="AF4276" s="168">
        <v>0</v>
      </c>
      <c r="AG4276" s="168"/>
      <c r="AH4276" s="168"/>
    </row>
    <row r="4277" spans="26:34" ht="24" customHeight="1">
      <c r="Z4277"/>
      <c r="AA4277"/>
      <c r="AB4277"/>
      <c r="AC4277"/>
      <c r="AD4277"/>
      <c r="AE4277" s="168"/>
      <c r="AF4277" s="168">
        <v>0</v>
      </c>
      <c r="AG4277" s="168"/>
      <c r="AH4277" s="168"/>
    </row>
    <row r="4278" spans="26:34" ht="24" customHeight="1">
      <c r="Z4278"/>
      <c r="AA4278"/>
      <c r="AB4278"/>
      <c r="AC4278"/>
      <c r="AD4278"/>
      <c r="AE4278" s="168"/>
      <c r="AF4278" s="168">
        <v>0</v>
      </c>
      <c r="AG4278" s="168"/>
      <c r="AH4278" s="168"/>
    </row>
    <row r="4279" spans="26:34" ht="24" customHeight="1">
      <c r="Z4279"/>
      <c r="AA4279"/>
      <c r="AB4279"/>
      <c r="AC4279"/>
      <c r="AD4279"/>
      <c r="AE4279" s="168"/>
      <c r="AF4279" s="168">
        <v>0</v>
      </c>
      <c r="AG4279" s="168"/>
      <c r="AH4279" s="168"/>
    </row>
    <row r="4280" spans="26:34" ht="24" customHeight="1">
      <c r="Z4280"/>
      <c r="AA4280"/>
      <c r="AB4280"/>
      <c r="AC4280"/>
      <c r="AD4280"/>
      <c r="AE4280" s="168"/>
      <c r="AF4280" s="168">
        <v>0</v>
      </c>
      <c r="AG4280" s="168"/>
      <c r="AH4280" s="168"/>
    </row>
    <row r="4281" spans="26:34" ht="24" customHeight="1">
      <c r="Z4281"/>
      <c r="AA4281"/>
      <c r="AB4281"/>
      <c r="AC4281"/>
      <c r="AD4281"/>
      <c r="AE4281" s="168"/>
      <c r="AF4281" s="168">
        <v>0</v>
      </c>
      <c r="AG4281" s="168"/>
      <c r="AH4281" s="168"/>
    </row>
    <row r="4282" spans="26:34" ht="24" customHeight="1">
      <c r="Z4282"/>
      <c r="AA4282"/>
      <c r="AB4282"/>
      <c r="AC4282"/>
      <c r="AD4282"/>
      <c r="AE4282" s="168"/>
      <c r="AF4282" s="168">
        <v>0</v>
      </c>
      <c r="AG4282" s="168"/>
      <c r="AH4282" s="168"/>
    </row>
    <row r="4283" spans="26:34" ht="24" customHeight="1">
      <c r="Z4283"/>
      <c r="AA4283"/>
      <c r="AB4283"/>
      <c r="AC4283"/>
      <c r="AD4283"/>
      <c r="AE4283" s="168"/>
      <c r="AF4283" s="168">
        <v>0</v>
      </c>
      <c r="AG4283" s="168"/>
      <c r="AH4283" s="168"/>
    </row>
    <row r="4284" spans="26:34" ht="24" customHeight="1">
      <c r="Z4284"/>
      <c r="AA4284"/>
      <c r="AB4284"/>
      <c r="AC4284"/>
      <c r="AD4284"/>
      <c r="AE4284" s="168"/>
      <c r="AF4284" s="168">
        <v>0</v>
      </c>
      <c r="AG4284" s="168"/>
      <c r="AH4284" s="168"/>
    </row>
    <row r="4285" spans="26:34" ht="24" customHeight="1">
      <c r="Z4285"/>
      <c r="AA4285"/>
      <c r="AB4285"/>
      <c r="AC4285"/>
      <c r="AD4285"/>
      <c r="AE4285" s="168"/>
      <c r="AF4285" s="168">
        <v>0</v>
      </c>
      <c r="AG4285" s="168"/>
      <c r="AH4285" s="168"/>
    </row>
    <row r="4286" spans="26:34" ht="24" customHeight="1">
      <c r="Z4286"/>
      <c r="AA4286"/>
      <c r="AB4286"/>
      <c r="AC4286"/>
      <c r="AD4286"/>
      <c r="AE4286" s="168"/>
      <c r="AF4286" s="168">
        <v>0</v>
      </c>
      <c r="AG4286" s="168"/>
      <c r="AH4286" s="168"/>
    </row>
    <row r="4287" spans="26:34" ht="24" customHeight="1">
      <c r="Z4287"/>
      <c r="AA4287"/>
      <c r="AB4287"/>
      <c r="AC4287"/>
      <c r="AD4287"/>
      <c r="AE4287" s="168"/>
      <c r="AF4287" s="168">
        <v>0</v>
      </c>
      <c r="AG4287" s="168"/>
      <c r="AH4287" s="168"/>
    </row>
    <row r="4288" spans="26:34" ht="24" customHeight="1">
      <c r="Z4288"/>
      <c r="AA4288"/>
      <c r="AB4288"/>
      <c r="AC4288"/>
      <c r="AD4288"/>
      <c r="AE4288" s="168"/>
      <c r="AF4288" s="168">
        <v>0</v>
      </c>
      <c r="AG4288" s="168"/>
      <c r="AH4288" s="168"/>
    </row>
    <row r="4289" spans="26:34" ht="24" customHeight="1">
      <c r="Z4289"/>
      <c r="AA4289"/>
      <c r="AB4289"/>
      <c r="AC4289"/>
      <c r="AD4289"/>
      <c r="AE4289" s="168"/>
      <c r="AF4289" s="168">
        <v>0</v>
      </c>
      <c r="AG4289" s="168"/>
      <c r="AH4289" s="168"/>
    </row>
    <row r="4290" spans="26:34" ht="24" customHeight="1">
      <c r="Z4290"/>
      <c r="AA4290"/>
      <c r="AB4290"/>
      <c r="AC4290"/>
      <c r="AD4290"/>
      <c r="AE4290" s="168"/>
      <c r="AF4290" s="168">
        <v>0</v>
      </c>
      <c r="AG4290" s="168"/>
      <c r="AH4290" s="168"/>
    </row>
    <row r="4291" spans="26:34" ht="24" customHeight="1">
      <c r="Z4291"/>
      <c r="AA4291"/>
      <c r="AB4291"/>
      <c r="AC4291"/>
      <c r="AD4291"/>
      <c r="AE4291" s="168"/>
      <c r="AF4291" s="168">
        <v>0</v>
      </c>
      <c r="AG4291" s="168"/>
      <c r="AH4291" s="168"/>
    </row>
    <row r="4292" spans="26:34" ht="24" customHeight="1">
      <c r="Z4292"/>
      <c r="AA4292"/>
      <c r="AB4292"/>
      <c r="AC4292"/>
      <c r="AD4292"/>
      <c r="AE4292" s="168"/>
      <c r="AF4292" s="168">
        <v>0</v>
      </c>
      <c r="AG4292" s="168"/>
      <c r="AH4292" s="168"/>
    </row>
    <row r="4293" spans="26:34" ht="24" customHeight="1">
      <c r="Z4293"/>
      <c r="AA4293"/>
      <c r="AB4293"/>
      <c r="AC4293"/>
      <c r="AD4293"/>
      <c r="AE4293" s="168"/>
      <c r="AF4293" s="168">
        <v>0</v>
      </c>
      <c r="AG4293" s="168"/>
      <c r="AH4293" s="168"/>
    </row>
    <row r="4294" spans="26:34" ht="24" customHeight="1">
      <c r="Z4294"/>
      <c r="AA4294"/>
      <c r="AB4294"/>
      <c r="AC4294"/>
      <c r="AD4294"/>
      <c r="AE4294" s="168"/>
      <c r="AF4294" s="168">
        <v>0</v>
      </c>
      <c r="AG4294" s="168"/>
      <c r="AH4294" s="168"/>
    </row>
    <row r="4295" spans="26:34" ht="24" customHeight="1">
      <c r="Z4295"/>
      <c r="AA4295"/>
      <c r="AB4295"/>
      <c r="AC4295"/>
      <c r="AD4295"/>
      <c r="AE4295" s="168"/>
      <c r="AF4295" s="168">
        <v>0</v>
      </c>
      <c r="AG4295" s="168"/>
      <c r="AH4295" s="168"/>
    </row>
    <row r="4296" spans="26:34" ht="24" customHeight="1">
      <c r="Z4296"/>
      <c r="AA4296"/>
      <c r="AB4296"/>
      <c r="AC4296"/>
      <c r="AD4296"/>
      <c r="AE4296" s="168"/>
      <c r="AF4296" s="168">
        <v>0</v>
      </c>
      <c r="AG4296" s="168"/>
      <c r="AH4296" s="168"/>
    </row>
    <row r="4297" spans="26:34" ht="24" customHeight="1">
      <c r="Z4297"/>
      <c r="AA4297"/>
      <c r="AB4297"/>
      <c r="AC4297"/>
      <c r="AD4297"/>
      <c r="AE4297" s="168"/>
      <c r="AF4297" s="168">
        <v>0</v>
      </c>
      <c r="AG4297" s="168"/>
      <c r="AH4297" s="168"/>
    </row>
    <row r="4298" spans="26:34" ht="24" customHeight="1">
      <c r="Z4298"/>
      <c r="AA4298"/>
      <c r="AB4298"/>
      <c r="AC4298"/>
      <c r="AD4298"/>
      <c r="AE4298" s="168"/>
      <c r="AF4298" s="168">
        <v>0</v>
      </c>
      <c r="AG4298" s="168"/>
      <c r="AH4298" s="168"/>
    </row>
    <row r="4299" spans="26:34" ht="24" customHeight="1">
      <c r="Z4299"/>
      <c r="AA4299"/>
      <c r="AB4299"/>
      <c r="AC4299"/>
      <c r="AD4299"/>
      <c r="AE4299" s="168"/>
      <c r="AF4299" s="168">
        <v>0</v>
      </c>
      <c r="AG4299" s="168"/>
      <c r="AH4299" s="168"/>
    </row>
    <row r="4300" spans="26:34" ht="24" customHeight="1">
      <c r="Z4300"/>
      <c r="AA4300"/>
      <c r="AB4300"/>
      <c r="AC4300"/>
      <c r="AD4300"/>
      <c r="AE4300" s="168"/>
      <c r="AF4300" s="168">
        <v>0</v>
      </c>
      <c r="AG4300" s="168"/>
      <c r="AH4300" s="168"/>
    </row>
    <row r="4301" spans="26:34" ht="24" customHeight="1">
      <c r="Z4301"/>
      <c r="AA4301"/>
      <c r="AB4301"/>
      <c r="AC4301"/>
      <c r="AD4301"/>
      <c r="AE4301" s="168"/>
      <c r="AF4301" s="168">
        <v>0</v>
      </c>
      <c r="AG4301" s="168"/>
      <c r="AH4301" s="168"/>
    </row>
    <row r="4302" spans="26:34" ht="24" customHeight="1">
      <c r="Z4302"/>
      <c r="AA4302"/>
      <c r="AB4302"/>
      <c r="AC4302"/>
      <c r="AD4302"/>
      <c r="AE4302" s="168"/>
      <c r="AF4302" s="168">
        <v>0</v>
      </c>
      <c r="AG4302" s="168"/>
      <c r="AH4302" s="168"/>
    </row>
    <row r="4303" spans="26:34" ht="24" customHeight="1">
      <c r="Z4303"/>
      <c r="AA4303"/>
      <c r="AB4303"/>
      <c r="AC4303"/>
      <c r="AD4303"/>
      <c r="AE4303" s="168"/>
      <c r="AF4303" s="168">
        <v>0</v>
      </c>
      <c r="AG4303" s="168"/>
      <c r="AH4303" s="168"/>
    </row>
    <row r="4304" spans="26:34" ht="24" customHeight="1">
      <c r="Z4304"/>
      <c r="AA4304"/>
      <c r="AB4304"/>
      <c r="AC4304"/>
      <c r="AD4304"/>
      <c r="AE4304" s="168"/>
      <c r="AF4304" s="168">
        <v>0</v>
      </c>
      <c r="AG4304" s="168"/>
      <c r="AH4304" s="168"/>
    </row>
    <row r="4305" spans="26:34" ht="24" customHeight="1">
      <c r="Z4305"/>
      <c r="AA4305"/>
      <c r="AB4305"/>
      <c r="AC4305"/>
      <c r="AD4305"/>
      <c r="AE4305" s="168"/>
      <c r="AF4305" s="168">
        <v>0</v>
      </c>
      <c r="AG4305" s="168"/>
      <c r="AH4305" s="168"/>
    </row>
    <row r="4306" spans="26:34" ht="24" customHeight="1">
      <c r="Z4306"/>
      <c r="AA4306"/>
      <c r="AB4306"/>
      <c r="AC4306"/>
      <c r="AD4306"/>
      <c r="AE4306" s="168"/>
      <c r="AF4306" s="168">
        <v>0</v>
      </c>
      <c r="AG4306" s="168"/>
      <c r="AH4306" s="168"/>
    </row>
    <row r="4307" spans="26:34" ht="24" customHeight="1">
      <c r="Z4307"/>
      <c r="AA4307"/>
      <c r="AB4307"/>
      <c r="AC4307"/>
      <c r="AD4307"/>
      <c r="AE4307" s="168"/>
      <c r="AF4307" s="168">
        <v>0</v>
      </c>
      <c r="AG4307" s="168"/>
      <c r="AH4307" s="168"/>
    </row>
    <row r="4308" spans="26:34" ht="24" customHeight="1">
      <c r="Z4308"/>
      <c r="AA4308"/>
      <c r="AB4308"/>
      <c r="AC4308"/>
      <c r="AD4308"/>
      <c r="AE4308" s="168"/>
      <c r="AF4308" s="168">
        <v>0</v>
      </c>
      <c r="AG4308" s="168"/>
      <c r="AH4308" s="168"/>
    </row>
    <row r="4309" spans="26:34" ht="24" customHeight="1">
      <c r="Z4309"/>
      <c r="AA4309"/>
      <c r="AB4309"/>
      <c r="AC4309"/>
      <c r="AD4309"/>
      <c r="AE4309" s="168"/>
      <c r="AF4309" s="168">
        <v>0</v>
      </c>
      <c r="AG4309" s="168"/>
      <c r="AH4309" s="168"/>
    </row>
    <row r="4310" spans="26:34" ht="24" customHeight="1">
      <c r="Z4310"/>
      <c r="AA4310"/>
      <c r="AB4310"/>
      <c r="AC4310"/>
      <c r="AD4310"/>
      <c r="AE4310" s="168"/>
      <c r="AF4310" s="168">
        <v>0</v>
      </c>
      <c r="AG4310" s="168"/>
      <c r="AH4310" s="168"/>
    </row>
    <row r="4311" spans="26:34" ht="24" customHeight="1">
      <c r="Z4311"/>
      <c r="AA4311"/>
      <c r="AB4311"/>
      <c r="AC4311"/>
      <c r="AD4311"/>
      <c r="AE4311" s="168"/>
      <c r="AF4311" s="168">
        <v>0</v>
      </c>
      <c r="AG4311" s="168"/>
      <c r="AH4311" s="168"/>
    </row>
    <row r="4312" spans="26:34" ht="24" customHeight="1">
      <c r="Z4312"/>
      <c r="AA4312"/>
      <c r="AB4312"/>
      <c r="AC4312"/>
      <c r="AD4312"/>
      <c r="AE4312" s="168"/>
      <c r="AF4312" s="168">
        <v>0</v>
      </c>
      <c r="AG4312" s="168"/>
      <c r="AH4312" s="168"/>
    </row>
    <row r="4313" spans="26:34" ht="24" customHeight="1">
      <c r="Z4313"/>
      <c r="AA4313"/>
      <c r="AB4313"/>
      <c r="AC4313"/>
      <c r="AD4313"/>
      <c r="AE4313" s="168"/>
      <c r="AF4313" s="168">
        <v>0</v>
      </c>
      <c r="AG4313" s="168"/>
      <c r="AH4313" s="168"/>
    </row>
    <row r="4314" spans="26:34" ht="24" customHeight="1">
      <c r="Z4314"/>
      <c r="AA4314"/>
      <c r="AB4314"/>
      <c r="AC4314"/>
      <c r="AD4314"/>
      <c r="AE4314" s="168"/>
      <c r="AF4314" s="168">
        <v>0</v>
      </c>
      <c r="AG4314" s="168"/>
      <c r="AH4314" s="168"/>
    </row>
    <row r="4315" spans="26:34" ht="24" customHeight="1">
      <c r="Z4315"/>
      <c r="AA4315"/>
      <c r="AB4315"/>
      <c r="AC4315"/>
      <c r="AD4315"/>
      <c r="AE4315" s="168"/>
      <c r="AF4315" s="168">
        <v>0</v>
      </c>
      <c r="AG4315" s="168"/>
      <c r="AH4315" s="168"/>
    </row>
    <row r="4316" spans="26:34" ht="24" customHeight="1">
      <c r="Z4316"/>
      <c r="AA4316"/>
      <c r="AB4316"/>
      <c r="AC4316"/>
      <c r="AD4316"/>
      <c r="AE4316" s="168"/>
      <c r="AF4316" s="168">
        <v>0</v>
      </c>
      <c r="AG4316" s="168"/>
      <c r="AH4316" s="168"/>
    </row>
    <row r="4317" spans="26:34" ht="24" customHeight="1">
      <c r="Z4317"/>
      <c r="AA4317"/>
      <c r="AB4317"/>
      <c r="AC4317"/>
      <c r="AD4317"/>
      <c r="AE4317" s="168"/>
      <c r="AF4317" s="168">
        <v>0</v>
      </c>
      <c r="AG4317" s="168"/>
      <c r="AH4317" s="168"/>
    </row>
    <row r="4318" spans="26:34" ht="24" customHeight="1">
      <c r="Z4318"/>
      <c r="AA4318"/>
      <c r="AB4318"/>
      <c r="AC4318"/>
      <c r="AD4318"/>
      <c r="AE4318" s="168"/>
      <c r="AF4318" s="168">
        <v>0</v>
      </c>
      <c r="AG4318" s="168"/>
      <c r="AH4318" s="168"/>
    </row>
    <row r="4319" spans="26:34" ht="24" customHeight="1">
      <c r="Z4319"/>
      <c r="AA4319"/>
      <c r="AB4319"/>
      <c r="AC4319"/>
      <c r="AD4319"/>
      <c r="AE4319" s="168"/>
      <c r="AF4319" s="168">
        <v>0</v>
      </c>
      <c r="AG4319" s="168"/>
      <c r="AH4319" s="168"/>
    </row>
    <row r="4320" spans="26:34" ht="24" customHeight="1">
      <c r="Z4320"/>
      <c r="AA4320"/>
      <c r="AB4320"/>
      <c r="AC4320"/>
      <c r="AD4320"/>
      <c r="AE4320" s="168"/>
      <c r="AF4320" s="168">
        <v>0</v>
      </c>
      <c r="AG4320" s="168"/>
      <c r="AH4320" s="168"/>
    </row>
    <row r="4321" spans="26:34" ht="24" customHeight="1">
      <c r="Z4321"/>
      <c r="AA4321"/>
      <c r="AB4321"/>
      <c r="AC4321"/>
      <c r="AD4321"/>
      <c r="AE4321" s="168"/>
      <c r="AF4321" s="168">
        <v>0</v>
      </c>
      <c r="AG4321" s="168"/>
      <c r="AH4321" s="168"/>
    </row>
    <row r="4322" spans="26:34" ht="24" customHeight="1">
      <c r="Z4322"/>
      <c r="AA4322"/>
      <c r="AB4322"/>
      <c r="AC4322"/>
      <c r="AD4322"/>
      <c r="AE4322" s="168"/>
      <c r="AF4322" s="168">
        <v>0</v>
      </c>
      <c r="AG4322" s="168"/>
      <c r="AH4322" s="168"/>
    </row>
    <row r="4323" spans="26:34" ht="24" customHeight="1">
      <c r="Z4323"/>
      <c r="AA4323"/>
      <c r="AB4323"/>
      <c r="AC4323"/>
      <c r="AD4323"/>
      <c r="AE4323" s="168"/>
      <c r="AF4323" s="168">
        <v>0</v>
      </c>
      <c r="AG4323" s="168"/>
      <c r="AH4323" s="168"/>
    </row>
    <row r="4324" spans="26:34" ht="24" customHeight="1">
      <c r="Z4324"/>
      <c r="AA4324"/>
      <c r="AB4324"/>
      <c r="AC4324"/>
      <c r="AD4324"/>
      <c r="AE4324" s="168"/>
      <c r="AF4324" s="168">
        <v>0</v>
      </c>
      <c r="AG4324" s="168"/>
      <c r="AH4324" s="168"/>
    </row>
    <row r="4325" spans="26:34" ht="24" customHeight="1">
      <c r="Z4325"/>
      <c r="AA4325"/>
      <c r="AB4325"/>
      <c r="AC4325"/>
      <c r="AD4325"/>
      <c r="AE4325" s="168"/>
      <c r="AF4325" s="168">
        <v>0</v>
      </c>
      <c r="AG4325" s="168"/>
      <c r="AH4325" s="168"/>
    </row>
    <row r="4326" spans="26:34" ht="24" customHeight="1">
      <c r="Z4326"/>
      <c r="AA4326"/>
      <c r="AB4326"/>
      <c r="AC4326"/>
      <c r="AD4326"/>
      <c r="AE4326" s="168"/>
      <c r="AF4326" s="168">
        <v>0</v>
      </c>
      <c r="AG4326" s="168"/>
      <c r="AH4326" s="168"/>
    </row>
    <row r="4327" spans="26:34" ht="24" customHeight="1">
      <c r="Z4327"/>
      <c r="AA4327"/>
      <c r="AB4327"/>
      <c r="AC4327"/>
      <c r="AD4327"/>
      <c r="AE4327" s="168"/>
      <c r="AF4327" s="168">
        <v>0</v>
      </c>
      <c r="AG4327" s="168"/>
      <c r="AH4327" s="168"/>
    </row>
    <row r="4328" spans="26:34" ht="24" customHeight="1">
      <c r="Z4328"/>
      <c r="AA4328"/>
      <c r="AB4328"/>
      <c r="AC4328"/>
      <c r="AD4328"/>
      <c r="AE4328" s="168"/>
      <c r="AF4328" s="168">
        <v>0</v>
      </c>
      <c r="AG4328" s="168"/>
      <c r="AH4328" s="168"/>
    </row>
    <row r="4329" spans="26:34" ht="24" customHeight="1">
      <c r="Z4329"/>
      <c r="AA4329"/>
      <c r="AB4329"/>
      <c r="AC4329"/>
      <c r="AD4329"/>
      <c r="AE4329" s="168"/>
      <c r="AF4329" s="168">
        <v>0</v>
      </c>
      <c r="AG4329" s="168"/>
      <c r="AH4329" s="168"/>
    </row>
    <row r="4330" spans="26:34" ht="24" customHeight="1">
      <c r="Z4330"/>
      <c r="AA4330"/>
      <c r="AB4330"/>
      <c r="AC4330"/>
      <c r="AD4330"/>
      <c r="AE4330" s="168"/>
      <c r="AF4330" s="168">
        <v>0</v>
      </c>
      <c r="AG4330" s="168"/>
      <c r="AH4330" s="168"/>
    </row>
    <row r="4331" spans="26:34" ht="24" customHeight="1">
      <c r="Z4331"/>
      <c r="AA4331"/>
      <c r="AB4331"/>
      <c r="AC4331"/>
      <c r="AD4331"/>
      <c r="AE4331" s="168"/>
      <c r="AF4331" s="168">
        <v>0</v>
      </c>
      <c r="AG4331" s="168"/>
      <c r="AH4331" s="168"/>
    </row>
    <row r="4332" spans="26:34" ht="24" customHeight="1">
      <c r="Z4332"/>
      <c r="AA4332"/>
      <c r="AB4332"/>
      <c r="AC4332"/>
      <c r="AD4332"/>
      <c r="AE4332" s="168"/>
      <c r="AF4332" s="168">
        <v>0</v>
      </c>
      <c r="AG4332" s="168"/>
      <c r="AH4332" s="168"/>
    </row>
    <row r="4333" spans="26:34" ht="24" customHeight="1">
      <c r="Z4333"/>
      <c r="AA4333"/>
      <c r="AB4333"/>
      <c r="AC4333"/>
      <c r="AD4333"/>
      <c r="AE4333" s="168"/>
      <c r="AF4333" s="168">
        <v>0</v>
      </c>
      <c r="AG4333" s="168"/>
      <c r="AH4333" s="168"/>
    </row>
    <row r="4334" spans="26:34" ht="24" customHeight="1">
      <c r="Z4334"/>
      <c r="AA4334"/>
      <c r="AB4334"/>
      <c r="AC4334"/>
      <c r="AD4334"/>
      <c r="AE4334" s="168"/>
      <c r="AF4334" s="168">
        <v>0</v>
      </c>
      <c r="AG4334" s="168"/>
      <c r="AH4334" s="168"/>
    </row>
    <row r="4335" spans="26:34" ht="24" customHeight="1">
      <c r="Z4335"/>
      <c r="AA4335"/>
      <c r="AB4335"/>
      <c r="AC4335"/>
      <c r="AD4335"/>
      <c r="AE4335" s="168"/>
      <c r="AF4335" s="168">
        <v>0</v>
      </c>
      <c r="AG4335" s="168"/>
      <c r="AH4335" s="168"/>
    </row>
    <row r="4336" spans="26:34" ht="24" customHeight="1">
      <c r="Z4336"/>
      <c r="AA4336"/>
      <c r="AB4336"/>
      <c r="AC4336"/>
      <c r="AD4336"/>
      <c r="AE4336" s="168"/>
      <c r="AF4336" s="168">
        <v>0</v>
      </c>
      <c r="AG4336" s="168"/>
      <c r="AH4336" s="168"/>
    </row>
    <row r="4337" spans="26:34" ht="24" customHeight="1">
      <c r="Z4337"/>
      <c r="AA4337"/>
      <c r="AB4337"/>
      <c r="AC4337"/>
      <c r="AD4337"/>
      <c r="AE4337" s="168"/>
      <c r="AF4337" s="168">
        <v>0</v>
      </c>
      <c r="AG4337" s="168"/>
      <c r="AH4337" s="168"/>
    </row>
    <row r="4338" spans="26:34" ht="24" customHeight="1">
      <c r="Z4338"/>
      <c r="AA4338"/>
      <c r="AB4338"/>
      <c r="AC4338"/>
      <c r="AD4338"/>
      <c r="AE4338" s="168"/>
      <c r="AF4338" s="168">
        <v>0</v>
      </c>
      <c r="AG4338" s="168"/>
      <c r="AH4338" s="168"/>
    </row>
    <row r="4339" spans="26:34" ht="24" customHeight="1">
      <c r="Z4339"/>
      <c r="AA4339"/>
      <c r="AB4339"/>
      <c r="AC4339"/>
      <c r="AD4339"/>
      <c r="AE4339" s="168"/>
      <c r="AF4339" s="168">
        <v>0</v>
      </c>
      <c r="AG4339" s="168"/>
      <c r="AH4339" s="168"/>
    </row>
    <row r="4340" spans="26:34" ht="24" customHeight="1">
      <c r="Z4340"/>
      <c r="AA4340"/>
      <c r="AB4340"/>
      <c r="AC4340"/>
      <c r="AD4340"/>
      <c r="AE4340" s="168"/>
      <c r="AF4340" s="168">
        <v>0</v>
      </c>
      <c r="AG4340" s="168"/>
      <c r="AH4340" s="168"/>
    </row>
    <row r="4341" spans="26:34" ht="24" customHeight="1">
      <c r="Z4341"/>
      <c r="AA4341"/>
      <c r="AB4341"/>
      <c r="AC4341"/>
      <c r="AD4341"/>
      <c r="AE4341" s="168"/>
      <c r="AF4341" s="168">
        <v>0</v>
      </c>
      <c r="AG4341" s="168"/>
      <c r="AH4341" s="168"/>
    </row>
    <row r="4342" spans="26:34" ht="24" customHeight="1">
      <c r="Z4342"/>
      <c r="AA4342"/>
      <c r="AB4342"/>
      <c r="AC4342"/>
      <c r="AD4342"/>
      <c r="AE4342" s="168"/>
      <c r="AF4342" s="168">
        <v>0</v>
      </c>
      <c r="AG4342" s="168"/>
      <c r="AH4342" s="168"/>
    </row>
    <row r="4343" spans="26:34" ht="24" customHeight="1">
      <c r="Z4343"/>
      <c r="AA4343"/>
      <c r="AB4343"/>
      <c r="AC4343"/>
      <c r="AD4343"/>
      <c r="AE4343" s="168"/>
      <c r="AF4343" s="168">
        <v>0</v>
      </c>
      <c r="AG4343" s="168"/>
      <c r="AH4343" s="168"/>
    </row>
    <row r="4344" spans="26:34" ht="24" customHeight="1">
      <c r="Z4344"/>
      <c r="AA4344"/>
      <c r="AB4344"/>
      <c r="AC4344"/>
      <c r="AD4344"/>
      <c r="AE4344" s="168"/>
      <c r="AF4344" s="168">
        <v>0</v>
      </c>
      <c r="AG4344" s="168"/>
      <c r="AH4344" s="168"/>
    </row>
    <row r="4345" spans="26:34" ht="24" customHeight="1">
      <c r="Z4345"/>
      <c r="AA4345"/>
      <c r="AB4345"/>
      <c r="AC4345"/>
      <c r="AD4345"/>
      <c r="AE4345" s="168"/>
      <c r="AF4345" s="168">
        <v>0</v>
      </c>
      <c r="AG4345" s="168"/>
      <c r="AH4345" s="168"/>
    </row>
    <row r="4346" spans="26:34" ht="24" customHeight="1">
      <c r="Z4346"/>
      <c r="AA4346"/>
      <c r="AB4346"/>
      <c r="AC4346"/>
      <c r="AD4346"/>
      <c r="AE4346" s="168"/>
      <c r="AF4346" s="168">
        <v>0</v>
      </c>
      <c r="AG4346" s="168"/>
      <c r="AH4346" s="168"/>
    </row>
    <row r="4347" spans="26:34" ht="24" customHeight="1">
      <c r="Z4347"/>
      <c r="AA4347"/>
      <c r="AB4347"/>
      <c r="AC4347"/>
      <c r="AD4347"/>
      <c r="AE4347" s="168"/>
      <c r="AF4347" s="168">
        <v>0</v>
      </c>
      <c r="AG4347" s="168"/>
      <c r="AH4347" s="168"/>
    </row>
    <row r="4348" spans="26:34" ht="24" customHeight="1">
      <c r="Z4348"/>
      <c r="AA4348"/>
      <c r="AB4348"/>
      <c r="AC4348"/>
      <c r="AD4348"/>
      <c r="AE4348" s="168"/>
      <c r="AF4348" s="168">
        <v>0</v>
      </c>
      <c r="AG4348" s="168"/>
      <c r="AH4348" s="168"/>
    </row>
    <row r="4349" spans="26:34" ht="24" customHeight="1">
      <c r="Z4349"/>
      <c r="AA4349"/>
      <c r="AB4349"/>
      <c r="AC4349"/>
      <c r="AD4349"/>
      <c r="AE4349" s="168"/>
      <c r="AF4349" s="168">
        <v>0</v>
      </c>
      <c r="AG4349" s="168"/>
      <c r="AH4349" s="168"/>
    </row>
    <row r="4350" spans="26:34" ht="24" customHeight="1">
      <c r="Z4350"/>
      <c r="AA4350"/>
      <c r="AB4350"/>
      <c r="AC4350"/>
      <c r="AD4350"/>
      <c r="AE4350" s="168"/>
      <c r="AF4350" s="168">
        <v>0</v>
      </c>
      <c r="AG4350" s="168"/>
      <c r="AH4350" s="168"/>
    </row>
    <row r="4351" spans="26:34" ht="24" customHeight="1">
      <c r="Z4351"/>
      <c r="AA4351"/>
      <c r="AB4351"/>
      <c r="AC4351"/>
      <c r="AD4351"/>
      <c r="AE4351" s="168"/>
      <c r="AF4351" s="168">
        <v>0</v>
      </c>
      <c r="AG4351" s="168"/>
      <c r="AH4351" s="168"/>
    </row>
    <row r="4352" spans="26:34" ht="24" customHeight="1">
      <c r="Z4352"/>
      <c r="AA4352"/>
      <c r="AB4352"/>
      <c r="AC4352"/>
      <c r="AD4352"/>
      <c r="AE4352" s="168"/>
      <c r="AF4352" s="168">
        <v>0</v>
      </c>
      <c r="AG4352" s="168"/>
      <c r="AH4352" s="168"/>
    </row>
    <row r="4353" spans="26:34" ht="24" customHeight="1">
      <c r="Z4353"/>
      <c r="AA4353"/>
      <c r="AB4353"/>
      <c r="AC4353"/>
      <c r="AD4353"/>
      <c r="AE4353" s="168"/>
      <c r="AF4353" s="168">
        <v>0</v>
      </c>
      <c r="AG4353" s="168"/>
      <c r="AH4353" s="168"/>
    </row>
    <row r="4354" spans="26:34" ht="24" customHeight="1">
      <c r="Z4354"/>
      <c r="AA4354"/>
      <c r="AB4354"/>
      <c r="AC4354"/>
      <c r="AD4354"/>
      <c r="AE4354" s="168"/>
      <c r="AF4354" s="168">
        <v>0</v>
      </c>
      <c r="AG4354" s="168"/>
      <c r="AH4354" s="168"/>
    </row>
    <row r="4355" spans="26:34" ht="24" customHeight="1">
      <c r="Z4355"/>
      <c r="AA4355"/>
      <c r="AB4355"/>
      <c r="AC4355"/>
      <c r="AD4355"/>
      <c r="AE4355" s="168"/>
      <c r="AF4355" s="168">
        <v>0</v>
      </c>
      <c r="AG4355" s="168"/>
      <c r="AH4355" s="168"/>
    </row>
    <row r="4356" spans="26:34" ht="24" customHeight="1">
      <c r="Z4356"/>
      <c r="AA4356"/>
      <c r="AB4356"/>
      <c r="AC4356"/>
      <c r="AD4356"/>
      <c r="AE4356" s="168"/>
      <c r="AF4356" s="168">
        <v>0</v>
      </c>
      <c r="AG4356" s="168"/>
      <c r="AH4356" s="168"/>
    </row>
    <row r="4357" spans="26:34" ht="24" customHeight="1">
      <c r="Z4357"/>
      <c r="AA4357"/>
      <c r="AB4357"/>
      <c r="AC4357"/>
      <c r="AD4357"/>
      <c r="AE4357" s="168"/>
      <c r="AF4357" s="168">
        <v>0</v>
      </c>
      <c r="AG4357" s="168"/>
      <c r="AH4357" s="168"/>
    </row>
    <row r="4358" spans="26:34" ht="24" customHeight="1">
      <c r="Z4358"/>
      <c r="AA4358"/>
      <c r="AB4358"/>
      <c r="AC4358"/>
      <c r="AD4358"/>
      <c r="AE4358" s="168"/>
      <c r="AF4358" s="168">
        <v>0</v>
      </c>
      <c r="AG4358" s="168"/>
      <c r="AH4358" s="168"/>
    </row>
    <row r="4359" spans="26:34" ht="24" customHeight="1">
      <c r="Z4359"/>
      <c r="AA4359"/>
      <c r="AB4359"/>
      <c r="AC4359"/>
      <c r="AD4359"/>
      <c r="AE4359" s="168"/>
      <c r="AF4359" s="168">
        <v>0</v>
      </c>
      <c r="AG4359" s="168"/>
      <c r="AH4359" s="168"/>
    </row>
    <row r="4360" spans="26:34" ht="24" customHeight="1">
      <c r="Z4360"/>
      <c r="AA4360"/>
      <c r="AB4360"/>
      <c r="AC4360"/>
      <c r="AD4360"/>
      <c r="AE4360" s="168"/>
      <c r="AF4360" s="168">
        <v>0</v>
      </c>
      <c r="AG4360" s="168"/>
      <c r="AH4360" s="168"/>
    </row>
    <row r="4361" spans="26:34" ht="24" customHeight="1">
      <c r="Z4361"/>
      <c r="AA4361"/>
      <c r="AB4361"/>
      <c r="AC4361"/>
      <c r="AD4361"/>
      <c r="AE4361" s="168"/>
      <c r="AF4361" s="168">
        <v>0</v>
      </c>
      <c r="AG4361" s="168"/>
      <c r="AH4361" s="168"/>
    </row>
    <row r="4362" spans="26:34" ht="24" customHeight="1">
      <c r="Z4362"/>
      <c r="AA4362"/>
      <c r="AB4362"/>
      <c r="AC4362"/>
      <c r="AD4362"/>
      <c r="AE4362" s="168"/>
      <c r="AF4362" s="168">
        <v>0</v>
      </c>
      <c r="AG4362" s="168"/>
      <c r="AH4362" s="168"/>
    </row>
    <row r="4363" spans="26:34" ht="24" customHeight="1">
      <c r="Z4363"/>
      <c r="AA4363"/>
      <c r="AB4363"/>
      <c r="AC4363"/>
      <c r="AD4363"/>
      <c r="AE4363" s="168"/>
      <c r="AF4363" s="168">
        <v>0</v>
      </c>
      <c r="AG4363" s="168"/>
      <c r="AH4363" s="168"/>
    </row>
    <row r="4364" spans="26:34" ht="24" customHeight="1">
      <c r="Z4364"/>
      <c r="AA4364"/>
      <c r="AB4364"/>
      <c r="AC4364"/>
      <c r="AD4364"/>
      <c r="AE4364" s="168"/>
      <c r="AF4364" s="168">
        <v>0</v>
      </c>
      <c r="AG4364" s="168"/>
      <c r="AH4364" s="168"/>
    </row>
    <row r="4365" spans="26:34" ht="24" customHeight="1">
      <c r="Z4365"/>
      <c r="AA4365"/>
      <c r="AB4365"/>
      <c r="AC4365"/>
      <c r="AD4365"/>
      <c r="AE4365" s="168"/>
      <c r="AF4365" s="168">
        <v>0</v>
      </c>
      <c r="AG4365" s="168"/>
      <c r="AH4365" s="168"/>
    </row>
    <row r="4366" spans="26:34" ht="24" customHeight="1">
      <c r="Z4366"/>
      <c r="AA4366"/>
      <c r="AB4366"/>
      <c r="AC4366"/>
      <c r="AD4366"/>
      <c r="AE4366" s="168"/>
      <c r="AF4366" s="168">
        <v>0</v>
      </c>
      <c r="AG4366" s="168"/>
      <c r="AH4366" s="168"/>
    </row>
    <row r="4367" spans="26:34" ht="24" customHeight="1">
      <c r="Z4367"/>
      <c r="AA4367"/>
      <c r="AB4367"/>
      <c r="AC4367"/>
      <c r="AD4367"/>
      <c r="AE4367" s="168"/>
      <c r="AF4367" s="168">
        <v>0</v>
      </c>
      <c r="AG4367" s="168"/>
      <c r="AH4367" s="168"/>
    </row>
    <row r="4368" spans="26:34" ht="24" customHeight="1">
      <c r="Z4368"/>
      <c r="AA4368"/>
      <c r="AB4368"/>
      <c r="AC4368"/>
      <c r="AD4368"/>
      <c r="AE4368" s="168"/>
      <c r="AF4368" s="168">
        <v>0</v>
      </c>
      <c r="AG4368" s="168"/>
      <c r="AH4368" s="168"/>
    </row>
    <row r="4369" spans="26:34" ht="24" customHeight="1">
      <c r="Z4369"/>
      <c r="AA4369"/>
      <c r="AB4369"/>
      <c r="AC4369"/>
      <c r="AD4369"/>
      <c r="AE4369" s="168"/>
      <c r="AF4369" s="168">
        <v>0</v>
      </c>
      <c r="AG4369" s="168"/>
      <c r="AH4369" s="168"/>
    </row>
    <row r="4370" spans="26:34" ht="24" customHeight="1">
      <c r="Z4370"/>
      <c r="AA4370"/>
      <c r="AB4370"/>
      <c r="AC4370"/>
      <c r="AD4370"/>
      <c r="AE4370" s="168"/>
      <c r="AF4370" s="168">
        <v>0</v>
      </c>
      <c r="AG4370" s="168"/>
      <c r="AH4370" s="168"/>
    </row>
    <row r="4371" spans="26:34" ht="24" customHeight="1">
      <c r="Z4371"/>
      <c r="AA4371"/>
      <c r="AB4371"/>
      <c r="AC4371"/>
      <c r="AD4371"/>
      <c r="AE4371" s="168"/>
      <c r="AF4371" s="168">
        <v>0</v>
      </c>
      <c r="AG4371" s="168"/>
      <c r="AH4371" s="168"/>
    </row>
    <row r="4372" spans="26:34" ht="24" customHeight="1">
      <c r="Z4372"/>
      <c r="AA4372"/>
      <c r="AB4372"/>
      <c r="AC4372"/>
      <c r="AD4372"/>
      <c r="AE4372" s="168"/>
      <c r="AF4372" s="168">
        <v>0</v>
      </c>
      <c r="AG4372" s="168"/>
      <c r="AH4372" s="168"/>
    </row>
    <row r="4373" spans="26:34" ht="24" customHeight="1">
      <c r="Z4373"/>
      <c r="AA4373"/>
      <c r="AB4373"/>
      <c r="AC4373"/>
      <c r="AD4373"/>
      <c r="AE4373" s="168"/>
      <c r="AF4373" s="168">
        <v>0</v>
      </c>
      <c r="AG4373" s="168"/>
      <c r="AH4373" s="168"/>
    </row>
    <row r="4374" spans="26:34" ht="24" customHeight="1">
      <c r="Z4374"/>
      <c r="AA4374"/>
      <c r="AB4374"/>
      <c r="AC4374"/>
      <c r="AD4374"/>
      <c r="AE4374" s="168"/>
      <c r="AF4374" s="168">
        <v>0</v>
      </c>
      <c r="AG4374" s="168"/>
      <c r="AH4374" s="168"/>
    </row>
    <row r="4375" spans="26:34" ht="24" customHeight="1">
      <c r="Z4375"/>
      <c r="AA4375"/>
      <c r="AB4375"/>
      <c r="AC4375"/>
      <c r="AD4375"/>
      <c r="AE4375" s="168"/>
      <c r="AF4375" s="168">
        <v>0</v>
      </c>
      <c r="AG4375" s="168"/>
      <c r="AH4375" s="168"/>
    </row>
    <row r="4376" spans="26:34" ht="24" customHeight="1">
      <c r="Z4376"/>
      <c r="AA4376"/>
      <c r="AB4376"/>
      <c r="AC4376"/>
      <c r="AD4376"/>
      <c r="AE4376" s="168"/>
      <c r="AF4376" s="168">
        <v>0</v>
      </c>
      <c r="AG4376" s="168"/>
      <c r="AH4376" s="168"/>
    </row>
    <row r="4377" spans="26:34" ht="24" customHeight="1">
      <c r="Z4377"/>
      <c r="AA4377"/>
      <c r="AB4377"/>
      <c r="AC4377"/>
      <c r="AD4377"/>
      <c r="AE4377" s="168"/>
      <c r="AF4377" s="168">
        <v>0</v>
      </c>
      <c r="AG4377" s="168"/>
      <c r="AH4377" s="168"/>
    </row>
    <row r="4378" spans="26:34" ht="24" customHeight="1">
      <c r="Z4378"/>
      <c r="AA4378"/>
      <c r="AB4378"/>
      <c r="AC4378"/>
      <c r="AD4378"/>
      <c r="AE4378" s="168"/>
      <c r="AF4378" s="168">
        <v>0</v>
      </c>
      <c r="AG4378" s="168"/>
      <c r="AH4378" s="168"/>
    </row>
    <row r="4379" spans="26:34" ht="24" customHeight="1">
      <c r="Z4379"/>
      <c r="AA4379"/>
      <c r="AB4379"/>
      <c r="AC4379"/>
      <c r="AD4379"/>
      <c r="AE4379" s="168"/>
      <c r="AF4379" s="168">
        <v>0</v>
      </c>
      <c r="AG4379" s="168"/>
      <c r="AH4379" s="168"/>
    </row>
    <row r="4380" spans="26:34" ht="24" customHeight="1">
      <c r="Z4380"/>
      <c r="AA4380"/>
      <c r="AB4380"/>
      <c r="AC4380"/>
      <c r="AD4380"/>
      <c r="AE4380" s="168"/>
      <c r="AF4380" s="168">
        <v>0</v>
      </c>
      <c r="AG4380" s="168"/>
      <c r="AH4380" s="168"/>
    </row>
    <row r="4381" spans="26:34" ht="24" customHeight="1">
      <c r="Z4381"/>
      <c r="AA4381"/>
      <c r="AB4381"/>
      <c r="AC4381"/>
      <c r="AD4381"/>
      <c r="AE4381" s="168"/>
      <c r="AF4381" s="168">
        <v>0</v>
      </c>
      <c r="AG4381" s="168"/>
      <c r="AH4381" s="168"/>
    </row>
    <row r="4382" spans="26:34" ht="24" customHeight="1">
      <c r="Z4382"/>
      <c r="AA4382"/>
      <c r="AB4382"/>
      <c r="AC4382"/>
      <c r="AD4382"/>
      <c r="AE4382" s="168"/>
      <c r="AF4382" s="168">
        <v>0</v>
      </c>
      <c r="AG4382" s="168"/>
      <c r="AH4382" s="168"/>
    </row>
    <row r="4383" spans="26:34" ht="24" customHeight="1">
      <c r="Z4383"/>
      <c r="AA4383"/>
      <c r="AB4383"/>
      <c r="AC4383"/>
      <c r="AD4383"/>
      <c r="AE4383" s="168"/>
      <c r="AF4383" s="168">
        <v>0</v>
      </c>
      <c r="AG4383" s="168"/>
      <c r="AH4383" s="168"/>
    </row>
    <row r="4384" spans="26:34" ht="24" customHeight="1">
      <c r="Z4384"/>
      <c r="AA4384"/>
      <c r="AB4384"/>
      <c r="AC4384"/>
      <c r="AD4384"/>
      <c r="AE4384" s="168"/>
      <c r="AF4384" s="168">
        <v>0</v>
      </c>
      <c r="AG4384" s="168"/>
      <c r="AH4384" s="168"/>
    </row>
    <row r="4385" spans="26:34" ht="24" customHeight="1">
      <c r="Z4385"/>
      <c r="AA4385"/>
      <c r="AB4385"/>
      <c r="AC4385"/>
      <c r="AD4385"/>
      <c r="AE4385" s="168"/>
      <c r="AF4385" s="168">
        <v>0</v>
      </c>
      <c r="AG4385" s="168"/>
      <c r="AH4385" s="168"/>
    </row>
    <row r="4386" spans="26:34" ht="24" customHeight="1">
      <c r="Z4386"/>
      <c r="AA4386"/>
      <c r="AB4386"/>
      <c r="AC4386"/>
      <c r="AD4386"/>
      <c r="AE4386" s="168"/>
      <c r="AF4386" s="168">
        <v>0</v>
      </c>
      <c r="AG4386" s="168"/>
      <c r="AH4386" s="168"/>
    </row>
    <row r="4387" spans="26:34" ht="24" customHeight="1">
      <c r="Z4387"/>
      <c r="AA4387"/>
      <c r="AB4387"/>
      <c r="AC4387"/>
      <c r="AD4387"/>
      <c r="AE4387" s="168"/>
      <c r="AF4387" s="168">
        <v>0</v>
      </c>
      <c r="AG4387" s="168"/>
      <c r="AH4387" s="168"/>
    </row>
    <row r="4388" spans="26:34" ht="24" customHeight="1">
      <c r="Z4388"/>
      <c r="AA4388"/>
      <c r="AB4388"/>
      <c r="AC4388"/>
      <c r="AD4388"/>
      <c r="AE4388" s="168"/>
      <c r="AF4388" s="168">
        <v>0</v>
      </c>
      <c r="AG4388" s="168"/>
      <c r="AH4388" s="168"/>
    </row>
    <row r="4389" spans="26:34" ht="24" customHeight="1">
      <c r="Z4389"/>
      <c r="AA4389"/>
      <c r="AB4389"/>
      <c r="AC4389"/>
      <c r="AD4389"/>
      <c r="AE4389" s="168"/>
      <c r="AF4389" s="168">
        <v>0</v>
      </c>
      <c r="AG4389" s="168"/>
      <c r="AH4389" s="168"/>
    </row>
    <row r="4390" spans="26:34" ht="24" customHeight="1">
      <c r="Z4390"/>
      <c r="AA4390"/>
      <c r="AB4390"/>
      <c r="AC4390"/>
      <c r="AD4390"/>
      <c r="AE4390" s="168"/>
      <c r="AF4390" s="168">
        <v>0</v>
      </c>
      <c r="AG4390" s="168"/>
      <c r="AH4390" s="168"/>
    </row>
    <row r="4391" spans="26:34" ht="24" customHeight="1">
      <c r="Z4391"/>
      <c r="AA4391"/>
      <c r="AB4391"/>
      <c r="AC4391"/>
      <c r="AD4391"/>
      <c r="AE4391" s="168"/>
      <c r="AF4391" s="168">
        <v>0</v>
      </c>
      <c r="AG4391" s="168"/>
      <c r="AH4391" s="168"/>
    </row>
    <row r="4392" spans="26:34" ht="24" customHeight="1">
      <c r="Z4392"/>
      <c r="AA4392"/>
      <c r="AB4392"/>
      <c r="AC4392"/>
      <c r="AD4392"/>
      <c r="AE4392" s="168"/>
      <c r="AF4392" s="168">
        <v>0</v>
      </c>
      <c r="AG4392" s="168"/>
      <c r="AH4392" s="168"/>
    </row>
    <row r="4393" spans="26:34" ht="24" customHeight="1">
      <c r="Z4393"/>
      <c r="AA4393"/>
      <c r="AB4393"/>
      <c r="AC4393"/>
      <c r="AD4393"/>
      <c r="AE4393" s="168"/>
      <c r="AF4393" s="168">
        <v>0</v>
      </c>
      <c r="AG4393" s="168"/>
      <c r="AH4393" s="168"/>
    </row>
    <row r="4394" spans="26:34" ht="24" customHeight="1">
      <c r="Z4394"/>
      <c r="AA4394"/>
      <c r="AB4394"/>
      <c r="AC4394"/>
      <c r="AD4394"/>
      <c r="AE4394" s="168"/>
      <c r="AF4394" s="168">
        <v>0</v>
      </c>
      <c r="AG4394" s="168"/>
      <c r="AH4394" s="168"/>
    </row>
    <row r="4395" spans="26:34" ht="24" customHeight="1">
      <c r="Z4395"/>
      <c r="AA4395"/>
      <c r="AB4395"/>
      <c r="AC4395"/>
      <c r="AD4395"/>
      <c r="AE4395" s="168"/>
      <c r="AF4395" s="168">
        <v>0</v>
      </c>
      <c r="AG4395" s="168"/>
      <c r="AH4395" s="168"/>
    </row>
    <row r="4396" spans="26:34" ht="24" customHeight="1">
      <c r="Z4396"/>
      <c r="AA4396"/>
      <c r="AB4396"/>
      <c r="AC4396"/>
      <c r="AD4396"/>
      <c r="AE4396" s="168"/>
      <c r="AF4396" s="168">
        <v>0</v>
      </c>
      <c r="AG4396" s="168"/>
      <c r="AH4396" s="168"/>
    </row>
    <row r="4397" spans="26:34" ht="24" customHeight="1">
      <c r="Z4397"/>
      <c r="AA4397"/>
      <c r="AB4397"/>
      <c r="AC4397"/>
      <c r="AD4397"/>
      <c r="AE4397" s="168"/>
      <c r="AF4397" s="168">
        <v>0</v>
      </c>
      <c r="AG4397" s="168"/>
      <c r="AH4397" s="168"/>
    </row>
    <row r="4398" spans="26:34" ht="24" customHeight="1">
      <c r="Z4398"/>
      <c r="AA4398"/>
      <c r="AB4398"/>
      <c r="AC4398"/>
      <c r="AD4398"/>
      <c r="AE4398" s="168"/>
      <c r="AF4398" s="168">
        <v>0</v>
      </c>
      <c r="AG4398" s="168"/>
      <c r="AH4398" s="168"/>
    </row>
    <row r="4399" spans="26:34" ht="24" customHeight="1">
      <c r="Z4399"/>
      <c r="AA4399"/>
      <c r="AB4399"/>
      <c r="AC4399"/>
      <c r="AD4399"/>
      <c r="AE4399" s="168"/>
      <c r="AF4399" s="168">
        <v>0</v>
      </c>
      <c r="AG4399" s="168"/>
      <c r="AH4399" s="168"/>
    </row>
    <row r="4400" spans="26:34" ht="24" customHeight="1">
      <c r="Z4400"/>
      <c r="AA4400"/>
      <c r="AB4400"/>
      <c r="AC4400"/>
      <c r="AD4400"/>
      <c r="AE4400" s="168"/>
      <c r="AF4400" s="168">
        <v>0</v>
      </c>
      <c r="AG4400" s="168"/>
      <c r="AH4400" s="168"/>
    </row>
    <row r="4401" spans="26:34" ht="24" customHeight="1">
      <c r="Z4401"/>
      <c r="AA4401"/>
      <c r="AB4401"/>
      <c r="AC4401"/>
      <c r="AD4401"/>
      <c r="AE4401" s="168"/>
      <c r="AF4401" s="168">
        <v>0</v>
      </c>
      <c r="AG4401" s="168"/>
      <c r="AH4401" s="168"/>
    </row>
    <row r="4402" spans="26:34" ht="24" customHeight="1">
      <c r="Z4402"/>
      <c r="AA4402"/>
      <c r="AB4402"/>
      <c r="AC4402"/>
      <c r="AD4402"/>
      <c r="AE4402" s="168"/>
      <c r="AF4402" s="168">
        <v>0</v>
      </c>
      <c r="AG4402" s="168"/>
      <c r="AH4402" s="168"/>
    </row>
    <row r="4403" spans="26:34" ht="24" customHeight="1">
      <c r="Z4403"/>
      <c r="AA4403"/>
      <c r="AB4403"/>
      <c r="AC4403"/>
      <c r="AD4403"/>
      <c r="AE4403" s="168"/>
      <c r="AF4403" s="168">
        <v>0</v>
      </c>
      <c r="AG4403" s="168"/>
      <c r="AH4403" s="168"/>
    </row>
    <row r="4404" spans="26:34" ht="24" customHeight="1">
      <c r="Z4404"/>
      <c r="AA4404"/>
      <c r="AB4404"/>
      <c r="AC4404"/>
      <c r="AD4404"/>
      <c r="AE4404" s="168"/>
      <c r="AF4404" s="168">
        <v>0</v>
      </c>
      <c r="AG4404" s="168"/>
      <c r="AH4404" s="168"/>
    </row>
    <row r="4405" spans="26:34" ht="24" customHeight="1">
      <c r="Z4405"/>
      <c r="AA4405"/>
      <c r="AB4405"/>
      <c r="AC4405"/>
      <c r="AD4405"/>
      <c r="AE4405" s="168"/>
      <c r="AF4405" s="168">
        <v>0</v>
      </c>
      <c r="AG4405" s="168"/>
      <c r="AH4405" s="168"/>
    </row>
    <row r="4406" spans="26:34" ht="24" customHeight="1">
      <c r="Z4406"/>
      <c r="AA4406"/>
      <c r="AB4406"/>
      <c r="AC4406"/>
      <c r="AD4406"/>
      <c r="AE4406" s="168"/>
      <c r="AF4406" s="168">
        <v>0</v>
      </c>
      <c r="AG4406" s="168"/>
      <c r="AH4406" s="168"/>
    </row>
    <row r="4407" spans="26:34" ht="24" customHeight="1">
      <c r="Z4407"/>
      <c r="AA4407"/>
      <c r="AB4407"/>
      <c r="AC4407"/>
      <c r="AD4407"/>
      <c r="AE4407" s="168"/>
      <c r="AF4407" s="168">
        <v>0</v>
      </c>
      <c r="AG4407" s="168"/>
      <c r="AH4407" s="168"/>
    </row>
    <row r="4408" spans="26:34" ht="24" customHeight="1">
      <c r="Z4408"/>
      <c r="AA4408"/>
      <c r="AB4408"/>
      <c r="AC4408"/>
      <c r="AD4408"/>
      <c r="AE4408" s="168"/>
      <c r="AF4408" s="168">
        <v>0</v>
      </c>
      <c r="AG4408" s="168"/>
      <c r="AH4408" s="168"/>
    </row>
    <row r="4409" spans="26:34" ht="24" customHeight="1">
      <c r="Z4409"/>
      <c r="AA4409"/>
      <c r="AB4409"/>
      <c r="AC4409"/>
      <c r="AD4409"/>
      <c r="AE4409" s="168"/>
      <c r="AF4409" s="168">
        <v>0</v>
      </c>
      <c r="AG4409" s="168"/>
      <c r="AH4409" s="168"/>
    </row>
    <row r="4410" spans="26:34" ht="24" customHeight="1">
      <c r="Z4410"/>
      <c r="AA4410"/>
      <c r="AB4410"/>
      <c r="AC4410"/>
      <c r="AD4410"/>
      <c r="AE4410" s="168"/>
      <c r="AF4410" s="168">
        <v>0</v>
      </c>
      <c r="AG4410" s="168"/>
      <c r="AH4410" s="168"/>
    </row>
    <row r="4411" spans="26:34" ht="24" customHeight="1">
      <c r="Z4411"/>
      <c r="AA4411"/>
      <c r="AB4411"/>
      <c r="AC4411"/>
      <c r="AD4411"/>
      <c r="AE4411" s="168"/>
      <c r="AF4411" s="168">
        <v>0</v>
      </c>
      <c r="AG4411" s="168"/>
      <c r="AH4411" s="168"/>
    </row>
    <row r="4412" spans="26:34" ht="24" customHeight="1">
      <c r="Z4412"/>
      <c r="AA4412"/>
      <c r="AB4412"/>
      <c r="AC4412"/>
      <c r="AD4412"/>
      <c r="AE4412" s="168"/>
      <c r="AF4412" s="168">
        <v>0</v>
      </c>
      <c r="AG4412" s="168"/>
      <c r="AH4412" s="168"/>
    </row>
    <row r="4413" spans="26:34" ht="24" customHeight="1">
      <c r="Z4413"/>
      <c r="AA4413"/>
      <c r="AB4413"/>
      <c r="AC4413"/>
      <c r="AD4413"/>
      <c r="AE4413" s="168"/>
      <c r="AF4413" s="168">
        <v>0</v>
      </c>
      <c r="AG4413" s="168"/>
      <c r="AH4413" s="168"/>
    </row>
    <row r="4414" spans="26:34" ht="24" customHeight="1">
      <c r="Z4414"/>
      <c r="AA4414"/>
      <c r="AB4414"/>
      <c r="AC4414"/>
      <c r="AD4414"/>
      <c r="AE4414" s="168"/>
      <c r="AF4414" s="168">
        <v>0</v>
      </c>
      <c r="AG4414" s="168"/>
      <c r="AH4414" s="168"/>
    </row>
    <row r="4415" spans="26:34" ht="24" customHeight="1">
      <c r="Z4415"/>
      <c r="AA4415"/>
      <c r="AB4415"/>
      <c r="AC4415"/>
      <c r="AD4415"/>
      <c r="AE4415" s="168"/>
      <c r="AF4415" s="168">
        <v>0</v>
      </c>
      <c r="AG4415" s="168"/>
      <c r="AH4415" s="168"/>
    </row>
    <row r="4416" spans="26:34" ht="24" customHeight="1">
      <c r="Z4416"/>
      <c r="AA4416"/>
      <c r="AB4416"/>
      <c r="AC4416"/>
      <c r="AD4416"/>
      <c r="AE4416" s="168"/>
      <c r="AF4416" s="168">
        <v>0</v>
      </c>
      <c r="AG4416" s="168"/>
      <c r="AH4416" s="168"/>
    </row>
    <row r="4417" spans="26:34" ht="24" customHeight="1">
      <c r="Z4417"/>
      <c r="AA4417"/>
      <c r="AB4417"/>
      <c r="AC4417"/>
      <c r="AD4417"/>
      <c r="AE4417" s="168"/>
      <c r="AF4417" s="168">
        <v>0</v>
      </c>
      <c r="AG4417" s="168"/>
      <c r="AH4417" s="168"/>
    </row>
    <row r="4418" spans="26:34" ht="24" customHeight="1">
      <c r="Z4418"/>
      <c r="AA4418"/>
      <c r="AB4418"/>
      <c r="AC4418"/>
      <c r="AD4418"/>
      <c r="AE4418" s="168"/>
      <c r="AF4418" s="168">
        <v>0</v>
      </c>
      <c r="AG4418" s="168"/>
      <c r="AH4418" s="168"/>
    </row>
    <row r="4419" spans="26:34" ht="24" customHeight="1">
      <c r="Z4419"/>
      <c r="AA4419"/>
      <c r="AB4419"/>
      <c r="AC4419"/>
      <c r="AD4419"/>
      <c r="AE4419" s="168"/>
      <c r="AF4419" s="168">
        <v>0</v>
      </c>
      <c r="AG4419" s="168"/>
      <c r="AH4419" s="168"/>
    </row>
    <row r="4420" spans="26:34" ht="24" customHeight="1">
      <c r="Z4420"/>
      <c r="AA4420"/>
      <c r="AB4420"/>
      <c r="AC4420"/>
      <c r="AD4420"/>
      <c r="AE4420" s="168"/>
      <c r="AF4420" s="168">
        <v>0</v>
      </c>
      <c r="AG4420" s="168"/>
      <c r="AH4420" s="168"/>
    </row>
    <row r="4421" spans="26:34" ht="24" customHeight="1">
      <c r="Z4421"/>
      <c r="AA4421"/>
      <c r="AB4421"/>
      <c r="AC4421"/>
      <c r="AD4421"/>
      <c r="AE4421" s="168"/>
      <c r="AF4421" s="168">
        <v>0</v>
      </c>
      <c r="AG4421" s="168"/>
      <c r="AH4421" s="168"/>
    </row>
    <row r="4422" spans="26:34" ht="24" customHeight="1">
      <c r="Z4422"/>
      <c r="AA4422"/>
      <c r="AB4422"/>
      <c r="AC4422"/>
      <c r="AD4422"/>
      <c r="AE4422" s="168"/>
      <c r="AF4422" s="168">
        <v>0</v>
      </c>
      <c r="AG4422" s="168"/>
      <c r="AH4422" s="168"/>
    </row>
    <row r="4423" spans="26:34" ht="24" customHeight="1">
      <c r="Z4423"/>
      <c r="AA4423"/>
      <c r="AB4423"/>
      <c r="AC4423"/>
      <c r="AD4423"/>
      <c r="AE4423" s="168"/>
      <c r="AF4423" s="168">
        <v>0</v>
      </c>
      <c r="AG4423" s="168"/>
      <c r="AH4423" s="168"/>
    </row>
    <row r="4424" spans="26:34" ht="24" customHeight="1">
      <c r="Z4424"/>
      <c r="AA4424"/>
      <c r="AB4424"/>
      <c r="AC4424"/>
      <c r="AD4424"/>
      <c r="AE4424" s="168"/>
      <c r="AF4424" s="168">
        <v>0</v>
      </c>
      <c r="AG4424" s="168"/>
      <c r="AH4424" s="168"/>
    </row>
    <row r="4425" spans="26:34" ht="24" customHeight="1">
      <c r="Z4425"/>
      <c r="AA4425"/>
      <c r="AB4425"/>
      <c r="AC4425"/>
      <c r="AD4425"/>
      <c r="AE4425" s="168"/>
      <c r="AF4425" s="168">
        <v>0</v>
      </c>
      <c r="AG4425" s="168"/>
      <c r="AH4425" s="168"/>
    </row>
    <row r="4426" spans="26:34" ht="24" customHeight="1">
      <c r="Z4426"/>
      <c r="AA4426"/>
      <c r="AB4426"/>
      <c r="AC4426"/>
      <c r="AD4426"/>
      <c r="AE4426" s="168"/>
      <c r="AF4426" s="168">
        <v>0</v>
      </c>
      <c r="AG4426" s="168"/>
      <c r="AH4426" s="168"/>
    </row>
    <row r="4427" spans="26:34" ht="24" customHeight="1">
      <c r="Z4427"/>
      <c r="AA4427"/>
      <c r="AB4427"/>
      <c r="AC4427"/>
      <c r="AD4427"/>
      <c r="AE4427" s="168"/>
      <c r="AF4427" s="168">
        <v>0</v>
      </c>
      <c r="AG4427" s="168"/>
      <c r="AH4427" s="168"/>
    </row>
    <row r="4428" spans="26:34" ht="24" customHeight="1">
      <c r="Z4428"/>
      <c r="AA4428"/>
      <c r="AB4428"/>
      <c r="AC4428"/>
      <c r="AD4428"/>
      <c r="AE4428" s="168"/>
      <c r="AF4428" s="168">
        <v>0</v>
      </c>
      <c r="AG4428" s="168"/>
      <c r="AH4428" s="168"/>
    </row>
    <row r="4429" spans="26:34" ht="24" customHeight="1">
      <c r="Z4429"/>
      <c r="AA4429"/>
      <c r="AB4429"/>
      <c r="AC4429"/>
      <c r="AD4429"/>
      <c r="AE4429" s="168"/>
      <c r="AF4429" s="168">
        <v>0</v>
      </c>
      <c r="AG4429" s="168"/>
      <c r="AH4429" s="168"/>
    </row>
    <row r="4430" spans="26:34" ht="24" customHeight="1">
      <c r="Z4430"/>
      <c r="AA4430"/>
      <c r="AB4430"/>
      <c r="AC4430"/>
      <c r="AD4430"/>
      <c r="AE4430" s="168"/>
      <c r="AF4430" s="168">
        <v>0</v>
      </c>
      <c r="AG4430" s="168"/>
      <c r="AH4430" s="168"/>
    </row>
    <row r="4431" spans="26:34" ht="24" customHeight="1">
      <c r="Z4431"/>
      <c r="AA4431"/>
      <c r="AB4431"/>
      <c r="AC4431"/>
      <c r="AD4431"/>
      <c r="AE4431" s="168"/>
      <c r="AF4431" s="168">
        <v>0</v>
      </c>
      <c r="AG4431" s="168"/>
      <c r="AH4431" s="168"/>
    </row>
    <row r="4432" spans="26:34" ht="24" customHeight="1">
      <c r="Z4432"/>
      <c r="AA4432"/>
      <c r="AB4432"/>
      <c r="AC4432"/>
      <c r="AD4432"/>
      <c r="AE4432" s="168"/>
      <c r="AF4432" s="168">
        <v>0</v>
      </c>
      <c r="AG4432" s="168"/>
      <c r="AH4432" s="168"/>
    </row>
    <row r="4433" spans="26:34" ht="24" customHeight="1">
      <c r="Z4433"/>
      <c r="AA4433"/>
      <c r="AB4433"/>
      <c r="AC4433"/>
      <c r="AD4433"/>
      <c r="AE4433" s="168"/>
      <c r="AF4433" s="168">
        <v>0</v>
      </c>
      <c r="AG4433" s="168"/>
      <c r="AH4433" s="168"/>
    </row>
    <row r="4434" spans="26:34" ht="24" customHeight="1">
      <c r="Z4434"/>
      <c r="AA4434"/>
      <c r="AB4434"/>
      <c r="AC4434"/>
      <c r="AD4434"/>
      <c r="AE4434" s="168"/>
      <c r="AF4434" s="168">
        <v>0</v>
      </c>
      <c r="AG4434" s="168"/>
      <c r="AH4434" s="168"/>
    </row>
    <row r="4435" spans="26:34" ht="24" customHeight="1">
      <c r="Z4435"/>
      <c r="AA4435"/>
      <c r="AB4435"/>
      <c r="AC4435"/>
      <c r="AD4435"/>
      <c r="AE4435" s="168"/>
      <c r="AF4435" s="168">
        <v>0</v>
      </c>
      <c r="AG4435" s="168"/>
      <c r="AH4435" s="168"/>
    </row>
    <row r="4436" spans="26:34" ht="24" customHeight="1">
      <c r="Z4436"/>
      <c r="AA4436"/>
      <c r="AB4436"/>
      <c r="AC4436"/>
      <c r="AD4436"/>
      <c r="AE4436" s="168"/>
      <c r="AF4436" s="168">
        <v>0</v>
      </c>
      <c r="AG4436" s="168"/>
      <c r="AH4436" s="168"/>
    </row>
    <row r="4437" spans="26:34" ht="24" customHeight="1">
      <c r="Z4437"/>
      <c r="AA4437"/>
      <c r="AB4437"/>
      <c r="AC4437"/>
      <c r="AD4437"/>
      <c r="AE4437" s="168"/>
      <c r="AF4437" s="168">
        <v>0</v>
      </c>
      <c r="AG4437" s="168"/>
      <c r="AH4437" s="168"/>
    </row>
    <row r="4438" spans="26:34" ht="24" customHeight="1">
      <c r="Z4438"/>
      <c r="AA4438"/>
      <c r="AB4438"/>
      <c r="AC4438"/>
      <c r="AD4438"/>
      <c r="AE4438" s="168"/>
      <c r="AF4438" s="168">
        <v>0</v>
      </c>
      <c r="AG4438" s="168"/>
      <c r="AH4438" s="168"/>
    </row>
    <row r="4439" spans="26:34" ht="24" customHeight="1">
      <c r="Z4439"/>
      <c r="AA4439"/>
      <c r="AB4439"/>
      <c r="AC4439"/>
      <c r="AD4439"/>
      <c r="AE4439" s="168"/>
      <c r="AF4439" s="168">
        <v>0</v>
      </c>
      <c r="AG4439" s="168"/>
      <c r="AH4439" s="168"/>
    </row>
    <row r="4440" spans="26:34" ht="24" customHeight="1">
      <c r="Z4440"/>
      <c r="AA4440"/>
      <c r="AB4440"/>
      <c r="AC4440"/>
      <c r="AD4440"/>
      <c r="AE4440" s="168"/>
      <c r="AF4440" s="168">
        <v>0</v>
      </c>
      <c r="AG4440" s="168"/>
      <c r="AH4440" s="168"/>
    </row>
    <row r="4441" spans="26:34" ht="24" customHeight="1">
      <c r="Z4441"/>
      <c r="AA4441"/>
      <c r="AB4441"/>
      <c r="AC4441"/>
      <c r="AD4441"/>
      <c r="AE4441" s="168"/>
      <c r="AF4441" s="168">
        <v>0</v>
      </c>
      <c r="AG4441" s="168"/>
      <c r="AH4441" s="168"/>
    </row>
    <row r="4442" spans="26:34" ht="24" customHeight="1">
      <c r="Z4442"/>
      <c r="AA4442"/>
      <c r="AB4442"/>
      <c r="AC4442"/>
      <c r="AD4442"/>
      <c r="AE4442" s="168"/>
      <c r="AF4442" s="168">
        <v>0</v>
      </c>
      <c r="AG4442" s="168"/>
      <c r="AH4442" s="168"/>
    </row>
    <row r="4443" spans="26:34" ht="24" customHeight="1">
      <c r="Z4443"/>
      <c r="AA4443"/>
      <c r="AB4443"/>
      <c r="AC4443"/>
      <c r="AD4443"/>
      <c r="AE4443" s="168"/>
      <c r="AF4443" s="168">
        <v>0</v>
      </c>
      <c r="AG4443" s="168"/>
      <c r="AH4443" s="168"/>
    </row>
    <row r="4444" spans="26:34" ht="24" customHeight="1">
      <c r="Z4444"/>
      <c r="AA4444"/>
      <c r="AB4444"/>
      <c r="AC4444"/>
      <c r="AD4444"/>
      <c r="AE4444" s="168"/>
      <c r="AF4444" s="168">
        <v>0</v>
      </c>
      <c r="AG4444" s="168"/>
      <c r="AH4444" s="168"/>
    </row>
    <row r="4445" spans="26:34" ht="24" customHeight="1">
      <c r="Z4445"/>
      <c r="AA4445"/>
      <c r="AB4445"/>
      <c r="AC4445"/>
      <c r="AD4445"/>
      <c r="AE4445" s="168"/>
      <c r="AF4445" s="168">
        <v>0</v>
      </c>
      <c r="AG4445" s="168"/>
      <c r="AH4445" s="168"/>
    </row>
    <row r="4446" spans="26:34" ht="24" customHeight="1">
      <c r="Z4446"/>
      <c r="AA4446"/>
      <c r="AB4446"/>
      <c r="AC4446"/>
      <c r="AD4446"/>
      <c r="AE4446" s="168"/>
      <c r="AF4446" s="168">
        <v>0</v>
      </c>
      <c r="AG4446" s="168"/>
      <c r="AH4446" s="168"/>
    </row>
    <row r="4447" spans="26:34" ht="24" customHeight="1">
      <c r="Z4447"/>
      <c r="AA4447"/>
      <c r="AB4447"/>
      <c r="AC4447"/>
      <c r="AD4447"/>
      <c r="AE4447" s="168"/>
      <c r="AF4447" s="168">
        <v>0</v>
      </c>
      <c r="AG4447" s="168"/>
      <c r="AH4447" s="168"/>
    </row>
    <row r="4448" spans="26:34" ht="24" customHeight="1">
      <c r="Z4448"/>
      <c r="AA4448"/>
      <c r="AB4448"/>
      <c r="AC4448"/>
      <c r="AD4448"/>
      <c r="AE4448" s="168"/>
      <c r="AF4448" s="168">
        <v>0</v>
      </c>
      <c r="AG4448" s="168"/>
      <c r="AH4448" s="168"/>
    </row>
    <row r="4449" spans="26:34" ht="24" customHeight="1">
      <c r="Z4449"/>
      <c r="AA4449"/>
      <c r="AB4449"/>
      <c r="AC4449"/>
      <c r="AD4449"/>
      <c r="AE4449" s="168"/>
      <c r="AF4449" s="168">
        <v>0</v>
      </c>
      <c r="AG4449" s="168"/>
      <c r="AH4449" s="168"/>
    </row>
    <row r="4450" spans="26:34" ht="24" customHeight="1">
      <c r="Z4450"/>
      <c r="AA4450"/>
      <c r="AB4450"/>
      <c r="AC4450"/>
      <c r="AD4450"/>
      <c r="AE4450" s="168"/>
      <c r="AF4450" s="168">
        <v>0</v>
      </c>
      <c r="AG4450" s="168"/>
      <c r="AH4450" s="168"/>
    </row>
    <row r="4451" spans="26:34" ht="24" customHeight="1">
      <c r="Z4451"/>
      <c r="AA4451"/>
      <c r="AB4451"/>
      <c r="AC4451"/>
      <c r="AD4451"/>
      <c r="AE4451" s="168"/>
      <c r="AF4451" s="168">
        <v>0</v>
      </c>
      <c r="AG4451" s="168"/>
      <c r="AH4451" s="168"/>
    </row>
    <row r="4452" spans="26:34" ht="24" customHeight="1">
      <c r="Z4452"/>
      <c r="AA4452"/>
      <c r="AB4452"/>
      <c r="AC4452"/>
      <c r="AD4452"/>
      <c r="AE4452" s="168"/>
      <c r="AF4452" s="168">
        <v>0</v>
      </c>
      <c r="AG4452" s="168"/>
      <c r="AH4452" s="168"/>
    </row>
    <row r="4453" spans="26:34" ht="24" customHeight="1">
      <c r="Z4453"/>
      <c r="AA4453"/>
      <c r="AB4453"/>
      <c r="AC4453"/>
      <c r="AD4453"/>
      <c r="AE4453" s="168"/>
      <c r="AF4453" s="168">
        <v>0</v>
      </c>
      <c r="AG4453" s="168"/>
      <c r="AH4453" s="168"/>
    </row>
    <row r="4454" spans="26:34" ht="24" customHeight="1">
      <c r="Z4454"/>
      <c r="AA4454"/>
      <c r="AB4454"/>
      <c r="AC4454"/>
      <c r="AD4454"/>
      <c r="AE4454" s="168"/>
      <c r="AF4454" s="168">
        <v>0</v>
      </c>
      <c r="AG4454" s="168"/>
      <c r="AH4454" s="168"/>
    </row>
    <row r="4455" spans="26:34" ht="24" customHeight="1">
      <c r="Z4455"/>
      <c r="AA4455"/>
      <c r="AB4455"/>
      <c r="AC4455"/>
      <c r="AD4455"/>
      <c r="AE4455" s="168"/>
      <c r="AF4455" s="168">
        <v>0</v>
      </c>
      <c r="AG4455" s="168"/>
      <c r="AH4455" s="168"/>
    </row>
    <row r="4456" spans="26:34" ht="24" customHeight="1">
      <c r="Z4456"/>
      <c r="AA4456"/>
      <c r="AB4456"/>
      <c r="AC4456"/>
      <c r="AD4456"/>
      <c r="AE4456" s="168"/>
      <c r="AF4456" s="168">
        <v>0</v>
      </c>
      <c r="AG4456" s="168"/>
      <c r="AH4456" s="168"/>
    </row>
    <row r="4457" spans="26:34" ht="24" customHeight="1">
      <c r="Z4457"/>
      <c r="AA4457"/>
      <c r="AB4457"/>
      <c r="AC4457"/>
      <c r="AD4457"/>
      <c r="AE4457" s="168"/>
      <c r="AF4457" s="168">
        <v>0</v>
      </c>
      <c r="AG4457" s="168"/>
      <c r="AH4457" s="168"/>
    </row>
    <row r="4458" spans="26:34" ht="24" customHeight="1">
      <c r="Z4458"/>
      <c r="AA4458"/>
      <c r="AB4458"/>
      <c r="AC4458"/>
      <c r="AD4458"/>
      <c r="AE4458" s="168"/>
      <c r="AF4458" s="168">
        <v>0</v>
      </c>
      <c r="AG4458" s="168"/>
      <c r="AH4458" s="168"/>
    </row>
    <row r="4459" spans="26:34" ht="24" customHeight="1">
      <c r="Z4459"/>
      <c r="AA4459"/>
      <c r="AB4459"/>
      <c r="AC4459"/>
      <c r="AD4459"/>
      <c r="AE4459" s="168"/>
      <c r="AF4459" s="168">
        <v>0</v>
      </c>
      <c r="AG4459" s="168"/>
      <c r="AH4459" s="168"/>
    </row>
    <row r="4460" spans="26:34" ht="24" customHeight="1">
      <c r="Z4460"/>
      <c r="AA4460"/>
      <c r="AB4460"/>
      <c r="AC4460"/>
      <c r="AD4460"/>
      <c r="AE4460" s="168"/>
      <c r="AF4460" s="168">
        <v>0</v>
      </c>
      <c r="AG4460" s="168"/>
      <c r="AH4460" s="168"/>
    </row>
    <row r="4461" spans="26:34" ht="24" customHeight="1">
      <c r="Z4461"/>
      <c r="AA4461"/>
      <c r="AB4461"/>
      <c r="AC4461"/>
      <c r="AD4461"/>
      <c r="AE4461" s="168"/>
      <c r="AF4461" s="168">
        <v>0</v>
      </c>
      <c r="AG4461" s="168"/>
      <c r="AH4461" s="168"/>
    </row>
    <row r="4462" spans="26:34" ht="24" customHeight="1">
      <c r="Z4462"/>
      <c r="AA4462"/>
      <c r="AB4462"/>
      <c r="AC4462"/>
      <c r="AD4462"/>
      <c r="AE4462" s="168"/>
      <c r="AF4462" s="168">
        <v>0</v>
      </c>
      <c r="AG4462" s="168"/>
      <c r="AH4462" s="168"/>
    </row>
    <row r="4463" spans="26:34" ht="24" customHeight="1">
      <c r="Z4463"/>
      <c r="AA4463"/>
      <c r="AB4463"/>
      <c r="AC4463"/>
      <c r="AD4463"/>
      <c r="AE4463" s="168"/>
      <c r="AF4463" s="168">
        <v>0</v>
      </c>
      <c r="AG4463" s="168"/>
      <c r="AH4463" s="168"/>
    </row>
    <row r="4464" spans="26:34" ht="24" customHeight="1">
      <c r="Z4464"/>
      <c r="AA4464"/>
      <c r="AB4464"/>
      <c r="AC4464"/>
      <c r="AD4464"/>
      <c r="AE4464" s="168"/>
      <c r="AF4464" s="168">
        <v>0</v>
      </c>
      <c r="AG4464" s="168"/>
      <c r="AH4464" s="168"/>
    </row>
    <row r="4465" spans="26:34" ht="24" customHeight="1">
      <c r="Z4465"/>
      <c r="AA4465"/>
      <c r="AB4465"/>
      <c r="AC4465"/>
      <c r="AD4465"/>
      <c r="AE4465" s="168"/>
      <c r="AF4465" s="168">
        <v>0</v>
      </c>
      <c r="AG4465" s="168"/>
      <c r="AH4465" s="168"/>
    </row>
    <row r="4466" spans="26:34" ht="24" customHeight="1">
      <c r="Z4466"/>
      <c r="AA4466"/>
      <c r="AB4466"/>
      <c r="AC4466"/>
      <c r="AD4466"/>
      <c r="AE4466" s="168"/>
      <c r="AF4466" s="168">
        <v>0</v>
      </c>
      <c r="AG4466" s="168"/>
      <c r="AH4466" s="168"/>
    </row>
    <row r="4467" spans="26:34" ht="24" customHeight="1">
      <c r="Z4467"/>
      <c r="AA4467"/>
      <c r="AB4467"/>
      <c r="AC4467"/>
      <c r="AD4467"/>
      <c r="AE4467" s="168"/>
      <c r="AF4467" s="168">
        <v>0</v>
      </c>
      <c r="AG4467" s="168"/>
      <c r="AH4467" s="168"/>
    </row>
    <row r="4468" spans="26:34" ht="24" customHeight="1">
      <c r="Z4468"/>
      <c r="AA4468"/>
      <c r="AB4468"/>
      <c r="AC4468"/>
      <c r="AD4468"/>
      <c r="AE4468" s="168"/>
      <c r="AF4468" s="168">
        <v>0</v>
      </c>
      <c r="AG4468" s="168"/>
      <c r="AH4468" s="168"/>
    </row>
    <row r="4469" spans="26:34" ht="24" customHeight="1">
      <c r="Z4469"/>
      <c r="AA4469"/>
      <c r="AB4469"/>
      <c r="AC4469"/>
      <c r="AD4469"/>
      <c r="AE4469" s="168"/>
      <c r="AF4469" s="168">
        <v>0</v>
      </c>
      <c r="AG4469" s="168"/>
      <c r="AH4469" s="168"/>
    </row>
    <row r="4470" spans="26:34" ht="24" customHeight="1">
      <c r="Z4470"/>
      <c r="AA4470"/>
      <c r="AB4470"/>
      <c r="AC4470"/>
      <c r="AD4470"/>
      <c r="AE4470" s="168"/>
      <c r="AF4470" s="168">
        <v>0</v>
      </c>
      <c r="AG4470" s="168"/>
      <c r="AH4470" s="168"/>
    </row>
    <row r="4471" spans="26:34" ht="24" customHeight="1">
      <c r="Z4471"/>
      <c r="AA4471"/>
      <c r="AB4471"/>
      <c r="AC4471"/>
      <c r="AD4471"/>
      <c r="AE4471" s="168"/>
      <c r="AF4471" s="168">
        <v>0</v>
      </c>
      <c r="AG4471" s="168"/>
      <c r="AH4471" s="168"/>
    </row>
    <row r="4472" spans="26:34" ht="24" customHeight="1">
      <c r="Z4472"/>
      <c r="AA4472"/>
      <c r="AB4472"/>
      <c r="AC4472"/>
      <c r="AD4472"/>
      <c r="AE4472" s="168"/>
      <c r="AF4472" s="168">
        <v>0</v>
      </c>
      <c r="AG4472" s="168"/>
      <c r="AH4472" s="168"/>
    </row>
    <row r="4473" spans="26:34" ht="24" customHeight="1">
      <c r="Z4473"/>
      <c r="AA4473"/>
      <c r="AB4473"/>
      <c r="AC4473"/>
      <c r="AD4473"/>
      <c r="AE4473" s="168"/>
      <c r="AF4473" s="168">
        <v>0</v>
      </c>
      <c r="AG4473" s="168"/>
      <c r="AH4473" s="168"/>
    </row>
    <row r="4474" spans="26:34" ht="24" customHeight="1">
      <c r="Z4474"/>
      <c r="AA4474"/>
      <c r="AB4474"/>
      <c r="AC4474"/>
      <c r="AD4474"/>
      <c r="AE4474" s="168"/>
      <c r="AF4474" s="168">
        <v>0</v>
      </c>
      <c r="AG4474" s="168"/>
      <c r="AH4474" s="168"/>
    </row>
    <row r="4475" spans="26:34" ht="24" customHeight="1">
      <c r="Z4475"/>
      <c r="AA4475"/>
      <c r="AB4475"/>
      <c r="AC4475"/>
      <c r="AD4475"/>
      <c r="AE4475" s="168"/>
      <c r="AF4475" s="168">
        <v>0</v>
      </c>
      <c r="AG4475" s="168"/>
      <c r="AH4475" s="168"/>
    </row>
    <row r="4476" spans="26:34" ht="24" customHeight="1">
      <c r="Z4476"/>
      <c r="AA4476"/>
      <c r="AB4476"/>
      <c r="AC4476"/>
      <c r="AD4476"/>
      <c r="AE4476" s="168"/>
      <c r="AF4476" s="168">
        <v>0</v>
      </c>
      <c r="AG4476" s="168"/>
      <c r="AH4476" s="168"/>
    </row>
    <row r="4477" spans="26:34" ht="24" customHeight="1">
      <c r="Z4477"/>
      <c r="AA4477"/>
      <c r="AB4477"/>
      <c r="AC4477"/>
      <c r="AD4477"/>
      <c r="AE4477" s="168"/>
      <c r="AF4477" s="168">
        <v>0</v>
      </c>
      <c r="AG4477" s="168"/>
      <c r="AH4477" s="168"/>
    </row>
    <row r="4478" spans="26:34" ht="24" customHeight="1">
      <c r="Z4478"/>
      <c r="AA4478"/>
      <c r="AB4478"/>
      <c r="AC4478"/>
      <c r="AD4478"/>
      <c r="AE4478" s="168"/>
      <c r="AF4478" s="168">
        <v>0</v>
      </c>
      <c r="AG4478" s="168"/>
      <c r="AH4478" s="168"/>
    </row>
    <row r="4479" spans="26:34" ht="24" customHeight="1">
      <c r="Z4479"/>
      <c r="AA4479"/>
      <c r="AB4479"/>
      <c r="AC4479"/>
      <c r="AD4479"/>
      <c r="AE4479" s="168"/>
      <c r="AF4479" s="168">
        <v>0</v>
      </c>
      <c r="AG4479" s="168"/>
      <c r="AH4479" s="168"/>
    </row>
    <row r="4480" spans="26:34" ht="24" customHeight="1">
      <c r="Z4480"/>
      <c r="AA4480"/>
      <c r="AB4480"/>
      <c r="AC4480"/>
      <c r="AD4480"/>
      <c r="AE4480" s="168"/>
      <c r="AF4480" s="168">
        <v>0</v>
      </c>
      <c r="AG4480" s="168"/>
      <c r="AH4480" s="168"/>
    </row>
    <row r="4481" spans="26:34" ht="24" customHeight="1">
      <c r="Z4481"/>
      <c r="AA4481"/>
      <c r="AB4481"/>
      <c r="AC4481"/>
      <c r="AD4481"/>
      <c r="AE4481" s="168"/>
      <c r="AF4481" s="168">
        <v>0</v>
      </c>
      <c r="AG4481" s="168"/>
      <c r="AH4481" s="168"/>
    </row>
    <row r="4482" spans="26:34" ht="24" customHeight="1">
      <c r="Z4482"/>
      <c r="AA4482"/>
      <c r="AB4482"/>
      <c r="AC4482"/>
      <c r="AD4482"/>
      <c r="AE4482" s="168"/>
      <c r="AF4482" s="168">
        <v>0</v>
      </c>
      <c r="AG4482" s="168"/>
      <c r="AH4482" s="168"/>
    </row>
    <row r="4483" spans="26:34" ht="24" customHeight="1">
      <c r="Z4483"/>
      <c r="AA4483"/>
      <c r="AB4483"/>
      <c r="AC4483"/>
      <c r="AD4483"/>
      <c r="AE4483" s="168"/>
      <c r="AF4483" s="168">
        <v>0</v>
      </c>
      <c r="AG4483" s="168"/>
      <c r="AH4483" s="168"/>
    </row>
    <row r="4484" spans="26:34" ht="24" customHeight="1">
      <c r="Z4484"/>
      <c r="AA4484"/>
      <c r="AB4484"/>
      <c r="AC4484"/>
      <c r="AD4484"/>
      <c r="AE4484" s="168"/>
      <c r="AF4484" s="168">
        <v>0</v>
      </c>
      <c r="AG4484" s="168"/>
      <c r="AH4484" s="168"/>
    </row>
    <row r="4485" spans="26:34" ht="24" customHeight="1">
      <c r="Z4485"/>
      <c r="AA4485"/>
      <c r="AB4485"/>
      <c r="AC4485"/>
      <c r="AD4485"/>
      <c r="AE4485" s="168"/>
      <c r="AF4485" s="168">
        <v>0</v>
      </c>
      <c r="AG4485" s="168"/>
      <c r="AH4485" s="168"/>
    </row>
    <row r="4486" spans="26:34" ht="24" customHeight="1">
      <c r="Z4486"/>
      <c r="AA4486"/>
      <c r="AB4486"/>
      <c r="AC4486"/>
      <c r="AD4486"/>
      <c r="AE4486" s="168"/>
      <c r="AF4486" s="168">
        <v>0</v>
      </c>
      <c r="AG4486" s="168"/>
      <c r="AH4486" s="168"/>
    </row>
    <row r="4487" spans="26:34" ht="24" customHeight="1">
      <c r="Z4487"/>
      <c r="AA4487"/>
      <c r="AB4487"/>
      <c r="AC4487"/>
      <c r="AD4487"/>
      <c r="AE4487" s="168"/>
      <c r="AF4487" s="168">
        <v>0</v>
      </c>
      <c r="AG4487" s="168"/>
      <c r="AH4487" s="168"/>
    </row>
    <row r="4488" spans="26:34" ht="24" customHeight="1">
      <c r="Z4488"/>
      <c r="AA4488"/>
      <c r="AB4488"/>
      <c r="AC4488"/>
      <c r="AD4488"/>
      <c r="AE4488" s="168"/>
      <c r="AF4488" s="168">
        <v>0</v>
      </c>
      <c r="AG4488" s="168"/>
      <c r="AH4488" s="168"/>
    </row>
    <row r="4489" spans="26:34" ht="24" customHeight="1">
      <c r="Z4489"/>
      <c r="AA4489"/>
      <c r="AB4489"/>
      <c r="AC4489"/>
      <c r="AD4489"/>
      <c r="AE4489" s="168"/>
      <c r="AF4489" s="168">
        <v>0</v>
      </c>
      <c r="AG4489" s="168"/>
      <c r="AH4489" s="168"/>
    </row>
    <row r="4490" spans="26:34" ht="24" customHeight="1">
      <c r="Z4490"/>
      <c r="AA4490"/>
      <c r="AB4490"/>
      <c r="AC4490"/>
      <c r="AD4490"/>
      <c r="AE4490" s="168"/>
      <c r="AF4490" s="168">
        <v>0</v>
      </c>
      <c r="AG4490" s="168"/>
      <c r="AH4490" s="168"/>
    </row>
    <row r="4491" spans="26:34" ht="24" customHeight="1">
      <c r="Z4491"/>
      <c r="AA4491"/>
      <c r="AB4491"/>
      <c r="AC4491"/>
      <c r="AD4491"/>
      <c r="AE4491" s="168"/>
      <c r="AF4491" s="168">
        <v>0</v>
      </c>
      <c r="AG4491" s="168"/>
      <c r="AH4491" s="168"/>
    </row>
    <row r="4492" spans="26:34" ht="24" customHeight="1">
      <c r="Z4492"/>
      <c r="AA4492"/>
      <c r="AB4492"/>
      <c r="AC4492"/>
      <c r="AD4492"/>
      <c r="AE4492" s="168"/>
      <c r="AF4492" s="168">
        <v>0</v>
      </c>
      <c r="AG4492" s="168"/>
      <c r="AH4492" s="168"/>
    </row>
    <row r="4493" spans="26:34" ht="24" customHeight="1">
      <c r="Z4493"/>
      <c r="AA4493"/>
      <c r="AB4493"/>
      <c r="AC4493"/>
      <c r="AD4493"/>
      <c r="AE4493" s="168"/>
      <c r="AF4493" s="168">
        <v>0</v>
      </c>
      <c r="AG4493" s="168"/>
      <c r="AH4493" s="168"/>
    </row>
    <row r="4494" spans="26:34" ht="24" customHeight="1">
      <c r="Z4494"/>
      <c r="AA4494"/>
      <c r="AB4494"/>
      <c r="AC4494"/>
      <c r="AD4494"/>
      <c r="AE4494" s="168"/>
      <c r="AF4494" s="168">
        <v>0</v>
      </c>
      <c r="AG4494" s="168"/>
      <c r="AH4494" s="168"/>
    </row>
    <row r="4495" spans="26:34" ht="24" customHeight="1">
      <c r="Z4495"/>
      <c r="AA4495"/>
      <c r="AB4495"/>
      <c r="AC4495"/>
      <c r="AD4495"/>
      <c r="AE4495" s="168"/>
      <c r="AF4495" s="168">
        <v>0</v>
      </c>
      <c r="AG4495" s="168"/>
      <c r="AH4495" s="168"/>
    </row>
    <row r="4496" spans="26:34" ht="24" customHeight="1">
      <c r="Z4496"/>
      <c r="AA4496"/>
      <c r="AB4496"/>
      <c r="AC4496"/>
      <c r="AD4496"/>
      <c r="AE4496" s="168"/>
      <c r="AF4496" s="168">
        <v>0</v>
      </c>
      <c r="AG4496" s="168"/>
      <c r="AH4496" s="168"/>
    </row>
    <row r="4497" spans="26:34" ht="24" customHeight="1">
      <c r="Z4497"/>
      <c r="AA4497"/>
      <c r="AB4497"/>
      <c r="AC4497"/>
      <c r="AD4497"/>
      <c r="AE4497" s="168"/>
      <c r="AF4497" s="168">
        <v>0</v>
      </c>
      <c r="AG4497" s="168"/>
      <c r="AH4497" s="168"/>
    </row>
    <row r="4498" spans="26:34" ht="24" customHeight="1">
      <c r="Z4498"/>
      <c r="AA4498"/>
      <c r="AB4498"/>
      <c r="AC4498"/>
      <c r="AD4498"/>
      <c r="AE4498" s="168"/>
      <c r="AF4498" s="168">
        <v>0</v>
      </c>
      <c r="AG4498" s="168"/>
      <c r="AH4498" s="168"/>
    </row>
    <row r="4499" spans="26:34" ht="24" customHeight="1">
      <c r="Z4499"/>
      <c r="AA4499"/>
      <c r="AB4499"/>
      <c r="AC4499"/>
      <c r="AD4499"/>
      <c r="AE4499" s="168"/>
      <c r="AF4499" s="168">
        <v>0</v>
      </c>
      <c r="AG4499" s="168"/>
      <c r="AH4499" s="168"/>
    </row>
    <row r="4500" spans="26:34" ht="24" customHeight="1">
      <c r="Z4500"/>
      <c r="AA4500"/>
      <c r="AB4500"/>
      <c r="AC4500"/>
      <c r="AD4500"/>
      <c r="AE4500" s="168"/>
      <c r="AF4500" s="168">
        <v>0</v>
      </c>
      <c r="AG4500" s="168"/>
      <c r="AH4500" s="168"/>
    </row>
    <row r="4501" spans="26:34" ht="24" customHeight="1">
      <c r="Z4501"/>
      <c r="AA4501"/>
      <c r="AB4501"/>
      <c r="AC4501"/>
      <c r="AD4501"/>
      <c r="AE4501" s="168"/>
      <c r="AF4501" s="168">
        <v>0</v>
      </c>
      <c r="AG4501" s="168"/>
      <c r="AH4501" s="168"/>
    </row>
    <row r="4502" spans="26:34" ht="24" customHeight="1">
      <c r="Z4502"/>
      <c r="AA4502"/>
      <c r="AB4502"/>
      <c r="AC4502"/>
      <c r="AD4502"/>
      <c r="AE4502" s="168"/>
      <c r="AF4502" s="168">
        <v>0</v>
      </c>
      <c r="AG4502" s="168"/>
      <c r="AH4502" s="168"/>
    </row>
    <row r="4503" spans="26:34" ht="24" customHeight="1">
      <c r="Z4503"/>
      <c r="AA4503"/>
      <c r="AB4503"/>
      <c r="AC4503"/>
      <c r="AD4503"/>
      <c r="AE4503" s="168"/>
      <c r="AF4503" s="168">
        <v>0</v>
      </c>
      <c r="AG4503" s="168"/>
      <c r="AH4503" s="168"/>
    </row>
    <row r="4504" spans="26:34" ht="24" customHeight="1">
      <c r="Z4504"/>
      <c r="AA4504"/>
      <c r="AB4504"/>
      <c r="AC4504"/>
      <c r="AD4504"/>
      <c r="AE4504" s="168"/>
      <c r="AF4504" s="168">
        <v>0</v>
      </c>
      <c r="AG4504" s="168"/>
      <c r="AH4504" s="168"/>
    </row>
    <row r="4505" spans="26:34" ht="24" customHeight="1">
      <c r="Z4505"/>
      <c r="AA4505"/>
      <c r="AB4505"/>
      <c r="AC4505"/>
      <c r="AD4505"/>
      <c r="AE4505" s="168"/>
      <c r="AF4505" s="168">
        <v>0</v>
      </c>
      <c r="AG4505" s="168"/>
      <c r="AH4505" s="168"/>
    </row>
    <row r="4506" spans="26:34" ht="24" customHeight="1">
      <c r="Z4506"/>
      <c r="AA4506"/>
      <c r="AB4506"/>
      <c r="AC4506"/>
      <c r="AD4506"/>
      <c r="AE4506" s="168"/>
      <c r="AF4506" s="168">
        <v>0</v>
      </c>
      <c r="AG4506" s="168"/>
      <c r="AH4506" s="168"/>
    </row>
    <row r="4507" spans="26:34" ht="24" customHeight="1">
      <c r="Z4507"/>
      <c r="AA4507"/>
      <c r="AB4507"/>
      <c r="AC4507"/>
      <c r="AD4507"/>
      <c r="AE4507" s="168"/>
      <c r="AF4507" s="168">
        <v>0</v>
      </c>
      <c r="AG4507" s="168"/>
      <c r="AH4507" s="168"/>
    </row>
    <row r="4508" spans="26:34" ht="24" customHeight="1">
      <c r="Z4508"/>
      <c r="AA4508"/>
      <c r="AB4508"/>
      <c r="AC4508"/>
      <c r="AD4508"/>
      <c r="AE4508" s="168"/>
      <c r="AF4508" s="168">
        <v>0</v>
      </c>
      <c r="AG4508" s="168"/>
      <c r="AH4508" s="168"/>
    </row>
    <row r="4509" spans="26:34" ht="24" customHeight="1">
      <c r="Z4509"/>
      <c r="AA4509"/>
      <c r="AB4509"/>
      <c r="AC4509"/>
      <c r="AD4509"/>
      <c r="AE4509" s="168"/>
      <c r="AF4509" s="168">
        <v>0</v>
      </c>
      <c r="AG4509" s="168"/>
      <c r="AH4509" s="168"/>
    </row>
    <row r="4510" spans="26:34" ht="24" customHeight="1">
      <c r="Z4510"/>
      <c r="AA4510"/>
      <c r="AB4510"/>
      <c r="AC4510"/>
      <c r="AD4510"/>
      <c r="AE4510" s="168"/>
      <c r="AF4510" s="168">
        <v>0</v>
      </c>
      <c r="AG4510" s="168"/>
      <c r="AH4510" s="168"/>
    </row>
    <row r="4511" spans="26:34" ht="24" customHeight="1">
      <c r="Z4511"/>
      <c r="AA4511"/>
      <c r="AB4511"/>
      <c r="AC4511"/>
      <c r="AD4511"/>
      <c r="AE4511" s="168"/>
      <c r="AF4511" s="168">
        <v>0</v>
      </c>
      <c r="AG4511" s="168"/>
      <c r="AH4511" s="168"/>
    </row>
    <row r="4512" spans="26:34" ht="24" customHeight="1">
      <c r="Z4512"/>
      <c r="AA4512"/>
      <c r="AB4512"/>
      <c r="AC4512"/>
      <c r="AD4512"/>
      <c r="AE4512" s="168"/>
      <c r="AF4512" s="168">
        <v>0</v>
      </c>
      <c r="AG4512" s="168"/>
      <c r="AH4512" s="168"/>
    </row>
    <row r="4513" spans="26:34" ht="24" customHeight="1">
      <c r="Z4513"/>
      <c r="AA4513"/>
      <c r="AB4513"/>
      <c r="AC4513"/>
      <c r="AD4513"/>
      <c r="AE4513" s="168"/>
      <c r="AF4513" s="168">
        <v>0</v>
      </c>
      <c r="AG4513" s="168"/>
      <c r="AH4513" s="168"/>
    </row>
    <row r="4514" spans="26:34" ht="24" customHeight="1">
      <c r="Z4514"/>
      <c r="AA4514"/>
      <c r="AB4514"/>
      <c r="AC4514"/>
      <c r="AD4514"/>
      <c r="AE4514" s="168"/>
      <c r="AF4514" s="168">
        <v>0</v>
      </c>
      <c r="AG4514" s="168"/>
      <c r="AH4514" s="168"/>
    </row>
    <row r="4515" spans="26:34" ht="24" customHeight="1">
      <c r="Z4515"/>
      <c r="AA4515"/>
      <c r="AB4515"/>
      <c r="AC4515"/>
      <c r="AD4515"/>
      <c r="AE4515" s="168"/>
      <c r="AF4515" s="168">
        <v>0</v>
      </c>
      <c r="AG4515" s="168"/>
      <c r="AH4515" s="168"/>
    </row>
    <row r="4516" spans="26:34" ht="24" customHeight="1">
      <c r="Z4516"/>
      <c r="AA4516"/>
      <c r="AB4516"/>
      <c r="AC4516"/>
      <c r="AD4516"/>
      <c r="AE4516" s="168"/>
      <c r="AF4516" s="168">
        <v>0</v>
      </c>
      <c r="AG4516" s="168"/>
      <c r="AH4516" s="168"/>
    </row>
    <row r="4517" spans="26:34" ht="24" customHeight="1">
      <c r="Z4517"/>
      <c r="AA4517"/>
      <c r="AB4517"/>
      <c r="AC4517"/>
      <c r="AD4517"/>
      <c r="AE4517" s="168"/>
      <c r="AF4517" s="168">
        <v>0</v>
      </c>
      <c r="AG4517" s="168"/>
      <c r="AH4517" s="168"/>
    </row>
    <row r="4518" spans="26:34" ht="24" customHeight="1">
      <c r="Z4518"/>
      <c r="AA4518"/>
      <c r="AB4518"/>
      <c r="AC4518"/>
      <c r="AD4518"/>
      <c r="AE4518" s="168"/>
      <c r="AF4518" s="168">
        <v>0</v>
      </c>
      <c r="AG4518" s="168"/>
      <c r="AH4518" s="168"/>
    </row>
    <row r="4519" spans="26:34" ht="24" customHeight="1">
      <c r="Z4519"/>
      <c r="AA4519"/>
      <c r="AB4519"/>
      <c r="AC4519"/>
      <c r="AD4519"/>
      <c r="AE4519" s="168"/>
      <c r="AF4519" s="168">
        <v>0</v>
      </c>
      <c r="AG4519" s="168"/>
      <c r="AH4519" s="168"/>
    </row>
    <row r="4520" spans="26:34" ht="24" customHeight="1">
      <c r="Z4520"/>
      <c r="AA4520"/>
      <c r="AB4520"/>
      <c r="AC4520"/>
      <c r="AD4520"/>
      <c r="AE4520" s="168"/>
      <c r="AF4520" s="168">
        <v>0</v>
      </c>
      <c r="AG4520" s="168"/>
      <c r="AH4520" s="168"/>
    </row>
    <row r="4521" spans="26:34" ht="24" customHeight="1">
      <c r="Z4521"/>
      <c r="AA4521"/>
      <c r="AB4521"/>
      <c r="AC4521"/>
      <c r="AD4521"/>
      <c r="AE4521" s="168"/>
      <c r="AF4521" s="168">
        <v>0</v>
      </c>
      <c r="AG4521" s="168"/>
      <c r="AH4521" s="168"/>
    </row>
    <row r="4522" spans="26:34" ht="24" customHeight="1">
      <c r="Z4522"/>
      <c r="AA4522"/>
      <c r="AB4522"/>
      <c r="AC4522"/>
      <c r="AD4522"/>
      <c r="AE4522" s="168"/>
      <c r="AF4522" s="168">
        <v>0</v>
      </c>
      <c r="AG4522" s="168"/>
      <c r="AH4522" s="168"/>
    </row>
    <row r="4523" spans="26:34" ht="24" customHeight="1">
      <c r="Z4523"/>
      <c r="AA4523"/>
      <c r="AB4523"/>
      <c r="AC4523"/>
      <c r="AD4523"/>
      <c r="AE4523" s="168"/>
      <c r="AF4523" s="168">
        <v>0</v>
      </c>
      <c r="AG4523" s="168"/>
      <c r="AH4523" s="168"/>
    </row>
    <row r="4524" spans="26:34" ht="24" customHeight="1">
      <c r="Z4524"/>
      <c r="AA4524"/>
      <c r="AB4524"/>
      <c r="AC4524"/>
      <c r="AD4524"/>
      <c r="AE4524" s="168"/>
      <c r="AF4524" s="168">
        <v>0</v>
      </c>
      <c r="AG4524" s="168"/>
      <c r="AH4524" s="168"/>
    </row>
    <row r="4525" spans="26:34" ht="24" customHeight="1">
      <c r="Z4525"/>
      <c r="AA4525"/>
      <c r="AB4525"/>
      <c r="AC4525"/>
      <c r="AD4525"/>
      <c r="AE4525" s="168"/>
      <c r="AF4525" s="168">
        <v>0</v>
      </c>
      <c r="AG4525" s="168"/>
      <c r="AH4525" s="168"/>
    </row>
    <row r="4526" spans="26:34" ht="24" customHeight="1">
      <c r="Z4526"/>
      <c r="AA4526"/>
      <c r="AB4526"/>
      <c r="AC4526"/>
      <c r="AD4526"/>
      <c r="AE4526" s="168"/>
      <c r="AF4526" s="168">
        <v>0</v>
      </c>
      <c r="AG4526" s="168"/>
      <c r="AH4526" s="168"/>
    </row>
    <row r="4527" spans="26:34" ht="24" customHeight="1">
      <c r="Z4527"/>
      <c r="AA4527"/>
      <c r="AB4527"/>
      <c r="AC4527"/>
      <c r="AD4527"/>
      <c r="AE4527" s="168"/>
      <c r="AF4527" s="168">
        <v>0</v>
      </c>
      <c r="AG4527" s="168"/>
      <c r="AH4527" s="168"/>
    </row>
    <row r="4528" spans="26:34" ht="24" customHeight="1">
      <c r="Z4528"/>
      <c r="AA4528"/>
      <c r="AB4528"/>
      <c r="AC4528"/>
      <c r="AD4528"/>
      <c r="AE4528" s="168"/>
      <c r="AF4528" s="168">
        <v>0</v>
      </c>
      <c r="AG4528" s="168"/>
      <c r="AH4528" s="168"/>
    </row>
    <row r="4529" spans="26:34" ht="24" customHeight="1">
      <c r="Z4529"/>
      <c r="AA4529"/>
      <c r="AB4529"/>
      <c r="AC4529"/>
      <c r="AD4529"/>
      <c r="AE4529" s="168"/>
      <c r="AF4529" s="168">
        <v>0</v>
      </c>
      <c r="AG4529" s="168"/>
      <c r="AH4529" s="168"/>
    </row>
    <row r="4530" spans="26:34" ht="24" customHeight="1">
      <c r="Z4530"/>
      <c r="AA4530"/>
      <c r="AB4530"/>
      <c r="AC4530"/>
      <c r="AD4530"/>
      <c r="AE4530" s="168"/>
      <c r="AF4530" s="168">
        <v>0</v>
      </c>
      <c r="AG4530" s="168"/>
      <c r="AH4530" s="168"/>
    </row>
    <row r="4531" spans="26:34" ht="24" customHeight="1">
      <c r="Z4531"/>
      <c r="AA4531"/>
      <c r="AB4531"/>
      <c r="AC4531"/>
      <c r="AD4531"/>
      <c r="AE4531" s="168"/>
      <c r="AF4531" s="168">
        <v>0</v>
      </c>
      <c r="AG4531" s="168"/>
      <c r="AH4531" s="168"/>
    </row>
    <row r="4532" spans="26:34" ht="24" customHeight="1">
      <c r="Z4532"/>
      <c r="AA4532"/>
      <c r="AB4532"/>
      <c r="AC4532"/>
      <c r="AD4532"/>
      <c r="AE4532" s="168"/>
      <c r="AF4532" s="168">
        <v>0</v>
      </c>
      <c r="AG4532" s="168"/>
      <c r="AH4532" s="168"/>
    </row>
    <row r="4533" spans="26:34" ht="24" customHeight="1">
      <c r="Z4533"/>
      <c r="AA4533"/>
      <c r="AB4533"/>
      <c r="AC4533"/>
      <c r="AD4533"/>
      <c r="AE4533" s="168"/>
      <c r="AF4533" s="168">
        <v>0</v>
      </c>
      <c r="AG4533" s="168"/>
      <c r="AH4533" s="168"/>
    </row>
    <row r="4534" spans="26:34" ht="24" customHeight="1">
      <c r="Z4534"/>
      <c r="AA4534"/>
      <c r="AB4534"/>
      <c r="AC4534"/>
      <c r="AD4534"/>
      <c r="AE4534" s="168"/>
      <c r="AF4534" s="168">
        <v>0</v>
      </c>
      <c r="AG4534" s="168"/>
      <c r="AH4534" s="168"/>
    </row>
    <row r="4535" spans="26:34" ht="24" customHeight="1">
      <c r="Z4535"/>
      <c r="AA4535"/>
      <c r="AB4535"/>
      <c r="AC4535"/>
      <c r="AD4535"/>
      <c r="AE4535" s="168"/>
      <c r="AF4535" s="168">
        <v>0</v>
      </c>
      <c r="AG4535" s="168"/>
      <c r="AH4535" s="168"/>
    </row>
    <row r="4536" spans="26:34" ht="24" customHeight="1">
      <c r="Z4536"/>
      <c r="AA4536"/>
      <c r="AB4536"/>
      <c r="AC4536"/>
      <c r="AD4536"/>
      <c r="AE4536" s="168"/>
      <c r="AF4536" s="168">
        <v>0</v>
      </c>
      <c r="AG4536" s="168"/>
      <c r="AH4536" s="168"/>
    </row>
    <row r="4537" spans="26:34" ht="24" customHeight="1">
      <c r="Z4537"/>
      <c r="AA4537"/>
      <c r="AB4537"/>
      <c r="AC4537"/>
      <c r="AD4537"/>
      <c r="AE4537" s="168"/>
      <c r="AF4537" s="168">
        <v>0</v>
      </c>
      <c r="AG4537" s="168"/>
      <c r="AH4537" s="168"/>
    </row>
    <row r="4538" spans="26:34" ht="24" customHeight="1">
      <c r="Z4538"/>
      <c r="AA4538"/>
      <c r="AB4538"/>
      <c r="AC4538"/>
      <c r="AD4538"/>
      <c r="AE4538" s="168"/>
      <c r="AF4538" s="168">
        <v>0</v>
      </c>
      <c r="AG4538" s="168"/>
      <c r="AH4538" s="168"/>
    </row>
    <row r="4539" spans="26:34" ht="24" customHeight="1">
      <c r="Z4539"/>
      <c r="AA4539"/>
      <c r="AB4539"/>
      <c r="AC4539"/>
      <c r="AD4539"/>
      <c r="AE4539" s="168"/>
      <c r="AF4539" s="168">
        <v>0</v>
      </c>
      <c r="AG4539" s="168"/>
      <c r="AH4539" s="168"/>
    </row>
    <row r="4540" spans="26:34" ht="24" customHeight="1">
      <c r="Z4540"/>
      <c r="AA4540"/>
      <c r="AB4540"/>
      <c r="AC4540"/>
      <c r="AD4540"/>
      <c r="AE4540" s="168"/>
      <c r="AF4540" s="168">
        <v>0</v>
      </c>
      <c r="AG4540" s="168"/>
      <c r="AH4540" s="168"/>
    </row>
    <row r="4541" spans="26:34" ht="24" customHeight="1">
      <c r="Z4541"/>
      <c r="AA4541"/>
      <c r="AB4541"/>
      <c r="AC4541"/>
      <c r="AD4541"/>
      <c r="AE4541" s="168"/>
      <c r="AF4541" s="168">
        <v>0</v>
      </c>
      <c r="AG4541" s="168"/>
      <c r="AH4541" s="168"/>
    </row>
    <row r="4542" spans="26:34" ht="24" customHeight="1">
      <c r="Z4542"/>
      <c r="AA4542"/>
      <c r="AB4542"/>
      <c r="AC4542"/>
      <c r="AD4542"/>
      <c r="AE4542" s="168"/>
      <c r="AF4542" s="168">
        <v>0</v>
      </c>
      <c r="AG4542" s="168"/>
      <c r="AH4542" s="168"/>
    </row>
    <row r="4543" spans="26:34" ht="24" customHeight="1">
      <c r="Z4543"/>
      <c r="AA4543"/>
      <c r="AB4543"/>
      <c r="AC4543"/>
      <c r="AD4543"/>
      <c r="AE4543" s="168"/>
      <c r="AF4543" s="168">
        <v>0</v>
      </c>
      <c r="AG4543" s="168"/>
      <c r="AH4543" s="168"/>
    </row>
    <row r="4544" spans="26:34" ht="24" customHeight="1">
      <c r="Z4544"/>
      <c r="AA4544"/>
      <c r="AB4544"/>
      <c r="AC4544"/>
      <c r="AD4544"/>
      <c r="AE4544" s="168"/>
      <c r="AF4544" s="168">
        <v>0</v>
      </c>
      <c r="AG4544" s="168"/>
      <c r="AH4544" s="168"/>
    </row>
    <row r="4545" spans="26:34" ht="24" customHeight="1">
      <c r="Z4545"/>
      <c r="AA4545"/>
      <c r="AB4545"/>
      <c r="AC4545"/>
      <c r="AD4545"/>
      <c r="AE4545" s="168"/>
      <c r="AF4545" s="168">
        <v>0</v>
      </c>
      <c r="AG4545" s="168"/>
      <c r="AH4545" s="168"/>
    </row>
    <row r="4546" spans="26:34" ht="24" customHeight="1">
      <c r="Z4546"/>
      <c r="AA4546"/>
      <c r="AB4546"/>
      <c r="AC4546"/>
      <c r="AD4546"/>
      <c r="AE4546" s="168"/>
      <c r="AF4546" s="168">
        <v>0</v>
      </c>
      <c r="AG4546" s="168"/>
      <c r="AH4546" s="168"/>
    </row>
    <row r="4547" spans="26:34" ht="24" customHeight="1">
      <c r="Z4547"/>
      <c r="AA4547"/>
      <c r="AB4547"/>
      <c r="AC4547"/>
      <c r="AD4547"/>
      <c r="AE4547" s="168"/>
      <c r="AF4547" s="168">
        <v>0</v>
      </c>
      <c r="AG4547" s="168"/>
      <c r="AH4547" s="168"/>
    </row>
    <row r="4548" spans="26:34" ht="24" customHeight="1">
      <c r="Z4548"/>
      <c r="AA4548"/>
      <c r="AB4548"/>
      <c r="AC4548"/>
      <c r="AD4548"/>
      <c r="AE4548" s="168"/>
      <c r="AF4548" s="168">
        <v>0</v>
      </c>
      <c r="AG4548" s="168"/>
      <c r="AH4548" s="168"/>
    </row>
    <row r="4549" spans="26:34" ht="24" customHeight="1">
      <c r="Z4549"/>
      <c r="AA4549"/>
      <c r="AB4549"/>
      <c r="AC4549"/>
      <c r="AD4549"/>
      <c r="AE4549" s="168"/>
      <c r="AF4549" s="168">
        <v>0</v>
      </c>
      <c r="AG4549" s="168"/>
      <c r="AH4549" s="168"/>
    </row>
    <row r="4550" spans="26:34" ht="24" customHeight="1">
      <c r="Z4550"/>
      <c r="AA4550"/>
      <c r="AB4550"/>
      <c r="AC4550"/>
      <c r="AD4550"/>
      <c r="AE4550" s="168"/>
      <c r="AF4550" s="168">
        <v>0</v>
      </c>
      <c r="AG4550" s="168"/>
      <c r="AH4550" s="168"/>
    </row>
    <row r="4551" spans="26:34" ht="24" customHeight="1">
      <c r="Z4551"/>
      <c r="AA4551"/>
      <c r="AB4551"/>
      <c r="AC4551"/>
      <c r="AD4551"/>
      <c r="AE4551" s="168"/>
      <c r="AF4551" s="168">
        <v>0</v>
      </c>
      <c r="AG4551" s="168"/>
      <c r="AH4551" s="168"/>
    </row>
    <row r="4552" spans="26:34" ht="24" customHeight="1">
      <c r="Z4552"/>
      <c r="AA4552"/>
      <c r="AB4552"/>
      <c r="AC4552"/>
      <c r="AD4552"/>
      <c r="AE4552" s="168"/>
      <c r="AF4552" s="168">
        <v>0</v>
      </c>
      <c r="AG4552" s="168"/>
      <c r="AH4552" s="168"/>
    </row>
    <row r="4553" spans="26:34" ht="24" customHeight="1">
      <c r="Z4553"/>
      <c r="AA4553"/>
      <c r="AB4553"/>
      <c r="AC4553"/>
      <c r="AD4553"/>
      <c r="AE4553" s="168"/>
      <c r="AF4553" s="168">
        <v>0</v>
      </c>
      <c r="AG4553" s="168"/>
      <c r="AH4553" s="168"/>
    </row>
    <row r="4554" spans="26:34" ht="24" customHeight="1">
      <c r="Z4554"/>
      <c r="AA4554"/>
      <c r="AB4554"/>
      <c r="AC4554"/>
      <c r="AD4554"/>
      <c r="AE4554" s="168"/>
      <c r="AF4554" s="168">
        <v>0</v>
      </c>
      <c r="AG4554" s="168"/>
      <c r="AH4554" s="168"/>
    </row>
    <row r="4555" spans="26:34" ht="24" customHeight="1">
      <c r="Z4555"/>
      <c r="AA4555"/>
      <c r="AB4555"/>
      <c r="AC4555"/>
      <c r="AD4555"/>
      <c r="AE4555" s="168"/>
      <c r="AF4555" s="168">
        <v>0</v>
      </c>
      <c r="AG4555" s="168"/>
      <c r="AH4555" s="168"/>
    </row>
    <row r="4556" spans="26:34" ht="24" customHeight="1">
      <c r="Z4556"/>
      <c r="AA4556"/>
      <c r="AB4556"/>
      <c r="AC4556"/>
      <c r="AD4556"/>
      <c r="AE4556" s="168"/>
      <c r="AF4556" s="168">
        <v>0</v>
      </c>
      <c r="AG4556" s="168"/>
      <c r="AH4556" s="168"/>
    </row>
    <row r="4557" spans="26:34" ht="24" customHeight="1">
      <c r="Z4557"/>
      <c r="AA4557"/>
      <c r="AB4557"/>
      <c r="AC4557"/>
      <c r="AD4557"/>
      <c r="AE4557" s="168"/>
      <c r="AF4557" s="168">
        <v>0</v>
      </c>
      <c r="AG4557" s="168"/>
      <c r="AH4557" s="168"/>
    </row>
    <row r="4558" spans="26:34" ht="24" customHeight="1">
      <c r="Z4558"/>
      <c r="AA4558"/>
      <c r="AB4558"/>
      <c r="AC4558"/>
      <c r="AD4558"/>
      <c r="AE4558" s="168"/>
      <c r="AF4558" s="168">
        <v>0</v>
      </c>
      <c r="AG4558" s="168"/>
      <c r="AH4558" s="168"/>
    </row>
    <row r="4559" spans="26:34" ht="24" customHeight="1">
      <c r="Z4559"/>
      <c r="AA4559"/>
      <c r="AB4559"/>
      <c r="AC4559"/>
      <c r="AD4559"/>
      <c r="AE4559" s="168"/>
      <c r="AF4559" s="168">
        <v>0</v>
      </c>
      <c r="AG4559" s="168"/>
      <c r="AH4559" s="168"/>
    </row>
    <row r="4560" spans="26:34" ht="24" customHeight="1">
      <c r="Z4560"/>
      <c r="AA4560"/>
      <c r="AB4560"/>
      <c r="AC4560"/>
      <c r="AD4560"/>
      <c r="AE4560" s="168"/>
      <c r="AF4560" s="168">
        <v>0</v>
      </c>
      <c r="AG4560" s="168"/>
      <c r="AH4560" s="168"/>
    </row>
    <row r="4561" spans="26:34" ht="24" customHeight="1">
      <c r="Z4561"/>
      <c r="AA4561"/>
      <c r="AB4561"/>
      <c r="AC4561"/>
      <c r="AD4561"/>
      <c r="AE4561" s="168"/>
      <c r="AF4561" s="168">
        <v>0</v>
      </c>
      <c r="AG4561" s="168"/>
      <c r="AH4561" s="168"/>
    </row>
    <row r="4562" spans="26:34" ht="24" customHeight="1">
      <c r="Z4562"/>
      <c r="AA4562"/>
      <c r="AB4562"/>
      <c r="AC4562"/>
      <c r="AD4562"/>
      <c r="AE4562" s="168"/>
      <c r="AF4562" s="168">
        <v>0</v>
      </c>
      <c r="AG4562" s="168"/>
      <c r="AH4562" s="168"/>
    </row>
    <row r="4563" spans="26:34" ht="24" customHeight="1">
      <c r="Z4563"/>
      <c r="AA4563"/>
      <c r="AB4563"/>
      <c r="AC4563"/>
      <c r="AD4563"/>
      <c r="AE4563" s="168"/>
      <c r="AF4563" s="168">
        <v>0</v>
      </c>
      <c r="AG4563" s="168"/>
      <c r="AH4563" s="168"/>
    </row>
    <row r="4564" spans="26:34" ht="24" customHeight="1">
      <c r="Z4564"/>
      <c r="AA4564"/>
      <c r="AB4564"/>
      <c r="AC4564"/>
      <c r="AD4564"/>
      <c r="AE4564" s="168"/>
      <c r="AF4564" s="168">
        <v>0</v>
      </c>
      <c r="AG4564" s="168"/>
      <c r="AH4564" s="168"/>
    </row>
    <row r="4565" spans="26:34" ht="24" customHeight="1">
      <c r="Z4565"/>
      <c r="AA4565"/>
      <c r="AB4565"/>
      <c r="AC4565"/>
      <c r="AD4565"/>
      <c r="AE4565" s="168"/>
      <c r="AF4565" s="168">
        <v>0</v>
      </c>
      <c r="AG4565" s="168"/>
      <c r="AH4565" s="168"/>
    </row>
    <row r="4566" spans="26:34" ht="24" customHeight="1">
      <c r="Z4566"/>
      <c r="AA4566"/>
      <c r="AB4566"/>
      <c r="AC4566"/>
      <c r="AD4566"/>
      <c r="AE4566" s="168"/>
      <c r="AF4566" s="168">
        <v>0</v>
      </c>
      <c r="AG4566" s="168"/>
      <c r="AH4566" s="168"/>
    </row>
    <row r="4567" spans="26:34" ht="24" customHeight="1">
      <c r="Z4567"/>
      <c r="AA4567"/>
      <c r="AB4567"/>
      <c r="AC4567"/>
      <c r="AD4567"/>
      <c r="AE4567" s="168"/>
      <c r="AF4567" s="168">
        <v>0</v>
      </c>
      <c r="AG4567" s="168"/>
      <c r="AH4567" s="168"/>
    </row>
    <row r="4568" spans="26:34" ht="24" customHeight="1">
      <c r="Z4568"/>
      <c r="AA4568"/>
      <c r="AB4568"/>
      <c r="AC4568"/>
      <c r="AD4568"/>
      <c r="AE4568" s="168"/>
      <c r="AF4568" s="168">
        <v>0</v>
      </c>
      <c r="AG4568" s="168"/>
      <c r="AH4568" s="168"/>
    </row>
    <row r="4569" spans="26:34" ht="24" customHeight="1">
      <c r="Z4569"/>
      <c r="AA4569"/>
      <c r="AB4569"/>
      <c r="AC4569"/>
      <c r="AD4569"/>
      <c r="AE4569" s="168"/>
      <c r="AF4569" s="168">
        <v>0</v>
      </c>
      <c r="AG4569" s="168"/>
      <c r="AH4569" s="168"/>
    </row>
    <row r="4570" spans="26:34" ht="24" customHeight="1">
      <c r="Z4570"/>
      <c r="AA4570"/>
      <c r="AB4570"/>
      <c r="AC4570"/>
      <c r="AD4570"/>
      <c r="AE4570" s="168"/>
      <c r="AF4570" s="168">
        <v>0</v>
      </c>
      <c r="AG4570" s="168"/>
      <c r="AH4570" s="168"/>
    </row>
    <row r="4571" spans="26:34" ht="24" customHeight="1">
      <c r="Z4571"/>
      <c r="AA4571"/>
      <c r="AB4571"/>
      <c r="AC4571"/>
      <c r="AD4571"/>
      <c r="AE4571" s="168"/>
      <c r="AF4571" s="168">
        <v>0</v>
      </c>
      <c r="AG4571" s="168"/>
      <c r="AH4571" s="168"/>
    </row>
    <row r="4572" spans="26:34" ht="24" customHeight="1">
      <c r="Z4572"/>
      <c r="AA4572"/>
      <c r="AB4572"/>
      <c r="AC4572"/>
      <c r="AD4572"/>
      <c r="AE4572" s="168"/>
      <c r="AF4572" s="168">
        <v>0</v>
      </c>
      <c r="AG4572" s="168"/>
      <c r="AH4572" s="168"/>
    </row>
    <row r="4573" spans="26:34" ht="24" customHeight="1">
      <c r="Z4573"/>
      <c r="AA4573"/>
      <c r="AB4573"/>
      <c r="AC4573"/>
      <c r="AD4573"/>
      <c r="AE4573" s="168"/>
      <c r="AF4573" s="168">
        <v>0</v>
      </c>
      <c r="AG4573" s="168"/>
      <c r="AH4573" s="168"/>
    </row>
    <row r="4574" spans="26:34" ht="24" customHeight="1">
      <c r="Z4574"/>
      <c r="AA4574"/>
      <c r="AB4574"/>
      <c r="AC4574"/>
      <c r="AD4574"/>
      <c r="AE4574" s="168"/>
      <c r="AF4574" s="168">
        <v>0</v>
      </c>
      <c r="AG4574" s="168"/>
      <c r="AH4574" s="168"/>
    </row>
    <row r="4575" spans="26:34" ht="24" customHeight="1">
      <c r="Z4575"/>
      <c r="AA4575"/>
      <c r="AB4575"/>
      <c r="AC4575"/>
      <c r="AD4575"/>
      <c r="AE4575" s="168"/>
      <c r="AF4575" s="168">
        <v>0</v>
      </c>
      <c r="AG4575" s="168"/>
      <c r="AH4575" s="168"/>
    </row>
    <row r="4576" spans="26:34" ht="24" customHeight="1">
      <c r="Z4576"/>
      <c r="AA4576"/>
      <c r="AB4576"/>
      <c r="AC4576"/>
      <c r="AD4576"/>
      <c r="AE4576" s="168"/>
      <c r="AF4576" s="168">
        <v>0</v>
      </c>
      <c r="AG4576" s="168"/>
      <c r="AH4576" s="168"/>
    </row>
    <row r="4577" spans="26:34" ht="24" customHeight="1">
      <c r="Z4577"/>
      <c r="AA4577"/>
      <c r="AB4577"/>
      <c r="AC4577"/>
      <c r="AD4577"/>
      <c r="AE4577" s="168"/>
      <c r="AF4577" s="168">
        <v>0</v>
      </c>
      <c r="AG4577" s="168"/>
      <c r="AH4577" s="168"/>
    </row>
    <row r="4578" spans="26:34" ht="24" customHeight="1">
      <c r="Z4578"/>
      <c r="AA4578"/>
      <c r="AB4578"/>
      <c r="AC4578"/>
      <c r="AD4578"/>
      <c r="AE4578" s="168"/>
      <c r="AF4578" s="168">
        <v>0</v>
      </c>
      <c r="AG4578" s="168"/>
      <c r="AH4578" s="168"/>
    </row>
    <row r="4579" spans="26:34" ht="24" customHeight="1">
      <c r="Z4579"/>
      <c r="AA4579"/>
      <c r="AB4579"/>
      <c r="AC4579"/>
      <c r="AD4579"/>
      <c r="AE4579" s="168"/>
      <c r="AF4579" s="168">
        <v>0</v>
      </c>
      <c r="AG4579" s="168"/>
      <c r="AH4579" s="168"/>
    </row>
    <row r="4580" spans="26:34" ht="24" customHeight="1">
      <c r="Z4580"/>
      <c r="AA4580"/>
      <c r="AB4580"/>
      <c r="AC4580"/>
      <c r="AD4580"/>
      <c r="AE4580" s="168"/>
      <c r="AF4580" s="168">
        <v>0</v>
      </c>
      <c r="AG4580" s="168"/>
      <c r="AH4580" s="168"/>
    </row>
    <row r="4581" spans="26:34" ht="24" customHeight="1">
      <c r="Z4581"/>
      <c r="AA4581"/>
      <c r="AB4581"/>
      <c r="AC4581"/>
      <c r="AD4581"/>
      <c r="AE4581" s="168"/>
      <c r="AF4581" s="168">
        <v>0</v>
      </c>
      <c r="AG4581" s="168"/>
      <c r="AH4581" s="168"/>
    </row>
    <row r="4582" spans="26:34" ht="24" customHeight="1">
      <c r="Z4582"/>
      <c r="AA4582"/>
      <c r="AB4582"/>
      <c r="AC4582"/>
      <c r="AD4582"/>
      <c r="AE4582" s="168"/>
      <c r="AF4582" s="168">
        <v>0</v>
      </c>
      <c r="AG4582" s="168"/>
      <c r="AH4582" s="168"/>
    </row>
    <row r="4583" spans="26:34" ht="24" customHeight="1">
      <c r="Z4583"/>
      <c r="AA4583"/>
      <c r="AB4583"/>
      <c r="AC4583"/>
      <c r="AD4583"/>
      <c r="AE4583" s="168"/>
      <c r="AF4583" s="168">
        <v>0</v>
      </c>
      <c r="AG4583" s="168"/>
      <c r="AH4583" s="168"/>
    </row>
    <row r="4584" spans="26:34" ht="24" customHeight="1">
      <c r="Z4584"/>
      <c r="AA4584"/>
      <c r="AB4584"/>
      <c r="AC4584"/>
      <c r="AD4584"/>
      <c r="AE4584" s="168"/>
      <c r="AF4584" s="168">
        <v>0</v>
      </c>
      <c r="AG4584" s="168"/>
      <c r="AH4584" s="168"/>
    </row>
    <row r="4585" spans="26:34" ht="24" customHeight="1">
      <c r="Z4585"/>
      <c r="AA4585"/>
      <c r="AB4585"/>
      <c r="AC4585"/>
      <c r="AD4585"/>
      <c r="AE4585" s="168"/>
      <c r="AF4585" s="168">
        <v>0</v>
      </c>
      <c r="AG4585" s="168"/>
      <c r="AH4585" s="168"/>
    </row>
    <row r="4586" spans="26:34" ht="24" customHeight="1">
      <c r="Z4586"/>
      <c r="AA4586"/>
      <c r="AB4586"/>
      <c r="AC4586"/>
      <c r="AD4586"/>
      <c r="AE4586" s="168"/>
      <c r="AF4586" s="168">
        <v>0</v>
      </c>
      <c r="AG4586" s="168"/>
      <c r="AH4586" s="168"/>
    </row>
    <row r="4587" spans="26:34" ht="24" customHeight="1">
      <c r="Z4587"/>
      <c r="AA4587"/>
      <c r="AB4587"/>
      <c r="AC4587"/>
      <c r="AD4587"/>
      <c r="AE4587" s="168"/>
      <c r="AF4587" s="168">
        <v>0</v>
      </c>
      <c r="AG4587" s="168"/>
      <c r="AH4587" s="168"/>
    </row>
    <row r="4588" spans="26:34" ht="24" customHeight="1">
      <c r="Z4588"/>
      <c r="AA4588"/>
      <c r="AB4588"/>
      <c r="AC4588"/>
      <c r="AD4588"/>
      <c r="AE4588" s="168"/>
      <c r="AF4588" s="168">
        <v>0</v>
      </c>
      <c r="AG4588" s="168"/>
      <c r="AH4588" s="168"/>
    </row>
    <row r="4589" spans="26:34" ht="24" customHeight="1">
      <c r="Z4589"/>
      <c r="AA4589"/>
      <c r="AB4589"/>
      <c r="AC4589"/>
      <c r="AD4589"/>
      <c r="AE4589" s="168"/>
      <c r="AF4589" s="168">
        <v>0</v>
      </c>
      <c r="AG4589" s="168"/>
      <c r="AH4589" s="168"/>
    </row>
    <row r="4590" spans="26:34" ht="24" customHeight="1">
      <c r="Z4590"/>
      <c r="AA4590"/>
      <c r="AB4590"/>
      <c r="AC4590"/>
      <c r="AD4590"/>
      <c r="AE4590" s="168"/>
      <c r="AF4590" s="168">
        <v>0</v>
      </c>
      <c r="AG4590" s="168"/>
      <c r="AH4590" s="168"/>
    </row>
    <row r="4591" spans="26:34" ht="24" customHeight="1">
      <c r="Z4591"/>
      <c r="AA4591"/>
      <c r="AB4591"/>
      <c r="AC4591"/>
      <c r="AD4591"/>
      <c r="AE4591" s="168"/>
      <c r="AF4591" s="168">
        <v>0</v>
      </c>
      <c r="AG4591" s="168"/>
      <c r="AH4591" s="168"/>
    </row>
    <row r="4592" spans="26:34" ht="24" customHeight="1">
      <c r="Z4592"/>
      <c r="AA4592"/>
      <c r="AB4592"/>
      <c r="AC4592"/>
      <c r="AD4592"/>
      <c r="AE4592" s="168"/>
      <c r="AF4592" s="168">
        <v>0</v>
      </c>
      <c r="AG4592" s="168"/>
      <c r="AH4592" s="168"/>
    </row>
    <row r="4593" spans="26:34" ht="24" customHeight="1">
      <c r="Z4593"/>
      <c r="AA4593"/>
      <c r="AB4593"/>
      <c r="AC4593"/>
      <c r="AD4593"/>
      <c r="AE4593" s="168"/>
      <c r="AF4593" s="168">
        <v>0</v>
      </c>
      <c r="AG4593" s="168"/>
      <c r="AH4593" s="168"/>
    </row>
    <row r="4594" spans="26:34" ht="24" customHeight="1">
      <c r="Z4594"/>
      <c r="AA4594"/>
      <c r="AB4594"/>
      <c r="AC4594"/>
      <c r="AD4594"/>
      <c r="AE4594" s="168"/>
      <c r="AF4594" s="168">
        <v>0</v>
      </c>
      <c r="AG4594" s="168"/>
      <c r="AH4594" s="168"/>
    </row>
    <row r="4595" spans="26:34" ht="24" customHeight="1">
      <c r="Z4595"/>
      <c r="AA4595"/>
      <c r="AB4595"/>
      <c r="AC4595"/>
      <c r="AD4595"/>
      <c r="AE4595" s="168"/>
      <c r="AF4595" s="168">
        <v>0</v>
      </c>
      <c r="AG4595" s="168"/>
      <c r="AH4595" s="168"/>
    </row>
    <row r="4596" spans="26:34" ht="24" customHeight="1">
      <c r="Z4596"/>
      <c r="AA4596"/>
      <c r="AB4596"/>
      <c r="AC4596"/>
      <c r="AD4596"/>
      <c r="AE4596" s="168"/>
      <c r="AF4596" s="168">
        <v>0</v>
      </c>
      <c r="AG4596" s="168"/>
      <c r="AH4596" s="168"/>
    </row>
    <row r="4597" spans="26:34" ht="24" customHeight="1">
      <c r="Z4597"/>
      <c r="AA4597"/>
      <c r="AB4597"/>
      <c r="AC4597"/>
      <c r="AD4597"/>
      <c r="AE4597" s="168"/>
      <c r="AF4597" s="168">
        <v>0</v>
      </c>
      <c r="AG4597" s="168"/>
      <c r="AH4597" s="168"/>
    </row>
    <row r="4598" spans="26:34" ht="24" customHeight="1">
      <c r="Z4598"/>
      <c r="AA4598"/>
      <c r="AB4598"/>
      <c r="AC4598"/>
      <c r="AD4598"/>
      <c r="AE4598" s="168"/>
      <c r="AF4598" s="168">
        <v>0</v>
      </c>
      <c r="AG4598" s="168"/>
      <c r="AH4598" s="168"/>
    </row>
    <row r="4599" spans="26:34" ht="24" customHeight="1">
      <c r="Z4599"/>
      <c r="AA4599"/>
      <c r="AB4599"/>
      <c r="AC4599"/>
      <c r="AD4599"/>
      <c r="AE4599" s="168"/>
      <c r="AF4599" s="168">
        <v>0</v>
      </c>
      <c r="AG4599" s="168"/>
      <c r="AH4599" s="168"/>
    </row>
    <row r="4600" spans="26:34" ht="24" customHeight="1">
      <c r="Z4600"/>
      <c r="AA4600"/>
      <c r="AB4600"/>
      <c r="AC4600"/>
      <c r="AD4600"/>
      <c r="AE4600" s="168"/>
      <c r="AF4600" s="168">
        <v>0</v>
      </c>
      <c r="AG4600" s="168"/>
      <c r="AH4600" s="168"/>
    </row>
    <row r="4601" spans="26:34" ht="24" customHeight="1">
      <c r="Z4601"/>
      <c r="AA4601"/>
      <c r="AB4601"/>
      <c r="AC4601"/>
      <c r="AD4601"/>
      <c r="AE4601" s="168"/>
      <c r="AF4601" s="168">
        <v>0</v>
      </c>
      <c r="AG4601" s="168"/>
      <c r="AH4601" s="168"/>
    </row>
    <row r="4602" spans="26:34" ht="24" customHeight="1">
      <c r="Z4602"/>
      <c r="AA4602"/>
      <c r="AB4602"/>
      <c r="AC4602"/>
      <c r="AD4602"/>
      <c r="AE4602" s="168"/>
      <c r="AF4602" s="168">
        <v>0</v>
      </c>
      <c r="AG4602" s="168"/>
      <c r="AH4602" s="168"/>
    </row>
    <row r="4603" spans="26:34" ht="24" customHeight="1">
      <c r="Z4603"/>
      <c r="AA4603"/>
      <c r="AB4603"/>
      <c r="AC4603"/>
      <c r="AD4603"/>
      <c r="AE4603" s="168"/>
      <c r="AF4603" s="168">
        <v>0</v>
      </c>
      <c r="AG4603" s="168"/>
      <c r="AH4603" s="168"/>
    </row>
    <row r="4604" spans="26:34" ht="24" customHeight="1">
      <c r="Z4604"/>
      <c r="AA4604"/>
      <c r="AB4604"/>
      <c r="AC4604"/>
      <c r="AD4604"/>
      <c r="AE4604" s="168"/>
      <c r="AF4604" s="168">
        <v>0</v>
      </c>
      <c r="AG4604" s="168"/>
      <c r="AH4604" s="168"/>
    </row>
    <row r="4605" spans="26:34" ht="24" customHeight="1">
      <c r="Z4605"/>
      <c r="AA4605"/>
      <c r="AB4605"/>
      <c r="AC4605"/>
      <c r="AD4605"/>
      <c r="AE4605" s="168"/>
      <c r="AF4605" s="168">
        <v>0</v>
      </c>
      <c r="AG4605" s="168"/>
      <c r="AH4605" s="168"/>
    </row>
    <row r="4606" spans="26:34" ht="24" customHeight="1">
      <c r="Z4606"/>
      <c r="AA4606"/>
      <c r="AB4606"/>
      <c r="AC4606"/>
      <c r="AD4606"/>
      <c r="AE4606" s="168"/>
      <c r="AF4606" s="168">
        <v>0</v>
      </c>
      <c r="AG4606" s="168"/>
      <c r="AH4606" s="168"/>
    </row>
    <row r="4607" spans="26:34" ht="24" customHeight="1">
      <c r="Z4607"/>
      <c r="AA4607"/>
      <c r="AB4607"/>
      <c r="AC4607"/>
      <c r="AD4607"/>
      <c r="AE4607" s="168"/>
      <c r="AF4607" s="168">
        <v>0</v>
      </c>
      <c r="AG4607" s="168"/>
      <c r="AH4607" s="168"/>
    </row>
    <row r="4608" spans="26:34" ht="24" customHeight="1">
      <c r="Z4608"/>
      <c r="AA4608"/>
      <c r="AB4608"/>
      <c r="AC4608"/>
      <c r="AD4608"/>
      <c r="AE4608" s="168"/>
      <c r="AF4608" s="168">
        <v>0</v>
      </c>
      <c r="AG4608" s="168"/>
      <c r="AH4608" s="168"/>
    </row>
    <row r="4609" spans="26:34" ht="24" customHeight="1">
      <c r="Z4609"/>
      <c r="AA4609"/>
      <c r="AB4609"/>
      <c r="AC4609"/>
      <c r="AD4609"/>
      <c r="AE4609" s="168"/>
      <c r="AF4609" s="168">
        <v>0</v>
      </c>
      <c r="AG4609" s="168"/>
      <c r="AH4609" s="168"/>
    </row>
    <row r="4610" spans="26:34" ht="24" customHeight="1">
      <c r="Z4610"/>
      <c r="AA4610"/>
      <c r="AB4610"/>
      <c r="AC4610"/>
      <c r="AD4610"/>
      <c r="AE4610" s="168"/>
      <c r="AF4610" s="168">
        <v>0</v>
      </c>
      <c r="AG4610" s="168"/>
      <c r="AH4610" s="168"/>
    </row>
    <row r="4611" spans="26:34" ht="24" customHeight="1">
      <c r="Z4611"/>
      <c r="AA4611"/>
      <c r="AB4611"/>
      <c r="AC4611"/>
      <c r="AD4611"/>
      <c r="AE4611" s="168"/>
      <c r="AF4611" s="168">
        <v>0</v>
      </c>
      <c r="AG4611" s="168"/>
      <c r="AH4611" s="168"/>
    </row>
    <row r="4612" spans="26:34" ht="24" customHeight="1">
      <c r="Z4612"/>
      <c r="AA4612"/>
      <c r="AB4612"/>
      <c r="AC4612"/>
      <c r="AD4612"/>
      <c r="AE4612" s="168"/>
      <c r="AF4612" s="168">
        <v>0</v>
      </c>
      <c r="AG4612" s="168"/>
      <c r="AH4612" s="168"/>
    </row>
    <row r="4613" spans="26:34" ht="24" customHeight="1">
      <c r="Z4613"/>
      <c r="AA4613"/>
      <c r="AB4613"/>
      <c r="AC4613"/>
      <c r="AD4613"/>
      <c r="AE4613" s="168"/>
      <c r="AF4613" s="168">
        <v>0</v>
      </c>
      <c r="AG4613" s="168"/>
      <c r="AH4613" s="168"/>
    </row>
    <row r="4614" spans="26:34" ht="24" customHeight="1">
      <c r="Z4614"/>
      <c r="AA4614"/>
      <c r="AB4614"/>
      <c r="AC4614"/>
      <c r="AD4614"/>
      <c r="AE4614" s="168"/>
      <c r="AF4614" s="168">
        <v>0</v>
      </c>
      <c r="AG4614" s="168"/>
      <c r="AH4614" s="168"/>
    </row>
    <row r="4615" spans="26:34" ht="24" customHeight="1">
      <c r="Z4615"/>
      <c r="AA4615"/>
      <c r="AB4615"/>
      <c r="AC4615"/>
      <c r="AD4615"/>
      <c r="AE4615" s="168"/>
      <c r="AF4615" s="168">
        <v>0</v>
      </c>
      <c r="AG4615" s="168"/>
      <c r="AH4615" s="168"/>
    </row>
    <row r="4616" spans="26:34" ht="24" customHeight="1">
      <c r="Z4616"/>
      <c r="AA4616"/>
      <c r="AB4616"/>
      <c r="AC4616"/>
      <c r="AD4616"/>
      <c r="AE4616" s="168"/>
      <c r="AF4616" s="168">
        <v>0</v>
      </c>
      <c r="AG4616" s="168"/>
      <c r="AH4616" s="168"/>
    </row>
    <row r="4617" spans="26:34" ht="24" customHeight="1">
      <c r="Z4617"/>
      <c r="AA4617"/>
      <c r="AB4617"/>
      <c r="AC4617"/>
      <c r="AD4617"/>
      <c r="AE4617" s="168"/>
      <c r="AF4617" s="168">
        <v>0</v>
      </c>
      <c r="AG4617" s="168"/>
      <c r="AH4617" s="168"/>
    </row>
    <row r="4618" spans="26:34" ht="24" customHeight="1">
      <c r="Z4618"/>
      <c r="AA4618"/>
      <c r="AB4618"/>
      <c r="AC4618"/>
      <c r="AD4618"/>
      <c r="AE4618" s="168"/>
      <c r="AF4618" s="168">
        <v>0</v>
      </c>
      <c r="AG4618" s="168"/>
      <c r="AH4618" s="168"/>
    </row>
    <row r="4619" spans="26:34" ht="24" customHeight="1">
      <c r="Z4619"/>
      <c r="AA4619"/>
      <c r="AB4619"/>
      <c r="AC4619"/>
      <c r="AD4619"/>
      <c r="AE4619" s="168"/>
      <c r="AF4619" s="168">
        <v>0</v>
      </c>
      <c r="AG4619" s="168"/>
      <c r="AH4619" s="168"/>
    </row>
    <row r="4620" spans="26:34" ht="24" customHeight="1">
      <c r="Z4620"/>
      <c r="AA4620"/>
      <c r="AB4620"/>
      <c r="AC4620"/>
      <c r="AD4620"/>
      <c r="AE4620" s="168"/>
      <c r="AF4620" s="168">
        <v>0</v>
      </c>
      <c r="AG4620" s="168"/>
      <c r="AH4620" s="168"/>
    </row>
    <row r="4621" spans="26:34" ht="24" customHeight="1">
      <c r="Z4621"/>
      <c r="AA4621"/>
      <c r="AB4621"/>
      <c r="AC4621"/>
      <c r="AD4621"/>
      <c r="AE4621" s="168"/>
      <c r="AF4621" s="168">
        <v>0</v>
      </c>
      <c r="AG4621" s="168"/>
      <c r="AH4621" s="168"/>
    </row>
    <row r="4622" spans="26:34" ht="24" customHeight="1">
      <c r="Z4622"/>
      <c r="AA4622"/>
      <c r="AB4622"/>
      <c r="AC4622"/>
      <c r="AD4622"/>
      <c r="AE4622" s="168"/>
      <c r="AF4622" s="168">
        <v>0</v>
      </c>
      <c r="AG4622" s="168"/>
      <c r="AH4622" s="168"/>
    </row>
    <row r="4623" spans="26:34" ht="24" customHeight="1">
      <c r="Z4623"/>
      <c r="AA4623"/>
      <c r="AB4623"/>
      <c r="AC4623"/>
      <c r="AD4623"/>
      <c r="AE4623" s="168"/>
      <c r="AF4623" s="168">
        <v>0</v>
      </c>
      <c r="AG4623" s="168"/>
      <c r="AH4623" s="168"/>
    </row>
    <row r="4624" spans="26:34" ht="24" customHeight="1">
      <c r="Z4624"/>
      <c r="AA4624"/>
      <c r="AB4624"/>
      <c r="AC4624"/>
      <c r="AD4624"/>
      <c r="AE4624" s="168"/>
      <c r="AF4624" s="168">
        <v>0</v>
      </c>
      <c r="AG4624" s="168"/>
      <c r="AH4624" s="168"/>
    </row>
    <row r="4625" spans="26:34" ht="24" customHeight="1">
      <c r="Z4625"/>
      <c r="AA4625"/>
      <c r="AB4625"/>
      <c r="AC4625"/>
      <c r="AD4625"/>
      <c r="AE4625" s="168"/>
      <c r="AF4625" s="168">
        <v>0</v>
      </c>
      <c r="AG4625" s="168"/>
      <c r="AH4625" s="168"/>
    </row>
    <row r="4626" spans="26:34" ht="24" customHeight="1">
      <c r="Z4626"/>
      <c r="AA4626"/>
      <c r="AB4626"/>
      <c r="AC4626"/>
      <c r="AD4626"/>
      <c r="AE4626" s="168"/>
      <c r="AF4626" s="168">
        <v>0</v>
      </c>
      <c r="AG4626" s="168"/>
      <c r="AH4626" s="168"/>
    </row>
    <row r="4627" spans="26:34" ht="24" customHeight="1">
      <c r="Z4627"/>
      <c r="AA4627"/>
      <c r="AB4627"/>
      <c r="AC4627"/>
      <c r="AD4627"/>
      <c r="AE4627" s="168"/>
      <c r="AF4627" s="168">
        <v>0</v>
      </c>
      <c r="AG4627" s="168"/>
      <c r="AH4627" s="168"/>
    </row>
    <row r="4628" spans="26:34" ht="24" customHeight="1">
      <c r="Z4628"/>
      <c r="AA4628"/>
      <c r="AB4628"/>
      <c r="AC4628"/>
      <c r="AD4628"/>
      <c r="AE4628" s="168"/>
      <c r="AF4628" s="168">
        <v>0</v>
      </c>
      <c r="AG4628" s="168"/>
      <c r="AH4628" s="168"/>
    </row>
    <row r="4629" spans="26:34" ht="24" customHeight="1">
      <c r="Z4629"/>
      <c r="AA4629"/>
      <c r="AB4629"/>
      <c r="AC4629"/>
      <c r="AD4629"/>
      <c r="AE4629" s="168"/>
      <c r="AF4629" s="168">
        <v>0</v>
      </c>
      <c r="AG4629" s="168"/>
      <c r="AH4629" s="168"/>
    </row>
    <row r="4630" spans="26:34" ht="24" customHeight="1">
      <c r="Z4630"/>
      <c r="AA4630"/>
      <c r="AB4630"/>
      <c r="AC4630"/>
      <c r="AD4630"/>
      <c r="AE4630" s="168"/>
      <c r="AF4630" s="168">
        <v>0</v>
      </c>
      <c r="AG4630" s="168"/>
      <c r="AH4630" s="168"/>
    </row>
    <row r="4631" spans="26:34" ht="24" customHeight="1">
      <c r="Z4631"/>
      <c r="AA4631"/>
      <c r="AB4631"/>
      <c r="AC4631"/>
      <c r="AD4631"/>
      <c r="AE4631" s="168"/>
      <c r="AF4631" s="168">
        <v>0</v>
      </c>
      <c r="AG4631" s="168"/>
      <c r="AH4631" s="168"/>
    </row>
    <row r="4632" spans="26:34" ht="24" customHeight="1">
      <c r="Z4632"/>
      <c r="AA4632"/>
      <c r="AB4632"/>
      <c r="AC4632"/>
      <c r="AD4632"/>
      <c r="AE4632" s="168"/>
      <c r="AF4632" s="168">
        <v>0</v>
      </c>
      <c r="AG4632" s="168"/>
      <c r="AH4632" s="168"/>
    </row>
    <row r="4633" spans="26:34" ht="24" customHeight="1">
      <c r="Z4633"/>
      <c r="AA4633"/>
      <c r="AB4633"/>
      <c r="AC4633"/>
      <c r="AD4633"/>
      <c r="AE4633" s="168"/>
      <c r="AF4633" s="168">
        <v>0</v>
      </c>
      <c r="AG4633" s="168"/>
      <c r="AH4633" s="168"/>
    </row>
    <row r="4634" spans="26:34" ht="24" customHeight="1">
      <c r="Z4634"/>
      <c r="AA4634"/>
      <c r="AB4634"/>
      <c r="AC4634"/>
      <c r="AD4634"/>
      <c r="AE4634" s="168"/>
      <c r="AF4634" s="168">
        <v>0</v>
      </c>
      <c r="AG4634" s="168"/>
      <c r="AH4634" s="168"/>
    </row>
    <row r="4635" spans="26:34" ht="24" customHeight="1">
      <c r="Z4635"/>
      <c r="AA4635"/>
      <c r="AB4635"/>
      <c r="AC4635"/>
      <c r="AD4635"/>
      <c r="AE4635" s="168"/>
      <c r="AF4635" s="168">
        <v>0</v>
      </c>
      <c r="AG4635" s="168"/>
      <c r="AH4635" s="168"/>
    </row>
    <row r="4636" spans="26:34" ht="24" customHeight="1">
      <c r="Z4636"/>
      <c r="AA4636"/>
      <c r="AB4636"/>
      <c r="AC4636"/>
      <c r="AD4636"/>
      <c r="AE4636" s="168"/>
      <c r="AF4636" s="168">
        <v>0</v>
      </c>
      <c r="AG4636" s="168"/>
      <c r="AH4636" s="168"/>
    </row>
    <row r="4637" spans="26:34" ht="24" customHeight="1">
      <c r="Z4637"/>
      <c r="AA4637"/>
      <c r="AB4637"/>
      <c r="AC4637"/>
      <c r="AD4637"/>
      <c r="AE4637" s="168"/>
      <c r="AF4637" s="168">
        <v>0</v>
      </c>
      <c r="AG4637" s="168"/>
      <c r="AH4637" s="168"/>
    </row>
    <row r="4638" spans="26:34" ht="24" customHeight="1">
      <c r="Z4638"/>
      <c r="AA4638"/>
      <c r="AB4638"/>
      <c r="AC4638"/>
      <c r="AD4638"/>
      <c r="AE4638" s="168"/>
      <c r="AF4638" s="168">
        <v>0</v>
      </c>
      <c r="AG4638" s="168"/>
      <c r="AH4638" s="168"/>
    </row>
    <row r="4639" spans="26:34" ht="24" customHeight="1">
      <c r="Z4639"/>
      <c r="AA4639"/>
      <c r="AB4639"/>
      <c r="AC4639"/>
      <c r="AD4639"/>
      <c r="AE4639" s="168"/>
      <c r="AF4639" s="168">
        <v>0</v>
      </c>
      <c r="AG4639" s="168"/>
      <c r="AH4639" s="168"/>
    </row>
    <row r="4640" spans="26:34" ht="24" customHeight="1">
      <c r="Z4640"/>
      <c r="AA4640"/>
      <c r="AB4640"/>
      <c r="AC4640"/>
      <c r="AD4640"/>
      <c r="AE4640" s="168"/>
      <c r="AF4640" s="168">
        <v>0</v>
      </c>
      <c r="AG4640" s="168"/>
      <c r="AH4640" s="168"/>
    </row>
    <row r="4641" spans="26:34" ht="24" customHeight="1">
      <c r="Z4641"/>
      <c r="AA4641"/>
      <c r="AB4641"/>
      <c r="AC4641"/>
      <c r="AD4641"/>
      <c r="AE4641" s="168"/>
      <c r="AF4641" s="168">
        <v>0</v>
      </c>
      <c r="AG4641" s="168"/>
      <c r="AH4641" s="168"/>
    </row>
    <row r="4642" spans="26:34" ht="24" customHeight="1">
      <c r="Z4642"/>
      <c r="AA4642"/>
      <c r="AB4642"/>
      <c r="AC4642"/>
      <c r="AD4642"/>
      <c r="AE4642" s="168"/>
      <c r="AF4642" s="168">
        <v>0</v>
      </c>
      <c r="AG4642" s="168"/>
      <c r="AH4642" s="168"/>
    </row>
    <row r="4643" spans="26:34" ht="24" customHeight="1">
      <c r="Z4643"/>
      <c r="AA4643"/>
      <c r="AB4643"/>
      <c r="AC4643"/>
      <c r="AD4643"/>
      <c r="AE4643" s="168"/>
      <c r="AF4643" s="168">
        <v>0</v>
      </c>
      <c r="AG4643" s="168"/>
      <c r="AH4643" s="168"/>
    </row>
    <row r="4644" spans="26:34" ht="24" customHeight="1">
      <c r="Z4644"/>
      <c r="AA4644"/>
      <c r="AB4644"/>
      <c r="AC4644"/>
      <c r="AD4644"/>
      <c r="AE4644" s="168"/>
      <c r="AF4644" s="168">
        <v>0</v>
      </c>
      <c r="AG4644" s="168"/>
      <c r="AH4644" s="168"/>
    </row>
    <row r="4645" spans="26:34" ht="24" customHeight="1">
      <c r="Z4645"/>
      <c r="AA4645"/>
      <c r="AB4645"/>
      <c r="AC4645"/>
      <c r="AD4645"/>
      <c r="AE4645" s="168"/>
      <c r="AF4645" s="168">
        <v>0</v>
      </c>
      <c r="AG4645" s="168"/>
      <c r="AH4645" s="168"/>
    </row>
    <row r="4646" spans="26:34" ht="24" customHeight="1">
      <c r="Z4646"/>
      <c r="AA4646"/>
      <c r="AB4646"/>
      <c r="AC4646"/>
      <c r="AD4646"/>
      <c r="AE4646" s="168"/>
      <c r="AF4646" s="168">
        <v>0</v>
      </c>
      <c r="AG4646" s="168"/>
      <c r="AH4646" s="168"/>
    </row>
    <row r="4647" spans="26:34" ht="24" customHeight="1">
      <c r="Z4647"/>
      <c r="AA4647"/>
      <c r="AB4647"/>
      <c r="AC4647"/>
      <c r="AD4647"/>
      <c r="AE4647" s="168"/>
      <c r="AF4647" s="168">
        <v>0</v>
      </c>
      <c r="AG4647" s="168"/>
      <c r="AH4647" s="168"/>
    </row>
    <row r="4648" spans="26:34" ht="24" customHeight="1">
      <c r="Z4648"/>
      <c r="AA4648"/>
      <c r="AB4648"/>
      <c r="AC4648"/>
      <c r="AD4648"/>
      <c r="AE4648" s="168"/>
      <c r="AF4648" s="168">
        <v>0</v>
      </c>
      <c r="AG4648" s="168"/>
      <c r="AH4648" s="168"/>
    </row>
    <row r="4649" spans="26:34" ht="24" customHeight="1">
      <c r="Z4649"/>
      <c r="AA4649"/>
      <c r="AB4649"/>
      <c r="AC4649"/>
      <c r="AD4649"/>
      <c r="AE4649" s="168"/>
      <c r="AF4649" s="168">
        <v>0</v>
      </c>
      <c r="AG4649" s="168"/>
      <c r="AH4649" s="168"/>
    </row>
    <row r="4650" spans="26:34" ht="24" customHeight="1">
      <c r="Z4650"/>
      <c r="AA4650"/>
      <c r="AB4650"/>
      <c r="AC4650"/>
      <c r="AD4650"/>
      <c r="AE4650" s="168"/>
      <c r="AF4650" s="168">
        <v>0</v>
      </c>
      <c r="AG4650" s="168"/>
      <c r="AH4650" s="168"/>
    </row>
    <row r="4651" spans="26:34" ht="24" customHeight="1">
      <c r="Z4651"/>
      <c r="AA4651"/>
      <c r="AB4651"/>
      <c r="AC4651"/>
      <c r="AD4651"/>
      <c r="AE4651" s="168"/>
      <c r="AF4651" s="168">
        <v>0</v>
      </c>
      <c r="AG4651" s="168"/>
      <c r="AH4651" s="168"/>
    </row>
    <row r="4652" spans="26:34" ht="24" customHeight="1">
      <c r="Z4652"/>
      <c r="AA4652"/>
      <c r="AB4652"/>
      <c r="AC4652"/>
      <c r="AD4652"/>
      <c r="AE4652" s="168"/>
      <c r="AF4652" s="168">
        <v>0</v>
      </c>
      <c r="AG4652" s="168"/>
      <c r="AH4652" s="168"/>
    </row>
    <row r="4653" spans="26:34" ht="24" customHeight="1">
      <c r="Z4653"/>
      <c r="AA4653"/>
      <c r="AB4653"/>
      <c r="AC4653"/>
      <c r="AD4653"/>
      <c r="AE4653" s="168"/>
      <c r="AF4653" s="168">
        <v>0</v>
      </c>
      <c r="AG4653" s="168"/>
      <c r="AH4653" s="168"/>
    </row>
    <row r="4654" spans="26:34" ht="24" customHeight="1">
      <c r="Z4654"/>
      <c r="AA4654"/>
      <c r="AB4654"/>
      <c r="AC4654"/>
      <c r="AD4654"/>
      <c r="AE4654" s="168"/>
      <c r="AF4654" s="168">
        <v>0</v>
      </c>
      <c r="AG4654" s="168"/>
      <c r="AH4654" s="168"/>
    </row>
    <row r="4655" spans="26:34" ht="24" customHeight="1">
      <c r="Z4655"/>
      <c r="AA4655"/>
      <c r="AB4655"/>
      <c r="AC4655"/>
      <c r="AD4655"/>
      <c r="AE4655" s="168"/>
      <c r="AF4655" s="168">
        <v>0</v>
      </c>
      <c r="AG4655" s="168"/>
      <c r="AH4655" s="168"/>
    </row>
    <row r="4656" spans="26:34" ht="24" customHeight="1">
      <c r="Z4656"/>
      <c r="AA4656"/>
      <c r="AB4656"/>
      <c r="AC4656"/>
      <c r="AD4656"/>
      <c r="AE4656" s="168"/>
      <c r="AF4656" s="168">
        <v>0</v>
      </c>
      <c r="AG4656" s="168"/>
      <c r="AH4656" s="168"/>
    </row>
    <row r="4657" spans="26:34" ht="24" customHeight="1">
      <c r="Z4657"/>
      <c r="AA4657"/>
      <c r="AB4657"/>
      <c r="AC4657"/>
      <c r="AD4657"/>
      <c r="AE4657" s="168"/>
      <c r="AF4657" s="168">
        <v>0</v>
      </c>
      <c r="AG4657" s="168"/>
      <c r="AH4657" s="168"/>
    </row>
    <row r="4658" spans="26:34" ht="24" customHeight="1">
      <c r="Z4658"/>
      <c r="AA4658"/>
      <c r="AB4658"/>
      <c r="AC4658"/>
      <c r="AD4658"/>
      <c r="AE4658" s="168"/>
      <c r="AF4658" s="168">
        <v>0</v>
      </c>
      <c r="AG4658" s="168"/>
      <c r="AH4658" s="168"/>
    </row>
    <row r="4659" spans="26:34" ht="24" customHeight="1">
      <c r="Z4659"/>
      <c r="AA4659"/>
      <c r="AB4659"/>
      <c r="AC4659"/>
      <c r="AD4659"/>
      <c r="AE4659" s="168"/>
      <c r="AF4659" s="168">
        <v>0</v>
      </c>
      <c r="AG4659" s="168"/>
      <c r="AH4659" s="168"/>
    </row>
    <row r="4660" spans="26:34" ht="24" customHeight="1">
      <c r="Z4660"/>
      <c r="AA4660"/>
      <c r="AB4660"/>
      <c r="AC4660"/>
      <c r="AD4660"/>
      <c r="AE4660" s="168"/>
      <c r="AF4660" s="168">
        <v>0</v>
      </c>
      <c r="AG4660" s="168"/>
      <c r="AH4660" s="168"/>
    </row>
    <row r="4661" spans="26:34" ht="24" customHeight="1">
      <c r="Z4661"/>
      <c r="AA4661"/>
      <c r="AB4661"/>
      <c r="AC4661"/>
      <c r="AD4661"/>
      <c r="AE4661" s="168"/>
      <c r="AF4661" s="168">
        <v>0</v>
      </c>
      <c r="AG4661" s="168"/>
      <c r="AH4661" s="168"/>
    </row>
    <row r="4662" spans="26:34" ht="24" customHeight="1">
      <c r="Z4662"/>
      <c r="AA4662"/>
      <c r="AB4662"/>
      <c r="AC4662"/>
      <c r="AD4662"/>
      <c r="AE4662" s="168"/>
      <c r="AF4662" s="168">
        <v>0</v>
      </c>
      <c r="AG4662" s="168"/>
      <c r="AH4662" s="168"/>
    </row>
    <row r="4663" spans="26:34" ht="24" customHeight="1">
      <c r="Z4663"/>
      <c r="AA4663"/>
      <c r="AB4663"/>
      <c r="AC4663"/>
      <c r="AD4663"/>
      <c r="AE4663" s="168"/>
      <c r="AF4663" s="168">
        <v>0</v>
      </c>
      <c r="AG4663" s="168"/>
      <c r="AH4663" s="168"/>
    </row>
    <row r="4664" spans="26:34" ht="24" customHeight="1">
      <c r="Z4664"/>
      <c r="AA4664"/>
      <c r="AB4664"/>
      <c r="AC4664"/>
      <c r="AD4664"/>
      <c r="AE4664" s="168"/>
      <c r="AF4664" s="168">
        <v>0</v>
      </c>
      <c r="AG4664" s="168"/>
      <c r="AH4664" s="168"/>
    </row>
    <row r="4665" spans="26:34" ht="24" customHeight="1">
      <c r="Z4665"/>
      <c r="AA4665"/>
      <c r="AB4665"/>
      <c r="AC4665"/>
      <c r="AD4665"/>
      <c r="AE4665" s="168"/>
      <c r="AF4665" s="168">
        <v>0</v>
      </c>
      <c r="AG4665" s="168"/>
      <c r="AH4665" s="168"/>
    </row>
    <row r="4666" spans="26:34" ht="24" customHeight="1">
      <c r="Z4666"/>
      <c r="AA4666"/>
      <c r="AB4666"/>
      <c r="AC4666"/>
      <c r="AD4666"/>
      <c r="AE4666" s="168"/>
      <c r="AF4666" s="168">
        <v>0</v>
      </c>
      <c r="AG4666" s="168"/>
      <c r="AH4666" s="168"/>
    </row>
    <row r="4667" spans="26:34" ht="24" customHeight="1">
      <c r="Z4667"/>
      <c r="AA4667"/>
      <c r="AB4667"/>
      <c r="AC4667"/>
      <c r="AD4667"/>
      <c r="AE4667" s="168"/>
      <c r="AF4667" s="168">
        <v>0</v>
      </c>
      <c r="AG4667" s="168"/>
      <c r="AH4667" s="168"/>
    </row>
    <row r="4668" spans="26:34" ht="24" customHeight="1">
      <c r="Z4668"/>
      <c r="AA4668"/>
      <c r="AB4668"/>
      <c r="AC4668"/>
      <c r="AD4668"/>
      <c r="AE4668" s="168"/>
      <c r="AF4668" s="168">
        <v>0</v>
      </c>
      <c r="AG4668" s="168"/>
      <c r="AH4668" s="168"/>
    </row>
    <row r="4669" spans="26:34" ht="24" customHeight="1">
      <c r="Z4669"/>
      <c r="AA4669"/>
      <c r="AB4669"/>
      <c r="AC4669"/>
      <c r="AD4669"/>
      <c r="AE4669" s="168"/>
      <c r="AF4669" s="168">
        <v>0</v>
      </c>
      <c r="AG4669" s="168"/>
      <c r="AH4669" s="168"/>
    </row>
    <row r="4670" spans="26:34" ht="24" customHeight="1">
      <c r="Z4670"/>
      <c r="AA4670"/>
      <c r="AB4670"/>
      <c r="AC4670"/>
      <c r="AD4670"/>
      <c r="AE4670" s="168"/>
      <c r="AF4670" s="168">
        <v>0</v>
      </c>
      <c r="AG4670" s="168"/>
      <c r="AH4670" s="168"/>
    </row>
    <row r="4671" spans="26:34" ht="24" customHeight="1">
      <c r="Z4671"/>
      <c r="AA4671"/>
      <c r="AB4671"/>
      <c r="AC4671"/>
      <c r="AD4671"/>
      <c r="AE4671" s="168"/>
      <c r="AF4671" s="168">
        <v>0</v>
      </c>
      <c r="AG4671" s="168"/>
      <c r="AH4671" s="168"/>
    </row>
    <row r="4672" spans="26:34" ht="24" customHeight="1">
      <c r="Z4672"/>
      <c r="AA4672"/>
      <c r="AB4672"/>
      <c r="AC4672"/>
      <c r="AD4672"/>
      <c r="AE4672" s="168"/>
      <c r="AF4672" s="168">
        <v>0</v>
      </c>
      <c r="AG4672" s="168"/>
      <c r="AH4672" s="168"/>
    </row>
    <row r="4673" spans="26:34" ht="24" customHeight="1">
      <c r="Z4673"/>
      <c r="AA4673"/>
      <c r="AB4673"/>
      <c r="AC4673"/>
      <c r="AD4673"/>
      <c r="AE4673" s="168"/>
      <c r="AF4673" s="168">
        <v>0</v>
      </c>
      <c r="AG4673" s="168"/>
      <c r="AH4673" s="168"/>
    </row>
    <row r="4674" spans="26:34" ht="24" customHeight="1">
      <c r="Z4674"/>
      <c r="AA4674"/>
      <c r="AB4674"/>
      <c r="AC4674"/>
      <c r="AD4674"/>
      <c r="AE4674" s="168"/>
      <c r="AF4674" s="168">
        <v>0</v>
      </c>
      <c r="AG4674" s="168"/>
      <c r="AH4674" s="168"/>
    </row>
    <row r="4675" spans="26:34" ht="24" customHeight="1">
      <c r="Z4675"/>
      <c r="AA4675"/>
      <c r="AB4675"/>
      <c r="AC4675"/>
      <c r="AD4675"/>
      <c r="AE4675" s="168"/>
      <c r="AF4675" s="168">
        <v>0</v>
      </c>
      <c r="AG4675" s="168"/>
      <c r="AH4675" s="168"/>
    </row>
    <row r="4676" spans="26:34" ht="24" customHeight="1">
      <c r="Z4676"/>
      <c r="AA4676"/>
      <c r="AB4676"/>
      <c r="AC4676"/>
      <c r="AD4676"/>
      <c r="AE4676" s="168"/>
      <c r="AF4676" s="168">
        <v>0</v>
      </c>
      <c r="AG4676" s="168"/>
      <c r="AH4676" s="168"/>
    </row>
    <row r="4677" spans="26:34" ht="24" customHeight="1">
      <c r="Z4677"/>
      <c r="AA4677"/>
      <c r="AB4677"/>
      <c r="AC4677"/>
      <c r="AD4677"/>
      <c r="AE4677" s="168"/>
      <c r="AF4677" s="168">
        <v>0</v>
      </c>
      <c r="AG4677" s="168"/>
      <c r="AH4677" s="168"/>
    </row>
    <row r="4678" spans="26:34" ht="24" customHeight="1">
      <c r="Z4678"/>
      <c r="AA4678"/>
      <c r="AB4678"/>
      <c r="AC4678"/>
      <c r="AD4678"/>
      <c r="AE4678" s="168"/>
      <c r="AF4678" s="168">
        <v>0</v>
      </c>
      <c r="AG4678" s="168"/>
      <c r="AH4678" s="168"/>
    </row>
    <row r="4679" spans="26:34" ht="24" customHeight="1">
      <c r="Z4679"/>
      <c r="AA4679"/>
      <c r="AB4679"/>
      <c r="AC4679"/>
      <c r="AD4679"/>
      <c r="AE4679" s="168"/>
      <c r="AF4679" s="168">
        <v>0</v>
      </c>
      <c r="AG4679" s="168"/>
      <c r="AH4679" s="168"/>
    </row>
    <row r="4680" spans="26:34" ht="24" customHeight="1">
      <c r="Z4680"/>
      <c r="AA4680"/>
      <c r="AB4680"/>
      <c r="AC4680"/>
      <c r="AD4680"/>
      <c r="AE4680" s="168"/>
      <c r="AF4680" s="168">
        <v>0</v>
      </c>
      <c r="AG4680" s="168"/>
      <c r="AH4680" s="168"/>
    </row>
    <row r="4681" spans="26:34" ht="24" customHeight="1">
      <c r="Z4681"/>
      <c r="AA4681"/>
      <c r="AB4681"/>
      <c r="AC4681"/>
      <c r="AD4681"/>
      <c r="AE4681" s="168"/>
      <c r="AF4681" s="168">
        <v>0</v>
      </c>
      <c r="AG4681" s="168"/>
      <c r="AH4681" s="168"/>
    </row>
    <row r="4682" spans="26:34" ht="24" customHeight="1">
      <c r="Z4682"/>
      <c r="AA4682"/>
      <c r="AB4682"/>
      <c r="AC4682"/>
      <c r="AD4682"/>
      <c r="AE4682" s="168"/>
      <c r="AF4682" s="168">
        <v>0</v>
      </c>
      <c r="AG4682" s="168"/>
      <c r="AH4682" s="168"/>
    </row>
    <row r="4683" spans="26:34" ht="24" customHeight="1">
      <c r="Z4683"/>
      <c r="AA4683"/>
      <c r="AB4683"/>
      <c r="AC4683"/>
      <c r="AD4683"/>
      <c r="AE4683" s="168"/>
      <c r="AF4683" s="168">
        <v>0</v>
      </c>
      <c r="AG4683" s="168"/>
      <c r="AH4683" s="168"/>
    </row>
    <row r="4684" spans="26:34" ht="24" customHeight="1">
      <c r="Z4684"/>
      <c r="AA4684"/>
      <c r="AB4684"/>
      <c r="AC4684"/>
      <c r="AD4684"/>
      <c r="AE4684" s="168"/>
      <c r="AF4684" s="168">
        <v>0</v>
      </c>
      <c r="AG4684" s="168"/>
      <c r="AH4684" s="168"/>
    </row>
    <row r="4685" spans="26:34" ht="24" customHeight="1">
      <c r="Z4685"/>
      <c r="AA4685"/>
      <c r="AB4685"/>
      <c r="AC4685"/>
      <c r="AD4685"/>
      <c r="AE4685" s="168"/>
      <c r="AF4685" s="168">
        <v>0</v>
      </c>
      <c r="AG4685" s="168"/>
      <c r="AH4685" s="168"/>
    </row>
    <row r="4686" spans="26:34" ht="24" customHeight="1">
      <c r="Z4686"/>
      <c r="AA4686"/>
      <c r="AB4686"/>
      <c r="AC4686"/>
      <c r="AD4686"/>
      <c r="AE4686" s="168"/>
      <c r="AF4686" s="168">
        <v>0</v>
      </c>
      <c r="AG4686" s="168"/>
      <c r="AH4686" s="168"/>
    </row>
    <row r="4687" spans="26:34" ht="24" customHeight="1">
      <c r="Z4687"/>
      <c r="AA4687"/>
      <c r="AB4687"/>
      <c r="AC4687"/>
      <c r="AD4687"/>
      <c r="AE4687" s="168"/>
      <c r="AF4687" s="168">
        <v>0</v>
      </c>
      <c r="AG4687" s="168"/>
      <c r="AH4687" s="168"/>
    </row>
    <row r="4688" spans="26:34" ht="24" customHeight="1">
      <c r="Z4688"/>
      <c r="AA4688"/>
      <c r="AB4688"/>
      <c r="AC4688"/>
      <c r="AD4688"/>
      <c r="AE4688" s="168"/>
      <c r="AF4688" s="168">
        <v>0</v>
      </c>
      <c r="AG4688" s="168"/>
      <c r="AH4688" s="168"/>
    </row>
    <row r="4689" spans="26:34" ht="24" customHeight="1">
      <c r="Z4689"/>
      <c r="AA4689"/>
      <c r="AB4689"/>
      <c r="AC4689"/>
      <c r="AD4689"/>
      <c r="AE4689" s="168"/>
      <c r="AF4689" s="168">
        <v>0</v>
      </c>
      <c r="AG4689" s="168"/>
      <c r="AH4689" s="168"/>
    </row>
    <row r="4690" spans="26:34" ht="24" customHeight="1">
      <c r="Z4690"/>
      <c r="AA4690"/>
      <c r="AB4690"/>
      <c r="AC4690"/>
      <c r="AD4690"/>
      <c r="AE4690" s="168"/>
      <c r="AF4690" s="168">
        <v>0</v>
      </c>
      <c r="AG4690" s="168"/>
      <c r="AH4690" s="168"/>
    </row>
    <row r="4691" spans="26:34" ht="24" customHeight="1">
      <c r="Z4691"/>
      <c r="AA4691"/>
      <c r="AB4691"/>
      <c r="AC4691"/>
      <c r="AD4691"/>
      <c r="AE4691" s="168"/>
      <c r="AF4691" s="168">
        <v>0</v>
      </c>
      <c r="AG4691" s="168"/>
      <c r="AH4691" s="168"/>
    </row>
    <row r="4692" spans="26:34" ht="24" customHeight="1">
      <c r="Z4692"/>
      <c r="AA4692"/>
      <c r="AB4692"/>
      <c r="AC4692"/>
      <c r="AD4692"/>
      <c r="AE4692" s="168"/>
      <c r="AF4692" s="168">
        <v>0</v>
      </c>
      <c r="AG4692" s="168"/>
      <c r="AH4692" s="168"/>
    </row>
    <row r="4693" spans="26:34" ht="24" customHeight="1">
      <c r="Z4693"/>
      <c r="AA4693"/>
      <c r="AB4693"/>
      <c r="AC4693"/>
      <c r="AD4693"/>
      <c r="AE4693" s="168"/>
      <c r="AF4693" s="168">
        <v>0</v>
      </c>
      <c r="AG4693" s="168"/>
      <c r="AH4693" s="168"/>
    </row>
    <row r="4694" spans="26:34" ht="24" customHeight="1">
      <c r="Z4694"/>
      <c r="AA4694"/>
      <c r="AB4694"/>
      <c r="AC4694"/>
      <c r="AD4694"/>
      <c r="AE4694" s="168"/>
      <c r="AF4694" s="168">
        <v>0</v>
      </c>
      <c r="AG4694" s="168"/>
      <c r="AH4694" s="168"/>
    </row>
    <row r="4695" spans="26:34" ht="24" customHeight="1">
      <c r="Z4695"/>
      <c r="AA4695"/>
      <c r="AB4695"/>
      <c r="AC4695"/>
      <c r="AD4695"/>
      <c r="AE4695" s="168"/>
      <c r="AF4695" s="168">
        <v>0</v>
      </c>
      <c r="AG4695" s="168"/>
      <c r="AH4695" s="168"/>
    </row>
    <row r="4696" spans="26:34" ht="24" customHeight="1">
      <c r="Z4696"/>
      <c r="AA4696"/>
      <c r="AB4696"/>
      <c r="AC4696"/>
      <c r="AD4696"/>
      <c r="AE4696" s="168"/>
      <c r="AF4696" s="168">
        <v>0</v>
      </c>
      <c r="AG4696" s="168"/>
      <c r="AH4696" s="168"/>
    </row>
    <row r="4697" spans="26:34" ht="24" customHeight="1">
      <c r="Z4697"/>
      <c r="AA4697"/>
      <c r="AB4697"/>
      <c r="AC4697"/>
      <c r="AD4697"/>
      <c r="AE4697" s="168"/>
      <c r="AF4697" s="168">
        <v>0</v>
      </c>
      <c r="AG4697" s="168"/>
      <c r="AH4697" s="168"/>
    </row>
    <row r="4698" spans="26:34" ht="24" customHeight="1">
      <c r="Z4698"/>
      <c r="AA4698"/>
      <c r="AB4698"/>
      <c r="AC4698"/>
      <c r="AD4698"/>
      <c r="AE4698" s="168"/>
      <c r="AF4698" s="168">
        <v>0</v>
      </c>
      <c r="AG4698" s="168"/>
      <c r="AH4698" s="168"/>
    </row>
    <row r="4699" spans="26:34" ht="24" customHeight="1">
      <c r="Z4699"/>
      <c r="AA4699"/>
      <c r="AB4699"/>
      <c r="AC4699"/>
      <c r="AD4699"/>
      <c r="AE4699" s="168"/>
      <c r="AF4699" s="168">
        <v>0</v>
      </c>
      <c r="AG4699" s="168"/>
      <c r="AH4699" s="168"/>
    </row>
    <row r="4700" spans="26:34" ht="24" customHeight="1">
      <c r="Z4700"/>
      <c r="AA4700"/>
      <c r="AB4700"/>
      <c r="AC4700"/>
      <c r="AD4700"/>
      <c r="AE4700" s="168"/>
      <c r="AF4700" s="168">
        <v>0</v>
      </c>
      <c r="AG4700" s="168"/>
      <c r="AH4700" s="168"/>
    </row>
    <row r="4701" spans="26:34" ht="24" customHeight="1">
      <c r="Z4701"/>
      <c r="AA4701"/>
      <c r="AB4701"/>
      <c r="AC4701"/>
      <c r="AD4701"/>
      <c r="AE4701" s="168"/>
      <c r="AF4701" s="168">
        <v>0</v>
      </c>
      <c r="AG4701" s="168"/>
      <c r="AH4701" s="168"/>
    </row>
    <row r="4702" spans="26:34" ht="24" customHeight="1">
      <c r="Z4702"/>
      <c r="AA4702"/>
      <c r="AB4702"/>
      <c r="AC4702"/>
      <c r="AD4702"/>
      <c r="AE4702" s="168"/>
      <c r="AF4702" s="168">
        <v>0</v>
      </c>
      <c r="AG4702" s="168"/>
      <c r="AH4702" s="168"/>
    </row>
    <row r="4703" spans="26:34" ht="24" customHeight="1">
      <c r="Z4703"/>
      <c r="AA4703"/>
      <c r="AB4703"/>
      <c r="AC4703"/>
      <c r="AD4703"/>
      <c r="AE4703" s="168"/>
      <c r="AF4703" s="168">
        <v>0</v>
      </c>
      <c r="AG4703" s="168"/>
      <c r="AH4703" s="168"/>
    </row>
    <row r="4704" spans="26:34" ht="24" customHeight="1">
      <c r="Z4704"/>
      <c r="AA4704"/>
      <c r="AB4704"/>
      <c r="AC4704"/>
      <c r="AD4704"/>
      <c r="AE4704" s="168"/>
      <c r="AF4704" s="168">
        <v>0</v>
      </c>
      <c r="AG4704" s="168"/>
      <c r="AH4704" s="168"/>
    </row>
    <row r="4705" spans="26:34" ht="24" customHeight="1">
      <c r="Z4705"/>
      <c r="AA4705"/>
      <c r="AB4705"/>
      <c r="AC4705"/>
      <c r="AD4705"/>
      <c r="AE4705" s="168"/>
      <c r="AF4705" s="168">
        <v>0</v>
      </c>
      <c r="AG4705" s="168"/>
      <c r="AH4705" s="168"/>
    </row>
    <row r="4706" spans="26:34" ht="24" customHeight="1">
      <c r="Z4706"/>
      <c r="AA4706"/>
      <c r="AB4706"/>
      <c r="AC4706"/>
      <c r="AD4706"/>
      <c r="AE4706" s="168"/>
      <c r="AF4706" s="168">
        <v>0</v>
      </c>
      <c r="AG4706" s="168"/>
      <c r="AH4706" s="168"/>
    </row>
    <row r="4707" spans="26:34" ht="24" customHeight="1">
      <c r="Z4707"/>
      <c r="AA4707"/>
      <c r="AB4707"/>
      <c r="AC4707"/>
      <c r="AD4707"/>
      <c r="AE4707" s="168"/>
      <c r="AF4707" s="168">
        <v>0</v>
      </c>
      <c r="AG4707" s="168"/>
      <c r="AH4707" s="168"/>
    </row>
    <row r="4708" spans="26:34" ht="24" customHeight="1">
      <c r="Z4708"/>
      <c r="AA4708"/>
      <c r="AB4708"/>
      <c r="AC4708"/>
      <c r="AD4708"/>
      <c r="AE4708" s="168"/>
      <c r="AF4708" s="168">
        <v>0</v>
      </c>
      <c r="AG4708" s="168"/>
      <c r="AH4708" s="168"/>
    </row>
    <row r="4709" spans="26:34" ht="24" customHeight="1">
      <c r="Z4709"/>
      <c r="AA4709"/>
      <c r="AB4709"/>
      <c r="AC4709"/>
      <c r="AD4709"/>
      <c r="AE4709" s="168"/>
      <c r="AF4709" s="168">
        <v>0</v>
      </c>
      <c r="AG4709" s="168"/>
      <c r="AH4709" s="168"/>
    </row>
    <row r="4710" spans="26:34" ht="24" customHeight="1">
      <c r="Z4710"/>
      <c r="AA4710"/>
      <c r="AB4710"/>
      <c r="AC4710"/>
      <c r="AD4710"/>
      <c r="AE4710" s="168"/>
      <c r="AF4710" s="168">
        <v>0</v>
      </c>
      <c r="AG4710" s="168"/>
      <c r="AH4710" s="168"/>
    </row>
    <row r="4711" spans="26:34" ht="24" customHeight="1">
      <c r="Z4711"/>
      <c r="AA4711"/>
      <c r="AB4711"/>
      <c r="AC4711"/>
      <c r="AD4711"/>
      <c r="AE4711" s="168"/>
      <c r="AF4711" s="168">
        <v>0</v>
      </c>
      <c r="AG4711" s="168"/>
      <c r="AH4711" s="168"/>
    </row>
    <row r="4712" spans="26:34" ht="24" customHeight="1">
      <c r="Z4712"/>
      <c r="AA4712"/>
      <c r="AB4712"/>
      <c r="AC4712"/>
      <c r="AD4712"/>
      <c r="AE4712" s="168"/>
      <c r="AF4712" s="168">
        <v>0</v>
      </c>
      <c r="AG4712" s="168"/>
      <c r="AH4712" s="168"/>
    </row>
    <row r="4713" spans="26:34" ht="24" customHeight="1">
      <c r="Z4713"/>
      <c r="AA4713"/>
      <c r="AB4713"/>
      <c r="AC4713"/>
      <c r="AD4713"/>
      <c r="AE4713" s="168"/>
      <c r="AF4713" s="168">
        <v>0</v>
      </c>
      <c r="AG4713" s="168"/>
      <c r="AH4713" s="168"/>
    </row>
    <row r="4714" spans="26:34" ht="24" customHeight="1">
      <c r="Z4714"/>
      <c r="AA4714"/>
      <c r="AB4714"/>
      <c r="AC4714"/>
      <c r="AD4714"/>
      <c r="AE4714" s="168"/>
      <c r="AF4714" s="168">
        <v>0</v>
      </c>
      <c r="AG4714" s="168"/>
      <c r="AH4714" s="168"/>
    </row>
    <row r="4715" spans="26:34" ht="24" customHeight="1">
      <c r="Z4715"/>
      <c r="AA4715"/>
      <c r="AB4715"/>
      <c r="AC4715"/>
      <c r="AD4715"/>
      <c r="AE4715" s="168"/>
      <c r="AF4715" s="168">
        <v>0</v>
      </c>
      <c r="AG4715" s="168"/>
      <c r="AH4715" s="168"/>
    </row>
    <row r="4716" spans="26:34" ht="24" customHeight="1">
      <c r="Z4716"/>
      <c r="AA4716"/>
      <c r="AB4716"/>
      <c r="AC4716"/>
      <c r="AD4716"/>
      <c r="AE4716" s="168"/>
      <c r="AF4716" s="168">
        <v>0</v>
      </c>
      <c r="AG4716" s="168"/>
      <c r="AH4716" s="168"/>
    </row>
    <row r="4717" spans="26:34" ht="24" customHeight="1">
      <c r="Z4717"/>
      <c r="AA4717"/>
      <c r="AB4717"/>
      <c r="AC4717"/>
      <c r="AD4717"/>
      <c r="AE4717" s="168"/>
      <c r="AF4717" s="168">
        <v>0</v>
      </c>
      <c r="AG4717" s="168"/>
      <c r="AH4717" s="168"/>
    </row>
    <row r="4718" spans="26:34" ht="24" customHeight="1">
      <c r="Z4718"/>
      <c r="AA4718"/>
      <c r="AB4718"/>
      <c r="AC4718"/>
      <c r="AD4718"/>
      <c r="AE4718" s="168"/>
      <c r="AF4718" s="168">
        <v>0</v>
      </c>
      <c r="AG4718" s="168"/>
      <c r="AH4718" s="168"/>
    </row>
    <row r="4719" spans="26:34" ht="24" customHeight="1">
      <c r="Z4719"/>
      <c r="AA4719"/>
      <c r="AB4719"/>
      <c r="AC4719"/>
      <c r="AD4719"/>
      <c r="AE4719" s="168"/>
      <c r="AF4719" s="168">
        <v>0</v>
      </c>
      <c r="AG4719" s="168"/>
      <c r="AH4719" s="168"/>
    </row>
    <row r="4720" spans="26:34" ht="24" customHeight="1">
      <c r="Z4720"/>
      <c r="AA4720"/>
      <c r="AB4720"/>
      <c r="AC4720"/>
      <c r="AD4720"/>
      <c r="AE4720" s="168"/>
      <c r="AF4720" s="168">
        <v>0</v>
      </c>
      <c r="AG4720" s="168"/>
      <c r="AH4720" s="168"/>
    </row>
    <row r="4721" spans="26:34" ht="24" customHeight="1">
      <c r="Z4721"/>
      <c r="AA4721"/>
      <c r="AB4721"/>
      <c r="AC4721"/>
      <c r="AD4721"/>
      <c r="AE4721" s="168"/>
      <c r="AF4721" s="168">
        <v>0</v>
      </c>
      <c r="AG4721" s="168"/>
      <c r="AH4721" s="168"/>
    </row>
    <row r="4722" spans="26:34" ht="24" customHeight="1">
      <c r="Z4722"/>
      <c r="AA4722"/>
      <c r="AB4722"/>
      <c r="AC4722"/>
      <c r="AD4722"/>
      <c r="AE4722" s="168"/>
      <c r="AF4722" s="168">
        <v>0</v>
      </c>
      <c r="AG4722" s="168"/>
      <c r="AH4722" s="168"/>
    </row>
    <row r="4723" spans="26:34" ht="24" customHeight="1">
      <c r="Z4723"/>
      <c r="AA4723"/>
      <c r="AB4723"/>
      <c r="AC4723"/>
      <c r="AD4723"/>
      <c r="AE4723" s="168"/>
      <c r="AF4723" s="168">
        <v>0</v>
      </c>
      <c r="AG4723" s="168"/>
      <c r="AH4723" s="168"/>
    </row>
    <row r="4724" spans="26:34" ht="24" customHeight="1">
      <c r="Z4724"/>
      <c r="AA4724"/>
      <c r="AB4724"/>
      <c r="AC4724"/>
      <c r="AD4724"/>
      <c r="AE4724" s="168"/>
      <c r="AF4724" s="168">
        <v>0</v>
      </c>
      <c r="AG4724" s="168"/>
      <c r="AH4724" s="168"/>
    </row>
    <row r="4725" spans="26:34" ht="24" customHeight="1">
      <c r="Z4725"/>
      <c r="AA4725"/>
      <c r="AB4725"/>
      <c r="AC4725"/>
      <c r="AD4725"/>
      <c r="AE4725" s="168"/>
      <c r="AF4725" s="168">
        <v>0</v>
      </c>
      <c r="AG4725" s="168"/>
      <c r="AH4725" s="168"/>
    </row>
    <row r="4726" spans="26:34" ht="24" customHeight="1">
      <c r="Z4726"/>
      <c r="AA4726"/>
      <c r="AB4726"/>
      <c r="AC4726"/>
      <c r="AD4726"/>
      <c r="AE4726" s="168"/>
      <c r="AF4726" s="168">
        <v>0</v>
      </c>
      <c r="AG4726" s="168"/>
      <c r="AH4726" s="168"/>
    </row>
    <row r="4727" spans="26:34" ht="24" customHeight="1">
      <c r="Z4727"/>
      <c r="AA4727"/>
      <c r="AB4727"/>
      <c r="AC4727"/>
      <c r="AD4727"/>
      <c r="AE4727" s="168"/>
      <c r="AF4727" s="168">
        <v>0</v>
      </c>
      <c r="AG4727" s="168"/>
      <c r="AH4727" s="168"/>
    </row>
    <row r="4728" spans="26:34" ht="24" customHeight="1">
      <c r="Z4728"/>
      <c r="AA4728"/>
      <c r="AB4728"/>
      <c r="AC4728"/>
      <c r="AD4728"/>
      <c r="AE4728" s="168"/>
      <c r="AF4728" s="168">
        <v>0</v>
      </c>
      <c r="AG4728" s="168"/>
      <c r="AH4728" s="168"/>
    </row>
    <row r="4729" spans="26:34" ht="24" customHeight="1">
      <c r="Z4729"/>
      <c r="AA4729"/>
      <c r="AB4729"/>
      <c r="AC4729"/>
      <c r="AD4729"/>
      <c r="AE4729" s="168"/>
      <c r="AF4729" s="168">
        <v>0</v>
      </c>
      <c r="AG4729" s="168"/>
      <c r="AH4729" s="168"/>
    </row>
    <row r="4730" spans="26:34" ht="24" customHeight="1">
      <c r="Z4730"/>
      <c r="AA4730"/>
      <c r="AB4730"/>
      <c r="AC4730"/>
      <c r="AD4730"/>
      <c r="AE4730" s="168"/>
      <c r="AF4730" s="168">
        <v>0</v>
      </c>
      <c r="AG4730" s="168"/>
      <c r="AH4730" s="168"/>
    </row>
    <row r="4731" spans="26:34" ht="24" customHeight="1">
      <c r="Z4731"/>
      <c r="AA4731"/>
      <c r="AB4731"/>
      <c r="AC4731"/>
      <c r="AD4731"/>
      <c r="AE4731" s="168"/>
      <c r="AF4731" s="168">
        <v>0</v>
      </c>
      <c r="AG4731" s="168"/>
      <c r="AH4731" s="168"/>
    </row>
    <row r="4732" spans="26:34" ht="24" customHeight="1">
      <c r="Z4732"/>
      <c r="AA4732"/>
      <c r="AB4732"/>
      <c r="AC4732"/>
      <c r="AD4732"/>
      <c r="AE4732" s="168"/>
      <c r="AF4732" s="168">
        <v>0</v>
      </c>
      <c r="AG4732" s="168"/>
      <c r="AH4732" s="168"/>
    </row>
    <row r="4733" spans="26:34" ht="24" customHeight="1">
      <c r="Z4733"/>
      <c r="AA4733"/>
      <c r="AB4733"/>
      <c r="AC4733"/>
      <c r="AD4733"/>
      <c r="AE4733" s="168"/>
      <c r="AF4733" s="168">
        <v>0</v>
      </c>
      <c r="AG4733" s="168"/>
      <c r="AH4733" s="168"/>
    </row>
    <row r="4734" spans="26:34" ht="24" customHeight="1">
      <c r="Z4734"/>
      <c r="AA4734"/>
      <c r="AB4734"/>
      <c r="AC4734"/>
      <c r="AD4734"/>
      <c r="AE4734" s="168"/>
      <c r="AF4734" s="168">
        <v>0</v>
      </c>
      <c r="AG4734" s="168"/>
      <c r="AH4734" s="168"/>
    </row>
    <row r="4735" spans="26:34" ht="24" customHeight="1">
      <c r="Z4735"/>
      <c r="AA4735"/>
      <c r="AB4735"/>
      <c r="AC4735"/>
      <c r="AD4735"/>
      <c r="AE4735" s="168"/>
      <c r="AF4735" s="168">
        <v>0</v>
      </c>
      <c r="AG4735" s="168"/>
      <c r="AH4735" s="168"/>
    </row>
    <row r="4736" spans="26:34" ht="24" customHeight="1">
      <c r="Z4736"/>
      <c r="AA4736"/>
      <c r="AB4736"/>
      <c r="AC4736"/>
      <c r="AD4736"/>
      <c r="AE4736" s="168"/>
      <c r="AF4736" s="168">
        <v>0</v>
      </c>
      <c r="AG4736" s="168"/>
      <c r="AH4736" s="168"/>
    </row>
    <row r="4737" spans="26:34" ht="24" customHeight="1">
      <c r="Z4737"/>
      <c r="AA4737"/>
      <c r="AB4737"/>
      <c r="AC4737"/>
      <c r="AD4737"/>
      <c r="AE4737" s="168"/>
      <c r="AF4737" s="168">
        <v>0</v>
      </c>
      <c r="AG4737" s="168"/>
      <c r="AH4737" s="168"/>
    </row>
    <row r="4738" spans="26:34" ht="24" customHeight="1">
      <c r="Z4738"/>
      <c r="AA4738"/>
      <c r="AB4738"/>
      <c r="AC4738"/>
      <c r="AD4738"/>
      <c r="AE4738" s="168"/>
      <c r="AF4738" s="168">
        <v>0</v>
      </c>
      <c r="AG4738" s="168"/>
      <c r="AH4738" s="168"/>
    </row>
    <row r="4739" spans="26:34" ht="24" customHeight="1">
      <c r="Z4739"/>
      <c r="AA4739"/>
      <c r="AB4739"/>
      <c r="AC4739"/>
      <c r="AD4739"/>
      <c r="AE4739" s="168"/>
      <c r="AF4739" s="168">
        <v>0</v>
      </c>
      <c r="AG4739" s="168"/>
      <c r="AH4739" s="168"/>
    </row>
    <row r="4740" spans="26:34" ht="24" customHeight="1">
      <c r="Z4740"/>
      <c r="AA4740"/>
      <c r="AB4740"/>
      <c r="AC4740"/>
      <c r="AD4740"/>
      <c r="AE4740" s="168"/>
      <c r="AF4740" s="168">
        <v>0</v>
      </c>
      <c r="AG4740" s="168"/>
      <c r="AH4740" s="168"/>
    </row>
    <row r="4741" spans="26:34" ht="24" customHeight="1">
      <c r="Z4741"/>
      <c r="AA4741"/>
      <c r="AB4741"/>
      <c r="AC4741"/>
      <c r="AD4741"/>
      <c r="AE4741" s="168"/>
      <c r="AF4741" s="168">
        <v>0</v>
      </c>
      <c r="AG4741" s="168"/>
      <c r="AH4741" s="168"/>
    </row>
    <row r="4742" spans="26:34" ht="24" customHeight="1">
      <c r="Z4742"/>
      <c r="AA4742"/>
      <c r="AB4742"/>
      <c r="AC4742"/>
      <c r="AD4742"/>
      <c r="AE4742" s="168"/>
      <c r="AF4742" s="168">
        <v>0</v>
      </c>
      <c r="AG4742" s="168"/>
      <c r="AH4742" s="168"/>
    </row>
    <row r="4743" spans="26:34" ht="24" customHeight="1">
      <c r="Z4743"/>
      <c r="AA4743"/>
      <c r="AB4743"/>
      <c r="AC4743"/>
      <c r="AD4743"/>
      <c r="AE4743" s="168"/>
      <c r="AF4743" s="168">
        <v>0</v>
      </c>
      <c r="AG4743" s="168"/>
      <c r="AH4743" s="168"/>
    </row>
    <row r="4744" spans="26:34" ht="24" customHeight="1">
      <c r="Z4744"/>
      <c r="AA4744"/>
      <c r="AB4744"/>
      <c r="AC4744"/>
      <c r="AD4744"/>
      <c r="AE4744" s="168"/>
      <c r="AF4744" s="168">
        <v>0</v>
      </c>
      <c r="AG4744" s="168"/>
      <c r="AH4744" s="168"/>
    </row>
    <row r="4745" spans="26:34" ht="24" customHeight="1">
      <c r="Z4745"/>
      <c r="AA4745"/>
      <c r="AB4745"/>
      <c r="AC4745"/>
      <c r="AD4745"/>
      <c r="AE4745" s="168"/>
      <c r="AF4745" s="168">
        <v>0</v>
      </c>
      <c r="AG4745" s="168"/>
      <c r="AH4745" s="168"/>
    </row>
    <row r="4746" spans="26:34" ht="24" customHeight="1">
      <c r="Z4746"/>
      <c r="AA4746"/>
      <c r="AB4746"/>
      <c r="AC4746"/>
      <c r="AD4746"/>
      <c r="AE4746" s="168"/>
      <c r="AF4746" s="168">
        <v>0</v>
      </c>
      <c r="AG4746" s="168"/>
      <c r="AH4746" s="168"/>
    </row>
    <row r="4747" spans="26:34" ht="24" customHeight="1">
      <c r="Z4747"/>
      <c r="AA4747"/>
      <c r="AB4747"/>
      <c r="AC4747"/>
      <c r="AD4747"/>
      <c r="AE4747" s="168"/>
      <c r="AF4747" s="168">
        <v>0</v>
      </c>
      <c r="AG4747" s="168"/>
      <c r="AH4747" s="168"/>
    </row>
    <row r="4748" spans="26:34" ht="24" customHeight="1">
      <c r="Z4748"/>
      <c r="AA4748"/>
      <c r="AB4748"/>
      <c r="AC4748"/>
      <c r="AD4748"/>
      <c r="AE4748" s="168"/>
      <c r="AF4748" s="168">
        <v>0</v>
      </c>
      <c r="AG4748" s="168"/>
      <c r="AH4748" s="168"/>
    </row>
    <row r="4749" spans="26:34" ht="24" customHeight="1">
      <c r="Z4749"/>
      <c r="AA4749"/>
      <c r="AB4749"/>
      <c r="AC4749"/>
      <c r="AD4749"/>
      <c r="AE4749" s="168"/>
      <c r="AF4749" s="168">
        <v>0</v>
      </c>
      <c r="AG4749" s="168"/>
      <c r="AH4749" s="168"/>
    </row>
    <row r="4750" spans="26:34" ht="24" customHeight="1">
      <c r="Z4750"/>
      <c r="AA4750"/>
      <c r="AB4750"/>
      <c r="AC4750"/>
      <c r="AD4750"/>
      <c r="AE4750" s="168"/>
      <c r="AF4750" s="168">
        <v>0</v>
      </c>
      <c r="AG4750" s="168"/>
      <c r="AH4750" s="168"/>
    </row>
    <row r="4751" spans="26:34" ht="24" customHeight="1">
      <c r="Z4751"/>
      <c r="AA4751"/>
      <c r="AB4751"/>
      <c r="AC4751"/>
      <c r="AD4751"/>
      <c r="AE4751" s="168"/>
      <c r="AF4751" s="168">
        <v>0</v>
      </c>
      <c r="AG4751" s="168"/>
      <c r="AH4751" s="168"/>
    </row>
    <row r="4752" spans="26:34" ht="24" customHeight="1">
      <c r="Z4752"/>
      <c r="AA4752"/>
      <c r="AB4752"/>
      <c r="AC4752"/>
      <c r="AD4752"/>
      <c r="AE4752" s="168"/>
      <c r="AF4752" s="168">
        <v>0</v>
      </c>
      <c r="AG4752" s="168"/>
      <c r="AH4752" s="168"/>
    </row>
    <row r="4753" spans="26:34" ht="24" customHeight="1">
      <c r="Z4753"/>
      <c r="AA4753"/>
      <c r="AB4753"/>
      <c r="AC4753"/>
      <c r="AD4753"/>
      <c r="AE4753" s="168"/>
      <c r="AF4753" s="168">
        <v>0</v>
      </c>
      <c r="AG4753" s="168"/>
      <c r="AH4753" s="168"/>
    </row>
    <row r="4754" spans="26:34" ht="24" customHeight="1">
      <c r="Z4754"/>
      <c r="AA4754"/>
      <c r="AB4754"/>
      <c r="AC4754"/>
      <c r="AD4754"/>
      <c r="AE4754" s="168"/>
      <c r="AF4754" s="168">
        <v>0</v>
      </c>
      <c r="AG4754" s="168"/>
      <c r="AH4754" s="168"/>
    </row>
    <row r="4755" spans="26:34" ht="24" customHeight="1">
      <c r="Z4755"/>
      <c r="AA4755"/>
      <c r="AB4755"/>
      <c r="AC4755"/>
      <c r="AD4755"/>
      <c r="AE4755" s="168"/>
      <c r="AF4755" s="168">
        <v>0</v>
      </c>
      <c r="AG4755" s="168"/>
      <c r="AH4755" s="168"/>
    </row>
    <row r="4756" spans="26:34" ht="24" customHeight="1">
      <c r="Z4756"/>
      <c r="AA4756"/>
      <c r="AB4756"/>
      <c r="AC4756"/>
      <c r="AD4756"/>
      <c r="AE4756" s="168"/>
      <c r="AF4756" s="168">
        <v>0</v>
      </c>
      <c r="AG4756" s="168"/>
      <c r="AH4756" s="168"/>
    </row>
    <row r="4757" spans="26:34" ht="24" customHeight="1">
      <c r="Z4757"/>
      <c r="AA4757"/>
      <c r="AB4757"/>
      <c r="AC4757"/>
      <c r="AD4757"/>
      <c r="AE4757" s="168"/>
      <c r="AF4757" s="168">
        <v>0</v>
      </c>
      <c r="AG4757" s="168"/>
      <c r="AH4757" s="168"/>
    </row>
    <row r="4758" spans="26:34" ht="24" customHeight="1">
      <c r="Z4758"/>
      <c r="AA4758"/>
      <c r="AB4758"/>
      <c r="AC4758"/>
      <c r="AD4758"/>
      <c r="AE4758" s="168"/>
      <c r="AF4758" s="168">
        <v>0</v>
      </c>
      <c r="AG4758" s="168"/>
      <c r="AH4758" s="168"/>
    </row>
    <row r="4759" spans="26:34" ht="24" customHeight="1">
      <c r="Z4759"/>
      <c r="AA4759"/>
      <c r="AB4759"/>
      <c r="AC4759"/>
      <c r="AD4759"/>
      <c r="AE4759" s="168"/>
      <c r="AF4759" s="168">
        <v>0</v>
      </c>
      <c r="AG4759" s="168"/>
      <c r="AH4759" s="168"/>
    </row>
    <row r="4760" spans="26:34" ht="24" customHeight="1">
      <c r="Z4760"/>
      <c r="AA4760"/>
      <c r="AB4760"/>
      <c r="AC4760"/>
      <c r="AD4760"/>
      <c r="AE4760" s="168"/>
      <c r="AF4760" s="168">
        <v>0</v>
      </c>
      <c r="AG4760" s="168"/>
      <c r="AH4760" s="168"/>
    </row>
    <row r="4761" spans="26:34" ht="24" customHeight="1">
      <c r="Z4761"/>
      <c r="AA4761"/>
      <c r="AB4761"/>
      <c r="AC4761"/>
      <c r="AD4761"/>
      <c r="AE4761" s="168"/>
      <c r="AF4761" s="168">
        <v>0</v>
      </c>
      <c r="AG4761" s="168"/>
      <c r="AH4761" s="168"/>
    </row>
    <row r="4762" spans="26:34" ht="24" customHeight="1">
      <c r="Z4762"/>
      <c r="AA4762"/>
      <c r="AB4762"/>
      <c r="AC4762"/>
      <c r="AD4762"/>
      <c r="AE4762" s="168"/>
      <c r="AF4762" s="168">
        <v>0</v>
      </c>
      <c r="AG4762" s="168"/>
      <c r="AH4762" s="168"/>
    </row>
    <row r="4763" spans="26:34" ht="24" customHeight="1">
      <c r="Z4763"/>
      <c r="AA4763"/>
      <c r="AB4763"/>
      <c r="AC4763"/>
      <c r="AD4763"/>
      <c r="AE4763" s="168"/>
      <c r="AF4763" s="168">
        <v>0</v>
      </c>
      <c r="AG4763" s="168"/>
      <c r="AH4763" s="168"/>
    </row>
    <row r="4764" spans="26:34" ht="24" customHeight="1">
      <c r="Z4764"/>
      <c r="AA4764"/>
      <c r="AB4764"/>
      <c r="AC4764"/>
      <c r="AD4764"/>
      <c r="AE4764" s="168"/>
      <c r="AF4764" s="168">
        <v>0</v>
      </c>
      <c r="AG4764" s="168"/>
      <c r="AH4764" s="168"/>
    </row>
    <row r="4765" spans="26:34" ht="24" customHeight="1">
      <c r="Z4765"/>
      <c r="AA4765"/>
      <c r="AB4765"/>
      <c r="AC4765"/>
      <c r="AD4765"/>
      <c r="AE4765" s="168"/>
      <c r="AF4765" s="168">
        <v>0</v>
      </c>
      <c r="AG4765" s="168"/>
      <c r="AH4765" s="168"/>
    </row>
    <row r="4766" spans="26:34" ht="24" customHeight="1">
      <c r="Z4766"/>
      <c r="AA4766"/>
      <c r="AB4766"/>
      <c r="AC4766"/>
      <c r="AD4766"/>
      <c r="AE4766" s="168"/>
      <c r="AF4766" s="168">
        <v>0</v>
      </c>
      <c r="AG4766" s="168"/>
      <c r="AH4766" s="168"/>
    </row>
    <row r="4767" spans="26:34" ht="24" customHeight="1">
      <c r="Z4767"/>
      <c r="AA4767"/>
      <c r="AB4767"/>
      <c r="AC4767"/>
      <c r="AD4767"/>
      <c r="AE4767" s="168"/>
      <c r="AF4767" s="168">
        <v>0</v>
      </c>
      <c r="AG4767" s="168"/>
      <c r="AH4767" s="168"/>
    </row>
    <row r="4768" spans="26:34" ht="24" customHeight="1">
      <c r="Z4768"/>
      <c r="AA4768"/>
      <c r="AB4768"/>
      <c r="AC4768"/>
      <c r="AD4768"/>
      <c r="AE4768" s="168"/>
      <c r="AF4768" s="168">
        <v>0</v>
      </c>
      <c r="AG4768" s="168"/>
      <c r="AH4768" s="168"/>
    </row>
    <row r="4769" spans="26:34" ht="24" customHeight="1">
      <c r="Z4769"/>
      <c r="AA4769"/>
      <c r="AB4769"/>
      <c r="AC4769"/>
      <c r="AD4769"/>
      <c r="AE4769" s="168"/>
      <c r="AF4769" s="168">
        <v>0</v>
      </c>
      <c r="AG4769" s="168"/>
      <c r="AH4769" s="168"/>
    </row>
    <row r="4770" spans="26:34" ht="24" customHeight="1">
      <c r="Z4770"/>
      <c r="AA4770"/>
      <c r="AB4770"/>
      <c r="AC4770"/>
      <c r="AD4770"/>
      <c r="AE4770" s="168"/>
      <c r="AF4770" s="168">
        <v>0</v>
      </c>
      <c r="AG4770" s="168"/>
      <c r="AH4770" s="168"/>
    </row>
    <row r="4771" spans="26:34" ht="24" customHeight="1">
      <c r="Z4771"/>
      <c r="AA4771"/>
      <c r="AB4771"/>
      <c r="AC4771"/>
      <c r="AD4771"/>
      <c r="AE4771" s="168"/>
      <c r="AF4771" s="168">
        <v>0</v>
      </c>
      <c r="AG4771" s="168"/>
      <c r="AH4771" s="168"/>
    </row>
    <row r="4772" spans="26:34" ht="24" customHeight="1">
      <c r="Z4772"/>
      <c r="AA4772"/>
      <c r="AB4772"/>
      <c r="AC4772"/>
      <c r="AD4772"/>
      <c r="AE4772" s="168"/>
      <c r="AF4772" s="168">
        <v>0</v>
      </c>
      <c r="AG4772" s="168"/>
      <c r="AH4772" s="168"/>
    </row>
    <row r="4773" spans="26:34" ht="24" customHeight="1">
      <c r="Z4773"/>
      <c r="AA4773"/>
      <c r="AB4773"/>
      <c r="AC4773"/>
      <c r="AD4773"/>
      <c r="AE4773" s="168"/>
      <c r="AF4773" s="168">
        <v>0</v>
      </c>
      <c r="AG4773" s="168"/>
      <c r="AH4773" s="168"/>
    </row>
    <row r="4774" spans="26:34" ht="24" customHeight="1">
      <c r="Z4774"/>
      <c r="AA4774"/>
      <c r="AB4774"/>
      <c r="AC4774"/>
      <c r="AD4774"/>
      <c r="AE4774" s="168"/>
      <c r="AF4774" s="168">
        <v>0</v>
      </c>
      <c r="AG4774" s="168"/>
      <c r="AH4774" s="168"/>
    </row>
    <row r="4775" spans="26:34" ht="24" customHeight="1">
      <c r="Z4775"/>
      <c r="AA4775"/>
      <c r="AB4775"/>
      <c r="AC4775"/>
      <c r="AD4775"/>
      <c r="AE4775" s="168"/>
      <c r="AF4775" s="168">
        <v>0</v>
      </c>
      <c r="AG4775" s="168"/>
      <c r="AH4775" s="168"/>
    </row>
    <row r="4776" spans="26:34" ht="24" customHeight="1">
      <c r="Z4776"/>
      <c r="AA4776"/>
      <c r="AB4776"/>
      <c r="AC4776"/>
      <c r="AD4776"/>
      <c r="AE4776" s="168"/>
      <c r="AF4776" s="168">
        <v>0</v>
      </c>
      <c r="AG4776" s="168"/>
      <c r="AH4776" s="168"/>
    </row>
    <row r="4777" spans="26:34" ht="24" customHeight="1">
      <c r="Z4777"/>
      <c r="AA4777"/>
      <c r="AB4777"/>
      <c r="AC4777"/>
      <c r="AD4777"/>
      <c r="AE4777" s="168"/>
      <c r="AF4777" s="168">
        <v>0</v>
      </c>
      <c r="AG4777" s="168"/>
      <c r="AH4777" s="168"/>
    </row>
    <row r="4778" spans="26:34" ht="24" customHeight="1">
      <c r="Z4778"/>
      <c r="AA4778"/>
      <c r="AB4778"/>
      <c r="AC4778"/>
      <c r="AD4778"/>
      <c r="AE4778" s="168"/>
      <c r="AF4778" s="168">
        <v>0</v>
      </c>
      <c r="AG4778" s="168"/>
      <c r="AH4778" s="168"/>
    </row>
    <row r="4779" spans="26:34" ht="24" customHeight="1">
      <c r="Z4779"/>
      <c r="AA4779"/>
      <c r="AB4779"/>
      <c r="AC4779"/>
      <c r="AD4779"/>
      <c r="AE4779" s="168"/>
      <c r="AF4779" s="168">
        <v>0</v>
      </c>
      <c r="AG4779" s="168"/>
      <c r="AH4779" s="168"/>
    </row>
    <row r="4780" spans="26:34" ht="24" customHeight="1">
      <c r="Z4780"/>
      <c r="AA4780"/>
      <c r="AB4780"/>
      <c r="AC4780"/>
      <c r="AD4780"/>
      <c r="AE4780" s="168"/>
      <c r="AF4780" s="168">
        <v>0</v>
      </c>
      <c r="AG4780" s="168"/>
      <c r="AH4780" s="168"/>
    </row>
    <row r="4781" spans="26:34" ht="24" customHeight="1">
      <c r="Z4781"/>
      <c r="AA4781"/>
      <c r="AB4781"/>
      <c r="AC4781"/>
      <c r="AD4781"/>
      <c r="AE4781" s="168"/>
      <c r="AF4781" s="168">
        <v>0</v>
      </c>
      <c r="AG4781" s="168"/>
      <c r="AH4781" s="168"/>
    </row>
    <row r="4782" spans="26:34" ht="24" customHeight="1">
      <c r="Z4782"/>
      <c r="AA4782"/>
      <c r="AB4782"/>
      <c r="AC4782"/>
      <c r="AD4782"/>
      <c r="AE4782" s="168"/>
      <c r="AF4782" s="168">
        <v>0</v>
      </c>
      <c r="AG4782" s="168"/>
      <c r="AH4782" s="168"/>
    </row>
    <row r="4783" spans="26:34" ht="24" customHeight="1">
      <c r="Z4783"/>
      <c r="AA4783"/>
      <c r="AB4783"/>
      <c r="AC4783"/>
      <c r="AD4783"/>
      <c r="AE4783" s="168"/>
      <c r="AF4783" s="168">
        <v>0</v>
      </c>
      <c r="AG4783" s="168"/>
      <c r="AH4783" s="168"/>
    </row>
    <row r="4784" spans="26:34" ht="24" customHeight="1">
      <c r="Z4784"/>
      <c r="AA4784"/>
      <c r="AB4784"/>
      <c r="AC4784"/>
      <c r="AD4784"/>
      <c r="AE4784" s="168"/>
      <c r="AF4784" s="168">
        <v>0</v>
      </c>
      <c r="AG4784" s="168"/>
      <c r="AH4784" s="168"/>
    </row>
    <row r="4785" spans="26:34" ht="24" customHeight="1">
      <c r="Z4785"/>
      <c r="AA4785"/>
      <c r="AB4785"/>
      <c r="AC4785"/>
      <c r="AD4785"/>
      <c r="AE4785" s="168"/>
      <c r="AF4785" s="168">
        <v>0</v>
      </c>
      <c r="AG4785" s="168"/>
      <c r="AH4785" s="168"/>
    </row>
    <row r="4786" spans="26:34" ht="24" customHeight="1">
      <c r="Z4786"/>
      <c r="AA4786"/>
      <c r="AB4786"/>
      <c r="AC4786"/>
      <c r="AD4786"/>
      <c r="AE4786" s="168"/>
      <c r="AF4786" s="168">
        <v>0</v>
      </c>
      <c r="AG4786" s="168"/>
      <c r="AH4786" s="168"/>
    </row>
    <row r="4787" spans="26:34" ht="24" customHeight="1">
      <c r="Z4787"/>
      <c r="AA4787"/>
      <c r="AB4787"/>
      <c r="AC4787"/>
      <c r="AD4787"/>
      <c r="AE4787" s="168"/>
      <c r="AF4787" s="168">
        <v>0</v>
      </c>
      <c r="AG4787" s="168"/>
      <c r="AH4787" s="168"/>
    </row>
    <row r="4788" spans="26:34" ht="24" customHeight="1">
      <c r="Z4788"/>
      <c r="AA4788"/>
      <c r="AB4788"/>
      <c r="AC4788"/>
      <c r="AD4788"/>
      <c r="AE4788" s="168"/>
      <c r="AF4788" s="168">
        <v>0</v>
      </c>
      <c r="AG4788" s="168"/>
      <c r="AH4788" s="168"/>
    </row>
    <row r="4789" spans="26:34" ht="24" customHeight="1">
      <c r="Z4789"/>
      <c r="AA4789"/>
      <c r="AB4789"/>
      <c r="AC4789"/>
      <c r="AD4789"/>
      <c r="AE4789" s="168"/>
      <c r="AF4789" s="168">
        <v>0</v>
      </c>
      <c r="AG4789" s="168"/>
      <c r="AH4789" s="168"/>
    </row>
    <row r="4790" spans="26:34" ht="24" customHeight="1">
      <c r="Z4790"/>
      <c r="AA4790"/>
      <c r="AB4790"/>
      <c r="AC4790"/>
      <c r="AD4790"/>
      <c r="AE4790" s="168"/>
      <c r="AF4790" s="168">
        <v>0</v>
      </c>
      <c r="AG4790" s="168"/>
      <c r="AH4790" s="168"/>
    </row>
    <row r="4791" spans="26:34" ht="24" customHeight="1">
      <c r="Z4791"/>
      <c r="AA4791"/>
      <c r="AB4791"/>
      <c r="AC4791"/>
      <c r="AD4791"/>
      <c r="AE4791" s="168"/>
      <c r="AF4791" s="168">
        <v>0</v>
      </c>
      <c r="AG4791" s="168"/>
      <c r="AH4791" s="168"/>
    </row>
    <row r="4792" spans="26:34" ht="24" customHeight="1">
      <c r="Z4792"/>
      <c r="AA4792"/>
      <c r="AB4792"/>
      <c r="AC4792"/>
      <c r="AD4792"/>
      <c r="AE4792" s="168"/>
      <c r="AF4792" s="168">
        <v>0</v>
      </c>
      <c r="AG4792" s="168"/>
      <c r="AH4792" s="168"/>
    </row>
    <row r="4793" spans="26:34" ht="24" customHeight="1">
      <c r="Z4793"/>
      <c r="AA4793"/>
      <c r="AB4793"/>
      <c r="AC4793"/>
      <c r="AD4793"/>
      <c r="AE4793" s="168"/>
      <c r="AF4793" s="168">
        <v>0</v>
      </c>
      <c r="AG4793" s="168"/>
      <c r="AH4793" s="168"/>
    </row>
    <row r="4794" spans="26:34" ht="24" customHeight="1">
      <c r="Z4794"/>
      <c r="AA4794"/>
      <c r="AB4794"/>
      <c r="AC4794"/>
      <c r="AD4794"/>
      <c r="AE4794" s="168"/>
      <c r="AF4794" s="168">
        <v>0</v>
      </c>
      <c r="AG4794" s="168"/>
      <c r="AH4794" s="168"/>
    </row>
    <row r="4795" spans="26:34" ht="24" customHeight="1">
      <c r="Z4795"/>
      <c r="AA4795"/>
      <c r="AB4795"/>
      <c r="AC4795"/>
      <c r="AD4795"/>
      <c r="AE4795" s="168"/>
      <c r="AF4795" s="168">
        <v>0</v>
      </c>
      <c r="AG4795" s="168"/>
      <c r="AH4795" s="168"/>
    </row>
    <row r="4796" spans="26:34" ht="24" customHeight="1">
      <c r="Z4796"/>
      <c r="AA4796"/>
      <c r="AB4796"/>
      <c r="AC4796"/>
      <c r="AD4796"/>
      <c r="AE4796" s="168"/>
      <c r="AF4796" s="168">
        <v>0</v>
      </c>
      <c r="AG4796" s="168"/>
      <c r="AH4796" s="168"/>
    </row>
    <row r="4797" spans="26:34" ht="24" customHeight="1">
      <c r="Z4797"/>
      <c r="AA4797"/>
      <c r="AB4797"/>
      <c r="AC4797"/>
      <c r="AD4797"/>
      <c r="AE4797" s="168"/>
      <c r="AF4797" s="168">
        <v>0</v>
      </c>
      <c r="AG4797" s="168"/>
      <c r="AH4797" s="168"/>
    </row>
    <row r="4798" spans="26:34" ht="24" customHeight="1">
      <c r="Z4798"/>
      <c r="AA4798"/>
      <c r="AB4798"/>
      <c r="AC4798"/>
      <c r="AD4798"/>
      <c r="AE4798" s="168"/>
      <c r="AF4798" s="168">
        <v>0</v>
      </c>
      <c r="AG4798" s="168"/>
      <c r="AH4798" s="168"/>
    </row>
    <row r="4799" spans="26:34" ht="24" customHeight="1">
      <c r="Z4799"/>
      <c r="AA4799"/>
      <c r="AB4799"/>
      <c r="AC4799"/>
      <c r="AD4799"/>
      <c r="AE4799" s="168"/>
      <c r="AF4799" s="168">
        <v>0</v>
      </c>
      <c r="AG4799" s="168"/>
      <c r="AH4799" s="168"/>
    </row>
    <row r="4800" spans="26:34" ht="24" customHeight="1">
      <c r="Z4800"/>
      <c r="AA4800"/>
      <c r="AB4800"/>
      <c r="AC4800"/>
      <c r="AD4800"/>
      <c r="AE4800" s="168"/>
      <c r="AF4800" s="168">
        <v>0</v>
      </c>
      <c r="AG4800" s="168"/>
      <c r="AH4800" s="168"/>
    </row>
    <row r="4801" spans="26:34" ht="24" customHeight="1">
      <c r="Z4801"/>
      <c r="AA4801"/>
      <c r="AB4801"/>
      <c r="AC4801"/>
      <c r="AD4801"/>
      <c r="AE4801" s="168"/>
      <c r="AF4801" s="168">
        <v>0</v>
      </c>
      <c r="AG4801" s="168"/>
      <c r="AH4801" s="168"/>
    </row>
    <row r="4802" spans="26:34" ht="24" customHeight="1">
      <c r="Z4802"/>
      <c r="AA4802"/>
      <c r="AB4802"/>
      <c r="AC4802"/>
      <c r="AD4802"/>
      <c r="AE4802" s="168"/>
      <c r="AF4802" s="168">
        <v>0</v>
      </c>
      <c r="AG4802" s="168"/>
      <c r="AH4802" s="168"/>
    </row>
    <row r="4803" spans="26:34" ht="24" customHeight="1">
      <c r="Z4803"/>
      <c r="AA4803"/>
      <c r="AB4803"/>
      <c r="AC4803"/>
      <c r="AD4803"/>
      <c r="AE4803" s="168"/>
      <c r="AF4803" s="168">
        <v>0</v>
      </c>
      <c r="AG4803" s="168"/>
      <c r="AH4803" s="168"/>
    </row>
    <row r="4804" spans="26:34" ht="24" customHeight="1">
      <c r="Z4804"/>
      <c r="AA4804"/>
      <c r="AB4804"/>
      <c r="AC4804"/>
      <c r="AD4804"/>
      <c r="AE4804" s="168"/>
      <c r="AF4804" s="168">
        <v>0</v>
      </c>
      <c r="AG4804" s="168"/>
      <c r="AH4804" s="168"/>
    </row>
    <row r="4805" spans="26:34" ht="24" customHeight="1">
      <c r="Z4805"/>
      <c r="AA4805"/>
      <c r="AB4805"/>
      <c r="AC4805"/>
      <c r="AD4805"/>
      <c r="AE4805" s="168"/>
      <c r="AF4805" s="168">
        <v>0</v>
      </c>
      <c r="AG4805" s="168"/>
      <c r="AH4805" s="168"/>
    </row>
    <row r="4806" spans="26:34" ht="24" customHeight="1">
      <c r="Z4806"/>
      <c r="AA4806"/>
      <c r="AB4806"/>
      <c r="AC4806"/>
      <c r="AD4806"/>
      <c r="AE4806" s="168"/>
      <c r="AF4806" s="168">
        <v>0</v>
      </c>
      <c r="AG4806" s="168"/>
      <c r="AH4806" s="168"/>
    </row>
    <row r="4807" spans="26:34" ht="24" customHeight="1">
      <c r="Z4807"/>
      <c r="AA4807"/>
      <c r="AB4807"/>
      <c r="AC4807"/>
      <c r="AD4807"/>
      <c r="AE4807" s="168"/>
      <c r="AF4807" s="168">
        <v>0</v>
      </c>
      <c r="AG4807" s="168"/>
      <c r="AH4807" s="168"/>
    </row>
    <row r="4808" spans="26:34" ht="24" customHeight="1">
      <c r="Z4808"/>
      <c r="AA4808"/>
      <c r="AB4808"/>
      <c r="AC4808"/>
      <c r="AD4808"/>
      <c r="AE4808" s="168"/>
      <c r="AF4808" s="168">
        <v>0</v>
      </c>
      <c r="AG4808" s="168"/>
      <c r="AH4808" s="168"/>
    </row>
    <row r="4809" spans="26:34" ht="24" customHeight="1">
      <c r="Z4809"/>
      <c r="AA4809"/>
      <c r="AB4809"/>
      <c r="AC4809"/>
      <c r="AD4809"/>
      <c r="AE4809" s="168"/>
      <c r="AF4809" s="168">
        <v>0</v>
      </c>
      <c r="AG4809" s="168"/>
      <c r="AH4809" s="168"/>
    </row>
    <row r="4810" spans="26:34" ht="24" customHeight="1">
      <c r="Z4810"/>
      <c r="AA4810"/>
      <c r="AB4810"/>
      <c r="AC4810"/>
      <c r="AD4810"/>
      <c r="AE4810" s="168"/>
      <c r="AF4810" s="168">
        <v>0</v>
      </c>
      <c r="AG4810" s="168"/>
      <c r="AH4810" s="168"/>
    </row>
    <row r="4811" spans="26:34" ht="24" customHeight="1">
      <c r="Z4811"/>
      <c r="AA4811"/>
      <c r="AB4811"/>
      <c r="AC4811"/>
      <c r="AD4811"/>
      <c r="AE4811" s="168"/>
      <c r="AF4811" s="168">
        <v>0</v>
      </c>
      <c r="AG4811" s="168"/>
      <c r="AH4811" s="168"/>
    </row>
    <row r="4812" spans="26:34" ht="24" customHeight="1">
      <c r="Z4812"/>
      <c r="AA4812"/>
      <c r="AB4812"/>
      <c r="AC4812"/>
      <c r="AD4812"/>
      <c r="AE4812" s="168"/>
      <c r="AF4812" s="168">
        <v>0</v>
      </c>
      <c r="AG4812" s="168"/>
      <c r="AH4812" s="168"/>
    </row>
    <row r="4813" spans="26:34" ht="24" customHeight="1">
      <c r="Z4813"/>
      <c r="AA4813"/>
      <c r="AB4813"/>
      <c r="AC4813"/>
      <c r="AD4813"/>
      <c r="AE4813" s="168"/>
      <c r="AF4813" s="168">
        <v>0</v>
      </c>
      <c r="AG4813" s="168"/>
      <c r="AH4813" s="168"/>
    </row>
    <row r="4814" spans="26:34" ht="24" customHeight="1">
      <c r="Z4814"/>
      <c r="AA4814"/>
      <c r="AB4814"/>
      <c r="AC4814"/>
      <c r="AD4814"/>
      <c r="AE4814" s="168"/>
      <c r="AF4814" s="168">
        <v>0</v>
      </c>
      <c r="AG4814" s="168"/>
      <c r="AH4814" s="168"/>
    </row>
    <row r="4815" spans="26:34" ht="24" customHeight="1">
      <c r="Z4815"/>
      <c r="AA4815"/>
      <c r="AB4815"/>
      <c r="AC4815"/>
      <c r="AD4815"/>
      <c r="AE4815" s="168"/>
      <c r="AF4815" s="168">
        <v>0</v>
      </c>
      <c r="AG4815" s="168"/>
      <c r="AH4815" s="168"/>
    </row>
    <row r="4816" spans="26:34" ht="24" customHeight="1">
      <c r="Z4816"/>
      <c r="AA4816"/>
      <c r="AB4816"/>
      <c r="AC4816"/>
      <c r="AD4816"/>
      <c r="AE4816" s="168"/>
      <c r="AF4816" s="168">
        <v>0</v>
      </c>
      <c r="AG4816" s="168"/>
      <c r="AH4816" s="168"/>
    </row>
    <row r="4817" spans="26:34" ht="24" customHeight="1">
      <c r="Z4817"/>
      <c r="AA4817"/>
      <c r="AB4817"/>
      <c r="AC4817"/>
      <c r="AD4817"/>
      <c r="AE4817" s="168"/>
      <c r="AF4817" s="168">
        <v>0</v>
      </c>
      <c r="AG4817" s="168"/>
      <c r="AH4817" s="168"/>
    </row>
    <row r="4818" spans="26:34" ht="24" customHeight="1">
      <c r="Z4818"/>
      <c r="AA4818"/>
      <c r="AB4818"/>
      <c r="AC4818"/>
      <c r="AD4818"/>
      <c r="AE4818" s="168"/>
      <c r="AF4818" s="168">
        <v>0</v>
      </c>
      <c r="AG4818" s="168"/>
      <c r="AH4818" s="168"/>
    </row>
    <row r="4819" spans="26:34" ht="24" customHeight="1">
      <c r="Z4819"/>
      <c r="AA4819"/>
      <c r="AB4819"/>
      <c r="AC4819"/>
      <c r="AD4819"/>
      <c r="AE4819" s="168"/>
      <c r="AF4819" s="168">
        <v>0</v>
      </c>
      <c r="AG4819" s="168"/>
      <c r="AH4819" s="168"/>
    </row>
    <row r="4820" spans="26:34" ht="24" customHeight="1">
      <c r="Z4820"/>
      <c r="AA4820"/>
      <c r="AB4820"/>
      <c r="AC4820"/>
      <c r="AD4820"/>
      <c r="AE4820" s="168"/>
      <c r="AF4820" s="168">
        <v>0</v>
      </c>
      <c r="AG4820" s="168"/>
      <c r="AH4820" s="168"/>
    </row>
    <row r="4821" spans="26:34" ht="24" customHeight="1">
      <c r="Z4821"/>
      <c r="AA4821"/>
      <c r="AB4821"/>
      <c r="AC4821"/>
      <c r="AD4821"/>
      <c r="AE4821" s="168"/>
      <c r="AF4821" s="168">
        <v>0</v>
      </c>
      <c r="AG4821" s="168"/>
      <c r="AH4821" s="168"/>
    </row>
    <row r="4822" spans="26:34" ht="24" customHeight="1">
      <c r="Z4822"/>
      <c r="AA4822"/>
      <c r="AB4822"/>
      <c r="AC4822"/>
      <c r="AD4822"/>
      <c r="AE4822" s="168"/>
      <c r="AF4822" s="168">
        <v>0</v>
      </c>
      <c r="AG4822" s="168"/>
      <c r="AH4822" s="168"/>
    </row>
    <row r="4823" spans="26:34" ht="24" customHeight="1">
      <c r="Z4823"/>
      <c r="AA4823"/>
      <c r="AB4823"/>
      <c r="AC4823"/>
      <c r="AD4823"/>
      <c r="AE4823" s="168"/>
      <c r="AF4823" s="168">
        <v>0</v>
      </c>
      <c r="AG4823" s="168"/>
      <c r="AH4823" s="168"/>
    </row>
    <row r="4824" spans="26:34" ht="24" customHeight="1">
      <c r="Z4824"/>
      <c r="AA4824"/>
      <c r="AB4824"/>
      <c r="AC4824"/>
      <c r="AD4824"/>
      <c r="AE4824" s="168"/>
      <c r="AF4824" s="168">
        <v>0</v>
      </c>
      <c r="AG4824" s="168"/>
      <c r="AH4824" s="168"/>
    </row>
    <row r="4825" spans="26:34" ht="24" customHeight="1">
      <c r="Z4825"/>
      <c r="AA4825"/>
      <c r="AB4825"/>
      <c r="AC4825"/>
      <c r="AD4825"/>
      <c r="AE4825" s="168"/>
      <c r="AF4825" s="168">
        <v>0</v>
      </c>
      <c r="AG4825" s="168"/>
      <c r="AH4825" s="168"/>
    </row>
    <row r="4826" spans="26:34" ht="24" customHeight="1">
      <c r="Z4826"/>
      <c r="AA4826"/>
      <c r="AB4826"/>
      <c r="AC4826"/>
      <c r="AD4826"/>
      <c r="AE4826" s="168"/>
      <c r="AF4826" s="168">
        <v>0</v>
      </c>
      <c r="AG4826" s="168"/>
      <c r="AH4826" s="168"/>
    </row>
    <row r="4827" spans="26:34" ht="24" customHeight="1">
      <c r="Z4827"/>
      <c r="AA4827"/>
      <c r="AB4827"/>
      <c r="AC4827"/>
      <c r="AD4827"/>
      <c r="AE4827" s="168"/>
      <c r="AF4827" s="168">
        <v>0</v>
      </c>
      <c r="AG4827" s="168"/>
      <c r="AH4827" s="168"/>
    </row>
    <row r="4828" spans="26:34" ht="24" customHeight="1">
      <c r="Z4828"/>
      <c r="AA4828"/>
      <c r="AB4828"/>
      <c r="AC4828"/>
      <c r="AD4828"/>
      <c r="AE4828" s="168"/>
      <c r="AF4828" s="168">
        <v>0</v>
      </c>
      <c r="AG4828" s="168"/>
      <c r="AH4828" s="168"/>
    </row>
    <row r="4829" spans="26:34" ht="24" customHeight="1">
      <c r="Z4829"/>
      <c r="AA4829"/>
      <c r="AB4829"/>
      <c r="AC4829"/>
      <c r="AD4829"/>
      <c r="AE4829" s="168"/>
      <c r="AF4829" s="168">
        <v>0</v>
      </c>
      <c r="AG4829" s="168"/>
      <c r="AH4829" s="168"/>
    </row>
    <row r="4830" spans="26:34" ht="24" customHeight="1">
      <c r="Z4830"/>
      <c r="AA4830"/>
      <c r="AB4830"/>
      <c r="AC4830"/>
      <c r="AD4830"/>
      <c r="AE4830" s="168"/>
      <c r="AF4830" s="168">
        <v>0</v>
      </c>
      <c r="AG4830" s="168"/>
      <c r="AH4830" s="168"/>
    </row>
    <row r="4831" spans="26:34" ht="24" customHeight="1">
      <c r="Z4831"/>
      <c r="AA4831"/>
      <c r="AB4831"/>
      <c r="AC4831"/>
      <c r="AD4831"/>
      <c r="AE4831" s="168"/>
      <c r="AF4831" s="168">
        <v>0</v>
      </c>
      <c r="AG4831" s="168"/>
      <c r="AH4831" s="168"/>
    </row>
    <row r="4832" spans="26:34" ht="24" customHeight="1">
      <c r="Z4832"/>
      <c r="AA4832"/>
      <c r="AB4832"/>
      <c r="AC4832"/>
      <c r="AD4832"/>
      <c r="AE4832" s="168"/>
      <c r="AF4832" s="168">
        <v>0</v>
      </c>
      <c r="AG4832" s="168"/>
      <c r="AH4832" s="168"/>
    </row>
    <row r="4833" spans="26:34" ht="24" customHeight="1">
      <c r="Z4833"/>
      <c r="AA4833"/>
      <c r="AB4833"/>
      <c r="AC4833"/>
      <c r="AD4833"/>
      <c r="AE4833" s="168"/>
      <c r="AF4833" s="168">
        <v>0</v>
      </c>
      <c r="AG4833" s="168"/>
      <c r="AH4833" s="168"/>
    </row>
    <row r="4834" spans="26:34" ht="24" customHeight="1">
      <c r="Z4834"/>
      <c r="AA4834"/>
      <c r="AB4834"/>
      <c r="AC4834"/>
      <c r="AD4834"/>
      <c r="AE4834" s="168"/>
      <c r="AF4834" s="168">
        <v>0</v>
      </c>
      <c r="AG4834" s="168"/>
      <c r="AH4834" s="168"/>
    </row>
    <row r="4835" spans="26:34" ht="24" customHeight="1">
      <c r="Z4835"/>
      <c r="AA4835"/>
      <c r="AB4835"/>
      <c r="AC4835"/>
      <c r="AD4835"/>
      <c r="AE4835" s="168"/>
      <c r="AF4835" s="168">
        <v>0</v>
      </c>
      <c r="AG4835" s="168"/>
      <c r="AH4835" s="168"/>
    </row>
    <row r="4836" spans="26:34" ht="24" customHeight="1">
      <c r="Z4836"/>
      <c r="AA4836"/>
      <c r="AB4836"/>
      <c r="AC4836"/>
      <c r="AD4836"/>
      <c r="AE4836" s="168"/>
      <c r="AF4836" s="168">
        <v>0</v>
      </c>
      <c r="AG4836" s="168"/>
      <c r="AH4836" s="168"/>
    </row>
    <row r="4837" spans="26:34" ht="24" customHeight="1">
      <c r="Z4837"/>
      <c r="AA4837"/>
      <c r="AB4837"/>
      <c r="AC4837"/>
      <c r="AD4837"/>
      <c r="AE4837" s="168"/>
      <c r="AF4837" s="168">
        <v>0</v>
      </c>
      <c r="AG4837" s="168"/>
      <c r="AH4837" s="168"/>
    </row>
    <row r="4838" spans="26:34" ht="24" customHeight="1">
      <c r="Z4838"/>
      <c r="AA4838"/>
      <c r="AB4838"/>
      <c r="AC4838"/>
      <c r="AD4838"/>
      <c r="AE4838" s="168"/>
      <c r="AF4838" s="168">
        <v>0</v>
      </c>
      <c r="AG4838" s="168"/>
      <c r="AH4838" s="168"/>
    </row>
    <row r="4839" spans="26:34" ht="24" customHeight="1">
      <c r="Z4839"/>
      <c r="AA4839"/>
      <c r="AB4839"/>
      <c r="AC4839"/>
      <c r="AD4839"/>
      <c r="AE4839" s="168"/>
      <c r="AF4839" s="168">
        <v>0</v>
      </c>
      <c r="AG4839" s="168"/>
      <c r="AH4839" s="168"/>
    </row>
    <row r="4840" spans="26:34" ht="24" customHeight="1">
      <c r="Z4840"/>
      <c r="AA4840"/>
      <c r="AB4840"/>
      <c r="AC4840"/>
      <c r="AD4840"/>
      <c r="AE4840" s="168"/>
      <c r="AF4840" s="168">
        <v>0</v>
      </c>
      <c r="AG4840" s="168"/>
      <c r="AH4840" s="168"/>
    </row>
    <row r="4841" spans="26:34" ht="24" customHeight="1">
      <c r="Z4841"/>
      <c r="AA4841"/>
      <c r="AB4841"/>
      <c r="AC4841"/>
      <c r="AD4841"/>
      <c r="AE4841" s="168"/>
      <c r="AF4841" s="168">
        <v>0</v>
      </c>
      <c r="AG4841" s="168"/>
      <c r="AH4841" s="168"/>
    </row>
    <row r="4842" spans="26:34" ht="24" customHeight="1">
      <c r="Z4842"/>
      <c r="AA4842"/>
      <c r="AB4842"/>
      <c r="AC4842"/>
      <c r="AD4842"/>
      <c r="AE4842" s="168"/>
      <c r="AF4842" s="168">
        <v>0</v>
      </c>
      <c r="AG4842" s="168"/>
      <c r="AH4842" s="168"/>
    </row>
    <row r="4843" spans="26:34" ht="24" customHeight="1">
      <c r="Z4843"/>
      <c r="AA4843"/>
      <c r="AB4843"/>
      <c r="AC4843"/>
      <c r="AD4843"/>
      <c r="AE4843" s="168"/>
      <c r="AF4843" s="168">
        <v>0</v>
      </c>
      <c r="AG4843" s="168"/>
      <c r="AH4843" s="168"/>
    </row>
    <row r="4844" spans="26:34" ht="24" customHeight="1">
      <c r="Z4844"/>
      <c r="AA4844"/>
      <c r="AB4844"/>
      <c r="AC4844"/>
      <c r="AD4844"/>
      <c r="AE4844" s="168"/>
      <c r="AF4844" s="168">
        <v>0</v>
      </c>
      <c r="AG4844" s="168"/>
      <c r="AH4844" s="168"/>
    </row>
    <row r="4845" spans="26:34" ht="24" customHeight="1">
      <c r="Z4845"/>
      <c r="AA4845"/>
      <c r="AB4845"/>
      <c r="AC4845"/>
      <c r="AD4845"/>
      <c r="AE4845" s="168"/>
      <c r="AF4845" s="168">
        <v>0</v>
      </c>
      <c r="AG4845" s="168"/>
      <c r="AH4845" s="168"/>
    </row>
    <row r="4846" spans="26:34" ht="24" customHeight="1">
      <c r="Z4846"/>
      <c r="AA4846"/>
      <c r="AB4846"/>
      <c r="AC4846"/>
      <c r="AD4846"/>
      <c r="AE4846" s="168"/>
      <c r="AF4846" s="168">
        <v>0</v>
      </c>
      <c r="AG4846" s="168"/>
      <c r="AH4846" s="168"/>
    </row>
    <row r="4847" spans="26:34" ht="24" customHeight="1">
      <c r="Z4847"/>
      <c r="AA4847"/>
      <c r="AB4847"/>
      <c r="AC4847"/>
      <c r="AD4847"/>
      <c r="AE4847" s="168"/>
      <c r="AF4847" s="168">
        <v>0</v>
      </c>
      <c r="AG4847" s="168"/>
      <c r="AH4847" s="168"/>
    </row>
    <row r="4848" spans="26:34" ht="24" customHeight="1">
      <c r="Z4848"/>
      <c r="AA4848"/>
      <c r="AB4848"/>
      <c r="AC4848"/>
      <c r="AD4848"/>
      <c r="AE4848" s="168"/>
      <c r="AF4848" s="168">
        <v>0</v>
      </c>
      <c r="AG4848" s="168"/>
      <c r="AH4848" s="168"/>
    </row>
    <row r="4849" spans="26:34" ht="24" customHeight="1">
      <c r="Z4849"/>
      <c r="AA4849"/>
      <c r="AB4849"/>
      <c r="AC4849"/>
      <c r="AD4849"/>
      <c r="AE4849" s="168"/>
      <c r="AF4849" s="168">
        <v>0</v>
      </c>
      <c r="AG4849" s="168"/>
      <c r="AH4849" s="168"/>
    </row>
    <row r="4850" spans="26:34" ht="24" customHeight="1">
      <c r="Z4850"/>
      <c r="AA4850"/>
      <c r="AB4850"/>
      <c r="AC4850"/>
      <c r="AD4850"/>
      <c r="AE4850" s="168"/>
      <c r="AF4850" s="168">
        <v>0</v>
      </c>
      <c r="AG4850" s="168"/>
      <c r="AH4850" s="168"/>
    </row>
    <row r="4851" spans="26:34" ht="24" customHeight="1">
      <c r="Z4851"/>
      <c r="AA4851"/>
      <c r="AB4851"/>
      <c r="AC4851"/>
      <c r="AD4851"/>
      <c r="AE4851" s="168"/>
      <c r="AF4851" s="168">
        <v>0</v>
      </c>
      <c r="AG4851" s="168"/>
      <c r="AH4851" s="168"/>
    </row>
    <row r="4852" spans="26:34" ht="24" customHeight="1">
      <c r="Z4852"/>
      <c r="AA4852"/>
      <c r="AB4852"/>
      <c r="AC4852"/>
      <c r="AD4852"/>
      <c r="AE4852" s="168"/>
      <c r="AF4852" s="168">
        <v>0</v>
      </c>
      <c r="AG4852" s="168"/>
      <c r="AH4852" s="168"/>
    </row>
    <row r="4853" spans="26:34" ht="24" customHeight="1">
      <c r="Z4853"/>
      <c r="AA4853"/>
      <c r="AB4853"/>
      <c r="AC4853"/>
      <c r="AD4853"/>
      <c r="AE4853" s="168"/>
      <c r="AF4853" s="168">
        <v>0</v>
      </c>
      <c r="AG4853" s="168"/>
      <c r="AH4853" s="168"/>
    </row>
    <row r="4854" spans="26:34" ht="24" customHeight="1">
      <c r="Z4854"/>
      <c r="AA4854"/>
      <c r="AB4854"/>
      <c r="AC4854"/>
      <c r="AD4854"/>
      <c r="AE4854" s="168"/>
      <c r="AF4854" s="168">
        <v>0</v>
      </c>
      <c r="AG4854" s="168"/>
      <c r="AH4854" s="168"/>
    </row>
    <row r="4855" spans="26:34" ht="24" customHeight="1">
      <c r="Z4855"/>
      <c r="AA4855"/>
      <c r="AB4855"/>
      <c r="AC4855"/>
      <c r="AD4855"/>
      <c r="AE4855" s="168"/>
      <c r="AF4855" s="168">
        <v>0</v>
      </c>
      <c r="AG4855" s="168"/>
      <c r="AH4855" s="168"/>
    </row>
    <row r="4856" spans="26:34" ht="24" customHeight="1">
      <c r="Z4856"/>
      <c r="AA4856"/>
      <c r="AB4856"/>
      <c r="AC4856"/>
      <c r="AD4856"/>
      <c r="AE4856" s="168"/>
      <c r="AF4856" s="168">
        <v>0</v>
      </c>
      <c r="AG4856" s="168"/>
      <c r="AH4856" s="168"/>
    </row>
    <row r="4857" spans="26:34" ht="24" customHeight="1">
      <c r="Z4857"/>
      <c r="AA4857"/>
      <c r="AB4857"/>
      <c r="AC4857"/>
      <c r="AD4857"/>
      <c r="AE4857" s="168"/>
      <c r="AF4857" s="168">
        <v>0</v>
      </c>
      <c r="AG4857" s="168"/>
      <c r="AH4857" s="168"/>
    </row>
    <row r="4858" spans="26:34" ht="24" customHeight="1">
      <c r="Z4858"/>
      <c r="AA4858"/>
      <c r="AB4858"/>
      <c r="AC4858"/>
      <c r="AD4858"/>
      <c r="AE4858" s="168"/>
      <c r="AF4858" s="168">
        <v>0</v>
      </c>
      <c r="AG4858" s="168"/>
      <c r="AH4858" s="168"/>
    </row>
    <row r="4859" spans="26:34" ht="24" customHeight="1">
      <c r="Z4859"/>
      <c r="AA4859"/>
      <c r="AB4859"/>
      <c r="AC4859"/>
      <c r="AD4859"/>
      <c r="AE4859" s="168"/>
      <c r="AF4859" s="168">
        <v>0</v>
      </c>
      <c r="AG4859" s="168"/>
      <c r="AH4859" s="168"/>
    </row>
    <row r="4860" spans="26:34" ht="24" customHeight="1">
      <c r="Z4860"/>
      <c r="AA4860"/>
      <c r="AB4860"/>
      <c r="AC4860"/>
      <c r="AD4860"/>
      <c r="AE4860" s="168"/>
      <c r="AF4860" s="168">
        <v>0</v>
      </c>
      <c r="AG4860" s="168"/>
      <c r="AH4860" s="168"/>
    </row>
    <row r="4861" spans="26:34" ht="24" customHeight="1">
      <c r="Z4861"/>
      <c r="AA4861"/>
      <c r="AB4861"/>
      <c r="AC4861"/>
      <c r="AD4861"/>
      <c r="AE4861" s="168"/>
      <c r="AF4861" s="168">
        <v>0</v>
      </c>
      <c r="AG4861" s="168"/>
      <c r="AH4861" s="168"/>
    </row>
    <row r="4862" spans="26:34" ht="24" customHeight="1">
      <c r="Z4862"/>
      <c r="AA4862"/>
      <c r="AB4862"/>
      <c r="AC4862"/>
      <c r="AD4862"/>
      <c r="AE4862" s="168"/>
      <c r="AF4862" s="168">
        <v>0</v>
      </c>
      <c r="AG4862" s="168"/>
      <c r="AH4862" s="168"/>
    </row>
    <row r="4863" spans="26:34" ht="24" customHeight="1">
      <c r="Z4863"/>
      <c r="AA4863"/>
      <c r="AB4863"/>
      <c r="AC4863"/>
      <c r="AD4863"/>
      <c r="AE4863" s="168"/>
      <c r="AF4863" s="168">
        <v>0</v>
      </c>
      <c r="AG4863" s="168"/>
      <c r="AH4863" s="168"/>
    </row>
    <row r="4864" spans="26:34" ht="24" customHeight="1">
      <c r="Z4864"/>
      <c r="AA4864"/>
      <c r="AB4864"/>
      <c r="AC4864"/>
      <c r="AD4864"/>
      <c r="AE4864" s="168"/>
      <c r="AF4864" s="168">
        <v>0</v>
      </c>
      <c r="AG4864" s="168"/>
      <c r="AH4864" s="168"/>
    </row>
    <row r="4865" spans="26:34" ht="24" customHeight="1">
      <c r="Z4865"/>
      <c r="AA4865"/>
      <c r="AB4865"/>
      <c r="AC4865"/>
      <c r="AD4865"/>
      <c r="AE4865" s="168"/>
      <c r="AF4865" s="168">
        <v>0</v>
      </c>
      <c r="AG4865" s="168"/>
      <c r="AH4865" s="168"/>
    </row>
    <row r="4866" spans="26:34" ht="24" customHeight="1">
      <c r="Z4866"/>
      <c r="AA4866"/>
      <c r="AB4866"/>
      <c r="AC4866"/>
      <c r="AD4866"/>
      <c r="AE4866" s="168"/>
      <c r="AF4866" s="168">
        <v>0</v>
      </c>
      <c r="AG4866" s="168"/>
      <c r="AH4866" s="168"/>
    </row>
    <row r="4867" spans="26:34" ht="24" customHeight="1">
      <c r="Z4867"/>
      <c r="AA4867"/>
      <c r="AB4867"/>
      <c r="AC4867"/>
      <c r="AD4867"/>
      <c r="AE4867" s="168"/>
      <c r="AF4867" s="168">
        <v>0</v>
      </c>
      <c r="AG4867" s="168"/>
      <c r="AH4867" s="168"/>
    </row>
    <row r="4868" spans="26:34" ht="24" customHeight="1">
      <c r="Z4868"/>
      <c r="AA4868"/>
      <c r="AB4868"/>
      <c r="AC4868"/>
      <c r="AD4868"/>
      <c r="AE4868" s="168"/>
      <c r="AF4868" s="168">
        <v>0</v>
      </c>
      <c r="AG4868" s="168"/>
      <c r="AH4868" s="168"/>
    </row>
    <row r="4869" spans="26:34" ht="24" customHeight="1">
      <c r="Z4869"/>
      <c r="AA4869"/>
      <c r="AB4869"/>
      <c r="AC4869"/>
      <c r="AD4869"/>
      <c r="AE4869" s="168"/>
      <c r="AF4869" s="168">
        <v>0</v>
      </c>
      <c r="AG4869" s="168"/>
      <c r="AH4869" s="168"/>
    </row>
    <row r="4870" spans="26:34" ht="24" customHeight="1">
      <c r="Z4870"/>
      <c r="AA4870"/>
      <c r="AB4870"/>
      <c r="AC4870"/>
      <c r="AD4870"/>
      <c r="AE4870" s="168"/>
      <c r="AF4870" s="168">
        <v>0</v>
      </c>
      <c r="AG4870" s="168"/>
      <c r="AH4870" s="168"/>
    </row>
    <row r="4871" spans="26:34" ht="24" customHeight="1">
      <c r="Z4871"/>
      <c r="AA4871"/>
      <c r="AB4871"/>
      <c r="AC4871"/>
      <c r="AD4871"/>
      <c r="AE4871" s="168"/>
      <c r="AF4871" s="168">
        <v>0</v>
      </c>
      <c r="AG4871" s="168"/>
      <c r="AH4871" s="168"/>
    </row>
    <row r="4872" spans="26:34" ht="24" customHeight="1">
      <c r="Z4872"/>
      <c r="AA4872"/>
      <c r="AB4872"/>
      <c r="AC4872"/>
      <c r="AD4872"/>
      <c r="AE4872" s="168"/>
      <c r="AF4872" s="168">
        <v>0</v>
      </c>
      <c r="AG4872" s="168"/>
      <c r="AH4872" s="168"/>
    </row>
    <row r="4873" spans="26:34" ht="24" customHeight="1">
      <c r="Z4873"/>
      <c r="AA4873"/>
      <c r="AB4873"/>
      <c r="AC4873"/>
      <c r="AD4873"/>
      <c r="AE4873" s="168"/>
      <c r="AF4873" s="168">
        <v>0</v>
      </c>
      <c r="AG4873" s="168"/>
      <c r="AH4873" s="168"/>
    </row>
    <row r="4874" spans="26:34" ht="24" customHeight="1">
      <c r="Z4874"/>
      <c r="AA4874"/>
      <c r="AB4874"/>
      <c r="AC4874"/>
      <c r="AD4874"/>
      <c r="AE4874" s="168"/>
      <c r="AF4874" s="168">
        <v>0</v>
      </c>
      <c r="AG4874" s="168"/>
      <c r="AH4874" s="168"/>
    </row>
    <row r="4875" spans="26:34" ht="24" customHeight="1">
      <c r="Z4875"/>
      <c r="AA4875"/>
      <c r="AB4875"/>
      <c r="AC4875"/>
      <c r="AD4875"/>
      <c r="AE4875" s="168"/>
      <c r="AF4875" s="168">
        <v>0</v>
      </c>
      <c r="AG4875" s="168"/>
      <c r="AH4875" s="168"/>
    </row>
    <row r="4876" spans="26:34" ht="24" customHeight="1">
      <c r="Z4876"/>
      <c r="AA4876"/>
      <c r="AB4876"/>
      <c r="AC4876"/>
      <c r="AD4876"/>
      <c r="AE4876" s="168"/>
      <c r="AF4876" s="168">
        <v>0</v>
      </c>
      <c r="AG4876" s="168"/>
      <c r="AH4876" s="168"/>
    </row>
    <row r="4877" spans="26:34" ht="24" customHeight="1">
      <c r="Z4877"/>
      <c r="AA4877"/>
      <c r="AB4877"/>
      <c r="AC4877"/>
      <c r="AD4877"/>
      <c r="AE4877" s="168"/>
      <c r="AF4877" s="168">
        <v>0</v>
      </c>
      <c r="AG4877" s="168"/>
      <c r="AH4877" s="168"/>
    </row>
    <row r="4878" spans="26:34" ht="24" customHeight="1">
      <c r="Z4878"/>
      <c r="AA4878"/>
      <c r="AB4878"/>
      <c r="AC4878"/>
      <c r="AD4878"/>
      <c r="AE4878" s="168"/>
      <c r="AF4878" s="168">
        <v>0</v>
      </c>
      <c r="AG4878" s="168"/>
      <c r="AH4878" s="168"/>
    </row>
    <row r="4879" spans="26:34" ht="24" customHeight="1">
      <c r="Z4879"/>
      <c r="AA4879"/>
      <c r="AB4879"/>
      <c r="AC4879"/>
      <c r="AD4879"/>
      <c r="AE4879" s="168"/>
      <c r="AF4879" s="168">
        <v>0</v>
      </c>
      <c r="AG4879" s="168"/>
      <c r="AH4879" s="168"/>
    </row>
    <row r="4880" spans="26:34" ht="24" customHeight="1">
      <c r="Z4880"/>
      <c r="AA4880"/>
      <c r="AB4880"/>
      <c r="AC4880"/>
      <c r="AD4880"/>
      <c r="AE4880" s="168"/>
      <c r="AF4880" s="168">
        <v>0</v>
      </c>
      <c r="AG4880" s="168"/>
      <c r="AH4880" s="168"/>
    </row>
    <row r="4881" spans="26:34" ht="24" customHeight="1">
      <c r="Z4881"/>
      <c r="AA4881"/>
      <c r="AB4881"/>
      <c r="AC4881"/>
      <c r="AD4881"/>
      <c r="AE4881" s="168"/>
      <c r="AF4881" s="168">
        <v>0</v>
      </c>
      <c r="AG4881" s="168"/>
      <c r="AH4881" s="168"/>
    </row>
    <row r="4882" spans="26:34" ht="24" customHeight="1">
      <c r="Z4882"/>
      <c r="AA4882"/>
      <c r="AB4882"/>
      <c r="AC4882"/>
      <c r="AD4882"/>
      <c r="AE4882" s="168"/>
      <c r="AF4882" s="168">
        <v>0</v>
      </c>
      <c r="AG4882" s="168"/>
      <c r="AH4882" s="168"/>
    </row>
    <row r="4883" spans="26:34" ht="24" customHeight="1">
      <c r="Z4883"/>
      <c r="AA4883"/>
      <c r="AB4883"/>
      <c r="AC4883"/>
      <c r="AD4883"/>
      <c r="AE4883" s="168"/>
      <c r="AF4883" s="168">
        <v>0</v>
      </c>
      <c r="AG4883" s="168"/>
      <c r="AH4883" s="168"/>
    </row>
    <row r="4884" spans="26:34" ht="24" customHeight="1">
      <c r="Z4884"/>
      <c r="AA4884"/>
      <c r="AB4884"/>
      <c r="AC4884"/>
      <c r="AD4884"/>
      <c r="AE4884" s="168"/>
      <c r="AF4884" s="168">
        <v>0</v>
      </c>
      <c r="AG4884" s="168"/>
      <c r="AH4884" s="168"/>
    </row>
    <row r="4885" spans="26:34" ht="24" customHeight="1">
      <c r="Z4885"/>
      <c r="AA4885"/>
      <c r="AB4885"/>
      <c r="AC4885"/>
      <c r="AD4885"/>
      <c r="AE4885" s="168"/>
      <c r="AF4885" s="168">
        <v>0</v>
      </c>
      <c r="AG4885" s="168"/>
      <c r="AH4885" s="168"/>
    </row>
    <row r="4886" spans="26:34" ht="24" customHeight="1">
      <c r="Z4886"/>
      <c r="AA4886"/>
      <c r="AB4886"/>
      <c r="AC4886"/>
      <c r="AD4886"/>
      <c r="AE4886" s="168"/>
      <c r="AF4886" s="168">
        <v>0</v>
      </c>
      <c r="AG4886" s="168"/>
      <c r="AH4886" s="168"/>
    </row>
    <row r="4887" spans="26:34" ht="24" customHeight="1">
      <c r="Z4887"/>
      <c r="AA4887"/>
      <c r="AB4887"/>
      <c r="AC4887"/>
      <c r="AD4887"/>
      <c r="AE4887" s="168"/>
      <c r="AF4887" s="168">
        <v>0</v>
      </c>
      <c r="AG4887" s="168"/>
      <c r="AH4887" s="168"/>
    </row>
    <row r="4888" spans="26:34" ht="24" customHeight="1">
      <c r="Z4888"/>
      <c r="AA4888"/>
      <c r="AB4888"/>
      <c r="AC4888"/>
      <c r="AD4888"/>
      <c r="AE4888" s="168"/>
      <c r="AF4888" s="168">
        <v>0</v>
      </c>
      <c r="AG4888" s="168"/>
      <c r="AH4888" s="168"/>
    </row>
    <row r="4889" spans="26:34" ht="24" customHeight="1">
      <c r="Z4889"/>
      <c r="AA4889"/>
      <c r="AB4889"/>
      <c r="AC4889"/>
      <c r="AD4889"/>
      <c r="AE4889" s="168"/>
      <c r="AF4889" s="168">
        <v>0</v>
      </c>
      <c r="AG4889" s="168"/>
      <c r="AH4889" s="168"/>
    </row>
    <row r="4890" spans="26:34" ht="24" customHeight="1">
      <c r="Z4890"/>
      <c r="AA4890"/>
      <c r="AB4890"/>
      <c r="AC4890"/>
      <c r="AD4890"/>
      <c r="AE4890" s="168"/>
      <c r="AF4890" s="168">
        <v>0</v>
      </c>
      <c r="AG4890" s="168"/>
      <c r="AH4890" s="168"/>
    </row>
    <row r="4891" spans="26:34" ht="24" customHeight="1">
      <c r="Z4891"/>
      <c r="AA4891"/>
      <c r="AB4891"/>
      <c r="AC4891"/>
      <c r="AD4891"/>
      <c r="AE4891" s="168"/>
      <c r="AF4891" s="168">
        <v>0</v>
      </c>
      <c r="AG4891" s="168"/>
      <c r="AH4891" s="168"/>
    </row>
    <row r="4892" spans="26:34" ht="24" customHeight="1">
      <c r="Z4892"/>
      <c r="AA4892"/>
      <c r="AB4892"/>
      <c r="AC4892"/>
      <c r="AD4892"/>
      <c r="AE4892" s="168"/>
      <c r="AF4892" s="168">
        <v>0</v>
      </c>
      <c r="AG4892" s="168"/>
      <c r="AH4892" s="168"/>
    </row>
    <row r="4893" spans="26:34" ht="24" customHeight="1">
      <c r="Z4893"/>
      <c r="AA4893"/>
      <c r="AB4893"/>
      <c r="AC4893"/>
      <c r="AD4893"/>
      <c r="AE4893" s="168"/>
      <c r="AF4893" s="168">
        <v>0</v>
      </c>
      <c r="AG4893" s="168"/>
      <c r="AH4893" s="168"/>
    </row>
    <row r="4894" spans="26:34" ht="24" customHeight="1">
      <c r="Z4894"/>
      <c r="AA4894"/>
      <c r="AB4894"/>
      <c r="AC4894"/>
      <c r="AD4894"/>
      <c r="AE4894" s="168"/>
      <c r="AF4894" s="168">
        <v>0</v>
      </c>
      <c r="AG4894" s="168"/>
      <c r="AH4894" s="168"/>
    </row>
    <row r="4895" spans="26:34" ht="24" customHeight="1">
      <c r="Z4895"/>
      <c r="AA4895"/>
      <c r="AB4895"/>
      <c r="AC4895"/>
      <c r="AD4895"/>
      <c r="AE4895" s="168"/>
      <c r="AF4895" s="168">
        <v>0</v>
      </c>
      <c r="AG4895" s="168"/>
      <c r="AH4895" s="168"/>
    </row>
    <row r="4896" spans="26:34" ht="24" customHeight="1">
      <c r="Z4896"/>
      <c r="AA4896"/>
      <c r="AB4896"/>
      <c r="AC4896"/>
      <c r="AD4896"/>
      <c r="AE4896" s="168"/>
      <c r="AF4896" s="168">
        <v>0</v>
      </c>
      <c r="AG4896" s="168"/>
      <c r="AH4896" s="168"/>
    </row>
    <row r="4897" spans="26:34" ht="24" customHeight="1">
      <c r="Z4897"/>
      <c r="AA4897"/>
      <c r="AB4897"/>
      <c r="AC4897"/>
      <c r="AD4897"/>
      <c r="AE4897" s="168"/>
      <c r="AF4897" s="168">
        <v>0</v>
      </c>
      <c r="AG4897" s="168"/>
      <c r="AH4897" s="168"/>
    </row>
    <row r="4898" spans="26:34" ht="24" customHeight="1">
      <c r="Z4898"/>
      <c r="AA4898"/>
      <c r="AB4898"/>
      <c r="AC4898"/>
      <c r="AD4898"/>
      <c r="AE4898" s="168"/>
      <c r="AF4898" s="168">
        <v>0</v>
      </c>
      <c r="AG4898" s="168"/>
      <c r="AH4898" s="168"/>
    </row>
    <row r="4899" spans="26:34" ht="24" customHeight="1">
      <c r="Z4899"/>
      <c r="AA4899"/>
      <c r="AB4899"/>
      <c r="AC4899"/>
      <c r="AD4899"/>
      <c r="AE4899" s="168"/>
      <c r="AF4899" s="168">
        <v>0</v>
      </c>
      <c r="AG4899" s="168"/>
      <c r="AH4899" s="168"/>
    </row>
    <row r="4900" spans="26:34" ht="24" customHeight="1">
      <c r="Z4900"/>
      <c r="AA4900"/>
      <c r="AB4900"/>
      <c r="AC4900"/>
      <c r="AD4900"/>
      <c r="AE4900" s="168"/>
      <c r="AF4900" s="168">
        <v>0</v>
      </c>
      <c r="AG4900" s="168"/>
      <c r="AH4900" s="168"/>
    </row>
    <row r="4901" spans="26:34" ht="24" customHeight="1">
      <c r="Z4901"/>
      <c r="AA4901"/>
      <c r="AB4901"/>
      <c r="AC4901"/>
      <c r="AD4901"/>
      <c r="AE4901" s="168"/>
      <c r="AF4901" s="168">
        <v>0</v>
      </c>
      <c r="AG4901" s="168"/>
      <c r="AH4901" s="168"/>
    </row>
    <row r="4902" spans="26:34" ht="24" customHeight="1">
      <c r="Z4902"/>
      <c r="AA4902"/>
      <c r="AB4902"/>
      <c r="AC4902"/>
      <c r="AD4902"/>
      <c r="AE4902" s="168"/>
      <c r="AF4902" s="168">
        <v>0</v>
      </c>
      <c r="AG4902" s="168"/>
      <c r="AH4902" s="168"/>
    </row>
    <row r="4903" spans="26:34" ht="24" customHeight="1">
      <c r="Z4903"/>
      <c r="AA4903"/>
      <c r="AB4903"/>
      <c r="AC4903"/>
      <c r="AD4903"/>
      <c r="AE4903" s="168"/>
      <c r="AF4903" s="168">
        <v>0</v>
      </c>
      <c r="AG4903" s="168"/>
      <c r="AH4903" s="168"/>
    </row>
    <row r="4904" spans="26:34" ht="24" customHeight="1">
      <c r="Z4904"/>
      <c r="AA4904"/>
      <c r="AB4904"/>
      <c r="AC4904"/>
      <c r="AD4904"/>
      <c r="AE4904" s="168"/>
      <c r="AF4904" s="168">
        <v>0</v>
      </c>
      <c r="AG4904" s="168"/>
      <c r="AH4904" s="168"/>
    </row>
    <row r="4905" spans="26:34" ht="24" customHeight="1">
      <c r="Z4905"/>
      <c r="AA4905"/>
      <c r="AB4905"/>
      <c r="AC4905"/>
      <c r="AD4905"/>
      <c r="AE4905" s="168"/>
      <c r="AF4905" s="168">
        <v>0</v>
      </c>
      <c r="AG4905" s="168"/>
      <c r="AH4905" s="168"/>
    </row>
    <row r="4906" spans="26:34" ht="24" customHeight="1">
      <c r="Z4906"/>
      <c r="AA4906"/>
      <c r="AB4906"/>
      <c r="AC4906"/>
      <c r="AD4906"/>
      <c r="AE4906" s="168"/>
      <c r="AF4906" s="168">
        <v>0</v>
      </c>
      <c r="AG4906" s="168"/>
      <c r="AH4906" s="168"/>
    </row>
    <row r="4907" spans="26:34" ht="24" customHeight="1">
      <c r="Z4907"/>
      <c r="AA4907"/>
      <c r="AB4907"/>
      <c r="AC4907"/>
      <c r="AD4907"/>
      <c r="AE4907" s="168"/>
      <c r="AF4907" s="168">
        <v>0</v>
      </c>
      <c r="AG4907" s="168"/>
      <c r="AH4907" s="168"/>
    </row>
    <row r="4908" spans="26:34" ht="24" customHeight="1">
      <c r="Z4908"/>
      <c r="AA4908"/>
      <c r="AB4908"/>
      <c r="AC4908"/>
      <c r="AD4908"/>
      <c r="AE4908" s="168"/>
      <c r="AF4908" s="168">
        <v>0</v>
      </c>
      <c r="AG4908" s="168"/>
      <c r="AH4908" s="168"/>
    </row>
    <row r="4909" spans="26:34" ht="24" customHeight="1">
      <c r="Z4909"/>
      <c r="AA4909"/>
      <c r="AB4909"/>
      <c r="AC4909"/>
      <c r="AD4909"/>
      <c r="AE4909" s="168"/>
      <c r="AF4909" s="168">
        <v>0</v>
      </c>
      <c r="AG4909" s="168"/>
      <c r="AH4909" s="168"/>
    </row>
    <row r="4910" spans="26:34" ht="24" customHeight="1">
      <c r="Z4910"/>
      <c r="AA4910"/>
      <c r="AB4910"/>
      <c r="AC4910"/>
      <c r="AD4910"/>
      <c r="AE4910" s="168"/>
      <c r="AF4910" s="168">
        <v>0</v>
      </c>
      <c r="AG4910" s="168"/>
      <c r="AH4910" s="168"/>
    </row>
    <row r="4911" spans="26:34" ht="24" customHeight="1">
      <c r="Z4911"/>
      <c r="AA4911"/>
      <c r="AB4911"/>
      <c r="AC4911"/>
      <c r="AD4911"/>
      <c r="AE4911" s="168"/>
      <c r="AF4911" s="168">
        <v>0</v>
      </c>
      <c r="AG4911" s="168"/>
      <c r="AH4911" s="168"/>
    </row>
    <row r="4912" spans="26:34" ht="24" customHeight="1">
      <c r="Z4912"/>
      <c r="AA4912"/>
      <c r="AB4912"/>
      <c r="AC4912"/>
      <c r="AD4912"/>
      <c r="AE4912" s="168"/>
      <c r="AF4912" s="168">
        <v>0</v>
      </c>
      <c r="AG4912" s="168"/>
      <c r="AH4912" s="168"/>
    </row>
    <row r="4913" spans="26:34" ht="24" customHeight="1">
      <c r="Z4913"/>
      <c r="AA4913"/>
      <c r="AB4913"/>
      <c r="AC4913"/>
      <c r="AD4913"/>
      <c r="AE4913" s="168"/>
      <c r="AF4913" s="168">
        <v>0</v>
      </c>
      <c r="AG4913" s="168"/>
      <c r="AH4913" s="168"/>
    </row>
    <row r="4914" spans="26:34" ht="24" customHeight="1">
      <c r="Z4914"/>
      <c r="AA4914"/>
      <c r="AB4914"/>
      <c r="AC4914"/>
      <c r="AD4914"/>
      <c r="AE4914" s="168"/>
      <c r="AF4914" s="168">
        <v>0</v>
      </c>
      <c r="AG4914" s="168"/>
      <c r="AH4914" s="168"/>
    </row>
    <row r="4915" spans="26:34" ht="24" customHeight="1">
      <c r="Z4915"/>
      <c r="AA4915"/>
      <c r="AB4915"/>
      <c r="AC4915"/>
      <c r="AD4915"/>
      <c r="AE4915" s="168"/>
      <c r="AF4915" s="168">
        <v>0</v>
      </c>
      <c r="AG4915" s="168"/>
      <c r="AH4915" s="168"/>
    </row>
    <row r="4916" spans="26:34" ht="24" customHeight="1">
      <c r="Z4916"/>
      <c r="AA4916"/>
      <c r="AB4916"/>
      <c r="AC4916"/>
      <c r="AD4916"/>
      <c r="AE4916" s="168"/>
      <c r="AF4916" s="168">
        <v>0</v>
      </c>
      <c r="AG4916" s="168"/>
      <c r="AH4916" s="168"/>
    </row>
    <row r="4917" spans="26:34" ht="24" customHeight="1">
      <c r="Z4917"/>
      <c r="AA4917"/>
      <c r="AB4917"/>
      <c r="AC4917"/>
      <c r="AD4917"/>
      <c r="AE4917" s="168"/>
      <c r="AF4917" s="168">
        <v>0</v>
      </c>
      <c r="AG4917" s="168"/>
      <c r="AH4917" s="168"/>
    </row>
    <row r="4918" spans="26:34" ht="24" customHeight="1">
      <c r="Z4918"/>
      <c r="AA4918"/>
      <c r="AB4918"/>
      <c r="AC4918"/>
      <c r="AD4918"/>
      <c r="AE4918" s="168"/>
      <c r="AF4918" s="168">
        <v>0</v>
      </c>
      <c r="AG4918" s="168"/>
      <c r="AH4918" s="168"/>
    </row>
    <row r="4919" spans="26:34" ht="24" customHeight="1">
      <c r="Z4919"/>
      <c r="AA4919"/>
      <c r="AB4919"/>
      <c r="AC4919"/>
      <c r="AD4919"/>
      <c r="AE4919" s="168"/>
      <c r="AF4919" s="168">
        <v>0</v>
      </c>
      <c r="AG4919" s="168"/>
      <c r="AH4919" s="168"/>
    </row>
    <row r="4920" spans="26:34" ht="24" customHeight="1">
      <c r="Z4920"/>
      <c r="AA4920"/>
      <c r="AB4920"/>
      <c r="AC4920"/>
      <c r="AD4920"/>
      <c r="AE4920" s="168"/>
      <c r="AF4920" s="168">
        <v>0</v>
      </c>
      <c r="AG4920" s="168"/>
      <c r="AH4920" s="168"/>
    </row>
    <row r="4921" spans="26:34" ht="24" customHeight="1">
      <c r="Z4921"/>
      <c r="AA4921"/>
      <c r="AB4921"/>
      <c r="AC4921"/>
      <c r="AD4921"/>
      <c r="AE4921" s="168"/>
      <c r="AF4921" s="168">
        <v>0</v>
      </c>
      <c r="AG4921" s="168"/>
      <c r="AH4921" s="168"/>
    </row>
    <row r="4922" spans="26:34" ht="24" customHeight="1">
      <c r="Z4922"/>
      <c r="AA4922"/>
      <c r="AB4922"/>
      <c r="AC4922"/>
      <c r="AD4922"/>
      <c r="AE4922" s="168"/>
      <c r="AF4922" s="168">
        <v>0</v>
      </c>
      <c r="AG4922" s="168"/>
      <c r="AH4922" s="168"/>
    </row>
    <row r="4923" spans="26:34" ht="24" customHeight="1">
      <c r="Z4923"/>
      <c r="AA4923"/>
      <c r="AB4923"/>
      <c r="AC4923"/>
      <c r="AD4923"/>
      <c r="AE4923" s="168"/>
      <c r="AF4923" s="168">
        <v>0</v>
      </c>
      <c r="AG4923" s="168"/>
      <c r="AH4923" s="168"/>
    </row>
    <row r="4924" spans="26:34" ht="24" customHeight="1">
      <c r="Z4924"/>
      <c r="AA4924"/>
      <c r="AB4924"/>
      <c r="AC4924"/>
      <c r="AD4924"/>
      <c r="AE4924" s="168"/>
      <c r="AF4924" s="168">
        <v>0</v>
      </c>
      <c r="AG4924" s="168"/>
      <c r="AH4924" s="168"/>
    </row>
    <row r="4925" spans="26:34" ht="24" customHeight="1">
      <c r="Z4925"/>
      <c r="AA4925"/>
      <c r="AB4925"/>
      <c r="AC4925"/>
      <c r="AD4925"/>
      <c r="AE4925" s="168"/>
      <c r="AF4925" s="168">
        <v>0</v>
      </c>
      <c r="AG4925" s="168"/>
      <c r="AH4925" s="168"/>
    </row>
    <row r="4926" spans="26:34" ht="24" customHeight="1">
      <c r="Z4926"/>
      <c r="AA4926"/>
      <c r="AB4926"/>
      <c r="AC4926"/>
      <c r="AD4926"/>
      <c r="AE4926" s="168"/>
      <c r="AF4926" s="168">
        <v>0</v>
      </c>
      <c r="AG4926" s="168"/>
      <c r="AH4926" s="168"/>
    </row>
    <row r="4927" spans="26:34" ht="24" customHeight="1">
      <c r="Z4927"/>
      <c r="AA4927"/>
      <c r="AB4927"/>
      <c r="AC4927"/>
      <c r="AD4927"/>
      <c r="AE4927" s="168"/>
      <c r="AF4927" s="168">
        <v>0</v>
      </c>
      <c r="AG4927" s="168"/>
      <c r="AH4927" s="168"/>
    </row>
    <row r="4928" spans="26:34" ht="24" customHeight="1">
      <c r="Z4928"/>
      <c r="AA4928"/>
      <c r="AB4928"/>
      <c r="AC4928"/>
      <c r="AD4928"/>
      <c r="AE4928" s="168"/>
      <c r="AF4928" s="168">
        <v>0</v>
      </c>
      <c r="AG4928" s="168"/>
      <c r="AH4928" s="168"/>
    </row>
    <row r="4929" spans="26:34" ht="24" customHeight="1">
      <c r="Z4929"/>
      <c r="AA4929"/>
      <c r="AB4929"/>
      <c r="AC4929"/>
      <c r="AD4929"/>
      <c r="AE4929" s="168"/>
      <c r="AF4929" s="168">
        <v>0</v>
      </c>
      <c r="AG4929" s="168"/>
      <c r="AH4929" s="168"/>
    </row>
    <row r="4930" spans="26:34" ht="24" customHeight="1">
      <c r="Z4930"/>
      <c r="AA4930"/>
      <c r="AB4930"/>
      <c r="AC4930"/>
      <c r="AD4930"/>
      <c r="AE4930" s="168"/>
      <c r="AF4930" s="168">
        <v>0</v>
      </c>
      <c r="AG4930" s="168"/>
      <c r="AH4930" s="168"/>
    </row>
    <row r="4931" spans="26:34" ht="24" customHeight="1">
      <c r="Z4931"/>
      <c r="AA4931"/>
      <c r="AB4931"/>
      <c r="AC4931"/>
      <c r="AD4931"/>
      <c r="AE4931" s="168"/>
      <c r="AF4931" s="168">
        <v>0</v>
      </c>
      <c r="AG4931" s="168"/>
      <c r="AH4931" s="168"/>
    </row>
    <row r="4932" spans="26:34" ht="24" customHeight="1">
      <c r="Z4932"/>
      <c r="AA4932"/>
      <c r="AB4932"/>
      <c r="AC4932"/>
      <c r="AD4932"/>
      <c r="AE4932" s="168"/>
      <c r="AF4932" s="168">
        <v>0</v>
      </c>
      <c r="AG4932" s="168"/>
      <c r="AH4932" s="168"/>
    </row>
    <row r="4933" spans="26:34" ht="24" customHeight="1">
      <c r="Z4933"/>
      <c r="AA4933"/>
      <c r="AB4933"/>
      <c r="AC4933"/>
      <c r="AD4933"/>
      <c r="AE4933" s="168"/>
      <c r="AF4933" s="168">
        <v>0</v>
      </c>
      <c r="AG4933" s="168"/>
      <c r="AH4933" s="168"/>
    </row>
    <row r="4934" spans="26:34" ht="24" customHeight="1">
      <c r="Z4934"/>
      <c r="AA4934"/>
      <c r="AB4934"/>
      <c r="AC4934"/>
      <c r="AD4934"/>
      <c r="AE4934" s="168"/>
      <c r="AF4934" s="168">
        <v>0</v>
      </c>
      <c r="AG4934" s="168"/>
      <c r="AH4934" s="168"/>
    </row>
    <row r="4935" spans="26:34" ht="24" customHeight="1">
      <c r="Z4935"/>
      <c r="AA4935"/>
      <c r="AB4935"/>
      <c r="AC4935"/>
      <c r="AD4935"/>
      <c r="AE4935" s="168"/>
      <c r="AF4935" s="168">
        <v>0</v>
      </c>
      <c r="AG4935" s="168"/>
      <c r="AH4935" s="168"/>
    </row>
    <row r="4936" spans="26:34" ht="24" customHeight="1">
      <c r="Z4936"/>
      <c r="AA4936"/>
      <c r="AB4936"/>
      <c r="AC4936"/>
      <c r="AD4936"/>
      <c r="AE4936" s="168"/>
      <c r="AF4936" s="168">
        <v>0</v>
      </c>
      <c r="AG4936" s="168"/>
      <c r="AH4936" s="168"/>
    </row>
    <row r="4937" spans="26:34" ht="24" customHeight="1">
      <c r="Z4937"/>
      <c r="AA4937"/>
      <c r="AB4937"/>
      <c r="AC4937"/>
      <c r="AD4937"/>
      <c r="AE4937" s="168"/>
      <c r="AF4937" s="168">
        <v>0</v>
      </c>
      <c r="AG4937" s="168"/>
      <c r="AH4937" s="168"/>
    </row>
    <row r="4938" spans="26:34" ht="24" customHeight="1">
      <c r="Z4938"/>
      <c r="AA4938"/>
      <c r="AB4938"/>
      <c r="AC4938"/>
      <c r="AD4938"/>
      <c r="AE4938" s="168"/>
      <c r="AF4938" s="168">
        <v>0</v>
      </c>
      <c r="AG4938" s="168"/>
      <c r="AH4938" s="168"/>
    </row>
    <row r="4939" spans="26:34" ht="24" customHeight="1">
      <c r="Z4939"/>
      <c r="AA4939"/>
      <c r="AB4939"/>
      <c r="AC4939"/>
      <c r="AD4939"/>
      <c r="AE4939" s="168"/>
      <c r="AF4939" s="168">
        <v>0</v>
      </c>
      <c r="AG4939" s="168"/>
      <c r="AH4939" s="168"/>
    </row>
    <row r="4940" spans="26:34" ht="24" customHeight="1">
      <c r="Z4940"/>
      <c r="AA4940"/>
      <c r="AB4940"/>
      <c r="AC4940"/>
      <c r="AD4940"/>
      <c r="AE4940" s="168"/>
      <c r="AF4940" s="168">
        <v>0</v>
      </c>
      <c r="AG4940" s="168"/>
      <c r="AH4940" s="168"/>
    </row>
    <row r="4941" spans="26:34" ht="24" customHeight="1">
      <c r="Z4941"/>
      <c r="AA4941"/>
      <c r="AB4941"/>
      <c r="AC4941"/>
      <c r="AD4941"/>
      <c r="AE4941" s="168"/>
      <c r="AF4941" s="168">
        <v>0</v>
      </c>
      <c r="AG4941" s="168"/>
      <c r="AH4941" s="168"/>
    </row>
    <row r="4942" spans="26:34" ht="24" customHeight="1">
      <c r="Z4942"/>
      <c r="AA4942"/>
      <c r="AB4942"/>
      <c r="AC4942"/>
      <c r="AD4942"/>
      <c r="AE4942" s="168"/>
      <c r="AF4942" s="168">
        <v>0</v>
      </c>
      <c r="AG4942" s="168"/>
      <c r="AH4942" s="168"/>
    </row>
    <row r="4943" spans="26:34" ht="24" customHeight="1">
      <c r="Z4943"/>
      <c r="AA4943"/>
      <c r="AB4943"/>
      <c r="AC4943"/>
      <c r="AD4943"/>
      <c r="AE4943" s="168"/>
      <c r="AF4943" s="168">
        <v>0</v>
      </c>
      <c r="AG4943" s="168"/>
      <c r="AH4943" s="168"/>
    </row>
    <row r="4944" spans="26:34" ht="24" customHeight="1">
      <c r="Z4944"/>
      <c r="AA4944"/>
      <c r="AB4944"/>
      <c r="AC4944"/>
      <c r="AD4944"/>
      <c r="AE4944" s="168"/>
      <c r="AF4944" s="168">
        <v>0</v>
      </c>
      <c r="AG4944" s="168"/>
      <c r="AH4944" s="168"/>
    </row>
    <row r="4945" spans="26:34" ht="24" customHeight="1">
      <c r="Z4945"/>
      <c r="AA4945"/>
      <c r="AB4945"/>
      <c r="AC4945"/>
      <c r="AD4945"/>
      <c r="AE4945" s="168"/>
      <c r="AF4945" s="168">
        <v>0</v>
      </c>
      <c r="AG4945" s="168"/>
      <c r="AH4945" s="168"/>
    </row>
    <row r="4946" spans="26:34" ht="24" customHeight="1">
      <c r="Z4946"/>
      <c r="AA4946"/>
      <c r="AB4946"/>
      <c r="AC4946"/>
      <c r="AD4946"/>
      <c r="AE4946" s="168"/>
      <c r="AF4946" s="168">
        <v>0</v>
      </c>
      <c r="AG4946" s="168"/>
      <c r="AH4946" s="168"/>
    </row>
    <row r="4947" spans="26:34" ht="24" customHeight="1">
      <c r="Z4947"/>
      <c r="AA4947"/>
      <c r="AB4947"/>
      <c r="AC4947"/>
      <c r="AD4947"/>
      <c r="AE4947" s="168"/>
      <c r="AF4947" s="168">
        <v>0</v>
      </c>
      <c r="AG4947" s="168"/>
      <c r="AH4947" s="168"/>
    </row>
    <row r="4948" spans="26:34" ht="24" customHeight="1">
      <c r="Z4948"/>
      <c r="AA4948"/>
      <c r="AB4948"/>
      <c r="AC4948"/>
      <c r="AD4948"/>
      <c r="AE4948" s="168"/>
      <c r="AF4948" s="168">
        <v>0</v>
      </c>
      <c r="AG4948" s="168"/>
      <c r="AH4948" s="168"/>
    </row>
    <row r="4949" spans="26:34" ht="24" customHeight="1">
      <c r="Z4949"/>
      <c r="AA4949"/>
      <c r="AB4949"/>
      <c r="AC4949"/>
      <c r="AD4949"/>
      <c r="AE4949" s="168"/>
      <c r="AF4949" s="168">
        <v>0</v>
      </c>
      <c r="AG4949" s="168"/>
      <c r="AH4949" s="168"/>
    </row>
    <row r="4950" spans="26:34" ht="24" customHeight="1">
      <c r="Z4950"/>
      <c r="AA4950"/>
      <c r="AB4950"/>
      <c r="AC4950"/>
      <c r="AD4950"/>
      <c r="AE4950" s="168"/>
      <c r="AF4950" s="168">
        <v>0</v>
      </c>
      <c r="AG4950" s="168"/>
      <c r="AH4950" s="168"/>
    </row>
    <row r="4951" spans="26:34" ht="24" customHeight="1">
      <c r="Z4951"/>
      <c r="AA4951"/>
      <c r="AB4951"/>
      <c r="AC4951"/>
      <c r="AD4951"/>
      <c r="AE4951" s="168"/>
      <c r="AF4951" s="168">
        <v>0</v>
      </c>
      <c r="AG4951" s="168"/>
      <c r="AH4951" s="168"/>
    </row>
    <row r="4952" spans="26:34" ht="24" customHeight="1">
      <c r="Z4952"/>
      <c r="AA4952"/>
      <c r="AB4952"/>
      <c r="AC4952"/>
      <c r="AD4952"/>
      <c r="AE4952" s="168"/>
      <c r="AF4952" s="168">
        <v>0</v>
      </c>
      <c r="AG4952" s="168"/>
      <c r="AH4952" s="168"/>
    </row>
    <row r="4953" spans="26:34" ht="24" customHeight="1">
      <c r="Z4953"/>
      <c r="AA4953"/>
      <c r="AB4953"/>
      <c r="AC4953"/>
      <c r="AD4953"/>
      <c r="AE4953" s="168"/>
      <c r="AF4953" s="168">
        <v>0</v>
      </c>
      <c r="AG4953" s="168"/>
      <c r="AH4953" s="168"/>
    </row>
    <row r="4954" spans="26:34" ht="24" customHeight="1">
      <c r="Z4954"/>
      <c r="AA4954"/>
      <c r="AB4954"/>
      <c r="AC4954"/>
      <c r="AD4954"/>
      <c r="AE4954" s="168"/>
      <c r="AF4954" s="168">
        <v>0</v>
      </c>
      <c r="AG4954" s="168"/>
      <c r="AH4954" s="168"/>
    </row>
    <row r="4955" spans="26:34" ht="24" customHeight="1">
      <c r="Z4955"/>
      <c r="AA4955"/>
      <c r="AB4955"/>
      <c r="AC4955"/>
      <c r="AD4955"/>
      <c r="AE4955" s="168"/>
      <c r="AF4955" s="168">
        <v>0</v>
      </c>
      <c r="AG4955" s="168"/>
      <c r="AH4955" s="168"/>
    </row>
    <row r="4956" spans="26:34" ht="24" customHeight="1">
      <c r="Z4956"/>
      <c r="AA4956"/>
      <c r="AB4956"/>
      <c r="AC4956"/>
      <c r="AD4956"/>
      <c r="AE4956" s="168"/>
      <c r="AF4956" s="168">
        <v>0</v>
      </c>
      <c r="AG4956" s="168"/>
      <c r="AH4956" s="168"/>
    </row>
    <row r="4957" spans="26:34" ht="24" customHeight="1">
      <c r="Z4957"/>
      <c r="AA4957"/>
      <c r="AB4957"/>
      <c r="AC4957"/>
      <c r="AD4957"/>
      <c r="AE4957" s="168"/>
      <c r="AF4957" s="168">
        <v>0</v>
      </c>
      <c r="AG4957" s="168"/>
      <c r="AH4957" s="168"/>
    </row>
    <row r="4958" spans="26:34" ht="24" customHeight="1">
      <c r="Z4958"/>
      <c r="AA4958"/>
      <c r="AB4958"/>
      <c r="AC4958"/>
      <c r="AD4958"/>
      <c r="AE4958" s="168"/>
      <c r="AF4958" s="168">
        <v>0</v>
      </c>
      <c r="AG4958" s="168"/>
      <c r="AH4958" s="168"/>
    </row>
    <row r="4959" spans="26:34" ht="24" customHeight="1">
      <c r="Z4959"/>
      <c r="AA4959"/>
      <c r="AB4959"/>
      <c r="AC4959"/>
      <c r="AD4959"/>
      <c r="AE4959" s="168"/>
      <c r="AF4959" s="168">
        <v>0</v>
      </c>
      <c r="AG4959" s="168"/>
      <c r="AH4959" s="168"/>
    </row>
    <row r="4960" spans="26:34" ht="24" customHeight="1">
      <c r="Z4960"/>
      <c r="AA4960"/>
      <c r="AB4960"/>
      <c r="AC4960"/>
      <c r="AD4960"/>
      <c r="AE4960" s="168"/>
      <c r="AF4960" s="168">
        <v>0</v>
      </c>
      <c r="AG4960" s="168"/>
      <c r="AH4960" s="168"/>
    </row>
    <row r="4961" spans="26:34" ht="24" customHeight="1">
      <c r="Z4961"/>
      <c r="AA4961"/>
      <c r="AB4961"/>
      <c r="AC4961"/>
      <c r="AD4961"/>
      <c r="AE4961" s="168"/>
      <c r="AF4961" s="168">
        <v>0</v>
      </c>
      <c r="AG4961" s="168"/>
      <c r="AH4961" s="168"/>
    </row>
    <row r="4962" spans="26:34" ht="24" customHeight="1">
      <c r="Z4962"/>
      <c r="AA4962"/>
      <c r="AB4962"/>
      <c r="AC4962"/>
      <c r="AD4962"/>
      <c r="AE4962" s="168"/>
      <c r="AF4962" s="168">
        <v>0</v>
      </c>
      <c r="AG4962" s="168"/>
      <c r="AH4962" s="168"/>
    </row>
    <row r="4963" spans="26:34" ht="24" customHeight="1">
      <c r="Z4963"/>
      <c r="AA4963"/>
      <c r="AB4963"/>
      <c r="AC4963"/>
      <c r="AD4963"/>
      <c r="AE4963" s="168"/>
      <c r="AF4963" s="168">
        <v>0</v>
      </c>
      <c r="AG4963" s="168"/>
      <c r="AH4963" s="168"/>
    </row>
    <row r="4964" spans="26:34" ht="24" customHeight="1">
      <c r="Z4964"/>
      <c r="AA4964"/>
      <c r="AB4964"/>
      <c r="AC4964"/>
      <c r="AD4964"/>
      <c r="AE4964" s="168"/>
      <c r="AF4964" s="168">
        <v>0</v>
      </c>
      <c r="AG4964" s="168"/>
      <c r="AH4964" s="168"/>
    </row>
    <row r="4965" spans="26:34" ht="24" customHeight="1">
      <c r="Z4965"/>
      <c r="AA4965"/>
      <c r="AB4965"/>
      <c r="AC4965"/>
      <c r="AD4965"/>
      <c r="AE4965" s="168"/>
      <c r="AF4965" s="168">
        <v>0</v>
      </c>
      <c r="AG4965" s="168"/>
      <c r="AH4965" s="168"/>
    </row>
    <row r="4966" spans="26:34" ht="24" customHeight="1">
      <c r="Z4966"/>
      <c r="AA4966"/>
      <c r="AB4966"/>
      <c r="AC4966"/>
      <c r="AD4966"/>
      <c r="AE4966" s="168"/>
      <c r="AF4966" s="168">
        <v>0</v>
      </c>
      <c r="AG4966" s="168"/>
      <c r="AH4966" s="168"/>
    </row>
    <row r="4967" spans="26:34" ht="24" customHeight="1">
      <c r="Z4967"/>
      <c r="AA4967"/>
      <c r="AB4967"/>
      <c r="AC4967"/>
      <c r="AD4967"/>
      <c r="AE4967" s="168"/>
      <c r="AF4967" s="168">
        <v>0</v>
      </c>
      <c r="AG4967" s="168"/>
      <c r="AH4967" s="168"/>
    </row>
    <row r="4968" spans="26:34" ht="24" customHeight="1">
      <c r="Z4968"/>
      <c r="AA4968"/>
      <c r="AB4968"/>
      <c r="AC4968"/>
      <c r="AD4968"/>
      <c r="AE4968" s="168"/>
      <c r="AF4968" s="168">
        <v>0</v>
      </c>
      <c r="AG4968" s="168"/>
      <c r="AH4968" s="168"/>
    </row>
    <row r="4969" spans="26:34" ht="24" customHeight="1">
      <c r="Z4969"/>
      <c r="AA4969"/>
      <c r="AB4969"/>
      <c r="AC4969"/>
      <c r="AD4969"/>
      <c r="AE4969" s="168"/>
      <c r="AF4969" s="168">
        <v>0</v>
      </c>
      <c r="AG4969" s="168"/>
      <c r="AH4969" s="168"/>
    </row>
    <row r="4970" spans="26:34" ht="24" customHeight="1">
      <c r="Z4970"/>
      <c r="AA4970"/>
      <c r="AB4970"/>
      <c r="AC4970"/>
      <c r="AD4970"/>
      <c r="AE4970" s="168"/>
      <c r="AF4970" s="168">
        <v>0</v>
      </c>
      <c r="AG4970" s="168"/>
      <c r="AH4970" s="168"/>
    </row>
    <row r="4971" spans="26:34" ht="24" customHeight="1">
      <c r="Z4971"/>
      <c r="AA4971"/>
      <c r="AB4971"/>
      <c r="AC4971"/>
      <c r="AD4971"/>
      <c r="AE4971" s="168"/>
      <c r="AF4971" s="168">
        <v>0</v>
      </c>
      <c r="AG4971" s="168"/>
      <c r="AH4971" s="168"/>
    </row>
    <row r="4972" spans="26:34" ht="24" customHeight="1">
      <c r="Z4972"/>
      <c r="AA4972"/>
      <c r="AB4972"/>
      <c r="AC4972"/>
      <c r="AD4972"/>
      <c r="AE4972" s="168"/>
      <c r="AF4972" s="168">
        <v>0</v>
      </c>
      <c r="AG4972" s="168"/>
      <c r="AH4972" s="168"/>
    </row>
    <row r="4973" spans="26:34" ht="24" customHeight="1">
      <c r="Z4973"/>
      <c r="AA4973"/>
      <c r="AB4973"/>
      <c r="AC4973"/>
      <c r="AD4973"/>
      <c r="AE4973" s="168"/>
      <c r="AF4973" s="168">
        <v>0</v>
      </c>
      <c r="AG4973" s="168"/>
      <c r="AH4973" s="168"/>
    </row>
    <row r="4974" spans="26:34" ht="24" customHeight="1">
      <c r="Z4974"/>
      <c r="AA4974"/>
      <c r="AB4974"/>
      <c r="AC4974"/>
      <c r="AD4974"/>
      <c r="AE4974" s="168"/>
      <c r="AF4974" s="168">
        <v>0</v>
      </c>
      <c r="AG4974" s="168"/>
      <c r="AH4974" s="168"/>
    </row>
    <row r="4975" spans="26:34" ht="24" customHeight="1">
      <c r="Z4975"/>
      <c r="AA4975"/>
      <c r="AB4975"/>
      <c r="AC4975"/>
      <c r="AD4975"/>
      <c r="AE4975" s="168"/>
      <c r="AF4975" s="168">
        <v>0</v>
      </c>
      <c r="AG4975" s="168"/>
      <c r="AH4975" s="168"/>
    </row>
    <row r="4976" spans="26:34" ht="24" customHeight="1">
      <c r="Z4976"/>
      <c r="AA4976"/>
      <c r="AB4976"/>
      <c r="AC4976"/>
      <c r="AD4976"/>
      <c r="AE4976" s="168"/>
      <c r="AF4976" s="168">
        <v>0</v>
      </c>
      <c r="AG4976" s="168"/>
      <c r="AH4976" s="168"/>
    </row>
    <row r="4977" spans="26:34" ht="24" customHeight="1">
      <c r="Z4977"/>
      <c r="AA4977"/>
      <c r="AB4977"/>
      <c r="AC4977"/>
      <c r="AD4977"/>
      <c r="AE4977" s="168"/>
      <c r="AF4977" s="168">
        <v>0</v>
      </c>
      <c r="AG4977" s="168"/>
      <c r="AH4977" s="168"/>
    </row>
    <row r="4978" spans="26:34" ht="24" customHeight="1">
      <c r="Z4978"/>
      <c r="AA4978"/>
      <c r="AB4978"/>
      <c r="AC4978"/>
      <c r="AD4978"/>
      <c r="AE4978" s="168"/>
      <c r="AF4978" s="168">
        <v>0</v>
      </c>
      <c r="AG4978" s="168"/>
      <c r="AH4978" s="168"/>
    </row>
    <row r="4979" spans="26:34" ht="24" customHeight="1">
      <c r="Z4979"/>
      <c r="AA4979"/>
      <c r="AB4979"/>
      <c r="AC4979"/>
      <c r="AD4979"/>
      <c r="AE4979" s="168"/>
      <c r="AF4979" s="168">
        <v>0</v>
      </c>
      <c r="AG4979" s="168"/>
      <c r="AH4979" s="168"/>
    </row>
    <row r="4980" spans="26:34" ht="24" customHeight="1">
      <c r="Z4980"/>
      <c r="AA4980"/>
      <c r="AB4980"/>
      <c r="AC4980"/>
      <c r="AD4980"/>
      <c r="AE4980" s="168"/>
      <c r="AF4980" s="168">
        <v>0</v>
      </c>
      <c r="AG4980" s="168"/>
      <c r="AH4980" s="168"/>
    </row>
    <row r="4981" spans="26:34" ht="24" customHeight="1">
      <c r="Z4981"/>
      <c r="AA4981"/>
      <c r="AB4981"/>
      <c r="AC4981"/>
      <c r="AD4981"/>
      <c r="AE4981" s="168"/>
      <c r="AF4981" s="168">
        <v>0</v>
      </c>
      <c r="AG4981" s="168"/>
      <c r="AH4981" s="168"/>
    </row>
    <row r="4982" spans="26:34" ht="24" customHeight="1">
      <c r="Z4982"/>
      <c r="AA4982"/>
      <c r="AB4982"/>
      <c r="AC4982"/>
      <c r="AD4982"/>
      <c r="AE4982" s="168"/>
      <c r="AF4982" s="168">
        <v>0</v>
      </c>
      <c r="AG4982" s="168"/>
      <c r="AH4982" s="168"/>
    </row>
    <row r="4983" spans="26:34" ht="24" customHeight="1">
      <c r="Z4983"/>
      <c r="AA4983"/>
      <c r="AB4983"/>
      <c r="AC4983"/>
      <c r="AD4983"/>
      <c r="AE4983" s="168"/>
      <c r="AF4983" s="168">
        <v>0</v>
      </c>
      <c r="AG4983" s="168"/>
      <c r="AH4983" s="168"/>
    </row>
    <row r="4984" spans="26:34" ht="24" customHeight="1">
      <c r="Z4984"/>
      <c r="AA4984"/>
      <c r="AB4984"/>
      <c r="AC4984"/>
      <c r="AD4984"/>
      <c r="AE4984" s="168"/>
      <c r="AF4984" s="168">
        <v>0</v>
      </c>
      <c r="AG4984" s="168"/>
      <c r="AH4984" s="168"/>
    </row>
    <row r="4985" spans="26:34" ht="24" customHeight="1">
      <c r="Z4985"/>
      <c r="AA4985"/>
      <c r="AB4985"/>
      <c r="AC4985"/>
      <c r="AD4985"/>
      <c r="AE4985" s="168"/>
      <c r="AF4985" s="168">
        <v>0</v>
      </c>
      <c r="AG4985" s="168"/>
      <c r="AH4985" s="168"/>
    </row>
    <row r="4986" spans="26:34" ht="24" customHeight="1">
      <c r="Z4986"/>
      <c r="AA4986"/>
      <c r="AB4986"/>
      <c r="AC4986"/>
      <c r="AD4986"/>
      <c r="AE4986" s="168"/>
      <c r="AF4986" s="168">
        <v>0</v>
      </c>
      <c r="AG4986" s="168"/>
      <c r="AH4986" s="168"/>
    </row>
    <row r="4987" spans="26:34" ht="24" customHeight="1">
      <c r="Z4987"/>
      <c r="AA4987"/>
      <c r="AB4987"/>
      <c r="AC4987"/>
      <c r="AD4987"/>
      <c r="AE4987" s="168"/>
      <c r="AF4987" s="168">
        <v>0</v>
      </c>
      <c r="AG4987" s="168"/>
      <c r="AH4987" s="168"/>
    </row>
    <row r="4988" spans="26:34" ht="24" customHeight="1">
      <c r="Z4988"/>
      <c r="AA4988"/>
      <c r="AB4988"/>
      <c r="AC4988"/>
      <c r="AD4988"/>
      <c r="AE4988" s="168"/>
      <c r="AF4988" s="168">
        <v>0</v>
      </c>
      <c r="AG4988" s="168"/>
      <c r="AH4988" s="168"/>
    </row>
    <row r="4989" spans="26:34" ht="24" customHeight="1">
      <c r="Z4989"/>
      <c r="AA4989"/>
      <c r="AB4989"/>
      <c r="AC4989"/>
      <c r="AD4989"/>
      <c r="AE4989" s="168"/>
      <c r="AF4989" s="168">
        <v>0</v>
      </c>
      <c r="AG4989" s="168"/>
      <c r="AH4989" s="168"/>
    </row>
    <row r="4990" spans="26:34" ht="24" customHeight="1">
      <c r="Z4990"/>
      <c r="AA4990"/>
      <c r="AB4990"/>
      <c r="AC4990"/>
      <c r="AD4990"/>
      <c r="AE4990" s="168"/>
      <c r="AF4990" s="168">
        <v>0</v>
      </c>
      <c r="AG4990" s="168"/>
      <c r="AH4990" s="168"/>
    </row>
    <row r="4991" spans="26:34" ht="24" customHeight="1">
      <c r="Z4991"/>
      <c r="AA4991"/>
      <c r="AB4991"/>
      <c r="AC4991"/>
      <c r="AD4991"/>
      <c r="AE4991" s="168"/>
      <c r="AF4991" s="168">
        <v>0</v>
      </c>
      <c r="AG4991" s="168"/>
      <c r="AH4991" s="168"/>
    </row>
    <row r="4992" spans="26:34" ht="24" customHeight="1">
      <c r="Z4992"/>
      <c r="AA4992"/>
      <c r="AB4992"/>
      <c r="AC4992"/>
      <c r="AD4992"/>
      <c r="AE4992" s="168"/>
      <c r="AF4992" s="168">
        <v>0</v>
      </c>
      <c r="AG4992" s="168"/>
      <c r="AH4992" s="168"/>
    </row>
    <row r="4993" spans="26:34" ht="24" customHeight="1">
      <c r="Z4993"/>
      <c r="AA4993"/>
      <c r="AB4993"/>
      <c r="AC4993"/>
      <c r="AD4993"/>
      <c r="AE4993" s="168"/>
      <c r="AF4993" s="168">
        <v>0</v>
      </c>
      <c r="AG4993" s="168"/>
      <c r="AH4993" s="168"/>
    </row>
    <row r="4994" spans="26:34" ht="24" customHeight="1">
      <c r="Z4994"/>
      <c r="AA4994"/>
      <c r="AB4994"/>
      <c r="AC4994"/>
      <c r="AD4994"/>
      <c r="AE4994" s="168"/>
      <c r="AF4994" s="168">
        <v>0</v>
      </c>
      <c r="AG4994" s="168"/>
      <c r="AH4994" s="168"/>
    </row>
    <row r="4995" spans="26:34" ht="24" customHeight="1">
      <c r="Z4995"/>
      <c r="AA4995"/>
      <c r="AB4995"/>
      <c r="AC4995"/>
      <c r="AD4995"/>
      <c r="AE4995" s="168"/>
      <c r="AF4995" s="168">
        <v>0</v>
      </c>
      <c r="AG4995" s="168"/>
      <c r="AH4995" s="168"/>
    </row>
    <row r="4996" spans="26:34" ht="24" customHeight="1">
      <c r="Z4996"/>
      <c r="AA4996"/>
      <c r="AB4996"/>
      <c r="AC4996"/>
      <c r="AD4996"/>
      <c r="AE4996" s="168"/>
      <c r="AF4996" s="168">
        <v>0</v>
      </c>
      <c r="AG4996" s="168"/>
      <c r="AH4996" s="168"/>
    </row>
    <row r="4997" spans="26:34" ht="24" customHeight="1">
      <c r="Z4997"/>
      <c r="AA4997"/>
      <c r="AB4997"/>
      <c r="AC4997"/>
      <c r="AD4997"/>
      <c r="AE4997" s="168"/>
      <c r="AF4997" s="168">
        <v>0</v>
      </c>
      <c r="AG4997" s="168"/>
      <c r="AH4997" s="168"/>
    </row>
    <row r="4998" spans="26:34" ht="24" customHeight="1">
      <c r="Z4998"/>
      <c r="AA4998"/>
      <c r="AB4998"/>
      <c r="AC4998"/>
      <c r="AD4998"/>
      <c r="AE4998" s="168"/>
      <c r="AF4998" s="168">
        <v>0</v>
      </c>
      <c r="AG4998" s="168"/>
      <c r="AH4998" s="168"/>
    </row>
    <row r="4999" spans="26:34" ht="24" customHeight="1">
      <c r="Z4999"/>
      <c r="AA4999"/>
      <c r="AB4999"/>
      <c r="AC4999"/>
      <c r="AD4999"/>
      <c r="AE4999" s="168"/>
      <c r="AF4999" s="168">
        <v>0</v>
      </c>
      <c r="AG4999" s="168"/>
      <c r="AH4999" s="168"/>
    </row>
    <row r="5000" spans="26:34" ht="24" customHeight="1">
      <c r="Z5000"/>
      <c r="AA5000"/>
      <c r="AB5000"/>
      <c r="AC5000"/>
      <c r="AD5000"/>
      <c r="AE5000" s="168"/>
      <c r="AF5000" s="168">
        <v>0</v>
      </c>
      <c r="AG5000" s="168"/>
      <c r="AH5000" s="168"/>
    </row>
    <row r="5001" spans="26:34" ht="24" customHeight="1">
      <c r="AF5001" s="908">
        <v>0</v>
      </c>
    </row>
    <row r="5002" spans="26:34" ht="24" customHeight="1">
      <c r="AF5002" s="908">
        <v>0</v>
      </c>
    </row>
    <row r="5003" spans="26:34" ht="24" customHeight="1">
      <c r="AF5003" s="908">
        <v>0</v>
      </c>
    </row>
    <row r="5004" spans="26:34" ht="24" customHeight="1">
      <c r="AF5004" s="908">
        <v>0</v>
      </c>
    </row>
    <row r="5005" spans="26:34" ht="24" customHeight="1">
      <c r="AF5005" s="908">
        <v>0</v>
      </c>
    </row>
    <row r="5006" spans="26:34" ht="24" customHeight="1">
      <c r="AF5006" s="908">
        <v>0</v>
      </c>
    </row>
    <row r="5007" spans="26:34" ht="24" customHeight="1">
      <c r="AF5007" s="908">
        <v>0</v>
      </c>
    </row>
    <row r="5008" spans="26:34" ht="24" customHeight="1">
      <c r="AF5008" s="908">
        <v>0</v>
      </c>
    </row>
    <row r="5009" spans="32:32" ht="24" customHeight="1">
      <c r="AF5009" s="908">
        <v>0</v>
      </c>
    </row>
    <row r="5010" spans="32:32" ht="24" customHeight="1">
      <c r="AF5010" s="908">
        <v>0</v>
      </c>
    </row>
    <row r="5011" spans="32:32" ht="24" customHeight="1">
      <c r="AF5011" s="908">
        <v>0</v>
      </c>
    </row>
    <row r="5012" spans="32:32" ht="24" customHeight="1">
      <c r="AF5012" s="908">
        <v>0</v>
      </c>
    </row>
    <row r="5013" spans="32:32" ht="24" customHeight="1">
      <c r="AF5013" s="908">
        <v>0</v>
      </c>
    </row>
    <row r="5014" spans="32:32" ht="24" customHeight="1">
      <c r="AF5014" s="908">
        <v>0</v>
      </c>
    </row>
    <row r="5015" spans="32:32" ht="24" customHeight="1">
      <c r="AF5015" s="908">
        <v>0</v>
      </c>
    </row>
    <row r="5016" spans="32:32" ht="24" customHeight="1">
      <c r="AF5016" s="908">
        <v>0</v>
      </c>
    </row>
    <row r="5017" spans="32:32" ht="24" customHeight="1">
      <c r="AF5017" s="908">
        <v>0</v>
      </c>
    </row>
    <row r="5018" spans="32:32" ht="24" customHeight="1">
      <c r="AF5018" s="908">
        <v>0</v>
      </c>
    </row>
    <row r="5019" spans="32:32" ht="24" customHeight="1">
      <c r="AF5019" s="908">
        <v>0</v>
      </c>
    </row>
    <row r="5020" spans="32:32" ht="24" customHeight="1">
      <c r="AF5020" s="908">
        <v>0</v>
      </c>
    </row>
    <row r="5021" spans="32:32" ht="24" customHeight="1">
      <c r="AF5021" s="908">
        <v>0</v>
      </c>
    </row>
    <row r="5022" spans="32:32" ht="24" customHeight="1">
      <c r="AF5022" s="908">
        <v>0</v>
      </c>
    </row>
    <row r="5023" spans="32:32" ht="24" customHeight="1">
      <c r="AF5023" s="908">
        <v>0</v>
      </c>
    </row>
    <row r="5024" spans="32:32" ht="24" customHeight="1">
      <c r="AF5024" s="908">
        <v>0</v>
      </c>
    </row>
    <row r="5025" spans="32:32" ht="24" customHeight="1">
      <c r="AF5025" s="908">
        <v>0</v>
      </c>
    </row>
    <row r="5026" spans="32:32" ht="24" customHeight="1">
      <c r="AF5026" s="908">
        <v>0</v>
      </c>
    </row>
    <row r="5027" spans="32:32" ht="24" customHeight="1">
      <c r="AF5027" s="908">
        <v>0</v>
      </c>
    </row>
    <row r="5028" spans="32:32" ht="24" customHeight="1">
      <c r="AF5028" s="908">
        <v>0</v>
      </c>
    </row>
    <row r="5029" spans="32:32" ht="24" customHeight="1">
      <c r="AF5029" s="908">
        <v>0</v>
      </c>
    </row>
    <row r="5030" spans="32:32" ht="24" customHeight="1">
      <c r="AF5030" s="908">
        <v>0</v>
      </c>
    </row>
    <row r="5031" spans="32:32" ht="24" customHeight="1">
      <c r="AF5031" s="908">
        <v>0</v>
      </c>
    </row>
    <row r="5032" spans="32:32" ht="24" customHeight="1">
      <c r="AF5032" s="908">
        <v>0</v>
      </c>
    </row>
    <row r="5033" spans="32:32" ht="24" customHeight="1">
      <c r="AF5033" s="908">
        <v>0</v>
      </c>
    </row>
    <row r="5034" spans="32:32" ht="24" customHeight="1">
      <c r="AF5034" s="908">
        <v>0</v>
      </c>
    </row>
    <row r="5035" spans="32:32" ht="24" customHeight="1">
      <c r="AF5035" s="908">
        <v>0</v>
      </c>
    </row>
    <row r="5036" spans="32:32" ht="24" customHeight="1">
      <c r="AF5036" s="908">
        <v>0</v>
      </c>
    </row>
    <row r="5037" spans="32:32" ht="24" customHeight="1">
      <c r="AF5037" s="908">
        <v>0</v>
      </c>
    </row>
    <row r="5038" spans="32:32" ht="24" customHeight="1">
      <c r="AF5038" s="908">
        <v>0</v>
      </c>
    </row>
    <row r="5039" spans="32:32" ht="24" customHeight="1">
      <c r="AF5039" s="908">
        <v>0</v>
      </c>
    </row>
    <row r="5040" spans="32:32" ht="24" customHeight="1">
      <c r="AF5040" s="908">
        <v>0</v>
      </c>
    </row>
    <row r="5041" spans="32:32" ht="24" customHeight="1">
      <c r="AF5041" s="908">
        <v>0</v>
      </c>
    </row>
    <row r="5042" spans="32:32" ht="24" customHeight="1">
      <c r="AF5042" s="908">
        <v>0</v>
      </c>
    </row>
    <row r="5043" spans="32:32" ht="24" customHeight="1">
      <c r="AF5043" s="908">
        <v>0</v>
      </c>
    </row>
    <row r="5044" spans="32:32" ht="24" customHeight="1">
      <c r="AF5044" s="908">
        <v>0</v>
      </c>
    </row>
    <row r="5045" spans="32:32" ht="24" customHeight="1">
      <c r="AF5045" s="908">
        <v>0</v>
      </c>
    </row>
    <row r="5046" spans="32:32" ht="24" customHeight="1">
      <c r="AF5046" s="908">
        <v>0</v>
      </c>
    </row>
    <row r="5047" spans="32:32" ht="24" customHeight="1">
      <c r="AF5047" s="908">
        <v>0</v>
      </c>
    </row>
    <row r="5048" spans="32:32" ht="24" customHeight="1">
      <c r="AF5048" s="908">
        <v>0</v>
      </c>
    </row>
    <row r="5049" spans="32:32" ht="24" customHeight="1">
      <c r="AF5049" s="908">
        <v>0</v>
      </c>
    </row>
    <row r="5050" spans="32:32" ht="24" customHeight="1">
      <c r="AF5050" s="908">
        <v>0</v>
      </c>
    </row>
    <row r="5051" spans="32:32" ht="24" customHeight="1">
      <c r="AF5051" s="908">
        <v>0</v>
      </c>
    </row>
    <row r="5052" spans="32:32" ht="24" customHeight="1">
      <c r="AF5052" s="908">
        <v>0</v>
      </c>
    </row>
    <row r="5053" spans="32:32" ht="24" customHeight="1">
      <c r="AF5053" s="908">
        <v>0</v>
      </c>
    </row>
    <row r="5054" spans="32:32" ht="24" customHeight="1">
      <c r="AF5054" s="908">
        <v>0</v>
      </c>
    </row>
    <row r="5055" spans="32:32" ht="24" customHeight="1">
      <c r="AF5055" s="908">
        <v>0</v>
      </c>
    </row>
    <row r="5056" spans="32:32" ht="24" customHeight="1">
      <c r="AF5056" s="908">
        <v>0</v>
      </c>
    </row>
    <row r="5057" spans="32:32" ht="24" customHeight="1">
      <c r="AF5057" s="908">
        <v>0</v>
      </c>
    </row>
    <row r="5058" spans="32:32" ht="24" customHeight="1">
      <c r="AF5058" s="908">
        <v>0</v>
      </c>
    </row>
    <row r="5059" spans="32:32" ht="24" customHeight="1">
      <c r="AF5059" s="908">
        <v>0</v>
      </c>
    </row>
    <row r="5060" spans="32:32" ht="24" customHeight="1">
      <c r="AF5060" s="908">
        <v>0</v>
      </c>
    </row>
    <row r="5061" spans="32:32" ht="24" customHeight="1">
      <c r="AF5061" s="908">
        <v>0</v>
      </c>
    </row>
    <row r="5062" spans="32:32" ht="24" customHeight="1">
      <c r="AF5062" s="908">
        <v>0</v>
      </c>
    </row>
    <row r="5063" spans="32:32" ht="24" customHeight="1">
      <c r="AF5063" s="908">
        <v>0</v>
      </c>
    </row>
    <row r="5064" spans="32:32" ht="24" customHeight="1">
      <c r="AF5064" s="908">
        <v>0</v>
      </c>
    </row>
    <row r="5065" spans="32:32" ht="24" customHeight="1">
      <c r="AF5065" s="908">
        <v>0</v>
      </c>
    </row>
    <row r="5066" spans="32:32" ht="24" customHeight="1">
      <c r="AF5066" s="908">
        <v>0</v>
      </c>
    </row>
    <row r="5067" spans="32:32" ht="24" customHeight="1">
      <c r="AF5067" s="908">
        <v>0</v>
      </c>
    </row>
    <row r="5068" spans="32:32" ht="24" customHeight="1">
      <c r="AF5068" s="908">
        <v>0</v>
      </c>
    </row>
    <row r="5069" spans="32:32" ht="24" customHeight="1">
      <c r="AF5069" s="908">
        <v>0</v>
      </c>
    </row>
    <row r="5070" spans="32:32" ht="24" customHeight="1">
      <c r="AF5070" s="908">
        <v>0</v>
      </c>
    </row>
    <row r="5071" spans="32:32" ht="24" customHeight="1">
      <c r="AF5071" s="908">
        <v>0</v>
      </c>
    </row>
    <row r="5072" spans="32:32" ht="24" customHeight="1">
      <c r="AF5072" s="908">
        <v>0</v>
      </c>
    </row>
    <row r="5073" spans="32:32" ht="24" customHeight="1">
      <c r="AF5073" s="908">
        <v>0</v>
      </c>
    </row>
    <row r="5074" spans="32:32" ht="24" customHeight="1">
      <c r="AF5074" s="908">
        <v>0</v>
      </c>
    </row>
    <row r="5075" spans="32:32" ht="24" customHeight="1">
      <c r="AF5075" s="908">
        <v>0</v>
      </c>
    </row>
    <row r="5076" spans="32:32" ht="24" customHeight="1">
      <c r="AF5076" s="908">
        <v>0</v>
      </c>
    </row>
    <row r="5077" spans="32:32" ht="24" customHeight="1">
      <c r="AF5077" s="908">
        <v>0</v>
      </c>
    </row>
    <row r="5078" spans="32:32" ht="24" customHeight="1">
      <c r="AF5078" s="908">
        <v>0</v>
      </c>
    </row>
    <row r="5079" spans="32:32" ht="24" customHeight="1">
      <c r="AF5079" s="908">
        <v>0</v>
      </c>
    </row>
    <row r="5080" spans="32:32" ht="24" customHeight="1">
      <c r="AF5080" s="908">
        <v>0</v>
      </c>
    </row>
    <row r="5081" spans="32:32" ht="24" customHeight="1">
      <c r="AF5081" s="908">
        <v>0</v>
      </c>
    </row>
    <row r="5082" spans="32:32" ht="24" customHeight="1">
      <c r="AF5082" s="908">
        <v>0</v>
      </c>
    </row>
    <row r="5083" spans="32:32" ht="24" customHeight="1">
      <c r="AF5083" s="908">
        <v>0</v>
      </c>
    </row>
    <row r="5084" spans="32:32" ht="24" customHeight="1">
      <c r="AF5084" s="908">
        <v>0</v>
      </c>
    </row>
    <row r="5085" spans="32:32" ht="24" customHeight="1">
      <c r="AF5085" s="908">
        <v>0</v>
      </c>
    </row>
    <row r="5086" spans="32:32" ht="24" customHeight="1">
      <c r="AF5086" s="908">
        <v>0</v>
      </c>
    </row>
    <row r="5087" spans="32:32" ht="24" customHeight="1">
      <c r="AF5087" s="908">
        <v>0</v>
      </c>
    </row>
    <row r="5088" spans="32:32" ht="24" customHeight="1">
      <c r="AF5088" s="908">
        <v>0</v>
      </c>
    </row>
    <row r="5089" spans="32:32" ht="24" customHeight="1">
      <c r="AF5089" s="908">
        <v>0</v>
      </c>
    </row>
    <row r="5090" spans="32:32" ht="24" customHeight="1">
      <c r="AF5090" s="908">
        <v>0</v>
      </c>
    </row>
    <row r="5091" spans="32:32" ht="24" customHeight="1">
      <c r="AF5091" s="908">
        <v>0</v>
      </c>
    </row>
    <row r="5092" spans="32:32" ht="24" customHeight="1">
      <c r="AF5092" s="908">
        <v>0</v>
      </c>
    </row>
    <row r="5093" spans="32:32" ht="24" customHeight="1">
      <c r="AF5093" s="908">
        <v>0</v>
      </c>
    </row>
    <row r="5094" spans="32:32" ht="24" customHeight="1">
      <c r="AF5094" s="908">
        <v>0</v>
      </c>
    </row>
    <row r="5095" spans="32:32" ht="24" customHeight="1">
      <c r="AF5095" s="908">
        <v>0</v>
      </c>
    </row>
    <row r="5096" spans="32:32" ht="24" customHeight="1">
      <c r="AF5096" s="908">
        <v>0</v>
      </c>
    </row>
    <row r="5097" spans="32:32" ht="24" customHeight="1">
      <c r="AF5097" s="908">
        <v>0</v>
      </c>
    </row>
    <row r="5098" spans="32:32" ht="24" customHeight="1">
      <c r="AF5098" s="908">
        <v>0</v>
      </c>
    </row>
    <row r="5099" spans="32:32" ht="24" customHeight="1">
      <c r="AF5099" s="908">
        <v>0</v>
      </c>
    </row>
    <row r="5100" spans="32:32" ht="24" customHeight="1">
      <c r="AF5100" s="908">
        <v>0</v>
      </c>
    </row>
    <row r="5101" spans="32:32" ht="24" customHeight="1">
      <c r="AF5101" s="908">
        <v>0</v>
      </c>
    </row>
    <row r="5102" spans="32:32" ht="24" customHeight="1">
      <c r="AF5102" s="908">
        <v>0</v>
      </c>
    </row>
    <row r="5103" spans="32:32" ht="24" customHeight="1">
      <c r="AF5103" s="908">
        <v>0</v>
      </c>
    </row>
    <row r="5104" spans="32:32" ht="24" customHeight="1">
      <c r="AF5104" s="908">
        <v>0</v>
      </c>
    </row>
    <row r="5105" spans="32:32" ht="24" customHeight="1">
      <c r="AF5105" s="908">
        <v>0</v>
      </c>
    </row>
    <row r="5106" spans="32:32" ht="24" customHeight="1">
      <c r="AF5106" s="908">
        <v>0</v>
      </c>
    </row>
    <row r="5107" spans="32:32" ht="24" customHeight="1">
      <c r="AF5107" s="908">
        <v>0</v>
      </c>
    </row>
    <row r="5108" spans="32:32" ht="24" customHeight="1">
      <c r="AF5108" s="908">
        <v>0</v>
      </c>
    </row>
    <row r="5109" spans="32:32" ht="24" customHeight="1">
      <c r="AF5109" s="908">
        <v>0</v>
      </c>
    </row>
    <row r="5110" spans="32:32" ht="24" customHeight="1">
      <c r="AF5110" s="908">
        <v>0</v>
      </c>
    </row>
    <row r="5111" spans="32:32" ht="24" customHeight="1">
      <c r="AF5111" s="908">
        <v>0</v>
      </c>
    </row>
    <row r="5112" spans="32:32" ht="24" customHeight="1">
      <c r="AF5112" s="908">
        <v>0</v>
      </c>
    </row>
    <row r="5113" spans="32:32" ht="24" customHeight="1">
      <c r="AF5113" s="908">
        <v>0</v>
      </c>
    </row>
    <row r="5114" spans="32:32" ht="24" customHeight="1">
      <c r="AF5114" s="908">
        <v>0</v>
      </c>
    </row>
    <row r="5115" spans="32:32" ht="24" customHeight="1">
      <c r="AF5115" s="908">
        <v>0</v>
      </c>
    </row>
    <row r="5116" spans="32:32" ht="24" customHeight="1">
      <c r="AF5116" s="908">
        <v>0</v>
      </c>
    </row>
    <row r="5117" spans="32:32" ht="24" customHeight="1">
      <c r="AF5117" s="908">
        <v>0</v>
      </c>
    </row>
    <row r="5118" spans="32:32" ht="24" customHeight="1">
      <c r="AF5118" s="908">
        <v>0</v>
      </c>
    </row>
    <row r="5119" spans="32:32" ht="24" customHeight="1">
      <c r="AF5119" s="908">
        <v>0</v>
      </c>
    </row>
    <row r="5120" spans="32:32" ht="24" customHeight="1">
      <c r="AF5120" s="908">
        <v>0</v>
      </c>
    </row>
    <row r="5121" spans="32:32" ht="24" customHeight="1">
      <c r="AF5121" s="908">
        <v>0</v>
      </c>
    </row>
    <row r="5122" spans="32:32" ht="24" customHeight="1">
      <c r="AF5122" s="908">
        <v>0</v>
      </c>
    </row>
    <row r="5123" spans="32:32" ht="24" customHeight="1">
      <c r="AF5123" s="908">
        <v>0</v>
      </c>
    </row>
    <row r="5124" spans="32:32" ht="24" customHeight="1">
      <c r="AF5124" s="908">
        <v>0</v>
      </c>
    </row>
    <row r="5125" spans="32:32" ht="24" customHeight="1">
      <c r="AF5125" s="908">
        <v>0</v>
      </c>
    </row>
    <row r="5126" spans="32:32" ht="24" customHeight="1">
      <c r="AF5126" s="908">
        <v>0</v>
      </c>
    </row>
    <row r="5127" spans="32:32" ht="24" customHeight="1">
      <c r="AF5127" s="908">
        <v>0</v>
      </c>
    </row>
    <row r="5128" spans="32:32" ht="24" customHeight="1">
      <c r="AF5128" s="908">
        <v>0</v>
      </c>
    </row>
    <row r="5129" spans="32:32" ht="24" customHeight="1">
      <c r="AF5129" s="908">
        <v>0</v>
      </c>
    </row>
    <row r="5130" spans="32:32" ht="24" customHeight="1">
      <c r="AF5130" s="908">
        <v>0</v>
      </c>
    </row>
    <row r="5131" spans="32:32" ht="24" customHeight="1">
      <c r="AF5131" s="908">
        <v>0</v>
      </c>
    </row>
    <row r="5132" spans="32:32" ht="24" customHeight="1">
      <c r="AF5132" s="908">
        <v>0</v>
      </c>
    </row>
    <row r="5133" spans="32:32" ht="24" customHeight="1">
      <c r="AF5133" s="908">
        <v>0</v>
      </c>
    </row>
    <row r="5134" spans="32:32" ht="24" customHeight="1">
      <c r="AF5134" s="908">
        <v>0</v>
      </c>
    </row>
    <row r="5135" spans="32:32" ht="24" customHeight="1">
      <c r="AF5135" s="908">
        <v>0</v>
      </c>
    </row>
    <row r="5136" spans="32:32" ht="24" customHeight="1">
      <c r="AF5136" s="908">
        <v>0</v>
      </c>
    </row>
    <row r="5137" spans="32:32" ht="24" customHeight="1">
      <c r="AF5137" s="908">
        <v>0</v>
      </c>
    </row>
    <row r="5138" spans="32:32" ht="24" customHeight="1">
      <c r="AF5138" s="908">
        <v>0</v>
      </c>
    </row>
    <row r="5139" spans="32:32" ht="24" customHeight="1">
      <c r="AF5139" s="908">
        <v>0</v>
      </c>
    </row>
    <row r="5140" spans="32:32" ht="24" customHeight="1">
      <c r="AF5140" s="908">
        <v>0</v>
      </c>
    </row>
    <row r="5141" spans="32:32" ht="24" customHeight="1">
      <c r="AF5141" s="908">
        <v>0</v>
      </c>
    </row>
    <row r="5142" spans="32:32" ht="24" customHeight="1">
      <c r="AF5142" s="908">
        <v>0</v>
      </c>
    </row>
    <row r="5143" spans="32:32" ht="24" customHeight="1">
      <c r="AF5143" s="908">
        <v>0</v>
      </c>
    </row>
    <row r="5144" spans="32:32" ht="24" customHeight="1">
      <c r="AF5144" s="908">
        <v>0</v>
      </c>
    </row>
    <row r="5145" spans="32:32" ht="24" customHeight="1">
      <c r="AF5145" s="908">
        <v>0</v>
      </c>
    </row>
    <row r="5146" spans="32:32" ht="24" customHeight="1">
      <c r="AF5146" s="908">
        <v>0</v>
      </c>
    </row>
    <row r="5147" spans="32:32" ht="24" customHeight="1">
      <c r="AF5147" s="908">
        <v>0</v>
      </c>
    </row>
    <row r="5148" spans="32:32" ht="24" customHeight="1">
      <c r="AF5148" s="908">
        <v>0</v>
      </c>
    </row>
    <row r="5149" spans="32:32" ht="24" customHeight="1">
      <c r="AF5149" s="908">
        <v>0</v>
      </c>
    </row>
    <row r="5150" spans="32:32" ht="24" customHeight="1">
      <c r="AF5150" s="908">
        <v>0</v>
      </c>
    </row>
    <row r="5151" spans="32:32" ht="24" customHeight="1">
      <c r="AF5151" s="908">
        <v>0</v>
      </c>
    </row>
    <row r="5152" spans="32:32" ht="24" customHeight="1">
      <c r="AF5152" s="908">
        <v>0</v>
      </c>
    </row>
    <row r="5153" spans="32:32" ht="24" customHeight="1">
      <c r="AF5153" s="908">
        <v>0</v>
      </c>
    </row>
    <row r="5154" spans="32:32" ht="24" customHeight="1">
      <c r="AF5154" s="908">
        <v>0</v>
      </c>
    </row>
    <row r="5155" spans="32:32" ht="24" customHeight="1">
      <c r="AF5155" s="908">
        <v>0</v>
      </c>
    </row>
    <row r="5156" spans="32:32" ht="24" customHeight="1">
      <c r="AF5156" s="908">
        <v>0</v>
      </c>
    </row>
    <row r="5157" spans="32:32" ht="24" customHeight="1">
      <c r="AF5157" s="908">
        <v>0</v>
      </c>
    </row>
    <row r="5158" spans="32:32" ht="24" customHeight="1">
      <c r="AF5158" s="908">
        <v>0</v>
      </c>
    </row>
    <row r="5159" spans="32:32" ht="24" customHeight="1">
      <c r="AF5159" s="908">
        <v>0</v>
      </c>
    </row>
    <row r="5160" spans="32:32" ht="24" customHeight="1">
      <c r="AF5160" s="908">
        <v>0</v>
      </c>
    </row>
    <row r="5161" spans="32:32" ht="24" customHeight="1">
      <c r="AF5161" s="908">
        <v>0</v>
      </c>
    </row>
    <row r="5162" spans="32:32" ht="24" customHeight="1">
      <c r="AF5162" s="908">
        <v>0</v>
      </c>
    </row>
    <row r="5163" spans="32:32" ht="24" customHeight="1">
      <c r="AF5163" s="908">
        <v>0</v>
      </c>
    </row>
    <row r="5164" spans="32:32" ht="24" customHeight="1">
      <c r="AF5164" s="908">
        <v>0</v>
      </c>
    </row>
    <row r="5165" spans="32:32" ht="24" customHeight="1">
      <c r="AF5165" s="908">
        <v>0</v>
      </c>
    </row>
    <row r="5166" spans="32:32" ht="24" customHeight="1">
      <c r="AF5166" s="908">
        <v>0</v>
      </c>
    </row>
    <row r="5167" spans="32:32" ht="24" customHeight="1">
      <c r="AF5167" s="908">
        <v>0</v>
      </c>
    </row>
    <row r="5168" spans="32:32" ht="24" customHeight="1">
      <c r="AF5168" s="908">
        <v>0</v>
      </c>
    </row>
    <row r="5169" spans="32:32" ht="24" customHeight="1">
      <c r="AF5169" s="908">
        <v>0</v>
      </c>
    </row>
    <row r="5170" spans="32:32" ht="24" customHeight="1">
      <c r="AF5170" s="908">
        <v>0</v>
      </c>
    </row>
    <row r="5171" spans="32:32" ht="24" customHeight="1">
      <c r="AF5171" s="908">
        <v>0</v>
      </c>
    </row>
    <row r="5172" spans="32:32" ht="24" customHeight="1">
      <c r="AF5172" s="908">
        <v>0</v>
      </c>
    </row>
    <row r="5173" spans="32:32" ht="24" customHeight="1">
      <c r="AF5173" s="908">
        <v>0</v>
      </c>
    </row>
    <row r="5174" spans="32:32" ht="24" customHeight="1">
      <c r="AF5174" s="908">
        <v>0</v>
      </c>
    </row>
    <row r="5175" spans="32:32" ht="24" customHeight="1">
      <c r="AF5175" s="908">
        <v>0</v>
      </c>
    </row>
    <row r="5176" spans="32:32" ht="24" customHeight="1">
      <c r="AF5176" s="908">
        <v>0</v>
      </c>
    </row>
    <row r="5177" spans="32:32" ht="24" customHeight="1">
      <c r="AF5177" s="908">
        <v>0</v>
      </c>
    </row>
    <row r="5178" spans="32:32" ht="24" customHeight="1">
      <c r="AF5178" s="908">
        <v>0</v>
      </c>
    </row>
    <row r="5179" spans="32:32" ht="24" customHeight="1">
      <c r="AF5179" s="908">
        <v>0</v>
      </c>
    </row>
    <row r="5180" spans="32:32" ht="24" customHeight="1">
      <c r="AF5180" s="908">
        <v>0</v>
      </c>
    </row>
    <row r="5181" spans="32:32" ht="24" customHeight="1">
      <c r="AF5181" s="908">
        <v>0</v>
      </c>
    </row>
    <row r="5182" spans="32:32" ht="24" customHeight="1">
      <c r="AF5182" s="908">
        <v>0</v>
      </c>
    </row>
    <row r="5183" spans="32:32" ht="24" customHeight="1">
      <c r="AF5183" s="908">
        <v>0</v>
      </c>
    </row>
    <row r="5184" spans="32:32" ht="24" customHeight="1">
      <c r="AF5184" s="908">
        <v>0</v>
      </c>
    </row>
    <row r="5185" spans="32:32" ht="24" customHeight="1">
      <c r="AF5185" s="908">
        <v>0</v>
      </c>
    </row>
    <row r="5186" spans="32:32" ht="24" customHeight="1">
      <c r="AF5186" s="908">
        <v>0</v>
      </c>
    </row>
    <row r="5187" spans="32:32" ht="24" customHeight="1">
      <c r="AF5187" s="908">
        <v>0</v>
      </c>
    </row>
    <row r="5188" spans="32:32" ht="24" customHeight="1">
      <c r="AF5188" s="908">
        <v>0</v>
      </c>
    </row>
    <row r="5189" spans="32:32" ht="24" customHeight="1">
      <c r="AF5189" s="908">
        <v>0</v>
      </c>
    </row>
    <row r="5190" spans="32:32" ht="24" customHeight="1">
      <c r="AF5190" s="908">
        <v>0</v>
      </c>
    </row>
    <row r="5191" spans="32:32" ht="24" customHeight="1">
      <c r="AF5191" s="908">
        <v>0</v>
      </c>
    </row>
    <row r="5192" spans="32:32" ht="24" customHeight="1">
      <c r="AF5192" s="908">
        <v>0</v>
      </c>
    </row>
    <row r="5193" spans="32:32" ht="24" customHeight="1">
      <c r="AF5193" s="908">
        <v>0</v>
      </c>
    </row>
    <row r="5194" spans="32:32" ht="24" customHeight="1">
      <c r="AF5194" s="908">
        <v>0</v>
      </c>
    </row>
    <row r="5195" spans="32:32" ht="24" customHeight="1">
      <c r="AF5195" s="908">
        <v>0</v>
      </c>
    </row>
    <row r="5196" spans="32:32" ht="24" customHeight="1">
      <c r="AF5196" s="908">
        <v>0</v>
      </c>
    </row>
    <row r="5197" spans="32:32" ht="24" customHeight="1">
      <c r="AF5197" s="908">
        <v>0</v>
      </c>
    </row>
    <row r="5198" spans="32:32" ht="24" customHeight="1">
      <c r="AF5198" s="908">
        <v>0</v>
      </c>
    </row>
    <row r="5199" spans="32:32" ht="24" customHeight="1">
      <c r="AF5199" s="908">
        <v>0</v>
      </c>
    </row>
    <row r="5200" spans="32:32" ht="24" customHeight="1">
      <c r="AF5200" s="908">
        <v>0</v>
      </c>
    </row>
    <row r="5201" spans="32:32" ht="24" customHeight="1">
      <c r="AF5201" s="908">
        <v>0</v>
      </c>
    </row>
    <row r="5202" spans="32:32" ht="24" customHeight="1">
      <c r="AF5202" s="908">
        <v>0</v>
      </c>
    </row>
    <row r="5203" spans="32:32" ht="24" customHeight="1">
      <c r="AF5203" s="908">
        <v>0</v>
      </c>
    </row>
    <row r="5204" spans="32:32" ht="24" customHeight="1">
      <c r="AF5204" s="908">
        <v>0</v>
      </c>
    </row>
    <row r="5205" spans="32:32" ht="24" customHeight="1">
      <c r="AF5205" s="908">
        <v>0</v>
      </c>
    </row>
    <row r="5206" spans="32:32" ht="24" customHeight="1">
      <c r="AF5206" s="908">
        <v>0</v>
      </c>
    </row>
    <row r="5207" spans="32:32" ht="24" customHeight="1">
      <c r="AF5207" s="908">
        <v>0</v>
      </c>
    </row>
    <row r="5208" spans="32:32" ht="24" customHeight="1">
      <c r="AF5208" s="908">
        <v>0</v>
      </c>
    </row>
    <row r="5209" spans="32:32" ht="24" customHeight="1">
      <c r="AF5209" s="908">
        <v>0</v>
      </c>
    </row>
    <row r="5210" spans="32:32" ht="24" customHeight="1">
      <c r="AF5210" s="908">
        <v>0</v>
      </c>
    </row>
    <row r="5211" spans="32:32" ht="24" customHeight="1">
      <c r="AF5211" s="908">
        <v>0</v>
      </c>
    </row>
    <row r="5212" spans="32:32" ht="24" customHeight="1">
      <c r="AF5212" s="908">
        <v>0</v>
      </c>
    </row>
    <row r="5213" spans="32:32" ht="24" customHeight="1">
      <c r="AF5213" s="908">
        <v>0</v>
      </c>
    </row>
    <row r="5214" spans="32:32" ht="24" customHeight="1">
      <c r="AF5214" s="908">
        <v>0</v>
      </c>
    </row>
    <row r="5215" spans="32:32" ht="24" customHeight="1">
      <c r="AF5215" s="908">
        <v>0</v>
      </c>
    </row>
    <row r="5216" spans="32:32" ht="24" customHeight="1">
      <c r="AF5216" s="908">
        <v>0</v>
      </c>
    </row>
    <row r="5217" spans="32:32" ht="24" customHeight="1">
      <c r="AF5217" s="908">
        <v>0</v>
      </c>
    </row>
    <row r="5218" spans="32:32" ht="24" customHeight="1">
      <c r="AF5218" s="908">
        <v>0</v>
      </c>
    </row>
    <row r="5219" spans="32:32" ht="24" customHeight="1">
      <c r="AF5219" s="908">
        <v>0</v>
      </c>
    </row>
    <row r="5220" spans="32:32" ht="24" customHeight="1">
      <c r="AF5220" s="908">
        <v>0</v>
      </c>
    </row>
    <row r="5221" spans="32:32" ht="24" customHeight="1">
      <c r="AF5221" s="908">
        <v>0</v>
      </c>
    </row>
    <row r="5222" spans="32:32" ht="24" customHeight="1">
      <c r="AF5222" s="908">
        <v>0</v>
      </c>
    </row>
    <row r="5223" spans="32:32" ht="24" customHeight="1">
      <c r="AF5223" s="908">
        <v>0</v>
      </c>
    </row>
    <row r="5224" spans="32:32" ht="24" customHeight="1">
      <c r="AF5224" s="908">
        <v>0</v>
      </c>
    </row>
    <row r="5225" spans="32:32" ht="24" customHeight="1">
      <c r="AF5225" s="908">
        <v>0</v>
      </c>
    </row>
    <row r="5226" spans="32:32" ht="24" customHeight="1">
      <c r="AF5226" s="908">
        <v>0</v>
      </c>
    </row>
    <row r="5227" spans="32:32" ht="24" customHeight="1">
      <c r="AF5227" s="908">
        <v>0</v>
      </c>
    </row>
    <row r="5228" spans="32:32" ht="24" customHeight="1">
      <c r="AF5228" s="908">
        <v>0</v>
      </c>
    </row>
    <row r="5229" spans="32:32" ht="24" customHeight="1">
      <c r="AF5229" s="908">
        <v>0</v>
      </c>
    </row>
    <row r="5230" spans="32:32" ht="24" customHeight="1">
      <c r="AF5230" s="908">
        <v>0</v>
      </c>
    </row>
    <row r="5231" spans="32:32" ht="24" customHeight="1">
      <c r="AF5231" s="908">
        <v>0</v>
      </c>
    </row>
    <row r="5232" spans="32:32" ht="24" customHeight="1">
      <c r="AF5232" s="908">
        <v>0</v>
      </c>
    </row>
    <row r="5233" spans="32:32" ht="24" customHeight="1">
      <c r="AF5233" s="908">
        <v>0</v>
      </c>
    </row>
    <row r="5234" spans="32:32" ht="24" customHeight="1">
      <c r="AF5234" s="908">
        <v>0</v>
      </c>
    </row>
    <row r="5235" spans="32:32" ht="24" customHeight="1">
      <c r="AF5235" s="908">
        <v>0</v>
      </c>
    </row>
    <row r="5236" spans="32:32" ht="24" customHeight="1">
      <c r="AF5236" s="908">
        <v>0</v>
      </c>
    </row>
    <row r="5237" spans="32:32" ht="24" customHeight="1">
      <c r="AF5237" s="908">
        <v>0</v>
      </c>
    </row>
    <row r="5238" spans="32:32" ht="24" customHeight="1">
      <c r="AF5238" s="908">
        <v>0</v>
      </c>
    </row>
    <row r="5239" spans="32:32" ht="24" customHeight="1">
      <c r="AF5239" s="908">
        <v>0</v>
      </c>
    </row>
    <row r="5240" spans="32:32" ht="24" customHeight="1">
      <c r="AF5240" s="908">
        <v>0</v>
      </c>
    </row>
    <row r="5241" spans="32:32" ht="24" customHeight="1">
      <c r="AF5241" s="908">
        <v>0</v>
      </c>
    </row>
    <row r="5242" spans="32:32" ht="24" customHeight="1">
      <c r="AF5242" s="908">
        <v>0</v>
      </c>
    </row>
    <row r="5243" spans="32:32" ht="24" customHeight="1">
      <c r="AF5243" s="908">
        <v>0</v>
      </c>
    </row>
    <row r="5244" spans="32:32" ht="24" customHeight="1">
      <c r="AF5244" s="908">
        <v>0</v>
      </c>
    </row>
    <row r="5245" spans="32:32" ht="24" customHeight="1">
      <c r="AF5245" s="908">
        <v>0</v>
      </c>
    </row>
    <row r="5246" spans="32:32" ht="24" customHeight="1">
      <c r="AF5246" s="908">
        <v>0</v>
      </c>
    </row>
    <row r="5247" spans="32:32" ht="24" customHeight="1">
      <c r="AF5247" s="908">
        <v>0</v>
      </c>
    </row>
    <row r="5248" spans="32:32" ht="24" customHeight="1">
      <c r="AF5248" s="908">
        <v>0</v>
      </c>
    </row>
    <row r="5249" spans="32:32" ht="24" customHeight="1">
      <c r="AF5249" s="908">
        <v>0</v>
      </c>
    </row>
    <row r="5250" spans="32:32" ht="24" customHeight="1">
      <c r="AF5250" s="908">
        <v>0</v>
      </c>
    </row>
    <row r="5251" spans="32:32" ht="24" customHeight="1">
      <c r="AF5251" s="908">
        <v>0</v>
      </c>
    </row>
    <row r="5252" spans="32:32" ht="24" customHeight="1">
      <c r="AF5252" s="908">
        <v>0</v>
      </c>
    </row>
    <row r="5253" spans="32:32" ht="24" customHeight="1">
      <c r="AF5253" s="908">
        <v>0</v>
      </c>
    </row>
    <row r="5254" spans="32:32" ht="24" customHeight="1">
      <c r="AF5254" s="908">
        <v>0</v>
      </c>
    </row>
    <row r="5255" spans="32:32" ht="24" customHeight="1">
      <c r="AF5255" s="908">
        <v>0</v>
      </c>
    </row>
    <row r="5256" spans="32:32" ht="24" customHeight="1">
      <c r="AF5256" s="908">
        <v>0</v>
      </c>
    </row>
    <row r="5257" spans="32:32" ht="24" customHeight="1">
      <c r="AF5257" s="908">
        <v>0</v>
      </c>
    </row>
    <row r="5258" spans="32:32" ht="24" customHeight="1">
      <c r="AF5258" s="908">
        <v>0</v>
      </c>
    </row>
    <row r="5259" spans="32:32" ht="24" customHeight="1">
      <c r="AF5259" s="908">
        <v>0</v>
      </c>
    </row>
    <row r="5260" spans="32:32" ht="24" customHeight="1">
      <c r="AF5260" s="908">
        <v>0</v>
      </c>
    </row>
    <row r="5261" spans="32:32" ht="24" customHeight="1">
      <c r="AF5261" s="908">
        <v>0</v>
      </c>
    </row>
    <row r="5262" spans="32:32" ht="24" customHeight="1">
      <c r="AF5262" s="908">
        <v>0</v>
      </c>
    </row>
    <row r="5263" spans="32:32" ht="24" customHeight="1">
      <c r="AF5263" s="908">
        <v>0</v>
      </c>
    </row>
    <row r="5264" spans="32:32" ht="24" customHeight="1">
      <c r="AF5264" s="908">
        <v>0</v>
      </c>
    </row>
    <row r="5265" spans="32:32" ht="24" customHeight="1">
      <c r="AF5265" s="908">
        <v>0</v>
      </c>
    </row>
    <row r="5266" spans="32:32" ht="24" customHeight="1">
      <c r="AF5266" s="908">
        <v>0</v>
      </c>
    </row>
    <row r="5267" spans="32:32" ht="24" customHeight="1">
      <c r="AF5267" s="908">
        <v>0</v>
      </c>
    </row>
    <row r="5268" spans="32:32" ht="24" customHeight="1">
      <c r="AF5268" s="908">
        <v>0</v>
      </c>
    </row>
    <row r="5269" spans="32:32" ht="24" customHeight="1">
      <c r="AF5269" s="908">
        <v>0</v>
      </c>
    </row>
    <row r="5270" spans="32:32" ht="24" customHeight="1">
      <c r="AF5270" s="908">
        <v>0</v>
      </c>
    </row>
    <row r="5271" spans="32:32" ht="24" customHeight="1">
      <c r="AF5271" s="908">
        <v>0</v>
      </c>
    </row>
    <row r="5272" spans="32:32" ht="24" customHeight="1">
      <c r="AF5272" s="908">
        <v>0</v>
      </c>
    </row>
    <row r="5273" spans="32:32" ht="24" customHeight="1">
      <c r="AF5273" s="908">
        <v>0</v>
      </c>
    </row>
    <row r="5274" spans="32:32" ht="24" customHeight="1">
      <c r="AF5274" s="908">
        <v>0</v>
      </c>
    </row>
    <row r="5275" spans="32:32" ht="24" customHeight="1">
      <c r="AF5275" s="908">
        <v>0</v>
      </c>
    </row>
    <row r="5276" spans="32:32" ht="24" customHeight="1">
      <c r="AF5276" s="908">
        <v>0</v>
      </c>
    </row>
    <row r="5277" spans="32:32" ht="24" customHeight="1">
      <c r="AF5277" s="908">
        <v>0</v>
      </c>
    </row>
    <row r="5278" spans="32:32" ht="24" customHeight="1">
      <c r="AF5278" s="908">
        <v>0</v>
      </c>
    </row>
    <row r="5279" spans="32:32" ht="24" customHeight="1">
      <c r="AF5279" s="908">
        <v>0</v>
      </c>
    </row>
    <row r="5280" spans="32:32" ht="24" customHeight="1">
      <c r="AF5280" s="908">
        <v>0</v>
      </c>
    </row>
    <row r="5281" spans="32:32" ht="24" customHeight="1">
      <c r="AF5281" s="908">
        <v>0</v>
      </c>
    </row>
    <row r="5282" spans="32:32" ht="24" customHeight="1">
      <c r="AF5282" s="908">
        <v>0</v>
      </c>
    </row>
    <row r="5283" spans="32:32" ht="24" customHeight="1">
      <c r="AF5283" s="908">
        <v>0</v>
      </c>
    </row>
    <row r="5284" spans="32:32" ht="24" customHeight="1">
      <c r="AF5284" s="908">
        <v>0</v>
      </c>
    </row>
    <row r="5285" spans="32:32" ht="24" customHeight="1">
      <c r="AF5285" s="908">
        <v>0</v>
      </c>
    </row>
    <row r="5286" spans="32:32" ht="24" customHeight="1">
      <c r="AF5286" s="908">
        <v>0</v>
      </c>
    </row>
    <row r="5287" spans="32:32" ht="24" customHeight="1">
      <c r="AF5287" s="908">
        <v>0</v>
      </c>
    </row>
    <row r="5288" spans="32:32" ht="24" customHeight="1">
      <c r="AF5288" s="908">
        <v>0</v>
      </c>
    </row>
    <row r="5289" spans="32:32" ht="24" customHeight="1">
      <c r="AF5289" s="908">
        <v>0</v>
      </c>
    </row>
    <row r="5290" spans="32:32" ht="24" customHeight="1">
      <c r="AF5290" s="908">
        <v>0</v>
      </c>
    </row>
    <row r="5291" spans="32:32" ht="24" customHeight="1">
      <c r="AF5291" s="908">
        <v>0</v>
      </c>
    </row>
    <row r="5292" spans="32:32" ht="24" customHeight="1">
      <c r="AF5292" s="908">
        <v>0</v>
      </c>
    </row>
    <row r="5293" spans="32:32" ht="24" customHeight="1">
      <c r="AF5293" s="908">
        <v>0</v>
      </c>
    </row>
    <row r="5294" spans="32:32" ht="24" customHeight="1">
      <c r="AF5294" s="908">
        <v>0</v>
      </c>
    </row>
    <row r="5295" spans="32:32" ht="24" customHeight="1">
      <c r="AF5295" s="908">
        <v>0</v>
      </c>
    </row>
    <row r="5296" spans="32:32" ht="24" customHeight="1">
      <c r="AF5296" s="908">
        <v>0</v>
      </c>
    </row>
    <row r="5297" spans="32:32" ht="24" customHeight="1">
      <c r="AF5297" s="908">
        <v>0</v>
      </c>
    </row>
    <row r="5298" spans="32:32" ht="24" customHeight="1">
      <c r="AF5298" s="908">
        <v>0</v>
      </c>
    </row>
    <row r="5299" spans="32:32" ht="24" customHeight="1">
      <c r="AF5299" s="908">
        <v>0</v>
      </c>
    </row>
    <row r="5300" spans="32:32" ht="24" customHeight="1">
      <c r="AF5300" s="908">
        <v>0</v>
      </c>
    </row>
    <row r="5301" spans="32:32" ht="24" customHeight="1">
      <c r="AF5301" s="908">
        <v>0</v>
      </c>
    </row>
    <row r="5302" spans="32:32" ht="24" customHeight="1">
      <c r="AF5302" s="908">
        <v>0</v>
      </c>
    </row>
    <row r="5303" spans="32:32" ht="24" customHeight="1">
      <c r="AF5303" s="908">
        <v>0</v>
      </c>
    </row>
    <row r="5304" spans="32:32" ht="24" customHeight="1">
      <c r="AF5304" s="908">
        <v>0</v>
      </c>
    </row>
    <row r="5305" spans="32:32" ht="24" customHeight="1">
      <c r="AF5305" s="908">
        <v>0</v>
      </c>
    </row>
    <row r="5306" spans="32:32" ht="24" customHeight="1">
      <c r="AF5306" s="908">
        <v>0</v>
      </c>
    </row>
    <row r="5307" spans="32:32" ht="24" customHeight="1">
      <c r="AF5307" s="908">
        <v>0</v>
      </c>
    </row>
    <row r="5308" spans="32:32" ht="24" customHeight="1">
      <c r="AF5308" s="908">
        <v>0</v>
      </c>
    </row>
    <row r="5309" spans="32:32" ht="24" customHeight="1">
      <c r="AF5309" s="908">
        <v>0</v>
      </c>
    </row>
    <row r="5310" spans="32:32" ht="24" customHeight="1">
      <c r="AF5310" s="908">
        <v>0</v>
      </c>
    </row>
    <row r="5311" spans="32:32" ht="24" customHeight="1">
      <c r="AF5311" s="908">
        <v>0</v>
      </c>
    </row>
    <row r="5312" spans="32:32" ht="24" customHeight="1">
      <c r="AF5312" s="908">
        <v>0</v>
      </c>
    </row>
    <row r="5313" spans="32:32" ht="24" customHeight="1">
      <c r="AF5313" s="908">
        <v>0</v>
      </c>
    </row>
    <row r="5314" spans="32:32" ht="24" customHeight="1">
      <c r="AF5314" s="908">
        <v>0</v>
      </c>
    </row>
    <row r="5315" spans="32:32" ht="24" customHeight="1">
      <c r="AF5315" s="908">
        <v>0</v>
      </c>
    </row>
    <row r="5316" spans="32:32" ht="24" customHeight="1">
      <c r="AF5316" s="908">
        <v>0</v>
      </c>
    </row>
    <row r="5317" spans="32:32" ht="24" customHeight="1">
      <c r="AF5317" s="908">
        <v>0</v>
      </c>
    </row>
    <row r="5318" spans="32:32" ht="24" customHeight="1">
      <c r="AF5318" s="908">
        <v>0</v>
      </c>
    </row>
    <row r="5319" spans="32:32" ht="24" customHeight="1">
      <c r="AF5319" s="908">
        <v>0</v>
      </c>
    </row>
    <row r="5320" spans="32:32" ht="24" customHeight="1">
      <c r="AF5320" s="908">
        <v>0</v>
      </c>
    </row>
    <row r="5321" spans="32:32" ht="24" customHeight="1">
      <c r="AF5321" s="908">
        <v>0</v>
      </c>
    </row>
    <row r="5322" spans="32:32" ht="24" customHeight="1">
      <c r="AF5322" s="908">
        <v>0</v>
      </c>
    </row>
    <row r="5323" spans="32:32" ht="24" customHeight="1">
      <c r="AF5323" s="908">
        <v>0</v>
      </c>
    </row>
    <row r="5324" spans="32:32" ht="24" customHeight="1">
      <c r="AF5324" s="908">
        <v>0</v>
      </c>
    </row>
    <row r="5325" spans="32:32" ht="24" customHeight="1">
      <c r="AF5325" s="908">
        <v>0</v>
      </c>
    </row>
    <row r="5326" spans="32:32" ht="24" customHeight="1">
      <c r="AF5326" s="908">
        <v>0</v>
      </c>
    </row>
    <row r="5327" spans="32:32" ht="24" customHeight="1">
      <c r="AF5327" s="908">
        <v>0</v>
      </c>
    </row>
    <row r="5328" spans="32:32" ht="24" customHeight="1">
      <c r="AF5328" s="908">
        <v>0</v>
      </c>
    </row>
    <row r="5329" spans="32:32" ht="24" customHeight="1">
      <c r="AF5329" s="908">
        <v>0</v>
      </c>
    </row>
    <row r="5330" spans="32:32" ht="24" customHeight="1">
      <c r="AF5330" s="908">
        <v>0</v>
      </c>
    </row>
    <row r="5331" spans="32:32" ht="24" customHeight="1">
      <c r="AF5331" s="908">
        <v>0</v>
      </c>
    </row>
    <row r="5332" spans="32:32" ht="24" customHeight="1">
      <c r="AF5332" s="908">
        <v>0</v>
      </c>
    </row>
    <row r="5333" spans="32:32" ht="24" customHeight="1">
      <c r="AF5333" s="908">
        <v>0</v>
      </c>
    </row>
    <row r="5334" spans="32:32" ht="24" customHeight="1">
      <c r="AF5334" s="908">
        <v>0</v>
      </c>
    </row>
    <row r="5335" spans="32:32" ht="24" customHeight="1">
      <c r="AF5335" s="908">
        <v>0</v>
      </c>
    </row>
    <row r="5336" spans="32:32" ht="24" customHeight="1">
      <c r="AF5336" s="908">
        <v>0</v>
      </c>
    </row>
    <row r="5337" spans="32:32" ht="24" customHeight="1">
      <c r="AF5337" s="908">
        <v>0</v>
      </c>
    </row>
    <row r="5338" spans="32:32" ht="24" customHeight="1">
      <c r="AF5338" s="908">
        <v>0</v>
      </c>
    </row>
    <row r="5339" spans="32:32" ht="24" customHeight="1">
      <c r="AF5339" s="908">
        <v>0</v>
      </c>
    </row>
    <row r="5340" spans="32:32" ht="24" customHeight="1">
      <c r="AF5340" s="908">
        <v>0</v>
      </c>
    </row>
    <row r="5341" spans="32:32" ht="24" customHeight="1">
      <c r="AF5341" s="908">
        <v>0</v>
      </c>
    </row>
    <row r="5342" spans="32:32" ht="24" customHeight="1">
      <c r="AF5342" s="908">
        <v>0</v>
      </c>
    </row>
    <row r="5343" spans="32:32" ht="24" customHeight="1">
      <c r="AF5343" s="908">
        <v>0</v>
      </c>
    </row>
    <row r="5344" spans="32:32" ht="24" customHeight="1">
      <c r="AF5344" s="908">
        <v>0</v>
      </c>
    </row>
    <row r="5345" spans="32:32" ht="24" customHeight="1">
      <c r="AF5345" s="908">
        <v>0</v>
      </c>
    </row>
    <row r="5346" spans="32:32" ht="24" customHeight="1">
      <c r="AF5346" s="908">
        <v>0</v>
      </c>
    </row>
    <row r="5347" spans="32:32" ht="24" customHeight="1">
      <c r="AF5347" s="908">
        <v>0</v>
      </c>
    </row>
    <row r="5348" spans="32:32" ht="24" customHeight="1">
      <c r="AF5348" s="908">
        <v>0</v>
      </c>
    </row>
    <row r="5349" spans="32:32" ht="24" customHeight="1">
      <c r="AF5349" s="908">
        <v>0</v>
      </c>
    </row>
    <row r="5350" spans="32:32" ht="24" customHeight="1">
      <c r="AF5350" s="908">
        <v>0</v>
      </c>
    </row>
    <row r="5351" spans="32:32" ht="24" customHeight="1">
      <c r="AF5351" s="908">
        <v>0</v>
      </c>
    </row>
    <row r="5352" spans="32:32" ht="24" customHeight="1">
      <c r="AF5352" s="908">
        <v>0</v>
      </c>
    </row>
    <row r="5353" spans="32:32" ht="24" customHeight="1">
      <c r="AF5353" s="908">
        <v>0</v>
      </c>
    </row>
    <row r="5354" spans="32:32" ht="24" customHeight="1">
      <c r="AF5354" s="908">
        <v>0</v>
      </c>
    </row>
    <row r="5355" spans="32:32" ht="24" customHeight="1">
      <c r="AF5355" s="908">
        <v>0</v>
      </c>
    </row>
    <row r="5356" spans="32:32" ht="24" customHeight="1">
      <c r="AF5356" s="908">
        <v>0</v>
      </c>
    </row>
    <row r="5357" spans="32:32" ht="24" customHeight="1">
      <c r="AF5357" s="908">
        <v>0</v>
      </c>
    </row>
    <row r="5358" spans="32:32" ht="24" customHeight="1">
      <c r="AF5358" s="908">
        <v>0</v>
      </c>
    </row>
    <row r="5359" spans="32:32" ht="24" customHeight="1">
      <c r="AF5359" s="908">
        <v>0</v>
      </c>
    </row>
    <row r="5360" spans="32:32" ht="24" customHeight="1">
      <c r="AF5360" s="908">
        <v>0</v>
      </c>
    </row>
    <row r="5361" spans="32:32" ht="24" customHeight="1">
      <c r="AF5361" s="908">
        <v>0</v>
      </c>
    </row>
    <row r="5362" spans="32:32" ht="24" customHeight="1">
      <c r="AF5362" s="908">
        <v>0</v>
      </c>
    </row>
    <row r="5363" spans="32:32" ht="24" customHeight="1">
      <c r="AF5363" s="908">
        <v>0</v>
      </c>
    </row>
    <row r="5364" spans="32:32" ht="24" customHeight="1">
      <c r="AF5364" s="908">
        <v>0</v>
      </c>
    </row>
    <row r="5365" spans="32:32" ht="24" customHeight="1">
      <c r="AF5365" s="908">
        <v>0</v>
      </c>
    </row>
    <row r="5366" spans="32:32" ht="24" customHeight="1">
      <c r="AF5366" s="908">
        <v>0</v>
      </c>
    </row>
    <row r="5367" spans="32:32" ht="24" customHeight="1">
      <c r="AF5367" s="908">
        <v>0</v>
      </c>
    </row>
    <row r="5368" spans="32:32" ht="24" customHeight="1">
      <c r="AF5368" s="908">
        <v>0</v>
      </c>
    </row>
    <row r="5369" spans="32:32" ht="24" customHeight="1">
      <c r="AF5369" s="908">
        <v>0</v>
      </c>
    </row>
    <row r="5370" spans="32:32" ht="24" customHeight="1">
      <c r="AF5370" s="908">
        <v>0</v>
      </c>
    </row>
    <row r="5371" spans="32:32" ht="24" customHeight="1">
      <c r="AF5371" s="908">
        <v>0</v>
      </c>
    </row>
    <row r="5372" spans="32:32" ht="24" customHeight="1">
      <c r="AF5372" s="908">
        <v>0</v>
      </c>
    </row>
    <row r="5373" spans="32:32" ht="24" customHeight="1">
      <c r="AF5373" s="908">
        <v>0</v>
      </c>
    </row>
    <row r="5374" spans="32:32" ht="24" customHeight="1">
      <c r="AF5374" s="908">
        <v>0</v>
      </c>
    </row>
    <row r="5375" spans="32:32" ht="24" customHeight="1">
      <c r="AF5375" s="908">
        <v>0</v>
      </c>
    </row>
    <row r="5376" spans="32:32" ht="24" customHeight="1">
      <c r="AF5376" s="908">
        <v>0</v>
      </c>
    </row>
    <row r="5377" spans="32:32" ht="24" customHeight="1">
      <c r="AF5377" s="908">
        <v>0</v>
      </c>
    </row>
    <row r="5378" spans="32:32" ht="24" customHeight="1">
      <c r="AF5378" s="908">
        <v>0</v>
      </c>
    </row>
    <row r="5379" spans="32:32" ht="24" customHeight="1">
      <c r="AF5379" s="908">
        <v>0</v>
      </c>
    </row>
    <row r="5380" spans="32:32" ht="24" customHeight="1">
      <c r="AF5380" s="908">
        <v>0</v>
      </c>
    </row>
    <row r="5381" spans="32:32" ht="24" customHeight="1">
      <c r="AF5381" s="908">
        <v>0</v>
      </c>
    </row>
    <row r="5382" spans="32:32" ht="24" customHeight="1">
      <c r="AF5382" s="908">
        <v>0</v>
      </c>
    </row>
    <row r="5383" spans="32:32" ht="24" customHeight="1">
      <c r="AF5383" s="908">
        <v>0</v>
      </c>
    </row>
    <row r="5384" spans="32:32" ht="24" customHeight="1">
      <c r="AF5384" s="908">
        <v>0</v>
      </c>
    </row>
    <row r="5385" spans="32:32" ht="24" customHeight="1">
      <c r="AF5385" s="908">
        <v>0</v>
      </c>
    </row>
    <row r="5386" spans="32:32" ht="24" customHeight="1">
      <c r="AF5386" s="908">
        <v>0</v>
      </c>
    </row>
    <row r="5387" spans="32:32" ht="24" customHeight="1">
      <c r="AF5387" s="908">
        <v>0</v>
      </c>
    </row>
    <row r="5388" spans="32:32" ht="24" customHeight="1">
      <c r="AF5388" s="908">
        <v>0</v>
      </c>
    </row>
    <row r="5389" spans="32:32" ht="24" customHeight="1">
      <c r="AF5389" s="908">
        <v>0</v>
      </c>
    </row>
    <row r="5390" spans="32:32" ht="24" customHeight="1">
      <c r="AF5390" s="908">
        <v>0</v>
      </c>
    </row>
    <row r="5391" spans="32:32" ht="24" customHeight="1">
      <c r="AF5391" s="908">
        <v>0</v>
      </c>
    </row>
    <row r="5392" spans="32:32" ht="24" customHeight="1">
      <c r="AF5392" s="908">
        <v>0</v>
      </c>
    </row>
    <row r="5393" spans="32:32" ht="24" customHeight="1">
      <c r="AF5393" s="908">
        <v>0</v>
      </c>
    </row>
    <row r="5394" spans="32:32" ht="24" customHeight="1">
      <c r="AF5394" s="908">
        <v>0</v>
      </c>
    </row>
    <row r="5395" spans="32:32" ht="24" customHeight="1">
      <c r="AF5395" s="908">
        <v>0</v>
      </c>
    </row>
    <row r="5396" spans="32:32" ht="24" customHeight="1">
      <c r="AF5396" s="908">
        <v>0</v>
      </c>
    </row>
    <row r="5397" spans="32:32" ht="24" customHeight="1">
      <c r="AF5397" s="908">
        <v>0</v>
      </c>
    </row>
    <row r="5398" spans="32:32" ht="24" customHeight="1">
      <c r="AF5398" s="908">
        <v>0</v>
      </c>
    </row>
    <row r="5399" spans="32:32" ht="24" customHeight="1">
      <c r="AF5399" s="908">
        <v>0</v>
      </c>
    </row>
    <row r="5400" spans="32:32" ht="24" customHeight="1">
      <c r="AF5400" s="908">
        <v>0</v>
      </c>
    </row>
    <row r="5401" spans="32:32" ht="24" customHeight="1">
      <c r="AF5401" s="908">
        <v>0</v>
      </c>
    </row>
    <row r="5402" spans="32:32" ht="24" customHeight="1">
      <c r="AF5402" s="908">
        <v>0</v>
      </c>
    </row>
    <row r="5403" spans="32:32" ht="24" customHeight="1">
      <c r="AF5403" s="908">
        <v>0</v>
      </c>
    </row>
    <row r="5404" spans="32:32" ht="24" customHeight="1">
      <c r="AF5404" s="908">
        <v>0</v>
      </c>
    </row>
    <row r="5405" spans="32:32" ht="24" customHeight="1">
      <c r="AF5405" s="908">
        <v>0</v>
      </c>
    </row>
    <row r="5406" spans="32:32" ht="24" customHeight="1">
      <c r="AF5406" s="908">
        <v>0</v>
      </c>
    </row>
    <row r="5407" spans="32:32" ht="24" customHeight="1">
      <c r="AF5407" s="908">
        <v>0</v>
      </c>
    </row>
    <row r="5408" spans="32:32" ht="24" customHeight="1">
      <c r="AF5408" s="908">
        <v>0</v>
      </c>
    </row>
    <row r="5409" spans="32:32" ht="24" customHeight="1">
      <c r="AF5409" s="908">
        <v>0</v>
      </c>
    </row>
    <row r="5410" spans="32:32" ht="24" customHeight="1">
      <c r="AF5410" s="908">
        <v>0</v>
      </c>
    </row>
    <row r="5411" spans="32:32" ht="24" customHeight="1">
      <c r="AF5411" s="908">
        <v>0</v>
      </c>
    </row>
    <row r="5412" spans="32:32" ht="24" customHeight="1">
      <c r="AF5412" s="908">
        <v>0</v>
      </c>
    </row>
    <row r="5413" spans="32:32" ht="24" customHeight="1">
      <c r="AF5413" s="908">
        <v>0</v>
      </c>
    </row>
    <row r="5414" spans="32:32" ht="24" customHeight="1">
      <c r="AF5414" s="908">
        <v>0</v>
      </c>
    </row>
    <row r="5415" spans="32:32" ht="24" customHeight="1">
      <c r="AF5415" s="908">
        <v>0</v>
      </c>
    </row>
    <row r="5416" spans="32:32" ht="24" customHeight="1">
      <c r="AF5416" s="908">
        <v>0</v>
      </c>
    </row>
    <row r="5417" spans="32:32" ht="24" customHeight="1">
      <c r="AF5417" s="908">
        <v>0</v>
      </c>
    </row>
    <row r="5418" spans="32:32" ht="24" customHeight="1">
      <c r="AF5418" s="908">
        <v>0</v>
      </c>
    </row>
    <row r="5419" spans="32:32" ht="24" customHeight="1">
      <c r="AF5419" s="908">
        <v>0</v>
      </c>
    </row>
    <row r="5420" spans="32:32" ht="24" customHeight="1">
      <c r="AF5420" s="908">
        <v>0</v>
      </c>
    </row>
    <row r="5421" spans="32:32" ht="24" customHeight="1">
      <c r="AF5421" s="908">
        <v>0</v>
      </c>
    </row>
    <row r="5422" spans="32:32" ht="24" customHeight="1">
      <c r="AF5422" s="908">
        <v>0</v>
      </c>
    </row>
    <row r="5423" spans="32:32" ht="24" customHeight="1">
      <c r="AF5423" s="908">
        <v>0</v>
      </c>
    </row>
    <row r="5424" spans="32:32" ht="24" customHeight="1">
      <c r="AF5424" s="908">
        <v>0</v>
      </c>
    </row>
    <row r="5425" spans="32:32" ht="24" customHeight="1">
      <c r="AF5425" s="908">
        <v>0</v>
      </c>
    </row>
    <row r="5426" spans="32:32" ht="24" customHeight="1">
      <c r="AF5426" s="908">
        <v>0</v>
      </c>
    </row>
    <row r="5427" spans="32:32" ht="24" customHeight="1">
      <c r="AF5427" s="908">
        <v>0</v>
      </c>
    </row>
    <row r="5428" spans="32:32" ht="24" customHeight="1">
      <c r="AF5428" s="908">
        <v>0</v>
      </c>
    </row>
    <row r="5429" spans="32:32" ht="24" customHeight="1">
      <c r="AF5429" s="908">
        <v>0</v>
      </c>
    </row>
    <row r="5430" spans="32:32" ht="24" customHeight="1">
      <c r="AF5430" s="908">
        <v>0</v>
      </c>
    </row>
    <row r="5431" spans="32:32" ht="24" customHeight="1">
      <c r="AF5431" s="908">
        <v>0</v>
      </c>
    </row>
    <row r="5432" spans="32:32" ht="24" customHeight="1">
      <c r="AF5432" s="908">
        <v>0</v>
      </c>
    </row>
    <row r="5433" spans="32:32" ht="24" customHeight="1">
      <c r="AF5433" s="908">
        <v>0</v>
      </c>
    </row>
    <row r="5434" spans="32:32" ht="24" customHeight="1">
      <c r="AF5434" s="908">
        <v>0</v>
      </c>
    </row>
    <row r="5435" spans="32:32" ht="24" customHeight="1">
      <c r="AF5435" s="908">
        <v>0</v>
      </c>
    </row>
    <row r="5436" spans="32:32" ht="24" customHeight="1">
      <c r="AF5436" s="908">
        <v>0</v>
      </c>
    </row>
    <row r="5437" spans="32:32" ht="24" customHeight="1">
      <c r="AF5437" s="908">
        <v>0</v>
      </c>
    </row>
    <row r="5438" spans="32:32" ht="24" customHeight="1">
      <c r="AF5438" s="908">
        <v>0</v>
      </c>
    </row>
    <row r="5439" spans="32:32" ht="24" customHeight="1">
      <c r="AF5439" s="908">
        <v>0</v>
      </c>
    </row>
    <row r="5440" spans="32:32" ht="24" customHeight="1">
      <c r="AF5440" s="908">
        <v>0</v>
      </c>
    </row>
    <row r="5441" spans="32:32" ht="24" customHeight="1">
      <c r="AF5441" s="908">
        <v>0</v>
      </c>
    </row>
    <row r="5442" spans="32:32" ht="24" customHeight="1">
      <c r="AF5442" s="908">
        <v>0</v>
      </c>
    </row>
    <row r="5443" spans="32:32" ht="24" customHeight="1">
      <c r="AF5443" s="908">
        <v>0</v>
      </c>
    </row>
    <row r="5444" spans="32:32" ht="24" customHeight="1">
      <c r="AF5444" s="908">
        <v>0</v>
      </c>
    </row>
    <row r="5445" spans="32:32" ht="24" customHeight="1">
      <c r="AF5445" s="908">
        <v>0</v>
      </c>
    </row>
    <row r="5446" spans="32:32" ht="24" customHeight="1">
      <c r="AF5446" s="908">
        <v>0</v>
      </c>
    </row>
    <row r="5447" spans="32:32" ht="24" customHeight="1">
      <c r="AF5447" s="908">
        <v>0</v>
      </c>
    </row>
    <row r="5448" spans="32:32" ht="24" customHeight="1">
      <c r="AF5448" s="908">
        <v>0</v>
      </c>
    </row>
    <row r="5449" spans="32:32" ht="24" customHeight="1">
      <c r="AF5449" s="908">
        <v>0</v>
      </c>
    </row>
    <row r="5450" spans="32:32" ht="24" customHeight="1">
      <c r="AF5450" s="908">
        <v>0</v>
      </c>
    </row>
    <row r="5451" spans="32:32" ht="24" customHeight="1">
      <c r="AF5451" s="908">
        <v>0</v>
      </c>
    </row>
    <row r="5452" spans="32:32" ht="24" customHeight="1">
      <c r="AF5452" s="908">
        <v>0</v>
      </c>
    </row>
    <row r="5453" spans="32:32" ht="24" customHeight="1">
      <c r="AF5453" s="908">
        <v>0</v>
      </c>
    </row>
    <row r="5454" spans="32:32" ht="24" customHeight="1">
      <c r="AF5454" s="908">
        <v>0</v>
      </c>
    </row>
    <row r="5455" spans="32:32" ht="24" customHeight="1">
      <c r="AF5455" s="908">
        <v>0</v>
      </c>
    </row>
    <row r="5456" spans="32:32" ht="24" customHeight="1">
      <c r="AF5456" s="908">
        <v>0</v>
      </c>
    </row>
    <row r="5457" spans="32:32" ht="24" customHeight="1">
      <c r="AF5457" s="908">
        <v>0</v>
      </c>
    </row>
    <row r="5458" spans="32:32" ht="24" customHeight="1">
      <c r="AF5458" s="908">
        <v>0</v>
      </c>
    </row>
    <row r="5459" spans="32:32" ht="24" customHeight="1">
      <c r="AF5459" s="908">
        <v>0</v>
      </c>
    </row>
    <row r="5460" spans="32:32" ht="24" customHeight="1">
      <c r="AF5460" s="908">
        <v>0</v>
      </c>
    </row>
    <row r="5461" spans="32:32" ht="24" customHeight="1">
      <c r="AF5461" s="908">
        <v>0</v>
      </c>
    </row>
    <row r="5462" spans="32:32" ht="24" customHeight="1">
      <c r="AF5462" s="908">
        <v>0</v>
      </c>
    </row>
    <row r="5463" spans="32:32" ht="24" customHeight="1">
      <c r="AF5463" s="908">
        <v>0</v>
      </c>
    </row>
    <row r="5464" spans="32:32" ht="24" customHeight="1">
      <c r="AF5464" s="908">
        <v>0</v>
      </c>
    </row>
    <row r="5465" spans="32:32" ht="24" customHeight="1">
      <c r="AF5465" s="908">
        <v>0</v>
      </c>
    </row>
    <row r="5466" spans="32:32" ht="24" customHeight="1">
      <c r="AF5466" s="908">
        <v>0</v>
      </c>
    </row>
    <row r="5467" spans="32:32" ht="24" customHeight="1">
      <c r="AF5467" s="908">
        <v>0</v>
      </c>
    </row>
    <row r="5468" spans="32:32" ht="24" customHeight="1">
      <c r="AF5468" s="908">
        <v>0</v>
      </c>
    </row>
    <row r="5469" spans="32:32" ht="24" customHeight="1">
      <c r="AF5469" s="908">
        <v>0</v>
      </c>
    </row>
    <row r="5470" spans="32:32" ht="24" customHeight="1">
      <c r="AF5470" s="908">
        <v>0</v>
      </c>
    </row>
    <row r="5471" spans="32:32" ht="24" customHeight="1">
      <c r="AF5471" s="908">
        <v>0</v>
      </c>
    </row>
    <row r="5472" spans="32:32" ht="24" customHeight="1">
      <c r="AF5472" s="908">
        <v>0</v>
      </c>
    </row>
    <row r="5473" spans="32:32" ht="24" customHeight="1">
      <c r="AF5473" s="908">
        <v>0</v>
      </c>
    </row>
    <row r="5474" spans="32:32" ht="24" customHeight="1">
      <c r="AF5474" s="908">
        <v>0</v>
      </c>
    </row>
    <row r="5475" spans="32:32" ht="24" customHeight="1">
      <c r="AF5475" s="908">
        <v>0</v>
      </c>
    </row>
    <row r="5476" spans="32:32" ht="24" customHeight="1">
      <c r="AF5476" s="908">
        <v>0</v>
      </c>
    </row>
    <row r="5477" spans="32:32" ht="24" customHeight="1">
      <c r="AF5477" s="908">
        <v>0</v>
      </c>
    </row>
    <row r="5478" spans="32:32" ht="24" customHeight="1">
      <c r="AF5478" s="908">
        <v>0</v>
      </c>
    </row>
    <row r="5479" spans="32:32" ht="24" customHeight="1">
      <c r="AF5479" s="908">
        <v>0</v>
      </c>
    </row>
    <row r="5480" spans="32:32" ht="24" customHeight="1">
      <c r="AF5480" s="908">
        <v>0</v>
      </c>
    </row>
    <row r="5481" spans="32:32" ht="24" customHeight="1">
      <c r="AF5481" s="908">
        <v>0</v>
      </c>
    </row>
    <row r="5482" spans="32:32" ht="24" customHeight="1">
      <c r="AF5482" s="908">
        <v>0</v>
      </c>
    </row>
    <row r="5483" spans="32:32" ht="24" customHeight="1">
      <c r="AF5483" s="908">
        <v>0</v>
      </c>
    </row>
    <row r="5484" spans="32:32" ht="24" customHeight="1">
      <c r="AF5484" s="908">
        <v>0</v>
      </c>
    </row>
    <row r="5485" spans="32:32" ht="24" customHeight="1">
      <c r="AF5485" s="908">
        <v>0</v>
      </c>
    </row>
    <row r="5486" spans="32:32" ht="24" customHeight="1">
      <c r="AF5486" s="908">
        <v>0</v>
      </c>
    </row>
    <row r="5487" spans="32:32" ht="24" customHeight="1">
      <c r="AF5487" s="908">
        <v>0</v>
      </c>
    </row>
    <row r="5488" spans="32:32" ht="24" customHeight="1">
      <c r="AF5488" s="908">
        <v>0</v>
      </c>
    </row>
    <row r="5489" spans="32:32" ht="24" customHeight="1">
      <c r="AF5489" s="908">
        <v>0</v>
      </c>
    </row>
    <row r="5490" spans="32:32" ht="24" customHeight="1">
      <c r="AF5490" s="908">
        <v>0</v>
      </c>
    </row>
    <row r="5491" spans="32:32" ht="24" customHeight="1">
      <c r="AF5491" s="908">
        <v>0</v>
      </c>
    </row>
    <row r="5492" spans="32:32" ht="24" customHeight="1">
      <c r="AF5492" s="908">
        <v>0</v>
      </c>
    </row>
    <row r="5493" spans="32:32" ht="24" customHeight="1">
      <c r="AF5493" s="908">
        <v>0</v>
      </c>
    </row>
    <row r="5494" spans="32:32" ht="24" customHeight="1">
      <c r="AF5494" s="908">
        <v>0</v>
      </c>
    </row>
    <row r="5495" spans="32:32" ht="24" customHeight="1">
      <c r="AF5495" s="908">
        <v>0</v>
      </c>
    </row>
    <row r="5496" spans="32:32" ht="24" customHeight="1">
      <c r="AF5496" s="908">
        <v>0</v>
      </c>
    </row>
    <row r="5497" spans="32:32" ht="24" customHeight="1">
      <c r="AF5497" s="908">
        <v>0</v>
      </c>
    </row>
    <row r="5498" spans="32:32" ht="24" customHeight="1">
      <c r="AF5498" s="908">
        <v>0</v>
      </c>
    </row>
    <row r="5499" spans="32:32" ht="24" customHeight="1">
      <c r="AF5499" s="908">
        <v>0</v>
      </c>
    </row>
    <row r="5500" spans="32:32" ht="24" customHeight="1">
      <c r="AF5500" s="908">
        <v>0</v>
      </c>
    </row>
    <row r="5501" spans="32:32" ht="24" customHeight="1">
      <c r="AF5501" s="908">
        <v>0</v>
      </c>
    </row>
    <row r="5502" spans="32:32" ht="24" customHeight="1">
      <c r="AF5502" s="908">
        <v>0</v>
      </c>
    </row>
    <row r="5503" spans="32:32" ht="24" customHeight="1">
      <c r="AF5503" s="908">
        <v>0</v>
      </c>
    </row>
    <row r="5504" spans="32:32" ht="24" customHeight="1">
      <c r="AF5504" s="908">
        <v>0</v>
      </c>
    </row>
    <row r="5505" spans="32:32" ht="24" customHeight="1">
      <c r="AF5505" s="908">
        <v>0</v>
      </c>
    </row>
    <row r="5506" spans="32:32" ht="24" customHeight="1">
      <c r="AF5506" s="908">
        <v>0</v>
      </c>
    </row>
    <row r="5507" spans="32:32" ht="24" customHeight="1">
      <c r="AF5507" s="908">
        <v>0</v>
      </c>
    </row>
    <row r="5508" spans="32:32" ht="24" customHeight="1">
      <c r="AF5508" s="908">
        <v>0</v>
      </c>
    </row>
    <row r="5509" spans="32:32" ht="24" customHeight="1">
      <c r="AF5509" s="908">
        <v>0</v>
      </c>
    </row>
    <row r="5510" spans="32:32" ht="24" customHeight="1">
      <c r="AF5510" s="908">
        <v>0</v>
      </c>
    </row>
    <row r="5511" spans="32:32" ht="24" customHeight="1">
      <c r="AF5511" s="908">
        <v>0</v>
      </c>
    </row>
    <row r="5512" spans="32:32" ht="24" customHeight="1">
      <c r="AF5512" s="908">
        <v>0</v>
      </c>
    </row>
    <row r="5513" spans="32:32" ht="24" customHeight="1">
      <c r="AF5513" s="908">
        <v>0</v>
      </c>
    </row>
    <row r="5514" spans="32:32" ht="24" customHeight="1">
      <c r="AF5514" s="908">
        <v>0</v>
      </c>
    </row>
    <row r="5515" spans="32:32" ht="24" customHeight="1">
      <c r="AF5515" s="908">
        <v>0</v>
      </c>
    </row>
    <row r="5516" spans="32:32" ht="24" customHeight="1">
      <c r="AF5516" s="908">
        <v>0</v>
      </c>
    </row>
    <row r="5517" spans="32:32" ht="24" customHeight="1">
      <c r="AF5517" s="908">
        <v>0</v>
      </c>
    </row>
    <row r="5518" spans="32:32" ht="24" customHeight="1">
      <c r="AF5518" s="908">
        <v>0</v>
      </c>
    </row>
    <row r="5519" spans="32:32" ht="24" customHeight="1">
      <c r="AF5519" s="908">
        <v>0</v>
      </c>
    </row>
    <row r="5520" spans="32:32" ht="24" customHeight="1">
      <c r="AF5520" s="908">
        <v>0</v>
      </c>
    </row>
    <row r="5521" spans="32:32" ht="24" customHeight="1">
      <c r="AF5521" s="908">
        <v>0</v>
      </c>
    </row>
    <row r="5522" spans="32:32" ht="24" customHeight="1">
      <c r="AF5522" s="908">
        <v>0</v>
      </c>
    </row>
    <row r="5523" spans="32:32" ht="24" customHeight="1">
      <c r="AF5523" s="908">
        <v>0</v>
      </c>
    </row>
    <row r="5524" spans="32:32" ht="24" customHeight="1">
      <c r="AF5524" s="908">
        <v>0</v>
      </c>
    </row>
    <row r="5525" spans="32:32" ht="24" customHeight="1">
      <c r="AF5525" s="908">
        <v>0</v>
      </c>
    </row>
    <row r="5526" spans="32:32" ht="24" customHeight="1">
      <c r="AF5526" s="908">
        <v>0</v>
      </c>
    </row>
    <row r="5527" spans="32:32" ht="24" customHeight="1">
      <c r="AF5527" s="908">
        <v>0</v>
      </c>
    </row>
    <row r="5528" spans="32:32" ht="24" customHeight="1">
      <c r="AF5528" s="908">
        <v>0</v>
      </c>
    </row>
    <row r="5529" spans="32:32" ht="24" customHeight="1">
      <c r="AF5529" s="908">
        <v>0</v>
      </c>
    </row>
    <row r="5530" spans="32:32" ht="24" customHeight="1">
      <c r="AF5530" s="908">
        <v>0</v>
      </c>
    </row>
    <row r="5531" spans="32:32" ht="24" customHeight="1">
      <c r="AF5531" s="908">
        <v>0</v>
      </c>
    </row>
    <row r="5532" spans="32:32" ht="24" customHeight="1">
      <c r="AF5532" s="908">
        <v>0</v>
      </c>
    </row>
    <row r="5533" spans="32:32" ht="24" customHeight="1">
      <c r="AF5533" s="908">
        <v>0</v>
      </c>
    </row>
    <row r="5534" spans="32:32" ht="24" customHeight="1">
      <c r="AF5534" s="908">
        <v>0</v>
      </c>
    </row>
    <row r="5535" spans="32:32" ht="24" customHeight="1">
      <c r="AF5535" s="908">
        <v>0</v>
      </c>
    </row>
    <row r="5536" spans="32:32" ht="24" customHeight="1">
      <c r="AF5536" s="908">
        <v>0</v>
      </c>
    </row>
    <row r="5537" spans="32:32" ht="24" customHeight="1">
      <c r="AF5537" s="908">
        <v>0</v>
      </c>
    </row>
    <row r="5538" spans="32:32" ht="24" customHeight="1">
      <c r="AF5538" s="908">
        <v>0</v>
      </c>
    </row>
    <row r="5539" spans="32:32" ht="24" customHeight="1">
      <c r="AF5539" s="908">
        <v>0</v>
      </c>
    </row>
    <row r="5540" spans="32:32" ht="24" customHeight="1">
      <c r="AF5540" s="908">
        <v>0</v>
      </c>
    </row>
    <row r="5541" spans="32:32" ht="24" customHeight="1">
      <c r="AF5541" s="908">
        <v>0</v>
      </c>
    </row>
    <row r="5542" spans="32:32" ht="24" customHeight="1">
      <c r="AF5542" s="908">
        <v>0</v>
      </c>
    </row>
    <row r="5543" spans="32:32" ht="24" customHeight="1">
      <c r="AF5543" s="908">
        <v>0</v>
      </c>
    </row>
    <row r="5544" spans="32:32" ht="24" customHeight="1">
      <c r="AF5544" s="908">
        <v>0</v>
      </c>
    </row>
    <row r="5545" spans="32:32" ht="24" customHeight="1">
      <c r="AF5545" s="908">
        <v>0</v>
      </c>
    </row>
    <row r="5546" spans="32:32" ht="24" customHeight="1">
      <c r="AF5546" s="908">
        <v>0</v>
      </c>
    </row>
    <row r="5547" spans="32:32" ht="24" customHeight="1">
      <c r="AF5547" s="908">
        <v>0</v>
      </c>
    </row>
    <row r="5548" spans="32:32" ht="24" customHeight="1">
      <c r="AF5548" s="908">
        <v>0</v>
      </c>
    </row>
    <row r="5549" spans="32:32" ht="24" customHeight="1">
      <c r="AF5549" s="908">
        <v>0</v>
      </c>
    </row>
    <row r="5550" spans="32:32" ht="24" customHeight="1">
      <c r="AF5550" s="908">
        <v>0</v>
      </c>
    </row>
    <row r="5551" spans="32:32" ht="24" customHeight="1">
      <c r="AF5551" s="908">
        <v>0</v>
      </c>
    </row>
    <row r="5552" spans="32:32" ht="24" customHeight="1">
      <c r="AF5552" s="908">
        <v>0</v>
      </c>
    </row>
    <row r="5553" spans="32:32" ht="24" customHeight="1">
      <c r="AF5553" s="908">
        <v>0</v>
      </c>
    </row>
    <row r="5554" spans="32:32" ht="24" customHeight="1">
      <c r="AF5554" s="908">
        <v>0</v>
      </c>
    </row>
    <row r="5555" spans="32:32" ht="24" customHeight="1">
      <c r="AF5555" s="908">
        <v>0</v>
      </c>
    </row>
    <row r="5556" spans="32:32" ht="24" customHeight="1">
      <c r="AF5556" s="908">
        <v>0</v>
      </c>
    </row>
    <row r="5557" spans="32:32" ht="24" customHeight="1">
      <c r="AF5557" s="908">
        <v>0</v>
      </c>
    </row>
    <row r="5558" spans="32:32" ht="24" customHeight="1">
      <c r="AF5558" s="908">
        <v>0</v>
      </c>
    </row>
    <row r="5559" spans="32:32" ht="24" customHeight="1">
      <c r="AF5559" s="908">
        <v>0</v>
      </c>
    </row>
    <row r="5560" spans="32:32" ht="24" customHeight="1">
      <c r="AF5560" s="908">
        <v>0</v>
      </c>
    </row>
    <row r="5561" spans="32:32" ht="24" customHeight="1">
      <c r="AF5561" s="908">
        <v>0</v>
      </c>
    </row>
    <row r="5562" spans="32:32" ht="24" customHeight="1">
      <c r="AF5562" s="908">
        <v>0</v>
      </c>
    </row>
    <row r="5563" spans="32:32" ht="24" customHeight="1">
      <c r="AF5563" s="908">
        <v>0</v>
      </c>
    </row>
    <row r="5564" spans="32:32" ht="24" customHeight="1">
      <c r="AF5564" s="908">
        <v>0</v>
      </c>
    </row>
    <row r="5565" spans="32:32" ht="24" customHeight="1">
      <c r="AF5565" s="908">
        <v>0</v>
      </c>
    </row>
    <row r="5566" spans="32:32" ht="24" customHeight="1">
      <c r="AF5566" s="908">
        <v>0</v>
      </c>
    </row>
    <row r="5567" spans="32:32" ht="24" customHeight="1">
      <c r="AF5567" s="908">
        <v>0</v>
      </c>
    </row>
    <row r="5568" spans="32:32" ht="24" customHeight="1">
      <c r="AF5568" s="908">
        <v>0</v>
      </c>
    </row>
    <row r="5569" spans="32:32" ht="24" customHeight="1">
      <c r="AF5569" s="908">
        <v>0</v>
      </c>
    </row>
    <row r="5570" spans="32:32" ht="24" customHeight="1">
      <c r="AF5570" s="908">
        <v>0</v>
      </c>
    </row>
    <row r="5571" spans="32:32" ht="24" customHeight="1">
      <c r="AF5571" s="908">
        <v>0</v>
      </c>
    </row>
    <row r="5572" spans="32:32" ht="24" customHeight="1">
      <c r="AF5572" s="908">
        <v>0</v>
      </c>
    </row>
    <row r="5573" spans="32:32" ht="24" customHeight="1">
      <c r="AF5573" s="908">
        <v>0</v>
      </c>
    </row>
    <row r="5574" spans="32:32" ht="24" customHeight="1">
      <c r="AF5574" s="908">
        <v>0</v>
      </c>
    </row>
    <row r="5575" spans="32:32" ht="24" customHeight="1">
      <c r="AF5575" s="908">
        <v>0</v>
      </c>
    </row>
    <row r="5576" spans="32:32" ht="24" customHeight="1">
      <c r="AF5576" s="908">
        <v>0</v>
      </c>
    </row>
    <row r="5577" spans="32:32" ht="24" customHeight="1">
      <c r="AF5577" s="908">
        <v>0</v>
      </c>
    </row>
    <row r="5578" spans="32:32" ht="24" customHeight="1">
      <c r="AF5578" s="908">
        <v>0</v>
      </c>
    </row>
    <row r="5579" spans="32:32" ht="24" customHeight="1">
      <c r="AF5579" s="908">
        <v>0</v>
      </c>
    </row>
    <row r="5580" spans="32:32" ht="24" customHeight="1">
      <c r="AF5580" s="908">
        <v>0</v>
      </c>
    </row>
    <row r="5581" spans="32:32" ht="24" customHeight="1">
      <c r="AF5581" s="908">
        <v>0</v>
      </c>
    </row>
    <row r="5582" spans="32:32" ht="24" customHeight="1">
      <c r="AF5582" s="908">
        <v>0</v>
      </c>
    </row>
    <row r="5583" spans="32:32" ht="24" customHeight="1">
      <c r="AF5583" s="908">
        <v>0</v>
      </c>
    </row>
    <row r="5584" spans="32:32" ht="24" customHeight="1">
      <c r="AF5584" s="908">
        <v>0</v>
      </c>
    </row>
    <row r="5585" spans="32:32" ht="24" customHeight="1">
      <c r="AF5585" s="908">
        <v>0</v>
      </c>
    </row>
    <row r="5586" spans="32:32" ht="24" customHeight="1">
      <c r="AF5586" s="908">
        <v>0</v>
      </c>
    </row>
    <row r="5587" spans="32:32" ht="24" customHeight="1">
      <c r="AF5587" s="908">
        <v>0</v>
      </c>
    </row>
    <row r="5588" spans="32:32" ht="24" customHeight="1">
      <c r="AF5588" s="908">
        <v>0</v>
      </c>
    </row>
    <row r="5589" spans="32:32" ht="24" customHeight="1">
      <c r="AF5589" s="908">
        <v>0</v>
      </c>
    </row>
    <row r="5590" spans="32:32" ht="24" customHeight="1">
      <c r="AF5590" s="908">
        <v>0</v>
      </c>
    </row>
    <row r="5591" spans="32:32" ht="24" customHeight="1">
      <c r="AF5591" s="908">
        <v>0</v>
      </c>
    </row>
    <row r="5592" spans="32:32" ht="24" customHeight="1">
      <c r="AF5592" s="908">
        <v>0</v>
      </c>
    </row>
    <row r="5593" spans="32:32" ht="24" customHeight="1">
      <c r="AF5593" s="908">
        <v>0</v>
      </c>
    </row>
    <row r="5594" spans="32:32" ht="24" customHeight="1">
      <c r="AF5594" s="908">
        <v>0</v>
      </c>
    </row>
    <row r="5595" spans="32:32" ht="24" customHeight="1">
      <c r="AF5595" s="908">
        <v>0</v>
      </c>
    </row>
    <row r="5596" spans="32:32" ht="24" customHeight="1">
      <c r="AF5596" s="908">
        <v>0</v>
      </c>
    </row>
    <row r="5597" spans="32:32" ht="24" customHeight="1">
      <c r="AF5597" s="908">
        <v>0</v>
      </c>
    </row>
    <row r="5598" spans="32:32" ht="24" customHeight="1">
      <c r="AF5598" s="908">
        <v>0</v>
      </c>
    </row>
    <row r="5599" spans="32:32" ht="24" customHeight="1">
      <c r="AF5599" s="908">
        <v>0</v>
      </c>
    </row>
    <row r="5600" spans="32:32" ht="24" customHeight="1">
      <c r="AF5600" s="908">
        <v>0</v>
      </c>
    </row>
    <row r="5601" spans="32:32" ht="24" customHeight="1">
      <c r="AF5601" s="908">
        <v>0</v>
      </c>
    </row>
    <row r="5602" spans="32:32" ht="24" customHeight="1">
      <c r="AF5602" s="908">
        <v>0</v>
      </c>
    </row>
    <row r="5603" spans="32:32" ht="24" customHeight="1">
      <c r="AF5603" s="908">
        <v>0</v>
      </c>
    </row>
    <row r="5604" spans="32:32" ht="24" customHeight="1">
      <c r="AF5604" s="908">
        <v>0</v>
      </c>
    </row>
    <row r="5605" spans="32:32" ht="24" customHeight="1">
      <c r="AF5605" s="908">
        <v>0</v>
      </c>
    </row>
    <row r="5606" spans="32:32" ht="24" customHeight="1">
      <c r="AF5606" s="908">
        <v>0</v>
      </c>
    </row>
    <row r="5607" spans="32:32" ht="24" customHeight="1">
      <c r="AF5607" s="908">
        <v>0</v>
      </c>
    </row>
    <row r="5608" spans="32:32" ht="24" customHeight="1">
      <c r="AF5608" s="908">
        <v>0</v>
      </c>
    </row>
    <row r="5609" spans="32:32" ht="24" customHeight="1">
      <c r="AF5609" s="908">
        <v>0</v>
      </c>
    </row>
    <row r="5610" spans="32:32" ht="24" customHeight="1">
      <c r="AF5610" s="908">
        <v>0</v>
      </c>
    </row>
    <row r="5611" spans="32:32" ht="24" customHeight="1">
      <c r="AF5611" s="908">
        <v>0</v>
      </c>
    </row>
    <row r="5612" spans="32:32" ht="24" customHeight="1">
      <c r="AF5612" s="908">
        <v>0</v>
      </c>
    </row>
    <row r="5613" spans="32:32" ht="24" customHeight="1">
      <c r="AF5613" s="908">
        <v>0</v>
      </c>
    </row>
    <row r="5614" spans="32:32" ht="24" customHeight="1">
      <c r="AF5614" s="908">
        <v>0</v>
      </c>
    </row>
    <row r="5615" spans="32:32" ht="24" customHeight="1">
      <c r="AF5615" s="908">
        <v>0</v>
      </c>
    </row>
    <row r="5616" spans="32:32" ht="24" customHeight="1">
      <c r="AF5616" s="908">
        <v>0</v>
      </c>
    </row>
    <row r="5617" spans="32:32" ht="24" customHeight="1">
      <c r="AF5617" s="908">
        <v>0</v>
      </c>
    </row>
    <row r="5618" spans="32:32" ht="24" customHeight="1">
      <c r="AF5618" s="908">
        <v>0</v>
      </c>
    </row>
    <row r="5619" spans="32:32" ht="24" customHeight="1">
      <c r="AF5619" s="908">
        <v>0</v>
      </c>
    </row>
    <row r="5620" spans="32:32" ht="24" customHeight="1">
      <c r="AF5620" s="908">
        <v>0</v>
      </c>
    </row>
    <row r="5621" spans="32:32" ht="24" customHeight="1">
      <c r="AF5621" s="908">
        <v>0</v>
      </c>
    </row>
    <row r="5622" spans="32:32" ht="24" customHeight="1">
      <c r="AF5622" s="908">
        <v>0</v>
      </c>
    </row>
    <row r="5623" spans="32:32" ht="24" customHeight="1">
      <c r="AF5623" s="908">
        <v>0</v>
      </c>
    </row>
    <row r="5624" spans="32:32" ht="24" customHeight="1">
      <c r="AF5624" s="908">
        <v>0</v>
      </c>
    </row>
    <row r="5625" spans="32:32" ht="24" customHeight="1">
      <c r="AF5625" s="908">
        <v>0</v>
      </c>
    </row>
    <row r="5626" spans="32:32" ht="24" customHeight="1">
      <c r="AF5626" s="908">
        <v>0</v>
      </c>
    </row>
    <row r="5627" spans="32:32" ht="24" customHeight="1">
      <c r="AF5627" s="908">
        <v>0</v>
      </c>
    </row>
    <row r="5628" spans="32:32" ht="24" customHeight="1">
      <c r="AF5628" s="908">
        <v>0</v>
      </c>
    </row>
    <row r="5629" spans="32:32" ht="24" customHeight="1">
      <c r="AF5629" s="908">
        <v>0</v>
      </c>
    </row>
    <row r="5630" spans="32:32" ht="24" customHeight="1">
      <c r="AF5630" s="908">
        <v>0</v>
      </c>
    </row>
    <row r="5631" spans="32:32" ht="24" customHeight="1">
      <c r="AF5631" s="908">
        <v>0</v>
      </c>
    </row>
    <row r="5632" spans="32:32" ht="24" customHeight="1">
      <c r="AF5632" s="908">
        <v>0</v>
      </c>
    </row>
    <row r="5633" spans="32:32" ht="24" customHeight="1">
      <c r="AF5633" s="908">
        <v>0</v>
      </c>
    </row>
    <row r="5634" spans="32:32" ht="24" customHeight="1">
      <c r="AF5634" s="908">
        <v>0</v>
      </c>
    </row>
    <row r="5635" spans="32:32" ht="24" customHeight="1">
      <c r="AF5635" s="908">
        <v>0</v>
      </c>
    </row>
    <row r="5636" spans="32:32" ht="24" customHeight="1">
      <c r="AF5636" s="908">
        <v>0</v>
      </c>
    </row>
    <row r="5637" spans="32:32" ht="24" customHeight="1">
      <c r="AF5637" s="908">
        <v>0</v>
      </c>
    </row>
    <row r="5638" spans="32:32" ht="24" customHeight="1">
      <c r="AF5638" s="908">
        <v>0</v>
      </c>
    </row>
    <row r="5639" spans="32:32" ht="24" customHeight="1">
      <c r="AF5639" s="908">
        <v>0</v>
      </c>
    </row>
    <row r="5640" spans="32:32" ht="24" customHeight="1">
      <c r="AF5640" s="908">
        <v>0</v>
      </c>
    </row>
    <row r="5641" spans="32:32" ht="24" customHeight="1">
      <c r="AF5641" s="908">
        <v>0</v>
      </c>
    </row>
    <row r="5642" spans="32:32" ht="24" customHeight="1">
      <c r="AF5642" s="908">
        <v>0</v>
      </c>
    </row>
    <row r="5643" spans="32:32" ht="24" customHeight="1">
      <c r="AF5643" s="908">
        <v>0</v>
      </c>
    </row>
    <row r="5644" spans="32:32" ht="24" customHeight="1">
      <c r="AF5644" s="908">
        <v>0</v>
      </c>
    </row>
    <row r="5645" spans="32:32" ht="24" customHeight="1">
      <c r="AF5645" s="908">
        <v>0</v>
      </c>
    </row>
    <row r="5646" spans="32:32" ht="24" customHeight="1">
      <c r="AF5646" s="908">
        <v>0</v>
      </c>
    </row>
    <row r="5647" spans="32:32" ht="24" customHeight="1">
      <c r="AF5647" s="908">
        <v>0</v>
      </c>
    </row>
    <row r="5648" spans="32:32" ht="24" customHeight="1">
      <c r="AF5648" s="908">
        <v>0</v>
      </c>
    </row>
    <row r="5649" spans="32:32" ht="24" customHeight="1">
      <c r="AF5649" s="908">
        <v>0</v>
      </c>
    </row>
    <row r="5650" spans="32:32" ht="24" customHeight="1">
      <c r="AF5650" s="908">
        <v>0</v>
      </c>
    </row>
    <row r="5651" spans="32:32" ht="24" customHeight="1">
      <c r="AF5651" s="908">
        <v>0</v>
      </c>
    </row>
    <row r="5652" spans="32:32" ht="24" customHeight="1">
      <c r="AF5652" s="908">
        <v>0</v>
      </c>
    </row>
    <row r="5653" spans="32:32" ht="24" customHeight="1">
      <c r="AF5653" s="908">
        <v>0</v>
      </c>
    </row>
    <row r="5654" spans="32:32" ht="24" customHeight="1">
      <c r="AF5654" s="908">
        <v>0</v>
      </c>
    </row>
    <row r="5655" spans="32:32" ht="24" customHeight="1">
      <c r="AF5655" s="908">
        <v>0</v>
      </c>
    </row>
    <row r="5656" spans="32:32" ht="24" customHeight="1">
      <c r="AF5656" s="908">
        <v>0</v>
      </c>
    </row>
    <row r="5657" spans="32:32" ht="24" customHeight="1">
      <c r="AF5657" s="908">
        <v>0</v>
      </c>
    </row>
    <row r="5658" spans="32:32" ht="24" customHeight="1">
      <c r="AF5658" s="908">
        <v>0</v>
      </c>
    </row>
    <row r="5659" spans="32:32" ht="24" customHeight="1">
      <c r="AF5659" s="908">
        <v>0</v>
      </c>
    </row>
    <row r="5660" spans="32:32" ht="24" customHeight="1">
      <c r="AF5660" s="908">
        <v>0</v>
      </c>
    </row>
    <row r="5661" spans="32:32" ht="24" customHeight="1">
      <c r="AF5661" s="908">
        <v>0</v>
      </c>
    </row>
    <row r="5662" spans="32:32" ht="24" customHeight="1">
      <c r="AF5662" s="908">
        <v>0</v>
      </c>
    </row>
    <row r="5663" spans="32:32" ht="24" customHeight="1">
      <c r="AF5663" s="908">
        <v>0</v>
      </c>
    </row>
    <row r="5664" spans="32:32" ht="24" customHeight="1">
      <c r="AF5664" s="908">
        <v>0</v>
      </c>
    </row>
    <row r="5665" spans="32:32" ht="24" customHeight="1">
      <c r="AF5665" s="908">
        <v>0</v>
      </c>
    </row>
    <row r="5666" spans="32:32" ht="24" customHeight="1">
      <c r="AF5666" s="908">
        <v>0</v>
      </c>
    </row>
    <row r="5667" spans="32:32" ht="24" customHeight="1">
      <c r="AF5667" s="908">
        <v>0</v>
      </c>
    </row>
    <row r="5668" spans="32:32" ht="24" customHeight="1">
      <c r="AF5668" s="908">
        <v>0</v>
      </c>
    </row>
    <row r="5669" spans="32:32" ht="24" customHeight="1">
      <c r="AF5669" s="908">
        <v>0</v>
      </c>
    </row>
    <row r="5670" spans="32:32" ht="24" customHeight="1">
      <c r="AF5670" s="908">
        <v>0</v>
      </c>
    </row>
    <row r="5671" spans="32:32" ht="24" customHeight="1">
      <c r="AF5671" s="908">
        <v>0</v>
      </c>
    </row>
    <row r="5672" spans="32:32" ht="24" customHeight="1">
      <c r="AF5672" s="908">
        <v>0</v>
      </c>
    </row>
    <row r="5673" spans="32:32" ht="24" customHeight="1">
      <c r="AF5673" s="908">
        <v>0</v>
      </c>
    </row>
    <row r="5674" spans="32:32" ht="24" customHeight="1">
      <c r="AF5674" s="908">
        <v>0</v>
      </c>
    </row>
    <row r="5675" spans="32:32" ht="24" customHeight="1">
      <c r="AF5675" s="908">
        <v>0</v>
      </c>
    </row>
    <row r="5676" spans="32:32" ht="24" customHeight="1">
      <c r="AF5676" s="908">
        <v>0</v>
      </c>
    </row>
    <row r="5677" spans="32:32" ht="24" customHeight="1">
      <c r="AF5677" s="908">
        <v>0</v>
      </c>
    </row>
    <row r="5678" spans="32:32" ht="24" customHeight="1">
      <c r="AF5678" s="908">
        <v>0</v>
      </c>
    </row>
    <row r="5679" spans="32:32" ht="24" customHeight="1">
      <c r="AF5679" s="908">
        <v>0</v>
      </c>
    </row>
    <row r="5680" spans="32:32" ht="24" customHeight="1">
      <c r="AF5680" s="908">
        <v>0</v>
      </c>
    </row>
    <row r="5681" spans="32:32" ht="24" customHeight="1">
      <c r="AF5681" s="908">
        <v>0</v>
      </c>
    </row>
    <row r="5682" spans="32:32" ht="24" customHeight="1">
      <c r="AF5682" s="908">
        <v>0</v>
      </c>
    </row>
    <row r="5683" spans="32:32" ht="24" customHeight="1">
      <c r="AF5683" s="908">
        <v>0</v>
      </c>
    </row>
    <row r="5684" spans="32:32" ht="24" customHeight="1">
      <c r="AF5684" s="908">
        <v>0</v>
      </c>
    </row>
    <row r="5685" spans="32:32" ht="24" customHeight="1">
      <c r="AF5685" s="908">
        <v>0</v>
      </c>
    </row>
    <row r="5686" spans="32:32" ht="24" customHeight="1">
      <c r="AF5686" s="908">
        <v>0</v>
      </c>
    </row>
    <row r="5687" spans="32:32" ht="24" customHeight="1">
      <c r="AF5687" s="908">
        <v>0</v>
      </c>
    </row>
    <row r="5688" spans="32:32" ht="24" customHeight="1">
      <c r="AF5688" s="908">
        <v>0</v>
      </c>
    </row>
    <row r="5689" spans="32:32" ht="24" customHeight="1">
      <c r="AF5689" s="908">
        <v>0</v>
      </c>
    </row>
    <row r="5690" spans="32:32" ht="24" customHeight="1">
      <c r="AF5690" s="908">
        <v>0</v>
      </c>
    </row>
    <row r="5691" spans="32:32" ht="24" customHeight="1">
      <c r="AF5691" s="908">
        <v>0</v>
      </c>
    </row>
    <row r="5692" spans="32:32" ht="24" customHeight="1">
      <c r="AF5692" s="908">
        <v>0</v>
      </c>
    </row>
    <row r="5693" spans="32:32" ht="24" customHeight="1">
      <c r="AF5693" s="908">
        <v>0</v>
      </c>
    </row>
    <row r="5694" spans="32:32" ht="24" customHeight="1">
      <c r="AF5694" s="908">
        <v>0</v>
      </c>
    </row>
    <row r="5695" spans="32:32" ht="24" customHeight="1">
      <c r="AF5695" s="908">
        <v>0</v>
      </c>
    </row>
    <row r="5696" spans="32:32" ht="24" customHeight="1">
      <c r="AF5696" s="908">
        <v>0</v>
      </c>
    </row>
    <row r="5697" spans="32:32" ht="24" customHeight="1">
      <c r="AF5697" s="908">
        <v>0</v>
      </c>
    </row>
    <row r="5698" spans="32:32" ht="24" customHeight="1">
      <c r="AF5698" s="908">
        <v>0</v>
      </c>
    </row>
    <row r="5699" spans="32:32" ht="24" customHeight="1">
      <c r="AF5699" s="908">
        <v>0</v>
      </c>
    </row>
    <row r="5700" spans="32:32" ht="24" customHeight="1">
      <c r="AF5700" s="908">
        <v>0</v>
      </c>
    </row>
    <row r="5701" spans="32:32" ht="24" customHeight="1">
      <c r="AF5701" s="908">
        <v>0</v>
      </c>
    </row>
    <row r="5702" spans="32:32" ht="24" customHeight="1">
      <c r="AF5702" s="908">
        <v>0</v>
      </c>
    </row>
    <row r="5703" spans="32:32" ht="24" customHeight="1">
      <c r="AF5703" s="908">
        <v>0</v>
      </c>
    </row>
    <row r="5704" spans="32:32" ht="24" customHeight="1">
      <c r="AF5704" s="908">
        <v>0</v>
      </c>
    </row>
    <row r="5705" spans="32:32" ht="24" customHeight="1">
      <c r="AF5705" s="908">
        <v>0</v>
      </c>
    </row>
    <row r="5706" spans="32:32" ht="24" customHeight="1">
      <c r="AF5706" s="908">
        <v>0</v>
      </c>
    </row>
    <row r="5707" spans="32:32" ht="24" customHeight="1">
      <c r="AF5707" s="908">
        <v>0</v>
      </c>
    </row>
    <row r="5708" spans="32:32" ht="24" customHeight="1">
      <c r="AF5708" s="908">
        <v>0</v>
      </c>
    </row>
    <row r="5709" spans="32:32" ht="24" customHeight="1">
      <c r="AF5709" s="908">
        <v>0</v>
      </c>
    </row>
    <row r="5710" spans="32:32" ht="24" customHeight="1">
      <c r="AF5710" s="908">
        <v>0</v>
      </c>
    </row>
    <row r="5711" spans="32:32" ht="24" customHeight="1">
      <c r="AF5711" s="908">
        <v>0</v>
      </c>
    </row>
    <row r="5712" spans="32:32" ht="24" customHeight="1">
      <c r="AF5712" s="908">
        <v>0</v>
      </c>
    </row>
    <row r="5713" spans="32:32" ht="24" customHeight="1">
      <c r="AF5713" s="908">
        <v>0</v>
      </c>
    </row>
    <row r="5714" spans="32:32" ht="24" customHeight="1">
      <c r="AF5714" s="908">
        <v>0</v>
      </c>
    </row>
    <row r="5715" spans="32:32" ht="24" customHeight="1">
      <c r="AF5715" s="908">
        <v>0</v>
      </c>
    </row>
    <row r="5716" spans="32:32" ht="24" customHeight="1">
      <c r="AF5716" s="908">
        <v>0</v>
      </c>
    </row>
    <row r="5717" spans="32:32" ht="24" customHeight="1">
      <c r="AF5717" s="908">
        <v>0</v>
      </c>
    </row>
    <row r="5718" spans="32:32" ht="24" customHeight="1">
      <c r="AF5718" s="908">
        <v>0</v>
      </c>
    </row>
    <row r="5719" spans="32:32" ht="24" customHeight="1">
      <c r="AF5719" s="908">
        <v>0</v>
      </c>
    </row>
    <row r="5720" spans="32:32" ht="24" customHeight="1">
      <c r="AF5720" s="908">
        <v>0</v>
      </c>
    </row>
    <row r="5721" spans="32:32" ht="24" customHeight="1">
      <c r="AF5721" s="908">
        <v>0</v>
      </c>
    </row>
    <row r="5722" spans="32:32" ht="24" customHeight="1">
      <c r="AF5722" s="908">
        <v>0</v>
      </c>
    </row>
    <row r="5723" spans="32:32" ht="24" customHeight="1">
      <c r="AF5723" s="908">
        <v>0</v>
      </c>
    </row>
    <row r="5724" spans="32:32" ht="24" customHeight="1">
      <c r="AF5724" s="908">
        <v>0</v>
      </c>
    </row>
    <row r="5725" spans="32:32" ht="24" customHeight="1">
      <c r="AF5725" s="908">
        <v>0</v>
      </c>
    </row>
    <row r="5726" spans="32:32" ht="24" customHeight="1">
      <c r="AF5726" s="908">
        <v>0</v>
      </c>
    </row>
    <row r="5727" spans="32:32" ht="24" customHeight="1">
      <c r="AF5727" s="908">
        <v>0</v>
      </c>
    </row>
    <row r="5728" spans="32:32" ht="24" customHeight="1">
      <c r="AF5728" s="908">
        <v>0</v>
      </c>
    </row>
    <row r="5729" spans="32:32" ht="24" customHeight="1">
      <c r="AF5729" s="908">
        <v>0</v>
      </c>
    </row>
    <row r="5730" spans="32:32" ht="24" customHeight="1">
      <c r="AF5730" s="908">
        <v>0</v>
      </c>
    </row>
    <row r="5731" spans="32:32" ht="24" customHeight="1">
      <c r="AF5731" s="908">
        <v>0</v>
      </c>
    </row>
    <row r="5732" spans="32:32" ht="24" customHeight="1">
      <c r="AF5732" s="908">
        <v>0</v>
      </c>
    </row>
    <row r="5733" spans="32:32" ht="24" customHeight="1">
      <c r="AF5733" s="908">
        <v>0</v>
      </c>
    </row>
    <row r="5734" spans="32:32" ht="24" customHeight="1">
      <c r="AF5734" s="908">
        <v>0</v>
      </c>
    </row>
    <row r="5735" spans="32:32" ht="24" customHeight="1">
      <c r="AF5735" s="908">
        <v>0</v>
      </c>
    </row>
    <row r="5736" spans="32:32" ht="24" customHeight="1">
      <c r="AF5736" s="908">
        <v>0</v>
      </c>
    </row>
    <row r="5737" spans="32:32" ht="24" customHeight="1">
      <c r="AF5737" s="908">
        <v>0</v>
      </c>
    </row>
    <row r="5738" spans="32:32" ht="24" customHeight="1">
      <c r="AF5738" s="908">
        <v>0</v>
      </c>
    </row>
    <row r="5739" spans="32:32" ht="24" customHeight="1">
      <c r="AF5739" s="908">
        <v>0</v>
      </c>
    </row>
    <row r="5740" spans="32:32" ht="24" customHeight="1">
      <c r="AF5740" s="908">
        <v>0</v>
      </c>
    </row>
    <row r="5741" spans="32:32" ht="24" customHeight="1">
      <c r="AF5741" s="908">
        <v>0</v>
      </c>
    </row>
    <row r="5742" spans="32:32" ht="24" customHeight="1">
      <c r="AF5742" s="908">
        <v>0</v>
      </c>
    </row>
    <row r="5743" spans="32:32" ht="24" customHeight="1">
      <c r="AF5743" s="908">
        <v>0</v>
      </c>
    </row>
    <row r="5744" spans="32:32" ht="24" customHeight="1">
      <c r="AF5744" s="908">
        <v>0</v>
      </c>
    </row>
    <row r="5745" spans="32:32" ht="24" customHeight="1">
      <c r="AF5745" s="908">
        <v>0</v>
      </c>
    </row>
    <row r="5746" spans="32:32" ht="24" customHeight="1">
      <c r="AF5746" s="908">
        <v>0</v>
      </c>
    </row>
    <row r="5747" spans="32:32" ht="24" customHeight="1">
      <c r="AF5747" s="908">
        <v>0</v>
      </c>
    </row>
    <row r="5748" spans="32:32" ht="24" customHeight="1">
      <c r="AF5748" s="908">
        <v>0</v>
      </c>
    </row>
    <row r="5749" spans="32:32" ht="24" customHeight="1">
      <c r="AF5749" s="908">
        <v>0</v>
      </c>
    </row>
    <row r="5750" spans="32:32" ht="24" customHeight="1">
      <c r="AF5750" s="908">
        <v>0</v>
      </c>
    </row>
    <row r="5751" spans="32:32" ht="24" customHeight="1">
      <c r="AF5751" s="908">
        <v>0</v>
      </c>
    </row>
    <row r="5752" spans="32:32" ht="24" customHeight="1">
      <c r="AF5752" s="908">
        <v>0</v>
      </c>
    </row>
    <row r="5753" spans="32:32" ht="24" customHeight="1">
      <c r="AF5753" s="908">
        <v>0</v>
      </c>
    </row>
    <row r="5754" spans="32:32" ht="24" customHeight="1">
      <c r="AF5754" s="908">
        <v>0</v>
      </c>
    </row>
    <row r="5755" spans="32:32" ht="24" customHeight="1">
      <c r="AF5755" s="908">
        <v>0</v>
      </c>
    </row>
    <row r="5756" spans="32:32" ht="24" customHeight="1">
      <c r="AF5756" s="908">
        <v>0</v>
      </c>
    </row>
    <row r="5757" spans="32:32" ht="24" customHeight="1">
      <c r="AF5757" s="908">
        <v>0</v>
      </c>
    </row>
    <row r="5758" spans="32:32" ht="24" customHeight="1">
      <c r="AF5758" s="908">
        <v>0</v>
      </c>
    </row>
    <row r="5759" spans="32:32" ht="24" customHeight="1">
      <c r="AF5759" s="908">
        <v>0</v>
      </c>
    </row>
    <row r="5760" spans="32:32" ht="24" customHeight="1">
      <c r="AF5760" s="908">
        <v>0</v>
      </c>
    </row>
    <row r="5761" spans="32:32" ht="24" customHeight="1">
      <c r="AF5761" s="908">
        <v>0</v>
      </c>
    </row>
    <row r="5762" spans="32:32" ht="24" customHeight="1">
      <c r="AF5762" s="908">
        <v>0</v>
      </c>
    </row>
    <row r="5763" spans="32:32" ht="24" customHeight="1">
      <c r="AF5763" s="908">
        <v>0</v>
      </c>
    </row>
    <row r="5764" spans="32:32" ht="24" customHeight="1">
      <c r="AF5764" s="908">
        <v>0</v>
      </c>
    </row>
    <row r="5765" spans="32:32" ht="24" customHeight="1">
      <c r="AF5765" s="908">
        <v>0</v>
      </c>
    </row>
    <row r="5766" spans="32:32" ht="24" customHeight="1">
      <c r="AF5766" s="908">
        <v>0</v>
      </c>
    </row>
    <row r="5767" spans="32:32" ht="24" customHeight="1">
      <c r="AF5767" s="908">
        <v>0</v>
      </c>
    </row>
    <row r="5768" spans="32:32" ht="24" customHeight="1">
      <c r="AF5768" s="908">
        <v>0</v>
      </c>
    </row>
    <row r="5769" spans="32:32" ht="24" customHeight="1">
      <c r="AF5769" s="908">
        <v>0</v>
      </c>
    </row>
    <row r="5770" spans="32:32" ht="24" customHeight="1">
      <c r="AF5770" s="908">
        <v>0</v>
      </c>
    </row>
    <row r="5771" spans="32:32" ht="24" customHeight="1">
      <c r="AF5771" s="908">
        <v>0</v>
      </c>
    </row>
    <row r="5772" spans="32:32" ht="24" customHeight="1">
      <c r="AF5772" s="908">
        <v>0</v>
      </c>
    </row>
    <row r="5773" spans="32:32" ht="24" customHeight="1">
      <c r="AF5773" s="908">
        <v>0</v>
      </c>
    </row>
    <row r="5774" spans="32:32" ht="24" customHeight="1">
      <c r="AF5774" s="908">
        <v>0</v>
      </c>
    </row>
    <row r="5775" spans="32:32" ht="24" customHeight="1">
      <c r="AF5775" s="908">
        <v>0</v>
      </c>
    </row>
    <row r="5776" spans="32:32" ht="24" customHeight="1">
      <c r="AF5776" s="908">
        <v>0</v>
      </c>
    </row>
    <row r="5777" spans="32:32" ht="24" customHeight="1">
      <c r="AF5777" s="908">
        <v>0</v>
      </c>
    </row>
    <row r="5778" spans="32:32" ht="24" customHeight="1">
      <c r="AF5778" s="908">
        <v>0</v>
      </c>
    </row>
    <row r="5779" spans="32:32" ht="24" customHeight="1">
      <c r="AF5779" s="908">
        <v>0</v>
      </c>
    </row>
    <row r="5780" spans="32:32" ht="24" customHeight="1">
      <c r="AF5780" s="908">
        <v>0</v>
      </c>
    </row>
    <row r="5781" spans="32:32" ht="24" customHeight="1">
      <c r="AF5781" s="908">
        <v>0</v>
      </c>
    </row>
    <row r="5782" spans="32:32" ht="24" customHeight="1">
      <c r="AF5782" s="908">
        <v>0</v>
      </c>
    </row>
    <row r="5783" spans="32:32" ht="24" customHeight="1">
      <c r="AF5783" s="908">
        <v>0</v>
      </c>
    </row>
    <row r="5784" spans="32:32" ht="24" customHeight="1">
      <c r="AF5784" s="908">
        <v>0</v>
      </c>
    </row>
    <row r="5785" spans="32:32" ht="24" customHeight="1">
      <c r="AF5785" s="908">
        <v>0</v>
      </c>
    </row>
    <row r="5786" spans="32:32" ht="24" customHeight="1">
      <c r="AF5786" s="908">
        <v>0</v>
      </c>
    </row>
    <row r="5787" spans="32:32" ht="24" customHeight="1">
      <c r="AF5787" s="908">
        <v>0</v>
      </c>
    </row>
    <row r="5788" spans="32:32" ht="24" customHeight="1">
      <c r="AF5788" s="908">
        <v>0</v>
      </c>
    </row>
    <row r="5789" spans="32:32" ht="24" customHeight="1">
      <c r="AF5789" s="908">
        <v>0</v>
      </c>
    </row>
    <row r="5790" spans="32:32" ht="24" customHeight="1">
      <c r="AF5790" s="908">
        <v>0</v>
      </c>
    </row>
    <row r="5791" spans="32:32" ht="24" customHeight="1">
      <c r="AF5791" s="908">
        <v>0</v>
      </c>
    </row>
    <row r="5792" spans="32:32" ht="24" customHeight="1">
      <c r="AF5792" s="908">
        <v>0</v>
      </c>
    </row>
    <row r="5793" spans="32:32" ht="24" customHeight="1">
      <c r="AF5793" s="908">
        <v>0</v>
      </c>
    </row>
    <row r="5794" spans="32:32" ht="24" customHeight="1">
      <c r="AF5794" s="908">
        <v>0</v>
      </c>
    </row>
    <row r="5795" spans="32:32" ht="24" customHeight="1">
      <c r="AF5795" s="908">
        <v>0</v>
      </c>
    </row>
    <row r="5796" spans="32:32" ht="24" customHeight="1">
      <c r="AF5796" s="908">
        <v>0</v>
      </c>
    </row>
    <row r="5797" spans="32:32" ht="24" customHeight="1">
      <c r="AF5797" s="908">
        <v>0</v>
      </c>
    </row>
    <row r="5798" spans="32:32" ht="24" customHeight="1">
      <c r="AF5798" s="908">
        <v>0</v>
      </c>
    </row>
    <row r="5799" spans="32:32" ht="24" customHeight="1">
      <c r="AF5799" s="908">
        <v>0</v>
      </c>
    </row>
    <row r="5800" spans="32:32" ht="24" customHeight="1">
      <c r="AF5800" s="908">
        <v>0</v>
      </c>
    </row>
    <row r="5801" spans="32:32" ht="24" customHeight="1">
      <c r="AF5801" s="908">
        <v>0</v>
      </c>
    </row>
    <row r="5802" spans="32:32" ht="24" customHeight="1">
      <c r="AF5802" s="908">
        <v>0</v>
      </c>
    </row>
    <row r="5803" spans="32:32" ht="24" customHeight="1">
      <c r="AF5803" s="908">
        <v>0</v>
      </c>
    </row>
    <row r="5804" spans="32:32" ht="24" customHeight="1">
      <c r="AF5804" s="908">
        <v>0</v>
      </c>
    </row>
    <row r="5805" spans="32:32" ht="24" customHeight="1">
      <c r="AF5805" s="908">
        <v>0</v>
      </c>
    </row>
    <row r="5806" spans="32:32" ht="24" customHeight="1">
      <c r="AF5806" s="908">
        <v>0</v>
      </c>
    </row>
    <row r="5807" spans="32:32" ht="24" customHeight="1">
      <c r="AF5807" s="908">
        <v>0</v>
      </c>
    </row>
    <row r="5808" spans="32:32" ht="24" customHeight="1">
      <c r="AF5808" s="908">
        <v>0</v>
      </c>
    </row>
    <row r="5809" spans="32:32" ht="24" customHeight="1">
      <c r="AF5809" s="908">
        <v>0</v>
      </c>
    </row>
    <row r="5810" spans="32:32" ht="24" customHeight="1">
      <c r="AF5810" s="908">
        <v>0</v>
      </c>
    </row>
    <row r="5811" spans="32:32" ht="24" customHeight="1">
      <c r="AF5811" s="908">
        <v>0</v>
      </c>
    </row>
    <row r="5812" spans="32:32" ht="24" customHeight="1">
      <c r="AF5812" s="908">
        <v>0</v>
      </c>
    </row>
    <row r="5813" spans="32:32" ht="24" customHeight="1">
      <c r="AF5813" s="908">
        <v>0</v>
      </c>
    </row>
    <row r="5814" spans="32:32" ht="24" customHeight="1">
      <c r="AF5814" s="908">
        <v>0</v>
      </c>
    </row>
    <row r="5815" spans="32:32" ht="24" customHeight="1">
      <c r="AF5815" s="908">
        <v>0</v>
      </c>
    </row>
    <row r="5816" spans="32:32" ht="24" customHeight="1">
      <c r="AF5816" s="908">
        <v>0</v>
      </c>
    </row>
    <row r="5817" spans="32:32" ht="24" customHeight="1">
      <c r="AF5817" s="908">
        <v>0</v>
      </c>
    </row>
    <row r="5818" spans="32:32" ht="24" customHeight="1">
      <c r="AF5818" s="908">
        <v>0</v>
      </c>
    </row>
    <row r="5819" spans="32:32" ht="24" customHeight="1">
      <c r="AF5819" s="908">
        <v>0</v>
      </c>
    </row>
    <row r="5820" spans="32:32" ht="24" customHeight="1">
      <c r="AF5820" s="908">
        <v>0</v>
      </c>
    </row>
    <row r="5821" spans="32:32" ht="24" customHeight="1">
      <c r="AF5821" s="908">
        <v>0</v>
      </c>
    </row>
    <row r="5822" spans="32:32" ht="24" customHeight="1">
      <c r="AF5822" s="908">
        <v>0</v>
      </c>
    </row>
    <row r="5823" spans="32:32" ht="24" customHeight="1">
      <c r="AF5823" s="908">
        <v>0</v>
      </c>
    </row>
    <row r="5824" spans="32:32" ht="24" customHeight="1">
      <c r="AF5824" s="908">
        <v>0</v>
      </c>
    </row>
    <row r="5825" spans="32:32" ht="24" customHeight="1">
      <c r="AF5825" s="908">
        <v>0</v>
      </c>
    </row>
    <row r="5826" spans="32:32" ht="24" customHeight="1">
      <c r="AF5826" s="908">
        <v>0</v>
      </c>
    </row>
    <row r="5827" spans="32:32" ht="24" customHeight="1">
      <c r="AF5827" s="908">
        <v>0</v>
      </c>
    </row>
    <row r="5828" spans="32:32" ht="24" customHeight="1">
      <c r="AF5828" s="908">
        <v>0</v>
      </c>
    </row>
    <row r="5829" spans="32:32" ht="24" customHeight="1">
      <c r="AF5829" s="908">
        <v>0</v>
      </c>
    </row>
    <row r="5830" spans="32:32" ht="24" customHeight="1">
      <c r="AF5830" s="908">
        <v>0</v>
      </c>
    </row>
    <row r="5831" spans="32:32" ht="24" customHeight="1">
      <c r="AF5831" s="908">
        <v>0</v>
      </c>
    </row>
    <row r="5832" spans="32:32" ht="24" customHeight="1">
      <c r="AF5832" s="908">
        <v>0</v>
      </c>
    </row>
    <row r="5833" spans="32:32" ht="24" customHeight="1">
      <c r="AF5833" s="908">
        <v>0</v>
      </c>
    </row>
    <row r="5834" spans="32:32" ht="24" customHeight="1">
      <c r="AF5834" s="908">
        <v>0</v>
      </c>
    </row>
    <row r="5835" spans="32:32" ht="24" customHeight="1">
      <c r="AF5835" s="908">
        <v>0</v>
      </c>
    </row>
    <row r="5836" spans="32:32" ht="24" customHeight="1">
      <c r="AF5836" s="908">
        <v>0</v>
      </c>
    </row>
    <row r="5837" spans="32:32" ht="24" customHeight="1">
      <c r="AF5837" s="908">
        <v>0</v>
      </c>
    </row>
    <row r="5838" spans="32:32" ht="24" customHeight="1">
      <c r="AF5838" s="908">
        <v>0</v>
      </c>
    </row>
    <row r="5839" spans="32:32" ht="24" customHeight="1">
      <c r="AF5839" s="908">
        <v>0</v>
      </c>
    </row>
    <row r="5840" spans="32:32" ht="24" customHeight="1">
      <c r="AF5840" s="908">
        <v>0</v>
      </c>
    </row>
    <row r="5841" spans="32:32" ht="24" customHeight="1">
      <c r="AF5841" s="908">
        <v>0</v>
      </c>
    </row>
    <row r="5842" spans="32:32" ht="24" customHeight="1">
      <c r="AF5842" s="908">
        <v>0</v>
      </c>
    </row>
    <row r="5843" spans="32:32" ht="24" customHeight="1">
      <c r="AF5843" s="908">
        <v>0</v>
      </c>
    </row>
    <row r="5844" spans="32:32" ht="24" customHeight="1">
      <c r="AF5844" s="908">
        <v>0</v>
      </c>
    </row>
    <row r="5845" spans="32:32" ht="24" customHeight="1">
      <c r="AF5845" s="908">
        <v>0</v>
      </c>
    </row>
    <row r="5846" spans="32:32" ht="24" customHeight="1">
      <c r="AF5846" s="908">
        <v>0</v>
      </c>
    </row>
    <row r="5847" spans="32:32" ht="24" customHeight="1">
      <c r="AF5847" s="908">
        <v>0</v>
      </c>
    </row>
    <row r="5848" spans="32:32" ht="24" customHeight="1">
      <c r="AF5848" s="908">
        <v>0</v>
      </c>
    </row>
    <row r="5849" spans="32:32" ht="24" customHeight="1">
      <c r="AF5849" s="908">
        <v>0</v>
      </c>
    </row>
    <row r="5850" spans="32:32" ht="24" customHeight="1">
      <c r="AF5850" s="908">
        <v>0</v>
      </c>
    </row>
    <row r="5851" spans="32:32" ht="24" customHeight="1">
      <c r="AF5851" s="908">
        <v>0</v>
      </c>
    </row>
    <row r="5852" spans="32:32" ht="24" customHeight="1">
      <c r="AF5852" s="908">
        <v>0</v>
      </c>
    </row>
    <row r="5853" spans="32:32" ht="24" customHeight="1">
      <c r="AF5853" s="908">
        <v>0</v>
      </c>
    </row>
    <row r="5854" spans="32:32" ht="24" customHeight="1">
      <c r="AF5854" s="908">
        <v>0</v>
      </c>
    </row>
    <row r="5855" spans="32:32" ht="24" customHeight="1">
      <c r="AF5855" s="908">
        <v>0</v>
      </c>
    </row>
    <row r="5856" spans="32:32" ht="24" customHeight="1">
      <c r="AF5856" s="908">
        <v>0</v>
      </c>
    </row>
    <row r="5857" spans="32:32" ht="24" customHeight="1">
      <c r="AF5857" s="908">
        <v>0</v>
      </c>
    </row>
    <row r="5858" spans="32:32" ht="24" customHeight="1">
      <c r="AF5858" s="908">
        <v>0</v>
      </c>
    </row>
    <row r="5859" spans="32:32" ht="24" customHeight="1">
      <c r="AF5859" s="908">
        <v>0</v>
      </c>
    </row>
    <row r="5860" spans="32:32" ht="24" customHeight="1">
      <c r="AF5860" s="908">
        <v>0</v>
      </c>
    </row>
    <row r="5861" spans="32:32" ht="24" customHeight="1">
      <c r="AF5861" s="908">
        <v>0</v>
      </c>
    </row>
    <row r="5862" spans="32:32" ht="24" customHeight="1">
      <c r="AF5862" s="908">
        <v>0</v>
      </c>
    </row>
    <row r="5863" spans="32:32" ht="24" customHeight="1">
      <c r="AF5863" s="908">
        <v>0</v>
      </c>
    </row>
    <row r="5864" spans="32:32" ht="24" customHeight="1">
      <c r="AF5864" s="908">
        <v>0</v>
      </c>
    </row>
    <row r="5865" spans="32:32" ht="24" customHeight="1">
      <c r="AF5865" s="908">
        <v>0</v>
      </c>
    </row>
    <row r="5866" spans="32:32" ht="24" customHeight="1">
      <c r="AF5866" s="908">
        <v>0</v>
      </c>
    </row>
    <row r="5867" spans="32:32" ht="24" customHeight="1">
      <c r="AF5867" s="908">
        <v>0</v>
      </c>
    </row>
    <row r="5868" spans="32:32" ht="24" customHeight="1">
      <c r="AF5868" s="908">
        <v>0</v>
      </c>
    </row>
    <row r="5869" spans="32:32" ht="24" customHeight="1">
      <c r="AF5869" s="908">
        <v>0</v>
      </c>
    </row>
    <row r="5870" spans="32:32" ht="24" customHeight="1">
      <c r="AF5870" s="908">
        <v>0</v>
      </c>
    </row>
    <row r="5871" spans="32:32" ht="24" customHeight="1">
      <c r="AF5871" s="908">
        <v>0</v>
      </c>
    </row>
    <row r="5872" spans="32:32" ht="24" customHeight="1">
      <c r="AF5872" s="908">
        <v>0</v>
      </c>
    </row>
    <row r="5873" spans="32:32" ht="24" customHeight="1">
      <c r="AF5873" s="908">
        <v>0</v>
      </c>
    </row>
    <row r="5874" spans="32:32" ht="24" customHeight="1">
      <c r="AF5874" s="908">
        <v>0</v>
      </c>
    </row>
    <row r="5875" spans="32:32" ht="24" customHeight="1">
      <c r="AF5875" s="908">
        <v>0</v>
      </c>
    </row>
    <row r="5876" spans="32:32" ht="24" customHeight="1">
      <c r="AF5876" s="908">
        <v>0</v>
      </c>
    </row>
    <row r="5877" spans="32:32" ht="24" customHeight="1">
      <c r="AF5877" s="908">
        <v>0</v>
      </c>
    </row>
    <row r="5878" spans="32:32" ht="24" customHeight="1">
      <c r="AF5878" s="908">
        <v>0</v>
      </c>
    </row>
    <row r="5879" spans="32:32" ht="24" customHeight="1">
      <c r="AF5879" s="908">
        <v>0</v>
      </c>
    </row>
    <row r="5880" spans="32:32" ht="24" customHeight="1">
      <c r="AF5880" s="908">
        <v>0</v>
      </c>
    </row>
    <row r="5881" spans="32:32" ht="24" customHeight="1">
      <c r="AF5881" s="908">
        <v>0</v>
      </c>
    </row>
    <row r="5882" spans="32:32" ht="24" customHeight="1">
      <c r="AF5882" s="908">
        <v>0</v>
      </c>
    </row>
    <row r="5883" spans="32:32" ht="24" customHeight="1">
      <c r="AF5883" s="908">
        <v>0</v>
      </c>
    </row>
    <row r="5884" spans="32:32" ht="24" customHeight="1">
      <c r="AF5884" s="908">
        <v>0</v>
      </c>
    </row>
    <row r="5885" spans="32:32" ht="24" customHeight="1">
      <c r="AF5885" s="908">
        <v>0</v>
      </c>
    </row>
    <row r="5886" spans="32:32" ht="24" customHeight="1">
      <c r="AF5886" s="908">
        <v>0</v>
      </c>
    </row>
    <row r="5887" spans="32:32" ht="24" customHeight="1">
      <c r="AF5887" s="908">
        <v>0</v>
      </c>
    </row>
    <row r="5888" spans="32:32" ht="24" customHeight="1">
      <c r="AF5888" s="908">
        <v>0</v>
      </c>
    </row>
    <row r="5889" spans="32:32" ht="24" customHeight="1">
      <c r="AF5889" s="908">
        <v>0</v>
      </c>
    </row>
    <row r="5890" spans="32:32" ht="24" customHeight="1">
      <c r="AF5890" s="908">
        <v>0</v>
      </c>
    </row>
    <row r="5891" spans="32:32" ht="24" customHeight="1">
      <c r="AF5891" s="908">
        <v>0</v>
      </c>
    </row>
    <row r="5892" spans="32:32" ht="24" customHeight="1">
      <c r="AF5892" s="908">
        <v>0</v>
      </c>
    </row>
    <row r="5893" spans="32:32" ht="24" customHeight="1">
      <c r="AF5893" s="908">
        <v>0</v>
      </c>
    </row>
    <row r="5894" spans="32:32" ht="24" customHeight="1">
      <c r="AF5894" s="908">
        <v>0</v>
      </c>
    </row>
    <row r="5895" spans="32:32" ht="24" customHeight="1">
      <c r="AF5895" s="908">
        <v>0</v>
      </c>
    </row>
    <row r="5896" spans="32:32" ht="24" customHeight="1">
      <c r="AF5896" s="908">
        <v>0</v>
      </c>
    </row>
    <row r="5897" spans="32:32" ht="24" customHeight="1">
      <c r="AF5897" s="908">
        <v>0</v>
      </c>
    </row>
    <row r="5898" spans="32:32" ht="24" customHeight="1">
      <c r="AF5898" s="908">
        <v>0</v>
      </c>
    </row>
    <row r="5899" spans="32:32" ht="24" customHeight="1">
      <c r="AF5899" s="908">
        <v>0</v>
      </c>
    </row>
    <row r="5900" spans="32:32" ht="24" customHeight="1">
      <c r="AF5900" s="908">
        <v>0</v>
      </c>
    </row>
    <row r="5901" spans="32:32" ht="24" customHeight="1">
      <c r="AF5901" s="908">
        <v>0</v>
      </c>
    </row>
    <row r="5902" spans="32:32" ht="24" customHeight="1">
      <c r="AF5902" s="908">
        <v>0</v>
      </c>
    </row>
    <row r="5903" spans="32:32" ht="24" customHeight="1">
      <c r="AF5903" s="908">
        <v>0</v>
      </c>
    </row>
    <row r="5904" spans="32:32" ht="24" customHeight="1">
      <c r="AF5904" s="908">
        <v>0</v>
      </c>
    </row>
    <row r="5905" spans="32:32" ht="24" customHeight="1">
      <c r="AF5905" s="908">
        <v>0</v>
      </c>
    </row>
    <row r="5906" spans="32:32" ht="24" customHeight="1">
      <c r="AF5906" s="908">
        <v>0</v>
      </c>
    </row>
    <row r="5907" spans="32:32" ht="24" customHeight="1">
      <c r="AF5907" s="908">
        <v>0</v>
      </c>
    </row>
    <row r="5908" spans="32:32" ht="24" customHeight="1">
      <c r="AF5908" s="908">
        <v>0</v>
      </c>
    </row>
    <row r="5909" spans="32:32" ht="24" customHeight="1">
      <c r="AF5909" s="908">
        <v>0</v>
      </c>
    </row>
    <row r="5910" spans="32:32" ht="24" customHeight="1">
      <c r="AF5910" s="908">
        <v>0</v>
      </c>
    </row>
    <row r="5911" spans="32:32" ht="24" customHeight="1">
      <c r="AF5911" s="908">
        <v>0</v>
      </c>
    </row>
    <row r="5912" spans="32:32" ht="24" customHeight="1">
      <c r="AF5912" s="908">
        <v>0</v>
      </c>
    </row>
    <row r="5913" spans="32:32" ht="24" customHeight="1">
      <c r="AF5913" s="908">
        <v>0</v>
      </c>
    </row>
    <row r="5914" spans="32:32" ht="24" customHeight="1">
      <c r="AF5914" s="908">
        <v>0</v>
      </c>
    </row>
    <row r="5915" spans="32:32" ht="24" customHeight="1">
      <c r="AF5915" s="908">
        <v>0</v>
      </c>
    </row>
    <row r="5916" spans="32:32" ht="24" customHeight="1">
      <c r="AF5916" s="908">
        <v>0</v>
      </c>
    </row>
    <row r="5917" spans="32:32" ht="24" customHeight="1">
      <c r="AF5917" s="908">
        <v>0</v>
      </c>
    </row>
    <row r="5918" spans="32:32" ht="24" customHeight="1">
      <c r="AF5918" s="908">
        <v>0</v>
      </c>
    </row>
    <row r="5919" spans="32:32" ht="24" customHeight="1">
      <c r="AF5919" s="908">
        <v>0</v>
      </c>
    </row>
    <row r="5920" spans="32:32" ht="24" customHeight="1">
      <c r="AF5920" s="908">
        <v>0</v>
      </c>
    </row>
    <row r="5921" spans="32:32" ht="24" customHeight="1">
      <c r="AF5921" s="908">
        <v>0</v>
      </c>
    </row>
    <row r="5922" spans="32:32" ht="24" customHeight="1">
      <c r="AF5922" s="908">
        <v>0</v>
      </c>
    </row>
    <row r="5923" spans="32:32" ht="24" customHeight="1">
      <c r="AF5923" s="908">
        <v>0</v>
      </c>
    </row>
    <row r="5924" spans="32:32" ht="24" customHeight="1">
      <c r="AF5924" s="908">
        <v>0</v>
      </c>
    </row>
    <row r="5925" spans="32:32" ht="24" customHeight="1">
      <c r="AF5925" s="908">
        <v>0</v>
      </c>
    </row>
    <row r="5926" spans="32:32" ht="24" customHeight="1">
      <c r="AF5926" s="908">
        <v>0</v>
      </c>
    </row>
    <row r="5927" spans="32:32" ht="24" customHeight="1">
      <c r="AF5927" s="908">
        <v>0</v>
      </c>
    </row>
    <row r="5928" spans="32:32" ht="24" customHeight="1">
      <c r="AF5928" s="908">
        <v>0</v>
      </c>
    </row>
    <row r="5929" spans="32:32" ht="24" customHeight="1">
      <c r="AF5929" s="908">
        <v>0</v>
      </c>
    </row>
    <row r="5930" spans="32:32" ht="24" customHeight="1">
      <c r="AF5930" s="908">
        <v>0</v>
      </c>
    </row>
    <row r="5931" spans="32:32" ht="24" customHeight="1">
      <c r="AF5931" s="908">
        <v>0</v>
      </c>
    </row>
    <row r="5932" spans="32:32" ht="24" customHeight="1">
      <c r="AF5932" s="908">
        <v>0</v>
      </c>
    </row>
    <row r="5933" spans="32:32" ht="24" customHeight="1">
      <c r="AF5933" s="908">
        <v>0</v>
      </c>
    </row>
    <row r="5934" spans="32:32" ht="24" customHeight="1">
      <c r="AF5934" s="908">
        <v>0</v>
      </c>
    </row>
    <row r="5935" spans="32:32" ht="24" customHeight="1">
      <c r="AF5935" s="908">
        <v>0</v>
      </c>
    </row>
    <row r="5936" spans="32:32" ht="24" customHeight="1">
      <c r="AF5936" s="908">
        <v>0</v>
      </c>
    </row>
    <row r="5937" spans="32:32" ht="24" customHeight="1">
      <c r="AF5937" s="908">
        <v>0</v>
      </c>
    </row>
    <row r="5938" spans="32:32" ht="24" customHeight="1">
      <c r="AF5938" s="908">
        <v>0</v>
      </c>
    </row>
    <row r="5939" spans="32:32" ht="24" customHeight="1">
      <c r="AF5939" s="908">
        <v>0</v>
      </c>
    </row>
    <row r="5940" spans="32:32" ht="24" customHeight="1">
      <c r="AF5940" s="908">
        <v>0</v>
      </c>
    </row>
    <row r="5941" spans="32:32" ht="24" customHeight="1">
      <c r="AF5941" s="908">
        <v>0</v>
      </c>
    </row>
    <row r="5942" spans="32:32" ht="24" customHeight="1">
      <c r="AF5942" s="908">
        <v>0</v>
      </c>
    </row>
    <row r="5943" spans="32:32" ht="24" customHeight="1">
      <c r="AF5943" s="908">
        <v>0</v>
      </c>
    </row>
    <row r="5944" spans="32:32" ht="24" customHeight="1">
      <c r="AF5944" s="908">
        <v>0</v>
      </c>
    </row>
    <row r="5945" spans="32:32" ht="24" customHeight="1">
      <c r="AF5945" s="908">
        <v>0</v>
      </c>
    </row>
    <row r="5946" spans="32:32" ht="24" customHeight="1">
      <c r="AF5946" s="908">
        <v>0</v>
      </c>
    </row>
    <row r="5947" spans="32:32" ht="24" customHeight="1">
      <c r="AF5947" s="908">
        <v>0</v>
      </c>
    </row>
    <row r="5948" spans="32:32" ht="24" customHeight="1">
      <c r="AF5948" s="908">
        <v>0</v>
      </c>
    </row>
    <row r="5949" spans="32:32" ht="24" customHeight="1">
      <c r="AF5949" s="908">
        <v>0</v>
      </c>
    </row>
    <row r="5950" spans="32:32" ht="24" customHeight="1">
      <c r="AF5950" s="908">
        <v>0</v>
      </c>
    </row>
    <row r="5951" spans="32:32" ht="24" customHeight="1">
      <c r="AF5951" s="908">
        <v>0</v>
      </c>
    </row>
    <row r="5952" spans="32:32" ht="24" customHeight="1">
      <c r="AF5952" s="908">
        <v>0</v>
      </c>
    </row>
    <row r="5953" spans="32:32" ht="24" customHeight="1">
      <c r="AF5953" s="908">
        <v>0</v>
      </c>
    </row>
    <row r="5954" spans="32:32" ht="24" customHeight="1">
      <c r="AF5954" s="908">
        <v>0</v>
      </c>
    </row>
    <row r="5955" spans="32:32" ht="24" customHeight="1">
      <c r="AF5955" s="908">
        <v>0</v>
      </c>
    </row>
    <row r="5956" spans="32:32" ht="24" customHeight="1">
      <c r="AF5956" s="908">
        <v>0</v>
      </c>
    </row>
    <row r="5957" spans="32:32" ht="24" customHeight="1">
      <c r="AF5957" s="908">
        <v>0</v>
      </c>
    </row>
    <row r="5958" spans="32:32" ht="24" customHeight="1">
      <c r="AF5958" s="908">
        <v>0</v>
      </c>
    </row>
    <row r="5959" spans="32:32" ht="24" customHeight="1">
      <c r="AF5959" s="908">
        <v>0</v>
      </c>
    </row>
    <row r="5960" spans="32:32" ht="24" customHeight="1">
      <c r="AF5960" s="908">
        <v>0</v>
      </c>
    </row>
    <row r="5961" spans="32:32" ht="24" customHeight="1">
      <c r="AF5961" s="908">
        <v>0</v>
      </c>
    </row>
    <row r="5962" spans="32:32" ht="24" customHeight="1">
      <c r="AF5962" s="908">
        <v>0</v>
      </c>
    </row>
    <row r="5963" spans="32:32" ht="24" customHeight="1">
      <c r="AF5963" s="908">
        <v>0</v>
      </c>
    </row>
    <row r="5964" spans="32:32" ht="24" customHeight="1">
      <c r="AF5964" s="908">
        <v>0</v>
      </c>
    </row>
    <row r="5965" spans="32:32" ht="24" customHeight="1">
      <c r="AF5965" s="908">
        <v>0</v>
      </c>
    </row>
    <row r="5966" spans="32:32" ht="24" customHeight="1">
      <c r="AF5966" s="908">
        <v>0</v>
      </c>
    </row>
    <row r="5967" spans="32:32" ht="24" customHeight="1">
      <c r="AF5967" s="908">
        <v>0</v>
      </c>
    </row>
    <row r="5968" spans="32:32" ht="24" customHeight="1">
      <c r="AF5968" s="908">
        <v>0</v>
      </c>
    </row>
    <row r="5969" spans="32:32" ht="24" customHeight="1">
      <c r="AF5969" s="908">
        <v>0</v>
      </c>
    </row>
    <row r="5970" spans="32:32" ht="24" customHeight="1">
      <c r="AF5970" s="908">
        <v>0</v>
      </c>
    </row>
    <row r="5971" spans="32:32" ht="24" customHeight="1">
      <c r="AF5971" s="908">
        <v>0</v>
      </c>
    </row>
    <row r="5972" spans="32:32" ht="24" customHeight="1">
      <c r="AF5972" s="908">
        <v>0</v>
      </c>
    </row>
    <row r="5973" spans="32:32" ht="24" customHeight="1">
      <c r="AF5973" s="908">
        <v>0</v>
      </c>
    </row>
    <row r="5974" spans="32:32" ht="24" customHeight="1">
      <c r="AF5974" s="908">
        <v>0</v>
      </c>
    </row>
    <row r="5975" spans="32:32" ht="24" customHeight="1">
      <c r="AF5975" s="908">
        <v>0</v>
      </c>
    </row>
    <row r="5976" spans="32:32" ht="24" customHeight="1">
      <c r="AF5976" s="908">
        <v>0</v>
      </c>
    </row>
    <row r="5977" spans="32:32" ht="24" customHeight="1">
      <c r="AF5977" s="908">
        <v>0</v>
      </c>
    </row>
    <row r="5978" spans="32:32" ht="24" customHeight="1">
      <c r="AF5978" s="908">
        <v>0</v>
      </c>
    </row>
    <row r="5979" spans="32:32" ht="24" customHeight="1">
      <c r="AF5979" s="908">
        <v>0</v>
      </c>
    </row>
    <row r="5980" spans="32:32" ht="24" customHeight="1">
      <c r="AF5980" s="908">
        <v>0</v>
      </c>
    </row>
    <row r="5981" spans="32:32" ht="24" customHeight="1">
      <c r="AF5981" s="908">
        <v>0</v>
      </c>
    </row>
    <row r="5982" spans="32:32" ht="24" customHeight="1">
      <c r="AF5982" s="908">
        <v>0</v>
      </c>
    </row>
    <row r="5983" spans="32:32" ht="24" customHeight="1">
      <c r="AF5983" s="908">
        <v>0</v>
      </c>
    </row>
    <row r="5984" spans="32:32" ht="24" customHeight="1">
      <c r="AF5984" s="908">
        <v>0</v>
      </c>
    </row>
    <row r="5985" spans="32:32" ht="24" customHeight="1">
      <c r="AF5985" s="908">
        <v>0</v>
      </c>
    </row>
    <row r="5986" spans="32:32" ht="24" customHeight="1">
      <c r="AF5986" s="908">
        <v>0</v>
      </c>
    </row>
    <row r="5987" spans="32:32" ht="24" customHeight="1">
      <c r="AF5987" s="908">
        <v>0</v>
      </c>
    </row>
    <row r="5988" spans="32:32" ht="24" customHeight="1">
      <c r="AF5988" s="908">
        <v>0</v>
      </c>
    </row>
    <row r="5989" spans="32:32" ht="24" customHeight="1">
      <c r="AF5989" s="908">
        <v>0</v>
      </c>
    </row>
    <row r="5990" spans="32:32" ht="24" customHeight="1">
      <c r="AF5990" s="908">
        <v>0</v>
      </c>
    </row>
    <row r="5991" spans="32:32" ht="24" customHeight="1">
      <c r="AF5991" s="908">
        <v>0</v>
      </c>
    </row>
    <row r="5992" spans="32:32" ht="24" customHeight="1">
      <c r="AF5992" s="908">
        <v>0</v>
      </c>
    </row>
    <row r="5993" spans="32:32" ht="24" customHeight="1">
      <c r="AF5993" s="908">
        <v>0</v>
      </c>
    </row>
    <row r="5994" spans="32:32" ht="24" customHeight="1">
      <c r="AF5994" s="908">
        <v>0</v>
      </c>
    </row>
    <row r="5995" spans="32:32" ht="24" customHeight="1">
      <c r="AF5995" s="908">
        <v>0</v>
      </c>
    </row>
    <row r="5996" spans="32:32" ht="24" customHeight="1">
      <c r="AF5996" s="908">
        <v>0</v>
      </c>
    </row>
    <row r="5997" spans="32:32" ht="24" customHeight="1">
      <c r="AF5997" s="908">
        <v>0</v>
      </c>
    </row>
    <row r="5998" spans="32:32" ht="24" customHeight="1">
      <c r="AF5998" s="908">
        <v>0</v>
      </c>
    </row>
    <row r="5999" spans="32:32" ht="24" customHeight="1">
      <c r="AF5999" s="908">
        <v>0</v>
      </c>
    </row>
    <row r="6000" spans="32:32" ht="24" customHeight="1">
      <c r="AF6000" s="908">
        <v>0</v>
      </c>
    </row>
    <row r="6001" spans="32:32" ht="24" customHeight="1">
      <c r="AF6001" s="908">
        <v>0</v>
      </c>
    </row>
    <row r="6002" spans="32:32" ht="24" customHeight="1">
      <c r="AF6002" s="908">
        <v>0</v>
      </c>
    </row>
    <row r="6003" spans="32:32" ht="24" customHeight="1">
      <c r="AF6003" s="908">
        <v>0</v>
      </c>
    </row>
    <row r="6004" spans="32:32" ht="24" customHeight="1">
      <c r="AF6004" s="908">
        <v>0</v>
      </c>
    </row>
    <row r="6005" spans="32:32" ht="24" customHeight="1">
      <c r="AF6005" s="908">
        <v>0</v>
      </c>
    </row>
    <row r="6006" spans="32:32" ht="24" customHeight="1">
      <c r="AF6006" s="908">
        <v>0</v>
      </c>
    </row>
    <row r="6007" spans="32:32" ht="24" customHeight="1">
      <c r="AF6007" s="908">
        <v>0</v>
      </c>
    </row>
    <row r="6008" spans="32:32" ht="24" customHeight="1">
      <c r="AF6008" s="908">
        <v>0</v>
      </c>
    </row>
    <row r="6009" spans="32:32" ht="24" customHeight="1">
      <c r="AF6009" s="908">
        <v>0</v>
      </c>
    </row>
    <row r="6010" spans="32:32" ht="24" customHeight="1">
      <c r="AF6010" s="908">
        <v>0</v>
      </c>
    </row>
    <row r="6011" spans="32:32" ht="24" customHeight="1">
      <c r="AF6011" s="908">
        <v>0</v>
      </c>
    </row>
    <row r="6012" spans="32:32" ht="24" customHeight="1">
      <c r="AF6012" s="908">
        <v>0</v>
      </c>
    </row>
    <row r="6013" spans="32:32" ht="24" customHeight="1">
      <c r="AF6013" s="908">
        <v>0</v>
      </c>
    </row>
    <row r="6014" spans="32:32" ht="24" customHeight="1">
      <c r="AF6014" s="908">
        <v>0</v>
      </c>
    </row>
    <row r="6015" spans="32:32" ht="24" customHeight="1">
      <c r="AF6015" s="908">
        <v>0</v>
      </c>
    </row>
    <row r="6016" spans="32:32" ht="24" customHeight="1">
      <c r="AF6016" s="908">
        <v>0</v>
      </c>
    </row>
    <row r="6017" spans="32:32" ht="24" customHeight="1">
      <c r="AF6017" s="908">
        <v>0</v>
      </c>
    </row>
    <row r="6018" spans="32:32" ht="24" customHeight="1">
      <c r="AF6018" s="908">
        <v>0</v>
      </c>
    </row>
    <row r="6019" spans="32:32" ht="24" customHeight="1">
      <c r="AF6019" s="908">
        <v>0</v>
      </c>
    </row>
    <row r="6020" spans="32:32" ht="24" customHeight="1">
      <c r="AF6020" s="908">
        <v>0</v>
      </c>
    </row>
    <row r="6021" spans="32:32" ht="24" customHeight="1">
      <c r="AF6021" s="908">
        <v>0</v>
      </c>
    </row>
    <row r="6022" spans="32:32" ht="24" customHeight="1">
      <c r="AF6022" s="908">
        <v>0</v>
      </c>
    </row>
    <row r="6023" spans="32:32" ht="24" customHeight="1">
      <c r="AF6023" s="908">
        <v>0</v>
      </c>
    </row>
    <row r="6024" spans="32:32" ht="24" customHeight="1">
      <c r="AF6024" s="908">
        <v>0</v>
      </c>
    </row>
    <row r="6025" spans="32:32" ht="24" customHeight="1">
      <c r="AF6025" s="908">
        <v>0</v>
      </c>
    </row>
    <row r="6026" spans="32:32" ht="24" customHeight="1">
      <c r="AF6026" s="908">
        <v>0</v>
      </c>
    </row>
    <row r="6027" spans="32:32" ht="24" customHeight="1">
      <c r="AF6027" s="908">
        <v>0</v>
      </c>
    </row>
    <row r="6028" spans="32:32" ht="24" customHeight="1">
      <c r="AF6028" s="908">
        <v>0</v>
      </c>
    </row>
    <row r="6029" spans="32:32" ht="24" customHeight="1">
      <c r="AF6029" s="908">
        <v>0</v>
      </c>
    </row>
    <row r="6030" spans="32:32" ht="24" customHeight="1">
      <c r="AF6030" s="908">
        <v>0</v>
      </c>
    </row>
    <row r="6031" spans="32:32" ht="24" customHeight="1">
      <c r="AF6031" s="908">
        <v>0</v>
      </c>
    </row>
    <row r="6032" spans="32:32" ht="24" customHeight="1">
      <c r="AF6032" s="908">
        <v>0</v>
      </c>
    </row>
    <row r="6033" spans="32:32" ht="24" customHeight="1">
      <c r="AF6033" s="908">
        <v>0</v>
      </c>
    </row>
    <row r="6034" spans="32:32" ht="24" customHeight="1">
      <c r="AF6034" s="908">
        <v>0</v>
      </c>
    </row>
    <row r="6035" spans="32:32" ht="24" customHeight="1">
      <c r="AF6035" s="908">
        <v>0</v>
      </c>
    </row>
    <row r="6036" spans="32:32" ht="24" customHeight="1">
      <c r="AF6036" s="908">
        <v>0</v>
      </c>
    </row>
    <row r="6037" spans="32:32" ht="24" customHeight="1">
      <c r="AF6037" s="908">
        <v>0</v>
      </c>
    </row>
    <row r="6038" spans="32:32" ht="24" customHeight="1">
      <c r="AF6038" s="908">
        <v>0</v>
      </c>
    </row>
    <row r="6039" spans="32:32" ht="24" customHeight="1">
      <c r="AF6039" s="908">
        <v>0</v>
      </c>
    </row>
    <row r="6040" spans="32:32" ht="24" customHeight="1">
      <c r="AF6040" s="908">
        <v>0</v>
      </c>
    </row>
    <row r="6041" spans="32:32" ht="24" customHeight="1">
      <c r="AF6041" s="908">
        <v>0</v>
      </c>
    </row>
    <row r="6042" spans="32:32" ht="24" customHeight="1">
      <c r="AF6042" s="908">
        <v>0</v>
      </c>
    </row>
    <row r="6043" spans="32:32" ht="24" customHeight="1">
      <c r="AF6043" s="908">
        <v>0</v>
      </c>
    </row>
    <row r="6044" spans="32:32" ht="24" customHeight="1">
      <c r="AF6044" s="908">
        <v>0</v>
      </c>
    </row>
    <row r="6045" spans="32:32" ht="24" customHeight="1">
      <c r="AF6045" s="908">
        <v>0</v>
      </c>
    </row>
    <row r="6046" spans="32:32" ht="24" customHeight="1">
      <c r="AF6046" s="908">
        <v>0</v>
      </c>
    </row>
    <row r="6047" spans="32:32" ht="24" customHeight="1">
      <c r="AF6047" s="908">
        <v>0</v>
      </c>
    </row>
    <row r="6048" spans="32:32" ht="24" customHeight="1">
      <c r="AF6048" s="908">
        <v>0</v>
      </c>
    </row>
    <row r="6049" spans="32:32" ht="24" customHeight="1">
      <c r="AF6049" s="908">
        <v>0</v>
      </c>
    </row>
    <row r="6050" spans="32:32" ht="24" customHeight="1">
      <c r="AF6050" s="908">
        <v>0</v>
      </c>
    </row>
    <row r="6051" spans="32:32" ht="24" customHeight="1">
      <c r="AF6051" s="908">
        <v>0</v>
      </c>
    </row>
    <row r="6052" spans="32:32" ht="24" customHeight="1">
      <c r="AF6052" s="908">
        <v>0</v>
      </c>
    </row>
    <row r="6053" spans="32:32" ht="24" customHeight="1">
      <c r="AF6053" s="908">
        <v>0</v>
      </c>
    </row>
    <row r="6054" spans="32:32" ht="24" customHeight="1">
      <c r="AF6054" s="908">
        <v>0</v>
      </c>
    </row>
    <row r="6055" spans="32:32" ht="24" customHeight="1">
      <c r="AF6055" s="908">
        <v>0</v>
      </c>
    </row>
    <row r="6056" spans="32:32" ht="24" customHeight="1">
      <c r="AF6056" s="908">
        <v>0</v>
      </c>
    </row>
    <row r="6057" spans="32:32" ht="24" customHeight="1">
      <c r="AF6057" s="908">
        <v>0</v>
      </c>
    </row>
    <row r="6058" spans="32:32" ht="24" customHeight="1">
      <c r="AF6058" s="908">
        <v>0</v>
      </c>
    </row>
    <row r="6059" spans="32:32" ht="24" customHeight="1">
      <c r="AF6059" s="908">
        <v>0</v>
      </c>
    </row>
    <row r="6060" spans="32:32" ht="24" customHeight="1">
      <c r="AF6060" s="908">
        <v>0</v>
      </c>
    </row>
    <row r="6061" spans="32:32" ht="24" customHeight="1">
      <c r="AF6061" s="908">
        <v>0</v>
      </c>
    </row>
    <row r="6062" spans="32:32" ht="24" customHeight="1">
      <c r="AF6062" s="908">
        <v>0</v>
      </c>
    </row>
    <row r="6063" spans="32:32" ht="24" customHeight="1">
      <c r="AF6063" s="908">
        <v>0</v>
      </c>
    </row>
    <row r="6064" spans="32:32" ht="24" customHeight="1">
      <c r="AF6064" s="908">
        <v>0</v>
      </c>
    </row>
    <row r="6065" spans="32:32" ht="24" customHeight="1">
      <c r="AF6065" s="908">
        <v>0</v>
      </c>
    </row>
    <row r="6066" spans="32:32" ht="24" customHeight="1">
      <c r="AF6066" s="908">
        <v>0</v>
      </c>
    </row>
    <row r="6067" spans="32:32" ht="24" customHeight="1">
      <c r="AF6067" s="908">
        <v>0</v>
      </c>
    </row>
    <row r="6068" spans="32:32" ht="24" customHeight="1">
      <c r="AF6068" s="908">
        <v>0</v>
      </c>
    </row>
    <row r="6069" spans="32:32" ht="24" customHeight="1">
      <c r="AF6069" s="908">
        <v>0</v>
      </c>
    </row>
    <row r="6070" spans="32:32" ht="24" customHeight="1">
      <c r="AF6070" s="908">
        <v>0</v>
      </c>
    </row>
    <row r="6071" spans="32:32" ht="24" customHeight="1">
      <c r="AF6071" s="908">
        <v>0</v>
      </c>
    </row>
    <row r="6072" spans="32:32" ht="24" customHeight="1">
      <c r="AF6072" s="908">
        <v>0</v>
      </c>
    </row>
    <row r="6073" spans="32:32" ht="24" customHeight="1">
      <c r="AF6073" s="908">
        <v>0</v>
      </c>
    </row>
    <row r="6074" spans="32:32" ht="24" customHeight="1">
      <c r="AF6074" s="908">
        <v>0</v>
      </c>
    </row>
    <row r="6075" spans="32:32" ht="24" customHeight="1">
      <c r="AF6075" s="908">
        <v>0</v>
      </c>
    </row>
    <row r="6076" spans="32:32" ht="24" customHeight="1">
      <c r="AF6076" s="908">
        <v>0</v>
      </c>
    </row>
    <row r="6077" spans="32:32" ht="24" customHeight="1">
      <c r="AF6077" s="908">
        <v>0</v>
      </c>
    </row>
    <row r="6078" spans="32:32" ht="24" customHeight="1">
      <c r="AF6078" s="908">
        <v>0</v>
      </c>
    </row>
    <row r="6079" spans="32:32" ht="24" customHeight="1">
      <c r="AF6079" s="908">
        <v>0</v>
      </c>
    </row>
    <row r="6080" spans="32:32" ht="24" customHeight="1">
      <c r="AF6080" s="908">
        <v>0</v>
      </c>
    </row>
    <row r="6081" spans="32:32" ht="24" customHeight="1">
      <c r="AF6081" s="908">
        <v>0</v>
      </c>
    </row>
    <row r="6082" spans="32:32" ht="24" customHeight="1">
      <c r="AF6082" s="908">
        <v>0</v>
      </c>
    </row>
    <row r="6083" spans="32:32" ht="24" customHeight="1">
      <c r="AF6083" s="908">
        <v>0</v>
      </c>
    </row>
    <row r="6084" spans="32:32" ht="24" customHeight="1">
      <c r="AF6084" s="908">
        <v>0</v>
      </c>
    </row>
    <row r="6085" spans="32:32" ht="24" customHeight="1">
      <c r="AF6085" s="908">
        <v>0</v>
      </c>
    </row>
    <row r="6086" spans="32:32" ht="24" customHeight="1">
      <c r="AF6086" s="908">
        <v>0</v>
      </c>
    </row>
    <row r="6087" spans="32:32" ht="24" customHeight="1">
      <c r="AF6087" s="908">
        <v>0</v>
      </c>
    </row>
    <row r="6088" spans="32:32" ht="24" customHeight="1">
      <c r="AF6088" s="908">
        <v>0</v>
      </c>
    </row>
    <row r="6089" spans="32:32" ht="24" customHeight="1">
      <c r="AF6089" s="908">
        <v>0</v>
      </c>
    </row>
    <row r="6090" spans="32:32" ht="24" customHeight="1">
      <c r="AF6090" s="908">
        <v>0</v>
      </c>
    </row>
    <row r="6091" spans="32:32" ht="24" customHeight="1">
      <c r="AF6091" s="908">
        <v>0</v>
      </c>
    </row>
    <row r="6092" spans="32:32" ht="24" customHeight="1">
      <c r="AF6092" s="908">
        <v>0</v>
      </c>
    </row>
    <row r="6093" spans="32:32" ht="24" customHeight="1">
      <c r="AF6093" s="908">
        <v>0</v>
      </c>
    </row>
    <row r="6094" spans="32:32" ht="24" customHeight="1">
      <c r="AF6094" s="908">
        <v>0</v>
      </c>
    </row>
    <row r="6095" spans="32:32" ht="24" customHeight="1">
      <c r="AF6095" s="908">
        <v>0</v>
      </c>
    </row>
    <row r="6096" spans="32:32" ht="24" customHeight="1">
      <c r="AF6096" s="908">
        <v>0</v>
      </c>
    </row>
    <row r="6097" spans="32:32" ht="24" customHeight="1">
      <c r="AF6097" s="908">
        <v>0</v>
      </c>
    </row>
    <row r="6098" spans="32:32" ht="24" customHeight="1">
      <c r="AF6098" s="908">
        <v>0</v>
      </c>
    </row>
    <row r="6099" spans="32:32" ht="24" customHeight="1">
      <c r="AF6099" s="908">
        <v>0</v>
      </c>
    </row>
    <row r="6100" spans="32:32" ht="24" customHeight="1">
      <c r="AF6100" s="908">
        <v>0</v>
      </c>
    </row>
    <row r="6101" spans="32:32" ht="24" customHeight="1">
      <c r="AF6101" s="908">
        <v>0</v>
      </c>
    </row>
    <row r="6102" spans="32:32" ht="24" customHeight="1">
      <c r="AF6102" s="908">
        <v>0</v>
      </c>
    </row>
    <row r="6103" spans="32:32" ht="24" customHeight="1">
      <c r="AF6103" s="908">
        <v>0</v>
      </c>
    </row>
    <row r="6104" spans="32:32" ht="24" customHeight="1">
      <c r="AF6104" s="908">
        <v>0</v>
      </c>
    </row>
    <row r="6105" spans="32:32" ht="24" customHeight="1">
      <c r="AF6105" s="908">
        <v>0</v>
      </c>
    </row>
    <row r="6106" spans="32:32" ht="24" customHeight="1">
      <c r="AF6106" s="908">
        <v>0</v>
      </c>
    </row>
    <row r="6107" spans="32:32" ht="24" customHeight="1">
      <c r="AF6107" s="908">
        <v>0</v>
      </c>
    </row>
    <row r="6108" spans="32:32" ht="24" customHeight="1">
      <c r="AF6108" s="908">
        <v>0</v>
      </c>
    </row>
    <row r="6109" spans="32:32" ht="24" customHeight="1">
      <c r="AF6109" s="908">
        <v>0</v>
      </c>
    </row>
    <row r="6110" spans="32:32" ht="24" customHeight="1">
      <c r="AF6110" s="908">
        <v>0</v>
      </c>
    </row>
    <row r="6111" spans="32:32" ht="24" customHeight="1">
      <c r="AF6111" s="908">
        <v>0</v>
      </c>
    </row>
    <row r="6112" spans="32:32" ht="24" customHeight="1">
      <c r="AF6112" s="908">
        <v>0</v>
      </c>
    </row>
    <row r="6113" spans="32:32" ht="24" customHeight="1">
      <c r="AF6113" s="908">
        <v>0</v>
      </c>
    </row>
    <row r="6114" spans="32:32" ht="24" customHeight="1">
      <c r="AF6114" s="908">
        <v>0</v>
      </c>
    </row>
    <row r="6115" spans="32:32" ht="24" customHeight="1">
      <c r="AF6115" s="908">
        <v>0</v>
      </c>
    </row>
    <row r="6116" spans="32:32" ht="24" customHeight="1">
      <c r="AF6116" s="908">
        <v>0</v>
      </c>
    </row>
    <row r="6117" spans="32:32" ht="24" customHeight="1">
      <c r="AF6117" s="908">
        <v>0</v>
      </c>
    </row>
    <row r="6118" spans="32:32" ht="24" customHeight="1">
      <c r="AF6118" s="908">
        <v>0</v>
      </c>
    </row>
    <row r="6119" spans="32:32" ht="24" customHeight="1">
      <c r="AF6119" s="908">
        <v>0</v>
      </c>
    </row>
    <row r="6120" spans="32:32" ht="24" customHeight="1">
      <c r="AF6120" s="908">
        <v>0</v>
      </c>
    </row>
    <row r="6121" spans="32:32" ht="24" customHeight="1">
      <c r="AF6121" s="908">
        <v>0</v>
      </c>
    </row>
    <row r="6122" spans="32:32" ht="24" customHeight="1">
      <c r="AF6122" s="908">
        <v>0</v>
      </c>
    </row>
    <row r="6123" spans="32:32" ht="24" customHeight="1">
      <c r="AF6123" s="908">
        <v>0</v>
      </c>
    </row>
    <row r="6124" spans="32:32" ht="24" customHeight="1">
      <c r="AF6124" s="908">
        <v>0</v>
      </c>
    </row>
    <row r="6125" spans="32:32" ht="24" customHeight="1">
      <c r="AF6125" s="908">
        <v>0</v>
      </c>
    </row>
    <row r="6126" spans="32:32" ht="24" customHeight="1">
      <c r="AF6126" s="908">
        <v>0</v>
      </c>
    </row>
    <row r="6127" spans="32:32" ht="24" customHeight="1">
      <c r="AF6127" s="908">
        <v>0</v>
      </c>
    </row>
    <row r="6128" spans="32:32" ht="24" customHeight="1">
      <c r="AF6128" s="908">
        <v>0</v>
      </c>
    </row>
    <row r="6129" spans="32:32" ht="24" customHeight="1">
      <c r="AF6129" s="908">
        <v>0</v>
      </c>
    </row>
    <row r="6130" spans="32:32" ht="24" customHeight="1">
      <c r="AF6130" s="908">
        <v>0</v>
      </c>
    </row>
    <row r="6131" spans="32:32" ht="24" customHeight="1">
      <c r="AF6131" s="908">
        <v>0</v>
      </c>
    </row>
    <row r="6132" spans="32:32" ht="24" customHeight="1">
      <c r="AF6132" s="908">
        <v>0</v>
      </c>
    </row>
    <row r="6133" spans="32:32" ht="24" customHeight="1">
      <c r="AF6133" s="908">
        <v>0</v>
      </c>
    </row>
    <row r="6134" spans="32:32" ht="24" customHeight="1">
      <c r="AF6134" s="908">
        <v>0</v>
      </c>
    </row>
    <row r="6135" spans="32:32" ht="24" customHeight="1">
      <c r="AF6135" s="908">
        <v>0</v>
      </c>
    </row>
    <row r="6136" spans="32:32" ht="24" customHeight="1">
      <c r="AF6136" s="908">
        <v>0</v>
      </c>
    </row>
    <row r="6137" spans="32:32" ht="24" customHeight="1">
      <c r="AF6137" s="908">
        <v>0</v>
      </c>
    </row>
    <row r="6138" spans="32:32" ht="24" customHeight="1">
      <c r="AF6138" s="908">
        <v>0</v>
      </c>
    </row>
    <row r="6139" spans="32:32" ht="24" customHeight="1">
      <c r="AF6139" s="908">
        <v>0</v>
      </c>
    </row>
    <row r="6140" spans="32:32" ht="24" customHeight="1">
      <c r="AF6140" s="908">
        <v>0</v>
      </c>
    </row>
    <row r="6141" spans="32:32" ht="24" customHeight="1">
      <c r="AF6141" s="908">
        <v>0</v>
      </c>
    </row>
    <row r="6142" spans="32:32" ht="24" customHeight="1">
      <c r="AF6142" s="908">
        <v>0</v>
      </c>
    </row>
    <row r="6143" spans="32:32" ht="24" customHeight="1">
      <c r="AF6143" s="908">
        <v>0</v>
      </c>
    </row>
    <row r="6144" spans="32:32" ht="24" customHeight="1">
      <c r="AF6144" s="908">
        <v>0</v>
      </c>
    </row>
    <row r="6145" spans="32:32" ht="24" customHeight="1">
      <c r="AF6145" s="908">
        <v>0</v>
      </c>
    </row>
    <row r="6146" spans="32:32" ht="24" customHeight="1">
      <c r="AF6146" s="908">
        <v>0</v>
      </c>
    </row>
    <row r="6147" spans="32:32" ht="24" customHeight="1">
      <c r="AF6147" s="908">
        <v>0</v>
      </c>
    </row>
    <row r="6148" spans="32:32" ht="24" customHeight="1">
      <c r="AF6148" s="908">
        <v>0</v>
      </c>
    </row>
    <row r="6149" spans="32:32" ht="24" customHeight="1">
      <c r="AF6149" s="908">
        <v>0</v>
      </c>
    </row>
    <row r="6150" spans="32:32" ht="24" customHeight="1">
      <c r="AF6150" s="908">
        <v>0</v>
      </c>
    </row>
    <row r="6151" spans="32:32" ht="24" customHeight="1">
      <c r="AF6151" s="908">
        <v>0</v>
      </c>
    </row>
    <row r="6152" spans="32:32" ht="24" customHeight="1">
      <c r="AF6152" s="908">
        <v>0</v>
      </c>
    </row>
    <row r="6153" spans="32:32" ht="24" customHeight="1">
      <c r="AF6153" s="908">
        <v>0</v>
      </c>
    </row>
    <row r="6154" spans="32:32" ht="24" customHeight="1">
      <c r="AF6154" s="908">
        <v>0</v>
      </c>
    </row>
    <row r="6155" spans="32:32" ht="24" customHeight="1">
      <c r="AF6155" s="908">
        <v>0</v>
      </c>
    </row>
    <row r="6156" spans="32:32" ht="24" customHeight="1">
      <c r="AF6156" s="908">
        <v>0</v>
      </c>
    </row>
    <row r="6157" spans="32:32" ht="24" customHeight="1">
      <c r="AF6157" s="908">
        <v>0</v>
      </c>
    </row>
    <row r="6158" spans="32:32" ht="24" customHeight="1">
      <c r="AF6158" s="908">
        <v>0</v>
      </c>
    </row>
    <row r="6159" spans="32:32" ht="24" customHeight="1">
      <c r="AF6159" s="908">
        <v>0</v>
      </c>
    </row>
    <row r="6160" spans="32:32" ht="24" customHeight="1">
      <c r="AF6160" s="908">
        <v>0</v>
      </c>
    </row>
    <row r="6161" spans="32:32" ht="24" customHeight="1">
      <c r="AF6161" s="908">
        <v>0</v>
      </c>
    </row>
    <row r="6162" spans="32:32" ht="24" customHeight="1">
      <c r="AF6162" s="908">
        <v>0</v>
      </c>
    </row>
    <row r="6163" spans="32:32" ht="24" customHeight="1">
      <c r="AF6163" s="908">
        <v>0</v>
      </c>
    </row>
    <row r="6164" spans="32:32" ht="24" customHeight="1">
      <c r="AF6164" s="908">
        <v>0</v>
      </c>
    </row>
    <row r="6165" spans="32:32" ht="24" customHeight="1">
      <c r="AF6165" s="908">
        <v>0</v>
      </c>
    </row>
    <row r="6166" spans="32:32" ht="24" customHeight="1">
      <c r="AF6166" s="908">
        <v>0</v>
      </c>
    </row>
    <row r="6167" spans="32:32" ht="24" customHeight="1">
      <c r="AF6167" s="908">
        <v>0</v>
      </c>
    </row>
    <row r="6168" spans="32:32" ht="24" customHeight="1">
      <c r="AF6168" s="908">
        <v>0</v>
      </c>
    </row>
    <row r="6169" spans="32:32" ht="24" customHeight="1">
      <c r="AF6169" s="908">
        <v>0</v>
      </c>
    </row>
    <row r="6170" spans="32:32" ht="24" customHeight="1">
      <c r="AF6170" s="908">
        <v>0</v>
      </c>
    </row>
    <row r="6171" spans="32:32" ht="24" customHeight="1">
      <c r="AF6171" s="908">
        <v>0</v>
      </c>
    </row>
    <row r="6172" spans="32:32" ht="24" customHeight="1">
      <c r="AF6172" s="908">
        <v>0</v>
      </c>
    </row>
    <row r="6173" spans="32:32" ht="24" customHeight="1">
      <c r="AF6173" s="908">
        <v>0</v>
      </c>
    </row>
    <row r="6174" spans="32:32" ht="24" customHeight="1">
      <c r="AF6174" s="908">
        <v>0</v>
      </c>
    </row>
    <row r="6175" spans="32:32" ht="24" customHeight="1">
      <c r="AF6175" s="908">
        <v>0</v>
      </c>
    </row>
    <row r="6176" spans="32:32" ht="24" customHeight="1">
      <c r="AF6176" s="908">
        <v>0</v>
      </c>
    </row>
    <row r="6177" spans="32:32" ht="24" customHeight="1">
      <c r="AF6177" s="908">
        <v>0</v>
      </c>
    </row>
    <row r="6178" spans="32:32" ht="24" customHeight="1">
      <c r="AF6178" s="908">
        <v>0</v>
      </c>
    </row>
    <row r="6179" spans="32:32" ht="24" customHeight="1">
      <c r="AF6179" s="908">
        <v>0</v>
      </c>
    </row>
    <row r="6180" spans="32:32" ht="24" customHeight="1">
      <c r="AF6180" s="908">
        <v>0</v>
      </c>
    </row>
    <row r="6181" spans="32:32" ht="24" customHeight="1">
      <c r="AF6181" s="908">
        <v>0</v>
      </c>
    </row>
    <row r="6182" spans="32:32" ht="24" customHeight="1">
      <c r="AF6182" s="908">
        <v>0</v>
      </c>
    </row>
    <row r="6183" spans="32:32" ht="24" customHeight="1">
      <c r="AF6183" s="908">
        <v>0</v>
      </c>
    </row>
    <row r="6184" spans="32:32" ht="24" customHeight="1">
      <c r="AF6184" s="908">
        <v>0</v>
      </c>
    </row>
    <row r="6185" spans="32:32" ht="24" customHeight="1">
      <c r="AF6185" s="908">
        <v>0</v>
      </c>
    </row>
    <row r="6186" spans="32:32" ht="24" customHeight="1">
      <c r="AF6186" s="908">
        <v>0</v>
      </c>
    </row>
    <row r="6187" spans="32:32" ht="24" customHeight="1">
      <c r="AF6187" s="908">
        <v>0</v>
      </c>
    </row>
    <row r="6188" spans="32:32" ht="24" customHeight="1">
      <c r="AF6188" s="908">
        <v>0</v>
      </c>
    </row>
    <row r="6189" spans="32:32" ht="24" customHeight="1">
      <c r="AF6189" s="908">
        <v>0</v>
      </c>
    </row>
    <row r="6190" spans="32:32" ht="24" customHeight="1">
      <c r="AF6190" s="908">
        <v>0</v>
      </c>
    </row>
    <row r="6191" spans="32:32" ht="24" customHeight="1">
      <c r="AF6191" s="908">
        <v>0</v>
      </c>
    </row>
    <row r="6192" spans="32:32" ht="24" customHeight="1">
      <c r="AF6192" s="908">
        <v>0</v>
      </c>
    </row>
    <row r="6193" spans="32:32" ht="24" customHeight="1">
      <c r="AF6193" s="908">
        <v>0</v>
      </c>
    </row>
    <row r="6194" spans="32:32" ht="24" customHeight="1">
      <c r="AF6194" s="908">
        <v>0</v>
      </c>
    </row>
    <row r="6195" spans="32:32" ht="24" customHeight="1">
      <c r="AF6195" s="908">
        <v>0</v>
      </c>
    </row>
    <row r="6196" spans="32:32" ht="24" customHeight="1">
      <c r="AF6196" s="908">
        <v>0</v>
      </c>
    </row>
    <row r="6197" spans="32:32" ht="24" customHeight="1">
      <c r="AF6197" s="908">
        <v>0</v>
      </c>
    </row>
    <row r="6198" spans="32:32" ht="24" customHeight="1">
      <c r="AF6198" s="908">
        <v>0</v>
      </c>
    </row>
    <row r="6199" spans="32:32" ht="24" customHeight="1">
      <c r="AF6199" s="908">
        <v>0</v>
      </c>
    </row>
    <row r="6200" spans="32:32" ht="24" customHeight="1">
      <c r="AF6200" s="908">
        <v>0</v>
      </c>
    </row>
    <row r="6201" spans="32:32" ht="24" customHeight="1">
      <c r="AF6201" s="908">
        <v>0</v>
      </c>
    </row>
    <row r="6202" spans="32:32" ht="24" customHeight="1">
      <c r="AF6202" s="908">
        <v>0</v>
      </c>
    </row>
    <row r="6203" spans="32:32" ht="24" customHeight="1">
      <c r="AF6203" s="908">
        <v>0</v>
      </c>
    </row>
    <row r="6204" spans="32:32" ht="24" customHeight="1">
      <c r="AF6204" s="908">
        <v>0</v>
      </c>
    </row>
    <row r="6205" spans="32:32" ht="24" customHeight="1">
      <c r="AF6205" s="908">
        <v>0</v>
      </c>
    </row>
    <row r="6206" spans="32:32" ht="24" customHeight="1">
      <c r="AF6206" s="908">
        <v>0</v>
      </c>
    </row>
    <row r="6207" spans="32:32" ht="24" customHeight="1">
      <c r="AF6207" s="908">
        <v>0</v>
      </c>
    </row>
    <row r="6208" spans="32:32" ht="24" customHeight="1">
      <c r="AF6208" s="908">
        <v>0</v>
      </c>
    </row>
    <row r="6209" spans="32:32" ht="24" customHeight="1">
      <c r="AF6209" s="908">
        <v>0</v>
      </c>
    </row>
    <row r="6210" spans="32:32" ht="24" customHeight="1">
      <c r="AF6210" s="908">
        <v>0</v>
      </c>
    </row>
    <row r="6211" spans="32:32" ht="24" customHeight="1">
      <c r="AF6211" s="908">
        <v>0</v>
      </c>
    </row>
    <row r="6212" spans="32:32" ht="24" customHeight="1">
      <c r="AF6212" s="908">
        <v>0</v>
      </c>
    </row>
    <row r="6213" spans="32:32" ht="24" customHeight="1">
      <c r="AF6213" s="908">
        <v>0</v>
      </c>
    </row>
    <row r="6214" spans="32:32" ht="24" customHeight="1">
      <c r="AF6214" s="908">
        <v>0</v>
      </c>
    </row>
    <row r="6215" spans="32:32" ht="24" customHeight="1">
      <c r="AF6215" s="908">
        <v>0</v>
      </c>
    </row>
    <row r="6216" spans="32:32" ht="24" customHeight="1">
      <c r="AF6216" s="908">
        <v>0</v>
      </c>
    </row>
    <row r="6217" spans="32:32" ht="24" customHeight="1">
      <c r="AF6217" s="908">
        <v>0</v>
      </c>
    </row>
    <row r="6218" spans="32:32" ht="24" customHeight="1">
      <c r="AF6218" s="908">
        <v>0</v>
      </c>
    </row>
    <row r="6219" spans="32:32" ht="24" customHeight="1">
      <c r="AF6219" s="908">
        <v>0</v>
      </c>
    </row>
    <row r="6220" spans="32:32" ht="24" customHeight="1">
      <c r="AF6220" s="908">
        <v>0</v>
      </c>
    </row>
    <row r="6221" spans="32:32" ht="24" customHeight="1">
      <c r="AF6221" s="908">
        <v>0</v>
      </c>
    </row>
    <row r="6222" spans="32:32" ht="24" customHeight="1">
      <c r="AF6222" s="908">
        <v>0</v>
      </c>
    </row>
    <row r="6223" spans="32:32" ht="24" customHeight="1">
      <c r="AF6223" s="908">
        <v>0</v>
      </c>
    </row>
    <row r="6224" spans="32:32" ht="24" customHeight="1">
      <c r="AF6224" s="908">
        <v>0</v>
      </c>
    </row>
    <row r="6225" spans="32:32" ht="24" customHeight="1">
      <c r="AF6225" s="908">
        <v>0</v>
      </c>
    </row>
    <row r="6226" spans="32:32" ht="24" customHeight="1">
      <c r="AF6226" s="908">
        <v>0</v>
      </c>
    </row>
    <row r="6227" spans="32:32" ht="24" customHeight="1">
      <c r="AF6227" s="908">
        <v>0</v>
      </c>
    </row>
    <row r="6228" spans="32:32" ht="24" customHeight="1">
      <c r="AF6228" s="908">
        <v>0</v>
      </c>
    </row>
    <row r="6229" spans="32:32" ht="24" customHeight="1">
      <c r="AF6229" s="908">
        <v>0</v>
      </c>
    </row>
    <row r="6230" spans="32:32" ht="24" customHeight="1">
      <c r="AF6230" s="908">
        <v>0</v>
      </c>
    </row>
    <row r="6231" spans="32:32" ht="24" customHeight="1">
      <c r="AF6231" s="908">
        <v>0</v>
      </c>
    </row>
    <row r="6232" spans="32:32" ht="24" customHeight="1">
      <c r="AF6232" s="908">
        <v>0</v>
      </c>
    </row>
    <row r="6233" spans="32:32" ht="24" customHeight="1">
      <c r="AF6233" s="908">
        <v>0</v>
      </c>
    </row>
    <row r="6234" spans="32:32" ht="24" customHeight="1">
      <c r="AF6234" s="908">
        <v>0</v>
      </c>
    </row>
    <row r="6235" spans="32:32" ht="24" customHeight="1">
      <c r="AF6235" s="908">
        <v>0</v>
      </c>
    </row>
    <row r="6236" spans="32:32" ht="24" customHeight="1">
      <c r="AF6236" s="908">
        <v>0</v>
      </c>
    </row>
    <row r="6237" spans="32:32" ht="24" customHeight="1">
      <c r="AF6237" s="908">
        <v>0</v>
      </c>
    </row>
    <row r="6238" spans="32:32" ht="24" customHeight="1">
      <c r="AF6238" s="908">
        <v>0</v>
      </c>
    </row>
    <row r="6239" spans="32:32" ht="24" customHeight="1">
      <c r="AF6239" s="908">
        <v>0</v>
      </c>
    </row>
    <row r="6240" spans="32:32" ht="24" customHeight="1">
      <c r="AF6240" s="908">
        <v>0</v>
      </c>
    </row>
    <row r="6241" spans="32:32" ht="24" customHeight="1">
      <c r="AF6241" s="908">
        <v>0</v>
      </c>
    </row>
    <row r="6242" spans="32:32" ht="24" customHeight="1">
      <c r="AF6242" s="908">
        <v>0</v>
      </c>
    </row>
    <row r="6243" spans="32:32" ht="24" customHeight="1">
      <c r="AF6243" s="908">
        <v>0</v>
      </c>
    </row>
    <row r="6244" spans="32:32" ht="24" customHeight="1">
      <c r="AF6244" s="908">
        <v>0</v>
      </c>
    </row>
    <row r="6245" spans="32:32" ht="24" customHeight="1">
      <c r="AF6245" s="908">
        <v>0</v>
      </c>
    </row>
    <row r="6246" spans="32:32" ht="24" customHeight="1">
      <c r="AF6246" s="908">
        <v>0</v>
      </c>
    </row>
    <row r="6247" spans="32:32" ht="24" customHeight="1">
      <c r="AF6247" s="908">
        <v>0</v>
      </c>
    </row>
    <row r="6248" spans="32:32" ht="24" customHeight="1">
      <c r="AF6248" s="908">
        <v>0</v>
      </c>
    </row>
    <row r="6249" spans="32:32" ht="24" customHeight="1">
      <c r="AF6249" s="908">
        <v>0</v>
      </c>
    </row>
    <row r="6250" spans="32:32" ht="24" customHeight="1">
      <c r="AF6250" s="908">
        <v>0</v>
      </c>
    </row>
    <row r="6251" spans="32:32" ht="24" customHeight="1">
      <c r="AF6251" s="908">
        <v>0</v>
      </c>
    </row>
    <row r="6252" spans="32:32" ht="24" customHeight="1">
      <c r="AF6252" s="908">
        <v>0</v>
      </c>
    </row>
    <row r="6253" spans="32:32" ht="24" customHeight="1">
      <c r="AF6253" s="908">
        <v>0</v>
      </c>
    </row>
    <row r="6254" spans="32:32" ht="24" customHeight="1">
      <c r="AF6254" s="908">
        <v>0</v>
      </c>
    </row>
    <row r="6255" spans="32:32" ht="24" customHeight="1">
      <c r="AF6255" s="908">
        <v>0</v>
      </c>
    </row>
    <row r="6256" spans="32:32" ht="24" customHeight="1">
      <c r="AF6256" s="908">
        <v>0</v>
      </c>
    </row>
    <row r="6257" spans="32:32" ht="24" customHeight="1">
      <c r="AF6257" s="908">
        <v>0</v>
      </c>
    </row>
    <row r="6258" spans="32:32" ht="24" customHeight="1">
      <c r="AF6258" s="908">
        <v>0</v>
      </c>
    </row>
    <row r="6259" spans="32:32" ht="24" customHeight="1">
      <c r="AF6259" s="908">
        <v>0</v>
      </c>
    </row>
    <row r="6260" spans="32:32" ht="24" customHeight="1">
      <c r="AF6260" s="908">
        <v>0</v>
      </c>
    </row>
    <row r="6261" spans="32:32" ht="24" customHeight="1">
      <c r="AF6261" s="908">
        <v>0</v>
      </c>
    </row>
    <row r="6262" spans="32:32" ht="24" customHeight="1">
      <c r="AF6262" s="908">
        <v>0</v>
      </c>
    </row>
    <row r="6263" spans="32:32" ht="24" customHeight="1">
      <c r="AF6263" s="908">
        <v>0</v>
      </c>
    </row>
    <row r="6264" spans="32:32" ht="24" customHeight="1">
      <c r="AF6264" s="908">
        <v>0</v>
      </c>
    </row>
    <row r="6265" spans="32:32" ht="24" customHeight="1">
      <c r="AF6265" s="908">
        <v>0</v>
      </c>
    </row>
    <row r="6266" spans="32:32" ht="24" customHeight="1">
      <c r="AF6266" s="908">
        <v>0</v>
      </c>
    </row>
    <row r="6267" spans="32:32" ht="24" customHeight="1">
      <c r="AF6267" s="908">
        <v>0</v>
      </c>
    </row>
    <row r="6268" spans="32:32" ht="24" customHeight="1">
      <c r="AF6268" s="908">
        <v>0</v>
      </c>
    </row>
    <row r="6269" spans="32:32" ht="24" customHeight="1">
      <c r="AF6269" s="908">
        <v>0</v>
      </c>
    </row>
    <row r="6270" spans="32:32" ht="24" customHeight="1">
      <c r="AF6270" s="908">
        <v>0</v>
      </c>
    </row>
    <row r="6271" spans="32:32" ht="24" customHeight="1">
      <c r="AF6271" s="908">
        <v>0</v>
      </c>
    </row>
    <row r="6272" spans="32:32" ht="24" customHeight="1">
      <c r="AF6272" s="908">
        <v>0</v>
      </c>
    </row>
    <row r="6273" spans="32:32" ht="24" customHeight="1">
      <c r="AF6273" s="908">
        <v>0</v>
      </c>
    </row>
    <row r="6274" spans="32:32" ht="24" customHeight="1">
      <c r="AF6274" s="908">
        <v>0</v>
      </c>
    </row>
    <row r="6275" spans="32:32" ht="24" customHeight="1">
      <c r="AF6275" s="908">
        <v>0</v>
      </c>
    </row>
    <row r="6276" spans="32:32" ht="24" customHeight="1">
      <c r="AF6276" s="908">
        <v>0</v>
      </c>
    </row>
    <row r="6277" spans="32:32" ht="24" customHeight="1">
      <c r="AF6277" s="908">
        <v>0</v>
      </c>
    </row>
    <row r="6278" spans="32:32" ht="24" customHeight="1">
      <c r="AF6278" s="908">
        <v>0</v>
      </c>
    </row>
    <row r="6279" spans="32:32" ht="24" customHeight="1">
      <c r="AF6279" s="908">
        <v>0</v>
      </c>
    </row>
    <row r="6280" spans="32:32" ht="24" customHeight="1">
      <c r="AF6280" s="908">
        <v>0</v>
      </c>
    </row>
    <row r="6281" spans="32:32" ht="24" customHeight="1">
      <c r="AF6281" s="908">
        <v>0</v>
      </c>
    </row>
    <row r="6282" spans="32:32" ht="24" customHeight="1">
      <c r="AF6282" s="908">
        <v>0</v>
      </c>
    </row>
    <row r="6283" spans="32:32" ht="24" customHeight="1">
      <c r="AF6283" s="908">
        <v>0</v>
      </c>
    </row>
    <row r="6284" spans="32:32" ht="24" customHeight="1">
      <c r="AF6284" s="908">
        <v>0</v>
      </c>
    </row>
    <row r="6285" spans="32:32" ht="24" customHeight="1">
      <c r="AF6285" s="908">
        <v>0</v>
      </c>
    </row>
    <row r="6286" spans="32:32" ht="24" customHeight="1">
      <c r="AF6286" s="908">
        <v>0</v>
      </c>
    </row>
    <row r="6287" spans="32:32" ht="24" customHeight="1">
      <c r="AF6287" s="908">
        <v>0</v>
      </c>
    </row>
    <row r="6288" spans="32:32" ht="24" customHeight="1">
      <c r="AF6288" s="908">
        <v>0</v>
      </c>
    </row>
    <row r="6289" spans="32:32" ht="24" customHeight="1">
      <c r="AF6289" s="908">
        <v>0</v>
      </c>
    </row>
    <row r="6290" spans="32:32" ht="24" customHeight="1">
      <c r="AF6290" s="908">
        <v>0</v>
      </c>
    </row>
    <row r="6291" spans="32:32" ht="24" customHeight="1">
      <c r="AF6291" s="908">
        <v>0</v>
      </c>
    </row>
    <row r="6292" spans="32:32" ht="24" customHeight="1">
      <c r="AF6292" s="908">
        <v>0</v>
      </c>
    </row>
    <row r="6293" spans="32:32" ht="24" customHeight="1">
      <c r="AF6293" s="908">
        <v>0</v>
      </c>
    </row>
    <row r="6294" spans="32:32" ht="24" customHeight="1">
      <c r="AF6294" s="908">
        <v>0</v>
      </c>
    </row>
    <row r="6295" spans="32:32" ht="24" customHeight="1">
      <c r="AF6295" s="908">
        <v>0</v>
      </c>
    </row>
    <row r="6296" spans="32:32" ht="24" customHeight="1">
      <c r="AF6296" s="908">
        <v>0</v>
      </c>
    </row>
    <row r="6297" spans="32:32" ht="24" customHeight="1">
      <c r="AF6297" s="908">
        <v>0</v>
      </c>
    </row>
    <row r="6298" spans="32:32" ht="24" customHeight="1">
      <c r="AF6298" s="908">
        <v>0</v>
      </c>
    </row>
    <row r="6299" spans="32:32" ht="24" customHeight="1">
      <c r="AF6299" s="908">
        <v>0</v>
      </c>
    </row>
    <row r="6300" spans="32:32" ht="24" customHeight="1">
      <c r="AF6300" s="908">
        <v>0</v>
      </c>
    </row>
    <row r="6301" spans="32:32" ht="24" customHeight="1">
      <c r="AF6301" s="908">
        <v>0</v>
      </c>
    </row>
    <row r="6302" spans="32:32" ht="24" customHeight="1">
      <c r="AF6302" s="908">
        <v>0</v>
      </c>
    </row>
    <row r="6303" spans="32:32" ht="24" customHeight="1">
      <c r="AF6303" s="908">
        <v>0</v>
      </c>
    </row>
    <row r="6304" spans="32:32" ht="24" customHeight="1">
      <c r="AF6304" s="908">
        <v>0</v>
      </c>
    </row>
    <row r="6305" spans="32:32" ht="24" customHeight="1">
      <c r="AF6305" s="908">
        <v>0</v>
      </c>
    </row>
    <row r="6306" spans="32:32" ht="24" customHeight="1">
      <c r="AF6306" s="908">
        <v>0</v>
      </c>
    </row>
    <row r="6307" spans="32:32" ht="24" customHeight="1">
      <c r="AF6307" s="908">
        <v>0</v>
      </c>
    </row>
    <row r="6308" spans="32:32" ht="24" customHeight="1">
      <c r="AF6308" s="908">
        <v>0</v>
      </c>
    </row>
    <row r="6309" spans="32:32" ht="24" customHeight="1">
      <c r="AF6309" s="908">
        <v>0</v>
      </c>
    </row>
    <row r="6310" spans="32:32" ht="24" customHeight="1">
      <c r="AF6310" s="908">
        <v>0</v>
      </c>
    </row>
    <row r="6311" spans="32:32" ht="24" customHeight="1">
      <c r="AF6311" s="908">
        <v>0</v>
      </c>
    </row>
    <row r="6312" spans="32:32" ht="24" customHeight="1">
      <c r="AF6312" s="908">
        <v>0</v>
      </c>
    </row>
    <row r="6313" spans="32:32" ht="24" customHeight="1">
      <c r="AF6313" s="908">
        <v>0</v>
      </c>
    </row>
    <row r="6314" spans="32:32" ht="24" customHeight="1">
      <c r="AF6314" s="908">
        <v>0</v>
      </c>
    </row>
    <row r="6315" spans="32:32" ht="24" customHeight="1">
      <c r="AF6315" s="908">
        <v>0</v>
      </c>
    </row>
    <row r="6316" spans="32:32" ht="24" customHeight="1">
      <c r="AF6316" s="908">
        <v>0</v>
      </c>
    </row>
    <row r="6317" spans="32:32" ht="24" customHeight="1">
      <c r="AF6317" s="908">
        <v>0</v>
      </c>
    </row>
    <row r="6318" spans="32:32" ht="24" customHeight="1">
      <c r="AF6318" s="908">
        <v>0</v>
      </c>
    </row>
    <row r="6319" spans="32:32" ht="24" customHeight="1">
      <c r="AF6319" s="908">
        <v>0</v>
      </c>
    </row>
    <row r="6320" spans="32:32" ht="24" customHeight="1">
      <c r="AF6320" s="908">
        <v>0</v>
      </c>
    </row>
    <row r="6321" spans="32:32" ht="24" customHeight="1">
      <c r="AF6321" s="908">
        <v>0</v>
      </c>
    </row>
    <row r="6322" spans="32:32" ht="24" customHeight="1">
      <c r="AF6322" s="908">
        <v>0</v>
      </c>
    </row>
    <row r="6323" spans="32:32" ht="24" customHeight="1">
      <c r="AF6323" s="908">
        <v>0</v>
      </c>
    </row>
    <row r="6324" spans="32:32" ht="24" customHeight="1">
      <c r="AF6324" s="908">
        <v>0</v>
      </c>
    </row>
    <row r="6325" spans="32:32" ht="24" customHeight="1">
      <c r="AF6325" s="908">
        <v>0</v>
      </c>
    </row>
    <row r="6326" spans="32:32" ht="24" customHeight="1">
      <c r="AF6326" s="908">
        <v>0</v>
      </c>
    </row>
    <row r="6327" spans="32:32" ht="24" customHeight="1">
      <c r="AF6327" s="908">
        <v>0</v>
      </c>
    </row>
    <row r="6328" spans="32:32" ht="24" customHeight="1">
      <c r="AF6328" s="908">
        <v>0</v>
      </c>
    </row>
    <row r="6329" spans="32:32" ht="24" customHeight="1">
      <c r="AF6329" s="908">
        <v>0</v>
      </c>
    </row>
    <row r="6330" spans="32:32" ht="24" customHeight="1">
      <c r="AF6330" s="908">
        <v>0</v>
      </c>
    </row>
    <row r="6331" spans="32:32" ht="24" customHeight="1">
      <c r="AF6331" s="908">
        <v>0</v>
      </c>
    </row>
    <row r="6332" spans="32:32" ht="24" customHeight="1">
      <c r="AF6332" s="908">
        <v>0</v>
      </c>
    </row>
    <row r="6333" spans="32:32" ht="24" customHeight="1">
      <c r="AF6333" s="908">
        <v>0</v>
      </c>
    </row>
    <row r="6334" spans="32:32" ht="24" customHeight="1">
      <c r="AF6334" s="908">
        <v>0</v>
      </c>
    </row>
    <row r="6335" spans="32:32" ht="24" customHeight="1">
      <c r="AF6335" s="908">
        <v>0</v>
      </c>
    </row>
    <row r="6336" spans="32:32" ht="24" customHeight="1">
      <c r="AF6336" s="908">
        <v>0</v>
      </c>
    </row>
    <row r="6337" spans="32:32" ht="24" customHeight="1">
      <c r="AF6337" s="908">
        <v>0</v>
      </c>
    </row>
    <row r="6338" spans="32:32" ht="24" customHeight="1">
      <c r="AF6338" s="908">
        <v>0</v>
      </c>
    </row>
    <row r="6339" spans="32:32" ht="24" customHeight="1">
      <c r="AF6339" s="908">
        <v>0</v>
      </c>
    </row>
    <row r="6340" spans="32:32" ht="24" customHeight="1">
      <c r="AF6340" s="908">
        <v>0</v>
      </c>
    </row>
    <row r="6341" spans="32:32" ht="24" customHeight="1">
      <c r="AF6341" s="908">
        <v>0</v>
      </c>
    </row>
    <row r="6342" spans="32:32" ht="24" customHeight="1">
      <c r="AF6342" s="908">
        <v>0</v>
      </c>
    </row>
    <row r="6343" spans="32:32" ht="24" customHeight="1">
      <c r="AF6343" s="908">
        <v>0</v>
      </c>
    </row>
    <row r="6344" spans="32:32" ht="24" customHeight="1">
      <c r="AF6344" s="908">
        <v>0</v>
      </c>
    </row>
    <row r="6345" spans="32:32" ht="24" customHeight="1">
      <c r="AF6345" s="908">
        <v>0</v>
      </c>
    </row>
    <row r="6346" spans="32:32" ht="24" customHeight="1">
      <c r="AF6346" s="908">
        <v>0</v>
      </c>
    </row>
    <row r="6347" spans="32:32" ht="24" customHeight="1">
      <c r="AF6347" s="908">
        <v>0</v>
      </c>
    </row>
    <row r="6348" spans="32:32" ht="24" customHeight="1">
      <c r="AF6348" s="908">
        <v>0</v>
      </c>
    </row>
    <row r="6349" spans="32:32" ht="24" customHeight="1">
      <c r="AF6349" s="908">
        <v>0</v>
      </c>
    </row>
    <row r="6350" spans="32:32" ht="24" customHeight="1">
      <c r="AF6350" s="908">
        <v>0</v>
      </c>
    </row>
    <row r="6351" spans="32:32" ht="24" customHeight="1">
      <c r="AF6351" s="908">
        <v>0</v>
      </c>
    </row>
    <row r="6352" spans="32:32" ht="24" customHeight="1">
      <c r="AF6352" s="908">
        <v>0</v>
      </c>
    </row>
    <row r="6353" spans="32:32" ht="24" customHeight="1">
      <c r="AF6353" s="908">
        <v>0</v>
      </c>
    </row>
    <row r="6354" spans="32:32" ht="24" customHeight="1">
      <c r="AF6354" s="908">
        <v>0</v>
      </c>
    </row>
    <row r="6355" spans="32:32" ht="24" customHeight="1">
      <c r="AF6355" s="908">
        <v>0</v>
      </c>
    </row>
    <row r="6356" spans="32:32" ht="24" customHeight="1">
      <c r="AF6356" s="908">
        <v>0</v>
      </c>
    </row>
    <row r="6357" spans="32:32" ht="24" customHeight="1">
      <c r="AF6357" s="908">
        <v>0</v>
      </c>
    </row>
    <row r="6358" spans="32:32" ht="24" customHeight="1">
      <c r="AF6358" s="908">
        <v>0</v>
      </c>
    </row>
    <row r="6359" spans="32:32" ht="24" customHeight="1">
      <c r="AF6359" s="908">
        <v>0</v>
      </c>
    </row>
    <row r="6360" spans="32:32" ht="24" customHeight="1">
      <c r="AF6360" s="908">
        <v>0</v>
      </c>
    </row>
    <row r="6361" spans="32:32" ht="24" customHeight="1">
      <c r="AF6361" s="908">
        <v>0</v>
      </c>
    </row>
    <row r="6362" spans="32:32" ht="24" customHeight="1">
      <c r="AF6362" s="908">
        <v>0</v>
      </c>
    </row>
    <row r="6363" spans="32:32" ht="24" customHeight="1">
      <c r="AF6363" s="908">
        <v>0</v>
      </c>
    </row>
    <row r="6364" spans="32:32" ht="24" customHeight="1">
      <c r="AF6364" s="908">
        <v>0</v>
      </c>
    </row>
    <row r="6365" spans="32:32" ht="24" customHeight="1">
      <c r="AF6365" s="908">
        <v>0</v>
      </c>
    </row>
    <row r="6366" spans="32:32" ht="24" customHeight="1">
      <c r="AF6366" s="908">
        <v>0</v>
      </c>
    </row>
    <row r="6367" spans="32:32" ht="24" customHeight="1">
      <c r="AF6367" s="908">
        <v>0</v>
      </c>
    </row>
    <row r="6368" spans="32:32" ht="24" customHeight="1">
      <c r="AF6368" s="908">
        <v>0</v>
      </c>
    </row>
    <row r="6369" spans="32:32" ht="24" customHeight="1">
      <c r="AF6369" s="908">
        <v>0</v>
      </c>
    </row>
    <row r="6370" spans="32:32" ht="24" customHeight="1">
      <c r="AF6370" s="908">
        <v>0</v>
      </c>
    </row>
    <row r="6371" spans="32:32" ht="24" customHeight="1">
      <c r="AF6371" s="908">
        <v>0</v>
      </c>
    </row>
    <row r="6372" spans="32:32" ht="24" customHeight="1">
      <c r="AF6372" s="908">
        <v>0</v>
      </c>
    </row>
    <row r="6373" spans="32:32" ht="24" customHeight="1">
      <c r="AF6373" s="908">
        <v>0</v>
      </c>
    </row>
    <row r="6374" spans="32:32" ht="24" customHeight="1">
      <c r="AF6374" s="908">
        <v>0</v>
      </c>
    </row>
    <row r="6375" spans="32:32" ht="24" customHeight="1">
      <c r="AF6375" s="908">
        <v>0</v>
      </c>
    </row>
    <row r="6376" spans="32:32" ht="24" customHeight="1">
      <c r="AF6376" s="908">
        <v>0</v>
      </c>
    </row>
    <row r="6377" spans="32:32" ht="24" customHeight="1">
      <c r="AF6377" s="908">
        <v>0</v>
      </c>
    </row>
    <row r="6378" spans="32:32" ht="24" customHeight="1">
      <c r="AF6378" s="908">
        <v>0</v>
      </c>
    </row>
    <row r="6379" spans="32:32" ht="24" customHeight="1">
      <c r="AF6379" s="908">
        <v>0</v>
      </c>
    </row>
    <row r="6380" spans="32:32" ht="24" customHeight="1">
      <c r="AF6380" s="908">
        <v>0</v>
      </c>
    </row>
    <row r="6381" spans="32:32" ht="24" customHeight="1">
      <c r="AF6381" s="908">
        <v>0</v>
      </c>
    </row>
    <row r="6382" spans="32:32" ht="24" customHeight="1">
      <c r="AF6382" s="908">
        <v>0</v>
      </c>
    </row>
    <row r="6383" spans="32:32" ht="24" customHeight="1">
      <c r="AF6383" s="908">
        <v>0</v>
      </c>
    </row>
    <row r="6384" spans="32:32" ht="24" customHeight="1">
      <c r="AF6384" s="908">
        <v>0</v>
      </c>
    </row>
    <row r="6385" spans="32:32" ht="24" customHeight="1">
      <c r="AF6385" s="908">
        <v>0</v>
      </c>
    </row>
    <row r="6386" spans="32:32" ht="24" customHeight="1">
      <c r="AF6386" s="908">
        <v>0</v>
      </c>
    </row>
    <row r="6387" spans="32:32" ht="24" customHeight="1">
      <c r="AF6387" s="908">
        <v>0</v>
      </c>
    </row>
    <row r="6388" spans="32:32" ht="24" customHeight="1">
      <c r="AF6388" s="908">
        <v>0</v>
      </c>
    </row>
    <row r="6389" spans="32:32" ht="24" customHeight="1">
      <c r="AF6389" s="908">
        <v>0</v>
      </c>
    </row>
    <row r="6390" spans="32:32" ht="24" customHeight="1">
      <c r="AF6390" s="908">
        <v>0</v>
      </c>
    </row>
    <row r="6391" spans="32:32" ht="24" customHeight="1">
      <c r="AF6391" s="908">
        <v>0</v>
      </c>
    </row>
    <row r="6392" spans="32:32" ht="24" customHeight="1">
      <c r="AF6392" s="908">
        <v>0</v>
      </c>
    </row>
    <row r="6393" spans="32:32" ht="24" customHeight="1">
      <c r="AF6393" s="908">
        <v>0</v>
      </c>
    </row>
    <row r="6394" spans="32:32" ht="24" customHeight="1">
      <c r="AF6394" s="908">
        <v>0</v>
      </c>
    </row>
    <row r="6395" spans="32:32" ht="24" customHeight="1">
      <c r="AF6395" s="908">
        <v>0</v>
      </c>
    </row>
    <row r="6396" spans="32:32" ht="24" customHeight="1">
      <c r="AF6396" s="908">
        <v>0</v>
      </c>
    </row>
    <row r="6397" spans="32:32" ht="24" customHeight="1">
      <c r="AF6397" s="908">
        <v>0</v>
      </c>
    </row>
    <row r="6398" spans="32:32" ht="24" customHeight="1">
      <c r="AF6398" s="908">
        <v>0</v>
      </c>
    </row>
    <row r="6399" spans="32:32" ht="24" customHeight="1">
      <c r="AF6399" s="908">
        <v>0</v>
      </c>
    </row>
    <row r="6400" spans="32:32" ht="24" customHeight="1">
      <c r="AF6400" s="908">
        <v>0</v>
      </c>
    </row>
    <row r="6401" spans="32:32" ht="24" customHeight="1">
      <c r="AF6401" s="908">
        <v>0</v>
      </c>
    </row>
    <row r="6402" spans="32:32" ht="24" customHeight="1">
      <c r="AF6402" s="908">
        <v>0</v>
      </c>
    </row>
    <row r="6403" spans="32:32" ht="24" customHeight="1">
      <c r="AF6403" s="908">
        <v>0</v>
      </c>
    </row>
    <row r="6404" spans="32:32" ht="24" customHeight="1">
      <c r="AF6404" s="908">
        <v>0</v>
      </c>
    </row>
    <row r="6405" spans="32:32" ht="24" customHeight="1">
      <c r="AF6405" s="908">
        <v>0</v>
      </c>
    </row>
    <row r="6406" spans="32:32" ht="24" customHeight="1">
      <c r="AF6406" s="908">
        <v>0</v>
      </c>
    </row>
    <row r="6407" spans="32:32" ht="24" customHeight="1">
      <c r="AF6407" s="908">
        <v>0</v>
      </c>
    </row>
    <row r="6408" spans="32:32" ht="24" customHeight="1">
      <c r="AF6408" s="908">
        <v>0</v>
      </c>
    </row>
    <row r="6409" spans="32:32" ht="24" customHeight="1">
      <c r="AF6409" s="908">
        <v>0</v>
      </c>
    </row>
    <row r="6410" spans="32:32" ht="24" customHeight="1">
      <c r="AF6410" s="908">
        <v>0</v>
      </c>
    </row>
    <row r="6411" spans="32:32" ht="24" customHeight="1">
      <c r="AF6411" s="908">
        <v>0</v>
      </c>
    </row>
    <row r="6412" spans="32:32" ht="24" customHeight="1">
      <c r="AF6412" s="908">
        <v>0</v>
      </c>
    </row>
    <row r="6413" spans="32:32" ht="24" customHeight="1">
      <c r="AF6413" s="908">
        <v>0</v>
      </c>
    </row>
    <row r="6414" spans="32:32" ht="24" customHeight="1">
      <c r="AF6414" s="908">
        <v>0</v>
      </c>
    </row>
    <row r="6415" spans="32:32" ht="24" customHeight="1">
      <c r="AF6415" s="908">
        <v>0</v>
      </c>
    </row>
    <row r="6416" spans="32:32" ht="24" customHeight="1">
      <c r="AF6416" s="908">
        <v>0</v>
      </c>
    </row>
    <row r="6417" spans="32:32" ht="24" customHeight="1">
      <c r="AF6417" s="908">
        <v>0</v>
      </c>
    </row>
    <row r="6418" spans="32:32" ht="24" customHeight="1">
      <c r="AF6418" s="908">
        <v>0</v>
      </c>
    </row>
    <row r="6419" spans="32:32" ht="24" customHeight="1">
      <c r="AF6419" s="908">
        <v>0</v>
      </c>
    </row>
    <row r="6420" spans="32:32" ht="24" customHeight="1">
      <c r="AF6420" s="908">
        <v>0</v>
      </c>
    </row>
    <row r="6421" spans="32:32" ht="24" customHeight="1">
      <c r="AF6421" s="908">
        <v>0</v>
      </c>
    </row>
    <row r="6422" spans="32:32" ht="24" customHeight="1">
      <c r="AF6422" s="908">
        <v>0</v>
      </c>
    </row>
    <row r="6423" spans="32:32" ht="24" customHeight="1">
      <c r="AF6423" s="908">
        <v>0</v>
      </c>
    </row>
    <row r="6424" spans="32:32" ht="24" customHeight="1">
      <c r="AF6424" s="908">
        <v>0</v>
      </c>
    </row>
    <row r="6425" spans="32:32" ht="24" customHeight="1">
      <c r="AF6425" s="908">
        <v>0</v>
      </c>
    </row>
    <row r="6426" spans="32:32" ht="24" customHeight="1">
      <c r="AF6426" s="908">
        <v>0</v>
      </c>
    </row>
    <row r="6427" spans="32:32" ht="24" customHeight="1">
      <c r="AF6427" s="908">
        <v>0</v>
      </c>
    </row>
    <row r="6428" spans="32:32" ht="24" customHeight="1">
      <c r="AF6428" s="908">
        <v>0</v>
      </c>
    </row>
    <row r="6429" spans="32:32" ht="24" customHeight="1">
      <c r="AF6429" s="908">
        <v>0</v>
      </c>
    </row>
    <row r="6430" spans="32:32" ht="24" customHeight="1">
      <c r="AF6430" s="908">
        <v>0</v>
      </c>
    </row>
    <row r="6431" spans="32:32" ht="24" customHeight="1">
      <c r="AF6431" s="908">
        <v>0</v>
      </c>
    </row>
    <row r="6432" spans="32:32" ht="24" customHeight="1">
      <c r="AF6432" s="908">
        <v>0</v>
      </c>
    </row>
    <row r="6433" spans="32:32" ht="24" customHeight="1">
      <c r="AF6433" s="908">
        <v>0</v>
      </c>
    </row>
    <row r="6434" spans="32:32" ht="24" customHeight="1">
      <c r="AF6434" s="908">
        <v>0</v>
      </c>
    </row>
    <row r="6435" spans="32:32" ht="24" customHeight="1">
      <c r="AF6435" s="908">
        <v>0</v>
      </c>
    </row>
    <row r="6436" spans="32:32" ht="24" customHeight="1">
      <c r="AF6436" s="908">
        <v>0</v>
      </c>
    </row>
    <row r="6437" spans="32:32" ht="24" customHeight="1">
      <c r="AF6437" s="908">
        <v>0</v>
      </c>
    </row>
    <row r="6438" spans="32:32" ht="24" customHeight="1">
      <c r="AF6438" s="908">
        <v>0</v>
      </c>
    </row>
    <row r="6439" spans="32:32" ht="24" customHeight="1">
      <c r="AF6439" s="908">
        <v>0</v>
      </c>
    </row>
    <row r="6440" spans="32:32" ht="24" customHeight="1">
      <c r="AF6440" s="908">
        <v>0</v>
      </c>
    </row>
    <row r="6441" spans="32:32" ht="24" customHeight="1">
      <c r="AF6441" s="908">
        <v>0</v>
      </c>
    </row>
    <row r="6442" spans="32:32" ht="24" customHeight="1">
      <c r="AF6442" s="908">
        <v>0</v>
      </c>
    </row>
    <row r="6443" spans="32:32" ht="24" customHeight="1">
      <c r="AF6443" s="908">
        <v>0</v>
      </c>
    </row>
    <row r="6444" spans="32:32" ht="24" customHeight="1">
      <c r="AF6444" s="908">
        <v>0</v>
      </c>
    </row>
    <row r="6445" spans="32:32" ht="24" customHeight="1">
      <c r="AF6445" s="908">
        <v>0</v>
      </c>
    </row>
    <row r="6446" spans="32:32" ht="24" customHeight="1">
      <c r="AF6446" s="908">
        <v>0</v>
      </c>
    </row>
    <row r="6447" spans="32:32" ht="24" customHeight="1">
      <c r="AF6447" s="908">
        <v>0</v>
      </c>
    </row>
    <row r="6448" spans="32:32" ht="24" customHeight="1">
      <c r="AF6448" s="908">
        <v>0</v>
      </c>
    </row>
    <row r="6449" spans="32:32" ht="24" customHeight="1">
      <c r="AF6449" s="908">
        <v>0</v>
      </c>
    </row>
    <row r="6450" spans="32:32" ht="24" customHeight="1">
      <c r="AF6450" s="908">
        <v>0</v>
      </c>
    </row>
    <row r="6451" spans="32:32" ht="24" customHeight="1">
      <c r="AF6451" s="908">
        <v>0</v>
      </c>
    </row>
    <row r="6452" spans="32:32" ht="24" customHeight="1">
      <c r="AF6452" s="908">
        <v>0</v>
      </c>
    </row>
    <row r="6453" spans="32:32" ht="24" customHeight="1">
      <c r="AF6453" s="908">
        <v>0</v>
      </c>
    </row>
    <row r="6454" spans="32:32" ht="24" customHeight="1">
      <c r="AF6454" s="908">
        <v>0</v>
      </c>
    </row>
    <row r="6455" spans="32:32" ht="24" customHeight="1">
      <c r="AF6455" s="908">
        <v>0</v>
      </c>
    </row>
    <row r="6456" spans="32:32" ht="24" customHeight="1">
      <c r="AF6456" s="908">
        <v>0</v>
      </c>
    </row>
    <row r="6457" spans="32:32" ht="24" customHeight="1">
      <c r="AF6457" s="908">
        <v>0</v>
      </c>
    </row>
    <row r="6458" spans="32:32" ht="24" customHeight="1">
      <c r="AF6458" s="908">
        <v>0</v>
      </c>
    </row>
    <row r="6459" spans="32:32" ht="24" customHeight="1">
      <c r="AF6459" s="908">
        <v>0</v>
      </c>
    </row>
    <row r="6460" spans="32:32" ht="24" customHeight="1">
      <c r="AF6460" s="908">
        <v>0</v>
      </c>
    </row>
    <row r="6461" spans="32:32" ht="24" customHeight="1">
      <c r="AF6461" s="908">
        <v>0</v>
      </c>
    </row>
    <row r="6462" spans="32:32" ht="24" customHeight="1">
      <c r="AF6462" s="908">
        <v>0</v>
      </c>
    </row>
    <row r="6463" spans="32:32" ht="24" customHeight="1">
      <c r="AF6463" s="908">
        <v>0</v>
      </c>
    </row>
    <row r="6464" spans="32:32" ht="24" customHeight="1">
      <c r="AF6464" s="908">
        <v>0</v>
      </c>
    </row>
    <row r="6465" spans="32:32" ht="24" customHeight="1">
      <c r="AF6465" s="908">
        <v>0</v>
      </c>
    </row>
    <row r="6466" spans="32:32" ht="24" customHeight="1">
      <c r="AF6466" s="908">
        <v>0</v>
      </c>
    </row>
    <row r="6467" spans="32:32" ht="24" customHeight="1">
      <c r="AF6467" s="908">
        <v>0</v>
      </c>
    </row>
    <row r="6468" spans="32:32" ht="24" customHeight="1">
      <c r="AF6468" s="908">
        <v>0</v>
      </c>
    </row>
    <row r="6469" spans="32:32" ht="24" customHeight="1">
      <c r="AF6469" s="908">
        <v>0</v>
      </c>
    </row>
    <row r="6470" spans="32:32" ht="24" customHeight="1">
      <c r="AF6470" s="908">
        <v>0</v>
      </c>
    </row>
    <row r="6471" spans="32:32" ht="24" customHeight="1">
      <c r="AF6471" s="908">
        <v>0</v>
      </c>
    </row>
    <row r="6472" spans="32:32" ht="24" customHeight="1">
      <c r="AF6472" s="908">
        <v>0</v>
      </c>
    </row>
    <row r="6473" spans="32:32" ht="24" customHeight="1">
      <c r="AF6473" s="908">
        <v>0</v>
      </c>
    </row>
    <row r="6474" spans="32:32" ht="24" customHeight="1">
      <c r="AF6474" s="908">
        <v>0</v>
      </c>
    </row>
    <row r="6475" spans="32:32" ht="24" customHeight="1">
      <c r="AF6475" s="908">
        <v>0</v>
      </c>
    </row>
    <row r="6476" spans="32:32" ht="24" customHeight="1">
      <c r="AF6476" s="908">
        <v>0</v>
      </c>
    </row>
    <row r="6477" spans="32:32" ht="24" customHeight="1">
      <c r="AF6477" s="908">
        <v>0</v>
      </c>
    </row>
    <row r="6478" spans="32:32" ht="24" customHeight="1">
      <c r="AF6478" s="908">
        <v>0</v>
      </c>
    </row>
    <row r="6479" spans="32:32" ht="24" customHeight="1">
      <c r="AF6479" s="908">
        <v>0</v>
      </c>
    </row>
    <row r="6480" spans="32:32" ht="24" customHeight="1">
      <c r="AF6480" s="908">
        <v>0</v>
      </c>
    </row>
    <row r="6481" spans="32:32" ht="24" customHeight="1">
      <c r="AF6481" s="908">
        <v>0</v>
      </c>
    </row>
    <row r="6482" spans="32:32" ht="24" customHeight="1">
      <c r="AF6482" s="908">
        <v>0</v>
      </c>
    </row>
    <row r="6483" spans="32:32" ht="24" customHeight="1">
      <c r="AF6483" s="908">
        <v>0</v>
      </c>
    </row>
    <row r="6484" spans="32:32" ht="24" customHeight="1">
      <c r="AF6484" s="908">
        <v>0</v>
      </c>
    </row>
    <row r="6485" spans="32:32" ht="24" customHeight="1">
      <c r="AF6485" s="908">
        <v>0</v>
      </c>
    </row>
    <row r="6486" spans="32:32" ht="24" customHeight="1">
      <c r="AF6486" s="908">
        <v>0</v>
      </c>
    </row>
    <row r="6487" spans="32:32" ht="24" customHeight="1">
      <c r="AF6487" s="908">
        <v>0</v>
      </c>
    </row>
    <row r="6488" spans="32:32" ht="24" customHeight="1">
      <c r="AF6488" s="908">
        <v>0</v>
      </c>
    </row>
    <row r="6489" spans="32:32" ht="24" customHeight="1">
      <c r="AF6489" s="908">
        <v>0</v>
      </c>
    </row>
    <row r="6490" spans="32:32" ht="24" customHeight="1">
      <c r="AF6490" s="908">
        <v>0</v>
      </c>
    </row>
    <row r="6491" spans="32:32" ht="24" customHeight="1">
      <c r="AF6491" s="908">
        <v>0</v>
      </c>
    </row>
    <row r="6492" spans="32:32" ht="24" customHeight="1">
      <c r="AF6492" s="908">
        <v>0</v>
      </c>
    </row>
    <row r="6493" spans="32:32" ht="24" customHeight="1">
      <c r="AF6493" s="908">
        <v>0</v>
      </c>
    </row>
    <row r="6494" spans="32:32" ht="24" customHeight="1">
      <c r="AF6494" s="908">
        <v>0</v>
      </c>
    </row>
    <row r="6495" spans="32:32" ht="24" customHeight="1">
      <c r="AF6495" s="908">
        <v>0</v>
      </c>
    </row>
    <row r="6496" spans="32:32" ht="24" customHeight="1">
      <c r="AF6496" s="908">
        <v>0</v>
      </c>
    </row>
    <row r="6497" spans="32:32" ht="24" customHeight="1">
      <c r="AF6497" s="908">
        <v>0</v>
      </c>
    </row>
    <row r="6498" spans="32:32" ht="24" customHeight="1">
      <c r="AF6498" s="908">
        <v>0</v>
      </c>
    </row>
    <row r="6499" spans="32:32" ht="24" customHeight="1">
      <c r="AF6499" s="908">
        <v>0</v>
      </c>
    </row>
    <row r="6500" spans="32:32" ht="24" customHeight="1">
      <c r="AF6500" s="908">
        <v>0</v>
      </c>
    </row>
    <row r="6501" spans="32:32" ht="24" customHeight="1">
      <c r="AF6501" s="908">
        <v>0</v>
      </c>
    </row>
    <row r="6502" spans="32:32" ht="24" customHeight="1">
      <c r="AF6502" s="908">
        <v>0</v>
      </c>
    </row>
    <row r="6503" spans="32:32" ht="24" customHeight="1">
      <c r="AF6503" s="908">
        <v>0</v>
      </c>
    </row>
    <row r="6504" spans="32:32" ht="24" customHeight="1">
      <c r="AF6504" s="908">
        <v>0</v>
      </c>
    </row>
    <row r="6505" spans="32:32" ht="24" customHeight="1">
      <c r="AF6505" s="908">
        <v>0</v>
      </c>
    </row>
    <row r="6506" spans="32:32" ht="24" customHeight="1">
      <c r="AF6506" s="908">
        <v>0</v>
      </c>
    </row>
    <row r="6507" spans="32:32" ht="24" customHeight="1">
      <c r="AF6507" s="908">
        <v>0</v>
      </c>
    </row>
    <row r="6508" spans="32:32" ht="24" customHeight="1">
      <c r="AF6508" s="908">
        <v>0</v>
      </c>
    </row>
    <row r="6509" spans="32:32" ht="24" customHeight="1">
      <c r="AF6509" s="908">
        <v>0</v>
      </c>
    </row>
    <row r="6510" spans="32:32" ht="24" customHeight="1">
      <c r="AF6510" s="908">
        <v>0</v>
      </c>
    </row>
    <row r="6511" spans="32:32" ht="24" customHeight="1">
      <c r="AF6511" s="908">
        <v>0</v>
      </c>
    </row>
    <row r="6512" spans="32:32" ht="24" customHeight="1">
      <c r="AF6512" s="908">
        <v>0</v>
      </c>
    </row>
    <row r="6513" spans="32:32" ht="24" customHeight="1">
      <c r="AF6513" s="908">
        <v>0</v>
      </c>
    </row>
    <row r="6514" spans="32:32" ht="24" customHeight="1">
      <c r="AF6514" s="908">
        <v>0</v>
      </c>
    </row>
    <row r="6515" spans="32:32" ht="24" customHeight="1">
      <c r="AF6515" s="908">
        <v>0</v>
      </c>
    </row>
    <row r="6516" spans="32:32" ht="24" customHeight="1">
      <c r="AF6516" s="908">
        <v>0</v>
      </c>
    </row>
    <row r="6517" spans="32:32" ht="24" customHeight="1">
      <c r="AF6517" s="908">
        <v>0</v>
      </c>
    </row>
    <row r="6518" spans="32:32" ht="24" customHeight="1">
      <c r="AF6518" s="908">
        <v>0</v>
      </c>
    </row>
    <row r="6519" spans="32:32" ht="24" customHeight="1">
      <c r="AF6519" s="908">
        <v>0</v>
      </c>
    </row>
    <row r="6520" spans="32:32" ht="24" customHeight="1">
      <c r="AF6520" s="908">
        <v>0</v>
      </c>
    </row>
    <row r="6521" spans="32:32" ht="24" customHeight="1">
      <c r="AF6521" s="908">
        <v>0</v>
      </c>
    </row>
    <row r="6522" spans="32:32" ht="24" customHeight="1">
      <c r="AF6522" s="908">
        <v>0</v>
      </c>
    </row>
    <row r="6523" spans="32:32" ht="24" customHeight="1">
      <c r="AF6523" s="908">
        <v>0</v>
      </c>
    </row>
    <row r="6524" spans="32:32" ht="24" customHeight="1">
      <c r="AF6524" s="908">
        <v>0</v>
      </c>
    </row>
    <row r="6525" spans="32:32" ht="24" customHeight="1">
      <c r="AF6525" s="908">
        <v>0</v>
      </c>
    </row>
    <row r="6526" spans="32:32" ht="24" customHeight="1">
      <c r="AF6526" s="908">
        <v>0</v>
      </c>
    </row>
    <row r="6527" spans="32:32" ht="24" customHeight="1">
      <c r="AF6527" s="908">
        <v>0</v>
      </c>
    </row>
    <row r="6528" spans="32:32" ht="24" customHeight="1">
      <c r="AF6528" s="908">
        <v>0</v>
      </c>
    </row>
    <row r="6529" spans="32:32" ht="24" customHeight="1">
      <c r="AF6529" s="908">
        <v>0</v>
      </c>
    </row>
    <row r="6530" spans="32:32" ht="24" customHeight="1">
      <c r="AF6530" s="908">
        <v>0</v>
      </c>
    </row>
    <row r="6531" spans="32:32" ht="24" customHeight="1">
      <c r="AF6531" s="908">
        <v>0</v>
      </c>
    </row>
    <row r="6532" spans="32:32" ht="24" customHeight="1">
      <c r="AF6532" s="908">
        <v>0</v>
      </c>
    </row>
    <row r="6533" spans="32:32" ht="24" customHeight="1">
      <c r="AF6533" s="908">
        <v>0</v>
      </c>
    </row>
    <row r="6534" spans="32:32" ht="24" customHeight="1">
      <c r="AF6534" s="908">
        <v>0</v>
      </c>
    </row>
    <row r="6535" spans="32:32" ht="24" customHeight="1">
      <c r="AF6535" s="908">
        <v>0</v>
      </c>
    </row>
    <row r="6536" spans="32:32" ht="24" customHeight="1">
      <c r="AF6536" s="908">
        <v>0</v>
      </c>
    </row>
    <row r="6537" spans="32:32" ht="24" customHeight="1">
      <c r="AF6537" s="908">
        <v>0</v>
      </c>
    </row>
    <row r="6538" spans="32:32" ht="24" customHeight="1">
      <c r="AF6538" s="908">
        <v>0</v>
      </c>
    </row>
    <row r="6539" spans="32:32" ht="24" customHeight="1">
      <c r="AF6539" s="908">
        <v>0</v>
      </c>
    </row>
    <row r="6540" spans="32:32" ht="24" customHeight="1">
      <c r="AF6540" s="908">
        <v>0</v>
      </c>
    </row>
    <row r="6541" spans="32:32" ht="24" customHeight="1">
      <c r="AF6541" s="908">
        <v>0</v>
      </c>
    </row>
    <row r="6542" spans="32:32" ht="24" customHeight="1">
      <c r="AF6542" s="908">
        <v>0</v>
      </c>
    </row>
    <row r="6543" spans="32:32" ht="24" customHeight="1">
      <c r="AF6543" s="908">
        <v>0</v>
      </c>
    </row>
    <row r="6544" spans="32:32" ht="24" customHeight="1">
      <c r="AF6544" s="908">
        <v>0</v>
      </c>
    </row>
    <row r="6545" spans="32:32" ht="24" customHeight="1">
      <c r="AF6545" s="908">
        <v>0</v>
      </c>
    </row>
    <row r="6546" spans="32:32" ht="24" customHeight="1">
      <c r="AF6546" s="908">
        <v>0</v>
      </c>
    </row>
    <row r="6547" spans="32:32" ht="24" customHeight="1">
      <c r="AF6547" s="908">
        <v>0</v>
      </c>
    </row>
    <row r="6548" spans="32:32" ht="24" customHeight="1">
      <c r="AF6548" s="908">
        <v>0</v>
      </c>
    </row>
    <row r="6549" spans="32:32" ht="24" customHeight="1">
      <c r="AF6549" s="908">
        <v>0</v>
      </c>
    </row>
    <row r="6550" spans="32:32" ht="24" customHeight="1">
      <c r="AF6550" s="908">
        <v>0</v>
      </c>
    </row>
    <row r="6551" spans="32:32" ht="24" customHeight="1">
      <c r="AF6551" s="908">
        <v>0</v>
      </c>
    </row>
    <row r="6552" spans="32:32" ht="24" customHeight="1">
      <c r="AF6552" s="908">
        <v>0</v>
      </c>
    </row>
    <row r="6553" spans="32:32" ht="24" customHeight="1">
      <c r="AF6553" s="908">
        <v>0</v>
      </c>
    </row>
    <row r="6554" spans="32:32" ht="24" customHeight="1">
      <c r="AF6554" s="908">
        <v>0</v>
      </c>
    </row>
    <row r="6555" spans="32:32" ht="24" customHeight="1">
      <c r="AF6555" s="908">
        <v>0</v>
      </c>
    </row>
    <row r="6556" spans="32:32" ht="24" customHeight="1">
      <c r="AF6556" s="908">
        <v>0</v>
      </c>
    </row>
    <row r="6557" spans="32:32" ht="24" customHeight="1">
      <c r="AF6557" s="908">
        <v>0</v>
      </c>
    </row>
    <row r="6558" spans="32:32" ht="24" customHeight="1">
      <c r="AF6558" s="908">
        <v>0</v>
      </c>
    </row>
    <row r="6559" spans="32:32" ht="24" customHeight="1">
      <c r="AF6559" s="908">
        <v>0</v>
      </c>
    </row>
    <row r="6560" spans="32:32" ht="24" customHeight="1">
      <c r="AF6560" s="908">
        <v>0</v>
      </c>
    </row>
    <row r="6561" spans="32:32" ht="24" customHeight="1">
      <c r="AF6561" s="908">
        <v>0</v>
      </c>
    </row>
    <row r="6562" spans="32:32" ht="24" customHeight="1">
      <c r="AF6562" s="908">
        <v>0</v>
      </c>
    </row>
    <row r="6563" spans="32:32" ht="24" customHeight="1">
      <c r="AF6563" s="908">
        <v>0</v>
      </c>
    </row>
    <row r="6564" spans="32:32" ht="24" customHeight="1">
      <c r="AF6564" s="908">
        <v>0</v>
      </c>
    </row>
    <row r="6565" spans="32:32" ht="24" customHeight="1">
      <c r="AF6565" s="908">
        <v>0</v>
      </c>
    </row>
    <row r="6566" spans="32:32" ht="24" customHeight="1">
      <c r="AF6566" s="908">
        <v>0</v>
      </c>
    </row>
    <row r="6567" spans="32:32" ht="24" customHeight="1">
      <c r="AF6567" s="908">
        <v>0</v>
      </c>
    </row>
    <row r="6568" spans="32:32" ht="24" customHeight="1">
      <c r="AF6568" s="908">
        <v>0</v>
      </c>
    </row>
    <row r="6569" spans="32:32" ht="24" customHeight="1">
      <c r="AF6569" s="908">
        <v>0</v>
      </c>
    </row>
    <row r="6570" spans="32:32" ht="24" customHeight="1">
      <c r="AF6570" s="908">
        <v>0</v>
      </c>
    </row>
    <row r="6571" spans="32:32" ht="24" customHeight="1">
      <c r="AF6571" s="908">
        <v>0</v>
      </c>
    </row>
    <row r="6572" spans="32:32" ht="24" customHeight="1">
      <c r="AF6572" s="908">
        <v>0</v>
      </c>
    </row>
    <row r="6573" spans="32:32" ht="24" customHeight="1">
      <c r="AF6573" s="908">
        <v>0</v>
      </c>
    </row>
    <row r="6574" spans="32:32" ht="24" customHeight="1">
      <c r="AF6574" s="908">
        <v>0</v>
      </c>
    </row>
    <row r="6575" spans="32:32" ht="24" customHeight="1">
      <c r="AF6575" s="908">
        <v>0</v>
      </c>
    </row>
    <row r="6576" spans="32:32" ht="24" customHeight="1">
      <c r="AF6576" s="908">
        <v>0</v>
      </c>
    </row>
    <row r="6577" spans="32:32" ht="24" customHeight="1">
      <c r="AF6577" s="908">
        <v>0</v>
      </c>
    </row>
    <row r="6578" spans="32:32" ht="24" customHeight="1">
      <c r="AF6578" s="908">
        <v>0</v>
      </c>
    </row>
    <row r="6579" spans="32:32" ht="24" customHeight="1">
      <c r="AF6579" s="908">
        <v>0</v>
      </c>
    </row>
    <row r="6580" spans="32:32" ht="24" customHeight="1">
      <c r="AF6580" s="908">
        <v>0</v>
      </c>
    </row>
    <row r="6581" spans="32:32" ht="24" customHeight="1">
      <c r="AF6581" s="908">
        <v>0</v>
      </c>
    </row>
    <row r="6582" spans="32:32" ht="24" customHeight="1">
      <c r="AF6582" s="908">
        <v>0</v>
      </c>
    </row>
    <row r="6583" spans="32:32" ht="24" customHeight="1">
      <c r="AF6583" s="908">
        <v>0</v>
      </c>
    </row>
    <row r="6584" spans="32:32" ht="24" customHeight="1">
      <c r="AF6584" s="908">
        <v>0</v>
      </c>
    </row>
    <row r="6585" spans="32:32" ht="24" customHeight="1">
      <c r="AF6585" s="908">
        <v>0</v>
      </c>
    </row>
    <row r="6586" spans="32:32" ht="24" customHeight="1">
      <c r="AF6586" s="908">
        <v>0</v>
      </c>
    </row>
    <row r="6587" spans="32:32" ht="24" customHeight="1">
      <c r="AF6587" s="908">
        <v>0</v>
      </c>
    </row>
    <row r="6588" spans="32:32" ht="24" customHeight="1">
      <c r="AF6588" s="908">
        <v>0</v>
      </c>
    </row>
    <row r="6589" spans="32:32" ht="24" customHeight="1">
      <c r="AF6589" s="908">
        <v>0</v>
      </c>
    </row>
    <row r="6590" spans="32:32" ht="24" customHeight="1">
      <c r="AF6590" s="908">
        <v>0</v>
      </c>
    </row>
    <row r="6591" spans="32:32" ht="24" customHeight="1">
      <c r="AF6591" s="908">
        <v>0</v>
      </c>
    </row>
    <row r="6592" spans="32:32" ht="24" customHeight="1">
      <c r="AF6592" s="908">
        <v>0</v>
      </c>
    </row>
    <row r="6593" spans="32:32" ht="24" customHeight="1">
      <c r="AF6593" s="908">
        <v>0</v>
      </c>
    </row>
    <row r="6594" spans="32:32" ht="24" customHeight="1">
      <c r="AF6594" s="908">
        <v>0</v>
      </c>
    </row>
    <row r="6595" spans="32:32" ht="24" customHeight="1">
      <c r="AF6595" s="908">
        <v>0</v>
      </c>
    </row>
    <row r="6596" spans="32:32" ht="24" customHeight="1">
      <c r="AF6596" s="908">
        <v>0</v>
      </c>
    </row>
    <row r="6597" spans="32:32" ht="24" customHeight="1">
      <c r="AF6597" s="908">
        <v>0</v>
      </c>
    </row>
    <row r="6598" spans="32:32" ht="24" customHeight="1">
      <c r="AF6598" s="908">
        <v>0</v>
      </c>
    </row>
    <row r="6599" spans="32:32" ht="24" customHeight="1">
      <c r="AF6599" s="908">
        <v>0</v>
      </c>
    </row>
    <row r="6600" spans="32:32" ht="24" customHeight="1">
      <c r="AF6600" s="908">
        <v>0</v>
      </c>
    </row>
    <row r="6601" spans="32:32" ht="24" customHeight="1">
      <c r="AF6601" s="908">
        <v>0</v>
      </c>
    </row>
    <row r="6602" spans="32:32" ht="24" customHeight="1">
      <c r="AF6602" s="908">
        <v>0</v>
      </c>
    </row>
    <row r="6603" spans="32:32" ht="24" customHeight="1">
      <c r="AF6603" s="908">
        <v>0</v>
      </c>
    </row>
    <row r="6604" spans="32:32" ht="24" customHeight="1">
      <c r="AF6604" s="908">
        <v>0</v>
      </c>
    </row>
    <row r="6605" spans="32:32" ht="24" customHeight="1">
      <c r="AF6605" s="908">
        <v>0</v>
      </c>
    </row>
    <row r="6606" spans="32:32" ht="24" customHeight="1">
      <c r="AF6606" s="908">
        <v>0</v>
      </c>
    </row>
    <row r="6607" spans="32:32" ht="24" customHeight="1">
      <c r="AF6607" s="908">
        <v>0</v>
      </c>
    </row>
    <row r="6608" spans="32:32" ht="24" customHeight="1">
      <c r="AF6608" s="908">
        <v>0</v>
      </c>
    </row>
    <row r="6609" spans="32:32" ht="24" customHeight="1">
      <c r="AF6609" s="908">
        <v>0</v>
      </c>
    </row>
    <row r="6610" spans="32:32" ht="24" customHeight="1">
      <c r="AF6610" s="908">
        <v>0</v>
      </c>
    </row>
    <row r="6611" spans="32:32" ht="24" customHeight="1">
      <c r="AF6611" s="908">
        <v>0</v>
      </c>
    </row>
    <row r="6612" spans="32:32" ht="24" customHeight="1">
      <c r="AF6612" s="908">
        <v>0</v>
      </c>
    </row>
    <row r="6613" spans="32:32" ht="24" customHeight="1">
      <c r="AF6613" s="908">
        <v>0</v>
      </c>
    </row>
    <row r="6614" spans="32:32" ht="24" customHeight="1">
      <c r="AF6614" s="908">
        <v>0</v>
      </c>
    </row>
    <row r="6615" spans="32:32" ht="24" customHeight="1">
      <c r="AF6615" s="908">
        <v>0</v>
      </c>
    </row>
    <row r="6616" spans="32:32" ht="24" customHeight="1">
      <c r="AF6616" s="908">
        <v>0</v>
      </c>
    </row>
    <row r="6617" spans="32:32" ht="24" customHeight="1">
      <c r="AF6617" s="908">
        <v>0</v>
      </c>
    </row>
    <row r="6618" spans="32:32" ht="24" customHeight="1">
      <c r="AF6618" s="908">
        <v>0</v>
      </c>
    </row>
    <row r="6619" spans="32:32" ht="24" customHeight="1">
      <c r="AF6619" s="908">
        <v>0</v>
      </c>
    </row>
    <row r="6620" spans="32:32" ht="24" customHeight="1">
      <c r="AF6620" s="908">
        <v>0</v>
      </c>
    </row>
    <row r="6621" spans="32:32" ht="24" customHeight="1">
      <c r="AF6621" s="908">
        <v>0</v>
      </c>
    </row>
    <row r="6622" spans="32:32" ht="24" customHeight="1">
      <c r="AF6622" s="908">
        <v>0</v>
      </c>
    </row>
    <row r="6623" spans="32:32" ht="24" customHeight="1">
      <c r="AF6623" s="908">
        <v>0</v>
      </c>
    </row>
    <row r="6624" spans="32:32" ht="24" customHeight="1">
      <c r="AF6624" s="908">
        <v>0</v>
      </c>
    </row>
    <row r="6625" spans="32:32" ht="24" customHeight="1">
      <c r="AF6625" s="908">
        <v>0</v>
      </c>
    </row>
    <row r="6626" spans="32:32" ht="24" customHeight="1">
      <c r="AF6626" s="908">
        <v>0</v>
      </c>
    </row>
    <row r="6627" spans="32:32" ht="24" customHeight="1">
      <c r="AF6627" s="908">
        <v>0</v>
      </c>
    </row>
    <row r="6628" spans="32:32" ht="24" customHeight="1">
      <c r="AF6628" s="908">
        <v>0</v>
      </c>
    </row>
    <row r="6629" spans="32:32" ht="24" customHeight="1">
      <c r="AF6629" s="908">
        <v>0</v>
      </c>
    </row>
    <row r="6630" spans="32:32" ht="24" customHeight="1">
      <c r="AF6630" s="908">
        <v>0</v>
      </c>
    </row>
    <row r="6631" spans="32:32" ht="24" customHeight="1">
      <c r="AF6631" s="908">
        <v>0</v>
      </c>
    </row>
    <row r="6632" spans="32:32" ht="24" customHeight="1">
      <c r="AF6632" s="908">
        <v>0</v>
      </c>
    </row>
    <row r="6633" spans="32:32" ht="24" customHeight="1">
      <c r="AF6633" s="908">
        <v>0</v>
      </c>
    </row>
    <row r="6634" spans="32:32" ht="24" customHeight="1">
      <c r="AF6634" s="908">
        <v>0</v>
      </c>
    </row>
    <row r="6635" spans="32:32" ht="24" customHeight="1">
      <c r="AF6635" s="908">
        <v>0</v>
      </c>
    </row>
    <row r="6636" spans="32:32" ht="24" customHeight="1">
      <c r="AF6636" s="908">
        <v>0</v>
      </c>
    </row>
    <row r="6637" spans="32:32" ht="24" customHeight="1">
      <c r="AF6637" s="908">
        <v>0</v>
      </c>
    </row>
    <row r="6638" spans="32:32" ht="24" customHeight="1">
      <c r="AF6638" s="908">
        <v>0</v>
      </c>
    </row>
    <row r="6639" spans="32:32" ht="24" customHeight="1">
      <c r="AF6639" s="908">
        <v>0</v>
      </c>
    </row>
    <row r="6640" spans="32:32" ht="24" customHeight="1">
      <c r="AF6640" s="908">
        <v>0</v>
      </c>
    </row>
    <row r="6641" spans="32:32" ht="24" customHeight="1">
      <c r="AF6641" s="908">
        <v>0</v>
      </c>
    </row>
    <row r="6642" spans="32:32" ht="24" customHeight="1">
      <c r="AF6642" s="908">
        <v>0</v>
      </c>
    </row>
    <row r="6643" spans="32:32" ht="24" customHeight="1">
      <c r="AF6643" s="908">
        <v>0</v>
      </c>
    </row>
    <row r="6644" spans="32:32" ht="24" customHeight="1">
      <c r="AF6644" s="908">
        <v>0</v>
      </c>
    </row>
    <row r="6645" spans="32:32" ht="24" customHeight="1">
      <c r="AF6645" s="908">
        <v>0</v>
      </c>
    </row>
    <row r="6646" spans="32:32" ht="24" customHeight="1">
      <c r="AF6646" s="908">
        <v>0</v>
      </c>
    </row>
    <row r="6647" spans="32:32" ht="24" customHeight="1">
      <c r="AF6647" s="908">
        <v>0</v>
      </c>
    </row>
    <row r="6648" spans="32:32" ht="24" customHeight="1">
      <c r="AF6648" s="908">
        <v>0</v>
      </c>
    </row>
    <row r="6649" spans="32:32" ht="24" customHeight="1">
      <c r="AF6649" s="908">
        <v>0</v>
      </c>
    </row>
    <row r="6650" spans="32:32" ht="24" customHeight="1">
      <c r="AF6650" s="908">
        <v>0</v>
      </c>
    </row>
    <row r="6651" spans="32:32" ht="24" customHeight="1">
      <c r="AF6651" s="908">
        <v>0</v>
      </c>
    </row>
    <row r="6652" spans="32:32" ht="24" customHeight="1">
      <c r="AF6652" s="908">
        <v>0</v>
      </c>
    </row>
    <row r="6653" spans="32:32" ht="24" customHeight="1">
      <c r="AF6653" s="908">
        <v>0</v>
      </c>
    </row>
    <row r="6654" spans="32:32" ht="24" customHeight="1">
      <c r="AF6654" s="908">
        <v>0</v>
      </c>
    </row>
    <row r="6655" spans="32:32" ht="24" customHeight="1">
      <c r="AF6655" s="908">
        <v>0</v>
      </c>
    </row>
    <row r="6656" spans="32:32" ht="24" customHeight="1">
      <c r="AF6656" s="908">
        <v>0</v>
      </c>
    </row>
    <row r="6657" spans="32:32" ht="24" customHeight="1">
      <c r="AF6657" s="908">
        <v>0</v>
      </c>
    </row>
    <row r="6658" spans="32:32" ht="24" customHeight="1">
      <c r="AF6658" s="908">
        <v>0</v>
      </c>
    </row>
    <row r="6659" spans="32:32" ht="24" customHeight="1">
      <c r="AF6659" s="908">
        <v>0</v>
      </c>
    </row>
    <row r="6660" spans="32:32" ht="24" customHeight="1">
      <c r="AF6660" s="908">
        <v>0</v>
      </c>
    </row>
    <row r="6661" spans="32:32" ht="24" customHeight="1">
      <c r="AF6661" s="908">
        <v>0</v>
      </c>
    </row>
    <row r="6662" spans="32:32" ht="24" customHeight="1">
      <c r="AF6662" s="908">
        <v>0</v>
      </c>
    </row>
    <row r="6663" spans="32:32" ht="24" customHeight="1">
      <c r="AF6663" s="908">
        <v>0</v>
      </c>
    </row>
    <row r="6664" spans="32:32" ht="24" customHeight="1">
      <c r="AF6664" s="908">
        <v>0</v>
      </c>
    </row>
    <row r="6665" spans="32:32" ht="24" customHeight="1">
      <c r="AF6665" s="908">
        <v>0</v>
      </c>
    </row>
    <row r="6666" spans="32:32" ht="24" customHeight="1">
      <c r="AF6666" s="908">
        <v>0</v>
      </c>
    </row>
    <row r="6667" spans="32:32" ht="24" customHeight="1">
      <c r="AF6667" s="908">
        <v>0</v>
      </c>
    </row>
    <row r="6668" spans="32:32" ht="24" customHeight="1">
      <c r="AF6668" s="908">
        <v>0</v>
      </c>
    </row>
    <row r="6669" spans="32:32" ht="24" customHeight="1">
      <c r="AF6669" s="908">
        <v>0</v>
      </c>
    </row>
    <row r="6670" spans="32:32" ht="24" customHeight="1">
      <c r="AF6670" s="908">
        <v>0</v>
      </c>
    </row>
    <row r="6671" spans="32:32" ht="24" customHeight="1">
      <c r="AF6671" s="908">
        <v>0</v>
      </c>
    </row>
    <row r="6672" spans="32:32" ht="24" customHeight="1">
      <c r="AF6672" s="908">
        <v>0</v>
      </c>
    </row>
    <row r="6673" spans="32:32" ht="24" customHeight="1">
      <c r="AF6673" s="908">
        <v>0</v>
      </c>
    </row>
    <row r="6674" spans="32:32" ht="24" customHeight="1">
      <c r="AF6674" s="908">
        <v>0</v>
      </c>
    </row>
    <row r="6675" spans="32:32" ht="24" customHeight="1">
      <c r="AF6675" s="908">
        <v>0</v>
      </c>
    </row>
    <row r="6676" spans="32:32" ht="24" customHeight="1">
      <c r="AF6676" s="908">
        <v>0</v>
      </c>
    </row>
    <row r="6677" spans="32:32" ht="24" customHeight="1">
      <c r="AF6677" s="908">
        <v>0</v>
      </c>
    </row>
    <row r="6678" spans="32:32" ht="24" customHeight="1">
      <c r="AF6678" s="908">
        <v>0</v>
      </c>
    </row>
    <row r="6679" spans="32:32" ht="24" customHeight="1">
      <c r="AF6679" s="908">
        <v>0</v>
      </c>
    </row>
    <row r="6680" spans="32:32" ht="24" customHeight="1">
      <c r="AF6680" s="908">
        <v>0</v>
      </c>
    </row>
    <row r="6681" spans="32:32" ht="24" customHeight="1">
      <c r="AF6681" s="908">
        <v>0</v>
      </c>
    </row>
    <row r="6682" spans="32:32" ht="24" customHeight="1">
      <c r="AF6682" s="908">
        <v>0</v>
      </c>
    </row>
    <row r="6683" spans="32:32" ht="24" customHeight="1">
      <c r="AF6683" s="908">
        <v>0</v>
      </c>
    </row>
    <row r="6684" spans="32:32" ht="24" customHeight="1">
      <c r="AF6684" s="908">
        <v>0</v>
      </c>
    </row>
    <row r="6685" spans="32:32" ht="24" customHeight="1">
      <c r="AF6685" s="908">
        <v>0</v>
      </c>
    </row>
    <row r="6686" spans="32:32" ht="24" customHeight="1">
      <c r="AF6686" s="908">
        <v>0</v>
      </c>
    </row>
    <row r="6687" spans="32:32" ht="24" customHeight="1">
      <c r="AF6687" s="908">
        <v>0</v>
      </c>
    </row>
    <row r="6688" spans="32:32" ht="24" customHeight="1">
      <c r="AF6688" s="908">
        <v>0</v>
      </c>
    </row>
    <row r="6689" spans="32:32" ht="24" customHeight="1">
      <c r="AF6689" s="908">
        <v>0</v>
      </c>
    </row>
    <row r="6690" spans="32:32" ht="24" customHeight="1">
      <c r="AF6690" s="908">
        <v>0</v>
      </c>
    </row>
    <row r="6691" spans="32:32" ht="24" customHeight="1">
      <c r="AF6691" s="908">
        <v>0</v>
      </c>
    </row>
    <row r="6692" spans="32:32" ht="24" customHeight="1">
      <c r="AF6692" s="908">
        <v>0</v>
      </c>
    </row>
    <row r="6693" spans="32:32" ht="24" customHeight="1">
      <c r="AF6693" s="908">
        <v>0</v>
      </c>
    </row>
    <row r="6694" spans="32:32" ht="24" customHeight="1">
      <c r="AF6694" s="908">
        <v>0</v>
      </c>
    </row>
    <row r="6695" spans="32:32" ht="24" customHeight="1">
      <c r="AF6695" s="908">
        <v>0</v>
      </c>
    </row>
    <row r="6696" spans="32:32" ht="24" customHeight="1">
      <c r="AF6696" s="908">
        <v>0</v>
      </c>
    </row>
    <row r="6697" spans="32:32" ht="24" customHeight="1">
      <c r="AF6697" s="908">
        <v>0</v>
      </c>
    </row>
    <row r="6698" spans="32:32" ht="24" customHeight="1">
      <c r="AF6698" s="908">
        <v>0</v>
      </c>
    </row>
    <row r="6699" spans="32:32" ht="24" customHeight="1">
      <c r="AF6699" s="908">
        <v>0</v>
      </c>
    </row>
    <row r="6700" spans="32:32" ht="24" customHeight="1">
      <c r="AF6700" s="908">
        <v>0</v>
      </c>
    </row>
    <row r="6701" spans="32:32" ht="24" customHeight="1">
      <c r="AF6701" s="908">
        <v>0</v>
      </c>
    </row>
    <row r="6702" spans="32:32" ht="24" customHeight="1">
      <c r="AF6702" s="908">
        <v>0</v>
      </c>
    </row>
    <row r="6703" spans="32:32" ht="24" customHeight="1">
      <c r="AF6703" s="908">
        <v>0</v>
      </c>
    </row>
    <row r="6704" spans="32:32" ht="24" customHeight="1">
      <c r="AF6704" s="908">
        <v>0</v>
      </c>
    </row>
    <row r="6705" spans="32:32" ht="24" customHeight="1">
      <c r="AF6705" s="908">
        <v>0</v>
      </c>
    </row>
    <row r="6706" spans="32:32" ht="24" customHeight="1">
      <c r="AF6706" s="908">
        <v>0</v>
      </c>
    </row>
    <row r="6707" spans="32:32" ht="24" customHeight="1">
      <c r="AF6707" s="908">
        <v>0</v>
      </c>
    </row>
    <row r="6708" spans="32:32" ht="24" customHeight="1">
      <c r="AF6708" s="908">
        <v>0</v>
      </c>
    </row>
    <row r="6709" spans="32:32" ht="24" customHeight="1">
      <c r="AF6709" s="908">
        <v>0</v>
      </c>
    </row>
    <row r="6710" spans="32:32" ht="24" customHeight="1">
      <c r="AF6710" s="908">
        <v>0</v>
      </c>
    </row>
    <row r="6711" spans="32:32" ht="24" customHeight="1">
      <c r="AF6711" s="908">
        <v>0</v>
      </c>
    </row>
    <row r="6712" spans="32:32" ht="24" customHeight="1">
      <c r="AF6712" s="908">
        <v>0</v>
      </c>
    </row>
    <row r="6713" spans="32:32" ht="24" customHeight="1">
      <c r="AF6713" s="908">
        <v>0</v>
      </c>
    </row>
    <row r="6714" spans="32:32" ht="24" customHeight="1">
      <c r="AF6714" s="908">
        <v>0</v>
      </c>
    </row>
    <row r="6715" spans="32:32" ht="24" customHeight="1">
      <c r="AF6715" s="908">
        <v>0</v>
      </c>
    </row>
    <row r="6716" spans="32:32" ht="24" customHeight="1">
      <c r="AF6716" s="908">
        <v>0</v>
      </c>
    </row>
    <row r="6717" spans="32:32" ht="24" customHeight="1">
      <c r="AF6717" s="908">
        <v>0</v>
      </c>
    </row>
    <row r="6718" spans="32:32" ht="24" customHeight="1">
      <c r="AF6718" s="908">
        <v>0</v>
      </c>
    </row>
    <row r="6719" spans="32:32" ht="24" customHeight="1">
      <c r="AF6719" s="908">
        <v>0</v>
      </c>
    </row>
    <row r="6720" spans="32:32" ht="24" customHeight="1">
      <c r="AF6720" s="908">
        <v>0</v>
      </c>
    </row>
    <row r="6721" spans="32:32" ht="24" customHeight="1">
      <c r="AF6721" s="908">
        <v>0</v>
      </c>
    </row>
    <row r="6722" spans="32:32" ht="24" customHeight="1">
      <c r="AF6722" s="908">
        <v>0</v>
      </c>
    </row>
    <row r="6723" spans="32:32" ht="24" customHeight="1">
      <c r="AF6723" s="908">
        <v>0</v>
      </c>
    </row>
    <row r="6724" spans="32:32" ht="24" customHeight="1">
      <c r="AF6724" s="908">
        <v>0</v>
      </c>
    </row>
    <row r="6725" spans="32:32" ht="24" customHeight="1">
      <c r="AF6725" s="908">
        <v>0</v>
      </c>
    </row>
    <row r="6726" spans="32:32" ht="24" customHeight="1">
      <c r="AF6726" s="908">
        <v>0</v>
      </c>
    </row>
    <row r="6727" spans="32:32" ht="24" customHeight="1">
      <c r="AF6727" s="908">
        <v>0</v>
      </c>
    </row>
    <row r="6728" spans="32:32" ht="24" customHeight="1">
      <c r="AF6728" s="908">
        <v>0</v>
      </c>
    </row>
    <row r="6729" spans="32:32" ht="24" customHeight="1">
      <c r="AF6729" s="908">
        <v>0</v>
      </c>
    </row>
    <row r="6730" spans="32:32" ht="24" customHeight="1">
      <c r="AF6730" s="908">
        <v>0</v>
      </c>
    </row>
    <row r="6731" spans="32:32" ht="24" customHeight="1">
      <c r="AF6731" s="908">
        <v>0</v>
      </c>
    </row>
    <row r="6732" spans="32:32" ht="24" customHeight="1">
      <c r="AF6732" s="908">
        <v>0</v>
      </c>
    </row>
    <row r="6733" spans="32:32" ht="24" customHeight="1">
      <c r="AF6733" s="908">
        <v>0</v>
      </c>
    </row>
    <row r="6734" spans="32:32" ht="24" customHeight="1">
      <c r="AF6734" s="908">
        <v>0</v>
      </c>
    </row>
    <row r="6735" spans="32:32" ht="24" customHeight="1">
      <c r="AF6735" s="908">
        <v>0</v>
      </c>
    </row>
    <row r="6736" spans="32:32" ht="24" customHeight="1">
      <c r="AF6736" s="908">
        <v>0</v>
      </c>
    </row>
    <row r="6737" spans="32:32" ht="24" customHeight="1">
      <c r="AF6737" s="908">
        <v>0</v>
      </c>
    </row>
    <row r="6738" spans="32:32" ht="24" customHeight="1">
      <c r="AF6738" s="908">
        <v>0</v>
      </c>
    </row>
    <row r="6739" spans="32:32" ht="24" customHeight="1">
      <c r="AF6739" s="908">
        <v>0</v>
      </c>
    </row>
    <row r="6740" spans="32:32" ht="24" customHeight="1">
      <c r="AF6740" s="908">
        <v>0</v>
      </c>
    </row>
    <row r="6741" spans="32:32" ht="24" customHeight="1">
      <c r="AF6741" s="908">
        <v>0</v>
      </c>
    </row>
    <row r="6742" spans="32:32" ht="24" customHeight="1">
      <c r="AF6742" s="908">
        <v>0</v>
      </c>
    </row>
    <row r="6743" spans="32:32" ht="24" customHeight="1">
      <c r="AF6743" s="908">
        <v>0</v>
      </c>
    </row>
    <row r="6744" spans="32:32" ht="24" customHeight="1">
      <c r="AF6744" s="908">
        <v>0</v>
      </c>
    </row>
    <row r="6745" spans="32:32" ht="24" customHeight="1">
      <c r="AF6745" s="908">
        <v>0</v>
      </c>
    </row>
    <row r="6746" spans="32:32" ht="24" customHeight="1">
      <c r="AF6746" s="908">
        <v>0</v>
      </c>
    </row>
    <row r="6747" spans="32:32" ht="24" customHeight="1">
      <c r="AF6747" s="908">
        <v>0</v>
      </c>
    </row>
    <row r="6748" spans="32:32" ht="24" customHeight="1">
      <c r="AF6748" s="908">
        <v>0</v>
      </c>
    </row>
    <row r="6749" spans="32:32" ht="24" customHeight="1">
      <c r="AF6749" s="908">
        <v>0</v>
      </c>
    </row>
    <row r="6750" spans="32:32" ht="24" customHeight="1">
      <c r="AF6750" s="908">
        <v>0</v>
      </c>
    </row>
    <row r="6751" spans="32:32" ht="24" customHeight="1">
      <c r="AF6751" s="908">
        <v>0</v>
      </c>
    </row>
    <row r="6752" spans="32:32" ht="24" customHeight="1">
      <c r="AF6752" s="908">
        <v>0</v>
      </c>
    </row>
    <row r="6753" spans="32:32" ht="24" customHeight="1">
      <c r="AF6753" s="908">
        <v>0</v>
      </c>
    </row>
    <row r="6754" spans="32:32" ht="24" customHeight="1">
      <c r="AF6754" s="908">
        <v>0</v>
      </c>
    </row>
    <row r="6755" spans="32:32" ht="24" customHeight="1">
      <c r="AF6755" s="908">
        <v>0</v>
      </c>
    </row>
    <row r="6756" spans="32:32" ht="24" customHeight="1">
      <c r="AF6756" s="908">
        <v>0</v>
      </c>
    </row>
    <row r="6757" spans="32:32" ht="24" customHeight="1">
      <c r="AF6757" s="908">
        <v>0</v>
      </c>
    </row>
    <row r="6758" spans="32:32" ht="24" customHeight="1">
      <c r="AF6758" s="908">
        <v>0</v>
      </c>
    </row>
    <row r="6759" spans="32:32" ht="24" customHeight="1">
      <c r="AF6759" s="908">
        <v>0</v>
      </c>
    </row>
    <row r="6760" spans="32:32" ht="24" customHeight="1">
      <c r="AF6760" s="908">
        <v>0</v>
      </c>
    </row>
    <row r="6761" spans="32:32" ht="24" customHeight="1">
      <c r="AF6761" s="908">
        <v>0</v>
      </c>
    </row>
    <row r="6762" spans="32:32" ht="24" customHeight="1">
      <c r="AF6762" s="908">
        <v>0</v>
      </c>
    </row>
    <row r="6763" spans="32:32" ht="24" customHeight="1">
      <c r="AF6763" s="908">
        <v>0</v>
      </c>
    </row>
    <row r="6764" spans="32:32" ht="24" customHeight="1">
      <c r="AF6764" s="908">
        <v>0</v>
      </c>
    </row>
    <row r="6765" spans="32:32" ht="24" customHeight="1">
      <c r="AF6765" s="908">
        <v>0</v>
      </c>
    </row>
    <row r="6766" spans="32:32" ht="24" customHeight="1">
      <c r="AF6766" s="908">
        <v>0</v>
      </c>
    </row>
    <row r="6767" spans="32:32" ht="24" customHeight="1">
      <c r="AF6767" s="908">
        <v>0</v>
      </c>
    </row>
    <row r="6768" spans="32:32" ht="24" customHeight="1">
      <c r="AF6768" s="908">
        <v>0</v>
      </c>
    </row>
    <row r="6769" spans="32:32" ht="24" customHeight="1">
      <c r="AF6769" s="908">
        <v>0</v>
      </c>
    </row>
    <row r="6770" spans="32:32" ht="24" customHeight="1">
      <c r="AF6770" s="908">
        <v>0</v>
      </c>
    </row>
    <row r="6771" spans="32:32" ht="24" customHeight="1">
      <c r="AF6771" s="908">
        <v>0</v>
      </c>
    </row>
    <row r="6772" spans="32:32" ht="24" customHeight="1">
      <c r="AF6772" s="908">
        <v>0</v>
      </c>
    </row>
    <row r="6773" spans="32:32" ht="24" customHeight="1">
      <c r="AF6773" s="908">
        <v>0</v>
      </c>
    </row>
    <row r="6774" spans="32:32" ht="24" customHeight="1">
      <c r="AF6774" s="908">
        <v>0</v>
      </c>
    </row>
    <row r="6775" spans="32:32" ht="24" customHeight="1">
      <c r="AF6775" s="908">
        <v>0</v>
      </c>
    </row>
    <row r="6776" spans="32:32" ht="24" customHeight="1">
      <c r="AF6776" s="908">
        <v>0</v>
      </c>
    </row>
    <row r="6777" spans="32:32" ht="24" customHeight="1">
      <c r="AF6777" s="908">
        <v>0</v>
      </c>
    </row>
    <row r="6778" spans="32:32" ht="24" customHeight="1">
      <c r="AF6778" s="908">
        <v>0</v>
      </c>
    </row>
    <row r="6779" spans="32:32" ht="24" customHeight="1">
      <c r="AF6779" s="908">
        <v>0</v>
      </c>
    </row>
    <row r="6780" spans="32:32" ht="24" customHeight="1">
      <c r="AF6780" s="908">
        <v>0</v>
      </c>
    </row>
    <row r="6781" spans="32:32" ht="24" customHeight="1">
      <c r="AF6781" s="908">
        <v>0</v>
      </c>
    </row>
    <row r="6782" spans="32:32" ht="24" customHeight="1">
      <c r="AF6782" s="908">
        <v>0</v>
      </c>
    </row>
    <row r="6783" spans="32:32" ht="24" customHeight="1">
      <c r="AF6783" s="908">
        <v>0</v>
      </c>
    </row>
    <row r="6784" spans="32:32" ht="24" customHeight="1">
      <c r="AF6784" s="908">
        <v>0</v>
      </c>
    </row>
    <row r="6785" spans="32:32" ht="24" customHeight="1">
      <c r="AF6785" s="908">
        <v>0</v>
      </c>
    </row>
    <row r="6786" spans="32:32" ht="24" customHeight="1">
      <c r="AF6786" s="908">
        <v>0</v>
      </c>
    </row>
    <row r="6787" spans="32:32" ht="24" customHeight="1">
      <c r="AF6787" s="908">
        <v>0</v>
      </c>
    </row>
    <row r="6788" spans="32:32" ht="24" customHeight="1">
      <c r="AF6788" s="908">
        <v>0</v>
      </c>
    </row>
    <row r="6789" spans="32:32" ht="24" customHeight="1">
      <c r="AF6789" s="908">
        <v>0</v>
      </c>
    </row>
    <row r="6790" spans="32:32" ht="24" customHeight="1">
      <c r="AF6790" s="908">
        <v>0</v>
      </c>
    </row>
    <row r="6791" spans="32:32" ht="24" customHeight="1">
      <c r="AF6791" s="908">
        <v>0</v>
      </c>
    </row>
    <row r="6792" spans="32:32" ht="24" customHeight="1">
      <c r="AF6792" s="908">
        <v>0</v>
      </c>
    </row>
    <row r="6793" spans="32:32" ht="24" customHeight="1">
      <c r="AF6793" s="908">
        <v>0</v>
      </c>
    </row>
    <row r="6794" spans="32:32" ht="24" customHeight="1">
      <c r="AF6794" s="908">
        <v>0</v>
      </c>
    </row>
    <row r="6795" spans="32:32" ht="24" customHeight="1">
      <c r="AF6795" s="908">
        <v>0</v>
      </c>
    </row>
    <row r="6796" spans="32:32" ht="24" customHeight="1">
      <c r="AF6796" s="908">
        <v>0</v>
      </c>
    </row>
    <row r="6797" spans="32:32" ht="24" customHeight="1">
      <c r="AF6797" s="908">
        <v>0</v>
      </c>
    </row>
    <row r="6798" spans="32:32" ht="24" customHeight="1">
      <c r="AF6798" s="908">
        <v>0</v>
      </c>
    </row>
    <row r="6799" spans="32:32" ht="24" customHeight="1">
      <c r="AF6799" s="908">
        <v>0</v>
      </c>
    </row>
    <row r="6800" spans="32:32" ht="24" customHeight="1">
      <c r="AF6800" s="908">
        <v>0</v>
      </c>
    </row>
    <row r="6801" spans="32:32" ht="24" customHeight="1">
      <c r="AF6801" s="908">
        <v>0</v>
      </c>
    </row>
    <row r="6802" spans="32:32" ht="24" customHeight="1">
      <c r="AF6802" s="908">
        <v>0</v>
      </c>
    </row>
    <row r="6803" spans="32:32" ht="24" customHeight="1">
      <c r="AF6803" s="908">
        <v>0</v>
      </c>
    </row>
    <row r="6804" spans="32:32" ht="24" customHeight="1">
      <c r="AF6804" s="908">
        <v>0</v>
      </c>
    </row>
    <row r="6805" spans="32:32" ht="24" customHeight="1">
      <c r="AF6805" s="908">
        <v>0</v>
      </c>
    </row>
    <row r="6806" spans="32:32" ht="24" customHeight="1">
      <c r="AF6806" s="908">
        <v>0</v>
      </c>
    </row>
    <row r="6807" spans="32:32" ht="24" customHeight="1">
      <c r="AF6807" s="908">
        <v>0</v>
      </c>
    </row>
    <row r="6808" spans="32:32" ht="24" customHeight="1">
      <c r="AF6808" s="908">
        <v>0</v>
      </c>
    </row>
    <row r="6809" spans="32:32" ht="24" customHeight="1">
      <c r="AF6809" s="908">
        <v>0</v>
      </c>
    </row>
    <row r="6810" spans="32:32" ht="24" customHeight="1">
      <c r="AF6810" s="908">
        <v>0</v>
      </c>
    </row>
    <row r="6811" spans="32:32" ht="24" customHeight="1">
      <c r="AF6811" s="908">
        <v>0</v>
      </c>
    </row>
    <row r="6812" spans="32:32" ht="24" customHeight="1">
      <c r="AF6812" s="908">
        <v>0</v>
      </c>
    </row>
    <row r="6813" spans="32:32" ht="24" customHeight="1">
      <c r="AF6813" s="908">
        <v>0</v>
      </c>
    </row>
    <row r="6814" spans="32:32" ht="24" customHeight="1">
      <c r="AF6814" s="908">
        <v>0</v>
      </c>
    </row>
    <row r="6815" spans="32:32" ht="24" customHeight="1">
      <c r="AF6815" s="908">
        <v>0</v>
      </c>
    </row>
    <row r="6816" spans="32:32" ht="24" customHeight="1">
      <c r="AF6816" s="908">
        <v>0</v>
      </c>
    </row>
    <row r="6817" spans="32:32" ht="24" customHeight="1">
      <c r="AF6817" s="908">
        <v>0</v>
      </c>
    </row>
    <row r="6818" spans="32:32" ht="24" customHeight="1">
      <c r="AF6818" s="908">
        <v>0</v>
      </c>
    </row>
    <row r="6819" spans="32:32" ht="24" customHeight="1">
      <c r="AF6819" s="908">
        <v>0</v>
      </c>
    </row>
    <row r="6820" spans="32:32" ht="24" customHeight="1">
      <c r="AF6820" s="908">
        <v>0</v>
      </c>
    </row>
    <row r="6821" spans="32:32" ht="24" customHeight="1">
      <c r="AF6821" s="908">
        <v>0</v>
      </c>
    </row>
    <row r="6822" spans="32:32" ht="24" customHeight="1">
      <c r="AF6822" s="908">
        <v>0</v>
      </c>
    </row>
    <row r="6823" spans="32:32" ht="24" customHeight="1">
      <c r="AF6823" s="908">
        <v>0</v>
      </c>
    </row>
    <row r="6824" spans="32:32" ht="24" customHeight="1">
      <c r="AF6824" s="908">
        <v>0</v>
      </c>
    </row>
    <row r="6825" spans="32:32" ht="24" customHeight="1">
      <c r="AF6825" s="908">
        <v>0</v>
      </c>
    </row>
    <row r="6826" spans="32:32" ht="24" customHeight="1">
      <c r="AF6826" s="908">
        <v>0</v>
      </c>
    </row>
    <row r="6827" spans="32:32" ht="24" customHeight="1">
      <c r="AF6827" s="908">
        <v>0</v>
      </c>
    </row>
    <row r="6828" spans="32:32" ht="24" customHeight="1">
      <c r="AF6828" s="908">
        <v>0</v>
      </c>
    </row>
    <row r="6829" spans="32:32" ht="24" customHeight="1">
      <c r="AF6829" s="908">
        <v>0</v>
      </c>
    </row>
    <row r="6830" spans="32:32" ht="24" customHeight="1">
      <c r="AF6830" s="908">
        <v>0</v>
      </c>
    </row>
    <row r="6831" spans="32:32" ht="24" customHeight="1">
      <c r="AF6831" s="908">
        <v>0</v>
      </c>
    </row>
    <row r="6832" spans="32:32" ht="24" customHeight="1">
      <c r="AF6832" s="908">
        <v>0</v>
      </c>
    </row>
    <row r="6833" spans="32:32" ht="24" customHeight="1">
      <c r="AF6833" s="908">
        <v>0</v>
      </c>
    </row>
    <row r="6834" spans="32:32" ht="24" customHeight="1">
      <c r="AF6834" s="908">
        <v>0</v>
      </c>
    </row>
    <row r="6835" spans="32:32" ht="24" customHeight="1">
      <c r="AF6835" s="908">
        <v>0</v>
      </c>
    </row>
    <row r="6836" spans="32:32" ht="24" customHeight="1">
      <c r="AF6836" s="908">
        <v>0</v>
      </c>
    </row>
    <row r="6837" spans="32:32" ht="24" customHeight="1">
      <c r="AF6837" s="908">
        <v>0</v>
      </c>
    </row>
    <row r="6838" spans="32:32" ht="24" customHeight="1">
      <c r="AF6838" s="908">
        <v>0</v>
      </c>
    </row>
    <row r="6839" spans="32:32" ht="24" customHeight="1">
      <c r="AF6839" s="908">
        <v>0</v>
      </c>
    </row>
    <row r="6840" spans="32:32" ht="24" customHeight="1">
      <c r="AF6840" s="908">
        <v>0</v>
      </c>
    </row>
    <row r="6841" spans="32:32" ht="24" customHeight="1">
      <c r="AF6841" s="908">
        <v>0</v>
      </c>
    </row>
    <row r="6842" spans="32:32" ht="24" customHeight="1">
      <c r="AF6842" s="908">
        <v>0</v>
      </c>
    </row>
    <row r="6843" spans="32:32" ht="24" customHeight="1">
      <c r="AF6843" s="908">
        <v>0</v>
      </c>
    </row>
    <row r="6844" spans="32:32" ht="24" customHeight="1">
      <c r="AF6844" s="908">
        <v>0</v>
      </c>
    </row>
    <row r="6845" spans="32:32" ht="24" customHeight="1">
      <c r="AF6845" s="908">
        <v>0</v>
      </c>
    </row>
    <row r="6846" spans="32:32" ht="24" customHeight="1">
      <c r="AF6846" s="908">
        <v>0</v>
      </c>
    </row>
    <row r="6847" spans="32:32" ht="24" customHeight="1">
      <c r="AF6847" s="908">
        <v>0</v>
      </c>
    </row>
    <row r="6848" spans="32:32" ht="24" customHeight="1">
      <c r="AF6848" s="908">
        <v>0</v>
      </c>
    </row>
    <row r="6849" spans="32:32" ht="24" customHeight="1">
      <c r="AF6849" s="908">
        <v>0</v>
      </c>
    </row>
    <row r="6850" spans="32:32" ht="24" customHeight="1">
      <c r="AF6850" s="908">
        <v>0</v>
      </c>
    </row>
    <row r="6851" spans="32:32" ht="24" customHeight="1">
      <c r="AF6851" s="908">
        <v>0</v>
      </c>
    </row>
    <row r="6852" spans="32:32" ht="24" customHeight="1">
      <c r="AF6852" s="908">
        <v>0</v>
      </c>
    </row>
    <row r="6853" spans="32:32" ht="24" customHeight="1">
      <c r="AF6853" s="908">
        <v>0</v>
      </c>
    </row>
    <row r="6854" spans="32:32" ht="24" customHeight="1">
      <c r="AF6854" s="908">
        <v>0</v>
      </c>
    </row>
    <row r="6855" spans="32:32" ht="24" customHeight="1">
      <c r="AF6855" s="908">
        <v>0</v>
      </c>
    </row>
    <row r="6856" spans="32:32" ht="24" customHeight="1">
      <c r="AF6856" s="908">
        <v>0</v>
      </c>
    </row>
    <row r="6857" spans="32:32" ht="24" customHeight="1">
      <c r="AF6857" s="908">
        <v>0</v>
      </c>
    </row>
    <row r="6858" spans="32:32" ht="24" customHeight="1">
      <c r="AF6858" s="908">
        <v>0</v>
      </c>
    </row>
    <row r="6859" spans="32:32" ht="24" customHeight="1">
      <c r="AF6859" s="908">
        <v>0</v>
      </c>
    </row>
    <row r="6860" spans="32:32" ht="24" customHeight="1">
      <c r="AF6860" s="908">
        <v>0</v>
      </c>
    </row>
    <row r="6861" spans="32:32" ht="24" customHeight="1">
      <c r="AF6861" s="908">
        <v>0</v>
      </c>
    </row>
    <row r="6862" spans="32:32" ht="24" customHeight="1">
      <c r="AF6862" s="908">
        <v>0</v>
      </c>
    </row>
    <row r="6863" spans="32:32" ht="24" customHeight="1">
      <c r="AF6863" s="908">
        <v>0</v>
      </c>
    </row>
    <row r="6864" spans="32:32" ht="24" customHeight="1">
      <c r="AF6864" s="908">
        <v>0</v>
      </c>
    </row>
    <row r="6865" spans="32:32" ht="24" customHeight="1">
      <c r="AF6865" s="908">
        <v>0</v>
      </c>
    </row>
    <row r="6866" spans="32:32" ht="24" customHeight="1">
      <c r="AF6866" s="908">
        <v>0</v>
      </c>
    </row>
    <row r="6867" spans="32:32" ht="24" customHeight="1">
      <c r="AF6867" s="908">
        <v>0</v>
      </c>
    </row>
    <row r="6868" spans="32:32" ht="24" customHeight="1">
      <c r="AF6868" s="908">
        <v>0</v>
      </c>
    </row>
    <row r="6869" spans="32:32" ht="24" customHeight="1">
      <c r="AF6869" s="908">
        <v>0</v>
      </c>
    </row>
    <row r="6870" spans="32:32" ht="24" customHeight="1">
      <c r="AF6870" s="908">
        <v>0</v>
      </c>
    </row>
    <row r="6871" spans="32:32" ht="24" customHeight="1">
      <c r="AF6871" s="908">
        <v>0</v>
      </c>
    </row>
    <row r="6872" spans="32:32" ht="24" customHeight="1">
      <c r="AF6872" s="908">
        <v>0</v>
      </c>
    </row>
    <row r="6873" spans="32:32" ht="24" customHeight="1">
      <c r="AF6873" s="908">
        <v>0</v>
      </c>
    </row>
    <row r="6874" spans="32:32" ht="24" customHeight="1">
      <c r="AF6874" s="908">
        <v>0</v>
      </c>
    </row>
    <row r="6875" spans="32:32" ht="24" customHeight="1">
      <c r="AF6875" s="908">
        <v>0</v>
      </c>
    </row>
    <row r="6876" spans="32:32" ht="24" customHeight="1">
      <c r="AF6876" s="908">
        <v>0</v>
      </c>
    </row>
    <row r="6877" spans="32:32" ht="24" customHeight="1">
      <c r="AF6877" s="908">
        <v>0</v>
      </c>
    </row>
    <row r="6878" spans="32:32" ht="24" customHeight="1">
      <c r="AF6878" s="908">
        <v>0</v>
      </c>
    </row>
    <row r="6879" spans="32:32" ht="24" customHeight="1">
      <c r="AF6879" s="908">
        <v>0</v>
      </c>
    </row>
    <row r="6880" spans="32:32" ht="24" customHeight="1">
      <c r="AF6880" s="908">
        <v>0</v>
      </c>
    </row>
    <row r="6881" spans="32:32" ht="24" customHeight="1">
      <c r="AF6881" s="908">
        <v>0</v>
      </c>
    </row>
    <row r="6882" spans="32:32" ht="24" customHeight="1">
      <c r="AF6882" s="908">
        <v>0</v>
      </c>
    </row>
    <row r="6883" spans="32:32" ht="24" customHeight="1">
      <c r="AF6883" s="908">
        <v>0</v>
      </c>
    </row>
    <row r="6884" spans="32:32" ht="24" customHeight="1">
      <c r="AF6884" s="908">
        <v>0</v>
      </c>
    </row>
    <row r="6885" spans="32:32" ht="24" customHeight="1">
      <c r="AF6885" s="908">
        <v>0</v>
      </c>
    </row>
    <row r="6886" spans="32:32" ht="24" customHeight="1">
      <c r="AF6886" s="908">
        <v>0</v>
      </c>
    </row>
    <row r="6887" spans="32:32" ht="24" customHeight="1">
      <c r="AF6887" s="908">
        <v>0</v>
      </c>
    </row>
    <row r="6888" spans="32:32" ht="24" customHeight="1">
      <c r="AF6888" s="908">
        <v>0</v>
      </c>
    </row>
    <row r="6889" spans="32:32" ht="24" customHeight="1">
      <c r="AF6889" s="908">
        <v>0</v>
      </c>
    </row>
    <row r="6890" spans="32:32" ht="24" customHeight="1">
      <c r="AF6890" s="908">
        <v>0</v>
      </c>
    </row>
    <row r="6891" spans="32:32" ht="24" customHeight="1">
      <c r="AF6891" s="908">
        <v>0</v>
      </c>
    </row>
    <row r="6892" spans="32:32" ht="24" customHeight="1">
      <c r="AF6892" s="908">
        <v>0</v>
      </c>
    </row>
    <row r="6893" spans="32:32" ht="24" customHeight="1">
      <c r="AF6893" s="908">
        <v>0</v>
      </c>
    </row>
    <row r="6894" spans="32:32" ht="24" customHeight="1">
      <c r="AF6894" s="908">
        <v>0</v>
      </c>
    </row>
    <row r="6895" spans="32:32" ht="24" customHeight="1">
      <c r="AF6895" s="908">
        <v>0</v>
      </c>
    </row>
    <row r="6896" spans="32:32" ht="24" customHeight="1">
      <c r="AF6896" s="908">
        <v>0</v>
      </c>
    </row>
    <row r="6897" spans="32:32" ht="24" customHeight="1">
      <c r="AF6897" s="908">
        <v>0</v>
      </c>
    </row>
    <row r="6898" spans="32:32" ht="24" customHeight="1">
      <c r="AF6898" s="908">
        <v>0</v>
      </c>
    </row>
    <row r="6899" spans="32:32" ht="24" customHeight="1">
      <c r="AF6899" s="908">
        <v>0</v>
      </c>
    </row>
    <row r="6900" spans="32:32" ht="24" customHeight="1">
      <c r="AF6900" s="908">
        <v>0</v>
      </c>
    </row>
    <row r="6901" spans="32:32" ht="24" customHeight="1">
      <c r="AF6901" s="908">
        <v>0</v>
      </c>
    </row>
    <row r="6902" spans="32:32" ht="24" customHeight="1">
      <c r="AF6902" s="908">
        <v>0</v>
      </c>
    </row>
    <row r="6903" spans="32:32" ht="24" customHeight="1">
      <c r="AF6903" s="908">
        <v>0</v>
      </c>
    </row>
    <row r="6904" spans="32:32" ht="24" customHeight="1">
      <c r="AF6904" s="908">
        <v>0</v>
      </c>
    </row>
    <row r="6905" spans="32:32" ht="24" customHeight="1">
      <c r="AF6905" s="908">
        <v>0</v>
      </c>
    </row>
    <row r="6906" spans="32:32" ht="24" customHeight="1">
      <c r="AF6906" s="908">
        <v>0</v>
      </c>
    </row>
    <row r="6907" spans="32:32" ht="24" customHeight="1">
      <c r="AF6907" s="908">
        <v>0</v>
      </c>
    </row>
    <row r="6908" spans="32:32" ht="24" customHeight="1">
      <c r="AF6908" s="908">
        <v>0</v>
      </c>
    </row>
    <row r="6909" spans="32:32" ht="24" customHeight="1">
      <c r="AF6909" s="908">
        <v>0</v>
      </c>
    </row>
    <row r="6910" spans="32:32" ht="24" customHeight="1">
      <c r="AF6910" s="908">
        <v>0</v>
      </c>
    </row>
    <row r="6911" spans="32:32" ht="24" customHeight="1">
      <c r="AF6911" s="908">
        <v>0</v>
      </c>
    </row>
    <row r="6912" spans="32:32" ht="24" customHeight="1">
      <c r="AF6912" s="908">
        <v>0</v>
      </c>
    </row>
    <row r="6913" spans="32:32" ht="24" customHeight="1">
      <c r="AF6913" s="908">
        <v>0</v>
      </c>
    </row>
    <row r="6914" spans="32:32" ht="24" customHeight="1">
      <c r="AF6914" s="908">
        <v>0</v>
      </c>
    </row>
    <row r="6915" spans="32:32" ht="24" customHeight="1">
      <c r="AF6915" s="908">
        <v>0</v>
      </c>
    </row>
    <row r="6916" spans="32:32" ht="24" customHeight="1">
      <c r="AF6916" s="908">
        <v>0</v>
      </c>
    </row>
    <row r="6917" spans="32:32" ht="24" customHeight="1">
      <c r="AF6917" s="908">
        <v>0</v>
      </c>
    </row>
    <row r="6918" spans="32:32" ht="24" customHeight="1">
      <c r="AF6918" s="908">
        <v>0</v>
      </c>
    </row>
    <row r="6919" spans="32:32" ht="24" customHeight="1">
      <c r="AF6919" s="908">
        <v>0</v>
      </c>
    </row>
    <row r="6920" spans="32:32" ht="24" customHeight="1">
      <c r="AF6920" s="908">
        <v>0</v>
      </c>
    </row>
    <row r="6921" spans="32:32" ht="24" customHeight="1">
      <c r="AF6921" s="908">
        <v>0</v>
      </c>
    </row>
    <row r="6922" spans="32:32" ht="24" customHeight="1">
      <c r="AF6922" s="908">
        <v>0</v>
      </c>
    </row>
    <row r="6923" spans="32:32" ht="24" customHeight="1">
      <c r="AF6923" s="908">
        <v>0</v>
      </c>
    </row>
    <row r="6924" spans="32:32" ht="24" customHeight="1">
      <c r="AF6924" s="908">
        <v>0</v>
      </c>
    </row>
    <row r="6925" spans="32:32" ht="24" customHeight="1">
      <c r="AF6925" s="908">
        <v>0</v>
      </c>
    </row>
    <row r="6926" spans="32:32" ht="24" customHeight="1">
      <c r="AF6926" s="908">
        <v>0</v>
      </c>
    </row>
    <row r="6927" spans="32:32" ht="24" customHeight="1">
      <c r="AF6927" s="908">
        <v>0</v>
      </c>
    </row>
    <row r="6928" spans="32:32" ht="24" customHeight="1">
      <c r="AF6928" s="908">
        <v>0</v>
      </c>
    </row>
    <row r="6929" spans="32:32" ht="24" customHeight="1">
      <c r="AF6929" s="908">
        <v>0</v>
      </c>
    </row>
    <row r="6930" spans="32:32" ht="24" customHeight="1">
      <c r="AF6930" s="908">
        <v>0</v>
      </c>
    </row>
    <row r="6931" spans="32:32" ht="24" customHeight="1">
      <c r="AF6931" s="908">
        <v>0</v>
      </c>
    </row>
    <row r="6932" spans="32:32" ht="24" customHeight="1">
      <c r="AF6932" s="908">
        <v>0</v>
      </c>
    </row>
    <row r="6933" spans="32:32" ht="24" customHeight="1">
      <c r="AF6933" s="908">
        <v>0</v>
      </c>
    </row>
    <row r="6934" spans="32:32" ht="24" customHeight="1">
      <c r="AF6934" s="908">
        <v>0</v>
      </c>
    </row>
    <row r="6935" spans="32:32" ht="24" customHeight="1">
      <c r="AF6935" s="908">
        <v>0</v>
      </c>
    </row>
    <row r="6936" spans="32:32" ht="24" customHeight="1">
      <c r="AF6936" s="908">
        <v>0</v>
      </c>
    </row>
    <row r="6937" spans="32:32" ht="24" customHeight="1">
      <c r="AF6937" s="908">
        <v>0</v>
      </c>
    </row>
    <row r="6938" spans="32:32" ht="24" customHeight="1">
      <c r="AF6938" s="908">
        <v>0</v>
      </c>
    </row>
    <row r="6939" spans="32:32" ht="24" customHeight="1">
      <c r="AF6939" s="908">
        <v>0</v>
      </c>
    </row>
    <row r="6940" spans="32:32" ht="24" customHeight="1">
      <c r="AF6940" s="908">
        <v>0</v>
      </c>
    </row>
    <row r="6941" spans="32:32" ht="24" customHeight="1">
      <c r="AF6941" s="908">
        <v>0</v>
      </c>
    </row>
    <row r="6942" spans="32:32" ht="24" customHeight="1">
      <c r="AF6942" s="908">
        <v>0</v>
      </c>
    </row>
    <row r="6943" spans="32:32" ht="24" customHeight="1">
      <c r="AF6943" s="908">
        <v>0</v>
      </c>
    </row>
    <row r="6944" spans="32:32" ht="24" customHeight="1">
      <c r="AF6944" s="908">
        <v>0</v>
      </c>
    </row>
    <row r="6945" spans="32:32" ht="24" customHeight="1">
      <c r="AF6945" s="908">
        <v>0</v>
      </c>
    </row>
    <row r="6946" spans="32:32" ht="24" customHeight="1">
      <c r="AF6946" s="908">
        <v>0</v>
      </c>
    </row>
    <row r="6947" spans="32:32" ht="24" customHeight="1">
      <c r="AF6947" s="908">
        <v>0</v>
      </c>
    </row>
    <row r="6948" spans="32:32" ht="24" customHeight="1">
      <c r="AF6948" s="908">
        <v>0</v>
      </c>
    </row>
    <row r="6949" spans="32:32" ht="24" customHeight="1">
      <c r="AF6949" s="908">
        <v>0</v>
      </c>
    </row>
    <row r="6950" spans="32:32" ht="24" customHeight="1">
      <c r="AF6950" s="908">
        <v>0</v>
      </c>
    </row>
    <row r="6951" spans="32:32" ht="24" customHeight="1">
      <c r="AF6951" s="908">
        <v>0</v>
      </c>
    </row>
    <row r="6952" spans="32:32" ht="24" customHeight="1">
      <c r="AF6952" s="908">
        <v>0</v>
      </c>
    </row>
    <row r="6953" spans="32:32" ht="24" customHeight="1">
      <c r="AF6953" s="908">
        <v>0</v>
      </c>
    </row>
    <row r="6954" spans="32:32" ht="24" customHeight="1">
      <c r="AF6954" s="908">
        <v>0</v>
      </c>
    </row>
    <row r="6955" spans="32:32" ht="24" customHeight="1">
      <c r="AF6955" s="908">
        <v>0</v>
      </c>
    </row>
    <row r="6956" spans="32:32" ht="24" customHeight="1">
      <c r="AF6956" s="908">
        <v>0</v>
      </c>
    </row>
    <row r="6957" spans="32:32" ht="24" customHeight="1">
      <c r="AF6957" s="908">
        <v>0</v>
      </c>
    </row>
    <row r="6958" spans="32:32" ht="24" customHeight="1">
      <c r="AF6958" s="908">
        <v>0</v>
      </c>
    </row>
    <row r="6959" spans="32:32" ht="24" customHeight="1">
      <c r="AF6959" s="908">
        <v>0</v>
      </c>
    </row>
    <row r="6960" spans="32:32" ht="24" customHeight="1">
      <c r="AF6960" s="908">
        <v>0</v>
      </c>
    </row>
    <row r="6961" spans="32:32" ht="24" customHeight="1">
      <c r="AF6961" s="908">
        <v>0</v>
      </c>
    </row>
    <row r="6962" spans="32:32" ht="24" customHeight="1">
      <c r="AF6962" s="908">
        <v>0</v>
      </c>
    </row>
    <row r="6963" spans="32:32" ht="24" customHeight="1">
      <c r="AF6963" s="908">
        <v>0</v>
      </c>
    </row>
    <row r="6964" spans="32:32" ht="24" customHeight="1">
      <c r="AF6964" s="908">
        <v>0</v>
      </c>
    </row>
    <row r="6965" spans="32:32" ht="24" customHeight="1">
      <c r="AF6965" s="908">
        <v>0</v>
      </c>
    </row>
    <row r="6966" spans="32:32" ht="24" customHeight="1">
      <c r="AF6966" s="908">
        <v>0</v>
      </c>
    </row>
    <row r="6967" spans="32:32" ht="24" customHeight="1">
      <c r="AF6967" s="908">
        <v>0</v>
      </c>
    </row>
    <row r="6968" spans="32:32" ht="24" customHeight="1">
      <c r="AF6968" s="908">
        <v>0</v>
      </c>
    </row>
    <row r="6969" spans="32:32" ht="24" customHeight="1">
      <c r="AF6969" s="908">
        <v>0</v>
      </c>
    </row>
    <row r="6970" spans="32:32" ht="24" customHeight="1">
      <c r="AF6970" s="908">
        <v>0</v>
      </c>
    </row>
    <row r="6971" spans="32:32" ht="24" customHeight="1">
      <c r="AF6971" s="908">
        <v>0</v>
      </c>
    </row>
    <row r="6972" spans="32:32" ht="24" customHeight="1">
      <c r="AF6972" s="908">
        <v>0</v>
      </c>
    </row>
    <row r="6973" spans="32:32" ht="24" customHeight="1">
      <c r="AF6973" s="908">
        <v>0</v>
      </c>
    </row>
    <row r="6974" spans="32:32" ht="24" customHeight="1">
      <c r="AF6974" s="908">
        <v>0</v>
      </c>
    </row>
    <row r="6975" spans="32:32" ht="24" customHeight="1">
      <c r="AF6975" s="908">
        <v>0</v>
      </c>
    </row>
    <row r="6976" spans="32:32" ht="24" customHeight="1">
      <c r="AF6976" s="908">
        <v>0</v>
      </c>
    </row>
    <row r="6977" spans="32:32" ht="24" customHeight="1">
      <c r="AF6977" s="908">
        <v>0</v>
      </c>
    </row>
    <row r="6978" spans="32:32" ht="24" customHeight="1">
      <c r="AF6978" s="908">
        <v>0</v>
      </c>
    </row>
    <row r="6979" spans="32:32" ht="24" customHeight="1">
      <c r="AF6979" s="908">
        <v>0</v>
      </c>
    </row>
    <row r="6980" spans="32:32" ht="24" customHeight="1">
      <c r="AF6980" s="908">
        <v>0</v>
      </c>
    </row>
    <row r="6981" spans="32:32" ht="24" customHeight="1">
      <c r="AF6981" s="908">
        <v>0</v>
      </c>
    </row>
    <row r="6982" spans="32:32" ht="24" customHeight="1">
      <c r="AF6982" s="908">
        <v>0</v>
      </c>
    </row>
    <row r="6983" spans="32:32" ht="24" customHeight="1">
      <c r="AF6983" s="908">
        <v>0</v>
      </c>
    </row>
    <row r="6984" spans="32:32" ht="24" customHeight="1">
      <c r="AF6984" s="908">
        <v>0</v>
      </c>
    </row>
    <row r="6985" spans="32:32" ht="24" customHeight="1">
      <c r="AF6985" s="908">
        <v>0</v>
      </c>
    </row>
    <row r="6986" spans="32:32" ht="24" customHeight="1">
      <c r="AF6986" s="908">
        <v>0</v>
      </c>
    </row>
    <row r="6987" spans="32:32" ht="24" customHeight="1">
      <c r="AF6987" s="908">
        <v>0</v>
      </c>
    </row>
    <row r="6988" spans="32:32" ht="24" customHeight="1">
      <c r="AF6988" s="908">
        <v>0</v>
      </c>
    </row>
    <row r="6989" spans="32:32" ht="24" customHeight="1">
      <c r="AF6989" s="908">
        <v>0</v>
      </c>
    </row>
    <row r="6990" spans="32:32" ht="24" customHeight="1">
      <c r="AF6990" s="908">
        <v>0</v>
      </c>
    </row>
    <row r="6991" spans="32:32" ht="24" customHeight="1">
      <c r="AF6991" s="908">
        <v>0</v>
      </c>
    </row>
    <row r="6992" spans="32:32" ht="24" customHeight="1">
      <c r="AF6992" s="908">
        <v>0</v>
      </c>
    </row>
    <row r="6993" spans="32:32" ht="24" customHeight="1">
      <c r="AF6993" s="908">
        <v>0</v>
      </c>
    </row>
    <row r="6994" spans="32:32" ht="24" customHeight="1">
      <c r="AF6994" s="908">
        <v>0</v>
      </c>
    </row>
    <row r="6995" spans="32:32" ht="24" customHeight="1">
      <c r="AF6995" s="908">
        <v>0</v>
      </c>
    </row>
    <row r="6996" spans="32:32" ht="24" customHeight="1">
      <c r="AF6996" s="908">
        <v>0</v>
      </c>
    </row>
    <row r="6997" spans="32:32" ht="24" customHeight="1">
      <c r="AF6997" s="908">
        <v>0</v>
      </c>
    </row>
    <row r="6998" spans="32:32" ht="24" customHeight="1">
      <c r="AF6998" s="908">
        <v>0</v>
      </c>
    </row>
    <row r="6999" spans="32:32" ht="24" customHeight="1">
      <c r="AF6999" s="908">
        <v>0</v>
      </c>
    </row>
    <row r="7000" spans="32:32" ht="24" customHeight="1">
      <c r="AF7000" s="908">
        <v>0</v>
      </c>
    </row>
    <row r="7001" spans="32:32" ht="24" customHeight="1">
      <c r="AF7001" s="908">
        <v>0</v>
      </c>
    </row>
    <row r="7002" spans="32:32" ht="24" customHeight="1">
      <c r="AF7002" s="908">
        <v>0</v>
      </c>
    </row>
    <row r="7003" spans="32:32" ht="24" customHeight="1">
      <c r="AF7003" s="908">
        <v>0</v>
      </c>
    </row>
    <row r="7004" spans="32:32" ht="24" customHeight="1">
      <c r="AF7004" s="908">
        <v>0</v>
      </c>
    </row>
    <row r="7005" spans="32:32" ht="24" customHeight="1">
      <c r="AF7005" s="908">
        <v>0</v>
      </c>
    </row>
    <row r="7006" spans="32:32" ht="24" customHeight="1">
      <c r="AF7006" s="908">
        <v>0</v>
      </c>
    </row>
    <row r="7007" spans="32:32" ht="24" customHeight="1">
      <c r="AF7007" s="908">
        <v>0</v>
      </c>
    </row>
    <row r="7008" spans="32:32" ht="24" customHeight="1">
      <c r="AF7008" s="908">
        <v>0</v>
      </c>
    </row>
    <row r="7009" spans="32:32" ht="24" customHeight="1">
      <c r="AF7009" s="908">
        <v>0</v>
      </c>
    </row>
    <row r="7010" spans="32:32" ht="24" customHeight="1">
      <c r="AF7010" s="908">
        <v>0</v>
      </c>
    </row>
    <row r="7011" spans="32:32" ht="24" customHeight="1">
      <c r="AF7011" s="908">
        <v>0</v>
      </c>
    </row>
    <row r="7012" spans="32:32" ht="24" customHeight="1">
      <c r="AF7012" s="908">
        <v>0</v>
      </c>
    </row>
    <row r="7013" spans="32:32" ht="24" customHeight="1">
      <c r="AF7013" s="908">
        <v>0</v>
      </c>
    </row>
    <row r="7014" spans="32:32" ht="24" customHeight="1">
      <c r="AF7014" s="908">
        <v>0</v>
      </c>
    </row>
    <row r="7015" spans="32:32" ht="24" customHeight="1">
      <c r="AF7015" s="908">
        <v>0</v>
      </c>
    </row>
    <row r="7016" spans="32:32" ht="24" customHeight="1">
      <c r="AF7016" s="908">
        <v>0</v>
      </c>
    </row>
    <row r="7017" spans="32:32" ht="24" customHeight="1">
      <c r="AF7017" s="908">
        <v>0</v>
      </c>
    </row>
    <row r="7018" spans="32:32" ht="24" customHeight="1">
      <c r="AF7018" s="908">
        <v>0</v>
      </c>
    </row>
    <row r="7019" spans="32:32" ht="24" customHeight="1">
      <c r="AF7019" s="908">
        <v>0</v>
      </c>
    </row>
    <row r="7020" spans="32:32" ht="24" customHeight="1">
      <c r="AF7020" s="908">
        <v>0</v>
      </c>
    </row>
    <row r="7021" spans="32:32" ht="24" customHeight="1">
      <c r="AF7021" s="908">
        <v>0</v>
      </c>
    </row>
    <row r="7022" spans="32:32" ht="24" customHeight="1">
      <c r="AF7022" s="908">
        <v>0</v>
      </c>
    </row>
    <row r="7023" spans="32:32" ht="24" customHeight="1">
      <c r="AF7023" s="908">
        <v>0</v>
      </c>
    </row>
    <row r="7024" spans="32:32" ht="24" customHeight="1">
      <c r="AF7024" s="908">
        <v>0</v>
      </c>
    </row>
    <row r="7025" spans="32:32" ht="24" customHeight="1">
      <c r="AF7025" s="908">
        <v>0</v>
      </c>
    </row>
    <row r="7026" spans="32:32" ht="24" customHeight="1">
      <c r="AF7026" s="908">
        <v>0</v>
      </c>
    </row>
    <row r="7027" spans="32:32" ht="24" customHeight="1">
      <c r="AF7027" s="908">
        <v>0</v>
      </c>
    </row>
    <row r="7028" spans="32:32" ht="24" customHeight="1">
      <c r="AF7028" s="908">
        <v>0</v>
      </c>
    </row>
    <row r="7029" spans="32:32" ht="24" customHeight="1">
      <c r="AF7029" s="908">
        <v>0</v>
      </c>
    </row>
    <row r="7030" spans="32:32" ht="24" customHeight="1">
      <c r="AF7030" s="908">
        <v>0</v>
      </c>
    </row>
    <row r="7031" spans="32:32" ht="24" customHeight="1">
      <c r="AF7031" s="908">
        <v>0</v>
      </c>
    </row>
    <row r="7032" spans="32:32" ht="24" customHeight="1">
      <c r="AF7032" s="908">
        <v>0</v>
      </c>
    </row>
    <row r="7033" spans="32:32" ht="24" customHeight="1">
      <c r="AF7033" s="908">
        <v>0</v>
      </c>
    </row>
    <row r="7034" spans="32:32" ht="24" customHeight="1">
      <c r="AF7034" s="908">
        <v>0</v>
      </c>
    </row>
    <row r="7035" spans="32:32" ht="24" customHeight="1">
      <c r="AF7035" s="908">
        <v>0</v>
      </c>
    </row>
    <row r="7036" spans="32:32" ht="24" customHeight="1">
      <c r="AF7036" s="908">
        <v>0</v>
      </c>
    </row>
    <row r="7037" spans="32:32" ht="24" customHeight="1">
      <c r="AF7037" s="908">
        <v>0</v>
      </c>
    </row>
    <row r="7038" spans="32:32" ht="24" customHeight="1">
      <c r="AF7038" s="908">
        <v>0</v>
      </c>
    </row>
    <row r="7039" spans="32:32" ht="24" customHeight="1">
      <c r="AF7039" s="908">
        <v>0</v>
      </c>
    </row>
    <row r="7040" spans="32:32" ht="24" customHeight="1">
      <c r="AF7040" s="908">
        <v>0</v>
      </c>
    </row>
    <row r="7041" spans="32:32" ht="24" customHeight="1">
      <c r="AF7041" s="908">
        <v>0</v>
      </c>
    </row>
    <row r="7042" spans="32:32" ht="24" customHeight="1">
      <c r="AF7042" s="908">
        <v>0</v>
      </c>
    </row>
    <row r="7043" spans="32:32" ht="24" customHeight="1">
      <c r="AF7043" s="908">
        <v>0</v>
      </c>
    </row>
    <row r="7044" spans="32:32" ht="24" customHeight="1">
      <c r="AF7044" s="908">
        <v>0</v>
      </c>
    </row>
    <row r="7045" spans="32:32" ht="24" customHeight="1">
      <c r="AF7045" s="908">
        <v>0</v>
      </c>
    </row>
    <row r="7046" spans="32:32" ht="24" customHeight="1">
      <c r="AF7046" s="908">
        <v>0</v>
      </c>
    </row>
    <row r="7047" spans="32:32" ht="24" customHeight="1">
      <c r="AF7047" s="908">
        <v>0</v>
      </c>
    </row>
    <row r="7048" spans="32:32" ht="24" customHeight="1">
      <c r="AF7048" s="908">
        <v>0</v>
      </c>
    </row>
    <row r="7049" spans="32:32" ht="24" customHeight="1">
      <c r="AF7049" s="908">
        <v>0</v>
      </c>
    </row>
    <row r="7050" spans="32:32" ht="24" customHeight="1">
      <c r="AF7050" s="908">
        <v>0</v>
      </c>
    </row>
    <row r="7051" spans="32:32" ht="24" customHeight="1">
      <c r="AF7051" s="908">
        <v>0</v>
      </c>
    </row>
    <row r="7052" spans="32:32" ht="24" customHeight="1">
      <c r="AF7052" s="908">
        <v>0</v>
      </c>
    </row>
    <row r="7053" spans="32:32" ht="24" customHeight="1">
      <c r="AF7053" s="908">
        <v>0</v>
      </c>
    </row>
    <row r="7054" spans="32:32" ht="24" customHeight="1">
      <c r="AF7054" s="908">
        <v>0</v>
      </c>
    </row>
    <row r="7055" spans="32:32" ht="24" customHeight="1">
      <c r="AF7055" s="908">
        <v>0</v>
      </c>
    </row>
    <row r="7056" spans="32:32" ht="24" customHeight="1">
      <c r="AF7056" s="908">
        <v>0</v>
      </c>
    </row>
    <row r="7057" spans="32:32" ht="24" customHeight="1">
      <c r="AF7057" s="908">
        <v>0</v>
      </c>
    </row>
    <row r="7058" spans="32:32" ht="24" customHeight="1">
      <c r="AF7058" s="908">
        <v>0</v>
      </c>
    </row>
    <row r="7059" spans="32:32" ht="24" customHeight="1">
      <c r="AF7059" s="908">
        <v>0</v>
      </c>
    </row>
    <row r="7060" spans="32:32" ht="24" customHeight="1">
      <c r="AF7060" s="908">
        <v>0</v>
      </c>
    </row>
    <row r="7061" spans="32:32" ht="24" customHeight="1">
      <c r="AF7061" s="908">
        <v>0</v>
      </c>
    </row>
    <row r="7062" spans="32:32" ht="24" customHeight="1">
      <c r="AF7062" s="908">
        <v>0</v>
      </c>
    </row>
    <row r="7063" spans="32:32" ht="24" customHeight="1">
      <c r="AF7063" s="908">
        <v>0</v>
      </c>
    </row>
    <row r="7064" spans="32:32" ht="24" customHeight="1">
      <c r="AF7064" s="908">
        <v>0</v>
      </c>
    </row>
    <row r="7065" spans="32:32" ht="24" customHeight="1">
      <c r="AF7065" s="908">
        <v>0</v>
      </c>
    </row>
    <row r="7066" spans="32:32" ht="24" customHeight="1">
      <c r="AF7066" s="908">
        <v>0</v>
      </c>
    </row>
    <row r="7067" spans="32:32" ht="24" customHeight="1">
      <c r="AF7067" s="908">
        <v>0</v>
      </c>
    </row>
    <row r="7068" spans="32:32" ht="24" customHeight="1">
      <c r="AF7068" s="908">
        <v>0</v>
      </c>
    </row>
    <row r="7069" spans="32:32" ht="24" customHeight="1">
      <c r="AF7069" s="908">
        <v>0</v>
      </c>
    </row>
    <row r="7070" spans="32:32" ht="24" customHeight="1">
      <c r="AF7070" s="908">
        <v>0</v>
      </c>
    </row>
    <row r="7071" spans="32:32" ht="24" customHeight="1">
      <c r="AF7071" s="908">
        <v>0</v>
      </c>
    </row>
    <row r="7072" spans="32:32" ht="24" customHeight="1">
      <c r="AF7072" s="908">
        <v>0</v>
      </c>
    </row>
    <row r="7073" spans="32:32" ht="24" customHeight="1">
      <c r="AF7073" s="908">
        <v>0</v>
      </c>
    </row>
    <row r="7074" spans="32:32" ht="24" customHeight="1">
      <c r="AF7074" s="908">
        <v>0</v>
      </c>
    </row>
    <row r="7075" spans="32:32" ht="24" customHeight="1">
      <c r="AF7075" s="908">
        <v>0</v>
      </c>
    </row>
    <row r="7076" spans="32:32" ht="24" customHeight="1">
      <c r="AF7076" s="908">
        <v>0</v>
      </c>
    </row>
    <row r="7077" spans="32:32" ht="24" customHeight="1">
      <c r="AF7077" s="908">
        <v>0</v>
      </c>
    </row>
    <row r="7078" spans="32:32" ht="24" customHeight="1">
      <c r="AF7078" s="908">
        <v>0</v>
      </c>
    </row>
    <row r="7079" spans="32:32" ht="24" customHeight="1">
      <c r="AF7079" s="908">
        <v>0</v>
      </c>
    </row>
    <row r="7080" spans="32:32" ht="24" customHeight="1">
      <c r="AF7080" s="908">
        <v>0</v>
      </c>
    </row>
    <row r="7081" spans="32:32" ht="24" customHeight="1">
      <c r="AF7081" s="908">
        <v>0</v>
      </c>
    </row>
    <row r="7082" spans="32:32" ht="24" customHeight="1">
      <c r="AF7082" s="908">
        <v>0</v>
      </c>
    </row>
    <row r="7083" spans="32:32" ht="24" customHeight="1">
      <c r="AF7083" s="908">
        <v>0</v>
      </c>
    </row>
    <row r="7084" spans="32:32" ht="24" customHeight="1">
      <c r="AF7084" s="908">
        <v>0</v>
      </c>
    </row>
    <row r="7085" spans="32:32" ht="24" customHeight="1">
      <c r="AF7085" s="908">
        <v>0</v>
      </c>
    </row>
    <row r="7086" spans="32:32" ht="24" customHeight="1">
      <c r="AF7086" s="908">
        <v>0</v>
      </c>
    </row>
    <row r="7087" spans="32:32" ht="24" customHeight="1">
      <c r="AF7087" s="908">
        <v>0</v>
      </c>
    </row>
    <row r="7088" spans="32:32" ht="24" customHeight="1">
      <c r="AF7088" s="908">
        <v>0</v>
      </c>
    </row>
    <row r="7089" spans="32:32" ht="24" customHeight="1">
      <c r="AF7089" s="908">
        <v>0</v>
      </c>
    </row>
    <row r="7090" spans="32:32" ht="24" customHeight="1">
      <c r="AF7090" s="908">
        <v>0</v>
      </c>
    </row>
    <row r="7091" spans="32:32" ht="24" customHeight="1">
      <c r="AF7091" s="908">
        <v>0</v>
      </c>
    </row>
    <row r="7092" spans="32:32" ht="24" customHeight="1">
      <c r="AF7092" s="908">
        <v>0</v>
      </c>
    </row>
    <row r="7093" spans="32:32" ht="24" customHeight="1">
      <c r="AF7093" s="908">
        <v>0</v>
      </c>
    </row>
    <row r="7094" spans="32:32" ht="24" customHeight="1">
      <c r="AF7094" s="908">
        <v>0</v>
      </c>
    </row>
    <row r="7095" spans="32:32" ht="24" customHeight="1">
      <c r="AF7095" s="908">
        <v>0</v>
      </c>
    </row>
    <row r="7096" spans="32:32" ht="24" customHeight="1">
      <c r="AF7096" s="908">
        <v>0</v>
      </c>
    </row>
    <row r="7097" spans="32:32" ht="24" customHeight="1">
      <c r="AF7097" s="908">
        <v>0</v>
      </c>
    </row>
    <row r="7098" spans="32:32" ht="24" customHeight="1">
      <c r="AF7098" s="908">
        <v>0</v>
      </c>
    </row>
    <row r="7099" spans="32:32" ht="24" customHeight="1">
      <c r="AF7099" s="908">
        <v>0</v>
      </c>
    </row>
    <row r="7100" spans="32:32" ht="24" customHeight="1">
      <c r="AF7100" s="908">
        <v>0</v>
      </c>
    </row>
    <row r="7101" spans="32:32" ht="24" customHeight="1">
      <c r="AF7101" s="908">
        <v>0</v>
      </c>
    </row>
    <row r="7102" spans="32:32" ht="24" customHeight="1">
      <c r="AF7102" s="908">
        <v>0</v>
      </c>
    </row>
    <row r="7103" spans="32:32" ht="24" customHeight="1">
      <c r="AF7103" s="908">
        <v>0</v>
      </c>
    </row>
    <row r="7104" spans="32:32" ht="24" customHeight="1">
      <c r="AF7104" s="908">
        <v>0</v>
      </c>
    </row>
    <row r="7105" spans="32:32" ht="24" customHeight="1">
      <c r="AF7105" s="908">
        <v>0</v>
      </c>
    </row>
    <row r="7106" spans="32:32" ht="24" customHeight="1">
      <c r="AF7106" s="908">
        <v>0</v>
      </c>
    </row>
    <row r="7107" spans="32:32" ht="24" customHeight="1">
      <c r="AF7107" s="908">
        <v>0</v>
      </c>
    </row>
    <row r="7108" spans="32:32" ht="24" customHeight="1">
      <c r="AF7108" s="908">
        <v>0</v>
      </c>
    </row>
    <row r="7109" spans="32:32" ht="24" customHeight="1">
      <c r="AF7109" s="908">
        <v>0</v>
      </c>
    </row>
    <row r="7110" spans="32:32" ht="24" customHeight="1">
      <c r="AF7110" s="908">
        <v>0</v>
      </c>
    </row>
    <row r="7111" spans="32:32" ht="24" customHeight="1">
      <c r="AF7111" s="908">
        <v>0</v>
      </c>
    </row>
    <row r="7112" spans="32:32" ht="24" customHeight="1">
      <c r="AF7112" s="908">
        <v>0</v>
      </c>
    </row>
    <row r="7113" spans="32:32" ht="24" customHeight="1">
      <c r="AF7113" s="908">
        <v>0</v>
      </c>
    </row>
    <row r="7114" spans="32:32" ht="24" customHeight="1">
      <c r="AF7114" s="908">
        <v>0</v>
      </c>
    </row>
    <row r="7115" spans="32:32" ht="24" customHeight="1">
      <c r="AF7115" s="908">
        <v>0</v>
      </c>
    </row>
    <row r="7116" spans="32:32" ht="24" customHeight="1">
      <c r="AF7116" s="908">
        <v>0</v>
      </c>
    </row>
    <row r="7117" spans="32:32" ht="24" customHeight="1">
      <c r="AF7117" s="908">
        <v>0</v>
      </c>
    </row>
    <row r="7118" spans="32:32" ht="24" customHeight="1">
      <c r="AF7118" s="908">
        <v>0</v>
      </c>
    </row>
    <row r="7119" spans="32:32" ht="24" customHeight="1">
      <c r="AF7119" s="908">
        <v>0</v>
      </c>
    </row>
    <row r="7120" spans="32:32" ht="24" customHeight="1">
      <c r="AF7120" s="908">
        <v>0</v>
      </c>
    </row>
    <row r="7121" spans="32:32" ht="24" customHeight="1">
      <c r="AF7121" s="908">
        <v>0</v>
      </c>
    </row>
    <row r="7122" spans="32:32" ht="24" customHeight="1">
      <c r="AF7122" s="908">
        <v>0</v>
      </c>
    </row>
    <row r="7123" spans="32:32" ht="24" customHeight="1">
      <c r="AF7123" s="908">
        <v>0</v>
      </c>
    </row>
    <row r="7124" spans="32:32" ht="24" customHeight="1">
      <c r="AF7124" s="908">
        <v>0</v>
      </c>
    </row>
    <row r="7125" spans="32:32" ht="24" customHeight="1">
      <c r="AF7125" s="908">
        <v>0</v>
      </c>
    </row>
    <row r="7126" spans="32:32" ht="24" customHeight="1">
      <c r="AF7126" s="908">
        <v>0</v>
      </c>
    </row>
    <row r="7127" spans="32:32" ht="24" customHeight="1">
      <c r="AF7127" s="908">
        <v>0</v>
      </c>
    </row>
    <row r="7128" spans="32:32" ht="24" customHeight="1">
      <c r="AF7128" s="908">
        <v>0</v>
      </c>
    </row>
    <row r="7129" spans="32:32" ht="24" customHeight="1">
      <c r="AF7129" s="908">
        <v>0</v>
      </c>
    </row>
    <row r="7130" spans="32:32" ht="24" customHeight="1">
      <c r="AF7130" s="908">
        <v>0</v>
      </c>
    </row>
    <row r="7131" spans="32:32" ht="24" customHeight="1">
      <c r="AF7131" s="908">
        <v>0</v>
      </c>
    </row>
    <row r="7132" spans="32:32" ht="24" customHeight="1">
      <c r="AF7132" s="908">
        <v>0</v>
      </c>
    </row>
    <row r="7133" spans="32:32" ht="24" customHeight="1">
      <c r="AF7133" s="908">
        <v>0</v>
      </c>
    </row>
    <row r="7134" spans="32:32" ht="24" customHeight="1">
      <c r="AF7134" s="908">
        <v>0</v>
      </c>
    </row>
    <row r="7135" spans="32:32" ht="24" customHeight="1">
      <c r="AF7135" s="908">
        <v>0</v>
      </c>
    </row>
    <row r="7136" spans="32:32" ht="24" customHeight="1">
      <c r="AF7136" s="908">
        <v>0</v>
      </c>
    </row>
    <row r="7137" spans="32:32" ht="24" customHeight="1">
      <c r="AF7137" s="908">
        <v>0</v>
      </c>
    </row>
    <row r="7138" spans="32:32" ht="24" customHeight="1">
      <c r="AF7138" s="908">
        <v>0</v>
      </c>
    </row>
    <row r="7139" spans="32:32" ht="24" customHeight="1">
      <c r="AF7139" s="908">
        <v>0</v>
      </c>
    </row>
    <row r="7140" spans="32:32" ht="24" customHeight="1">
      <c r="AF7140" s="908">
        <v>0</v>
      </c>
    </row>
    <row r="7141" spans="32:32" ht="24" customHeight="1">
      <c r="AF7141" s="908">
        <v>0</v>
      </c>
    </row>
    <row r="7142" spans="32:32" ht="24" customHeight="1">
      <c r="AF7142" s="908">
        <v>0</v>
      </c>
    </row>
    <row r="7143" spans="32:32" ht="24" customHeight="1">
      <c r="AF7143" s="908">
        <v>0</v>
      </c>
    </row>
    <row r="7144" spans="32:32" ht="24" customHeight="1">
      <c r="AF7144" s="908">
        <v>0</v>
      </c>
    </row>
    <row r="7145" spans="32:32" ht="24" customHeight="1">
      <c r="AF7145" s="908">
        <v>0</v>
      </c>
    </row>
    <row r="7146" spans="32:32" ht="24" customHeight="1">
      <c r="AF7146" s="908">
        <v>0</v>
      </c>
    </row>
    <row r="7147" spans="32:32" ht="24" customHeight="1">
      <c r="AF7147" s="908">
        <v>0</v>
      </c>
    </row>
    <row r="7148" spans="32:32" ht="24" customHeight="1">
      <c r="AF7148" s="908">
        <v>0</v>
      </c>
    </row>
    <row r="7149" spans="32:32" ht="24" customHeight="1">
      <c r="AF7149" s="908">
        <v>0</v>
      </c>
    </row>
    <row r="7150" spans="32:32" ht="24" customHeight="1">
      <c r="AF7150" s="908">
        <v>0</v>
      </c>
    </row>
    <row r="7151" spans="32:32" ht="24" customHeight="1">
      <c r="AF7151" s="908">
        <v>0</v>
      </c>
    </row>
    <row r="7152" spans="32:32" ht="24" customHeight="1">
      <c r="AF7152" s="908">
        <v>0</v>
      </c>
    </row>
    <row r="7153" spans="32:32" ht="24" customHeight="1">
      <c r="AF7153" s="908">
        <v>0</v>
      </c>
    </row>
    <row r="7154" spans="32:32" ht="24" customHeight="1">
      <c r="AF7154" s="908">
        <v>0</v>
      </c>
    </row>
    <row r="7155" spans="32:32" ht="24" customHeight="1">
      <c r="AF7155" s="908">
        <v>0</v>
      </c>
    </row>
    <row r="7156" spans="32:32" ht="24" customHeight="1">
      <c r="AF7156" s="908">
        <v>0</v>
      </c>
    </row>
    <row r="7157" spans="32:32" ht="24" customHeight="1">
      <c r="AF7157" s="908">
        <v>0</v>
      </c>
    </row>
    <row r="7158" spans="32:32" ht="24" customHeight="1">
      <c r="AF7158" s="908">
        <v>0</v>
      </c>
    </row>
    <row r="7159" spans="32:32" ht="24" customHeight="1">
      <c r="AF7159" s="908">
        <v>0</v>
      </c>
    </row>
    <row r="7160" spans="32:32" ht="24" customHeight="1">
      <c r="AF7160" s="908">
        <v>0</v>
      </c>
    </row>
    <row r="7161" spans="32:32" ht="24" customHeight="1">
      <c r="AF7161" s="908">
        <v>0</v>
      </c>
    </row>
    <row r="7162" spans="32:32" ht="24" customHeight="1">
      <c r="AF7162" s="908">
        <v>0</v>
      </c>
    </row>
    <row r="7163" spans="32:32" ht="24" customHeight="1">
      <c r="AF7163" s="908">
        <v>0</v>
      </c>
    </row>
    <row r="7164" spans="32:32" ht="24" customHeight="1">
      <c r="AF7164" s="908">
        <v>0</v>
      </c>
    </row>
    <row r="7165" spans="32:32" ht="24" customHeight="1">
      <c r="AF7165" s="908">
        <v>0</v>
      </c>
    </row>
    <row r="7166" spans="32:32" ht="24" customHeight="1">
      <c r="AF7166" s="908">
        <v>0</v>
      </c>
    </row>
    <row r="7167" spans="32:32" ht="24" customHeight="1">
      <c r="AF7167" s="908">
        <v>0</v>
      </c>
    </row>
    <row r="7168" spans="32:32" ht="24" customHeight="1">
      <c r="AF7168" s="908">
        <v>0</v>
      </c>
    </row>
    <row r="7169" spans="32:32" ht="24" customHeight="1">
      <c r="AF7169" s="908">
        <v>0</v>
      </c>
    </row>
    <row r="7170" spans="32:32" ht="24" customHeight="1">
      <c r="AF7170" s="908">
        <v>0</v>
      </c>
    </row>
    <row r="7171" spans="32:32" ht="24" customHeight="1">
      <c r="AF7171" s="908">
        <v>0</v>
      </c>
    </row>
    <row r="7172" spans="32:32" ht="24" customHeight="1">
      <c r="AF7172" s="908">
        <v>0</v>
      </c>
    </row>
    <row r="7173" spans="32:32" ht="24" customHeight="1">
      <c r="AF7173" s="908">
        <v>0</v>
      </c>
    </row>
    <row r="7174" spans="32:32" ht="24" customHeight="1">
      <c r="AF7174" s="908">
        <v>0</v>
      </c>
    </row>
    <row r="7175" spans="32:32" ht="24" customHeight="1">
      <c r="AF7175" s="908">
        <v>0</v>
      </c>
    </row>
    <row r="7176" spans="32:32" ht="24" customHeight="1">
      <c r="AF7176" s="908">
        <v>0</v>
      </c>
    </row>
    <row r="7177" spans="32:32" ht="24" customHeight="1">
      <c r="AF7177" s="908">
        <v>0</v>
      </c>
    </row>
    <row r="7178" spans="32:32" ht="24" customHeight="1">
      <c r="AF7178" s="908">
        <v>0</v>
      </c>
    </row>
    <row r="7179" spans="32:32" ht="24" customHeight="1">
      <c r="AF7179" s="908">
        <v>0</v>
      </c>
    </row>
    <row r="7180" spans="32:32" ht="24" customHeight="1">
      <c r="AF7180" s="908">
        <v>0</v>
      </c>
    </row>
    <row r="7181" spans="32:32" ht="24" customHeight="1">
      <c r="AF7181" s="908">
        <v>0</v>
      </c>
    </row>
    <row r="7182" spans="32:32" ht="24" customHeight="1">
      <c r="AF7182" s="908">
        <v>0</v>
      </c>
    </row>
    <row r="7183" spans="32:32" ht="24" customHeight="1">
      <c r="AF7183" s="908">
        <v>0</v>
      </c>
    </row>
    <row r="7184" spans="32:32" ht="24" customHeight="1">
      <c r="AF7184" s="908">
        <v>0</v>
      </c>
    </row>
    <row r="7185" spans="32:32" ht="24" customHeight="1">
      <c r="AF7185" s="908">
        <v>0</v>
      </c>
    </row>
    <row r="7186" spans="32:32" ht="24" customHeight="1">
      <c r="AF7186" s="908">
        <v>0</v>
      </c>
    </row>
    <row r="7187" spans="32:32" ht="24" customHeight="1">
      <c r="AF7187" s="908">
        <v>0</v>
      </c>
    </row>
    <row r="7188" spans="32:32" ht="24" customHeight="1">
      <c r="AF7188" s="908">
        <v>0</v>
      </c>
    </row>
    <row r="7189" spans="32:32" ht="24" customHeight="1">
      <c r="AF7189" s="908">
        <v>0</v>
      </c>
    </row>
    <row r="7190" spans="32:32" ht="24" customHeight="1">
      <c r="AF7190" s="908">
        <v>0</v>
      </c>
    </row>
    <row r="7191" spans="32:32" ht="24" customHeight="1">
      <c r="AF7191" s="908">
        <v>0</v>
      </c>
    </row>
    <row r="7192" spans="32:32" ht="24" customHeight="1">
      <c r="AF7192" s="908">
        <v>0</v>
      </c>
    </row>
    <row r="7193" spans="32:32" ht="24" customHeight="1">
      <c r="AF7193" s="908">
        <v>0</v>
      </c>
    </row>
    <row r="7194" spans="32:32" ht="24" customHeight="1">
      <c r="AF7194" s="908">
        <v>0</v>
      </c>
    </row>
    <row r="7195" spans="32:32" ht="24" customHeight="1">
      <c r="AF7195" s="908">
        <v>0</v>
      </c>
    </row>
    <row r="7196" spans="32:32" ht="24" customHeight="1">
      <c r="AF7196" s="908">
        <v>0</v>
      </c>
    </row>
    <row r="7197" spans="32:32" ht="24" customHeight="1">
      <c r="AF7197" s="908">
        <v>0</v>
      </c>
    </row>
    <row r="7198" spans="32:32" ht="24" customHeight="1">
      <c r="AF7198" s="908">
        <v>0</v>
      </c>
    </row>
    <row r="7199" spans="32:32" ht="24" customHeight="1">
      <c r="AF7199" s="908">
        <v>0</v>
      </c>
    </row>
    <row r="7200" spans="32:32" ht="24" customHeight="1">
      <c r="AF7200" s="908">
        <v>0</v>
      </c>
    </row>
    <row r="7201" spans="32:32" ht="24" customHeight="1">
      <c r="AF7201" s="908">
        <v>0</v>
      </c>
    </row>
    <row r="7202" spans="32:32" ht="24" customHeight="1">
      <c r="AF7202" s="908">
        <v>0</v>
      </c>
    </row>
    <row r="7203" spans="32:32" ht="24" customHeight="1">
      <c r="AF7203" s="908">
        <v>0</v>
      </c>
    </row>
    <row r="7204" spans="32:32" ht="24" customHeight="1">
      <c r="AF7204" s="908">
        <v>0</v>
      </c>
    </row>
    <row r="7205" spans="32:32" ht="24" customHeight="1">
      <c r="AF7205" s="908">
        <v>0</v>
      </c>
    </row>
    <row r="7206" spans="32:32" ht="24" customHeight="1">
      <c r="AF7206" s="908">
        <v>0</v>
      </c>
    </row>
    <row r="7207" spans="32:32" ht="24" customHeight="1">
      <c r="AF7207" s="908">
        <v>0</v>
      </c>
    </row>
    <row r="7208" spans="32:32" ht="24" customHeight="1">
      <c r="AF7208" s="908">
        <v>0</v>
      </c>
    </row>
    <row r="7209" spans="32:32" ht="24" customHeight="1">
      <c r="AF7209" s="908">
        <v>0</v>
      </c>
    </row>
    <row r="7210" spans="32:32" ht="24" customHeight="1">
      <c r="AF7210" s="908">
        <v>0</v>
      </c>
    </row>
    <row r="7211" spans="32:32" ht="24" customHeight="1">
      <c r="AF7211" s="908">
        <v>0</v>
      </c>
    </row>
    <row r="7212" spans="32:32" ht="24" customHeight="1">
      <c r="AF7212" s="908">
        <v>0</v>
      </c>
    </row>
    <row r="7213" spans="32:32" ht="24" customHeight="1">
      <c r="AF7213" s="908">
        <v>0</v>
      </c>
    </row>
    <row r="7214" spans="32:32" ht="24" customHeight="1">
      <c r="AF7214" s="908">
        <v>0</v>
      </c>
    </row>
    <row r="7215" spans="32:32" ht="24" customHeight="1">
      <c r="AF7215" s="908">
        <v>0</v>
      </c>
    </row>
    <row r="7216" spans="32:32" ht="24" customHeight="1">
      <c r="AF7216" s="908">
        <v>0</v>
      </c>
    </row>
    <row r="7217" spans="32:32" ht="24" customHeight="1">
      <c r="AF7217" s="908">
        <v>0</v>
      </c>
    </row>
    <row r="7218" spans="32:32" ht="24" customHeight="1">
      <c r="AF7218" s="908">
        <v>0</v>
      </c>
    </row>
    <row r="7219" spans="32:32" ht="24" customHeight="1">
      <c r="AF7219" s="908">
        <v>0</v>
      </c>
    </row>
    <row r="7220" spans="32:32" ht="24" customHeight="1">
      <c r="AF7220" s="908">
        <v>0</v>
      </c>
    </row>
    <row r="7221" spans="32:32" ht="24" customHeight="1">
      <c r="AF7221" s="908">
        <v>0</v>
      </c>
    </row>
    <row r="7222" spans="32:32" ht="24" customHeight="1">
      <c r="AF7222" s="908">
        <v>0</v>
      </c>
    </row>
    <row r="7223" spans="32:32" ht="24" customHeight="1">
      <c r="AF7223" s="908">
        <v>0</v>
      </c>
    </row>
    <row r="7224" spans="32:32" ht="24" customHeight="1">
      <c r="AF7224" s="908">
        <v>0</v>
      </c>
    </row>
    <row r="7225" spans="32:32" ht="24" customHeight="1">
      <c r="AF7225" s="908">
        <v>0</v>
      </c>
    </row>
    <row r="7226" spans="32:32" ht="24" customHeight="1">
      <c r="AF7226" s="908">
        <v>0</v>
      </c>
    </row>
    <row r="7227" spans="32:32" ht="24" customHeight="1">
      <c r="AF7227" s="908">
        <v>0</v>
      </c>
    </row>
    <row r="7228" spans="32:32" ht="24" customHeight="1">
      <c r="AF7228" s="908">
        <v>0</v>
      </c>
    </row>
    <row r="7229" spans="32:32" ht="24" customHeight="1">
      <c r="AF7229" s="908">
        <v>0</v>
      </c>
    </row>
    <row r="7230" spans="32:32" ht="24" customHeight="1">
      <c r="AF7230" s="908">
        <v>0</v>
      </c>
    </row>
    <row r="7231" spans="32:32" ht="24" customHeight="1">
      <c r="AF7231" s="908">
        <v>0</v>
      </c>
    </row>
    <row r="7232" spans="32:32" ht="24" customHeight="1">
      <c r="AF7232" s="908">
        <v>0</v>
      </c>
    </row>
    <row r="7233" spans="32:32" ht="24" customHeight="1">
      <c r="AF7233" s="908">
        <v>0</v>
      </c>
    </row>
    <row r="7234" spans="32:32" ht="24" customHeight="1">
      <c r="AF7234" s="908">
        <v>0</v>
      </c>
    </row>
    <row r="7235" spans="32:32" ht="24" customHeight="1">
      <c r="AF7235" s="908">
        <v>0</v>
      </c>
    </row>
    <row r="7236" spans="32:32" ht="24" customHeight="1">
      <c r="AF7236" s="908">
        <v>0</v>
      </c>
    </row>
    <row r="7237" spans="32:32" ht="24" customHeight="1">
      <c r="AF7237" s="908">
        <v>0</v>
      </c>
    </row>
    <row r="7238" spans="32:32" ht="24" customHeight="1">
      <c r="AF7238" s="908">
        <v>0</v>
      </c>
    </row>
    <row r="7239" spans="32:32" ht="24" customHeight="1">
      <c r="AF7239" s="908">
        <v>0</v>
      </c>
    </row>
    <row r="7240" spans="32:32" ht="24" customHeight="1">
      <c r="AF7240" s="908">
        <v>0</v>
      </c>
    </row>
    <row r="7241" spans="32:32" ht="24" customHeight="1">
      <c r="AF7241" s="908">
        <v>0</v>
      </c>
    </row>
    <row r="7242" spans="32:32" ht="24" customHeight="1">
      <c r="AF7242" s="908">
        <v>0</v>
      </c>
    </row>
    <row r="7243" spans="32:32" ht="24" customHeight="1">
      <c r="AF7243" s="908">
        <v>0</v>
      </c>
    </row>
    <row r="7244" spans="32:32" ht="24" customHeight="1">
      <c r="AF7244" s="908">
        <v>0</v>
      </c>
    </row>
    <row r="7245" spans="32:32" ht="24" customHeight="1">
      <c r="AF7245" s="908">
        <v>0</v>
      </c>
    </row>
    <row r="7246" spans="32:32" ht="24" customHeight="1">
      <c r="AF7246" s="908">
        <v>0</v>
      </c>
    </row>
    <row r="7247" spans="32:32" ht="24" customHeight="1">
      <c r="AF7247" s="908">
        <v>0</v>
      </c>
    </row>
    <row r="7248" spans="32:32" ht="24" customHeight="1">
      <c r="AF7248" s="908">
        <v>0</v>
      </c>
    </row>
    <row r="7249" spans="32:32" ht="24" customHeight="1">
      <c r="AF7249" s="908">
        <v>0</v>
      </c>
    </row>
    <row r="7250" spans="32:32" ht="24" customHeight="1">
      <c r="AF7250" s="908">
        <v>0</v>
      </c>
    </row>
    <row r="7251" spans="32:32" ht="24" customHeight="1">
      <c r="AF7251" s="908">
        <v>0</v>
      </c>
    </row>
    <row r="7252" spans="32:32" ht="24" customHeight="1">
      <c r="AF7252" s="908">
        <v>0</v>
      </c>
    </row>
    <row r="7253" spans="32:32" ht="24" customHeight="1">
      <c r="AF7253" s="908">
        <v>0</v>
      </c>
    </row>
    <row r="7254" spans="32:32" ht="24" customHeight="1">
      <c r="AF7254" s="908">
        <v>0</v>
      </c>
    </row>
    <row r="7255" spans="32:32" ht="24" customHeight="1">
      <c r="AF7255" s="908">
        <v>0</v>
      </c>
    </row>
    <row r="7256" spans="32:32" ht="24" customHeight="1">
      <c r="AF7256" s="908">
        <v>0</v>
      </c>
    </row>
    <row r="7257" spans="32:32" ht="24" customHeight="1">
      <c r="AF7257" s="908">
        <v>0</v>
      </c>
    </row>
    <row r="7258" spans="32:32" ht="24" customHeight="1">
      <c r="AF7258" s="908">
        <v>0</v>
      </c>
    </row>
    <row r="7259" spans="32:32" ht="24" customHeight="1">
      <c r="AF7259" s="908">
        <v>0</v>
      </c>
    </row>
    <row r="7260" spans="32:32" ht="24" customHeight="1">
      <c r="AF7260" s="908">
        <v>0</v>
      </c>
    </row>
    <row r="7261" spans="32:32" ht="24" customHeight="1">
      <c r="AF7261" s="908">
        <v>0</v>
      </c>
    </row>
    <row r="7262" spans="32:32" ht="24" customHeight="1">
      <c r="AF7262" s="908">
        <v>0</v>
      </c>
    </row>
    <row r="7263" spans="32:32" ht="24" customHeight="1">
      <c r="AF7263" s="908">
        <v>0</v>
      </c>
    </row>
    <row r="7264" spans="32:32" ht="24" customHeight="1">
      <c r="AF7264" s="908">
        <v>0</v>
      </c>
    </row>
    <row r="7265" spans="32:32" ht="24" customHeight="1">
      <c r="AF7265" s="908">
        <v>0</v>
      </c>
    </row>
    <row r="7266" spans="32:32" ht="24" customHeight="1">
      <c r="AF7266" s="908">
        <v>0</v>
      </c>
    </row>
    <row r="7267" spans="32:32" ht="24" customHeight="1">
      <c r="AF7267" s="908">
        <v>0</v>
      </c>
    </row>
    <row r="7268" spans="32:32" ht="24" customHeight="1">
      <c r="AF7268" s="908">
        <v>0</v>
      </c>
    </row>
    <row r="7269" spans="32:32" ht="24" customHeight="1">
      <c r="AF7269" s="908">
        <v>0</v>
      </c>
    </row>
    <row r="7270" spans="32:32" ht="24" customHeight="1">
      <c r="AF7270" s="908">
        <v>0</v>
      </c>
    </row>
    <row r="7271" spans="32:32" ht="24" customHeight="1">
      <c r="AF7271" s="908">
        <v>0</v>
      </c>
    </row>
    <row r="7272" spans="32:32" ht="24" customHeight="1">
      <c r="AF7272" s="908">
        <v>0</v>
      </c>
    </row>
    <row r="7273" spans="32:32" ht="24" customHeight="1">
      <c r="AF7273" s="908">
        <v>0</v>
      </c>
    </row>
    <row r="7274" spans="32:32" ht="24" customHeight="1">
      <c r="AF7274" s="908">
        <v>0</v>
      </c>
    </row>
    <row r="7275" spans="32:32" ht="24" customHeight="1">
      <c r="AF7275" s="908">
        <v>0</v>
      </c>
    </row>
    <row r="7276" spans="32:32" ht="24" customHeight="1">
      <c r="AF7276" s="908">
        <v>0</v>
      </c>
    </row>
    <row r="7277" spans="32:32" ht="24" customHeight="1">
      <c r="AF7277" s="908">
        <v>0</v>
      </c>
    </row>
    <row r="7278" spans="32:32" ht="24" customHeight="1">
      <c r="AF7278" s="908">
        <v>0</v>
      </c>
    </row>
    <row r="7279" spans="32:32" ht="24" customHeight="1">
      <c r="AF7279" s="908">
        <v>0</v>
      </c>
    </row>
    <row r="7280" spans="32:32" ht="24" customHeight="1">
      <c r="AF7280" s="908">
        <v>0</v>
      </c>
    </row>
    <row r="7281" spans="32:32" ht="24" customHeight="1">
      <c r="AF7281" s="908">
        <v>0</v>
      </c>
    </row>
    <row r="7282" spans="32:32" ht="24" customHeight="1">
      <c r="AF7282" s="908">
        <v>0</v>
      </c>
    </row>
    <row r="7283" spans="32:32" ht="24" customHeight="1">
      <c r="AF7283" s="908">
        <v>0</v>
      </c>
    </row>
    <row r="7284" spans="32:32" ht="24" customHeight="1">
      <c r="AF7284" s="908">
        <v>0</v>
      </c>
    </row>
    <row r="7285" spans="32:32" ht="24" customHeight="1">
      <c r="AF7285" s="908">
        <v>0</v>
      </c>
    </row>
    <row r="7286" spans="32:32" ht="24" customHeight="1">
      <c r="AF7286" s="908">
        <v>0</v>
      </c>
    </row>
    <row r="7287" spans="32:32" ht="24" customHeight="1">
      <c r="AF7287" s="908">
        <v>0</v>
      </c>
    </row>
    <row r="7288" spans="32:32" ht="24" customHeight="1">
      <c r="AF7288" s="908">
        <v>0</v>
      </c>
    </row>
    <row r="7289" spans="32:32" ht="24" customHeight="1">
      <c r="AF7289" s="908">
        <v>0</v>
      </c>
    </row>
    <row r="7290" spans="32:32" ht="24" customHeight="1">
      <c r="AF7290" s="908">
        <v>0</v>
      </c>
    </row>
    <row r="7291" spans="32:32" ht="24" customHeight="1">
      <c r="AF7291" s="908">
        <v>0</v>
      </c>
    </row>
    <row r="7292" spans="32:32" ht="24" customHeight="1">
      <c r="AF7292" s="908">
        <v>0</v>
      </c>
    </row>
    <row r="7293" spans="32:32" ht="24" customHeight="1">
      <c r="AF7293" s="908">
        <v>0</v>
      </c>
    </row>
    <row r="7294" spans="32:32" ht="24" customHeight="1">
      <c r="AF7294" s="908">
        <v>0</v>
      </c>
    </row>
    <row r="7295" spans="32:32" ht="24" customHeight="1">
      <c r="AF7295" s="908">
        <v>0</v>
      </c>
    </row>
    <row r="7296" spans="32:32" ht="24" customHeight="1">
      <c r="AF7296" s="908">
        <v>0</v>
      </c>
    </row>
    <row r="7297" spans="32:32" ht="24" customHeight="1">
      <c r="AF7297" s="908">
        <v>0</v>
      </c>
    </row>
    <row r="7298" spans="32:32" ht="24" customHeight="1">
      <c r="AF7298" s="908">
        <v>0</v>
      </c>
    </row>
    <row r="7299" spans="32:32" ht="24" customHeight="1">
      <c r="AF7299" s="908">
        <v>0</v>
      </c>
    </row>
    <row r="7300" spans="32:32" ht="24" customHeight="1">
      <c r="AF7300" s="908">
        <v>0</v>
      </c>
    </row>
    <row r="7301" spans="32:32" ht="24" customHeight="1">
      <c r="AF7301" s="908">
        <v>0</v>
      </c>
    </row>
    <row r="7302" spans="32:32" ht="24" customHeight="1">
      <c r="AF7302" s="908">
        <v>0</v>
      </c>
    </row>
    <row r="7303" spans="32:32" ht="24" customHeight="1">
      <c r="AF7303" s="908">
        <v>0</v>
      </c>
    </row>
    <row r="7304" spans="32:32" ht="24" customHeight="1">
      <c r="AF7304" s="908">
        <v>0</v>
      </c>
    </row>
    <row r="7305" spans="32:32" ht="24" customHeight="1">
      <c r="AF7305" s="908">
        <v>0</v>
      </c>
    </row>
    <row r="7306" spans="32:32" ht="24" customHeight="1">
      <c r="AF7306" s="908">
        <v>0</v>
      </c>
    </row>
    <row r="7307" spans="32:32" ht="24" customHeight="1">
      <c r="AF7307" s="908">
        <v>0</v>
      </c>
    </row>
    <row r="7308" spans="32:32" ht="24" customHeight="1">
      <c r="AF7308" s="908">
        <v>0</v>
      </c>
    </row>
    <row r="7309" spans="32:32" ht="24" customHeight="1">
      <c r="AF7309" s="908">
        <v>0</v>
      </c>
    </row>
    <row r="7310" spans="32:32" ht="24" customHeight="1">
      <c r="AF7310" s="908">
        <v>0</v>
      </c>
    </row>
    <row r="7311" spans="32:32" ht="24" customHeight="1">
      <c r="AF7311" s="908">
        <v>0</v>
      </c>
    </row>
    <row r="7312" spans="32:32" ht="24" customHeight="1">
      <c r="AF7312" s="908">
        <v>0</v>
      </c>
    </row>
    <row r="7313" spans="32:32" ht="24" customHeight="1">
      <c r="AF7313" s="908">
        <v>0</v>
      </c>
    </row>
    <row r="7314" spans="32:32" ht="24" customHeight="1">
      <c r="AF7314" s="908">
        <v>0</v>
      </c>
    </row>
    <row r="7315" spans="32:32" ht="24" customHeight="1">
      <c r="AF7315" s="908">
        <v>0</v>
      </c>
    </row>
    <row r="7316" spans="32:32" ht="24" customHeight="1">
      <c r="AF7316" s="908">
        <v>0</v>
      </c>
    </row>
    <row r="7317" spans="32:32" ht="24" customHeight="1">
      <c r="AF7317" s="908">
        <v>0</v>
      </c>
    </row>
    <row r="7318" spans="32:32" ht="24" customHeight="1">
      <c r="AF7318" s="908">
        <v>0</v>
      </c>
    </row>
    <row r="7319" spans="32:32" ht="24" customHeight="1">
      <c r="AF7319" s="908">
        <v>0</v>
      </c>
    </row>
    <row r="7320" spans="32:32" ht="24" customHeight="1">
      <c r="AF7320" s="908">
        <v>0</v>
      </c>
    </row>
    <row r="7321" spans="32:32" ht="24" customHeight="1">
      <c r="AF7321" s="908">
        <v>0</v>
      </c>
    </row>
    <row r="7322" spans="32:32" ht="24" customHeight="1">
      <c r="AF7322" s="908">
        <v>0</v>
      </c>
    </row>
    <row r="7323" spans="32:32" ht="24" customHeight="1">
      <c r="AF7323" s="908">
        <v>0</v>
      </c>
    </row>
    <row r="7324" spans="32:32" ht="24" customHeight="1">
      <c r="AF7324" s="908">
        <v>0</v>
      </c>
    </row>
    <row r="7325" spans="32:32" ht="24" customHeight="1">
      <c r="AF7325" s="908">
        <v>0</v>
      </c>
    </row>
    <row r="7326" spans="32:32" ht="24" customHeight="1">
      <c r="AF7326" s="908">
        <v>0</v>
      </c>
    </row>
    <row r="7327" spans="32:32" ht="24" customHeight="1">
      <c r="AF7327" s="908">
        <v>0</v>
      </c>
    </row>
    <row r="7328" spans="32:32" ht="24" customHeight="1">
      <c r="AF7328" s="908">
        <v>0</v>
      </c>
    </row>
    <row r="7329" spans="32:32" ht="24" customHeight="1">
      <c r="AF7329" s="908">
        <v>0</v>
      </c>
    </row>
    <row r="7330" spans="32:32" ht="24" customHeight="1">
      <c r="AF7330" s="908">
        <v>0</v>
      </c>
    </row>
    <row r="7331" spans="32:32" ht="24" customHeight="1">
      <c r="AF7331" s="908">
        <v>0</v>
      </c>
    </row>
    <row r="7332" spans="32:32" ht="24" customHeight="1">
      <c r="AF7332" s="908">
        <v>0</v>
      </c>
    </row>
    <row r="7333" spans="32:32" ht="24" customHeight="1">
      <c r="AF7333" s="908">
        <v>0</v>
      </c>
    </row>
    <row r="7334" spans="32:32" ht="24" customHeight="1">
      <c r="AF7334" s="908">
        <v>0</v>
      </c>
    </row>
    <row r="7335" spans="32:32" ht="24" customHeight="1">
      <c r="AF7335" s="908">
        <v>0</v>
      </c>
    </row>
    <row r="7336" spans="32:32" ht="24" customHeight="1">
      <c r="AF7336" s="908">
        <v>0</v>
      </c>
    </row>
    <row r="7337" spans="32:32" ht="24" customHeight="1">
      <c r="AF7337" s="908">
        <v>0</v>
      </c>
    </row>
    <row r="7338" spans="32:32" ht="24" customHeight="1">
      <c r="AF7338" s="908">
        <v>0</v>
      </c>
    </row>
    <row r="7339" spans="32:32" ht="24" customHeight="1">
      <c r="AF7339" s="908">
        <v>0</v>
      </c>
    </row>
    <row r="7340" spans="32:32" ht="24" customHeight="1">
      <c r="AF7340" s="908">
        <v>0</v>
      </c>
    </row>
    <row r="7341" spans="32:32" ht="24" customHeight="1">
      <c r="AF7341" s="908">
        <v>0</v>
      </c>
    </row>
    <row r="7342" spans="32:32" ht="24" customHeight="1">
      <c r="AF7342" s="908">
        <v>0</v>
      </c>
    </row>
    <row r="7343" spans="32:32" ht="24" customHeight="1">
      <c r="AF7343" s="908">
        <v>0</v>
      </c>
    </row>
    <row r="7344" spans="32:32" ht="24" customHeight="1">
      <c r="AF7344" s="908">
        <v>0</v>
      </c>
    </row>
    <row r="7345" spans="32:32" ht="24" customHeight="1">
      <c r="AF7345" s="908">
        <v>0</v>
      </c>
    </row>
    <row r="7346" spans="32:32" ht="24" customHeight="1">
      <c r="AF7346" s="908">
        <v>0</v>
      </c>
    </row>
    <row r="7347" spans="32:32" ht="24" customHeight="1">
      <c r="AF7347" s="908">
        <v>0</v>
      </c>
    </row>
    <row r="7348" spans="32:32" ht="24" customHeight="1">
      <c r="AF7348" s="908">
        <v>0</v>
      </c>
    </row>
    <row r="7349" spans="32:32" ht="24" customHeight="1">
      <c r="AF7349" s="908">
        <v>0</v>
      </c>
    </row>
    <row r="7350" spans="32:32" ht="24" customHeight="1">
      <c r="AF7350" s="908">
        <v>0</v>
      </c>
    </row>
    <row r="7351" spans="32:32" ht="24" customHeight="1">
      <c r="AF7351" s="908">
        <v>0</v>
      </c>
    </row>
    <row r="7352" spans="32:32" ht="24" customHeight="1">
      <c r="AF7352" s="908">
        <v>0</v>
      </c>
    </row>
    <row r="7353" spans="32:32" ht="24" customHeight="1">
      <c r="AF7353" s="908">
        <v>0</v>
      </c>
    </row>
    <row r="7354" spans="32:32" ht="24" customHeight="1">
      <c r="AF7354" s="908">
        <v>0</v>
      </c>
    </row>
    <row r="7355" spans="32:32" ht="24" customHeight="1">
      <c r="AF7355" s="908">
        <v>0</v>
      </c>
    </row>
    <row r="7356" spans="32:32" ht="24" customHeight="1">
      <c r="AF7356" s="908">
        <v>0</v>
      </c>
    </row>
    <row r="7357" spans="32:32" ht="24" customHeight="1">
      <c r="AF7357" s="908">
        <v>0</v>
      </c>
    </row>
    <row r="7358" spans="32:32" ht="24" customHeight="1">
      <c r="AF7358" s="908">
        <v>0</v>
      </c>
    </row>
    <row r="7359" spans="32:32" ht="24" customHeight="1">
      <c r="AF7359" s="908">
        <v>0</v>
      </c>
    </row>
    <row r="7360" spans="32:32" ht="24" customHeight="1">
      <c r="AF7360" s="908">
        <v>0</v>
      </c>
    </row>
    <row r="7361" spans="32:32" ht="24" customHeight="1">
      <c r="AF7361" s="908">
        <v>0</v>
      </c>
    </row>
    <row r="7362" spans="32:32" ht="24" customHeight="1">
      <c r="AF7362" s="908">
        <v>0</v>
      </c>
    </row>
    <row r="7363" spans="32:32" ht="24" customHeight="1">
      <c r="AF7363" s="908">
        <v>0</v>
      </c>
    </row>
    <row r="7364" spans="32:32" ht="24" customHeight="1">
      <c r="AF7364" s="908">
        <v>0</v>
      </c>
    </row>
    <row r="7365" spans="32:32" ht="24" customHeight="1">
      <c r="AF7365" s="908">
        <v>0</v>
      </c>
    </row>
    <row r="7366" spans="32:32" ht="24" customHeight="1">
      <c r="AF7366" s="908">
        <v>0</v>
      </c>
    </row>
    <row r="7367" spans="32:32" ht="24" customHeight="1">
      <c r="AF7367" s="908">
        <v>0</v>
      </c>
    </row>
    <row r="7368" spans="32:32" ht="24" customHeight="1">
      <c r="AF7368" s="908">
        <v>0</v>
      </c>
    </row>
    <row r="7369" spans="32:32" ht="24" customHeight="1">
      <c r="AF7369" s="908">
        <v>0</v>
      </c>
    </row>
    <row r="7370" spans="32:32" ht="24" customHeight="1">
      <c r="AF7370" s="908">
        <v>0</v>
      </c>
    </row>
    <row r="7371" spans="32:32" ht="24" customHeight="1">
      <c r="AF7371" s="908">
        <v>0</v>
      </c>
    </row>
    <row r="7372" spans="32:32" ht="24" customHeight="1">
      <c r="AF7372" s="908">
        <v>0</v>
      </c>
    </row>
    <row r="7373" spans="32:32" ht="24" customHeight="1">
      <c r="AF7373" s="908">
        <v>0</v>
      </c>
    </row>
    <row r="7374" spans="32:32" ht="24" customHeight="1">
      <c r="AF7374" s="908">
        <v>0</v>
      </c>
    </row>
    <row r="7375" spans="32:32" ht="24" customHeight="1">
      <c r="AF7375" s="908">
        <v>0</v>
      </c>
    </row>
    <row r="7376" spans="32:32" ht="24" customHeight="1">
      <c r="AF7376" s="908">
        <v>0</v>
      </c>
    </row>
    <row r="7377" spans="32:32" ht="24" customHeight="1">
      <c r="AF7377" s="908">
        <v>0</v>
      </c>
    </row>
    <row r="7378" spans="32:32" ht="24" customHeight="1">
      <c r="AF7378" s="908">
        <v>0</v>
      </c>
    </row>
    <row r="7379" spans="32:32" ht="24" customHeight="1">
      <c r="AF7379" s="908">
        <v>0</v>
      </c>
    </row>
    <row r="7380" spans="32:32" ht="24" customHeight="1">
      <c r="AF7380" s="908">
        <v>0</v>
      </c>
    </row>
    <row r="7381" spans="32:32" ht="24" customHeight="1">
      <c r="AF7381" s="908">
        <v>0</v>
      </c>
    </row>
    <row r="7382" spans="32:32" ht="24" customHeight="1">
      <c r="AF7382" s="908">
        <v>0</v>
      </c>
    </row>
    <row r="7383" spans="32:32" ht="24" customHeight="1">
      <c r="AF7383" s="908">
        <v>0</v>
      </c>
    </row>
    <row r="7384" spans="32:32" ht="24" customHeight="1">
      <c r="AF7384" s="908">
        <v>0</v>
      </c>
    </row>
    <row r="7385" spans="32:32" ht="24" customHeight="1">
      <c r="AF7385" s="908">
        <v>0</v>
      </c>
    </row>
    <row r="7386" spans="32:32" ht="24" customHeight="1">
      <c r="AF7386" s="908">
        <v>0</v>
      </c>
    </row>
    <row r="7387" spans="32:32" ht="24" customHeight="1">
      <c r="AF7387" s="908">
        <v>0</v>
      </c>
    </row>
    <row r="7388" spans="32:32" ht="24" customHeight="1">
      <c r="AF7388" s="908">
        <v>0</v>
      </c>
    </row>
    <row r="7389" spans="32:32" ht="24" customHeight="1">
      <c r="AF7389" s="908">
        <v>0</v>
      </c>
    </row>
    <row r="7390" spans="32:32" ht="24" customHeight="1">
      <c r="AF7390" s="908">
        <v>0</v>
      </c>
    </row>
    <row r="7391" spans="32:32" ht="24" customHeight="1">
      <c r="AF7391" s="908">
        <v>0</v>
      </c>
    </row>
    <row r="7392" spans="32:32" ht="24" customHeight="1">
      <c r="AF7392" s="908">
        <v>0</v>
      </c>
    </row>
    <row r="7393" spans="32:32" ht="24" customHeight="1">
      <c r="AF7393" s="908">
        <v>0</v>
      </c>
    </row>
    <row r="7394" spans="32:32" ht="24" customHeight="1">
      <c r="AF7394" s="908">
        <v>0</v>
      </c>
    </row>
    <row r="7395" spans="32:32" ht="24" customHeight="1">
      <c r="AF7395" s="908">
        <v>0</v>
      </c>
    </row>
    <row r="7396" spans="32:32" ht="24" customHeight="1">
      <c r="AF7396" s="908">
        <v>0</v>
      </c>
    </row>
    <row r="7397" spans="32:32" ht="24" customHeight="1">
      <c r="AF7397" s="908">
        <v>0</v>
      </c>
    </row>
    <row r="7398" spans="32:32" ht="24" customHeight="1">
      <c r="AF7398" s="908">
        <v>0</v>
      </c>
    </row>
    <row r="7399" spans="32:32" ht="24" customHeight="1">
      <c r="AF7399" s="908">
        <v>0</v>
      </c>
    </row>
    <row r="7400" spans="32:32" ht="24" customHeight="1">
      <c r="AF7400" s="908">
        <v>0</v>
      </c>
    </row>
    <row r="7401" spans="32:32" ht="24" customHeight="1">
      <c r="AF7401" s="908">
        <v>0</v>
      </c>
    </row>
    <row r="7402" spans="32:32" ht="24" customHeight="1">
      <c r="AF7402" s="908">
        <v>0</v>
      </c>
    </row>
    <row r="7403" spans="32:32" ht="24" customHeight="1">
      <c r="AF7403" s="908">
        <v>0</v>
      </c>
    </row>
    <row r="7404" spans="32:32" ht="24" customHeight="1">
      <c r="AF7404" s="908">
        <v>0</v>
      </c>
    </row>
    <row r="7405" spans="32:32" ht="24" customHeight="1">
      <c r="AF7405" s="908">
        <v>0</v>
      </c>
    </row>
    <row r="7406" spans="32:32" ht="24" customHeight="1">
      <c r="AF7406" s="908">
        <v>0</v>
      </c>
    </row>
    <row r="7407" spans="32:32" ht="24" customHeight="1">
      <c r="AF7407" s="908">
        <v>0</v>
      </c>
    </row>
    <row r="7408" spans="32:32" ht="24" customHeight="1">
      <c r="AF7408" s="908">
        <v>0</v>
      </c>
    </row>
    <row r="7409" spans="32:32" ht="24" customHeight="1">
      <c r="AF7409" s="908">
        <v>0</v>
      </c>
    </row>
    <row r="7410" spans="32:32" ht="24" customHeight="1">
      <c r="AF7410" s="908">
        <v>0</v>
      </c>
    </row>
    <row r="7411" spans="32:32" ht="24" customHeight="1">
      <c r="AF7411" s="908">
        <v>0</v>
      </c>
    </row>
    <row r="7412" spans="32:32" ht="24" customHeight="1">
      <c r="AF7412" s="908">
        <v>0</v>
      </c>
    </row>
    <row r="7413" spans="32:32" ht="24" customHeight="1">
      <c r="AF7413" s="908">
        <v>0</v>
      </c>
    </row>
    <row r="7414" spans="32:32" ht="24" customHeight="1">
      <c r="AF7414" s="908">
        <v>0</v>
      </c>
    </row>
    <row r="7415" spans="32:32" ht="24" customHeight="1">
      <c r="AF7415" s="908">
        <v>0</v>
      </c>
    </row>
    <row r="7416" spans="32:32" ht="24" customHeight="1">
      <c r="AF7416" s="908">
        <v>0</v>
      </c>
    </row>
    <row r="7417" spans="32:32" ht="24" customHeight="1">
      <c r="AF7417" s="908">
        <v>0</v>
      </c>
    </row>
    <row r="7418" spans="32:32" ht="24" customHeight="1">
      <c r="AF7418" s="908">
        <v>0</v>
      </c>
    </row>
    <row r="7419" spans="32:32" ht="24" customHeight="1">
      <c r="AF7419" s="908">
        <v>0</v>
      </c>
    </row>
    <row r="7420" spans="32:32" ht="24" customHeight="1">
      <c r="AF7420" s="908">
        <v>0</v>
      </c>
    </row>
    <row r="7421" spans="32:32" ht="24" customHeight="1">
      <c r="AF7421" s="908">
        <v>0</v>
      </c>
    </row>
    <row r="7422" spans="32:32" ht="24" customHeight="1">
      <c r="AF7422" s="908">
        <v>0</v>
      </c>
    </row>
    <row r="7423" spans="32:32" ht="24" customHeight="1">
      <c r="AF7423" s="908">
        <v>0</v>
      </c>
    </row>
    <row r="7424" spans="32:32" ht="24" customHeight="1">
      <c r="AF7424" s="908">
        <v>0</v>
      </c>
    </row>
    <row r="7425" spans="32:32" ht="24" customHeight="1">
      <c r="AF7425" s="908">
        <v>0</v>
      </c>
    </row>
    <row r="7426" spans="32:32" ht="24" customHeight="1">
      <c r="AF7426" s="908">
        <v>0</v>
      </c>
    </row>
    <row r="7427" spans="32:32" ht="24" customHeight="1">
      <c r="AF7427" s="908">
        <v>0</v>
      </c>
    </row>
    <row r="7428" spans="32:32" ht="24" customHeight="1">
      <c r="AF7428" s="908">
        <v>0</v>
      </c>
    </row>
    <row r="7429" spans="32:32" ht="24" customHeight="1">
      <c r="AF7429" s="908">
        <v>0</v>
      </c>
    </row>
    <row r="7430" spans="32:32" ht="24" customHeight="1">
      <c r="AF7430" s="908">
        <v>0</v>
      </c>
    </row>
    <row r="7431" spans="32:32" ht="24" customHeight="1">
      <c r="AF7431" s="908">
        <v>0</v>
      </c>
    </row>
    <row r="7432" spans="32:32" ht="24" customHeight="1">
      <c r="AF7432" s="908">
        <v>0</v>
      </c>
    </row>
    <row r="7433" spans="32:32" ht="24" customHeight="1">
      <c r="AF7433" s="908">
        <v>0</v>
      </c>
    </row>
    <row r="7434" spans="32:32" ht="24" customHeight="1">
      <c r="AF7434" s="908">
        <v>0</v>
      </c>
    </row>
    <row r="7435" spans="32:32" ht="24" customHeight="1">
      <c r="AF7435" s="908">
        <v>0</v>
      </c>
    </row>
    <row r="7436" spans="32:32" ht="24" customHeight="1">
      <c r="AF7436" s="908">
        <v>0</v>
      </c>
    </row>
    <row r="7437" spans="32:32" ht="24" customHeight="1">
      <c r="AF7437" s="908">
        <v>0</v>
      </c>
    </row>
    <row r="7438" spans="32:32" ht="24" customHeight="1">
      <c r="AF7438" s="908">
        <v>0</v>
      </c>
    </row>
    <row r="7439" spans="32:32" ht="24" customHeight="1">
      <c r="AF7439" s="908">
        <v>0</v>
      </c>
    </row>
    <row r="7440" spans="32:32" ht="24" customHeight="1">
      <c r="AF7440" s="908">
        <v>0</v>
      </c>
    </row>
    <row r="7441" spans="32:32" ht="24" customHeight="1">
      <c r="AF7441" s="908">
        <v>0</v>
      </c>
    </row>
    <row r="7442" spans="32:32" ht="24" customHeight="1">
      <c r="AF7442" s="908">
        <v>0</v>
      </c>
    </row>
    <row r="7443" spans="32:32" ht="24" customHeight="1">
      <c r="AF7443" s="908">
        <v>0</v>
      </c>
    </row>
    <row r="7444" spans="32:32" ht="24" customHeight="1">
      <c r="AF7444" s="908">
        <v>0</v>
      </c>
    </row>
    <row r="7445" spans="32:32" ht="24" customHeight="1">
      <c r="AF7445" s="908">
        <v>0</v>
      </c>
    </row>
    <row r="7446" spans="32:32" ht="24" customHeight="1">
      <c r="AF7446" s="908">
        <v>0</v>
      </c>
    </row>
    <row r="7447" spans="32:32" ht="24" customHeight="1">
      <c r="AF7447" s="908">
        <v>0</v>
      </c>
    </row>
    <row r="7448" spans="32:32" ht="24" customHeight="1">
      <c r="AF7448" s="908">
        <v>0</v>
      </c>
    </row>
    <row r="7449" spans="32:32" ht="24" customHeight="1">
      <c r="AF7449" s="908">
        <v>0</v>
      </c>
    </row>
    <row r="7450" spans="32:32" ht="24" customHeight="1">
      <c r="AF7450" s="908">
        <v>0</v>
      </c>
    </row>
    <row r="7451" spans="32:32" ht="24" customHeight="1">
      <c r="AF7451" s="908">
        <v>0</v>
      </c>
    </row>
    <row r="7452" spans="32:32" ht="24" customHeight="1">
      <c r="AF7452" s="908">
        <v>0</v>
      </c>
    </row>
    <row r="7453" spans="32:32" ht="24" customHeight="1">
      <c r="AF7453" s="908">
        <v>0</v>
      </c>
    </row>
    <row r="7454" spans="32:32" ht="24" customHeight="1">
      <c r="AF7454" s="908">
        <v>0</v>
      </c>
    </row>
    <row r="7455" spans="32:32" ht="24" customHeight="1">
      <c r="AF7455" s="908">
        <v>0</v>
      </c>
    </row>
    <row r="7456" spans="32:32" ht="24" customHeight="1">
      <c r="AF7456" s="908">
        <v>0</v>
      </c>
    </row>
    <row r="7457" spans="32:32" ht="24" customHeight="1">
      <c r="AF7457" s="908">
        <v>0</v>
      </c>
    </row>
    <row r="7458" spans="32:32" ht="24" customHeight="1">
      <c r="AF7458" s="908">
        <v>0</v>
      </c>
    </row>
    <row r="7459" spans="32:32" ht="24" customHeight="1">
      <c r="AF7459" s="908">
        <v>0</v>
      </c>
    </row>
    <row r="7460" spans="32:32" ht="24" customHeight="1">
      <c r="AF7460" s="908">
        <v>0</v>
      </c>
    </row>
    <row r="7461" spans="32:32" ht="24" customHeight="1">
      <c r="AF7461" s="908">
        <v>0</v>
      </c>
    </row>
    <row r="7462" spans="32:32" ht="24" customHeight="1">
      <c r="AF7462" s="908">
        <v>0</v>
      </c>
    </row>
    <row r="7463" spans="32:32" ht="24" customHeight="1">
      <c r="AF7463" s="908">
        <v>0</v>
      </c>
    </row>
    <row r="7464" spans="32:32" ht="24" customHeight="1">
      <c r="AF7464" s="908">
        <v>0</v>
      </c>
    </row>
    <row r="7465" spans="32:32" ht="24" customHeight="1">
      <c r="AF7465" s="908">
        <v>0</v>
      </c>
    </row>
    <row r="7466" spans="32:32" ht="24" customHeight="1">
      <c r="AF7466" s="908">
        <v>0</v>
      </c>
    </row>
    <row r="7467" spans="32:32" ht="24" customHeight="1">
      <c r="AF7467" s="908">
        <v>0</v>
      </c>
    </row>
    <row r="7468" spans="32:32" ht="24" customHeight="1">
      <c r="AF7468" s="908">
        <v>0</v>
      </c>
    </row>
    <row r="7469" spans="32:32" ht="24" customHeight="1">
      <c r="AF7469" s="908">
        <v>0</v>
      </c>
    </row>
    <row r="7470" spans="32:32" ht="24" customHeight="1">
      <c r="AF7470" s="908">
        <v>0</v>
      </c>
    </row>
    <row r="7471" spans="32:32" ht="24" customHeight="1">
      <c r="AF7471" s="908">
        <v>0</v>
      </c>
    </row>
    <row r="7472" spans="32:32" ht="24" customHeight="1">
      <c r="AF7472" s="908">
        <v>0</v>
      </c>
    </row>
    <row r="7473" spans="32:32" ht="24" customHeight="1">
      <c r="AF7473" s="908">
        <v>0</v>
      </c>
    </row>
    <row r="7474" spans="32:32" ht="24" customHeight="1">
      <c r="AF7474" s="908">
        <v>0</v>
      </c>
    </row>
    <row r="7475" spans="32:32" ht="24" customHeight="1">
      <c r="AF7475" s="908">
        <v>0</v>
      </c>
    </row>
    <row r="7476" spans="32:32" ht="24" customHeight="1">
      <c r="AF7476" s="908">
        <v>0</v>
      </c>
    </row>
    <row r="7477" spans="32:32" ht="24" customHeight="1">
      <c r="AF7477" s="908">
        <v>0</v>
      </c>
    </row>
    <row r="7478" spans="32:32" ht="24" customHeight="1">
      <c r="AF7478" s="908">
        <v>0</v>
      </c>
    </row>
    <row r="7479" spans="32:32" ht="24" customHeight="1">
      <c r="AF7479" s="908">
        <v>0</v>
      </c>
    </row>
    <row r="7480" spans="32:32" ht="24" customHeight="1">
      <c r="AF7480" s="908">
        <v>0</v>
      </c>
    </row>
    <row r="7481" spans="32:32" ht="24" customHeight="1">
      <c r="AF7481" s="908">
        <v>0</v>
      </c>
    </row>
    <row r="7482" spans="32:32" ht="24" customHeight="1">
      <c r="AF7482" s="908">
        <v>0</v>
      </c>
    </row>
    <row r="7483" spans="32:32" ht="24" customHeight="1">
      <c r="AF7483" s="908">
        <v>0</v>
      </c>
    </row>
    <row r="7484" spans="32:32" ht="24" customHeight="1">
      <c r="AF7484" s="908">
        <v>0</v>
      </c>
    </row>
    <row r="7485" spans="32:32" ht="24" customHeight="1">
      <c r="AF7485" s="908">
        <v>0</v>
      </c>
    </row>
    <row r="7486" spans="32:32" ht="24" customHeight="1">
      <c r="AF7486" s="908">
        <v>0</v>
      </c>
    </row>
    <row r="7487" spans="32:32" ht="24" customHeight="1">
      <c r="AF7487" s="908">
        <v>0</v>
      </c>
    </row>
    <row r="7488" spans="32:32" ht="24" customHeight="1">
      <c r="AF7488" s="908">
        <v>0</v>
      </c>
    </row>
    <row r="7489" spans="32:32" ht="24" customHeight="1">
      <c r="AF7489" s="908">
        <v>0</v>
      </c>
    </row>
    <row r="7490" spans="32:32" ht="24" customHeight="1">
      <c r="AF7490" s="908">
        <v>0</v>
      </c>
    </row>
    <row r="7491" spans="32:32" ht="24" customHeight="1">
      <c r="AF7491" s="908">
        <v>0</v>
      </c>
    </row>
    <row r="7492" spans="32:32" ht="24" customHeight="1">
      <c r="AF7492" s="908">
        <v>0</v>
      </c>
    </row>
    <row r="7493" spans="32:32" ht="24" customHeight="1">
      <c r="AF7493" s="908">
        <v>0</v>
      </c>
    </row>
    <row r="7494" spans="32:32" ht="24" customHeight="1">
      <c r="AF7494" s="908">
        <v>0</v>
      </c>
    </row>
    <row r="7495" spans="32:32" ht="24" customHeight="1">
      <c r="AF7495" s="908">
        <v>0</v>
      </c>
    </row>
    <row r="7496" spans="32:32" ht="24" customHeight="1">
      <c r="AF7496" s="908">
        <v>0</v>
      </c>
    </row>
    <row r="7497" spans="32:32" ht="24" customHeight="1">
      <c r="AF7497" s="908">
        <v>0</v>
      </c>
    </row>
    <row r="7498" spans="32:32" ht="24" customHeight="1">
      <c r="AF7498" s="908">
        <v>0</v>
      </c>
    </row>
    <row r="7499" spans="32:32" ht="24" customHeight="1">
      <c r="AF7499" s="908">
        <v>0</v>
      </c>
    </row>
    <row r="7500" spans="32:32" ht="24" customHeight="1">
      <c r="AF7500" s="908">
        <v>0</v>
      </c>
    </row>
    <row r="7501" spans="32:32" ht="24" customHeight="1">
      <c r="AF7501" s="908">
        <v>0</v>
      </c>
    </row>
    <row r="7502" spans="32:32" ht="24" customHeight="1">
      <c r="AF7502" s="908">
        <v>0</v>
      </c>
    </row>
    <row r="7503" spans="32:32" ht="24" customHeight="1">
      <c r="AF7503" s="908">
        <v>0</v>
      </c>
    </row>
    <row r="7504" spans="32:32" ht="24" customHeight="1">
      <c r="AF7504" s="908">
        <v>0</v>
      </c>
    </row>
    <row r="7505" spans="32:32" ht="24" customHeight="1">
      <c r="AF7505" s="908">
        <v>0</v>
      </c>
    </row>
    <row r="7506" spans="32:32" ht="24" customHeight="1">
      <c r="AF7506" s="908">
        <v>0</v>
      </c>
    </row>
    <row r="7507" spans="32:32" ht="24" customHeight="1">
      <c r="AF7507" s="908">
        <v>0</v>
      </c>
    </row>
    <row r="7508" spans="32:32" ht="24" customHeight="1">
      <c r="AF7508" s="908">
        <v>0</v>
      </c>
    </row>
    <row r="7509" spans="32:32" ht="24" customHeight="1">
      <c r="AF7509" s="908">
        <v>0</v>
      </c>
    </row>
    <row r="7510" spans="32:32" ht="24" customHeight="1">
      <c r="AF7510" s="908">
        <v>0</v>
      </c>
    </row>
    <row r="7511" spans="32:32" ht="24" customHeight="1">
      <c r="AF7511" s="908">
        <v>0</v>
      </c>
    </row>
    <row r="7512" spans="32:32" ht="24" customHeight="1">
      <c r="AF7512" s="908">
        <v>0</v>
      </c>
    </row>
    <row r="7513" spans="32:32" ht="24" customHeight="1">
      <c r="AF7513" s="908">
        <v>0</v>
      </c>
    </row>
    <row r="7514" spans="32:32" ht="24" customHeight="1">
      <c r="AF7514" s="908">
        <v>0</v>
      </c>
    </row>
    <row r="7515" spans="32:32" ht="24" customHeight="1">
      <c r="AF7515" s="908">
        <v>0</v>
      </c>
    </row>
    <row r="7516" spans="32:32" ht="24" customHeight="1">
      <c r="AF7516" s="908">
        <v>0</v>
      </c>
    </row>
    <row r="7517" spans="32:32" ht="24" customHeight="1">
      <c r="AF7517" s="908">
        <v>0</v>
      </c>
    </row>
    <row r="7518" spans="32:32" ht="24" customHeight="1">
      <c r="AF7518" s="908">
        <v>0</v>
      </c>
    </row>
    <row r="7519" spans="32:32" ht="24" customHeight="1">
      <c r="AF7519" s="908">
        <v>0</v>
      </c>
    </row>
    <row r="7520" spans="32:32" ht="24" customHeight="1">
      <c r="AF7520" s="908">
        <v>0</v>
      </c>
    </row>
    <row r="7521" spans="32:32" ht="24" customHeight="1">
      <c r="AF7521" s="908">
        <v>0</v>
      </c>
    </row>
    <row r="7522" spans="32:32" ht="24" customHeight="1">
      <c r="AF7522" s="908">
        <v>0</v>
      </c>
    </row>
    <row r="7523" spans="32:32" ht="24" customHeight="1">
      <c r="AF7523" s="908">
        <v>0</v>
      </c>
    </row>
    <row r="7524" spans="32:32" ht="24" customHeight="1">
      <c r="AF7524" s="908">
        <v>0</v>
      </c>
    </row>
    <row r="7525" spans="32:32" ht="24" customHeight="1">
      <c r="AF7525" s="908">
        <v>0</v>
      </c>
    </row>
    <row r="7526" spans="32:32" ht="24" customHeight="1">
      <c r="AF7526" s="908">
        <v>0</v>
      </c>
    </row>
    <row r="7527" spans="32:32" ht="24" customHeight="1">
      <c r="AF7527" s="908">
        <v>0</v>
      </c>
    </row>
    <row r="7528" spans="32:32" ht="24" customHeight="1">
      <c r="AF7528" s="908">
        <v>0</v>
      </c>
    </row>
    <row r="7529" spans="32:32" ht="24" customHeight="1">
      <c r="AF7529" s="908">
        <v>0</v>
      </c>
    </row>
    <row r="7530" spans="32:32" ht="24" customHeight="1">
      <c r="AF7530" s="908">
        <v>0</v>
      </c>
    </row>
    <row r="7531" spans="32:32" ht="24" customHeight="1">
      <c r="AF7531" s="908">
        <v>0</v>
      </c>
    </row>
    <row r="7532" spans="32:32" ht="24" customHeight="1">
      <c r="AF7532" s="908">
        <v>0</v>
      </c>
    </row>
    <row r="7533" spans="32:32" ht="24" customHeight="1">
      <c r="AF7533" s="908">
        <v>0</v>
      </c>
    </row>
    <row r="7534" spans="32:32" ht="24" customHeight="1">
      <c r="AF7534" s="908">
        <v>0</v>
      </c>
    </row>
    <row r="7535" spans="32:32" ht="24" customHeight="1">
      <c r="AF7535" s="908">
        <v>0</v>
      </c>
    </row>
    <row r="7536" spans="32:32" ht="24" customHeight="1">
      <c r="AF7536" s="908">
        <v>0</v>
      </c>
    </row>
    <row r="7537" spans="32:32" ht="24" customHeight="1">
      <c r="AF7537" s="908">
        <v>0</v>
      </c>
    </row>
    <row r="7538" spans="32:32" ht="24" customHeight="1">
      <c r="AF7538" s="908">
        <v>0</v>
      </c>
    </row>
    <row r="7539" spans="32:32" ht="24" customHeight="1">
      <c r="AF7539" s="908">
        <v>0</v>
      </c>
    </row>
    <row r="7540" spans="32:32" ht="24" customHeight="1">
      <c r="AF7540" s="908">
        <v>0</v>
      </c>
    </row>
    <row r="7541" spans="32:32" ht="24" customHeight="1">
      <c r="AF7541" s="908">
        <v>0</v>
      </c>
    </row>
    <row r="7542" spans="32:32" ht="24" customHeight="1">
      <c r="AF7542" s="908">
        <v>0</v>
      </c>
    </row>
    <row r="7543" spans="32:32" ht="24" customHeight="1">
      <c r="AF7543" s="908">
        <v>0</v>
      </c>
    </row>
    <row r="7544" spans="32:32" ht="24" customHeight="1">
      <c r="AF7544" s="908">
        <v>0</v>
      </c>
    </row>
    <row r="7545" spans="32:32" ht="24" customHeight="1">
      <c r="AF7545" s="908">
        <v>0</v>
      </c>
    </row>
    <row r="7546" spans="32:32" ht="24" customHeight="1">
      <c r="AF7546" s="908">
        <v>0</v>
      </c>
    </row>
    <row r="7547" spans="32:32" ht="24" customHeight="1">
      <c r="AF7547" s="908">
        <v>0</v>
      </c>
    </row>
    <row r="7548" spans="32:32" ht="24" customHeight="1">
      <c r="AF7548" s="908">
        <v>0</v>
      </c>
    </row>
    <row r="7549" spans="32:32" ht="24" customHeight="1">
      <c r="AF7549" s="908">
        <v>0</v>
      </c>
    </row>
    <row r="7550" spans="32:32" ht="24" customHeight="1">
      <c r="AF7550" s="908">
        <v>0</v>
      </c>
    </row>
    <row r="7551" spans="32:32" ht="24" customHeight="1">
      <c r="AF7551" s="908">
        <v>0</v>
      </c>
    </row>
    <row r="7552" spans="32:32" ht="24" customHeight="1">
      <c r="AF7552" s="908">
        <v>0</v>
      </c>
    </row>
    <row r="7553" spans="32:32" ht="24" customHeight="1">
      <c r="AF7553" s="908">
        <v>0</v>
      </c>
    </row>
    <row r="7554" spans="32:32" ht="24" customHeight="1">
      <c r="AF7554" s="908">
        <v>0</v>
      </c>
    </row>
    <row r="7555" spans="32:32" ht="24" customHeight="1">
      <c r="AF7555" s="908">
        <v>0</v>
      </c>
    </row>
    <row r="7556" spans="32:32" ht="24" customHeight="1">
      <c r="AF7556" s="908">
        <v>0</v>
      </c>
    </row>
    <row r="7557" spans="32:32" ht="24" customHeight="1">
      <c r="AF7557" s="908">
        <v>0</v>
      </c>
    </row>
    <row r="7558" spans="32:32" ht="24" customHeight="1">
      <c r="AF7558" s="908">
        <v>0</v>
      </c>
    </row>
    <row r="7559" spans="32:32" ht="24" customHeight="1">
      <c r="AF7559" s="908">
        <v>0</v>
      </c>
    </row>
    <row r="7560" spans="32:32" ht="24" customHeight="1">
      <c r="AF7560" s="908">
        <v>0</v>
      </c>
    </row>
    <row r="7561" spans="32:32" ht="24" customHeight="1">
      <c r="AF7561" s="908">
        <v>0</v>
      </c>
    </row>
    <row r="7562" spans="32:32" ht="24" customHeight="1">
      <c r="AF7562" s="908">
        <v>0</v>
      </c>
    </row>
    <row r="7563" spans="32:32" ht="24" customHeight="1">
      <c r="AF7563" s="908">
        <v>0</v>
      </c>
    </row>
    <row r="7564" spans="32:32" ht="24" customHeight="1">
      <c r="AF7564" s="908">
        <v>0</v>
      </c>
    </row>
    <row r="7565" spans="32:32" ht="24" customHeight="1">
      <c r="AF7565" s="908">
        <v>0</v>
      </c>
    </row>
    <row r="7566" spans="32:32" ht="24" customHeight="1">
      <c r="AF7566" s="908">
        <v>0</v>
      </c>
    </row>
    <row r="7567" spans="32:32" ht="24" customHeight="1">
      <c r="AF7567" s="908">
        <v>0</v>
      </c>
    </row>
    <row r="7568" spans="32:32" ht="24" customHeight="1">
      <c r="AF7568" s="908">
        <v>0</v>
      </c>
    </row>
    <row r="7569" spans="32:32" ht="24" customHeight="1">
      <c r="AF7569" s="908">
        <v>0</v>
      </c>
    </row>
    <row r="7570" spans="32:32" ht="24" customHeight="1">
      <c r="AF7570" s="908">
        <v>0</v>
      </c>
    </row>
    <row r="7571" spans="32:32" ht="24" customHeight="1">
      <c r="AF7571" s="908">
        <v>0</v>
      </c>
    </row>
    <row r="7572" spans="32:32" ht="24" customHeight="1">
      <c r="AF7572" s="908">
        <v>0</v>
      </c>
    </row>
    <row r="7573" spans="32:32" ht="24" customHeight="1">
      <c r="AF7573" s="908">
        <v>0</v>
      </c>
    </row>
    <row r="7574" spans="32:32" ht="24" customHeight="1">
      <c r="AF7574" s="908">
        <v>0</v>
      </c>
    </row>
    <row r="7575" spans="32:32" ht="24" customHeight="1">
      <c r="AF7575" s="908">
        <v>0</v>
      </c>
    </row>
    <row r="7576" spans="32:32" ht="24" customHeight="1">
      <c r="AF7576" s="908">
        <v>0</v>
      </c>
    </row>
    <row r="7577" spans="32:32" ht="24" customHeight="1">
      <c r="AF7577" s="908">
        <v>0</v>
      </c>
    </row>
    <row r="7578" spans="32:32" ht="24" customHeight="1">
      <c r="AF7578" s="908">
        <v>0</v>
      </c>
    </row>
    <row r="7579" spans="32:32" ht="24" customHeight="1">
      <c r="AF7579" s="908">
        <v>0</v>
      </c>
    </row>
    <row r="7580" spans="32:32" ht="24" customHeight="1">
      <c r="AF7580" s="908">
        <v>0</v>
      </c>
    </row>
    <row r="7581" spans="32:32" ht="24" customHeight="1">
      <c r="AF7581" s="908">
        <v>0</v>
      </c>
    </row>
    <row r="7582" spans="32:32" ht="24" customHeight="1">
      <c r="AF7582" s="908">
        <v>0</v>
      </c>
    </row>
    <row r="7583" spans="32:32" ht="24" customHeight="1">
      <c r="AF7583" s="908">
        <v>0</v>
      </c>
    </row>
    <row r="7584" spans="32:32" ht="24" customHeight="1">
      <c r="AF7584" s="908">
        <v>0</v>
      </c>
    </row>
    <row r="7585" spans="32:32" ht="24" customHeight="1">
      <c r="AF7585" s="908">
        <v>0</v>
      </c>
    </row>
    <row r="7586" spans="32:32" ht="24" customHeight="1">
      <c r="AF7586" s="908">
        <v>0</v>
      </c>
    </row>
    <row r="7587" spans="32:32" ht="24" customHeight="1">
      <c r="AF7587" s="908">
        <v>0</v>
      </c>
    </row>
    <row r="7588" spans="32:32" ht="24" customHeight="1">
      <c r="AF7588" s="908">
        <v>0</v>
      </c>
    </row>
    <row r="7589" spans="32:32" ht="24" customHeight="1">
      <c r="AF7589" s="908">
        <v>0</v>
      </c>
    </row>
    <row r="7590" spans="32:32" ht="24" customHeight="1">
      <c r="AF7590" s="908">
        <v>0</v>
      </c>
    </row>
    <row r="7591" spans="32:32" ht="24" customHeight="1">
      <c r="AF7591" s="908">
        <v>0</v>
      </c>
    </row>
    <row r="7592" spans="32:32" ht="24" customHeight="1">
      <c r="AF7592" s="908">
        <v>0</v>
      </c>
    </row>
    <row r="7593" spans="32:32" ht="24" customHeight="1">
      <c r="AF7593" s="908">
        <v>0</v>
      </c>
    </row>
    <row r="7594" spans="32:32" ht="24" customHeight="1">
      <c r="AF7594" s="908">
        <v>0</v>
      </c>
    </row>
    <row r="7595" spans="32:32" ht="24" customHeight="1">
      <c r="AF7595" s="908">
        <v>0</v>
      </c>
    </row>
    <row r="7596" spans="32:32" ht="24" customHeight="1">
      <c r="AF7596" s="908">
        <v>0</v>
      </c>
    </row>
    <row r="7597" spans="32:32" ht="24" customHeight="1">
      <c r="AF7597" s="908">
        <v>0</v>
      </c>
    </row>
    <row r="7598" spans="32:32" ht="24" customHeight="1">
      <c r="AF7598" s="908">
        <v>0</v>
      </c>
    </row>
    <row r="7599" spans="32:32" ht="24" customHeight="1">
      <c r="AF7599" s="908">
        <v>0</v>
      </c>
    </row>
    <row r="7600" spans="32:32" ht="24" customHeight="1">
      <c r="AF7600" s="908">
        <v>0</v>
      </c>
    </row>
    <row r="7601" spans="32:32" ht="24" customHeight="1">
      <c r="AF7601" s="908">
        <v>0</v>
      </c>
    </row>
    <row r="7602" spans="32:32" ht="24" customHeight="1">
      <c r="AF7602" s="908">
        <v>0</v>
      </c>
    </row>
    <row r="7603" spans="32:32" ht="24" customHeight="1">
      <c r="AF7603" s="908">
        <v>0</v>
      </c>
    </row>
    <row r="7604" spans="32:32" ht="24" customHeight="1">
      <c r="AF7604" s="908">
        <v>0</v>
      </c>
    </row>
    <row r="7605" spans="32:32" ht="24" customHeight="1">
      <c r="AF7605" s="908">
        <v>0</v>
      </c>
    </row>
    <row r="7606" spans="32:32" ht="24" customHeight="1">
      <c r="AF7606" s="908">
        <v>0</v>
      </c>
    </row>
    <row r="7607" spans="32:32" ht="24" customHeight="1">
      <c r="AF7607" s="908">
        <v>0</v>
      </c>
    </row>
    <row r="7608" spans="32:32" ht="24" customHeight="1">
      <c r="AF7608" s="908">
        <v>0</v>
      </c>
    </row>
    <row r="7609" spans="32:32" ht="24" customHeight="1">
      <c r="AF7609" s="908">
        <v>0</v>
      </c>
    </row>
    <row r="7610" spans="32:32" ht="24" customHeight="1">
      <c r="AF7610" s="908">
        <v>0</v>
      </c>
    </row>
    <row r="7611" spans="32:32" ht="24" customHeight="1">
      <c r="AF7611" s="908">
        <v>0</v>
      </c>
    </row>
    <row r="7612" spans="32:32" ht="24" customHeight="1">
      <c r="AF7612" s="908">
        <v>0</v>
      </c>
    </row>
    <row r="7613" spans="32:32" ht="24" customHeight="1">
      <c r="AF7613" s="908">
        <v>0</v>
      </c>
    </row>
    <row r="7614" spans="32:32" ht="24" customHeight="1">
      <c r="AF7614" s="908">
        <v>0</v>
      </c>
    </row>
    <row r="7615" spans="32:32" ht="24" customHeight="1">
      <c r="AF7615" s="908">
        <v>0</v>
      </c>
    </row>
    <row r="7616" spans="32:32" ht="24" customHeight="1">
      <c r="AF7616" s="908">
        <v>0</v>
      </c>
    </row>
    <row r="7617" spans="32:32" ht="24" customHeight="1">
      <c r="AF7617" s="908">
        <v>0</v>
      </c>
    </row>
    <row r="7618" spans="32:32" ht="24" customHeight="1">
      <c r="AF7618" s="908">
        <v>0</v>
      </c>
    </row>
    <row r="7619" spans="32:32" ht="24" customHeight="1">
      <c r="AF7619" s="908">
        <v>0</v>
      </c>
    </row>
    <row r="7620" spans="32:32" ht="24" customHeight="1">
      <c r="AF7620" s="908">
        <v>0</v>
      </c>
    </row>
    <row r="7621" spans="32:32" ht="24" customHeight="1">
      <c r="AF7621" s="908">
        <v>0</v>
      </c>
    </row>
    <row r="7622" spans="32:32" ht="24" customHeight="1">
      <c r="AF7622" s="908">
        <v>0</v>
      </c>
    </row>
    <row r="7623" spans="32:32" ht="24" customHeight="1">
      <c r="AF7623" s="908">
        <v>0</v>
      </c>
    </row>
    <row r="7624" spans="32:32" ht="24" customHeight="1">
      <c r="AF7624" s="908">
        <v>0</v>
      </c>
    </row>
    <row r="7625" spans="32:32" ht="24" customHeight="1">
      <c r="AF7625" s="908">
        <v>0</v>
      </c>
    </row>
    <row r="7626" spans="32:32" ht="24" customHeight="1">
      <c r="AF7626" s="908">
        <v>0</v>
      </c>
    </row>
    <row r="7627" spans="32:32" ht="24" customHeight="1">
      <c r="AF7627" s="908">
        <v>0</v>
      </c>
    </row>
    <row r="7628" spans="32:32" ht="24" customHeight="1">
      <c r="AF7628" s="908">
        <v>0</v>
      </c>
    </row>
    <row r="7629" spans="32:32" ht="24" customHeight="1">
      <c r="AF7629" s="908">
        <v>0</v>
      </c>
    </row>
    <row r="7630" spans="32:32" ht="24" customHeight="1">
      <c r="AF7630" s="908">
        <v>0</v>
      </c>
    </row>
    <row r="7631" spans="32:32" ht="24" customHeight="1">
      <c r="AF7631" s="908">
        <v>0</v>
      </c>
    </row>
    <row r="7632" spans="32:32" ht="24" customHeight="1">
      <c r="AF7632" s="908">
        <v>0</v>
      </c>
    </row>
    <row r="7633" spans="32:32" ht="24" customHeight="1">
      <c r="AF7633" s="908">
        <v>0</v>
      </c>
    </row>
    <row r="7634" spans="32:32" ht="24" customHeight="1">
      <c r="AF7634" s="908">
        <v>0</v>
      </c>
    </row>
    <row r="7635" spans="32:32" ht="24" customHeight="1">
      <c r="AF7635" s="908">
        <v>0</v>
      </c>
    </row>
    <row r="7636" spans="32:32" ht="24" customHeight="1">
      <c r="AF7636" s="908">
        <v>0</v>
      </c>
    </row>
    <row r="7637" spans="32:32" ht="24" customHeight="1">
      <c r="AF7637" s="908">
        <v>0</v>
      </c>
    </row>
    <row r="7638" spans="32:32" ht="24" customHeight="1">
      <c r="AF7638" s="908">
        <v>0</v>
      </c>
    </row>
    <row r="7639" spans="32:32" ht="24" customHeight="1">
      <c r="AF7639" s="908">
        <v>0</v>
      </c>
    </row>
    <row r="7640" spans="32:32" ht="24" customHeight="1">
      <c r="AF7640" s="908">
        <v>0</v>
      </c>
    </row>
    <row r="7641" spans="32:32" ht="24" customHeight="1">
      <c r="AF7641" s="908">
        <v>0</v>
      </c>
    </row>
    <row r="7642" spans="32:32" ht="24" customHeight="1">
      <c r="AF7642" s="908">
        <v>0</v>
      </c>
    </row>
    <row r="7643" spans="32:32" ht="24" customHeight="1">
      <c r="AF7643" s="908">
        <v>0</v>
      </c>
    </row>
    <row r="7644" spans="32:32" ht="24" customHeight="1">
      <c r="AF7644" s="908">
        <v>0</v>
      </c>
    </row>
    <row r="7645" spans="32:32" ht="24" customHeight="1">
      <c r="AF7645" s="908">
        <v>0</v>
      </c>
    </row>
    <row r="7646" spans="32:32" ht="24" customHeight="1">
      <c r="AF7646" s="908">
        <v>0</v>
      </c>
    </row>
    <row r="7647" spans="32:32" ht="24" customHeight="1">
      <c r="AF7647" s="908">
        <v>0</v>
      </c>
    </row>
    <row r="7648" spans="32:32" ht="24" customHeight="1">
      <c r="AF7648" s="908">
        <v>0</v>
      </c>
    </row>
    <row r="7649" spans="32:32" ht="24" customHeight="1">
      <c r="AF7649" s="908">
        <v>0</v>
      </c>
    </row>
    <row r="7650" spans="32:32" ht="24" customHeight="1">
      <c r="AF7650" s="908">
        <v>0</v>
      </c>
    </row>
    <row r="7651" spans="32:32" ht="24" customHeight="1">
      <c r="AF7651" s="908">
        <v>0</v>
      </c>
    </row>
    <row r="7652" spans="32:32" ht="24" customHeight="1">
      <c r="AF7652" s="908">
        <v>0</v>
      </c>
    </row>
    <row r="7653" spans="32:32" ht="24" customHeight="1">
      <c r="AF7653" s="908">
        <v>0</v>
      </c>
    </row>
    <row r="7654" spans="32:32" ht="24" customHeight="1">
      <c r="AF7654" s="908">
        <v>0</v>
      </c>
    </row>
    <row r="7655" spans="32:32" ht="24" customHeight="1">
      <c r="AF7655" s="908">
        <v>0</v>
      </c>
    </row>
    <row r="7656" spans="32:32" ht="24" customHeight="1">
      <c r="AF7656" s="908">
        <v>0</v>
      </c>
    </row>
    <row r="7657" spans="32:32" ht="24" customHeight="1">
      <c r="AF7657" s="908">
        <v>0</v>
      </c>
    </row>
    <row r="7658" spans="32:32" ht="24" customHeight="1">
      <c r="AF7658" s="908">
        <v>0</v>
      </c>
    </row>
    <row r="7659" spans="32:32" ht="24" customHeight="1">
      <c r="AF7659" s="908">
        <v>0</v>
      </c>
    </row>
    <row r="7660" spans="32:32" ht="24" customHeight="1">
      <c r="AF7660" s="908">
        <v>0</v>
      </c>
    </row>
    <row r="7661" spans="32:32" ht="24" customHeight="1">
      <c r="AF7661" s="908">
        <v>0</v>
      </c>
    </row>
    <row r="7662" spans="32:32" ht="24" customHeight="1">
      <c r="AF7662" s="908">
        <v>0</v>
      </c>
    </row>
    <row r="7663" spans="32:32" ht="24" customHeight="1">
      <c r="AF7663" s="908">
        <v>0</v>
      </c>
    </row>
    <row r="7664" spans="32:32" ht="24" customHeight="1">
      <c r="AF7664" s="908">
        <v>0</v>
      </c>
    </row>
    <row r="7665" spans="32:32" ht="24" customHeight="1">
      <c r="AF7665" s="908">
        <v>0</v>
      </c>
    </row>
    <row r="7666" spans="32:32" ht="24" customHeight="1">
      <c r="AF7666" s="908">
        <v>0</v>
      </c>
    </row>
    <row r="7667" spans="32:32" ht="24" customHeight="1">
      <c r="AF7667" s="908">
        <v>0</v>
      </c>
    </row>
    <row r="7668" spans="32:32" ht="24" customHeight="1">
      <c r="AF7668" s="908">
        <v>0</v>
      </c>
    </row>
    <row r="7669" spans="32:32" ht="24" customHeight="1">
      <c r="AF7669" s="908">
        <v>0</v>
      </c>
    </row>
    <row r="7670" spans="32:32" ht="24" customHeight="1">
      <c r="AF7670" s="908">
        <v>0</v>
      </c>
    </row>
    <row r="7671" spans="32:32" ht="24" customHeight="1">
      <c r="AF7671" s="908">
        <v>0</v>
      </c>
    </row>
    <row r="7672" spans="32:32" ht="24" customHeight="1">
      <c r="AF7672" s="908">
        <v>0</v>
      </c>
    </row>
    <row r="7673" spans="32:32" ht="24" customHeight="1">
      <c r="AF7673" s="908">
        <v>0</v>
      </c>
    </row>
    <row r="7674" spans="32:32" ht="24" customHeight="1">
      <c r="AF7674" s="908">
        <v>0</v>
      </c>
    </row>
    <row r="7675" spans="32:32" ht="24" customHeight="1">
      <c r="AF7675" s="908">
        <v>0</v>
      </c>
    </row>
    <row r="7676" spans="32:32" ht="24" customHeight="1">
      <c r="AF7676" s="908">
        <v>0</v>
      </c>
    </row>
    <row r="7677" spans="32:32" ht="24" customHeight="1">
      <c r="AF7677" s="908">
        <v>0</v>
      </c>
    </row>
    <row r="7678" spans="32:32" ht="24" customHeight="1">
      <c r="AF7678" s="908">
        <v>0</v>
      </c>
    </row>
    <row r="7679" spans="32:32" ht="24" customHeight="1">
      <c r="AF7679" s="908">
        <v>0</v>
      </c>
    </row>
    <row r="7680" spans="32:32" ht="24" customHeight="1">
      <c r="AF7680" s="908">
        <v>0</v>
      </c>
    </row>
    <row r="7681" spans="32:32" ht="24" customHeight="1">
      <c r="AF7681" s="908">
        <v>0</v>
      </c>
    </row>
    <row r="7682" spans="32:32" ht="24" customHeight="1">
      <c r="AF7682" s="908">
        <v>0</v>
      </c>
    </row>
    <row r="7683" spans="32:32" ht="24" customHeight="1">
      <c r="AF7683" s="908">
        <v>0</v>
      </c>
    </row>
    <row r="7684" spans="32:32" ht="24" customHeight="1">
      <c r="AF7684" s="908">
        <v>0</v>
      </c>
    </row>
    <row r="7685" spans="32:32" ht="24" customHeight="1">
      <c r="AF7685" s="908">
        <v>0</v>
      </c>
    </row>
    <row r="7686" spans="32:32" ht="24" customHeight="1">
      <c r="AF7686" s="908">
        <v>0</v>
      </c>
    </row>
    <row r="7687" spans="32:32" ht="24" customHeight="1">
      <c r="AF7687" s="908">
        <v>0</v>
      </c>
    </row>
    <row r="7688" spans="32:32" ht="24" customHeight="1">
      <c r="AF7688" s="908">
        <v>0</v>
      </c>
    </row>
    <row r="7689" spans="32:32" ht="24" customHeight="1">
      <c r="AF7689" s="908">
        <v>0</v>
      </c>
    </row>
    <row r="7690" spans="32:32" ht="24" customHeight="1">
      <c r="AF7690" s="908">
        <v>0</v>
      </c>
    </row>
    <row r="7691" spans="32:32" ht="24" customHeight="1">
      <c r="AF7691" s="908">
        <v>0</v>
      </c>
    </row>
    <row r="7692" spans="32:32" ht="24" customHeight="1">
      <c r="AF7692" s="908">
        <v>0</v>
      </c>
    </row>
    <row r="7693" spans="32:32" ht="24" customHeight="1">
      <c r="AF7693" s="908">
        <v>0</v>
      </c>
    </row>
    <row r="7694" spans="32:32" ht="24" customHeight="1">
      <c r="AF7694" s="908">
        <v>0</v>
      </c>
    </row>
    <row r="7695" spans="32:32" ht="24" customHeight="1">
      <c r="AF7695" s="908">
        <v>0</v>
      </c>
    </row>
    <row r="7696" spans="32:32" ht="24" customHeight="1">
      <c r="AF7696" s="908">
        <v>0</v>
      </c>
    </row>
    <row r="7697" spans="32:32" ht="24" customHeight="1">
      <c r="AF7697" s="908">
        <v>0</v>
      </c>
    </row>
    <row r="7698" spans="32:32" ht="24" customHeight="1">
      <c r="AF7698" s="908">
        <v>0</v>
      </c>
    </row>
    <row r="7699" spans="32:32" ht="24" customHeight="1">
      <c r="AF7699" s="908">
        <v>0</v>
      </c>
    </row>
    <row r="7700" spans="32:32" ht="24" customHeight="1">
      <c r="AF7700" s="908">
        <v>0</v>
      </c>
    </row>
    <row r="7701" spans="32:32" ht="24" customHeight="1">
      <c r="AF7701" s="908">
        <v>0</v>
      </c>
    </row>
    <row r="7702" spans="32:32" ht="24" customHeight="1">
      <c r="AF7702" s="908">
        <v>0</v>
      </c>
    </row>
    <row r="7703" spans="32:32" ht="24" customHeight="1">
      <c r="AF7703" s="908">
        <v>0</v>
      </c>
    </row>
    <row r="7704" spans="32:32" ht="24" customHeight="1">
      <c r="AF7704" s="908">
        <v>0</v>
      </c>
    </row>
    <row r="7705" spans="32:32" ht="24" customHeight="1">
      <c r="AF7705" s="908">
        <v>0</v>
      </c>
    </row>
    <row r="7706" spans="32:32" ht="24" customHeight="1">
      <c r="AF7706" s="908">
        <v>0</v>
      </c>
    </row>
    <row r="7707" spans="32:32" ht="24" customHeight="1">
      <c r="AF7707" s="908">
        <v>0</v>
      </c>
    </row>
    <row r="7708" spans="32:32" ht="24" customHeight="1">
      <c r="AF7708" s="908">
        <v>0</v>
      </c>
    </row>
    <row r="7709" spans="32:32" ht="24" customHeight="1">
      <c r="AF7709" s="908">
        <v>0</v>
      </c>
    </row>
    <row r="7710" spans="32:32" ht="24" customHeight="1">
      <c r="AF7710" s="908">
        <v>0</v>
      </c>
    </row>
    <row r="7711" spans="32:32" ht="24" customHeight="1">
      <c r="AF7711" s="908">
        <v>0</v>
      </c>
    </row>
    <row r="7712" spans="32:32" ht="24" customHeight="1">
      <c r="AF7712" s="908">
        <v>0</v>
      </c>
    </row>
    <row r="7713" spans="32:32" ht="24" customHeight="1">
      <c r="AF7713" s="908">
        <v>0</v>
      </c>
    </row>
    <row r="7714" spans="32:32" ht="24" customHeight="1">
      <c r="AF7714" s="908">
        <v>0</v>
      </c>
    </row>
    <row r="7715" spans="32:32" ht="24" customHeight="1">
      <c r="AF7715" s="908">
        <v>0</v>
      </c>
    </row>
    <row r="7716" spans="32:32" ht="24" customHeight="1">
      <c r="AF7716" s="908">
        <v>0</v>
      </c>
    </row>
    <row r="7717" spans="32:32" ht="24" customHeight="1">
      <c r="AF7717" s="908">
        <v>0</v>
      </c>
    </row>
    <row r="7718" spans="32:32" ht="24" customHeight="1">
      <c r="AF7718" s="908">
        <v>0</v>
      </c>
    </row>
    <row r="7719" spans="32:32" ht="24" customHeight="1">
      <c r="AF7719" s="908">
        <v>0</v>
      </c>
    </row>
    <row r="7720" spans="32:32" ht="24" customHeight="1">
      <c r="AF7720" s="908">
        <v>0</v>
      </c>
    </row>
    <row r="7721" spans="32:32" ht="24" customHeight="1">
      <c r="AF7721" s="908">
        <v>0</v>
      </c>
    </row>
    <row r="7722" spans="32:32" ht="24" customHeight="1">
      <c r="AF7722" s="908">
        <v>0</v>
      </c>
    </row>
    <row r="7723" spans="32:32" ht="24" customHeight="1">
      <c r="AF7723" s="908">
        <v>0</v>
      </c>
    </row>
    <row r="7724" spans="32:32" ht="24" customHeight="1">
      <c r="AF7724" s="908">
        <v>0</v>
      </c>
    </row>
    <row r="7725" spans="32:32" ht="24" customHeight="1">
      <c r="AF7725" s="908">
        <v>0</v>
      </c>
    </row>
    <row r="7726" spans="32:32" ht="24" customHeight="1">
      <c r="AF7726" s="908">
        <v>0</v>
      </c>
    </row>
    <row r="7727" spans="32:32" ht="24" customHeight="1">
      <c r="AF7727" s="908">
        <v>0</v>
      </c>
    </row>
    <row r="7728" spans="32:32" ht="24" customHeight="1">
      <c r="AF7728" s="908">
        <v>0</v>
      </c>
    </row>
    <row r="7729" spans="32:32" ht="24" customHeight="1">
      <c r="AF7729" s="908">
        <v>0</v>
      </c>
    </row>
    <row r="7730" spans="32:32" ht="24" customHeight="1">
      <c r="AF7730" s="908">
        <v>0</v>
      </c>
    </row>
    <row r="7731" spans="32:32" ht="24" customHeight="1">
      <c r="AF7731" s="908">
        <v>0</v>
      </c>
    </row>
    <row r="7732" spans="32:32" ht="24" customHeight="1">
      <c r="AF7732" s="908">
        <v>0</v>
      </c>
    </row>
    <row r="7733" spans="32:32" ht="24" customHeight="1">
      <c r="AF7733" s="908">
        <v>0</v>
      </c>
    </row>
    <row r="7734" spans="32:32" ht="24" customHeight="1">
      <c r="AF7734" s="908">
        <v>0</v>
      </c>
    </row>
    <row r="7735" spans="32:32" ht="24" customHeight="1">
      <c r="AF7735" s="908">
        <v>0</v>
      </c>
    </row>
    <row r="7736" spans="32:32" ht="24" customHeight="1">
      <c r="AF7736" s="908">
        <v>0</v>
      </c>
    </row>
    <row r="7737" spans="32:32" ht="24" customHeight="1">
      <c r="AF7737" s="908">
        <v>0</v>
      </c>
    </row>
    <row r="7738" spans="32:32" ht="24" customHeight="1">
      <c r="AF7738" s="908">
        <v>0</v>
      </c>
    </row>
    <row r="7739" spans="32:32" ht="24" customHeight="1">
      <c r="AF7739" s="908">
        <v>0</v>
      </c>
    </row>
    <row r="7740" spans="32:32" ht="24" customHeight="1">
      <c r="AF7740" s="908">
        <v>0</v>
      </c>
    </row>
    <row r="7741" spans="32:32" ht="24" customHeight="1">
      <c r="AF7741" s="908">
        <v>0</v>
      </c>
    </row>
    <row r="7742" spans="32:32" ht="24" customHeight="1">
      <c r="AF7742" s="908">
        <v>0</v>
      </c>
    </row>
    <row r="7743" spans="32:32" ht="24" customHeight="1">
      <c r="AF7743" s="908">
        <v>0</v>
      </c>
    </row>
    <row r="7744" spans="32:32" ht="24" customHeight="1">
      <c r="AF7744" s="908">
        <v>0</v>
      </c>
    </row>
    <row r="7745" spans="32:32" ht="24" customHeight="1">
      <c r="AF7745" s="908">
        <v>0</v>
      </c>
    </row>
    <row r="7746" spans="32:32" ht="24" customHeight="1">
      <c r="AF7746" s="908">
        <v>0</v>
      </c>
    </row>
    <row r="7747" spans="32:32" ht="24" customHeight="1">
      <c r="AF7747" s="908">
        <v>0</v>
      </c>
    </row>
    <row r="7748" spans="32:32" ht="24" customHeight="1">
      <c r="AF7748" s="908">
        <v>0</v>
      </c>
    </row>
    <row r="7749" spans="32:32" ht="24" customHeight="1">
      <c r="AF7749" s="908">
        <v>0</v>
      </c>
    </row>
    <row r="7750" spans="32:32" ht="24" customHeight="1">
      <c r="AF7750" s="908">
        <v>0</v>
      </c>
    </row>
    <row r="7751" spans="32:32" ht="24" customHeight="1">
      <c r="AF7751" s="908">
        <v>0</v>
      </c>
    </row>
    <row r="7752" spans="32:32" ht="24" customHeight="1">
      <c r="AF7752" s="908">
        <v>0</v>
      </c>
    </row>
    <row r="7753" spans="32:32" ht="24" customHeight="1">
      <c r="AF7753" s="908">
        <v>0</v>
      </c>
    </row>
    <row r="7754" spans="32:32" ht="24" customHeight="1">
      <c r="AF7754" s="908">
        <v>0</v>
      </c>
    </row>
    <row r="7755" spans="32:32" ht="24" customHeight="1">
      <c r="AF7755" s="908">
        <v>0</v>
      </c>
    </row>
    <row r="7756" spans="32:32" ht="24" customHeight="1">
      <c r="AF7756" s="908">
        <v>0</v>
      </c>
    </row>
    <row r="7757" spans="32:32" ht="24" customHeight="1">
      <c r="AF7757" s="908">
        <v>0</v>
      </c>
    </row>
    <row r="7758" spans="32:32" ht="24" customHeight="1">
      <c r="AF7758" s="908">
        <v>0</v>
      </c>
    </row>
    <row r="7759" spans="32:32" ht="24" customHeight="1">
      <c r="AF7759" s="908">
        <v>0</v>
      </c>
    </row>
    <row r="7760" spans="32:32" ht="24" customHeight="1">
      <c r="AF7760" s="908">
        <v>0</v>
      </c>
    </row>
    <row r="7761" spans="32:32" ht="24" customHeight="1">
      <c r="AF7761" s="908">
        <v>0</v>
      </c>
    </row>
    <row r="7762" spans="32:32" ht="24" customHeight="1">
      <c r="AF7762" s="908">
        <v>0</v>
      </c>
    </row>
    <row r="7763" spans="32:32" ht="24" customHeight="1">
      <c r="AF7763" s="908">
        <v>0</v>
      </c>
    </row>
    <row r="7764" spans="32:32" ht="24" customHeight="1">
      <c r="AF7764" s="908">
        <v>0</v>
      </c>
    </row>
    <row r="7765" spans="32:32" ht="24" customHeight="1">
      <c r="AF7765" s="908">
        <v>0</v>
      </c>
    </row>
    <row r="7766" spans="32:32" ht="24" customHeight="1">
      <c r="AF7766" s="908">
        <v>0</v>
      </c>
    </row>
    <row r="7767" spans="32:32" ht="24" customHeight="1">
      <c r="AF7767" s="908">
        <v>0</v>
      </c>
    </row>
    <row r="7768" spans="32:32" ht="24" customHeight="1">
      <c r="AF7768" s="908">
        <v>0</v>
      </c>
    </row>
    <row r="7769" spans="32:32" ht="24" customHeight="1">
      <c r="AF7769" s="908">
        <v>0</v>
      </c>
    </row>
    <row r="7770" spans="32:32" ht="24" customHeight="1">
      <c r="AF7770" s="908">
        <v>0</v>
      </c>
    </row>
    <row r="7771" spans="32:32" ht="24" customHeight="1">
      <c r="AF7771" s="908">
        <v>0</v>
      </c>
    </row>
    <row r="7772" spans="32:32" ht="24" customHeight="1">
      <c r="AF7772" s="908">
        <v>0</v>
      </c>
    </row>
    <row r="7773" spans="32:32" ht="24" customHeight="1">
      <c r="AF7773" s="908">
        <v>0</v>
      </c>
    </row>
    <row r="7774" spans="32:32" ht="24" customHeight="1">
      <c r="AF7774" s="908">
        <v>0</v>
      </c>
    </row>
    <row r="7775" spans="32:32" ht="24" customHeight="1">
      <c r="AF7775" s="908">
        <v>0</v>
      </c>
    </row>
    <row r="7776" spans="32:32" ht="24" customHeight="1">
      <c r="AF7776" s="908">
        <v>0</v>
      </c>
    </row>
    <row r="7777" spans="32:32" ht="24" customHeight="1">
      <c r="AF7777" s="908">
        <v>0</v>
      </c>
    </row>
    <row r="7778" spans="32:32" ht="24" customHeight="1">
      <c r="AF7778" s="908">
        <v>0</v>
      </c>
    </row>
    <row r="7779" spans="32:32" ht="24" customHeight="1">
      <c r="AF7779" s="908">
        <v>0</v>
      </c>
    </row>
    <row r="7780" spans="32:32" ht="24" customHeight="1">
      <c r="AF7780" s="908">
        <v>0</v>
      </c>
    </row>
    <row r="7781" spans="32:32" ht="24" customHeight="1">
      <c r="AF7781" s="908">
        <v>0</v>
      </c>
    </row>
    <row r="7782" spans="32:32" ht="24" customHeight="1">
      <c r="AF7782" s="908">
        <v>0</v>
      </c>
    </row>
    <row r="7783" spans="32:32" ht="24" customHeight="1">
      <c r="AF7783" s="908">
        <v>0</v>
      </c>
    </row>
    <row r="7784" spans="32:32" ht="24" customHeight="1">
      <c r="AF7784" s="908">
        <v>0</v>
      </c>
    </row>
    <row r="7785" spans="32:32" ht="24" customHeight="1">
      <c r="AF7785" s="908">
        <v>0</v>
      </c>
    </row>
    <row r="7786" spans="32:32" ht="24" customHeight="1">
      <c r="AF7786" s="908">
        <v>0</v>
      </c>
    </row>
    <row r="7787" spans="32:32" ht="24" customHeight="1">
      <c r="AF7787" s="908">
        <v>0</v>
      </c>
    </row>
    <row r="7788" spans="32:32" ht="24" customHeight="1">
      <c r="AF7788" s="908">
        <v>0</v>
      </c>
    </row>
    <row r="7789" spans="32:32" ht="24" customHeight="1">
      <c r="AF7789" s="908">
        <v>0</v>
      </c>
    </row>
    <row r="7790" spans="32:32" ht="24" customHeight="1">
      <c r="AF7790" s="908">
        <v>0</v>
      </c>
    </row>
    <row r="7791" spans="32:32" ht="24" customHeight="1">
      <c r="AF7791" s="908">
        <v>0</v>
      </c>
    </row>
    <row r="7792" spans="32:32" ht="24" customHeight="1">
      <c r="AF7792" s="908">
        <v>0</v>
      </c>
    </row>
    <row r="7793" spans="32:32" ht="24" customHeight="1">
      <c r="AF7793" s="908">
        <v>0</v>
      </c>
    </row>
    <row r="7794" spans="32:32" ht="24" customHeight="1">
      <c r="AF7794" s="908">
        <v>0</v>
      </c>
    </row>
    <row r="7795" spans="32:32" ht="24" customHeight="1">
      <c r="AF7795" s="908">
        <v>0</v>
      </c>
    </row>
    <row r="7796" spans="32:32" ht="24" customHeight="1">
      <c r="AF7796" s="908">
        <v>0</v>
      </c>
    </row>
    <row r="7797" spans="32:32" ht="24" customHeight="1">
      <c r="AF7797" s="908">
        <v>0</v>
      </c>
    </row>
    <row r="7798" spans="32:32" ht="24" customHeight="1">
      <c r="AF7798" s="908">
        <v>0</v>
      </c>
    </row>
    <row r="7799" spans="32:32" ht="24" customHeight="1">
      <c r="AF7799" s="908">
        <v>0</v>
      </c>
    </row>
    <row r="7800" spans="32:32" ht="24" customHeight="1">
      <c r="AF7800" s="908">
        <v>0</v>
      </c>
    </row>
    <row r="7801" spans="32:32" ht="24" customHeight="1">
      <c r="AF7801" s="908">
        <v>0</v>
      </c>
    </row>
    <row r="7802" spans="32:32" ht="24" customHeight="1">
      <c r="AF7802" s="908">
        <v>0</v>
      </c>
    </row>
    <row r="7803" spans="32:32" ht="24" customHeight="1">
      <c r="AF7803" s="908">
        <v>0</v>
      </c>
    </row>
    <row r="7804" spans="32:32" ht="24" customHeight="1">
      <c r="AF7804" s="908">
        <v>0</v>
      </c>
    </row>
    <row r="7805" spans="32:32" ht="24" customHeight="1">
      <c r="AF7805" s="908">
        <v>0</v>
      </c>
    </row>
    <row r="7806" spans="32:32" ht="24" customHeight="1">
      <c r="AF7806" s="908">
        <v>0</v>
      </c>
    </row>
    <row r="7807" spans="32:32" ht="24" customHeight="1">
      <c r="AF7807" s="908">
        <v>0</v>
      </c>
    </row>
    <row r="7808" spans="32:32" ht="24" customHeight="1">
      <c r="AF7808" s="908">
        <v>0</v>
      </c>
    </row>
    <row r="7809" spans="32:32" ht="24" customHeight="1">
      <c r="AF7809" s="908">
        <v>0</v>
      </c>
    </row>
    <row r="7810" spans="32:32" ht="24" customHeight="1">
      <c r="AF7810" s="908">
        <v>0</v>
      </c>
    </row>
    <row r="7811" spans="32:32" ht="24" customHeight="1">
      <c r="AF7811" s="908">
        <v>0</v>
      </c>
    </row>
    <row r="7812" spans="32:32" ht="24" customHeight="1">
      <c r="AF7812" s="908">
        <v>0</v>
      </c>
    </row>
    <row r="7813" spans="32:32" ht="24" customHeight="1">
      <c r="AF7813" s="908">
        <v>0</v>
      </c>
    </row>
    <row r="7814" spans="32:32" ht="24" customHeight="1">
      <c r="AF7814" s="908">
        <v>0</v>
      </c>
    </row>
    <row r="7815" spans="32:32" ht="24" customHeight="1">
      <c r="AF7815" s="908">
        <v>0</v>
      </c>
    </row>
    <row r="7816" spans="32:32" ht="24" customHeight="1">
      <c r="AF7816" s="908">
        <v>0</v>
      </c>
    </row>
    <row r="7817" spans="32:32" ht="24" customHeight="1">
      <c r="AF7817" s="908">
        <v>0</v>
      </c>
    </row>
    <row r="7818" spans="32:32" ht="24" customHeight="1">
      <c r="AF7818" s="908">
        <v>0</v>
      </c>
    </row>
    <row r="7819" spans="32:32" ht="24" customHeight="1">
      <c r="AF7819" s="908">
        <v>0</v>
      </c>
    </row>
    <row r="7820" spans="32:32" ht="24" customHeight="1">
      <c r="AF7820" s="908">
        <v>0</v>
      </c>
    </row>
    <row r="7821" spans="32:32" ht="24" customHeight="1">
      <c r="AF7821" s="908">
        <v>0</v>
      </c>
    </row>
    <row r="7822" spans="32:32" ht="24" customHeight="1">
      <c r="AF7822" s="908">
        <v>0</v>
      </c>
    </row>
    <row r="7823" spans="32:32" ht="24" customHeight="1">
      <c r="AF7823" s="908">
        <v>0</v>
      </c>
    </row>
    <row r="7824" spans="32:32" ht="24" customHeight="1">
      <c r="AF7824" s="908">
        <v>0</v>
      </c>
    </row>
    <row r="7825" spans="32:32" ht="24" customHeight="1">
      <c r="AF7825" s="908">
        <v>0</v>
      </c>
    </row>
    <row r="7826" spans="32:32" ht="24" customHeight="1">
      <c r="AF7826" s="908">
        <v>0</v>
      </c>
    </row>
    <row r="7827" spans="32:32" ht="24" customHeight="1">
      <c r="AF7827" s="908">
        <v>0</v>
      </c>
    </row>
    <row r="7828" spans="32:32" ht="24" customHeight="1">
      <c r="AF7828" s="908">
        <v>0</v>
      </c>
    </row>
    <row r="7829" spans="32:32" ht="24" customHeight="1">
      <c r="AF7829" s="908">
        <v>0</v>
      </c>
    </row>
    <row r="7830" spans="32:32" ht="24" customHeight="1">
      <c r="AF7830" s="908">
        <v>0</v>
      </c>
    </row>
    <row r="7831" spans="32:32" ht="24" customHeight="1">
      <c r="AF7831" s="908">
        <v>0</v>
      </c>
    </row>
    <row r="7832" spans="32:32" ht="24" customHeight="1">
      <c r="AF7832" s="908">
        <v>0</v>
      </c>
    </row>
    <row r="7833" spans="32:32" ht="24" customHeight="1">
      <c r="AF7833" s="908">
        <v>0</v>
      </c>
    </row>
    <row r="7834" spans="32:32" ht="24" customHeight="1">
      <c r="AF7834" s="908">
        <v>0</v>
      </c>
    </row>
    <row r="7835" spans="32:32" ht="24" customHeight="1">
      <c r="AF7835" s="908">
        <v>0</v>
      </c>
    </row>
    <row r="7836" spans="32:32" ht="24" customHeight="1">
      <c r="AF7836" s="908">
        <v>0</v>
      </c>
    </row>
    <row r="7837" spans="32:32" ht="24" customHeight="1">
      <c r="AF7837" s="908">
        <v>0</v>
      </c>
    </row>
    <row r="7838" spans="32:32" ht="24" customHeight="1">
      <c r="AF7838" s="908">
        <v>0</v>
      </c>
    </row>
    <row r="7839" spans="32:32" ht="24" customHeight="1">
      <c r="AF7839" s="908">
        <v>0</v>
      </c>
    </row>
    <row r="7840" spans="32:32" ht="24" customHeight="1">
      <c r="AF7840" s="908">
        <v>0</v>
      </c>
    </row>
    <row r="7841" spans="32:32" ht="24" customHeight="1">
      <c r="AF7841" s="908">
        <v>0</v>
      </c>
    </row>
    <row r="7842" spans="32:32" ht="24" customHeight="1">
      <c r="AF7842" s="908">
        <v>0</v>
      </c>
    </row>
    <row r="7843" spans="32:32" ht="24" customHeight="1">
      <c r="AF7843" s="908">
        <v>0</v>
      </c>
    </row>
    <row r="7844" spans="32:32" ht="24" customHeight="1">
      <c r="AF7844" s="908">
        <v>0</v>
      </c>
    </row>
    <row r="7845" spans="32:32" ht="24" customHeight="1">
      <c r="AF7845" s="908">
        <v>0</v>
      </c>
    </row>
    <row r="7846" spans="32:32" ht="24" customHeight="1">
      <c r="AF7846" s="908">
        <v>0</v>
      </c>
    </row>
    <row r="7847" spans="32:32" ht="24" customHeight="1">
      <c r="AF7847" s="908">
        <v>0</v>
      </c>
    </row>
    <row r="7848" spans="32:32" ht="24" customHeight="1">
      <c r="AF7848" s="908">
        <v>0</v>
      </c>
    </row>
    <row r="7849" spans="32:32" ht="24" customHeight="1">
      <c r="AF7849" s="908">
        <v>0</v>
      </c>
    </row>
    <row r="7850" spans="32:32" ht="24" customHeight="1">
      <c r="AF7850" s="908">
        <v>0</v>
      </c>
    </row>
    <row r="7851" spans="32:32" ht="24" customHeight="1">
      <c r="AF7851" s="908">
        <v>0</v>
      </c>
    </row>
    <row r="7852" spans="32:32" ht="24" customHeight="1">
      <c r="AF7852" s="908">
        <v>0</v>
      </c>
    </row>
    <row r="7853" spans="32:32" ht="24" customHeight="1">
      <c r="AF7853" s="908">
        <v>0</v>
      </c>
    </row>
    <row r="7854" spans="32:32" ht="24" customHeight="1">
      <c r="AF7854" s="908">
        <v>0</v>
      </c>
    </row>
    <row r="7855" spans="32:32" ht="24" customHeight="1">
      <c r="AF7855" s="908">
        <v>0</v>
      </c>
    </row>
    <row r="7856" spans="32:32" ht="24" customHeight="1">
      <c r="AF7856" s="908">
        <v>0</v>
      </c>
    </row>
    <row r="7857" spans="32:32" ht="24" customHeight="1">
      <c r="AF7857" s="908">
        <v>0</v>
      </c>
    </row>
    <row r="7858" spans="32:32" ht="24" customHeight="1">
      <c r="AF7858" s="908">
        <v>0</v>
      </c>
    </row>
    <row r="7859" spans="32:32" ht="24" customHeight="1">
      <c r="AF7859" s="908">
        <v>0</v>
      </c>
    </row>
    <row r="7860" spans="32:32" ht="24" customHeight="1">
      <c r="AF7860" s="908">
        <v>0</v>
      </c>
    </row>
    <row r="7861" spans="32:32" ht="24" customHeight="1">
      <c r="AF7861" s="908">
        <v>0</v>
      </c>
    </row>
    <row r="7862" spans="32:32" ht="24" customHeight="1">
      <c r="AF7862" s="908">
        <v>0</v>
      </c>
    </row>
    <row r="7863" spans="32:32" ht="24" customHeight="1">
      <c r="AF7863" s="908">
        <v>0</v>
      </c>
    </row>
    <row r="7864" spans="32:32" ht="24" customHeight="1">
      <c r="AF7864" s="908">
        <v>0</v>
      </c>
    </row>
    <row r="7865" spans="32:32" ht="24" customHeight="1">
      <c r="AF7865" s="908">
        <v>0</v>
      </c>
    </row>
    <row r="7866" spans="32:32" ht="24" customHeight="1">
      <c r="AF7866" s="908">
        <v>0</v>
      </c>
    </row>
    <row r="7867" spans="32:32" ht="24" customHeight="1">
      <c r="AF7867" s="908">
        <v>0</v>
      </c>
    </row>
    <row r="7868" spans="32:32" ht="24" customHeight="1">
      <c r="AF7868" s="908">
        <v>0</v>
      </c>
    </row>
    <row r="7869" spans="32:32" ht="24" customHeight="1">
      <c r="AF7869" s="908">
        <v>0</v>
      </c>
    </row>
    <row r="7870" spans="32:32" ht="24" customHeight="1">
      <c r="AF7870" s="908">
        <v>0</v>
      </c>
    </row>
    <row r="7871" spans="32:32" ht="24" customHeight="1">
      <c r="AF7871" s="908">
        <v>0</v>
      </c>
    </row>
    <row r="7872" spans="32:32" ht="24" customHeight="1">
      <c r="AF7872" s="908">
        <v>0</v>
      </c>
    </row>
    <row r="7873" spans="32:32" ht="24" customHeight="1">
      <c r="AF7873" s="908">
        <v>0</v>
      </c>
    </row>
    <row r="7874" spans="32:32" ht="24" customHeight="1">
      <c r="AF7874" s="908">
        <v>0</v>
      </c>
    </row>
    <row r="7875" spans="32:32" ht="24" customHeight="1">
      <c r="AF7875" s="908">
        <v>0</v>
      </c>
    </row>
    <row r="7876" spans="32:32" ht="24" customHeight="1">
      <c r="AF7876" s="908">
        <v>0</v>
      </c>
    </row>
    <row r="7877" spans="32:32" ht="24" customHeight="1">
      <c r="AF7877" s="908">
        <v>0</v>
      </c>
    </row>
    <row r="7878" spans="32:32" ht="24" customHeight="1">
      <c r="AF7878" s="908">
        <v>0</v>
      </c>
    </row>
    <row r="7879" spans="32:32" ht="24" customHeight="1">
      <c r="AF7879" s="908">
        <v>0</v>
      </c>
    </row>
    <row r="7880" spans="32:32" ht="24" customHeight="1">
      <c r="AF7880" s="908">
        <v>0</v>
      </c>
    </row>
    <row r="7881" spans="32:32" ht="24" customHeight="1">
      <c r="AF7881" s="908">
        <v>0</v>
      </c>
    </row>
    <row r="7882" spans="32:32" ht="24" customHeight="1">
      <c r="AF7882" s="908">
        <v>0</v>
      </c>
    </row>
    <row r="7883" spans="32:32" ht="24" customHeight="1">
      <c r="AF7883" s="908">
        <v>0</v>
      </c>
    </row>
    <row r="7884" spans="32:32" ht="24" customHeight="1">
      <c r="AF7884" s="908">
        <v>0</v>
      </c>
    </row>
    <row r="7885" spans="32:32" ht="24" customHeight="1">
      <c r="AF7885" s="908">
        <v>0</v>
      </c>
    </row>
    <row r="7886" spans="32:32" ht="24" customHeight="1">
      <c r="AF7886" s="908">
        <v>0</v>
      </c>
    </row>
    <row r="7887" spans="32:32" ht="24" customHeight="1">
      <c r="AF7887" s="908">
        <v>0</v>
      </c>
    </row>
    <row r="7888" spans="32:32" ht="24" customHeight="1">
      <c r="AF7888" s="908">
        <v>0</v>
      </c>
    </row>
    <row r="7889" spans="32:32" ht="24" customHeight="1">
      <c r="AF7889" s="908">
        <v>0</v>
      </c>
    </row>
    <row r="7890" spans="32:32" ht="24" customHeight="1">
      <c r="AF7890" s="908">
        <v>0</v>
      </c>
    </row>
    <row r="7891" spans="32:32" ht="24" customHeight="1">
      <c r="AF7891" s="908">
        <v>0</v>
      </c>
    </row>
    <row r="7892" spans="32:32" ht="24" customHeight="1">
      <c r="AF7892" s="908">
        <v>0</v>
      </c>
    </row>
    <row r="7893" spans="32:32" ht="24" customHeight="1">
      <c r="AF7893" s="908">
        <v>0</v>
      </c>
    </row>
    <row r="7894" spans="32:32" ht="24" customHeight="1">
      <c r="AF7894" s="908">
        <v>0</v>
      </c>
    </row>
    <row r="7895" spans="32:32" ht="24" customHeight="1">
      <c r="AF7895" s="908">
        <v>0</v>
      </c>
    </row>
    <row r="7896" spans="32:32" ht="24" customHeight="1">
      <c r="AF7896" s="908">
        <v>0</v>
      </c>
    </row>
    <row r="7897" spans="32:32" ht="24" customHeight="1">
      <c r="AF7897" s="908">
        <v>0</v>
      </c>
    </row>
    <row r="7898" spans="32:32" ht="24" customHeight="1">
      <c r="AF7898" s="908">
        <v>0</v>
      </c>
    </row>
    <row r="7899" spans="32:32" ht="24" customHeight="1">
      <c r="AF7899" s="908">
        <v>0</v>
      </c>
    </row>
    <row r="7900" spans="32:32" ht="24" customHeight="1">
      <c r="AF7900" s="908">
        <v>0</v>
      </c>
    </row>
    <row r="7901" spans="32:32" ht="24" customHeight="1">
      <c r="AF7901" s="908">
        <v>0</v>
      </c>
    </row>
    <row r="7902" spans="32:32" ht="24" customHeight="1">
      <c r="AF7902" s="908">
        <v>0</v>
      </c>
    </row>
    <row r="7903" spans="32:32" ht="24" customHeight="1">
      <c r="AF7903" s="908">
        <v>0</v>
      </c>
    </row>
    <row r="7904" spans="32:32" ht="24" customHeight="1">
      <c r="AF7904" s="908">
        <v>0</v>
      </c>
    </row>
    <row r="7905" spans="32:32" ht="24" customHeight="1">
      <c r="AF7905" s="908">
        <v>0</v>
      </c>
    </row>
    <row r="7906" spans="32:32" ht="24" customHeight="1">
      <c r="AF7906" s="908">
        <v>0</v>
      </c>
    </row>
    <row r="7907" spans="32:32" ht="24" customHeight="1">
      <c r="AF7907" s="908">
        <v>0</v>
      </c>
    </row>
    <row r="7908" spans="32:32" ht="24" customHeight="1">
      <c r="AF7908" s="908">
        <v>0</v>
      </c>
    </row>
    <row r="7909" spans="32:32" ht="24" customHeight="1">
      <c r="AF7909" s="908">
        <v>0</v>
      </c>
    </row>
    <row r="7910" spans="32:32" ht="24" customHeight="1">
      <c r="AF7910" s="908">
        <v>0</v>
      </c>
    </row>
    <row r="7911" spans="32:32" ht="24" customHeight="1">
      <c r="AF7911" s="908">
        <v>0</v>
      </c>
    </row>
    <row r="7912" spans="32:32" ht="24" customHeight="1">
      <c r="AF7912" s="908">
        <v>0</v>
      </c>
    </row>
    <row r="7913" spans="32:32" ht="24" customHeight="1">
      <c r="AF7913" s="908">
        <v>0</v>
      </c>
    </row>
    <row r="7914" spans="32:32" ht="24" customHeight="1">
      <c r="AF7914" s="908">
        <v>0</v>
      </c>
    </row>
    <row r="7915" spans="32:32" ht="24" customHeight="1">
      <c r="AF7915" s="908">
        <v>0</v>
      </c>
    </row>
    <row r="7916" spans="32:32" ht="24" customHeight="1">
      <c r="AF7916" s="908">
        <v>0</v>
      </c>
    </row>
    <row r="7917" spans="32:32" ht="24" customHeight="1">
      <c r="AF7917" s="908">
        <v>0</v>
      </c>
    </row>
    <row r="7918" spans="32:32" ht="24" customHeight="1">
      <c r="AF7918" s="908">
        <v>0</v>
      </c>
    </row>
    <row r="7919" spans="32:32" ht="24" customHeight="1">
      <c r="AF7919" s="908">
        <v>0</v>
      </c>
    </row>
    <row r="7920" spans="32:32" ht="24" customHeight="1">
      <c r="AF7920" s="908">
        <v>0</v>
      </c>
    </row>
    <row r="7921" spans="32:32" ht="24" customHeight="1">
      <c r="AF7921" s="908">
        <v>0</v>
      </c>
    </row>
    <row r="7922" spans="32:32" ht="24" customHeight="1">
      <c r="AF7922" s="908">
        <v>0</v>
      </c>
    </row>
    <row r="7923" spans="32:32" ht="24" customHeight="1">
      <c r="AF7923" s="908">
        <v>0</v>
      </c>
    </row>
    <row r="7924" spans="32:32" ht="24" customHeight="1">
      <c r="AF7924" s="908">
        <v>0</v>
      </c>
    </row>
    <row r="7925" spans="32:32" ht="24" customHeight="1">
      <c r="AF7925" s="908">
        <v>0</v>
      </c>
    </row>
    <row r="7926" spans="32:32" ht="24" customHeight="1">
      <c r="AF7926" s="908">
        <v>0</v>
      </c>
    </row>
    <row r="7927" spans="32:32" ht="24" customHeight="1">
      <c r="AF7927" s="908">
        <v>0</v>
      </c>
    </row>
    <row r="7928" spans="32:32" ht="24" customHeight="1">
      <c r="AF7928" s="908">
        <v>0</v>
      </c>
    </row>
    <row r="7929" spans="32:32" ht="24" customHeight="1">
      <c r="AF7929" s="908">
        <v>0</v>
      </c>
    </row>
    <row r="7930" spans="32:32" ht="24" customHeight="1">
      <c r="AF7930" s="908">
        <v>0</v>
      </c>
    </row>
    <row r="7931" spans="32:32" ht="24" customHeight="1">
      <c r="AF7931" s="908">
        <v>0</v>
      </c>
    </row>
    <row r="7932" spans="32:32" ht="24" customHeight="1">
      <c r="AF7932" s="908">
        <v>0</v>
      </c>
    </row>
    <row r="7933" spans="32:32" ht="24" customHeight="1">
      <c r="AF7933" s="908">
        <v>0</v>
      </c>
    </row>
    <row r="7934" spans="32:32" ht="24" customHeight="1">
      <c r="AF7934" s="908">
        <v>0</v>
      </c>
    </row>
    <row r="7935" spans="32:32" ht="24" customHeight="1">
      <c r="AF7935" s="908">
        <v>0</v>
      </c>
    </row>
    <row r="7936" spans="32:32" ht="24" customHeight="1">
      <c r="AF7936" s="908">
        <v>0</v>
      </c>
    </row>
    <row r="7937" spans="32:32" ht="24" customHeight="1">
      <c r="AF7937" s="908">
        <v>0</v>
      </c>
    </row>
    <row r="7938" spans="32:32" ht="24" customHeight="1">
      <c r="AF7938" s="908">
        <v>0</v>
      </c>
    </row>
    <row r="7939" spans="32:32" ht="24" customHeight="1">
      <c r="AF7939" s="908">
        <v>0</v>
      </c>
    </row>
    <row r="7940" spans="32:32" ht="24" customHeight="1">
      <c r="AF7940" s="908">
        <v>0</v>
      </c>
    </row>
    <row r="7941" spans="32:32" ht="24" customHeight="1">
      <c r="AF7941" s="908">
        <v>0</v>
      </c>
    </row>
    <row r="7942" spans="32:32" ht="24" customHeight="1">
      <c r="AF7942" s="908">
        <v>0</v>
      </c>
    </row>
    <row r="7943" spans="32:32" ht="24" customHeight="1">
      <c r="AF7943" s="908">
        <v>0</v>
      </c>
    </row>
    <row r="7944" spans="32:32" ht="24" customHeight="1">
      <c r="AF7944" s="908">
        <v>0</v>
      </c>
    </row>
    <row r="7945" spans="32:32" ht="24" customHeight="1">
      <c r="AF7945" s="908">
        <v>0</v>
      </c>
    </row>
    <row r="7946" spans="32:32" ht="24" customHeight="1">
      <c r="AF7946" s="908">
        <v>0</v>
      </c>
    </row>
    <row r="7947" spans="32:32" ht="24" customHeight="1">
      <c r="AF7947" s="908">
        <v>0</v>
      </c>
    </row>
    <row r="7948" spans="32:32" ht="24" customHeight="1">
      <c r="AF7948" s="908">
        <v>0</v>
      </c>
    </row>
    <row r="7949" spans="32:32" ht="24" customHeight="1">
      <c r="AF7949" s="908">
        <v>0</v>
      </c>
    </row>
    <row r="7950" spans="32:32" ht="24" customHeight="1">
      <c r="AF7950" s="908">
        <v>0</v>
      </c>
    </row>
    <row r="7951" spans="32:32" ht="24" customHeight="1">
      <c r="AF7951" s="908">
        <v>0</v>
      </c>
    </row>
    <row r="7952" spans="32:32" ht="24" customHeight="1">
      <c r="AF7952" s="908">
        <v>0</v>
      </c>
    </row>
    <row r="7953" spans="32:32" ht="24" customHeight="1">
      <c r="AF7953" s="908">
        <v>0</v>
      </c>
    </row>
    <row r="7954" spans="32:32" ht="24" customHeight="1">
      <c r="AF7954" s="908">
        <v>0</v>
      </c>
    </row>
    <row r="7955" spans="32:32" ht="24" customHeight="1">
      <c r="AF7955" s="908">
        <v>0</v>
      </c>
    </row>
    <row r="7956" spans="32:32" ht="24" customHeight="1">
      <c r="AF7956" s="908">
        <v>0</v>
      </c>
    </row>
    <row r="7957" spans="32:32" ht="24" customHeight="1">
      <c r="AF7957" s="908">
        <v>0</v>
      </c>
    </row>
    <row r="7958" spans="32:32" ht="24" customHeight="1">
      <c r="AF7958" s="908">
        <v>0</v>
      </c>
    </row>
    <row r="7959" spans="32:32" ht="24" customHeight="1">
      <c r="AF7959" s="908">
        <v>0</v>
      </c>
    </row>
    <row r="7960" spans="32:32" ht="24" customHeight="1">
      <c r="AF7960" s="908">
        <v>0</v>
      </c>
    </row>
    <row r="7961" spans="32:32" ht="24" customHeight="1">
      <c r="AF7961" s="908">
        <v>0</v>
      </c>
    </row>
    <row r="7962" spans="32:32" ht="24" customHeight="1">
      <c r="AF7962" s="908">
        <v>0</v>
      </c>
    </row>
    <row r="7963" spans="32:32" ht="24" customHeight="1">
      <c r="AF7963" s="908">
        <v>0</v>
      </c>
    </row>
    <row r="7964" spans="32:32" ht="24" customHeight="1">
      <c r="AF7964" s="908">
        <v>0</v>
      </c>
    </row>
    <row r="7965" spans="32:32" ht="24" customHeight="1">
      <c r="AF7965" s="908">
        <v>0</v>
      </c>
    </row>
    <row r="7966" spans="32:32" ht="24" customHeight="1">
      <c r="AF7966" s="908">
        <v>0</v>
      </c>
    </row>
    <row r="7967" spans="32:32" ht="24" customHeight="1">
      <c r="AF7967" s="908">
        <v>0</v>
      </c>
    </row>
    <row r="7968" spans="32:32" ht="24" customHeight="1">
      <c r="AF7968" s="908">
        <v>0</v>
      </c>
    </row>
    <row r="7969" spans="32:32" ht="24" customHeight="1">
      <c r="AF7969" s="908">
        <v>0</v>
      </c>
    </row>
    <row r="7970" spans="32:32" ht="24" customHeight="1">
      <c r="AF7970" s="908">
        <v>0</v>
      </c>
    </row>
    <row r="7971" spans="32:32" ht="24" customHeight="1">
      <c r="AF7971" s="908">
        <v>0</v>
      </c>
    </row>
    <row r="7972" spans="32:32" ht="24" customHeight="1">
      <c r="AF7972" s="908">
        <v>0</v>
      </c>
    </row>
    <row r="7973" spans="32:32" ht="24" customHeight="1">
      <c r="AF7973" s="908">
        <v>0</v>
      </c>
    </row>
    <row r="7974" spans="32:32" ht="24" customHeight="1">
      <c r="AF7974" s="908">
        <v>0</v>
      </c>
    </row>
    <row r="7975" spans="32:32" ht="24" customHeight="1">
      <c r="AF7975" s="908">
        <v>0</v>
      </c>
    </row>
    <row r="7976" spans="32:32" ht="24" customHeight="1">
      <c r="AF7976" s="908">
        <v>0</v>
      </c>
    </row>
    <row r="7977" spans="32:32" ht="24" customHeight="1">
      <c r="AF7977" s="908">
        <v>0</v>
      </c>
    </row>
    <row r="7978" spans="32:32" ht="24" customHeight="1">
      <c r="AF7978" s="908">
        <v>0</v>
      </c>
    </row>
    <row r="7979" spans="32:32" ht="24" customHeight="1">
      <c r="AF7979" s="908">
        <v>0</v>
      </c>
    </row>
    <row r="7980" spans="32:32" ht="24" customHeight="1">
      <c r="AF7980" s="908">
        <v>0</v>
      </c>
    </row>
    <row r="7981" spans="32:32" ht="24" customHeight="1">
      <c r="AF7981" s="908">
        <v>0</v>
      </c>
    </row>
    <row r="7982" spans="32:32" ht="24" customHeight="1">
      <c r="AF7982" s="908">
        <v>0</v>
      </c>
    </row>
    <row r="7983" spans="32:32" ht="24" customHeight="1">
      <c r="AF7983" s="908">
        <v>0</v>
      </c>
    </row>
    <row r="7984" spans="32:32" ht="24" customHeight="1">
      <c r="AF7984" s="908">
        <v>0</v>
      </c>
    </row>
    <row r="7985" spans="32:32" ht="24" customHeight="1">
      <c r="AF7985" s="908">
        <v>0</v>
      </c>
    </row>
    <row r="7986" spans="32:32" ht="24" customHeight="1">
      <c r="AF7986" s="908">
        <v>0</v>
      </c>
    </row>
    <row r="7987" spans="32:32" ht="24" customHeight="1">
      <c r="AF7987" s="908">
        <v>0</v>
      </c>
    </row>
    <row r="7988" spans="32:32" ht="24" customHeight="1">
      <c r="AF7988" s="908">
        <v>0</v>
      </c>
    </row>
    <row r="7989" spans="32:32" ht="24" customHeight="1">
      <c r="AF7989" s="908">
        <v>0</v>
      </c>
    </row>
    <row r="7990" spans="32:32" ht="24" customHeight="1">
      <c r="AF7990" s="908">
        <v>0</v>
      </c>
    </row>
    <row r="7991" spans="32:32" ht="24" customHeight="1">
      <c r="AF7991" s="908">
        <v>0</v>
      </c>
    </row>
    <row r="7992" spans="32:32" ht="24" customHeight="1">
      <c r="AF7992" s="908">
        <v>0</v>
      </c>
    </row>
    <row r="7993" spans="32:32" ht="24" customHeight="1">
      <c r="AF7993" s="908">
        <v>0</v>
      </c>
    </row>
    <row r="7994" spans="32:32" ht="24" customHeight="1">
      <c r="AF7994" s="908">
        <v>0</v>
      </c>
    </row>
    <row r="7995" spans="32:32" ht="24" customHeight="1">
      <c r="AF7995" s="908">
        <v>0</v>
      </c>
    </row>
    <row r="7996" spans="32:32" ht="24" customHeight="1">
      <c r="AF7996" s="908">
        <v>0</v>
      </c>
    </row>
    <row r="7997" spans="32:32" ht="24" customHeight="1">
      <c r="AF7997" s="908">
        <v>0</v>
      </c>
    </row>
    <row r="7998" spans="32:32" ht="24" customHeight="1">
      <c r="AF7998" s="908">
        <v>0</v>
      </c>
    </row>
    <row r="7999" spans="32:32" ht="24" customHeight="1">
      <c r="AF7999" s="908">
        <v>0</v>
      </c>
    </row>
    <row r="8000" spans="32:32" ht="24" customHeight="1">
      <c r="AF8000" s="908">
        <v>0</v>
      </c>
    </row>
    <row r="8001" spans="32:32" ht="24" customHeight="1">
      <c r="AF8001" s="908">
        <v>0</v>
      </c>
    </row>
    <row r="8002" spans="32:32" ht="24" customHeight="1">
      <c r="AF8002" s="908">
        <v>0</v>
      </c>
    </row>
    <row r="8003" spans="32:32" ht="24" customHeight="1">
      <c r="AF8003" s="908">
        <v>0</v>
      </c>
    </row>
    <row r="8004" spans="32:32" ht="24" customHeight="1">
      <c r="AF8004" s="908">
        <v>0</v>
      </c>
    </row>
    <row r="8005" spans="32:32" ht="24" customHeight="1">
      <c r="AF8005" s="908">
        <v>0</v>
      </c>
    </row>
    <row r="8006" spans="32:32" ht="24" customHeight="1">
      <c r="AF8006" s="908">
        <v>0</v>
      </c>
    </row>
    <row r="8007" spans="32:32" ht="24" customHeight="1">
      <c r="AF8007" s="908">
        <v>0</v>
      </c>
    </row>
    <row r="8008" spans="32:32" ht="24" customHeight="1">
      <c r="AF8008" s="908">
        <v>0</v>
      </c>
    </row>
    <row r="8009" spans="32:32" ht="24" customHeight="1">
      <c r="AF8009" s="908">
        <v>0</v>
      </c>
    </row>
    <row r="8010" spans="32:32" ht="24" customHeight="1">
      <c r="AF8010" s="908">
        <v>0</v>
      </c>
    </row>
    <row r="8011" spans="32:32" ht="24" customHeight="1">
      <c r="AF8011" s="908">
        <v>0</v>
      </c>
    </row>
    <row r="8012" spans="32:32" ht="24" customHeight="1">
      <c r="AF8012" s="908">
        <v>0</v>
      </c>
    </row>
    <row r="8013" spans="32:32" ht="24" customHeight="1">
      <c r="AF8013" s="908">
        <v>0</v>
      </c>
    </row>
    <row r="8014" spans="32:32" ht="24" customHeight="1">
      <c r="AF8014" s="908">
        <v>0</v>
      </c>
    </row>
    <row r="8015" spans="32:32" ht="24" customHeight="1">
      <c r="AF8015" s="908">
        <v>0</v>
      </c>
    </row>
    <row r="8016" spans="32:32" ht="24" customHeight="1">
      <c r="AF8016" s="908">
        <v>0</v>
      </c>
    </row>
    <row r="8017" spans="32:32" ht="24" customHeight="1">
      <c r="AF8017" s="908">
        <v>0</v>
      </c>
    </row>
    <row r="8018" spans="32:32" ht="24" customHeight="1">
      <c r="AF8018" s="908">
        <v>0</v>
      </c>
    </row>
    <row r="8019" spans="32:32" ht="24" customHeight="1">
      <c r="AF8019" s="908">
        <v>0</v>
      </c>
    </row>
    <row r="8020" spans="32:32" ht="24" customHeight="1">
      <c r="AF8020" s="908">
        <v>0</v>
      </c>
    </row>
    <row r="8021" spans="32:32" ht="24" customHeight="1">
      <c r="AF8021" s="908">
        <v>0</v>
      </c>
    </row>
    <row r="8022" spans="32:32" ht="24" customHeight="1">
      <c r="AF8022" s="908">
        <v>0</v>
      </c>
    </row>
    <row r="8023" spans="32:32" ht="24" customHeight="1">
      <c r="AF8023" s="908">
        <v>0</v>
      </c>
    </row>
    <row r="8024" spans="32:32" ht="24" customHeight="1">
      <c r="AF8024" s="908">
        <v>0</v>
      </c>
    </row>
    <row r="8025" spans="32:32" ht="24" customHeight="1">
      <c r="AF8025" s="908">
        <v>0</v>
      </c>
    </row>
    <row r="8026" spans="32:32" ht="24" customHeight="1">
      <c r="AF8026" s="908">
        <v>0</v>
      </c>
    </row>
    <row r="8027" spans="32:32" ht="24" customHeight="1">
      <c r="AF8027" s="908">
        <v>0</v>
      </c>
    </row>
    <row r="8028" spans="32:32" ht="24" customHeight="1">
      <c r="AF8028" s="908">
        <v>0</v>
      </c>
    </row>
    <row r="8029" spans="32:32" ht="24" customHeight="1">
      <c r="AF8029" s="908">
        <v>0</v>
      </c>
    </row>
    <row r="8030" spans="32:32" ht="24" customHeight="1">
      <c r="AF8030" s="908">
        <v>0</v>
      </c>
    </row>
    <row r="8031" spans="32:32" ht="24" customHeight="1">
      <c r="AF8031" s="908">
        <v>0</v>
      </c>
    </row>
    <row r="8032" spans="32:32" ht="24" customHeight="1">
      <c r="AF8032" s="908">
        <v>0</v>
      </c>
    </row>
    <row r="8033" spans="32:32" ht="24" customHeight="1">
      <c r="AF8033" s="908">
        <v>0</v>
      </c>
    </row>
    <row r="8034" spans="32:32" ht="24" customHeight="1">
      <c r="AF8034" s="908">
        <v>0</v>
      </c>
    </row>
    <row r="8035" spans="32:32" ht="24" customHeight="1">
      <c r="AF8035" s="908">
        <v>0</v>
      </c>
    </row>
    <row r="8036" spans="32:32" ht="24" customHeight="1">
      <c r="AF8036" s="908">
        <v>0</v>
      </c>
    </row>
    <row r="8037" spans="32:32" ht="24" customHeight="1">
      <c r="AF8037" s="908">
        <v>0</v>
      </c>
    </row>
    <row r="8038" spans="32:32" ht="24" customHeight="1">
      <c r="AF8038" s="908">
        <v>0</v>
      </c>
    </row>
    <row r="8039" spans="32:32" ht="24" customHeight="1">
      <c r="AF8039" s="908">
        <v>0</v>
      </c>
    </row>
    <row r="8040" spans="32:32" ht="24" customHeight="1">
      <c r="AF8040" s="908">
        <v>0</v>
      </c>
    </row>
    <row r="8041" spans="32:32" ht="24" customHeight="1">
      <c r="AF8041" s="908">
        <v>0</v>
      </c>
    </row>
    <row r="8042" spans="32:32" ht="24" customHeight="1">
      <c r="AF8042" s="908">
        <v>0</v>
      </c>
    </row>
    <row r="8043" spans="32:32" ht="24" customHeight="1">
      <c r="AF8043" s="908">
        <v>0</v>
      </c>
    </row>
    <row r="8044" spans="32:32" ht="24" customHeight="1">
      <c r="AF8044" s="908">
        <v>0</v>
      </c>
    </row>
    <row r="8045" spans="32:32" ht="24" customHeight="1">
      <c r="AF8045" s="908">
        <v>0</v>
      </c>
    </row>
    <row r="8046" spans="32:32" ht="24" customHeight="1">
      <c r="AF8046" s="908">
        <v>0</v>
      </c>
    </row>
    <row r="8047" spans="32:32" ht="24" customHeight="1">
      <c r="AF8047" s="908">
        <v>0</v>
      </c>
    </row>
    <row r="8048" spans="32:32" ht="24" customHeight="1">
      <c r="AF8048" s="908">
        <v>0</v>
      </c>
    </row>
    <row r="8049" spans="32:32" ht="24" customHeight="1">
      <c r="AF8049" s="908">
        <v>0</v>
      </c>
    </row>
    <row r="8050" spans="32:32" ht="24" customHeight="1">
      <c r="AF8050" s="908">
        <v>0</v>
      </c>
    </row>
    <row r="8051" spans="32:32" ht="24" customHeight="1">
      <c r="AF8051" s="908">
        <v>0</v>
      </c>
    </row>
    <row r="8052" spans="32:32" ht="24" customHeight="1">
      <c r="AF8052" s="908">
        <v>0</v>
      </c>
    </row>
    <row r="8053" spans="32:32" ht="24" customHeight="1">
      <c r="AF8053" s="908">
        <v>0</v>
      </c>
    </row>
    <row r="8054" spans="32:32" ht="24" customHeight="1">
      <c r="AF8054" s="908">
        <v>0</v>
      </c>
    </row>
    <row r="8055" spans="32:32" ht="24" customHeight="1">
      <c r="AF8055" s="908">
        <v>0</v>
      </c>
    </row>
    <row r="8056" spans="32:32" ht="24" customHeight="1">
      <c r="AF8056" s="908">
        <v>0</v>
      </c>
    </row>
    <row r="8057" spans="32:32" ht="24" customHeight="1">
      <c r="AF8057" s="908">
        <v>0</v>
      </c>
    </row>
    <row r="8058" spans="32:32" ht="24" customHeight="1">
      <c r="AF8058" s="908">
        <v>0</v>
      </c>
    </row>
    <row r="8059" spans="32:32" ht="24" customHeight="1">
      <c r="AF8059" s="908">
        <v>0</v>
      </c>
    </row>
    <row r="8060" spans="32:32" ht="24" customHeight="1">
      <c r="AF8060" s="908">
        <v>0</v>
      </c>
    </row>
    <row r="8061" spans="32:32" ht="24" customHeight="1">
      <c r="AF8061" s="908">
        <v>0</v>
      </c>
    </row>
    <row r="8062" spans="32:32" ht="24" customHeight="1">
      <c r="AF8062" s="908">
        <v>0</v>
      </c>
    </row>
    <row r="8063" spans="32:32" ht="24" customHeight="1">
      <c r="AF8063" s="908">
        <v>0</v>
      </c>
    </row>
    <row r="8064" spans="32:32" ht="24" customHeight="1">
      <c r="AF8064" s="908">
        <v>0</v>
      </c>
    </row>
    <row r="8065" spans="32:32" ht="24" customHeight="1">
      <c r="AF8065" s="908">
        <v>0</v>
      </c>
    </row>
    <row r="8066" spans="32:32" ht="24" customHeight="1">
      <c r="AF8066" s="908">
        <v>0</v>
      </c>
    </row>
    <row r="8067" spans="32:32" ht="24" customHeight="1">
      <c r="AF8067" s="908">
        <v>0</v>
      </c>
    </row>
    <row r="8068" spans="32:32" ht="24" customHeight="1">
      <c r="AF8068" s="908">
        <v>0</v>
      </c>
    </row>
    <row r="8069" spans="32:32" ht="24" customHeight="1">
      <c r="AF8069" s="908">
        <v>0</v>
      </c>
    </row>
    <row r="8070" spans="32:32" ht="24" customHeight="1">
      <c r="AF8070" s="908">
        <v>0</v>
      </c>
    </row>
    <row r="8071" spans="32:32" ht="24" customHeight="1">
      <c r="AF8071" s="908">
        <v>0</v>
      </c>
    </row>
    <row r="8072" spans="32:32" ht="24" customHeight="1">
      <c r="AF8072" s="908">
        <v>0</v>
      </c>
    </row>
    <row r="8073" spans="32:32" ht="24" customHeight="1">
      <c r="AF8073" s="908">
        <v>0</v>
      </c>
    </row>
    <row r="8074" spans="32:32" ht="24" customHeight="1">
      <c r="AF8074" s="908">
        <v>0</v>
      </c>
    </row>
    <row r="8075" spans="32:32" ht="24" customHeight="1">
      <c r="AF8075" s="908">
        <v>0</v>
      </c>
    </row>
    <row r="8076" spans="32:32" ht="24" customHeight="1">
      <c r="AF8076" s="908">
        <v>0</v>
      </c>
    </row>
    <row r="8077" spans="32:32" ht="24" customHeight="1">
      <c r="AF8077" s="908">
        <v>0</v>
      </c>
    </row>
    <row r="8078" spans="32:32" ht="24" customHeight="1">
      <c r="AF8078" s="908">
        <v>0</v>
      </c>
    </row>
    <row r="8079" spans="32:32" ht="24" customHeight="1">
      <c r="AF8079" s="908">
        <v>0</v>
      </c>
    </row>
    <row r="8080" spans="32:32" ht="24" customHeight="1">
      <c r="AF8080" s="908">
        <v>0</v>
      </c>
    </row>
    <row r="8081" spans="32:32" ht="24" customHeight="1">
      <c r="AF8081" s="908">
        <v>0</v>
      </c>
    </row>
    <row r="8082" spans="32:32" ht="24" customHeight="1">
      <c r="AF8082" s="908">
        <v>0</v>
      </c>
    </row>
    <row r="8083" spans="32:32" ht="24" customHeight="1">
      <c r="AF8083" s="908">
        <v>0</v>
      </c>
    </row>
    <row r="8084" spans="32:32" ht="24" customHeight="1">
      <c r="AF8084" s="908">
        <v>0</v>
      </c>
    </row>
    <row r="8085" spans="32:32" ht="24" customHeight="1">
      <c r="AF8085" s="908">
        <v>0</v>
      </c>
    </row>
    <row r="8086" spans="32:32" ht="24" customHeight="1">
      <c r="AF8086" s="908">
        <v>0</v>
      </c>
    </row>
    <row r="8087" spans="32:32" ht="24" customHeight="1">
      <c r="AF8087" s="908">
        <v>0</v>
      </c>
    </row>
    <row r="8088" spans="32:32" ht="24" customHeight="1">
      <c r="AF8088" s="908">
        <v>0</v>
      </c>
    </row>
    <row r="8089" spans="32:32" ht="24" customHeight="1">
      <c r="AF8089" s="908">
        <v>0</v>
      </c>
    </row>
    <row r="8090" spans="32:32" ht="24" customHeight="1">
      <c r="AF8090" s="908">
        <v>0</v>
      </c>
    </row>
    <row r="8091" spans="32:32" ht="24" customHeight="1">
      <c r="AF8091" s="908">
        <v>0</v>
      </c>
    </row>
    <row r="8092" spans="32:32" ht="24" customHeight="1">
      <c r="AF8092" s="908">
        <v>0</v>
      </c>
    </row>
    <row r="8093" spans="32:32" ht="24" customHeight="1">
      <c r="AF8093" s="908">
        <v>0</v>
      </c>
    </row>
    <row r="8094" spans="32:32" ht="24" customHeight="1">
      <c r="AF8094" s="908">
        <v>0</v>
      </c>
    </row>
    <row r="8095" spans="32:32" ht="24" customHeight="1">
      <c r="AF8095" s="908">
        <v>0</v>
      </c>
    </row>
    <row r="8096" spans="32:32" ht="24" customHeight="1">
      <c r="AF8096" s="908">
        <v>0</v>
      </c>
    </row>
    <row r="8097" spans="32:32" ht="24" customHeight="1">
      <c r="AF8097" s="908">
        <v>0</v>
      </c>
    </row>
    <row r="8098" spans="32:32" ht="24" customHeight="1">
      <c r="AF8098" s="908">
        <v>0</v>
      </c>
    </row>
    <row r="8099" spans="32:32" ht="24" customHeight="1">
      <c r="AF8099" s="908">
        <v>0</v>
      </c>
    </row>
    <row r="8100" spans="32:32" ht="24" customHeight="1">
      <c r="AF8100" s="908">
        <v>0</v>
      </c>
    </row>
    <row r="8101" spans="32:32" ht="24" customHeight="1">
      <c r="AF8101" s="908">
        <v>0</v>
      </c>
    </row>
    <row r="8102" spans="32:32" ht="24" customHeight="1">
      <c r="AF8102" s="908">
        <v>0</v>
      </c>
    </row>
    <row r="8103" spans="32:32" ht="24" customHeight="1">
      <c r="AF8103" s="908">
        <v>0</v>
      </c>
    </row>
    <row r="8104" spans="32:32" ht="24" customHeight="1">
      <c r="AF8104" s="908">
        <v>0</v>
      </c>
    </row>
    <row r="8105" spans="32:32" ht="24" customHeight="1">
      <c r="AF8105" s="908">
        <v>0</v>
      </c>
    </row>
    <row r="8106" spans="32:32" ht="24" customHeight="1">
      <c r="AF8106" s="908">
        <v>0</v>
      </c>
    </row>
    <row r="8107" spans="32:32" ht="24" customHeight="1">
      <c r="AF8107" s="908">
        <v>0</v>
      </c>
    </row>
    <row r="8108" spans="32:32" ht="24" customHeight="1">
      <c r="AF8108" s="908">
        <v>0</v>
      </c>
    </row>
    <row r="8109" spans="32:32" ht="24" customHeight="1">
      <c r="AF8109" s="908">
        <v>0</v>
      </c>
    </row>
    <row r="8110" spans="32:32" ht="24" customHeight="1">
      <c r="AF8110" s="908">
        <v>0</v>
      </c>
    </row>
    <row r="8111" spans="32:32" ht="24" customHeight="1">
      <c r="AF8111" s="908">
        <v>0</v>
      </c>
    </row>
    <row r="8112" spans="32:32" ht="24" customHeight="1">
      <c r="AF8112" s="908">
        <v>0</v>
      </c>
    </row>
    <row r="8113" spans="32:32" ht="24" customHeight="1">
      <c r="AF8113" s="908">
        <v>0</v>
      </c>
    </row>
    <row r="8114" spans="32:32" ht="24" customHeight="1">
      <c r="AF8114" s="908">
        <v>0</v>
      </c>
    </row>
    <row r="8115" spans="32:32" ht="24" customHeight="1">
      <c r="AF8115" s="908">
        <v>0</v>
      </c>
    </row>
    <row r="8116" spans="32:32" ht="24" customHeight="1">
      <c r="AF8116" s="908">
        <v>0</v>
      </c>
    </row>
    <row r="8117" spans="32:32" ht="24" customHeight="1">
      <c r="AF8117" s="908">
        <v>0</v>
      </c>
    </row>
    <row r="8118" spans="32:32" ht="24" customHeight="1">
      <c r="AF8118" s="908">
        <v>0</v>
      </c>
    </row>
    <row r="8119" spans="32:32" ht="24" customHeight="1">
      <c r="AF8119" s="908">
        <v>0</v>
      </c>
    </row>
    <row r="8120" spans="32:32" ht="24" customHeight="1">
      <c r="AF8120" s="908">
        <v>0</v>
      </c>
    </row>
    <row r="8121" spans="32:32" ht="24" customHeight="1">
      <c r="AF8121" s="908">
        <v>0</v>
      </c>
    </row>
    <row r="8122" spans="32:32" ht="24" customHeight="1">
      <c r="AF8122" s="908">
        <v>0</v>
      </c>
    </row>
    <row r="8123" spans="32:32" ht="24" customHeight="1">
      <c r="AF8123" s="908">
        <v>0</v>
      </c>
    </row>
    <row r="8124" spans="32:32" ht="24" customHeight="1">
      <c r="AF8124" s="908">
        <v>0</v>
      </c>
    </row>
    <row r="8125" spans="32:32" ht="24" customHeight="1">
      <c r="AF8125" s="908">
        <v>0</v>
      </c>
    </row>
    <row r="8126" spans="32:32" ht="24" customHeight="1">
      <c r="AF8126" s="908">
        <v>0</v>
      </c>
    </row>
    <row r="8127" spans="32:32" ht="24" customHeight="1">
      <c r="AF8127" s="908">
        <v>0</v>
      </c>
    </row>
    <row r="8128" spans="32:32" ht="24" customHeight="1">
      <c r="AF8128" s="908">
        <v>0</v>
      </c>
    </row>
    <row r="8129" spans="32:32" ht="24" customHeight="1">
      <c r="AF8129" s="908">
        <v>0</v>
      </c>
    </row>
    <row r="8130" spans="32:32" ht="24" customHeight="1">
      <c r="AF8130" s="908">
        <v>0</v>
      </c>
    </row>
    <row r="8131" spans="32:32" ht="24" customHeight="1">
      <c r="AF8131" s="908">
        <v>0</v>
      </c>
    </row>
    <row r="8132" spans="32:32" ht="24" customHeight="1">
      <c r="AF8132" s="908">
        <v>0</v>
      </c>
    </row>
    <row r="8133" spans="32:32" ht="24" customHeight="1">
      <c r="AF8133" s="908">
        <v>0</v>
      </c>
    </row>
    <row r="8134" spans="32:32" ht="24" customHeight="1">
      <c r="AF8134" s="908">
        <v>0</v>
      </c>
    </row>
    <row r="8135" spans="32:32" ht="24" customHeight="1">
      <c r="AF8135" s="908">
        <v>0</v>
      </c>
    </row>
    <row r="8136" spans="32:32" ht="24" customHeight="1">
      <c r="AF8136" s="908">
        <v>0</v>
      </c>
    </row>
    <row r="8137" spans="32:32" ht="24" customHeight="1">
      <c r="AF8137" s="908">
        <v>0</v>
      </c>
    </row>
    <row r="8138" spans="32:32" ht="24" customHeight="1">
      <c r="AF8138" s="908">
        <v>0</v>
      </c>
    </row>
    <row r="8139" spans="32:32" ht="24" customHeight="1">
      <c r="AF8139" s="908">
        <v>0</v>
      </c>
    </row>
    <row r="8140" spans="32:32" ht="24" customHeight="1">
      <c r="AF8140" s="908">
        <v>0</v>
      </c>
    </row>
    <row r="8141" spans="32:32" ht="24" customHeight="1">
      <c r="AF8141" s="908">
        <v>0</v>
      </c>
    </row>
    <row r="8142" spans="32:32" ht="24" customHeight="1">
      <c r="AF8142" s="908">
        <v>0</v>
      </c>
    </row>
    <row r="8143" spans="32:32" ht="24" customHeight="1">
      <c r="AF8143" s="908">
        <v>0</v>
      </c>
    </row>
    <row r="8144" spans="32:32" ht="24" customHeight="1">
      <c r="AF8144" s="908">
        <v>0</v>
      </c>
    </row>
    <row r="8145" spans="32:32" ht="24" customHeight="1">
      <c r="AF8145" s="908">
        <v>0</v>
      </c>
    </row>
    <row r="8146" spans="32:32" ht="24" customHeight="1">
      <c r="AF8146" s="908">
        <v>0</v>
      </c>
    </row>
    <row r="8147" spans="32:32" ht="24" customHeight="1">
      <c r="AF8147" s="908">
        <v>0</v>
      </c>
    </row>
    <row r="8148" spans="32:32" ht="24" customHeight="1">
      <c r="AF8148" s="908">
        <v>0</v>
      </c>
    </row>
    <row r="8149" spans="32:32" ht="24" customHeight="1">
      <c r="AF8149" s="908">
        <v>0</v>
      </c>
    </row>
    <row r="8150" spans="32:32" ht="24" customHeight="1">
      <c r="AF8150" s="908">
        <v>0</v>
      </c>
    </row>
    <row r="8151" spans="32:32" ht="24" customHeight="1">
      <c r="AF8151" s="908">
        <v>0</v>
      </c>
    </row>
    <row r="8152" spans="32:32" ht="24" customHeight="1">
      <c r="AF8152" s="908">
        <v>0</v>
      </c>
    </row>
    <row r="8153" spans="32:32" ht="24" customHeight="1">
      <c r="AF8153" s="908">
        <v>0</v>
      </c>
    </row>
    <row r="8154" spans="32:32" ht="24" customHeight="1">
      <c r="AF8154" s="908">
        <v>0</v>
      </c>
    </row>
    <row r="8155" spans="32:32" ht="24" customHeight="1">
      <c r="AF8155" s="908">
        <v>0</v>
      </c>
    </row>
    <row r="8156" spans="32:32" ht="24" customHeight="1">
      <c r="AF8156" s="908">
        <v>0</v>
      </c>
    </row>
    <row r="8157" spans="32:32" ht="24" customHeight="1">
      <c r="AF8157" s="908">
        <v>0</v>
      </c>
    </row>
    <row r="8158" spans="32:32" ht="24" customHeight="1">
      <c r="AF8158" s="908">
        <v>0</v>
      </c>
    </row>
    <row r="8159" spans="32:32" ht="24" customHeight="1">
      <c r="AF8159" s="908">
        <v>0</v>
      </c>
    </row>
    <row r="8160" spans="32:32" ht="24" customHeight="1">
      <c r="AF8160" s="908">
        <v>0</v>
      </c>
    </row>
    <row r="8161" spans="32:32" ht="24" customHeight="1">
      <c r="AF8161" s="908">
        <v>0</v>
      </c>
    </row>
    <row r="8162" spans="32:32" ht="24" customHeight="1">
      <c r="AF8162" s="908">
        <v>0</v>
      </c>
    </row>
    <row r="8163" spans="32:32" ht="24" customHeight="1">
      <c r="AF8163" s="908">
        <v>0</v>
      </c>
    </row>
    <row r="8164" spans="32:32" ht="24" customHeight="1">
      <c r="AF8164" s="908">
        <v>0</v>
      </c>
    </row>
    <row r="8165" spans="32:32" ht="24" customHeight="1">
      <c r="AF8165" s="908">
        <v>0</v>
      </c>
    </row>
    <row r="8166" spans="32:32" ht="24" customHeight="1">
      <c r="AF8166" s="908">
        <v>0</v>
      </c>
    </row>
    <row r="8167" spans="32:32" ht="24" customHeight="1">
      <c r="AF8167" s="908">
        <v>0</v>
      </c>
    </row>
    <row r="8168" spans="32:32" ht="24" customHeight="1">
      <c r="AF8168" s="908">
        <v>0</v>
      </c>
    </row>
    <row r="8169" spans="32:32" ht="24" customHeight="1">
      <c r="AF8169" s="908">
        <v>0</v>
      </c>
    </row>
    <row r="8170" spans="32:32" ht="24" customHeight="1">
      <c r="AF8170" s="908">
        <v>0</v>
      </c>
    </row>
    <row r="8171" spans="32:32" ht="24" customHeight="1">
      <c r="AF8171" s="908">
        <v>0</v>
      </c>
    </row>
    <row r="8172" spans="32:32" ht="24" customHeight="1">
      <c r="AF8172" s="908">
        <v>0</v>
      </c>
    </row>
    <row r="8173" spans="32:32" ht="24" customHeight="1">
      <c r="AF8173" s="908">
        <v>0</v>
      </c>
    </row>
    <row r="8174" spans="32:32" ht="24" customHeight="1">
      <c r="AF8174" s="908">
        <v>0</v>
      </c>
    </row>
    <row r="8175" spans="32:32" ht="24" customHeight="1">
      <c r="AF8175" s="908">
        <v>0</v>
      </c>
    </row>
    <row r="8176" spans="32:32" ht="24" customHeight="1">
      <c r="AF8176" s="908">
        <v>0</v>
      </c>
    </row>
    <row r="8177" spans="32:32" ht="24" customHeight="1">
      <c r="AF8177" s="908">
        <v>0</v>
      </c>
    </row>
    <row r="8178" spans="32:32" ht="24" customHeight="1">
      <c r="AF8178" s="908">
        <v>0</v>
      </c>
    </row>
    <row r="8179" spans="32:32" ht="24" customHeight="1">
      <c r="AF8179" s="908">
        <v>0</v>
      </c>
    </row>
    <row r="8180" spans="32:32" ht="24" customHeight="1">
      <c r="AF8180" s="908">
        <v>0</v>
      </c>
    </row>
    <row r="8181" spans="32:32" ht="24" customHeight="1">
      <c r="AF8181" s="908">
        <v>0</v>
      </c>
    </row>
    <row r="8182" spans="32:32" ht="24" customHeight="1">
      <c r="AF8182" s="908">
        <v>0</v>
      </c>
    </row>
    <row r="8183" spans="32:32" ht="24" customHeight="1">
      <c r="AF8183" s="908">
        <v>0</v>
      </c>
    </row>
    <row r="8184" spans="32:32" ht="24" customHeight="1">
      <c r="AF8184" s="908">
        <v>0</v>
      </c>
    </row>
    <row r="8185" spans="32:32" ht="24" customHeight="1">
      <c r="AF8185" s="908">
        <v>0</v>
      </c>
    </row>
    <row r="8186" spans="32:32" ht="24" customHeight="1">
      <c r="AF8186" s="908">
        <v>0</v>
      </c>
    </row>
    <row r="8187" spans="32:32" ht="24" customHeight="1">
      <c r="AF8187" s="908">
        <v>0</v>
      </c>
    </row>
    <row r="8188" spans="32:32" ht="24" customHeight="1">
      <c r="AF8188" s="908">
        <v>0</v>
      </c>
    </row>
    <row r="8189" spans="32:32" ht="24" customHeight="1">
      <c r="AF8189" s="908">
        <v>0</v>
      </c>
    </row>
    <row r="8190" spans="32:32" ht="24" customHeight="1">
      <c r="AF8190" s="908">
        <v>0</v>
      </c>
    </row>
    <row r="8191" spans="32:32" ht="24" customHeight="1">
      <c r="AF8191" s="908">
        <v>0</v>
      </c>
    </row>
    <row r="8192" spans="32:32" ht="24" customHeight="1">
      <c r="AF8192" s="908">
        <v>0</v>
      </c>
    </row>
    <row r="8193" spans="32:32" ht="24" customHeight="1">
      <c r="AF8193" s="908">
        <v>0</v>
      </c>
    </row>
    <row r="8194" spans="32:32" ht="24" customHeight="1">
      <c r="AF8194" s="908">
        <v>0</v>
      </c>
    </row>
    <row r="8195" spans="32:32" ht="24" customHeight="1">
      <c r="AF8195" s="908">
        <v>0</v>
      </c>
    </row>
    <row r="8196" spans="32:32" ht="24" customHeight="1">
      <c r="AF8196" s="908">
        <v>0</v>
      </c>
    </row>
    <row r="8197" spans="32:32" ht="24" customHeight="1">
      <c r="AF8197" s="908">
        <v>0</v>
      </c>
    </row>
    <row r="8198" spans="32:32" ht="24" customHeight="1">
      <c r="AF8198" s="908">
        <v>0</v>
      </c>
    </row>
    <row r="8199" spans="32:32" ht="24" customHeight="1">
      <c r="AF8199" s="908">
        <v>0</v>
      </c>
    </row>
    <row r="8200" spans="32:32" ht="24" customHeight="1">
      <c r="AF8200" s="908">
        <v>0</v>
      </c>
    </row>
    <row r="8201" spans="32:32" ht="24" customHeight="1">
      <c r="AF8201" s="908">
        <v>0</v>
      </c>
    </row>
    <row r="8202" spans="32:32" ht="24" customHeight="1">
      <c r="AF8202" s="908">
        <v>0</v>
      </c>
    </row>
    <row r="8203" spans="32:32" ht="24" customHeight="1">
      <c r="AF8203" s="908">
        <v>0</v>
      </c>
    </row>
    <row r="8204" spans="32:32" ht="24" customHeight="1">
      <c r="AF8204" s="908">
        <v>0</v>
      </c>
    </row>
    <row r="8205" spans="32:32" ht="24" customHeight="1">
      <c r="AF8205" s="908">
        <v>0</v>
      </c>
    </row>
    <row r="8206" spans="32:32" ht="24" customHeight="1">
      <c r="AF8206" s="908">
        <v>0</v>
      </c>
    </row>
    <row r="8207" spans="32:32" ht="24" customHeight="1">
      <c r="AF8207" s="908">
        <v>0</v>
      </c>
    </row>
    <row r="8208" spans="32:32" ht="24" customHeight="1">
      <c r="AF8208" s="908">
        <v>0</v>
      </c>
    </row>
    <row r="8209" spans="32:32" ht="24" customHeight="1">
      <c r="AF8209" s="908">
        <v>0</v>
      </c>
    </row>
    <row r="8210" spans="32:32" ht="24" customHeight="1">
      <c r="AF8210" s="908">
        <v>0</v>
      </c>
    </row>
    <row r="8211" spans="32:32" ht="24" customHeight="1">
      <c r="AF8211" s="908">
        <v>0</v>
      </c>
    </row>
    <row r="8212" spans="32:32" ht="24" customHeight="1">
      <c r="AF8212" s="908">
        <v>0</v>
      </c>
    </row>
    <row r="8213" spans="32:32" ht="24" customHeight="1">
      <c r="AF8213" s="908">
        <v>0</v>
      </c>
    </row>
    <row r="8214" spans="32:32" ht="24" customHeight="1">
      <c r="AF8214" s="908">
        <v>0</v>
      </c>
    </row>
    <row r="8215" spans="32:32" ht="24" customHeight="1">
      <c r="AF8215" s="908">
        <v>0</v>
      </c>
    </row>
    <row r="8216" spans="32:32" ht="24" customHeight="1">
      <c r="AF8216" s="908">
        <v>0</v>
      </c>
    </row>
    <row r="8217" spans="32:32" ht="24" customHeight="1">
      <c r="AF8217" s="908">
        <v>0</v>
      </c>
    </row>
    <row r="8218" spans="32:32" ht="24" customHeight="1">
      <c r="AF8218" s="908">
        <v>0</v>
      </c>
    </row>
    <row r="8219" spans="32:32" ht="24" customHeight="1">
      <c r="AF8219" s="908">
        <v>0</v>
      </c>
    </row>
    <row r="8220" spans="32:32" ht="24" customHeight="1">
      <c r="AF8220" s="908">
        <v>0</v>
      </c>
    </row>
    <row r="8221" spans="32:32" ht="24" customHeight="1">
      <c r="AF8221" s="908">
        <v>0</v>
      </c>
    </row>
    <row r="8222" spans="32:32" ht="24" customHeight="1">
      <c r="AF8222" s="908">
        <v>0</v>
      </c>
    </row>
    <row r="8223" spans="32:32" ht="24" customHeight="1">
      <c r="AF8223" s="908">
        <v>0</v>
      </c>
    </row>
    <row r="8224" spans="32:32" ht="24" customHeight="1">
      <c r="AF8224" s="908">
        <v>0</v>
      </c>
    </row>
    <row r="8225" spans="32:32" ht="24" customHeight="1">
      <c r="AF8225" s="908">
        <v>0</v>
      </c>
    </row>
    <row r="8226" spans="32:32" ht="24" customHeight="1">
      <c r="AF8226" s="908">
        <v>0</v>
      </c>
    </row>
    <row r="8227" spans="32:32" ht="24" customHeight="1">
      <c r="AF8227" s="908">
        <v>0</v>
      </c>
    </row>
    <row r="8228" spans="32:32" ht="24" customHeight="1">
      <c r="AF8228" s="908">
        <v>0</v>
      </c>
    </row>
    <row r="8229" spans="32:32" ht="24" customHeight="1">
      <c r="AF8229" s="908">
        <v>0</v>
      </c>
    </row>
    <row r="8230" spans="32:32" ht="24" customHeight="1">
      <c r="AF8230" s="908">
        <v>0</v>
      </c>
    </row>
    <row r="8231" spans="32:32" ht="24" customHeight="1">
      <c r="AF8231" s="908">
        <v>0</v>
      </c>
    </row>
    <row r="8232" spans="32:32" ht="24" customHeight="1">
      <c r="AF8232" s="908">
        <v>0</v>
      </c>
    </row>
    <row r="8233" spans="32:32" ht="24" customHeight="1">
      <c r="AF8233" s="908">
        <v>0</v>
      </c>
    </row>
    <row r="8234" spans="32:32" ht="24" customHeight="1">
      <c r="AF8234" s="908">
        <v>0</v>
      </c>
    </row>
    <row r="8235" spans="32:32" ht="24" customHeight="1">
      <c r="AF8235" s="908">
        <v>0</v>
      </c>
    </row>
    <row r="8236" spans="32:32" ht="24" customHeight="1">
      <c r="AF8236" s="908">
        <v>0</v>
      </c>
    </row>
    <row r="8237" spans="32:32" ht="24" customHeight="1">
      <c r="AF8237" s="908">
        <v>0</v>
      </c>
    </row>
    <row r="8238" spans="32:32" ht="24" customHeight="1">
      <c r="AF8238" s="908">
        <v>0</v>
      </c>
    </row>
    <row r="8239" spans="32:32" ht="24" customHeight="1">
      <c r="AF8239" s="908">
        <v>0</v>
      </c>
    </row>
    <row r="8240" spans="32:32" ht="24" customHeight="1">
      <c r="AF8240" s="908">
        <v>0</v>
      </c>
    </row>
    <row r="8241" spans="32:32" ht="24" customHeight="1">
      <c r="AF8241" s="908">
        <v>0</v>
      </c>
    </row>
    <row r="8242" spans="32:32" ht="24" customHeight="1">
      <c r="AF8242" s="908">
        <v>0</v>
      </c>
    </row>
    <row r="8243" spans="32:32" ht="24" customHeight="1">
      <c r="AF8243" s="908">
        <v>0</v>
      </c>
    </row>
    <row r="8244" spans="32:32" ht="24" customHeight="1">
      <c r="AF8244" s="908">
        <v>0</v>
      </c>
    </row>
    <row r="8245" spans="32:32" ht="24" customHeight="1">
      <c r="AF8245" s="908">
        <v>0</v>
      </c>
    </row>
    <row r="8246" spans="32:32" ht="24" customHeight="1">
      <c r="AF8246" s="908">
        <v>0</v>
      </c>
    </row>
    <row r="8247" spans="32:32" ht="24" customHeight="1">
      <c r="AF8247" s="908">
        <v>0</v>
      </c>
    </row>
    <row r="8248" spans="32:32" ht="24" customHeight="1">
      <c r="AF8248" s="908">
        <v>0</v>
      </c>
    </row>
    <row r="8249" spans="32:32" ht="24" customHeight="1">
      <c r="AF8249" s="908">
        <v>0</v>
      </c>
    </row>
    <row r="8250" spans="32:32" ht="24" customHeight="1">
      <c r="AF8250" s="908">
        <v>0</v>
      </c>
    </row>
    <row r="8251" spans="32:32" ht="24" customHeight="1">
      <c r="AF8251" s="908">
        <v>0</v>
      </c>
    </row>
    <row r="8252" spans="32:32" ht="24" customHeight="1">
      <c r="AF8252" s="908">
        <v>0</v>
      </c>
    </row>
    <row r="8253" spans="32:32" ht="24" customHeight="1">
      <c r="AF8253" s="908">
        <v>0</v>
      </c>
    </row>
    <row r="8254" spans="32:32" ht="24" customHeight="1">
      <c r="AF8254" s="908">
        <v>0</v>
      </c>
    </row>
    <row r="8255" spans="32:32" ht="24" customHeight="1">
      <c r="AF8255" s="908">
        <v>0</v>
      </c>
    </row>
    <row r="8256" spans="32:32" ht="24" customHeight="1">
      <c r="AF8256" s="908">
        <v>0</v>
      </c>
    </row>
    <row r="8257" spans="32:32" ht="24" customHeight="1">
      <c r="AF8257" s="908">
        <v>0</v>
      </c>
    </row>
    <row r="8258" spans="32:32" ht="24" customHeight="1">
      <c r="AF8258" s="908">
        <v>0</v>
      </c>
    </row>
    <row r="8259" spans="32:32" ht="24" customHeight="1">
      <c r="AF8259" s="908">
        <v>0</v>
      </c>
    </row>
    <row r="8260" spans="32:32" ht="24" customHeight="1">
      <c r="AF8260" s="908">
        <v>0</v>
      </c>
    </row>
    <row r="8261" spans="32:32" ht="24" customHeight="1">
      <c r="AF8261" s="908">
        <v>0</v>
      </c>
    </row>
    <row r="8262" spans="32:32" ht="24" customHeight="1">
      <c r="AF8262" s="908">
        <v>0</v>
      </c>
    </row>
    <row r="8263" spans="32:32" ht="24" customHeight="1">
      <c r="AF8263" s="908">
        <v>0</v>
      </c>
    </row>
    <row r="8264" spans="32:32" ht="24" customHeight="1">
      <c r="AF8264" s="908">
        <v>0</v>
      </c>
    </row>
    <row r="8265" spans="32:32" ht="24" customHeight="1">
      <c r="AF8265" s="908">
        <v>0</v>
      </c>
    </row>
    <row r="8266" spans="32:32" ht="24" customHeight="1">
      <c r="AF8266" s="908">
        <v>0</v>
      </c>
    </row>
    <row r="8267" spans="32:32" ht="24" customHeight="1">
      <c r="AF8267" s="908">
        <v>0</v>
      </c>
    </row>
    <row r="8268" spans="32:32" ht="24" customHeight="1">
      <c r="AF8268" s="908">
        <v>0</v>
      </c>
    </row>
    <row r="8269" spans="32:32" ht="24" customHeight="1">
      <c r="AF8269" s="908">
        <v>0</v>
      </c>
    </row>
    <row r="8270" spans="32:32" ht="24" customHeight="1">
      <c r="AF8270" s="908">
        <v>0</v>
      </c>
    </row>
    <row r="8271" spans="32:32" ht="24" customHeight="1">
      <c r="AF8271" s="908">
        <v>0</v>
      </c>
    </row>
    <row r="8272" spans="32:32" ht="24" customHeight="1">
      <c r="AF8272" s="908">
        <v>0</v>
      </c>
    </row>
    <row r="8273" spans="32:32" ht="24" customHeight="1">
      <c r="AF8273" s="908">
        <v>0</v>
      </c>
    </row>
    <row r="8274" spans="32:32" ht="24" customHeight="1">
      <c r="AF8274" s="908">
        <v>0</v>
      </c>
    </row>
    <row r="8275" spans="32:32" ht="24" customHeight="1">
      <c r="AF8275" s="908">
        <v>0</v>
      </c>
    </row>
    <row r="8276" spans="32:32" ht="24" customHeight="1">
      <c r="AF8276" s="908">
        <v>0</v>
      </c>
    </row>
    <row r="8277" spans="32:32" ht="24" customHeight="1">
      <c r="AF8277" s="908">
        <v>0</v>
      </c>
    </row>
    <row r="8278" spans="32:32" ht="24" customHeight="1">
      <c r="AF8278" s="908">
        <v>0</v>
      </c>
    </row>
    <row r="8279" spans="32:32" ht="24" customHeight="1">
      <c r="AF8279" s="908">
        <v>0</v>
      </c>
    </row>
    <row r="8280" spans="32:32" ht="24" customHeight="1">
      <c r="AF8280" s="908">
        <v>0</v>
      </c>
    </row>
    <row r="8281" spans="32:32" ht="24" customHeight="1">
      <c r="AF8281" s="908">
        <v>0</v>
      </c>
    </row>
    <row r="8282" spans="32:32" ht="24" customHeight="1">
      <c r="AF8282" s="908">
        <v>0</v>
      </c>
    </row>
    <row r="8283" spans="32:32" ht="24" customHeight="1">
      <c r="AF8283" s="908">
        <v>0</v>
      </c>
    </row>
    <row r="8284" spans="32:32" ht="24" customHeight="1">
      <c r="AF8284" s="908">
        <v>0</v>
      </c>
    </row>
    <row r="8285" spans="32:32" ht="24" customHeight="1">
      <c r="AF8285" s="908">
        <v>0</v>
      </c>
    </row>
    <row r="8286" spans="32:32" ht="24" customHeight="1">
      <c r="AF8286" s="908">
        <v>0</v>
      </c>
    </row>
    <row r="8287" spans="32:32" ht="24" customHeight="1">
      <c r="AF8287" s="908">
        <v>0</v>
      </c>
    </row>
    <row r="8288" spans="32:32" ht="24" customHeight="1">
      <c r="AF8288" s="908">
        <v>0</v>
      </c>
    </row>
    <row r="8289" spans="32:32" ht="24" customHeight="1">
      <c r="AF8289" s="908">
        <v>0</v>
      </c>
    </row>
    <row r="8290" spans="32:32" ht="24" customHeight="1">
      <c r="AF8290" s="908">
        <v>0</v>
      </c>
    </row>
    <row r="8291" spans="32:32" ht="24" customHeight="1">
      <c r="AF8291" s="908">
        <v>0</v>
      </c>
    </row>
    <row r="8292" spans="32:32" ht="24" customHeight="1">
      <c r="AF8292" s="908">
        <v>0</v>
      </c>
    </row>
    <row r="8293" spans="32:32" ht="24" customHeight="1">
      <c r="AF8293" s="908">
        <v>0</v>
      </c>
    </row>
    <row r="8294" spans="32:32" ht="24" customHeight="1">
      <c r="AF8294" s="908">
        <v>0</v>
      </c>
    </row>
    <row r="8295" spans="32:32" ht="24" customHeight="1">
      <c r="AF8295" s="908">
        <v>0</v>
      </c>
    </row>
    <row r="8296" spans="32:32" ht="24" customHeight="1">
      <c r="AF8296" s="908">
        <v>0</v>
      </c>
    </row>
    <row r="8297" spans="32:32" ht="24" customHeight="1">
      <c r="AF8297" s="908">
        <v>0</v>
      </c>
    </row>
    <row r="8298" spans="32:32" ht="24" customHeight="1">
      <c r="AF8298" s="908">
        <v>0</v>
      </c>
    </row>
    <row r="8299" spans="32:32" ht="24" customHeight="1">
      <c r="AF8299" s="908">
        <v>0</v>
      </c>
    </row>
    <row r="8300" spans="32:32" ht="24" customHeight="1">
      <c r="AF8300" s="908">
        <v>0</v>
      </c>
    </row>
    <row r="8301" spans="32:32" ht="24" customHeight="1">
      <c r="AF8301" s="908">
        <v>0</v>
      </c>
    </row>
    <row r="8302" spans="32:32" ht="24" customHeight="1">
      <c r="AF8302" s="908">
        <v>0</v>
      </c>
    </row>
    <row r="8303" spans="32:32" ht="24" customHeight="1">
      <c r="AF8303" s="908">
        <v>0</v>
      </c>
    </row>
    <row r="8304" spans="32:32" ht="24" customHeight="1">
      <c r="AF8304" s="908">
        <v>0</v>
      </c>
    </row>
    <row r="8305" spans="32:32" ht="24" customHeight="1">
      <c r="AF8305" s="908">
        <v>0</v>
      </c>
    </row>
    <row r="8306" spans="32:32" ht="24" customHeight="1">
      <c r="AF8306" s="908">
        <v>0</v>
      </c>
    </row>
    <row r="8307" spans="32:32" ht="24" customHeight="1">
      <c r="AF8307" s="908">
        <v>0</v>
      </c>
    </row>
    <row r="8308" spans="32:32" ht="24" customHeight="1">
      <c r="AF8308" s="908">
        <v>0</v>
      </c>
    </row>
    <row r="8309" spans="32:32" ht="24" customHeight="1">
      <c r="AF8309" s="908">
        <v>0</v>
      </c>
    </row>
    <row r="8310" spans="32:32" ht="24" customHeight="1">
      <c r="AF8310" s="908">
        <v>0</v>
      </c>
    </row>
    <row r="8311" spans="32:32" ht="24" customHeight="1">
      <c r="AF8311" s="908">
        <v>0</v>
      </c>
    </row>
    <row r="8312" spans="32:32" ht="24" customHeight="1">
      <c r="AF8312" s="908">
        <v>0</v>
      </c>
    </row>
    <row r="8313" spans="32:32" ht="24" customHeight="1">
      <c r="AF8313" s="908">
        <v>0</v>
      </c>
    </row>
    <row r="8314" spans="32:32" ht="24" customHeight="1">
      <c r="AF8314" s="908">
        <v>0</v>
      </c>
    </row>
    <row r="8315" spans="32:32" ht="24" customHeight="1">
      <c r="AF8315" s="908">
        <v>0</v>
      </c>
    </row>
    <row r="8316" spans="32:32" ht="24" customHeight="1">
      <c r="AF8316" s="908">
        <v>0</v>
      </c>
    </row>
    <row r="8317" spans="32:32" ht="24" customHeight="1">
      <c r="AF8317" s="908">
        <v>0</v>
      </c>
    </row>
    <row r="8318" spans="32:32" ht="24" customHeight="1">
      <c r="AF8318" s="908">
        <v>0</v>
      </c>
    </row>
    <row r="8319" spans="32:32" ht="24" customHeight="1">
      <c r="AF8319" s="908">
        <v>0</v>
      </c>
    </row>
    <row r="8320" spans="32:32" ht="24" customHeight="1">
      <c r="AF8320" s="908">
        <v>0</v>
      </c>
    </row>
    <row r="8321" spans="32:32" ht="24" customHeight="1">
      <c r="AF8321" s="908">
        <v>0</v>
      </c>
    </row>
    <row r="8322" spans="32:32" ht="24" customHeight="1">
      <c r="AF8322" s="908">
        <v>0</v>
      </c>
    </row>
    <row r="8323" spans="32:32" ht="24" customHeight="1">
      <c r="AF8323" s="908">
        <v>0</v>
      </c>
    </row>
    <row r="8324" spans="32:32" ht="24" customHeight="1">
      <c r="AF8324" s="908">
        <v>0</v>
      </c>
    </row>
    <row r="8325" spans="32:32" ht="24" customHeight="1">
      <c r="AF8325" s="908">
        <v>0</v>
      </c>
    </row>
    <row r="8326" spans="32:32" ht="24" customHeight="1">
      <c r="AF8326" s="908">
        <v>0</v>
      </c>
    </row>
    <row r="8327" spans="32:32" ht="24" customHeight="1">
      <c r="AF8327" s="908">
        <v>0</v>
      </c>
    </row>
    <row r="8328" spans="32:32" ht="24" customHeight="1">
      <c r="AF8328" s="908">
        <v>0</v>
      </c>
    </row>
    <row r="8329" spans="32:32" ht="24" customHeight="1">
      <c r="AF8329" s="908">
        <v>0</v>
      </c>
    </row>
    <row r="8330" spans="32:32" ht="24" customHeight="1">
      <c r="AF8330" s="908">
        <v>0</v>
      </c>
    </row>
    <row r="8331" spans="32:32" ht="24" customHeight="1">
      <c r="AF8331" s="908">
        <v>0</v>
      </c>
    </row>
    <row r="8332" spans="32:32" ht="24" customHeight="1">
      <c r="AF8332" s="908">
        <v>0</v>
      </c>
    </row>
    <row r="8333" spans="32:32" ht="24" customHeight="1">
      <c r="AF8333" s="908">
        <v>0</v>
      </c>
    </row>
    <row r="8334" spans="32:32" ht="24" customHeight="1">
      <c r="AF8334" s="908">
        <v>0</v>
      </c>
    </row>
    <row r="8335" spans="32:32" ht="24" customHeight="1">
      <c r="AF8335" s="908">
        <v>0</v>
      </c>
    </row>
    <row r="8336" spans="32:32" ht="24" customHeight="1">
      <c r="AF8336" s="908">
        <v>0</v>
      </c>
    </row>
    <row r="8337" spans="32:32" ht="24" customHeight="1">
      <c r="AF8337" s="908">
        <v>0</v>
      </c>
    </row>
    <row r="8338" spans="32:32" ht="24" customHeight="1">
      <c r="AF8338" s="908">
        <v>0</v>
      </c>
    </row>
    <row r="8339" spans="32:32" ht="24" customHeight="1">
      <c r="AF8339" s="908">
        <v>0</v>
      </c>
    </row>
    <row r="8340" spans="32:32" ht="24" customHeight="1">
      <c r="AF8340" s="908">
        <v>0</v>
      </c>
    </row>
    <row r="8341" spans="32:32" ht="24" customHeight="1">
      <c r="AF8341" s="908">
        <v>0</v>
      </c>
    </row>
    <row r="8342" spans="32:32" ht="24" customHeight="1">
      <c r="AF8342" s="908">
        <v>0</v>
      </c>
    </row>
    <row r="8343" spans="32:32" ht="24" customHeight="1">
      <c r="AF8343" s="908">
        <v>0</v>
      </c>
    </row>
    <row r="8344" spans="32:32" ht="24" customHeight="1">
      <c r="AF8344" s="908">
        <v>0</v>
      </c>
    </row>
    <row r="8345" spans="32:32" ht="24" customHeight="1">
      <c r="AF8345" s="908">
        <v>0</v>
      </c>
    </row>
    <row r="8346" spans="32:32" ht="24" customHeight="1">
      <c r="AF8346" s="908">
        <v>0</v>
      </c>
    </row>
    <row r="8347" spans="32:32" ht="24" customHeight="1">
      <c r="AF8347" s="908">
        <v>0</v>
      </c>
    </row>
    <row r="8348" spans="32:32" ht="24" customHeight="1">
      <c r="AF8348" s="908">
        <v>0</v>
      </c>
    </row>
    <row r="8349" spans="32:32" ht="24" customHeight="1">
      <c r="AF8349" s="908">
        <v>0</v>
      </c>
    </row>
    <row r="8350" spans="32:32" ht="24" customHeight="1">
      <c r="AF8350" s="908">
        <v>0</v>
      </c>
    </row>
    <row r="8351" spans="32:32" ht="24" customHeight="1">
      <c r="AF8351" s="908">
        <v>0</v>
      </c>
    </row>
    <row r="8352" spans="32:32" ht="24" customHeight="1">
      <c r="AF8352" s="908">
        <v>0</v>
      </c>
    </row>
    <row r="8353" spans="32:32" ht="24" customHeight="1">
      <c r="AF8353" s="908">
        <v>0</v>
      </c>
    </row>
    <row r="8354" spans="32:32" ht="24" customHeight="1">
      <c r="AF8354" s="908">
        <v>0</v>
      </c>
    </row>
    <row r="8355" spans="32:32" ht="24" customHeight="1">
      <c r="AF8355" s="908">
        <v>0</v>
      </c>
    </row>
    <row r="8356" spans="32:32" ht="24" customHeight="1">
      <c r="AF8356" s="908">
        <v>0</v>
      </c>
    </row>
    <row r="8357" spans="32:32" ht="24" customHeight="1">
      <c r="AF8357" s="908">
        <v>0</v>
      </c>
    </row>
    <row r="8358" spans="32:32" ht="24" customHeight="1">
      <c r="AF8358" s="908">
        <v>0</v>
      </c>
    </row>
    <row r="8359" spans="32:32" ht="24" customHeight="1">
      <c r="AF8359" s="908">
        <v>0</v>
      </c>
    </row>
    <row r="8360" spans="32:32" ht="24" customHeight="1">
      <c r="AF8360" s="908">
        <v>0</v>
      </c>
    </row>
    <row r="8361" spans="32:32" ht="24" customHeight="1">
      <c r="AF8361" s="908">
        <v>0</v>
      </c>
    </row>
    <row r="8362" spans="32:32" ht="24" customHeight="1">
      <c r="AF8362" s="908">
        <v>0</v>
      </c>
    </row>
    <row r="8363" spans="32:32" ht="24" customHeight="1">
      <c r="AF8363" s="908">
        <v>0</v>
      </c>
    </row>
    <row r="8364" spans="32:32" ht="24" customHeight="1">
      <c r="AF8364" s="908">
        <v>0</v>
      </c>
    </row>
    <row r="8365" spans="32:32" ht="24" customHeight="1">
      <c r="AF8365" s="908">
        <v>0</v>
      </c>
    </row>
    <row r="8366" spans="32:32" ht="24" customHeight="1">
      <c r="AF8366" s="908">
        <v>0</v>
      </c>
    </row>
    <row r="8367" spans="32:32" ht="24" customHeight="1">
      <c r="AF8367" s="908">
        <v>0</v>
      </c>
    </row>
    <row r="8368" spans="32:32" ht="24" customHeight="1">
      <c r="AF8368" s="908">
        <v>0</v>
      </c>
    </row>
    <row r="8369" spans="32:32" ht="24" customHeight="1">
      <c r="AF8369" s="908">
        <v>0</v>
      </c>
    </row>
    <row r="8370" spans="32:32" ht="24" customHeight="1">
      <c r="AF8370" s="908">
        <v>0</v>
      </c>
    </row>
    <row r="8371" spans="32:32" ht="24" customHeight="1">
      <c r="AF8371" s="908">
        <v>0</v>
      </c>
    </row>
    <row r="8372" spans="32:32" ht="24" customHeight="1">
      <c r="AF8372" s="908">
        <v>0</v>
      </c>
    </row>
    <row r="8373" spans="32:32" ht="24" customHeight="1">
      <c r="AF8373" s="908">
        <v>0</v>
      </c>
    </row>
    <row r="8374" spans="32:32" ht="24" customHeight="1">
      <c r="AF8374" s="908">
        <v>0</v>
      </c>
    </row>
    <row r="8375" spans="32:32" ht="24" customHeight="1">
      <c r="AF8375" s="908">
        <v>0</v>
      </c>
    </row>
    <row r="8376" spans="32:32" ht="24" customHeight="1">
      <c r="AF8376" s="908">
        <v>0</v>
      </c>
    </row>
    <row r="8377" spans="32:32" ht="24" customHeight="1">
      <c r="AF8377" s="908">
        <v>0</v>
      </c>
    </row>
    <row r="8378" spans="32:32" ht="24" customHeight="1">
      <c r="AF8378" s="908">
        <v>0</v>
      </c>
    </row>
    <row r="8379" spans="32:32" ht="24" customHeight="1">
      <c r="AF8379" s="908">
        <v>0</v>
      </c>
    </row>
    <row r="8380" spans="32:32" ht="24" customHeight="1">
      <c r="AF8380" s="908">
        <v>0</v>
      </c>
    </row>
    <row r="8381" spans="32:32" ht="24" customHeight="1">
      <c r="AF8381" s="908">
        <v>0</v>
      </c>
    </row>
    <row r="8382" spans="32:32" ht="24" customHeight="1">
      <c r="AF8382" s="908">
        <v>0</v>
      </c>
    </row>
    <row r="8383" spans="32:32" ht="24" customHeight="1">
      <c r="AF8383" s="908">
        <v>0</v>
      </c>
    </row>
    <row r="8384" spans="32:32" ht="24" customHeight="1">
      <c r="AF8384" s="908">
        <v>0</v>
      </c>
    </row>
    <row r="8385" spans="32:32" ht="24" customHeight="1">
      <c r="AF8385" s="908">
        <v>0</v>
      </c>
    </row>
    <row r="8386" spans="32:32" ht="24" customHeight="1">
      <c r="AF8386" s="908">
        <v>0</v>
      </c>
    </row>
    <row r="8387" spans="32:32" ht="24" customHeight="1">
      <c r="AF8387" s="908">
        <v>0</v>
      </c>
    </row>
    <row r="8388" spans="32:32" ht="24" customHeight="1">
      <c r="AF8388" s="908">
        <v>0</v>
      </c>
    </row>
    <row r="8389" spans="32:32" ht="24" customHeight="1">
      <c r="AF8389" s="908">
        <v>0</v>
      </c>
    </row>
    <row r="8390" spans="32:32" ht="24" customHeight="1">
      <c r="AF8390" s="908">
        <v>0</v>
      </c>
    </row>
    <row r="8391" spans="32:32" ht="24" customHeight="1">
      <c r="AF8391" s="908">
        <v>0</v>
      </c>
    </row>
    <row r="8392" spans="32:32" ht="24" customHeight="1">
      <c r="AF8392" s="908">
        <v>0</v>
      </c>
    </row>
    <row r="8393" spans="32:32" ht="24" customHeight="1">
      <c r="AF8393" s="908">
        <v>0</v>
      </c>
    </row>
    <row r="8394" spans="32:32" ht="24" customHeight="1">
      <c r="AF8394" s="908">
        <v>0</v>
      </c>
    </row>
    <row r="8395" spans="32:32" ht="24" customHeight="1">
      <c r="AF8395" s="908">
        <v>0</v>
      </c>
    </row>
    <row r="8396" spans="32:32" ht="24" customHeight="1">
      <c r="AF8396" s="908">
        <v>0</v>
      </c>
    </row>
    <row r="8397" spans="32:32" ht="24" customHeight="1">
      <c r="AF8397" s="908">
        <v>0</v>
      </c>
    </row>
    <row r="8398" spans="32:32" ht="24" customHeight="1">
      <c r="AF8398" s="908">
        <v>0</v>
      </c>
    </row>
    <row r="8399" spans="32:32" ht="24" customHeight="1">
      <c r="AF8399" s="908">
        <v>0</v>
      </c>
    </row>
    <row r="8400" spans="32:32" ht="24" customHeight="1">
      <c r="AF8400" s="908">
        <v>0</v>
      </c>
    </row>
    <row r="8401" spans="32:32" ht="24" customHeight="1">
      <c r="AF8401" s="908">
        <v>0</v>
      </c>
    </row>
    <row r="8402" spans="32:32" ht="24" customHeight="1">
      <c r="AF8402" s="908">
        <v>0</v>
      </c>
    </row>
    <row r="8403" spans="32:32" ht="24" customHeight="1">
      <c r="AF8403" s="908">
        <v>0</v>
      </c>
    </row>
    <row r="8404" spans="32:32" ht="24" customHeight="1">
      <c r="AF8404" s="908">
        <v>0</v>
      </c>
    </row>
    <row r="8405" spans="32:32" ht="24" customHeight="1">
      <c r="AF8405" s="908">
        <v>0</v>
      </c>
    </row>
    <row r="8406" spans="32:32" ht="24" customHeight="1">
      <c r="AF8406" s="908">
        <v>0</v>
      </c>
    </row>
    <row r="8407" spans="32:32" ht="24" customHeight="1">
      <c r="AF8407" s="908">
        <v>0</v>
      </c>
    </row>
    <row r="8408" spans="32:32" ht="24" customHeight="1">
      <c r="AF8408" s="908">
        <v>0</v>
      </c>
    </row>
    <row r="8409" spans="32:32" ht="24" customHeight="1">
      <c r="AF8409" s="908">
        <v>0</v>
      </c>
    </row>
    <row r="8410" spans="32:32" ht="24" customHeight="1">
      <c r="AF8410" s="908">
        <v>0</v>
      </c>
    </row>
    <row r="8411" spans="32:32" ht="24" customHeight="1">
      <c r="AF8411" s="908">
        <v>0</v>
      </c>
    </row>
    <row r="8412" spans="32:32" ht="24" customHeight="1">
      <c r="AF8412" s="908">
        <v>0</v>
      </c>
    </row>
    <row r="8413" spans="32:32" ht="24" customHeight="1">
      <c r="AF8413" s="908">
        <v>0</v>
      </c>
    </row>
    <row r="8414" spans="32:32" ht="24" customHeight="1">
      <c r="AF8414" s="908">
        <v>0</v>
      </c>
    </row>
    <row r="8415" spans="32:32" ht="24" customHeight="1">
      <c r="AF8415" s="908">
        <v>0</v>
      </c>
    </row>
    <row r="8416" spans="32:32" ht="24" customHeight="1">
      <c r="AF8416" s="908">
        <v>0</v>
      </c>
    </row>
    <row r="8417" spans="32:32" ht="24" customHeight="1">
      <c r="AF8417" s="908">
        <v>0</v>
      </c>
    </row>
    <row r="8418" spans="32:32" ht="24" customHeight="1">
      <c r="AF8418" s="908">
        <v>0</v>
      </c>
    </row>
    <row r="8419" spans="32:32" ht="24" customHeight="1">
      <c r="AF8419" s="908">
        <v>0</v>
      </c>
    </row>
    <row r="8420" spans="32:32" ht="24" customHeight="1">
      <c r="AF8420" s="908">
        <v>0</v>
      </c>
    </row>
    <row r="8421" spans="32:32" ht="24" customHeight="1">
      <c r="AF8421" s="908">
        <v>0</v>
      </c>
    </row>
    <row r="8422" spans="32:32" ht="24" customHeight="1">
      <c r="AF8422" s="908">
        <v>0</v>
      </c>
    </row>
    <row r="8423" spans="32:32" ht="24" customHeight="1">
      <c r="AF8423" s="908">
        <v>0</v>
      </c>
    </row>
    <row r="8424" spans="32:32" ht="24" customHeight="1">
      <c r="AF8424" s="908">
        <v>0</v>
      </c>
    </row>
    <row r="8425" spans="32:32" ht="24" customHeight="1">
      <c r="AF8425" s="908">
        <v>0</v>
      </c>
    </row>
    <row r="8426" spans="32:32" ht="24" customHeight="1">
      <c r="AF8426" s="908">
        <v>0</v>
      </c>
    </row>
    <row r="8427" spans="32:32" ht="24" customHeight="1">
      <c r="AF8427" s="908">
        <v>0</v>
      </c>
    </row>
    <row r="8428" spans="32:32" ht="24" customHeight="1">
      <c r="AF8428" s="908">
        <v>0</v>
      </c>
    </row>
    <row r="8429" spans="32:32" ht="24" customHeight="1">
      <c r="AF8429" s="908">
        <v>0</v>
      </c>
    </row>
    <row r="8430" spans="32:32" ht="24" customHeight="1">
      <c r="AF8430" s="908">
        <v>0</v>
      </c>
    </row>
    <row r="8431" spans="32:32" ht="24" customHeight="1">
      <c r="AF8431" s="908">
        <v>0</v>
      </c>
    </row>
    <row r="8432" spans="32:32" ht="24" customHeight="1">
      <c r="AF8432" s="908">
        <v>0</v>
      </c>
    </row>
    <row r="8433" spans="32:32" ht="24" customHeight="1">
      <c r="AF8433" s="908">
        <v>0</v>
      </c>
    </row>
    <row r="8434" spans="32:32" ht="24" customHeight="1">
      <c r="AF8434" s="908">
        <v>0</v>
      </c>
    </row>
    <row r="8435" spans="32:32" ht="24" customHeight="1">
      <c r="AF8435" s="908">
        <v>0</v>
      </c>
    </row>
    <row r="8436" spans="32:32" ht="24" customHeight="1">
      <c r="AF8436" s="908">
        <v>0</v>
      </c>
    </row>
    <row r="8437" spans="32:32" ht="24" customHeight="1">
      <c r="AF8437" s="908">
        <v>0</v>
      </c>
    </row>
    <row r="8438" spans="32:32" ht="24" customHeight="1">
      <c r="AF8438" s="908">
        <v>0</v>
      </c>
    </row>
    <row r="8439" spans="32:32" ht="24" customHeight="1">
      <c r="AF8439" s="908">
        <v>0</v>
      </c>
    </row>
    <row r="8440" spans="32:32" ht="24" customHeight="1">
      <c r="AF8440" s="908">
        <v>0</v>
      </c>
    </row>
    <row r="8441" spans="32:32" ht="24" customHeight="1">
      <c r="AF8441" s="908">
        <v>0</v>
      </c>
    </row>
    <row r="8442" spans="32:32" ht="24" customHeight="1">
      <c r="AF8442" s="908">
        <v>0</v>
      </c>
    </row>
    <row r="8443" spans="32:32" ht="24" customHeight="1">
      <c r="AF8443" s="908">
        <v>0</v>
      </c>
    </row>
    <row r="8444" spans="32:32" ht="24" customHeight="1">
      <c r="AF8444" s="908">
        <v>0</v>
      </c>
    </row>
    <row r="8445" spans="32:32" ht="24" customHeight="1">
      <c r="AF8445" s="908">
        <v>0</v>
      </c>
    </row>
    <row r="8446" spans="32:32" ht="24" customHeight="1">
      <c r="AF8446" s="908">
        <v>0</v>
      </c>
    </row>
    <row r="8447" spans="32:32" ht="24" customHeight="1">
      <c r="AF8447" s="908">
        <v>0</v>
      </c>
    </row>
    <row r="8448" spans="32:32" ht="24" customHeight="1">
      <c r="AF8448" s="908">
        <v>0</v>
      </c>
    </row>
    <row r="8449" spans="32:32" ht="24" customHeight="1">
      <c r="AF8449" s="908">
        <v>0</v>
      </c>
    </row>
    <row r="8450" spans="32:32" ht="24" customHeight="1">
      <c r="AF8450" s="908">
        <v>0</v>
      </c>
    </row>
    <row r="8451" spans="32:32" ht="24" customHeight="1">
      <c r="AF8451" s="908">
        <v>0</v>
      </c>
    </row>
    <row r="8452" spans="32:32" ht="24" customHeight="1">
      <c r="AF8452" s="908">
        <v>0</v>
      </c>
    </row>
    <row r="8453" spans="32:32" ht="24" customHeight="1">
      <c r="AF8453" s="908">
        <v>0</v>
      </c>
    </row>
    <row r="8454" spans="32:32" ht="24" customHeight="1">
      <c r="AF8454" s="908">
        <v>0</v>
      </c>
    </row>
    <row r="8455" spans="32:32" ht="24" customHeight="1">
      <c r="AF8455" s="908">
        <v>0</v>
      </c>
    </row>
    <row r="8456" spans="32:32" ht="24" customHeight="1">
      <c r="AF8456" s="908">
        <v>0</v>
      </c>
    </row>
    <row r="8457" spans="32:32" ht="24" customHeight="1">
      <c r="AF8457" s="908">
        <v>0</v>
      </c>
    </row>
    <row r="8458" spans="32:32" ht="24" customHeight="1">
      <c r="AF8458" s="908">
        <v>0</v>
      </c>
    </row>
    <row r="8459" spans="32:32" ht="24" customHeight="1">
      <c r="AF8459" s="908">
        <v>0</v>
      </c>
    </row>
    <row r="8460" spans="32:32" ht="24" customHeight="1">
      <c r="AF8460" s="908">
        <v>0</v>
      </c>
    </row>
    <row r="8461" spans="32:32" ht="24" customHeight="1">
      <c r="AF8461" s="908">
        <v>0</v>
      </c>
    </row>
    <row r="8462" spans="32:32" ht="24" customHeight="1">
      <c r="AF8462" s="908">
        <v>0</v>
      </c>
    </row>
    <row r="8463" spans="32:32" ht="24" customHeight="1">
      <c r="AF8463" s="908">
        <v>0</v>
      </c>
    </row>
    <row r="8464" spans="32:32" ht="24" customHeight="1">
      <c r="AF8464" s="908">
        <v>0</v>
      </c>
    </row>
    <row r="8465" spans="32:32" ht="24" customHeight="1">
      <c r="AF8465" s="908">
        <v>0</v>
      </c>
    </row>
    <row r="8466" spans="32:32" ht="24" customHeight="1">
      <c r="AF8466" s="908">
        <v>0</v>
      </c>
    </row>
    <row r="8467" spans="32:32" ht="24" customHeight="1">
      <c r="AF8467" s="908">
        <v>0</v>
      </c>
    </row>
    <row r="8468" spans="32:32" ht="24" customHeight="1">
      <c r="AF8468" s="908">
        <v>0</v>
      </c>
    </row>
    <row r="8469" spans="32:32" ht="24" customHeight="1">
      <c r="AF8469" s="908">
        <v>0</v>
      </c>
    </row>
    <row r="8470" spans="32:32" ht="24" customHeight="1">
      <c r="AF8470" s="908">
        <v>0</v>
      </c>
    </row>
    <row r="8471" spans="32:32" ht="24" customHeight="1">
      <c r="AF8471" s="908">
        <v>0</v>
      </c>
    </row>
    <row r="8472" spans="32:32" ht="24" customHeight="1">
      <c r="AF8472" s="908">
        <v>0</v>
      </c>
    </row>
    <row r="8473" spans="32:32" ht="24" customHeight="1">
      <c r="AF8473" s="908">
        <v>0</v>
      </c>
    </row>
    <row r="8474" spans="32:32" ht="24" customHeight="1">
      <c r="AF8474" s="908">
        <v>0</v>
      </c>
    </row>
    <row r="8475" spans="32:32" ht="24" customHeight="1">
      <c r="AF8475" s="908">
        <v>0</v>
      </c>
    </row>
    <row r="8476" spans="32:32" ht="24" customHeight="1">
      <c r="AF8476" s="908">
        <v>0</v>
      </c>
    </row>
    <row r="8477" spans="32:32" ht="24" customHeight="1">
      <c r="AF8477" s="908">
        <v>0</v>
      </c>
    </row>
    <row r="8478" spans="32:32" ht="24" customHeight="1">
      <c r="AF8478" s="908">
        <v>0</v>
      </c>
    </row>
    <row r="8479" spans="32:32" ht="24" customHeight="1">
      <c r="AF8479" s="908">
        <v>0</v>
      </c>
    </row>
    <row r="8480" spans="32:32" ht="24" customHeight="1">
      <c r="AF8480" s="908">
        <v>0</v>
      </c>
    </row>
    <row r="8481" spans="32:32" ht="24" customHeight="1">
      <c r="AF8481" s="908">
        <v>0</v>
      </c>
    </row>
    <row r="8482" spans="32:32" ht="24" customHeight="1">
      <c r="AF8482" s="908">
        <v>0</v>
      </c>
    </row>
    <row r="8483" spans="32:32" ht="24" customHeight="1">
      <c r="AF8483" s="908">
        <v>0</v>
      </c>
    </row>
    <row r="8484" spans="32:32" ht="24" customHeight="1">
      <c r="AF8484" s="908">
        <v>0</v>
      </c>
    </row>
    <row r="8485" spans="32:32" ht="24" customHeight="1">
      <c r="AF8485" s="908">
        <v>0</v>
      </c>
    </row>
    <row r="8486" spans="32:32" ht="24" customHeight="1">
      <c r="AF8486" s="908">
        <v>0</v>
      </c>
    </row>
    <row r="8487" spans="32:32" ht="24" customHeight="1">
      <c r="AF8487" s="908">
        <v>0</v>
      </c>
    </row>
    <row r="8488" spans="32:32" ht="24" customHeight="1">
      <c r="AF8488" s="908">
        <v>0</v>
      </c>
    </row>
    <row r="8489" spans="32:32" ht="24" customHeight="1">
      <c r="AF8489" s="908">
        <v>0</v>
      </c>
    </row>
    <row r="8490" spans="32:32" ht="24" customHeight="1">
      <c r="AF8490" s="908">
        <v>0</v>
      </c>
    </row>
    <row r="8491" spans="32:32" ht="24" customHeight="1">
      <c r="AF8491" s="908">
        <v>0</v>
      </c>
    </row>
    <row r="8492" spans="32:32" ht="24" customHeight="1">
      <c r="AF8492" s="908">
        <v>0</v>
      </c>
    </row>
    <row r="8493" spans="32:32" ht="24" customHeight="1">
      <c r="AF8493" s="908">
        <v>0</v>
      </c>
    </row>
    <row r="8494" spans="32:32" ht="24" customHeight="1">
      <c r="AF8494" s="908">
        <v>0</v>
      </c>
    </row>
    <row r="8495" spans="32:32" ht="24" customHeight="1">
      <c r="AF8495" s="908">
        <v>0</v>
      </c>
    </row>
    <row r="8496" spans="32:32" ht="24" customHeight="1">
      <c r="AF8496" s="908">
        <v>0</v>
      </c>
    </row>
    <row r="8497" spans="32:32" ht="24" customHeight="1">
      <c r="AF8497" s="908">
        <v>0</v>
      </c>
    </row>
    <row r="8498" spans="32:32" ht="24" customHeight="1">
      <c r="AF8498" s="908">
        <v>0</v>
      </c>
    </row>
    <row r="8499" spans="32:32" ht="24" customHeight="1">
      <c r="AF8499" s="908">
        <v>0</v>
      </c>
    </row>
    <row r="8500" spans="32:32" ht="24" customHeight="1">
      <c r="AF8500" s="908">
        <v>0</v>
      </c>
    </row>
    <row r="8501" spans="32:32" ht="24" customHeight="1">
      <c r="AF8501" s="908">
        <v>0</v>
      </c>
    </row>
    <row r="8502" spans="32:32" ht="24" customHeight="1">
      <c r="AF8502" s="908">
        <v>0</v>
      </c>
    </row>
    <row r="8503" spans="32:32" ht="24" customHeight="1">
      <c r="AF8503" s="908">
        <v>0</v>
      </c>
    </row>
    <row r="8504" spans="32:32" ht="24" customHeight="1">
      <c r="AF8504" s="908">
        <v>0</v>
      </c>
    </row>
    <row r="8505" spans="32:32" ht="24" customHeight="1">
      <c r="AF8505" s="908">
        <v>0</v>
      </c>
    </row>
    <row r="8506" spans="32:32" ht="24" customHeight="1">
      <c r="AF8506" s="908">
        <v>0</v>
      </c>
    </row>
    <row r="8507" spans="32:32" ht="24" customHeight="1">
      <c r="AF8507" s="908">
        <v>0</v>
      </c>
    </row>
    <row r="8508" spans="32:32" ht="24" customHeight="1">
      <c r="AF8508" s="908">
        <v>0</v>
      </c>
    </row>
    <row r="8509" spans="32:32" ht="24" customHeight="1">
      <c r="AF8509" s="908">
        <v>0</v>
      </c>
    </row>
    <row r="8510" spans="32:32" ht="24" customHeight="1">
      <c r="AF8510" s="908">
        <v>0</v>
      </c>
    </row>
    <row r="8511" spans="32:32" ht="24" customHeight="1">
      <c r="AF8511" s="908">
        <v>0</v>
      </c>
    </row>
    <row r="8512" spans="32:32" ht="24" customHeight="1">
      <c r="AF8512" s="908">
        <v>0</v>
      </c>
    </row>
    <row r="8513" spans="32:32" ht="24" customHeight="1">
      <c r="AF8513" s="908">
        <v>0</v>
      </c>
    </row>
    <row r="8514" spans="32:32" ht="24" customHeight="1">
      <c r="AF8514" s="908">
        <v>0</v>
      </c>
    </row>
    <row r="8515" spans="32:32" ht="24" customHeight="1">
      <c r="AF8515" s="908">
        <v>0</v>
      </c>
    </row>
    <row r="8516" spans="32:32" ht="24" customHeight="1">
      <c r="AF8516" s="908">
        <v>0</v>
      </c>
    </row>
    <row r="8517" spans="32:32" ht="24" customHeight="1">
      <c r="AF8517" s="908">
        <v>0</v>
      </c>
    </row>
    <row r="8518" spans="32:32" ht="24" customHeight="1">
      <c r="AF8518" s="908">
        <v>0</v>
      </c>
    </row>
    <row r="8519" spans="32:32" ht="24" customHeight="1">
      <c r="AF8519" s="908">
        <v>0</v>
      </c>
    </row>
    <row r="8520" spans="32:32" ht="24" customHeight="1">
      <c r="AF8520" s="908">
        <v>0</v>
      </c>
    </row>
    <row r="8521" spans="32:32" ht="24" customHeight="1">
      <c r="AF8521" s="908">
        <v>0</v>
      </c>
    </row>
    <row r="8522" spans="32:32" ht="24" customHeight="1">
      <c r="AF8522" s="908">
        <v>0</v>
      </c>
    </row>
    <row r="8523" spans="32:32" ht="24" customHeight="1">
      <c r="AF8523" s="908">
        <v>0</v>
      </c>
    </row>
    <row r="8524" spans="32:32" ht="24" customHeight="1">
      <c r="AF8524" s="908">
        <v>0</v>
      </c>
    </row>
    <row r="8525" spans="32:32" ht="24" customHeight="1">
      <c r="AF8525" s="908">
        <v>0</v>
      </c>
    </row>
    <row r="8526" spans="32:32" ht="24" customHeight="1">
      <c r="AF8526" s="908">
        <v>0</v>
      </c>
    </row>
    <row r="8527" spans="32:32" ht="24" customHeight="1">
      <c r="AF8527" s="908">
        <v>0</v>
      </c>
    </row>
    <row r="8528" spans="32:32" ht="24" customHeight="1">
      <c r="AF8528" s="908">
        <v>0</v>
      </c>
    </row>
    <row r="8529" spans="32:32" ht="24" customHeight="1">
      <c r="AF8529" s="908">
        <v>0</v>
      </c>
    </row>
    <row r="8530" spans="32:32" ht="24" customHeight="1">
      <c r="AF8530" s="908">
        <v>0</v>
      </c>
    </row>
    <row r="8531" spans="32:32" ht="24" customHeight="1">
      <c r="AF8531" s="908">
        <v>0</v>
      </c>
    </row>
    <row r="8532" spans="32:32" ht="24" customHeight="1">
      <c r="AF8532" s="908">
        <v>0</v>
      </c>
    </row>
    <row r="8533" spans="32:32" ht="24" customHeight="1">
      <c r="AF8533" s="908">
        <v>0</v>
      </c>
    </row>
    <row r="8534" spans="32:32" ht="24" customHeight="1">
      <c r="AF8534" s="908">
        <v>0</v>
      </c>
    </row>
    <row r="8535" spans="32:32" ht="24" customHeight="1">
      <c r="AF8535" s="908">
        <v>0</v>
      </c>
    </row>
    <row r="8536" spans="32:32" ht="24" customHeight="1">
      <c r="AF8536" s="908">
        <v>0</v>
      </c>
    </row>
    <row r="8537" spans="32:32" ht="24" customHeight="1">
      <c r="AF8537" s="908">
        <v>0</v>
      </c>
    </row>
    <row r="8538" spans="32:32" ht="24" customHeight="1">
      <c r="AF8538" s="908">
        <v>0</v>
      </c>
    </row>
    <row r="8539" spans="32:32" ht="24" customHeight="1">
      <c r="AF8539" s="908">
        <v>0</v>
      </c>
    </row>
    <row r="8540" spans="32:32" ht="24" customHeight="1">
      <c r="AF8540" s="908">
        <v>0</v>
      </c>
    </row>
    <row r="8541" spans="32:32" ht="24" customHeight="1">
      <c r="AF8541" s="908">
        <v>0</v>
      </c>
    </row>
    <row r="8542" spans="32:32" ht="24" customHeight="1">
      <c r="AF8542" s="908">
        <v>0</v>
      </c>
    </row>
    <row r="8543" spans="32:32" ht="24" customHeight="1">
      <c r="AF8543" s="908">
        <v>0</v>
      </c>
    </row>
    <row r="8544" spans="32:32" ht="24" customHeight="1">
      <c r="AF8544" s="908">
        <v>0</v>
      </c>
    </row>
    <row r="8545" spans="32:32" ht="24" customHeight="1">
      <c r="AF8545" s="908">
        <v>0</v>
      </c>
    </row>
    <row r="8546" spans="32:32" ht="24" customHeight="1">
      <c r="AF8546" s="908">
        <v>0</v>
      </c>
    </row>
    <row r="8547" spans="32:32" ht="24" customHeight="1">
      <c r="AF8547" s="908">
        <v>0</v>
      </c>
    </row>
    <row r="8548" spans="32:32" ht="24" customHeight="1">
      <c r="AF8548" s="908">
        <v>0</v>
      </c>
    </row>
    <row r="8549" spans="32:32" ht="24" customHeight="1">
      <c r="AF8549" s="908">
        <v>0</v>
      </c>
    </row>
    <row r="8550" spans="32:32" ht="24" customHeight="1">
      <c r="AF8550" s="908">
        <v>0</v>
      </c>
    </row>
    <row r="8551" spans="32:32" ht="24" customHeight="1">
      <c r="AF8551" s="908">
        <v>0</v>
      </c>
    </row>
    <row r="8552" spans="32:32" ht="24" customHeight="1">
      <c r="AF8552" s="908">
        <v>0</v>
      </c>
    </row>
    <row r="8553" spans="32:32" ht="24" customHeight="1">
      <c r="AF8553" s="908">
        <v>0</v>
      </c>
    </row>
    <row r="8554" spans="32:32" ht="24" customHeight="1">
      <c r="AF8554" s="908">
        <v>0</v>
      </c>
    </row>
    <row r="8555" spans="32:32" ht="24" customHeight="1">
      <c r="AF8555" s="908">
        <v>0</v>
      </c>
    </row>
    <row r="8556" spans="32:32" ht="24" customHeight="1">
      <c r="AF8556" s="908">
        <v>0</v>
      </c>
    </row>
    <row r="8557" spans="32:32" ht="24" customHeight="1">
      <c r="AF8557" s="908">
        <v>0</v>
      </c>
    </row>
    <row r="8558" spans="32:32" ht="24" customHeight="1">
      <c r="AF8558" s="908">
        <v>0</v>
      </c>
    </row>
    <row r="8559" spans="32:32" ht="24" customHeight="1">
      <c r="AF8559" s="908">
        <v>0</v>
      </c>
    </row>
    <row r="8560" spans="32:32" ht="24" customHeight="1">
      <c r="AF8560" s="908">
        <v>0</v>
      </c>
    </row>
    <row r="8561" spans="32:32" ht="24" customHeight="1">
      <c r="AF8561" s="908">
        <v>0</v>
      </c>
    </row>
    <row r="8562" spans="32:32" ht="24" customHeight="1">
      <c r="AF8562" s="908">
        <v>0</v>
      </c>
    </row>
    <row r="8563" spans="32:32" ht="24" customHeight="1">
      <c r="AF8563" s="908">
        <v>0</v>
      </c>
    </row>
    <row r="8564" spans="32:32" ht="24" customHeight="1">
      <c r="AF8564" s="908">
        <v>0</v>
      </c>
    </row>
    <row r="8565" spans="32:32" ht="24" customHeight="1">
      <c r="AF8565" s="908">
        <v>0</v>
      </c>
    </row>
    <row r="8566" spans="32:32" ht="24" customHeight="1">
      <c r="AF8566" s="908">
        <v>0</v>
      </c>
    </row>
    <row r="8567" spans="32:32" ht="24" customHeight="1">
      <c r="AF8567" s="908">
        <v>0</v>
      </c>
    </row>
    <row r="8568" spans="32:32" ht="24" customHeight="1">
      <c r="AF8568" s="908">
        <v>0</v>
      </c>
    </row>
    <row r="8569" spans="32:32" ht="24" customHeight="1">
      <c r="AF8569" s="908">
        <v>0</v>
      </c>
    </row>
    <row r="8570" spans="32:32" ht="24" customHeight="1">
      <c r="AF8570" s="908">
        <v>0</v>
      </c>
    </row>
    <row r="8571" spans="32:32" ht="24" customHeight="1">
      <c r="AF8571" s="908">
        <v>0</v>
      </c>
    </row>
    <row r="8572" spans="32:32" ht="24" customHeight="1">
      <c r="AF8572" s="908">
        <v>0</v>
      </c>
    </row>
    <row r="8573" spans="32:32" ht="24" customHeight="1">
      <c r="AF8573" s="908">
        <v>0</v>
      </c>
    </row>
    <row r="8574" spans="32:32" ht="24" customHeight="1">
      <c r="AF8574" s="908">
        <v>0</v>
      </c>
    </row>
    <row r="8575" spans="32:32" ht="24" customHeight="1">
      <c r="AF8575" s="908">
        <v>0</v>
      </c>
    </row>
    <row r="8576" spans="32:32" ht="24" customHeight="1">
      <c r="AF8576" s="908">
        <v>0</v>
      </c>
    </row>
    <row r="8577" spans="32:32" ht="24" customHeight="1">
      <c r="AF8577" s="908">
        <v>0</v>
      </c>
    </row>
    <row r="8578" spans="32:32" ht="24" customHeight="1">
      <c r="AF8578" s="908">
        <v>0</v>
      </c>
    </row>
    <row r="8579" spans="32:32" ht="24" customHeight="1">
      <c r="AF8579" s="908">
        <v>0</v>
      </c>
    </row>
    <row r="8580" spans="32:32" ht="24" customHeight="1">
      <c r="AF8580" s="908">
        <v>0</v>
      </c>
    </row>
    <row r="8581" spans="32:32" ht="24" customHeight="1">
      <c r="AF8581" s="908">
        <v>0</v>
      </c>
    </row>
    <row r="8582" spans="32:32" ht="24" customHeight="1">
      <c r="AF8582" s="908">
        <v>0</v>
      </c>
    </row>
    <row r="8583" spans="32:32" ht="24" customHeight="1">
      <c r="AF8583" s="908">
        <v>0</v>
      </c>
    </row>
    <row r="8584" spans="32:32" ht="24" customHeight="1">
      <c r="AF8584" s="908">
        <v>0</v>
      </c>
    </row>
    <row r="8585" spans="32:32" ht="24" customHeight="1">
      <c r="AF8585" s="908">
        <v>0</v>
      </c>
    </row>
    <row r="8586" spans="32:32" ht="24" customHeight="1">
      <c r="AF8586" s="908">
        <v>0</v>
      </c>
    </row>
    <row r="8587" spans="32:32" ht="24" customHeight="1">
      <c r="AF8587" s="908">
        <v>0</v>
      </c>
    </row>
    <row r="8588" spans="32:32" ht="24" customHeight="1">
      <c r="AF8588" s="908">
        <v>0</v>
      </c>
    </row>
    <row r="8589" spans="32:32" ht="24" customHeight="1">
      <c r="AF8589" s="908">
        <v>0</v>
      </c>
    </row>
    <row r="8590" spans="32:32" ht="24" customHeight="1">
      <c r="AF8590" s="908">
        <v>0</v>
      </c>
    </row>
    <row r="8591" spans="32:32" ht="24" customHeight="1">
      <c r="AF8591" s="908">
        <v>0</v>
      </c>
    </row>
    <row r="8592" spans="32:32" ht="24" customHeight="1">
      <c r="AF8592" s="908">
        <v>0</v>
      </c>
    </row>
    <row r="8593" spans="32:32" ht="24" customHeight="1">
      <c r="AF8593" s="908">
        <v>0</v>
      </c>
    </row>
    <row r="8594" spans="32:32" ht="24" customHeight="1">
      <c r="AF8594" s="908">
        <v>0</v>
      </c>
    </row>
    <row r="8595" spans="32:32" ht="24" customHeight="1">
      <c r="AF8595" s="908">
        <v>0</v>
      </c>
    </row>
    <row r="8596" spans="32:32" ht="24" customHeight="1">
      <c r="AF8596" s="908">
        <v>0</v>
      </c>
    </row>
    <row r="8597" spans="32:32" ht="24" customHeight="1">
      <c r="AF8597" s="908">
        <v>0</v>
      </c>
    </row>
    <row r="8598" spans="32:32" ht="24" customHeight="1">
      <c r="AF8598" s="908">
        <v>0</v>
      </c>
    </row>
    <row r="8599" spans="32:32" ht="24" customHeight="1">
      <c r="AF8599" s="908">
        <v>0</v>
      </c>
    </row>
    <row r="8600" spans="32:32" ht="24" customHeight="1">
      <c r="AF8600" s="908">
        <v>0</v>
      </c>
    </row>
    <row r="8601" spans="32:32" ht="24" customHeight="1">
      <c r="AF8601" s="908">
        <v>0</v>
      </c>
    </row>
    <row r="8602" spans="32:32" ht="24" customHeight="1">
      <c r="AF8602" s="908">
        <v>0</v>
      </c>
    </row>
    <row r="8603" spans="32:32" ht="24" customHeight="1">
      <c r="AF8603" s="908">
        <v>0</v>
      </c>
    </row>
    <row r="8604" spans="32:32" ht="24" customHeight="1">
      <c r="AF8604" s="908">
        <v>0</v>
      </c>
    </row>
    <row r="8605" spans="32:32" ht="24" customHeight="1">
      <c r="AF8605" s="908">
        <v>0</v>
      </c>
    </row>
    <row r="8606" spans="32:32" ht="24" customHeight="1">
      <c r="AF8606" s="908">
        <v>0</v>
      </c>
    </row>
    <row r="8607" spans="32:32" ht="24" customHeight="1">
      <c r="AF8607" s="908">
        <v>0</v>
      </c>
    </row>
    <row r="8608" spans="32:32" ht="24" customHeight="1">
      <c r="AF8608" s="908">
        <v>0</v>
      </c>
    </row>
    <row r="8609" spans="32:32" ht="24" customHeight="1">
      <c r="AF8609" s="908">
        <v>0</v>
      </c>
    </row>
    <row r="8610" spans="32:32" ht="24" customHeight="1">
      <c r="AF8610" s="908">
        <v>0</v>
      </c>
    </row>
    <row r="8611" spans="32:32" ht="24" customHeight="1">
      <c r="AF8611" s="908">
        <v>0</v>
      </c>
    </row>
    <row r="8612" spans="32:32" ht="24" customHeight="1">
      <c r="AF8612" s="908">
        <v>0</v>
      </c>
    </row>
    <row r="8613" spans="32:32" ht="24" customHeight="1">
      <c r="AF8613" s="908">
        <v>0</v>
      </c>
    </row>
    <row r="8614" spans="32:32" ht="24" customHeight="1">
      <c r="AF8614" s="908">
        <v>0</v>
      </c>
    </row>
    <row r="8615" spans="32:32" ht="24" customHeight="1">
      <c r="AF8615" s="908">
        <v>0</v>
      </c>
    </row>
    <row r="8616" spans="32:32" ht="24" customHeight="1">
      <c r="AF8616" s="908">
        <v>0</v>
      </c>
    </row>
    <row r="8617" spans="32:32" ht="24" customHeight="1">
      <c r="AF8617" s="908">
        <v>0</v>
      </c>
    </row>
    <row r="8618" spans="32:32" ht="24" customHeight="1">
      <c r="AF8618" s="908">
        <v>0</v>
      </c>
    </row>
    <row r="8619" spans="32:32" ht="24" customHeight="1">
      <c r="AF8619" s="908">
        <v>0</v>
      </c>
    </row>
    <row r="8620" spans="32:32" ht="24" customHeight="1">
      <c r="AF8620" s="908">
        <v>0</v>
      </c>
    </row>
    <row r="8621" spans="32:32" ht="24" customHeight="1">
      <c r="AF8621" s="908">
        <v>0</v>
      </c>
    </row>
    <row r="8622" spans="32:32" ht="24" customHeight="1">
      <c r="AF8622" s="908">
        <v>0</v>
      </c>
    </row>
    <row r="8623" spans="32:32" ht="24" customHeight="1">
      <c r="AF8623" s="908">
        <v>0</v>
      </c>
    </row>
    <row r="8624" spans="32:32" ht="24" customHeight="1">
      <c r="AF8624" s="908">
        <v>0</v>
      </c>
    </row>
    <row r="8625" spans="32:32" ht="24" customHeight="1">
      <c r="AF8625" s="908">
        <v>0</v>
      </c>
    </row>
    <row r="8626" spans="32:32" ht="24" customHeight="1">
      <c r="AF8626" s="908">
        <v>0</v>
      </c>
    </row>
    <row r="8627" spans="32:32" ht="24" customHeight="1">
      <c r="AF8627" s="908">
        <v>0</v>
      </c>
    </row>
    <row r="8628" spans="32:32" ht="24" customHeight="1">
      <c r="AF8628" s="908">
        <v>0</v>
      </c>
    </row>
    <row r="8629" spans="32:32" ht="24" customHeight="1">
      <c r="AF8629" s="908">
        <v>0</v>
      </c>
    </row>
    <row r="8630" spans="32:32" ht="24" customHeight="1">
      <c r="AF8630" s="908">
        <v>0</v>
      </c>
    </row>
    <row r="8631" spans="32:32" ht="24" customHeight="1">
      <c r="AF8631" s="908">
        <v>0</v>
      </c>
    </row>
    <row r="8632" spans="32:32" ht="24" customHeight="1">
      <c r="AF8632" s="908">
        <v>0</v>
      </c>
    </row>
    <row r="8633" spans="32:32" ht="24" customHeight="1">
      <c r="AF8633" s="908">
        <v>0</v>
      </c>
    </row>
    <row r="8634" spans="32:32" ht="24" customHeight="1">
      <c r="AF8634" s="908">
        <v>0</v>
      </c>
    </row>
    <row r="8635" spans="32:32" ht="24" customHeight="1">
      <c r="AF8635" s="908">
        <v>0</v>
      </c>
    </row>
    <row r="8636" spans="32:32" ht="24" customHeight="1">
      <c r="AF8636" s="908">
        <v>0</v>
      </c>
    </row>
    <row r="8637" spans="32:32" ht="24" customHeight="1">
      <c r="AF8637" s="908">
        <v>0</v>
      </c>
    </row>
    <row r="8638" spans="32:32" ht="24" customHeight="1">
      <c r="AF8638" s="908">
        <v>0</v>
      </c>
    </row>
    <row r="8639" spans="32:32" ht="24" customHeight="1">
      <c r="AF8639" s="908">
        <v>0</v>
      </c>
    </row>
    <row r="8640" spans="32:32" ht="24" customHeight="1">
      <c r="AF8640" s="908">
        <v>0</v>
      </c>
    </row>
    <row r="8641" spans="32:32" ht="24" customHeight="1">
      <c r="AF8641" s="908">
        <v>0</v>
      </c>
    </row>
    <row r="8642" spans="32:32" ht="24" customHeight="1">
      <c r="AF8642" s="908">
        <v>0</v>
      </c>
    </row>
    <row r="8643" spans="32:32" ht="24" customHeight="1">
      <c r="AF8643" s="908">
        <v>0</v>
      </c>
    </row>
    <row r="8644" spans="32:32" ht="24" customHeight="1">
      <c r="AF8644" s="908">
        <v>0</v>
      </c>
    </row>
    <row r="8645" spans="32:32" ht="24" customHeight="1">
      <c r="AF8645" s="908">
        <v>0</v>
      </c>
    </row>
    <row r="8646" spans="32:32" ht="24" customHeight="1">
      <c r="AF8646" s="908">
        <v>0</v>
      </c>
    </row>
    <row r="8647" spans="32:32" ht="24" customHeight="1">
      <c r="AF8647" s="908">
        <v>0</v>
      </c>
    </row>
    <row r="8648" spans="32:32" ht="24" customHeight="1">
      <c r="AF8648" s="908">
        <v>0</v>
      </c>
    </row>
    <row r="8649" spans="32:32" ht="24" customHeight="1">
      <c r="AF8649" s="908">
        <v>0</v>
      </c>
    </row>
    <row r="8650" spans="32:32" ht="24" customHeight="1">
      <c r="AF8650" s="908">
        <v>0</v>
      </c>
    </row>
    <row r="8651" spans="32:32" ht="24" customHeight="1">
      <c r="AF8651" s="908">
        <v>0</v>
      </c>
    </row>
    <row r="8652" spans="32:32" ht="24" customHeight="1">
      <c r="AF8652" s="908">
        <v>0</v>
      </c>
    </row>
    <row r="8653" spans="32:32" ht="24" customHeight="1">
      <c r="AF8653" s="908">
        <v>0</v>
      </c>
    </row>
    <row r="8654" spans="32:32" ht="24" customHeight="1">
      <c r="AF8654" s="908">
        <v>0</v>
      </c>
    </row>
    <row r="8655" spans="32:32" ht="24" customHeight="1">
      <c r="AF8655" s="908">
        <v>0</v>
      </c>
    </row>
    <row r="8656" spans="32:32" ht="24" customHeight="1">
      <c r="AF8656" s="908">
        <v>0</v>
      </c>
    </row>
    <row r="8657" spans="32:32" ht="24" customHeight="1">
      <c r="AF8657" s="908">
        <v>0</v>
      </c>
    </row>
    <row r="8658" spans="32:32" ht="24" customHeight="1">
      <c r="AF8658" s="908">
        <v>0</v>
      </c>
    </row>
    <row r="8659" spans="32:32" ht="24" customHeight="1">
      <c r="AF8659" s="908">
        <v>0</v>
      </c>
    </row>
    <row r="8660" spans="32:32" ht="24" customHeight="1">
      <c r="AF8660" s="908">
        <v>0</v>
      </c>
    </row>
    <row r="8661" spans="32:32" ht="24" customHeight="1">
      <c r="AF8661" s="908">
        <v>0</v>
      </c>
    </row>
    <row r="8662" spans="32:32" ht="24" customHeight="1">
      <c r="AF8662" s="908">
        <v>0</v>
      </c>
    </row>
    <row r="8663" spans="32:32" ht="24" customHeight="1">
      <c r="AF8663" s="908">
        <v>0</v>
      </c>
    </row>
    <row r="8664" spans="32:32" ht="24" customHeight="1">
      <c r="AF8664" s="908">
        <v>0</v>
      </c>
    </row>
    <row r="8665" spans="32:32" ht="24" customHeight="1">
      <c r="AF8665" s="908">
        <v>0</v>
      </c>
    </row>
    <row r="8666" spans="32:32" ht="24" customHeight="1">
      <c r="AF8666" s="908">
        <v>0</v>
      </c>
    </row>
    <row r="8667" spans="32:32" ht="24" customHeight="1">
      <c r="AF8667" s="908">
        <v>0</v>
      </c>
    </row>
    <row r="8668" spans="32:32" ht="24" customHeight="1">
      <c r="AF8668" s="908">
        <v>0</v>
      </c>
    </row>
    <row r="8669" spans="32:32" ht="24" customHeight="1">
      <c r="AF8669" s="908">
        <v>0</v>
      </c>
    </row>
    <row r="8670" spans="32:32" ht="24" customHeight="1">
      <c r="AF8670" s="908">
        <v>0</v>
      </c>
    </row>
    <row r="8671" spans="32:32" ht="24" customHeight="1">
      <c r="AF8671" s="908">
        <v>0</v>
      </c>
    </row>
    <row r="8672" spans="32:32" ht="24" customHeight="1">
      <c r="AF8672" s="908">
        <v>0</v>
      </c>
    </row>
    <row r="8673" spans="32:32" ht="24" customHeight="1">
      <c r="AF8673" s="908">
        <v>0</v>
      </c>
    </row>
    <row r="8674" spans="32:32" ht="24" customHeight="1">
      <c r="AF8674" s="908">
        <v>0</v>
      </c>
    </row>
    <row r="8675" spans="32:32" ht="24" customHeight="1">
      <c r="AF8675" s="908">
        <v>0</v>
      </c>
    </row>
    <row r="8676" spans="32:32" ht="24" customHeight="1">
      <c r="AF8676" s="908">
        <v>0</v>
      </c>
    </row>
    <row r="8677" spans="32:32" ht="24" customHeight="1">
      <c r="AF8677" s="908">
        <v>0</v>
      </c>
    </row>
    <row r="8678" spans="32:32" ht="24" customHeight="1">
      <c r="AF8678" s="908">
        <v>0</v>
      </c>
    </row>
    <row r="8679" spans="32:32" ht="24" customHeight="1">
      <c r="AF8679" s="908">
        <v>0</v>
      </c>
    </row>
    <row r="8680" spans="32:32" ht="24" customHeight="1">
      <c r="AF8680" s="908">
        <v>0</v>
      </c>
    </row>
    <row r="8681" spans="32:32" ht="24" customHeight="1">
      <c r="AF8681" s="908">
        <v>0</v>
      </c>
    </row>
    <row r="8682" spans="32:32" ht="24" customHeight="1">
      <c r="AF8682" s="908">
        <v>0</v>
      </c>
    </row>
    <row r="8683" spans="32:32" ht="24" customHeight="1">
      <c r="AF8683" s="908">
        <v>0</v>
      </c>
    </row>
    <row r="8684" spans="32:32" ht="24" customHeight="1">
      <c r="AF8684" s="908">
        <v>0</v>
      </c>
    </row>
    <row r="8685" spans="32:32" ht="24" customHeight="1">
      <c r="AF8685" s="908">
        <v>0</v>
      </c>
    </row>
    <row r="8686" spans="32:32" ht="24" customHeight="1">
      <c r="AF8686" s="908">
        <v>0</v>
      </c>
    </row>
    <row r="8687" spans="32:32" ht="24" customHeight="1">
      <c r="AF8687" s="908">
        <v>0</v>
      </c>
    </row>
    <row r="8688" spans="32:32" ht="24" customHeight="1">
      <c r="AF8688" s="908">
        <v>0</v>
      </c>
    </row>
    <row r="8689" spans="32:32" ht="24" customHeight="1">
      <c r="AF8689" s="908">
        <v>0</v>
      </c>
    </row>
    <row r="8690" spans="32:32" ht="24" customHeight="1">
      <c r="AF8690" s="908">
        <v>0</v>
      </c>
    </row>
    <row r="8691" spans="32:32" ht="24" customHeight="1">
      <c r="AF8691" s="908">
        <v>0</v>
      </c>
    </row>
    <row r="8692" spans="32:32" ht="24" customHeight="1">
      <c r="AF8692" s="908">
        <v>0</v>
      </c>
    </row>
    <row r="8693" spans="32:32" ht="24" customHeight="1">
      <c r="AF8693" s="908">
        <v>0</v>
      </c>
    </row>
    <row r="8694" spans="32:32" ht="24" customHeight="1">
      <c r="AF8694" s="908">
        <v>0</v>
      </c>
    </row>
    <row r="8695" spans="32:32" ht="24" customHeight="1">
      <c r="AF8695" s="908">
        <v>0</v>
      </c>
    </row>
    <row r="8696" spans="32:32" ht="24" customHeight="1">
      <c r="AF8696" s="908">
        <v>0</v>
      </c>
    </row>
    <row r="8697" spans="32:32" ht="24" customHeight="1">
      <c r="AF8697" s="908">
        <v>0</v>
      </c>
    </row>
    <row r="8698" spans="32:32" ht="24" customHeight="1">
      <c r="AF8698" s="908">
        <v>0</v>
      </c>
    </row>
    <row r="8699" spans="32:32" ht="24" customHeight="1">
      <c r="AF8699" s="908">
        <v>0</v>
      </c>
    </row>
    <row r="8700" spans="32:32" ht="24" customHeight="1">
      <c r="AF8700" s="908">
        <v>0</v>
      </c>
    </row>
    <row r="8701" spans="32:32" ht="24" customHeight="1">
      <c r="AF8701" s="908">
        <v>0</v>
      </c>
    </row>
    <row r="8702" spans="32:32" ht="24" customHeight="1">
      <c r="AF8702" s="908">
        <v>0</v>
      </c>
    </row>
    <row r="8703" spans="32:32" ht="24" customHeight="1">
      <c r="AF8703" s="908">
        <v>0</v>
      </c>
    </row>
    <row r="8704" spans="32:32" ht="24" customHeight="1">
      <c r="AF8704" s="908">
        <v>0</v>
      </c>
    </row>
    <row r="8705" spans="32:32" ht="24" customHeight="1">
      <c r="AF8705" s="908">
        <v>0</v>
      </c>
    </row>
    <row r="8706" spans="32:32" ht="24" customHeight="1">
      <c r="AF8706" s="908">
        <v>0</v>
      </c>
    </row>
    <row r="8707" spans="32:32" ht="24" customHeight="1">
      <c r="AF8707" s="908">
        <v>0</v>
      </c>
    </row>
    <row r="8708" spans="32:32" ht="24" customHeight="1">
      <c r="AF8708" s="908">
        <v>0</v>
      </c>
    </row>
    <row r="8709" spans="32:32" ht="24" customHeight="1">
      <c r="AF8709" s="908">
        <v>0</v>
      </c>
    </row>
    <row r="8710" spans="32:32" ht="24" customHeight="1">
      <c r="AF8710" s="908">
        <v>0</v>
      </c>
    </row>
    <row r="8711" spans="32:32" ht="24" customHeight="1">
      <c r="AF8711" s="908">
        <v>0</v>
      </c>
    </row>
    <row r="8712" spans="32:32" ht="24" customHeight="1">
      <c r="AF8712" s="908">
        <v>0</v>
      </c>
    </row>
    <row r="8713" spans="32:32" ht="24" customHeight="1">
      <c r="AF8713" s="908">
        <v>0</v>
      </c>
    </row>
    <row r="8714" spans="32:32" ht="24" customHeight="1">
      <c r="AF8714" s="908">
        <v>0</v>
      </c>
    </row>
    <row r="8715" spans="32:32" ht="24" customHeight="1">
      <c r="AF8715" s="908">
        <v>0</v>
      </c>
    </row>
    <row r="8716" spans="32:32" ht="24" customHeight="1">
      <c r="AF8716" s="908">
        <v>0</v>
      </c>
    </row>
    <row r="8717" spans="32:32" ht="24" customHeight="1">
      <c r="AF8717" s="908">
        <v>0</v>
      </c>
    </row>
    <row r="8718" spans="32:32" ht="24" customHeight="1">
      <c r="AF8718" s="908">
        <v>0</v>
      </c>
    </row>
    <row r="8719" spans="32:32" ht="24" customHeight="1">
      <c r="AF8719" s="908">
        <v>0</v>
      </c>
    </row>
    <row r="8720" spans="32:32" ht="24" customHeight="1">
      <c r="AF8720" s="908">
        <v>0</v>
      </c>
    </row>
    <row r="8721" spans="32:32" ht="24" customHeight="1">
      <c r="AF8721" s="908">
        <v>0</v>
      </c>
    </row>
    <row r="8722" spans="32:32" ht="24" customHeight="1">
      <c r="AF8722" s="908">
        <v>0</v>
      </c>
    </row>
    <row r="8723" spans="32:32" ht="24" customHeight="1">
      <c r="AF8723" s="908">
        <v>0</v>
      </c>
    </row>
    <row r="8724" spans="32:32" ht="24" customHeight="1">
      <c r="AF8724" s="908">
        <v>0</v>
      </c>
    </row>
    <row r="8725" spans="32:32" ht="24" customHeight="1">
      <c r="AF8725" s="908">
        <v>0</v>
      </c>
    </row>
    <row r="8726" spans="32:32" ht="24" customHeight="1">
      <c r="AF8726" s="908">
        <v>0</v>
      </c>
    </row>
    <row r="8727" spans="32:32" ht="24" customHeight="1">
      <c r="AF8727" s="908">
        <v>0</v>
      </c>
    </row>
    <row r="8728" spans="32:32" ht="24" customHeight="1">
      <c r="AF8728" s="908">
        <v>0</v>
      </c>
    </row>
    <row r="8729" spans="32:32" ht="24" customHeight="1">
      <c r="AF8729" s="908">
        <v>0</v>
      </c>
    </row>
    <row r="8730" spans="32:32" ht="24" customHeight="1">
      <c r="AF8730" s="908">
        <v>0</v>
      </c>
    </row>
    <row r="8731" spans="32:32" ht="24" customHeight="1">
      <c r="AF8731" s="908">
        <v>0</v>
      </c>
    </row>
    <row r="8732" spans="32:32" ht="24" customHeight="1">
      <c r="AF8732" s="908">
        <v>0</v>
      </c>
    </row>
    <row r="8733" spans="32:32" ht="24" customHeight="1">
      <c r="AF8733" s="908">
        <v>0</v>
      </c>
    </row>
    <row r="8734" spans="32:32" ht="24" customHeight="1">
      <c r="AF8734" s="908">
        <v>0</v>
      </c>
    </row>
    <row r="8735" spans="32:32" ht="24" customHeight="1">
      <c r="AF8735" s="908">
        <v>0</v>
      </c>
    </row>
    <row r="8736" spans="32:32" ht="24" customHeight="1">
      <c r="AF8736" s="908">
        <v>0</v>
      </c>
    </row>
    <row r="8737" spans="32:32" ht="24" customHeight="1">
      <c r="AF8737" s="908">
        <v>0</v>
      </c>
    </row>
    <row r="8738" spans="32:32" ht="24" customHeight="1">
      <c r="AF8738" s="908">
        <v>0</v>
      </c>
    </row>
    <row r="8739" spans="32:32" ht="24" customHeight="1">
      <c r="AF8739" s="908">
        <v>0</v>
      </c>
    </row>
    <row r="8740" spans="32:32" ht="24" customHeight="1">
      <c r="AF8740" s="908">
        <v>0</v>
      </c>
    </row>
    <row r="8741" spans="32:32" ht="24" customHeight="1">
      <c r="AF8741" s="908">
        <v>0</v>
      </c>
    </row>
    <row r="8742" spans="32:32" ht="24" customHeight="1">
      <c r="AF8742" s="908">
        <v>0</v>
      </c>
    </row>
    <row r="8743" spans="32:32" ht="24" customHeight="1">
      <c r="AF8743" s="908">
        <v>0</v>
      </c>
    </row>
    <row r="8744" spans="32:32" ht="24" customHeight="1">
      <c r="AF8744" s="908">
        <v>0</v>
      </c>
    </row>
    <row r="8745" spans="32:32" ht="24" customHeight="1">
      <c r="AF8745" s="908">
        <v>0</v>
      </c>
    </row>
    <row r="8746" spans="32:32" ht="24" customHeight="1">
      <c r="AF8746" s="908">
        <v>0</v>
      </c>
    </row>
    <row r="8747" spans="32:32" ht="24" customHeight="1">
      <c r="AF8747" s="908">
        <v>0</v>
      </c>
    </row>
    <row r="8748" spans="32:32" ht="24" customHeight="1">
      <c r="AF8748" s="908">
        <v>0</v>
      </c>
    </row>
    <row r="8749" spans="32:32" ht="24" customHeight="1">
      <c r="AF8749" s="908">
        <v>0</v>
      </c>
    </row>
    <row r="8750" spans="32:32" ht="24" customHeight="1">
      <c r="AF8750" s="908">
        <v>0</v>
      </c>
    </row>
    <row r="8751" spans="32:32" ht="24" customHeight="1">
      <c r="AF8751" s="908">
        <v>0</v>
      </c>
    </row>
    <row r="8752" spans="32:32" ht="24" customHeight="1">
      <c r="AF8752" s="908">
        <v>0</v>
      </c>
    </row>
    <row r="8753" spans="32:32" ht="24" customHeight="1">
      <c r="AF8753" s="908">
        <v>0</v>
      </c>
    </row>
    <row r="8754" spans="32:32" ht="24" customHeight="1">
      <c r="AF8754" s="908">
        <v>0</v>
      </c>
    </row>
    <row r="8755" spans="32:32" ht="24" customHeight="1">
      <c r="AF8755" s="908">
        <v>0</v>
      </c>
    </row>
    <row r="8756" spans="32:32" ht="24" customHeight="1">
      <c r="AF8756" s="908">
        <v>0</v>
      </c>
    </row>
    <row r="8757" spans="32:32" ht="24" customHeight="1">
      <c r="AF8757" s="908">
        <v>0</v>
      </c>
    </row>
    <row r="8758" spans="32:32" ht="24" customHeight="1">
      <c r="AF8758" s="908">
        <v>0</v>
      </c>
    </row>
    <row r="8759" spans="32:32" ht="24" customHeight="1">
      <c r="AF8759" s="908">
        <v>0</v>
      </c>
    </row>
    <row r="8760" spans="32:32" ht="24" customHeight="1">
      <c r="AF8760" s="908">
        <v>0</v>
      </c>
    </row>
    <row r="8761" spans="32:32" ht="24" customHeight="1">
      <c r="AF8761" s="908">
        <v>0</v>
      </c>
    </row>
    <row r="8762" spans="32:32" ht="24" customHeight="1">
      <c r="AF8762" s="908">
        <v>0</v>
      </c>
    </row>
    <row r="8763" spans="32:32" ht="24" customHeight="1">
      <c r="AF8763" s="908">
        <v>0</v>
      </c>
    </row>
    <row r="8764" spans="32:32" ht="24" customHeight="1">
      <c r="AF8764" s="908">
        <v>0</v>
      </c>
    </row>
    <row r="8765" spans="32:32" ht="24" customHeight="1">
      <c r="AF8765" s="908">
        <v>0</v>
      </c>
    </row>
    <row r="8766" spans="32:32" ht="24" customHeight="1">
      <c r="AF8766" s="908">
        <v>0</v>
      </c>
    </row>
    <row r="8767" spans="32:32" ht="24" customHeight="1">
      <c r="AF8767" s="908">
        <v>0</v>
      </c>
    </row>
    <row r="8768" spans="32:32" ht="24" customHeight="1">
      <c r="AF8768" s="908">
        <v>0</v>
      </c>
    </row>
    <row r="8769" spans="32:32" ht="24" customHeight="1">
      <c r="AF8769" s="908">
        <v>0</v>
      </c>
    </row>
    <row r="8770" spans="32:32" ht="24" customHeight="1">
      <c r="AF8770" s="908">
        <v>0</v>
      </c>
    </row>
    <row r="8771" spans="32:32" ht="24" customHeight="1">
      <c r="AF8771" s="908">
        <v>0</v>
      </c>
    </row>
    <row r="8772" spans="32:32" ht="24" customHeight="1">
      <c r="AF8772" s="908">
        <v>0</v>
      </c>
    </row>
    <row r="8773" spans="32:32" ht="24" customHeight="1">
      <c r="AF8773" s="908">
        <v>0</v>
      </c>
    </row>
    <row r="8774" spans="32:32" ht="24" customHeight="1">
      <c r="AF8774" s="908">
        <v>0</v>
      </c>
    </row>
    <row r="8775" spans="32:32" ht="24" customHeight="1">
      <c r="AF8775" s="908">
        <v>0</v>
      </c>
    </row>
    <row r="8776" spans="32:32" ht="24" customHeight="1">
      <c r="AF8776" s="908">
        <v>0</v>
      </c>
    </row>
    <row r="8777" spans="32:32" ht="24" customHeight="1">
      <c r="AF8777" s="908">
        <v>0</v>
      </c>
    </row>
    <row r="8778" spans="32:32" ht="24" customHeight="1">
      <c r="AF8778" s="908">
        <v>0</v>
      </c>
    </row>
    <row r="8779" spans="32:32" ht="24" customHeight="1">
      <c r="AF8779" s="908">
        <v>0</v>
      </c>
    </row>
    <row r="8780" spans="32:32" ht="24" customHeight="1">
      <c r="AF8780" s="908">
        <v>0</v>
      </c>
    </row>
    <row r="8781" spans="32:32" ht="24" customHeight="1">
      <c r="AF8781" s="908">
        <v>0</v>
      </c>
    </row>
    <row r="8782" spans="32:32" ht="24" customHeight="1">
      <c r="AF8782" s="908">
        <v>0</v>
      </c>
    </row>
    <row r="8783" spans="32:32" ht="24" customHeight="1">
      <c r="AF8783" s="908">
        <v>0</v>
      </c>
    </row>
    <row r="8784" spans="32:32" ht="24" customHeight="1">
      <c r="AF8784" s="908">
        <v>0</v>
      </c>
    </row>
    <row r="8785" spans="32:32" ht="24" customHeight="1">
      <c r="AF8785" s="908">
        <v>0</v>
      </c>
    </row>
    <row r="8786" spans="32:32" ht="24" customHeight="1">
      <c r="AF8786" s="908">
        <v>0</v>
      </c>
    </row>
    <row r="8787" spans="32:32" ht="24" customHeight="1">
      <c r="AF8787" s="908">
        <v>0</v>
      </c>
    </row>
    <row r="8788" spans="32:32" ht="24" customHeight="1">
      <c r="AF8788" s="908">
        <v>0</v>
      </c>
    </row>
    <row r="8789" spans="32:32" ht="24" customHeight="1">
      <c r="AF8789" s="908">
        <v>0</v>
      </c>
    </row>
    <row r="8790" spans="32:32" ht="24" customHeight="1">
      <c r="AF8790" s="908">
        <v>0</v>
      </c>
    </row>
    <row r="8791" spans="32:32" ht="24" customHeight="1">
      <c r="AF8791" s="908">
        <v>0</v>
      </c>
    </row>
    <row r="8792" spans="32:32" ht="24" customHeight="1">
      <c r="AF8792" s="908">
        <v>0</v>
      </c>
    </row>
    <row r="8793" spans="32:32" ht="24" customHeight="1">
      <c r="AF8793" s="908">
        <v>0</v>
      </c>
    </row>
    <row r="8794" spans="32:32" ht="24" customHeight="1">
      <c r="AF8794" s="908">
        <v>0</v>
      </c>
    </row>
    <row r="8795" spans="32:32" ht="24" customHeight="1">
      <c r="AF8795" s="908">
        <v>0</v>
      </c>
    </row>
    <row r="8796" spans="32:32" ht="24" customHeight="1">
      <c r="AF8796" s="908">
        <v>0</v>
      </c>
    </row>
    <row r="8797" spans="32:32" ht="24" customHeight="1">
      <c r="AF8797" s="908">
        <v>0</v>
      </c>
    </row>
    <row r="8798" spans="32:32" ht="24" customHeight="1">
      <c r="AF8798" s="908">
        <v>0</v>
      </c>
    </row>
    <row r="8799" spans="32:32" ht="24" customHeight="1">
      <c r="AF8799" s="908">
        <v>0</v>
      </c>
    </row>
    <row r="8800" spans="32:32" ht="24" customHeight="1">
      <c r="AF8800" s="908">
        <v>0</v>
      </c>
    </row>
    <row r="8801" spans="32:32" ht="24" customHeight="1">
      <c r="AF8801" s="908">
        <v>0</v>
      </c>
    </row>
    <row r="8802" spans="32:32" ht="24" customHeight="1">
      <c r="AF8802" s="908">
        <v>0</v>
      </c>
    </row>
    <row r="8803" spans="32:32" ht="24" customHeight="1">
      <c r="AF8803" s="908">
        <v>0</v>
      </c>
    </row>
    <row r="8804" spans="32:32" ht="24" customHeight="1">
      <c r="AF8804" s="908">
        <v>0</v>
      </c>
    </row>
    <row r="8805" spans="32:32" ht="24" customHeight="1">
      <c r="AF8805" s="908">
        <v>0</v>
      </c>
    </row>
    <row r="8806" spans="32:32" ht="24" customHeight="1">
      <c r="AF8806" s="908">
        <v>0</v>
      </c>
    </row>
    <row r="8807" spans="32:32" ht="24" customHeight="1">
      <c r="AF8807" s="908">
        <v>0</v>
      </c>
    </row>
    <row r="8808" spans="32:32" ht="24" customHeight="1">
      <c r="AF8808" s="908">
        <v>0</v>
      </c>
    </row>
    <row r="8809" spans="32:32" ht="24" customHeight="1">
      <c r="AF8809" s="908">
        <v>0</v>
      </c>
    </row>
    <row r="8810" spans="32:32" ht="24" customHeight="1">
      <c r="AF8810" s="908">
        <v>0</v>
      </c>
    </row>
    <row r="8811" spans="32:32" ht="24" customHeight="1">
      <c r="AF8811" s="908">
        <v>0</v>
      </c>
    </row>
    <row r="8812" spans="32:32" ht="24" customHeight="1">
      <c r="AF8812" s="908">
        <v>0</v>
      </c>
    </row>
    <row r="8813" spans="32:32" ht="24" customHeight="1">
      <c r="AF8813" s="908">
        <v>0</v>
      </c>
    </row>
    <row r="8814" spans="32:32" ht="24" customHeight="1">
      <c r="AF8814" s="908">
        <v>0</v>
      </c>
    </row>
    <row r="8815" spans="32:32" ht="24" customHeight="1">
      <c r="AF8815" s="908">
        <v>0</v>
      </c>
    </row>
    <row r="8816" spans="32:32" ht="24" customHeight="1">
      <c r="AF8816" s="908">
        <v>0</v>
      </c>
    </row>
    <row r="8817" spans="32:32" ht="24" customHeight="1">
      <c r="AF8817" s="908">
        <v>0</v>
      </c>
    </row>
    <row r="8818" spans="32:32" ht="24" customHeight="1">
      <c r="AF8818" s="908">
        <v>0</v>
      </c>
    </row>
    <row r="8819" spans="32:32" ht="24" customHeight="1">
      <c r="AF8819" s="908">
        <v>0</v>
      </c>
    </row>
    <row r="8820" spans="32:32" ht="24" customHeight="1">
      <c r="AF8820" s="908">
        <v>0</v>
      </c>
    </row>
    <row r="8821" spans="32:32" ht="24" customHeight="1">
      <c r="AF8821" s="908">
        <v>0</v>
      </c>
    </row>
    <row r="8822" spans="32:32" ht="24" customHeight="1">
      <c r="AF8822" s="908">
        <v>0</v>
      </c>
    </row>
    <row r="8823" spans="32:32" ht="24" customHeight="1">
      <c r="AF8823" s="908">
        <v>0</v>
      </c>
    </row>
    <row r="8824" spans="32:32" ht="24" customHeight="1">
      <c r="AF8824" s="908">
        <v>0</v>
      </c>
    </row>
    <row r="8825" spans="32:32" ht="24" customHeight="1">
      <c r="AF8825" s="908">
        <v>0</v>
      </c>
    </row>
    <row r="8826" spans="32:32" ht="24" customHeight="1">
      <c r="AF8826" s="908">
        <v>0</v>
      </c>
    </row>
    <row r="8827" spans="32:32" ht="24" customHeight="1">
      <c r="AF8827" s="908">
        <v>0</v>
      </c>
    </row>
    <row r="8828" spans="32:32" ht="24" customHeight="1">
      <c r="AF8828" s="908">
        <v>0</v>
      </c>
    </row>
    <row r="8829" spans="32:32" ht="24" customHeight="1">
      <c r="AF8829" s="908">
        <v>0</v>
      </c>
    </row>
    <row r="8830" spans="32:32" ht="24" customHeight="1">
      <c r="AF8830" s="908">
        <v>0</v>
      </c>
    </row>
    <row r="8831" spans="32:32" ht="24" customHeight="1">
      <c r="AF8831" s="908">
        <v>0</v>
      </c>
    </row>
    <row r="8832" spans="32:32" ht="24" customHeight="1">
      <c r="AF8832" s="908">
        <v>0</v>
      </c>
    </row>
    <row r="8833" spans="32:32" ht="24" customHeight="1">
      <c r="AF8833" s="908">
        <v>0</v>
      </c>
    </row>
    <row r="8834" spans="32:32" ht="24" customHeight="1">
      <c r="AF8834" s="908">
        <v>0</v>
      </c>
    </row>
    <row r="8835" spans="32:32" ht="24" customHeight="1">
      <c r="AF8835" s="908">
        <v>0</v>
      </c>
    </row>
    <row r="8836" spans="32:32" ht="24" customHeight="1">
      <c r="AF8836" s="908">
        <v>0</v>
      </c>
    </row>
    <row r="8837" spans="32:32" ht="24" customHeight="1">
      <c r="AF8837" s="908">
        <v>0</v>
      </c>
    </row>
    <row r="8838" spans="32:32" ht="24" customHeight="1">
      <c r="AF8838" s="908">
        <v>0</v>
      </c>
    </row>
    <row r="8839" spans="32:32" ht="24" customHeight="1">
      <c r="AF8839" s="908">
        <v>0</v>
      </c>
    </row>
    <row r="8840" spans="32:32" ht="24" customHeight="1">
      <c r="AF8840" s="908">
        <v>0</v>
      </c>
    </row>
    <row r="8841" spans="32:32" ht="24" customHeight="1">
      <c r="AF8841" s="908">
        <v>0</v>
      </c>
    </row>
    <row r="8842" spans="32:32" ht="24" customHeight="1">
      <c r="AF8842" s="908">
        <v>0</v>
      </c>
    </row>
    <row r="8843" spans="32:32" ht="24" customHeight="1">
      <c r="AF8843" s="908">
        <v>0</v>
      </c>
    </row>
    <row r="8844" spans="32:32" ht="24" customHeight="1">
      <c r="AF8844" s="908">
        <v>0</v>
      </c>
    </row>
    <row r="8845" spans="32:32" ht="24" customHeight="1">
      <c r="AF8845" s="908">
        <v>0</v>
      </c>
    </row>
    <row r="8846" spans="32:32" ht="24" customHeight="1">
      <c r="AF8846" s="908">
        <v>0</v>
      </c>
    </row>
    <row r="8847" spans="32:32" ht="24" customHeight="1">
      <c r="AF8847" s="908">
        <v>0</v>
      </c>
    </row>
    <row r="8848" spans="32:32" ht="24" customHeight="1">
      <c r="AF8848" s="908">
        <v>0</v>
      </c>
    </row>
    <row r="8849" spans="32:32" ht="24" customHeight="1">
      <c r="AF8849" s="908">
        <v>0</v>
      </c>
    </row>
    <row r="8850" spans="32:32" ht="24" customHeight="1">
      <c r="AF8850" s="908">
        <v>0</v>
      </c>
    </row>
    <row r="8851" spans="32:32" ht="24" customHeight="1">
      <c r="AF8851" s="908">
        <v>0</v>
      </c>
    </row>
    <row r="8852" spans="32:32" ht="24" customHeight="1">
      <c r="AF8852" s="908">
        <v>0</v>
      </c>
    </row>
    <row r="8853" spans="32:32" ht="24" customHeight="1">
      <c r="AF8853" s="908">
        <v>0</v>
      </c>
    </row>
    <row r="8854" spans="32:32" ht="24" customHeight="1">
      <c r="AF8854" s="908">
        <v>0</v>
      </c>
    </row>
    <row r="8855" spans="32:32" ht="24" customHeight="1">
      <c r="AF8855" s="908">
        <v>0</v>
      </c>
    </row>
    <row r="8856" spans="32:32" ht="24" customHeight="1">
      <c r="AF8856" s="908">
        <v>0</v>
      </c>
    </row>
    <row r="8857" spans="32:32" ht="24" customHeight="1">
      <c r="AF8857" s="908">
        <v>0</v>
      </c>
    </row>
    <row r="8858" spans="32:32" ht="24" customHeight="1">
      <c r="AF8858" s="908">
        <v>0</v>
      </c>
    </row>
    <row r="8859" spans="32:32" ht="24" customHeight="1">
      <c r="AF8859" s="908">
        <v>0</v>
      </c>
    </row>
    <row r="8860" spans="32:32" ht="24" customHeight="1">
      <c r="AF8860" s="908">
        <v>0</v>
      </c>
    </row>
    <row r="8861" spans="32:32" ht="24" customHeight="1">
      <c r="AF8861" s="908">
        <v>0</v>
      </c>
    </row>
    <row r="8862" spans="32:32" ht="24" customHeight="1">
      <c r="AF8862" s="908">
        <v>0</v>
      </c>
    </row>
    <row r="8863" spans="32:32" ht="24" customHeight="1">
      <c r="AF8863" s="908">
        <v>0</v>
      </c>
    </row>
    <row r="8864" spans="32:32" ht="24" customHeight="1">
      <c r="AF8864" s="908">
        <v>0</v>
      </c>
    </row>
    <row r="8865" spans="32:32" ht="24" customHeight="1">
      <c r="AF8865" s="908">
        <v>0</v>
      </c>
    </row>
    <row r="8866" spans="32:32" ht="24" customHeight="1">
      <c r="AF8866" s="908">
        <v>0</v>
      </c>
    </row>
    <row r="8867" spans="32:32" ht="24" customHeight="1">
      <c r="AF8867" s="908">
        <v>0</v>
      </c>
    </row>
    <row r="8868" spans="32:32" ht="24" customHeight="1">
      <c r="AF8868" s="908">
        <v>0</v>
      </c>
    </row>
    <row r="8869" spans="32:32" ht="24" customHeight="1">
      <c r="AF8869" s="908">
        <v>0</v>
      </c>
    </row>
    <row r="8870" spans="32:32" ht="24" customHeight="1">
      <c r="AF8870" s="908">
        <v>0</v>
      </c>
    </row>
    <row r="8871" spans="32:32" ht="24" customHeight="1">
      <c r="AF8871" s="908">
        <v>0</v>
      </c>
    </row>
    <row r="8872" spans="32:32" ht="24" customHeight="1">
      <c r="AF8872" s="908">
        <v>0</v>
      </c>
    </row>
    <row r="8873" spans="32:32" ht="24" customHeight="1">
      <c r="AF8873" s="908">
        <v>0</v>
      </c>
    </row>
    <row r="8874" spans="32:32" ht="24" customHeight="1">
      <c r="AF8874" s="908">
        <v>0</v>
      </c>
    </row>
    <row r="8875" spans="32:32" ht="24" customHeight="1">
      <c r="AF8875" s="908">
        <v>0</v>
      </c>
    </row>
    <row r="8876" spans="32:32" ht="24" customHeight="1">
      <c r="AF8876" s="908">
        <v>0</v>
      </c>
    </row>
    <row r="8877" spans="32:32" ht="24" customHeight="1">
      <c r="AF8877" s="908">
        <v>0</v>
      </c>
    </row>
    <row r="8878" spans="32:32" ht="24" customHeight="1">
      <c r="AF8878" s="908">
        <v>0</v>
      </c>
    </row>
    <row r="8879" spans="32:32" ht="24" customHeight="1">
      <c r="AF8879" s="908">
        <v>0</v>
      </c>
    </row>
    <row r="8880" spans="32:32" ht="24" customHeight="1">
      <c r="AF8880" s="908">
        <v>0</v>
      </c>
    </row>
    <row r="8881" spans="32:32" ht="24" customHeight="1">
      <c r="AF8881" s="908">
        <v>0</v>
      </c>
    </row>
    <row r="8882" spans="32:32" ht="24" customHeight="1">
      <c r="AF8882" s="908">
        <v>0</v>
      </c>
    </row>
    <row r="8883" spans="32:32" ht="24" customHeight="1">
      <c r="AF8883" s="908">
        <v>0</v>
      </c>
    </row>
    <row r="8884" spans="32:32" ht="24" customHeight="1">
      <c r="AF8884" s="908">
        <v>0</v>
      </c>
    </row>
    <row r="8885" spans="32:32" ht="24" customHeight="1">
      <c r="AF8885" s="908">
        <v>0</v>
      </c>
    </row>
    <row r="8886" spans="32:32" ht="24" customHeight="1">
      <c r="AF8886" s="908">
        <v>0</v>
      </c>
    </row>
    <row r="8887" spans="32:32" ht="24" customHeight="1">
      <c r="AF8887" s="908">
        <v>0</v>
      </c>
    </row>
    <row r="8888" spans="32:32" ht="24" customHeight="1">
      <c r="AF8888" s="908">
        <v>0</v>
      </c>
    </row>
    <row r="8889" spans="32:32" ht="24" customHeight="1">
      <c r="AF8889" s="908">
        <v>0</v>
      </c>
    </row>
    <row r="8890" spans="32:32" ht="24" customHeight="1">
      <c r="AF8890" s="908">
        <v>0</v>
      </c>
    </row>
    <row r="8891" spans="32:32" ht="24" customHeight="1">
      <c r="AF8891" s="908">
        <v>0</v>
      </c>
    </row>
    <row r="8892" spans="32:32" ht="24" customHeight="1">
      <c r="AF8892" s="908">
        <v>0</v>
      </c>
    </row>
    <row r="8893" spans="32:32" ht="24" customHeight="1">
      <c r="AF8893" s="908">
        <v>0</v>
      </c>
    </row>
    <row r="8894" spans="32:32" ht="24" customHeight="1">
      <c r="AF8894" s="908">
        <v>0</v>
      </c>
    </row>
    <row r="8895" spans="32:32" ht="24" customHeight="1">
      <c r="AF8895" s="908">
        <v>0</v>
      </c>
    </row>
    <row r="8896" spans="32:32" ht="24" customHeight="1">
      <c r="AF8896" s="908">
        <v>0</v>
      </c>
    </row>
    <row r="8897" spans="32:32" ht="24" customHeight="1">
      <c r="AF8897" s="908">
        <v>0</v>
      </c>
    </row>
    <row r="8898" spans="32:32" ht="24" customHeight="1">
      <c r="AF8898" s="908">
        <v>0</v>
      </c>
    </row>
    <row r="8899" spans="32:32" ht="24" customHeight="1">
      <c r="AF8899" s="908">
        <v>0</v>
      </c>
    </row>
    <row r="8900" spans="32:32" ht="24" customHeight="1">
      <c r="AF8900" s="908">
        <v>0</v>
      </c>
    </row>
    <row r="8901" spans="32:32" ht="24" customHeight="1">
      <c r="AF8901" s="908">
        <v>0</v>
      </c>
    </row>
    <row r="8902" spans="32:32" ht="24" customHeight="1">
      <c r="AF8902" s="908">
        <v>0</v>
      </c>
    </row>
    <row r="8903" spans="32:32" ht="24" customHeight="1">
      <c r="AF8903" s="908">
        <v>0</v>
      </c>
    </row>
    <row r="8904" spans="32:32" ht="24" customHeight="1">
      <c r="AF8904" s="908">
        <v>0</v>
      </c>
    </row>
    <row r="8905" spans="32:32" ht="24" customHeight="1">
      <c r="AF8905" s="908">
        <v>0</v>
      </c>
    </row>
    <row r="8906" spans="32:32" ht="24" customHeight="1">
      <c r="AF8906" s="908">
        <v>0</v>
      </c>
    </row>
    <row r="8907" spans="32:32" ht="24" customHeight="1">
      <c r="AF8907" s="908">
        <v>0</v>
      </c>
    </row>
    <row r="8908" spans="32:32" ht="24" customHeight="1">
      <c r="AF8908" s="908">
        <v>0</v>
      </c>
    </row>
    <row r="8909" spans="32:32" ht="24" customHeight="1">
      <c r="AF8909" s="908">
        <v>0</v>
      </c>
    </row>
    <row r="8910" spans="32:32" ht="24" customHeight="1">
      <c r="AF8910" s="908">
        <v>0</v>
      </c>
    </row>
    <row r="8911" spans="32:32" ht="24" customHeight="1">
      <c r="AF8911" s="908">
        <v>0</v>
      </c>
    </row>
    <row r="8912" spans="32:32" ht="24" customHeight="1">
      <c r="AF8912" s="908">
        <v>0</v>
      </c>
    </row>
    <row r="8913" spans="32:32" ht="24" customHeight="1">
      <c r="AF8913" s="908">
        <v>0</v>
      </c>
    </row>
    <row r="8914" spans="32:32" ht="24" customHeight="1">
      <c r="AF8914" s="908">
        <v>0</v>
      </c>
    </row>
    <row r="8915" spans="32:32" ht="24" customHeight="1">
      <c r="AF8915" s="908">
        <v>0</v>
      </c>
    </row>
    <row r="8916" spans="32:32" ht="24" customHeight="1">
      <c r="AF8916" s="908">
        <v>0</v>
      </c>
    </row>
    <row r="8917" spans="32:32" ht="24" customHeight="1">
      <c r="AF8917" s="908">
        <v>0</v>
      </c>
    </row>
    <row r="8918" spans="32:32" ht="24" customHeight="1">
      <c r="AF8918" s="908">
        <v>0</v>
      </c>
    </row>
    <row r="8919" spans="32:32" ht="24" customHeight="1">
      <c r="AF8919" s="908">
        <v>0</v>
      </c>
    </row>
    <row r="8920" spans="32:32" ht="24" customHeight="1">
      <c r="AF8920" s="908">
        <v>0</v>
      </c>
    </row>
    <row r="8921" spans="32:32" ht="24" customHeight="1">
      <c r="AF8921" s="908">
        <v>0</v>
      </c>
    </row>
    <row r="8922" spans="32:32" ht="24" customHeight="1">
      <c r="AF8922" s="908">
        <v>0</v>
      </c>
    </row>
    <row r="8923" spans="32:32" ht="24" customHeight="1">
      <c r="AF8923" s="908">
        <v>0</v>
      </c>
    </row>
    <row r="8924" spans="32:32" ht="24" customHeight="1">
      <c r="AF8924" s="908">
        <v>0</v>
      </c>
    </row>
    <row r="8925" spans="32:32" ht="24" customHeight="1">
      <c r="AF8925" s="908">
        <v>0</v>
      </c>
    </row>
    <row r="8926" spans="32:32" ht="24" customHeight="1">
      <c r="AF8926" s="908">
        <v>0</v>
      </c>
    </row>
    <row r="8927" spans="32:32" ht="24" customHeight="1">
      <c r="AF8927" s="908">
        <v>0</v>
      </c>
    </row>
    <row r="8928" spans="32:32" ht="24" customHeight="1">
      <c r="AF8928" s="908">
        <v>0</v>
      </c>
    </row>
    <row r="8929" spans="32:32" ht="24" customHeight="1">
      <c r="AF8929" s="908">
        <v>0</v>
      </c>
    </row>
    <row r="8930" spans="32:32" ht="24" customHeight="1">
      <c r="AF8930" s="908">
        <v>0</v>
      </c>
    </row>
    <row r="8931" spans="32:32" ht="24" customHeight="1">
      <c r="AF8931" s="908">
        <v>0</v>
      </c>
    </row>
    <row r="8932" spans="32:32" ht="24" customHeight="1">
      <c r="AF8932" s="908">
        <v>0</v>
      </c>
    </row>
    <row r="8933" spans="32:32" ht="24" customHeight="1">
      <c r="AF8933" s="908">
        <v>0</v>
      </c>
    </row>
    <row r="8934" spans="32:32" ht="24" customHeight="1">
      <c r="AF8934" s="908">
        <v>0</v>
      </c>
    </row>
    <row r="8935" spans="32:32" ht="24" customHeight="1">
      <c r="AF8935" s="908">
        <v>0</v>
      </c>
    </row>
    <row r="8936" spans="32:32" ht="24" customHeight="1">
      <c r="AF8936" s="908">
        <v>0</v>
      </c>
    </row>
    <row r="8937" spans="32:32" ht="24" customHeight="1">
      <c r="AF8937" s="908">
        <v>0</v>
      </c>
    </row>
    <row r="8938" spans="32:32" ht="24" customHeight="1">
      <c r="AF8938" s="908">
        <v>0</v>
      </c>
    </row>
    <row r="8939" spans="32:32" ht="24" customHeight="1">
      <c r="AF8939" s="908">
        <v>0</v>
      </c>
    </row>
    <row r="8940" spans="32:32" ht="24" customHeight="1">
      <c r="AF8940" s="908">
        <v>0</v>
      </c>
    </row>
    <row r="8941" spans="32:32" ht="24" customHeight="1">
      <c r="AF8941" s="908">
        <v>0</v>
      </c>
    </row>
    <row r="8942" spans="32:32" ht="24" customHeight="1">
      <c r="AF8942" s="908">
        <v>0</v>
      </c>
    </row>
    <row r="8943" spans="32:32" ht="24" customHeight="1">
      <c r="AF8943" s="908">
        <v>0</v>
      </c>
    </row>
    <row r="8944" spans="32:32" ht="24" customHeight="1">
      <c r="AF8944" s="908">
        <v>0</v>
      </c>
    </row>
    <row r="8945" spans="32:32" ht="24" customHeight="1">
      <c r="AF8945" s="908">
        <v>0</v>
      </c>
    </row>
    <row r="8946" spans="32:32" ht="24" customHeight="1">
      <c r="AF8946" s="908">
        <v>0</v>
      </c>
    </row>
    <row r="8947" spans="32:32" ht="24" customHeight="1">
      <c r="AF8947" s="908">
        <v>0</v>
      </c>
    </row>
    <row r="8948" spans="32:32" ht="24" customHeight="1">
      <c r="AF8948" s="908">
        <v>0</v>
      </c>
    </row>
    <row r="8949" spans="32:32" ht="24" customHeight="1">
      <c r="AF8949" s="908">
        <v>0</v>
      </c>
    </row>
    <row r="8950" spans="32:32" ht="24" customHeight="1">
      <c r="AF8950" s="908">
        <v>0</v>
      </c>
    </row>
    <row r="8951" spans="32:32" ht="24" customHeight="1">
      <c r="AF8951" s="908">
        <v>0</v>
      </c>
    </row>
    <row r="8952" spans="32:32" ht="24" customHeight="1">
      <c r="AF8952" s="908">
        <v>0</v>
      </c>
    </row>
    <row r="8953" spans="32:32" ht="24" customHeight="1">
      <c r="AF8953" s="908">
        <v>0</v>
      </c>
    </row>
    <row r="8954" spans="32:32" ht="24" customHeight="1">
      <c r="AF8954" s="908">
        <v>0</v>
      </c>
    </row>
    <row r="8955" spans="32:32" ht="24" customHeight="1">
      <c r="AF8955" s="908">
        <v>0</v>
      </c>
    </row>
    <row r="8956" spans="32:32" ht="24" customHeight="1">
      <c r="AF8956" s="908">
        <v>0</v>
      </c>
    </row>
    <row r="8957" spans="32:32" ht="24" customHeight="1">
      <c r="AF8957" s="908">
        <v>0</v>
      </c>
    </row>
    <row r="8958" spans="32:32" ht="24" customHeight="1">
      <c r="AF8958" s="908">
        <v>0</v>
      </c>
    </row>
    <row r="8959" spans="32:32" ht="24" customHeight="1">
      <c r="AF8959" s="908">
        <v>0</v>
      </c>
    </row>
    <row r="8960" spans="32:32" ht="24" customHeight="1">
      <c r="AF8960" s="908">
        <v>0</v>
      </c>
    </row>
    <row r="8961" spans="32:32" ht="24" customHeight="1">
      <c r="AF8961" s="908">
        <v>0</v>
      </c>
    </row>
    <row r="8962" spans="32:32" ht="24" customHeight="1">
      <c r="AF8962" s="908">
        <v>0</v>
      </c>
    </row>
    <row r="8963" spans="32:32" ht="24" customHeight="1">
      <c r="AF8963" s="908">
        <v>0</v>
      </c>
    </row>
    <row r="8964" spans="32:32" ht="24" customHeight="1">
      <c r="AF8964" s="908">
        <v>0</v>
      </c>
    </row>
    <row r="8965" spans="32:32" ht="24" customHeight="1">
      <c r="AF8965" s="908">
        <v>0</v>
      </c>
    </row>
    <row r="8966" spans="32:32" ht="24" customHeight="1">
      <c r="AF8966" s="908">
        <v>0</v>
      </c>
    </row>
    <row r="8967" spans="32:32" ht="24" customHeight="1">
      <c r="AF8967" s="908">
        <v>0</v>
      </c>
    </row>
    <row r="8968" spans="32:32" ht="24" customHeight="1">
      <c r="AF8968" s="908">
        <v>0</v>
      </c>
    </row>
    <row r="8969" spans="32:32" ht="24" customHeight="1">
      <c r="AF8969" s="908">
        <v>0</v>
      </c>
    </row>
    <row r="8970" spans="32:32" ht="24" customHeight="1">
      <c r="AF8970" s="908">
        <v>0</v>
      </c>
    </row>
    <row r="8971" spans="32:32" ht="24" customHeight="1">
      <c r="AF8971" s="908">
        <v>0</v>
      </c>
    </row>
    <row r="8972" spans="32:32" ht="24" customHeight="1">
      <c r="AF8972" s="908">
        <v>0</v>
      </c>
    </row>
    <row r="8973" spans="32:32" ht="24" customHeight="1">
      <c r="AF8973" s="908">
        <v>0</v>
      </c>
    </row>
    <row r="8974" spans="32:32" ht="24" customHeight="1">
      <c r="AF8974" s="908">
        <v>0</v>
      </c>
    </row>
    <row r="8975" spans="32:32" ht="24" customHeight="1">
      <c r="AF8975" s="908">
        <v>0</v>
      </c>
    </row>
    <row r="8976" spans="32:32" ht="24" customHeight="1">
      <c r="AF8976" s="908">
        <v>0</v>
      </c>
    </row>
    <row r="8977" spans="32:32" ht="24" customHeight="1">
      <c r="AF8977" s="908">
        <v>0</v>
      </c>
    </row>
    <row r="8978" spans="32:32" ht="24" customHeight="1">
      <c r="AF8978" s="908">
        <v>0</v>
      </c>
    </row>
    <row r="8979" spans="32:32" ht="24" customHeight="1">
      <c r="AF8979" s="908">
        <v>0</v>
      </c>
    </row>
    <row r="8980" spans="32:32" ht="24" customHeight="1">
      <c r="AF8980" s="908">
        <v>0</v>
      </c>
    </row>
    <row r="8981" spans="32:32" ht="24" customHeight="1">
      <c r="AF8981" s="908">
        <v>0</v>
      </c>
    </row>
    <row r="8982" spans="32:32" ht="24" customHeight="1">
      <c r="AF8982" s="908">
        <v>0</v>
      </c>
    </row>
    <row r="8983" spans="32:32" ht="24" customHeight="1">
      <c r="AF8983" s="908">
        <v>0</v>
      </c>
    </row>
    <row r="8984" spans="32:32" ht="24" customHeight="1">
      <c r="AF8984" s="908">
        <v>0</v>
      </c>
    </row>
    <row r="8985" spans="32:32" ht="24" customHeight="1">
      <c r="AF8985" s="908">
        <v>0</v>
      </c>
    </row>
    <row r="8986" spans="32:32" ht="24" customHeight="1">
      <c r="AF8986" s="908">
        <v>0</v>
      </c>
    </row>
    <row r="8987" spans="32:32" ht="24" customHeight="1">
      <c r="AF8987" s="908">
        <v>0</v>
      </c>
    </row>
    <row r="8988" spans="32:32" ht="24" customHeight="1">
      <c r="AF8988" s="908">
        <v>0</v>
      </c>
    </row>
    <row r="8989" spans="32:32" ht="24" customHeight="1">
      <c r="AF8989" s="908">
        <v>0</v>
      </c>
    </row>
    <row r="8990" spans="32:32" ht="24" customHeight="1">
      <c r="AF8990" s="908">
        <v>0</v>
      </c>
    </row>
    <row r="8991" spans="32:32" ht="24" customHeight="1">
      <c r="AF8991" s="908">
        <v>0</v>
      </c>
    </row>
    <row r="8992" spans="32:32" ht="24" customHeight="1">
      <c r="AF8992" s="908">
        <v>0</v>
      </c>
    </row>
    <row r="8993" spans="32:32" ht="24" customHeight="1">
      <c r="AF8993" s="908">
        <v>0</v>
      </c>
    </row>
    <row r="8994" spans="32:32" ht="24" customHeight="1">
      <c r="AF8994" s="908">
        <v>0</v>
      </c>
    </row>
    <row r="8995" spans="32:32" ht="24" customHeight="1">
      <c r="AF8995" s="908">
        <v>0</v>
      </c>
    </row>
    <row r="8996" spans="32:32" ht="24" customHeight="1">
      <c r="AF8996" s="908">
        <v>0</v>
      </c>
    </row>
    <row r="8997" spans="32:32" ht="24" customHeight="1">
      <c r="AF8997" s="908">
        <v>0</v>
      </c>
    </row>
    <row r="8998" spans="32:32" ht="24" customHeight="1">
      <c r="AF8998" s="908">
        <v>0</v>
      </c>
    </row>
    <row r="8999" spans="32:32" ht="24" customHeight="1">
      <c r="AF8999" s="908">
        <v>0</v>
      </c>
    </row>
    <row r="9000" spans="32:32" ht="24" customHeight="1">
      <c r="AF9000" s="908">
        <v>0</v>
      </c>
    </row>
    <row r="9001" spans="32:32" ht="24" customHeight="1">
      <c r="AF9001" s="908">
        <v>0</v>
      </c>
    </row>
    <row r="9002" spans="32:32" ht="24" customHeight="1">
      <c r="AF9002" s="908">
        <v>0</v>
      </c>
    </row>
    <row r="9003" spans="32:32" ht="24" customHeight="1">
      <c r="AF9003" s="908">
        <v>0</v>
      </c>
    </row>
    <row r="9004" spans="32:32" ht="24" customHeight="1">
      <c r="AF9004" s="908">
        <v>0</v>
      </c>
    </row>
    <row r="9005" spans="32:32" ht="24" customHeight="1">
      <c r="AF9005" s="908">
        <v>0</v>
      </c>
    </row>
    <row r="9006" spans="32:32" ht="24" customHeight="1">
      <c r="AF9006" s="908">
        <v>0</v>
      </c>
    </row>
    <row r="9007" spans="32:32" ht="24" customHeight="1">
      <c r="AF9007" s="908">
        <v>0</v>
      </c>
    </row>
    <row r="9008" spans="32:32" ht="24" customHeight="1">
      <c r="AF9008" s="908">
        <v>0</v>
      </c>
    </row>
    <row r="9009" spans="32:32" ht="24" customHeight="1">
      <c r="AF9009" s="908">
        <v>0</v>
      </c>
    </row>
    <row r="9010" spans="32:32" ht="24" customHeight="1">
      <c r="AF9010" s="908">
        <v>0</v>
      </c>
    </row>
    <row r="9011" spans="32:32" ht="24" customHeight="1">
      <c r="AF9011" s="908">
        <v>0</v>
      </c>
    </row>
    <row r="9012" spans="32:32" ht="24" customHeight="1">
      <c r="AF9012" s="908">
        <v>0</v>
      </c>
    </row>
    <row r="9013" spans="32:32" ht="24" customHeight="1">
      <c r="AF9013" s="908">
        <v>0</v>
      </c>
    </row>
    <row r="9014" spans="32:32" ht="24" customHeight="1">
      <c r="AF9014" s="908">
        <v>0</v>
      </c>
    </row>
    <row r="9015" spans="32:32" ht="24" customHeight="1">
      <c r="AF9015" s="908">
        <v>0</v>
      </c>
    </row>
    <row r="9016" spans="32:32" ht="24" customHeight="1">
      <c r="AF9016" s="908">
        <v>0</v>
      </c>
    </row>
    <row r="9017" spans="32:32" ht="24" customHeight="1">
      <c r="AF9017" s="908">
        <v>0</v>
      </c>
    </row>
    <row r="9018" spans="32:32" ht="24" customHeight="1">
      <c r="AF9018" s="908">
        <v>0</v>
      </c>
    </row>
    <row r="9019" spans="32:32" ht="24" customHeight="1">
      <c r="AF9019" s="908">
        <v>0</v>
      </c>
    </row>
    <row r="9020" spans="32:32" ht="24" customHeight="1">
      <c r="AF9020" s="908">
        <v>0</v>
      </c>
    </row>
    <row r="9021" spans="32:32" ht="24" customHeight="1">
      <c r="AF9021" s="908">
        <v>0</v>
      </c>
    </row>
    <row r="9022" spans="32:32" ht="24" customHeight="1">
      <c r="AF9022" s="908">
        <v>0</v>
      </c>
    </row>
    <row r="9023" spans="32:32" ht="24" customHeight="1">
      <c r="AF9023" s="908">
        <v>0</v>
      </c>
    </row>
    <row r="9024" spans="32:32" ht="24" customHeight="1">
      <c r="AF9024" s="908">
        <v>0</v>
      </c>
    </row>
    <row r="9025" spans="32:32" ht="24" customHeight="1">
      <c r="AF9025" s="908">
        <v>0</v>
      </c>
    </row>
    <row r="9026" spans="32:32" ht="24" customHeight="1">
      <c r="AF9026" s="908">
        <v>0</v>
      </c>
    </row>
    <row r="9027" spans="32:32" ht="24" customHeight="1">
      <c r="AF9027" s="908">
        <v>0</v>
      </c>
    </row>
    <row r="9028" spans="32:32" ht="24" customHeight="1">
      <c r="AF9028" s="908">
        <v>0</v>
      </c>
    </row>
    <row r="9029" spans="32:32" ht="24" customHeight="1">
      <c r="AF9029" s="908">
        <v>0</v>
      </c>
    </row>
    <row r="9030" spans="32:32" ht="24" customHeight="1">
      <c r="AF9030" s="908">
        <v>0</v>
      </c>
    </row>
    <row r="9031" spans="32:32" ht="24" customHeight="1">
      <c r="AF9031" s="908">
        <v>0</v>
      </c>
    </row>
    <row r="9032" spans="32:32" ht="24" customHeight="1">
      <c r="AF9032" s="908">
        <v>0</v>
      </c>
    </row>
    <row r="9033" spans="32:32" ht="24" customHeight="1">
      <c r="AF9033" s="908">
        <v>0</v>
      </c>
    </row>
    <row r="9034" spans="32:32" ht="24" customHeight="1">
      <c r="AF9034" s="908">
        <v>0</v>
      </c>
    </row>
    <row r="9035" spans="32:32" ht="24" customHeight="1">
      <c r="AF9035" s="908">
        <v>0</v>
      </c>
    </row>
    <row r="9036" spans="32:32" ht="24" customHeight="1">
      <c r="AF9036" s="908">
        <v>0</v>
      </c>
    </row>
    <row r="9037" spans="32:32" ht="24" customHeight="1">
      <c r="AF9037" s="908">
        <v>0</v>
      </c>
    </row>
    <row r="9038" spans="32:32" ht="24" customHeight="1">
      <c r="AF9038" s="908">
        <v>0</v>
      </c>
    </row>
    <row r="9039" spans="32:32" ht="24" customHeight="1">
      <c r="AF9039" s="908">
        <v>0</v>
      </c>
    </row>
    <row r="9040" spans="32:32" ht="24" customHeight="1">
      <c r="AF9040" s="908">
        <v>0</v>
      </c>
    </row>
    <row r="9041" spans="32:32" ht="24" customHeight="1">
      <c r="AF9041" s="908">
        <v>0</v>
      </c>
    </row>
    <row r="9042" spans="32:32" ht="24" customHeight="1">
      <c r="AF9042" s="908">
        <v>0</v>
      </c>
    </row>
    <row r="9043" spans="32:32" ht="24" customHeight="1">
      <c r="AF9043" s="908">
        <v>0</v>
      </c>
    </row>
    <row r="9044" spans="32:32" ht="24" customHeight="1">
      <c r="AF9044" s="908">
        <v>0</v>
      </c>
    </row>
    <row r="9045" spans="32:32" ht="24" customHeight="1">
      <c r="AF9045" s="908">
        <v>0</v>
      </c>
    </row>
    <row r="9046" spans="32:32" ht="24" customHeight="1">
      <c r="AF9046" s="908">
        <v>0</v>
      </c>
    </row>
    <row r="9047" spans="32:32" ht="24" customHeight="1">
      <c r="AF9047" s="908">
        <v>0</v>
      </c>
    </row>
    <row r="9048" spans="32:32" ht="24" customHeight="1">
      <c r="AF9048" s="908">
        <v>0</v>
      </c>
    </row>
    <row r="9049" spans="32:32" ht="24" customHeight="1">
      <c r="AF9049" s="908">
        <v>0</v>
      </c>
    </row>
    <row r="9050" spans="32:32" ht="24" customHeight="1">
      <c r="AF9050" s="908">
        <v>0</v>
      </c>
    </row>
    <row r="9051" spans="32:32" ht="24" customHeight="1">
      <c r="AF9051" s="908">
        <v>0</v>
      </c>
    </row>
    <row r="9052" spans="32:32" ht="24" customHeight="1">
      <c r="AF9052" s="908">
        <v>0</v>
      </c>
    </row>
    <row r="9053" spans="32:32" ht="24" customHeight="1">
      <c r="AF9053" s="908">
        <v>0</v>
      </c>
    </row>
    <row r="9054" spans="32:32" ht="24" customHeight="1">
      <c r="AF9054" s="908">
        <v>0</v>
      </c>
    </row>
    <row r="9055" spans="32:32" ht="24" customHeight="1">
      <c r="AF9055" s="908">
        <v>0</v>
      </c>
    </row>
    <row r="9056" spans="32:32" ht="24" customHeight="1">
      <c r="AF9056" s="908">
        <v>0</v>
      </c>
    </row>
    <row r="9057" spans="32:32" ht="24" customHeight="1">
      <c r="AF9057" s="908">
        <v>0</v>
      </c>
    </row>
    <row r="9058" spans="32:32" ht="24" customHeight="1">
      <c r="AF9058" s="908">
        <v>0</v>
      </c>
    </row>
    <row r="9059" spans="32:32" ht="24" customHeight="1">
      <c r="AF9059" s="908">
        <v>0</v>
      </c>
    </row>
    <row r="9060" spans="32:32" ht="24" customHeight="1">
      <c r="AF9060" s="908">
        <v>0</v>
      </c>
    </row>
    <row r="9061" spans="32:32" ht="24" customHeight="1">
      <c r="AF9061" s="908">
        <v>0</v>
      </c>
    </row>
    <row r="9062" spans="32:32" ht="24" customHeight="1">
      <c r="AF9062" s="908">
        <v>0</v>
      </c>
    </row>
    <row r="9063" spans="32:32" ht="24" customHeight="1">
      <c r="AF9063" s="908">
        <v>0</v>
      </c>
    </row>
    <row r="9064" spans="32:32" ht="24" customHeight="1">
      <c r="AF9064" s="908">
        <v>0</v>
      </c>
    </row>
    <row r="9065" spans="32:32" ht="24" customHeight="1">
      <c r="AF9065" s="908">
        <v>0</v>
      </c>
    </row>
    <row r="9066" spans="32:32" ht="24" customHeight="1">
      <c r="AF9066" s="908">
        <v>0</v>
      </c>
    </row>
    <row r="9067" spans="32:32" ht="24" customHeight="1">
      <c r="AF9067" s="908">
        <v>0</v>
      </c>
    </row>
    <row r="9068" spans="32:32" ht="24" customHeight="1">
      <c r="AF9068" s="908">
        <v>0</v>
      </c>
    </row>
    <row r="9069" spans="32:32" ht="24" customHeight="1">
      <c r="AF9069" s="908">
        <v>0</v>
      </c>
    </row>
    <row r="9070" spans="32:32" ht="24" customHeight="1">
      <c r="AF9070" s="908">
        <v>0</v>
      </c>
    </row>
    <row r="9071" spans="32:32" ht="24" customHeight="1">
      <c r="AF9071" s="908">
        <v>0</v>
      </c>
    </row>
    <row r="9072" spans="32:32" ht="24" customHeight="1">
      <c r="AF9072" s="908">
        <v>0</v>
      </c>
    </row>
    <row r="9073" spans="32:32" ht="24" customHeight="1">
      <c r="AF9073" s="908">
        <v>0</v>
      </c>
    </row>
    <row r="9074" spans="32:32" ht="24" customHeight="1">
      <c r="AF9074" s="908">
        <v>0</v>
      </c>
    </row>
    <row r="9075" spans="32:32" ht="24" customHeight="1">
      <c r="AF9075" s="908">
        <v>0</v>
      </c>
    </row>
    <row r="9076" spans="32:32" ht="24" customHeight="1">
      <c r="AF9076" s="908">
        <v>0</v>
      </c>
    </row>
    <row r="9077" spans="32:32" ht="24" customHeight="1">
      <c r="AF9077" s="908">
        <v>0</v>
      </c>
    </row>
    <row r="9078" spans="32:32" ht="24" customHeight="1">
      <c r="AF9078" s="908">
        <v>0</v>
      </c>
    </row>
    <row r="9079" spans="32:32" ht="24" customHeight="1">
      <c r="AF9079" s="908">
        <v>0</v>
      </c>
    </row>
    <row r="9080" spans="32:32" ht="24" customHeight="1">
      <c r="AF9080" s="908">
        <v>0</v>
      </c>
    </row>
    <row r="9081" spans="32:32" ht="24" customHeight="1">
      <c r="AF9081" s="908">
        <v>0</v>
      </c>
    </row>
    <row r="9082" spans="32:32" ht="24" customHeight="1">
      <c r="AF9082" s="908">
        <v>0</v>
      </c>
    </row>
    <row r="9083" spans="32:32" ht="24" customHeight="1">
      <c r="AF9083" s="908">
        <v>0</v>
      </c>
    </row>
    <row r="9084" spans="32:32" ht="24" customHeight="1">
      <c r="AF9084" s="908">
        <v>0</v>
      </c>
    </row>
    <row r="9085" spans="32:32" ht="24" customHeight="1">
      <c r="AF9085" s="908">
        <v>0</v>
      </c>
    </row>
    <row r="9086" spans="32:32" ht="24" customHeight="1">
      <c r="AF9086" s="908">
        <v>0</v>
      </c>
    </row>
    <row r="9087" spans="32:32" ht="24" customHeight="1">
      <c r="AF9087" s="908">
        <v>0</v>
      </c>
    </row>
    <row r="9088" spans="32:32" ht="24" customHeight="1">
      <c r="AF9088" s="908">
        <v>0</v>
      </c>
    </row>
    <row r="9089" spans="32:32" ht="24" customHeight="1">
      <c r="AF9089" s="908">
        <v>0</v>
      </c>
    </row>
    <row r="9090" spans="32:32" ht="24" customHeight="1">
      <c r="AF9090" s="908">
        <v>0</v>
      </c>
    </row>
    <row r="9091" spans="32:32" ht="24" customHeight="1">
      <c r="AF9091" s="908">
        <v>0</v>
      </c>
    </row>
    <row r="9092" spans="32:32" ht="24" customHeight="1">
      <c r="AF9092" s="908">
        <v>0</v>
      </c>
    </row>
    <row r="9093" spans="32:32" ht="24" customHeight="1">
      <c r="AF9093" s="908">
        <v>0</v>
      </c>
    </row>
    <row r="9094" spans="32:32" ht="24" customHeight="1">
      <c r="AF9094" s="908">
        <v>0</v>
      </c>
    </row>
    <row r="9095" spans="32:32" ht="24" customHeight="1">
      <c r="AF9095" s="908">
        <v>0</v>
      </c>
    </row>
    <row r="9096" spans="32:32" ht="24" customHeight="1">
      <c r="AF9096" s="908">
        <v>0</v>
      </c>
    </row>
    <row r="9097" spans="32:32" ht="24" customHeight="1">
      <c r="AF9097" s="908">
        <v>0</v>
      </c>
    </row>
    <row r="9098" spans="32:32" ht="24" customHeight="1">
      <c r="AF9098" s="908">
        <v>0</v>
      </c>
    </row>
    <row r="9099" spans="32:32" ht="24" customHeight="1">
      <c r="AF9099" s="908">
        <v>0</v>
      </c>
    </row>
    <row r="9100" spans="32:32" ht="24" customHeight="1">
      <c r="AF9100" s="908">
        <v>0</v>
      </c>
    </row>
    <row r="9101" spans="32:32" ht="24" customHeight="1">
      <c r="AF9101" s="908">
        <v>0</v>
      </c>
    </row>
    <row r="9102" spans="32:32" ht="24" customHeight="1">
      <c r="AF9102" s="908">
        <v>0</v>
      </c>
    </row>
    <row r="9103" spans="32:32" ht="24" customHeight="1">
      <c r="AF9103" s="908">
        <v>0</v>
      </c>
    </row>
    <row r="9104" spans="32:32" ht="24" customHeight="1">
      <c r="AF9104" s="908">
        <v>0</v>
      </c>
    </row>
    <row r="9105" spans="32:32" ht="24" customHeight="1">
      <c r="AF9105" s="908">
        <v>0</v>
      </c>
    </row>
    <row r="9106" spans="32:32" ht="24" customHeight="1">
      <c r="AF9106" s="908">
        <v>0</v>
      </c>
    </row>
    <row r="9107" spans="32:32" ht="24" customHeight="1">
      <c r="AF9107" s="908">
        <v>0</v>
      </c>
    </row>
    <row r="9108" spans="32:32" ht="24" customHeight="1">
      <c r="AF9108" s="908">
        <v>0</v>
      </c>
    </row>
    <row r="9109" spans="32:32" ht="24" customHeight="1">
      <c r="AF9109" s="908">
        <v>0</v>
      </c>
    </row>
    <row r="9110" spans="32:32" ht="24" customHeight="1">
      <c r="AF9110" s="908">
        <v>0</v>
      </c>
    </row>
    <row r="9111" spans="32:32" ht="24" customHeight="1">
      <c r="AF9111" s="908">
        <v>0</v>
      </c>
    </row>
    <row r="9112" spans="32:32" ht="24" customHeight="1">
      <c r="AF9112" s="908">
        <v>0</v>
      </c>
    </row>
    <row r="9113" spans="32:32" ht="24" customHeight="1">
      <c r="AF9113" s="908">
        <v>0</v>
      </c>
    </row>
    <row r="9114" spans="32:32" ht="24" customHeight="1">
      <c r="AF9114" s="908">
        <v>0</v>
      </c>
    </row>
    <row r="9115" spans="32:32" ht="24" customHeight="1">
      <c r="AF9115" s="908">
        <v>0</v>
      </c>
    </row>
    <row r="9116" spans="32:32" ht="24" customHeight="1">
      <c r="AF9116" s="908">
        <v>0</v>
      </c>
    </row>
    <row r="9117" spans="32:32" ht="24" customHeight="1">
      <c r="AF9117" s="908">
        <v>0</v>
      </c>
    </row>
    <row r="9118" spans="32:32" ht="24" customHeight="1">
      <c r="AF9118" s="908">
        <v>0</v>
      </c>
    </row>
    <row r="9119" spans="32:32" ht="24" customHeight="1">
      <c r="AF9119" s="908">
        <v>0</v>
      </c>
    </row>
    <row r="9120" spans="32:32" ht="24" customHeight="1">
      <c r="AF9120" s="908">
        <v>0</v>
      </c>
    </row>
    <row r="9121" spans="32:32" ht="24" customHeight="1">
      <c r="AF9121" s="908">
        <v>0</v>
      </c>
    </row>
    <row r="9122" spans="32:32" ht="24" customHeight="1">
      <c r="AF9122" s="908">
        <v>0</v>
      </c>
    </row>
    <row r="9123" spans="32:32" ht="24" customHeight="1">
      <c r="AF9123" s="908">
        <v>0</v>
      </c>
    </row>
    <row r="9124" spans="32:32" ht="24" customHeight="1">
      <c r="AF9124" s="908">
        <v>0</v>
      </c>
    </row>
    <row r="9125" spans="32:32" ht="24" customHeight="1">
      <c r="AF9125" s="908">
        <v>0</v>
      </c>
    </row>
    <row r="9126" spans="32:32" ht="24" customHeight="1">
      <c r="AF9126" s="908">
        <v>0</v>
      </c>
    </row>
    <row r="9127" spans="32:32" ht="24" customHeight="1">
      <c r="AF9127" s="908">
        <v>0</v>
      </c>
    </row>
    <row r="9128" spans="32:32" ht="24" customHeight="1">
      <c r="AF9128" s="908">
        <v>0</v>
      </c>
    </row>
    <row r="9129" spans="32:32" ht="24" customHeight="1">
      <c r="AF9129" s="908">
        <v>0</v>
      </c>
    </row>
    <row r="9130" spans="32:32" ht="24" customHeight="1">
      <c r="AF9130" s="908">
        <v>0</v>
      </c>
    </row>
    <row r="9131" spans="32:32" ht="24" customHeight="1">
      <c r="AF9131" s="908">
        <v>0</v>
      </c>
    </row>
    <row r="9132" spans="32:32" ht="24" customHeight="1">
      <c r="AF9132" s="908">
        <v>0</v>
      </c>
    </row>
    <row r="9133" spans="32:32" ht="24" customHeight="1">
      <c r="AF9133" s="908">
        <v>0</v>
      </c>
    </row>
    <row r="9134" spans="32:32" ht="24" customHeight="1">
      <c r="AF9134" s="908">
        <v>0</v>
      </c>
    </row>
    <row r="9135" spans="32:32" ht="24" customHeight="1">
      <c r="AF9135" s="908">
        <v>0</v>
      </c>
    </row>
    <row r="9136" spans="32:32" ht="24" customHeight="1">
      <c r="AF9136" s="908">
        <v>0</v>
      </c>
    </row>
    <row r="9137" spans="32:32" ht="24" customHeight="1">
      <c r="AF9137" s="908">
        <v>0</v>
      </c>
    </row>
    <row r="9138" spans="32:32" ht="24" customHeight="1">
      <c r="AF9138" s="908">
        <v>0</v>
      </c>
    </row>
    <row r="9139" spans="32:32" ht="24" customHeight="1">
      <c r="AF9139" s="908">
        <v>0</v>
      </c>
    </row>
    <row r="9140" spans="32:32" ht="24" customHeight="1">
      <c r="AF9140" s="908">
        <v>0</v>
      </c>
    </row>
    <row r="9141" spans="32:32" ht="24" customHeight="1">
      <c r="AF9141" s="908">
        <v>0</v>
      </c>
    </row>
    <row r="9142" spans="32:32" ht="24" customHeight="1">
      <c r="AF9142" s="908">
        <v>0</v>
      </c>
    </row>
    <row r="9143" spans="32:32" ht="24" customHeight="1">
      <c r="AF9143" s="908">
        <v>0</v>
      </c>
    </row>
    <row r="9144" spans="32:32" ht="24" customHeight="1">
      <c r="AF9144" s="908">
        <v>0</v>
      </c>
    </row>
    <row r="9145" spans="32:32" ht="24" customHeight="1">
      <c r="AF9145" s="908">
        <v>0</v>
      </c>
    </row>
    <row r="9146" spans="32:32" ht="24" customHeight="1">
      <c r="AF9146" s="908">
        <v>0</v>
      </c>
    </row>
    <row r="9147" spans="32:32" ht="24" customHeight="1">
      <c r="AF9147" s="908">
        <v>0</v>
      </c>
    </row>
    <row r="9148" spans="32:32" ht="24" customHeight="1">
      <c r="AF9148" s="908">
        <v>0</v>
      </c>
    </row>
    <row r="9149" spans="32:32" ht="24" customHeight="1">
      <c r="AF9149" s="908">
        <v>0</v>
      </c>
    </row>
    <row r="9150" spans="32:32" ht="24" customHeight="1">
      <c r="AF9150" s="908">
        <v>0</v>
      </c>
    </row>
    <row r="9151" spans="32:32" ht="24" customHeight="1">
      <c r="AF9151" s="908">
        <v>0</v>
      </c>
    </row>
    <row r="9152" spans="32:32" ht="24" customHeight="1">
      <c r="AF9152" s="908">
        <v>0</v>
      </c>
    </row>
    <row r="9153" spans="32:32" ht="24" customHeight="1">
      <c r="AF9153" s="908">
        <v>0</v>
      </c>
    </row>
    <row r="9154" spans="32:32" ht="24" customHeight="1">
      <c r="AF9154" s="908">
        <v>0</v>
      </c>
    </row>
    <row r="9155" spans="32:32" ht="24" customHeight="1">
      <c r="AF9155" s="908">
        <v>0</v>
      </c>
    </row>
    <row r="9156" spans="32:32" ht="24" customHeight="1">
      <c r="AF9156" s="908">
        <v>0</v>
      </c>
    </row>
    <row r="9157" spans="32:32" ht="24" customHeight="1">
      <c r="AF9157" s="908">
        <v>0</v>
      </c>
    </row>
    <row r="9158" spans="32:32" ht="24" customHeight="1">
      <c r="AF9158" s="908">
        <v>0</v>
      </c>
    </row>
    <row r="9159" spans="32:32" ht="24" customHeight="1">
      <c r="AF9159" s="908">
        <v>0</v>
      </c>
    </row>
    <row r="9160" spans="32:32" ht="24" customHeight="1">
      <c r="AF9160" s="908">
        <v>0</v>
      </c>
    </row>
    <row r="9161" spans="32:32" ht="24" customHeight="1">
      <c r="AF9161" s="908">
        <v>0</v>
      </c>
    </row>
    <row r="9162" spans="32:32" ht="24" customHeight="1">
      <c r="AF9162" s="908">
        <v>0</v>
      </c>
    </row>
    <row r="9163" spans="32:32" ht="24" customHeight="1">
      <c r="AF9163" s="908">
        <v>0</v>
      </c>
    </row>
    <row r="9164" spans="32:32" ht="24" customHeight="1">
      <c r="AF9164" s="908">
        <v>0</v>
      </c>
    </row>
    <row r="9165" spans="32:32" ht="24" customHeight="1">
      <c r="AF9165" s="908">
        <v>0</v>
      </c>
    </row>
    <row r="9166" spans="32:32" ht="24" customHeight="1">
      <c r="AF9166" s="908">
        <v>0</v>
      </c>
    </row>
    <row r="9167" spans="32:32" ht="24" customHeight="1">
      <c r="AF9167" s="908">
        <v>0</v>
      </c>
    </row>
    <row r="9168" spans="32:32" ht="24" customHeight="1">
      <c r="AF9168" s="908">
        <v>0</v>
      </c>
    </row>
    <row r="9169" spans="32:32" ht="24" customHeight="1">
      <c r="AF9169" s="908">
        <v>0</v>
      </c>
    </row>
    <row r="9170" spans="32:32" ht="24" customHeight="1">
      <c r="AF9170" s="908">
        <v>0</v>
      </c>
    </row>
    <row r="9171" spans="32:32" ht="24" customHeight="1">
      <c r="AF9171" s="908">
        <v>0</v>
      </c>
    </row>
    <row r="9172" spans="32:32" ht="24" customHeight="1">
      <c r="AF9172" s="908">
        <v>0</v>
      </c>
    </row>
    <row r="9173" spans="32:32" ht="24" customHeight="1">
      <c r="AF9173" s="908">
        <v>0</v>
      </c>
    </row>
    <row r="9174" spans="32:32" ht="24" customHeight="1">
      <c r="AF9174" s="908">
        <v>0</v>
      </c>
    </row>
    <row r="9175" spans="32:32" ht="24" customHeight="1">
      <c r="AF9175" s="908">
        <v>0</v>
      </c>
    </row>
    <row r="9176" spans="32:32" ht="24" customHeight="1">
      <c r="AF9176" s="908">
        <v>0</v>
      </c>
    </row>
    <row r="9177" spans="32:32" ht="24" customHeight="1">
      <c r="AF9177" s="908">
        <v>0</v>
      </c>
    </row>
    <row r="9178" spans="32:32" ht="24" customHeight="1">
      <c r="AF9178" s="908">
        <v>0</v>
      </c>
    </row>
    <row r="9179" spans="32:32" ht="24" customHeight="1">
      <c r="AF9179" s="908">
        <v>0</v>
      </c>
    </row>
    <row r="9180" spans="32:32" ht="24" customHeight="1">
      <c r="AF9180" s="908">
        <v>0</v>
      </c>
    </row>
    <row r="9181" spans="32:32" ht="24" customHeight="1">
      <c r="AF9181" s="908">
        <v>0</v>
      </c>
    </row>
    <row r="9182" spans="32:32" ht="24" customHeight="1">
      <c r="AF9182" s="908">
        <v>0</v>
      </c>
    </row>
    <row r="9183" spans="32:32" ht="24" customHeight="1">
      <c r="AF9183" s="908">
        <v>0</v>
      </c>
    </row>
    <row r="9184" spans="32:32" ht="24" customHeight="1">
      <c r="AF9184" s="908">
        <v>0</v>
      </c>
    </row>
    <row r="9185" spans="32:32" ht="24" customHeight="1">
      <c r="AF9185" s="908">
        <v>0</v>
      </c>
    </row>
    <row r="9186" spans="32:32" ht="24" customHeight="1">
      <c r="AF9186" s="908">
        <v>0</v>
      </c>
    </row>
    <row r="9187" spans="32:32" ht="24" customHeight="1">
      <c r="AF9187" s="908">
        <v>0</v>
      </c>
    </row>
    <row r="9188" spans="32:32" ht="24" customHeight="1">
      <c r="AF9188" s="908">
        <v>0</v>
      </c>
    </row>
    <row r="9189" spans="32:32" ht="24" customHeight="1">
      <c r="AF9189" s="908">
        <v>0</v>
      </c>
    </row>
    <row r="9190" spans="32:32" ht="24" customHeight="1">
      <c r="AF9190" s="908">
        <v>0</v>
      </c>
    </row>
    <row r="9191" spans="32:32" ht="24" customHeight="1">
      <c r="AF9191" s="908">
        <v>0</v>
      </c>
    </row>
    <row r="9192" spans="32:32" ht="24" customHeight="1">
      <c r="AF9192" s="908">
        <v>0</v>
      </c>
    </row>
    <row r="9193" spans="32:32" ht="24" customHeight="1">
      <c r="AF9193" s="908">
        <v>0</v>
      </c>
    </row>
    <row r="9194" spans="32:32" ht="24" customHeight="1">
      <c r="AF9194" s="908">
        <v>0</v>
      </c>
    </row>
    <row r="9195" spans="32:32" ht="24" customHeight="1">
      <c r="AF9195" s="908">
        <v>0</v>
      </c>
    </row>
    <row r="9196" spans="32:32" ht="24" customHeight="1">
      <c r="AF9196" s="908">
        <v>0</v>
      </c>
    </row>
    <row r="9197" spans="32:32" ht="24" customHeight="1">
      <c r="AF9197" s="908">
        <v>0</v>
      </c>
    </row>
    <row r="9198" spans="32:32" ht="24" customHeight="1">
      <c r="AF9198" s="908">
        <v>0</v>
      </c>
    </row>
    <row r="9199" spans="32:32" ht="24" customHeight="1">
      <c r="AF9199" s="908">
        <v>0</v>
      </c>
    </row>
    <row r="9200" spans="32:32" ht="24" customHeight="1">
      <c r="AF9200" s="908">
        <v>0</v>
      </c>
    </row>
    <row r="9201" spans="32:32" ht="24" customHeight="1">
      <c r="AF9201" s="908">
        <v>0</v>
      </c>
    </row>
    <row r="9202" spans="32:32" ht="24" customHeight="1">
      <c r="AF9202" s="908">
        <v>0</v>
      </c>
    </row>
    <row r="9203" spans="32:32" ht="24" customHeight="1">
      <c r="AF9203" s="908">
        <v>0</v>
      </c>
    </row>
    <row r="9204" spans="32:32" ht="24" customHeight="1">
      <c r="AF9204" s="908">
        <v>0</v>
      </c>
    </row>
    <row r="9205" spans="32:32" ht="24" customHeight="1">
      <c r="AF9205" s="908">
        <v>0</v>
      </c>
    </row>
    <row r="9206" spans="32:32" ht="24" customHeight="1">
      <c r="AF9206" s="908">
        <v>0</v>
      </c>
    </row>
    <row r="9207" spans="32:32" ht="24" customHeight="1">
      <c r="AF9207" s="908">
        <v>0</v>
      </c>
    </row>
    <row r="9208" spans="32:32" ht="24" customHeight="1">
      <c r="AF9208" s="908">
        <v>0</v>
      </c>
    </row>
    <row r="9209" spans="32:32" ht="24" customHeight="1">
      <c r="AF9209" s="908">
        <v>0</v>
      </c>
    </row>
    <row r="9210" spans="32:32" ht="24" customHeight="1">
      <c r="AF9210" s="908">
        <v>0</v>
      </c>
    </row>
    <row r="9211" spans="32:32" ht="24" customHeight="1">
      <c r="AF9211" s="908">
        <v>0</v>
      </c>
    </row>
    <row r="9212" spans="32:32" ht="24" customHeight="1">
      <c r="AF9212" s="908">
        <v>0</v>
      </c>
    </row>
    <row r="9213" spans="32:32" ht="24" customHeight="1">
      <c r="AF9213" s="908">
        <v>0</v>
      </c>
    </row>
    <row r="9214" spans="32:32" ht="24" customHeight="1">
      <c r="AF9214" s="908">
        <v>0</v>
      </c>
    </row>
    <row r="9215" spans="32:32" ht="24" customHeight="1">
      <c r="AF9215" s="908">
        <v>0</v>
      </c>
    </row>
    <row r="9216" spans="32:32" ht="24" customHeight="1">
      <c r="AF9216" s="908">
        <v>0</v>
      </c>
    </row>
    <row r="9217" spans="32:32" ht="24" customHeight="1">
      <c r="AF9217" s="908">
        <v>0</v>
      </c>
    </row>
    <row r="9218" spans="32:32" ht="24" customHeight="1">
      <c r="AF9218" s="908">
        <v>0</v>
      </c>
    </row>
    <row r="9219" spans="32:32" ht="24" customHeight="1">
      <c r="AF9219" s="908">
        <v>0</v>
      </c>
    </row>
    <row r="9220" spans="32:32" ht="24" customHeight="1">
      <c r="AF9220" s="908">
        <v>0</v>
      </c>
    </row>
    <row r="9221" spans="32:32" ht="24" customHeight="1">
      <c r="AF9221" s="908">
        <v>0</v>
      </c>
    </row>
    <row r="9222" spans="32:32" ht="24" customHeight="1">
      <c r="AF9222" s="908">
        <v>0</v>
      </c>
    </row>
    <row r="9223" spans="32:32" ht="24" customHeight="1">
      <c r="AF9223" s="908">
        <v>0</v>
      </c>
    </row>
    <row r="9224" spans="32:32" ht="24" customHeight="1">
      <c r="AF9224" s="908">
        <v>0</v>
      </c>
    </row>
    <row r="9225" spans="32:32" ht="24" customHeight="1">
      <c r="AF9225" s="908">
        <v>0</v>
      </c>
    </row>
    <row r="9226" spans="32:32" ht="24" customHeight="1">
      <c r="AF9226" s="908">
        <v>0</v>
      </c>
    </row>
    <row r="9227" spans="32:32" ht="24" customHeight="1">
      <c r="AF9227" s="908">
        <v>0</v>
      </c>
    </row>
    <row r="9228" spans="32:32" ht="24" customHeight="1">
      <c r="AF9228" s="908">
        <v>0</v>
      </c>
    </row>
    <row r="9229" spans="32:32" ht="24" customHeight="1">
      <c r="AF9229" s="908">
        <v>0</v>
      </c>
    </row>
    <row r="9230" spans="32:32" ht="24" customHeight="1">
      <c r="AF9230" s="908">
        <v>0</v>
      </c>
    </row>
    <row r="9231" spans="32:32" ht="24" customHeight="1">
      <c r="AF9231" s="908">
        <v>0</v>
      </c>
    </row>
    <row r="9232" spans="32:32" ht="24" customHeight="1">
      <c r="AF9232" s="908">
        <v>0</v>
      </c>
    </row>
    <row r="9233" spans="32:32" ht="24" customHeight="1">
      <c r="AF9233" s="908">
        <v>0</v>
      </c>
    </row>
    <row r="9234" spans="32:32" ht="24" customHeight="1">
      <c r="AF9234" s="908">
        <v>0</v>
      </c>
    </row>
    <row r="9235" spans="32:32" ht="24" customHeight="1">
      <c r="AF9235" s="908">
        <v>0</v>
      </c>
    </row>
    <row r="9236" spans="32:32" ht="24" customHeight="1">
      <c r="AF9236" s="908">
        <v>0</v>
      </c>
    </row>
    <row r="9237" spans="32:32" ht="24" customHeight="1">
      <c r="AF9237" s="908">
        <v>0</v>
      </c>
    </row>
    <row r="9238" spans="32:32" ht="24" customHeight="1">
      <c r="AF9238" s="908">
        <v>0</v>
      </c>
    </row>
    <row r="9239" spans="32:32" ht="24" customHeight="1">
      <c r="AF9239" s="908">
        <v>0</v>
      </c>
    </row>
    <row r="9240" spans="32:32" ht="24" customHeight="1">
      <c r="AF9240" s="908">
        <v>0</v>
      </c>
    </row>
    <row r="9241" spans="32:32" ht="24" customHeight="1">
      <c r="AF9241" s="908">
        <v>0</v>
      </c>
    </row>
    <row r="9242" spans="32:32" ht="24" customHeight="1">
      <c r="AF9242" s="908">
        <v>0</v>
      </c>
    </row>
    <row r="9243" spans="32:32" ht="24" customHeight="1">
      <c r="AF9243" s="908">
        <v>0</v>
      </c>
    </row>
    <row r="9244" spans="32:32" ht="24" customHeight="1">
      <c r="AF9244" s="908">
        <v>0</v>
      </c>
    </row>
    <row r="9245" spans="32:32" ht="24" customHeight="1">
      <c r="AF9245" s="908">
        <v>0</v>
      </c>
    </row>
    <row r="9246" spans="32:32" ht="24" customHeight="1">
      <c r="AF9246" s="908">
        <v>0</v>
      </c>
    </row>
    <row r="9247" spans="32:32" ht="24" customHeight="1">
      <c r="AF9247" s="908">
        <v>0</v>
      </c>
    </row>
    <row r="9248" spans="32:32" ht="24" customHeight="1">
      <c r="AF9248" s="908">
        <v>0</v>
      </c>
    </row>
    <row r="9249" spans="32:32" ht="24" customHeight="1">
      <c r="AF9249" s="908">
        <v>0</v>
      </c>
    </row>
    <row r="9250" spans="32:32" ht="24" customHeight="1">
      <c r="AF9250" s="908">
        <v>0</v>
      </c>
    </row>
    <row r="9251" spans="32:32" ht="24" customHeight="1">
      <c r="AF9251" s="908">
        <v>0</v>
      </c>
    </row>
    <row r="9252" spans="32:32" ht="24" customHeight="1">
      <c r="AF9252" s="908">
        <v>0</v>
      </c>
    </row>
    <row r="9253" spans="32:32" ht="24" customHeight="1">
      <c r="AF9253" s="908">
        <v>0</v>
      </c>
    </row>
    <row r="9254" spans="32:32" ht="24" customHeight="1">
      <c r="AF9254" s="908">
        <v>0</v>
      </c>
    </row>
    <row r="9255" spans="32:32" ht="24" customHeight="1">
      <c r="AF9255" s="908">
        <v>0</v>
      </c>
    </row>
    <row r="9256" spans="32:32" ht="24" customHeight="1">
      <c r="AF9256" s="908">
        <v>0</v>
      </c>
    </row>
    <row r="9257" spans="32:32" ht="24" customHeight="1">
      <c r="AF9257" s="908">
        <v>0</v>
      </c>
    </row>
    <row r="9258" spans="32:32" ht="24" customHeight="1">
      <c r="AF9258" s="908">
        <v>0</v>
      </c>
    </row>
    <row r="9259" spans="32:32" ht="24" customHeight="1">
      <c r="AF9259" s="908">
        <v>0</v>
      </c>
    </row>
    <row r="9260" spans="32:32" ht="24" customHeight="1">
      <c r="AF9260" s="908">
        <v>0</v>
      </c>
    </row>
    <row r="9261" spans="32:32" ht="24" customHeight="1">
      <c r="AF9261" s="908">
        <v>0</v>
      </c>
    </row>
    <row r="9262" spans="32:32" ht="24" customHeight="1">
      <c r="AF9262" s="908">
        <v>0</v>
      </c>
    </row>
    <row r="9263" spans="32:32" ht="24" customHeight="1">
      <c r="AF9263" s="908">
        <v>0</v>
      </c>
    </row>
    <row r="9264" spans="32:32" ht="24" customHeight="1">
      <c r="AF9264" s="908">
        <v>0</v>
      </c>
    </row>
    <row r="9265" spans="32:32" ht="24" customHeight="1">
      <c r="AF9265" s="908">
        <v>0</v>
      </c>
    </row>
    <row r="9266" spans="32:32" ht="24" customHeight="1">
      <c r="AF9266" s="908">
        <v>0</v>
      </c>
    </row>
    <row r="9267" spans="32:32" ht="24" customHeight="1">
      <c r="AF9267" s="908">
        <v>0</v>
      </c>
    </row>
    <row r="9268" spans="32:32" ht="24" customHeight="1">
      <c r="AF9268" s="908">
        <v>0</v>
      </c>
    </row>
    <row r="9269" spans="32:32" ht="24" customHeight="1">
      <c r="AF9269" s="908">
        <v>0</v>
      </c>
    </row>
    <row r="9270" spans="32:32" ht="24" customHeight="1">
      <c r="AF9270" s="908">
        <v>0</v>
      </c>
    </row>
    <row r="9271" spans="32:32" ht="24" customHeight="1">
      <c r="AF9271" s="908">
        <v>0</v>
      </c>
    </row>
    <row r="9272" spans="32:32" ht="24" customHeight="1">
      <c r="AF9272" s="908">
        <v>0</v>
      </c>
    </row>
    <row r="9273" spans="32:32" ht="24" customHeight="1">
      <c r="AF9273" s="908">
        <v>0</v>
      </c>
    </row>
    <row r="9274" spans="32:32" ht="24" customHeight="1">
      <c r="AF9274" s="908">
        <v>0</v>
      </c>
    </row>
    <row r="9275" spans="32:32" ht="24" customHeight="1">
      <c r="AF9275" s="908">
        <v>0</v>
      </c>
    </row>
    <row r="9276" spans="32:32" ht="24" customHeight="1">
      <c r="AF9276" s="908">
        <v>0</v>
      </c>
    </row>
    <row r="9277" spans="32:32" ht="24" customHeight="1">
      <c r="AF9277" s="908">
        <v>0</v>
      </c>
    </row>
    <row r="9278" spans="32:32" ht="24" customHeight="1">
      <c r="AF9278" s="908">
        <v>0</v>
      </c>
    </row>
    <row r="9279" spans="32:32" ht="24" customHeight="1">
      <c r="AF9279" s="908">
        <v>0</v>
      </c>
    </row>
    <row r="9280" spans="32:32" ht="24" customHeight="1">
      <c r="AF9280" s="908">
        <v>0</v>
      </c>
    </row>
    <row r="9281" spans="32:32" ht="24" customHeight="1">
      <c r="AF9281" s="908">
        <v>0</v>
      </c>
    </row>
    <row r="9282" spans="32:32" ht="24" customHeight="1">
      <c r="AF9282" s="908">
        <v>0</v>
      </c>
    </row>
    <row r="9283" spans="32:32" ht="24" customHeight="1">
      <c r="AF9283" s="908">
        <v>0</v>
      </c>
    </row>
    <row r="9284" spans="32:32" ht="24" customHeight="1">
      <c r="AF9284" s="908">
        <v>0</v>
      </c>
    </row>
    <row r="9285" spans="32:32" ht="24" customHeight="1">
      <c r="AF9285" s="908">
        <v>0</v>
      </c>
    </row>
    <row r="9286" spans="32:32" ht="24" customHeight="1">
      <c r="AF9286" s="908">
        <v>0</v>
      </c>
    </row>
    <row r="9287" spans="32:32" ht="24" customHeight="1">
      <c r="AF9287" s="908">
        <v>0</v>
      </c>
    </row>
    <row r="9288" spans="32:32" ht="24" customHeight="1">
      <c r="AF9288" s="908">
        <v>0</v>
      </c>
    </row>
    <row r="9289" spans="32:32" ht="24" customHeight="1">
      <c r="AF9289" s="908">
        <v>0</v>
      </c>
    </row>
    <row r="9290" spans="32:32" ht="24" customHeight="1">
      <c r="AF9290" s="908">
        <v>0</v>
      </c>
    </row>
    <row r="9291" spans="32:32" ht="24" customHeight="1">
      <c r="AF9291" s="908">
        <v>0</v>
      </c>
    </row>
    <row r="9292" spans="32:32" ht="24" customHeight="1">
      <c r="AF9292" s="908">
        <v>0</v>
      </c>
    </row>
    <row r="9293" spans="32:32" ht="24" customHeight="1">
      <c r="AF9293" s="908">
        <v>0</v>
      </c>
    </row>
    <row r="9294" spans="32:32" ht="24" customHeight="1">
      <c r="AF9294" s="908">
        <v>0</v>
      </c>
    </row>
    <row r="9295" spans="32:32" ht="24" customHeight="1">
      <c r="AF9295" s="908">
        <v>0</v>
      </c>
    </row>
    <row r="9296" spans="32:32" ht="24" customHeight="1">
      <c r="AF9296" s="908">
        <v>0</v>
      </c>
    </row>
    <row r="9297" spans="32:32" ht="24" customHeight="1">
      <c r="AF9297" s="908">
        <v>0</v>
      </c>
    </row>
    <row r="9298" spans="32:32" ht="24" customHeight="1">
      <c r="AF9298" s="908">
        <v>0</v>
      </c>
    </row>
    <row r="9299" spans="32:32" ht="24" customHeight="1">
      <c r="AF9299" s="908">
        <v>0</v>
      </c>
    </row>
    <row r="9300" spans="32:32" ht="24" customHeight="1">
      <c r="AF9300" s="908">
        <v>0</v>
      </c>
    </row>
    <row r="9301" spans="32:32" ht="24" customHeight="1">
      <c r="AF9301" s="908">
        <v>0</v>
      </c>
    </row>
    <row r="9302" spans="32:32" ht="24" customHeight="1">
      <c r="AF9302" s="908">
        <v>0</v>
      </c>
    </row>
    <row r="9303" spans="32:32" ht="24" customHeight="1">
      <c r="AF9303" s="908">
        <v>0</v>
      </c>
    </row>
    <row r="9304" spans="32:32" ht="24" customHeight="1">
      <c r="AF9304" s="908">
        <v>0</v>
      </c>
    </row>
    <row r="9305" spans="32:32" ht="24" customHeight="1">
      <c r="AF9305" s="908">
        <v>0</v>
      </c>
    </row>
    <row r="9306" spans="32:32" ht="24" customHeight="1">
      <c r="AF9306" s="908">
        <v>0</v>
      </c>
    </row>
    <row r="9307" spans="32:32" ht="24" customHeight="1">
      <c r="AF9307" s="908">
        <v>0</v>
      </c>
    </row>
    <row r="9308" spans="32:32" ht="24" customHeight="1">
      <c r="AF9308" s="908">
        <v>0</v>
      </c>
    </row>
    <row r="9309" spans="32:32" ht="24" customHeight="1">
      <c r="AF9309" s="908">
        <v>0</v>
      </c>
    </row>
    <row r="9310" spans="32:32" ht="24" customHeight="1">
      <c r="AF9310" s="908">
        <v>0</v>
      </c>
    </row>
    <row r="9311" spans="32:32" ht="24" customHeight="1">
      <c r="AF9311" s="908">
        <v>0</v>
      </c>
    </row>
    <row r="9312" spans="32:32" ht="24" customHeight="1">
      <c r="AF9312" s="908">
        <v>0</v>
      </c>
    </row>
    <row r="9313" spans="32:32" ht="24" customHeight="1">
      <c r="AF9313" s="908">
        <v>0</v>
      </c>
    </row>
    <row r="9314" spans="32:32" ht="24" customHeight="1">
      <c r="AF9314" s="908">
        <v>0</v>
      </c>
    </row>
    <row r="9315" spans="32:32" ht="24" customHeight="1">
      <c r="AF9315" s="908">
        <v>0</v>
      </c>
    </row>
    <row r="9316" spans="32:32" ht="24" customHeight="1">
      <c r="AF9316" s="908">
        <v>0</v>
      </c>
    </row>
    <row r="9317" spans="32:32" ht="24" customHeight="1">
      <c r="AF9317" s="908">
        <v>0</v>
      </c>
    </row>
    <row r="9318" spans="32:32" ht="24" customHeight="1">
      <c r="AF9318" s="908">
        <v>0</v>
      </c>
    </row>
    <row r="9319" spans="32:32" ht="24" customHeight="1">
      <c r="AF9319" s="908">
        <v>0</v>
      </c>
    </row>
    <row r="9320" spans="32:32" ht="24" customHeight="1">
      <c r="AF9320" s="908">
        <v>0</v>
      </c>
    </row>
    <row r="9321" spans="32:32" ht="24" customHeight="1">
      <c r="AF9321" s="908">
        <v>0</v>
      </c>
    </row>
    <row r="9322" spans="32:32" ht="24" customHeight="1">
      <c r="AF9322" s="908">
        <v>0</v>
      </c>
    </row>
    <row r="9323" spans="32:32" ht="24" customHeight="1">
      <c r="AF9323" s="908">
        <v>0</v>
      </c>
    </row>
    <row r="9324" spans="32:32" ht="24" customHeight="1">
      <c r="AF9324" s="908">
        <v>0</v>
      </c>
    </row>
    <row r="9325" spans="32:32" ht="24" customHeight="1">
      <c r="AF9325" s="908">
        <v>0</v>
      </c>
    </row>
    <row r="9326" spans="32:32" ht="24" customHeight="1">
      <c r="AF9326" s="908">
        <v>0</v>
      </c>
    </row>
    <row r="9327" spans="32:32" ht="24" customHeight="1">
      <c r="AF9327" s="908">
        <v>0</v>
      </c>
    </row>
    <row r="9328" spans="32:32" ht="24" customHeight="1">
      <c r="AF9328" s="908">
        <v>0</v>
      </c>
    </row>
    <row r="9329" spans="32:32" ht="24" customHeight="1">
      <c r="AF9329" s="908">
        <v>0</v>
      </c>
    </row>
    <row r="9330" spans="32:32" ht="24" customHeight="1">
      <c r="AF9330" s="908">
        <v>0</v>
      </c>
    </row>
    <row r="9331" spans="32:32" ht="24" customHeight="1">
      <c r="AF9331" s="908">
        <v>0</v>
      </c>
    </row>
    <row r="9332" spans="32:32" ht="24" customHeight="1">
      <c r="AF9332" s="908">
        <v>0</v>
      </c>
    </row>
    <row r="9333" spans="32:32" ht="24" customHeight="1">
      <c r="AF9333" s="908">
        <v>0</v>
      </c>
    </row>
    <row r="9334" spans="32:32" ht="24" customHeight="1">
      <c r="AF9334" s="908">
        <v>0</v>
      </c>
    </row>
    <row r="9335" spans="32:32" ht="24" customHeight="1">
      <c r="AF9335" s="908">
        <v>0</v>
      </c>
    </row>
    <row r="9336" spans="32:32" ht="24" customHeight="1">
      <c r="AF9336" s="908">
        <v>0</v>
      </c>
    </row>
    <row r="9337" spans="32:32" ht="24" customHeight="1">
      <c r="AF9337" s="908">
        <v>0</v>
      </c>
    </row>
    <row r="9338" spans="32:32" ht="24" customHeight="1">
      <c r="AF9338" s="908">
        <v>0</v>
      </c>
    </row>
    <row r="9339" spans="32:32" ht="24" customHeight="1">
      <c r="AF9339" s="908">
        <v>0</v>
      </c>
    </row>
    <row r="9340" spans="32:32" ht="24" customHeight="1">
      <c r="AF9340" s="908">
        <v>0</v>
      </c>
    </row>
    <row r="9341" spans="32:32" ht="24" customHeight="1">
      <c r="AF9341" s="908">
        <v>0</v>
      </c>
    </row>
    <row r="9342" spans="32:32" ht="24" customHeight="1">
      <c r="AF9342" s="908">
        <v>0</v>
      </c>
    </row>
    <row r="9343" spans="32:32" ht="24" customHeight="1">
      <c r="AF9343" s="908">
        <v>0</v>
      </c>
    </row>
    <row r="9344" spans="32:32" ht="24" customHeight="1">
      <c r="AF9344" s="908">
        <v>0</v>
      </c>
    </row>
    <row r="9345" spans="32:32" ht="24" customHeight="1">
      <c r="AF9345" s="908">
        <v>0</v>
      </c>
    </row>
    <row r="9346" spans="32:32" ht="24" customHeight="1">
      <c r="AF9346" s="908">
        <v>0</v>
      </c>
    </row>
    <row r="9347" spans="32:32" ht="24" customHeight="1">
      <c r="AF9347" s="908">
        <v>0</v>
      </c>
    </row>
    <row r="9348" spans="32:32" ht="24" customHeight="1">
      <c r="AF9348" s="908">
        <v>0</v>
      </c>
    </row>
    <row r="9349" spans="32:32" ht="24" customHeight="1">
      <c r="AF9349" s="908">
        <v>0</v>
      </c>
    </row>
    <row r="9350" spans="32:32" ht="24" customHeight="1">
      <c r="AF9350" s="908">
        <v>0</v>
      </c>
    </row>
    <row r="9351" spans="32:32" ht="24" customHeight="1">
      <c r="AF9351" s="908">
        <v>0</v>
      </c>
    </row>
    <row r="9352" spans="32:32" ht="24" customHeight="1">
      <c r="AF9352" s="908">
        <v>0</v>
      </c>
    </row>
    <row r="9353" spans="32:32" ht="24" customHeight="1">
      <c r="AF9353" s="908">
        <v>0</v>
      </c>
    </row>
    <row r="9354" spans="32:32" ht="24" customHeight="1">
      <c r="AF9354" s="908">
        <v>0</v>
      </c>
    </row>
    <row r="9355" spans="32:32" ht="24" customHeight="1">
      <c r="AF9355" s="908">
        <v>0</v>
      </c>
    </row>
    <row r="9356" spans="32:32" ht="24" customHeight="1">
      <c r="AF9356" s="908">
        <v>0</v>
      </c>
    </row>
    <row r="9357" spans="32:32" ht="24" customHeight="1">
      <c r="AF9357" s="908">
        <v>0</v>
      </c>
    </row>
    <row r="9358" spans="32:32" ht="24" customHeight="1">
      <c r="AF9358" s="908">
        <v>0</v>
      </c>
    </row>
    <row r="9359" spans="32:32" ht="24" customHeight="1">
      <c r="AF9359" s="908">
        <v>0</v>
      </c>
    </row>
    <row r="9360" spans="32:32" ht="24" customHeight="1">
      <c r="AF9360" s="908">
        <v>0</v>
      </c>
    </row>
    <row r="9361" spans="32:32" ht="24" customHeight="1">
      <c r="AF9361" s="908">
        <v>0</v>
      </c>
    </row>
    <row r="9362" spans="32:32" ht="24" customHeight="1">
      <c r="AF9362" s="908">
        <v>0</v>
      </c>
    </row>
    <row r="9363" spans="32:32" ht="24" customHeight="1">
      <c r="AF9363" s="908">
        <v>0</v>
      </c>
    </row>
    <row r="9364" spans="32:32" ht="24" customHeight="1">
      <c r="AF9364" s="908">
        <v>0</v>
      </c>
    </row>
    <row r="9365" spans="32:32" ht="24" customHeight="1">
      <c r="AF9365" s="908">
        <v>0</v>
      </c>
    </row>
    <row r="9366" spans="32:32" ht="24" customHeight="1">
      <c r="AF9366" s="908">
        <v>0</v>
      </c>
    </row>
    <row r="9367" spans="32:32" ht="24" customHeight="1">
      <c r="AF9367" s="908">
        <v>0</v>
      </c>
    </row>
    <row r="9368" spans="32:32" ht="24" customHeight="1">
      <c r="AF9368" s="908">
        <v>0</v>
      </c>
    </row>
    <row r="9369" spans="32:32" ht="24" customHeight="1">
      <c r="AF9369" s="908">
        <v>0</v>
      </c>
    </row>
    <row r="9370" spans="32:32" ht="24" customHeight="1">
      <c r="AF9370" s="908">
        <v>0</v>
      </c>
    </row>
    <row r="9371" spans="32:32" ht="24" customHeight="1">
      <c r="AF9371" s="908">
        <v>0</v>
      </c>
    </row>
    <row r="9372" spans="32:32" ht="24" customHeight="1">
      <c r="AF9372" s="908">
        <v>0</v>
      </c>
    </row>
    <row r="9373" spans="32:32" ht="24" customHeight="1">
      <c r="AF9373" s="908">
        <v>0</v>
      </c>
    </row>
    <row r="9374" spans="32:32" ht="24" customHeight="1">
      <c r="AF9374" s="908">
        <v>0</v>
      </c>
    </row>
    <row r="9375" spans="32:32" ht="24" customHeight="1">
      <c r="AF9375" s="908">
        <v>0</v>
      </c>
    </row>
    <row r="9376" spans="32:32" ht="24" customHeight="1">
      <c r="AF9376" s="908">
        <v>0</v>
      </c>
    </row>
    <row r="9377" spans="32:32" ht="24" customHeight="1">
      <c r="AF9377" s="908">
        <v>0</v>
      </c>
    </row>
    <row r="9378" spans="32:32" ht="24" customHeight="1">
      <c r="AF9378" s="908">
        <v>0</v>
      </c>
    </row>
    <row r="9379" spans="32:32" ht="24" customHeight="1">
      <c r="AF9379" s="908">
        <v>0</v>
      </c>
    </row>
    <row r="9380" spans="32:32" ht="24" customHeight="1">
      <c r="AF9380" s="908">
        <v>0</v>
      </c>
    </row>
    <row r="9381" spans="32:32" ht="24" customHeight="1">
      <c r="AF9381" s="908">
        <v>0</v>
      </c>
    </row>
    <row r="9382" spans="32:32" ht="24" customHeight="1">
      <c r="AF9382" s="908">
        <v>0</v>
      </c>
    </row>
    <row r="9383" spans="32:32" ht="24" customHeight="1">
      <c r="AF9383" s="908">
        <v>0</v>
      </c>
    </row>
    <row r="9384" spans="32:32" ht="24" customHeight="1">
      <c r="AF9384" s="908">
        <v>0</v>
      </c>
    </row>
    <row r="9385" spans="32:32" ht="24" customHeight="1">
      <c r="AF9385" s="908">
        <v>0</v>
      </c>
    </row>
    <row r="9386" spans="32:32" ht="24" customHeight="1">
      <c r="AF9386" s="908">
        <v>0</v>
      </c>
    </row>
    <row r="9387" spans="32:32" ht="24" customHeight="1">
      <c r="AF9387" s="908">
        <v>0</v>
      </c>
    </row>
    <row r="9388" spans="32:32" ht="24" customHeight="1">
      <c r="AF9388" s="908">
        <v>0</v>
      </c>
    </row>
    <row r="9389" spans="32:32" ht="24" customHeight="1">
      <c r="AF9389" s="908">
        <v>0</v>
      </c>
    </row>
    <row r="9390" spans="32:32" ht="24" customHeight="1">
      <c r="AF9390" s="908">
        <v>0</v>
      </c>
    </row>
    <row r="9391" spans="32:32" ht="24" customHeight="1">
      <c r="AF9391" s="908">
        <v>0</v>
      </c>
    </row>
    <row r="9392" spans="32:32" ht="24" customHeight="1">
      <c r="AF9392" s="908">
        <v>0</v>
      </c>
    </row>
    <row r="9393" spans="32:32" ht="24" customHeight="1">
      <c r="AF9393" s="908">
        <v>0</v>
      </c>
    </row>
    <row r="9394" spans="32:32" ht="24" customHeight="1">
      <c r="AF9394" s="908">
        <v>0</v>
      </c>
    </row>
    <row r="9395" spans="32:32" ht="24" customHeight="1">
      <c r="AF9395" s="908">
        <v>0</v>
      </c>
    </row>
    <row r="9396" spans="32:32" ht="24" customHeight="1">
      <c r="AF9396" s="908">
        <v>0</v>
      </c>
    </row>
    <row r="9397" spans="32:32" ht="24" customHeight="1">
      <c r="AF9397" s="908">
        <v>0</v>
      </c>
    </row>
    <row r="9398" spans="32:32" ht="24" customHeight="1">
      <c r="AF9398" s="908">
        <v>0</v>
      </c>
    </row>
    <row r="9399" spans="32:32" ht="24" customHeight="1">
      <c r="AF9399" s="908">
        <v>0</v>
      </c>
    </row>
    <row r="9400" spans="32:32" ht="24" customHeight="1">
      <c r="AF9400" s="908">
        <v>0</v>
      </c>
    </row>
    <row r="9401" spans="32:32" ht="24" customHeight="1">
      <c r="AF9401" s="908">
        <v>0</v>
      </c>
    </row>
    <row r="9402" spans="32:32" ht="24" customHeight="1">
      <c r="AF9402" s="908">
        <v>0</v>
      </c>
    </row>
    <row r="9403" spans="32:32" ht="24" customHeight="1">
      <c r="AF9403" s="908">
        <v>0</v>
      </c>
    </row>
    <row r="9404" spans="32:32" ht="24" customHeight="1">
      <c r="AF9404" s="908">
        <v>0</v>
      </c>
    </row>
    <row r="9405" spans="32:32" ht="24" customHeight="1">
      <c r="AF9405" s="908">
        <v>0</v>
      </c>
    </row>
    <row r="9406" spans="32:32" ht="24" customHeight="1">
      <c r="AF9406" s="908">
        <v>0</v>
      </c>
    </row>
    <row r="9407" spans="32:32" ht="24" customHeight="1">
      <c r="AF9407" s="908">
        <v>0</v>
      </c>
    </row>
    <row r="9408" spans="32:32" ht="24" customHeight="1">
      <c r="AF9408" s="908">
        <v>0</v>
      </c>
    </row>
    <row r="9409" spans="32:32" ht="24" customHeight="1">
      <c r="AF9409" s="908">
        <v>0</v>
      </c>
    </row>
    <row r="9410" spans="32:32" ht="24" customHeight="1">
      <c r="AF9410" s="908">
        <v>0</v>
      </c>
    </row>
    <row r="9411" spans="32:32" ht="24" customHeight="1">
      <c r="AF9411" s="908">
        <v>0</v>
      </c>
    </row>
    <row r="9412" spans="32:32" ht="24" customHeight="1">
      <c r="AF9412" s="908">
        <v>0</v>
      </c>
    </row>
    <row r="9413" spans="32:32" ht="24" customHeight="1">
      <c r="AF9413" s="908">
        <v>0</v>
      </c>
    </row>
    <row r="9414" spans="32:32" ht="24" customHeight="1">
      <c r="AF9414" s="908">
        <v>0</v>
      </c>
    </row>
    <row r="9415" spans="32:32" ht="24" customHeight="1">
      <c r="AF9415" s="908">
        <v>0</v>
      </c>
    </row>
    <row r="9416" spans="32:32" ht="24" customHeight="1">
      <c r="AF9416" s="908">
        <v>0</v>
      </c>
    </row>
    <row r="9417" spans="32:32" ht="24" customHeight="1">
      <c r="AF9417" s="908">
        <v>0</v>
      </c>
    </row>
    <row r="9418" spans="32:32" ht="24" customHeight="1">
      <c r="AF9418" s="908">
        <v>0</v>
      </c>
    </row>
    <row r="9419" spans="32:32" ht="24" customHeight="1">
      <c r="AF9419" s="908">
        <v>0</v>
      </c>
    </row>
    <row r="9420" spans="32:32" ht="24" customHeight="1">
      <c r="AF9420" s="908">
        <v>0</v>
      </c>
    </row>
    <row r="9421" spans="32:32" ht="24" customHeight="1">
      <c r="AF9421" s="908">
        <v>0</v>
      </c>
    </row>
    <row r="9422" spans="32:32" ht="24" customHeight="1">
      <c r="AF9422" s="908">
        <v>0</v>
      </c>
    </row>
    <row r="9423" spans="32:32" ht="24" customHeight="1">
      <c r="AF9423" s="908">
        <v>0</v>
      </c>
    </row>
    <row r="9424" spans="32:32" ht="24" customHeight="1">
      <c r="AF9424" s="908">
        <v>0</v>
      </c>
    </row>
    <row r="9425" spans="32:32" ht="24" customHeight="1">
      <c r="AF9425" s="908">
        <v>0</v>
      </c>
    </row>
    <row r="9426" spans="32:32" ht="24" customHeight="1">
      <c r="AF9426" s="908">
        <v>0</v>
      </c>
    </row>
    <row r="9427" spans="32:32" ht="24" customHeight="1">
      <c r="AF9427" s="908">
        <v>0</v>
      </c>
    </row>
    <row r="9428" spans="32:32" ht="24" customHeight="1">
      <c r="AF9428" s="908">
        <v>0</v>
      </c>
    </row>
    <row r="9429" spans="32:32" ht="24" customHeight="1">
      <c r="AF9429" s="908">
        <v>0</v>
      </c>
    </row>
    <row r="9430" spans="32:32" ht="24" customHeight="1">
      <c r="AF9430" s="908">
        <v>0</v>
      </c>
    </row>
    <row r="9431" spans="32:32" ht="24" customHeight="1">
      <c r="AF9431" s="908">
        <v>0</v>
      </c>
    </row>
    <row r="9432" spans="32:32" ht="24" customHeight="1">
      <c r="AF9432" s="908">
        <v>0</v>
      </c>
    </row>
    <row r="9433" spans="32:32" ht="24" customHeight="1">
      <c r="AF9433" s="908">
        <v>0</v>
      </c>
    </row>
    <row r="9434" spans="32:32" ht="24" customHeight="1">
      <c r="AF9434" s="908">
        <v>0</v>
      </c>
    </row>
    <row r="9435" spans="32:32" ht="24" customHeight="1">
      <c r="AF9435" s="908">
        <v>0</v>
      </c>
    </row>
    <row r="9436" spans="32:32" ht="24" customHeight="1">
      <c r="AF9436" s="908">
        <v>0</v>
      </c>
    </row>
    <row r="9437" spans="32:32" ht="24" customHeight="1">
      <c r="AF9437" s="908">
        <v>0</v>
      </c>
    </row>
    <row r="9438" spans="32:32" ht="24" customHeight="1">
      <c r="AF9438" s="908">
        <v>0</v>
      </c>
    </row>
    <row r="9439" spans="32:32" ht="24" customHeight="1">
      <c r="AF9439" s="908">
        <v>0</v>
      </c>
    </row>
    <row r="9440" spans="32:32" ht="24" customHeight="1">
      <c r="AF9440" s="908">
        <v>0</v>
      </c>
    </row>
    <row r="9441" spans="32:32" ht="24" customHeight="1">
      <c r="AF9441" s="908">
        <v>0</v>
      </c>
    </row>
    <row r="9442" spans="32:32" ht="24" customHeight="1">
      <c r="AF9442" s="908">
        <v>0</v>
      </c>
    </row>
    <row r="9443" spans="32:32" ht="24" customHeight="1">
      <c r="AF9443" s="908">
        <v>0</v>
      </c>
    </row>
    <row r="9444" spans="32:32" ht="24" customHeight="1">
      <c r="AF9444" s="908">
        <v>0</v>
      </c>
    </row>
    <row r="9445" spans="32:32" ht="24" customHeight="1">
      <c r="AF9445" s="908">
        <v>0</v>
      </c>
    </row>
    <row r="9446" spans="32:32" ht="24" customHeight="1">
      <c r="AF9446" s="908">
        <v>0</v>
      </c>
    </row>
    <row r="9447" spans="32:32" ht="24" customHeight="1">
      <c r="AF9447" s="908">
        <v>0</v>
      </c>
    </row>
    <row r="9448" spans="32:32" ht="24" customHeight="1">
      <c r="AF9448" s="908">
        <v>0</v>
      </c>
    </row>
    <row r="9449" spans="32:32" ht="24" customHeight="1">
      <c r="AF9449" s="908">
        <v>0</v>
      </c>
    </row>
    <row r="9450" spans="32:32" ht="24" customHeight="1">
      <c r="AF9450" s="908">
        <v>0</v>
      </c>
    </row>
    <row r="9451" spans="32:32" ht="24" customHeight="1">
      <c r="AF9451" s="908">
        <v>0</v>
      </c>
    </row>
    <row r="9452" spans="32:32" ht="24" customHeight="1">
      <c r="AF9452" s="908">
        <v>0</v>
      </c>
    </row>
    <row r="9453" spans="32:32" ht="24" customHeight="1">
      <c r="AF9453" s="908">
        <v>0</v>
      </c>
    </row>
    <row r="9454" spans="32:32" ht="24" customHeight="1">
      <c r="AF9454" s="908">
        <v>0</v>
      </c>
    </row>
    <row r="9455" spans="32:32" ht="24" customHeight="1">
      <c r="AF9455" s="908">
        <v>0</v>
      </c>
    </row>
    <row r="9456" spans="32:32" ht="24" customHeight="1">
      <c r="AF9456" s="908">
        <v>0</v>
      </c>
    </row>
    <row r="9457" spans="32:32" ht="24" customHeight="1">
      <c r="AF9457" s="908">
        <v>0</v>
      </c>
    </row>
    <row r="9458" spans="32:32" ht="24" customHeight="1">
      <c r="AF9458" s="908">
        <v>0</v>
      </c>
    </row>
    <row r="9459" spans="32:32" ht="24" customHeight="1">
      <c r="AF9459" s="908">
        <v>0</v>
      </c>
    </row>
    <row r="9460" spans="32:32" ht="24" customHeight="1">
      <c r="AF9460" s="908">
        <v>0</v>
      </c>
    </row>
    <row r="9461" spans="32:32" ht="24" customHeight="1">
      <c r="AF9461" s="908">
        <v>0</v>
      </c>
    </row>
    <row r="9462" spans="32:32" ht="24" customHeight="1">
      <c r="AF9462" s="908">
        <v>0</v>
      </c>
    </row>
    <row r="9463" spans="32:32" ht="24" customHeight="1">
      <c r="AF9463" s="908">
        <v>0</v>
      </c>
    </row>
    <row r="9464" spans="32:32" ht="24" customHeight="1">
      <c r="AF9464" s="908">
        <v>0</v>
      </c>
    </row>
    <row r="9465" spans="32:32" ht="24" customHeight="1">
      <c r="AF9465" s="908">
        <v>0</v>
      </c>
    </row>
    <row r="9466" spans="32:32" ht="24" customHeight="1">
      <c r="AF9466" s="908">
        <v>0</v>
      </c>
    </row>
    <row r="9467" spans="32:32" ht="24" customHeight="1">
      <c r="AF9467" s="908">
        <v>0</v>
      </c>
    </row>
    <row r="9468" spans="32:32" ht="24" customHeight="1">
      <c r="AF9468" s="908">
        <v>0</v>
      </c>
    </row>
    <row r="9469" spans="32:32" ht="24" customHeight="1">
      <c r="AF9469" s="908">
        <v>0</v>
      </c>
    </row>
    <row r="9470" spans="32:32" ht="24" customHeight="1">
      <c r="AF9470" s="908">
        <v>0</v>
      </c>
    </row>
    <row r="9471" spans="32:32" ht="24" customHeight="1">
      <c r="AF9471" s="908">
        <v>0</v>
      </c>
    </row>
    <row r="9472" spans="32:32" ht="24" customHeight="1">
      <c r="AF9472" s="908">
        <v>0</v>
      </c>
    </row>
    <row r="9473" spans="32:32" ht="24" customHeight="1">
      <c r="AF9473" s="908">
        <v>0</v>
      </c>
    </row>
    <row r="9474" spans="32:32" ht="24" customHeight="1">
      <c r="AF9474" s="908">
        <v>0</v>
      </c>
    </row>
    <row r="9475" spans="32:32" ht="24" customHeight="1">
      <c r="AF9475" s="908">
        <v>0</v>
      </c>
    </row>
    <row r="9476" spans="32:32" ht="24" customHeight="1">
      <c r="AF9476" s="908">
        <v>0</v>
      </c>
    </row>
    <row r="9477" spans="32:32" ht="24" customHeight="1">
      <c r="AF9477" s="908">
        <v>0</v>
      </c>
    </row>
    <row r="9478" spans="32:32" ht="24" customHeight="1">
      <c r="AF9478" s="908">
        <v>0</v>
      </c>
    </row>
    <row r="9479" spans="32:32" ht="24" customHeight="1">
      <c r="AF9479" s="908">
        <v>0</v>
      </c>
    </row>
    <row r="9480" spans="32:32" ht="24" customHeight="1">
      <c r="AF9480" s="908">
        <v>0</v>
      </c>
    </row>
    <row r="9481" spans="32:32" ht="24" customHeight="1">
      <c r="AF9481" s="908">
        <v>0</v>
      </c>
    </row>
    <row r="9482" spans="32:32" ht="24" customHeight="1">
      <c r="AF9482" s="908">
        <v>0</v>
      </c>
    </row>
    <row r="9483" spans="32:32" ht="24" customHeight="1">
      <c r="AF9483" s="908">
        <v>0</v>
      </c>
    </row>
    <row r="9484" spans="32:32" ht="24" customHeight="1">
      <c r="AF9484" s="908">
        <v>0</v>
      </c>
    </row>
    <row r="9485" spans="32:32" ht="24" customHeight="1">
      <c r="AF9485" s="908">
        <v>0</v>
      </c>
    </row>
    <row r="9486" spans="32:32" ht="24" customHeight="1">
      <c r="AF9486" s="908">
        <v>0</v>
      </c>
    </row>
    <row r="9487" spans="32:32" ht="24" customHeight="1">
      <c r="AF9487" s="908">
        <v>0</v>
      </c>
    </row>
    <row r="9488" spans="32:32" ht="24" customHeight="1">
      <c r="AF9488" s="908">
        <v>0</v>
      </c>
    </row>
    <row r="9489" spans="32:32" ht="24" customHeight="1">
      <c r="AF9489" s="908">
        <v>0</v>
      </c>
    </row>
    <row r="9490" spans="32:32" ht="24" customHeight="1">
      <c r="AF9490" s="908">
        <v>0</v>
      </c>
    </row>
    <row r="9491" spans="32:32" ht="24" customHeight="1">
      <c r="AF9491" s="908">
        <v>0</v>
      </c>
    </row>
    <row r="9492" spans="32:32" ht="24" customHeight="1">
      <c r="AF9492" s="908">
        <v>0</v>
      </c>
    </row>
    <row r="9493" spans="32:32" ht="24" customHeight="1">
      <c r="AF9493" s="908">
        <v>0</v>
      </c>
    </row>
    <row r="9494" spans="32:32" ht="24" customHeight="1">
      <c r="AF9494" s="908">
        <v>0</v>
      </c>
    </row>
    <row r="9495" spans="32:32" ht="24" customHeight="1">
      <c r="AF9495" s="908">
        <v>0</v>
      </c>
    </row>
    <row r="9496" spans="32:32" ht="24" customHeight="1">
      <c r="AF9496" s="908">
        <v>0</v>
      </c>
    </row>
    <row r="9497" spans="32:32" ht="24" customHeight="1">
      <c r="AF9497" s="908">
        <v>0</v>
      </c>
    </row>
    <row r="9498" spans="32:32" ht="24" customHeight="1">
      <c r="AF9498" s="908">
        <v>0</v>
      </c>
    </row>
    <row r="9499" spans="32:32" ht="24" customHeight="1">
      <c r="AF9499" s="908">
        <v>0</v>
      </c>
    </row>
    <row r="9500" spans="32:32" ht="24" customHeight="1">
      <c r="AF9500" s="908">
        <v>0</v>
      </c>
    </row>
    <row r="9501" spans="32:32" ht="24" customHeight="1">
      <c r="AF9501" s="908">
        <v>0</v>
      </c>
    </row>
    <row r="9502" spans="32:32" ht="24" customHeight="1">
      <c r="AF9502" s="908">
        <v>0</v>
      </c>
    </row>
    <row r="9503" spans="32:32" ht="24" customHeight="1">
      <c r="AF9503" s="908">
        <v>0</v>
      </c>
    </row>
    <row r="9504" spans="32:32" ht="24" customHeight="1">
      <c r="AF9504" s="908">
        <v>0</v>
      </c>
    </row>
    <row r="9505" spans="32:32" ht="24" customHeight="1">
      <c r="AF9505" s="908">
        <v>0</v>
      </c>
    </row>
    <row r="9506" spans="32:32" ht="24" customHeight="1">
      <c r="AF9506" s="908">
        <v>0</v>
      </c>
    </row>
    <row r="9507" spans="32:32" ht="24" customHeight="1">
      <c r="AF9507" s="908">
        <v>0</v>
      </c>
    </row>
    <row r="9508" spans="32:32" ht="24" customHeight="1">
      <c r="AF9508" s="908">
        <v>0</v>
      </c>
    </row>
    <row r="9509" spans="32:32" ht="24" customHeight="1">
      <c r="AF9509" s="908">
        <v>0</v>
      </c>
    </row>
    <row r="9510" spans="32:32" ht="24" customHeight="1">
      <c r="AF9510" s="908">
        <v>0</v>
      </c>
    </row>
    <row r="9511" spans="32:32" ht="24" customHeight="1">
      <c r="AF9511" s="908">
        <v>0</v>
      </c>
    </row>
    <row r="9512" spans="32:32" ht="24" customHeight="1">
      <c r="AF9512" s="908">
        <v>0</v>
      </c>
    </row>
    <row r="9513" spans="32:32" ht="24" customHeight="1">
      <c r="AF9513" s="908">
        <v>0</v>
      </c>
    </row>
    <row r="9514" spans="32:32" ht="24" customHeight="1">
      <c r="AF9514" s="908">
        <v>0</v>
      </c>
    </row>
    <row r="9515" spans="32:32" ht="24" customHeight="1">
      <c r="AF9515" s="908">
        <v>0</v>
      </c>
    </row>
    <row r="9516" spans="32:32" ht="24" customHeight="1">
      <c r="AF9516" s="908">
        <v>0</v>
      </c>
    </row>
    <row r="9517" spans="32:32" ht="24" customHeight="1">
      <c r="AF9517" s="908">
        <v>0</v>
      </c>
    </row>
    <row r="9518" spans="32:32" ht="24" customHeight="1">
      <c r="AF9518" s="908">
        <v>0</v>
      </c>
    </row>
    <row r="9519" spans="32:32" ht="24" customHeight="1">
      <c r="AF9519" s="908">
        <v>0</v>
      </c>
    </row>
    <row r="9520" spans="32:32" ht="24" customHeight="1">
      <c r="AF9520" s="908">
        <v>0</v>
      </c>
    </row>
    <row r="9521" spans="32:32" ht="24" customHeight="1">
      <c r="AF9521" s="908">
        <v>0</v>
      </c>
    </row>
    <row r="9522" spans="32:32" ht="24" customHeight="1">
      <c r="AF9522" s="908">
        <v>0</v>
      </c>
    </row>
    <row r="9523" spans="32:32" ht="24" customHeight="1">
      <c r="AF9523" s="908">
        <v>0</v>
      </c>
    </row>
    <row r="9524" spans="32:32" ht="24" customHeight="1">
      <c r="AF9524" s="908">
        <v>0</v>
      </c>
    </row>
    <row r="9525" spans="32:32" ht="24" customHeight="1">
      <c r="AF9525" s="908">
        <v>0</v>
      </c>
    </row>
    <row r="9526" spans="32:32" ht="24" customHeight="1">
      <c r="AF9526" s="908">
        <v>0</v>
      </c>
    </row>
    <row r="9527" spans="32:32" ht="24" customHeight="1">
      <c r="AF9527" s="908">
        <v>0</v>
      </c>
    </row>
    <row r="9528" spans="32:32" ht="24" customHeight="1">
      <c r="AF9528" s="908">
        <v>0</v>
      </c>
    </row>
    <row r="9529" spans="32:32" ht="24" customHeight="1">
      <c r="AF9529" s="908">
        <v>0</v>
      </c>
    </row>
    <row r="9530" spans="32:32" ht="24" customHeight="1">
      <c r="AF9530" s="908">
        <v>0</v>
      </c>
    </row>
    <row r="9531" spans="32:32" ht="24" customHeight="1">
      <c r="AF9531" s="908">
        <v>0</v>
      </c>
    </row>
    <row r="9532" spans="32:32" ht="24" customHeight="1">
      <c r="AF9532" s="908">
        <v>0</v>
      </c>
    </row>
    <row r="9533" spans="32:32" ht="24" customHeight="1">
      <c r="AF9533" s="908">
        <v>0</v>
      </c>
    </row>
    <row r="9534" spans="32:32" ht="24" customHeight="1">
      <c r="AF9534" s="908">
        <v>0</v>
      </c>
    </row>
    <row r="9535" spans="32:32" ht="24" customHeight="1">
      <c r="AF9535" s="908">
        <v>0</v>
      </c>
    </row>
    <row r="9536" spans="32:32" ht="24" customHeight="1">
      <c r="AF9536" s="908">
        <v>0</v>
      </c>
    </row>
    <row r="9537" spans="32:32" ht="24" customHeight="1">
      <c r="AF9537" s="908">
        <v>0</v>
      </c>
    </row>
    <row r="9538" spans="32:32" ht="24" customHeight="1">
      <c r="AF9538" s="908">
        <v>0</v>
      </c>
    </row>
    <row r="9539" spans="32:32" ht="24" customHeight="1">
      <c r="AF9539" s="908">
        <v>0</v>
      </c>
    </row>
    <row r="9540" spans="32:32" ht="24" customHeight="1">
      <c r="AF9540" s="908">
        <v>0</v>
      </c>
    </row>
    <row r="9541" spans="32:32" ht="24" customHeight="1">
      <c r="AF9541" s="908">
        <v>0</v>
      </c>
    </row>
    <row r="9542" spans="32:32" ht="24" customHeight="1">
      <c r="AF9542" s="908">
        <v>0</v>
      </c>
    </row>
    <row r="9543" spans="32:32" ht="24" customHeight="1">
      <c r="AF9543" s="908">
        <v>0</v>
      </c>
    </row>
    <row r="9544" spans="32:32" ht="24" customHeight="1">
      <c r="AF9544" s="908">
        <v>0</v>
      </c>
    </row>
    <row r="9545" spans="32:32" ht="24" customHeight="1">
      <c r="AF9545" s="908">
        <v>0</v>
      </c>
    </row>
    <row r="9546" spans="32:32" ht="24" customHeight="1">
      <c r="AF9546" s="908">
        <v>0</v>
      </c>
    </row>
    <row r="9547" spans="32:32" ht="24" customHeight="1">
      <c r="AF9547" s="908">
        <v>0</v>
      </c>
    </row>
    <row r="9548" spans="32:32" ht="24" customHeight="1">
      <c r="AF9548" s="908">
        <v>0</v>
      </c>
    </row>
    <row r="9549" spans="32:32" ht="24" customHeight="1">
      <c r="AF9549" s="908">
        <v>0</v>
      </c>
    </row>
    <row r="9550" spans="32:32" ht="24" customHeight="1">
      <c r="AF9550" s="908">
        <v>0</v>
      </c>
    </row>
    <row r="9551" spans="32:32" ht="24" customHeight="1">
      <c r="AF9551" s="908">
        <v>0</v>
      </c>
    </row>
    <row r="9552" spans="32:32" ht="24" customHeight="1">
      <c r="AF9552" s="908">
        <v>0</v>
      </c>
    </row>
    <row r="9553" spans="32:32" ht="24" customHeight="1">
      <c r="AF9553" s="908">
        <v>0</v>
      </c>
    </row>
    <row r="9554" spans="32:32" ht="24" customHeight="1">
      <c r="AF9554" s="908">
        <v>0</v>
      </c>
    </row>
    <row r="9555" spans="32:32" ht="24" customHeight="1">
      <c r="AF9555" s="908">
        <v>0</v>
      </c>
    </row>
    <row r="9556" spans="32:32" ht="24" customHeight="1">
      <c r="AF9556" s="908">
        <v>0</v>
      </c>
    </row>
    <row r="9557" spans="32:32" ht="24" customHeight="1">
      <c r="AF9557" s="908">
        <v>0</v>
      </c>
    </row>
    <row r="9558" spans="32:32" ht="24" customHeight="1">
      <c r="AF9558" s="908">
        <v>0</v>
      </c>
    </row>
    <row r="9559" spans="32:32" ht="24" customHeight="1">
      <c r="AF9559" s="908">
        <v>0</v>
      </c>
    </row>
    <row r="9560" spans="32:32" ht="24" customHeight="1">
      <c r="AF9560" s="908">
        <v>0</v>
      </c>
    </row>
    <row r="9561" spans="32:32" ht="24" customHeight="1">
      <c r="AF9561" s="908">
        <v>0</v>
      </c>
    </row>
    <row r="9562" spans="32:32" ht="24" customHeight="1">
      <c r="AF9562" s="908">
        <v>0</v>
      </c>
    </row>
    <row r="9563" spans="32:32" ht="24" customHeight="1">
      <c r="AF9563" s="908">
        <v>0</v>
      </c>
    </row>
    <row r="9564" spans="32:32" ht="24" customHeight="1">
      <c r="AF9564" s="908">
        <v>0</v>
      </c>
    </row>
    <row r="9565" spans="32:32" ht="24" customHeight="1">
      <c r="AF9565" s="908">
        <v>0</v>
      </c>
    </row>
    <row r="9566" spans="32:32" ht="24" customHeight="1">
      <c r="AF9566" s="908">
        <v>0</v>
      </c>
    </row>
    <row r="9567" spans="32:32" ht="24" customHeight="1">
      <c r="AF9567" s="908">
        <v>0</v>
      </c>
    </row>
    <row r="9568" spans="32:32" ht="24" customHeight="1">
      <c r="AF9568" s="908">
        <v>0</v>
      </c>
    </row>
    <row r="9569" spans="32:32" ht="24" customHeight="1">
      <c r="AF9569" s="908">
        <v>0</v>
      </c>
    </row>
    <row r="9570" spans="32:32" ht="24" customHeight="1">
      <c r="AF9570" s="908">
        <v>0</v>
      </c>
    </row>
    <row r="9571" spans="32:32" ht="24" customHeight="1">
      <c r="AF9571" s="908">
        <v>0</v>
      </c>
    </row>
    <row r="9572" spans="32:32" ht="24" customHeight="1">
      <c r="AF9572" s="908">
        <v>0</v>
      </c>
    </row>
    <row r="9573" spans="32:32" ht="24" customHeight="1">
      <c r="AF9573" s="908">
        <v>0</v>
      </c>
    </row>
    <row r="9574" spans="32:32" ht="24" customHeight="1">
      <c r="AF9574" s="908">
        <v>0</v>
      </c>
    </row>
    <row r="9575" spans="32:32" ht="24" customHeight="1">
      <c r="AF9575" s="908">
        <v>0</v>
      </c>
    </row>
    <row r="9576" spans="32:32" ht="24" customHeight="1">
      <c r="AF9576" s="908">
        <v>0</v>
      </c>
    </row>
    <row r="9577" spans="32:32" ht="24" customHeight="1">
      <c r="AF9577" s="908">
        <v>0</v>
      </c>
    </row>
    <row r="9578" spans="32:32" ht="24" customHeight="1">
      <c r="AF9578" s="908">
        <v>0</v>
      </c>
    </row>
    <row r="9579" spans="32:32" ht="24" customHeight="1">
      <c r="AF9579" s="908">
        <v>0</v>
      </c>
    </row>
    <row r="9580" spans="32:32" ht="24" customHeight="1">
      <c r="AF9580" s="908">
        <v>0</v>
      </c>
    </row>
    <row r="9581" spans="32:32" ht="24" customHeight="1">
      <c r="AF9581" s="908">
        <v>0</v>
      </c>
    </row>
    <row r="9582" spans="32:32" ht="24" customHeight="1">
      <c r="AF9582" s="908">
        <v>0</v>
      </c>
    </row>
    <row r="9583" spans="32:32" ht="24" customHeight="1">
      <c r="AF9583" s="908">
        <v>0</v>
      </c>
    </row>
    <row r="9584" spans="32:32" ht="24" customHeight="1">
      <c r="AF9584" s="908">
        <v>0</v>
      </c>
    </row>
    <row r="9585" spans="32:32" ht="24" customHeight="1">
      <c r="AF9585" s="908">
        <v>0</v>
      </c>
    </row>
    <row r="9586" spans="32:32" ht="24" customHeight="1">
      <c r="AF9586" s="908">
        <v>0</v>
      </c>
    </row>
    <row r="9587" spans="32:32" ht="24" customHeight="1">
      <c r="AF9587" s="908">
        <v>0</v>
      </c>
    </row>
    <row r="9588" spans="32:32" ht="24" customHeight="1">
      <c r="AF9588" s="908">
        <v>0</v>
      </c>
    </row>
    <row r="9589" spans="32:32" ht="24" customHeight="1">
      <c r="AF9589" s="908">
        <v>0</v>
      </c>
    </row>
    <row r="9590" spans="32:32" ht="24" customHeight="1">
      <c r="AF9590" s="908">
        <v>0</v>
      </c>
    </row>
    <row r="9591" spans="32:32" ht="24" customHeight="1">
      <c r="AF9591" s="908">
        <v>0</v>
      </c>
    </row>
    <row r="9592" spans="32:32" ht="24" customHeight="1">
      <c r="AF9592" s="908">
        <v>0</v>
      </c>
    </row>
    <row r="9593" spans="32:32" ht="24" customHeight="1">
      <c r="AF9593" s="908">
        <v>0</v>
      </c>
    </row>
    <row r="9594" spans="32:32" ht="24" customHeight="1">
      <c r="AF9594" s="908">
        <v>0</v>
      </c>
    </row>
    <row r="9595" spans="32:32" ht="24" customHeight="1">
      <c r="AF9595" s="908">
        <v>0</v>
      </c>
    </row>
    <row r="9596" spans="32:32" ht="24" customHeight="1">
      <c r="AF9596" s="908">
        <v>0</v>
      </c>
    </row>
    <row r="9597" spans="32:32" ht="24" customHeight="1">
      <c r="AF9597" s="908">
        <v>0</v>
      </c>
    </row>
    <row r="9598" spans="32:32" ht="24" customHeight="1">
      <c r="AF9598" s="908">
        <v>0</v>
      </c>
    </row>
    <row r="9599" spans="32:32" ht="24" customHeight="1">
      <c r="AF9599" s="908">
        <v>0</v>
      </c>
    </row>
    <row r="9600" spans="32:32" ht="24" customHeight="1">
      <c r="AF9600" s="908">
        <v>0</v>
      </c>
    </row>
    <row r="9601" spans="32:32" ht="24" customHeight="1">
      <c r="AF9601" s="908">
        <v>0</v>
      </c>
    </row>
    <row r="9602" spans="32:32" ht="24" customHeight="1">
      <c r="AF9602" s="908">
        <v>0</v>
      </c>
    </row>
    <row r="9603" spans="32:32" ht="24" customHeight="1">
      <c r="AF9603" s="908">
        <v>0</v>
      </c>
    </row>
    <row r="9604" spans="32:32" ht="24" customHeight="1">
      <c r="AF9604" s="908">
        <v>0</v>
      </c>
    </row>
    <row r="9605" spans="32:32" ht="24" customHeight="1">
      <c r="AF9605" s="908">
        <v>0</v>
      </c>
    </row>
    <row r="9606" spans="32:32" ht="24" customHeight="1">
      <c r="AF9606" s="908">
        <v>0</v>
      </c>
    </row>
    <row r="9607" spans="32:32" ht="24" customHeight="1">
      <c r="AF9607" s="908">
        <v>0</v>
      </c>
    </row>
    <row r="9608" spans="32:32" ht="24" customHeight="1">
      <c r="AF9608" s="908">
        <v>0</v>
      </c>
    </row>
    <row r="9609" spans="32:32" ht="24" customHeight="1">
      <c r="AF9609" s="908">
        <v>0</v>
      </c>
    </row>
    <row r="9610" spans="32:32" ht="24" customHeight="1">
      <c r="AF9610" s="908">
        <v>0</v>
      </c>
    </row>
    <row r="9611" spans="32:32" ht="24" customHeight="1">
      <c r="AF9611" s="908">
        <v>0</v>
      </c>
    </row>
    <row r="9612" spans="32:32" ht="24" customHeight="1">
      <c r="AF9612" s="908">
        <v>0</v>
      </c>
    </row>
    <row r="9613" spans="32:32" ht="24" customHeight="1">
      <c r="AF9613" s="908">
        <v>0</v>
      </c>
    </row>
    <row r="9614" spans="32:32" ht="24" customHeight="1">
      <c r="AF9614" s="908">
        <v>0</v>
      </c>
    </row>
    <row r="9615" spans="32:32" ht="24" customHeight="1">
      <c r="AF9615" s="908">
        <v>0</v>
      </c>
    </row>
    <row r="9616" spans="32:32" ht="24" customHeight="1">
      <c r="AF9616" s="908">
        <v>0</v>
      </c>
    </row>
    <row r="9617" spans="32:32" ht="24" customHeight="1">
      <c r="AF9617" s="908">
        <v>0</v>
      </c>
    </row>
    <row r="9618" spans="32:32" ht="24" customHeight="1">
      <c r="AF9618" s="908">
        <v>0</v>
      </c>
    </row>
    <row r="9619" spans="32:32" ht="24" customHeight="1">
      <c r="AF9619" s="908">
        <v>0</v>
      </c>
    </row>
    <row r="9620" spans="32:32" ht="24" customHeight="1">
      <c r="AF9620" s="908">
        <v>0</v>
      </c>
    </row>
    <row r="9621" spans="32:32" ht="24" customHeight="1">
      <c r="AF9621" s="908">
        <v>0</v>
      </c>
    </row>
    <row r="9622" spans="32:32" ht="24" customHeight="1">
      <c r="AF9622" s="908">
        <v>0</v>
      </c>
    </row>
    <row r="9623" spans="32:32" ht="24" customHeight="1">
      <c r="AF9623" s="908">
        <v>0</v>
      </c>
    </row>
    <row r="9624" spans="32:32" ht="24" customHeight="1">
      <c r="AF9624" s="908">
        <v>0</v>
      </c>
    </row>
    <row r="9625" spans="32:32" ht="24" customHeight="1">
      <c r="AF9625" s="908">
        <v>0</v>
      </c>
    </row>
    <row r="9626" spans="32:32" ht="24" customHeight="1">
      <c r="AF9626" s="908">
        <v>0</v>
      </c>
    </row>
    <row r="9627" spans="32:32" ht="24" customHeight="1">
      <c r="AF9627" s="908">
        <v>0</v>
      </c>
    </row>
    <row r="9628" spans="32:32" ht="24" customHeight="1">
      <c r="AF9628" s="908">
        <v>0</v>
      </c>
    </row>
    <row r="9629" spans="32:32" ht="24" customHeight="1">
      <c r="AF9629" s="908">
        <v>0</v>
      </c>
    </row>
    <row r="9630" spans="32:32" ht="24" customHeight="1">
      <c r="AF9630" s="908">
        <v>0</v>
      </c>
    </row>
    <row r="9631" spans="32:32" ht="24" customHeight="1">
      <c r="AF9631" s="908">
        <v>0</v>
      </c>
    </row>
    <row r="9632" spans="32:32" ht="24" customHeight="1">
      <c r="AF9632" s="908">
        <v>0</v>
      </c>
    </row>
    <row r="9633" spans="32:32" ht="24" customHeight="1">
      <c r="AF9633" s="908">
        <v>0</v>
      </c>
    </row>
    <row r="9634" spans="32:32" ht="24" customHeight="1">
      <c r="AF9634" s="908">
        <v>0</v>
      </c>
    </row>
    <row r="9635" spans="32:32" ht="24" customHeight="1">
      <c r="AF9635" s="908">
        <v>0</v>
      </c>
    </row>
    <row r="9636" spans="32:32" ht="24" customHeight="1">
      <c r="AF9636" s="908">
        <v>0</v>
      </c>
    </row>
    <row r="9637" spans="32:32" ht="24" customHeight="1">
      <c r="AF9637" s="908">
        <v>0</v>
      </c>
    </row>
    <row r="9638" spans="32:32" ht="24" customHeight="1">
      <c r="AF9638" s="908">
        <v>0</v>
      </c>
    </row>
    <row r="9639" spans="32:32" ht="24" customHeight="1">
      <c r="AF9639" s="908">
        <v>0</v>
      </c>
    </row>
    <row r="9640" spans="32:32" ht="24" customHeight="1">
      <c r="AF9640" s="908">
        <v>0</v>
      </c>
    </row>
    <row r="9641" spans="32:32" ht="24" customHeight="1">
      <c r="AF9641" s="908">
        <v>0</v>
      </c>
    </row>
    <row r="9642" spans="32:32" ht="24" customHeight="1">
      <c r="AF9642" s="908">
        <v>0</v>
      </c>
    </row>
    <row r="9643" spans="32:32" ht="24" customHeight="1">
      <c r="AF9643" s="908">
        <v>0</v>
      </c>
    </row>
    <row r="9644" spans="32:32" ht="24" customHeight="1">
      <c r="AF9644" s="908">
        <v>0</v>
      </c>
    </row>
    <row r="9645" spans="32:32" ht="24" customHeight="1">
      <c r="AF9645" s="908">
        <v>0</v>
      </c>
    </row>
    <row r="9646" spans="32:32" ht="24" customHeight="1">
      <c r="AF9646" s="908">
        <v>0</v>
      </c>
    </row>
    <row r="9647" spans="32:32" ht="24" customHeight="1">
      <c r="AF9647" s="908">
        <v>0</v>
      </c>
    </row>
    <row r="9648" spans="32:32" ht="24" customHeight="1">
      <c r="AF9648" s="908">
        <v>0</v>
      </c>
    </row>
    <row r="9649" spans="32:32" ht="24" customHeight="1">
      <c r="AF9649" s="908">
        <v>0</v>
      </c>
    </row>
    <row r="9650" spans="32:32" ht="24" customHeight="1">
      <c r="AF9650" s="908">
        <v>0</v>
      </c>
    </row>
    <row r="9651" spans="32:32" ht="24" customHeight="1">
      <c r="AF9651" s="908">
        <v>0</v>
      </c>
    </row>
    <row r="9652" spans="32:32" ht="24" customHeight="1">
      <c r="AF9652" s="908">
        <v>0</v>
      </c>
    </row>
    <row r="9653" spans="32:32" ht="24" customHeight="1">
      <c r="AF9653" s="908">
        <v>0</v>
      </c>
    </row>
    <row r="9654" spans="32:32" ht="24" customHeight="1">
      <c r="AF9654" s="908">
        <v>0</v>
      </c>
    </row>
    <row r="9655" spans="32:32" ht="24" customHeight="1">
      <c r="AF9655" s="908">
        <v>0</v>
      </c>
    </row>
    <row r="9656" spans="32:32" ht="24" customHeight="1">
      <c r="AF9656" s="908">
        <v>0</v>
      </c>
    </row>
    <row r="9657" spans="32:32" ht="24" customHeight="1">
      <c r="AF9657" s="908">
        <v>0</v>
      </c>
    </row>
    <row r="9658" spans="32:32" ht="24" customHeight="1">
      <c r="AF9658" s="908">
        <v>0</v>
      </c>
    </row>
    <row r="9659" spans="32:32" ht="24" customHeight="1">
      <c r="AF9659" s="908">
        <v>0</v>
      </c>
    </row>
    <row r="9660" spans="32:32" ht="24" customHeight="1">
      <c r="AF9660" s="908">
        <v>0</v>
      </c>
    </row>
    <row r="9661" spans="32:32" ht="24" customHeight="1">
      <c r="AF9661" s="908">
        <v>0</v>
      </c>
    </row>
    <row r="9662" spans="32:32" ht="24" customHeight="1">
      <c r="AF9662" s="908">
        <v>0</v>
      </c>
    </row>
    <row r="9663" spans="32:32" ht="24" customHeight="1">
      <c r="AF9663" s="908">
        <v>0</v>
      </c>
    </row>
    <row r="9664" spans="32:32" ht="24" customHeight="1">
      <c r="AF9664" s="908">
        <v>0</v>
      </c>
    </row>
    <row r="9665" spans="32:32" ht="24" customHeight="1">
      <c r="AF9665" s="908">
        <v>0</v>
      </c>
    </row>
    <row r="9666" spans="32:32" ht="24" customHeight="1">
      <c r="AF9666" s="908">
        <v>0</v>
      </c>
    </row>
    <row r="9667" spans="32:32" ht="24" customHeight="1">
      <c r="AF9667" s="908">
        <v>0</v>
      </c>
    </row>
    <row r="9668" spans="32:32" ht="24" customHeight="1">
      <c r="AF9668" s="908">
        <v>0</v>
      </c>
    </row>
    <row r="9669" spans="32:32" ht="24" customHeight="1">
      <c r="AF9669" s="908">
        <v>0</v>
      </c>
    </row>
    <row r="9670" spans="32:32" ht="24" customHeight="1">
      <c r="AF9670" s="908">
        <v>0</v>
      </c>
    </row>
    <row r="9671" spans="32:32" ht="24" customHeight="1">
      <c r="AF9671" s="908">
        <v>0</v>
      </c>
    </row>
    <row r="9672" spans="32:32" ht="24" customHeight="1">
      <c r="AF9672" s="908">
        <v>0</v>
      </c>
    </row>
    <row r="9673" spans="32:32" ht="24" customHeight="1">
      <c r="AF9673" s="908">
        <v>0</v>
      </c>
    </row>
    <row r="9674" spans="32:32" ht="24" customHeight="1">
      <c r="AF9674" s="908">
        <v>0</v>
      </c>
    </row>
    <row r="9675" spans="32:32" ht="24" customHeight="1">
      <c r="AF9675" s="908">
        <v>0</v>
      </c>
    </row>
    <row r="9676" spans="32:32" ht="24" customHeight="1">
      <c r="AF9676" s="908">
        <v>0</v>
      </c>
    </row>
    <row r="9677" spans="32:32" ht="24" customHeight="1">
      <c r="AF9677" s="908">
        <v>0</v>
      </c>
    </row>
    <row r="9678" spans="32:32" ht="24" customHeight="1">
      <c r="AF9678" s="908">
        <v>0</v>
      </c>
    </row>
    <row r="9679" spans="32:32" ht="24" customHeight="1">
      <c r="AF9679" s="908">
        <v>0</v>
      </c>
    </row>
    <row r="9680" spans="32:32" ht="24" customHeight="1">
      <c r="AF9680" s="908">
        <v>0</v>
      </c>
    </row>
    <row r="9681" spans="32:32" ht="24" customHeight="1">
      <c r="AF9681" s="908">
        <v>0</v>
      </c>
    </row>
    <row r="9682" spans="32:32" ht="24" customHeight="1">
      <c r="AF9682" s="908">
        <v>0</v>
      </c>
    </row>
    <row r="9683" spans="32:32" ht="24" customHeight="1">
      <c r="AF9683" s="908">
        <v>0</v>
      </c>
    </row>
    <row r="9684" spans="32:32" ht="24" customHeight="1">
      <c r="AF9684" s="908">
        <v>0</v>
      </c>
    </row>
    <row r="9685" spans="32:32" ht="24" customHeight="1">
      <c r="AF9685" s="908">
        <v>0</v>
      </c>
    </row>
    <row r="9686" spans="32:32" ht="24" customHeight="1">
      <c r="AF9686" s="908">
        <v>0</v>
      </c>
    </row>
    <row r="9687" spans="32:32" ht="24" customHeight="1">
      <c r="AF9687" s="908">
        <v>0</v>
      </c>
    </row>
    <row r="9688" spans="32:32" ht="24" customHeight="1">
      <c r="AF9688" s="908">
        <v>0</v>
      </c>
    </row>
    <row r="9689" spans="32:32" ht="24" customHeight="1">
      <c r="AF9689" s="908">
        <v>0</v>
      </c>
    </row>
    <row r="9690" spans="32:32" ht="24" customHeight="1">
      <c r="AF9690" s="908">
        <v>0</v>
      </c>
    </row>
    <row r="9691" spans="32:32" ht="24" customHeight="1">
      <c r="AF9691" s="908">
        <v>0</v>
      </c>
    </row>
    <row r="9692" spans="32:32" ht="24" customHeight="1">
      <c r="AF9692" s="908">
        <v>0</v>
      </c>
    </row>
    <row r="9693" spans="32:32" ht="24" customHeight="1">
      <c r="AF9693" s="908">
        <v>0</v>
      </c>
    </row>
    <row r="9694" spans="32:32" ht="24" customHeight="1">
      <c r="AF9694" s="908">
        <v>0</v>
      </c>
    </row>
    <row r="9695" spans="32:32" ht="24" customHeight="1">
      <c r="AF9695" s="908">
        <v>0</v>
      </c>
    </row>
    <row r="9696" spans="32:32" ht="24" customHeight="1">
      <c r="AF9696" s="908">
        <v>0</v>
      </c>
    </row>
    <row r="9697" spans="32:32" ht="24" customHeight="1">
      <c r="AF9697" s="908">
        <v>0</v>
      </c>
    </row>
    <row r="9698" spans="32:32" ht="24" customHeight="1">
      <c r="AF9698" s="908">
        <v>0</v>
      </c>
    </row>
    <row r="9699" spans="32:32" ht="24" customHeight="1">
      <c r="AF9699" s="908">
        <v>0</v>
      </c>
    </row>
    <row r="9700" spans="32:32" ht="24" customHeight="1">
      <c r="AF9700" s="908">
        <v>0</v>
      </c>
    </row>
    <row r="9701" spans="32:32" ht="24" customHeight="1">
      <c r="AF9701" s="908">
        <v>0</v>
      </c>
    </row>
    <row r="9702" spans="32:32" ht="24" customHeight="1">
      <c r="AF9702" s="908">
        <v>0</v>
      </c>
    </row>
    <row r="9703" spans="32:32" ht="24" customHeight="1">
      <c r="AF9703" s="908">
        <v>0</v>
      </c>
    </row>
    <row r="9704" spans="32:32" ht="24" customHeight="1">
      <c r="AF9704" s="908">
        <v>0</v>
      </c>
    </row>
    <row r="9705" spans="32:32" ht="24" customHeight="1">
      <c r="AF9705" s="908">
        <v>0</v>
      </c>
    </row>
    <row r="9706" spans="32:32" ht="24" customHeight="1">
      <c r="AF9706" s="908">
        <v>0</v>
      </c>
    </row>
    <row r="9707" spans="32:32" ht="24" customHeight="1">
      <c r="AF9707" s="908">
        <v>0</v>
      </c>
    </row>
    <row r="9708" spans="32:32" ht="24" customHeight="1">
      <c r="AF9708" s="908">
        <v>0</v>
      </c>
    </row>
    <row r="9709" spans="32:32" ht="24" customHeight="1">
      <c r="AF9709" s="908">
        <v>0</v>
      </c>
    </row>
    <row r="9710" spans="32:32" ht="24" customHeight="1">
      <c r="AF9710" s="908">
        <v>0</v>
      </c>
    </row>
    <row r="9711" spans="32:32" ht="24" customHeight="1">
      <c r="AF9711" s="908">
        <v>0</v>
      </c>
    </row>
    <row r="9712" spans="32:32" ht="24" customHeight="1">
      <c r="AF9712" s="908">
        <v>0</v>
      </c>
    </row>
    <row r="9713" spans="32:32" ht="24" customHeight="1">
      <c r="AF9713" s="908">
        <v>0</v>
      </c>
    </row>
    <row r="9714" spans="32:32" ht="24" customHeight="1">
      <c r="AF9714" s="908">
        <v>0</v>
      </c>
    </row>
    <row r="9715" spans="32:32" ht="24" customHeight="1">
      <c r="AF9715" s="908">
        <v>0</v>
      </c>
    </row>
    <row r="9716" spans="32:32" ht="24" customHeight="1">
      <c r="AF9716" s="908">
        <v>0</v>
      </c>
    </row>
    <row r="9717" spans="32:32" ht="24" customHeight="1">
      <c r="AF9717" s="908">
        <v>0</v>
      </c>
    </row>
    <row r="9718" spans="32:32" ht="24" customHeight="1">
      <c r="AF9718" s="908">
        <v>0</v>
      </c>
    </row>
    <row r="9719" spans="32:32" ht="24" customHeight="1">
      <c r="AF9719" s="908">
        <v>0</v>
      </c>
    </row>
    <row r="9720" spans="32:32" ht="24" customHeight="1">
      <c r="AF9720" s="908">
        <v>0</v>
      </c>
    </row>
    <row r="9721" spans="32:32" ht="24" customHeight="1">
      <c r="AF9721" s="908">
        <v>0</v>
      </c>
    </row>
    <row r="9722" spans="32:32" ht="24" customHeight="1">
      <c r="AF9722" s="908">
        <v>0</v>
      </c>
    </row>
    <row r="9723" spans="32:32" ht="24" customHeight="1">
      <c r="AF9723" s="908">
        <v>0</v>
      </c>
    </row>
    <row r="9724" spans="32:32" ht="24" customHeight="1">
      <c r="AF9724" s="908">
        <v>0</v>
      </c>
    </row>
    <row r="9725" spans="32:32" ht="24" customHeight="1">
      <c r="AF9725" s="908">
        <v>0</v>
      </c>
    </row>
    <row r="9726" spans="32:32" ht="24" customHeight="1">
      <c r="AF9726" s="908">
        <v>0</v>
      </c>
    </row>
    <row r="9727" spans="32:32" ht="24" customHeight="1">
      <c r="AF9727" s="908">
        <v>0</v>
      </c>
    </row>
    <row r="9728" spans="32:32" ht="24" customHeight="1">
      <c r="AF9728" s="908">
        <v>0</v>
      </c>
    </row>
    <row r="9729" spans="32:32" ht="24" customHeight="1">
      <c r="AF9729" s="908">
        <v>0</v>
      </c>
    </row>
    <row r="9730" spans="32:32" ht="24" customHeight="1">
      <c r="AF9730" s="908">
        <v>0</v>
      </c>
    </row>
    <row r="9731" spans="32:32" ht="24" customHeight="1">
      <c r="AF9731" s="908">
        <v>0</v>
      </c>
    </row>
    <row r="9732" spans="32:32" ht="24" customHeight="1">
      <c r="AF9732" s="908">
        <v>0</v>
      </c>
    </row>
    <row r="9733" spans="32:32" ht="24" customHeight="1">
      <c r="AF9733" s="908">
        <v>0</v>
      </c>
    </row>
    <row r="9734" spans="32:32" ht="24" customHeight="1">
      <c r="AF9734" s="908">
        <v>0</v>
      </c>
    </row>
    <row r="9735" spans="32:32" ht="24" customHeight="1">
      <c r="AF9735" s="908">
        <v>0</v>
      </c>
    </row>
    <row r="9736" spans="32:32" ht="24" customHeight="1">
      <c r="AF9736" s="908">
        <v>0</v>
      </c>
    </row>
    <row r="9737" spans="32:32" ht="24" customHeight="1">
      <c r="AF9737" s="908">
        <v>0</v>
      </c>
    </row>
    <row r="9738" spans="32:32" ht="24" customHeight="1">
      <c r="AF9738" s="908">
        <v>0</v>
      </c>
    </row>
    <row r="9739" spans="32:32" ht="24" customHeight="1">
      <c r="AF9739" s="908">
        <v>0</v>
      </c>
    </row>
    <row r="9740" spans="32:32" ht="24" customHeight="1">
      <c r="AF9740" s="908">
        <v>0</v>
      </c>
    </row>
    <row r="9741" spans="32:32" ht="24" customHeight="1">
      <c r="AF9741" s="908">
        <v>0</v>
      </c>
    </row>
    <row r="9742" spans="32:32" ht="24" customHeight="1">
      <c r="AF9742" s="908">
        <v>0</v>
      </c>
    </row>
    <row r="9743" spans="32:32" ht="24" customHeight="1">
      <c r="AF9743" s="908">
        <v>0</v>
      </c>
    </row>
    <row r="9744" spans="32:32" ht="24" customHeight="1">
      <c r="AF9744" s="908">
        <v>0</v>
      </c>
    </row>
    <row r="9745" spans="32:32" ht="24" customHeight="1">
      <c r="AF9745" s="908">
        <v>0</v>
      </c>
    </row>
    <row r="9746" spans="32:32" ht="24" customHeight="1">
      <c r="AF9746" s="908">
        <v>0</v>
      </c>
    </row>
    <row r="9747" spans="32:32" ht="24" customHeight="1">
      <c r="AF9747" s="908">
        <v>0</v>
      </c>
    </row>
    <row r="9748" spans="32:32" ht="24" customHeight="1">
      <c r="AF9748" s="908">
        <v>0</v>
      </c>
    </row>
    <row r="9749" spans="32:32" ht="24" customHeight="1">
      <c r="AF9749" s="908">
        <v>0</v>
      </c>
    </row>
    <row r="9750" spans="32:32" ht="24" customHeight="1">
      <c r="AF9750" s="908">
        <v>0</v>
      </c>
    </row>
    <row r="9751" spans="32:32" ht="24" customHeight="1">
      <c r="AF9751" s="908">
        <v>0</v>
      </c>
    </row>
    <row r="9752" spans="32:32" ht="24" customHeight="1">
      <c r="AF9752" s="908">
        <v>0</v>
      </c>
    </row>
    <row r="9753" spans="32:32" ht="24" customHeight="1">
      <c r="AF9753" s="908">
        <v>0</v>
      </c>
    </row>
    <row r="9754" spans="32:32" ht="24" customHeight="1">
      <c r="AF9754" s="908">
        <v>0</v>
      </c>
    </row>
    <row r="9755" spans="32:32" ht="24" customHeight="1">
      <c r="AF9755" s="908">
        <v>0</v>
      </c>
    </row>
    <row r="9756" spans="32:32" ht="24" customHeight="1">
      <c r="AF9756" s="908">
        <v>0</v>
      </c>
    </row>
    <row r="9757" spans="32:32" ht="24" customHeight="1">
      <c r="AF9757" s="908">
        <v>0</v>
      </c>
    </row>
    <row r="9758" spans="32:32" ht="24" customHeight="1">
      <c r="AF9758" s="908">
        <v>0</v>
      </c>
    </row>
    <row r="9759" spans="32:32" ht="24" customHeight="1">
      <c r="AF9759" s="908">
        <v>0</v>
      </c>
    </row>
    <row r="9760" spans="32:32" ht="24" customHeight="1">
      <c r="AF9760" s="908">
        <v>0</v>
      </c>
    </row>
    <row r="9761" spans="32:32" ht="24" customHeight="1">
      <c r="AF9761" s="908">
        <v>0</v>
      </c>
    </row>
    <row r="9762" spans="32:32" ht="24" customHeight="1">
      <c r="AF9762" s="908">
        <v>0</v>
      </c>
    </row>
    <row r="9763" spans="32:32" ht="24" customHeight="1">
      <c r="AF9763" s="908">
        <v>0</v>
      </c>
    </row>
    <row r="9764" spans="32:32" ht="24" customHeight="1">
      <c r="AF9764" s="908">
        <v>0</v>
      </c>
    </row>
    <row r="9765" spans="32:32" ht="24" customHeight="1">
      <c r="AF9765" s="908">
        <v>0</v>
      </c>
    </row>
    <row r="9766" spans="32:32" ht="24" customHeight="1">
      <c r="AF9766" s="908">
        <v>0</v>
      </c>
    </row>
    <row r="9767" spans="32:32" ht="24" customHeight="1">
      <c r="AF9767" s="908">
        <v>0</v>
      </c>
    </row>
    <row r="9768" spans="32:32" ht="24" customHeight="1">
      <c r="AF9768" s="908">
        <v>0</v>
      </c>
    </row>
    <row r="9769" spans="32:32" ht="24" customHeight="1">
      <c r="AF9769" s="908">
        <v>0</v>
      </c>
    </row>
    <row r="9770" spans="32:32" ht="24" customHeight="1">
      <c r="AF9770" s="908">
        <v>0</v>
      </c>
    </row>
    <row r="9771" spans="32:32" ht="24" customHeight="1">
      <c r="AF9771" s="908">
        <v>0</v>
      </c>
    </row>
    <row r="9772" spans="32:32" ht="24" customHeight="1">
      <c r="AF9772" s="908">
        <v>0</v>
      </c>
    </row>
    <row r="9773" spans="32:32" ht="24" customHeight="1">
      <c r="AF9773" s="908">
        <v>0</v>
      </c>
    </row>
    <row r="9774" spans="32:32" ht="24" customHeight="1">
      <c r="AF9774" s="908">
        <v>0</v>
      </c>
    </row>
    <row r="9775" spans="32:32" ht="24" customHeight="1">
      <c r="AF9775" s="908">
        <v>0</v>
      </c>
    </row>
    <row r="9776" spans="32:32" ht="24" customHeight="1">
      <c r="AF9776" s="908">
        <v>0</v>
      </c>
    </row>
    <row r="9777" spans="32:32" ht="24" customHeight="1">
      <c r="AF9777" s="908">
        <v>0</v>
      </c>
    </row>
    <row r="9778" spans="32:32" ht="24" customHeight="1">
      <c r="AF9778" s="908">
        <v>0</v>
      </c>
    </row>
    <row r="9779" spans="32:32" ht="24" customHeight="1">
      <c r="AF9779" s="908">
        <v>0</v>
      </c>
    </row>
    <row r="9780" spans="32:32" ht="24" customHeight="1">
      <c r="AF9780" s="908">
        <v>0</v>
      </c>
    </row>
    <row r="9781" spans="32:32" ht="24" customHeight="1">
      <c r="AF9781" s="908">
        <v>0</v>
      </c>
    </row>
    <row r="9782" spans="32:32" ht="24" customHeight="1">
      <c r="AF9782" s="908">
        <v>0</v>
      </c>
    </row>
    <row r="9783" spans="32:32" ht="24" customHeight="1">
      <c r="AF9783" s="908">
        <v>0</v>
      </c>
    </row>
    <row r="9784" spans="32:32" ht="24" customHeight="1">
      <c r="AF9784" s="908">
        <v>0</v>
      </c>
    </row>
    <row r="9785" spans="32:32" ht="24" customHeight="1">
      <c r="AF9785" s="908">
        <v>0</v>
      </c>
    </row>
    <row r="9786" spans="32:32" ht="24" customHeight="1">
      <c r="AF9786" s="908">
        <v>0</v>
      </c>
    </row>
    <row r="9787" spans="32:32" ht="24" customHeight="1">
      <c r="AF9787" s="908">
        <v>0</v>
      </c>
    </row>
    <row r="9788" spans="32:32" ht="24" customHeight="1">
      <c r="AF9788" s="908">
        <v>0</v>
      </c>
    </row>
    <row r="9789" spans="32:32" ht="24" customHeight="1">
      <c r="AF9789" s="908">
        <v>0</v>
      </c>
    </row>
    <row r="9790" spans="32:32" ht="24" customHeight="1">
      <c r="AF9790" s="908">
        <v>0</v>
      </c>
    </row>
    <row r="9791" spans="32:32" ht="24" customHeight="1">
      <c r="AF9791" s="908">
        <v>0</v>
      </c>
    </row>
    <row r="9792" spans="32:32" ht="24" customHeight="1">
      <c r="AF9792" s="908">
        <v>0</v>
      </c>
    </row>
    <row r="9793" spans="32:32" ht="24" customHeight="1">
      <c r="AF9793" s="908">
        <v>0</v>
      </c>
    </row>
    <row r="9794" spans="32:32" ht="24" customHeight="1">
      <c r="AF9794" s="908">
        <v>0</v>
      </c>
    </row>
    <row r="9795" spans="32:32" ht="24" customHeight="1">
      <c r="AF9795" s="908">
        <v>0</v>
      </c>
    </row>
    <row r="9796" spans="32:32" ht="24" customHeight="1">
      <c r="AF9796" s="908">
        <v>0</v>
      </c>
    </row>
    <row r="9797" spans="32:32" ht="24" customHeight="1">
      <c r="AF9797" s="908">
        <v>0</v>
      </c>
    </row>
    <row r="9798" spans="32:32" ht="24" customHeight="1">
      <c r="AF9798" s="908">
        <v>0</v>
      </c>
    </row>
    <row r="9799" spans="32:32" ht="24" customHeight="1">
      <c r="AF9799" s="908">
        <v>0</v>
      </c>
    </row>
    <row r="9800" spans="32:32" ht="24" customHeight="1">
      <c r="AF9800" s="908">
        <v>0</v>
      </c>
    </row>
    <row r="9801" spans="32:32" ht="24" customHeight="1">
      <c r="AF9801" s="908">
        <v>0</v>
      </c>
    </row>
    <row r="9802" spans="32:32" ht="24" customHeight="1">
      <c r="AF9802" s="908">
        <v>0</v>
      </c>
    </row>
    <row r="9803" spans="32:32" ht="24" customHeight="1">
      <c r="AF9803" s="908">
        <v>0</v>
      </c>
    </row>
    <row r="9804" spans="32:32" ht="24" customHeight="1">
      <c r="AF9804" s="908">
        <v>0</v>
      </c>
    </row>
    <row r="9805" spans="32:32" ht="24" customHeight="1">
      <c r="AF9805" s="908">
        <v>0</v>
      </c>
    </row>
    <row r="9806" spans="32:32" ht="24" customHeight="1">
      <c r="AF9806" s="908">
        <v>0</v>
      </c>
    </row>
    <row r="9807" spans="32:32" ht="24" customHeight="1">
      <c r="AF9807" s="908">
        <v>0</v>
      </c>
    </row>
    <row r="9808" spans="32:32" ht="24" customHeight="1">
      <c r="AF9808" s="908">
        <v>0</v>
      </c>
    </row>
    <row r="9809" spans="32:32" ht="24" customHeight="1">
      <c r="AF9809" s="908">
        <v>0</v>
      </c>
    </row>
    <row r="9810" spans="32:32" ht="24" customHeight="1">
      <c r="AF9810" s="908">
        <v>0</v>
      </c>
    </row>
    <row r="9811" spans="32:32" ht="24" customHeight="1">
      <c r="AF9811" s="908">
        <v>0</v>
      </c>
    </row>
    <row r="9812" spans="32:32" ht="24" customHeight="1">
      <c r="AF9812" s="908">
        <v>0</v>
      </c>
    </row>
    <row r="9813" spans="32:32" ht="24" customHeight="1">
      <c r="AF9813" s="908">
        <v>0</v>
      </c>
    </row>
    <row r="9814" spans="32:32" ht="24" customHeight="1">
      <c r="AF9814" s="908">
        <v>0</v>
      </c>
    </row>
    <row r="9815" spans="32:32" ht="24" customHeight="1">
      <c r="AF9815" s="908">
        <v>0</v>
      </c>
    </row>
    <row r="9816" spans="32:32" ht="24" customHeight="1">
      <c r="AF9816" s="908">
        <v>0</v>
      </c>
    </row>
    <row r="9817" spans="32:32" ht="24" customHeight="1">
      <c r="AF9817" s="908">
        <v>0</v>
      </c>
    </row>
    <row r="9818" spans="32:32" ht="24" customHeight="1">
      <c r="AF9818" s="908">
        <v>0</v>
      </c>
    </row>
    <row r="9819" spans="32:32" ht="24" customHeight="1">
      <c r="AF9819" s="908">
        <v>0</v>
      </c>
    </row>
    <row r="9820" spans="32:32" ht="24" customHeight="1">
      <c r="AF9820" s="908">
        <v>0</v>
      </c>
    </row>
    <row r="9821" spans="32:32" ht="24" customHeight="1">
      <c r="AF9821" s="908">
        <v>0</v>
      </c>
    </row>
    <row r="9822" spans="32:32" ht="24" customHeight="1">
      <c r="AF9822" s="908">
        <v>0</v>
      </c>
    </row>
    <row r="9823" spans="32:32" ht="24" customHeight="1">
      <c r="AF9823" s="908">
        <v>0</v>
      </c>
    </row>
    <row r="9824" spans="32:32" ht="24" customHeight="1">
      <c r="AF9824" s="908">
        <v>0</v>
      </c>
    </row>
    <row r="9825" spans="32:32" ht="24" customHeight="1">
      <c r="AF9825" s="908">
        <v>0</v>
      </c>
    </row>
    <row r="9826" spans="32:32" ht="24" customHeight="1">
      <c r="AF9826" s="908">
        <v>0</v>
      </c>
    </row>
    <row r="9827" spans="32:32" ht="24" customHeight="1">
      <c r="AF9827" s="908">
        <v>0</v>
      </c>
    </row>
    <row r="9828" spans="32:32" ht="24" customHeight="1">
      <c r="AF9828" s="908">
        <v>0</v>
      </c>
    </row>
    <row r="9829" spans="32:32" ht="24" customHeight="1">
      <c r="AF9829" s="908">
        <v>0</v>
      </c>
    </row>
    <row r="9830" spans="32:32" ht="24" customHeight="1">
      <c r="AF9830" s="908">
        <v>0</v>
      </c>
    </row>
    <row r="9831" spans="32:32" ht="24" customHeight="1">
      <c r="AF9831" s="908">
        <v>0</v>
      </c>
    </row>
    <row r="9832" spans="32:32" ht="24" customHeight="1">
      <c r="AF9832" s="908">
        <v>0</v>
      </c>
    </row>
    <row r="9833" spans="32:32" ht="24" customHeight="1">
      <c r="AF9833" s="908">
        <v>0</v>
      </c>
    </row>
    <row r="9834" spans="32:32" ht="24" customHeight="1">
      <c r="AF9834" s="908">
        <v>0</v>
      </c>
    </row>
    <row r="9835" spans="32:32" ht="24" customHeight="1">
      <c r="AF9835" s="908">
        <v>0</v>
      </c>
    </row>
    <row r="9836" spans="32:32" ht="24" customHeight="1">
      <c r="AF9836" s="908">
        <v>0</v>
      </c>
    </row>
    <row r="9837" spans="32:32" ht="24" customHeight="1">
      <c r="AF9837" s="908">
        <v>0</v>
      </c>
    </row>
    <row r="9838" spans="32:32" ht="24" customHeight="1">
      <c r="AF9838" s="908">
        <v>0</v>
      </c>
    </row>
    <row r="9839" spans="32:32" ht="24" customHeight="1">
      <c r="AF9839" s="908">
        <v>0</v>
      </c>
    </row>
    <row r="9840" spans="32:32" ht="24" customHeight="1">
      <c r="AF9840" s="908">
        <v>0</v>
      </c>
    </row>
    <row r="9841" spans="32:32" ht="24" customHeight="1">
      <c r="AF9841" s="908">
        <v>0</v>
      </c>
    </row>
    <row r="9842" spans="32:32" ht="24" customHeight="1">
      <c r="AF9842" s="908">
        <v>0</v>
      </c>
    </row>
    <row r="9843" spans="32:32" ht="24" customHeight="1">
      <c r="AF9843" s="908">
        <v>0</v>
      </c>
    </row>
    <row r="9844" spans="32:32" ht="24" customHeight="1">
      <c r="AF9844" s="908">
        <v>0</v>
      </c>
    </row>
    <row r="9845" spans="32:32" ht="24" customHeight="1">
      <c r="AF9845" s="908">
        <v>0</v>
      </c>
    </row>
    <row r="9846" spans="32:32" ht="24" customHeight="1">
      <c r="AF9846" s="908">
        <v>0</v>
      </c>
    </row>
    <row r="9847" spans="32:32" ht="24" customHeight="1">
      <c r="AF9847" s="908">
        <v>0</v>
      </c>
    </row>
    <row r="9848" spans="32:32" ht="24" customHeight="1">
      <c r="AF9848" s="908">
        <v>0</v>
      </c>
    </row>
    <row r="9849" spans="32:32" ht="24" customHeight="1">
      <c r="AF9849" s="908">
        <v>0</v>
      </c>
    </row>
    <row r="9850" spans="32:32" ht="24" customHeight="1">
      <c r="AF9850" s="908">
        <v>0</v>
      </c>
    </row>
    <row r="9851" spans="32:32" ht="24" customHeight="1">
      <c r="AF9851" s="908">
        <v>0</v>
      </c>
    </row>
    <row r="9852" spans="32:32" ht="24" customHeight="1">
      <c r="AF9852" s="908">
        <v>0</v>
      </c>
    </row>
    <row r="9853" spans="32:32" ht="24" customHeight="1">
      <c r="AF9853" s="908">
        <v>0</v>
      </c>
    </row>
    <row r="9854" spans="32:32" ht="24" customHeight="1">
      <c r="AF9854" s="908">
        <v>0</v>
      </c>
    </row>
    <row r="9855" spans="32:32" ht="24" customHeight="1">
      <c r="AF9855" s="908">
        <v>0</v>
      </c>
    </row>
    <row r="9856" spans="32:32" ht="24" customHeight="1">
      <c r="AF9856" s="908">
        <v>0</v>
      </c>
    </row>
    <row r="9857" spans="32:32" ht="24" customHeight="1">
      <c r="AF9857" s="908">
        <v>0</v>
      </c>
    </row>
    <row r="9858" spans="32:32" ht="24" customHeight="1">
      <c r="AF9858" s="908">
        <v>0</v>
      </c>
    </row>
    <row r="9859" spans="32:32" ht="24" customHeight="1">
      <c r="AF9859" s="908">
        <v>0</v>
      </c>
    </row>
    <row r="9860" spans="32:32" ht="24" customHeight="1">
      <c r="AF9860" s="908">
        <v>0</v>
      </c>
    </row>
    <row r="9861" spans="32:32" ht="24" customHeight="1">
      <c r="AF9861" s="908">
        <v>0</v>
      </c>
    </row>
    <row r="9862" spans="32:32" ht="24" customHeight="1">
      <c r="AF9862" s="908">
        <v>0</v>
      </c>
    </row>
    <row r="9863" spans="32:32" ht="24" customHeight="1">
      <c r="AF9863" s="908">
        <v>0</v>
      </c>
    </row>
    <row r="9864" spans="32:32" ht="24" customHeight="1">
      <c r="AF9864" s="908">
        <v>0</v>
      </c>
    </row>
    <row r="9865" spans="32:32" ht="24" customHeight="1">
      <c r="AF9865" s="908">
        <v>0</v>
      </c>
    </row>
    <row r="9866" spans="32:32" ht="24" customHeight="1">
      <c r="AF9866" s="908">
        <v>0</v>
      </c>
    </row>
    <row r="9867" spans="32:32" ht="24" customHeight="1">
      <c r="AF9867" s="908">
        <v>0</v>
      </c>
    </row>
    <row r="9868" spans="32:32" ht="24" customHeight="1">
      <c r="AF9868" s="908">
        <v>0</v>
      </c>
    </row>
    <row r="9869" spans="32:32" ht="24" customHeight="1">
      <c r="AF9869" s="908">
        <v>0</v>
      </c>
    </row>
    <row r="9870" spans="32:32" ht="24" customHeight="1">
      <c r="AF9870" s="908">
        <v>0</v>
      </c>
    </row>
    <row r="9871" spans="32:32" ht="24" customHeight="1">
      <c r="AF9871" s="908">
        <v>0</v>
      </c>
    </row>
    <row r="9872" spans="32:32" ht="24" customHeight="1">
      <c r="AF9872" s="908">
        <v>0</v>
      </c>
    </row>
    <row r="9873" spans="32:32" ht="24" customHeight="1">
      <c r="AF9873" s="908">
        <v>0</v>
      </c>
    </row>
    <row r="9874" spans="32:32" ht="24" customHeight="1">
      <c r="AF9874" s="908">
        <v>0</v>
      </c>
    </row>
    <row r="9875" spans="32:32" ht="24" customHeight="1">
      <c r="AF9875" s="908">
        <v>0</v>
      </c>
    </row>
    <row r="9876" spans="32:32" ht="24" customHeight="1">
      <c r="AF9876" s="908">
        <v>0</v>
      </c>
    </row>
    <row r="9877" spans="32:32" ht="24" customHeight="1">
      <c r="AF9877" s="908">
        <v>0</v>
      </c>
    </row>
    <row r="9878" spans="32:32" ht="24" customHeight="1">
      <c r="AF9878" s="908">
        <v>0</v>
      </c>
    </row>
    <row r="9879" spans="32:32" ht="24" customHeight="1">
      <c r="AF9879" s="908">
        <v>0</v>
      </c>
    </row>
    <row r="9880" spans="32:32" ht="24" customHeight="1">
      <c r="AF9880" s="908">
        <v>0</v>
      </c>
    </row>
    <row r="9881" spans="32:32" ht="24" customHeight="1">
      <c r="AF9881" s="908">
        <v>0</v>
      </c>
    </row>
    <row r="9882" spans="32:32" ht="24" customHeight="1">
      <c r="AF9882" s="908">
        <v>0</v>
      </c>
    </row>
    <row r="9883" spans="32:32" ht="24" customHeight="1">
      <c r="AF9883" s="908">
        <v>0</v>
      </c>
    </row>
    <row r="9884" spans="32:32" ht="24" customHeight="1">
      <c r="AF9884" s="908">
        <v>0</v>
      </c>
    </row>
    <row r="9885" spans="32:32" ht="24" customHeight="1">
      <c r="AF9885" s="908">
        <v>0</v>
      </c>
    </row>
    <row r="9886" spans="32:32" ht="24" customHeight="1">
      <c r="AF9886" s="908">
        <v>0</v>
      </c>
    </row>
    <row r="9887" spans="32:32" ht="24" customHeight="1">
      <c r="AF9887" s="908">
        <v>0</v>
      </c>
    </row>
    <row r="9888" spans="32:32" ht="24" customHeight="1">
      <c r="AF9888" s="908">
        <v>0</v>
      </c>
    </row>
    <row r="9889" spans="32:32" ht="24" customHeight="1">
      <c r="AF9889" s="908">
        <v>0</v>
      </c>
    </row>
    <row r="9890" spans="32:32" ht="24" customHeight="1">
      <c r="AF9890" s="908">
        <v>0</v>
      </c>
    </row>
    <row r="9891" spans="32:32" ht="24" customHeight="1">
      <c r="AF9891" s="908">
        <v>0</v>
      </c>
    </row>
    <row r="9892" spans="32:32" ht="24" customHeight="1">
      <c r="AF9892" s="908">
        <v>0</v>
      </c>
    </row>
    <row r="9893" spans="32:32" ht="24" customHeight="1">
      <c r="AF9893" s="908">
        <v>0</v>
      </c>
    </row>
    <row r="9894" spans="32:32" ht="24" customHeight="1">
      <c r="AF9894" s="908">
        <v>0</v>
      </c>
    </row>
    <row r="9895" spans="32:32" ht="24" customHeight="1">
      <c r="AF9895" s="908">
        <v>0</v>
      </c>
    </row>
    <row r="9896" spans="32:32" ht="24" customHeight="1">
      <c r="AF9896" s="908">
        <v>0</v>
      </c>
    </row>
    <row r="9897" spans="32:32" ht="24" customHeight="1">
      <c r="AF9897" s="908">
        <v>0</v>
      </c>
    </row>
    <row r="9898" spans="32:32" ht="24" customHeight="1">
      <c r="AF9898" s="908">
        <v>0</v>
      </c>
    </row>
    <row r="9899" spans="32:32" ht="24" customHeight="1">
      <c r="AF9899" s="908">
        <v>0</v>
      </c>
    </row>
    <row r="9900" spans="32:32" ht="24" customHeight="1">
      <c r="AF9900" s="908">
        <v>0</v>
      </c>
    </row>
    <row r="9901" spans="32:32" ht="24" customHeight="1">
      <c r="AF9901" s="908">
        <v>0</v>
      </c>
    </row>
    <row r="9902" spans="32:32" ht="24" customHeight="1">
      <c r="AF9902" s="908">
        <v>0</v>
      </c>
    </row>
    <row r="9903" spans="32:32" ht="24" customHeight="1">
      <c r="AF9903" s="908">
        <v>0</v>
      </c>
    </row>
    <row r="9904" spans="32:32" ht="24" customHeight="1">
      <c r="AF9904" s="908">
        <v>0</v>
      </c>
    </row>
    <row r="9905" spans="32:32" ht="24" customHeight="1">
      <c r="AF9905" s="908">
        <v>0</v>
      </c>
    </row>
    <row r="9906" spans="32:32" ht="24" customHeight="1">
      <c r="AF9906" s="908">
        <v>0</v>
      </c>
    </row>
    <row r="9907" spans="32:32" ht="24" customHeight="1">
      <c r="AF9907" s="908">
        <v>0</v>
      </c>
    </row>
    <row r="9908" spans="32:32" ht="24" customHeight="1">
      <c r="AF9908" s="908">
        <v>0</v>
      </c>
    </row>
    <row r="9909" spans="32:32" ht="24" customHeight="1">
      <c r="AF9909" s="908">
        <v>0</v>
      </c>
    </row>
    <row r="9910" spans="32:32" ht="24" customHeight="1">
      <c r="AF9910" s="908">
        <v>0</v>
      </c>
    </row>
    <row r="9911" spans="32:32" ht="24" customHeight="1">
      <c r="AF9911" s="908">
        <v>0</v>
      </c>
    </row>
    <row r="9912" spans="32:32" ht="24" customHeight="1">
      <c r="AF9912" s="908">
        <v>0</v>
      </c>
    </row>
    <row r="9913" spans="32:32" ht="24" customHeight="1">
      <c r="AF9913" s="908">
        <v>0</v>
      </c>
    </row>
    <row r="9914" spans="32:32" ht="24" customHeight="1">
      <c r="AF9914" s="908">
        <v>0</v>
      </c>
    </row>
    <row r="9915" spans="32:32" ht="24" customHeight="1">
      <c r="AF9915" s="908">
        <v>0</v>
      </c>
    </row>
    <row r="9916" spans="32:32" ht="24" customHeight="1">
      <c r="AF9916" s="908">
        <v>0</v>
      </c>
    </row>
    <row r="9917" spans="32:32" ht="24" customHeight="1">
      <c r="AF9917" s="908">
        <v>0</v>
      </c>
    </row>
    <row r="9918" spans="32:32" ht="24" customHeight="1">
      <c r="AF9918" s="908">
        <v>0</v>
      </c>
    </row>
    <row r="9919" spans="32:32" ht="24" customHeight="1">
      <c r="AF9919" s="908">
        <v>0</v>
      </c>
    </row>
    <row r="9920" spans="32:32" ht="24" customHeight="1">
      <c r="AF9920" s="908">
        <v>0</v>
      </c>
    </row>
    <row r="9921" spans="32:32" ht="24" customHeight="1">
      <c r="AF9921" s="908">
        <v>0</v>
      </c>
    </row>
    <row r="9922" spans="32:32" ht="24" customHeight="1">
      <c r="AF9922" s="908">
        <v>0</v>
      </c>
    </row>
    <row r="9923" spans="32:32" ht="24" customHeight="1">
      <c r="AF9923" s="908">
        <v>0</v>
      </c>
    </row>
    <row r="9924" spans="32:32" ht="24" customHeight="1">
      <c r="AF9924" s="908">
        <v>0</v>
      </c>
    </row>
    <row r="9925" spans="32:32" ht="24" customHeight="1">
      <c r="AF9925" s="908">
        <v>0</v>
      </c>
    </row>
    <row r="9926" spans="32:32" ht="24" customHeight="1">
      <c r="AF9926" s="908">
        <v>0</v>
      </c>
    </row>
    <row r="9927" spans="32:32" ht="24" customHeight="1">
      <c r="AF9927" s="908">
        <v>0</v>
      </c>
    </row>
    <row r="9928" spans="32:32" ht="24" customHeight="1">
      <c r="AF9928" s="908">
        <v>0</v>
      </c>
    </row>
    <row r="9929" spans="32:32" ht="24" customHeight="1">
      <c r="AF9929" s="908">
        <v>0</v>
      </c>
    </row>
    <row r="9930" spans="32:32" ht="24" customHeight="1">
      <c r="AF9930" s="908">
        <v>0</v>
      </c>
    </row>
    <row r="9931" spans="32:32" ht="24" customHeight="1">
      <c r="AF9931" s="908">
        <v>0</v>
      </c>
    </row>
    <row r="9932" spans="32:32" ht="24" customHeight="1">
      <c r="AF9932" s="908">
        <v>0</v>
      </c>
    </row>
    <row r="9933" spans="32:32" ht="24" customHeight="1">
      <c r="AF9933" s="908">
        <v>0</v>
      </c>
    </row>
    <row r="9934" spans="32:32" ht="24" customHeight="1">
      <c r="AF9934" s="908">
        <v>0</v>
      </c>
    </row>
    <row r="9935" spans="32:32" ht="24" customHeight="1">
      <c r="AF9935" s="908">
        <v>0</v>
      </c>
    </row>
    <row r="9936" spans="32:32" ht="24" customHeight="1">
      <c r="AF9936" s="908">
        <v>0</v>
      </c>
    </row>
    <row r="9937" spans="32:32" ht="24" customHeight="1">
      <c r="AF9937" s="908">
        <v>0</v>
      </c>
    </row>
    <row r="9938" spans="32:32" ht="24" customHeight="1">
      <c r="AF9938" s="908">
        <v>0</v>
      </c>
    </row>
    <row r="9939" spans="32:32" ht="24" customHeight="1">
      <c r="AF9939" s="908">
        <v>0</v>
      </c>
    </row>
    <row r="9940" spans="32:32" ht="24" customHeight="1">
      <c r="AF9940" s="908">
        <v>0</v>
      </c>
    </row>
    <row r="9941" spans="32:32" ht="24" customHeight="1">
      <c r="AF9941" s="908">
        <v>0</v>
      </c>
    </row>
    <row r="9942" spans="32:32" ht="24" customHeight="1">
      <c r="AF9942" s="908">
        <v>0</v>
      </c>
    </row>
    <row r="9943" spans="32:32" ht="24" customHeight="1">
      <c r="AF9943" s="908">
        <v>0</v>
      </c>
    </row>
    <row r="9944" spans="32:32" ht="24" customHeight="1">
      <c r="AF9944" s="908">
        <v>0</v>
      </c>
    </row>
    <row r="9945" spans="32:32" ht="24" customHeight="1">
      <c r="AF9945" s="908">
        <v>0</v>
      </c>
    </row>
    <row r="9946" spans="32:32" ht="24" customHeight="1">
      <c r="AF9946" s="908">
        <v>0</v>
      </c>
    </row>
    <row r="9947" spans="32:32" ht="24" customHeight="1">
      <c r="AF9947" s="908">
        <v>0</v>
      </c>
    </row>
    <row r="9948" spans="32:32" ht="24" customHeight="1">
      <c r="AF9948" s="908">
        <v>0</v>
      </c>
    </row>
    <row r="9949" spans="32:32" ht="24" customHeight="1">
      <c r="AF9949" s="908">
        <v>0</v>
      </c>
    </row>
    <row r="9950" spans="32:32" ht="24" customHeight="1">
      <c r="AF9950" s="908">
        <v>0</v>
      </c>
    </row>
    <row r="9951" spans="32:32" ht="24" customHeight="1">
      <c r="AF9951" s="908">
        <v>0</v>
      </c>
    </row>
    <row r="9952" spans="32:32" ht="24" customHeight="1">
      <c r="AF9952" s="908">
        <v>0</v>
      </c>
    </row>
    <row r="9953" spans="32:32" ht="24" customHeight="1">
      <c r="AF9953" s="908">
        <v>0</v>
      </c>
    </row>
    <row r="9954" spans="32:32" ht="24" customHeight="1">
      <c r="AF9954" s="908">
        <v>0</v>
      </c>
    </row>
    <row r="9955" spans="32:32" ht="24" customHeight="1">
      <c r="AF9955" s="908">
        <v>0</v>
      </c>
    </row>
    <row r="9956" spans="32:32" ht="24" customHeight="1">
      <c r="AF9956" s="908">
        <v>0</v>
      </c>
    </row>
    <row r="9957" spans="32:32" ht="24" customHeight="1">
      <c r="AF9957" s="908">
        <v>0</v>
      </c>
    </row>
    <row r="9958" spans="32:32" ht="24" customHeight="1">
      <c r="AF9958" s="908">
        <v>0</v>
      </c>
    </row>
    <row r="9959" spans="32:32" ht="24" customHeight="1">
      <c r="AF9959" s="908">
        <v>0</v>
      </c>
    </row>
    <row r="9960" spans="32:32" ht="24" customHeight="1">
      <c r="AF9960" s="908">
        <v>0</v>
      </c>
    </row>
    <row r="9961" spans="32:32" ht="24" customHeight="1">
      <c r="AF9961" s="908">
        <v>0</v>
      </c>
    </row>
    <row r="9962" spans="32:32" ht="24" customHeight="1">
      <c r="AF9962" s="908">
        <v>0</v>
      </c>
    </row>
    <row r="9963" spans="32:32" ht="24" customHeight="1">
      <c r="AF9963" s="908">
        <v>0</v>
      </c>
    </row>
    <row r="9964" spans="32:32" ht="24" customHeight="1">
      <c r="AF9964" s="908">
        <v>0</v>
      </c>
    </row>
    <row r="9965" spans="32:32" ht="24" customHeight="1">
      <c r="AF9965" s="908">
        <v>0</v>
      </c>
    </row>
    <row r="9966" spans="32:32" ht="24" customHeight="1">
      <c r="AF9966" s="908">
        <v>0</v>
      </c>
    </row>
    <row r="9967" spans="32:32" ht="24" customHeight="1">
      <c r="AF9967" s="908">
        <v>0</v>
      </c>
    </row>
    <row r="9968" spans="32:32" ht="24" customHeight="1">
      <c r="AF9968" s="908">
        <v>0</v>
      </c>
    </row>
    <row r="9969" spans="32:32" ht="24" customHeight="1">
      <c r="AF9969" s="908">
        <v>0</v>
      </c>
    </row>
    <row r="9970" spans="32:32" ht="24" customHeight="1">
      <c r="AF9970" s="908">
        <v>0</v>
      </c>
    </row>
    <row r="9971" spans="32:32" ht="24" customHeight="1">
      <c r="AF9971" s="908">
        <v>0</v>
      </c>
    </row>
    <row r="9972" spans="32:32" ht="24" customHeight="1">
      <c r="AF9972" s="908">
        <v>0</v>
      </c>
    </row>
    <row r="9973" spans="32:32" ht="24" customHeight="1">
      <c r="AF9973" s="908">
        <v>0</v>
      </c>
    </row>
    <row r="9974" spans="32:32" ht="24" customHeight="1">
      <c r="AF9974" s="908">
        <v>0</v>
      </c>
    </row>
    <row r="9975" spans="32:32" ht="24" customHeight="1">
      <c r="AF9975" s="908">
        <v>0</v>
      </c>
    </row>
    <row r="9976" spans="32:32" ht="24" customHeight="1">
      <c r="AF9976" s="908">
        <v>0</v>
      </c>
    </row>
    <row r="9977" spans="32:32" ht="24" customHeight="1">
      <c r="AF9977" s="908">
        <v>0</v>
      </c>
    </row>
    <row r="9978" spans="32:32" ht="24" customHeight="1">
      <c r="AF9978" s="908">
        <v>0</v>
      </c>
    </row>
    <row r="9979" spans="32:32" ht="24" customHeight="1">
      <c r="AF9979" s="908">
        <v>0</v>
      </c>
    </row>
    <row r="9980" spans="32:32" ht="24" customHeight="1">
      <c r="AF9980" s="908">
        <v>0</v>
      </c>
    </row>
    <row r="9981" spans="32:32" ht="24" customHeight="1">
      <c r="AF9981" s="908">
        <v>0</v>
      </c>
    </row>
    <row r="9982" spans="32:32" ht="24" customHeight="1">
      <c r="AF9982" s="908">
        <v>0</v>
      </c>
    </row>
    <row r="9983" spans="32:32" ht="24" customHeight="1">
      <c r="AF9983" s="908">
        <v>0</v>
      </c>
    </row>
    <row r="9984" spans="32:32" ht="24" customHeight="1">
      <c r="AF9984" s="908">
        <v>0</v>
      </c>
    </row>
    <row r="9985" spans="32:32" ht="24" customHeight="1">
      <c r="AF9985" s="908">
        <v>0</v>
      </c>
    </row>
    <row r="9986" spans="32:32" ht="24" customHeight="1">
      <c r="AF9986" s="908">
        <v>0</v>
      </c>
    </row>
    <row r="9987" spans="32:32" ht="24" customHeight="1">
      <c r="AF9987" s="908">
        <v>0</v>
      </c>
    </row>
    <row r="9988" spans="32:32" ht="24" customHeight="1">
      <c r="AF9988" s="908">
        <v>0</v>
      </c>
    </row>
    <row r="9989" spans="32:32" ht="24" customHeight="1">
      <c r="AF9989" s="908">
        <v>0</v>
      </c>
    </row>
    <row r="9990" spans="32:32" ht="24" customHeight="1">
      <c r="AF9990" s="908">
        <v>0</v>
      </c>
    </row>
    <row r="9991" spans="32:32" ht="24" customHeight="1">
      <c r="AF9991" s="908">
        <v>0</v>
      </c>
    </row>
    <row r="9992" spans="32:32" ht="24" customHeight="1">
      <c r="AF9992" s="908">
        <v>0</v>
      </c>
    </row>
    <row r="9993" spans="32:32" ht="24" customHeight="1">
      <c r="AF9993" s="908">
        <v>0</v>
      </c>
    </row>
    <row r="9994" spans="32:32" ht="24" customHeight="1">
      <c r="AF9994" s="908">
        <v>0</v>
      </c>
    </row>
    <row r="9995" spans="32:32" ht="24" customHeight="1">
      <c r="AF9995" s="908">
        <v>0</v>
      </c>
    </row>
    <row r="9996" spans="32:32" ht="24" customHeight="1">
      <c r="AF9996" s="908">
        <v>0</v>
      </c>
    </row>
  </sheetData>
  <sheetProtection algorithmName="SHA-512" hashValue="rUBcr2h6sgn924pCtv3ymYzwas2YP1b0kuiAFe0H7bOzt/Zla2ATO0bE5yPzwQqFnGUcm1QttfkdC+waO4vPNA==" saltValue="hursY6Jxyd9ouH5dQrFuEg==" spinCount="100000" sheet="1" objects="1" scenarios="1"/>
  <mergeCells count="34">
    <mergeCell ref="B1:K1"/>
    <mergeCell ref="P11:Q12"/>
    <mergeCell ref="N11:N12"/>
    <mergeCell ref="O11:O12"/>
    <mergeCell ref="N7:N8"/>
    <mergeCell ref="O7:O8"/>
    <mergeCell ref="M1:X1"/>
    <mergeCell ref="P7:Q8"/>
    <mergeCell ref="P4:Q4"/>
    <mergeCell ref="U4:V4"/>
    <mergeCell ref="U7:V8"/>
    <mergeCell ref="S11:S12"/>
    <mergeCell ref="P5:Q5"/>
    <mergeCell ref="U11:W11"/>
    <mergeCell ref="E32:G33"/>
    <mergeCell ref="N13:N14"/>
    <mergeCell ref="T7:T8"/>
    <mergeCell ref="I26:J26"/>
    <mergeCell ref="I8:J8"/>
    <mergeCell ref="P17:Q17"/>
    <mergeCell ref="P19:Q19"/>
    <mergeCell ref="E15:G16"/>
    <mergeCell ref="S13:S14"/>
    <mergeCell ref="S7:S8"/>
    <mergeCell ref="W22:X22"/>
    <mergeCell ref="P13:Q14"/>
    <mergeCell ref="U28:X28"/>
    <mergeCell ref="D17:D18"/>
    <mergeCell ref="P16:Q16"/>
    <mergeCell ref="S18:W19"/>
    <mergeCell ref="U15:W15"/>
    <mergeCell ref="W23:X23"/>
    <mergeCell ref="W25:X25"/>
    <mergeCell ref="W26:X26"/>
  </mergeCells>
  <dataValidations count="6">
    <dataValidation type="list" allowBlank="1" showInputMessage="1" showErrorMessage="1" sqref="P5" xr:uid="{1CD5BE52-9AA0-4DC2-AA8F-E7BEC9A283B1}">
      <formula1>branch_option</formula1>
    </dataValidation>
    <dataValidation type="whole" operator="greaterThanOrEqual" allowBlank="1" showInputMessage="1" showErrorMessage="1" sqref="P7" xr:uid="{D5801A7D-8F5B-4B1B-8B05-F65A4D5391C0}">
      <formula1>1</formula1>
    </dataValidation>
    <dataValidation type="list" allowBlank="1" showInputMessage="1" showErrorMessage="1" sqref="P19" xr:uid="{55215659-BBC3-4A33-A991-025088917AAA}">
      <formula1>saller_option</formula1>
    </dataValidation>
    <dataValidation type="whole" operator="greaterThanOrEqual" allowBlank="1" showInputMessage="1" showErrorMessage="1" sqref="K21" xr:uid="{351D25B6-7CD0-4B64-866C-C0A7AC20A577}">
      <formula1>0</formula1>
    </dataValidation>
    <dataValidation type="list" allowBlank="1" showInputMessage="1" showErrorMessage="1" sqref="U15:W15" xr:uid="{E5AB7A93-FDAF-4FED-9A9B-A6BD4415A462}">
      <formula1>module_type_option</formula1>
    </dataValidation>
    <dataValidation type="list" allowBlank="1" showInputMessage="1" showErrorMessage="1" sqref="U5" xr:uid="{C7AAAB3A-E26C-4370-B17D-901EA97F9DF9}">
      <formula1>chart_account_option</formula1>
    </dataValidation>
  </dataValidations>
  <printOptions horizontalCentered="1"/>
  <pageMargins left="0" right="0" top="7.874015748031496E-2" bottom="0.19685039370078741" header="0" footer="0"/>
  <pageSetup paperSize="9" scale="8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7489" r:id="rId4" name="Check Box 1">
              <controlPr locked="0" defaultSize="0" autoFill="0" autoLine="0" autoPict="0">
                <anchor>
                  <from>
                    <xdr:col>8</xdr:col>
                    <xdr:colOff>19050</xdr:colOff>
                    <xdr:row>12</xdr:row>
                    <xdr:rowOff>371475</xdr:rowOff>
                  </from>
                  <to>
                    <xdr:col>9</xdr:col>
                    <xdr:colOff>276225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7492" r:id="rId5" name="Check Box 4">
              <controlPr locked="0" defaultSize="0" autoFill="0" autoLine="0" autoPict="0">
                <anchor>
                  <from>
                    <xdr:col>8</xdr:col>
                    <xdr:colOff>9525</xdr:colOff>
                    <xdr:row>13</xdr:row>
                    <xdr:rowOff>381000</xdr:rowOff>
                  </from>
                  <to>
                    <xdr:col>9</xdr:col>
                    <xdr:colOff>200025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7493" r:id="rId6" name="Check Box 5">
              <controlPr locked="0" defaultSize="0" autoFill="0" autoLine="0" autoPict="0">
                <anchor>
                  <from>
                    <xdr:col>8</xdr:col>
                    <xdr:colOff>9525</xdr:colOff>
                    <xdr:row>14</xdr:row>
                    <xdr:rowOff>371475</xdr:rowOff>
                  </from>
                  <to>
                    <xdr:col>9</xdr:col>
                    <xdr:colOff>200025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7494" r:id="rId7" name="Button 6">
              <controlPr defaultSize="0" autoFill="0" autoPict="0" macro="[0]!SaveReceivePayment">
                <anchor>
                  <from>
                    <xdr:col>21</xdr:col>
                    <xdr:colOff>0</xdr:colOff>
                    <xdr:row>0</xdr:row>
                    <xdr:rowOff>104775</xdr:rowOff>
                  </from>
                  <to>
                    <xdr:col>23</xdr:col>
                    <xdr:colOff>66675</xdr:colOff>
                    <xdr:row>0</xdr:row>
                    <xdr:rowOff>581025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7495" r:id="rId8" name="Check Box 7">
              <controlPr locked="0" defaultSize="0" autoFill="0" autoLine="0" autoPict="0">
                <anchor>
                  <from>
                    <xdr:col>8</xdr:col>
                    <xdr:colOff>9525</xdr:colOff>
                    <xdr:row>29</xdr:row>
                    <xdr:rowOff>352425</xdr:rowOff>
                  </from>
                  <to>
                    <xdr:col>9</xdr:col>
                    <xdr:colOff>28575</xdr:colOff>
                    <xdr:row>30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7496" r:id="rId9" name="Check Box 8">
              <controlPr locked="0" defaultSize="0" autoFill="0" autoLine="0" autoPict="0">
                <anchor>
                  <from>
                    <xdr:col>8</xdr:col>
                    <xdr:colOff>9525</xdr:colOff>
                    <xdr:row>31</xdr:row>
                    <xdr:rowOff>19050</xdr:rowOff>
                  </from>
                  <to>
                    <xdr:col>8</xdr:col>
                    <xdr:colOff>219075</xdr:colOff>
                    <xdr:row>31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7497" r:id="rId10" name="Check Box 9">
              <controlPr locked="0" defaultSize="0" autoFill="0" autoLine="0" autoPict="0">
                <anchor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219075</xdr:colOff>
                    <xdr:row>32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399ED-5288-469A-8D65-21B546BD3945}">
  <sheetPr codeName="Sheet105"/>
  <dimension ref="L1:M25"/>
  <sheetViews>
    <sheetView showWhiteSpace="0" zoomScale="80" zoomScaleNormal="80" zoomScaleSheetLayoutView="100" zoomScalePageLayoutView="87" workbookViewId="0">
      <selection activeCell="Q6" sqref="Q6"/>
    </sheetView>
  </sheetViews>
  <sheetFormatPr defaultColWidth="8.7109375" defaultRowHeight="24" customHeight="1"/>
  <cols>
    <col min="1" max="1" width="3.140625" customWidth="1"/>
    <col min="2" max="2" width="1.5703125" customWidth="1"/>
    <col min="3" max="3" width="4" customWidth="1"/>
    <col min="4" max="4" width="8" customWidth="1"/>
    <col min="5" max="5" width="3.7109375" customWidth="1"/>
    <col min="6" max="6" width="21.7109375" customWidth="1"/>
    <col min="7" max="7" width="20.28515625" customWidth="1"/>
    <col min="8" max="8" width="11.5703125" customWidth="1"/>
    <col min="9" max="9" width="3.7109375" customWidth="1"/>
    <col min="10" max="10" width="14.85546875" customWidth="1"/>
    <col min="11" max="11" width="3.85546875" customWidth="1"/>
    <col min="12" max="12" width="7.85546875" hidden="1" customWidth="1"/>
    <col min="13" max="13" width="5.7109375" hidden="1" customWidth="1"/>
    <col min="14" max="14" width="2" customWidth="1"/>
    <col min="15" max="15" width="20" customWidth="1"/>
    <col min="16" max="16" width="4" customWidth="1"/>
    <col min="17" max="17" width="27.42578125" customWidth="1"/>
    <col min="18" max="18" width="9.42578125" customWidth="1"/>
    <col min="19" max="19" width="4.140625" customWidth="1"/>
    <col min="20" max="20" width="18.5703125" customWidth="1"/>
    <col min="21" max="21" width="3.140625" customWidth="1"/>
    <col min="22" max="22" width="22.42578125" bestFit="1" customWidth="1"/>
    <col min="23" max="23" width="10" bestFit="1" customWidth="1"/>
    <col min="24" max="24" width="3.42578125" customWidth="1"/>
    <col min="25" max="25" width="12.85546875" customWidth="1"/>
    <col min="26" max="26" width="12.42578125" customWidth="1"/>
    <col min="27" max="27" width="11.5703125" bestFit="1" customWidth="1"/>
  </cols>
  <sheetData>
    <row r="1" ht="33.75" customHeight="1"/>
    <row r="4" ht="27.75" customHeight="1"/>
    <row r="5" ht="27" customHeight="1"/>
    <row r="6" ht="15"/>
    <row r="7" ht="8.25" customHeight="1"/>
    <row r="8" ht="34.5" customHeight="1"/>
    <row r="9" ht="32.25" customHeight="1"/>
    <row r="10" ht="27.95" customHeight="1"/>
    <row r="11" ht="10.5" customHeight="1"/>
    <row r="12" ht="27.75" customHeight="1"/>
    <row r="13" ht="20.25" customHeight="1"/>
    <row r="14" ht="24.95" customHeight="1"/>
    <row r="15" ht="24.95" customHeight="1"/>
    <row r="16" ht="24.95" customHeight="1"/>
    <row r="17" ht="24.95" customHeight="1"/>
    <row r="18" ht="24.95" customHeight="1"/>
    <row r="19" ht="24.95" customHeight="1"/>
    <row r="20" ht="24.95" customHeight="1"/>
    <row r="21" ht="24.95" customHeight="1"/>
    <row r="22" ht="24.95" customHeight="1"/>
    <row r="23" ht="24.95" customHeight="1"/>
    <row r="24" ht="24.95" customHeight="1"/>
    <row r="25" ht="24.95" customHeight="1"/>
  </sheetData>
  <pageMargins left="3.937007874015748E-2" right="3.937007874015748E-2" top="3.937007874015748E-2" bottom="3.937007874015748E-2" header="0" footer="0"/>
  <pageSetup paperSize="11" scale="78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09FC3B-1842-4DCC-9BCD-EF8349392B67}">
  <sheetPr codeName="Sheet106"/>
  <dimension ref="A1:A25"/>
  <sheetViews>
    <sheetView zoomScale="80" zoomScaleNormal="80" zoomScaleSheetLayoutView="80" workbookViewId="0">
      <pane ySplit="1" topLeftCell="A2" activePane="bottomLeft" state="frozen"/>
      <selection pane="bottomLeft" activeCell="S17" sqref="S17"/>
    </sheetView>
  </sheetViews>
  <sheetFormatPr defaultColWidth="8.7109375" defaultRowHeight="24" customHeight="1"/>
  <cols>
    <col min="1" max="1" width="1.85546875" customWidth="1"/>
    <col min="2" max="2" width="1.140625" customWidth="1"/>
    <col min="3" max="3" width="16.85546875" customWidth="1"/>
    <col min="4" max="4" width="2.85546875" customWidth="1"/>
    <col min="5" max="5" width="21.42578125" customWidth="1"/>
    <col min="6" max="6" width="12.7109375" customWidth="1"/>
    <col min="7" max="7" width="11.7109375" customWidth="1"/>
    <col min="8" max="8" width="17.42578125" customWidth="1"/>
    <col min="9" max="9" width="3.42578125" customWidth="1"/>
    <col min="10" max="10" width="22.42578125" bestFit="1" customWidth="1"/>
    <col min="11" max="11" width="3.5703125" customWidth="1"/>
    <col min="12" max="12" width="2.28515625" customWidth="1"/>
    <col min="13" max="13" width="2.5703125" customWidth="1"/>
    <col min="14" max="14" width="17" bestFit="1" customWidth="1"/>
    <col min="15" max="15" width="4" customWidth="1"/>
    <col min="16" max="16" width="18.7109375" customWidth="1"/>
    <col min="17" max="17" width="29.7109375" customWidth="1"/>
    <col min="18" max="18" width="3" customWidth="1"/>
    <col min="19" max="19" width="18.5703125" customWidth="1"/>
    <col min="20" max="20" width="3.140625" customWidth="1"/>
    <col min="21" max="21" width="18.140625" customWidth="1"/>
    <col min="22" max="22" width="10.28515625" bestFit="1" customWidth="1"/>
    <col min="23" max="24" width="3.42578125" customWidth="1"/>
    <col min="25" max="25" width="47.28515625" bestFit="1" customWidth="1"/>
    <col min="27" max="27" width="17.42578125" customWidth="1"/>
  </cols>
  <sheetData>
    <row r="1" ht="69.75" customHeight="1"/>
    <row r="2" ht="11.25" customHeight="1"/>
    <row r="5" ht="34.5" customHeight="1"/>
    <row r="7" ht="9" customHeight="1"/>
    <row r="8" ht="37.5" customHeight="1"/>
    <row r="9" ht="17.25" customHeight="1"/>
    <row r="10" ht="27.95" customHeight="1"/>
    <row r="11" ht="25.5" customHeight="1"/>
    <row r="12" ht="27.75" customHeight="1"/>
    <row r="13" ht="34.5" customHeight="1"/>
    <row r="14" ht="15"/>
    <row r="15" ht="30" customHeight="1"/>
    <row r="16" ht="30" customHeight="1"/>
    <row r="17" ht="24.75" customHeight="1"/>
    <row r="18" ht="27" customHeight="1"/>
    <row r="19" ht="27" customHeight="1"/>
    <row r="20" ht="7.5" customHeight="1"/>
    <row r="22" ht="33.75" customHeight="1"/>
    <row r="23" ht="33.75" customHeight="1"/>
    <row r="24" ht="30.75" customHeight="1"/>
    <row r="25" ht="37.5" customHeight="1"/>
  </sheetData>
  <printOptions horizontalCentered="1"/>
  <pageMargins left="3.9370078740157501E-2" right="3.9370078740157501E-2" top="3.9370078740157501E-2" bottom="3.9370078740157501E-2" header="0" footer="0"/>
  <pageSetup paperSize="11" scale="90" orientation="landscape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6638CD-94E6-4E93-BDE4-036E103AEA80}">
  <sheetPr codeName="Sheet44"/>
  <dimension ref="C1:H28"/>
  <sheetViews>
    <sheetView showGridLines="0" zoomScale="90" zoomScaleNormal="90" workbookViewId="0">
      <pane ySplit="5" topLeftCell="A6" activePane="bottomLeft" state="frozen"/>
      <selection pane="bottomLeft" activeCell="F15" sqref="F15"/>
    </sheetView>
  </sheetViews>
  <sheetFormatPr defaultColWidth="9.140625" defaultRowHeight="25.5"/>
  <cols>
    <col min="1" max="1" width="4.5703125" style="128" customWidth="1"/>
    <col min="2" max="2" width="4.28515625" style="128" customWidth="1"/>
    <col min="3" max="3" width="8.140625" style="126" customWidth="1"/>
    <col min="4" max="4" width="12.5703125" style="181" customWidth="1"/>
    <col min="5" max="5" width="63.85546875" style="188" customWidth="1"/>
    <col min="6" max="6" width="27.5703125" style="294" customWidth="1"/>
    <col min="7" max="7" width="9.85546875" style="126" bestFit="1" customWidth="1"/>
    <col min="8" max="8" width="24.5703125" style="188" bestFit="1" customWidth="1"/>
    <col min="9" max="16384" width="9.140625" style="128"/>
  </cols>
  <sheetData>
    <row r="1" spans="3:8" ht="13.5" customHeight="1">
      <c r="E1" s="127"/>
      <c r="F1" s="233"/>
      <c r="H1" s="128"/>
    </row>
    <row r="2" spans="3:8" ht="39.75" customHeight="1">
      <c r="C2" s="561" t="s">
        <v>1543</v>
      </c>
      <c r="D2" s="470"/>
      <c r="E2" s="470"/>
      <c r="F2" s="470"/>
      <c r="G2" s="470"/>
      <c r="H2" s="128"/>
    </row>
    <row r="3" spans="3:8" ht="14.25" hidden="1" customHeight="1">
      <c r="E3" s="127"/>
      <c r="F3" s="233"/>
      <c r="H3" s="128"/>
    </row>
    <row r="4" spans="3:8" ht="29.25" customHeight="1">
      <c r="C4" s="528" t="s">
        <v>47</v>
      </c>
      <c r="D4" s="528" t="s">
        <v>159</v>
      </c>
      <c r="E4" s="528" t="s">
        <v>1545</v>
      </c>
      <c r="F4" s="528" t="s">
        <v>104</v>
      </c>
      <c r="G4" s="528" t="s">
        <v>187</v>
      </c>
      <c r="H4" s="128"/>
    </row>
    <row r="5" spans="3:8" ht="17.25" customHeight="1">
      <c r="C5" s="523" t="s">
        <v>9</v>
      </c>
      <c r="D5" s="523" t="s">
        <v>98</v>
      </c>
      <c r="E5" s="523" t="s">
        <v>1546</v>
      </c>
      <c r="F5" s="523" t="s">
        <v>242</v>
      </c>
      <c r="G5" s="523" t="s">
        <v>163</v>
      </c>
      <c r="H5" s="128"/>
    </row>
    <row r="6" spans="3:8" ht="24.95" customHeight="1">
      <c r="C6" s="567"/>
      <c r="D6" s="217"/>
      <c r="E6" s="222"/>
      <c r="F6" s="293"/>
      <c r="G6" s="218"/>
      <c r="H6" s="188" t="str">
        <f>IF(AND(D6="",E6=""),"",D6&amp;"."&amp;E6)</f>
        <v/>
      </c>
    </row>
    <row r="7" spans="3:8" ht="24.95" customHeight="1">
      <c r="C7" s="567"/>
      <c r="D7" s="217"/>
      <c r="E7" s="222"/>
      <c r="F7" s="293"/>
      <c r="G7" s="218"/>
      <c r="H7" s="188" t="str">
        <f t="shared" ref="H7:H19" si="0">IF(AND(D7="",E7=""),"",D7&amp;"."&amp;E7)</f>
        <v/>
      </c>
    </row>
    <row r="8" spans="3:8" ht="24.95" customHeight="1">
      <c r="C8" s="567"/>
      <c r="D8" s="217"/>
      <c r="E8" s="222"/>
      <c r="F8" s="293"/>
      <c r="G8" s="218"/>
      <c r="H8" s="188" t="str">
        <f t="shared" si="0"/>
        <v/>
      </c>
    </row>
    <row r="9" spans="3:8" ht="24.95" customHeight="1">
      <c r="C9" s="567"/>
      <c r="D9" s="217"/>
      <c r="E9" s="222"/>
      <c r="F9" s="293"/>
      <c r="G9" s="218"/>
      <c r="H9" s="188" t="str">
        <f t="shared" si="0"/>
        <v/>
      </c>
    </row>
    <row r="10" spans="3:8" ht="24.95" customHeight="1">
      <c r="C10" s="218"/>
      <c r="D10" s="217"/>
      <c r="E10" s="222"/>
      <c r="F10" s="293"/>
      <c r="G10" s="218"/>
      <c r="H10" s="188" t="str">
        <f t="shared" si="0"/>
        <v/>
      </c>
    </row>
    <row r="11" spans="3:8" ht="24.95" customHeight="1">
      <c r="C11" s="218"/>
      <c r="D11" s="217"/>
      <c r="E11" s="222"/>
      <c r="F11" s="293"/>
      <c r="G11" s="218"/>
      <c r="H11" s="188" t="str">
        <f t="shared" si="0"/>
        <v/>
      </c>
    </row>
    <row r="12" spans="3:8" ht="24.95" customHeight="1">
      <c r="C12" s="218"/>
      <c r="D12" s="217"/>
      <c r="E12" s="222"/>
      <c r="F12" s="293"/>
      <c r="G12" s="218"/>
      <c r="H12" s="188" t="str">
        <f t="shared" si="0"/>
        <v/>
      </c>
    </row>
    <row r="13" spans="3:8" ht="24.95" customHeight="1">
      <c r="C13" s="218"/>
      <c r="D13" s="217"/>
      <c r="E13" s="222"/>
      <c r="F13" s="293"/>
      <c r="G13" s="218"/>
      <c r="H13" s="188" t="str">
        <f t="shared" si="0"/>
        <v/>
      </c>
    </row>
    <row r="14" spans="3:8" ht="24.95" customHeight="1">
      <c r="C14" s="218"/>
      <c r="D14" s="217"/>
      <c r="E14" s="222"/>
      <c r="F14" s="293"/>
      <c r="G14" s="218"/>
      <c r="H14" s="188" t="str">
        <f t="shared" si="0"/>
        <v/>
      </c>
    </row>
    <row r="15" spans="3:8" ht="24.95" customHeight="1">
      <c r="C15" s="218"/>
      <c r="D15" s="217"/>
      <c r="E15" s="222"/>
      <c r="F15" s="293"/>
      <c r="G15" s="218"/>
      <c r="H15" s="188" t="str">
        <f t="shared" si="0"/>
        <v/>
      </c>
    </row>
    <row r="16" spans="3:8">
      <c r="C16" s="218"/>
      <c r="D16" s="217"/>
      <c r="E16" s="222"/>
      <c r="F16" s="293"/>
      <c r="G16" s="218"/>
      <c r="H16" s="188" t="str">
        <f t="shared" si="0"/>
        <v/>
      </c>
    </row>
    <row r="17" spans="3:8" ht="24.95" customHeight="1">
      <c r="C17" s="218"/>
      <c r="D17" s="217"/>
      <c r="E17" s="222"/>
      <c r="F17" s="293"/>
      <c r="G17" s="218"/>
      <c r="H17" s="188" t="str">
        <f t="shared" si="0"/>
        <v/>
      </c>
    </row>
    <row r="18" spans="3:8" ht="24.95" customHeight="1">
      <c r="C18" s="218"/>
      <c r="D18" s="217"/>
      <c r="E18" s="222"/>
      <c r="F18" s="293"/>
      <c r="G18" s="218"/>
      <c r="H18" s="188" t="str">
        <f t="shared" si="0"/>
        <v/>
      </c>
    </row>
    <row r="19" spans="3:8" ht="24.95" customHeight="1">
      <c r="C19" s="218"/>
      <c r="D19" s="217"/>
      <c r="E19" s="222"/>
      <c r="F19" s="293"/>
      <c r="G19" s="292"/>
      <c r="H19" s="188" t="str">
        <f t="shared" si="0"/>
        <v/>
      </c>
    </row>
    <row r="20" spans="3:8" ht="24.95" customHeight="1"/>
    <row r="28" spans="3:8" ht="24.95" customHeight="1"/>
  </sheetData>
  <phoneticPr fontId="36" type="noConversion"/>
  <pageMargins left="0.7" right="0.7" top="0.75" bottom="0.75" header="0.3" footer="0.3"/>
  <pageSetup paperSize="9" orientation="portrait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62F7E-B2D3-4A59-A2D1-36DA855E6481}">
  <sheetPr codeName="Sheet45"/>
  <dimension ref="C1:F27"/>
  <sheetViews>
    <sheetView showGridLines="0" zoomScale="90" zoomScaleNormal="90" workbookViewId="0">
      <pane ySplit="7" topLeftCell="A8" activePane="bottomLeft" state="frozen"/>
      <selection pane="bottomLeft" activeCell="D17" sqref="D17"/>
    </sheetView>
  </sheetViews>
  <sheetFormatPr defaultRowHeight="23.25"/>
  <cols>
    <col min="3" max="3" width="17" customWidth="1"/>
    <col min="4" max="4" width="27" style="129" customWidth="1"/>
    <col min="5" max="5" width="26.28515625" customWidth="1"/>
    <col min="6" max="6" width="36.85546875" style="129" customWidth="1"/>
  </cols>
  <sheetData>
    <row r="1" spans="3:6" hidden="1"/>
    <row r="2" spans="3:6" hidden="1"/>
    <row r="4" spans="3:6" ht="36.75" customHeight="1">
      <c r="C4" s="2083" t="s">
        <v>877</v>
      </c>
      <c r="D4" s="2083"/>
      <c r="E4" s="2083"/>
    </row>
    <row r="5" spans="3:6" ht="9.75" customHeight="1"/>
    <row r="6" spans="3:6">
      <c r="C6" s="566" t="s">
        <v>47</v>
      </c>
      <c r="D6" s="566" t="s">
        <v>1566</v>
      </c>
      <c r="E6" s="566" t="s">
        <v>74</v>
      </c>
    </row>
    <row r="7" spans="3:6">
      <c r="C7" s="535" t="s">
        <v>10</v>
      </c>
      <c r="D7" s="535" t="s">
        <v>342</v>
      </c>
      <c r="E7" s="535" t="s">
        <v>76</v>
      </c>
    </row>
    <row r="8" spans="3:6">
      <c r="C8" s="13">
        <v>1</v>
      </c>
      <c r="D8" s="129" t="s">
        <v>2098</v>
      </c>
      <c r="F8" s="129" t="str">
        <f>IF(AND(C8&lt;&gt;"",D8&lt;&gt;""),TEXT(C8,"000")&amp;"."&amp;D8,"")</f>
        <v>001.ទូទៅ</v>
      </c>
    </row>
    <row r="9" spans="3:6">
      <c r="C9" s="13"/>
      <c r="F9" s="129" t="str">
        <f t="shared" ref="F9:F23" si="0">IF(AND(C9&lt;&gt;"",D9&lt;&gt;""),TEXT(C9,"000")&amp;"."&amp;D9,"")</f>
        <v/>
      </c>
    </row>
    <row r="10" spans="3:6">
      <c r="C10" s="13"/>
      <c r="F10" s="129" t="str">
        <f t="shared" si="0"/>
        <v/>
      </c>
    </row>
    <row r="11" spans="3:6">
      <c r="C11" s="13"/>
      <c r="F11" s="129" t="str">
        <f t="shared" si="0"/>
        <v/>
      </c>
    </row>
    <row r="12" spans="3:6">
      <c r="C12" s="13"/>
      <c r="F12" s="129" t="str">
        <f t="shared" si="0"/>
        <v/>
      </c>
    </row>
    <row r="13" spans="3:6">
      <c r="C13" s="13"/>
      <c r="F13" s="129" t="str">
        <f t="shared" si="0"/>
        <v/>
      </c>
    </row>
    <row r="14" spans="3:6">
      <c r="C14" s="13"/>
      <c r="F14" s="129" t="str">
        <f t="shared" si="0"/>
        <v/>
      </c>
    </row>
    <row r="15" spans="3:6">
      <c r="C15" s="13"/>
      <c r="F15" s="129" t="str">
        <f t="shared" si="0"/>
        <v/>
      </c>
    </row>
    <row r="16" spans="3:6">
      <c r="C16" s="13"/>
      <c r="F16" s="129" t="str">
        <f t="shared" si="0"/>
        <v/>
      </c>
    </row>
    <row r="17" spans="3:6">
      <c r="C17" s="13"/>
      <c r="F17" s="129" t="str">
        <f t="shared" si="0"/>
        <v/>
      </c>
    </row>
    <row r="18" spans="3:6">
      <c r="C18" s="13"/>
      <c r="F18" s="129" t="str">
        <f t="shared" si="0"/>
        <v/>
      </c>
    </row>
    <row r="19" spans="3:6">
      <c r="C19" s="13"/>
      <c r="F19" s="129" t="str">
        <f t="shared" si="0"/>
        <v/>
      </c>
    </row>
    <row r="20" spans="3:6">
      <c r="C20" s="13"/>
      <c r="F20" s="129" t="str">
        <f t="shared" si="0"/>
        <v/>
      </c>
    </row>
    <row r="21" spans="3:6">
      <c r="C21" s="13"/>
      <c r="F21" s="129" t="str">
        <f t="shared" si="0"/>
        <v/>
      </c>
    </row>
    <row r="22" spans="3:6">
      <c r="C22" s="13"/>
      <c r="F22" s="129" t="str">
        <f t="shared" si="0"/>
        <v/>
      </c>
    </row>
    <row r="23" spans="3:6">
      <c r="C23" s="13"/>
      <c r="F23" s="129" t="str">
        <f t="shared" si="0"/>
        <v/>
      </c>
    </row>
    <row r="24" spans="3:6">
      <c r="F24" s="129" t="str">
        <f t="shared" ref="F24:F27" si="1">IF(AND(C24&lt;&gt;"",D24&lt;&gt;""),TEXT(C24,"000")&amp;"."&amp;D24,"")</f>
        <v/>
      </c>
    </row>
    <row r="25" spans="3:6">
      <c r="F25" s="129" t="str">
        <f t="shared" si="1"/>
        <v/>
      </c>
    </row>
    <row r="26" spans="3:6">
      <c r="F26" s="129" t="str">
        <f t="shared" si="1"/>
        <v/>
      </c>
    </row>
    <row r="27" spans="3:6">
      <c r="F27" s="129" t="str">
        <f t="shared" si="1"/>
        <v/>
      </c>
    </row>
  </sheetData>
  <mergeCells count="1">
    <mergeCell ref="C4:E4"/>
  </mergeCells>
  <phoneticPr fontId="36" type="noConversion"/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3"/>
  <dimension ref="C1:R125"/>
  <sheetViews>
    <sheetView showGridLines="0" zoomScale="80" zoomScaleNormal="80" zoomScaleSheetLayoutView="100" workbookViewId="0">
      <pane ySplit="4" topLeftCell="A5" activePane="bottomLeft" state="frozen"/>
      <selection pane="bottomLeft" activeCell="K17" sqref="K17"/>
    </sheetView>
  </sheetViews>
  <sheetFormatPr defaultColWidth="8.7109375" defaultRowHeight="24.95" customHeight="1"/>
  <cols>
    <col min="1" max="1" width="0.85546875" style="656" customWidth="1"/>
    <col min="2" max="2" width="2.5703125" style="656" customWidth="1"/>
    <col min="3" max="3" width="7.85546875" style="168" customWidth="1"/>
    <col min="4" max="4" width="18.140625" style="168" customWidth="1"/>
    <col min="5" max="5" width="22.28515625" style="656" customWidth="1"/>
    <col min="6" max="6" width="18.85546875" style="656" customWidth="1"/>
    <col min="7" max="7" width="27" style="656" customWidth="1"/>
    <col min="8" max="8" width="40.42578125" style="656" customWidth="1"/>
    <col min="9" max="9" width="20.5703125" style="871" customWidth="1"/>
    <col min="10" max="10" width="27.42578125" style="213" customWidth="1"/>
    <col min="11" max="11" width="50.42578125" style="1307" customWidth="1"/>
    <col min="12" max="13" width="24.7109375" style="872" customWidth="1"/>
    <col min="14" max="14" width="21.85546875" style="314" bestFit="1" customWidth="1"/>
    <col min="15" max="15" width="18.28515625" style="649" customWidth="1"/>
    <col min="16" max="16" width="14.5703125" style="873" bestFit="1" customWidth="1"/>
    <col min="17" max="17" width="35.5703125" style="874" bestFit="1" customWidth="1"/>
    <col min="18" max="18" width="19.7109375" style="656" customWidth="1"/>
    <col min="19" max="16384" width="8.7109375" style="656"/>
  </cols>
  <sheetData>
    <row r="1" spans="3:18" s="145" customFormat="1" ht="30" customHeight="1">
      <c r="C1" s="126"/>
      <c r="D1" s="126"/>
      <c r="I1" s="313"/>
      <c r="J1" s="180"/>
      <c r="K1" s="312"/>
      <c r="L1" s="312"/>
      <c r="M1" s="312"/>
      <c r="N1" s="314"/>
      <c r="O1" s="649"/>
      <c r="P1" s="231"/>
      <c r="Q1" s="307"/>
    </row>
    <row r="2" spans="3:18" s="145" customFormat="1" ht="45.75" customHeight="1">
      <c r="C2" s="538" t="s">
        <v>2660</v>
      </c>
      <c r="D2" s="539"/>
      <c r="E2" s="515"/>
      <c r="F2" s="515"/>
      <c r="G2" s="515"/>
      <c r="H2" s="515"/>
      <c r="I2" s="542"/>
      <c r="J2" s="540"/>
      <c r="K2" s="540"/>
      <c r="L2" s="540"/>
      <c r="M2" s="540"/>
      <c r="N2" s="541"/>
      <c r="O2" s="650"/>
      <c r="P2" s="540"/>
      <c r="Q2" s="307"/>
    </row>
    <row r="3" spans="3:18" s="145" customFormat="1" ht="29.25" customHeight="1">
      <c r="C3" s="524" t="s">
        <v>47</v>
      </c>
      <c r="D3" s="536" t="s">
        <v>103</v>
      </c>
      <c r="E3" s="536" t="s">
        <v>179</v>
      </c>
      <c r="F3" s="536" t="s">
        <v>877</v>
      </c>
      <c r="G3" s="536" t="s">
        <v>79</v>
      </c>
      <c r="H3" s="536" t="s">
        <v>240</v>
      </c>
      <c r="I3" s="537" t="s">
        <v>104</v>
      </c>
      <c r="J3" s="537" t="s">
        <v>105</v>
      </c>
      <c r="K3" s="537" t="s">
        <v>106</v>
      </c>
      <c r="L3" s="537" t="s">
        <v>685</v>
      </c>
      <c r="M3" s="537" t="s">
        <v>75</v>
      </c>
      <c r="N3" s="537" t="s">
        <v>1561</v>
      </c>
      <c r="O3" s="651" t="s">
        <v>183</v>
      </c>
      <c r="P3" s="537" t="s">
        <v>187</v>
      </c>
      <c r="Q3" s="308"/>
    </row>
    <row r="4" spans="3:18" s="153" customFormat="1" ht="20.25" customHeight="1">
      <c r="C4" s="1516" t="s">
        <v>1562</v>
      </c>
      <c r="D4" s="1516" t="s">
        <v>1563</v>
      </c>
      <c r="E4" s="1516" t="s">
        <v>1571</v>
      </c>
      <c r="F4" s="1516" t="s">
        <v>342</v>
      </c>
      <c r="G4" s="1516" t="s">
        <v>162</v>
      </c>
      <c r="H4" s="1516" t="s">
        <v>1564</v>
      </c>
      <c r="I4" s="1517" t="s">
        <v>242</v>
      </c>
      <c r="J4" s="1517" t="s">
        <v>1572</v>
      </c>
      <c r="K4" s="1517" t="s">
        <v>23</v>
      </c>
      <c r="L4" s="1517" t="s">
        <v>678</v>
      </c>
      <c r="M4" s="1517" t="s">
        <v>77</v>
      </c>
      <c r="N4" s="1517" t="s">
        <v>2000</v>
      </c>
      <c r="O4" s="1518" t="s">
        <v>1565</v>
      </c>
      <c r="P4" s="1517" t="s">
        <v>163</v>
      </c>
      <c r="Q4" s="298"/>
    </row>
    <row r="5" spans="3:18" ht="24.95" customHeight="1">
      <c r="C5" s="483">
        <v>1</v>
      </c>
      <c r="D5" s="483" t="s">
        <v>1573</v>
      </c>
      <c r="E5" s="1519" t="s">
        <v>3236</v>
      </c>
      <c r="F5" s="1520" t="s">
        <v>3238</v>
      </c>
      <c r="G5" s="1521" t="s">
        <v>3237</v>
      </c>
      <c r="H5" s="1522" t="s">
        <v>3236</v>
      </c>
      <c r="I5" s="1523"/>
      <c r="J5" s="1524"/>
      <c r="K5" s="1525"/>
      <c r="L5" s="1526"/>
      <c r="M5" s="1526"/>
      <c r="N5" s="1527"/>
      <c r="O5" s="1528" t="e">
        <f>SUMIFS([1]SaleInvoiceData!$AC$8:$AC$10000,[1]SaleInvoiceData!$N$8:$N$10000,C5,[1]SaleInvoiceData!$AD$8:$AD$10000,"&gt;0")</f>
        <v>#VALUE!</v>
      </c>
      <c r="P5" s="1529">
        <v>1</v>
      </c>
      <c r="Q5" s="874" t="s">
        <v>3239</v>
      </c>
    </row>
    <row r="6" spans="3:18" s="145" customFormat="1" ht="24.95" customHeight="1">
      <c r="C6" s="1281">
        <v>2</v>
      </c>
      <c r="D6" s="1281" t="s">
        <v>4610</v>
      </c>
      <c r="E6" s="1530" t="s">
        <v>4611</v>
      </c>
      <c r="F6" s="1530" t="s">
        <v>3238</v>
      </c>
      <c r="G6" s="1531" t="s">
        <v>4612</v>
      </c>
      <c r="H6" s="1530" t="s">
        <v>4611</v>
      </c>
      <c r="I6" s="1523" t="s">
        <v>4613</v>
      </c>
      <c r="J6" s="1524"/>
      <c r="K6" s="1525" t="s">
        <v>4614</v>
      </c>
      <c r="L6" s="1526"/>
      <c r="M6" s="1526"/>
      <c r="N6" s="1527"/>
      <c r="O6" s="1528" t="e">
        <f>SUMIFS([1]SaleInvoiceData!$AC$8:$AC$10000,[1]SaleInvoiceData!$N$8:$N$10000,C6,[1]SaleInvoiceData!$AD$8:$AD$10000,"&gt;0")</f>
        <v>#VALUE!</v>
      </c>
      <c r="P6" s="1532">
        <v>1</v>
      </c>
      <c r="Q6" s="307" t="s">
        <v>4615</v>
      </c>
    </row>
    <row r="7" spans="3:18" s="145" customFormat="1" ht="24.95" customHeight="1">
      <c r="C7" s="1281"/>
      <c r="D7" s="1281"/>
      <c r="E7" s="1530"/>
      <c r="F7" s="1530"/>
      <c r="G7" s="1531"/>
      <c r="H7" s="1530"/>
      <c r="I7" s="1523"/>
      <c r="J7" s="1533"/>
      <c r="K7" s="1525"/>
      <c r="L7" s="1526"/>
      <c r="M7" s="1526"/>
      <c r="N7" s="1527"/>
      <c r="O7" s="1528"/>
      <c r="P7" s="1532"/>
      <c r="Q7" s="307"/>
    </row>
    <row r="8" spans="3:18" s="145" customFormat="1" ht="24.95" customHeight="1">
      <c r="C8" s="1281"/>
      <c r="D8" s="1281"/>
      <c r="E8" s="1530"/>
      <c r="F8" s="1530"/>
      <c r="G8" s="1531"/>
      <c r="H8" s="1530"/>
      <c r="I8" s="1523"/>
      <c r="J8" s="1533"/>
      <c r="K8" s="1525"/>
      <c r="L8" s="1526"/>
      <c r="M8" s="1526"/>
      <c r="N8" s="1527"/>
      <c r="O8" s="1528"/>
      <c r="P8" s="1532"/>
      <c r="Q8" s="307"/>
    </row>
    <row r="9" spans="3:18" s="145" customFormat="1" ht="24.95" customHeight="1">
      <c r="C9" s="1281"/>
      <c r="D9" s="1281"/>
      <c r="E9" s="1530"/>
      <c r="F9" s="1530"/>
      <c r="G9" s="1531"/>
      <c r="H9" s="1530"/>
      <c r="I9" s="1523"/>
      <c r="J9" s="1524"/>
      <c r="K9" s="1525"/>
      <c r="L9" s="1526"/>
      <c r="M9" s="1526"/>
      <c r="N9" s="1527"/>
      <c r="O9" s="1528"/>
      <c r="P9" s="1532"/>
      <c r="Q9" s="307"/>
    </row>
    <row r="10" spans="3:18" s="145" customFormat="1" ht="24.95" customHeight="1">
      <c r="C10" s="1281"/>
      <c r="D10" s="1281"/>
      <c r="E10" s="1530"/>
      <c r="F10" s="1530"/>
      <c r="G10" s="1531"/>
      <c r="H10" s="1530"/>
      <c r="I10" s="1523"/>
      <c r="J10" s="1533"/>
      <c r="K10" s="1525"/>
      <c r="L10" s="1526"/>
      <c r="M10" s="1526"/>
      <c r="N10" s="1527"/>
      <c r="O10" s="1528"/>
      <c r="P10" s="1532"/>
      <c r="Q10" s="307"/>
    </row>
    <row r="11" spans="3:18" s="145" customFormat="1" ht="24.95" customHeight="1">
      <c r="C11" s="126"/>
      <c r="D11" s="126"/>
      <c r="G11" s="1275"/>
      <c r="I11" s="313"/>
      <c r="J11" s="180"/>
      <c r="K11" s="1308"/>
      <c r="L11" s="312"/>
      <c r="M11" s="312"/>
      <c r="N11" s="314"/>
      <c r="O11" s="649"/>
      <c r="P11" s="231"/>
      <c r="Q11" s="307"/>
    </row>
    <row r="12" spans="3:18" s="145" customFormat="1" ht="24.95" customHeight="1">
      <c r="C12" s="126"/>
      <c r="D12" s="126"/>
      <c r="G12" s="1275"/>
      <c r="I12" s="313"/>
      <c r="J12" s="180"/>
      <c r="K12" s="1308"/>
      <c r="L12" s="312"/>
      <c r="M12" s="312"/>
      <c r="N12" s="314"/>
      <c r="O12" s="649"/>
      <c r="P12" s="231"/>
      <c r="Q12" s="307"/>
      <c r="R12" s="305"/>
    </row>
    <row r="13" spans="3:18" s="145" customFormat="1" ht="24.95" customHeight="1">
      <c r="C13" s="126"/>
      <c r="D13" s="126"/>
      <c r="G13" s="1275"/>
      <c r="I13" s="313"/>
      <c r="J13" s="180"/>
      <c r="K13" s="1308"/>
      <c r="L13" s="312"/>
      <c r="M13" s="312"/>
      <c r="N13" s="314"/>
      <c r="O13" s="649"/>
      <c r="P13" s="231"/>
      <c r="Q13" s="307"/>
    </row>
    <row r="14" spans="3:18" s="145" customFormat="1" ht="24.95" customHeight="1">
      <c r="C14" s="126"/>
      <c r="D14" s="126"/>
      <c r="G14" s="1275"/>
      <c r="I14" s="1276"/>
      <c r="J14" s="180"/>
      <c r="K14" s="1308"/>
      <c r="L14" s="312"/>
      <c r="M14" s="312"/>
      <c r="N14" s="314"/>
      <c r="O14" s="649"/>
      <c r="P14" s="231"/>
      <c r="Q14" s="307"/>
    </row>
    <row r="15" spans="3:18" s="145" customFormat="1" ht="24.95" customHeight="1">
      <c r="C15" s="126"/>
      <c r="D15" s="126"/>
      <c r="G15" s="1275"/>
      <c r="I15" s="313"/>
      <c r="J15" s="180"/>
      <c r="K15" s="1308"/>
      <c r="L15" s="312"/>
      <c r="M15" s="312"/>
      <c r="N15" s="314"/>
      <c r="O15" s="649"/>
      <c r="P15" s="231"/>
      <c r="Q15" s="307"/>
    </row>
    <row r="16" spans="3:18" s="145" customFormat="1" ht="24.95" customHeight="1">
      <c r="C16" s="126"/>
      <c r="D16" s="126"/>
      <c r="G16" s="1275"/>
      <c r="I16" s="313"/>
      <c r="J16" s="180"/>
      <c r="K16" s="1308"/>
      <c r="L16" s="312"/>
      <c r="M16" s="312"/>
      <c r="N16" s="314"/>
      <c r="O16" s="649"/>
      <c r="P16" s="231"/>
      <c r="Q16" s="307"/>
    </row>
    <row r="17" spans="7:18" ht="24.95" customHeight="1">
      <c r="G17" s="870"/>
    </row>
    <row r="18" spans="7:18" ht="24.95" customHeight="1">
      <c r="G18" s="870"/>
    </row>
    <row r="19" spans="7:18" ht="24.95" customHeight="1">
      <c r="G19" s="870"/>
    </row>
    <row r="20" spans="7:18" ht="24.95" customHeight="1">
      <c r="G20" s="870"/>
    </row>
    <row r="21" spans="7:18" ht="24.95" customHeight="1">
      <c r="G21" s="870"/>
      <c r="J21" s="876"/>
    </row>
    <row r="22" spans="7:18" ht="24.95" customHeight="1">
      <c r="G22" s="870"/>
    </row>
    <row r="23" spans="7:18" ht="24.95" customHeight="1">
      <c r="G23" s="870"/>
    </row>
    <row r="24" spans="7:18" ht="24.95" customHeight="1">
      <c r="G24" s="870"/>
      <c r="R24" s="660"/>
    </row>
    <row r="25" spans="7:18" ht="24.95" customHeight="1">
      <c r="G25" s="870"/>
      <c r="R25" s="660"/>
    </row>
    <row r="26" spans="7:18" ht="24.95" customHeight="1">
      <c r="G26" s="870"/>
      <c r="R26" s="877"/>
    </row>
    <row r="27" spans="7:18" ht="24.95" customHeight="1">
      <c r="G27" s="870"/>
      <c r="R27" s="660"/>
    </row>
    <row r="28" spans="7:18" ht="24.95" customHeight="1">
      <c r="G28" s="870"/>
      <c r="R28" s="660"/>
    </row>
    <row r="29" spans="7:18" ht="24.95" customHeight="1">
      <c r="G29" s="870"/>
      <c r="R29" s="660"/>
    </row>
    <row r="30" spans="7:18" ht="24.95" customHeight="1">
      <c r="G30" s="870"/>
      <c r="R30" s="660"/>
    </row>
    <row r="31" spans="7:18" ht="24.95" customHeight="1">
      <c r="G31" s="870"/>
      <c r="R31" s="660"/>
    </row>
    <row r="32" spans="7:18" ht="24.95" customHeight="1">
      <c r="G32" s="870"/>
      <c r="J32" s="876"/>
      <c r="R32" s="660"/>
    </row>
    <row r="33" spans="7:7" ht="24.95" customHeight="1">
      <c r="G33" s="870"/>
    </row>
    <row r="34" spans="7:7" ht="24.95" customHeight="1">
      <c r="G34" s="870"/>
    </row>
    <row r="35" spans="7:7" ht="24.95" customHeight="1">
      <c r="G35" s="870"/>
    </row>
    <row r="36" spans="7:7" ht="24.95" customHeight="1">
      <c r="G36" s="870"/>
    </row>
    <row r="37" spans="7:7" ht="24.95" customHeight="1">
      <c r="G37" s="870"/>
    </row>
    <row r="38" spans="7:7" ht="24.95" customHeight="1">
      <c r="G38" s="870"/>
    </row>
    <row r="39" spans="7:7" ht="24.95" customHeight="1">
      <c r="G39" s="870"/>
    </row>
    <row r="40" spans="7:7" ht="24.95" customHeight="1">
      <c r="G40" s="870"/>
    </row>
    <row r="42" spans="7:7" ht="24.95" customHeight="1">
      <c r="G42" s="870"/>
    </row>
    <row r="43" spans="7:7" ht="24.95" customHeight="1">
      <c r="G43" s="870"/>
    </row>
    <row r="70" spans="10:10" ht="24.95" customHeight="1">
      <c r="J70" s="875"/>
    </row>
    <row r="73" spans="10:10" ht="24.95" customHeight="1">
      <c r="J73" s="875"/>
    </row>
    <row r="94" spans="10:10" ht="24.95" customHeight="1">
      <c r="J94" s="875"/>
    </row>
    <row r="109" spans="10:10" ht="24.95" customHeight="1">
      <c r="J109" s="875"/>
    </row>
    <row r="110" spans="10:10" ht="24.95" customHeight="1">
      <c r="J110" s="875"/>
    </row>
    <row r="114" spans="7:7" ht="25.5"/>
    <row r="125" spans="7:7" ht="24.95" customHeight="1">
      <c r="G125" s="870"/>
    </row>
  </sheetData>
  <sortState xmlns:xlrd2="http://schemas.microsoft.com/office/spreadsheetml/2017/richdata2" ref="D6:K18">
    <sortCondition ref="D5:D18"/>
  </sortState>
  <phoneticPr fontId="36" type="noConversion"/>
  <printOptions horizontalCentered="1"/>
  <pageMargins left="7.874015748031496E-2" right="7.874015748031496E-2" top="7.874015748031496E-2" bottom="7.874015748031496E-2" header="7.874015748031496E-2" footer="7.874015748031496E-2"/>
  <pageSetup paperSize="9" orientation="landscape" r:id="rId1"/>
  <headerFooter scaleWithDoc="0" alignWithMargins="0"/>
  <colBreaks count="1" manualBreakCount="1">
    <brk id="16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64289" r:id="rId4" name="Button 1">
              <controlPr defaultSize="0" print="0" autoFill="0" autoPict="0" macro="[0]!btnAddCustomer">
                <anchor moveWithCells="1" sizeWithCells="1">
                  <from>
                    <xdr:col>3</xdr:col>
                    <xdr:colOff>885825</xdr:colOff>
                    <xdr:row>0</xdr:row>
                    <xdr:rowOff>352425</xdr:rowOff>
                  </from>
                  <to>
                    <xdr:col>4</xdr:col>
                    <xdr:colOff>104775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9D3FC-667C-4970-8614-131D2C868894}">
  <sheetPr codeName="Sheet26"/>
  <dimension ref="C1:W58"/>
  <sheetViews>
    <sheetView showGridLines="0" topLeftCell="A2" zoomScale="80" zoomScaleNormal="80" workbookViewId="0">
      <pane ySplit="6" topLeftCell="A8" activePane="bottomLeft" state="frozen"/>
      <selection pane="bottomLeft" activeCell="E3" sqref="E3"/>
    </sheetView>
  </sheetViews>
  <sheetFormatPr defaultColWidth="8.7109375" defaultRowHeight="24.95" customHeight="1"/>
  <cols>
    <col min="1" max="2" width="4.85546875" style="145" customWidth="1"/>
    <col min="3" max="3" width="7.85546875" style="168" customWidth="1"/>
    <col min="4" max="4" width="14.140625" style="168" customWidth="1"/>
    <col min="5" max="5" width="19.42578125" style="168" customWidth="1"/>
    <col min="6" max="6" width="43" style="253" bestFit="1" customWidth="1"/>
    <col min="7" max="7" width="29.85546875" style="656" bestFit="1" customWidth="1"/>
    <col min="8" max="8" width="25" style="656" customWidth="1"/>
    <col min="9" max="9" width="25.7109375" style="656" bestFit="1" customWidth="1"/>
    <col min="10" max="10" width="49" style="667" bestFit="1" customWidth="1"/>
    <col min="11" max="12" width="17.28515625" style="674" customWidth="1"/>
    <col min="13" max="13" width="28.42578125" style="660" customWidth="1"/>
    <col min="14" max="14" width="23.42578125" style="660" bestFit="1" customWidth="1"/>
    <col min="15" max="15" width="32.28515625" style="660" customWidth="1"/>
    <col min="16" max="16" width="78" style="656" bestFit="1" customWidth="1"/>
    <col min="17" max="17" width="32.42578125" style="656" customWidth="1"/>
    <col min="18" max="18" width="37.42578125" style="680" customWidth="1"/>
    <col min="19" max="19" width="27.5703125" style="655" customWidth="1"/>
    <col min="20" max="20" width="13.42578125" style="655" customWidth="1"/>
    <col min="21" max="21" width="48.140625" style="656" bestFit="1" customWidth="1"/>
    <col min="22" max="22" width="6.28515625" style="216" customWidth="1"/>
    <col min="23" max="23" width="20.7109375" style="216" customWidth="1"/>
    <col min="24" max="24" width="8.7109375" style="145"/>
    <col min="25" max="25" width="25.7109375" style="145" bestFit="1" customWidth="1"/>
    <col min="26" max="16384" width="8.7109375" style="145"/>
  </cols>
  <sheetData>
    <row r="1" spans="3:23" ht="21.95" hidden="1" customHeight="1">
      <c r="C1" s="126"/>
      <c r="D1" s="126"/>
      <c r="E1" s="126"/>
      <c r="F1" s="145"/>
      <c r="G1" s="145"/>
      <c r="H1" s="145"/>
      <c r="I1" s="145"/>
      <c r="J1" s="216"/>
      <c r="K1" s="671"/>
      <c r="L1" s="671"/>
      <c r="M1" s="151"/>
      <c r="N1" s="151"/>
      <c r="O1" s="151"/>
      <c r="P1" s="145"/>
      <c r="Q1" s="145"/>
      <c r="R1" s="675"/>
      <c r="S1" s="144"/>
      <c r="T1" s="144"/>
      <c r="U1" s="145"/>
    </row>
    <row r="2" spans="3:23" ht="12" customHeight="1">
      <c r="C2" s="126"/>
      <c r="D2" s="126"/>
      <c r="E2" s="126"/>
      <c r="F2" s="145"/>
      <c r="G2" s="145"/>
      <c r="H2" s="145"/>
      <c r="I2" s="145"/>
      <c r="J2" s="216"/>
      <c r="K2" s="671"/>
      <c r="L2" s="671"/>
      <c r="M2" s="151"/>
      <c r="N2" s="151"/>
      <c r="O2" s="151"/>
      <c r="P2" s="145"/>
      <c r="Q2" s="145"/>
      <c r="R2" s="675"/>
      <c r="S2" s="144"/>
      <c r="T2" s="144"/>
      <c r="U2" s="145"/>
    </row>
    <row r="3" spans="3:23" ht="42">
      <c r="C3" s="533" t="s">
        <v>1526</v>
      </c>
      <c r="D3" s="533"/>
      <c r="E3" s="533"/>
      <c r="F3" s="533"/>
      <c r="G3" s="533"/>
      <c r="H3" s="533"/>
      <c r="I3" s="533"/>
      <c r="J3" s="1787"/>
      <c r="K3" s="672"/>
      <c r="L3" s="672"/>
      <c r="M3" s="533"/>
      <c r="N3" s="533"/>
      <c r="O3" s="533"/>
      <c r="P3" s="533"/>
      <c r="Q3" s="534"/>
      <c r="R3" s="676"/>
      <c r="S3" s="459"/>
      <c r="T3" s="459"/>
      <c r="U3" s="145"/>
    </row>
    <row r="4" spans="3:23" ht="6.75" hidden="1" customHeight="1">
      <c r="C4" s="126"/>
      <c r="D4" s="126"/>
      <c r="E4" s="126"/>
      <c r="F4" s="145"/>
      <c r="G4" s="145"/>
      <c r="H4" s="145"/>
      <c r="I4" s="145"/>
      <c r="J4" s="216"/>
      <c r="K4" s="671"/>
      <c r="L4" s="671"/>
      <c r="M4" s="151"/>
      <c r="N4" s="151"/>
      <c r="O4" s="151"/>
      <c r="P4" s="145"/>
      <c r="Q4" s="145"/>
      <c r="R4" s="675"/>
      <c r="S4" s="144"/>
      <c r="T4" s="144"/>
      <c r="U4" s="145"/>
    </row>
    <row r="5" spans="3:23" ht="5.25" customHeight="1">
      <c r="C5" s="126"/>
      <c r="D5" s="126"/>
      <c r="E5" s="126"/>
      <c r="F5" s="126"/>
      <c r="G5" s="126"/>
      <c r="H5" s="126"/>
      <c r="I5" s="126"/>
      <c r="J5" s="128"/>
      <c r="K5" s="126"/>
      <c r="L5" s="126"/>
      <c r="M5" s="126"/>
      <c r="N5" s="126"/>
      <c r="O5" s="126"/>
      <c r="P5" s="126"/>
      <c r="Q5" s="126"/>
      <c r="R5" s="126"/>
      <c r="S5" s="126"/>
      <c r="T5" s="126"/>
      <c r="U5" s="145"/>
    </row>
    <row r="6" spans="3:23" ht="24.75" customHeight="1">
      <c r="C6" s="531" t="s">
        <v>47</v>
      </c>
      <c r="D6" s="531" t="s">
        <v>1920</v>
      </c>
      <c r="E6" s="531" t="s">
        <v>175</v>
      </c>
      <c r="F6" s="531" t="s">
        <v>176</v>
      </c>
      <c r="G6" s="531" t="s">
        <v>176</v>
      </c>
      <c r="H6" s="531" t="s">
        <v>1923</v>
      </c>
      <c r="I6" s="531" t="s">
        <v>1944</v>
      </c>
      <c r="J6" s="531" t="s">
        <v>1924</v>
      </c>
      <c r="K6" s="531" t="s">
        <v>1925</v>
      </c>
      <c r="L6" s="531" t="s">
        <v>1926</v>
      </c>
      <c r="M6" s="531" t="s">
        <v>105</v>
      </c>
      <c r="N6" s="531" t="s">
        <v>1932</v>
      </c>
      <c r="O6" s="531" t="s">
        <v>241</v>
      </c>
      <c r="P6" s="531" t="s">
        <v>106</v>
      </c>
      <c r="Q6" s="532" t="s">
        <v>75</v>
      </c>
      <c r="R6" s="677" t="s">
        <v>653</v>
      </c>
      <c r="S6" s="532" t="s">
        <v>1927</v>
      </c>
      <c r="T6" s="532" t="s">
        <v>187</v>
      </c>
      <c r="U6" s="161"/>
    </row>
    <row r="7" spans="3:23" s="153" customFormat="1" ht="16.5" customHeight="1">
      <c r="C7" s="530" t="s">
        <v>9</v>
      </c>
      <c r="D7" s="530" t="s">
        <v>1915</v>
      </c>
      <c r="E7" s="530" t="s">
        <v>173</v>
      </c>
      <c r="F7" s="530" t="s">
        <v>177</v>
      </c>
      <c r="G7" s="530" t="s">
        <v>1922</v>
      </c>
      <c r="H7" s="530" t="s">
        <v>1916</v>
      </c>
      <c r="I7" s="530" t="s">
        <v>1943</v>
      </c>
      <c r="J7" s="530" t="s">
        <v>1917</v>
      </c>
      <c r="K7" s="530" t="s">
        <v>1857</v>
      </c>
      <c r="L7" s="530" t="s">
        <v>1918</v>
      </c>
      <c r="M7" s="530" t="s">
        <v>101</v>
      </c>
      <c r="N7" s="530" t="s">
        <v>1806</v>
      </c>
      <c r="O7" s="530" t="s">
        <v>1572</v>
      </c>
      <c r="P7" s="530" t="s">
        <v>1919</v>
      </c>
      <c r="Q7" s="530" t="s">
        <v>78</v>
      </c>
      <c r="R7" s="678" t="s">
        <v>639</v>
      </c>
      <c r="S7" s="530" t="s">
        <v>1630</v>
      </c>
      <c r="T7" s="530" t="s">
        <v>1645</v>
      </c>
      <c r="U7" s="182"/>
      <c r="V7" s="681"/>
      <c r="W7" s="681"/>
    </row>
    <row r="8" spans="3:23" ht="24.95" customHeight="1">
      <c r="C8" s="197">
        <v>1</v>
      </c>
      <c r="D8" s="197"/>
      <c r="E8" s="197" t="s">
        <v>1946</v>
      </c>
      <c r="F8" s="828" t="s">
        <v>3320</v>
      </c>
      <c r="G8" s="668" t="s">
        <v>1945</v>
      </c>
      <c r="H8" s="668"/>
      <c r="I8" s="668"/>
      <c r="J8" s="1538"/>
      <c r="K8" s="673"/>
      <c r="L8" s="673"/>
      <c r="M8" s="669"/>
      <c r="N8" s="669"/>
      <c r="O8" s="669"/>
      <c r="P8" s="668"/>
      <c r="Q8" s="668"/>
      <c r="R8" s="679">
        <v>46196</v>
      </c>
      <c r="S8" s="670">
        <v>0</v>
      </c>
      <c r="T8" s="670">
        <v>1</v>
      </c>
      <c r="U8" s="656" t="s">
        <v>3328</v>
      </c>
    </row>
    <row r="9" spans="3:23" ht="51">
      <c r="C9" s="197">
        <v>2</v>
      </c>
      <c r="D9" s="197"/>
      <c r="E9" s="197" t="s">
        <v>2981</v>
      </c>
      <c r="F9" s="828" t="s">
        <v>3321</v>
      </c>
      <c r="G9" s="668" t="s">
        <v>2980</v>
      </c>
      <c r="H9" s="668" t="s">
        <v>3322</v>
      </c>
      <c r="I9" s="668" t="s">
        <v>3324</v>
      </c>
      <c r="J9" s="861" t="s">
        <v>3325</v>
      </c>
      <c r="K9" s="673" t="s">
        <v>180</v>
      </c>
      <c r="L9" s="673" t="s">
        <v>180</v>
      </c>
      <c r="M9" s="669"/>
      <c r="N9" s="669" t="s">
        <v>180</v>
      </c>
      <c r="O9" s="669"/>
      <c r="P9" s="668" t="s">
        <v>3326</v>
      </c>
      <c r="Q9" s="668"/>
      <c r="R9" s="679">
        <v>46196.552685185183</v>
      </c>
      <c r="S9" s="670">
        <v>4606.12</v>
      </c>
      <c r="T9" s="670">
        <v>1</v>
      </c>
      <c r="U9" s="656" t="s">
        <v>3327</v>
      </c>
      <c r="V9" s="128"/>
      <c r="W9" s="682"/>
    </row>
    <row r="10" spans="3:23" ht="24.95" customHeight="1">
      <c r="C10" s="197">
        <v>3</v>
      </c>
      <c r="D10" s="197"/>
      <c r="E10" s="197" t="s">
        <v>4287</v>
      </c>
      <c r="F10" s="828" t="s">
        <v>4288</v>
      </c>
      <c r="G10" s="668" t="s">
        <v>4289</v>
      </c>
      <c r="H10" s="668" t="s">
        <v>4290</v>
      </c>
      <c r="I10" s="668" t="s">
        <v>3324</v>
      </c>
      <c r="J10" s="1538" t="s">
        <v>4291</v>
      </c>
      <c r="K10" s="673" t="s">
        <v>180</v>
      </c>
      <c r="L10" s="673" t="s">
        <v>180</v>
      </c>
      <c r="M10" s="669" t="s">
        <v>180</v>
      </c>
      <c r="N10" s="669" t="s">
        <v>180</v>
      </c>
      <c r="O10" s="669"/>
      <c r="P10" s="668" t="s">
        <v>4292</v>
      </c>
      <c r="Q10" s="668"/>
      <c r="R10" s="679">
        <v>46258.571550925924</v>
      </c>
      <c r="S10" s="670" t="e">
        <f>IF(C10="","",SUMIFS([1]PurchaseBill!$AE$8:$AE$10000,[1]PurchaseBill!$P$8:$P$10000,C10,[1]PurchaseBill!$AM$8:$AM$10000,"&gt;0"))</f>
        <v>#VALUE!</v>
      </c>
      <c r="T10" s="670">
        <v>1</v>
      </c>
      <c r="U10" s="656" t="s">
        <v>4293</v>
      </c>
      <c r="V10" s="128"/>
      <c r="W10" s="682"/>
    </row>
    <row r="11" spans="3:23" ht="24.95" customHeight="1">
      <c r="C11" s="197">
        <v>4</v>
      </c>
      <c r="D11" s="197"/>
      <c r="E11" s="197" t="s">
        <v>4366</v>
      </c>
      <c r="F11" s="828" t="s">
        <v>4367</v>
      </c>
      <c r="G11" s="668" t="s">
        <v>4368</v>
      </c>
      <c r="H11" s="668" t="s">
        <v>4369</v>
      </c>
      <c r="I11" s="668" t="s">
        <v>3324</v>
      </c>
      <c r="J11" s="1538" t="s">
        <v>4370</v>
      </c>
      <c r="K11" s="673" t="s">
        <v>180</v>
      </c>
      <c r="L11" s="673" t="s">
        <v>180</v>
      </c>
      <c r="M11" s="669" t="s">
        <v>180</v>
      </c>
      <c r="N11" s="669" t="s">
        <v>180</v>
      </c>
      <c r="O11" s="669"/>
      <c r="P11" s="668" t="s">
        <v>4379</v>
      </c>
      <c r="Q11" s="668" t="s">
        <v>4371</v>
      </c>
      <c r="R11" s="679">
        <v>46266.267557870371</v>
      </c>
      <c r="S11" s="670" t="e">
        <f>IF(C11="","",SUMIFS([1]PurchaseBill!$AE$8:$AE$10000,[1]PurchaseBill!$P$8:$P$10000,C11,[1]PurchaseBill!$AM$8:$AM$10000,"&gt;0"))</f>
        <v>#VALUE!</v>
      </c>
      <c r="T11" s="670">
        <v>1</v>
      </c>
      <c r="U11" s="656" t="s">
        <v>4372</v>
      </c>
      <c r="V11" s="128"/>
      <c r="W11" s="682"/>
    </row>
    <row r="12" spans="3:23" ht="24.95" customHeight="1">
      <c r="C12" s="197">
        <v>5</v>
      </c>
      <c r="D12" s="197"/>
      <c r="E12" s="197" t="s">
        <v>4373</v>
      </c>
      <c r="F12" s="828" t="s">
        <v>4374</v>
      </c>
      <c r="G12" s="668" t="s">
        <v>4375</v>
      </c>
      <c r="H12" s="668" t="s">
        <v>4374</v>
      </c>
      <c r="I12" s="668" t="s">
        <v>3324</v>
      </c>
      <c r="J12" s="1538" t="s">
        <v>4376</v>
      </c>
      <c r="K12" s="673" t="s">
        <v>180</v>
      </c>
      <c r="L12" s="673" t="s">
        <v>180</v>
      </c>
      <c r="M12" s="669" t="s">
        <v>180</v>
      </c>
      <c r="N12" s="669" t="s">
        <v>180</v>
      </c>
      <c r="O12" s="669"/>
      <c r="P12" s="668" t="s">
        <v>4377</v>
      </c>
      <c r="Q12" s="668"/>
      <c r="R12" s="679">
        <v>46266.28162037037</v>
      </c>
      <c r="S12" s="670" t="e">
        <f>IF(C12="","",SUMIFS([1]PurchaseBill!$AE$8:$AE$10000,[1]PurchaseBill!$P$8:$P$10000,C12,[1]PurchaseBill!$AM$8:$AM$10000,"&gt;0"))</f>
        <v>#VALUE!</v>
      </c>
      <c r="T12" s="670">
        <v>1</v>
      </c>
      <c r="U12" s="656" t="s">
        <v>4378</v>
      </c>
      <c r="V12" s="128"/>
      <c r="W12" s="682"/>
    </row>
    <row r="13" spans="3:23" ht="24.95" customHeight="1">
      <c r="C13" s="197">
        <v>6</v>
      </c>
      <c r="D13" s="197"/>
      <c r="E13" s="197" t="s">
        <v>4532</v>
      </c>
      <c r="F13" s="828" t="s">
        <v>4533</v>
      </c>
      <c r="G13" s="668" t="s">
        <v>4534</v>
      </c>
      <c r="H13" s="668" t="s">
        <v>4535</v>
      </c>
      <c r="I13" s="668" t="s">
        <v>3324</v>
      </c>
      <c r="J13" s="1538" t="s">
        <v>4536</v>
      </c>
      <c r="K13" s="673" t="s">
        <v>4537</v>
      </c>
      <c r="L13" s="673" t="s">
        <v>180</v>
      </c>
      <c r="M13" s="669" t="s">
        <v>180</v>
      </c>
      <c r="N13" s="669" t="s">
        <v>180</v>
      </c>
      <c r="O13" s="669"/>
      <c r="P13" s="668" t="s">
        <v>4538</v>
      </c>
      <c r="Q13" s="668"/>
      <c r="R13" s="679">
        <v>46275.849675925929</v>
      </c>
      <c r="S13" s="670" t="e">
        <f>IF(C13="","",SUMIFS([1]PurchaseBill!$AE$8:$AE$10000,[1]PurchaseBill!$P$8:$P$10000,C13,[1]PurchaseBill!$AM$8:$AM$10000,"&gt;0"))</f>
        <v>#VALUE!</v>
      </c>
      <c r="T13" s="670">
        <v>1</v>
      </c>
      <c r="U13" s="656" t="s">
        <v>4539</v>
      </c>
      <c r="V13" s="128"/>
      <c r="W13" s="682"/>
    </row>
    <row r="14" spans="3:23" ht="24.95" customHeight="1">
      <c r="C14" s="197">
        <v>7</v>
      </c>
      <c r="D14" s="197"/>
      <c r="E14" s="197" t="s">
        <v>4548</v>
      </c>
      <c r="F14" s="828" t="s">
        <v>4549</v>
      </c>
      <c r="G14" s="668" t="s">
        <v>4550</v>
      </c>
      <c r="H14" s="668" t="s">
        <v>4551</v>
      </c>
      <c r="I14" s="668" t="s">
        <v>3324</v>
      </c>
      <c r="J14" s="1538" t="s">
        <v>4552</v>
      </c>
      <c r="K14" s="673" t="s">
        <v>180</v>
      </c>
      <c r="L14" s="673" t="s">
        <v>180</v>
      </c>
      <c r="M14" s="669" t="s">
        <v>180</v>
      </c>
      <c r="N14" s="669" t="s">
        <v>180</v>
      </c>
      <c r="O14" s="669" t="s">
        <v>4553</v>
      </c>
      <c r="P14" s="668" t="s">
        <v>4554</v>
      </c>
      <c r="Q14" s="668"/>
      <c r="R14" s="679">
        <v>46277.448298611111</v>
      </c>
      <c r="S14" s="670" t="e">
        <f>IF(C14="","",SUMIFS([1]PurchaseBill!$AE$8:$AE$10000,[1]PurchaseBill!$P$8:$P$10000,C14,[1]PurchaseBill!$AM$8:$AM$10000,"&gt;0"))</f>
        <v>#VALUE!</v>
      </c>
      <c r="T14" s="670">
        <v>1</v>
      </c>
      <c r="U14" s="656" t="s">
        <v>4555</v>
      </c>
      <c r="V14" s="128"/>
      <c r="W14" s="682"/>
    </row>
    <row r="15" spans="3:23" ht="24.95" customHeight="1">
      <c r="C15" s="197">
        <v>8</v>
      </c>
      <c r="D15" s="197"/>
      <c r="E15" s="197" t="s">
        <v>4556</v>
      </c>
      <c r="F15" s="828" t="s">
        <v>4557</v>
      </c>
      <c r="G15" s="668" t="s">
        <v>4558</v>
      </c>
      <c r="H15" s="668"/>
      <c r="I15" s="668"/>
      <c r="J15" s="1538" t="s">
        <v>4559</v>
      </c>
      <c r="K15" s="673" t="s">
        <v>4560</v>
      </c>
      <c r="L15" s="673" t="s">
        <v>180</v>
      </c>
      <c r="M15" s="669" t="s">
        <v>180</v>
      </c>
      <c r="N15" s="669" t="s">
        <v>180</v>
      </c>
      <c r="O15" s="669"/>
      <c r="P15" s="668" t="s">
        <v>4561</v>
      </c>
      <c r="Q15" s="1780" t="s">
        <v>4562</v>
      </c>
      <c r="R15" s="679">
        <v>46279.719768518517</v>
      </c>
      <c r="S15" s="670" t="e">
        <f>IF(C15="","",SUMIFS([1]PurchaseBill!$AE$8:$AE$10000,[1]PurchaseBill!$P$8:$P$10000,C15,[1]PurchaseBill!$AM$8:$AM$10000,"&gt;0"))</f>
        <v>#VALUE!</v>
      </c>
      <c r="T15" s="670">
        <v>1</v>
      </c>
      <c r="U15" s="656" t="s">
        <v>4563</v>
      </c>
      <c r="V15" s="128"/>
      <c r="W15" s="682"/>
    </row>
    <row r="16" spans="3:23" ht="24.95" customHeight="1">
      <c r="C16" s="197">
        <v>9</v>
      </c>
      <c r="D16" s="197"/>
      <c r="E16" s="197" t="s">
        <v>4589</v>
      </c>
      <c r="F16" s="828" t="s">
        <v>4590</v>
      </c>
      <c r="G16" s="668" t="s">
        <v>4591</v>
      </c>
      <c r="H16" s="668" t="s">
        <v>4592</v>
      </c>
      <c r="I16" s="668" t="s">
        <v>3324</v>
      </c>
      <c r="J16" s="1538">
        <v>1800211111</v>
      </c>
      <c r="K16" s="673" t="s">
        <v>180</v>
      </c>
      <c r="L16" s="673" t="s">
        <v>180</v>
      </c>
      <c r="M16" s="669" t="s">
        <v>180</v>
      </c>
      <c r="N16" s="669" t="s">
        <v>4593</v>
      </c>
      <c r="O16" s="669" t="s">
        <v>4594</v>
      </c>
      <c r="P16" s="668" t="s">
        <v>4595</v>
      </c>
      <c r="Q16" s="668" t="s">
        <v>4597</v>
      </c>
      <c r="R16" s="679">
        <v>46284.88653935185</v>
      </c>
      <c r="S16" s="670" t="e">
        <f>IF(C16="","",SUMIFS([1]PurchaseBill!$AE$8:$AE$10000,[1]PurchaseBill!$P$8:$P$10000,C16,[1]PurchaseBill!$AM$8:$AM$10000,"&gt;0"))</f>
        <v>#VALUE!</v>
      </c>
      <c r="T16" s="670">
        <v>1</v>
      </c>
      <c r="U16" s="656" t="s">
        <v>4596</v>
      </c>
      <c r="V16" s="128"/>
      <c r="W16" s="682"/>
    </row>
    <row r="17" spans="3:23" ht="24.95" customHeight="1">
      <c r="C17" s="197"/>
      <c r="D17" s="197"/>
      <c r="E17" s="197"/>
      <c r="F17" s="828"/>
      <c r="G17" s="668"/>
      <c r="H17" s="668"/>
      <c r="I17" s="668"/>
      <c r="J17" s="1538"/>
      <c r="K17" s="673"/>
      <c r="L17" s="673"/>
      <c r="M17" s="669"/>
      <c r="N17" s="669"/>
      <c r="O17" s="669"/>
      <c r="P17" s="668"/>
      <c r="Q17" s="668"/>
      <c r="R17" s="679"/>
      <c r="S17" s="670"/>
      <c r="T17" s="670"/>
      <c r="V17" s="128"/>
      <c r="W17" s="682"/>
    </row>
    <row r="18" spans="3:23" ht="24.95" customHeight="1">
      <c r="C18" s="197"/>
      <c r="D18" s="197"/>
      <c r="E18" s="197"/>
      <c r="F18" s="828"/>
      <c r="G18" s="668"/>
      <c r="H18" s="668"/>
      <c r="I18" s="668"/>
      <c r="J18" s="1538"/>
      <c r="K18" s="673"/>
      <c r="L18" s="673"/>
      <c r="M18" s="669"/>
      <c r="N18" s="669"/>
      <c r="O18" s="669"/>
      <c r="P18" s="668"/>
      <c r="Q18" s="668"/>
      <c r="R18" s="679"/>
      <c r="S18" s="670"/>
      <c r="T18" s="670"/>
      <c r="V18" s="128"/>
      <c r="W18" s="682"/>
    </row>
    <row r="19" spans="3:23" ht="24.95" customHeight="1">
      <c r="C19" s="197"/>
      <c r="D19" s="197"/>
      <c r="E19" s="197"/>
      <c r="F19" s="828"/>
      <c r="G19" s="668"/>
      <c r="H19" s="668"/>
      <c r="I19" s="668"/>
      <c r="J19" s="1538"/>
      <c r="K19" s="673"/>
      <c r="L19" s="673"/>
      <c r="M19" s="669"/>
      <c r="N19" s="669"/>
      <c r="O19" s="669"/>
      <c r="P19" s="668"/>
      <c r="Q19" s="668"/>
      <c r="R19" s="679"/>
      <c r="S19" s="670"/>
      <c r="T19" s="670"/>
      <c r="V19" s="128"/>
      <c r="W19" s="682"/>
    </row>
    <row r="20" spans="3:23" ht="24.95" customHeight="1">
      <c r="C20" s="197"/>
      <c r="D20" s="197"/>
      <c r="E20" s="197"/>
      <c r="F20" s="828"/>
      <c r="G20" s="668"/>
      <c r="H20" s="668"/>
      <c r="I20" s="668"/>
      <c r="J20" s="1538"/>
      <c r="K20" s="673"/>
      <c r="L20" s="673"/>
      <c r="M20" s="669"/>
      <c r="N20" s="669"/>
      <c r="O20" s="669"/>
      <c r="P20" s="668"/>
      <c r="Q20" s="668"/>
      <c r="R20" s="679"/>
      <c r="S20" s="670"/>
      <c r="T20" s="670"/>
      <c r="V20" s="128"/>
      <c r="W20" s="682"/>
    </row>
    <row r="21" spans="3:23" ht="24.95" customHeight="1">
      <c r="C21" s="197"/>
      <c r="D21" s="197"/>
      <c r="E21" s="197"/>
      <c r="F21" s="828"/>
      <c r="G21" s="668"/>
      <c r="H21" s="668"/>
      <c r="I21" s="668"/>
      <c r="J21" s="1538"/>
      <c r="K21" s="673"/>
      <c r="L21" s="673"/>
      <c r="M21" s="669"/>
      <c r="N21" s="669"/>
      <c r="O21" s="669"/>
      <c r="P21" s="668"/>
      <c r="Q21" s="668"/>
      <c r="R21" s="679"/>
      <c r="S21" s="670"/>
      <c r="T21" s="670"/>
      <c r="V21" s="128"/>
      <c r="W21" s="682"/>
    </row>
    <row r="22" spans="3:23" ht="24.95" customHeight="1">
      <c r="C22" s="197"/>
      <c r="D22" s="197"/>
      <c r="E22" s="197"/>
      <c r="F22" s="828"/>
      <c r="G22" s="668"/>
      <c r="H22" s="668"/>
      <c r="I22" s="668"/>
      <c r="J22" s="1538"/>
      <c r="K22" s="673"/>
      <c r="L22" s="673"/>
      <c r="M22" s="669"/>
      <c r="N22" s="669"/>
      <c r="O22" s="669"/>
      <c r="P22" s="668"/>
      <c r="Q22" s="668"/>
      <c r="R22" s="679"/>
      <c r="S22" s="670"/>
      <c r="T22" s="670"/>
      <c r="V22" s="128"/>
      <c r="W22" s="682"/>
    </row>
    <row r="23" spans="3:23" ht="24.95" customHeight="1">
      <c r="C23" s="197"/>
      <c r="D23" s="197"/>
      <c r="E23" s="197"/>
      <c r="F23" s="828"/>
      <c r="G23" s="668"/>
      <c r="H23" s="668"/>
      <c r="I23" s="668"/>
      <c r="J23" s="1538"/>
      <c r="K23" s="673"/>
      <c r="L23" s="673"/>
      <c r="M23" s="669"/>
      <c r="N23" s="669"/>
      <c r="O23" s="669"/>
      <c r="P23" s="668"/>
      <c r="Q23" s="668"/>
      <c r="R23" s="679"/>
      <c r="S23" s="670"/>
      <c r="T23" s="670"/>
      <c r="V23" s="128"/>
      <c r="W23" s="682"/>
    </row>
    <row r="24" spans="3:23" ht="24.95" customHeight="1">
      <c r="C24" s="197"/>
      <c r="D24" s="197"/>
      <c r="E24" s="197"/>
      <c r="F24" s="828"/>
      <c r="G24" s="668"/>
      <c r="H24" s="668"/>
      <c r="I24" s="668"/>
      <c r="J24" s="1538"/>
      <c r="K24" s="673"/>
      <c r="L24" s="673"/>
      <c r="M24" s="669"/>
      <c r="N24" s="669"/>
      <c r="O24" s="669"/>
      <c r="P24" s="668"/>
      <c r="Q24" s="668"/>
      <c r="R24" s="679"/>
      <c r="S24" s="670"/>
      <c r="T24" s="670"/>
      <c r="V24" s="128"/>
      <c r="W24" s="683"/>
    </row>
    <row r="25" spans="3:23" ht="24.95" customHeight="1">
      <c r="C25" s="197"/>
      <c r="D25" s="197"/>
      <c r="E25" s="197"/>
      <c r="F25" s="828"/>
      <c r="G25" s="668"/>
      <c r="H25" s="668"/>
      <c r="I25" s="668"/>
      <c r="J25" s="1538"/>
      <c r="K25" s="673"/>
      <c r="L25" s="673"/>
      <c r="M25" s="669"/>
      <c r="N25" s="669"/>
      <c r="O25" s="669"/>
      <c r="P25" s="668"/>
      <c r="Q25" s="668"/>
      <c r="R25" s="679"/>
      <c r="S25" s="670"/>
      <c r="T25" s="670"/>
      <c r="V25" s="128"/>
      <c r="W25" s="682"/>
    </row>
    <row r="26" spans="3:23" ht="24.95" customHeight="1">
      <c r="C26" s="197"/>
      <c r="D26" s="197"/>
      <c r="E26" s="197"/>
      <c r="F26" s="828"/>
      <c r="G26" s="668"/>
      <c r="H26" s="668"/>
      <c r="I26" s="668"/>
      <c r="J26" s="1538"/>
      <c r="K26" s="673"/>
      <c r="L26" s="673"/>
      <c r="M26" s="669"/>
      <c r="N26" s="669"/>
      <c r="O26" s="669"/>
      <c r="P26" s="668"/>
      <c r="Q26" s="668"/>
      <c r="R26" s="679"/>
      <c r="S26" s="670"/>
      <c r="T26" s="670"/>
      <c r="V26" s="128"/>
      <c r="W26" s="682"/>
    </row>
    <row r="27" spans="3:23" ht="24.95" customHeight="1">
      <c r="C27" s="197"/>
      <c r="D27" s="197"/>
      <c r="E27" s="197"/>
      <c r="F27" s="828"/>
      <c r="G27" s="668"/>
      <c r="H27" s="668"/>
      <c r="I27" s="668"/>
      <c r="J27" s="1538"/>
      <c r="K27" s="673"/>
      <c r="L27" s="673"/>
      <c r="M27" s="669"/>
      <c r="N27" s="669"/>
      <c r="O27" s="669"/>
      <c r="P27" s="668"/>
      <c r="Q27" s="668"/>
      <c r="R27" s="679"/>
      <c r="S27" s="670"/>
      <c r="T27" s="670"/>
    </row>
    <row r="28" spans="3:23" ht="24.95" customHeight="1">
      <c r="C28" s="197"/>
      <c r="D28" s="197"/>
      <c r="E28" s="197"/>
      <c r="F28" s="828"/>
      <c r="G28" s="668"/>
      <c r="H28" s="668"/>
      <c r="I28" s="668"/>
      <c r="J28" s="1538"/>
      <c r="K28" s="673"/>
      <c r="L28" s="673"/>
      <c r="M28" s="669"/>
      <c r="N28" s="669"/>
      <c r="O28" s="669"/>
      <c r="P28" s="668"/>
      <c r="Q28" s="668"/>
      <c r="R28" s="679"/>
      <c r="S28" s="670"/>
      <c r="T28" s="670"/>
    </row>
    <row r="29" spans="3:23" ht="24.95" customHeight="1">
      <c r="C29" s="197"/>
      <c r="D29" s="197"/>
      <c r="E29" s="197"/>
      <c r="F29" s="828"/>
      <c r="G29" s="668"/>
      <c r="H29" s="668"/>
      <c r="I29" s="668"/>
      <c r="J29" s="1538"/>
      <c r="K29" s="673"/>
      <c r="L29" s="673"/>
      <c r="M29" s="669"/>
      <c r="N29" s="669"/>
      <c r="O29" s="669"/>
      <c r="P29" s="668"/>
      <c r="Q29" s="668"/>
      <c r="R29" s="679"/>
      <c r="S29" s="670"/>
      <c r="T29" s="670"/>
    </row>
    <row r="30" spans="3:23" ht="24.95" customHeight="1">
      <c r="C30" s="197"/>
      <c r="D30" s="197"/>
      <c r="E30" s="197"/>
      <c r="F30" s="828"/>
      <c r="G30" s="668"/>
      <c r="H30" s="668"/>
      <c r="I30" s="668"/>
      <c r="J30" s="1538"/>
      <c r="K30" s="673"/>
      <c r="L30" s="673"/>
      <c r="M30" s="669"/>
      <c r="N30" s="669"/>
      <c r="O30" s="669"/>
      <c r="P30" s="668"/>
      <c r="Q30" s="668"/>
      <c r="R30" s="679"/>
      <c r="S30" s="670"/>
      <c r="T30" s="670"/>
    </row>
    <row r="31" spans="3:23" ht="24.95" customHeight="1">
      <c r="C31" s="197"/>
      <c r="D31" s="197"/>
      <c r="E31" s="197"/>
      <c r="F31" s="828"/>
      <c r="G31" s="668"/>
      <c r="H31" s="668"/>
      <c r="I31" s="668"/>
      <c r="J31" s="1538"/>
      <c r="K31" s="673"/>
      <c r="L31" s="673"/>
      <c r="M31" s="669"/>
      <c r="N31" s="669"/>
      <c r="O31" s="669"/>
      <c r="P31" s="668"/>
      <c r="Q31" s="668"/>
      <c r="R31" s="679"/>
      <c r="S31" s="670"/>
      <c r="T31" s="670"/>
    </row>
    <row r="32" spans="3:23" ht="24.95" customHeight="1">
      <c r="C32" s="197"/>
      <c r="D32" s="197"/>
      <c r="E32" s="197"/>
      <c r="F32" s="828"/>
      <c r="G32" s="668"/>
      <c r="H32" s="668"/>
      <c r="I32" s="668"/>
      <c r="J32" s="1538"/>
      <c r="K32" s="673"/>
      <c r="L32" s="673"/>
      <c r="M32" s="669"/>
      <c r="N32" s="669"/>
      <c r="O32" s="669"/>
      <c r="P32" s="668"/>
      <c r="Q32" s="668"/>
      <c r="R32" s="679"/>
      <c r="S32" s="670"/>
      <c r="T32" s="670"/>
    </row>
    <row r="33" spans="3:20" ht="24.95" customHeight="1">
      <c r="C33" s="197"/>
      <c r="D33" s="197"/>
      <c r="E33" s="197"/>
      <c r="F33" s="828"/>
      <c r="G33" s="668"/>
      <c r="H33" s="668"/>
      <c r="I33" s="668"/>
      <c r="J33" s="1538"/>
      <c r="K33" s="673"/>
      <c r="L33" s="673"/>
      <c r="M33" s="669"/>
      <c r="N33" s="669"/>
      <c r="O33" s="669"/>
      <c r="P33" s="668"/>
      <c r="Q33" s="668"/>
      <c r="R33" s="679"/>
      <c r="S33" s="670"/>
      <c r="T33" s="670"/>
    </row>
    <row r="34" spans="3:20" ht="24.95" customHeight="1">
      <c r="C34" s="197"/>
      <c r="D34" s="197"/>
      <c r="E34" s="197"/>
      <c r="F34" s="828"/>
      <c r="G34" s="668"/>
      <c r="H34" s="668"/>
      <c r="I34" s="668"/>
      <c r="J34" s="1538"/>
      <c r="K34" s="673"/>
      <c r="L34" s="673"/>
      <c r="M34" s="669"/>
      <c r="N34" s="669"/>
      <c r="O34" s="669"/>
      <c r="P34" s="668"/>
      <c r="Q34" s="668"/>
      <c r="R34" s="679"/>
      <c r="S34" s="670"/>
      <c r="T34" s="670"/>
    </row>
    <row r="35" spans="3:20" ht="24.95" customHeight="1">
      <c r="C35" s="197"/>
      <c r="D35" s="197"/>
      <c r="E35" s="197"/>
      <c r="F35" s="828"/>
      <c r="G35" s="668"/>
      <c r="H35" s="668"/>
      <c r="I35" s="668"/>
      <c r="J35" s="1538"/>
      <c r="K35" s="673"/>
      <c r="L35" s="673"/>
      <c r="M35" s="669"/>
      <c r="N35" s="669"/>
      <c r="O35" s="669"/>
      <c r="P35" s="668"/>
      <c r="Q35" s="668"/>
      <c r="R35" s="679"/>
      <c r="S35" s="670"/>
      <c r="T35" s="670"/>
    </row>
    <row r="36" spans="3:20" ht="24.95" customHeight="1">
      <c r="C36" s="197"/>
      <c r="D36" s="197"/>
      <c r="E36" s="197"/>
      <c r="F36" s="828"/>
      <c r="G36" s="668"/>
      <c r="H36" s="668"/>
      <c r="I36" s="668"/>
      <c r="J36" s="1538"/>
      <c r="K36" s="673"/>
      <c r="L36" s="673"/>
      <c r="M36" s="669"/>
      <c r="N36" s="669"/>
      <c r="O36" s="669"/>
      <c r="P36" s="668"/>
      <c r="Q36" s="668"/>
      <c r="R36" s="679"/>
      <c r="S36" s="670"/>
      <c r="T36" s="670"/>
    </row>
    <row r="37" spans="3:20" ht="24.95" customHeight="1">
      <c r="C37" s="197"/>
      <c r="D37" s="197"/>
      <c r="E37" s="197"/>
      <c r="F37" s="828"/>
      <c r="G37" s="668"/>
      <c r="H37" s="668"/>
      <c r="I37" s="668"/>
      <c r="J37" s="1538"/>
      <c r="K37" s="673"/>
      <c r="L37" s="673"/>
      <c r="M37" s="669"/>
      <c r="N37" s="669"/>
      <c r="O37" s="669"/>
      <c r="P37" s="668"/>
      <c r="Q37" s="668"/>
      <c r="R37" s="679"/>
      <c r="S37" s="670"/>
      <c r="T37" s="670"/>
    </row>
    <row r="38" spans="3:20" ht="24.95" customHeight="1">
      <c r="C38" s="197"/>
      <c r="D38" s="197"/>
      <c r="E38" s="197"/>
      <c r="F38" s="828"/>
      <c r="G38" s="668"/>
      <c r="H38" s="668"/>
      <c r="I38" s="668"/>
      <c r="J38" s="1538"/>
      <c r="K38" s="673"/>
      <c r="L38" s="673"/>
      <c r="M38" s="669"/>
      <c r="N38" s="669"/>
      <c r="O38" s="669"/>
      <c r="P38" s="668"/>
      <c r="Q38" s="668"/>
      <c r="R38" s="679"/>
      <c r="S38" s="670"/>
      <c r="T38" s="670"/>
    </row>
    <row r="39" spans="3:20" ht="24.95" customHeight="1">
      <c r="C39" s="197"/>
      <c r="D39" s="197"/>
      <c r="E39" s="197"/>
      <c r="F39" s="828"/>
      <c r="G39" s="668"/>
      <c r="H39" s="668"/>
      <c r="I39" s="668"/>
      <c r="J39" s="1538"/>
      <c r="K39" s="673"/>
      <c r="L39" s="673"/>
      <c r="M39" s="669"/>
      <c r="N39" s="669"/>
      <c r="O39" s="669"/>
      <c r="P39" s="668"/>
      <c r="Q39" s="668"/>
      <c r="R39" s="679"/>
      <c r="S39" s="670"/>
      <c r="T39" s="670"/>
    </row>
    <row r="40" spans="3:20" ht="24.95" customHeight="1">
      <c r="C40" s="197"/>
      <c r="D40" s="197"/>
      <c r="E40" s="197"/>
      <c r="F40" s="828"/>
      <c r="G40" s="668"/>
      <c r="H40" s="668"/>
      <c r="I40" s="668"/>
      <c r="J40" s="1538"/>
      <c r="K40" s="673"/>
      <c r="L40" s="673"/>
      <c r="M40" s="669"/>
      <c r="N40" s="669"/>
      <c r="O40" s="669"/>
      <c r="P40" s="668"/>
      <c r="Q40" s="668"/>
      <c r="R40" s="679"/>
      <c r="S40" s="670"/>
      <c r="T40" s="670"/>
    </row>
    <row r="41" spans="3:20" ht="24.95" customHeight="1">
      <c r="C41" s="197"/>
      <c r="D41" s="197"/>
      <c r="E41" s="197"/>
      <c r="F41" s="828"/>
      <c r="G41" s="668"/>
      <c r="H41" s="668"/>
      <c r="I41" s="668"/>
      <c r="J41" s="1538"/>
      <c r="K41" s="673"/>
      <c r="L41" s="673"/>
      <c r="M41" s="669"/>
      <c r="N41" s="669"/>
      <c r="O41" s="669"/>
      <c r="P41" s="668"/>
      <c r="Q41" s="668"/>
      <c r="R41" s="679"/>
      <c r="S41" s="670"/>
      <c r="T41" s="670"/>
    </row>
    <row r="42" spans="3:20" ht="24.95" customHeight="1">
      <c r="C42" s="197"/>
      <c r="D42" s="197"/>
      <c r="E42" s="197"/>
      <c r="F42" s="828"/>
      <c r="G42" s="668"/>
      <c r="H42" s="668"/>
      <c r="I42" s="668"/>
      <c r="J42" s="1538"/>
      <c r="K42" s="673"/>
      <c r="L42" s="673"/>
      <c r="M42" s="669"/>
      <c r="N42" s="669"/>
      <c r="O42" s="669"/>
      <c r="P42" s="668"/>
      <c r="Q42" s="668"/>
      <c r="R42" s="679"/>
      <c r="S42" s="670"/>
      <c r="T42" s="670"/>
    </row>
    <row r="43" spans="3:20" ht="24.95" customHeight="1">
      <c r="C43" s="197"/>
      <c r="D43" s="197"/>
      <c r="E43" s="197"/>
      <c r="F43" s="828"/>
      <c r="G43" s="668"/>
      <c r="H43" s="668"/>
      <c r="I43" s="668"/>
      <c r="J43" s="1538"/>
      <c r="K43" s="673"/>
      <c r="L43" s="673"/>
      <c r="M43" s="669"/>
      <c r="N43" s="669"/>
      <c r="O43" s="669"/>
      <c r="P43" s="668"/>
      <c r="Q43" s="668"/>
      <c r="R43" s="679"/>
      <c r="S43" s="670"/>
      <c r="T43" s="670"/>
    </row>
    <row r="44" spans="3:20" ht="24.95" customHeight="1">
      <c r="C44" s="197"/>
      <c r="D44" s="197"/>
      <c r="E44" s="197"/>
      <c r="F44" s="828"/>
      <c r="G44" s="668"/>
      <c r="H44" s="668"/>
      <c r="I44" s="668"/>
      <c r="J44" s="1538"/>
      <c r="K44" s="673"/>
      <c r="L44" s="673"/>
      <c r="M44" s="669"/>
      <c r="N44" s="669"/>
      <c r="O44" s="669"/>
      <c r="P44" s="668"/>
      <c r="Q44" s="668"/>
      <c r="R44" s="679"/>
      <c r="S44" s="670"/>
      <c r="T44" s="670"/>
    </row>
    <row r="45" spans="3:20" ht="24.95" customHeight="1">
      <c r="C45" s="197"/>
      <c r="D45" s="197"/>
      <c r="E45" s="197"/>
      <c r="F45" s="828"/>
      <c r="G45" s="668"/>
      <c r="H45" s="668"/>
      <c r="I45" s="668"/>
      <c r="J45" s="1538"/>
      <c r="K45" s="673"/>
      <c r="L45" s="673"/>
      <c r="M45" s="669"/>
      <c r="N45" s="669"/>
      <c r="O45" s="669"/>
      <c r="P45" s="668"/>
      <c r="Q45" s="668"/>
      <c r="R45" s="679"/>
      <c r="S45" s="670"/>
      <c r="T45" s="670"/>
    </row>
    <row r="46" spans="3:20" ht="24.95" customHeight="1">
      <c r="C46" s="197"/>
      <c r="D46" s="197"/>
      <c r="E46" s="197"/>
      <c r="F46" s="828"/>
      <c r="G46" s="668"/>
      <c r="H46" s="668"/>
      <c r="I46" s="668"/>
      <c r="J46" s="1538"/>
      <c r="K46" s="673"/>
      <c r="L46" s="673"/>
      <c r="M46" s="669"/>
      <c r="N46" s="669"/>
      <c r="O46" s="669"/>
      <c r="P46" s="668"/>
      <c r="Q46" s="668"/>
      <c r="R46" s="679"/>
      <c r="S46" s="670"/>
      <c r="T46" s="670"/>
    </row>
    <row r="47" spans="3:20" ht="24.95" customHeight="1">
      <c r="C47" s="197"/>
      <c r="D47" s="197"/>
      <c r="E47" s="197"/>
      <c r="F47" s="828"/>
      <c r="G47" s="668"/>
      <c r="H47" s="668"/>
      <c r="I47" s="668"/>
      <c r="J47" s="1538"/>
      <c r="K47" s="673"/>
      <c r="L47" s="673"/>
      <c r="M47" s="669"/>
      <c r="N47" s="669"/>
      <c r="O47" s="669"/>
      <c r="P47" s="668"/>
      <c r="Q47" s="668"/>
      <c r="R47" s="679"/>
      <c r="S47" s="670"/>
      <c r="T47" s="670"/>
    </row>
    <row r="48" spans="3:20" ht="24.95" customHeight="1">
      <c r="C48" s="197"/>
      <c r="D48" s="197"/>
      <c r="E48" s="197"/>
      <c r="F48" s="828"/>
      <c r="G48" s="668"/>
      <c r="H48" s="668"/>
      <c r="I48" s="668"/>
      <c r="J48" s="1538"/>
      <c r="K48" s="673"/>
      <c r="L48" s="673"/>
      <c r="M48" s="669"/>
      <c r="N48" s="669"/>
      <c r="O48" s="669"/>
      <c r="P48" s="668"/>
      <c r="Q48" s="668"/>
      <c r="R48" s="679"/>
      <c r="S48" s="670"/>
      <c r="T48" s="670"/>
    </row>
    <row r="49" spans="3:20" ht="24.95" customHeight="1">
      <c r="C49" s="197"/>
      <c r="D49" s="197"/>
      <c r="E49" s="197"/>
      <c r="F49" s="828"/>
      <c r="G49" s="668"/>
      <c r="H49" s="668"/>
      <c r="I49" s="668"/>
      <c r="J49" s="1538"/>
      <c r="K49" s="673"/>
      <c r="L49" s="673"/>
      <c r="M49" s="669"/>
      <c r="N49" s="669"/>
      <c r="O49" s="669"/>
      <c r="P49" s="668"/>
      <c r="Q49" s="668"/>
      <c r="R49" s="679"/>
      <c r="S49" s="670"/>
      <c r="T49" s="670"/>
    </row>
    <row r="50" spans="3:20" ht="24.95" customHeight="1">
      <c r="C50" s="197"/>
      <c r="D50" s="197"/>
      <c r="E50" s="197"/>
      <c r="F50" s="828"/>
      <c r="G50" s="668"/>
      <c r="H50" s="668"/>
      <c r="I50" s="668"/>
      <c r="J50" s="1538"/>
      <c r="K50" s="673"/>
      <c r="L50" s="673"/>
      <c r="M50" s="669"/>
      <c r="N50" s="669"/>
      <c r="O50" s="669"/>
      <c r="P50" s="668"/>
      <c r="Q50" s="668"/>
      <c r="R50" s="679"/>
      <c r="S50" s="670"/>
      <c r="T50" s="670"/>
    </row>
    <row r="51" spans="3:20" ht="24.95" customHeight="1">
      <c r="C51" s="197"/>
      <c r="D51" s="197"/>
      <c r="E51" s="197"/>
      <c r="F51" s="828"/>
      <c r="G51" s="668"/>
      <c r="H51" s="668"/>
      <c r="I51" s="668"/>
      <c r="J51" s="1538"/>
      <c r="K51" s="673"/>
      <c r="L51" s="673"/>
      <c r="M51" s="669"/>
      <c r="N51" s="669"/>
      <c r="O51" s="669"/>
      <c r="P51" s="668"/>
      <c r="Q51" s="668"/>
      <c r="R51" s="679"/>
      <c r="S51" s="670"/>
      <c r="T51" s="670"/>
    </row>
    <row r="52" spans="3:20" ht="24.95" customHeight="1">
      <c r="C52" s="197"/>
      <c r="D52" s="197"/>
      <c r="E52" s="197"/>
      <c r="F52" s="828"/>
      <c r="G52" s="668"/>
      <c r="H52" s="668"/>
      <c r="I52" s="668"/>
      <c r="J52" s="1538"/>
      <c r="K52" s="673"/>
      <c r="L52" s="673"/>
      <c r="M52" s="669"/>
      <c r="N52" s="669"/>
      <c r="O52" s="669"/>
      <c r="P52" s="668"/>
      <c r="Q52" s="668"/>
      <c r="R52" s="679"/>
      <c r="S52" s="670"/>
      <c r="T52" s="670"/>
    </row>
    <row r="53" spans="3:20" ht="24.95" customHeight="1">
      <c r="C53" s="197"/>
      <c r="D53" s="197"/>
      <c r="E53" s="197"/>
      <c r="F53" s="828"/>
      <c r="G53" s="668"/>
      <c r="H53" s="668"/>
      <c r="I53" s="668"/>
      <c r="J53" s="1538"/>
      <c r="K53" s="673"/>
      <c r="L53" s="673"/>
      <c r="M53" s="669"/>
      <c r="N53" s="669"/>
      <c r="O53" s="669"/>
      <c r="P53" s="668"/>
      <c r="Q53" s="668"/>
      <c r="R53" s="679"/>
      <c r="S53" s="670"/>
      <c r="T53" s="670"/>
    </row>
    <row r="54" spans="3:20" ht="24.95" customHeight="1">
      <c r="C54" s="197"/>
      <c r="D54" s="197"/>
      <c r="E54" s="197"/>
      <c r="F54" s="828"/>
      <c r="G54" s="668"/>
      <c r="H54" s="668"/>
      <c r="I54" s="668"/>
      <c r="J54" s="1538"/>
      <c r="K54" s="673"/>
      <c r="L54" s="673"/>
      <c r="M54" s="669"/>
      <c r="N54" s="669"/>
      <c r="O54" s="669"/>
      <c r="P54" s="668"/>
      <c r="Q54" s="668"/>
      <c r="R54" s="679"/>
      <c r="S54" s="670"/>
      <c r="T54" s="670"/>
    </row>
    <row r="55" spans="3:20" ht="24.95" customHeight="1">
      <c r="C55" s="197"/>
      <c r="D55" s="197"/>
      <c r="E55" s="197"/>
      <c r="F55" s="828"/>
      <c r="G55" s="668"/>
      <c r="H55" s="668"/>
      <c r="I55" s="668"/>
      <c r="J55" s="1538"/>
      <c r="K55" s="673"/>
      <c r="L55" s="673"/>
      <c r="M55" s="669"/>
      <c r="N55" s="669"/>
      <c r="O55" s="669"/>
      <c r="P55" s="668"/>
      <c r="Q55" s="668"/>
      <c r="R55" s="679"/>
      <c r="S55" s="670"/>
      <c r="T55" s="670"/>
    </row>
    <row r="56" spans="3:20" ht="24.95" customHeight="1">
      <c r="C56" s="197"/>
      <c r="D56" s="197"/>
      <c r="E56" s="197"/>
      <c r="F56" s="828"/>
      <c r="G56" s="668"/>
      <c r="H56" s="668"/>
      <c r="I56" s="668"/>
      <c r="J56" s="1538"/>
      <c r="K56" s="673"/>
      <c r="L56" s="673"/>
      <c r="M56" s="669"/>
      <c r="N56" s="669"/>
      <c r="O56" s="669"/>
      <c r="P56" s="668"/>
      <c r="Q56" s="668"/>
      <c r="R56" s="679"/>
      <c r="S56" s="670"/>
      <c r="T56" s="670"/>
    </row>
    <row r="57" spans="3:20" ht="24.95" customHeight="1">
      <c r="C57" s="197"/>
      <c r="D57" s="197"/>
      <c r="E57" s="197"/>
      <c r="F57" s="828"/>
      <c r="G57" s="668"/>
      <c r="H57" s="668"/>
      <c r="I57" s="668"/>
      <c r="J57" s="1538"/>
      <c r="K57" s="673"/>
      <c r="L57" s="673"/>
      <c r="M57" s="669"/>
      <c r="N57" s="669"/>
      <c r="O57" s="669"/>
      <c r="P57" s="668"/>
      <c r="Q57" s="668"/>
      <c r="R57" s="679"/>
      <c r="S57" s="670"/>
      <c r="T57" s="670"/>
    </row>
    <row r="58" spans="3:20" ht="24.95" customHeight="1">
      <c r="C58" s="197"/>
      <c r="D58" s="197"/>
      <c r="E58" s="197"/>
      <c r="F58" s="828"/>
      <c r="G58" s="668"/>
      <c r="H58" s="668"/>
      <c r="I58" s="668"/>
      <c r="J58" s="1538"/>
      <c r="K58" s="673"/>
      <c r="L58" s="673"/>
      <c r="M58" s="669"/>
      <c r="N58" s="669"/>
      <c r="O58" s="669"/>
      <c r="P58" s="668"/>
      <c r="Q58" s="668"/>
      <c r="R58" s="679"/>
      <c r="S58" s="670"/>
      <c r="T58" s="670"/>
    </row>
  </sheetData>
  <phoneticPr fontId="36" type="noConversion"/>
  <pageMargins left="7.874015748031496E-2" right="7.874015748031496E-2" top="7.874015748031496E-2" bottom="7.874015748031496E-2" header="7.874015748031496E-2" footer="7.874015748031496E-2"/>
  <pageSetup scale="8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65313" r:id="rId4" name="Button 1">
              <controlPr defaultSize="0" print="0" autoFill="0" autoPict="0" macro="[0]!btnAddVendor">
                <anchor moveWithCells="1" sizeWithCells="1">
                  <from>
                    <xdr:col>3</xdr:col>
                    <xdr:colOff>771525</xdr:colOff>
                    <xdr:row>1</xdr:row>
                    <xdr:rowOff>114300</xdr:rowOff>
                  </from>
                  <to>
                    <xdr:col>4</xdr:col>
                    <xdr:colOff>342900</xdr:colOff>
                    <xdr:row>2</xdr:row>
                    <xdr:rowOff>428625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811F3E-17CB-4E62-AA84-F691075A7797}">
  <sheetPr codeName="Sheet60"/>
  <dimension ref="A1:L303"/>
  <sheetViews>
    <sheetView showGridLines="0" topLeftCell="A2" zoomScaleNormal="100" workbookViewId="0">
      <pane ySplit="6" topLeftCell="A8" activePane="bottomLeft" state="frozen"/>
      <selection pane="bottomLeft" activeCell="F20" sqref="F20"/>
    </sheetView>
  </sheetViews>
  <sheetFormatPr defaultColWidth="8.7109375" defaultRowHeight="21.95" customHeight="1"/>
  <cols>
    <col min="1" max="1" width="7.85546875" style="126" customWidth="1"/>
    <col min="2" max="2" width="15" style="126" customWidth="1"/>
    <col min="3" max="3" width="14.140625" style="126" customWidth="1"/>
    <col min="4" max="4" width="19.42578125" style="126" customWidth="1"/>
    <col min="5" max="5" width="29.42578125" style="145" bestFit="1" customWidth="1"/>
    <col min="6" max="6" width="20.5703125" style="145" customWidth="1"/>
    <col min="7" max="7" width="21.42578125" style="145" customWidth="1"/>
    <col min="8" max="8" width="36.28515625" style="216" customWidth="1"/>
    <col min="9" max="10" width="37.42578125" style="145" customWidth="1"/>
    <col min="11" max="11" width="13.42578125" style="145" customWidth="1"/>
    <col min="12" max="12" width="42" style="145" customWidth="1"/>
    <col min="13" max="16384" width="8.7109375" style="145"/>
  </cols>
  <sheetData>
    <row r="1" spans="1:12" ht="21.95" hidden="1" customHeight="1"/>
    <row r="2" spans="1:12" ht="12" customHeight="1"/>
    <row r="3" spans="1:12" ht="42">
      <c r="A3" s="465"/>
      <c r="B3" s="465"/>
      <c r="C3" s="465"/>
      <c r="D3" s="465"/>
      <c r="E3" s="465"/>
      <c r="F3" s="465"/>
      <c r="G3" s="465"/>
      <c r="H3" s="465"/>
      <c r="I3" s="459"/>
      <c r="J3" s="459"/>
      <c r="K3" s="459"/>
    </row>
    <row r="4" spans="1:12" ht="6.75" hidden="1" customHeight="1"/>
    <row r="5" spans="1:12" ht="5.25" customHeight="1"/>
    <row r="6" spans="1:12" ht="24.75" customHeight="1">
      <c r="A6" s="531" t="s">
        <v>47</v>
      </c>
      <c r="B6" s="531" t="s">
        <v>1921</v>
      </c>
      <c r="C6" s="531" t="s">
        <v>1920</v>
      </c>
      <c r="D6" s="531" t="s">
        <v>175</v>
      </c>
      <c r="E6" s="531" t="s">
        <v>176</v>
      </c>
      <c r="F6" s="531" t="s">
        <v>176</v>
      </c>
      <c r="G6" s="531" t="s">
        <v>1923</v>
      </c>
      <c r="H6" s="531" t="s">
        <v>105</v>
      </c>
      <c r="I6" s="532" t="s">
        <v>75</v>
      </c>
      <c r="J6" s="532" t="s">
        <v>653</v>
      </c>
      <c r="K6" s="532" t="s">
        <v>187</v>
      </c>
      <c r="L6" s="161"/>
    </row>
    <row r="7" spans="1:12" s="153" customFormat="1" ht="16.5" customHeight="1">
      <c r="A7" s="530" t="s">
        <v>9</v>
      </c>
      <c r="B7" s="530" t="s">
        <v>676</v>
      </c>
      <c r="C7" s="530" t="s">
        <v>221</v>
      </c>
      <c r="D7" s="530" t="s">
        <v>1928</v>
      </c>
      <c r="E7" s="530" t="s">
        <v>1929</v>
      </c>
      <c r="F7" s="530" t="s">
        <v>1930</v>
      </c>
      <c r="G7" s="530" t="s">
        <v>1931</v>
      </c>
      <c r="H7" s="530" t="s">
        <v>101</v>
      </c>
      <c r="I7" s="530" t="s">
        <v>78</v>
      </c>
      <c r="J7" s="530" t="s">
        <v>639</v>
      </c>
      <c r="K7" s="530" t="s">
        <v>1645</v>
      </c>
      <c r="L7" s="182"/>
    </row>
    <row r="8" spans="1:12" ht="21.95" customHeight="1">
      <c r="A8" s="460">
        <v>1</v>
      </c>
      <c r="B8" s="460"/>
      <c r="C8" s="460"/>
      <c r="D8" s="460"/>
      <c r="E8" s="461" t="s">
        <v>174</v>
      </c>
      <c r="F8" s="462" t="s">
        <v>178</v>
      </c>
      <c r="G8" s="462"/>
      <c r="H8" s="463"/>
      <c r="I8" s="462"/>
      <c r="J8" s="462"/>
      <c r="K8" s="462"/>
      <c r="L8" s="145" t="str">
        <f>IF(AND(A8&lt;&gt;"",E8&lt;&gt;""),TEXT(A8,"000")&amp;"."&amp;E8,"")</f>
        <v>001.អ្នកផ្គត់ផ្គង់ទូទៅ</v>
      </c>
    </row>
    <row r="9" spans="1:12" ht="21.95" customHeight="1">
      <c r="A9" s="460"/>
      <c r="B9" s="460"/>
      <c r="C9" s="460"/>
      <c r="D9" s="460"/>
      <c r="E9" s="461"/>
      <c r="F9" s="462"/>
      <c r="G9" s="462"/>
      <c r="H9" s="463"/>
      <c r="I9" s="462"/>
      <c r="J9" s="462"/>
      <c r="K9" s="462"/>
    </row>
    <row r="10" spans="1:12" ht="21.95" customHeight="1">
      <c r="A10" s="460"/>
      <c r="B10" s="460"/>
      <c r="C10" s="460"/>
      <c r="D10" s="460"/>
      <c r="E10" s="461"/>
      <c r="F10" s="462"/>
      <c r="G10" s="462"/>
      <c r="H10" s="463"/>
      <c r="I10" s="462"/>
      <c r="J10" s="462"/>
      <c r="K10" s="462"/>
    </row>
    <row r="11" spans="1:12" ht="21.95" customHeight="1">
      <c r="A11" s="460"/>
      <c r="B11" s="460"/>
      <c r="C11" s="460"/>
      <c r="D11" s="460"/>
      <c r="E11" s="461"/>
      <c r="F11" s="462"/>
      <c r="G11" s="462"/>
      <c r="H11" s="463"/>
      <c r="I11" s="462"/>
      <c r="J11" s="462"/>
      <c r="K11" s="462"/>
    </row>
    <row r="12" spans="1:12" ht="21.95" customHeight="1">
      <c r="A12" s="460"/>
      <c r="B12" s="460"/>
      <c r="C12" s="460"/>
      <c r="D12" s="460"/>
      <c r="E12" s="461"/>
      <c r="F12" s="462"/>
      <c r="G12" s="462"/>
      <c r="H12" s="463"/>
      <c r="I12" s="462"/>
      <c r="J12" s="462"/>
      <c r="K12" s="462"/>
    </row>
    <row r="13" spans="1:12" ht="21.95" customHeight="1">
      <c r="A13" s="460"/>
      <c r="B13" s="460"/>
      <c r="C13" s="460"/>
      <c r="D13" s="460"/>
      <c r="E13" s="461"/>
      <c r="F13" s="462"/>
      <c r="G13" s="462"/>
      <c r="H13" s="463"/>
      <c r="I13" s="462"/>
      <c r="J13" s="462"/>
      <c r="K13" s="462"/>
    </row>
    <row r="14" spans="1:12" ht="21.95" customHeight="1">
      <c r="A14" s="460"/>
      <c r="B14" s="460"/>
      <c r="C14" s="460"/>
      <c r="D14" s="460"/>
      <c r="E14" s="461"/>
      <c r="F14" s="462"/>
      <c r="G14" s="462"/>
      <c r="H14" s="463"/>
      <c r="I14" s="462"/>
      <c r="J14" s="462"/>
      <c r="K14" s="462"/>
    </row>
    <row r="15" spans="1:12" ht="21.95" customHeight="1">
      <c r="A15" s="460"/>
      <c r="B15" s="460"/>
      <c r="C15" s="460"/>
      <c r="D15" s="460"/>
      <c r="E15" s="461"/>
      <c r="F15" s="462"/>
      <c r="G15" s="462"/>
      <c r="H15" s="463"/>
      <c r="I15" s="462"/>
      <c r="J15" s="462"/>
      <c r="K15" s="462"/>
    </row>
    <row r="16" spans="1:12" ht="21.95" customHeight="1">
      <c r="A16" s="460"/>
      <c r="B16" s="460"/>
      <c r="C16" s="460"/>
      <c r="D16" s="460"/>
      <c r="E16" s="461"/>
      <c r="F16" s="462"/>
      <c r="G16" s="462"/>
      <c r="H16" s="463"/>
      <c r="I16" s="462"/>
      <c r="J16" s="462"/>
      <c r="K16" s="462"/>
    </row>
    <row r="17" spans="1:12" ht="21.95" customHeight="1">
      <c r="A17" s="460"/>
      <c r="B17" s="460"/>
      <c r="C17" s="460"/>
      <c r="D17" s="460"/>
      <c r="E17" s="461"/>
      <c r="F17" s="462"/>
      <c r="G17" s="462"/>
      <c r="H17" s="463"/>
      <c r="I17" s="462"/>
      <c r="J17" s="462"/>
      <c r="K17" s="462"/>
      <c r="L17" s="145" t="str">
        <f t="shared" ref="L17:L80" si="0">IF(AND(A17&lt;&gt;"",E17&lt;&gt;""),TEXT(A17,"000")&amp;"."&amp;E17,"")</f>
        <v/>
      </c>
    </row>
    <row r="18" spans="1:12" ht="21.95" customHeight="1">
      <c r="A18" s="460"/>
      <c r="B18" s="460"/>
      <c r="C18" s="460"/>
      <c r="D18" s="460"/>
      <c r="E18" s="461"/>
      <c r="F18" s="462"/>
      <c r="G18" s="462"/>
      <c r="H18" s="464"/>
      <c r="I18" s="462"/>
      <c r="J18" s="462"/>
      <c r="K18" s="462"/>
      <c r="L18" s="145" t="str">
        <f t="shared" si="0"/>
        <v/>
      </c>
    </row>
    <row r="19" spans="1:12" ht="21.95" customHeight="1">
      <c r="A19" s="460"/>
      <c r="B19" s="460"/>
      <c r="C19" s="460"/>
      <c r="D19" s="460"/>
      <c r="E19" s="462"/>
      <c r="F19" s="462"/>
      <c r="G19" s="462"/>
      <c r="H19" s="464"/>
      <c r="I19" s="462"/>
      <c r="J19" s="462"/>
      <c r="K19" s="462"/>
      <c r="L19" s="145" t="str">
        <f t="shared" si="0"/>
        <v/>
      </c>
    </row>
    <row r="20" spans="1:12" ht="21.95" customHeight="1">
      <c r="L20" s="145" t="str">
        <f t="shared" si="0"/>
        <v/>
      </c>
    </row>
    <row r="21" spans="1:12" ht="21.95" customHeight="1">
      <c r="L21" s="145" t="str">
        <f t="shared" si="0"/>
        <v/>
      </c>
    </row>
    <row r="22" spans="1:12" ht="21.95" customHeight="1">
      <c r="L22" s="145" t="str">
        <f t="shared" si="0"/>
        <v/>
      </c>
    </row>
    <row r="23" spans="1:12" ht="21.95" customHeight="1">
      <c r="L23" s="145" t="str">
        <f t="shared" si="0"/>
        <v/>
      </c>
    </row>
    <row r="24" spans="1:12" ht="21.95" customHeight="1">
      <c r="L24" s="145" t="str">
        <f t="shared" si="0"/>
        <v/>
      </c>
    </row>
    <row r="25" spans="1:12" ht="21.95" customHeight="1">
      <c r="L25" s="145" t="str">
        <f t="shared" si="0"/>
        <v/>
      </c>
    </row>
    <row r="26" spans="1:12" ht="21.95" customHeight="1">
      <c r="L26" s="145" t="str">
        <f t="shared" si="0"/>
        <v/>
      </c>
    </row>
    <row r="27" spans="1:12" ht="21.95" customHeight="1">
      <c r="L27" s="145" t="str">
        <f t="shared" si="0"/>
        <v/>
      </c>
    </row>
    <row r="28" spans="1:12" ht="21.95" customHeight="1">
      <c r="L28" s="145" t="str">
        <f t="shared" si="0"/>
        <v/>
      </c>
    </row>
    <row r="29" spans="1:12" ht="21.95" customHeight="1">
      <c r="L29" s="145" t="str">
        <f t="shared" si="0"/>
        <v/>
      </c>
    </row>
    <row r="30" spans="1:12" ht="21.95" customHeight="1">
      <c r="L30" s="145" t="str">
        <f t="shared" si="0"/>
        <v/>
      </c>
    </row>
    <row r="31" spans="1:12" ht="21.95" customHeight="1">
      <c r="L31" s="145" t="str">
        <f t="shared" si="0"/>
        <v/>
      </c>
    </row>
    <row r="32" spans="1:12" ht="21.95" customHeight="1">
      <c r="L32" s="145" t="str">
        <f t="shared" si="0"/>
        <v/>
      </c>
    </row>
    <row r="33" spans="12:12" ht="21.95" customHeight="1">
      <c r="L33" s="145" t="str">
        <f t="shared" si="0"/>
        <v/>
      </c>
    </row>
    <row r="34" spans="12:12" ht="21.95" customHeight="1">
      <c r="L34" s="145" t="str">
        <f t="shared" si="0"/>
        <v/>
      </c>
    </row>
    <row r="35" spans="12:12" ht="21.95" customHeight="1">
      <c r="L35" s="145" t="str">
        <f t="shared" si="0"/>
        <v/>
      </c>
    </row>
    <row r="36" spans="12:12" ht="21.95" customHeight="1">
      <c r="L36" s="145" t="str">
        <f t="shared" si="0"/>
        <v/>
      </c>
    </row>
    <row r="37" spans="12:12" ht="21.95" customHeight="1">
      <c r="L37" s="145" t="str">
        <f t="shared" si="0"/>
        <v/>
      </c>
    </row>
    <row r="38" spans="12:12" ht="21.95" customHeight="1">
      <c r="L38" s="145" t="str">
        <f t="shared" si="0"/>
        <v/>
      </c>
    </row>
    <row r="39" spans="12:12" ht="21.95" customHeight="1">
      <c r="L39" s="145" t="str">
        <f t="shared" si="0"/>
        <v/>
      </c>
    </row>
    <row r="40" spans="12:12" ht="21.95" customHeight="1">
      <c r="L40" s="145" t="str">
        <f t="shared" si="0"/>
        <v/>
      </c>
    </row>
    <row r="41" spans="12:12" ht="21.95" customHeight="1">
      <c r="L41" s="145" t="str">
        <f t="shared" si="0"/>
        <v/>
      </c>
    </row>
    <row r="42" spans="12:12" ht="21.95" customHeight="1">
      <c r="L42" s="145" t="str">
        <f t="shared" si="0"/>
        <v/>
      </c>
    </row>
    <row r="43" spans="12:12" ht="21.95" customHeight="1">
      <c r="L43" s="145" t="str">
        <f t="shared" si="0"/>
        <v/>
      </c>
    </row>
    <row r="44" spans="12:12" ht="21.95" customHeight="1">
      <c r="L44" s="145" t="str">
        <f t="shared" si="0"/>
        <v/>
      </c>
    </row>
    <row r="45" spans="12:12" ht="21.95" customHeight="1">
      <c r="L45" s="145" t="str">
        <f t="shared" si="0"/>
        <v/>
      </c>
    </row>
    <row r="46" spans="12:12" ht="21.95" customHeight="1">
      <c r="L46" s="145" t="str">
        <f t="shared" si="0"/>
        <v/>
      </c>
    </row>
    <row r="47" spans="12:12" ht="21.95" customHeight="1">
      <c r="L47" s="145" t="str">
        <f t="shared" si="0"/>
        <v/>
      </c>
    </row>
    <row r="48" spans="12:12" ht="21.95" customHeight="1">
      <c r="L48" s="145" t="str">
        <f t="shared" si="0"/>
        <v/>
      </c>
    </row>
    <row r="49" spans="12:12" ht="21.95" customHeight="1">
      <c r="L49" s="145" t="str">
        <f t="shared" si="0"/>
        <v/>
      </c>
    </row>
    <row r="50" spans="12:12" ht="21.95" customHeight="1">
      <c r="L50" s="145" t="str">
        <f t="shared" si="0"/>
        <v/>
      </c>
    </row>
    <row r="51" spans="12:12" ht="21.95" customHeight="1">
      <c r="L51" s="145" t="str">
        <f t="shared" si="0"/>
        <v/>
      </c>
    </row>
    <row r="52" spans="12:12" ht="21.95" customHeight="1">
      <c r="L52" s="145" t="str">
        <f t="shared" si="0"/>
        <v/>
      </c>
    </row>
    <row r="53" spans="12:12" ht="21.95" customHeight="1">
      <c r="L53" s="145" t="str">
        <f t="shared" si="0"/>
        <v/>
      </c>
    </row>
    <row r="54" spans="12:12" ht="21.95" customHeight="1">
      <c r="L54" s="145" t="str">
        <f t="shared" si="0"/>
        <v/>
      </c>
    </row>
    <row r="55" spans="12:12" ht="21.95" customHeight="1">
      <c r="L55" s="145" t="str">
        <f t="shared" si="0"/>
        <v/>
      </c>
    </row>
    <row r="56" spans="12:12" ht="21.95" customHeight="1">
      <c r="L56" s="145" t="str">
        <f t="shared" si="0"/>
        <v/>
      </c>
    </row>
    <row r="57" spans="12:12" ht="21.95" customHeight="1">
      <c r="L57" s="145" t="str">
        <f t="shared" si="0"/>
        <v/>
      </c>
    </row>
    <row r="58" spans="12:12" ht="21.95" customHeight="1">
      <c r="L58" s="145" t="str">
        <f t="shared" si="0"/>
        <v/>
      </c>
    </row>
    <row r="59" spans="12:12" ht="21.95" customHeight="1">
      <c r="L59" s="145" t="str">
        <f t="shared" si="0"/>
        <v/>
      </c>
    </row>
    <row r="60" spans="12:12" ht="21.95" customHeight="1">
      <c r="L60" s="145" t="str">
        <f t="shared" si="0"/>
        <v/>
      </c>
    </row>
    <row r="61" spans="12:12" ht="21.95" customHeight="1">
      <c r="L61" s="145" t="str">
        <f t="shared" si="0"/>
        <v/>
      </c>
    </row>
    <row r="62" spans="12:12" ht="21.95" customHeight="1">
      <c r="L62" s="145" t="str">
        <f t="shared" si="0"/>
        <v/>
      </c>
    </row>
    <row r="63" spans="12:12" ht="21.95" customHeight="1">
      <c r="L63" s="145" t="str">
        <f t="shared" si="0"/>
        <v/>
      </c>
    </row>
    <row r="64" spans="12:12" ht="21.95" customHeight="1">
      <c r="L64" s="145" t="str">
        <f t="shared" si="0"/>
        <v/>
      </c>
    </row>
    <row r="65" spans="12:12" ht="21.95" customHeight="1">
      <c r="L65" s="145" t="str">
        <f t="shared" si="0"/>
        <v/>
      </c>
    </row>
    <row r="66" spans="12:12" ht="21.95" customHeight="1">
      <c r="L66" s="145" t="str">
        <f t="shared" si="0"/>
        <v/>
      </c>
    </row>
    <row r="67" spans="12:12" ht="21.95" customHeight="1">
      <c r="L67" s="145" t="str">
        <f t="shared" si="0"/>
        <v/>
      </c>
    </row>
    <row r="68" spans="12:12" ht="21.95" customHeight="1">
      <c r="L68" s="145" t="str">
        <f t="shared" si="0"/>
        <v/>
      </c>
    </row>
    <row r="69" spans="12:12" ht="21.95" customHeight="1">
      <c r="L69" s="145" t="str">
        <f t="shared" si="0"/>
        <v/>
      </c>
    </row>
    <row r="70" spans="12:12" ht="21.95" customHeight="1">
      <c r="L70" s="145" t="str">
        <f t="shared" si="0"/>
        <v/>
      </c>
    </row>
    <row r="71" spans="12:12" ht="21.95" customHeight="1">
      <c r="L71" s="145" t="str">
        <f t="shared" si="0"/>
        <v/>
      </c>
    </row>
    <row r="72" spans="12:12" ht="21.95" customHeight="1">
      <c r="L72" s="145" t="str">
        <f t="shared" si="0"/>
        <v/>
      </c>
    </row>
    <row r="73" spans="12:12" ht="21.95" customHeight="1">
      <c r="L73" s="145" t="str">
        <f t="shared" si="0"/>
        <v/>
      </c>
    </row>
    <row r="74" spans="12:12" ht="21.95" customHeight="1">
      <c r="L74" s="145" t="str">
        <f t="shared" si="0"/>
        <v/>
      </c>
    </row>
    <row r="75" spans="12:12" ht="21.95" customHeight="1">
      <c r="L75" s="145" t="str">
        <f t="shared" si="0"/>
        <v/>
      </c>
    </row>
    <row r="76" spans="12:12" ht="21.95" customHeight="1">
      <c r="L76" s="145" t="str">
        <f t="shared" si="0"/>
        <v/>
      </c>
    </row>
    <row r="77" spans="12:12" ht="21.95" customHeight="1">
      <c r="L77" s="145" t="str">
        <f t="shared" si="0"/>
        <v/>
      </c>
    </row>
    <row r="78" spans="12:12" ht="21.95" customHeight="1">
      <c r="L78" s="145" t="str">
        <f t="shared" si="0"/>
        <v/>
      </c>
    </row>
    <row r="79" spans="12:12" ht="21.95" customHeight="1">
      <c r="L79" s="145" t="str">
        <f t="shared" si="0"/>
        <v/>
      </c>
    </row>
    <row r="80" spans="12:12" ht="21.95" customHeight="1">
      <c r="L80" s="145" t="str">
        <f t="shared" si="0"/>
        <v/>
      </c>
    </row>
    <row r="81" spans="12:12" ht="21.95" customHeight="1">
      <c r="L81" s="145" t="str">
        <f t="shared" ref="L81:L144" si="1">IF(AND(A81&lt;&gt;"",E81&lt;&gt;""),TEXT(A81,"000")&amp;"."&amp;E81,"")</f>
        <v/>
      </c>
    </row>
    <row r="82" spans="12:12" ht="21.95" customHeight="1">
      <c r="L82" s="145" t="str">
        <f t="shared" si="1"/>
        <v/>
      </c>
    </row>
    <row r="83" spans="12:12" ht="21.95" customHeight="1">
      <c r="L83" s="145" t="str">
        <f t="shared" si="1"/>
        <v/>
      </c>
    </row>
    <row r="84" spans="12:12" ht="21.95" customHeight="1">
      <c r="L84" s="145" t="str">
        <f t="shared" si="1"/>
        <v/>
      </c>
    </row>
    <row r="85" spans="12:12" ht="21.95" customHeight="1">
      <c r="L85" s="145" t="str">
        <f t="shared" si="1"/>
        <v/>
      </c>
    </row>
    <row r="86" spans="12:12" ht="21.95" customHeight="1">
      <c r="L86" s="145" t="str">
        <f t="shared" si="1"/>
        <v/>
      </c>
    </row>
    <row r="87" spans="12:12" ht="21.95" customHeight="1">
      <c r="L87" s="145" t="str">
        <f t="shared" si="1"/>
        <v/>
      </c>
    </row>
    <row r="88" spans="12:12" ht="21.95" customHeight="1">
      <c r="L88" s="145" t="str">
        <f t="shared" si="1"/>
        <v/>
      </c>
    </row>
    <row r="89" spans="12:12" ht="21.95" customHeight="1">
      <c r="L89" s="145" t="str">
        <f t="shared" si="1"/>
        <v/>
      </c>
    </row>
    <row r="90" spans="12:12" ht="21.95" customHeight="1">
      <c r="L90" s="145" t="str">
        <f t="shared" si="1"/>
        <v/>
      </c>
    </row>
    <row r="91" spans="12:12" ht="21.95" customHeight="1">
      <c r="L91" s="145" t="str">
        <f t="shared" si="1"/>
        <v/>
      </c>
    </row>
    <row r="92" spans="12:12" ht="21.95" customHeight="1">
      <c r="L92" s="145" t="str">
        <f t="shared" si="1"/>
        <v/>
      </c>
    </row>
    <row r="93" spans="12:12" ht="21.95" customHeight="1">
      <c r="L93" s="145" t="str">
        <f t="shared" si="1"/>
        <v/>
      </c>
    </row>
    <row r="94" spans="12:12" ht="21.95" customHeight="1">
      <c r="L94" s="145" t="str">
        <f t="shared" si="1"/>
        <v/>
      </c>
    </row>
    <row r="95" spans="12:12" ht="21.95" customHeight="1">
      <c r="L95" s="145" t="str">
        <f t="shared" si="1"/>
        <v/>
      </c>
    </row>
    <row r="96" spans="12:12" ht="21.95" customHeight="1">
      <c r="L96" s="145" t="str">
        <f t="shared" si="1"/>
        <v/>
      </c>
    </row>
    <row r="97" spans="12:12" ht="21.95" customHeight="1">
      <c r="L97" s="145" t="str">
        <f t="shared" si="1"/>
        <v/>
      </c>
    </row>
    <row r="98" spans="12:12" ht="21.95" customHeight="1">
      <c r="L98" s="145" t="str">
        <f t="shared" si="1"/>
        <v/>
      </c>
    </row>
    <row r="99" spans="12:12" ht="21.95" customHeight="1">
      <c r="L99" s="145" t="str">
        <f t="shared" si="1"/>
        <v/>
      </c>
    </row>
    <row r="100" spans="12:12" ht="21.95" customHeight="1">
      <c r="L100" s="145" t="str">
        <f t="shared" si="1"/>
        <v/>
      </c>
    </row>
    <row r="101" spans="12:12" ht="21.95" customHeight="1">
      <c r="L101" s="145" t="str">
        <f t="shared" si="1"/>
        <v/>
      </c>
    </row>
    <row r="102" spans="12:12" ht="21.95" customHeight="1">
      <c r="L102" s="145" t="str">
        <f t="shared" si="1"/>
        <v/>
      </c>
    </row>
    <row r="103" spans="12:12" ht="21.95" customHeight="1">
      <c r="L103" s="145" t="str">
        <f t="shared" si="1"/>
        <v/>
      </c>
    </row>
    <row r="104" spans="12:12" ht="21.95" customHeight="1">
      <c r="L104" s="145" t="str">
        <f t="shared" si="1"/>
        <v/>
      </c>
    </row>
    <row r="105" spans="12:12" ht="21.95" customHeight="1">
      <c r="L105" s="145" t="str">
        <f t="shared" si="1"/>
        <v/>
      </c>
    </row>
    <row r="106" spans="12:12" ht="21.95" customHeight="1">
      <c r="L106" s="145" t="str">
        <f t="shared" si="1"/>
        <v/>
      </c>
    </row>
    <row r="107" spans="12:12" ht="21.95" customHeight="1">
      <c r="L107" s="145" t="str">
        <f t="shared" si="1"/>
        <v/>
      </c>
    </row>
    <row r="108" spans="12:12" ht="21.95" customHeight="1">
      <c r="L108" s="145" t="str">
        <f t="shared" si="1"/>
        <v/>
      </c>
    </row>
    <row r="109" spans="12:12" ht="21.95" customHeight="1">
      <c r="L109" s="145" t="str">
        <f t="shared" si="1"/>
        <v/>
      </c>
    </row>
    <row r="110" spans="12:12" ht="21.95" customHeight="1">
      <c r="L110" s="145" t="str">
        <f t="shared" si="1"/>
        <v/>
      </c>
    </row>
    <row r="111" spans="12:12" ht="21.95" customHeight="1">
      <c r="L111" s="145" t="str">
        <f t="shared" si="1"/>
        <v/>
      </c>
    </row>
    <row r="112" spans="12:12" ht="21.95" customHeight="1">
      <c r="L112" s="145" t="str">
        <f t="shared" si="1"/>
        <v/>
      </c>
    </row>
    <row r="113" spans="12:12" ht="21.95" customHeight="1">
      <c r="L113" s="145" t="str">
        <f t="shared" si="1"/>
        <v/>
      </c>
    </row>
    <row r="114" spans="12:12" ht="21.95" customHeight="1">
      <c r="L114" s="145" t="str">
        <f t="shared" si="1"/>
        <v/>
      </c>
    </row>
    <row r="115" spans="12:12" ht="21.95" customHeight="1">
      <c r="L115" s="145" t="str">
        <f t="shared" si="1"/>
        <v/>
      </c>
    </row>
    <row r="116" spans="12:12" ht="21.95" customHeight="1">
      <c r="L116" s="145" t="str">
        <f t="shared" si="1"/>
        <v/>
      </c>
    </row>
    <row r="117" spans="12:12" ht="21.95" customHeight="1">
      <c r="L117" s="145" t="str">
        <f t="shared" si="1"/>
        <v/>
      </c>
    </row>
    <row r="118" spans="12:12" ht="21.95" customHeight="1">
      <c r="L118" s="145" t="str">
        <f t="shared" si="1"/>
        <v/>
      </c>
    </row>
    <row r="119" spans="12:12" ht="21.95" customHeight="1">
      <c r="L119" s="145" t="str">
        <f t="shared" si="1"/>
        <v/>
      </c>
    </row>
    <row r="120" spans="12:12" ht="21.95" customHeight="1">
      <c r="L120" s="145" t="str">
        <f t="shared" si="1"/>
        <v/>
      </c>
    </row>
    <row r="121" spans="12:12" ht="21.95" customHeight="1">
      <c r="L121" s="145" t="str">
        <f t="shared" si="1"/>
        <v/>
      </c>
    </row>
    <row r="122" spans="12:12" ht="21.95" customHeight="1">
      <c r="L122" s="145" t="str">
        <f t="shared" si="1"/>
        <v/>
      </c>
    </row>
    <row r="123" spans="12:12" ht="21.95" customHeight="1">
      <c r="L123" s="145" t="str">
        <f t="shared" si="1"/>
        <v/>
      </c>
    </row>
    <row r="124" spans="12:12" ht="21.95" customHeight="1">
      <c r="L124" s="145" t="str">
        <f t="shared" si="1"/>
        <v/>
      </c>
    </row>
    <row r="125" spans="12:12" ht="21.95" customHeight="1">
      <c r="L125" s="145" t="str">
        <f t="shared" si="1"/>
        <v/>
      </c>
    </row>
    <row r="126" spans="12:12" ht="21.95" customHeight="1">
      <c r="L126" s="145" t="str">
        <f t="shared" si="1"/>
        <v/>
      </c>
    </row>
    <row r="127" spans="12:12" ht="21.95" customHeight="1">
      <c r="L127" s="145" t="str">
        <f t="shared" si="1"/>
        <v/>
      </c>
    </row>
    <row r="128" spans="12:12" ht="21.95" customHeight="1">
      <c r="L128" s="145" t="str">
        <f t="shared" si="1"/>
        <v/>
      </c>
    </row>
    <row r="129" spans="12:12" ht="21.95" customHeight="1">
      <c r="L129" s="145" t="str">
        <f t="shared" si="1"/>
        <v/>
      </c>
    </row>
    <row r="130" spans="12:12" ht="21.95" customHeight="1">
      <c r="L130" s="145" t="str">
        <f t="shared" si="1"/>
        <v/>
      </c>
    </row>
    <row r="131" spans="12:12" ht="21.95" customHeight="1">
      <c r="L131" s="145" t="str">
        <f t="shared" si="1"/>
        <v/>
      </c>
    </row>
    <row r="132" spans="12:12" ht="21.95" customHeight="1">
      <c r="L132" s="145" t="str">
        <f t="shared" si="1"/>
        <v/>
      </c>
    </row>
    <row r="133" spans="12:12" ht="21.95" customHeight="1">
      <c r="L133" s="145" t="str">
        <f t="shared" si="1"/>
        <v/>
      </c>
    </row>
    <row r="134" spans="12:12" ht="21.95" customHeight="1">
      <c r="L134" s="145" t="str">
        <f t="shared" si="1"/>
        <v/>
      </c>
    </row>
    <row r="135" spans="12:12" ht="21.95" customHeight="1">
      <c r="L135" s="145" t="str">
        <f t="shared" si="1"/>
        <v/>
      </c>
    </row>
    <row r="136" spans="12:12" ht="21.95" customHeight="1">
      <c r="L136" s="145" t="str">
        <f t="shared" si="1"/>
        <v/>
      </c>
    </row>
    <row r="137" spans="12:12" ht="21.95" customHeight="1">
      <c r="L137" s="145" t="str">
        <f t="shared" si="1"/>
        <v/>
      </c>
    </row>
    <row r="138" spans="12:12" ht="21.95" customHeight="1">
      <c r="L138" s="145" t="str">
        <f t="shared" si="1"/>
        <v/>
      </c>
    </row>
    <row r="139" spans="12:12" ht="21.95" customHeight="1">
      <c r="L139" s="145" t="str">
        <f t="shared" si="1"/>
        <v/>
      </c>
    </row>
    <row r="140" spans="12:12" ht="21.95" customHeight="1">
      <c r="L140" s="145" t="str">
        <f t="shared" si="1"/>
        <v/>
      </c>
    </row>
    <row r="141" spans="12:12" ht="21.95" customHeight="1">
      <c r="L141" s="145" t="str">
        <f t="shared" si="1"/>
        <v/>
      </c>
    </row>
    <row r="142" spans="12:12" ht="21.95" customHeight="1">
      <c r="L142" s="145" t="str">
        <f t="shared" si="1"/>
        <v/>
      </c>
    </row>
    <row r="143" spans="12:12" ht="21.95" customHeight="1">
      <c r="L143" s="145" t="str">
        <f t="shared" si="1"/>
        <v/>
      </c>
    </row>
    <row r="144" spans="12:12" ht="21.95" customHeight="1">
      <c r="L144" s="145" t="str">
        <f t="shared" si="1"/>
        <v/>
      </c>
    </row>
    <row r="145" spans="12:12" ht="21.95" customHeight="1">
      <c r="L145" s="145" t="str">
        <f t="shared" ref="L145:L208" si="2">IF(AND(A145&lt;&gt;"",E145&lt;&gt;""),TEXT(A145,"000")&amp;"."&amp;E145,"")</f>
        <v/>
      </c>
    </row>
    <row r="146" spans="12:12" ht="21.95" customHeight="1">
      <c r="L146" s="145" t="str">
        <f t="shared" si="2"/>
        <v/>
      </c>
    </row>
    <row r="147" spans="12:12" ht="21.95" customHeight="1">
      <c r="L147" s="145" t="str">
        <f t="shared" si="2"/>
        <v/>
      </c>
    </row>
    <row r="148" spans="12:12" ht="21.95" customHeight="1">
      <c r="L148" s="145" t="str">
        <f t="shared" si="2"/>
        <v/>
      </c>
    </row>
    <row r="149" spans="12:12" ht="21.95" customHeight="1">
      <c r="L149" s="145" t="str">
        <f t="shared" si="2"/>
        <v/>
      </c>
    </row>
    <row r="150" spans="12:12" ht="21.95" customHeight="1">
      <c r="L150" s="145" t="str">
        <f t="shared" si="2"/>
        <v/>
      </c>
    </row>
    <row r="151" spans="12:12" ht="21.95" customHeight="1">
      <c r="L151" s="145" t="str">
        <f t="shared" si="2"/>
        <v/>
      </c>
    </row>
    <row r="152" spans="12:12" ht="21.95" customHeight="1">
      <c r="L152" s="145" t="str">
        <f t="shared" si="2"/>
        <v/>
      </c>
    </row>
    <row r="153" spans="12:12" ht="21.95" customHeight="1">
      <c r="L153" s="145" t="str">
        <f t="shared" si="2"/>
        <v/>
      </c>
    </row>
    <row r="154" spans="12:12" ht="21.95" customHeight="1">
      <c r="L154" s="145" t="str">
        <f t="shared" si="2"/>
        <v/>
      </c>
    </row>
    <row r="155" spans="12:12" ht="21.95" customHeight="1">
      <c r="L155" s="145" t="str">
        <f t="shared" si="2"/>
        <v/>
      </c>
    </row>
    <row r="156" spans="12:12" ht="21.95" customHeight="1">
      <c r="L156" s="145" t="str">
        <f t="shared" si="2"/>
        <v/>
      </c>
    </row>
    <row r="157" spans="12:12" ht="21.95" customHeight="1">
      <c r="L157" s="145" t="str">
        <f t="shared" si="2"/>
        <v/>
      </c>
    </row>
    <row r="158" spans="12:12" ht="21.95" customHeight="1">
      <c r="L158" s="145" t="str">
        <f t="shared" si="2"/>
        <v/>
      </c>
    </row>
    <row r="159" spans="12:12" ht="21.95" customHeight="1">
      <c r="L159" s="145" t="str">
        <f t="shared" si="2"/>
        <v/>
      </c>
    </row>
    <row r="160" spans="12:12" ht="21.95" customHeight="1">
      <c r="L160" s="145" t="str">
        <f t="shared" si="2"/>
        <v/>
      </c>
    </row>
    <row r="161" spans="12:12" ht="21.95" customHeight="1">
      <c r="L161" s="145" t="str">
        <f t="shared" si="2"/>
        <v/>
      </c>
    </row>
    <row r="162" spans="12:12" ht="21.95" customHeight="1">
      <c r="L162" s="145" t="str">
        <f t="shared" si="2"/>
        <v/>
      </c>
    </row>
    <row r="163" spans="12:12" ht="21.95" customHeight="1">
      <c r="L163" s="145" t="str">
        <f t="shared" si="2"/>
        <v/>
      </c>
    </row>
    <row r="164" spans="12:12" ht="21.95" customHeight="1">
      <c r="L164" s="145" t="str">
        <f t="shared" si="2"/>
        <v/>
      </c>
    </row>
    <row r="165" spans="12:12" ht="21.95" customHeight="1">
      <c r="L165" s="145" t="str">
        <f t="shared" si="2"/>
        <v/>
      </c>
    </row>
    <row r="166" spans="12:12" ht="21.95" customHeight="1">
      <c r="L166" s="145" t="str">
        <f t="shared" si="2"/>
        <v/>
      </c>
    </row>
    <row r="167" spans="12:12" ht="21.95" customHeight="1">
      <c r="L167" s="145" t="str">
        <f t="shared" si="2"/>
        <v/>
      </c>
    </row>
    <row r="168" spans="12:12" ht="21.95" customHeight="1">
      <c r="L168" s="145" t="str">
        <f t="shared" si="2"/>
        <v/>
      </c>
    </row>
    <row r="169" spans="12:12" ht="21.95" customHeight="1">
      <c r="L169" s="145" t="str">
        <f t="shared" si="2"/>
        <v/>
      </c>
    </row>
    <row r="170" spans="12:12" ht="21.95" customHeight="1">
      <c r="L170" s="145" t="str">
        <f t="shared" si="2"/>
        <v/>
      </c>
    </row>
    <row r="171" spans="12:12" ht="21.95" customHeight="1">
      <c r="L171" s="145" t="str">
        <f t="shared" si="2"/>
        <v/>
      </c>
    </row>
    <row r="172" spans="12:12" ht="21.95" customHeight="1">
      <c r="L172" s="145" t="str">
        <f t="shared" si="2"/>
        <v/>
      </c>
    </row>
    <row r="173" spans="12:12" ht="21.95" customHeight="1">
      <c r="L173" s="145" t="str">
        <f t="shared" si="2"/>
        <v/>
      </c>
    </row>
    <row r="174" spans="12:12" ht="21.95" customHeight="1">
      <c r="L174" s="145" t="str">
        <f t="shared" si="2"/>
        <v/>
      </c>
    </row>
    <row r="175" spans="12:12" ht="21.95" customHeight="1">
      <c r="L175" s="145" t="str">
        <f t="shared" si="2"/>
        <v/>
      </c>
    </row>
    <row r="176" spans="12:12" ht="21.95" customHeight="1">
      <c r="L176" s="145" t="str">
        <f t="shared" si="2"/>
        <v/>
      </c>
    </row>
    <row r="177" spans="12:12" ht="21.95" customHeight="1">
      <c r="L177" s="145" t="str">
        <f t="shared" si="2"/>
        <v/>
      </c>
    </row>
    <row r="178" spans="12:12" ht="21.95" customHeight="1">
      <c r="L178" s="145" t="str">
        <f t="shared" si="2"/>
        <v/>
      </c>
    </row>
    <row r="179" spans="12:12" ht="21.95" customHeight="1">
      <c r="L179" s="145" t="str">
        <f t="shared" si="2"/>
        <v/>
      </c>
    </row>
    <row r="180" spans="12:12" ht="21.95" customHeight="1">
      <c r="L180" s="145" t="str">
        <f t="shared" si="2"/>
        <v/>
      </c>
    </row>
    <row r="181" spans="12:12" ht="21.95" customHeight="1">
      <c r="L181" s="145" t="str">
        <f t="shared" si="2"/>
        <v/>
      </c>
    </row>
    <row r="182" spans="12:12" ht="21.95" customHeight="1">
      <c r="L182" s="145" t="str">
        <f t="shared" si="2"/>
        <v/>
      </c>
    </row>
    <row r="183" spans="12:12" ht="21.95" customHeight="1">
      <c r="L183" s="145" t="str">
        <f t="shared" si="2"/>
        <v/>
      </c>
    </row>
    <row r="184" spans="12:12" ht="21.95" customHeight="1">
      <c r="L184" s="145" t="str">
        <f t="shared" si="2"/>
        <v/>
      </c>
    </row>
    <row r="185" spans="12:12" ht="21.95" customHeight="1">
      <c r="L185" s="145" t="str">
        <f t="shared" si="2"/>
        <v/>
      </c>
    </row>
    <row r="186" spans="12:12" ht="21.95" customHeight="1">
      <c r="L186" s="145" t="str">
        <f t="shared" si="2"/>
        <v/>
      </c>
    </row>
    <row r="187" spans="12:12" ht="21.95" customHeight="1">
      <c r="L187" s="145" t="str">
        <f t="shared" si="2"/>
        <v/>
      </c>
    </row>
    <row r="188" spans="12:12" ht="21.95" customHeight="1">
      <c r="L188" s="145" t="str">
        <f t="shared" si="2"/>
        <v/>
      </c>
    </row>
    <row r="189" spans="12:12" ht="21.95" customHeight="1">
      <c r="L189" s="145" t="str">
        <f t="shared" si="2"/>
        <v/>
      </c>
    </row>
    <row r="190" spans="12:12" ht="21.95" customHeight="1">
      <c r="L190" s="145" t="str">
        <f t="shared" si="2"/>
        <v/>
      </c>
    </row>
    <row r="191" spans="12:12" ht="21.95" customHeight="1">
      <c r="L191" s="145" t="str">
        <f t="shared" si="2"/>
        <v/>
      </c>
    </row>
    <row r="192" spans="12:12" ht="21.95" customHeight="1">
      <c r="L192" s="145" t="str">
        <f t="shared" si="2"/>
        <v/>
      </c>
    </row>
    <row r="193" spans="12:12" ht="21.95" customHeight="1">
      <c r="L193" s="145" t="str">
        <f t="shared" si="2"/>
        <v/>
      </c>
    </row>
    <row r="194" spans="12:12" ht="21.95" customHeight="1">
      <c r="L194" s="145" t="str">
        <f t="shared" si="2"/>
        <v/>
      </c>
    </row>
    <row r="195" spans="12:12" ht="21.95" customHeight="1">
      <c r="L195" s="145" t="str">
        <f t="shared" si="2"/>
        <v/>
      </c>
    </row>
    <row r="196" spans="12:12" ht="21.95" customHeight="1">
      <c r="L196" s="145" t="str">
        <f t="shared" si="2"/>
        <v/>
      </c>
    </row>
    <row r="197" spans="12:12" ht="21.95" customHeight="1">
      <c r="L197" s="145" t="str">
        <f t="shared" si="2"/>
        <v/>
      </c>
    </row>
    <row r="198" spans="12:12" ht="21.95" customHeight="1">
      <c r="L198" s="145" t="str">
        <f t="shared" si="2"/>
        <v/>
      </c>
    </row>
    <row r="199" spans="12:12" ht="21.95" customHeight="1">
      <c r="L199" s="145" t="str">
        <f t="shared" si="2"/>
        <v/>
      </c>
    </row>
    <row r="200" spans="12:12" ht="21.95" customHeight="1">
      <c r="L200" s="145" t="str">
        <f t="shared" si="2"/>
        <v/>
      </c>
    </row>
    <row r="201" spans="12:12" ht="21.95" customHeight="1">
      <c r="L201" s="145" t="str">
        <f t="shared" si="2"/>
        <v/>
      </c>
    </row>
    <row r="202" spans="12:12" ht="21.95" customHeight="1">
      <c r="L202" s="145" t="str">
        <f t="shared" si="2"/>
        <v/>
      </c>
    </row>
    <row r="203" spans="12:12" ht="21.95" customHeight="1">
      <c r="L203" s="145" t="str">
        <f t="shared" si="2"/>
        <v/>
      </c>
    </row>
    <row r="204" spans="12:12" ht="21.95" customHeight="1">
      <c r="L204" s="145" t="str">
        <f t="shared" si="2"/>
        <v/>
      </c>
    </row>
    <row r="205" spans="12:12" ht="21.95" customHeight="1">
      <c r="L205" s="145" t="str">
        <f t="shared" si="2"/>
        <v/>
      </c>
    </row>
    <row r="206" spans="12:12" ht="21.95" customHeight="1">
      <c r="L206" s="145" t="str">
        <f t="shared" si="2"/>
        <v/>
      </c>
    </row>
    <row r="207" spans="12:12" ht="21.95" customHeight="1">
      <c r="L207" s="145" t="str">
        <f t="shared" si="2"/>
        <v/>
      </c>
    </row>
    <row r="208" spans="12:12" ht="21.95" customHeight="1">
      <c r="L208" s="145" t="str">
        <f t="shared" si="2"/>
        <v/>
      </c>
    </row>
    <row r="209" spans="12:12" ht="21.95" customHeight="1">
      <c r="L209" s="145" t="str">
        <f t="shared" ref="L209:L272" si="3">IF(AND(A209&lt;&gt;"",E209&lt;&gt;""),TEXT(A209,"000")&amp;"."&amp;E209,"")</f>
        <v/>
      </c>
    </row>
    <row r="210" spans="12:12" ht="21.95" customHeight="1">
      <c r="L210" s="145" t="str">
        <f t="shared" si="3"/>
        <v/>
      </c>
    </row>
    <row r="211" spans="12:12" ht="21.95" customHeight="1">
      <c r="L211" s="145" t="str">
        <f t="shared" si="3"/>
        <v/>
      </c>
    </row>
    <row r="212" spans="12:12" ht="21.95" customHeight="1">
      <c r="L212" s="145" t="str">
        <f t="shared" si="3"/>
        <v/>
      </c>
    </row>
    <row r="213" spans="12:12" ht="21.95" customHeight="1">
      <c r="L213" s="145" t="str">
        <f t="shared" si="3"/>
        <v/>
      </c>
    </row>
    <row r="214" spans="12:12" ht="21.95" customHeight="1">
      <c r="L214" s="145" t="str">
        <f t="shared" si="3"/>
        <v/>
      </c>
    </row>
    <row r="215" spans="12:12" ht="21.95" customHeight="1">
      <c r="L215" s="145" t="str">
        <f t="shared" si="3"/>
        <v/>
      </c>
    </row>
    <row r="216" spans="12:12" ht="21.95" customHeight="1">
      <c r="L216" s="145" t="str">
        <f t="shared" si="3"/>
        <v/>
      </c>
    </row>
    <row r="217" spans="12:12" ht="21.95" customHeight="1">
      <c r="L217" s="145" t="str">
        <f t="shared" si="3"/>
        <v/>
      </c>
    </row>
    <row r="218" spans="12:12" ht="21.95" customHeight="1">
      <c r="L218" s="145" t="str">
        <f t="shared" si="3"/>
        <v/>
      </c>
    </row>
    <row r="219" spans="12:12" ht="21.95" customHeight="1">
      <c r="L219" s="145" t="str">
        <f t="shared" si="3"/>
        <v/>
      </c>
    </row>
    <row r="220" spans="12:12" ht="21.95" customHeight="1">
      <c r="L220" s="145" t="str">
        <f t="shared" si="3"/>
        <v/>
      </c>
    </row>
    <row r="221" spans="12:12" ht="21.95" customHeight="1">
      <c r="L221" s="145" t="str">
        <f t="shared" si="3"/>
        <v/>
      </c>
    </row>
    <row r="222" spans="12:12" ht="21.95" customHeight="1">
      <c r="L222" s="145" t="str">
        <f t="shared" si="3"/>
        <v/>
      </c>
    </row>
    <row r="223" spans="12:12" ht="21.95" customHeight="1">
      <c r="L223" s="145" t="str">
        <f t="shared" si="3"/>
        <v/>
      </c>
    </row>
    <row r="224" spans="12:12" ht="21.95" customHeight="1">
      <c r="L224" s="145" t="str">
        <f t="shared" si="3"/>
        <v/>
      </c>
    </row>
    <row r="225" spans="12:12" ht="21.95" customHeight="1">
      <c r="L225" s="145" t="str">
        <f t="shared" si="3"/>
        <v/>
      </c>
    </row>
    <row r="226" spans="12:12" ht="21.95" customHeight="1">
      <c r="L226" s="145" t="str">
        <f t="shared" si="3"/>
        <v/>
      </c>
    </row>
    <row r="227" spans="12:12" ht="21.95" customHeight="1">
      <c r="L227" s="145" t="str">
        <f t="shared" si="3"/>
        <v/>
      </c>
    </row>
    <row r="228" spans="12:12" ht="21.95" customHeight="1">
      <c r="L228" s="145" t="str">
        <f t="shared" si="3"/>
        <v/>
      </c>
    </row>
    <row r="229" spans="12:12" ht="21.95" customHeight="1">
      <c r="L229" s="145" t="str">
        <f t="shared" si="3"/>
        <v/>
      </c>
    </row>
    <row r="230" spans="12:12" ht="21.95" customHeight="1">
      <c r="L230" s="145" t="str">
        <f t="shared" si="3"/>
        <v/>
      </c>
    </row>
    <row r="231" spans="12:12" ht="21.95" customHeight="1">
      <c r="L231" s="145" t="str">
        <f t="shared" si="3"/>
        <v/>
      </c>
    </row>
    <row r="232" spans="12:12" ht="21.95" customHeight="1">
      <c r="L232" s="145" t="str">
        <f t="shared" si="3"/>
        <v/>
      </c>
    </row>
    <row r="233" spans="12:12" ht="21.95" customHeight="1">
      <c r="L233" s="145" t="str">
        <f t="shared" si="3"/>
        <v/>
      </c>
    </row>
    <row r="234" spans="12:12" ht="21.95" customHeight="1">
      <c r="L234" s="145" t="str">
        <f t="shared" si="3"/>
        <v/>
      </c>
    </row>
    <row r="235" spans="12:12" ht="21.95" customHeight="1">
      <c r="L235" s="145" t="str">
        <f t="shared" si="3"/>
        <v/>
      </c>
    </row>
    <row r="236" spans="12:12" ht="21.95" customHeight="1">
      <c r="L236" s="145" t="str">
        <f t="shared" si="3"/>
        <v/>
      </c>
    </row>
    <row r="237" spans="12:12" ht="21.95" customHeight="1">
      <c r="L237" s="145" t="str">
        <f t="shared" si="3"/>
        <v/>
      </c>
    </row>
    <row r="238" spans="12:12" ht="21.95" customHeight="1">
      <c r="L238" s="145" t="str">
        <f t="shared" si="3"/>
        <v/>
      </c>
    </row>
    <row r="239" spans="12:12" ht="21.95" customHeight="1">
      <c r="L239" s="145" t="str">
        <f t="shared" si="3"/>
        <v/>
      </c>
    </row>
    <row r="240" spans="12:12" ht="21.95" customHeight="1">
      <c r="L240" s="145" t="str">
        <f t="shared" si="3"/>
        <v/>
      </c>
    </row>
    <row r="241" spans="12:12" ht="21.95" customHeight="1">
      <c r="L241" s="145" t="str">
        <f t="shared" si="3"/>
        <v/>
      </c>
    </row>
    <row r="242" spans="12:12" ht="21.95" customHeight="1">
      <c r="L242" s="145" t="str">
        <f t="shared" si="3"/>
        <v/>
      </c>
    </row>
    <row r="243" spans="12:12" ht="21.95" customHeight="1">
      <c r="L243" s="145" t="str">
        <f t="shared" si="3"/>
        <v/>
      </c>
    </row>
    <row r="244" spans="12:12" ht="21.95" customHeight="1">
      <c r="L244" s="145" t="str">
        <f t="shared" si="3"/>
        <v/>
      </c>
    </row>
    <row r="245" spans="12:12" ht="21.95" customHeight="1">
      <c r="L245" s="145" t="str">
        <f t="shared" si="3"/>
        <v/>
      </c>
    </row>
    <row r="246" spans="12:12" ht="21.95" customHeight="1">
      <c r="L246" s="145" t="str">
        <f t="shared" si="3"/>
        <v/>
      </c>
    </row>
    <row r="247" spans="12:12" ht="21.95" customHeight="1">
      <c r="L247" s="145" t="str">
        <f t="shared" si="3"/>
        <v/>
      </c>
    </row>
    <row r="248" spans="12:12" ht="21.95" customHeight="1">
      <c r="L248" s="145" t="str">
        <f t="shared" si="3"/>
        <v/>
      </c>
    </row>
    <row r="249" spans="12:12" ht="21.95" customHeight="1">
      <c r="L249" s="145" t="str">
        <f t="shared" si="3"/>
        <v/>
      </c>
    </row>
    <row r="250" spans="12:12" ht="21.95" customHeight="1">
      <c r="L250" s="145" t="str">
        <f t="shared" si="3"/>
        <v/>
      </c>
    </row>
    <row r="251" spans="12:12" ht="21.95" customHeight="1">
      <c r="L251" s="145" t="str">
        <f t="shared" si="3"/>
        <v/>
      </c>
    </row>
    <row r="252" spans="12:12" ht="21.95" customHeight="1">
      <c r="L252" s="145" t="str">
        <f t="shared" si="3"/>
        <v/>
      </c>
    </row>
    <row r="253" spans="12:12" ht="21.95" customHeight="1">
      <c r="L253" s="145" t="str">
        <f t="shared" si="3"/>
        <v/>
      </c>
    </row>
    <row r="254" spans="12:12" ht="21.95" customHeight="1">
      <c r="L254" s="145" t="str">
        <f t="shared" si="3"/>
        <v/>
      </c>
    </row>
    <row r="255" spans="12:12" ht="21.95" customHeight="1">
      <c r="L255" s="145" t="str">
        <f t="shared" si="3"/>
        <v/>
      </c>
    </row>
    <row r="256" spans="12:12" ht="21.95" customHeight="1">
      <c r="L256" s="145" t="str">
        <f t="shared" si="3"/>
        <v/>
      </c>
    </row>
    <row r="257" spans="12:12" ht="21.95" customHeight="1">
      <c r="L257" s="145" t="str">
        <f t="shared" si="3"/>
        <v/>
      </c>
    </row>
    <row r="258" spans="12:12" ht="21.95" customHeight="1">
      <c r="L258" s="145" t="str">
        <f t="shared" si="3"/>
        <v/>
      </c>
    </row>
    <row r="259" spans="12:12" ht="21.95" customHeight="1">
      <c r="L259" s="145" t="str">
        <f t="shared" si="3"/>
        <v/>
      </c>
    </row>
    <row r="260" spans="12:12" ht="21.95" customHeight="1">
      <c r="L260" s="145" t="str">
        <f t="shared" si="3"/>
        <v/>
      </c>
    </row>
    <row r="261" spans="12:12" ht="21.95" customHeight="1">
      <c r="L261" s="145" t="str">
        <f t="shared" si="3"/>
        <v/>
      </c>
    </row>
    <row r="262" spans="12:12" ht="21.95" customHeight="1">
      <c r="L262" s="145" t="str">
        <f t="shared" si="3"/>
        <v/>
      </c>
    </row>
    <row r="263" spans="12:12" ht="21.95" customHeight="1">
      <c r="L263" s="145" t="str">
        <f t="shared" si="3"/>
        <v/>
      </c>
    </row>
    <row r="264" spans="12:12" ht="21.95" customHeight="1">
      <c r="L264" s="145" t="str">
        <f t="shared" si="3"/>
        <v/>
      </c>
    </row>
    <row r="265" spans="12:12" ht="21.95" customHeight="1">
      <c r="L265" s="145" t="str">
        <f t="shared" si="3"/>
        <v/>
      </c>
    </row>
    <row r="266" spans="12:12" ht="21.95" customHeight="1">
      <c r="L266" s="145" t="str">
        <f t="shared" si="3"/>
        <v/>
      </c>
    </row>
    <row r="267" spans="12:12" ht="21.95" customHeight="1">
      <c r="L267" s="145" t="str">
        <f t="shared" si="3"/>
        <v/>
      </c>
    </row>
    <row r="268" spans="12:12" ht="21.95" customHeight="1">
      <c r="L268" s="145" t="str">
        <f t="shared" si="3"/>
        <v/>
      </c>
    </row>
    <row r="269" spans="12:12" ht="21.95" customHeight="1">
      <c r="L269" s="145" t="str">
        <f t="shared" si="3"/>
        <v/>
      </c>
    </row>
    <row r="270" spans="12:12" ht="21.95" customHeight="1">
      <c r="L270" s="145" t="str">
        <f t="shared" si="3"/>
        <v/>
      </c>
    </row>
    <row r="271" spans="12:12" ht="21.95" customHeight="1">
      <c r="L271" s="145" t="str">
        <f t="shared" si="3"/>
        <v/>
      </c>
    </row>
    <row r="272" spans="12:12" ht="21.95" customHeight="1">
      <c r="L272" s="145" t="str">
        <f t="shared" si="3"/>
        <v/>
      </c>
    </row>
    <row r="273" spans="12:12" ht="21.95" customHeight="1">
      <c r="L273" s="145" t="str">
        <f t="shared" ref="L273:L303" si="4">IF(AND(A273&lt;&gt;"",E273&lt;&gt;""),TEXT(A273,"000")&amp;"."&amp;E273,"")</f>
        <v/>
      </c>
    </row>
    <row r="274" spans="12:12" ht="21.95" customHeight="1">
      <c r="L274" s="145" t="str">
        <f t="shared" si="4"/>
        <v/>
      </c>
    </row>
    <row r="275" spans="12:12" ht="21.95" customHeight="1">
      <c r="L275" s="145" t="str">
        <f t="shared" si="4"/>
        <v/>
      </c>
    </row>
    <row r="276" spans="12:12" ht="21.95" customHeight="1">
      <c r="L276" s="145" t="str">
        <f t="shared" si="4"/>
        <v/>
      </c>
    </row>
    <row r="277" spans="12:12" ht="21.95" customHeight="1">
      <c r="L277" s="145" t="str">
        <f t="shared" si="4"/>
        <v/>
      </c>
    </row>
    <row r="278" spans="12:12" ht="21.95" customHeight="1">
      <c r="L278" s="145" t="str">
        <f t="shared" si="4"/>
        <v/>
      </c>
    </row>
    <row r="279" spans="12:12" ht="21.95" customHeight="1">
      <c r="L279" s="145" t="str">
        <f t="shared" si="4"/>
        <v/>
      </c>
    </row>
    <row r="280" spans="12:12" ht="21.95" customHeight="1">
      <c r="L280" s="145" t="str">
        <f t="shared" si="4"/>
        <v/>
      </c>
    </row>
    <row r="281" spans="12:12" ht="21.95" customHeight="1">
      <c r="L281" s="145" t="str">
        <f t="shared" si="4"/>
        <v/>
      </c>
    </row>
    <row r="282" spans="12:12" ht="21.95" customHeight="1">
      <c r="L282" s="145" t="str">
        <f t="shared" si="4"/>
        <v/>
      </c>
    </row>
    <row r="283" spans="12:12" ht="21.95" customHeight="1">
      <c r="L283" s="145" t="str">
        <f t="shared" si="4"/>
        <v/>
      </c>
    </row>
    <row r="284" spans="12:12" ht="21.95" customHeight="1">
      <c r="L284" s="145" t="str">
        <f t="shared" si="4"/>
        <v/>
      </c>
    </row>
    <row r="285" spans="12:12" ht="21.95" customHeight="1">
      <c r="L285" s="145" t="str">
        <f t="shared" si="4"/>
        <v/>
      </c>
    </row>
    <row r="286" spans="12:12" ht="21.95" customHeight="1">
      <c r="L286" s="145" t="str">
        <f t="shared" si="4"/>
        <v/>
      </c>
    </row>
    <row r="287" spans="12:12" ht="21.95" customHeight="1">
      <c r="L287" s="145" t="str">
        <f t="shared" si="4"/>
        <v/>
      </c>
    </row>
    <row r="288" spans="12:12" ht="21.95" customHeight="1">
      <c r="L288" s="145" t="str">
        <f t="shared" si="4"/>
        <v/>
      </c>
    </row>
    <row r="289" spans="12:12" ht="21.95" customHeight="1">
      <c r="L289" s="145" t="str">
        <f t="shared" si="4"/>
        <v/>
      </c>
    </row>
    <row r="290" spans="12:12" ht="21.95" customHeight="1">
      <c r="L290" s="145" t="str">
        <f t="shared" si="4"/>
        <v/>
      </c>
    </row>
    <row r="291" spans="12:12" ht="21.95" customHeight="1">
      <c r="L291" s="145" t="str">
        <f t="shared" si="4"/>
        <v/>
      </c>
    </row>
    <row r="292" spans="12:12" ht="21.95" customHeight="1">
      <c r="L292" s="145" t="str">
        <f t="shared" si="4"/>
        <v/>
      </c>
    </row>
    <row r="293" spans="12:12" ht="21.95" customHeight="1">
      <c r="L293" s="145" t="str">
        <f t="shared" si="4"/>
        <v/>
      </c>
    </row>
    <row r="294" spans="12:12" ht="21.95" customHeight="1">
      <c r="L294" s="145" t="str">
        <f t="shared" si="4"/>
        <v/>
      </c>
    </row>
    <row r="295" spans="12:12" ht="21.95" customHeight="1">
      <c r="L295" s="145" t="str">
        <f t="shared" si="4"/>
        <v/>
      </c>
    </row>
    <row r="296" spans="12:12" ht="21.95" customHeight="1">
      <c r="L296" s="145" t="str">
        <f t="shared" si="4"/>
        <v/>
      </c>
    </row>
    <row r="297" spans="12:12" ht="21.95" customHeight="1">
      <c r="L297" s="145" t="str">
        <f t="shared" si="4"/>
        <v/>
      </c>
    </row>
    <row r="298" spans="12:12" ht="21.95" customHeight="1">
      <c r="L298" s="145" t="str">
        <f t="shared" si="4"/>
        <v/>
      </c>
    </row>
    <row r="299" spans="12:12" ht="21.95" customHeight="1">
      <c r="L299" s="145" t="str">
        <f t="shared" si="4"/>
        <v/>
      </c>
    </row>
    <row r="300" spans="12:12" ht="21.95" customHeight="1">
      <c r="L300" s="145" t="str">
        <f t="shared" si="4"/>
        <v/>
      </c>
    </row>
    <row r="301" spans="12:12" ht="21.95" customHeight="1">
      <c r="L301" s="145" t="str">
        <f t="shared" si="4"/>
        <v/>
      </c>
    </row>
    <row r="302" spans="12:12" ht="21.95" customHeight="1">
      <c r="L302" s="145" t="str">
        <f t="shared" si="4"/>
        <v/>
      </c>
    </row>
    <row r="303" spans="12:12" ht="21.95" customHeight="1">
      <c r="L303" s="145" t="str">
        <f t="shared" si="4"/>
        <v/>
      </c>
    </row>
  </sheetData>
  <pageMargins left="7.874015748031496E-2" right="7.874015748031496E-2" top="7.874015748031496E-2" bottom="7.874015748031496E-2" header="7.874015748031496E-2" footer="7.874015748031496E-2"/>
  <pageSetup scale="85" orientation="landscape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1"/>
  <dimension ref="C1:S22"/>
  <sheetViews>
    <sheetView showGridLines="0" zoomScale="90" zoomScaleNormal="90" zoomScaleSheetLayoutView="98" workbookViewId="0">
      <pane ySplit="6" topLeftCell="A7" activePane="bottomLeft" state="frozen"/>
      <selection activeCell="I21" sqref="I21"/>
      <selection pane="bottomLeft" activeCell="D9" sqref="D9"/>
    </sheetView>
  </sheetViews>
  <sheetFormatPr defaultColWidth="9.140625" defaultRowHeight="23.25"/>
  <cols>
    <col min="1" max="1" width="2.5703125" style="128" customWidth="1"/>
    <col min="2" max="2" width="2.42578125" style="128" customWidth="1"/>
    <col min="3" max="3" width="12.85546875" style="126" customWidth="1"/>
    <col min="4" max="4" width="12.42578125" style="126" customWidth="1"/>
    <col min="5" max="5" width="20.7109375" style="221" customWidth="1"/>
    <col min="6" max="6" width="22.85546875" style="221" customWidth="1"/>
    <col min="7" max="7" width="25.42578125" style="162" customWidth="1"/>
    <col min="8" max="8" width="32.28515625" style="128" bestFit="1" customWidth="1"/>
    <col min="9" max="9" width="35.85546875" style="221" bestFit="1" customWidth="1"/>
    <col min="10" max="10" width="19.7109375" style="221" customWidth="1"/>
    <col min="11" max="11" width="11.7109375" style="135" customWidth="1"/>
    <col min="12" max="12" width="19.5703125" style="221" bestFit="1" customWidth="1"/>
    <col min="13" max="15" width="9.140625" style="128"/>
    <col min="16" max="16" width="16" style="128" customWidth="1"/>
    <col min="17" max="17" width="27" style="128" customWidth="1"/>
    <col min="18" max="16384" width="9.140625" style="128"/>
  </cols>
  <sheetData>
    <row r="1" spans="3:19" ht="6.75" hidden="1" customHeight="1">
      <c r="E1" s="127"/>
      <c r="F1" s="128"/>
      <c r="I1" s="127"/>
      <c r="J1" s="127"/>
      <c r="L1" s="127"/>
    </row>
    <row r="2" spans="3:19" ht="6.75" hidden="1" customHeight="1">
      <c r="E2" s="127"/>
      <c r="F2" s="128"/>
      <c r="I2" s="127"/>
      <c r="J2" s="127"/>
      <c r="L2" s="127"/>
    </row>
    <row r="3" spans="3:19" ht="52.5" customHeight="1">
      <c r="C3" s="2084" t="s">
        <v>3427</v>
      </c>
      <c r="D3" s="2084"/>
      <c r="E3" s="2084"/>
      <c r="F3" s="2084"/>
      <c r="G3" s="2084"/>
      <c r="H3" s="2084"/>
      <c r="I3" s="2084"/>
      <c r="J3" s="2084"/>
      <c r="K3" s="2084"/>
      <c r="L3" s="127"/>
    </row>
    <row r="4" spans="3:19" ht="10.5" hidden="1" customHeight="1">
      <c r="E4" s="127"/>
      <c r="F4" s="128"/>
      <c r="I4" s="127"/>
      <c r="J4" s="127"/>
      <c r="L4" s="127"/>
    </row>
    <row r="5" spans="3:19" ht="25.5" customHeight="1">
      <c r="C5" s="612" t="s">
        <v>223</v>
      </c>
      <c r="D5" s="612" t="s">
        <v>238</v>
      </c>
      <c r="E5" s="612" t="s">
        <v>239</v>
      </c>
      <c r="F5" s="612" t="s">
        <v>240</v>
      </c>
      <c r="G5" s="1285" t="s">
        <v>104</v>
      </c>
      <c r="H5" s="612" t="s">
        <v>241</v>
      </c>
      <c r="I5" s="612" t="s">
        <v>106</v>
      </c>
      <c r="J5" s="612" t="s">
        <v>75</v>
      </c>
      <c r="K5" s="612" t="s">
        <v>187</v>
      </c>
      <c r="L5" s="127"/>
    </row>
    <row r="6" spans="3:19" ht="18" customHeight="1">
      <c r="C6" s="613" t="s">
        <v>10</v>
      </c>
      <c r="D6" s="613" t="s">
        <v>98</v>
      </c>
      <c r="E6" s="613" t="s">
        <v>99</v>
      </c>
      <c r="F6" s="613" t="s">
        <v>17</v>
      </c>
      <c r="G6" s="1286" t="s">
        <v>100</v>
      </c>
      <c r="H6" s="613" t="s">
        <v>101</v>
      </c>
      <c r="I6" s="613" t="s">
        <v>23</v>
      </c>
      <c r="J6" s="613" t="s">
        <v>78</v>
      </c>
      <c r="K6" s="613" t="s">
        <v>1645</v>
      </c>
      <c r="L6" s="127"/>
    </row>
    <row r="7" spans="3:19" ht="24.95" customHeight="1">
      <c r="C7" s="567">
        <v>1</v>
      </c>
      <c r="D7" s="218" t="s">
        <v>3424</v>
      </c>
      <c r="E7" s="1287" t="s">
        <v>3421</v>
      </c>
      <c r="F7" s="1287" t="s">
        <v>3428</v>
      </c>
      <c r="G7" s="220" t="s">
        <v>1853</v>
      </c>
      <c r="H7" s="219" t="s">
        <v>3430</v>
      </c>
      <c r="I7" s="1287" t="s">
        <v>1854</v>
      </c>
      <c r="J7" s="1287" t="s">
        <v>825</v>
      </c>
      <c r="K7" s="1288">
        <v>1</v>
      </c>
      <c r="L7" s="221" t="s">
        <v>3431</v>
      </c>
      <c r="P7" s="221" t="s">
        <v>3421</v>
      </c>
      <c r="Q7" s="221" t="s">
        <v>3428</v>
      </c>
      <c r="R7" s="221" t="s">
        <v>825</v>
      </c>
      <c r="S7" s="221" t="s">
        <v>825</v>
      </c>
    </row>
    <row r="8" spans="3:19" ht="24.95" customHeight="1">
      <c r="C8" s="218">
        <v>2</v>
      </c>
      <c r="D8" s="218" t="s">
        <v>3425</v>
      </c>
      <c r="E8" s="1287" t="s">
        <v>3423</v>
      </c>
      <c r="F8" s="1287" t="s">
        <v>3429</v>
      </c>
      <c r="G8" s="220" t="s">
        <v>1853</v>
      </c>
      <c r="H8" s="219" t="s">
        <v>3432</v>
      </c>
      <c r="I8" s="1287" t="s">
        <v>1854</v>
      </c>
      <c r="J8" s="1287" t="s">
        <v>825</v>
      </c>
      <c r="K8" s="1288">
        <v>1</v>
      </c>
      <c r="L8" s="221" t="s">
        <v>3433</v>
      </c>
      <c r="P8" s="221" t="s">
        <v>3240</v>
      </c>
      <c r="Q8" s="221" t="s">
        <v>3241</v>
      </c>
      <c r="R8" s="221" t="s">
        <v>3422</v>
      </c>
      <c r="S8" s="221" t="s">
        <v>3422</v>
      </c>
    </row>
    <row r="9" spans="3:19">
      <c r="C9" s="218">
        <v>3</v>
      </c>
      <c r="D9" s="218" t="s">
        <v>3426</v>
      </c>
      <c r="E9" s="1287" t="s">
        <v>3240</v>
      </c>
      <c r="F9" s="1287" t="s">
        <v>3241</v>
      </c>
      <c r="G9" s="220" t="s">
        <v>1853</v>
      </c>
      <c r="H9" s="219"/>
      <c r="I9" s="1287" t="s">
        <v>1854</v>
      </c>
      <c r="J9" s="1287" t="s">
        <v>3422</v>
      </c>
      <c r="K9" s="1288">
        <v>1</v>
      </c>
      <c r="L9" s="221" t="s">
        <v>3434</v>
      </c>
      <c r="P9" s="221" t="s">
        <v>3423</v>
      </c>
      <c r="Q9" s="221" t="s">
        <v>3429</v>
      </c>
      <c r="R9" s="221" t="s">
        <v>825</v>
      </c>
      <c r="S9" s="221" t="s">
        <v>825</v>
      </c>
    </row>
    <row r="10" spans="3:19" ht="24.95" customHeight="1">
      <c r="C10" s="218"/>
      <c r="D10" s="218"/>
      <c r="E10" s="1287"/>
      <c r="F10" s="1287"/>
      <c r="G10" s="220"/>
      <c r="H10" s="219"/>
      <c r="I10" s="1287"/>
      <c r="J10" s="1287"/>
      <c r="K10" s="1288"/>
      <c r="P10" s="221"/>
      <c r="Q10" s="221"/>
      <c r="R10" s="1445"/>
      <c r="S10" s="221"/>
    </row>
    <row r="11" spans="3:19" ht="24.95" customHeight="1">
      <c r="C11" s="218"/>
      <c r="D11" s="218"/>
      <c r="E11" s="1287"/>
      <c r="F11" s="1287"/>
      <c r="G11" s="220"/>
      <c r="H11" s="219"/>
      <c r="I11" s="1287"/>
      <c r="J11" s="1287"/>
      <c r="K11" s="1288"/>
      <c r="P11" s="221"/>
      <c r="Q11" s="221"/>
      <c r="R11" s="1446"/>
      <c r="S11" s="221"/>
    </row>
    <row r="12" spans="3:19" ht="24.95" customHeight="1">
      <c r="C12" s="218"/>
      <c r="D12" s="218"/>
      <c r="E12" s="1287"/>
      <c r="F12" s="1287"/>
      <c r="G12" s="220"/>
      <c r="H12" s="219"/>
      <c r="I12" s="1287"/>
      <c r="J12" s="1287"/>
      <c r="K12" s="1288"/>
      <c r="P12" s="221"/>
      <c r="Q12" s="221"/>
      <c r="R12" s="1445"/>
      <c r="S12" s="221"/>
    </row>
    <row r="13" spans="3:19">
      <c r="C13" s="218"/>
      <c r="D13" s="218"/>
      <c r="E13" s="1287"/>
      <c r="F13" s="1287"/>
      <c r="G13" s="220"/>
      <c r="H13" s="219"/>
      <c r="I13" s="1287"/>
      <c r="J13" s="1287"/>
      <c r="K13" s="1288"/>
      <c r="P13" s="221"/>
      <c r="Q13" s="221"/>
      <c r="R13" s="1445"/>
      <c r="S13" s="221"/>
    </row>
    <row r="14" spans="3:19">
      <c r="C14" s="218"/>
      <c r="D14" s="218"/>
      <c r="E14" s="1287"/>
      <c r="F14" s="1287"/>
      <c r="G14" s="220"/>
      <c r="H14" s="219"/>
      <c r="I14" s="1287"/>
      <c r="J14" s="1287"/>
      <c r="K14" s="1288"/>
      <c r="P14" s="221"/>
      <c r="Q14" s="221"/>
      <c r="R14" s="1445"/>
      <c r="S14" s="221"/>
    </row>
    <row r="15" spans="3:19">
      <c r="C15" s="218"/>
      <c r="D15" s="218"/>
      <c r="E15" s="1287"/>
      <c r="F15" s="1287"/>
      <c r="G15" s="220"/>
      <c r="H15" s="219"/>
      <c r="I15" s="1287"/>
      <c r="J15" s="1287"/>
      <c r="K15" s="1288"/>
      <c r="P15" s="221"/>
      <c r="Q15" s="221"/>
      <c r="R15" s="1445"/>
      <c r="S15" s="221"/>
    </row>
    <row r="16" spans="3:19">
      <c r="C16" s="218"/>
      <c r="D16" s="218"/>
      <c r="E16" s="1287"/>
      <c r="F16" s="1287"/>
      <c r="G16" s="220"/>
      <c r="H16" s="219"/>
      <c r="I16" s="1287"/>
      <c r="J16" s="1287"/>
      <c r="K16" s="1288"/>
      <c r="P16" s="221"/>
      <c r="Q16" s="221"/>
      <c r="R16" s="221"/>
      <c r="S16" s="221"/>
    </row>
    <row r="17" spans="3:19">
      <c r="C17" s="218"/>
      <c r="D17" s="218"/>
      <c r="E17" s="1287"/>
      <c r="F17" s="1287"/>
      <c r="G17" s="220"/>
      <c r="H17" s="219"/>
      <c r="I17" s="1287"/>
      <c r="J17" s="1287"/>
      <c r="K17" s="1288"/>
      <c r="P17" s="221"/>
      <c r="Q17" s="221"/>
      <c r="R17" s="221"/>
      <c r="S17" s="221"/>
    </row>
    <row r="18" spans="3:19">
      <c r="C18" s="218"/>
      <c r="D18" s="218"/>
      <c r="E18" s="1287"/>
      <c r="F18" s="1287"/>
      <c r="G18" s="220"/>
      <c r="H18" s="219"/>
      <c r="I18" s="1287"/>
      <c r="J18" s="1287"/>
      <c r="K18" s="1288"/>
      <c r="P18" s="221"/>
      <c r="Q18" s="221"/>
      <c r="R18" s="221"/>
      <c r="S18" s="221"/>
    </row>
    <row r="19" spans="3:19">
      <c r="C19" s="218"/>
      <c r="D19" s="218"/>
      <c r="E19" s="1287"/>
      <c r="F19" s="1287"/>
      <c r="G19" s="220"/>
      <c r="H19" s="219"/>
      <c r="I19" s="1287"/>
      <c r="J19" s="1287"/>
      <c r="K19" s="1288"/>
      <c r="L19" s="221" t="str">
        <f t="shared" ref="L19:L22" si="0">IF(AND(C19&lt;&gt;"",E19&lt;&gt;""),TEXT(C19,"000")&amp;"."&amp;E19&amp;" ("&amp;F19&amp;")","")</f>
        <v/>
      </c>
      <c r="P19" s="221"/>
      <c r="Q19" s="221"/>
      <c r="R19" s="221"/>
      <c r="S19" s="221"/>
    </row>
    <row r="20" spans="3:19">
      <c r="C20" s="218"/>
      <c r="D20" s="218"/>
      <c r="E20" s="1287"/>
      <c r="F20" s="1287"/>
      <c r="G20" s="220"/>
      <c r="H20" s="219"/>
      <c r="I20" s="1287"/>
      <c r="J20" s="1287"/>
      <c r="K20" s="1288"/>
      <c r="L20" s="221" t="str">
        <f t="shared" si="0"/>
        <v/>
      </c>
      <c r="P20" s="221"/>
      <c r="Q20" s="221"/>
      <c r="R20" s="221"/>
      <c r="S20" s="221"/>
    </row>
    <row r="21" spans="3:19">
      <c r="C21" s="218"/>
      <c r="D21" s="218"/>
      <c r="E21" s="1287"/>
      <c r="F21" s="1287"/>
      <c r="G21" s="220"/>
      <c r="H21" s="219"/>
      <c r="I21" s="1287"/>
      <c r="J21" s="1287"/>
      <c r="K21" s="1288"/>
      <c r="L21" s="221" t="str">
        <f t="shared" si="0"/>
        <v/>
      </c>
      <c r="P21" s="221"/>
      <c r="Q21" s="221"/>
      <c r="R21" s="221"/>
      <c r="S21" s="221"/>
    </row>
    <row r="22" spans="3:19">
      <c r="C22" s="218"/>
      <c r="D22" s="218"/>
      <c r="E22" s="1287"/>
      <c r="F22" s="1287"/>
      <c r="G22" s="220"/>
      <c r="H22" s="219"/>
      <c r="I22" s="1287"/>
      <c r="J22" s="1287"/>
      <c r="K22" s="1288"/>
      <c r="L22" s="221" t="str">
        <f t="shared" si="0"/>
        <v/>
      </c>
      <c r="P22" s="221"/>
      <c r="Q22" s="221"/>
      <c r="R22" s="221"/>
      <c r="S22" s="221"/>
    </row>
  </sheetData>
  <mergeCells count="1">
    <mergeCell ref="C3:K3"/>
  </mergeCells>
  <phoneticPr fontId="36" type="noConversion"/>
  <printOptions horizontalCentered="1"/>
  <pageMargins left="0" right="0" top="3.937007874015748E-2" bottom="0.39370078740157483" header="0" footer="0"/>
  <pageSetup paperSize="9" scale="75" orientation="portrait" r:id="rId1"/>
  <colBreaks count="1" manualBreakCount="1">
    <brk id="1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99489" r:id="rId4" name="Button 1">
              <controlPr defaultSize="0" print="0" autoFill="0" autoPict="0" macro="[0]!addSeller">
                <anchor moveWithCells="1" sizeWithCells="1">
                  <from>
                    <xdr:col>3</xdr:col>
                    <xdr:colOff>361950</xdr:colOff>
                    <xdr:row>2</xdr:row>
                    <xdr:rowOff>123825</xdr:rowOff>
                  </from>
                  <to>
                    <xdr:col>3</xdr:col>
                    <xdr:colOff>723900</xdr:colOff>
                    <xdr:row>2</xdr:row>
                    <xdr:rowOff>495300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8">
    <pageSetUpPr fitToPage="1"/>
  </sheetPr>
  <dimension ref="E1:E47"/>
  <sheetViews>
    <sheetView showGridLines="0" zoomScale="80" zoomScaleNormal="80" zoomScaleSheetLayoutView="100" workbookViewId="0">
      <pane ySplit="8" topLeftCell="A9" activePane="bottomLeft" state="frozen"/>
      <selection activeCell="I21" sqref="I21"/>
      <selection pane="bottomLeft" activeCell="I21" sqref="I21"/>
    </sheetView>
  </sheetViews>
  <sheetFormatPr defaultRowHeight="24.95" customHeight="1"/>
  <cols>
    <col min="1" max="1" width="2.42578125" customWidth="1"/>
    <col min="2" max="2" width="40.140625" bestFit="1" customWidth="1"/>
    <col min="3" max="3" width="18.7109375" customWidth="1"/>
    <col min="4" max="4" width="20.28515625" customWidth="1"/>
    <col min="5" max="5" width="17.140625" hidden="1" customWidth="1"/>
    <col min="6" max="6" width="21.7109375" customWidth="1"/>
    <col min="7" max="7" width="17.5703125" customWidth="1"/>
    <col min="8" max="8" width="18.7109375" customWidth="1"/>
    <col min="9" max="9" width="22.85546875" customWidth="1"/>
    <col min="10" max="10" width="2" customWidth="1"/>
    <col min="11" max="11" width="13.140625" bestFit="1" customWidth="1"/>
    <col min="12" max="12" width="20.5703125" bestFit="1" customWidth="1"/>
    <col min="13" max="13" width="20.140625" customWidth="1"/>
    <col min="14" max="14" width="23.28515625" customWidth="1"/>
    <col min="15" max="15" width="12.85546875" bestFit="1" customWidth="1"/>
    <col min="18" max="18" width="18.28515625" customWidth="1"/>
    <col min="19" max="19" width="31.7109375" customWidth="1"/>
    <col min="20" max="20" width="28.42578125" customWidth="1"/>
  </cols>
  <sheetData>
    <row r="1" ht="15"/>
    <row r="2" ht="15" hidden="1"/>
    <row r="3" ht="35.25" customHeight="1"/>
    <row r="4" ht="24.95" hidden="1" customHeight="1"/>
    <row r="5" ht="24.95" hidden="1" customHeight="1"/>
    <row r="6" ht="24.95" hidden="1" customHeight="1"/>
    <row r="7" ht="30" hidden="1" customHeight="1"/>
    <row r="8" ht="32.25" customHeight="1"/>
    <row r="9" ht="27" customHeight="1"/>
    <row r="10" ht="27" customHeight="1"/>
    <row r="11" ht="27" customHeight="1"/>
    <row r="12" ht="27" customHeight="1"/>
    <row r="13" ht="27" customHeight="1"/>
    <row r="14" ht="27" customHeight="1"/>
    <row r="15" ht="27" customHeight="1"/>
    <row r="16" ht="27" customHeight="1"/>
    <row r="17" ht="27" customHeight="1"/>
    <row r="18" ht="27" customHeight="1"/>
    <row r="19" ht="27" customHeight="1"/>
    <row r="20" ht="27" customHeight="1"/>
    <row r="21" ht="27" customHeight="1"/>
    <row r="22" ht="27" customHeight="1"/>
    <row r="23" ht="27" customHeight="1"/>
    <row r="24" ht="27" customHeight="1"/>
    <row r="25" ht="27" customHeight="1"/>
    <row r="26" ht="27" customHeight="1"/>
    <row r="27" ht="27" customHeight="1"/>
    <row r="28" ht="27" customHeight="1"/>
    <row r="29" ht="27" customHeight="1"/>
    <row r="30" ht="27" customHeight="1"/>
    <row r="31" ht="27" customHeight="1"/>
    <row r="32" ht="27" customHeight="1"/>
    <row r="33" ht="27" customHeight="1"/>
    <row r="34" ht="33.75" customHeight="1"/>
    <row r="36" ht="31.5" customHeight="1"/>
    <row r="39" ht="32.25" customHeight="1"/>
    <row r="40" ht="33" customHeight="1"/>
    <row r="41" ht="33" customHeight="1"/>
    <row r="42" ht="28.5" customHeight="1"/>
    <row r="44" ht="30" customHeight="1"/>
    <row r="45" ht="18.75" customHeight="1"/>
    <row r="46" ht="32.25" customHeight="1"/>
    <row r="47" ht="15"/>
  </sheetData>
  <phoneticPr fontId="36" type="noConversion"/>
  <printOptions horizontalCentered="1"/>
  <pageMargins left="0.2" right="0.2" top="0.2" bottom="0.2" header="0.2" footer="0.2"/>
  <pageSetup paperSize="9" scale="90" fitToHeight="0" orientation="landscape" r:id="rId1"/>
  <colBreaks count="1" manualBreakCount="1">
    <brk id="9" max="1048575" man="1"/>
  </col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3"/>
  <dimension ref="A1:A44"/>
  <sheetViews>
    <sheetView zoomScale="90" zoomScaleNormal="90" zoomScaleSheetLayoutView="100" workbookViewId="0">
      <selection activeCell="I13" sqref="I13"/>
    </sheetView>
  </sheetViews>
  <sheetFormatPr defaultColWidth="8.7109375" defaultRowHeight="20.100000000000001" customHeight="1"/>
  <cols>
    <col min="1" max="1" width="4.42578125" customWidth="1"/>
    <col min="2" max="2" width="6.5703125" customWidth="1"/>
    <col min="3" max="3" width="22.42578125" customWidth="1"/>
    <col min="4" max="4" width="20.28515625" customWidth="1"/>
    <col min="5" max="5" width="10" customWidth="1"/>
    <col min="6" max="6" width="13.28515625" customWidth="1"/>
    <col min="7" max="7" width="13.85546875" customWidth="1"/>
    <col min="8" max="8" width="14.85546875" customWidth="1"/>
    <col min="10" max="10" width="13.42578125" customWidth="1"/>
    <col min="11" max="11" width="14.5703125" customWidth="1"/>
    <col min="12" max="12" width="7.42578125" customWidth="1"/>
    <col min="13" max="13" width="15.7109375" bestFit="1" customWidth="1"/>
    <col min="14" max="14" width="11.7109375" bestFit="1" customWidth="1"/>
    <col min="15" max="15" width="13" customWidth="1"/>
    <col min="16" max="16" width="27.7109375" customWidth="1"/>
    <col min="17" max="17" width="8.140625" customWidth="1"/>
    <col min="18" max="18" width="14.140625" bestFit="1" customWidth="1"/>
    <col min="19" max="19" width="17.140625" customWidth="1"/>
    <col min="20" max="20" width="14" customWidth="1"/>
    <col min="21" max="22" width="11.85546875" customWidth="1"/>
    <col min="23" max="23" width="5.140625" customWidth="1"/>
    <col min="24" max="24" width="4.140625" customWidth="1"/>
    <col min="25" max="25" width="13.140625" bestFit="1" customWidth="1"/>
    <col min="26" max="26" width="3.5703125" customWidth="1"/>
    <col min="29" max="29" width="5.42578125" customWidth="1"/>
    <col min="30" max="30" width="3.5703125" customWidth="1"/>
  </cols>
  <sheetData>
    <row r="1" ht="15"/>
    <row r="2" ht="41.25" customHeight="1"/>
    <row r="3" ht="27.75" customHeight="1"/>
    <row r="4" ht="4.5" customHeight="1"/>
    <row r="5" ht="27.75" customHeight="1"/>
    <row r="6" ht="20.25" customHeight="1"/>
    <row r="7" ht="24.75" customHeight="1"/>
    <row r="8" ht="24.75" customHeight="1"/>
    <row r="9" ht="24.75" customHeight="1"/>
    <row r="10" ht="24.75" customHeight="1"/>
    <row r="11" ht="24.75" customHeight="1"/>
    <row r="12" ht="24.75" customHeight="1"/>
    <row r="13" ht="24.75" customHeight="1"/>
    <row r="14" ht="24.75" customHeight="1"/>
    <row r="15" ht="24.75" customHeight="1"/>
    <row r="16" ht="24.75" customHeight="1"/>
    <row r="17" ht="24.75" customHeight="1"/>
    <row r="18" ht="24.75" customHeight="1"/>
    <row r="19" ht="24.75" customHeight="1"/>
    <row r="20" ht="24.75" customHeight="1"/>
    <row r="21" ht="24.75" customHeight="1"/>
    <row r="22" ht="24.75" customHeight="1"/>
    <row r="23" ht="24.75" customHeight="1"/>
    <row r="24" ht="24.75" customHeight="1"/>
    <row r="25" ht="21.95" customHeight="1"/>
    <row r="26" ht="21.95" customHeight="1"/>
    <row r="27" ht="21.95" customHeight="1"/>
    <row r="28" ht="21.95" hidden="1" customHeight="1"/>
    <row r="29" ht="21.95" hidden="1" customHeight="1"/>
    <row r="30" ht="21.95" hidden="1" customHeight="1"/>
    <row r="31" ht="21.95" hidden="1" customHeight="1"/>
    <row r="32" ht="21.95" hidden="1" customHeight="1"/>
    <row r="33" ht="21.95" hidden="1" customHeight="1"/>
    <row r="34" ht="21.95" hidden="1" customHeight="1"/>
    <row r="35" ht="26.25" customHeight="1"/>
    <row r="36" ht="21.95" customHeight="1"/>
    <row r="37" ht="21.95" customHeight="1"/>
    <row r="38" ht="21.95" customHeight="1"/>
    <row r="39" ht="21.95" customHeight="1"/>
    <row r="40" ht="21.95" customHeight="1"/>
    <row r="41" ht="21.95" customHeight="1"/>
    <row r="42" ht="21.95" customHeight="1"/>
    <row r="43" ht="21.95" customHeight="1"/>
    <row r="44" ht="21.95" customHeight="1"/>
  </sheetData>
  <printOptions horizontalCentered="1"/>
  <pageMargins left="1.968503937007874E-2" right="1.968503937007874E-2" top="1.968503937007874E-2" bottom="1.968503937007874E-2" header="1.968503937007874E-2" footer="1.968503937007874E-2"/>
  <pageSetup paperSize="9" scale="98" orientation="portrait" r:id="rId1"/>
  <headerFooter scaleWithDoc="0" alignWithMargins="0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C1:AZ84"/>
  <sheetViews>
    <sheetView showGridLines="0" topLeftCell="A2" zoomScale="80" zoomScaleNormal="80" workbookViewId="0">
      <pane ySplit="2" topLeftCell="A4" activePane="bottomLeft" state="frozen"/>
      <selection activeCell="A2" sqref="A2"/>
      <selection pane="bottomLeft" activeCell="V20" sqref="V20"/>
    </sheetView>
  </sheetViews>
  <sheetFormatPr defaultColWidth="8.7109375" defaultRowHeight="24.95" customHeight="1"/>
  <cols>
    <col min="1" max="1" width="1.5703125" customWidth="1"/>
    <col min="2" max="2" width="2.42578125" customWidth="1"/>
    <col min="3" max="3" width="8.28515625" customWidth="1"/>
    <col min="4" max="4" width="38.28515625" customWidth="1"/>
    <col min="5" max="5" width="46.5703125" style="13" customWidth="1"/>
    <col min="6" max="6" width="15.5703125" style="13" bestFit="1" customWidth="1"/>
    <col min="7" max="7" width="21.85546875" style="13" customWidth="1"/>
    <col min="8" max="8" width="16.28515625" style="13" bestFit="1" customWidth="1"/>
    <col min="9" max="9" width="17.7109375" style="13" customWidth="1"/>
    <col min="10" max="10" width="16.7109375" style="13" customWidth="1"/>
    <col min="11" max="11" width="18.42578125" style="141" customWidth="1"/>
    <col min="12" max="12" width="31" style="135" bestFit="1" customWidth="1"/>
    <col min="13" max="13" width="6" style="13" customWidth="1"/>
    <col min="14" max="14" width="5.85546875" style="13" customWidth="1"/>
    <col min="15" max="15" width="20.140625" style="129" customWidth="1"/>
    <col min="16" max="16" width="17" customWidth="1"/>
    <col min="17" max="17" width="14.85546875" style="133" customWidth="1"/>
    <col min="18" max="18" width="16.140625" style="138" customWidth="1"/>
    <col min="19" max="19" width="22.85546875" style="136" customWidth="1"/>
    <col min="20" max="20" width="17.7109375" style="138" customWidth="1"/>
    <col min="21" max="21" width="21" bestFit="1" customWidth="1"/>
    <col min="22" max="22" width="23.5703125" customWidth="1"/>
    <col min="23" max="23" width="13" bestFit="1" customWidth="1"/>
    <col min="24" max="24" width="24.140625" customWidth="1"/>
    <col min="25" max="25" width="22.85546875" bestFit="1" customWidth="1"/>
    <col min="26" max="26" width="22" bestFit="1" customWidth="1"/>
    <col min="29" max="29" width="39.28515625" style="187" bestFit="1" customWidth="1"/>
    <col min="30" max="30" width="2.85546875" customWidth="1"/>
    <col min="31" max="45" width="5.7109375" customWidth="1"/>
    <col min="46" max="46" width="5.5703125" customWidth="1"/>
    <col min="49" max="49" width="13.85546875" bestFit="1" customWidth="1"/>
    <col min="50" max="50" width="80.85546875" bestFit="1" customWidth="1"/>
    <col min="51" max="51" width="86.28515625" customWidth="1"/>
    <col min="52" max="52" width="21.5703125" customWidth="1"/>
  </cols>
  <sheetData>
    <row r="1" spans="3:52" ht="10.5" hidden="1" customHeight="1"/>
    <row r="2" spans="3:52" ht="5.25" customHeight="1"/>
    <row r="3" spans="3:52" s="214" customFormat="1" ht="60.75">
      <c r="C3" s="2085" t="s">
        <v>347</v>
      </c>
      <c r="D3" s="2085"/>
      <c r="E3" s="2085"/>
      <c r="F3" s="2085"/>
      <c r="G3" s="2085"/>
      <c r="H3" s="2085"/>
      <c r="I3" s="2085"/>
      <c r="J3" s="2085"/>
      <c r="K3" s="2085"/>
      <c r="L3" s="2085"/>
      <c r="M3" s="2085"/>
      <c r="N3" s="2085"/>
      <c r="O3" s="2085"/>
      <c r="P3" s="2085"/>
      <c r="Q3" s="2085"/>
      <c r="R3" s="2085"/>
      <c r="S3" s="2085"/>
      <c r="T3" s="2085"/>
      <c r="U3" s="2085"/>
      <c r="V3" s="2085"/>
      <c r="AC3" s="342"/>
    </row>
    <row r="4" spans="3:52" ht="3" customHeight="1"/>
    <row r="5" spans="3:52" ht="24.95" hidden="1" customHeight="1"/>
    <row r="6" spans="3:52" ht="36.75">
      <c r="C6" s="2094" t="s">
        <v>1520</v>
      </c>
      <c r="D6" s="2095"/>
      <c r="E6" s="2095"/>
      <c r="F6" s="2095"/>
      <c r="G6" s="2095"/>
      <c r="H6" s="2096"/>
      <c r="K6" s="126"/>
      <c r="L6" s="610" t="s">
        <v>160</v>
      </c>
      <c r="M6" s="611"/>
      <c r="N6" s="2087" t="s">
        <v>72</v>
      </c>
      <c r="O6" s="2088"/>
      <c r="P6" s="2088"/>
      <c r="Q6" s="2088"/>
      <c r="R6" s="2089"/>
      <c r="S6"/>
      <c r="T6" s="2087" t="s">
        <v>695</v>
      </c>
      <c r="U6" s="2088"/>
      <c r="V6" s="2089"/>
      <c r="AV6" s="1785" t="s">
        <v>4584</v>
      </c>
      <c r="AW6" s="490"/>
      <c r="AX6" s="490"/>
      <c r="AY6" s="490"/>
    </row>
    <row r="7" spans="3:52" ht="24.95" customHeight="1">
      <c r="C7" s="543" t="s">
        <v>47</v>
      </c>
      <c r="D7" s="543" t="s">
        <v>672</v>
      </c>
      <c r="E7" s="543" t="s">
        <v>240</v>
      </c>
      <c r="F7" s="543" t="s">
        <v>673</v>
      </c>
      <c r="G7" s="543" t="s">
        <v>674</v>
      </c>
      <c r="H7" s="543" t="s">
        <v>675</v>
      </c>
      <c r="I7" s="127"/>
      <c r="J7" s="127"/>
      <c r="K7" s="173"/>
      <c r="L7" s="596" t="s">
        <v>1589</v>
      </c>
      <c r="M7"/>
      <c r="N7" s="596" t="s">
        <v>1567</v>
      </c>
      <c r="O7" s="596" t="s">
        <v>1585</v>
      </c>
      <c r="P7" s="596" t="s">
        <v>1590</v>
      </c>
      <c r="Q7" s="596" t="s">
        <v>1591</v>
      </c>
      <c r="R7" s="596"/>
      <c r="S7" s="129"/>
      <c r="T7" s="698" t="s">
        <v>1567</v>
      </c>
      <c r="U7" s="698" t="s">
        <v>1585</v>
      </c>
      <c r="V7" s="698" t="s">
        <v>1588</v>
      </c>
      <c r="AC7" s="187" t="s">
        <v>1859</v>
      </c>
      <c r="AE7" s="518" t="str">
        <f>D9</f>
        <v>គោកស្នួល ខនស្រ្តាក់សិន មេធៀរៀល</v>
      </c>
      <c r="AF7" s="608"/>
      <c r="AG7" s="609"/>
      <c r="AH7" s="609"/>
      <c r="AI7" s="609"/>
      <c r="AJ7" s="609"/>
      <c r="AK7" s="609"/>
      <c r="AL7" s="609"/>
      <c r="AM7" s="609"/>
      <c r="AN7" s="609"/>
      <c r="AO7" s="13"/>
      <c r="AP7" s="13"/>
      <c r="AQ7" s="13"/>
      <c r="AR7" s="13"/>
      <c r="AV7" s="1782" t="s">
        <v>9</v>
      </c>
      <c r="AW7" s="1782" t="s">
        <v>12</v>
      </c>
      <c r="AX7" s="1782" t="s">
        <v>4586</v>
      </c>
      <c r="AY7" s="1782" t="s">
        <v>4585</v>
      </c>
    </row>
    <row r="8" spans="3:52" ht="24.95" customHeight="1">
      <c r="C8" s="527" t="s">
        <v>10</v>
      </c>
      <c r="D8" s="527" t="s">
        <v>12</v>
      </c>
      <c r="E8" s="527" t="s">
        <v>669</v>
      </c>
      <c r="F8" s="527" t="s">
        <v>670</v>
      </c>
      <c r="G8" s="527" t="s">
        <v>1806</v>
      </c>
      <c r="H8" s="527" t="s">
        <v>671</v>
      </c>
      <c r="I8" s="121"/>
      <c r="J8" s="121"/>
      <c r="K8" s="173"/>
      <c r="L8" s="200" t="s">
        <v>15</v>
      </c>
      <c r="M8"/>
      <c r="N8" s="199">
        <v>1</v>
      </c>
      <c r="O8" s="200" t="s">
        <v>188</v>
      </c>
      <c r="P8" s="241" t="str">
        <f ca="1">R14</f>
        <v>01/05/2026</v>
      </c>
      <c r="Q8" s="241">
        <f ca="1">P8+6</f>
        <v>46149</v>
      </c>
      <c r="R8" s="234" t="str">
        <f>N8&amp;"."&amp;O8</f>
        <v>1.សប្តាហ៍ទី1</v>
      </c>
      <c r="S8"/>
      <c r="T8" s="483">
        <v>1</v>
      </c>
      <c r="U8" s="699" t="s">
        <v>20</v>
      </c>
      <c r="V8" s="507" t="s">
        <v>2645</v>
      </c>
      <c r="AC8" s="187" t="s">
        <v>1860</v>
      </c>
      <c r="AE8" s="518" t="str">
        <f>E9</f>
        <v>KORK SNUOL CONSTRUCTION MATERIAL</v>
      </c>
      <c r="AF8" s="608"/>
      <c r="AG8" s="609"/>
      <c r="AH8" s="609"/>
      <c r="AI8" s="609"/>
      <c r="AJ8" s="609"/>
      <c r="AK8" s="609"/>
      <c r="AL8" s="609"/>
      <c r="AM8" s="609"/>
      <c r="AN8" s="609"/>
      <c r="AO8" s="13"/>
      <c r="AP8" s="13"/>
      <c r="AQ8" s="13"/>
      <c r="AR8" s="13"/>
      <c r="AV8" s="1281">
        <v>1</v>
      </c>
      <c r="AW8" s="1783" t="s">
        <v>4582</v>
      </c>
      <c r="AX8" s="1783" t="s">
        <v>4580</v>
      </c>
      <c r="AY8" s="1783" t="s">
        <v>4580</v>
      </c>
      <c r="AZ8" s="128" t="str">
        <f>IF(AW8&lt;&gt;"",TEXT(AV8,"00")&amp;"."&amp;AW8,"")</f>
        <v>01.SUY Rathana</v>
      </c>
    </row>
    <row r="9" spans="3:52" ht="29.25" customHeight="1" thickBot="1">
      <c r="C9" s="197">
        <v>1</v>
      </c>
      <c r="D9" s="262" t="s">
        <v>1576</v>
      </c>
      <c r="E9" s="334" t="s">
        <v>1577</v>
      </c>
      <c r="F9" s="197">
        <v>1</v>
      </c>
      <c r="G9" s="197" t="s">
        <v>1807</v>
      </c>
      <c r="H9" s="197">
        <v>1</v>
      </c>
      <c r="I9"/>
      <c r="K9" s="173"/>
      <c r="L9" s="200" t="s">
        <v>18</v>
      </c>
      <c r="M9"/>
      <c r="N9" s="199">
        <v>2</v>
      </c>
      <c r="O9" s="200" t="s">
        <v>189</v>
      </c>
      <c r="P9" s="241">
        <f ca="1">Q8+1</f>
        <v>46150</v>
      </c>
      <c r="Q9" s="241">
        <f ca="1">P9+6</f>
        <v>46156</v>
      </c>
      <c r="R9" s="234" t="str">
        <f>N9&amp;"."&amp;O9</f>
        <v>2.សប្តាហ៍ទី2</v>
      </c>
      <c r="S9"/>
      <c r="T9" s="483">
        <v>2</v>
      </c>
      <c r="U9" s="699" t="s">
        <v>22</v>
      </c>
      <c r="V9" s="507" t="s">
        <v>1507</v>
      </c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V9" s="1281">
        <v>2</v>
      </c>
      <c r="AW9" s="1783" t="s">
        <v>4583</v>
      </c>
      <c r="AX9" s="1783" t="s">
        <v>3304</v>
      </c>
      <c r="AY9" s="1783" t="s">
        <v>3304</v>
      </c>
      <c r="AZ9" s="128" t="str">
        <f t="shared" ref="AZ9:AZ17" si="0">IF(AW9&lt;&gt;"",TEXT(AV9,"00")&amp;"."&amp;AW9,"")</f>
        <v>02.SAN Theara</v>
      </c>
    </row>
    <row r="10" spans="3:52" ht="24.95" customHeight="1" thickBot="1">
      <c r="I10"/>
      <c r="J10" s="130"/>
      <c r="K10" s="173"/>
      <c r="L10" s="200" t="s">
        <v>21</v>
      </c>
      <c r="M10" s="130"/>
      <c r="N10" s="199">
        <v>3</v>
      </c>
      <c r="O10" s="200" t="s">
        <v>190</v>
      </c>
      <c r="P10" s="241">
        <f ca="1">Q9+1</f>
        <v>46157</v>
      </c>
      <c r="Q10" s="241">
        <f ca="1">P10+6</f>
        <v>46163</v>
      </c>
      <c r="R10" s="234" t="str">
        <f>N10&amp;"."&amp;O10</f>
        <v>3.សប្តាហ៍ទី3</v>
      </c>
      <c r="S10"/>
      <c r="T10" s="483">
        <v>3</v>
      </c>
      <c r="U10" s="699" t="s">
        <v>2642</v>
      </c>
      <c r="V10" s="507" t="s">
        <v>2646</v>
      </c>
      <c r="AC10" s="212" t="s">
        <v>1861</v>
      </c>
      <c r="AD10" s="3"/>
      <c r="AE10" s="781" t="s">
        <v>108</v>
      </c>
      <c r="AF10" s="781">
        <v>1</v>
      </c>
      <c r="AG10" s="781">
        <v>1</v>
      </c>
      <c r="AH10" s="781">
        <v>6</v>
      </c>
      <c r="AI10" s="782" t="s">
        <v>109</v>
      </c>
      <c r="AJ10" s="781">
        <v>2</v>
      </c>
      <c r="AK10" s="781">
        <v>6</v>
      </c>
      <c r="AL10" s="781">
        <v>0</v>
      </c>
      <c r="AM10" s="781">
        <v>0</v>
      </c>
      <c r="AN10" s="781">
        <v>0</v>
      </c>
      <c r="AO10" s="781">
        <v>0</v>
      </c>
      <c r="AP10" s="781">
        <v>1</v>
      </c>
      <c r="AQ10" s="781">
        <v>2</v>
      </c>
      <c r="AR10" s="781">
        <v>7</v>
      </c>
      <c r="AS10" s="781">
        <v>1</v>
      </c>
      <c r="AU10" s="343"/>
      <c r="AV10" s="1281">
        <v>3</v>
      </c>
      <c r="AW10" s="1783" t="s">
        <v>3369</v>
      </c>
      <c r="AX10" s="1783" t="s">
        <v>4587</v>
      </c>
      <c r="AY10" s="1783" t="s">
        <v>3304</v>
      </c>
      <c r="AZ10" s="128" t="str">
        <f t="shared" si="0"/>
        <v>03.BOU Panha</v>
      </c>
    </row>
    <row r="11" spans="3:52" ht="24.95" customHeight="1">
      <c r="I11"/>
      <c r="J11" s="130"/>
      <c r="K11" s="173"/>
      <c r="L11" s="200" t="s">
        <v>24</v>
      </c>
      <c r="M11" s="130"/>
      <c r="N11" s="199">
        <v>4</v>
      </c>
      <c r="O11" s="200" t="s">
        <v>191</v>
      </c>
      <c r="P11" s="241">
        <f ca="1">Q10+1</f>
        <v>46164</v>
      </c>
      <c r="Q11" s="241">
        <f ca="1">EOMONTH(R14,0)</f>
        <v>46173</v>
      </c>
      <c r="R11" s="234" t="str">
        <f>N11&amp;"."&amp;O11</f>
        <v>4.សប្តាហ៍ទី4</v>
      </c>
      <c r="S11"/>
      <c r="T11" s="483">
        <v>4</v>
      </c>
      <c r="U11" s="699" t="s">
        <v>2643</v>
      </c>
      <c r="V11" s="507" t="s">
        <v>2644</v>
      </c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3"/>
      <c r="AV11" s="1281"/>
      <c r="AW11" s="1784"/>
      <c r="AX11" s="1784"/>
      <c r="AY11" s="1786"/>
      <c r="AZ11" s="128" t="str">
        <f t="shared" si="0"/>
        <v/>
      </c>
    </row>
    <row r="12" spans="3:52" ht="24.95" customHeight="1">
      <c r="E12"/>
      <c r="F12"/>
      <c r="G12"/>
      <c r="H12"/>
      <c r="I12"/>
      <c r="K12" s="173"/>
      <c r="L12" s="200" t="s">
        <v>26</v>
      </c>
      <c r="N12" s="199">
        <v>5</v>
      </c>
      <c r="O12" s="242" t="str">
        <f>MID(P14,4,100)</f>
        <v>ឧសភា</v>
      </c>
      <c r="P12" s="241" t="str">
        <f ca="1">R14</f>
        <v>01/05/2026</v>
      </c>
      <c r="Q12" s="241">
        <f ca="1">EOMONTH(R14,0)</f>
        <v>46173</v>
      </c>
      <c r="R12" s="234" t="str">
        <f>N12&amp;"."&amp;O12</f>
        <v>5.ឧសភា</v>
      </c>
      <c r="S12"/>
      <c r="T12" s="483">
        <v>5</v>
      </c>
      <c r="U12" s="699" t="s">
        <v>1534</v>
      </c>
      <c r="V12" s="507" t="s">
        <v>29</v>
      </c>
      <c r="AE12" s="2097"/>
      <c r="AF12" s="2097"/>
      <c r="AG12" s="2097"/>
      <c r="AH12" s="2097"/>
      <c r="AI12" s="2097"/>
      <c r="AJ12" s="2097"/>
      <c r="AK12" s="2097"/>
      <c r="AL12" s="2097"/>
      <c r="AM12" s="2097"/>
      <c r="AN12" s="2097"/>
      <c r="AO12" s="2097"/>
      <c r="AP12" s="2097"/>
      <c r="AQ12" s="2097"/>
      <c r="AR12" s="2097"/>
      <c r="AS12" s="2097"/>
      <c r="AT12" s="2097"/>
      <c r="AU12" s="2097"/>
      <c r="AV12" s="1281"/>
      <c r="AW12" s="1784"/>
      <c r="AX12" s="1784"/>
      <c r="AY12" s="1786"/>
      <c r="AZ12" s="128" t="str">
        <f t="shared" si="0"/>
        <v/>
      </c>
    </row>
    <row r="13" spans="3:52" ht="24.95" customHeight="1">
      <c r="E13"/>
      <c r="F13"/>
      <c r="G13"/>
      <c r="H13"/>
      <c r="I13"/>
      <c r="J13" s="130"/>
      <c r="K13" s="173"/>
      <c r="L13" s="200" t="s">
        <v>28</v>
      </c>
      <c r="M13" s="3"/>
      <c r="N13" s="126"/>
      <c r="O13" s="137"/>
      <c r="P13" s="136"/>
      <c r="Q13" s="136"/>
      <c r="R13"/>
      <c r="S13"/>
      <c r="T13" s="483"/>
      <c r="U13" s="1784"/>
      <c r="V13" s="1784"/>
      <c r="AE13" s="140"/>
      <c r="AF13" s="130"/>
      <c r="AG13" s="130"/>
      <c r="AH13" s="130"/>
      <c r="AI13" s="130"/>
      <c r="AJ13" s="130"/>
      <c r="AK13" s="130"/>
      <c r="AL13" s="130"/>
      <c r="AM13" s="130"/>
      <c r="AN13" s="130"/>
      <c r="AO13" s="130"/>
      <c r="AP13" s="130"/>
      <c r="AQ13" s="130"/>
      <c r="AR13" s="130"/>
      <c r="AS13" s="130"/>
      <c r="AT13" s="130"/>
      <c r="AU13" s="130"/>
      <c r="AV13" s="1281"/>
      <c r="AW13" s="1784"/>
      <c r="AX13" s="1784"/>
      <c r="AY13" s="1786"/>
      <c r="AZ13" s="128" t="str">
        <f t="shared" si="0"/>
        <v/>
      </c>
    </row>
    <row r="14" spans="3:52" ht="24.95" customHeight="1">
      <c r="E14"/>
      <c r="F14"/>
      <c r="G14"/>
      <c r="H14"/>
      <c r="I14"/>
      <c r="K14" s="173"/>
      <c r="L14" s="200" t="s">
        <v>30</v>
      </c>
      <c r="M14"/>
      <c r="N14" s="186" t="s">
        <v>37</v>
      </c>
      <c r="O14" s="138"/>
      <c r="P14" s="185" t="s">
        <v>26</v>
      </c>
      <c r="Q14" s="164">
        <f ca="1">TODAY()</f>
        <v>46307</v>
      </c>
      <c r="R14" s="328" t="str">
        <f ca="1">"01/"&amp;MID(P14,1,2)&amp;"/"&amp;YEAR(Q14)</f>
        <v>01/05/2026</v>
      </c>
      <c r="S14"/>
      <c r="T14" s="483"/>
      <c r="U14" s="1784"/>
      <c r="V14" s="1784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13"/>
      <c r="AU14" s="13"/>
      <c r="AV14" s="1281"/>
      <c r="AW14" s="1784"/>
      <c r="AX14" s="1784"/>
      <c r="AY14" s="1786"/>
      <c r="AZ14" s="128" t="str">
        <f t="shared" si="0"/>
        <v/>
      </c>
    </row>
    <row r="15" spans="3:52" ht="24.95" customHeight="1">
      <c r="E15"/>
      <c r="F15"/>
      <c r="G15"/>
      <c r="H15"/>
      <c r="I15"/>
      <c r="J15" s="131"/>
      <c r="K15" s="173"/>
      <c r="L15" s="200" t="s">
        <v>31</v>
      </c>
      <c r="M15"/>
      <c r="N15" s="133"/>
      <c r="O15" s="138"/>
      <c r="P15" s="136"/>
      <c r="Q15" s="136"/>
      <c r="R15"/>
      <c r="S15"/>
      <c r="T15" s="483"/>
      <c r="U15" s="1784"/>
      <c r="V15" s="1784"/>
      <c r="AE15" s="130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1281"/>
      <c r="AW15" s="1784"/>
      <c r="AX15" s="1784"/>
      <c r="AY15" s="1786"/>
      <c r="AZ15" s="128" t="str">
        <f t="shared" si="0"/>
        <v/>
      </c>
    </row>
    <row r="16" spans="3:52" ht="24.95" customHeight="1">
      <c r="E16"/>
      <c r="F16"/>
      <c r="G16"/>
      <c r="H16"/>
      <c r="I16"/>
      <c r="J16" s="131"/>
      <c r="K16" s="173"/>
      <c r="L16" s="200" t="s">
        <v>33</v>
      </c>
      <c r="M16"/>
      <c r="N16" s="133"/>
      <c r="O16" s="138"/>
      <c r="P16" s="136"/>
      <c r="Q16" s="136"/>
      <c r="R16"/>
      <c r="S16"/>
      <c r="T16" s="483"/>
      <c r="U16" s="1784"/>
      <c r="V16" s="1784"/>
      <c r="AV16" s="1281"/>
      <c r="AW16" s="1784"/>
      <c r="AX16" s="1784"/>
      <c r="AY16" s="1786"/>
      <c r="AZ16" s="128" t="str">
        <f t="shared" si="0"/>
        <v/>
      </c>
    </row>
    <row r="17" spans="3:52" ht="24.95" customHeight="1">
      <c r="E17"/>
      <c r="F17"/>
      <c r="G17"/>
      <c r="H17"/>
      <c r="I17"/>
      <c r="J17" s="132"/>
      <c r="K17" s="173"/>
      <c r="L17" s="200" t="s">
        <v>34</v>
      </c>
      <c r="M17"/>
      <c r="N17" s="133"/>
      <c r="O17" s="138"/>
      <c r="P17" s="136"/>
      <c r="Q17" s="136"/>
      <c r="R17"/>
      <c r="S17"/>
      <c r="T17" s="483"/>
      <c r="U17" s="1784"/>
      <c r="V17" s="1784"/>
      <c r="AV17" s="1281"/>
      <c r="AW17" s="1784"/>
      <c r="AX17" s="1784"/>
      <c r="AY17" s="1786"/>
      <c r="AZ17" s="128" t="str">
        <f t="shared" si="0"/>
        <v/>
      </c>
    </row>
    <row r="18" spans="3:52" ht="24.95" customHeight="1">
      <c r="I18" s="142"/>
      <c r="K18" s="173"/>
      <c r="L18" s="200" t="s">
        <v>35</v>
      </c>
      <c r="M18"/>
      <c r="N18" s="133"/>
      <c r="O18" s="138"/>
      <c r="P18" s="136"/>
      <c r="Q18" s="136"/>
      <c r="R18"/>
      <c r="S18"/>
      <c r="T18" s="483"/>
      <c r="U18" s="1784"/>
      <c r="V18" s="1784"/>
    </row>
    <row r="19" spans="3:52" ht="24.95" customHeight="1">
      <c r="G19" s="164"/>
      <c r="H19" s="164"/>
      <c r="I19" s="164"/>
      <c r="J19" s="164"/>
      <c r="K19" s="134"/>
      <c r="L19" s="200" t="s">
        <v>161</v>
      </c>
      <c r="M19"/>
      <c r="N19" s="133"/>
      <c r="O19" s="138"/>
      <c r="P19" s="136"/>
      <c r="Q19" s="136"/>
      <c r="R19"/>
      <c r="S19"/>
      <c r="T19" s="168"/>
    </row>
    <row r="20" spans="3:52" ht="33" customHeight="1">
      <c r="C20" s="2083" t="s">
        <v>46</v>
      </c>
      <c r="D20" s="2083"/>
      <c r="E20" s="2083"/>
      <c r="G20" s="2083" t="s">
        <v>694</v>
      </c>
      <c r="H20" s="2083"/>
      <c r="I20" s="2083"/>
      <c r="J20" s="2083"/>
      <c r="N20" s="2091" t="s">
        <v>231</v>
      </c>
      <c r="O20" s="2091"/>
      <c r="P20" s="2091"/>
      <c r="Q20" s="601"/>
      <c r="R20" s="2091" t="s">
        <v>1579</v>
      </c>
      <c r="S20" s="2091"/>
      <c r="T20" s="2091"/>
      <c r="W20" s="2098" t="s">
        <v>1584</v>
      </c>
      <c r="X20" s="2098"/>
      <c r="Y20" s="2098"/>
    </row>
    <row r="21" spans="3:52" s="13" customFormat="1" ht="20.25" customHeight="1">
      <c r="C21" s="2092" t="s">
        <v>1592</v>
      </c>
      <c r="D21" s="2092"/>
      <c r="E21" s="2092"/>
      <c r="G21" s="2093" t="s">
        <v>1595</v>
      </c>
      <c r="H21" s="2093"/>
      <c r="I21" s="2093"/>
      <c r="J21" s="2093"/>
      <c r="K21" s="141"/>
      <c r="L21" s="135"/>
      <c r="N21" s="2093" t="s">
        <v>1580</v>
      </c>
      <c r="O21" s="2093"/>
      <c r="P21" s="2093"/>
      <c r="Q21" s="602"/>
      <c r="R21" s="2093" t="s">
        <v>1578</v>
      </c>
      <c r="S21" s="2093"/>
      <c r="T21" s="2093"/>
      <c r="W21" s="2093" t="s">
        <v>1594</v>
      </c>
      <c r="X21" s="2093"/>
      <c r="Y21" s="2093"/>
      <c r="AC21" s="168"/>
    </row>
    <row r="22" spans="3:52" ht="5.25" customHeight="1">
      <c r="C22" s="2086"/>
      <c r="D22" s="2086"/>
      <c r="E22" s="2086"/>
      <c r="F22" s="135"/>
      <c r="G22" s="2090"/>
      <c r="H22" s="2090"/>
      <c r="I22" s="2090"/>
      <c r="J22" s="2090"/>
      <c r="K22"/>
      <c r="L22"/>
      <c r="M22"/>
      <c r="O22" s="333"/>
      <c r="P22" s="333"/>
      <c r="Q22" s="13"/>
      <c r="S22" s="317"/>
      <c r="T22" s="317"/>
    </row>
    <row r="23" spans="3:52" ht="24.95" customHeight="1">
      <c r="C23" s="598" t="s">
        <v>1567</v>
      </c>
      <c r="D23" s="598" t="s">
        <v>1587</v>
      </c>
      <c r="E23" s="596" t="s">
        <v>1592</v>
      </c>
      <c r="F23" s="135"/>
      <c r="G23" s="599" t="s">
        <v>1567</v>
      </c>
      <c r="H23" s="597" t="s">
        <v>1585</v>
      </c>
      <c r="I23" s="597" t="s">
        <v>1587</v>
      </c>
      <c r="J23" s="597"/>
      <c r="K23"/>
      <c r="L23"/>
      <c r="M23"/>
      <c r="N23" s="599" t="s">
        <v>1567</v>
      </c>
      <c r="O23" s="597" t="s">
        <v>1585</v>
      </c>
      <c r="P23" s="597"/>
      <c r="Q23" s="13"/>
      <c r="R23" s="600" t="s">
        <v>1567</v>
      </c>
      <c r="S23" s="600" t="s">
        <v>1585</v>
      </c>
      <c r="T23" s="600" t="s">
        <v>1586</v>
      </c>
      <c r="W23" s="603" t="s">
        <v>1567</v>
      </c>
      <c r="X23" s="603" t="s">
        <v>1585</v>
      </c>
      <c r="Y23" s="603" t="s">
        <v>1596</v>
      </c>
      <c r="Z23" s="300"/>
    </row>
    <row r="24" spans="3:52" ht="24.95" customHeight="1">
      <c r="C24" s="235" t="s">
        <v>49</v>
      </c>
      <c r="D24" s="235" t="s">
        <v>50</v>
      </c>
      <c r="E24" s="200" t="s">
        <v>51</v>
      </c>
      <c r="F24" s="127"/>
      <c r="G24" s="199">
        <v>1</v>
      </c>
      <c r="H24" s="200" t="s">
        <v>1535</v>
      </c>
      <c r="I24" s="198">
        <v>0</v>
      </c>
      <c r="J24" s="200" t="str">
        <f>IF(AND(G24&lt;&gt;"",H24&lt;&gt;""),TEXT(G24,"00")&amp;"."&amp;H24,"")</f>
        <v>01.អាករ ០%</v>
      </c>
      <c r="K24"/>
      <c r="L24"/>
      <c r="M24"/>
      <c r="N24" s="210">
        <v>1</v>
      </c>
      <c r="O24" s="200" t="s">
        <v>232</v>
      </c>
      <c r="P24" s="200" t="str">
        <f>N24&amp;"."&amp;O24</f>
        <v>1.បញ្ចូលស្តុកថ្មី</v>
      </c>
      <c r="Q24" s="13"/>
      <c r="R24" s="311">
        <v>1</v>
      </c>
      <c r="S24" s="310" t="s">
        <v>1568</v>
      </c>
      <c r="T24" s="311">
        <v>0</v>
      </c>
      <c r="U24" s="187" t="str">
        <f>IF(AND(R24&lt;&gt;"",S24&lt;&gt;""),TEXT(R24,"00")&amp;"."&amp;S24,"")</f>
        <v>01.COD</v>
      </c>
      <c r="W24" s="318">
        <v>1</v>
      </c>
      <c r="X24" s="318" t="s">
        <v>1593</v>
      </c>
      <c r="Y24" s="318" t="s">
        <v>2666</v>
      </c>
      <c r="Z24" s="330" t="str">
        <f>IF(AND(W24&lt;&gt;"",X24&lt;&gt;""),W24&amp;"."&amp;X24,"")</f>
        <v>1.Commercial Invoice</v>
      </c>
    </row>
    <row r="25" spans="3:52" ht="24.95" customHeight="1">
      <c r="C25" s="235" t="s">
        <v>52</v>
      </c>
      <c r="D25" s="235">
        <v>5</v>
      </c>
      <c r="E25" s="200" t="s">
        <v>53</v>
      </c>
      <c r="F25" s="127"/>
      <c r="G25" s="199">
        <v>2</v>
      </c>
      <c r="H25" s="200" t="s">
        <v>667</v>
      </c>
      <c r="I25" s="198" t="s">
        <v>54</v>
      </c>
      <c r="J25" s="200" t="str">
        <f t="shared" ref="J25:J35" si="1">IF(AND(G25&lt;&gt;"",H25&lt;&gt;""),TEXT(G25,"00")&amp;"."&amp;H25,"")</f>
        <v>02.អាករ ៣%</v>
      </c>
      <c r="K25"/>
      <c r="L25"/>
      <c r="M25"/>
      <c r="N25" s="210">
        <v>2</v>
      </c>
      <c r="O25" s="200" t="s">
        <v>182</v>
      </c>
      <c r="P25" s="200" t="str">
        <f>N25&amp;"."&amp;O25</f>
        <v>2.តំរឹមស្តុក</v>
      </c>
      <c r="Q25" s="13"/>
      <c r="R25" s="311">
        <v>2</v>
      </c>
      <c r="S25" s="310" t="s">
        <v>3356</v>
      </c>
      <c r="T25" s="311">
        <v>7</v>
      </c>
      <c r="U25" s="187" t="str">
        <f t="shared" ref="U25:U33" si="2">IF(AND(R25&lt;&gt;"",S25&lt;&gt;""),TEXT(R25,"00")&amp;"."&amp;S25,"")</f>
        <v>02.One Week</v>
      </c>
      <c r="W25" s="318">
        <v>2</v>
      </c>
      <c r="X25" s="318" t="s">
        <v>1597</v>
      </c>
      <c r="Y25" s="318" t="s">
        <v>1598</v>
      </c>
      <c r="Z25" s="330" t="str">
        <f>IF(AND(W25&lt;&gt;"",X25&lt;&gt;""),W25&amp;"."&amp;X25,"")</f>
        <v>2.Invoice Normal</v>
      </c>
    </row>
    <row r="26" spans="3:52" ht="24.95" customHeight="1">
      <c r="C26" s="235" t="s">
        <v>54</v>
      </c>
      <c r="D26" s="235">
        <v>10</v>
      </c>
      <c r="E26" s="200"/>
      <c r="F26" s="127"/>
      <c r="G26" s="199">
        <v>3</v>
      </c>
      <c r="H26" s="200" t="s">
        <v>668</v>
      </c>
      <c r="I26" s="198" t="s">
        <v>57</v>
      </c>
      <c r="J26" s="200" t="str">
        <f t="shared" si="1"/>
        <v>03.អាករ ៥%</v>
      </c>
      <c r="N26" s="236"/>
      <c r="O26" s="237"/>
      <c r="P26" s="238"/>
      <c r="Q26" s="13"/>
      <c r="R26" s="311">
        <v>3</v>
      </c>
      <c r="S26" s="310" t="s">
        <v>3357</v>
      </c>
      <c r="T26" s="311">
        <v>14</v>
      </c>
      <c r="U26" s="187" t="str">
        <f t="shared" si="2"/>
        <v>03.Two Week</v>
      </c>
      <c r="W26" s="281"/>
      <c r="X26" s="281"/>
      <c r="Y26" s="281"/>
    </row>
    <row r="27" spans="3:52" ht="24.95" customHeight="1">
      <c r="C27" s="235" t="s">
        <v>56</v>
      </c>
      <c r="D27" s="235">
        <v>15</v>
      </c>
      <c r="E27" s="200"/>
      <c r="F27" s="127"/>
      <c r="G27" s="199">
        <v>4</v>
      </c>
      <c r="H27" s="200" t="s">
        <v>663</v>
      </c>
      <c r="I27" s="198" t="s">
        <v>25</v>
      </c>
      <c r="J27" s="200" t="str">
        <f t="shared" si="1"/>
        <v>04.អាករ ១០%</v>
      </c>
      <c r="N27" s="236"/>
      <c r="O27" s="237"/>
      <c r="P27" s="238"/>
      <c r="Q27" s="13"/>
      <c r="R27" s="311">
        <v>4</v>
      </c>
      <c r="S27" s="310" t="s">
        <v>3358</v>
      </c>
      <c r="T27" s="311">
        <v>21</v>
      </c>
      <c r="U27" s="187" t="str">
        <f t="shared" si="2"/>
        <v>04.Three Week</v>
      </c>
      <c r="W27" s="281"/>
      <c r="X27" s="281"/>
      <c r="Y27" s="281"/>
    </row>
    <row r="28" spans="3:52" ht="24.95" customHeight="1">
      <c r="C28" s="235" t="s">
        <v>57</v>
      </c>
      <c r="D28" s="235">
        <v>20</v>
      </c>
      <c r="E28" s="200"/>
      <c r="F28" s="127"/>
      <c r="G28" s="199">
        <v>5</v>
      </c>
      <c r="H28" s="200" t="s">
        <v>664</v>
      </c>
      <c r="I28" s="198" t="s">
        <v>40</v>
      </c>
      <c r="J28" s="200" t="str">
        <f t="shared" si="1"/>
        <v>05.អាករ ១៥%</v>
      </c>
      <c r="N28" s="236"/>
      <c r="O28" s="237"/>
      <c r="P28" s="238"/>
      <c r="Q28" s="13"/>
      <c r="R28" s="311">
        <v>5</v>
      </c>
      <c r="S28" s="310" t="s">
        <v>3352</v>
      </c>
      <c r="T28" s="311">
        <v>30</v>
      </c>
      <c r="U28" s="187" t="str">
        <f t="shared" si="2"/>
        <v>05.One Month</v>
      </c>
      <c r="V28">
        <f>30*6</f>
        <v>180</v>
      </c>
      <c r="W28" s="281"/>
      <c r="X28" s="281"/>
      <c r="Y28" s="281"/>
    </row>
    <row r="29" spans="3:52" ht="24.95" customHeight="1">
      <c r="C29" s="235" t="s">
        <v>58</v>
      </c>
      <c r="D29" s="235">
        <v>25</v>
      </c>
      <c r="E29" s="200"/>
      <c r="F29" s="127"/>
      <c r="G29" s="199">
        <v>6</v>
      </c>
      <c r="H29" s="200" t="s">
        <v>665</v>
      </c>
      <c r="I29" s="198" t="s">
        <v>45</v>
      </c>
      <c r="J29" s="200" t="str">
        <f t="shared" si="1"/>
        <v>06.អាករ ២០%</v>
      </c>
      <c r="N29" s="236"/>
      <c r="O29" s="237"/>
      <c r="P29" s="238"/>
      <c r="Q29" s="13"/>
      <c r="R29" s="311">
        <v>6</v>
      </c>
      <c r="S29" s="310" t="s">
        <v>3353</v>
      </c>
      <c r="T29" s="311">
        <v>60</v>
      </c>
      <c r="U29" s="187" t="str">
        <f t="shared" si="2"/>
        <v>06.Two Month</v>
      </c>
      <c r="W29" s="281"/>
      <c r="X29" s="281"/>
      <c r="Y29" s="281"/>
    </row>
    <row r="30" spans="3:52" ht="24.95" customHeight="1">
      <c r="C30" s="235" t="s">
        <v>1531</v>
      </c>
      <c r="D30" s="235">
        <v>30</v>
      </c>
      <c r="E30" s="200"/>
      <c r="F30" s="135"/>
      <c r="G30" s="199">
        <v>7</v>
      </c>
      <c r="H30" s="200" t="s">
        <v>666</v>
      </c>
      <c r="I30" s="198" t="s">
        <v>55</v>
      </c>
      <c r="J30" s="200" t="str">
        <f t="shared" si="1"/>
        <v>07.អាករ ២៥%</v>
      </c>
      <c r="N30" s="236"/>
      <c r="O30" s="237"/>
      <c r="P30" s="238"/>
      <c r="Q30" s="13"/>
      <c r="R30" s="311">
        <v>7</v>
      </c>
      <c r="S30" s="310" t="s">
        <v>1569</v>
      </c>
      <c r="T30" s="311">
        <v>90</v>
      </c>
      <c r="U30" s="187" t="str">
        <f t="shared" si="2"/>
        <v>07.Three Month</v>
      </c>
    </row>
    <row r="31" spans="3:52" ht="24.95" customHeight="1">
      <c r="C31" s="235" t="s">
        <v>1532</v>
      </c>
      <c r="D31" s="235">
        <v>35</v>
      </c>
      <c r="E31" s="200"/>
      <c r="G31" s="199"/>
      <c r="H31" s="200"/>
      <c r="I31" s="198"/>
      <c r="J31" s="200" t="str">
        <f t="shared" si="1"/>
        <v/>
      </c>
      <c r="N31" s="141"/>
      <c r="O31" s="135"/>
      <c r="P31" s="13"/>
      <c r="Q31" s="13"/>
      <c r="R31" s="311">
        <v>8</v>
      </c>
      <c r="S31" s="310" t="s">
        <v>3354</v>
      </c>
      <c r="T31" s="311">
        <v>120</v>
      </c>
      <c r="U31" s="187" t="str">
        <f t="shared" si="2"/>
        <v>08.Four Month</v>
      </c>
    </row>
    <row r="32" spans="3:52" ht="24.95" customHeight="1">
      <c r="C32" s="235" t="s">
        <v>1533</v>
      </c>
      <c r="D32" s="235">
        <v>40</v>
      </c>
      <c r="E32" s="200"/>
      <c r="G32" s="199"/>
      <c r="H32" s="200"/>
      <c r="I32" s="198"/>
      <c r="J32" s="200" t="str">
        <f t="shared" si="1"/>
        <v/>
      </c>
      <c r="N32" s="141"/>
      <c r="O32" s="135"/>
      <c r="P32" s="13"/>
      <c r="Q32" s="13"/>
      <c r="R32" s="311">
        <v>9</v>
      </c>
      <c r="S32" s="310" t="s">
        <v>3355</v>
      </c>
      <c r="T32" s="311">
        <v>150</v>
      </c>
      <c r="U32" s="187" t="str">
        <f t="shared" si="2"/>
        <v>09.Five Month</v>
      </c>
    </row>
    <row r="33" spans="3:21" ht="24.95" customHeight="1">
      <c r="C33" s="235" t="s">
        <v>25</v>
      </c>
      <c r="D33" s="235">
        <v>45</v>
      </c>
      <c r="E33" s="200"/>
      <c r="G33" s="199"/>
      <c r="H33" s="200"/>
      <c r="I33" s="198"/>
      <c r="J33" s="200" t="str">
        <f t="shared" si="1"/>
        <v/>
      </c>
      <c r="N33" s="141"/>
      <c r="O33" s="135"/>
      <c r="P33" s="13"/>
      <c r="Q33" s="13"/>
      <c r="R33" s="311">
        <v>10</v>
      </c>
      <c r="S33" s="310" t="s">
        <v>1570</v>
      </c>
      <c r="T33" s="311">
        <v>180</v>
      </c>
      <c r="U33" s="187" t="str">
        <f t="shared" si="2"/>
        <v>10.Six Month</v>
      </c>
    </row>
    <row r="34" spans="3:21" ht="24.95" customHeight="1">
      <c r="C34" s="235" t="s">
        <v>27</v>
      </c>
      <c r="D34" s="235">
        <v>50</v>
      </c>
      <c r="E34" s="200"/>
      <c r="G34" s="199"/>
      <c r="H34" s="200"/>
      <c r="I34" s="198"/>
      <c r="J34" s="200" t="str">
        <f t="shared" si="1"/>
        <v/>
      </c>
      <c r="N34" s="141"/>
      <c r="O34" s="135"/>
      <c r="P34" s="13"/>
      <c r="Q34" s="13"/>
      <c r="R34" s="311"/>
      <c r="S34" s="310"/>
      <c r="T34" s="311"/>
      <c r="U34" s="187" t="str">
        <f t="shared" ref="U34:U43" si="3">IF(AND(R34&lt;&gt;"",S34&lt;&gt;""),R34&amp;"."&amp;S34,"")</f>
        <v/>
      </c>
    </row>
    <row r="35" spans="3:21" ht="24.95" customHeight="1">
      <c r="C35" s="235" t="s">
        <v>36</v>
      </c>
      <c r="D35" s="235">
        <v>55</v>
      </c>
      <c r="E35" s="200"/>
      <c r="G35" s="199"/>
      <c r="H35" s="200"/>
      <c r="I35" s="198"/>
      <c r="J35" s="200" t="str">
        <f t="shared" si="1"/>
        <v/>
      </c>
      <c r="O35" s="13"/>
      <c r="P35" s="13"/>
      <c r="Q35" s="13"/>
      <c r="R35" s="329"/>
      <c r="S35" s="309"/>
      <c r="T35" s="13"/>
      <c r="U35" s="187" t="str">
        <f t="shared" si="3"/>
        <v/>
      </c>
    </row>
    <row r="36" spans="3:21" ht="24.95" customHeight="1">
      <c r="C36" s="235" t="s">
        <v>38</v>
      </c>
      <c r="D36" s="235">
        <v>60</v>
      </c>
      <c r="E36" s="200"/>
      <c r="G36" s="199"/>
      <c r="H36" s="239"/>
      <c r="I36" s="240"/>
      <c r="J36" s="244"/>
      <c r="O36" s="13"/>
      <c r="P36" s="13"/>
      <c r="Q36" s="13"/>
      <c r="R36" s="329"/>
      <c r="S36" s="309"/>
      <c r="T36" s="13"/>
      <c r="U36" s="187" t="str">
        <f t="shared" si="3"/>
        <v/>
      </c>
    </row>
    <row r="37" spans="3:21" ht="24.95" customHeight="1">
      <c r="C37" s="235" t="s">
        <v>39</v>
      </c>
      <c r="D37" s="235">
        <v>65</v>
      </c>
      <c r="E37" s="200"/>
      <c r="G37" s="199"/>
      <c r="H37" s="239"/>
      <c r="I37" s="240"/>
      <c r="J37" s="244"/>
      <c r="R37" s="329"/>
      <c r="S37" s="309"/>
      <c r="T37" s="13"/>
      <c r="U37" s="187" t="str">
        <f t="shared" si="3"/>
        <v/>
      </c>
    </row>
    <row r="38" spans="3:21" ht="24.95" customHeight="1">
      <c r="C38" s="235" t="s">
        <v>40</v>
      </c>
      <c r="D38" s="235">
        <v>70</v>
      </c>
      <c r="E38" s="200"/>
      <c r="G38" s="199"/>
      <c r="H38" s="239"/>
      <c r="I38" s="240"/>
      <c r="J38" s="244"/>
      <c r="R38" s="329"/>
      <c r="S38" s="309"/>
      <c r="T38" s="13"/>
      <c r="U38" s="187" t="str">
        <f t="shared" si="3"/>
        <v/>
      </c>
    </row>
    <row r="39" spans="3:21" ht="24.95" customHeight="1">
      <c r="C39" s="235" t="s">
        <v>41</v>
      </c>
      <c r="D39" s="235">
        <v>75</v>
      </c>
      <c r="E39" s="200"/>
      <c r="G39" s="126"/>
      <c r="H39" s="138"/>
      <c r="I39" s="136"/>
      <c r="J39" s="136"/>
      <c r="R39" s="329"/>
      <c r="S39" s="309"/>
      <c r="T39" s="13"/>
      <c r="U39" s="187" t="str">
        <f t="shared" si="3"/>
        <v/>
      </c>
    </row>
    <row r="40" spans="3:21" ht="24.95" customHeight="1">
      <c r="C40" s="235" t="s">
        <v>42</v>
      </c>
      <c r="D40" s="235">
        <v>80</v>
      </c>
      <c r="E40" s="200"/>
      <c r="G40" s="133"/>
      <c r="H40" s="138"/>
      <c r="I40" s="136"/>
      <c r="J40" s="136"/>
      <c r="R40" s="329"/>
      <c r="S40" s="309"/>
      <c r="T40" s="13"/>
      <c r="U40" s="187" t="str">
        <f t="shared" si="3"/>
        <v/>
      </c>
    </row>
    <row r="41" spans="3:21" ht="24.95" customHeight="1">
      <c r="C41" s="235" t="s">
        <v>43</v>
      </c>
      <c r="D41" s="235">
        <v>85</v>
      </c>
      <c r="E41" s="200"/>
      <c r="G41" s="133"/>
      <c r="H41" s="138"/>
      <c r="I41" s="136"/>
      <c r="J41" s="136"/>
      <c r="R41" s="329"/>
      <c r="S41" s="309"/>
      <c r="T41" s="13"/>
      <c r="U41" s="187" t="str">
        <f t="shared" si="3"/>
        <v/>
      </c>
    </row>
    <row r="42" spans="3:21" ht="24.95" customHeight="1">
      <c r="C42" s="235" t="s">
        <v>44</v>
      </c>
      <c r="D42" s="235">
        <v>90</v>
      </c>
      <c r="E42" s="200"/>
      <c r="G42" s="133"/>
      <c r="H42" s="138"/>
      <c r="I42" s="136"/>
      <c r="J42" s="136"/>
      <c r="R42" s="329"/>
      <c r="S42" s="309"/>
      <c r="T42" s="13"/>
      <c r="U42" s="187" t="str">
        <f t="shared" si="3"/>
        <v/>
      </c>
    </row>
    <row r="43" spans="3:21" ht="24.95" customHeight="1">
      <c r="C43" s="235" t="s">
        <v>45</v>
      </c>
      <c r="D43" s="235">
        <v>100</v>
      </c>
      <c r="E43" s="200"/>
      <c r="G43" s="133"/>
      <c r="H43" s="138"/>
      <c r="I43" s="136"/>
      <c r="J43" s="136"/>
      <c r="R43" s="329"/>
      <c r="S43" s="309"/>
      <c r="T43" s="13"/>
      <c r="U43" s="187" t="str">
        <f t="shared" si="3"/>
        <v/>
      </c>
    </row>
    <row r="44" spans="3:21" ht="24.95" customHeight="1">
      <c r="G44" s="133"/>
      <c r="H44" s="138"/>
      <c r="I44" s="136"/>
      <c r="J44" s="136"/>
      <c r="R44" s="329"/>
      <c r="S44" s="309"/>
      <c r="T44" s="13"/>
    </row>
    <row r="45" spans="3:21" ht="24.95" customHeight="1">
      <c r="G45" s="133"/>
      <c r="H45" s="138"/>
      <c r="I45" s="136"/>
      <c r="J45" s="136"/>
      <c r="R45" s="329"/>
      <c r="S45" s="309"/>
      <c r="T45" s="13"/>
    </row>
    <row r="46" spans="3:21" ht="24.95" customHeight="1">
      <c r="G46" s="133"/>
      <c r="H46" s="138"/>
      <c r="I46" s="136"/>
      <c r="J46" s="136"/>
      <c r="R46" s="329"/>
      <c r="S46" s="309"/>
      <c r="T46" s="13"/>
    </row>
    <row r="47" spans="3:21" ht="24.95" customHeight="1">
      <c r="G47" s="133"/>
      <c r="H47" s="138"/>
      <c r="I47" s="136"/>
      <c r="J47" s="136"/>
      <c r="R47" s="329"/>
      <c r="S47" s="309"/>
      <c r="T47" s="13"/>
    </row>
    <row r="48" spans="3:21" ht="24.95" customHeight="1">
      <c r="R48" s="329"/>
      <c r="S48" s="309"/>
      <c r="T48" s="13"/>
    </row>
    <row r="49" spans="3:20" ht="24.95" customHeight="1">
      <c r="R49" s="329"/>
      <c r="S49" s="309"/>
      <c r="T49" s="13"/>
    </row>
    <row r="51" spans="3:20" ht="24.95" customHeight="1">
      <c r="H51" s="605" t="s">
        <v>2117</v>
      </c>
      <c r="I51" s="604"/>
      <c r="J51" s="488"/>
    </row>
    <row r="53" spans="3:20" ht="24.95" customHeight="1">
      <c r="C53" s="606" t="s">
        <v>47</v>
      </c>
      <c r="D53" s="606" t="s">
        <v>193</v>
      </c>
      <c r="E53" s="606" t="s">
        <v>193</v>
      </c>
      <c r="H53" s="606" t="s">
        <v>47</v>
      </c>
      <c r="I53" s="606" t="s">
        <v>239</v>
      </c>
      <c r="J53" s="606" t="s">
        <v>240</v>
      </c>
    </row>
    <row r="54" spans="3:20" ht="24.95" customHeight="1">
      <c r="C54" s="607" t="s">
        <v>214</v>
      </c>
      <c r="D54" s="607" t="s">
        <v>99</v>
      </c>
      <c r="E54" s="607" t="s">
        <v>17</v>
      </c>
      <c r="H54" s="607" t="s">
        <v>1567</v>
      </c>
      <c r="I54" s="607" t="s">
        <v>2111</v>
      </c>
      <c r="J54" s="607" t="s">
        <v>669</v>
      </c>
    </row>
    <row r="55" spans="3:20" ht="24.95" customHeight="1">
      <c r="C55" s="467">
        <v>1</v>
      </c>
      <c r="D55" s="468" t="s">
        <v>1938</v>
      </c>
      <c r="E55" s="468" t="s">
        <v>1933</v>
      </c>
      <c r="F55" s="188" t="str">
        <f>IF(D55="","",TEXT(C55,"000")&amp;"."&amp;D55)</f>
        <v>001.គណនេយ្យករ</v>
      </c>
      <c r="H55" s="168">
        <v>1</v>
      </c>
      <c r="I55" s="221" t="s">
        <v>2116</v>
      </c>
      <c r="J55" s="183" t="s">
        <v>2105</v>
      </c>
      <c r="K55" s="502" t="str">
        <f>IF(I55="","",TEXT(H55,"00")&amp;"."&amp;I55)</f>
        <v>01.ចំនួនរាប់</v>
      </c>
    </row>
    <row r="56" spans="3:20" ht="24.95" customHeight="1">
      <c r="C56" s="466">
        <f>C55+1</f>
        <v>2</v>
      </c>
      <c r="D56" s="469" t="s">
        <v>1939</v>
      </c>
      <c r="E56" s="469" t="s">
        <v>1934</v>
      </c>
      <c r="F56" s="188" t="str">
        <f t="shared" ref="F56:F69" si="4">IF(D56="","",TEXT(C56,"000")&amp;"."&amp;D56)</f>
        <v>002.រដ្ឋបាល</v>
      </c>
      <c r="H56" s="168">
        <v>2</v>
      </c>
      <c r="I56" s="221" t="s">
        <v>2112</v>
      </c>
      <c r="J56" s="183" t="s">
        <v>2106</v>
      </c>
      <c r="K56" s="502" t="str">
        <f t="shared" ref="K56:K60" si="5">IF(I56="","",TEXT(H56,"00")&amp;"."&amp;I56)</f>
        <v>02.ទម្ងន់</v>
      </c>
    </row>
    <row r="57" spans="3:20" ht="24.95" customHeight="1">
      <c r="C57" s="466">
        <f t="shared" ref="C57:C84" si="6">C56+1</f>
        <v>3</v>
      </c>
      <c r="D57" s="469" t="s">
        <v>1940</v>
      </c>
      <c r="E57" s="469" t="s">
        <v>1935</v>
      </c>
      <c r="F57" s="188" t="str">
        <f t="shared" si="4"/>
        <v>003.អ្នកគ្រប់គ្រង់ទូទៅ</v>
      </c>
      <c r="H57" s="168">
        <v>3</v>
      </c>
      <c r="I57" s="221" t="s">
        <v>2113</v>
      </c>
      <c r="J57" s="183" t="s">
        <v>2107</v>
      </c>
      <c r="K57" s="502" t="str">
        <f t="shared" si="5"/>
        <v>03.ប្រវែង</v>
      </c>
    </row>
    <row r="58" spans="3:20" ht="24.95" customHeight="1">
      <c r="C58" s="466">
        <f t="shared" si="6"/>
        <v>4</v>
      </c>
      <c r="D58" s="469" t="s">
        <v>1941</v>
      </c>
      <c r="E58" s="469" t="s">
        <v>1936</v>
      </c>
      <c r="F58" s="188" t="str">
        <f t="shared" si="4"/>
        <v>004.អ្នកគ្រប់គ្រង់ការទិញទូទៅ</v>
      </c>
      <c r="H58" s="168">
        <v>4</v>
      </c>
      <c r="I58" s="221" t="s">
        <v>2114</v>
      </c>
      <c r="J58" s="183" t="s">
        <v>2108</v>
      </c>
      <c r="K58" s="502" t="str">
        <f t="shared" si="5"/>
        <v>04.ផ្ទៃក្រឡា</v>
      </c>
    </row>
    <row r="59" spans="3:20" ht="24.95" customHeight="1">
      <c r="C59" s="466">
        <f t="shared" si="6"/>
        <v>5</v>
      </c>
      <c r="D59" s="469" t="s">
        <v>1942</v>
      </c>
      <c r="E59" s="469" t="s">
        <v>1937</v>
      </c>
      <c r="F59" s="188" t="str">
        <f t="shared" si="4"/>
        <v>005.អ្នកគ្រប់គ្រងស្តុក</v>
      </c>
      <c r="H59" s="168">
        <v>5</v>
      </c>
      <c r="I59" s="221" t="s">
        <v>2123</v>
      </c>
      <c r="J59" s="183" t="s">
        <v>2109</v>
      </c>
      <c r="K59" s="502" t="str">
        <f t="shared" si="5"/>
        <v>05.មាឌ</v>
      </c>
    </row>
    <row r="60" spans="3:20" ht="24.95" customHeight="1">
      <c r="C60" s="466">
        <f t="shared" si="6"/>
        <v>6</v>
      </c>
      <c r="D60" s="469" t="s">
        <v>825</v>
      </c>
      <c r="E60" s="469" t="s">
        <v>3323</v>
      </c>
      <c r="F60" s="188" t="str">
        <f t="shared" si="4"/>
        <v>006.អ្នកលក់</v>
      </c>
      <c r="H60" s="168">
        <v>6</v>
      </c>
      <c r="I60" s="221" t="s">
        <v>2115</v>
      </c>
      <c r="J60" s="183" t="s">
        <v>2110</v>
      </c>
      <c r="K60" s="502" t="str">
        <f t="shared" si="5"/>
        <v>06.ពេលវេលា</v>
      </c>
    </row>
    <row r="61" spans="3:20" ht="24.95" customHeight="1">
      <c r="C61" s="466">
        <f t="shared" si="6"/>
        <v>7</v>
      </c>
      <c r="D61" s="469"/>
      <c r="E61" s="469"/>
      <c r="F61" s="188" t="str">
        <f t="shared" si="4"/>
        <v/>
      </c>
      <c r="I61" s="203"/>
      <c r="K61" s="502"/>
    </row>
    <row r="62" spans="3:20" ht="24.95" customHeight="1">
      <c r="C62" s="466">
        <f t="shared" si="6"/>
        <v>8</v>
      </c>
      <c r="D62" s="469"/>
      <c r="E62" s="469"/>
      <c r="F62" s="188" t="str">
        <f t="shared" si="4"/>
        <v/>
      </c>
      <c r="I62" s="203"/>
      <c r="K62" s="502"/>
    </row>
    <row r="63" spans="3:20" ht="24.95" customHeight="1">
      <c r="C63" s="466">
        <f t="shared" si="6"/>
        <v>9</v>
      </c>
      <c r="D63" s="469"/>
      <c r="E63" s="469"/>
      <c r="F63" s="188" t="str">
        <f t="shared" si="4"/>
        <v/>
      </c>
      <c r="I63" s="203"/>
      <c r="K63" s="502"/>
    </row>
    <row r="64" spans="3:20" ht="24.95" customHeight="1">
      <c r="C64" s="466">
        <f t="shared" si="6"/>
        <v>10</v>
      </c>
      <c r="D64" s="469"/>
      <c r="E64" s="469"/>
      <c r="F64" s="188" t="str">
        <f t="shared" si="4"/>
        <v/>
      </c>
      <c r="I64" s="203"/>
      <c r="K64" s="502"/>
    </row>
    <row r="65" spans="3:11" ht="24.95" customHeight="1">
      <c r="C65" s="466">
        <f t="shared" si="6"/>
        <v>11</v>
      </c>
      <c r="D65" s="469"/>
      <c r="E65" s="469"/>
      <c r="F65" s="188" t="str">
        <f t="shared" si="4"/>
        <v/>
      </c>
      <c r="I65" s="203"/>
      <c r="K65" s="502"/>
    </row>
    <row r="66" spans="3:11" ht="24.95" customHeight="1">
      <c r="C66" s="466">
        <f t="shared" si="6"/>
        <v>12</v>
      </c>
      <c r="D66" s="469"/>
      <c r="E66" s="469"/>
      <c r="F66" s="188" t="str">
        <f t="shared" si="4"/>
        <v/>
      </c>
      <c r="I66" s="203"/>
      <c r="K66" s="502"/>
    </row>
    <row r="67" spans="3:11" ht="24.95" customHeight="1">
      <c r="C67" s="466">
        <f t="shared" si="6"/>
        <v>13</v>
      </c>
      <c r="D67" s="469"/>
      <c r="E67" s="469"/>
      <c r="F67" s="188" t="str">
        <f t="shared" si="4"/>
        <v/>
      </c>
      <c r="I67" s="203"/>
      <c r="K67" s="502"/>
    </row>
    <row r="68" spans="3:11" ht="24.95" customHeight="1">
      <c r="C68" s="466">
        <f t="shared" si="6"/>
        <v>14</v>
      </c>
      <c r="D68" s="469"/>
      <c r="E68" s="469"/>
      <c r="F68" s="188" t="str">
        <f t="shared" si="4"/>
        <v/>
      </c>
      <c r="I68" s="203"/>
      <c r="K68" s="502"/>
    </row>
    <row r="69" spans="3:11" ht="24.95" customHeight="1">
      <c r="C69" s="466">
        <f t="shared" si="6"/>
        <v>15</v>
      </c>
      <c r="D69" s="469"/>
      <c r="E69" s="469"/>
      <c r="F69" s="188" t="str">
        <f t="shared" si="4"/>
        <v/>
      </c>
      <c r="I69" s="203"/>
      <c r="K69" s="502"/>
    </row>
    <row r="70" spans="3:11" ht="24.95" customHeight="1">
      <c r="C70" s="466">
        <f t="shared" si="6"/>
        <v>16</v>
      </c>
    </row>
    <row r="71" spans="3:11" ht="24.95" customHeight="1">
      <c r="C71" s="466">
        <f t="shared" si="6"/>
        <v>17</v>
      </c>
    </row>
    <row r="72" spans="3:11" ht="24.95" customHeight="1">
      <c r="C72" s="466">
        <f t="shared" si="6"/>
        <v>18</v>
      </c>
    </row>
    <row r="73" spans="3:11" ht="24.95" customHeight="1">
      <c r="C73" s="466">
        <f t="shared" si="6"/>
        <v>19</v>
      </c>
    </row>
    <row r="74" spans="3:11" ht="24.95" customHeight="1">
      <c r="C74" s="466">
        <f t="shared" si="6"/>
        <v>20</v>
      </c>
    </row>
    <row r="75" spans="3:11" ht="24.95" customHeight="1">
      <c r="C75" s="466">
        <f t="shared" si="6"/>
        <v>21</v>
      </c>
    </row>
    <row r="76" spans="3:11" ht="24.95" customHeight="1">
      <c r="C76" s="466">
        <f t="shared" si="6"/>
        <v>22</v>
      </c>
    </row>
    <row r="77" spans="3:11" ht="24.95" customHeight="1">
      <c r="C77" s="466">
        <f t="shared" si="6"/>
        <v>23</v>
      </c>
    </row>
    <row r="78" spans="3:11" ht="24.95" customHeight="1">
      <c r="C78" s="466">
        <f t="shared" si="6"/>
        <v>24</v>
      </c>
    </row>
    <row r="79" spans="3:11" ht="24.95" customHeight="1">
      <c r="C79" s="466">
        <f t="shared" si="6"/>
        <v>25</v>
      </c>
    </row>
    <row r="80" spans="3:11" ht="24.95" customHeight="1">
      <c r="C80" s="466">
        <f t="shared" si="6"/>
        <v>26</v>
      </c>
    </row>
    <row r="81" spans="3:3" ht="24.95" customHeight="1">
      <c r="C81" s="466">
        <f t="shared" si="6"/>
        <v>27</v>
      </c>
    </row>
    <row r="82" spans="3:3" ht="24.95" customHeight="1">
      <c r="C82" s="466">
        <f t="shared" si="6"/>
        <v>28</v>
      </c>
    </row>
    <row r="83" spans="3:3" ht="24.95" customHeight="1">
      <c r="C83" s="466">
        <f t="shared" si="6"/>
        <v>29</v>
      </c>
    </row>
    <row r="84" spans="3:3" ht="24.95" customHeight="1">
      <c r="C84" s="466">
        <f t="shared" si="6"/>
        <v>30</v>
      </c>
    </row>
  </sheetData>
  <mergeCells count="17">
    <mergeCell ref="AE12:AU12"/>
    <mergeCell ref="W20:Y20"/>
    <mergeCell ref="W21:Y21"/>
    <mergeCell ref="R21:T21"/>
    <mergeCell ref="N21:P21"/>
    <mergeCell ref="C3:V3"/>
    <mergeCell ref="C22:E22"/>
    <mergeCell ref="T6:V6"/>
    <mergeCell ref="N6:R6"/>
    <mergeCell ref="G22:J22"/>
    <mergeCell ref="R20:T20"/>
    <mergeCell ref="N20:P20"/>
    <mergeCell ref="C20:E20"/>
    <mergeCell ref="G20:J20"/>
    <mergeCell ref="C21:E21"/>
    <mergeCell ref="G21:J21"/>
    <mergeCell ref="C6:H6"/>
  </mergeCells>
  <phoneticPr fontId="36" type="noConversion"/>
  <dataValidations count="1">
    <dataValidation type="list" allowBlank="1" sqref="P14" xr:uid="{00000000-0002-0000-0100-000000000000}">
      <formula1>month_kh_option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732867-0EC1-402F-91AA-51D883847212}">
  <sheetPr codeName="Sheet35"/>
  <dimension ref="C1:L28"/>
  <sheetViews>
    <sheetView showGridLines="0" workbookViewId="0">
      <pane ySplit="7" topLeftCell="A8" activePane="bottomLeft" state="frozen"/>
      <selection pane="bottomLeft" activeCell="C8" sqref="C8"/>
    </sheetView>
  </sheetViews>
  <sheetFormatPr defaultRowHeight="23.25"/>
  <cols>
    <col min="1" max="1" width="4.42578125" customWidth="1"/>
    <col min="2" max="2" width="4.140625" customWidth="1"/>
    <col min="3" max="3" width="9.140625" style="126"/>
    <col min="4" max="4" width="16.140625" style="126" customWidth="1"/>
    <col min="5" max="5" width="14.7109375" style="126" customWidth="1"/>
    <col min="6" max="6" width="30.42578125" customWidth="1"/>
    <col min="7" max="7" width="23" style="135" customWidth="1"/>
    <col min="8" max="8" width="14.7109375" style="126" customWidth="1"/>
    <col min="9" max="9" width="24.7109375" style="126" customWidth="1"/>
    <col min="10" max="10" width="24.28515625" style="126" customWidth="1"/>
    <col min="11" max="11" width="14.7109375" style="126" customWidth="1"/>
    <col min="12" max="12" width="37.140625" style="129" customWidth="1"/>
  </cols>
  <sheetData>
    <row r="1" spans="3:12" hidden="1">
      <c r="C1"/>
      <c r="D1"/>
      <c r="E1"/>
      <c r="G1"/>
      <c r="H1"/>
      <c r="I1" s="13"/>
      <c r="J1" s="13"/>
      <c r="K1" s="13"/>
    </row>
    <row r="2" spans="3:12" hidden="1">
      <c r="C2"/>
      <c r="D2"/>
      <c r="E2"/>
      <c r="G2"/>
      <c r="H2"/>
      <c r="I2" s="13"/>
      <c r="J2" s="13"/>
      <c r="K2" s="13"/>
    </row>
    <row r="3" spans="3:12" ht="13.5" customHeight="1">
      <c r="C3"/>
      <c r="D3"/>
      <c r="E3"/>
      <c r="G3"/>
      <c r="H3"/>
      <c r="I3" s="13"/>
      <c r="J3" s="13"/>
      <c r="K3" s="13"/>
    </row>
    <row r="4" spans="3:12">
      <c r="C4"/>
      <c r="D4"/>
      <c r="E4"/>
      <c r="G4"/>
      <c r="H4"/>
      <c r="I4" s="13"/>
      <c r="J4" s="13"/>
      <c r="K4" s="13"/>
    </row>
    <row r="5" spans="3:12">
      <c r="C5"/>
      <c r="D5"/>
      <c r="E5"/>
      <c r="G5"/>
      <c r="H5"/>
      <c r="I5" s="13"/>
      <c r="J5" s="13"/>
      <c r="K5" s="13"/>
    </row>
    <row r="6" spans="3:12">
      <c r="C6" s="566" t="s">
        <v>47</v>
      </c>
      <c r="D6" s="566" t="s">
        <v>804</v>
      </c>
      <c r="E6" s="566" t="s">
        <v>1649</v>
      </c>
      <c r="F6" s="566" t="s">
        <v>1638</v>
      </c>
      <c r="G6" s="566" t="s">
        <v>74</v>
      </c>
      <c r="H6" s="566" t="s">
        <v>1650</v>
      </c>
      <c r="I6" s="566" t="s">
        <v>1651</v>
      </c>
      <c r="J6" s="566" t="s">
        <v>1652</v>
      </c>
      <c r="K6" s="566" t="s">
        <v>187</v>
      </c>
    </row>
    <row r="7" spans="3:12">
      <c r="C7" s="527" t="s">
        <v>9</v>
      </c>
      <c r="D7" s="527" t="s">
        <v>1646</v>
      </c>
      <c r="E7" s="614" t="s">
        <v>98</v>
      </c>
      <c r="F7" s="614" t="s">
        <v>1639</v>
      </c>
      <c r="G7" s="614" t="s">
        <v>76</v>
      </c>
      <c r="H7" s="614" t="s">
        <v>220</v>
      </c>
      <c r="I7" s="614" t="s">
        <v>1647</v>
      </c>
      <c r="J7" s="614" t="s">
        <v>1648</v>
      </c>
      <c r="K7" s="614" t="s">
        <v>1645</v>
      </c>
    </row>
    <row r="8" spans="3:12">
      <c r="C8" s="199">
        <v>1</v>
      </c>
      <c r="D8" s="199" t="s">
        <v>52</v>
      </c>
      <c r="E8" s="199" t="s">
        <v>3319</v>
      </c>
      <c r="F8" s="315" t="s">
        <v>1661</v>
      </c>
      <c r="G8" s="237"/>
      <c r="H8" s="199"/>
      <c r="I8" s="199">
        <v>1</v>
      </c>
      <c r="J8" s="199">
        <v>1</v>
      </c>
      <c r="K8" s="199">
        <v>1</v>
      </c>
      <c r="L8" s="129" t="str">
        <f>IF(AND(C8&lt;&gt;"",F8&lt;&gt;""),TEXT(C8,"000")&amp;"."&amp;F8,"")</f>
        <v>001.គោកស្នួល</v>
      </c>
    </row>
    <row r="9" spans="3:12">
      <c r="C9" s="199"/>
      <c r="D9" s="199"/>
      <c r="E9" s="199"/>
      <c r="F9" s="315"/>
      <c r="G9" s="237"/>
      <c r="H9" s="199"/>
      <c r="I9" s="199"/>
      <c r="J9" s="199"/>
      <c r="K9" s="199"/>
      <c r="L9" s="129" t="str">
        <f t="shared" ref="L9:L19" si="0">IF(AND(C9&lt;&gt;"",F9&lt;&gt;""),TEXT(C9,"000")&amp;"."&amp;F9,"")</f>
        <v/>
      </c>
    </row>
    <row r="10" spans="3:12">
      <c r="C10" s="199"/>
      <c r="D10" s="199"/>
      <c r="E10" s="199"/>
      <c r="F10" s="315"/>
      <c r="G10" s="237"/>
      <c r="H10" s="199"/>
      <c r="I10" s="199"/>
      <c r="J10" s="199"/>
      <c r="K10" s="199"/>
      <c r="L10" s="129" t="str">
        <f t="shared" si="0"/>
        <v/>
      </c>
    </row>
    <row r="11" spans="3:12">
      <c r="C11" s="199"/>
      <c r="D11" s="199"/>
      <c r="E11" s="199"/>
      <c r="F11" s="475"/>
      <c r="G11" s="237"/>
      <c r="H11" s="199"/>
      <c r="I11" s="199"/>
      <c r="J11" s="199"/>
      <c r="K11" s="199"/>
      <c r="L11" s="129" t="str">
        <f t="shared" si="0"/>
        <v/>
      </c>
    </row>
    <row r="12" spans="3:12">
      <c r="C12" s="199"/>
      <c r="D12" s="199"/>
      <c r="E12" s="199"/>
      <c r="F12" s="475"/>
      <c r="G12" s="237"/>
      <c r="H12" s="199"/>
      <c r="I12" s="199"/>
      <c r="J12" s="199"/>
      <c r="K12" s="199"/>
      <c r="L12" s="129" t="str">
        <f t="shared" si="0"/>
        <v/>
      </c>
    </row>
    <row r="13" spans="3:12">
      <c r="C13" s="199"/>
      <c r="D13" s="199"/>
      <c r="E13" s="199"/>
      <c r="F13" s="475"/>
      <c r="G13" s="237"/>
      <c r="H13" s="199"/>
      <c r="I13" s="199"/>
      <c r="J13" s="199"/>
      <c r="K13" s="199"/>
      <c r="L13" s="129" t="str">
        <f t="shared" si="0"/>
        <v/>
      </c>
    </row>
    <row r="14" spans="3:12">
      <c r="C14" s="199"/>
      <c r="D14" s="199"/>
      <c r="E14" s="199"/>
      <c r="F14" s="475"/>
      <c r="G14" s="237"/>
      <c r="H14" s="199"/>
      <c r="I14" s="199"/>
      <c r="J14" s="199"/>
      <c r="K14" s="199"/>
      <c r="L14" s="129" t="str">
        <f t="shared" si="0"/>
        <v/>
      </c>
    </row>
    <row r="15" spans="3:12">
      <c r="C15" s="199"/>
      <c r="D15" s="199"/>
      <c r="E15" s="199"/>
      <c r="F15" s="475"/>
      <c r="G15" s="237"/>
      <c r="H15" s="199"/>
      <c r="I15" s="199"/>
      <c r="J15" s="199"/>
      <c r="K15" s="199"/>
      <c r="L15" s="129" t="str">
        <f t="shared" si="0"/>
        <v/>
      </c>
    </row>
    <row r="16" spans="3:12">
      <c r="C16" s="199"/>
      <c r="D16" s="199"/>
      <c r="E16" s="199"/>
      <c r="F16" s="475"/>
      <c r="G16" s="237"/>
      <c r="H16" s="199"/>
      <c r="I16" s="199"/>
      <c r="J16" s="199"/>
      <c r="K16" s="199"/>
      <c r="L16" s="129" t="str">
        <f t="shared" si="0"/>
        <v/>
      </c>
    </row>
    <row r="17" spans="3:12">
      <c r="C17" s="199"/>
      <c r="D17" s="199"/>
      <c r="E17" s="199"/>
      <c r="F17" s="475"/>
      <c r="G17" s="237"/>
      <c r="H17" s="199"/>
      <c r="I17" s="199"/>
      <c r="J17" s="199"/>
      <c r="K17" s="199"/>
      <c r="L17" s="129" t="str">
        <f t="shared" si="0"/>
        <v/>
      </c>
    </row>
    <row r="18" spans="3:12">
      <c r="C18" s="199"/>
      <c r="D18" s="199"/>
      <c r="E18" s="199"/>
      <c r="F18" s="475"/>
      <c r="G18" s="237"/>
      <c r="H18" s="199"/>
      <c r="I18" s="199"/>
      <c r="J18" s="199"/>
      <c r="K18" s="199"/>
      <c r="L18" s="129" t="str">
        <f t="shared" si="0"/>
        <v/>
      </c>
    </row>
    <row r="19" spans="3:12">
      <c r="C19" s="199"/>
      <c r="D19" s="199"/>
      <c r="E19" s="199"/>
      <c r="F19" s="475"/>
      <c r="G19" s="237"/>
      <c r="H19" s="199"/>
      <c r="I19" s="199"/>
      <c r="J19" s="199"/>
      <c r="K19" s="199"/>
      <c r="L19" s="129" t="str">
        <f t="shared" si="0"/>
        <v/>
      </c>
    </row>
    <row r="20" spans="3:12">
      <c r="L20" s="129" t="str">
        <f t="shared" ref="L20:L28" si="1">IF(AND(C20&lt;&gt;"",F20&lt;&gt;""),C20&amp;"."&amp;F20,"")</f>
        <v/>
      </c>
    </row>
    <row r="21" spans="3:12">
      <c r="L21" s="129" t="str">
        <f t="shared" si="1"/>
        <v/>
      </c>
    </row>
    <row r="22" spans="3:12">
      <c r="L22" s="129" t="str">
        <f t="shared" si="1"/>
        <v/>
      </c>
    </row>
    <row r="23" spans="3:12">
      <c r="L23" s="129" t="str">
        <f t="shared" si="1"/>
        <v/>
      </c>
    </row>
    <row r="24" spans="3:12">
      <c r="L24" s="129" t="str">
        <f t="shared" si="1"/>
        <v/>
      </c>
    </row>
    <row r="25" spans="3:12">
      <c r="L25" s="129" t="str">
        <f t="shared" si="1"/>
        <v/>
      </c>
    </row>
    <row r="26" spans="3:12">
      <c r="L26" s="129" t="str">
        <f t="shared" si="1"/>
        <v/>
      </c>
    </row>
    <row r="27" spans="3:12">
      <c r="L27" s="129" t="str">
        <f t="shared" si="1"/>
        <v/>
      </c>
    </row>
    <row r="28" spans="3:12">
      <c r="L28" s="129" t="str">
        <f t="shared" si="1"/>
        <v/>
      </c>
    </row>
  </sheetData>
  <phoneticPr fontId="36" type="noConversion"/>
  <pageMargins left="0.7" right="0.7" top="0.75" bottom="0.75" header="0.3" footer="0.3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53296-8F39-45D2-BF26-739734824049}">
  <sheetPr codeName="Sheet36"/>
  <dimension ref="C1:O100"/>
  <sheetViews>
    <sheetView showGridLines="0" topLeftCell="A3" zoomScale="80" zoomScaleNormal="80" workbookViewId="0">
      <pane ySplit="5" topLeftCell="A8" activePane="bottomLeft" state="frozen"/>
      <selection activeCell="A3" sqref="A3"/>
      <selection pane="bottomLeft" activeCell="C8" sqref="C8"/>
    </sheetView>
  </sheetViews>
  <sheetFormatPr defaultColWidth="9.140625" defaultRowHeight="23.25"/>
  <cols>
    <col min="1" max="1" width="2.7109375" style="133" customWidth="1"/>
    <col min="2" max="2" width="2.5703125" style="133" customWidth="1"/>
    <col min="3" max="3" width="9.140625" style="133"/>
    <col min="4" max="4" width="23.140625" style="133" customWidth="1"/>
    <col min="5" max="5" width="21.42578125" style="230" bestFit="1" customWidth="1"/>
    <col min="6" max="6" width="21" style="319" bestFit="1" customWidth="1"/>
    <col min="7" max="7" width="13.28515625" style="133" customWidth="1"/>
    <col min="8" max="8" width="13.5703125" style="133" customWidth="1"/>
    <col min="9" max="9" width="16.5703125" style="133" customWidth="1"/>
    <col min="10" max="10" width="16.7109375" style="133" customWidth="1"/>
    <col min="11" max="11" width="17" style="133" customWidth="1"/>
    <col min="12" max="12" width="15.42578125" style="133" customWidth="1"/>
    <col min="13" max="13" width="18" style="133" customWidth="1"/>
    <col min="14" max="14" width="13.140625" style="126" customWidth="1"/>
    <col min="15" max="15" width="33.42578125" style="129" customWidth="1"/>
    <col min="16" max="16384" width="9.140625" style="133"/>
  </cols>
  <sheetData>
    <row r="1" spans="3:15" hidden="1"/>
    <row r="2" spans="3:15" hidden="1"/>
    <row r="3" spans="3:15" ht="37.5" customHeight="1"/>
    <row r="4" spans="3:15" ht="33">
      <c r="C4" s="326"/>
      <c r="D4" s="326"/>
      <c r="E4" s="321"/>
      <c r="F4" s="321"/>
    </row>
    <row r="5" spans="3:15" ht="3.75" customHeight="1"/>
    <row r="6" spans="3:15">
      <c r="C6" s="566" t="s">
        <v>47</v>
      </c>
      <c r="D6" s="566" t="s">
        <v>215</v>
      </c>
      <c r="E6" s="615" t="s">
        <v>1638</v>
      </c>
      <c r="F6" s="615" t="s">
        <v>1506</v>
      </c>
      <c r="G6" s="566" t="s">
        <v>1653</v>
      </c>
      <c r="H6" s="566" t="s">
        <v>1654</v>
      </c>
      <c r="I6" s="566" t="s">
        <v>1658</v>
      </c>
      <c r="J6" s="566" t="s">
        <v>1657</v>
      </c>
      <c r="K6" s="566" t="s">
        <v>1659</v>
      </c>
      <c r="L6" s="566" t="s">
        <v>1655</v>
      </c>
      <c r="M6" s="566" t="s">
        <v>1656</v>
      </c>
      <c r="N6" s="566" t="s">
        <v>187</v>
      </c>
    </row>
    <row r="7" spans="3:15" ht="20.25" customHeight="1">
      <c r="C7" s="616" t="s">
        <v>9</v>
      </c>
      <c r="D7" s="616" t="s">
        <v>1637</v>
      </c>
      <c r="E7" s="617" t="s">
        <v>1639</v>
      </c>
      <c r="F7" s="617" t="s">
        <v>59</v>
      </c>
      <c r="G7" s="616" t="s">
        <v>1640</v>
      </c>
      <c r="H7" s="616" t="s">
        <v>1641</v>
      </c>
      <c r="I7" s="616" t="s">
        <v>1642</v>
      </c>
      <c r="J7" s="616" t="s">
        <v>1643</v>
      </c>
      <c r="K7" s="616" t="s">
        <v>1644</v>
      </c>
      <c r="L7" s="616" t="s">
        <v>505</v>
      </c>
      <c r="M7" s="616" t="s">
        <v>1660</v>
      </c>
      <c r="N7" s="614" t="s">
        <v>1645</v>
      </c>
    </row>
    <row r="8" spans="3:15">
      <c r="C8" s="199">
        <v>1</v>
      </c>
      <c r="D8" s="199">
        <v>1</v>
      </c>
      <c r="E8" s="472" t="s">
        <v>1661</v>
      </c>
      <c r="F8" s="243" t="s">
        <v>1661</v>
      </c>
      <c r="G8" s="199"/>
      <c r="H8" s="251"/>
      <c r="I8" s="251"/>
      <c r="J8" s="251"/>
      <c r="K8" s="251"/>
      <c r="L8" s="251"/>
      <c r="M8" s="251"/>
      <c r="N8" s="199">
        <v>1</v>
      </c>
      <c r="O8" s="129" t="str">
        <f>IF(AND(C8&lt;&gt;"",F8&lt;&gt;""),TEXT(C8,"000")&amp;"."&amp;F8,"")</f>
        <v>001.គោកស្នួល</v>
      </c>
    </row>
    <row r="9" spans="3:15">
      <c r="C9" s="199"/>
      <c r="D9" s="199"/>
      <c r="E9" s="472"/>
      <c r="F9" s="243"/>
      <c r="G9" s="199"/>
      <c r="H9" s="251"/>
      <c r="I9" s="251"/>
      <c r="J9" s="251"/>
      <c r="K9" s="251"/>
      <c r="L9" s="251"/>
      <c r="M9" s="251"/>
      <c r="N9" s="199"/>
    </row>
    <row r="10" spans="3:15">
      <c r="C10" s="199"/>
      <c r="D10" s="199"/>
      <c r="E10" s="473"/>
      <c r="F10" s="243"/>
      <c r="G10" s="199"/>
      <c r="H10" s="251"/>
      <c r="I10" s="251"/>
      <c r="J10" s="251"/>
      <c r="K10" s="251"/>
      <c r="L10" s="251"/>
      <c r="M10" s="251"/>
      <c r="N10" s="199"/>
      <c r="O10" s="129" t="str">
        <f t="shared" ref="O10:O22" si="0">IF(AND(C10&lt;&gt;"",F10&lt;&gt;""),TEXT(C10,"000")&amp;"."&amp;F10,"")</f>
        <v/>
      </c>
    </row>
    <row r="11" spans="3:15">
      <c r="C11" s="199"/>
      <c r="D11" s="199"/>
      <c r="E11" s="474"/>
      <c r="F11" s="243"/>
      <c r="G11" s="199"/>
      <c r="H11" s="251"/>
      <c r="I11" s="251"/>
      <c r="J11" s="251"/>
      <c r="K11" s="251"/>
      <c r="L11" s="251"/>
      <c r="M11" s="251"/>
      <c r="N11" s="199"/>
      <c r="O11" s="129" t="str">
        <f t="shared" si="0"/>
        <v/>
      </c>
    </row>
    <row r="12" spans="3:15">
      <c r="C12" s="199"/>
      <c r="D12" s="199"/>
      <c r="E12" s="474"/>
      <c r="F12" s="243"/>
      <c r="G12" s="199"/>
      <c r="H12" s="251"/>
      <c r="I12" s="251"/>
      <c r="J12" s="251"/>
      <c r="K12" s="251"/>
      <c r="L12" s="251"/>
      <c r="M12" s="251"/>
      <c r="N12" s="199"/>
      <c r="O12" s="129" t="str">
        <f t="shared" si="0"/>
        <v/>
      </c>
    </row>
    <row r="13" spans="3:15">
      <c r="C13" s="199"/>
      <c r="D13" s="199"/>
      <c r="E13" s="474"/>
      <c r="F13" s="243"/>
      <c r="G13" s="199"/>
      <c r="H13" s="251"/>
      <c r="I13" s="251"/>
      <c r="J13" s="251"/>
      <c r="K13" s="251"/>
      <c r="L13" s="251"/>
      <c r="M13" s="251"/>
      <c r="N13" s="199"/>
      <c r="O13" s="129" t="str">
        <f t="shared" si="0"/>
        <v/>
      </c>
    </row>
    <row r="14" spans="3:15">
      <c r="C14" s="199"/>
      <c r="D14" s="199"/>
      <c r="E14" s="474"/>
      <c r="F14" s="243"/>
      <c r="G14" s="199"/>
      <c r="H14" s="251"/>
      <c r="I14" s="251"/>
      <c r="J14" s="251"/>
      <c r="K14" s="251"/>
      <c r="L14" s="251"/>
      <c r="M14" s="251"/>
      <c r="N14" s="199"/>
      <c r="O14" s="129" t="str">
        <f t="shared" si="0"/>
        <v/>
      </c>
    </row>
    <row r="15" spans="3:15">
      <c r="C15" s="199"/>
      <c r="D15" s="199"/>
      <c r="E15" s="474"/>
      <c r="F15" s="320"/>
      <c r="G15" s="199"/>
      <c r="H15" s="251"/>
      <c r="I15" s="251"/>
      <c r="J15" s="251"/>
      <c r="K15" s="251"/>
      <c r="L15" s="251"/>
      <c r="M15" s="251"/>
      <c r="N15" s="199"/>
      <c r="O15" s="129" t="str">
        <f t="shared" si="0"/>
        <v/>
      </c>
    </row>
    <row r="16" spans="3:15">
      <c r="C16" s="199"/>
      <c r="D16" s="199"/>
      <c r="E16" s="474"/>
      <c r="F16" s="320"/>
      <c r="G16" s="199"/>
      <c r="H16" s="251"/>
      <c r="I16" s="251"/>
      <c r="J16" s="251"/>
      <c r="K16" s="251"/>
      <c r="L16" s="251"/>
      <c r="M16" s="251"/>
      <c r="N16" s="199"/>
      <c r="O16" s="129" t="str">
        <f t="shared" si="0"/>
        <v/>
      </c>
    </row>
    <row r="17" spans="3:15">
      <c r="C17" s="199"/>
      <c r="D17" s="199"/>
      <c r="E17" s="474"/>
      <c r="F17" s="320"/>
      <c r="G17" s="199"/>
      <c r="H17" s="251"/>
      <c r="I17" s="251"/>
      <c r="J17" s="251"/>
      <c r="K17" s="251"/>
      <c r="L17" s="251"/>
      <c r="M17" s="251"/>
      <c r="N17" s="199"/>
      <c r="O17" s="129" t="str">
        <f t="shared" si="0"/>
        <v/>
      </c>
    </row>
    <row r="18" spans="3:15">
      <c r="C18" s="199"/>
      <c r="D18" s="199"/>
      <c r="E18" s="474"/>
      <c r="F18" s="320"/>
      <c r="G18" s="199"/>
      <c r="H18" s="251"/>
      <c r="I18" s="251"/>
      <c r="J18" s="251"/>
      <c r="K18" s="251"/>
      <c r="L18" s="251"/>
      <c r="M18" s="251"/>
      <c r="N18" s="199"/>
      <c r="O18" s="129" t="str">
        <f t="shared" si="0"/>
        <v/>
      </c>
    </row>
    <row r="19" spans="3:15">
      <c r="C19" s="199"/>
      <c r="D19" s="199"/>
      <c r="E19" s="474"/>
      <c r="F19" s="320"/>
      <c r="G19" s="199"/>
      <c r="H19" s="251"/>
      <c r="I19" s="251"/>
      <c r="J19" s="251"/>
      <c r="K19" s="251"/>
      <c r="L19" s="251"/>
      <c r="M19" s="251"/>
      <c r="N19" s="199"/>
      <c r="O19" s="129" t="str">
        <f t="shared" si="0"/>
        <v/>
      </c>
    </row>
    <row r="20" spans="3:15">
      <c r="C20" s="199"/>
      <c r="D20" s="199"/>
      <c r="E20" s="474"/>
      <c r="F20" s="320"/>
      <c r="G20" s="199"/>
      <c r="H20" s="251"/>
      <c r="I20" s="251"/>
      <c r="J20" s="251"/>
      <c r="K20" s="251"/>
      <c r="L20" s="251"/>
      <c r="M20" s="251"/>
      <c r="N20" s="199"/>
      <c r="O20" s="129" t="str">
        <f t="shared" si="0"/>
        <v/>
      </c>
    </row>
    <row r="21" spans="3:15">
      <c r="C21" s="199"/>
      <c r="D21" s="199"/>
      <c r="E21" s="474"/>
      <c r="F21" s="320"/>
      <c r="G21" s="199"/>
      <c r="H21" s="251"/>
      <c r="I21" s="251"/>
      <c r="J21" s="251"/>
      <c r="K21" s="251"/>
      <c r="L21" s="251"/>
      <c r="M21" s="251"/>
      <c r="N21" s="199"/>
      <c r="O21" s="129" t="str">
        <f t="shared" si="0"/>
        <v/>
      </c>
    </row>
    <row r="22" spans="3:15">
      <c r="C22" s="199"/>
      <c r="D22" s="199"/>
      <c r="E22" s="474"/>
      <c r="F22" s="320"/>
      <c r="G22" s="199"/>
      <c r="H22" s="251"/>
      <c r="I22" s="251"/>
      <c r="J22" s="251"/>
      <c r="K22" s="251"/>
      <c r="L22" s="251"/>
      <c r="M22" s="251"/>
      <c r="N22" s="199"/>
      <c r="O22" s="129" t="str">
        <f t="shared" si="0"/>
        <v/>
      </c>
    </row>
    <row r="23" spans="3:15">
      <c r="G23" s="126"/>
      <c r="O23" s="129" t="str">
        <f t="shared" ref="O23:O72" si="1">IF(AND(C23&lt;&gt;"",F23&lt;&gt;""),C23&amp;"."&amp;F23,"")</f>
        <v/>
      </c>
    </row>
    <row r="24" spans="3:15">
      <c r="G24" s="126"/>
      <c r="O24" s="129" t="str">
        <f t="shared" si="1"/>
        <v/>
      </c>
    </row>
    <row r="25" spans="3:15">
      <c r="O25" s="129" t="str">
        <f t="shared" si="1"/>
        <v/>
      </c>
    </row>
    <row r="26" spans="3:15">
      <c r="O26" s="129" t="str">
        <f t="shared" si="1"/>
        <v/>
      </c>
    </row>
    <row r="27" spans="3:15">
      <c r="O27" s="129" t="str">
        <f t="shared" si="1"/>
        <v/>
      </c>
    </row>
    <row r="28" spans="3:15">
      <c r="O28" s="129" t="str">
        <f t="shared" si="1"/>
        <v/>
      </c>
    </row>
    <row r="29" spans="3:15">
      <c r="O29" s="129" t="str">
        <f t="shared" si="1"/>
        <v/>
      </c>
    </row>
    <row r="30" spans="3:15">
      <c r="O30" s="129" t="str">
        <f t="shared" si="1"/>
        <v/>
      </c>
    </row>
    <row r="31" spans="3:15">
      <c r="O31" s="129" t="str">
        <f t="shared" si="1"/>
        <v/>
      </c>
    </row>
    <row r="32" spans="3:15">
      <c r="O32" s="129" t="str">
        <f t="shared" si="1"/>
        <v/>
      </c>
    </row>
    <row r="33" spans="15:15">
      <c r="O33" s="129" t="str">
        <f t="shared" si="1"/>
        <v/>
      </c>
    </row>
    <row r="34" spans="15:15">
      <c r="O34" s="129" t="str">
        <f t="shared" si="1"/>
        <v/>
      </c>
    </row>
    <row r="35" spans="15:15">
      <c r="O35" s="129" t="str">
        <f t="shared" si="1"/>
        <v/>
      </c>
    </row>
    <row r="36" spans="15:15">
      <c r="O36" s="129" t="str">
        <f t="shared" si="1"/>
        <v/>
      </c>
    </row>
    <row r="37" spans="15:15">
      <c r="O37" s="129" t="str">
        <f t="shared" si="1"/>
        <v/>
      </c>
    </row>
    <row r="38" spans="15:15">
      <c r="O38" s="129" t="str">
        <f t="shared" si="1"/>
        <v/>
      </c>
    </row>
    <row r="39" spans="15:15">
      <c r="O39" s="129" t="str">
        <f t="shared" si="1"/>
        <v/>
      </c>
    </row>
    <row r="40" spans="15:15">
      <c r="O40" s="129" t="str">
        <f t="shared" si="1"/>
        <v/>
      </c>
    </row>
    <row r="41" spans="15:15">
      <c r="O41" s="129" t="str">
        <f t="shared" si="1"/>
        <v/>
      </c>
    </row>
    <row r="42" spans="15:15">
      <c r="O42" s="129" t="str">
        <f t="shared" si="1"/>
        <v/>
      </c>
    </row>
    <row r="43" spans="15:15">
      <c r="O43" s="129" t="str">
        <f t="shared" si="1"/>
        <v/>
      </c>
    </row>
    <row r="44" spans="15:15">
      <c r="O44" s="129" t="str">
        <f t="shared" si="1"/>
        <v/>
      </c>
    </row>
    <row r="45" spans="15:15">
      <c r="O45" s="129" t="str">
        <f t="shared" si="1"/>
        <v/>
      </c>
    </row>
    <row r="46" spans="15:15">
      <c r="O46" s="129" t="str">
        <f t="shared" si="1"/>
        <v/>
      </c>
    </row>
    <row r="47" spans="15:15">
      <c r="O47" s="129" t="str">
        <f t="shared" si="1"/>
        <v/>
      </c>
    </row>
    <row r="48" spans="15:15">
      <c r="O48" s="129" t="str">
        <f t="shared" si="1"/>
        <v/>
      </c>
    </row>
    <row r="49" spans="15:15">
      <c r="O49" s="129" t="str">
        <f t="shared" si="1"/>
        <v/>
      </c>
    </row>
    <row r="50" spans="15:15">
      <c r="O50" s="129" t="str">
        <f t="shared" si="1"/>
        <v/>
      </c>
    </row>
    <row r="51" spans="15:15">
      <c r="O51" s="129" t="str">
        <f t="shared" si="1"/>
        <v/>
      </c>
    </row>
    <row r="52" spans="15:15">
      <c r="O52" s="129" t="str">
        <f t="shared" si="1"/>
        <v/>
      </c>
    </row>
    <row r="53" spans="15:15">
      <c r="O53" s="129" t="str">
        <f t="shared" si="1"/>
        <v/>
      </c>
    </row>
    <row r="54" spans="15:15">
      <c r="O54" s="129" t="str">
        <f t="shared" si="1"/>
        <v/>
      </c>
    </row>
    <row r="55" spans="15:15">
      <c r="O55" s="129" t="str">
        <f t="shared" si="1"/>
        <v/>
      </c>
    </row>
    <row r="56" spans="15:15">
      <c r="O56" s="129" t="str">
        <f t="shared" si="1"/>
        <v/>
      </c>
    </row>
    <row r="57" spans="15:15">
      <c r="O57" s="129" t="str">
        <f t="shared" si="1"/>
        <v/>
      </c>
    </row>
    <row r="58" spans="15:15">
      <c r="O58" s="129" t="str">
        <f t="shared" si="1"/>
        <v/>
      </c>
    </row>
    <row r="59" spans="15:15">
      <c r="O59" s="129" t="str">
        <f t="shared" si="1"/>
        <v/>
      </c>
    </row>
    <row r="60" spans="15:15">
      <c r="O60" s="129" t="str">
        <f t="shared" si="1"/>
        <v/>
      </c>
    </row>
    <row r="61" spans="15:15">
      <c r="O61" s="129" t="str">
        <f t="shared" si="1"/>
        <v/>
      </c>
    </row>
    <row r="62" spans="15:15">
      <c r="O62" s="129" t="str">
        <f t="shared" si="1"/>
        <v/>
      </c>
    </row>
    <row r="63" spans="15:15">
      <c r="O63" s="129" t="str">
        <f t="shared" si="1"/>
        <v/>
      </c>
    </row>
    <row r="64" spans="15:15">
      <c r="O64" s="129" t="str">
        <f t="shared" si="1"/>
        <v/>
      </c>
    </row>
    <row r="65" spans="15:15">
      <c r="O65" s="129" t="str">
        <f t="shared" si="1"/>
        <v/>
      </c>
    </row>
    <row r="66" spans="15:15">
      <c r="O66" s="129" t="str">
        <f t="shared" si="1"/>
        <v/>
      </c>
    </row>
    <row r="67" spans="15:15">
      <c r="O67" s="129" t="str">
        <f t="shared" si="1"/>
        <v/>
      </c>
    </row>
    <row r="68" spans="15:15">
      <c r="O68" s="129" t="str">
        <f t="shared" si="1"/>
        <v/>
      </c>
    </row>
    <row r="69" spans="15:15">
      <c r="O69" s="129" t="str">
        <f t="shared" si="1"/>
        <v/>
      </c>
    </row>
    <row r="70" spans="15:15">
      <c r="O70" s="129" t="str">
        <f t="shared" si="1"/>
        <v/>
      </c>
    </row>
    <row r="71" spans="15:15">
      <c r="O71" s="129" t="str">
        <f t="shared" si="1"/>
        <v/>
      </c>
    </row>
    <row r="72" spans="15:15">
      <c r="O72" s="129" t="str">
        <f t="shared" si="1"/>
        <v/>
      </c>
    </row>
    <row r="73" spans="15:15">
      <c r="O73" s="129" t="str">
        <f t="shared" ref="O73:O100" si="2">IF(AND(C73&lt;&gt;"",F73&lt;&gt;""),C73&amp;"."&amp;F73,"")</f>
        <v/>
      </c>
    </row>
    <row r="74" spans="15:15">
      <c r="O74" s="129" t="str">
        <f t="shared" si="2"/>
        <v/>
      </c>
    </row>
    <row r="75" spans="15:15">
      <c r="O75" s="129" t="str">
        <f t="shared" si="2"/>
        <v/>
      </c>
    </row>
    <row r="76" spans="15:15">
      <c r="O76" s="129" t="str">
        <f t="shared" si="2"/>
        <v/>
      </c>
    </row>
    <row r="77" spans="15:15">
      <c r="O77" s="129" t="str">
        <f t="shared" si="2"/>
        <v/>
      </c>
    </row>
    <row r="78" spans="15:15">
      <c r="O78" s="129" t="str">
        <f t="shared" si="2"/>
        <v/>
      </c>
    </row>
    <row r="79" spans="15:15">
      <c r="O79" s="129" t="str">
        <f t="shared" si="2"/>
        <v/>
      </c>
    </row>
    <row r="80" spans="15:15">
      <c r="O80" s="129" t="str">
        <f t="shared" si="2"/>
        <v/>
      </c>
    </row>
    <row r="81" spans="15:15">
      <c r="O81" s="129" t="str">
        <f t="shared" si="2"/>
        <v/>
      </c>
    </row>
    <row r="82" spans="15:15">
      <c r="O82" s="129" t="str">
        <f t="shared" si="2"/>
        <v/>
      </c>
    </row>
    <row r="83" spans="15:15">
      <c r="O83" s="129" t="str">
        <f t="shared" si="2"/>
        <v/>
      </c>
    </row>
    <row r="84" spans="15:15">
      <c r="O84" s="129" t="str">
        <f t="shared" si="2"/>
        <v/>
      </c>
    </row>
    <row r="85" spans="15:15">
      <c r="O85" s="129" t="str">
        <f t="shared" si="2"/>
        <v/>
      </c>
    </row>
    <row r="86" spans="15:15">
      <c r="O86" s="129" t="str">
        <f t="shared" si="2"/>
        <v/>
      </c>
    </row>
    <row r="87" spans="15:15">
      <c r="O87" s="129" t="str">
        <f t="shared" si="2"/>
        <v/>
      </c>
    </row>
    <row r="88" spans="15:15">
      <c r="O88" s="129" t="str">
        <f t="shared" si="2"/>
        <v/>
      </c>
    </row>
    <row r="89" spans="15:15">
      <c r="O89" s="129" t="str">
        <f t="shared" si="2"/>
        <v/>
      </c>
    </row>
    <row r="90" spans="15:15">
      <c r="O90" s="129" t="str">
        <f t="shared" si="2"/>
        <v/>
      </c>
    </row>
    <row r="91" spans="15:15">
      <c r="O91" s="129" t="str">
        <f t="shared" si="2"/>
        <v/>
      </c>
    </row>
    <row r="92" spans="15:15">
      <c r="O92" s="129" t="str">
        <f t="shared" si="2"/>
        <v/>
      </c>
    </row>
    <row r="93" spans="15:15">
      <c r="O93" s="129" t="str">
        <f t="shared" si="2"/>
        <v/>
      </c>
    </row>
    <row r="94" spans="15:15">
      <c r="O94" s="129" t="str">
        <f t="shared" si="2"/>
        <v/>
      </c>
    </row>
    <row r="95" spans="15:15">
      <c r="O95" s="129" t="str">
        <f t="shared" si="2"/>
        <v/>
      </c>
    </row>
    <row r="96" spans="15:15">
      <c r="O96" s="129" t="str">
        <f t="shared" si="2"/>
        <v/>
      </c>
    </row>
    <row r="97" spans="15:15">
      <c r="O97" s="129" t="str">
        <f t="shared" si="2"/>
        <v/>
      </c>
    </row>
    <row r="98" spans="15:15">
      <c r="O98" s="129" t="str">
        <f t="shared" si="2"/>
        <v/>
      </c>
    </row>
    <row r="99" spans="15:15">
      <c r="O99" s="129" t="str">
        <f t="shared" si="2"/>
        <v/>
      </c>
    </row>
    <row r="100" spans="15:15">
      <c r="O100" s="129" t="str">
        <f t="shared" si="2"/>
        <v/>
      </c>
    </row>
  </sheetData>
  <phoneticPr fontId="36" type="noConversion"/>
  <pageMargins left="0.7" right="0.7" top="0.75" bottom="0.75" header="0.3" footer="0.3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FC2342-1082-427B-9FE8-F690B5F1A2DF}">
  <sheetPr codeName="Sheet34"/>
  <dimension ref="C3:F30"/>
  <sheetViews>
    <sheetView showGridLines="0" workbookViewId="0">
      <pane ySplit="6" topLeftCell="A7" activePane="bottomLeft" state="frozen"/>
      <selection pane="bottomLeft" activeCell="P12" sqref="P12"/>
    </sheetView>
  </sheetViews>
  <sheetFormatPr defaultRowHeight="15"/>
  <cols>
    <col min="1" max="1" width="4.85546875" customWidth="1"/>
    <col min="2" max="2" width="3.140625" customWidth="1"/>
    <col min="4" max="4" width="32" bestFit="1" customWidth="1"/>
    <col min="5" max="5" width="10.7109375" bestFit="1" customWidth="1"/>
    <col min="6" max="6" width="35" bestFit="1" customWidth="1"/>
  </cols>
  <sheetData>
    <row r="3" spans="3:6" ht="36.75">
      <c r="C3" s="2099" t="s">
        <v>720</v>
      </c>
      <c r="D3" s="2099"/>
      <c r="E3" s="2099"/>
      <c r="F3" s="2099"/>
    </row>
    <row r="4" spans="3:6" ht="9" customHeight="1"/>
    <row r="5" spans="3:6" ht="23.25">
      <c r="C5" s="566" t="s">
        <v>47</v>
      </c>
      <c r="D5" s="566" t="s">
        <v>720</v>
      </c>
      <c r="E5" s="618" t="s">
        <v>721</v>
      </c>
      <c r="F5" s="618"/>
    </row>
    <row r="6" spans="3:6">
      <c r="C6" s="535" t="s">
        <v>9</v>
      </c>
      <c r="D6" s="535" t="s">
        <v>723</v>
      </c>
      <c r="E6" s="619" t="s">
        <v>719</v>
      </c>
      <c r="F6" s="619" t="s">
        <v>722</v>
      </c>
    </row>
    <row r="7" spans="3:6" ht="23.1" customHeight="1">
      <c r="C7" s="199">
        <v>1</v>
      </c>
      <c r="D7" s="201" t="s">
        <v>696</v>
      </c>
      <c r="E7" s="199" t="s">
        <v>697</v>
      </c>
      <c r="F7" s="201" t="str">
        <f>IF(AND(C7&lt;&gt;"",D7&lt;&gt;""),TEXT(C7,"00")&amp;"."&amp;D7,"")</f>
        <v>01.USD - US Dollar</v>
      </c>
    </row>
    <row r="8" spans="3:6" ht="23.1" customHeight="1">
      <c r="C8" s="199">
        <v>2</v>
      </c>
      <c r="D8" s="201" t="s">
        <v>698</v>
      </c>
      <c r="E8" s="237" t="s">
        <v>699</v>
      </c>
      <c r="F8" s="201" t="str">
        <f t="shared" ref="F8:F19" si="0">IF(AND(C8&lt;&gt;"",D8&lt;&gt;""),TEXT(C8,"00")&amp;"."&amp;D8,"")</f>
        <v>02.KHR - Cambodia Riel</v>
      </c>
    </row>
    <row r="9" spans="3:6" ht="23.1" customHeight="1">
      <c r="C9" s="199">
        <v>3</v>
      </c>
      <c r="D9" s="201" t="s">
        <v>700</v>
      </c>
      <c r="E9" s="199" t="s">
        <v>701</v>
      </c>
      <c r="F9" s="201" t="str">
        <f t="shared" si="0"/>
        <v>03.THB - Thai Baht</v>
      </c>
    </row>
    <row r="10" spans="3:6" ht="23.1" customHeight="1">
      <c r="C10" s="199">
        <v>4</v>
      </c>
      <c r="D10" s="201" t="s">
        <v>702</v>
      </c>
      <c r="E10" s="199" t="s">
        <v>703</v>
      </c>
      <c r="F10" s="201" t="str">
        <f t="shared" si="0"/>
        <v>04.VND - Viet Nam Dong</v>
      </c>
    </row>
    <row r="11" spans="3:6" ht="23.1" customHeight="1">
      <c r="C11" s="199">
        <v>5</v>
      </c>
      <c r="D11" s="201" t="s">
        <v>704</v>
      </c>
      <c r="E11" s="199" t="s">
        <v>705</v>
      </c>
      <c r="F11" s="201" t="str">
        <f t="shared" si="0"/>
        <v>05.MYR - Malaysia Ringgit</v>
      </c>
    </row>
    <row r="12" spans="3:6" ht="23.1" customHeight="1">
      <c r="C12" s="199">
        <v>6</v>
      </c>
      <c r="D12" s="201" t="s">
        <v>706</v>
      </c>
      <c r="E12" s="199" t="s">
        <v>707</v>
      </c>
      <c r="F12" s="201" t="str">
        <f t="shared" si="0"/>
        <v>06.LAK - Laos Kip</v>
      </c>
    </row>
    <row r="13" spans="3:6" ht="23.1" customHeight="1">
      <c r="C13" s="199">
        <v>7</v>
      </c>
      <c r="D13" s="201" t="s">
        <v>708</v>
      </c>
      <c r="E13" s="199" t="s">
        <v>697</v>
      </c>
      <c r="F13" s="201" t="str">
        <f t="shared" si="0"/>
        <v>07.SGD - Singapore Dollar</v>
      </c>
    </row>
    <row r="14" spans="3:6" ht="23.1" customHeight="1">
      <c r="C14" s="199">
        <v>8</v>
      </c>
      <c r="D14" s="201" t="s">
        <v>709</v>
      </c>
      <c r="E14" s="199" t="s">
        <v>710</v>
      </c>
      <c r="F14" s="201" t="str">
        <f t="shared" si="0"/>
        <v>08.PHP - Philippines Peso</v>
      </c>
    </row>
    <row r="15" spans="3:6" ht="23.1" customHeight="1">
      <c r="C15" s="199">
        <v>9</v>
      </c>
      <c r="D15" s="201" t="s">
        <v>711</v>
      </c>
      <c r="E15" s="199" t="s">
        <v>712</v>
      </c>
      <c r="F15" s="201" t="str">
        <f t="shared" si="0"/>
        <v>09.IDR - Indonesia Rupiah</v>
      </c>
    </row>
    <row r="16" spans="3:6" ht="23.1" customHeight="1">
      <c r="C16" s="199">
        <v>10</v>
      </c>
      <c r="D16" s="201" t="s">
        <v>713</v>
      </c>
      <c r="E16" s="199" t="s">
        <v>697</v>
      </c>
      <c r="F16" s="201" t="str">
        <f t="shared" si="0"/>
        <v>10.BND - Brunei Darussalam Dollar</v>
      </c>
    </row>
    <row r="17" spans="3:6" ht="23.1" customHeight="1">
      <c r="C17" s="199">
        <v>11</v>
      </c>
      <c r="D17" s="201" t="s">
        <v>714</v>
      </c>
      <c r="E17" s="199" t="s">
        <v>715</v>
      </c>
      <c r="F17" s="201" t="str">
        <f t="shared" si="0"/>
        <v>11.CNY - China Yuan Renminbi</v>
      </c>
    </row>
    <row r="18" spans="3:6" ht="23.1" customHeight="1">
      <c r="C18" s="199">
        <v>12</v>
      </c>
      <c r="D18" s="201" t="s">
        <v>716</v>
      </c>
      <c r="E18" s="199" t="s">
        <v>715</v>
      </c>
      <c r="F18" s="201" t="str">
        <f t="shared" si="0"/>
        <v>12.JPY - Japan Yen</v>
      </c>
    </row>
    <row r="19" spans="3:6" ht="23.1" customHeight="1">
      <c r="C19" s="199">
        <v>13</v>
      </c>
      <c r="D19" s="201" t="s">
        <v>717</v>
      </c>
      <c r="E19" s="199" t="s">
        <v>718</v>
      </c>
      <c r="F19" s="201" t="str">
        <f t="shared" si="0"/>
        <v>13.KRW - Korea (South) Won</v>
      </c>
    </row>
    <row r="20" spans="3:6">
      <c r="C20" s="126"/>
      <c r="D20" s="128"/>
      <c r="E20" s="126"/>
      <c r="F20" s="126"/>
    </row>
    <row r="21" spans="3:6">
      <c r="C21" s="126"/>
      <c r="D21" s="128"/>
      <c r="E21" s="126"/>
      <c r="F21" s="126"/>
    </row>
    <row r="22" spans="3:6">
      <c r="C22" s="126"/>
      <c r="D22" s="128"/>
      <c r="E22" s="126"/>
      <c r="F22" s="126"/>
    </row>
    <row r="23" spans="3:6">
      <c r="C23" s="126"/>
      <c r="D23" s="128"/>
      <c r="E23" s="126"/>
      <c r="F23" s="126"/>
    </row>
    <row r="24" spans="3:6">
      <c r="C24" s="126"/>
      <c r="D24" s="128"/>
      <c r="E24" s="126"/>
      <c r="F24" s="126"/>
    </row>
    <row r="25" spans="3:6">
      <c r="C25" s="126"/>
      <c r="D25" s="128"/>
      <c r="E25" s="126"/>
      <c r="F25" s="126"/>
    </row>
    <row r="26" spans="3:6">
      <c r="C26" s="126"/>
      <c r="D26" s="128"/>
      <c r="E26" s="126"/>
      <c r="F26" s="126"/>
    </row>
    <row r="27" spans="3:6">
      <c r="C27" s="126"/>
      <c r="D27" s="128"/>
      <c r="E27" s="126"/>
      <c r="F27" s="126"/>
    </row>
    <row r="28" spans="3:6">
      <c r="C28" s="126"/>
      <c r="D28" s="128"/>
      <c r="E28" s="126"/>
      <c r="F28" s="126"/>
    </row>
    <row r="29" spans="3:6">
      <c r="C29" s="126"/>
      <c r="D29" s="128"/>
      <c r="E29" s="126"/>
      <c r="F29" s="126"/>
    </row>
    <row r="30" spans="3:6">
      <c r="C30" s="126"/>
      <c r="D30" s="128"/>
      <c r="E30" s="126"/>
      <c r="F30" s="126"/>
    </row>
  </sheetData>
  <mergeCells count="1">
    <mergeCell ref="C3:F3"/>
  </mergeCells>
  <phoneticPr fontId="36" type="noConversion"/>
  <pageMargins left="0.7" right="0.7" top="0.75" bottom="0.75" header="0.3" footer="0.3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317B6D-1758-4636-AD5C-A5E30BE229F3}">
  <sheetPr codeName="Sheet37"/>
  <dimension ref="C1:O114"/>
  <sheetViews>
    <sheetView showGridLines="0" zoomScale="80" zoomScaleNormal="80" workbookViewId="0">
      <pane ySplit="7" topLeftCell="A79" activePane="bottomLeft" state="frozen"/>
      <selection activeCell="B1" sqref="B1"/>
      <selection pane="bottomLeft" activeCell="F102" sqref="F102"/>
    </sheetView>
  </sheetViews>
  <sheetFormatPr defaultColWidth="9.140625" defaultRowHeight="21.95" customHeight="1"/>
  <cols>
    <col min="1" max="1" width="6.28515625" style="133" customWidth="1"/>
    <col min="2" max="2" width="3.85546875" style="133" customWidth="1"/>
    <col min="3" max="3" width="9.140625" style="133" customWidth="1"/>
    <col min="4" max="4" width="16" style="337" customWidth="1"/>
    <col min="5" max="5" width="34.42578125" style="337" customWidth="1"/>
    <col min="6" max="6" width="21.7109375" style="337" customWidth="1"/>
    <col min="7" max="8" width="20.7109375" style="156" customWidth="1"/>
    <col min="9" max="9" width="11.5703125" style="126" customWidth="1"/>
    <col min="10" max="10" width="28" style="196" customWidth="1"/>
    <col min="11" max="11" width="23.42578125" style="129" customWidth="1"/>
    <col min="12" max="12" width="27.140625" style="68" customWidth="1"/>
    <col min="13" max="13" width="22.5703125" style="133" customWidth="1"/>
    <col min="14" max="14" width="14.42578125" style="133" customWidth="1"/>
    <col min="15" max="15" width="24.42578125" style="133" customWidth="1"/>
    <col min="16" max="16384" width="9.140625" style="133"/>
  </cols>
  <sheetData>
    <row r="1" spans="3:14" ht="12.75" hidden="1" customHeight="1">
      <c r="D1" s="133"/>
      <c r="G1" s="256"/>
      <c r="H1" s="256"/>
    </row>
    <row r="2" spans="3:14" ht="6" customHeight="1">
      <c r="D2" s="133"/>
      <c r="G2" s="256"/>
      <c r="H2" s="256"/>
    </row>
    <row r="3" spans="3:14" ht="6" customHeight="1">
      <c r="D3" s="133"/>
      <c r="G3" s="256"/>
      <c r="H3" s="256"/>
    </row>
    <row r="4" spans="3:14" ht="39" customHeight="1">
      <c r="C4" s="545" t="s">
        <v>2016</v>
      </c>
      <c r="D4" s="545"/>
      <c r="E4" s="545"/>
      <c r="F4" s="545"/>
      <c r="G4" s="545"/>
      <c r="H4" s="545"/>
      <c r="I4" s="503"/>
      <c r="J4" s="503"/>
      <c r="M4" s="215"/>
    </row>
    <row r="5" spans="3:14" ht="6" customHeight="1">
      <c r="D5" s="133"/>
      <c r="G5" s="256"/>
      <c r="H5" s="256"/>
    </row>
    <row r="6" spans="3:14" ht="25.5">
      <c r="C6" s="550" t="s">
        <v>47</v>
      </c>
      <c r="D6" s="550" t="s">
        <v>1560</v>
      </c>
      <c r="E6" s="550" t="s">
        <v>1529</v>
      </c>
      <c r="F6" s="550" t="s">
        <v>240</v>
      </c>
      <c r="G6" s="550" t="s">
        <v>1505</v>
      </c>
      <c r="H6" s="550" t="s">
        <v>75</v>
      </c>
      <c r="I6" s="550" t="s">
        <v>187</v>
      </c>
      <c r="J6" s="550" t="s">
        <v>2153</v>
      </c>
      <c r="K6" s="550" t="s">
        <v>1560</v>
      </c>
    </row>
    <row r="7" spans="3:14" ht="19.5" customHeight="1">
      <c r="C7" s="551" t="s">
        <v>10</v>
      </c>
      <c r="D7" s="551" t="s">
        <v>637</v>
      </c>
      <c r="E7" s="551" t="s">
        <v>12</v>
      </c>
      <c r="F7" s="551" t="s">
        <v>2620</v>
      </c>
      <c r="G7" s="551" t="s">
        <v>16</v>
      </c>
      <c r="H7" s="551" t="s">
        <v>78</v>
      </c>
      <c r="I7" s="551" t="s">
        <v>350</v>
      </c>
      <c r="J7" s="551" t="s">
        <v>2152</v>
      </c>
      <c r="K7" s="551" t="s">
        <v>637</v>
      </c>
      <c r="L7" s="68" t="s">
        <v>3010</v>
      </c>
    </row>
    <row r="8" spans="3:14" ht="25.5">
      <c r="C8" s="546">
        <v>1</v>
      </c>
      <c r="D8" s="547" t="str">
        <f t="shared" ref="D8:D71" si="0">MID(K8,4,100)</f>
        <v>ចំនួនរាប់</v>
      </c>
      <c r="E8" s="548" t="s">
        <v>134</v>
      </c>
      <c r="F8" s="549" t="s">
        <v>19</v>
      </c>
      <c r="G8" s="549" t="s">
        <v>19</v>
      </c>
      <c r="H8" s="548" t="s">
        <v>2628</v>
      </c>
      <c r="I8" s="546" t="s">
        <v>49</v>
      </c>
      <c r="J8" s="183" t="str">
        <f>IF(AND(C8&lt;&gt;"",G8&lt;&gt;""),TEXT(C8,"000")&amp;"."&amp;G8,"")</f>
        <v>001.Unit</v>
      </c>
      <c r="K8" s="188" t="s">
        <v>2118</v>
      </c>
    </row>
    <row r="9" spans="3:14" ht="25.5">
      <c r="C9" s="546">
        <v>2</v>
      </c>
      <c r="D9" s="547" t="str">
        <f t="shared" si="0"/>
        <v>ចំនួនរាប់</v>
      </c>
      <c r="E9" s="508" t="s">
        <v>2101</v>
      </c>
      <c r="F9" s="506" t="s">
        <v>2150</v>
      </c>
      <c r="G9" s="506" t="s">
        <v>2172</v>
      </c>
      <c r="H9" s="508" t="s">
        <v>2628</v>
      </c>
      <c r="I9" s="483" t="s">
        <v>49</v>
      </c>
      <c r="J9" s="183" t="str">
        <f t="shared" ref="J9:J72" si="1">IF(AND(C9&lt;&gt;"",G9&lt;&gt;""),TEXT(C9,"000")&amp;"."&amp;G9,"")</f>
        <v>002.pcs</v>
      </c>
      <c r="K9" s="188" t="s">
        <v>2118</v>
      </c>
    </row>
    <row r="10" spans="3:14" ht="25.5">
      <c r="C10" s="546">
        <v>3</v>
      </c>
      <c r="D10" s="547" t="str">
        <f t="shared" si="0"/>
        <v>ចំនួនរាប់</v>
      </c>
      <c r="E10" s="508" t="s">
        <v>2100</v>
      </c>
      <c r="F10" s="506" t="s">
        <v>2130</v>
      </c>
      <c r="G10" s="506" t="s">
        <v>2148</v>
      </c>
      <c r="H10" s="508" t="s">
        <v>2628</v>
      </c>
      <c r="I10" s="483" t="s">
        <v>49</v>
      </c>
      <c r="J10" s="183" t="str">
        <f t="shared" si="1"/>
        <v>003.Pack</v>
      </c>
      <c r="K10" s="188" t="s">
        <v>2118</v>
      </c>
      <c r="N10" s="294"/>
    </row>
    <row r="11" spans="3:14" ht="25.5">
      <c r="C11" s="546">
        <v>4</v>
      </c>
      <c r="D11" s="547" t="str">
        <f t="shared" si="0"/>
        <v>ចំនួនរាប់</v>
      </c>
      <c r="E11" s="508" t="s">
        <v>2119</v>
      </c>
      <c r="F11" s="506" t="s">
        <v>2607</v>
      </c>
      <c r="G11" s="506" t="s">
        <v>2131</v>
      </c>
      <c r="H11" s="508" t="s">
        <v>2629</v>
      </c>
      <c r="I11" s="483" t="s">
        <v>49</v>
      </c>
      <c r="J11" s="183" t="str">
        <f t="shared" si="1"/>
        <v>004.Case</v>
      </c>
      <c r="K11" s="188" t="s">
        <v>2118</v>
      </c>
      <c r="N11" s="294"/>
    </row>
    <row r="12" spans="3:14" ht="25.5">
      <c r="C12" s="546">
        <v>5</v>
      </c>
      <c r="D12" s="547" t="str">
        <f t="shared" si="0"/>
        <v>ចំនួនរាប់</v>
      </c>
      <c r="E12" s="508" t="s">
        <v>2104</v>
      </c>
      <c r="F12" s="510" t="s">
        <v>1804</v>
      </c>
      <c r="G12" s="506" t="s">
        <v>1804</v>
      </c>
      <c r="H12" s="508" t="s">
        <v>2628</v>
      </c>
      <c r="I12" s="483" t="s">
        <v>49</v>
      </c>
      <c r="J12" s="183" t="str">
        <f t="shared" si="1"/>
        <v>005.Box</v>
      </c>
      <c r="K12" s="188" t="s">
        <v>2118</v>
      </c>
    </row>
    <row r="13" spans="3:14" ht="25.5">
      <c r="C13" s="546">
        <v>6</v>
      </c>
      <c r="D13" s="547" t="str">
        <f t="shared" si="0"/>
        <v>ចំនួនរាប់</v>
      </c>
      <c r="E13" s="508" t="s">
        <v>2146</v>
      </c>
      <c r="F13" s="510" t="s">
        <v>2151</v>
      </c>
      <c r="G13" s="506" t="s">
        <v>2147</v>
      </c>
      <c r="H13" s="508" t="s">
        <v>2628</v>
      </c>
      <c r="I13" s="483" t="s">
        <v>49</v>
      </c>
      <c r="J13" s="183" t="str">
        <f t="shared" si="1"/>
        <v>006.Ctn</v>
      </c>
      <c r="K13" s="188" t="s">
        <v>2118</v>
      </c>
    </row>
    <row r="14" spans="3:14" ht="25.5">
      <c r="C14" s="546">
        <v>7</v>
      </c>
      <c r="D14" s="547" t="str">
        <f t="shared" si="0"/>
        <v>ចំនួនរាប់</v>
      </c>
      <c r="E14" s="508" t="s">
        <v>2604</v>
      </c>
      <c r="F14" s="510" t="s">
        <v>2133</v>
      </c>
      <c r="G14" s="506" t="s">
        <v>2133</v>
      </c>
      <c r="H14" s="508" t="s">
        <v>2628</v>
      </c>
      <c r="I14" s="483">
        <v>1</v>
      </c>
      <c r="J14" s="183" t="str">
        <f t="shared" si="1"/>
        <v>007.Lots</v>
      </c>
      <c r="K14" s="188" t="s">
        <v>2118</v>
      </c>
    </row>
    <row r="15" spans="3:14" ht="25.5">
      <c r="C15" s="546">
        <v>8</v>
      </c>
      <c r="D15" s="547" t="str">
        <f t="shared" si="0"/>
        <v>ចំនួនរាប់</v>
      </c>
      <c r="E15" s="508" t="s">
        <v>2129</v>
      </c>
      <c r="F15" s="510" t="s">
        <v>2132</v>
      </c>
      <c r="G15" s="506" t="s">
        <v>2132</v>
      </c>
      <c r="H15" s="508" t="s">
        <v>2628</v>
      </c>
      <c r="I15" s="483" t="s">
        <v>49</v>
      </c>
      <c r="J15" s="183" t="str">
        <f t="shared" si="1"/>
        <v>008.Pair</v>
      </c>
      <c r="K15" s="188" t="s">
        <v>2118</v>
      </c>
      <c r="N15" s="294"/>
    </row>
    <row r="16" spans="3:14" ht="25.5">
      <c r="C16" s="546">
        <v>9</v>
      </c>
      <c r="D16" s="547" t="str">
        <f t="shared" si="0"/>
        <v>ចំនួនរាប់</v>
      </c>
      <c r="E16" s="508" t="s">
        <v>2619</v>
      </c>
      <c r="F16" s="510" t="s">
        <v>2145</v>
      </c>
      <c r="G16" s="506" t="s">
        <v>2145</v>
      </c>
      <c r="H16" s="508" t="s">
        <v>2628</v>
      </c>
      <c r="I16" s="483" t="s">
        <v>49</v>
      </c>
      <c r="J16" s="183" t="str">
        <f t="shared" si="1"/>
        <v>009.Can</v>
      </c>
      <c r="K16" s="188" t="s">
        <v>2118</v>
      </c>
    </row>
    <row r="17" spans="3:15" ht="25.5">
      <c r="C17" s="546">
        <v>10</v>
      </c>
      <c r="D17" s="547" t="str">
        <f t="shared" si="0"/>
        <v>ចំនួនរាប់</v>
      </c>
      <c r="E17" s="508" t="s">
        <v>2143</v>
      </c>
      <c r="F17" s="510" t="s">
        <v>2149</v>
      </c>
      <c r="G17" s="506" t="s">
        <v>2144</v>
      </c>
      <c r="H17" s="508" t="s">
        <v>2628</v>
      </c>
      <c r="I17" s="483" t="s">
        <v>49</v>
      </c>
      <c r="J17" s="183" t="str">
        <f t="shared" si="1"/>
        <v>010.Btl</v>
      </c>
      <c r="K17" s="188" t="s">
        <v>2118</v>
      </c>
    </row>
    <row r="18" spans="3:15" ht="25.5">
      <c r="C18" s="546">
        <v>11</v>
      </c>
      <c r="D18" s="547" t="str">
        <f t="shared" si="0"/>
        <v>ទម្ងន់</v>
      </c>
      <c r="E18" s="508" t="s">
        <v>2159</v>
      </c>
      <c r="F18" s="510" t="s">
        <v>2676</v>
      </c>
      <c r="G18" s="506" t="s">
        <v>2160</v>
      </c>
      <c r="H18" s="508" t="s">
        <v>2624</v>
      </c>
      <c r="I18" s="483" t="s">
        <v>49</v>
      </c>
      <c r="J18" s="183" t="str">
        <f t="shared" si="1"/>
        <v>011.g</v>
      </c>
      <c r="K18" s="188" t="s">
        <v>2121</v>
      </c>
    </row>
    <row r="19" spans="3:15" ht="25.5">
      <c r="C19" s="546">
        <v>12</v>
      </c>
      <c r="D19" s="547" t="str">
        <f t="shared" si="0"/>
        <v>ទម្ងន់</v>
      </c>
      <c r="E19" s="508" t="s">
        <v>2163</v>
      </c>
      <c r="F19" s="510" t="s">
        <v>2677</v>
      </c>
      <c r="G19" s="506" t="s">
        <v>2685</v>
      </c>
      <c r="H19" s="508" t="s">
        <v>2624</v>
      </c>
      <c r="I19" s="483" t="s">
        <v>49</v>
      </c>
      <c r="J19" s="183" t="str">
        <f t="shared" si="1"/>
        <v>012.kg</v>
      </c>
      <c r="K19" s="188" t="s">
        <v>2121</v>
      </c>
    </row>
    <row r="20" spans="3:15" ht="25.5">
      <c r="C20" s="546">
        <v>13</v>
      </c>
      <c r="D20" s="547" t="str">
        <f t="shared" si="0"/>
        <v>ទម្ងន់</v>
      </c>
      <c r="E20" s="508" t="s">
        <v>2670</v>
      </c>
      <c r="F20" s="510" t="s">
        <v>2671</v>
      </c>
      <c r="G20" s="506" t="s">
        <v>2686</v>
      </c>
      <c r="H20" s="508" t="s">
        <v>2629</v>
      </c>
      <c r="I20" s="483" t="s">
        <v>49</v>
      </c>
      <c r="J20" s="183" t="str">
        <f t="shared" si="1"/>
        <v>013.ton</v>
      </c>
      <c r="K20" s="188" t="s">
        <v>2121</v>
      </c>
    </row>
    <row r="21" spans="3:15" ht="25.5">
      <c r="C21" s="546">
        <v>14</v>
      </c>
      <c r="D21" s="547" t="str">
        <f t="shared" si="0"/>
        <v>ប្រវែង</v>
      </c>
      <c r="E21" s="508" t="s">
        <v>2673</v>
      </c>
      <c r="F21" s="510" t="s">
        <v>2672</v>
      </c>
      <c r="G21" s="506" t="s">
        <v>2687</v>
      </c>
      <c r="H21" s="508" t="s">
        <v>2688</v>
      </c>
      <c r="I21" s="483" t="s">
        <v>49</v>
      </c>
      <c r="J21" s="183" t="str">
        <f t="shared" si="1"/>
        <v>014.lee</v>
      </c>
      <c r="K21" s="188" t="s">
        <v>2122</v>
      </c>
    </row>
    <row r="22" spans="3:15" ht="25.5">
      <c r="C22" s="546">
        <v>15</v>
      </c>
      <c r="D22" s="547" t="str">
        <f t="shared" si="0"/>
        <v>ប្រវែង</v>
      </c>
      <c r="E22" s="508" t="s">
        <v>2674</v>
      </c>
      <c r="F22" s="510" t="s">
        <v>2675</v>
      </c>
      <c r="G22" s="506" t="s">
        <v>4186</v>
      </c>
      <c r="H22" s="508" t="s">
        <v>2688</v>
      </c>
      <c r="I22" s="483" t="s">
        <v>49</v>
      </c>
      <c r="J22" s="183" t="str">
        <f t="shared" si="1"/>
        <v>015.H</v>
      </c>
      <c r="K22" s="188" t="s">
        <v>2122</v>
      </c>
    </row>
    <row r="23" spans="3:15" ht="25.5">
      <c r="C23" s="546">
        <v>16</v>
      </c>
      <c r="D23" s="547" t="str">
        <f t="shared" si="0"/>
        <v>ប្រវែង</v>
      </c>
      <c r="E23" s="508" t="s">
        <v>2102</v>
      </c>
      <c r="F23" s="510" t="s">
        <v>2678</v>
      </c>
      <c r="G23" s="506" t="s">
        <v>2134</v>
      </c>
      <c r="H23" s="508" t="s">
        <v>2624</v>
      </c>
      <c r="I23" s="483" t="s">
        <v>49</v>
      </c>
      <c r="J23" s="183" t="str">
        <f t="shared" si="1"/>
        <v>016.m</v>
      </c>
      <c r="K23" s="188" t="s">
        <v>2122</v>
      </c>
    </row>
    <row r="24" spans="3:15" ht="25.5">
      <c r="C24" s="546">
        <v>17</v>
      </c>
      <c r="D24" s="547" t="str">
        <f t="shared" si="0"/>
        <v>ប្រវែង</v>
      </c>
      <c r="E24" s="508" t="s">
        <v>2626</v>
      </c>
      <c r="F24" s="510" t="s">
        <v>2679</v>
      </c>
      <c r="G24" s="506" t="s">
        <v>1805</v>
      </c>
      <c r="H24" s="508" t="s">
        <v>2624</v>
      </c>
      <c r="I24" s="483" t="s">
        <v>49</v>
      </c>
      <c r="J24" s="183" t="str">
        <f t="shared" si="1"/>
        <v>017.mm</v>
      </c>
      <c r="K24" s="188" t="s">
        <v>2122</v>
      </c>
      <c r="N24" s="294"/>
    </row>
    <row r="25" spans="3:15" ht="25.5">
      <c r="C25" s="546">
        <v>18</v>
      </c>
      <c r="D25" s="547" t="str">
        <f t="shared" si="0"/>
        <v>ប្រវែង</v>
      </c>
      <c r="E25" s="508" t="s">
        <v>2627</v>
      </c>
      <c r="F25" s="510" t="s">
        <v>2680</v>
      </c>
      <c r="G25" s="506" t="s">
        <v>2135</v>
      </c>
      <c r="H25" s="508" t="s">
        <v>2624</v>
      </c>
      <c r="I25" s="483" t="s">
        <v>49</v>
      </c>
      <c r="J25" s="183" t="str">
        <f t="shared" si="1"/>
        <v>018.cm</v>
      </c>
      <c r="K25" s="188" t="s">
        <v>2122</v>
      </c>
      <c r="N25" s="294"/>
    </row>
    <row r="26" spans="3:15" ht="25.5">
      <c r="C26" s="546">
        <v>19</v>
      </c>
      <c r="D26" s="547" t="str">
        <f t="shared" si="0"/>
        <v>ផ្ទៃក្រឡា</v>
      </c>
      <c r="E26" s="508" t="s">
        <v>2120</v>
      </c>
      <c r="F26" s="510" t="s">
        <v>2681</v>
      </c>
      <c r="G26" s="510" t="s">
        <v>2630</v>
      </c>
      <c r="H26" s="508" t="s">
        <v>2624</v>
      </c>
      <c r="I26" s="483" t="s">
        <v>49</v>
      </c>
      <c r="J26" s="183" t="str">
        <f t="shared" si="1"/>
        <v>019.m2</v>
      </c>
      <c r="K26" s="188" t="s">
        <v>2716</v>
      </c>
    </row>
    <row r="27" spans="3:15" ht="25.5">
      <c r="C27" s="546">
        <v>20</v>
      </c>
      <c r="D27" s="547" t="str">
        <f t="shared" si="0"/>
        <v>មាឌ</v>
      </c>
      <c r="E27" s="508" t="s">
        <v>2683</v>
      </c>
      <c r="F27" s="510" t="s">
        <v>2682</v>
      </c>
      <c r="G27" s="510" t="s">
        <v>2631</v>
      </c>
      <c r="H27" s="508" t="s">
        <v>2624</v>
      </c>
      <c r="I27" s="483" t="s">
        <v>49</v>
      </c>
      <c r="J27" s="183" t="str">
        <f t="shared" si="1"/>
        <v>020.m3</v>
      </c>
      <c r="K27" s="188" t="s">
        <v>2124</v>
      </c>
    </row>
    <row r="28" spans="3:15" ht="25.5">
      <c r="C28" s="546">
        <v>21</v>
      </c>
      <c r="D28" s="547" t="str">
        <f t="shared" si="0"/>
        <v>មាឌ</v>
      </c>
      <c r="E28" s="508" t="s">
        <v>2103</v>
      </c>
      <c r="F28" s="510" t="s">
        <v>2684</v>
      </c>
      <c r="G28" s="510" t="s">
        <v>2136</v>
      </c>
      <c r="H28" s="508" t="s">
        <v>2624</v>
      </c>
      <c r="I28" s="483" t="s">
        <v>49</v>
      </c>
      <c r="J28" s="183" t="str">
        <f t="shared" si="1"/>
        <v>021.L</v>
      </c>
      <c r="K28" s="188" t="s">
        <v>2124</v>
      </c>
    </row>
    <row r="29" spans="3:15" ht="25.5">
      <c r="C29" s="546">
        <v>22</v>
      </c>
      <c r="D29" s="547" t="str">
        <f t="shared" si="0"/>
        <v>ចំនួនរាប់</v>
      </c>
      <c r="E29" s="508" t="s">
        <v>2608</v>
      </c>
      <c r="F29" s="510" t="s">
        <v>2622</v>
      </c>
      <c r="G29" s="506" t="s">
        <v>2609</v>
      </c>
      <c r="H29" s="508" t="s">
        <v>2625</v>
      </c>
      <c r="I29" s="483" t="s">
        <v>49</v>
      </c>
      <c r="J29" s="183" t="str">
        <f t="shared" si="1"/>
        <v>022.Be</v>
      </c>
      <c r="K29" s="188" t="s">
        <v>2118</v>
      </c>
    </row>
    <row r="30" spans="3:15" ht="25.5">
      <c r="C30" s="546">
        <v>23</v>
      </c>
      <c r="D30" s="547" t="str">
        <f t="shared" si="0"/>
        <v>មាឌ</v>
      </c>
      <c r="E30" s="508" t="s">
        <v>2621</v>
      </c>
      <c r="F30" s="510" t="s">
        <v>2155</v>
      </c>
      <c r="G30" s="510" t="s">
        <v>2162</v>
      </c>
      <c r="H30" s="509" t="s">
        <v>2625</v>
      </c>
      <c r="I30" s="483" t="s">
        <v>49</v>
      </c>
      <c r="J30" s="183" t="str">
        <f t="shared" si="1"/>
        <v>023.bbl</v>
      </c>
      <c r="K30" s="188" t="s">
        <v>2124</v>
      </c>
    </row>
    <row r="31" spans="3:15" ht="25.5">
      <c r="C31" s="546">
        <v>24</v>
      </c>
      <c r="D31" s="547" t="str">
        <f t="shared" si="0"/>
        <v>ចំនួនរាប់</v>
      </c>
      <c r="E31" s="508" t="s">
        <v>2623</v>
      </c>
      <c r="F31" s="510" t="s">
        <v>2154</v>
      </c>
      <c r="G31" s="510" t="s">
        <v>2154</v>
      </c>
      <c r="H31" s="509" t="s">
        <v>2625</v>
      </c>
      <c r="I31" s="483" t="s">
        <v>49</v>
      </c>
      <c r="J31" s="183" t="str">
        <f t="shared" si="1"/>
        <v>024.Bidon</v>
      </c>
      <c r="K31" s="188" t="s">
        <v>2118</v>
      </c>
      <c r="N31" s="294"/>
    </row>
    <row r="32" spans="3:15" s="140" customFormat="1" ht="25.5">
      <c r="C32" s="546">
        <v>25</v>
      </c>
      <c r="D32" s="547" t="str">
        <f t="shared" si="0"/>
        <v>ចំនួនរាប់</v>
      </c>
      <c r="E32" s="505" t="s">
        <v>2126</v>
      </c>
      <c r="F32" s="507" t="s">
        <v>2138</v>
      </c>
      <c r="G32" s="507" t="s">
        <v>2165</v>
      </c>
      <c r="H32" s="509" t="s">
        <v>2628</v>
      </c>
      <c r="I32" s="483" t="s">
        <v>49</v>
      </c>
      <c r="J32" s="183" t="str">
        <f t="shared" si="1"/>
        <v>025.Box/6pcs</v>
      </c>
      <c r="K32" s="188" t="s">
        <v>2118</v>
      </c>
      <c r="L32" s="130"/>
      <c r="O32" s="133"/>
    </row>
    <row r="33" spans="3:15" s="140" customFormat="1" ht="25.5">
      <c r="C33" s="546">
        <v>26</v>
      </c>
      <c r="D33" s="547" t="str">
        <f t="shared" si="0"/>
        <v>ចំនួនរាប់</v>
      </c>
      <c r="E33" s="505" t="s">
        <v>2125</v>
      </c>
      <c r="F33" s="507" t="s">
        <v>2137</v>
      </c>
      <c r="G33" s="507" t="s">
        <v>2164</v>
      </c>
      <c r="H33" s="509" t="s">
        <v>2628</v>
      </c>
      <c r="I33" s="483" t="s">
        <v>49</v>
      </c>
      <c r="J33" s="183" t="str">
        <f t="shared" si="1"/>
        <v>026.Box/12pcs</v>
      </c>
      <c r="K33" s="188" t="s">
        <v>2118</v>
      </c>
      <c r="L33" s="130"/>
      <c r="O33" s="133"/>
    </row>
    <row r="34" spans="3:15" s="140" customFormat="1" ht="25.5">
      <c r="C34" s="546">
        <v>27</v>
      </c>
      <c r="D34" s="547" t="str">
        <f t="shared" si="0"/>
        <v>ចំនួនរាប់</v>
      </c>
      <c r="E34" s="505" t="s">
        <v>2717</v>
      </c>
      <c r="F34" s="506" t="s">
        <v>2689</v>
      </c>
      <c r="G34" s="507" t="s">
        <v>2702</v>
      </c>
      <c r="H34" s="508" t="s">
        <v>2628</v>
      </c>
      <c r="I34" s="483" t="s">
        <v>49</v>
      </c>
      <c r="J34" s="183" t="str">
        <f t="shared" si="1"/>
        <v>027.Can/17l</v>
      </c>
      <c r="K34" s="188" t="s">
        <v>2118</v>
      </c>
      <c r="L34" s="130"/>
      <c r="O34" s="133"/>
    </row>
    <row r="35" spans="3:15" s="140" customFormat="1" ht="25.5">
      <c r="C35" s="546">
        <v>28</v>
      </c>
      <c r="D35" s="547" t="str">
        <f t="shared" si="0"/>
        <v>ចំនួនរាប់</v>
      </c>
      <c r="E35" s="505" t="s">
        <v>2718</v>
      </c>
      <c r="F35" s="506" t="s">
        <v>2690</v>
      </c>
      <c r="G35" s="507" t="s">
        <v>2703</v>
      </c>
      <c r="H35" s="508" t="s">
        <v>2628</v>
      </c>
      <c r="I35" s="483" t="s">
        <v>49</v>
      </c>
      <c r="J35" s="183" t="str">
        <f t="shared" si="1"/>
        <v>028.Can/18l</v>
      </c>
      <c r="K35" s="188" t="s">
        <v>2118</v>
      </c>
      <c r="L35" s="130"/>
      <c r="O35" s="133"/>
    </row>
    <row r="36" spans="3:15" s="140" customFormat="1" ht="25.5">
      <c r="C36" s="546">
        <v>29</v>
      </c>
      <c r="D36" s="547" t="str">
        <f t="shared" si="0"/>
        <v>ចំនួនរាប់</v>
      </c>
      <c r="E36" s="505" t="s">
        <v>2127</v>
      </c>
      <c r="F36" s="506" t="s">
        <v>2140</v>
      </c>
      <c r="G36" s="507" t="s">
        <v>2167</v>
      </c>
      <c r="H36" s="508" t="s">
        <v>2629</v>
      </c>
      <c r="I36" s="483" t="s">
        <v>49</v>
      </c>
      <c r="J36" s="183" t="str">
        <f t="shared" si="1"/>
        <v>029.Case/4pcs</v>
      </c>
      <c r="K36" s="188" t="s">
        <v>2118</v>
      </c>
      <c r="L36" s="130"/>
      <c r="O36" s="294"/>
    </row>
    <row r="37" spans="3:15" s="140" customFormat="1" ht="25.5">
      <c r="C37" s="546">
        <v>30</v>
      </c>
      <c r="D37" s="547" t="str">
        <f t="shared" si="0"/>
        <v>ចំនួនរាប់</v>
      </c>
      <c r="E37" s="505" t="s">
        <v>2128</v>
      </c>
      <c r="F37" s="506" t="s">
        <v>2141</v>
      </c>
      <c r="G37" s="507" t="s">
        <v>2168</v>
      </c>
      <c r="H37" s="508" t="s">
        <v>2629</v>
      </c>
      <c r="I37" s="483" t="s">
        <v>49</v>
      </c>
      <c r="J37" s="183" t="str">
        <f t="shared" si="1"/>
        <v>030.Case/12pcs</v>
      </c>
      <c r="K37" s="188" t="s">
        <v>2118</v>
      </c>
      <c r="L37" s="130"/>
      <c r="O37" s="294"/>
    </row>
    <row r="38" spans="3:15" s="140" customFormat="1" ht="25.5">
      <c r="C38" s="546">
        <v>31</v>
      </c>
      <c r="D38" s="547" t="str">
        <f t="shared" si="0"/>
        <v>ចំនួនរាប់</v>
      </c>
      <c r="E38" s="505" t="s">
        <v>2722</v>
      </c>
      <c r="F38" s="506" t="s">
        <v>2694</v>
      </c>
      <c r="G38" s="507" t="s">
        <v>2704</v>
      </c>
      <c r="H38" s="508" t="s">
        <v>2629</v>
      </c>
      <c r="I38" s="483" t="s">
        <v>49</v>
      </c>
      <c r="J38" s="183" t="str">
        <f t="shared" si="1"/>
        <v>031.Case/20pcs</v>
      </c>
      <c r="K38" s="188" t="s">
        <v>2118</v>
      </c>
      <c r="L38" s="130"/>
      <c r="O38" s="294"/>
    </row>
    <row r="39" spans="3:15" s="140" customFormat="1" ht="25.5">
      <c r="C39" s="546">
        <v>32</v>
      </c>
      <c r="D39" s="547" t="str">
        <f t="shared" si="0"/>
        <v>ចំនួនរាប់</v>
      </c>
      <c r="E39" s="505" t="s">
        <v>2596</v>
      </c>
      <c r="F39" s="506" t="s">
        <v>2582</v>
      </c>
      <c r="G39" s="507" t="s">
        <v>2590</v>
      </c>
      <c r="H39" s="508" t="s">
        <v>2629</v>
      </c>
      <c r="I39" s="483" t="s">
        <v>49</v>
      </c>
      <c r="J39" s="183" t="str">
        <f t="shared" si="1"/>
        <v>032.Case/24pcs</v>
      </c>
      <c r="K39" s="188" t="s">
        <v>2118</v>
      </c>
      <c r="L39" s="130"/>
    </row>
    <row r="40" spans="3:15" s="140" customFormat="1" ht="25.5">
      <c r="C40" s="546">
        <v>33</v>
      </c>
      <c r="D40" s="547" t="str">
        <f t="shared" si="0"/>
        <v>ចំនួនរាប់</v>
      </c>
      <c r="E40" s="505" t="s">
        <v>2597</v>
      </c>
      <c r="F40" s="506" t="s">
        <v>2583</v>
      </c>
      <c r="G40" s="507" t="s">
        <v>2591</v>
      </c>
      <c r="H40" s="508" t="s">
        <v>2629</v>
      </c>
      <c r="I40" s="483" t="s">
        <v>49</v>
      </c>
      <c r="J40" s="183" t="str">
        <f t="shared" si="1"/>
        <v>033.Case/25pcs</v>
      </c>
      <c r="K40" s="188" t="s">
        <v>2118</v>
      </c>
      <c r="L40" s="130"/>
    </row>
    <row r="41" spans="3:15" s="140" customFormat="1" ht="25.5">
      <c r="C41" s="546">
        <v>34</v>
      </c>
      <c r="D41" s="547" t="str">
        <f t="shared" si="0"/>
        <v>ចំនួនរាប់</v>
      </c>
      <c r="E41" s="505" t="s">
        <v>2723</v>
      </c>
      <c r="F41" s="506" t="s">
        <v>2700</v>
      </c>
      <c r="G41" s="507" t="s">
        <v>2705</v>
      </c>
      <c r="H41" s="508" t="s">
        <v>2629</v>
      </c>
      <c r="I41" s="483" t="s">
        <v>49</v>
      </c>
      <c r="J41" s="183" t="str">
        <f t="shared" si="1"/>
        <v>034.Case/50pcs</v>
      </c>
      <c r="K41" s="188" t="s">
        <v>2118</v>
      </c>
      <c r="L41" s="130"/>
    </row>
    <row r="42" spans="3:15" s="140" customFormat="1" ht="25.5">
      <c r="C42" s="546">
        <v>35</v>
      </c>
      <c r="D42" s="547" t="str">
        <f t="shared" si="0"/>
        <v>ចំនួនរាប់</v>
      </c>
      <c r="E42" s="505" t="s">
        <v>2594</v>
      </c>
      <c r="F42" s="506" t="s">
        <v>2584</v>
      </c>
      <c r="G42" s="507" t="s">
        <v>2588</v>
      </c>
      <c r="H42" s="508" t="s">
        <v>2629</v>
      </c>
      <c r="I42" s="483" t="s">
        <v>49</v>
      </c>
      <c r="J42" s="183" t="str">
        <f t="shared" si="1"/>
        <v>035.Case/100pcs</v>
      </c>
      <c r="K42" s="188" t="s">
        <v>2118</v>
      </c>
      <c r="L42" s="130"/>
    </row>
    <row r="43" spans="3:15" s="140" customFormat="1" ht="25.5">
      <c r="C43" s="546">
        <v>36</v>
      </c>
      <c r="D43" s="547" t="str">
        <f t="shared" si="0"/>
        <v>ចំនួនរាប់</v>
      </c>
      <c r="E43" s="505" t="s">
        <v>2724</v>
      </c>
      <c r="F43" s="506" t="s">
        <v>2692</v>
      </c>
      <c r="G43" s="507" t="s">
        <v>2706</v>
      </c>
      <c r="H43" s="508" t="s">
        <v>2629</v>
      </c>
      <c r="I43" s="483" t="s">
        <v>49</v>
      </c>
      <c r="J43" s="183" t="str">
        <f t="shared" si="1"/>
        <v>036.Case/150pcs</v>
      </c>
      <c r="K43" s="188" t="s">
        <v>2118</v>
      </c>
      <c r="L43" s="130"/>
    </row>
    <row r="44" spans="3:15" s="140" customFormat="1" ht="25.5">
      <c r="C44" s="546">
        <v>37</v>
      </c>
      <c r="D44" s="547" t="str">
        <f t="shared" si="0"/>
        <v>ចំនួនរាប់</v>
      </c>
      <c r="E44" s="505" t="s">
        <v>2725</v>
      </c>
      <c r="F44" s="506" t="s">
        <v>2693</v>
      </c>
      <c r="G44" s="507" t="s">
        <v>2707</v>
      </c>
      <c r="H44" s="508" t="s">
        <v>2629</v>
      </c>
      <c r="I44" s="483" t="s">
        <v>49</v>
      </c>
      <c r="J44" s="183" t="str">
        <f t="shared" si="1"/>
        <v>037.Case/180pcs</v>
      </c>
      <c r="K44" s="188" t="s">
        <v>2118</v>
      </c>
      <c r="L44" s="130"/>
    </row>
    <row r="45" spans="3:15" s="140" customFormat="1" ht="25.5">
      <c r="C45" s="546">
        <v>38</v>
      </c>
      <c r="D45" s="547" t="str">
        <f t="shared" si="0"/>
        <v>ចំនួនរាប់</v>
      </c>
      <c r="E45" s="505" t="s">
        <v>2726</v>
      </c>
      <c r="F45" s="506" t="s">
        <v>2695</v>
      </c>
      <c r="G45" s="507" t="s">
        <v>2708</v>
      </c>
      <c r="H45" s="508" t="s">
        <v>2629</v>
      </c>
      <c r="I45" s="483" t="s">
        <v>49</v>
      </c>
      <c r="J45" s="183" t="str">
        <f t="shared" si="1"/>
        <v>038.Case/216pcs</v>
      </c>
      <c r="K45" s="188" t="s">
        <v>2118</v>
      </c>
      <c r="L45" s="130"/>
    </row>
    <row r="46" spans="3:15" s="140" customFormat="1" ht="25.5">
      <c r="C46" s="546">
        <v>39</v>
      </c>
      <c r="D46" s="547" t="str">
        <f t="shared" si="0"/>
        <v>ចំនួនរាប់</v>
      </c>
      <c r="E46" s="505" t="s">
        <v>2727</v>
      </c>
      <c r="F46" s="506" t="s">
        <v>2696</v>
      </c>
      <c r="G46" s="507" t="s">
        <v>2709</v>
      </c>
      <c r="H46" s="508" t="s">
        <v>2629</v>
      </c>
      <c r="I46" s="483" t="s">
        <v>49</v>
      </c>
      <c r="J46" s="183" t="str">
        <f t="shared" si="1"/>
        <v>039.Case/270pcs</v>
      </c>
      <c r="K46" s="188" t="s">
        <v>2118</v>
      </c>
      <c r="L46" s="130"/>
    </row>
    <row r="47" spans="3:15" s="140" customFormat="1" ht="25.5">
      <c r="C47" s="546">
        <v>40</v>
      </c>
      <c r="D47" s="547" t="str">
        <f t="shared" si="0"/>
        <v>ចំនួនរាប់</v>
      </c>
      <c r="E47" s="505" t="s">
        <v>2728</v>
      </c>
      <c r="F47" s="506" t="s">
        <v>2697</v>
      </c>
      <c r="G47" s="507" t="s">
        <v>2710</v>
      </c>
      <c r="H47" s="508" t="s">
        <v>2629</v>
      </c>
      <c r="I47" s="483" t="s">
        <v>49</v>
      </c>
      <c r="J47" s="183" t="str">
        <f t="shared" si="1"/>
        <v>040.Case/288pcs</v>
      </c>
      <c r="K47" s="188" t="s">
        <v>2118</v>
      </c>
      <c r="L47" s="130"/>
    </row>
    <row r="48" spans="3:15" s="140" customFormat="1" ht="25.5">
      <c r="C48" s="546">
        <v>41</v>
      </c>
      <c r="D48" s="547" t="str">
        <f t="shared" si="0"/>
        <v>ចំនួនរាប់</v>
      </c>
      <c r="E48" s="505" t="s">
        <v>2729</v>
      </c>
      <c r="F48" s="506" t="s">
        <v>2698</v>
      </c>
      <c r="G48" s="507" t="s">
        <v>2711</v>
      </c>
      <c r="H48" s="508" t="s">
        <v>2629</v>
      </c>
      <c r="I48" s="483" t="s">
        <v>49</v>
      </c>
      <c r="J48" s="183" t="str">
        <f t="shared" si="1"/>
        <v>041.Case/378pcs</v>
      </c>
      <c r="K48" s="188" t="s">
        <v>2118</v>
      </c>
      <c r="L48" s="130"/>
    </row>
    <row r="49" spans="3:12" s="140" customFormat="1" ht="25.5">
      <c r="C49" s="546">
        <v>42</v>
      </c>
      <c r="D49" s="547" t="str">
        <f t="shared" si="0"/>
        <v>ចំនួនរាប់</v>
      </c>
      <c r="E49" s="505" t="s">
        <v>2730</v>
      </c>
      <c r="F49" s="506" t="s">
        <v>2699</v>
      </c>
      <c r="G49" s="507" t="s">
        <v>2712</v>
      </c>
      <c r="H49" s="508" t="s">
        <v>2629</v>
      </c>
      <c r="I49" s="483" t="s">
        <v>49</v>
      </c>
      <c r="J49" s="183" t="str">
        <f t="shared" si="1"/>
        <v>042.Case/4can</v>
      </c>
      <c r="K49" s="188" t="s">
        <v>2118</v>
      </c>
      <c r="L49" s="130"/>
    </row>
    <row r="50" spans="3:12" s="140" customFormat="1" ht="25.5">
      <c r="C50" s="546">
        <v>43</v>
      </c>
      <c r="D50" s="547" t="str">
        <f t="shared" si="0"/>
        <v>ចំនួនរាប់</v>
      </c>
      <c r="E50" s="505" t="s">
        <v>2731</v>
      </c>
      <c r="F50" s="506" t="s">
        <v>2691</v>
      </c>
      <c r="G50" s="507" t="s">
        <v>2713</v>
      </c>
      <c r="H50" s="508" t="s">
        <v>2629</v>
      </c>
      <c r="I50" s="483" t="s">
        <v>49</v>
      </c>
      <c r="J50" s="183" t="str">
        <f t="shared" si="1"/>
        <v>043.Case/12can</v>
      </c>
      <c r="K50" s="188" t="s">
        <v>2118</v>
      </c>
      <c r="L50" s="130"/>
    </row>
    <row r="51" spans="3:12" s="140" customFormat="1" ht="25.5">
      <c r="C51" s="546">
        <v>44</v>
      </c>
      <c r="D51" s="547" t="str">
        <f t="shared" si="0"/>
        <v>ចំនួនរាប់</v>
      </c>
      <c r="E51" s="505" t="s">
        <v>2595</v>
      </c>
      <c r="F51" s="506" t="s">
        <v>2585</v>
      </c>
      <c r="G51" s="507" t="s">
        <v>2589</v>
      </c>
      <c r="H51" s="508" t="s">
        <v>2629</v>
      </c>
      <c r="I51" s="483" t="s">
        <v>49</v>
      </c>
      <c r="J51" s="183" t="str">
        <f t="shared" si="1"/>
        <v>044.Case/24Pack</v>
      </c>
      <c r="K51" s="188" t="s">
        <v>2118</v>
      </c>
      <c r="L51" s="130"/>
    </row>
    <row r="52" spans="3:12" s="140" customFormat="1" ht="25.5">
      <c r="C52" s="546">
        <v>45</v>
      </c>
      <c r="D52" s="547" t="str">
        <f t="shared" si="0"/>
        <v>ចំនួនរាប់</v>
      </c>
      <c r="E52" s="505" t="s">
        <v>2598</v>
      </c>
      <c r="F52" s="507" t="s">
        <v>2586</v>
      </c>
      <c r="G52" s="507" t="s">
        <v>2161</v>
      </c>
      <c r="H52" s="508" t="s">
        <v>2628</v>
      </c>
      <c r="I52" s="483" t="s">
        <v>49</v>
      </c>
      <c r="J52" s="183" t="str">
        <f t="shared" si="1"/>
        <v>045.Coil/50m</v>
      </c>
      <c r="K52" s="188" t="s">
        <v>2118</v>
      </c>
      <c r="L52" s="130"/>
    </row>
    <row r="53" spans="3:12" s="140" customFormat="1" ht="25.5">
      <c r="C53" s="546">
        <v>46</v>
      </c>
      <c r="D53" s="547" t="str">
        <f t="shared" si="0"/>
        <v>ចំនួនរាប់</v>
      </c>
      <c r="E53" s="509" t="s">
        <v>2719</v>
      </c>
      <c r="F53" s="507" t="s">
        <v>2600</v>
      </c>
      <c r="G53" s="507" t="s">
        <v>2714</v>
      </c>
      <c r="H53" s="508" t="s">
        <v>2628</v>
      </c>
      <c r="I53" s="483" t="s">
        <v>49</v>
      </c>
      <c r="J53" s="183" t="str">
        <f t="shared" si="1"/>
        <v>046.Ctn/4.5Kg</v>
      </c>
      <c r="K53" s="188" t="s">
        <v>2118</v>
      </c>
      <c r="L53" s="130"/>
    </row>
    <row r="54" spans="3:12" s="140" customFormat="1" ht="25.5">
      <c r="C54" s="546">
        <v>47</v>
      </c>
      <c r="D54" s="547" t="str">
        <f t="shared" si="0"/>
        <v>ចំនួនរាប់</v>
      </c>
      <c r="E54" s="509" t="s">
        <v>2593</v>
      </c>
      <c r="F54" s="506" t="s">
        <v>2142</v>
      </c>
      <c r="G54" s="506" t="s">
        <v>2166</v>
      </c>
      <c r="H54" s="508" t="s">
        <v>2628</v>
      </c>
      <c r="I54" s="483">
        <v>1</v>
      </c>
      <c r="J54" s="183" t="str">
        <f t="shared" si="1"/>
        <v>047.Ctn/6pcs</v>
      </c>
      <c r="K54" s="188" t="s">
        <v>2118</v>
      </c>
      <c r="L54" s="130"/>
    </row>
    <row r="55" spans="3:12" s="140" customFormat="1" ht="25.5">
      <c r="C55" s="546">
        <v>48</v>
      </c>
      <c r="D55" s="547" t="str">
        <f t="shared" si="0"/>
        <v>ចំនួនរាប់</v>
      </c>
      <c r="E55" s="509" t="s">
        <v>2605</v>
      </c>
      <c r="F55" s="507" t="s">
        <v>2587</v>
      </c>
      <c r="G55" s="507" t="s">
        <v>2592</v>
      </c>
      <c r="H55" s="508" t="s">
        <v>2628</v>
      </c>
      <c r="I55" s="483" t="s">
        <v>49</v>
      </c>
      <c r="J55" s="183" t="str">
        <f t="shared" si="1"/>
        <v>048.Lots/12pair</v>
      </c>
      <c r="K55" s="188" t="s">
        <v>2118</v>
      </c>
      <c r="L55" s="130"/>
    </row>
    <row r="56" spans="3:12" s="140" customFormat="1" ht="25.5">
      <c r="C56" s="546">
        <v>49</v>
      </c>
      <c r="D56" s="547" t="str">
        <f t="shared" si="0"/>
        <v>ចំនួនរាប់</v>
      </c>
      <c r="E56" s="509" t="s">
        <v>2606</v>
      </c>
      <c r="F56" s="506" t="s">
        <v>2139</v>
      </c>
      <c r="G56" s="506" t="s">
        <v>2169</v>
      </c>
      <c r="H56" s="508" t="s">
        <v>2628</v>
      </c>
      <c r="I56" s="483" t="s">
        <v>49</v>
      </c>
      <c r="J56" s="183" t="str">
        <f t="shared" si="1"/>
        <v>049.Lots/12pcs</v>
      </c>
      <c r="K56" s="188" t="s">
        <v>2118</v>
      </c>
      <c r="L56" s="130"/>
    </row>
    <row r="57" spans="3:12" s="140" customFormat="1" ht="25.5">
      <c r="C57" s="546">
        <v>50</v>
      </c>
      <c r="D57" s="547" t="str">
        <f t="shared" si="0"/>
        <v>ទម្ងន់</v>
      </c>
      <c r="E57" s="509" t="s">
        <v>2610</v>
      </c>
      <c r="F57" s="507" t="s">
        <v>2611</v>
      </c>
      <c r="G57" s="507" t="s">
        <v>2612</v>
      </c>
      <c r="H57" s="509" t="s">
        <v>2625</v>
      </c>
      <c r="I57" s="483">
        <v>1</v>
      </c>
      <c r="J57" s="183" t="str">
        <f t="shared" si="1"/>
        <v>050.Be/50kg</v>
      </c>
      <c r="K57" s="188" t="s">
        <v>2121</v>
      </c>
      <c r="L57" s="130"/>
    </row>
    <row r="58" spans="3:12" s="140" customFormat="1" ht="25.5">
      <c r="C58" s="546">
        <v>51</v>
      </c>
      <c r="D58" s="547" t="str">
        <f t="shared" si="0"/>
        <v>ទម្ងន់</v>
      </c>
      <c r="E58" s="509" t="s">
        <v>2720</v>
      </c>
      <c r="F58" s="506" t="s">
        <v>2701</v>
      </c>
      <c r="G58" s="507" t="s">
        <v>2715</v>
      </c>
      <c r="H58" s="508" t="s">
        <v>2629</v>
      </c>
      <c r="I58" s="483" t="s">
        <v>49</v>
      </c>
      <c r="J58" s="183" t="str">
        <f t="shared" si="1"/>
        <v>051.Ton/20Be</v>
      </c>
      <c r="K58" s="188" t="s">
        <v>2121</v>
      </c>
      <c r="L58" s="130"/>
    </row>
    <row r="59" spans="3:12" s="140" customFormat="1" ht="25.5">
      <c r="C59" s="546">
        <v>52</v>
      </c>
      <c r="D59" s="547" t="str">
        <f t="shared" si="0"/>
        <v>ប្រវែង</v>
      </c>
      <c r="E59" s="509" t="s">
        <v>2732</v>
      </c>
      <c r="F59" s="507" t="s">
        <v>2614</v>
      </c>
      <c r="G59" s="507" t="s">
        <v>2617</v>
      </c>
      <c r="H59" s="508" t="s">
        <v>2628</v>
      </c>
      <c r="I59" s="483" t="s">
        <v>49</v>
      </c>
      <c r="J59" s="183" t="str">
        <f t="shared" si="1"/>
        <v>052.Unit/2.9m</v>
      </c>
      <c r="K59" s="188" t="s">
        <v>2122</v>
      </c>
    </row>
    <row r="60" spans="3:12" s="140" customFormat="1" ht="25.5">
      <c r="C60" s="546">
        <v>53</v>
      </c>
      <c r="D60" s="547" t="str">
        <f t="shared" si="0"/>
        <v>ប្រវែង</v>
      </c>
      <c r="E60" s="505" t="s">
        <v>2721</v>
      </c>
      <c r="F60" s="507" t="s">
        <v>2615</v>
      </c>
      <c r="G60" s="507" t="s">
        <v>2618</v>
      </c>
      <c r="H60" s="508" t="s">
        <v>2628</v>
      </c>
      <c r="I60" s="483" t="s">
        <v>49</v>
      </c>
      <c r="J60" s="183" t="str">
        <f t="shared" si="1"/>
        <v>053.Unit/4m</v>
      </c>
      <c r="K60" s="188" t="s">
        <v>2122</v>
      </c>
      <c r="L60" s="130"/>
    </row>
    <row r="61" spans="3:12" ht="21.95" customHeight="1">
      <c r="C61" s="546">
        <v>54</v>
      </c>
      <c r="D61" s="547" t="str">
        <f t="shared" si="0"/>
        <v>ប្រវែង</v>
      </c>
      <c r="E61" s="509" t="s">
        <v>2733</v>
      </c>
      <c r="F61" s="507" t="s">
        <v>2613</v>
      </c>
      <c r="G61" s="507" t="s">
        <v>2616</v>
      </c>
      <c r="H61" s="508" t="s">
        <v>2628</v>
      </c>
      <c r="I61" s="483">
        <v>1</v>
      </c>
      <c r="J61" s="183" t="str">
        <f t="shared" si="1"/>
        <v>054.Unit/12m</v>
      </c>
      <c r="K61" s="188" t="s">
        <v>2122</v>
      </c>
    </row>
    <row r="62" spans="3:12" ht="21.95" customHeight="1">
      <c r="C62" s="546">
        <v>55</v>
      </c>
      <c r="D62" s="1539" t="str">
        <f t="shared" si="0"/>
        <v>ទម្ងន់</v>
      </c>
      <c r="E62" s="509" t="s">
        <v>4184</v>
      </c>
      <c r="F62" s="507" t="s">
        <v>4185</v>
      </c>
      <c r="G62" s="507" t="s">
        <v>3718</v>
      </c>
      <c r="H62" s="508" t="s">
        <v>3764</v>
      </c>
      <c r="I62" s="483">
        <v>1</v>
      </c>
      <c r="J62" s="183" t="str">
        <f t="shared" si="1"/>
        <v>055.kham</v>
      </c>
      <c r="K62" s="188" t="s">
        <v>2121</v>
      </c>
    </row>
    <row r="63" spans="3:12" ht="21.95" customHeight="1">
      <c r="C63" s="546">
        <v>56</v>
      </c>
      <c r="D63" s="1539" t="str">
        <f t="shared" si="0"/>
        <v>ទម្ងន់</v>
      </c>
      <c r="E63" s="509" t="s">
        <v>3719</v>
      </c>
      <c r="F63" s="507" t="s">
        <v>3720</v>
      </c>
      <c r="G63" s="507" t="s">
        <v>3721</v>
      </c>
      <c r="H63" s="508" t="s">
        <v>2628</v>
      </c>
      <c r="I63" s="483">
        <v>1</v>
      </c>
      <c r="J63" s="183" t="str">
        <f t="shared" si="1"/>
        <v>056.Be/20kg</v>
      </c>
      <c r="K63" s="188" t="s">
        <v>2121</v>
      </c>
    </row>
    <row r="64" spans="3:12" ht="21.95" customHeight="1">
      <c r="C64" s="546">
        <v>57</v>
      </c>
      <c r="D64" s="1539" t="str">
        <f t="shared" si="0"/>
        <v>ចំនួនរាប់</v>
      </c>
      <c r="E64" s="509" t="s">
        <v>3722</v>
      </c>
      <c r="F64" s="507" t="s">
        <v>3723</v>
      </c>
      <c r="G64" s="507" t="s">
        <v>3724</v>
      </c>
      <c r="H64" s="508" t="s">
        <v>2628</v>
      </c>
      <c r="I64" s="483">
        <v>1</v>
      </c>
      <c r="J64" s="183" t="str">
        <f t="shared" si="1"/>
        <v>057.Be/50pcs</v>
      </c>
      <c r="K64" s="188" t="s">
        <v>2118</v>
      </c>
    </row>
    <row r="65" spans="3:11" ht="21.95" customHeight="1">
      <c r="C65" s="546">
        <v>58</v>
      </c>
      <c r="D65" s="1539" t="str">
        <f t="shared" si="0"/>
        <v>ចំនួនរាប់</v>
      </c>
      <c r="E65" s="509" t="s">
        <v>3725</v>
      </c>
      <c r="F65" s="507" t="s">
        <v>3726</v>
      </c>
      <c r="G65" s="507" t="s">
        <v>3727</v>
      </c>
      <c r="H65" s="508" t="s">
        <v>2628</v>
      </c>
      <c r="I65" s="483">
        <v>1</v>
      </c>
      <c r="J65" s="183" t="str">
        <f t="shared" si="1"/>
        <v>058.Can/1L</v>
      </c>
      <c r="K65" s="188" t="s">
        <v>2118</v>
      </c>
    </row>
    <row r="66" spans="3:11" ht="21.95" customHeight="1">
      <c r="C66" s="546">
        <v>59</v>
      </c>
      <c r="D66" s="1539" t="str">
        <f t="shared" si="0"/>
        <v>ចំនួនរាប់</v>
      </c>
      <c r="E66" s="509" t="s">
        <v>3728</v>
      </c>
      <c r="F66" s="507" t="s">
        <v>3729</v>
      </c>
      <c r="G66" s="507" t="s">
        <v>3730</v>
      </c>
      <c r="H66" s="508" t="s">
        <v>2628</v>
      </c>
      <c r="I66" s="483">
        <v>1</v>
      </c>
      <c r="J66" s="183" t="str">
        <f t="shared" si="1"/>
        <v>059.Can/5L</v>
      </c>
      <c r="K66" s="188" t="s">
        <v>2118</v>
      </c>
    </row>
    <row r="67" spans="3:11" ht="21.95" customHeight="1">
      <c r="C67" s="546">
        <v>60</v>
      </c>
      <c r="D67" s="1539" t="str">
        <f t="shared" si="0"/>
        <v>ចំនួនរាប់</v>
      </c>
      <c r="E67" s="509" t="s">
        <v>3731</v>
      </c>
      <c r="F67" s="507" t="s">
        <v>3732</v>
      </c>
      <c r="G67" s="507" t="s">
        <v>3733</v>
      </c>
      <c r="H67" s="508" t="s">
        <v>2628</v>
      </c>
      <c r="I67" s="483">
        <v>1</v>
      </c>
      <c r="J67" s="183" t="str">
        <f t="shared" si="1"/>
        <v>060.Case/30pcs</v>
      </c>
      <c r="K67" s="188" t="s">
        <v>2118</v>
      </c>
    </row>
    <row r="68" spans="3:11" ht="21.95" customHeight="1">
      <c r="C68" s="546">
        <v>61</v>
      </c>
      <c r="D68" s="1539" t="str">
        <f t="shared" si="0"/>
        <v>ចំនួនរាប់</v>
      </c>
      <c r="E68" s="509" t="s">
        <v>3734</v>
      </c>
      <c r="F68" s="507" t="s">
        <v>3735</v>
      </c>
      <c r="G68" s="507" t="s">
        <v>3736</v>
      </c>
      <c r="H68" s="508" t="s">
        <v>2628</v>
      </c>
      <c r="I68" s="483">
        <v>1</v>
      </c>
      <c r="J68" s="183" t="str">
        <f t="shared" si="1"/>
        <v>061.Case/6pcs</v>
      </c>
      <c r="K68" s="188" t="s">
        <v>2118</v>
      </c>
    </row>
    <row r="69" spans="3:11" ht="21.95" customHeight="1">
      <c r="C69" s="546">
        <v>62</v>
      </c>
      <c r="D69" s="1539" t="str">
        <f t="shared" si="0"/>
        <v>ចំនួនរាប់</v>
      </c>
      <c r="E69" s="509" t="s">
        <v>3737</v>
      </c>
      <c r="F69" s="507" t="s">
        <v>3738</v>
      </c>
      <c r="G69" s="507" t="s">
        <v>3739</v>
      </c>
      <c r="H69" s="508" t="s">
        <v>2628</v>
      </c>
      <c r="I69" s="483">
        <v>1</v>
      </c>
      <c r="J69" s="183" t="str">
        <f t="shared" si="1"/>
        <v>062.Case/80pcs</v>
      </c>
      <c r="K69" s="188" t="s">
        <v>2118</v>
      </c>
    </row>
    <row r="70" spans="3:11" ht="21.95" customHeight="1">
      <c r="C70" s="546">
        <v>63</v>
      </c>
      <c r="D70" s="1539" t="str">
        <f t="shared" si="0"/>
        <v>ចំនួនរាប់</v>
      </c>
      <c r="E70" s="509" t="s">
        <v>3740</v>
      </c>
      <c r="F70" s="507" t="s">
        <v>3741</v>
      </c>
      <c r="G70" s="507" t="s">
        <v>3742</v>
      </c>
      <c r="H70" s="508" t="s">
        <v>2628</v>
      </c>
      <c r="I70" s="483">
        <v>1</v>
      </c>
      <c r="J70" s="183" t="str">
        <f t="shared" si="1"/>
        <v>063.Case/8pcs</v>
      </c>
      <c r="K70" s="188" t="s">
        <v>2118</v>
      </c>
    </row>
    <row r="71" spans="3:11" ht="21.95" customHeight="1">
      <c r="C71" s="546">
        <v>64</v>
      </c>
      <c r="D71" s="1539" t="str">
        <f t="shared" si="0"/>
        <v>ប្រវែង</v>
      </c>
      <c r="E71" s="509" t="s">
        <v>3743</v>
      </c>
      <c r="F71" s="507" t="s">
        <v>3744</v>
      </c>
      <c r="G71" s="507" t="s">
        <v>3745</v>
      </c>
      <c r="H71" s="508" t="s">
        <v>2628</v>
      </c>
      <c r="I71" s="483">
        <v>1</v>
      </c>
      <c r="J71" s="183" t="str">
        <f t="shared" si="1"/>
        <v>064.Coil/100m</v>
      </c>
      <c r="K71" s="188" t="s">
        <v>2122</v>
      </c>
    </row>
    <row r="72" spans="3:11" ht="21.95" customHeight="1">
      <c r="C72" s="546">
        <v>65</v>
      </c>
      <c r="D72" s="1539" t="str">
        <f t="shared" ref="D72:D77" si="2">MID(K72,4,100)</f>
        <v>ប្រវែង</v>
      </c>
      <c r="E72" s="509" t="s">
        <v>3746</v>
      </c>
      <c r="F72" s="507" t="s">
        <v>3747</v>
      </c>
      <c r="G72" s="507" t="s">
        <v>3748</v>
      </c>
      <c r="H72" s="508" t="s">
        <v>2628</v>
      </c>
      <c r="I72" s="483">
        <v>1</v>
      </c>
      <c r="J72" s="183" t="str">
        <f t="shared" si="1"/>
        <v>065.Coil/30m</v>
      </c>
      <c r="K72" s="188" t="s">
        <v>2122</v>
      </c>
    </row>
    <row r="73" spans="3:11" ht="21.95" customHeight="1">
      <c r="C73" s="546">
        <v>66</v>
      </c>
      <c r="D73" s="1539" t="str">
        <f t="shared" si="2"/>
        <v>ប្រវែង</v>
      </c>
      <c r="E73" s="509" t="s">
        <v>3749</v>
      </c>
      <c r="F73" s="507" t="s">
        <v>3750</v>
      </c>
      <c r="G73" s="507" t="s">
        <v>3751</v>
      </c>
      <c r="H73" s="508" t="s">
        <v>2628</v>
      </c>
      <c r="I73" s="483">
        <v>1</v>
      </c>
      <c r="J73" s="183" t="str">
        <f t="shared" ref="J73:J77" si="3">IF(AND(C73&lt;&gt;"",G73&lt;&gt;""),TEXT(C73,"000")&amp;"."&amp;G73,"")</f>
        <v>066.Coil/80m</v>
      </c>
      <c r="K73" s="188" t="s">
        <v>2122</v>
      </c>
    </row>
    <row r="74" spans="3:11" ht="21.95" customHeight="1">
      <c r="C74" s="546">
        <v>67</v>
      </c>
      <c r="D74" s="1539" t="str">
        <f t="shared" si="2"/>
        <v>ចំនួនរាប់</v>
      </c>
      <c r="E74" s="509" t="s">
        <v>3752</v>
      </c>
      <c r="F74" s="507" t="s">
        <v>3753</v>
      </c>
      <c r="G74" s="507" t="s">
        <v>3754</v>
      </c>
      <c r="H74" s="508" t="s">
        <v>2628</v>
      </c>
      <c r="I74" s="483">
        <v>1</v>
      </c>
      <c r="J74" s="183" t="str">
        <f t="shared" si="3"/>
        <v>067.Ctn/100pcs</v>
      </c>
      <c r="K74" s="188" t="s">
        <v>2118</v>
      </c>
    </row>
    <row r="75" spans="3:11" ht="21.95" customHeight="1">
      <c r="C75" s="546">
        <v>68</v>
      </c>
      <c r="D75" s="1539" t="str">
        <f t="shared" si="2"/>
        <v>ចំនួនរាប់</v>
      </c>
      <c r="E75" s="509" t="s">
        <v>3755</v>
      </c>
      <c r="F75" s="507" t="s">
        <v>3756</v>
      </c>
      <c r="G75" s="507" t="s">
        <v>3757</v>
      </c>
      <c r="H75" s="508" t="s">
        <v>2628</v>
      </c>
      <c r="I75" s="483">
        <v>1</v>
      </c>
      <c r="J75" s="183" t="str">
        <f t="shared" si="3"/>
        <v>068.Ctn/10pcs</v>
      </c>
      <c r="K75" s="188" t="s">
        <v>2118</v>
      </c>
    </row>
    <row r="76" spans="3:11" ht="21.95" customHeight="1">
      <c r="C76" s="546">
        <v>69</v>
      </c>
      <c r="D76" s="1539" t="str">
        <f t="shared" si="2"/>
        <v>ទម្ងន់</v>
      </c>
      <c r="E76" s="509" t="s">
        <v>3758</v>
      </c>
      <c r="F76" s="507" t="s">
        <v>3759</v>
      </c>
      <c r="G76" s="507" t="s">
        <v>3760</v>
      </c>
      <c r="H76" s="508" t="s">
        <v>2628</v>
      </c>
      <c r="I76" s="483">
        <v>1</v>
      </c>
      <c r="J76" s="183" t="str">
        <f t="shared" si="3"/>
        <v>069.Pack/1kg</v>
      </c>
      <c r="K76" s="188" t="s">
        <v>2121</v>
      </c>
    </row>
    <row r="77" spans="3:11" ht="21.95" customHeight="1">
      <c r="C77" s="546">
        <v>70</v>
      </c>
      <c r="D77" s="1539" t="str">
        <f t="shared" si="2"/>
        <v>ប្រវែង</v>
      </c>
      <c r="E77" s="509" t="s">
        <v>3761</v>
      </c>
      <c r="F77" s="507" t="s">
        <v>3762</v>
      </c>
      <c r="G77" s="507" t="s">
        <v>3763</v>
      </c>
      <c r="H77" s="508" t="s">
        <v>2628</v>
      </c>
      <c r="I77" s="483">
        <v>1</v>
      </c>
      <c r="J77" s="183" t="str">
        <f t="shared" si="3"/>
        <v>070.Unit/6m</v>
      </c>
      <c r="K77" s="188" t="s">
        <v>2122</v>
      </c>
    </row>
    <row r="78" spans="3:11" ht="21.95" customHeight="1">
      <c r="C78" s="546">
        <v>71</v>
      </c>
      <c r="D78" s="1539" t="str">
        <f t="shared" ref="D78" si="4">MID(K78,4,100)</f>
        <v>មាឌ</v>
      </c>
      <c r="E78" s="509" t="s">
        <v>4124</v>
      </c>
      <c r="F78" s="505" t="s">
        <v>4125</v>
      </c>
      <c r="G78" s="505" t="s">
        <v>4126</v>
      </c>
      <c r="H78" s="508" t="s">
        <v>3764</v>
      </c>
      <c r="I78" s="483">
        <v>1</v>
      </c>
      <c r="J78" s="188" t="str">
        <f t="shared" ref="J78" si="5">IF(AND(C78&lt;&gt;"",G78&lt;&gt;""),TEXT(C78,"000")&amp;"."&amp;G78,"")</f>
        <v>071.Petro</v>
      </c>
      <c r="K78" s="188" t="s">
        <v>2124</v>
      </c>
    </row>
    <row r="79" spans="3:11" ht="21.95" customHeight="1">
      <c r="C79" s="546">
        <v>72</v>
      </c>
      <c r="D79" s="1539" t="str">
        <f t="shared" ref="D79" si="6">MID(K79,4,100)</f>
        <v>មាឌ</v>
      </c>
      <c r="E79" s="509" t="s">
        <v>4130</v>
      </c>
      <c r="F79" s="505" t="s">
        <v>4128</v>
      </c>
      <c r="G79" s="505" t="s">
        <v>4129</v>
      </c>
      <c r="H79" s="508" t="s">
        <v>3764</v>
      </c>
      <c r="I79" s="483">
        <v>1</v>
      </c>
      <c r="J79" s="188" t="str">
        <f t="shared" ref="J79:J81" si="7">IF(AND(C79&lt;&gt;"",G79&lt;&gt;""),TEXT(C79,"000")&amp;"."&amp;G79,"")</f>
        <v>072.m3/35petro</v>
      </c>
      <c r="K79" s="188" t="s">
        <v>2124</v>
      </c>
    </row>
    <row r="80" spans="3:11" ht="21.95" customHeight="1">
      <c r="C80" s="546">
        <v>73</v>
      </c>
      <c r="D80" s="1539" t="str">
        <f t="shared" ref="D80" si="8">MID(K80,4,100)</f>
        <v>ទម្ងន់</v>
      </c>
      <c r="E80" s="509" t="s">
        <v>4136</v>
      </c>
      <c r="F80" s="505" t="s">
        <v>4134</v>
      </c>
      <c r="G80" s="505" t="s">
        <v>4135</v>
      </c>
      <c r="H80" s="508" t="s">
        <v>3764</v>
      </c>
      <c r="I80" s="483">
        <v>1</v>
      </c>
      <c r="J80" s="188" t="str">
        <f t="shared" si="7"/>
        <v>073.kg/10kham</v>
      </c>
      <c r="K80" s="188" t="s">
        <v>2121</v>
      </c>
    </row>
    <row r="81" spans="3:11" ht="21.95" customHeight="1">
      <c r="C81" s="546">
        <v>74</v>
      </c>
      <c r="D81" s="1539" t="str">
        <f t="shared" ref="D81" si="9">MID(K81,4,100)</f>
        <v>ទម្ងន់</v>
      </c>
      <c r="E81" s="509" t="s">
        <v>4143</v>
      </c>
      <c r="F81" s="505" t="s">
        <v>4144</v>
      </c>
      <c r="G81" s="505" t="s">
        <v>4145</v>
      </c>
      <c r="H81" s="508" t="s">
        <v>2624</v>
      </c>
      <c r="I81" s="483">
        <v>1</v>
      </c>
      <c r="J81" s="188" t="str">
        <f t="shared" si="7"/>
        <v>074.kg/1000g</v>
      </c>
      <c r="K81" s="188" t="s">
        <v>2121</v>
      </c>
    </row>
    <row r="82" spans="3:11" ht="21.95" customHeight="1">
      <c r="C82" s="546">
        <v>75</v>
      </c>
      <c r="D82" s="1539" t="str">
        <f t="shared" ref="D82" si="10">MID(K82,4,100)</f>
        <v>ទម្ងន់</v>
      </c>
      <c r="E82" s="509" t="s">
        <v>4146</v>
      </c>
      <c r="F82" s="505" t="s">
        <v>4147</v>
      </c>
      <c r="G82" s="505" t="s">
        <v>4148</v>
      </c>
      <c r="H82" s="508" t="s">
        <v>2628</v>
      </c>
      <c r="I82" s="483">
        <v>1</v>
      </c>
      <c r="J82" s="188" t="str">
        <f t="shared" ref="J82" si="11">IF(AND(C82&lt;&gt;"",G82&lt;&gt;""),TEXT(C82,"000")&amp;"."&amp;G82,"")</f>
        <v>075.kg/40pcs</v>
      </c>
      <c r="K82" s="188" t="s">
        <v>2121</v>
      </c>
    </row>
    <row r="83" spans="3:11" ht="21.95" customHeight="1">
      <c r="C83" s="546">
        <v>76</v>
      </c>
      <c r="D83" s="1539" t="str">
        <f t="shared" ref="D83" si="12">MID(K83,4,100)</f>
        <v>ប្រវែង</v>
      </c>
      <c r="E83" s="509" t="s">
        <v>4165</v>
      </c>
      <c r="F83" s="505" t="s">
        <v>4163</v>
      </c>
      <c r="G83" s="505" t="s">
        <v>4164</v>
      </c>
      <c r="H83" s="508" t="s">
        <v>2624</v>
      </c>
      <c r="I83" s="483">
        <v>1</v>
      </c>
      <c r="J83" s="188" t="str">
        <f t="shared" ref="J83" si="13">IF(AND(C83&lt;&gt;"",G83&lt;&gt;""),TEXT(C83,"000")&amp;"."&amp;G83,"")</f>
        <v>076.m/100cm</v>
      </c>
      <c r="K83" s="188" t="s">
        <v>2122</v>
      </c>
    </row>
    <row r="84" spans="3:11" ht="21.95" customHeight="1">
      <c r="C84" s="546">
        <v>77</v>
      </c>
      <c r="D84" s="1539" t="str">
        <f t="shared" ref="D84:D85" si="14">MID(K84,4,100)</f>
        <v>ចំនួនរាប់</v>
      </c>
      <c r="E84" s="509" t="s">
        <v>4177</v>
      </c>
      <c r="F84" s="505" t="s">
        <v>4177</v>
      </c>
      <c r="G84" s="505" t="s">
        <v>4482</v>
      </c>
      <c r="H84" s="508" t="s">
        <v>2628</v>
      </c>
      <c r="I84" s="483">
        <v>1</v>
      </c>
      <c r="J84" s="188" t="str">
        <f t="shared" ref="J84:J85" si="15">IF(AND(C84&lt;&gt;"",G84&lt;&gt;""),TEXT(C84,"000")&amp;"."&amp;G84,"")</f>
        <v>077.Box/60pcs</v>
      </c>
      <c r="K84" s="188" t="s">
        <v>2118</v>
      </c>
    </row>
    <row r="85" spans="3:11" ht="21.95" customHeight="1">
      <c r="C85" s="546">
        <v>78</v>
      </c>
      <c r="D85" s="1539" t="str">
        <f t="shared" si="14"/>
        <v>ប្រវែង</v>
      </c>
      <c r="E85" s="509" t="s">
        <v>4178</v>
      </c>
      <c r="F85" s="505" t="s">
        <v>4178</v>
      </c>
      <c r="G85" s="505" t="s">
        <v>4179</v>
      </c>
      <c r="H85" s="508" t="s">
        <v>2628</v>
      </c>
      <c r="I85" s="483">
        <v>1</v>
      </c>
      <c r="J85" s="188" t="str">
        <f t="shared" si="15"/>
        <v>078.Coil/45m</v>
      </c>
      <c r="K85" s="188" t="s">
        <v>2122</v>
      </c>
    </row>
    <row r="86" spans="3:11" ht="21.95" customHeight="1">
      <c r="C86" s="546">
        <v>79</v>
      </c>
      <c r="D86" s="1539" t="str">
        <f t="shared" ref="D86" si="16">MID(K86,4,100)</f>
        <v>ប្រវែង</v>
      </c>
      <c r="E86" s="509" t="s">
        <v>4183</v>
      </c>
      <c r="F86" s="505" t="s">
        <v>4182</v>
      </c>
      <c r="G86" s="505" t="s">
        <v>4181</v>
      </c>
      <c r="H86" s="508" t="s">
        <v>3764</v>
      </c>
      <c r="I86" s="483">
        <v>1</v>
      </c>
      <c r="J86" s="188" t="str">
        <f t="shared" ref="J86" si="17">IF(AND(C86&lt;&gt;"",G86&lt;&gt;""),TEXT(C86,"000")&amp;"."&amp;G86,"")</f>
        <v>079.T</v>
      </c>
      <c r="K86" s="188" t="s">
        <v>2122</v>
      </c>
    </row>
    <row r="87" spans="3:11" ht="21.95" customHeight="1">
      <c r="C87" s="546">
        <v>80</v>
      </c>
      <c r="D87" s="1539" t="str">
        <f t="shared" ref="D87:D88" si="18">MID(K87,4,100)</f>
        <v>មាឌ</v>
      </c>
      <c r="E87" s="509" t="s">
        <v>4257</v>
      </c>
      <c r="F87" s="505" t="s">
        <v>4485</v>
      </c>
      <c r="G87" s="505" t="s">
        <v>4485</v>
      </c>
      <c r="H87" s="508" t="s">
        <v>3764</v>
      </c>
      <c r="I87" s="483">
        <v>1</v>
      </c>
      <c r="J87" s="188" t="str">
        <f t="shared" ref="J87:J88" si="19">IF(AND(C87&lt;&gt;"",G87&lt;&gt;""),TEXT(C87,"000")&amp;"."&amp;G87,"")</f>
        <v>080.m3|2</v>
      </c>
      <c r="K87" s="188" t="s">
        <v>2124</v>
      </c>
    </row>
    <row r="88" spans="3:11" ht="21.95" customHeight="1">
      <c r="C88" s="546">
        <v>81</v>
      </c>
      <c r="D88" s="1539" t="str">
        <f t="shared" si="18"/>
        <v>មាឌ</v>
      </c>
      <c r="E88" s="505" t="s">
        <v>4486</v>
      </c>
      <c r="F88" s="505" t="s">
        <v>4486</v>
      </c>
      <c r="G88" s="505" t="s">
        <v>4487</v>
      </c>
      <c r="H88" s="508" t="s">
        <v>3764</v>
      </c>
      <c r="I88" s="483">
        <v>1</v>
      </c>
      <c r="J88" s="188" t="str">
        <f t="shared" si="19"/>
        <v>081.m3/2*m3|2</v>
      </c>
      <c r="K88" s="188" t="s">
        <v>2124</v>
      </c>
    </row>
    <row r="89" spans="3:11" ht="21.95" customHeight="1">
      <c r="C89" s="546">
        <v>82</v>
      </c>
      <c r="D89" s="1539" t="str">
        <f t="shared" ref="D89" si="20">MID(K89,4,100)</f>
        <v>ទម្ងន់</v>
      </c>
      <c r="E89" s="509" t="s">
        <v>4269</v>
      </c>
      <c r="F89" s="505" t="s">
        <v>4267</v>
      </c>
      <c r="G89" s="505" t="s">
        <v>4268</v>
      </c>
      <c r="H89" s="508" t="s">
        <v>3764</v>
      </c>
      <c r="I89" s="483">
        <v>1</v>
      </c>
      <c r="J89" s="188" t="str">
        <f t="shared" ref="J89:J114" si="21">IF(AND(C89&lt;&gt;"",G89&lt;&gt;""),TEXT(C89,"000")&amp;"."&amp;G89,"")</f>
        <v>082.Ctn/45kham</v>
      </c>
      <c r="K89" s="188" t="s">
        <v>2121</v>
      </c>
    </row>
    <row r="90" spans="3:11" ht="21.95" customHeight="1">
      <c r="C90" s="1811">
        <v>83</v>
      </c>
      <c r="D90" s="1812" t="str">
        <f t="shared" ref="D90" si="22">MID(K90,4,100)</f>
        <v>ទម្ងន់</v>
      </c>
      <c r="E90" s="1813" t="s">
        <v>4604</v>
      </c>
      <c r="F90" s="1542" t="s">
        <v>4605</v>
      </c>
      <c r="G90" s="1542" t="s">
        <v>4606</v>
      </c>
      <c r="H90" s="1814" t="s">
        <v>3764</v>
      </c>
      <c r="I90" s="1541">
        <v>1</v>
      </c>
      <c r="J90" s="188" t="str">
        <f t="shared" ref="J90:J93" si="23">IF(AND(C90&lt;&gt;"",G90&lt;&gt;""),TEXT(C90,"000")&amp;"."&amp;G90,"")</f>
        <v>083.Ctn/50kham</v>
      </c>
      <c r="K90" s="188" t="s">
        <v>2121</v>
      </c>
    </row>
    <row r="91" spans="3:11" ht="21.95" customHeight="1">
      <c r="C91" s="546">
        <v>84</v>
      </c>
      <c r="D91" s="1539" t="str">
        <f t="shared" ref="D91:D93" si="24">MID(K91,4,100)</f>
        <v>ចំនួនរាប់</v>
      </c>
      <c r="E91" s="509" t="s">
        <v>4282</v>
      </c>
      <c r="F91" s="505" t="s">
        <v>4278</v>
      </c>
      <c r="G91" s="505" t="s">
        <v>4280</v>
      </c>
      <c r="H91" s="508" t="s">
        <v>2628</v>
      </c>
      <c r="I91" s="483">
        <v>1</v>
      </c>
      <c r="J91" s="188" t="str">
        <f t="shared" si="23"/>
        <v>084.Coil/1000T</v>
      </c>
      <c r="K91" s="188" t="s">
        <v>2118</v>
      </c>
    </row>
    <row r="92" spans="3:11" ht="21.95" customHeight="1">
      <c r="C92" s="546">
        <v>85</v>
      </c>
      <c r="D92" s="1539" t="str">
        <f t="shared" si="24"/>
        <v>ចំនួនរាប់</v>
      </c>
      <c r="E92" s="509" t="s">
        <v>4283</v>
      </c>
      <c r="F92" s="505" t="s">
        <v>4284</v>
      </c>
      <c r="G92" s="505" t="s">
        <v>4285</v>
      </c>
      <c r="H92" s="508" t="s">
        <v>2628</v>
      </c>
      <c r="I92" s="483">
        <v>1</v>
      </c>
      <c r="J92" s="188" t="str">
        <f t="shared" si="23"/>
        <v>085.Coil/300T</v>
      </c>
      <c r="K92" s="188" t="s">
        <v>2118</v>
      </c>
    </row>
    <row r="93" spans="3:11" ht="21.95" customHeight="1">
      <c r="C93" s="546">
        <v>86</v>
      </c>
      <c r="D93" s="1539" t="str">
        <f t="shared" si="24"/>
        <v>ចំនួនរាប់</v>
      </c>
      <c r="E93" s="509" t="s">
        <v>4286</v>
      </c>
      <c r="F93" s="505" t="s">
        <v>4279</v>
      </c>
      <c r="G93" s="505" t="s">
        <v>4281</v>
      </c>
      <c r="H93" s="508" t="s">
        <v>2628</v>
      </c>
      <c r="I93" s="483">
        <v>1</v>
      </c>
      <c r="J93" s="188" t="str">
        <f t="shared" si="23"/>
        <v>086.Coil/800T</v>
      </c>
      <c r="K93" s="188" t="s">
        <v>2118</v>
      </c>
    </row>
    <row r="94" spans="3:11" ht="21.95" customHeight="1">
      <c r="C94" s="546">
        <v>87</v>
      </c>
      <c r="D94" s="1539" t="str">
        <f t="shared" ref="D94:D95" si="25">MID(K94,4,100)</f>
        <v>ចំនួនរាប់</v>
      </c>
      <c r="E94" s="509" t="s">
        <v>4358</v>
      </c>
      <c r="F94" s="509" t="s">
        <v>4354</v>
      </c>
      <c r="G94" s="509" t="s">
        <v>4356</v>
      </c>
      <c r="H94" s="508" t="s">
        <v>2628</v>
      </c>
      <c r="I94" s="483">
        <v>1</v>
      </c>
      <c r="J94" s="188" t="str">
        <f t="shared" ref="J94:J99" si="26">IF(AND(C94&lt;&gt;"",G94&lt;&gt;""),TEXT(C94,"000")&amp;"."&amp;G94,"")</f>
        <v>087.Box/10pcs</v>
      </c>
      <c r="K94" s="188" t="s">
        <v>2118</v>
      </c>
    </row>
    <row r="95" spans="3:11" ht="21.95" customHeight="1">
      <c r="C95" s="546">
        <v>88</v>
      </c>
      <c r="D95" s="1539" t="str">
        <f t="shared" si="25"/>
        <v>ចំនួនរាប់</v>
      </c>
      <c r="E95" s="509" t="s">
        <v>4359</v>
      </c>
      <c r="F95" s="509" t="s">
        <v>4355</v>
      </c>
      <c r="G95" s="509" t="s">
        <v>4357</v>
      </c>
      <c r="H95" s="508" t="s">
        <v>2628</v>
      </c>
      <c r="I95" s="483">
        <v>1</v>
      </c>
      <c r="J95" s="188" t="str">
        <f t="shared" si="26"/>
        <v>088.Box/24pcs</v>
      </c>
      <c r="K95" s="188" t="s">
        <v>2118</v>
      </c>
    </row>
    <row r="96" spans="3:11" ht="21.95" customHeight="1">
      <c r="C96" s="546">
        <v>89</v>
      </c>
      <c r="D96" s="1539" t="str">
        <f t="shared" ref="D96:D99" si="27">MID(K96,4,100)</f>
        <v>ចំនួនរាប់</v>
      </c>
      <c r="E96" s="509" t="s">
        <v>4403</v>
      </c>
      <c r="F96" s="509" t="s">
        <v>4403</v>
      </c>
      <c r="G96" s="509" t="s">
        <v>4483</v>
      </c>
      <c r="H96" s="508" t="s">
        <v>2628</v>
      </c>
      <c r="I96" s="483">
        <v>1</v>
      </c>
      <c r="J96" s="188" t="str">
        <f t="shared" si="26"/>
        <v>089.Bucket</v>
      </c>
      <c r="K96" s="188" t="s">
        <v>2118</v>
      </c>
    </row>
    <row r="97" spans="3:11" ht="21.95" customHeight="1">
      <c r="C97" s="546">
        <v>90</v>
      </c>
      <c r="D97" s="1539" t="str">
        <f t="shared" si="27"/>
        <v>ចំនួនរាប់</v>
      </c>
      <c r="E97" s="509" t="s">
        <v>4470</v>
      </c>
      <c r="F97" s="509" t="s">
        <v>4466</v>
      </c>
      <c r="G97" s="509" t="s">
        <v>4467</v>
      </c>
      <c r="H97" s="508" t="s">
        <v>2628</v>
      </c>
      <c r="I97" s="483">
        <v>1</v>
      </c>
      <c r="J97" s="188" t="str">
        <f t="shared" si="26"/>
        <v>090.Box/20pcs</v>
      </c>
      <c r="K97" s="188" t="s">
        <v>2118</v>
      </c>
    </row>
    <row r="98" spans="3:11" ht="21.95" customHeight="1">
      <c r="C98" s="546">
        <v>91</v>
      </c>
      <c r="D98" s="1539" t="str">
        <f t="shared" si="27"/>
        <v>ចំនួនរាប់</v>
      </c>
      <c r="E98" s="509" t="s">
        <v>2597</v>
      </c>
      <c r="F98" s="509" t="s">
        <v>2583</v>
      </c>
      <c r="G98" s="509" t="s">
        <v>2591</v>
      </c>
      <c r="H98" s="508" t="s">
        <v>2628</v>
      </c>
      <c r="I98" s="483">
        <v>1</v>
      </c>
      <c r="J98" s="188" t="str">
        <f t="shared" si="26"/>
        <v>091.Case/25pcs</v>
      </c>
      <c r="K98" s="188" t="s">
        <v>2118</v>
      </c>
    </row>
    <row r="99" spans="3:11" ht="21.95" customHeight="1">
      <c r="C99" s="546">
        <v>92</v>
      </c>
      <c r="D99" s="1539" t="str">
        <f t="shared" si="27"/>
        <v>ចំនួនរាប់</v>
      </c>
      <c r="E99" s="509" t="s">
        <v>4471</v>
      </c>
      <c r="F99" s="509" t="s">
        <v>4469</v>
      </c>
      <c r="G99" s="509" t="s">
        <v>4468</v>
      </c>
      <c r="H99" s="508" t="s">
        <v>2628</v>
      </c>
      <c r="I99" s="483">
        <v>1</v>
      </c>
      <c r="J99" s="188" t="str">
        <f t="shared" si="26"/>
        <v>092.Case/800pcs</v>
      </c>
      <c r="K99" s="188" t="s">
        <v>2118</v>
      </c>
    </row>
    <row r="100" spans="3:11" ht="21.95" customHeight="1">
      <c r="C100" s="546">
        <v>93</v>
      </c>
      <c r="D100" s="1539" t="str">
        <f t="shared" ref="D100" si="28">MID(K100,4,100)</f>
        <v>ចំនួនរាប់</v>
      </c>
      <c r="E100" s="509" t="s">
        <v>4712</v>
      </c>
      <c r="F100" s="509" t="s">
        <v>4710</v>
      </c>
      <c r="G100" s="509" t="s">
        <v>4711</v>
      </c>
      <c r="H100" s="508" t="s">
        <v>2628</v>
      </c>
      <c r="I100" s="483">
        <v>1</v>
      </c>
      <c r="J100" s="188" t="str">
        <f t="shared" ref="J100" si="29">IF(AND(C100&lt;&gt;"",G100&lt;&gt;""),TEXT(C100,"000")&amp;"."&amp;G100,"")</f>
        <v>093.Coil/250m</v>
      </c>
      <c r="K100" s="188" t="s">
        <v>2118</v>
      </c>
    </row>
    <row r="101" spans="3:11" ht="21.95" customHeight="1">
      <c r="C101" s="546"/>
      <c r="D101" s="1539"/>
      <c r="E101" s="509"/>
      <c r="F101" s="509"/>
      <c r="G101" s="509"/>
      <c r="H101" s="508"/>
      <c r="I101" s="483"/>
      <c r="J101" s="188"/>
      <c r="K101" s="188"/>
    </row>
    <row r="102" spans="3:11" ht="21.95" customHeight="1">
      <c r="C102" s="546"/>
      <c r="D102" s="1539"/>
      <c r="E102" s="509"/>
      <c r="F102" s="509"/>
      <c r="G102" s="509"/>
      <c r="H102" s="508"/>
      <c r="I102" s="483"/>
      <c r="J102" s="188"/>
      <c r="K102" s="188"/>
    </row>
    <row r="103" spans="3:11" ht="21.95" customHeight="1">
      <c r="C103" s="546"/>
      <c r="D103" s="1539"/>
      <c r="E103" s="509"/>
      <c r="F103" s="509"/>
      <c r="G103" s="509"/>
      <c r="H103" s="508"/>
      <c r="I103" s="483"/>
      <c r="J103" s="188"/>
      <c r="K103" s="188"/>
    </row>
    <row r="104" spans="3:11" ht="21.95" customHeight="1">
      <c r="J104" s="188" t="str">
        <f t="shared" si="21"/>
        <v/>
      </c>
    </row>
    <row r="105" spans="3:11" ht="21.95" customHeight="1">
      <c r="J105" s="188" t="str">
        <f t="shared" si="21"/>
        <v/>
      </c>
    </row>
    <row r="106" spans="3:11" ht="21.95" customHeight="1">
      <c r="J106" s="188" t="str">
        <f t="shared" si="21"/>
        <v/>
      </c>
    </row>
    <row r="107" spans="3:11" ht="21.95" customHeight="1">
      <c r="J107" s="188" t="str">
        <f t="shared" si="21"/>
        <v/>
      </c>
    </row>
    <row r="108" spans="3:11" ht="21.95" customHeight="1">
      <c r="J108" s="188" t="str">
        <f t="shared" si="21"/>
        <v/>
      </c>
    </row>
    <row r="109" spans="3:11" ht="21.95" customHeight="1">
      <c r="J109" s="188" t="str">
        <f t="shared" si="21"/>
        <v/>
      </c>
    </row>
    <row r="110" spans="3:11" ht="21.95" customHeight="1">
      <c r="J110" s="188" t="str">
        <f t="shared" si="21"/>
        <v/>
      </c>
    </row>
    <row r="111" spans="3:11" ht="21.95" customHeight="1">
      <c r="J111" s="188" t="str">
        <f t="shared" si="21"/>
        <v/>
      </c>
    </row>
    <row r="112" spans="3:11" ht="21.95" customHeight="1">
      <c r="J112" s="188" t="str">
        <f t="shared" si="21"/>
        <v/>
      </c>
    </row>
    <row r="113" spans="10:10" ht="21.95" customHeight="1">
      <c r="J113" s="188" t="str">
        <f t="shared" si="21"/>
        <v/>
      </c>
    </row>
    <row r="114" spans="10:10" ht="21.95" customHeight="1">
      <c r="J114" s="188" t="str">
        <f t="shared" si="21"/>
        <v/>
      </c>
    </row>
  </sheetData>
  <phoneticPr fontId="36" type="noConversion"/>
  <dataValidations count="1">
    <dataValidation type="list" allowBlank="1" showInputMessage="1" showErrorMessage="1" sqref="K8:K103" xr:uid="{DE787D2B-87B3-4568-BE7A-70C4BF5960FD}">
      <formula1>uom_type_option</formula1>
    </dataValidation>
  </dataValidations>
  <printOptions horizontalCentered="1"/>
  <pageMargins left="0" right="0" top="0.19685039370078741" bottom="0.31496062992125984" header="0" footer="0.15748031496062992"/>
  <pageSetup paperSize="9" scale="95" orientation="portrait" horizontalDpi="1200" verticalDpi="1200" r:id="rId1"/>
  <headerFooter>
    <oddFooter>&amp;CPage &amp;P of &amp;N</oddFooter>
  </headerFooter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CC7F9-C536-47FD-A779-FD1AA0B93D70}">
  <sheetPr codeName="Sheet38"/>
  <dimension ref="C1:AI71"/>
  <sheetViews>
    <sheetView showGridLines="0" zoomScale="90" zoomScaleNormal="90" workbookViewId="0">
      <pane ySplit="7" topLeftCell="A59" activePane="bottomLeft" state="frozen"/>
      <selection pane="bottomLeft" activeCell="L61" sqref="L61"/>
    </sheetView>
  </sheetViews>
  <sheetFormatPr defaultRowHeight="20.100000000000001" customHeight="1"/>
  <cols>
    <col min="3" max="3" width="7.140625" style="168" customWidth="1"/>
    <col min="4" max="5" width="17.5703125" style="168" customWidth="1"/>
    <col min="6" max="6" width="21" style="188" customWidth="1"/>
    <col min="7" max="7" width="23.85546875" style="188" customWidth="1"/>
    <col min="8" max="8" width="18.5703125" style="168" customWidth="1"/>
    <col min="9" max="9" width="23.7109375" style="168" customWidth="1"/>
    <col min="10" max="10" width="20.28515625" style="168" customWidth="1"/>
    <col min="12" max="12" width="21.42578125" style="13" customWidth="1"/>
    <col min="13" max="13" width="14.7109375" style="13" customWidth="1"/>
    <col min="14" max="14" width="12.42578125" style="13" customWidth="1"/>
    <col min="15" max="15" width="16.85546875" style="121" customWidth="1"/>
    <col min="16" max="16" width="12" style="13" customWidth="1"/>
    <col min="17" max="17" width="15.85546875" style="121" bestFit="1" customWidth="1"/>
    <col min="19" max="19" width="21.28515625" customWidth="1"/>
  </cols>
  <sheetData>
    <row r="1" spans="3:35" ht="58.5" customHeight="1">
      <c r="C1" s="544" t="s">
        <v>2029</v>
      </c>
      <c r="D1" s="522"/>
      <c r="E1" s="522"/>
      <c r="F1" s="522"/>
      <c r="G1" s="522"/>
      <c r="H1" s="522"/>
      <c r="I1" s="522"/>
      <c r="J1" s="522"/>
    </row>
    <row r="2" spans="3:35" ht="33.75" customHeight="1">
      <c r="C2" s="337" t="s">
        <v>2020</v>
      </c>
      <c r="D2" s="2"/>
      <c r="E2" s="2100" t="s">
        <v>4713</v>
      </c>
      <c r="F2" s="2100"/>
      <c r="G2" s="499">
        <f>IF(E2="",0,MID(E2,1,3)*1)</f>
        <v>93</v>
      </c>
      <c r="H2" s="2102" t="str">
        <f>IF(uom_con_main_uom="","",MID(uom_con_main_uom,5,100)&amp;" = "&amp;IF(uom_con_middle_value_uom="",0,uom_con_middle_value_uom)&amp;" "&amp;MID(uom_con_small_uom,5,100)&amp;IF(uom_con_middle_uom="",""," = "&amp;IF(uom_con_small_value_uom="",0,uom_con_small_value_uom)&amp;" "&amp;MID(uom_con_middle_uom,5,100)))</f>
        <v>Coil/250m = 250 m</v>
      </c>
      <c r="I2" s="2102"/>
      <c r="J2" s="2102"/>
      <c r="L2" s="500"/>
      <c r="M2" s="500"/>
      <c r="N2" s="501"/>
    </row>
    <row r="3" spans="3:35" ht="24.95" customHeight="1">
      <c r="C3" s="188" t="s">
        <v>2022</v>
      </c>
      <c r="D3" s="13"/>
      <c r="E3" s="2101" t="s">
        <v>4714</v>
      </c>
      <c r="F3" s="2101"/>
      <c r="G3" s="495">
        <f>IF(uom_con_small_uom="",0,MID(uom_con_small_uom,1,3)*1)</f>
        <v>16</v>
      </c>
      <c r="I3" s="225" t="s">
        <v>2024</v>
      </c>
      <c r="J3" s="497">
        <v>250</v>
      </c>
      <c r="L3" s="500" t="s">
        <v>2034</v>
      </c>
      <c r="M3" s="500" t="str">
        <f>IF(uom_con_main_uom_id="","",IF(uom_con_middle_value_uom="",0,uom_con_middle_value_uom)&amp;";"&amp;IF(uom_con_small_value_uom="",0,uom_con_small_value_uom))</f>
        <v>250;0</v>
      </c>
      <c r="N3" s="501"/>
    </row>
    <row r="4" spans="3:35" ht="24.95" customHeight="1">
      <c r="C4" s="188" t="s">
        <v>2021</v>
      </c>
      <c r="D4" s="13"/>
      <c r="E4" s="2101"/>
      <c r="F4" s="2101"/>
      <c r="G4" s="495">
        <f>IF(uom_con_middle_uom="",0,MID(uom_con_middle_uom,1,3)*1)</f>
        <v>0</v>
      </c>
      <c r="H4" s="13"/>
      <c r="I4" s="225" t="s">
        <v>2023</v>
      </c>
      <c r="J4" s="496"/>
      <c r="L4" s="500" t="s">
        <v>2028</v>
      </c>
      <c r="M4" s="500" t="str">
        <f>IF(uom_con_main_uom_id="","",_xlfn.TEXTJOIN(";",TRUE,G3:G4))</f>
        <v>16;0</v>
      </c>
      <c r="N4" s="501"/>
    </row>
    <row r="5" spans="3:35" ht="12.75" customHeight="1">
      <c r="C5" s="13"/>
      <c r="D5" s="13"/>
      <c r="E5" s="13"/>
      <c r="F5" s="13"/>
      <c r="G5" s="13"/>
      <c r="H5" s="13"/>
      <c r="I5" s="13"/>
      <c r="J5" s="13"/>
      <c r="L5" s="498"/>
      <c r="M5" s="498"/>
    </row>
    <row r="6" spans="3:35" ht="27.75" customHeight="1">
      <c r="C6" s="543" t="s">
        <v>47</v>
      </c>
      <c r="D6" s="543" t="s">
        <v>1831</v>
      </c>
      <c r="E6" s="543" t="s">
        <v>1832</v>
      </c>
      <c r="F6" s="543" t="s">
        <v>2025</v>
      </c>
      <c r="G6" s="543" t="s">
        <v>2026</v>
      </c>
      <c r="H6" s="543" t="s">
        <v>1833</v>
      </c>
      <c r="I6" s="543" t="s">
        <v>1834</v>
      </c>
      <c r="J6" s="543" t="s">
        <v>187</v>
      </c>
      <c r="L6" s="13" t="s">
        <v>3009</v>
      </c>
      <c r="Q6" s="127"/>
      <c r="AE6" s="339" t="s">
        <v>47</v>
      </c>
      <c r="AF6" s="339" t="s">
        <v>1560</v>
      </c>
      <c r="AG6" s="339" t="s">
        <v>1529</v>
      </c>
      <c r="AH6" s="339" t="s">
        <v>1505</v>
      </c>
      <c r="AI6" s="339" t="s">
        <v>187</v>
      </c>
    </row>
    <row r="7" spans="3:35" s="146" customFormat="1" ht="18.75" customHeight="1">
      <c r="C7" s="523" t="s">
        <v>214</v>
      </c>
      <c r="D7" s="523" t="s">
        <v>2030</v>
      </c>
      <c r="E7" s="523" t="s">
        <v>2031</v>
      </c>
      <c r="F7" s="523" t="s">
        <v>2027</v>
      </c>
      <c r="G7" s="523" t="s">
        <v>2028</v>
      </c>
      <c r="H7" s="523" t="s">
        <v>2032</v>
      </c>
      <c r="I7" s="523" t="s">
        <v>2033</v>
      </c>
      <c r="J7" s="523" t="s">
        <v>1645</v>
      </c>
      <c r="L7" s="493"/>
      <c r="M7" s="493"/>
      <c r="N7" s="493"/>
      <c r="O7" s="494"/>
      <c r="P7" s="493"/>
      <c r="Q7" s="494"/>
      <c r="AE7" s="252" t="s">
        <v>10</v>
      </c>
      <c r="AF7" s="252" t="s">
        <v>637</v>
      </c>
      <c r="AG7" s="252" t="s">
        <v>12</v>
      </c>
      <c r="AH7" s="252" t="s">
        <v>16</v>
      </c>
      <c r="AI7" s="252" t="s">
        <v>350</v>
      </c>
    </row>
    <row r="8" spans="3:35" ht="20.100000000000001" customHeight="1">
      <c r="C8" s="168">
        <v>1</v>
      </c>
      <c r="D8" s="168">
        <v>25</v>
      </c>
      <c r="E8" s="168">
        <v>2</v>
      </c>
      <c r="F8" s="188" t="s">
        <v>2165</v>
      </c>
      <c r="G8" s="188" t="s">
        <v>2172</v>
      </c>
      <c r="H8" s="168">
        <v>6</v>
      </c>
      <c r="I8" s="168">
        <v>1</v>
      </c>
      <c r="J8" s="168">
        <v>1</v>
      </c>
      <c r="AE8" s="13"/>
      <c r="AF8" s="13"/>
      <c r="AG8" s="121"/>
      <c r="AH8" s="121"/>
      <c r="AI8" s="13"/>
    </row>
    <row r="9" spans="3:35" ht="20.100000000000001" customHeight="1">
      <c r="C9" s="168">
        <v>2</v>
      </c>
      <c r="D9" s="168">
        <v>26</v>
      </c>
      <c r="E9" s="168">
        <v>2</v>
      </c>
      <c r="F9" s="188" t="s">
        <v>2164</v>
      </c>
      <c r="G9" s="188" t="s">
        <v>2172</v>
      </c>
      <c r="H9" s="168">
        <v>12</v>
      </c>
      <c r="I9" s="168">
        <v>1</v>
      </c>
      <c r="J9" s="168">
        <v>1</v>
      </c>
      <c r="M9" s="1540"/>
      <c r="Q9" s="183"/>
      <c r="AE9" s="13"/>
      <c r="AF9" s="13"/>
      <c r="AG9" s="121"/>
      <c r="AH9" s="121"/>
      <c r="AI9" s="13"/>
    </row>
    <row r="10" spans="3:35" ht="20.100000000000001" customHeight="1">
      <c r="C10" s="168">
        <v>3</v>
      </c>
      <c r="D10" s="168">
        <v>29</v>
      </c>
      <c r="E10" s="168">
        <v>2</v>
      </c>
      <c r="F10" s="188" t="s">
        <v>2167</v>
      </c>
      <c r="G10" s="188" t="s">
        <v>2172</v>
      </c>
      <c r="H10" s="168">
        <v>4</v>
      </c>
      <c r="I10" s="168">
        <v>1</v>
      </c>
      <c r="J10" s="168">
        <v>1</v>
      </c>
      <c r="M10" s="1540"/>
      <c r="Q10" s="183"/>
      <c r="AE10" s="13"/>
      <c r="AF10" s="13"/>
      <c r="AG10" s="121"/>
      <c r="AH10" s="121"/>
      <c r="AI10" s="13"/>
    </row>
    <row r="11" spans="3:35" ht="20.100000000000001" customHeight="1">
      <c r="C11" s="168">
        <v>4</v>
      </c>
      <c r="D11" s="168">
        <v>30</v>
      </c>
      <c r="E11" s="168">
        <v>2</v>
      </c>
      <c r="F11" s="188" t="s">
        <v>2168</v>
      </c>
      <c r="G11" s="188" t="s">
        <v>2172</v>
      </c>
      <c r="H11" s="168">
        <v>12</v>
      </c>
      <c r="I11" s="168">
        <v>1</v>
      </c>
      <c r="J11" s="168">
        <v>1</v>
      </c>
      <c r="M11" s="1540"/>
      <c r="Q11" s="183"/>
      <c r="AE11" s="13"/>
      <c r="AF11" s="13"/>
      <c r="AG11" s="121"/>
      <c r="AH11" s="121"/>
      <c r="AI11" s="13"/>
    </row>
    <row r="12" spans="3:35" ht="20.100000000000001" customHeight="1">
      <c r="C12" s="168">
        <v>5</v>
      </c>
      <c r="D12" s="168">
        <v>31</v>
      </c>
      <c r="E12" s="168">
        <v>2</v>
      </c>
      <c r="F12" s="188" t="s">
        <v>2704</v>
      </c>
      <c r="G12" s="188" t="s">
        <v>2172</v>
      </c>
      <c r="H12" s="168">
        <v>20</v>
      </c>
      <c r="I12" s="168">
        <v>1</v>
      </c>
      <c r="J12" s="168">
        <v>1</v>
      </c>
      <c r="M12" s="1540"/>
      <c r="Q12" s="183"/>
      <c r="AE12" s="13"/>
      <c r="AF12" s="13"/>
      <c r="AG12" s="121"/>
      <c r="AH12" s="121"/>
      <c r="AI12" s="13"/>
    </row>
    <row r="13" spans="3:35" ht="20.100000000000001" customHeight="1">
      <c r="C13" s="168">
        <v>6</v>
      </c>
      <c r="D13" s="168">
        <v>32</v>
      </c>
      <c r="E13" s="168">
        <v>2</v>
      </c>
      <c r="F13" s="188" t="s">
        <v>2590</v>
      </c>
      <c r="G13" s="188" t="s">
        <v>2172</v>
      </c>
      <c r="H13" s="168">
        <v>24</v>
      </c>
      <c r="I13" s="168">
        <v>1</v>
      </c>
      <c r="J13" s="168">
        <v>1</v>
      </c>
      <c r="M13" s="1540"/>
      <c r="Q13" s="183"/>
      <c r="AE13" s="13"/>
      <c r="AF13" s="13"/>
      <c r="AG13" s="121"/>
      <c r="AH13" s="121"/>
      <c r="AI13" s="13"/>
    </row>
    <row r="14" spans="3:35" ht="20.100000000000001" customHeight="1">
      <c r="C14" s="168">
        <v>7</v>
      </c>
      <c r="D14" s="168">
        <v>33</v>
      </c>
      <c r="E14" s="168">
        <v>2</v>
      </c>
      <c r="F14" s="188" t="s">
        <v>2591</v>
      </c>
      <c r="G14" s="188" t="s">
        <v>2172</v>
      </c>
      <c r="H14" s="168">
        <v>25</v>
      </c>
      <c r="I14" s="168">
        <v>1</v>
      </c>
      <c r="J14" s="168">
        <v>1</v>
      </c>
      <c r="M14" s="1540"/>
      <c r="Q14" s="183"/>
      <c r="AE14" s="13"/>
      <c r="AF14" s="13"/>
      <c r="AG14" s="121"/>
      <c r="AH14" s="121"/>
      <c r="AI14" s="13"/>
    </row>
    <row r="15" spans="3:35" ht="20.100000000000001" customHeight="1">
      <c r="C15" s="168">
        <v>8</v>
      </c>
      <c r="D15" s="168">
        <v>34</v>
      </c>
      <c r="E15" s="168">
        <v>2</v>
      </c>
      <c r="F15" s="188" t="s">
        <v>2705</v>
      </c>
      <c r="G15" s="188" t="s">
        <v>2172</v>
      </c>
      <c r="H15" s="168">
        <v>50</v>
      </c>
      <c r="I15" s="168">
        <v>1</v>
      </c>
      <c r="J15" s="168">
        <v>1</v>
      </c>
      <c r="M15" s="1540"/>
      <c r="AE15" s="13"/>
      <c r="AF15" s="13"/>
      <c r="AG15" s="121"/>
      <c r="AH15" s="121"/>
      <c r="AI15" s="13"/>
    </row>
    <row r="16" spans="3:35" ht="20.100000000000001" customHeight="1">
      <c r="C16" s="168">
        <v>9</v>
      </c>
      <c r="D16" s="168">
        <v>35</v>
      </c>
      <c r="E16" s="168">
        <v>2</v>
      </c>
      <c r="F16" s="188" t="s">
        <v>2588</v>
      </c>
      <c r="G16" s="188" t="s">
        <v>2172</v>
      </c>
      <c r="H16" s="168">
        <v>100</v>
      </c>
      <c r="I16" s="168">
        <v>1</v>
      </c>
      <c r="J16" s="168">
        <v>1</v>
      </c>
      <c r="M16" s="1540"/>
      <c r="AE16" s="13"/>
      <c r="AF16" s="13"/>
      <c r="AG16" s="121"/>
      <c r="AH16" s="121"/>
      <c r="AI16" s="13"/>
    </row>
    <row r="17" spans="3:35" ht="20.100000000000001" customHeight="1">
      <c r="C17" s="168">
        <v>10</v>
      </c>
      <c r="D17" s="168">
        <v>36</v>
      </c>
      <c r="E17" s="168">
        <v>2</v>
      </c>
      <c r="F17" s="188" t="s">
        <v>2706</v>
      </c>
      <c r="G17" s="188" t="s">
        <v>2172</v>
      </c>
      <c r="H17" s="168">
        <v>150</v>
      </c>
      <c r="I17" s="168">
        <v>1</v>
      </c>
      <c r="J17" s="168">
        <v>1</v>
      </c>
      <c r="M17" s="1540"/>
      <c r="AE17" s="13"/>
      <c r="AF17" s="13"/>
      <c r="AG17" s="121"/>
      <c r="AH17" s="121"/>
      <c r="AI17" s="13"/>
    </row>
    <row r="18" spans="3:35" ht="20.100000000000001" customHeight="1">
      <c r="C18" s="168">
        <v>11</v>
      </c>
      <c r="D18" s="168">
        <v>37</v>
      </c>
      <c r="E18" s="168">
        <v>2</v>
      </c>
      <c r="F18" s="188" t="s">
        <v>2707</v>
      </c>
      <c r="G18" s="188" t="s">
        <v>2172</v>
      </c>
      <c r="H18" s="168">
        <v>180</v>
      </c>
      <c r="I18" s="168">
        <v>1</v>
      </c>
      <c r="J18" s="168">
        <v>1</v>
      </c>
      <c r="M18" s="1540"/>
      <c r="AE18" s="13"/>
      <c r="AF18" s="13"/>
      <c r="AG18" s="121"/>
      <c r="AH18" s="121"/>
      <c r="AI18" s="13"/>
    </row>
    <row r="19" spans="3:35" ht="20.100000000000001" customHeight="1">
      <c r="C19" s="168">
        <v>12</v>
      </c>
      <c r="D19" s="168">
        <v>38</v>
      </c>
      <c r="E19" s="168">
        <v>2</v>
      </c>
      <c r="F19" s="188" t="s">
        <v>2708</v>
      </c>
      <c r="G19" s="188" t="s">
        <v>2172</v>
      </c>
      <c r="H19" s="168">
        <v>216</v>
      </c>
      <c r="I19" s="168">
        <v>1</v>
      </c>
      <c r="J19" s="168">
        <v>1</v>
      </c>
      <c r="M19" s="1540"/>
      <c r="AE19" s="13"/>
      <c r="AF19" s="13"/>
      <c r="AG19" s="121"/>
      <c r="AH19" s="121"/>
      <c r="AI19" s="13"/>
    </row>
    <row r="20" spans="3:35" ht="20.100000000000001" customHeight="1">
      <c r="C20" s="168">
        <v>13</v>
      </c>
      <c r="D20" s="168">
        <v>39</v>
      </c>
      <c r="E20" s="168">
        <v>2</v>
      </c>
      <c r="F20" s="188" t="s">
        <v>2709</v>
      </c>
      <c r="G20" s="188" t="s">
        <v>2172</v>
      </c>
      <c r="H20" s="168">
        <v>270</v>
      </c>
      <c r="I20" s="168">
        <v>1</v>
      </c>
      <c r="J20" s="168">
        <v>1</v>
      </c>
      <c r="M20" s="1540"/>
      <c r="AE20" s="13"/>
      <c r="AF20" s="13"/>
      <c r="AG20" s="121"/>
      <c r="AH20" s="121"/>
      <c r="AI20" s="13"/>
    </row>
    <row r="21" spans="3:35" ht="20.100000000000001" customHeight="1">
      <c r="C21" s="168">
        <v>14</v>
      </c>
      <c r="D21" s="168">
        <v>40</v>
      </c>
      <c r="E21" s="168">
        <v>2</v>
      </c>
      <c r="F21" s="188" t="s">
        <v>2710</v>
      </c>
      <c r="G21" s="188" t="s">
        <v>2172</v>
      </c>
      <c r="H21" s="168">
        <v>288</v>
      </c>
      <c r="I21" s="168">
        <v>1</v>
      </c>
      <c r="J21" s="168">
        <v>1</v>
      </c>
      <c r="M21" s="1540"/>
      <c r="AE21" s="13"/>
      <c r="AF21" s="13"/>
      <c r="AG21" s="121"/>
      <c r="AH21" s="121"/>
      <c r="AI21" s="13"/>
    </row>
    <row r="22" spans="3:35" ht="20.100000000000001" customHeight="1">
      <c r="C22" s="168">
        <v>15</v>
      </c>
      <c r="D22" s="168">
        <v>41</v>
      </c>
      <c r="E22" s="168">
        <v>2</v>
      </c>
      <c r="F22" s="188" t="s">
        <v>2711</v>
      </c>
      <c r="G22" s="188" t="s">
        <v>2172</v>
      </c>
      <c r="H22" s="168">
        <v>378</v>
      </c>
      <c r="I22" s="168">
        <v>1</v>
      </c>
      <c r="J22" s="168">
        <v>1</v>
      </c>
      <c r="M22" s="1540"/>
      <c r="AE22" s="13"/>
      <c r="AF22" s="13"/>
      <c r="AG22" s="121"/>
      <c r="AH22" s="121"/>
      <c r="AI22" s="13"/>
    </row>
    <row r="23" spans="3:35" ht="20.100000000000001" customHeight="1">
      <c r="C23" s="168">
        <v>16</v>
      </c>
      <c r="D23" s="168">
        <v>42</v>
      </c>
      <c r="E23" s="168">
        <v>9</v>
      </c>
      <c r="F23" s="188" t="s">
        <v>2712</v>
      </c>
      <c r="G23" s="188" t="s">
        <v>2145</v>
      </c>
      <c r="H23" s="168">
        <v>4</v>
      </c>
      <c r="I23" s="168">
        <v>1</v>
      </c>
      <c r="J23" s="168">
        <v>1</v>
      </c>
      <c r="M23" s="1540"/>
      <c r="AE23" s="13"/>
      <c r="AF23" s="13"/>
      <c r="AG23" s="121"/>
      <c r="AH23" s="121"/>
      <c r="AI23" s="13"/>
    </row>
    <row r="24" spans="3:35" ht="20.100000000000001" customHeight="1">
      <c r="C24" s="168">
        <v>17</v>
      </c>
      <c r="D24" s="168">
        <v>43</v>
      </c>
      <c r="E24" s="168">
        <v>9</v>
      </c>
      <c r="F24" s="188" t="s">
        <v>2713</v>
      </c>
      <c r="G24" s="188" t="s">
        <v>2145</v>
      </c>
      <c r="H24" s="168">
        <v>12</v>
      </c>
      <c r="I24" s="168">
        <v>1</v>
      </c>
      <c r="J24" s="168">
        <v>1</v>
      </c>
      <c r="M24" s="1540"/>
      <c r="AE24" s="13"/>
      <c r="AF24" s="13"/>
      <c r="AG24" s="121"/>
      <c r="AH24" s="121"/>
      <c r="AI24" s="13"/>
    </row>
    <row r="25" spans="3:35" ht="20.100000000000001" customHeight="1">
      <c r="C25" s="168">
        <v>18</v>
      </c>
      <c r="D25" s="168">
        <v>44</v>
      </c>
      <c r="E25" s="168">
        <v>3</v>
      </c>
      <c r="F25" s="188" t="s">
        <v>2589</v>
      </c>
      <c r="G25" s="188" t="s">
        <v>2148</v>
      </c>
      <c r="H25" s="168">
        <v>24</v>
      </c>
      <c r="I25" s="168">
        <v>1</v>
      </c>
      <c r="J25" s="168">
        <v>1</v>
      </c>
      <c r="AE25" s="13"/>
      <c r="AF25" s="13"/>
      <c r="AG25" s="121"/>
      <c r="AH25" s="121"/>
      <c r="AI25" s="13"/>
    </row>
    <row r="26" spans="3:35" ht="20.100000000000001" customHeight="1">
      <c r="C26" s="168">
        <v>19</v>
      </c>
      <c r="D26" s="168">
        <v>45</v>
      </c>
      <c r="E26" s="168">
        <v>16</v>
      </c>
      <c r="F26" s="188" t="s">
        <v>2161</v>
      </c>
      <c r="G26" s="188" t="s">
        <v>2134</v>
      </c>
      <c r="H26" s="168">
        <v>50</v>
      </c>
      <c r="I26" s="168">
        <v>1</v>
      </c>
      <c r="J26" s="168">
        <v>1</v>
      </c>
      <c r="AE26" s="13"/>
      <c r="AF26" s="13"/>
      <c r="AG26" s="121"/>
      <c r="AH26" s="121"/>
      <c r="AI26" s="13"/>
    </row>
    <row r="27" spans="3:35" ht="20.100000000000001" customHeight="1">
      <c r="C27" s="168">
        <v>20</v>
      </c>
      <c r="D27" s="168">
        <v>46</v>
      </c>
      <c r="E27" s="168">
        <v>11</v>
      </c>
      <c r="F27" s="188" t="s">
        <v>2714</v>
      </c>
      <c r="G27" s="188" t="s">
        <v>2160</v>
      </c>
      <c r="H27" s="168">
        <v>4500</v>
      </c>
      <c r="I27" s="168">
        <v>1</v>
      </c>
      <c r="J27" s="168">
        <v>1</v>
      </c>
    </row>
    <row r="28" spans="3:35" ht="20.100000000000001" customHeight="1">
      <c r="C28" s="168">
        <v>21</v>
      </c>
      <c r="D28" s="168">
        <v>47</v>
      </c>
      <c r="E28" s="168">
        <v>2</v>
      </c>
      <c r="F28" s="188" t="s">
        <v>2166</v>
      </c>
      <c r="G28" s="188" t="s">
        <v>2172</v>
      </c>
      <c r="H28" s="168">
        <v>6</v>
      </c>
      <c r="I28" s="168">
        <v>1</v>
      </c>
      <c r="J28" s="168">
        <v>1</v>
      </c>
    </row>
    <row r="29" spans="3:35" ht="20.100000000000001" customHeight="1">
      <c r="C29" s="168">
        <v>22</v>
      </c>
      <c r="D29" s="168">
        <v>48</v>
      </c>
      <c r="E29" s="168">
        <v>8</v>
      </c>
      <c r="F29" s="188" t="s">
        <v>2592</v>
      </c>
      <c r="G29" s="188" t="s">
        <v>2132</v>
      </c>
      <c r="H29" s="168">
        <v>12</v>
      </c>
      <c r="I29" s="168">
        <v>1</v>
      </c>
      <c r="J29" s="168">
        <v>1</v>
      </c>
    </row>
    <row r="30" spans="3:35" ht="20.100000000000001" customHeight="1">
      <c r="C30" s="168">
        <v>23</v>
      </c>
      <c r="D30" s="168">
        <v>49</v>
      </c>
      <c r="E30" s="168">
        <v>2</v>
      </c>
      <c r="F30" s="188" t="s">
        <v>2169</v>
      </c>
      <c r="G30" s="188" t="s">
        <v>2172</v>
      </c>
      <c r="H30" s="168">
        <v>12</v>
      </c>
      <c r="I30" s="168">
        <v>1</v>
      </c>
      <c r="J30" s="168">
        <v>1</v>
      </c>
    </row>
    <row r="31" spans="3:35" ht="20.100000000000001" customHeight="1">
      <c r="C31" s="168">
        <v>24</v>
      </c>
      <c r="D31" s="168">
        <v>50</v>
      </c>
      <c r="E31" s="168">
        <v>12</v>
      </c>
      <c r="F31" s="188" t="s">
        <v>2612</v>
      </c>
      <c r="G31" s="188" t="s">
        <v>2685</v>
      </c>
      <c r="H31" s="168">
        <v>50</v>
      </c>
      <c r="I31" s="168">
        <v>1</v>
      </c>
      <c r="J31" s="168">
        <v>1</v>
      </c>
    </row>
    <row r="32" spans="3:35" ht="19.5" customHeight="1">
      <c r="C32" s="1499">
        <v>25</v>
      </c>
      <c r="D32" s="1499">
        <v>51</v>
      </c>
      <c r="E32" s="1499">
        <v>22</v>
      </c>
      <c r="F32" s="1578" t="s">
        <v>2715</v>
      </c>
      <c r="G32" s="1578" t="s">
        <v>2609</v>
      </c>
      <c r="H32" s="1499">
        <v>20</v>
      </c>
      <c r="I32" s="1499">
        <v>0</v>
      </c>
      <c r="J32" s="1499">
        <v>1</v>
      </c>
    </row>
    <row r="33" spans="3:10" ht="20.100000000000001" customHeight="1">
      <c r="C33" s="1499">
        <v>26</v>
      </c>
      <c r="D33" s="1499">
        <v>51</v>
      </c>
      <c r="E33" s="1499">
        <v>12</v>
      </c>
      <c r="F33" s="1578" t="s">
        <v>2715</v>
      </c>
      <c r="G33" s="1578" t="s">
        <v>2685</v>
      </c>
      <c r="H33" s="1499">
        <v>1000</v>
      </c>
      <c r="I33" s="1499">
        <v>1</v>
      </c>
      <c r="J33" s="1499">
        <v>1</v>
      </c>
    </row>
    <row r="34" spans="3:10" ht="20.100000000000001" customHeight="1">
      <c r="C34" s="168">
        <v>27</v>
      </c>
      <c r="D34" s="168">
        <v>53</v>
      </c>
      <c r="E34" s="168">
        <v>16</v>
      </c>
      <c r="F34" s="188" t="s">
        <v>2618</v>
      </c>
      <c r="G34" s="188" t="s">
        <v>2134</v>
      </c>
      <c r="H34" s="168">
        <v>4</v>
      </c>
      <c r="I34" s="168">
        <v>1</v>
      </c>
      <c r="J34" s="168">
        <v>1</v>
      </c>
    </row>
    <row r="35" spans="3:10" ht="20.100000000000001" customHeight="1">
      <c r="C35" s="168">
        <v>28</v>
      </c>
      <c r="D35" s="168">
        <v>54</v>
      </c>
      <c r="E35" s="168">
        <v>16</v>
      </c>
      <c r="F35" s="188" t="s">
        <v>2616</v>
      </c>
      <c r="G35" s="188" t="s">
        <v>2134</v>
      </c>
      <c r="H35" s="168">
        <v>12</v>
      </c>
      <c r="I35" s="168">
        <v>1</v>
      </c>
      <c r="J35" s="168">
        <v>1</v>
      </c>
    </row>
    <row r="36" spans="3:10" ht="20.100000000000001" customHeight="1">
      <c r="C36" s="168">
        <v>29</v>
      </c>
      <c r="D36" s="168">
        <v>56</v>
      </c>
      <c r="E36" s="168">
        <v>12</v>
      </c>
      <c r="F36" s="188" t="s">
        <v>3721</v>
      </c>
      <c r="G36" s="188" t="s">
        <v>2685</v>
      </c>
      <c r="H36" s="168">
        <v>20</v>
      </c>
      <c r="I36" s="168">
        <v>1</v>
      </c>
      <c r="J36" s="168">
        <v>1</v>
      </c>
    </row>
    <row r="37" spans="3:10" ht="20.100000000000001" customHeight="1">
      <c r="C37" s="168">
        <v>30</v>
      </c>
      <c r="D37" s="168">
        <v>57</v>
      </c>
      <c r="E37" s="168">
        <v>2</v>
      </c>
      <c r="F37" s="188" t="s">
        <v>3724</v>
      </c>
      <c r="G37" s="188" t="s">
        <v>2172</v>
      </c>
      <c r="H37" s="168">
        <v>50</v>
      </c>
      <c r="I37" s="168">
        <v>1</v>
      </c>
      <c r="J37" s="168">
        <v>1</v>
      </c>
    </row>
    <row r="38" spans="3:10" ht="20.100000000000001" customHeight="1">
      <c r="C38" s="168">
        <v>31</v>
      </c>
      <c r="D38" s="168">
        <v>60</v>
      </c>
      <c r="E38" s="168">
        <v>2</v>
      </c>
      <c r="F38" s="188" t="s">
        <v>3733</v>
      </c>
      <c r="G38" s="188" t="s">
        <v>2172</v>
      </c>
      <c r="H38" s="168">
        <v>30</v>
      </c>
      <c r="I38" s="168">
        <v>1</v>
      </c>
      <c r="J38" s="168">
        <v>1</v>
      </c>
    </row>
    <row r="39" spans="3:10" ht="20.100000000000001" customHeight="1">
      <c r="C39" s="168">
        <v>32</v>
      </c>
      <c r="D39" s="168">
        <v>61</v>
      </c>
      <c r="E39" s="168">
        <v>2</v>
      </c>
      <c r="F39" s="188" t="s">
        <v>3736</v>
      </c>
      <c r="G39" s="188" t="s">
        <v>2172</v>
      </c>
      <c r="H39" s="168">
        <v>6</v>
      </c>
      <c r="I39" s="168">
        <v>1</v>
      </c>
      <c r="J39" s="168">
        <v>1</v>
      </c>
    </row>
    <row r="40" spans="3:10" ht="20.100000000000001" customHeight="1">
      <c r="C40" s="168">
        <v>33</v>
      </c>
      <c r="D40" s="168">
        <v>62</v>
      </c>
      <c r="E40" s="168">
        <v>2</v>
      </c>
      <c r="F40" s="188" t="s">
        <v>3739</v>
      </c>
      <c r="G40" s="188" t="s">
        <v>2172</v>
      </c>
      <c r="H40" s="168">
        <v>80</v>
      </c>
      <c r="I40" s="168">
        <v>1</v>
      </c>
      <c r="J40" s="168">
        <v>1</v>
      </c>
    </row>
    <row r="41" spans="3:10" ht="20.100000000000001" customHeight="1">
      <c r="C41" s="168">
        <v>34</v>
      </c>
      <c r="D41" s="168">
        <v>63</v>
      </c>
      <c r="E41" s="168">
        <v>2</v>
      </c>
      <c r="F41" s="188" t="s">
        <v>3742</v>
      </c>
      <c r="G41" s="188" t="s">
        <v>2172</v>
      </c>
      <c r="H41" s="168">
        <v>8</v>
      </c>
      <c r="I41" s="168">
        <v>1</v>
      </c>
      <c r="J41" s="168">
        <v>1</v>
      </c>
    </row>
    <row r="42" spans="3:10" ht="20.100000000000001" customHeight="1">
      <c r="C42" s="168">
        <v>35</v>
      </c>
      <c r="D42" s="168">
        <v>64</v>
      </c>
      <c r="E42" s="168">
        <v>16</v>
      </c>
      <c r="F42" s="188" t="s">
        <v>3745</v>
      </c>
      <c r="G42" s="188" t="s">
        <v>2134</v>
      </c>
      <c r="H42" s="168">
        <v>100</v>
      </c>
      <c r="I42" s="168">
        <v>1</v>
      </c>
      <c r="J42" s="168">
        <v>1</v>
      </c>
    </row>
    <row r="43" spans="3:10" ht="20.100000000000001" customHeight="1">
      <c r="C43" s="168">
        <v>36</v>
      </c>
      <c r="D43" s="168">
        <v>65</v>
      </c>
      <c r="E43" s="168">
        <v>16</v>
      </c>
      <c r="F43" s="188" t="s">
        <v>3748</v>
      </c>
      <c r="G43" s="188" t="s">
        <v>2134</v>
      </c>
      <c r="H43" s="168">
        <v>30</v>
      </c>
      <c r="I43" s="168">
        <v>1</v>
      </c>
      <c r="J43" s="168">
        <v>1</v>
      </c>
    </row>
    <row r="44" spans="3:10" ht="20.100000000000001" customHeight="1">
      <c r="C44" s="168">
        <v>37</v>
      </c>
      <c r="D44" s="168">
        <v>66</v>
      </c>
      <c r="E44" s="168">
        <v>16</v>
      </c>
      <c r="F44" s="188" t="s">
        <v>3751</v>
      </c>
      <c r="G44" s="188" t="s">
        <v>2134</v>
      </c>
      <c r="H44" s="168">
        <v>80</v>
      </c>
      <c r="I44" s="168">
        <v>1</v>
      </c>
      <c r="J44" s="168">
        <v>1</v>
      </c>
    </row>
    <row r="45" spans="3:10" ht="20.100000000000001" customHeight="1">
      <c r="C45" s="168">
        <v>38</v>
      </c>
      <c r="D45" s="168">
        <v>67</v>
      </c>
      <c r="E45" s="168">
        <v>2</v>
      </c>
      <c r="F45" s="188" t="s">
        <v>3754</v>
      </c>
      <c r="G45" s="188" t="s">
        <v>2172</v>
      </c>
      <c r="H45" s="168">
        <v>100</v>
      </c>
      <c r="I45" s="168">
        <v>1</v>
      </c>
      <c r="J45" s="168">
        <v>1</v>
      </c>
    </row>
    <row r="46" spans="3:10" ht="20.100000000000001" customHeight="1">
      <c r="C46" s="168">
        <v>39</v>
      </c>
      <c r="D46" s="168">
        <v>68</v>
      </c>
      <c r="E46" s="168">
        <v>2</v>
      </c>
      <c r="F46" s="188" t="s">
        <v>3757</v>
      </c>
      <c r="G46" s="188" t="s">
        <v>2172</v>
      </c>
      <c r="H46" s="168">
        <v>10</v>
      </c>
      <c r="I46" s="168">
        <v>1</v>
      </c>
      <c r="J46" s="168">
        <v>1</v>
      </c>
    </row>
    <row r="47" spans="3:10" ht="20.100000000000001" customHeight="1">
      <c r="C47" s="168">
        <v>40</v>
      </c>
      <c r="D47" s="168">
        <v>69</v>
      </c>
      <c r="E47" s="168">
        <v>55</v>
      </c>
      <c r="F47" s="188" t="s">
        <v>3760</v>
      </c>
      <c r="G47" s="188" t="s">
        <v>3718</v>
      </c>
      <c r="H47" s="168">
        <v>10</v>
      </c>
      <c r="I47" s="168">
        <v>1</v>
      </c>
      <c r="J47" s="168">
        <v>1</v>
      </c>
    </row>
    <row r="48" spans="3:10" ht="20.100000000000001" customHeight="1">
      <c r="C48" s="168">
        <v>41</v>
      </c>
      <c r="D48" s="168">
        <v>70</v>
      </c>
      <c r="E48" s="168">
        <v>16</v>
      </c>
      <c r="F48" s="188" t="s">
        <v>3763</v>
      </c>
      <c r="G48" s="188" t="s">
        <v>2134</v>
      </c>
      <c r="H48" s="168">
        <v>6</v>
      </c>
      <c r="I48" s="168">
        <v>1</v>
      </c>
      <c r="J48" s="168">
        <v>1</v>
      </c>
    </row>
    <row r="49" spans="3:10" ht="20.100000000000001" customHeight="1">
      <c r="C49" s="168">
        <v>42</v>
      </c>
      <c r="D49" s="168">
        <v>72</v>
      </c>
      <c r="E49" s="168">
        <v>71</v>
      </c>
      <c r="F49" s="188" t="s">
        <v>4132</v>
      </c>
      <c r="G49" s="188" t="s">
        <v>4126</v>
      </c>
      <c r="H49" s="168">
        <v>35</v>
      </c>
      <c r="I49" s="168">
        <v>1</v>
      </c>
      <c r="J49" s="168">
        <v>1</v>
      </c>
    </row>
    <row r="50" spans="3:10" ht="20.100000000000001" customHeight="1">
      <c r="C50" s="168">
        <v>43</v>
      </c>
      <c r="D50" s="168">
        <v>73</v>
      </c>
      <c r="E50" s="168">
        <v>55</v>
      </c>
      <c r="F50" s="188" t="s">
        <v>4135</v>
      </c>
      <c r="G50" s="188" t="s">
        <v>3718</v>
      </c>
      <c r="H50" s="168">
        <v>10</v>
      </c>
      <c r="I50" s="168">
        <v>1</v>
      </c>
      <c r="J50" s="168">
        <v>1</v>
      </c>
    </row>
    <row r="51" spans="3:10" ht="20.100000000000001" customHeight="1">
      <c r="C51" s="168">
        <v>44</v>
      </c>
      <c r="D51" s="168">
        <v>74</v>
      </c>
      <c r="E51" s="168">
        <v>55</v>
      </c>
      <c r="F51" s="188" t="s">
        <v>4145</v>
      </c>
      <c r="G51" s="188" t="s">
        <v>3718</v>
      </c>
      <c r="H51" s="168">
        <v>10</v>
      </c>
      <c r="I51" s="168">
        <v>0</v>
      </c>
      <c r="J51" s="168">
        <v>1</v>
      </c>
    </row>
    <row r="52" spans="3:10" ht="20.100000000000001" customHeight="1">
      <c r="C52" s="168">
        <v>45</v>
      </c>
      <c r="D52" s="168">
        <v>74</v>
      </c>
      <c r="E52" s="168">
        <v>11</v>
      </c>
      <c r="F52" s="188" t="s">
        <v>4145</v>
      </c>
      <c r="G52" s="188" t="s">
        <v>2160</v>
      </c>
      <c r="H52" s="168">
        <v>1000</v>
      </c>
      <c r="I52" s="168">
        <v>1</v>
      </c>
      <c r="J52" s="168">
        <v>1</v>
      </c>
    </row>
    <row r="53" spans="3:10" ht="20.100000000000001" customHeight="1">
      <c r="C53" s="168">
        <v>46</v>
      </c>
      <c r="D53" s="168">
        <v>75</v>
      </c>
      <c r="E53" s="168">
        <v>2</v>
      </c>
      <c r="F53" s="188" t="s">
        <v>4148</v>
      </c>
      <c r="G53" s="188" t="s">
        <v>2172</v>
      </c>
      <c r="H53" s="168">
        <v>40</v>
      </c>
      <c r="I53" s="168">
        <v>1</v>
      </c>
      <c r="J53" s="168">
        <v>1</v>
      </c>
    </row>
    <row r="54" spans="3:10" ht="20.100000000000001" customHeight="1">
      <c r="C54" s="168">
        <v>47</v>
      </c>
      <c r="D54" s="168">
        <v>76</v>
      </c>
      <c r="E54" s="168">
        <v>18</v>
      </c>
      <c r="F54" s="188" t="s">
        <v>4164</v>
      </c>
      <c r="G54" s="188" t="s">
        <v>2135</v>
      </c>
      <c r="H54" s="168">
        <v>100</v>
      </c>
      <c r="I54" s="168">
        <v>1</v>
      </c>
      <c r="J54" s="168">
        <v>1</v>
      </c>
    </row>
    <row r="55" spans="3:10" ht="20.100000000000001" customHeight="1">
      <c r="C55" s="168">
        <v>48</v>
      </c>
      <c r="D55" s="168">
        <v>77</v>
      </c>
      <c r="E55" s="168">
        <v>2</v>
      </c>
      <c r="F55" s="188" t="s">
        <v>4177</v>
      </c>
      <c r="G55" s="188" t="s">
        <v>2172</v>
      </c>
      <c r="H55" s="168">
        <v>60</v>
      </c>
      <c r="I55" s="168">
        <v>1</v>
      </c>
      <c r="J55" s="168">
        <v>1</v>
      </c>
    </row>
    <row r="56" spans="3:10" ht="20.100000000000001" customHeight="1">
      <c r="C56" s="168">
        <v>49</v>
      </c>
      <c r="D56" s="168">
        <v>78</v>
      </c>
      <c r="E56" s="168">
        <v>16</v>
      </c>
      <c r="F56" s="188" t="s">
        <v>4179</v>
      </c>
      <c r="G56" s="188" t="s">
        <v>2134</v>
      </c>
      <c r="H56" s="168">
        <v>45</v>
      </c>
      <c r="I56" s="168">
        <v>0</v>
      </c>
      <c r="J56" s="168">
        <v>1</v>
      </c>
    </row>
    <row r="57" spans="3:10" ht="20.100000000000001" customHeight="1">
      <c r="C57" s="168">
        <v>50</v>
      </c>
      <c r="D57" s="168">
        <v>78</v>
      </c>
      <c r="E57" s="168">
        <v>79</v>
      </c>
      <c r="F57" s="188" t="s">
        <v>4179</v>
      </c>
      <c r="G57" s="188" t="s">
        <v>4181</v>
      </c>
      <c r="H57" s="168">
        <v>450</v>
      </c>
      <c r="I57" s="168">
        <v>1</v>
      </c>
      <c r="J57" s="168">
        <v>1</v>
      </c>
    </row>
    <row r="58" spans="3:10" ht="20.100000000000001" customHeight="1">
      <c r="C58" s="168">
        <v>51</v>
      </c>
      <c r="D58" s="168">
        <v>81</v>
      </c>
      <c r="E58" s="168">
        <v>80</v>
      </c>
      <c r="F58" s="188" t="s">
        <v>4258</v>
      </c>
      <c r="G58" s="188" t="s">
        <v>4256</v>
      </c>
      <c r="H58" s="168">
        <v>2</v>
      </c>
      <c r="I58" s="168">
        <v>1</v>
      </c>
      <c r="J58" s="168">
        <v>1</v>
      </c>
    </row>
    <row r="59" spans="3:10" ht="20.100000000000001" customHeight="1">
      <c r="C59" s="168">
        <v>52</v>
      </c>
      <c r="D59" s="168">
        <v>82</v>
      </c>
      <c r="E59" s="168">
        <v>55</v>
      </c>
      <c r="F59" s="188" t="s">
        <v>4268</v>
      </c>
      <c r="G59" s="188" t="s">
        <v>3718</v>
      </c>
      <c r="H59" s="168">
        <v>45</v>
      </c>
      <c r="I59" s="168">
        <v>1</v>
      </c>
      <c r="J59" s="168">
        <v>1</v>
      </c>
    </row>
    <row r="60" spans="3:10" ht="20.100000000000001" customHeight="1">
      <c r="C60" s="168">
        <v>53</v>
      </c>
      <c r="D60" s="168">
        <v>84</v>
      </c>
      <c r="E60" s="168">
        <v>16</v>
      </c>
      <c r="F60" s="188" t="s">
        <v>4280</v>
      </c>
      <c r="G60" s="188" t="s">
        <v>2134</v>
      </c>
      <c r="H60" s="168">
        <v>100</v>
      </c>
      <c r="I60" s="168">
        <v>0</v>
      </c>
      <c r="J60" s="168">
        <v>1</v>
      </c>
    </row>
    <row r="61" spans="3:10" ht="20.100000000000001" customHeight="1">
      <c r="C61" s="168">
        <v>54</v>
      </c>
      <c r="D61" s="168">
        <v>84</v>
      </c>
      <c r="E61" s="168">
        <v>79</v>
      </c>
      <c r="F61" s="188" t="s">
        <v>4280</v>
      </c>
      <c r="G61" s="188" t="s">
        <v>4181</v>
      </c>
      <c r="H61" s="168">
        <v>1000</v>
      </c>
      <c r="I61" s="168">
        <v>1</v>
      </c>
      <c r="J61" s="168">
        <v>1</v>
      </c>
    </row>
    <row r="62" spans="3:10" ht="20.100000000000001" customHeight="1">
      <c r="C62" s="168">
        <v>55</v>
      </c>
      <c r="D62" s="168">
        <v>85</v>
      </c>
      <c r="E62" s="168">
        <v>16</v>
      </c>
      <c r="F62" s="188" t="s">
        <v>4285</v>
      </c>
      <c r="G62" s="188" t="s">
        <v>2134</v>
      </c>
      <c r="H62" s="168">
        <v>30</v>
      </c>
      <c r="I62" s="168">
        <v>0</v>
      </c>
      <c r="J62" s="168">
        <v>1</v>
      </c>
    </row>
    <row r="63" spans="3:10" ht="20.100000000000001" customHeight="1">
      <c r="C63" s="168">
        <v>56</v>
      </c>
      <c r="D63" s="168">
        <v>85</v>
      </c>
      <c r="E63" s="168">
        <v>79</v>
      </c>
      <c r="F63" s="188" t="s">
        <v>4285</v>
      </c>
      <c r="G63" s="188" t="s">
        <v>4181</v>
      </c>
      <c r="H63" s="168">
        <v>300</v>
      </c>
      <c r="I63" s="168">
        <v>1</v>
      </c>
      <c r="J63" s="168">
        <v>1</v>
      </c>
    </row>
    <row r="64" spans="3:10" ht="20.100000000000001" customHeight="1">
      <c r="C64" s="168">
        <v>57</v>
      </c>
      <c r="D64" s="168">
        <v>86</v>
      </c>
      <c r="E64" s="168">
        <v>16</v>
      </c>
      <c r="F64" s="188" t="s">
        <v>4281</v>
      </c>
      <c r="G64" s="188" t="s">
        <v>2134</v>
      </c>
      <c r="H64" s="168">
        <v>80</v>
      </c>
      <c r="I64" s="168">
        <v>0</v>
      </c>
      <c r="J64" s="168">
        <v>1</v>
      </c>
    </row>
    <row r="65" spans="3:10" ht="20.100000000000001" customHeight="1">
      <c r="C65" s="168">
        <v>58</v>
      </c>
      <c r="D65" s="168">
        <v>86</v>
      </c>
      <c r="E65" s="168">
        <v>79</v>
      </c>
      <c r="F65" s="188" t="s">
        <v>4281</v>
      </c>
      <c r="G65" s="188" t="s">
        <v>4181</v>
      </c>
      <c r="H65" s="168">
        <v>800</v>
      </c>
      <c r="I65" s="168">
        <v>1</v>
      </c>
      <c r="J65" s="168">
        <v>1</v>
      </c>
    </row>
    <row r="66" spans="3:10" ht="20.100000000000001" customHeight="1">
      <c r="C66" s="168">
        <v>59</v>
      </c>
      <c r="D66" s="168">
        <v>87</v>
      </c>
      <c r="E66" s="168">
        <v>2</v>
      </c>
      <c r="F66" s="188" t="s">
        <v>4356</v>
      </c>
      <c r="G66" s="188" t="s">
        <v>2172</v>
      </c>
      <c r="H66" s="168">
        <v>10</v>
      </c>
      <c r="I66" s="168">
        <v>1</v>
      </c>
      <c r="J66" s="168">
        <v>1</v>
      </c>
    </row>
    <row r="67" spans="3:10" ht="20.100000000000001" customHeight="1">
      <c r="C67" s="168">
        <v>60</v>
      </c>
      <c r="D67" s="168">
        <v>88</v>
      </c>
      <c r="E67" s="168">
        <v>2</v>
      </c>
      <c r="F67" s="188" t="s">
        <v>4357</v>
      </c>
      <c r="G67" s="188" t="s">
        <v>2172</v>
      </c>
      <c r="H67" s="168">
        <v>24</v>
      </c>
      <c r="I67" s="168">
        <v>1</v>
      </c>
      <c r="J67" s="168">
        <v>1</v>
      </c>
    </row>
    <row r="68" spans="3:10" ht="20.100000000000001" customHeight="1">
      <c r="C68" s="168">
        <v>61</v>
      </c>
      <c r="D68" s="168">
        <v>90</v>
      </c>
      <c r="E68" s="168">
        <v>2</v>
      </c>
      <c r="F68" s="188" t="s">
        <v>4467</v>
      </c>
      <c r="G68" s="188" t="s">
        <v>2172</v>
      </c>
      <c r="H68" s="168">
        <v>20</v>
      </c>
      <c r="I68" s="168">
        <v>1</v>
      </c>
      <c r="J68" s="168">
        <v>1</v>
      </c>
    </row>
    <row r="69" spans="3:10" ht="20.100000000000001" customHeight="1">
      <c r="C69" s="168">
        <v>62</v>
      </c>
      <c r="D69" s="168">
        <v>91</v>
      </c>
      <c r="E69" s="168">
        <v>2</v>
      </c>
      <c r="F69" s="188" t="s">
        <v>2591</v>
      </c>
      <c r="G69" s="188" t="s">
        <v>2172</v>
      </c>
      <c r="H69" s="168">
        <v>25</v>
      </c>
      <c r="I69" s="168">
        <v>1</v>
      </c>
      <c r="J69" s="168">
        <v>1</v>
      </c>
    </row>
    <row r="70" spans="3:10" ht="20.100000000000001" customHeight="1">
      <c r="C70" s="168">
        <v>63</v>
      </c>
      <c r="D70" s="168">
        <v>92</v>
      </c>
      <c r="E70" s="168">
        <v>2</v>
      </c>
      <c r="F70" s="188" t="s">
        <v>4468</v>
      </c>
      <c r="G70" s="188" t="s">
        <v>2172</v>
      </c>
      <c r="H70" s="168">
        <v>800</v>
      </c>
      <c r="I70" s="168">
        <v>1</v>
      </c>
      <c r="J70" s="168">
        <v>1</v>
      </c>
    </row>
    <row r="71" spans="3:10" ht="20.100000000000001" customHeight="1">
      <c r="C71" s="168">
        <v>64</v>
      </c>
      <c r="D71" s="168">
        <v>93</v>
      </c>
      <c r="E71" s="168">
        <v>16</v>
      </c>
      <c r="F71" s="188" t="s">
        <v>4711</v>
      </c>
      <c r="G71" s="188" t="s">
        <v>2134</v>
      </c>
      <c r="H71" s="168">
        <v>250</v>
      </c>
      <c r="I71" s="168">
        <v>1</v>
      </c>
      <c r="J71" s="168">
        <v>1</v>
      </c>
    </row>
  </sheetData>
  <autoFilter ref="C7:J70" xr:uid="{BBACC7F9-C536-47FD-A779-FD1AA0B93D70}"/>
  <mergeCells count="4">
    <mergeCell ref="E2:F2"/>
    <mergeCell ref="E3:F3"/>
    <mergeCell ref="E4:F4"/>
    <mergeCell ref="H2:J2"/>
  </mergeCells>
  <dataValidations count="1">
    <dataValidation type="list" allowBlank="1" showInputMessage="1" showErrorMessage="1" sqref="E2:E4" xr:uid="{2498C6DD-C330-4898-9F37-4D564BA000A1}">
      <formula1>uom_option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76854" r:id="rId4" name="Button 22">
              <controlPr defaultSize="0" autoFill="0" autoPict="0" macro="[0]!addUomConversion">
                <anchor>
                  <from>
                    <xdr:col>8</xdr:col>
                    <xdr:colOff>1524000</xdr:colOff>
                    <xdr:row>0</xdr:row>
                    <xdr:rowOff>133350</xdr:rowOff>
                  </from>
                  <to>
                    <xdr:col>9</xdr:col>
                    <xdr:colOff>1343025</xdr:colOff>
                    <xdr:row>0</xdr:row>
                    <xdr:rowOff>657225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258C35-93A1-4CA5-92C4-0248E6F3C2B3}">
  <sheetPr codeName="Sheet33"/>
  <dimension ref="C1:AG15"/>
  <sheetViews>
    <sheetView showGridLines="0" zoomScale="90" zoomScaleNormal="90" workbookViewId="0">
      <pane ySplit="6" topLeftCell="A7" activePane="bottomLeft" state="frozen"/>
      <selection pane="bottomLeft" activeCell="J10" sqref="J10"/>
    </sheetView>
  </sheetViews>
  <sheetFormatPr defaultColWidth="9.140625" defaultRowHeight="25.5"/>
  <cols>
    <col min="1" max="1" width="4.28515625" style="13" customWidth="1"/>
    <col min="2" max="2" width="2.42578125" style="13" customWidth="1"/>
    <col min="3" max="3" width="9.140625" style="126"/>
    <col min="4" max="4" width="13.7109375" style="126" bestFit="1" customWidth="1"/>
    <col min="5" max="5" width="20" style="126" customWidth="1"/>
    <col min="6" max="6" width="29.42578125" style="232" customWidth="1"/>
    <col min="7" max="7" width="39.28515625" style="128" customWidth="1"/>
    <col min="8" max="8" width="45.7109375" style="180" customWidth="1"/>
    <col min="9" max="12" width="35.28515625" style="180" customWidth="1"/>
    <col min="13" max="13" width="38.5703125" style="180" customWidth="1"/>
    <col min="14" max="14" width="24" style="180" customWidth="1"/>
    <col min="15" max="15" width="23.7109375" style="180" customWidth="1"/>
    <col min="16" max="18" width="21.85546875" style="180" customWidth="1"/>
    <col min="19" max="19" width="15.85546875" style="180" customWidth="1"/>
    <col min="20" max="21" width="30.7109375" style="181" customWidth="1"/>
    <col min="22" max="22" width="26.7109375" style="128" customWidth="1"/>
    <col min="23" max="23" width="12.5703125" style="128" customWidth="1"/>
    <col min="24" max="24" width="40.28515625" style="211" customWidth="1"/>
    <col min="25" max="25" width="34" style="180" customWidth="1"/>
    <col min="26" max="26" width="15.28515625" style="126" bestFit="1" customWidth="1"/>
    <col min="27" max="27" width="22.28515625" style="126" bestFit="1" customWidth="1"/>
    <col min="28" max="28" width="11.140625" style="126" customWidth="1"/>
    <col min="29" max="29" width="11.7109375" style="126" customWidth="1"/>
    <col min="30" max="30" width="12.140625" style="126" customWidth="1"/>
    <col min="31" max="31" width="14.85546875" style="126" customWidth="1"/>
    <col min="32" max="32" width="11.42578125" style="126" customWidth="1"/>
    <col min="33" max="33" width="39.7109375" style="177" customWidth="1"/>
    <col min="34" max="16384" width="9.140625" style="13"/>
  </cols>
  <sheetData>
    <row r="1" spans="3:33" ht="10.5" customHeight="1"/>
    <row r="2" spans="3:33" ht="18" customHeight="1"/>
    <row r="4" spans="3:33" ht="11.25" customHeight="1"/>
    <row r="5" spans="3:33" s="2" customFormat="1" ht="28.5" customHeight="1">
      <c r="C5" s="543" t="s">
        <v>47</v>
      </c>
      <c r="D5" s="543" t="s">
        <v>684</v>
      </c>
      <c r="E5" s="543" t="s">
        <v>1958</v>
      </c>
      <c r="F5" s="543" t="s">
        <v>239</v>
      </c>
      <c r="G5" s="636" t="s">
        <v>240</v>
      </c>
      <c r="H5" s="637" t="str">
        <f>"ពត៌មានធនាគារ ("&amp;COUNTA(H6:S6)&amp;")"</f>
        <v>ពត៌មានធនាគារ (12)</v>
      </c>
      <c r="I5" s="638"/>
      <c r="J5" s="638"/>
      <c r="K5" s="638"/>
      <c r="L5" s="638"/>
      <c r="M5" s="638"/>
      <c r="N5" s="638"/>
      <c r="O5" s="638"/>
      <c r="P5" s="638"/>
      <c r="Q5" s="638"/>
      <c r="R5" s="638"/>
      <c r="S5" s="639"/>
      <c r="T5" s="640" t="s">
        <v>104</v>
      </c>
      <c r="U5" s="640" t="s">
        <v>104</v>
      </c>
      <c r="V5" s="543" t="s">
        <v>685</v>
      </c>
      <c r="W5" s="543" t="s">
        <v>686</v>
      </c>
      <c r="X5" s="543" t="s">
        <v>687</v>
      </c>
      <c r="Y5" s="641" t="s">
        <v>688</v>
      </c>
      <c r="Z5" s="543" t="s">
        <v>673</v>
      </c>
      <c r="AA5" s="543" t="s">
        <v>689</v>
      </c>
      <c r="AB5" s="543" t="s">
        <v>690</v>
      </c>
      <c r="AC5" s="543" t="s">
        <v>691</v>
      </c>
      <c r="AD5" s="543" t="s">
        <v>653</v>
      </c>
      <c r="AE5" s="543" t="s">
        <v>692</v>
      </c>
      <c r="AF5" s="543" t="s">
        <v>187</v>
      </c>
      <c r="AG5" s="209"/>
    </row>
    <row r="6" spans="3:33" s="215" customFormat="1" ht="18" customHeight="1">
      <c r="C6" s="527" t="s">
        <v>9</v>
      </c>
      <c r="D6" s="527" t="s">
        <v>676</v>
      </c>
      <c r="E6" s="527" t="s">
        <v>615</v>
      </c>
      <c r="F6" s="527" t="s">
        <v>677</v>
      </c>
      <c r="G6" s="527" t="s">
        <v>669</v>
      </c>
      <c r="H6" s="642" t="s">
        <v>32</v>
      </c>
      <c r="I6" s="642" t="s">
        <v>1514</v>
      </c>
      <c r="J6" s="642" t="s">
        <v>1844</v>
      </c>
      <c r="K6" s="642" t="s">
        <v>1843</v>
      </c>
      <c r="L6" s="642" t="s">
        <v>1845</v>
      </c>
      <c r="M6" s="642" t="s">
        <v>1846</v>
      </c>
      <c r="N6" s="642" t="s">
        <v>1847</v>
      </c>
      <c r="O6" s="642" t="s">
        <v>1848</v>
      </c>
      <c r="P6" s="642" t="s">
        <v>1849</v>
      </c>
      <c r="Q6" s="642" t="s">
        <v>1850</v>
      </c>
      <c r="R6" s="642" t="s">
        <v>1851</v>
      </c>
      <c r="S6" s="642" t="s">
        <v>1852</v>
      </c>
      <c r="T6" s="527" t="s">
        <v>242</v>
      </c>
      <c r="U6" s="527" t="s">
        <v>1857</v>
      </c>
      <c r="V6" s="527" t="s">
        <v>678</v>
      </c>
      <c r="W6" s="527" t="s">
        <v>679</v>
      </c>
      <c r="X6" s="642" t="s">
        <v>23</v>
      </c>
      <c r="Y6" s="642" t="s">
        <v>683</v>
      </c>
      <c r="Z6" s="527" t="s">
        <v>670</v>
      </c>
      <c r="AA6" s="527" t="s">
        <v>680</v>
      </c>
      <c r="AB6" s="527" t="s">
        <v>681</v>
      </c>
      <c r="AC6" s="527" t="s">
        <v>682</v>
      </c>
      <c r="AD6" s="527" t="s">
        <v>639</v>
      </c>
      <c r="AE6" s="527" t="s">
        <v>693</v>
      </c>
      <c r="AF6" s="527" t="s">
        <v>163</v>
      </c>
      <c r="AG6" s="209"/>
    </row>
    <row r="7" spans="3:33" s="147" customFormat="1" ht="46.5">
      <c r="C7" s="265">
        <v>1</v>
      </c>
      <c r="D7" s="265">
        <v>1</v>
      </c>
      <c r="E7" s="265">
        <v>1</v>
      </c>
      <c r="F7" s="263" t="s">
        <v>1842</v>
      </c>
      <c r="G7" s="250" t="s">
        <v>1577</v>
      </c>
      <c r="H7" s="250" t="s">
        <v>1878</v>
      </c>
      <c r="I7" s="250"/>
      <c r="J7" s="250"/>
      <c r="K7" s="250"/>
      <c r="L7" s="250"/>
      <c r="M7" s="250"/>
      <c r="N7" s="250"/>
      <c r="O7" s="250"/>
      <c r="P7" s="250"/>
      <c r="Q7" s="250"/>
      <c r="R7" s="250"/>
      <c r="S7" s="250"/>
      <c r="T7" s="264" t="s">
        <v>102</v>
      </c>
      <c r="U7" s="264" t="s">
        <v>1853</v>
      </c>
      <c r="V7" s="409" t="s">
        <v>1855</v>
      </c>
      <c r="W7" s="250"/>
      <c r="X7" s="263" t="s">
        <v>1854</v>
      </c>
      <c r="Y7" s="250" t="s">
        <v>1856</v>
      </c>
      <c r="Z7" s="265">
        <v>1</v>
      </c>
      <c r="AA7" s="265">
        <v>1</v>
      </c>
      <c r="AB7" s="265"/>
      <c r="AC7" s="265"/>
      <c r="AD7" s="341">
        <v>45658</v>
      </c>
      <c r="AE7" s="265">
        <v>1</v>
      </c>
      <c r="AF7" s="265">
        <v>1</v>
      </c>
      <c r="AG7" s="327" t="str">
        <f>IF(AND(C7&lt;&gt;"",F7&lt;&gt;""),TEXT(C7,"00")&amp;"."&amp;F7,"")</f>
        <v>01.គោកស្នួលខនស្រ្តាក់សិនមេធៀរៀល</v>
      </c>
    </row>
    <row r="8" spans="3:33">
      <c r="F8" s="127"/>
    </row>
    <row r="9" spans="3:33">
      <c r="F9" s="127"/>
    </row>
    <row r="10" spans="3:33">
      <c r="F10" s="127"/>
    </row>
    <row r="11" spans="3:33">
      <c r="F11" s="127"/>
    </row>
    <row r="12" spans="3:33">
      <c r="F12" s="127"/>
    </row>
    <row r="13" spans="3:33">
      <c r="F13" s="127"/>
    </row>
    <row r="14" spans="3:33">
      <c r="F14" s="127"/>
    </row>
    <row r="15" spans="3:33">
      <c r="F15" s="127"/>
    </row>
  </sheetData>
  <phoneticPr fontId="36" type="noConversion"/>
  <hyperlinks>
    <hyperlink ref="P6" r:id="rId1" display="https://en.wikipedia.org/wiki/Vattanac_Bank" xr:uid="{8F869F38-3C77-4E0E-A46A-7A93B895B7ED}"/>
    <hyperlink ref="R6" r:id="rId2" display="https://en.wikipedia.org/wiki/Canadia_Bank" xr:uid="{D207B6AB-C99B-4776-9B81-50ACB8C71C7D}"/>
    <hyperlink ref="V7" r:id="rId3" xr:uid="{B652E7C2-9D81-4250-A34A-EBE60369660C}"/>
  </hyperlinks>
  <printOptions horizontalCentered="1"/>
  <pageMargins left="0" right="0" top="0" bottom="0" header="0" footer="0"/>
  <pageSetup scale="70" orientation="landscape" horizontalDpi="1200" verticalDpi="1200" r:id="rId4"/>
  <colBreaks count="2" manualBreakCount="2">
    <brk id="5" max="1048575" man="1"/>
    <brk id="25" max="12" man="1"/>
  </colBreaks>
  <drawing r:id="rId5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3EE84-8E5E-468C-944C-19CEB36532EE}">
  <sheetPr codeName="Sheet39"/>
  <dimension ref="C1:G20"/>
  <sheetViews>
    <sheetView zoomScaleNormal="100" workbookViewId="0">
      <pane ySplit="7" topLeftCell="A8" activePane="bottomLeft" state="frozen"/>
      <selection pane="bottomLeft" activeCell="G12" sqref="G12"/>
    </sheetView>
  </sheetViews>
  <sheetFormatPr defaultColWidth="9.140625" defaultRowHeight="15"/>
  <cols>
    <col min="1" max="1" width="4.85546875" style="126" customWidth="1"/>
    <col min="2" max="2" width="4.140625" style="126" customWidth="1"/>
    <col min="3" max="3" width="7.85546875" style="126" bestFit="1" customWidth="1"/>
    <col min="4" max="4" width="14.5703125" style="126" customWidth="1"/>
    <col min="5" max="5" width="17.7109375" style="126" customWidth="1"/>
    <col min="6" max="6" width="19" style="126" customWidth="1"/>
    <col min="7" max="7" width="23.42578125" style="181" customWidth="1"/>
    <col min="8" max="9" width="9.140625" style="126"/>
    <col min="10" max="10" width="16.140625" style="126" bestFit="1" customWidth="1"/>
    <col min="11" max="11" width="11" style="126" bestFit="1" customWidth="1"/>
    <col min="12" max="16384" width="9.140625" style="126"/>
  </cols>
  <sheetData>
    <row r="1" spans="3:7" customFormat="1">
      <c r="G1" s="152"/>
    </row>
    <row r="2" spans="3:7" customFormat="1">
      <c r="G2" s="152"/>
    </row>
    <row r="3" spans="3:7" customFormat="1">
      <c r="G3" s="152"/>
    </row>
    <row r="4" spans="3:7" customFormat="1" ht="42">
      <c r="C4" s="2103" t="s">
        <v>1516</v>
      </c>
      <c r="D4" s="2103"/>
      <c r="E4" s="2103"/>
      <c r="F4" s="2103"/>
      <c r="G4" s="2103"/>
    </row>
    <row r="5" spans="3:7" customFormat="1">
      <c r="G5" s="152"/>
    </row>
    <row r="6" spans="3:7" customFormat="1" ht="25.5">
      <c r="C6" s="620" t="s">
        <v>47</v>
      </c>
      <c r="D6" s="620" t="s">
        <v>185</v>
      </c>
      <c r="E6" s="620" t="s">
        <v>1512</v>
      </c>
      <c r="F6" s="620" t="s">
        <v>1513</v>
      </c>
      <c r="G6" s="621" t="s">
        <v>216</v>
      </c>
    </row>
    <row r="7" spans="3:7" customFormat="1">
      <c r="C7" s="622" t="s">
        <v>10</v>
      </c>
      <c r="D7" s="622" t="s">
        <v>184</v>
      </c>
      <c r="E7" s="622" t="s">
        <v>1509</v>
      </c>
      <c r="F7" s="622" t="s">
        <v>1510</v>
      </c>
      <c r="G7" s="623" t="s">
        <v>1511</v>
      </c>
    </row>
    <row r="8" spans="3:7" ht="23.1" customHeight="1">
      <c r="C8" s="126">
        <v>1</v>
      </c>
      <c r="D8" s="126">
        <v>1</v>
      </c>
      <c r="E8" s="126" t="s">
        <v>32</v>
      </c>
      <c r="F8" s="126" t="s">
        <v>1517</v>
      </c>
      <c r="G8" s="181" t="s">
        <v>1518</v>
      </c>
    </row>
    <row r="9" spans="3:7" ht="23.1" customHeight="1">
      <c r="C9" s="126">
        <v>2</v>
      </c>
      <c r="D9" s="126">
        <v>1</v>
      </c>
      <c r="E9" s="126" t="s">
        <v>1514</v>
      </c>
      <c r="F9" s="126" t="s">
        <v>1515</v>
      </c>
      <c r="G9" s="181" t="s">
        <v>1519</v>
      </c>
    </row>
    <row r="10" spans="3:7" ht="23.1" customHeight="1"/>
    <row r="11" spans="3:7" ht="23.1" customHeight="1"/>
    <row r="12" spans="3:7" ht="23.1" customHeight="1"/>
    <row r="13" spans="3:7" ht="23.1" customHeight="1"/>
    <row r="14" spans="3:7" ht="23.1" customHeight="1"/>
    <row r="15" spans="3:7" ht="23.1" customHeight="1"/>
    <row r="16" spans="3:7" ht="23.1" customHeight="1"/>
    <row r="17" ht="23.1" customHeight="1"/>
    <row r="18" ht="23.1" customHeight="1"/>
    <row r="19" ht="23.1" customHeight="1"/>
    <row r="20" ht="23.1" customHeight="1"/>
  </sheetData>
  <mergeCells count="1">
    <mergeCell ref="C4:G4"/>
  </mergeCells>
  <phoneticPr fontId="36" type="noConversion"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7">
    <tabColor rgb="FFFFC000"/>
  </sheetPr>
  <dimension ref="A1:AD66"/>
  <sheetViews>
    <sheetView showGridLines="0" topLeftCell="A16" zoomScale="85" zoomScaleNormal="85" zoomScaleSheetLayoutView="55" zoomScalePageLayoutView="70" workbookViewId="0">
      <selection activeCell="C25" sqref="C25:G26"/>
    </sheetView>
  </sheetViews>
  <sheetFormatPr defaultColWidth="8.7109375" defaultRowHeight="23.25"/>
  <cols>
    <col min="1" max="1" width="2.42578125" customWidth="1"/>
    <col min="2" max="2" width="9" customWidth="1"/>
    <col min="3" max="3" width="15.42578125" style="5" customWidth="1"/>
    <col min="4" max="4" width="45.42578125" style="5" customWidth="1"/>
    <col min="5" max="5" width="12.140625" style="2" customWidth="1"/>
    <col min="6" max="6" width="8.7109375" style="1" customWidth="1"/>
    <col min="7" max="7" width="14.42578125" customWidth="1"/>
    <col min="8" max="9" width="19.140625" customWidth="1"/>
    <col min="10" max="10" width="4.42578125" customWidth="1"/>
    <col min="11" max="14" width="3.7109375" customWidth="1"/>
    <col min="15" max="15" width="2.42578125" customWidth="1"/>
    <col min="16" max="24" width="4" customWidth="1"/>
    <col min="25" max="29" width="8.7109375" style="37"/>
  </cols>
  <sheetData>
    <row r="1" spans="1:30" ht="2.85" customHeight="1">
      <c r="AB1" s="37" t="str">
        <f ca="1">MID(K9,1,6)</f>
        <v>(1 )</v>
      </c>
    </row>
    <row r="2" spans="1:30" ht="109.35" customHeight="1" thickBot="1">
      <c r="A2" s="36"/>
      <c r="E2" s="45"/>
      <c r="I2" s="46"/>
      <c r="K2" t="s">
        <v>107</v>
      </c>
      <c r="AB2" s="37" t="str">
        <f ca="1">MID(K9,8,8)</f>
        <v/>
      </c>
      <c r="AD2" s="47"/>
    </row>
    <row r="3" spans="1:30" ht="22.35" customHeight="1" thickBot="1">
      <c r="A3" s="36"/>
      <c r="E3" s="45"/>
      <c r="I3" s="46"/>
      <c r="K3" s="14" t="s">
        <v>108</v>
      </c>
      <c r="L3" s="14">
        <v>0</v>
      </c>
      <c r="M3" s="14">
        <v>0</v>
      </c>
      <c r="N3" s="14">
        <v>9</v>
      </c>
      <c r="O3" s="13" t="s">
        <v>109</v>
      </c>
      <c r="P3" s="14">
        <v>2</v>
      </c>
      <c r="Q3" s="14">
        <v>1</v>
      </c>
      <c r="R3" s="14">
        <v>0</v>
      </c>
      <c r="S3" s="14">
        <v>0</v>
      </c>
      <c r="T3" s="14">
        <v>0</v>
      </c>
      <c r="U3" s="14">
        <v>0</v>
      </c>
      <c r="V3" s="14">
        <v>6</v>
      </c>
      <c r="W3" s="14">
        <v>3</v>
      </c>
      <c r="X3" s="14">
        <v>3</v>
      </c>
      <c r="AB3" s="37" t="str">
        <f>MID(K10,8,8)</f>
        <v/>
      </c>
      <c r="AD3" s="47"/>
    </row>
    <row r="4" spans="1:30" ht="42" customHeight="1" thickBot="1">
      <c r="A4" s="36"/>
      <c r="B4" s="48"/>
      <c r="C4" s="17"/>
      <c r="D4" s="17"/>
      <c r="E4" s="49"/>
      <c r="F4" s="50"/>
      <c r="G4" s="48"/>
      <c r="H4" s="48"/>
      <c r="I4" s="51" t="s">
        <v>110</v>
      </c>
      <c r="P4" s="2137"/>
      <c r="Q4" s="2137"/>
      <c r="R4" s="2137"/>
      <c r="S4" s="2137"/>
      <c r="T4" s="2137"/>
      <c r="U4" s="2137"/>
      <c r="V4" s="2137"/>
      <c r="W4" s="2137"/>
      <c r="X4" s="2137"/>
      <c r="AB4" s="37" t="str">
        <f>MID(K11,8,8)</f>
        <v/>
      </c>
      <c r="AD4" s="47"/>
    </row>
    <row r="5" spans="1:30" ht="11.1" customHeight="1">
      <c r="A5" s="12"/>
      <c r="E5" s="45"/>
      <c r="I5" s="46"/>
      <c r="AB5" s="81" t="str">
        <f>MID(K12,8,8)</f>
        <v>Rate</v>
      </c>
      <c r="AD5" s="47"/>
    </row>
    <row r="6" spans="1:30" ht="50.1" customHeight="1">
      <c r="A6" s="12"/>
      <c r="E6" s="45"/>
      <c r="H6" s="2141" t="str">
        <f ca="1">""&amp;I9&amp;""</f>
        <v>STCI21-0001</v>
      </c>
      <c r="I6" s="2141"/>
      <c r="AB6" s="37" t="str">
        <f>MID(K13,8,8)</f>
        <v/>
      </c>
      <c r="AD6" s="47"/>
    </row>
    <row r="7" spans="1:30" ht="13.5" customHeight="1">
      <c r="A7" s="12"/>
      <c r="E7" s="45"/>
      <c r="H7" s="2141"/>
      <c r="I7" s="2141"/>
      <c r="AD7" s="47"/>
    </row>
    <row r="8" spans="1:30" ht="10.35" customHeight="1" thickBot="1">
      <c r="A8" s="12"/>
      <c r="E8" s="45"/>
      <c r="I8" s="46"/>
      <c r="Y8" s="39"/>
    </row>
    <row r="9" spans="1:30" s="52" customFormat="1">
      <c r="A9" s="12"/>
      <c r="B9" s="1960"/>
      <c r="C9" s="1960"/>
      <c r="E9" s="53"/>
      <c r="F9" s="54"/>
      <c r="H9" s="104" t="s">
        <v>111</v>
      </c>
      <c r="I9" s="2127" t="str">
        <f ca="1">"STCI"&amp;RIGHT(YEAR(I11),2)&amp;TEXT(K9,"0000")</f>
        <v>STCI21-0001</v>
      </c>
      <c r="K9" s="81" t="str">
        <f ca="1">MID(MID(CELL("filename",A1),FIND("]",CELL("filename",A1))+1,255),1,40)</f>
        <v>(1 )</v>
      </c>
      <c r="L9"/>
      <c r="M9"/>
      <c r="N9"/>
      <c r="O9"/>
      <c r="Y9" s="37"/>
      <c r="Z9" s="37"/>
      <c r="AA9" s="37"/>
      <c r="AB9" s="37"/>
      <c r="AC9" s="37"/>
    </row>
    <row r="10" spans="1:30" s="52" customFormat="1" ht="21">
      <c r="A10" s="12"/>
      <c r="E10" s="53"/>
      <c r="F10" s="54"/>
      <c r="H10" s="124" t="s">
        <v>112</v>
      </c>
      <c r="I10" s="2128"/>
      <c r="M10"/>
      <c r="Y10" s="37"/>
      <c r="Z10" s="37"/>
      <c r="AA10" s="37"/>
      <c r="AB10" s="37"/>
      <c r="AC10" s="37"/>
    </row>
    <row r="11" spans="1:30" s="52" customFormat="1" ht="24" thickBot="1">
      <c r="A11" s="12"/>
      <c r="B11" s="2129" t="s">
        <v>113</v>
      </c>
      <c r="C11" s="2129"/>
      <c r="E11" s="53"/>
      <c r="F11" s="54"/>
      <c r="H11" s="105" t="s">
        <v>114</v>
      </c>
      <c r="I11" s="80">
        <f>N11</f>
        <v>44308</v>
      </c>
      <c r="K11" s="3" t="s">
        <v>115</v>
      </c>
      <c r="L11" s="82"/>
      <c r="M11" s="82"/>
      <c r="N11" s="2142">
        <v>44308</v>
      </c>
      <c r="O11" s="2142"/>
      <c r="P11" s="2142"/>
      <c r="Q11" s="2142"/>
      <c r="U11" s="83"/>
      <c r="Y11" s="37"/>
      <c r="Z11" s="37"/>
      <c r="AA11" s="37"/>
      <c r="AB11" s="37"/>
      <c r="AC11" s="37"/>
    </row>
    <row r="12" spans="1:30" s="52" customFormat="1" ht="21.75" thickBot="1">
      <c r="A12" s="12"/>
      <c r="B12" s="2138"/>
      <c r="C12" s="2139"/>
      <c r="D12" s="2140"/>
      <c r="E12" s="53"/>
      <c r="F12" s="54"/>
      <c r="H12" s="125" t="s">
        <v>115</v>
      </c>
      <c r="I12" s="57"/>
      <c r="K12" t="s">
        <v>116</v>
      </c>
      <c r="N12" s="2143">
        <v>4048</v>
      </c>
      <c r="O12" s="2143"/>
      <c r="P12" s="2143"/>
      <c r="Q12" s="2143"/>
      <c r="S12" s="84" t="s">
        <v>117</v>
      </c>
      <c r="T12" s="83"/>
      <c r="U12" s="83"/>
      <c r="Y12" s="37"/>
      <c r="Z12" s="37"/>
      <c r="AA12" s="37"/>
      <c r="AB12" s="37"/>
      <c r="AC12" s="37"/>
    </row>
    <row r="13" spans="1:30" ht="10.35" customHeight="1" thickBot="1">
      <c r="A13" s="5"/>
      <c r="B13" s="5"/>
      <c r="E13" s="5"/>
      <c r="F13" s="5"/>
      <c r="G13" s="5"/>
      <c r="H13" s="5"/>
      <c r="I13" s="5"/>
      <c r="J13" s="5"/>
      <c r="K13" s="5"/>
      <c r="L13" s="2"/>
    </row>
    <row r="14" spans="1:30" ht="24" thickBot="1">
      <c r="A14" s="58">
        <v>-9</v>
      </c>
      <c r="B14" s="59" t="s">
        <v>118</v>
      </c>
      <c r="C14" s="23"/>
      <c r="D14" s="23"/>
      <c r="E14" s="23"/>
      <c r="F14" s="23"/>
      <c r="G14" s="60">
        <v>-3</v>
      </c>
      <c r="H14" s="19"/>
      <c r="I14" s="20"/>
      <c r="J14" s="58"/>
      <c r="L14" s="118"/>
      <c r="M14" s="118"/>
      <c r="N14" s="118"/>
      <c r="P14" s="118" t="s">
        <v>119</v>
      </c>
    </row>
    <row r="15" spans="1:30" ht="26.25" thickBot="1">
      <c r="A15" s="58"/>
      <c r="B15" s="106" t="s">
        <v>120</v>
      </c>
      <c r="C15" s="61"/>
      <c r="D15" s="2130"/>
      <c r="E15" s="2130"/>
      <c r="F15" s="2130"/>
      <c r="G15" s="2130"/>
      <c r="H15" s="2130"/>
      <c r="I15" s="21"/>
      <c r="J15" s="58"/>
      <c r="K15" s="13"/>
      <c r="L15" s="2107" t="e">
        <f>IF(Customer_TIN_Area="","",Customer_TIN_Area)</f>
        <v>#NAME?</v>
      </c>
      <c r="M15" s="2108"/>
      <c r="N15" s="2108"/>
      <c r="O15" s="2108"/>
      <c r="P15" s="2108"/>
      <c r="Q15" s="2108"/>
      <c r="R15" s="2108"/>
      <c r="S15" s="2108"/>
      <c r="T15" s="2108"/>
      <c r="U15" s="2108"/>
      <c r="V15" s="2108"/>
      <c r="W15" s="2108"/>
      <c r="X15" s="2109"/>
    </row>
    <row r="16" spans="1:30">
      <c r="A16" s="58"/>
      <c r="B16" s="18" t="s">
        <v>121</v>
      </c>
      <c r="C16" s="61"/>
      <c r="D16" s="2131"/>
      <c r="E16" s="2131"/>
      <c r="F16" s="2131"/>
      <c r="G16" s="2131"/>
      <c r="H16" s="2131"/>
      <c r="I16" s="21"/>
      <c r="J16" s="62" t="s">
        <v>122</v>
      </c>
      <c r="K16" s="63" t="s">
        <v>123</v>
      </c>
      <c r="L16" s="37" t="s">
        <v>124</v>
      </c>
      <c r="M16" s="37" t="s">
        <v>124</v>
      </c>
      <c r="N16" s="37" t="s">
        <v>124</v>
      </c>
      <c r="O16" s="37"/>
      <c r="P16" s="37" t="s">
        <v>124</v>
      </c>
      <c r="Q16" s="37" t="s">
        <v>124</v>
      </c>
      <c r="R16" s="37" t="s">
        <v>124</v>
      </c>
      <c r="S16" s="37" t="s">
        <v>124</v>
      </c>
      <c r="T16" s="37" t="s">
        <v>124</v>
      </c>
      <c r="U16" s="37" t="s">
        <v>124</v>
      </c>
      <c r="V16" s="37" t="s">
        <v>124</v>
      </c>
      <c r="W16" s="37" t="s">
        <v>124</v>
      </c>
      <c r="X16" s="37" t="s">
        <v>124</v>
      </c>
    </row>
    <row r="17" spans="1:29">
      <c r="A17" s="58"/>
      <c r="B17" s="107" t="s">
        <v>125</v>
      </c>
      <c r="C17" s="61"/>
      <c r="D17" s="2132"/>
      <c r="E17" s="2133"/>
      <c r="F17" s="2133"/>
      <c r="G17" s="2133"/>
      <c r="H17" s="2133"/>
      <c r="I17" s="21"/>
      <c r="J17" s="58"/>
      <c r="L17" s="37"/>
      <c r="M17" s="37"/>
      <c r="O17" s="38" t="s">
        <v>126</v>
      </c>
      <c r="P17" s="2110"/>
      <c r="Q17" s="2110"/>
      <c r="R17" s="2110"/>
      <c r="S17" s="2110"/>
      <c r="T17" s="2110"/>
      <c r="U17" s="2110"/>
      <c r="V17" s="2110"/>
      <c r="W17" s="2110"/>
      <c r="X17" s="2110"/>
    </row>
    <row r="18" spans="1:29">
      <c r="A18" s="58"/>
      <c r="B18" s="18" t="s">
        <v>127</v>
      </c>
      <c r="C18" s="61"/>
      <c r="D18" s="2134"/>
      <c r="E18" s="2134"/>
      <c r="F18" s="2134"/>
      <c r="G18" s="2134"/>
      <c r="H18" s="2134"/>
      <c r="I18" s="21"/>
      <c r="J18" s="58"/>
      <c r="K18" s="58"/>
    </row>
    <row r="19" spans="1:29">
      <c r="A19" s="5"/>
      <c r="B19" s="107" t="s">
        <v>128</v>
      </c>
      <c r="D19" s="44"/>
      <c r="E19" s="108" t="s">
        <v>129</v>
      </c>
      <c r="F19" s="2135"/>
      <c r="G19" s="2133"/>
      <c r="H19" s="2133"/>
      <c r="I19" s="21"/>
      <c r="J19" s="5"/>
      <c r="K19" s="5"/>
    </row>
    <row r="20" spans="1:29">
      <c r="A20" s="5"/>
      <c r="B20" s="25" t="s">
        <v>130</v>
      </c>
      <c r="D20" s="26"/>
      <c r="E20" s="35" t="s">
        <v>131</v>
      </c>
      <c r="F20" s="2135"/>
      <c r="G20" s="2133"/>
      <c r="H20" s="2133"/>
      <c r="I20" s="16"/>
      <c r="J20" s="5"/>
      <c r="K20" s="5"/>
    </row>
    <row r="21" spans="1:29" ht="32.85" customHeight="1" thickBot="1">
      <c r="A21" s="5"/>
      <c r="B21" s="2124" t="s">
        <v>132</v>
      </c>
      <c r="C21" s="2125"/>
      <c r="D21" s="2136" t="e">
        <f>L15</f>
        <v>#NAME?</v>
      </c>
      <c r="E21" s="2136"/>
      <c r="F21" s="2136"/>
      <c r="G21" s="17"/>
      <c r="H21" s="7"/>
      <c r="I21" s="15"/>
      <c r="J21" s="5"/>
    </row>
    <row r="22" spans="1:29" s="4" customFormat="1" ht="10.35" customHeight="1" thickBot="1">
      <c r="A22"/>
      <c r="C22" s="64"/>
      <c r="D22" s="65"/>
      <c r="E22" s="66"/>
      <c r="F22" s="67"/>
      <c r="H22" s="68"/>
      <c r="I22" s="69"/>
      <c r="M22"/>
      <c r="N22"/>
      <c r="O22"/>
      <c r="P22"/>
      <c r="Q22"/>
      <c r="R22"/>
      <c r="S22"/>
      <c r="Y22" s="40"/>
      <c r="Z22" s="40"/>
      <c r="AA22" s="40"/>
      <c r="AB22" s="40"/>
      <c r="AC22" s="40"/>
    </row>
    <row r="23" spans="1:29" s="3" customFormat="1">
      <c r="B23" s="109" t="s">
        <v>47</v>
      </c>
      <c r="C23" s="110" t="s">
        <v>133</v>
      </c>
      <c r="D23" s="111"/>
      <c r="E23" s="112" t="s">
        <v>134</v>
      </c>
      <c r="F23" s="109" t="s">
        <v>135</v>
      </c>
      <c r="G23" s="109" t="s">
        <v>90</v>
      </c>
      <c r="H23" s="113" t="s">
        <v>136</v>
      </c>
      <c r="I23" s="109" t="s">
        <v>136</v>
      </c>
      <c r="M23"/>
      <c r="N23"/>
      <c r="O23"/>
      <c r="P23"/>
      <c r="Q23"/>
      <c r="R23"/>
      <c r="S23"/>
      <c r="Y23" s="41"/>
      <c r="Z23" s="41"/>
      <c r="AA23" s="41"/>
      <c r="AB23" s="41"/>
      <c r="AC23" s="41"/>
    </row>
    <row r="24" spans="1:29" ht="30">
      <c r="B24" s="70" t="s">
        <v>69</v>
      </c>
      <c r="C24" s="27" t="s">
        <v>76</v>
      </c>
      <c r="D24" s="94"/>
      <c r="E24" s="28" t="s">
        <v>19</v>
      </c>
      <c r="F24" s="29" t="s">
        <v>67</v>
      </c>
      <c r="G24" s="30" t="s">
        <v>137</v>
      </c>
      <c r="H24" s="31" t="s">
        <v>138</v>
      </c>
      <c r="I24" s="31" t="s">
        <v>139</v>
      </c>
    </row>
    <row r="25" spans="1:29" s="34" customFormat="1">
      <c r="B25" s="95">
        <f>IF(C25="","",1)</f>
        <v>1</v>
      </c>
      <c r="C25" s="2126" t="s">
        <v>140</v>
      </c>
      <c r="D25" s="2126"/>
      <c r="E25" s="85"/>
      <c r="F25" s="86"/>
      <c r="G25" s="87"/>
      <c r="H25" s="88">
        <f>(G25*10%)+G25</f>
        <v>0</v>
      </c>
      <c r="I25" s="119">
        <f>IF(H25="","",H25*$D$38)</f>
        <v>0</v>
      </c>
      <c r="Y25" s="42"/>
      <c r="Z25" s="42"/>
      <c r="AA25" s="42"/>
      <c r="AB25" s="42"/>
      <c r="AC25" s="42"/>
    </row>
    <row r="26" spans="1:29" s="34" customFormat="1">
      <c r="B26" s="95">
        <f>IF(C26="","",B25+1)</f>
        <v>2</v>
      </c>
      <c r="C26" s="2104" t="s">
        <v>141</v>
      </c>
      <c r="D26" s="2104"/>
      <c r="E26" s="85" t="s">
        <v>142</v>
      </c>
      <c r="F26" s="86">
        <v>4</v>
      </c>
      <c r="G26" s="89">
        <v>12</v>
      </c>
      <c r="H26" s="88">
        <f>(G26*F26*10%)+G26*F26</f>
        <v>52.8</v>
      </c>
      <c r="I26" s="96">
        <f t="shared" ref="I26:I36" si="0">IF(H26="","",H26*$D$38)</f>
        <v>213734.39999999999</v>
      </c>
      <c r="Y26" s="42"/>
      <c r="Z26" s="42"/>
      <c r="AA26" s="42"/>
      <c r="AB26" s="42"/>
      <c r="AC26" s="42"/>
    </row>
    <row r="27" spans="1:29" s="34" customFormat="1">
      <c r="B27" s="95" t="str">
        <f>IF(C27="","",B26+1)</f>
        <v/>
      </c>
      <c r="C27" s="2105"/>
      <c r="D27" s="2105"/>
      <c r="E27" s="85"/>
      <c r="F27" s="86"/>
      <c r="G27" s="89"/>
      <c r="H27" s="88">
        <f t="shared" ref="H27:H35" si="1">(G27*F27*10%)+G27*F27</f>
        <v>0</v>
      </c>
      <c r="I27" s="96">
        <f t="shared" si="0"/>
        <v>0</v>
      </c>
      <c r="Y27" s="42"/>
      <c r="Z27" s="42"/>
      <c r="AA27" s="42"/>
      <c r="AB27" s="42"/>
      <c r="AC27" s="42"/>
    </row>
    <row r="28" spans="1:29" s="34" customFormat="1">
      <c r="B28" s="95" t="str">
        <f>IF(C28="","",B27+1)</f>
        <v/>
      </c>
      <c r="C28" s="2105"/>
      <c r="D28" s="2105"/>
      <c r="E28" s="85"/>
      <c r="F28" s="86"/>
      <c r="G28" s="89"/>
      <c r="H28" s="88">
        <f t="shared" si="1"/>
        <v>0</v>
      </c>
      <c r="I28" s="96">
        <f t="shared" si="0"/>
        <v>0</v>
      </c>
      <c r="Y28" s="42"/>
      <c r="Z28" s="42"/>
      <c r="AA28" s="42"/>
      <c r="AB28" s="42"/>
      <c r="AC28" s="42"/>
    </row>
    <row r="29" spans="1:29" s="34" customFormat="1">
      <c r="B29" s="95" t="str">
        <f t="shared" ref="B29:B36" si="2">IF(C29="","",B28+1)</f>
        <v/>
      </c>
      <c r="C29" s="2105"/>
      <c r="D29" s="2105"/>
      <c r="E29" s="85"/>
      <c r="F29" s="86"/>
      <c r="G29" s="89"/>
      <c r="H29" s="88">
        <f t="shared" si="1"/>
        <v>0</v>
      </c>
      <c r="I29" s="96">
        <f t="shared" si="0"/>
        <v>0</v>
      </c>
      <c r="Y29" s="42"/>
      <c r="Z29" s="42"/>
      <c r="AA29" s="42"/>
      <c r="AB29" s="42"/>
      <c r="AC29" s="42"/>
    </row>
    <row r="30" spans="1:29" s="34" customFormat="1">
      <c r="B30" s="95" t="str">
        <f t="shared" si="2"/>
        <v/>
      </c>
      <c r="C30" s="2106"/>
      <c r="D30" s="2106"/>
      <c r="E30" s="90"/>
      <c r="F30" s="91"/>
      <c r="G30" s="92"/>
      <c r="H30" s="88">
        <f t="shared" si="1"/>
        <v>0</v>
      </c>
      <c r="I30" s="97">
        <f t="shared" si="0"/>
        <v>0</v>
      </c>
      <c r="Y30" s="42"/>
      <c r="Z30" s="42"/>
      <c r="AA30" s="42"/>
      <c r="AB30" s="42"/>
      <c r="AC30" s="42"/>
    </row>
    <row r="31" spans="1:29" s="34" customFormat="1">
      <c r="B31" s="95" t="str">
        <f t="shared" si="2"/>
        <v/>
      </c>
      <c r="C31" s="2106"/>
      <c r="D31" s="2106"/>
      <c r="E31" s="93"/>
      <c r="F31" s="91"/>
      <c r="G31" s="92"/>
      <c r="H31" s="88">
        <f t="shared" si="1"/>
        <v>0</v>
      </c>
      <c r="I31" s="97">
        <f t="shared" si="0"/>
        <v>0</v>
      </c>
      <c r="Y31" s="42"/>
      <c r="Z31" s="42"/>
      <c r="AA31" s="42"/>
      <c r="AB31" s="42"/>
      <c r="AC31" s="42"/>
    </row>
    <row r="32" spans="1:29" s="34" customFormat="1">
      <c r="B32" s="95" t="str">
        <f t="shared" si="2"/>
        <v/>
      </c>
      <c r="C32" s="2106"/>
      <c r="D32" s="2106"/>
      <c r="E32" s="93"/>
      <c r="F32" s="91"/>
      <c r="G32" s="92"/>
      <c r="H32" s="88">
        <f t="shared" si="1"/>
        <v>0</v>
      </c>
      <c r="I32" s="97">
        <f t="shared" si="0"/>
        <v>0</v>
      </c>
      <c r="Y32" s="42"/>
      <c r="Z32" s="42"/>
      <c r="AA32" s="42"/>
      <c r="AB32" s="42"/>
      <c r="AC32" s="42"/>
    </row>
    <row r="33" spans="2:29" s="34" customFormat="1">
      <c r="B33" s="95" t="str">
        <f t="shared" si="2"/>
        <v/>
      </c>
      <c r="C33" s="2106"/>
      <c r="D33" s="2106"/>
      <c r="E33" s="93"/>
      <c r="F33" s="91"/>
      <c r="G33" s="92"/>
      <c r="H33" s="88">
        <f t="shared" si="1"/>
        <v>0</v>
      </c>
      <c r="I33" s="97">
        <f t="shared" si="0"/>
        <v>0</v>
      </c>
      <c r="Y33" s="42"/>
      <c r="Z33" s="42"/>
      <c r="AA33" s="42"/>
      <c r="AB33" s="42"/>
      <c r="AC33" s="42"/>
    </row>
    <row r="34" spans="2:29" s="34" customFormat="1">
      <c r="B34" s="95" t="str">
        <f t="shared" si="2"/>
        <v/>
      </c>
      <c r="C34" s="2106"/>
      <c r="D34" s="2106"/>
      <c r="E34" s="93"/>
      <c r="F34" s="91"/>
      <c r="G34" s="92"/>
      <c r="H34" s="88">
        <f t="shared" si="1"/>
        <v>0</v>
      </c>
      <c r="I34" s="97">
        <f t="shared" si="0"/>
        <v>0</v>
      </c>
      <c r="Y34" s="42"/>
      <c r="Z34" s="42"/>
      <c r="AA34" s="42"/>
      <c r="AB34" s="42"/>
      <c r="AC34" s="42"/>
    </row>
    <row r="35" spans="2:29" s="34" customFormat="1">
      <c r="B35" s="95" t="str">
        <f t="shared" si="2"/>
        <v/>
      </c>
      <c r="C35" s="2106"/>
      <c r="D35" s="2106"/>
      <c r="E35" s="93"/>
      <c r="F35" s="91"/>
      <c r="G35" s="92"/>
      <c r="H35" s="88">
        <f t="shared" si="1"/>
        <v>0</v>
      </c>
      <c r="I35" s="97">
        <f t="shared" si="0"/>
        <v>0</v>
      </c>
      <c r="Y35" s="42"/>
      <c r="Z35" s="42"/>
      <c r="AA35" s="42"/>
      <c r="AB35" s="42"/>
      <c r="AC35" s="42"/>
    </row>
    <row r="36" spans="2:29" s="34" customFormat="1" ht="6.6" customHeight="1" thickBot="1">
      <c r="B36" s="98" t="str">
        <f t="shared" si="2"/>
        <v/>
      </c>
      <c r="C36" s="2121"/>
      <c r="D36" s="2121"/>
      <c r="E36" s="99"/>
      <c r="F36" s="100"/>
      <c r="G36" s="101"/>
      <c r="H36" s="102" t="str">
        <f>IF(G36="","",F36*G36)</f>
        <v/>
      </c>
      <c r="I36" s="103" t="str">
        <f t="shared" si="0"/>
        <v/>
      </c>
      <c r="Y36" s="42"/>
      <c r="Z36" s="42"/>
      <c r="AA36" s="42"/>
      <c r="AB36" s="42"/>
      <c r="AC36" s="42"/>
    </row>
    <row r="37" spans="2:29">
      <c r="B37" s="2122" t="s">
        <v>143</v>
      </c>
      <c r="C37" s="2123"/>
      <c r="D37" s="71" t="str">
        <f>SpellNumber(H37)</f>
        <v>Fifty Two US Dollars and Eighty  Cents</v>
      </c>
      <c r="E37" s="22"/>
      <c r="F37" s="19"/>
      <c r="G37" s="114" t="s">
        <v>144</v>
      </c>
      <c r="H37" s="2117">
        <f>SUM(H25:H36)</f>
        <v>52.8</v>
      </c>
      <c r="I37" s="2119">
        <f>SUM(I25:I36)</f>
        <v>213734.39999999999</v>
      </c>
    </row>
    <row r="38" spans="2:29" ht="24" thickBot="1">
      <c r="B38" s="117" t="s">
        <v>145</v>
      </c>
      <c r="C38" s="9"/>
      <c r="D38" s="43">
        <f>N12</f>
        <v>4048</v>
      </c>
      <c r="E38" s="72"/>
      <c r="F38"/>
      <c r="G38" s="115" t="s">
        <v>146</v>
      </c>
      <c r="H38" s="2118"/>
      <c r="I38" s="2120"/>
    </row>
    <row r="39" spans="2:29" ht="24" thickBot="1">
      <c r="B39" s="79" t="s">
        <v>147</v>
      </c>
      <c r="C39" s="73"/>
      <c r="D39" s="73"/>
      <c r="E39" s="24"/>
      <c r="F39" s="48"/>
      <c r="G39" s="116"/>
      <c r="H39" s="116"/>
      <c r="I39" s="116"/>
    </row>
    <row r="40" spans="2:29" ht="10.35" customHeight="1" thickBot="1">
      <c r="B40" s="9"/>
      <c r="C40" s="9"/>
      <c r="D40" s="9"/>
      <c r="E40" s="72"/>
      <c r="F40"/>
      <c r="H40" s="5"/>
    </row>
    <row r="41" spans="2:29" ht="80.849999999999994" customHeight="1" thickBot="1">
      <c r="B41" s="74"/>
      <c r="C41" s="75"/>
      <c r="D41" s="75"/>
      <c r="E41" s="32"/>
      <c r="F41" s="76"/>
      <c r="G41" s="76"/>
      <c r="H41" s="33"/>
      <c r="I41" s="77"/>
    </row>
    <row r="42" spans="2:29" ht="10.35" customHeight="1" thickBot="1">
      <c r="B42" s="9"/>
      <c r="C42" s="9"/>
      <c r="D42" s="9"/>
      <c r="E42" s="72"/>
      <c r="F42"/>
    </row>
    <row r="43" spans="2:29" ht="180.6" customHeight="1">
      <c r="B43" s="78"/>
      <c r="C43" s="71"/>
      <c r="D43" s="71"/>
      <c r="E43" s="22"/>
      <c r="F43" s="19"/>
      <c r="G43" s="19"/>
      <c r="H43" s="19"/>
      <c r="I43" s="20"/>
    </row>
    <row r="44" spans="2:29" ht="21">
      <c r="B44" s="2111" t="s">
        <v>148</v>
      </c>
      <c r="C44" s="2112"/>
      <c r="D44" s="2112"/>
      <c r="E44" s="2112"/>
      <c r="F44" s="2112"/>
      <c r="G44" s="2112"/>
      <c r="H44" s="2112"/>
      <c r="I44" s="2113"/>
    </row>
    <row r="45" spans="2:29" ht="24" thickBot="1">
      <c r="B45" s="2114" t="s">
        <v>149</v>
      </c>
      <c r="C45" s="2115"/>
      <c r="D45" s="2115"/>
      <c r="E45" s="2115"/>
      <c r="F45" s="2115"/>
      <c r="G45" s="2115"/>
      <c r="H45" s="2115"/>
      <c r="I45" s="2116"/>
    </row>
    <row r="46" spans="2:29" ht="15">
      <c r="B46" s="9"/>
      <c r="C46" s="9"/>
      <c r="D46" s="11"/>
      <c r="E46" s="10"/>
      <c r="F46"/>
    </row>
    <row r="47" spans="2:29" ht="15">
      <c r="C47"/>
      <c r="D47"/>
      <c r="F47"/>
    </row>
    <row r="48" spans="2:29" ht="6" customHeight="1">
      <c r="B48" s="1903"/>
      <c r="C48" s="1903"/>
      <c r="D48" s="1903"/>
      <c r="E48" s="1903"/>
      <c r="F48" s="6"/>
      <c r="G48" s="1903"/>
      <c r="H48" s="1903"/>
      <c r="I48" s="1903"/>
    </row>
    <row r="49" spans="2:9" ht="87.6" customHeight="1">
      <c r="B49" s="5"/>
      <c r="E49" s="8"/>
      <c r="F49" s="6"/>
      <c r="G49" s="5"/>
      <c r="H49" s="5"/>
      <c r="I49" s="5"/>
    </row>
    <row r="50" spans="2:9" ht="87.6" customHeight="1">
      <c r="B50" s="5"/>
      <c r="E50" s="8"/>
      <c r="F50" s="6"/>
      <c r="G50" s="5"/>
      <c r="H50" s="5"/>
      <c r="I50" s="5"/>
    </row>
    <row r="51" spans="2:9" ht="94.35" customHeight="1">
      <c r="B51" s="5"/>
      <c r="E51" s="8"/>
      <c r="F51" s="6"/>
      <c r="G51" s="5"/>
      <c r="H51" s="5"/>
      <c r="I51" s="5"/>
    </row>
    <row r="52" spans="2:9">
      <c r="B52" s="5"/>
      <c r="E52" s="8"/>
      <c r="F52" s="6"/>
      <c r="G52" s="5"/>
      <c r="H52" s="5"/>
      <c r="I52" s="5"/>
    </row>
    <row r="53" spans="2:9">
      <c r="B53" s="5"/>
      <c r="E53" s="8"/>
      <c r="F53" s="6"/>
      <c r="G53" s="5"/>
      <c r="H53" s="5"/>
      <c r="I53" s="5"/>
    </row>
    <row r="54" spans="2:9">
      <c r="B54" s="5"/>
      <c r="E54" s="8"/>
      <c r="F54" s="6"/>
      <c r="G54" s="5"/>
      <c r="H54" s="5"/>
      <c r="I54" s="5"/>
    </row>
    <row r="55" spans="2:9">
      <c r="B55" s="5"/>
      <c r="E55" s="8"/>
      <c r="F55" s="6"/>
      <c r="G55" s="5"/>
      <c r="H55" s="5"/>
      <c r="I55" s="5"/>
    </row>
    <row r="56" spans="2:9">
      <c r="B56" s="5"/>
      <c r="E56" s="8"/>
      <c r="F56" s="6"/>
      <c r="G56" s="5"/>
      <c r="H56" s="5"/>
      <c r="I56" s="5"/>
    </row>
    <row r="57" spans="2:9">
      <c r="B57" s="5"/>
      <c r="E57" s="8"/>
      <c r="F57" s="6"/>
      <c r="G57" s="5"/>
      <c r="H57" s="5"/>
      <c r="I57" s="5"/>
    </row>
    <row r="58" spans="2:9">
      <c r="B58" s="5"/>
      <c r="E58" s="8"/>
      <c r="F58" s="6"/>
      <c r="G58" s="5"/>
      <c r="H58" s="5"/>
      <c r="I58" s="5"/>
    </row>
    <row r="59" spans="2:9">
      <c r="B59" s="5"/>
      <c r="E59" s="8"/>
      <c r="F59" s="6"/>
      <c r="G59" s="5"/>
      <c r="H59" s="5"/>
      <c r="I59" s="5"/>
    </row>
    <row r="60" spans="2:9">
      <c r="B60" s="5"/>
      <c r="E60" s="8"/>
      <c r="F60" s="6"/>
      <c r="G60" s="5"/>
      <c r="H60" s="5"/>
      <c r="I60" s="5"/>
    </row>
    <row r="61" spans="2:9">
      <c r="B61" s="5"/>
      <c r="E61" s="8"/>
      <c r="F61" s="6"/>
      <c r="G61" s="5"/>
      <c r="H61" s="5"/>
      <c r="I61" s="5"/>
    </row>
    <row r="62" spans="2:9">
      <c r="B62" s="5"/>
      <c r="E62" s="8"/>
      <c r="F62" s="6"/>
      <c r="G62" s="5"/>
      <c r="H62" s="5"/>
      <c r="I62" s="5"/>
    </row>
    <row r="63" spans="2:9">
      <c r="B63" s="5"/>
      <c r="E63" s="8"/>
      <c r="F63" s="6"/>
      <c r="G63" s="5"/>
      <c r="H63" s="5"/>
      <c r="I63" s="5"/>
    </row>
    <row r="64" spans="2:9">
      <c r="B64" s="5"/>
      <c r="E64" s="8"/>
      <c r="F64" s="6"/>
      <c r="G64" s="5"/>
      <c r="H64" s="5"/>
      <c r="I64" s="5"/>
    </row>
    <row r="65" spans="2:9">
      <c r="B65" s="5"/>
      <c r="E65" s="8"/>
      <c r="F65" s="6"/>
      <c r="G65" s="5"/>
      <c r="H65" s="5"/>
      <c r="I65" s="5"/>
    </row>
    <row r="66" spans="2:9">
      <c r="B66" s="5"/>
      <c r="E66" s="8"/>
      <c r="F66" s="6"/>
      <c r="G66" s="5"/>
      <c r="H66" s="5"/>
      <c r="I66" s="5"/>
    </row>
  </sheetData>
  <sheetProtection selectLockedCells="1"/>
  <mergeCells count="37">
    <mergeCell ref="P4:X4"/>
    <mergeCell ref="B12:D12"/>
    <mergeCell ref="H6:I7"/>
    <mergeCell ref="N11:Q11"/>
    <mergeCell ref="N12:Q12"/>
    <mergeCell ref="C25:D25"/>
    <mergeCell ref="B9:C9"/>
    <mergeCell ref="I9:I10"/>
    <mergeCell ref="B11:C11"/>
    <mergeCell ref="D15:H15"/>
    <mergeCell ref="D16:H16"/>
    <mergeCell ref="D17:H17"/>
    <mergeCell ref="D18:H18"/>
    <mergeCell ref="F19:H19"/>
    <mergeCell ref="F20:H20"/>
    <mergeCell ref="D21:F21"/>
    <mergeCell ref="L15:X15"/>
    <mergeCell ref="P17:X17"/>
    <mergeCell ref="B44:I44"/>
    <mergeCell ref="B45:I45"/>
    <mergeCell ref="B48:E48"/>
    <mergeCell ref="G48:I48"/>
    <mergeCell ref="C35:D35"/>
    <mergeCell ref="H37:H38"/>
    <mergeCell ref="I37:I38"/>
    <mergeCell ref="C36:D36"/>
    <mergeCell ref="B37:C37"/>
    <mergeCell ref="C31:D31"/>
    <mergeCell ref="C32:D32"/>
    <mergeCell ref="C33:D33"/>
    <mergeCell ref="C34:D34"/>
    <mergeCell ref="B21:C21"/>
    <mergeCell ref="C26:D26"/>
    <mergeCell ref="C27:D27"/>
    <mergeCell ref="C28:D28"/>
    <mergeCell ref="C29:D29"/>
    <mergeCell ref="C30:D30"/>
  </mergeCells>
  <dataValidations count="2">
    <dataValidation type="textLength" allowBlank="1" showInputMessage="1" showErrorMessage="1" errorTitle="Number not valid" error="បញ្ចូលលេខមិនត្រឹមត្រូវេ! សូមបញ្ចូលលេខប្រអប់ ត្រឹមតែមួយខ្ទង់សម្រាប់មួយប្រអប់។ _x000a_" promptTitle="Customer TAX ID " sqref="P3:X3 K3:N3 K15" xr:uid="{00000000-0002-0000-1300-000000000000}">
      <formula1>1</formula1>
      <formula2>1</formula2>
    </dataValidation>
    <dataValidation type="textLength" allowBlank="1" showInputMessage="1" showErrorMessage="1" errorTitle="Incorrect" error="បញ្ចូលលេខមិនត្រឹមត្រូវេ! សូមបញ្ចូលលេខប្រអប់ ត្រឹមតែមួយខ្ទង់សម្រាប់មួយប្រអប់។ " sqref="P17:X17" xr:uid="{00000000-0002-0000-1300-000001000000}">
      <formula1>1</formula1>
      <formula2>1</formula2>
    </dataValidation>
  </dataValidations>
  <hyperlinks>
    <hyperlink ref="S12" r:id="rId1" tooltip="Get exchange rate by day from NBC" xr:uid="{00000000-0004-0000-1300-000000000000}"/>
  </hyperlinks>
  <printOptions horizontalCentered="1"/>
  <pageMargins left="0.59055118110236227" right="0.31496062992125984" top="0.23622047244094491" bottom="0.11811023622047245" header="0.31496062992125984" footer="0.23622047244094491"/>
  <pageSetup paperSize="9" scale="64" orientation="portrait" r:id="rId2"/>
  <headerFooter>
    <oddFooter xml:space="preserve">&amp;C
</oddFoot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5" name="Button 1">
              <controlPr defaultSize="0" print="0" autoFill="0" autoPict="0" macro="[0]!CopySheetSave_Click">
                <anchor moveWithCells="1">
                  <from>
                    <xdr:col>15</xdr:col>
                    <xdr:colOff>104775</xdr:colOff>
                    <xdr:row>0</xdr:row>
                    <xdr:rowOff>66675</xdr:rowOff>
                  </from>
                  <to>
                    <xdr:col>19</xdr:col>
                    <xdr:colOff>219075</xdr:colOff>
                    <xdr:row>1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6" name="Button 2">
              <controlPr defaultSize="0" print="0" autoFill="0" autoPict="0" macro="[0]!PRint_Click">
                <anchor moveWithCells="1" sizeWithCells="1">
                  <from>
                    <xdr:col>20</xdr:col>
                    <xdr:colOff>66675</xdr:colOff>
                    <xdr:row>1</xdr:row>
                    <xdr:rowOff>28575</xdr:rowOff>
                  </from>
                  <to>
                    <xdr:col>22</xdr:col>
                    <xdr:colOff>66675</xdr:colOff>
                    <xdr:row>1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7" name="Button 79">
              <controlPr defaultSize="0" print="0" autoFill="0" autoPict="0" macro="[0]!SaveDraft_Click">
                <anchor moveWithCells="1">
                  <from>
                    <xdr:col>9</xdr:col>
                    <xdr:colOff>304800</xdr:colOff>
                    <xdr:row>1</xdr:row>
                    <xdr:rowOff>28575</xdr:rowOff>
                  </from>
                  <to>
                    <xdr:col>15</xdr:col>
                    <xdr:colOff>9525</xdr:colOff>
                    <xdr:row>1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8" name="Button 95">
              <controlPr defaultSize="0" print="0" autoFill="0" autoPict="0" macro="[0]!TodayPickdate">
                <anchor moveWithCells="1">
                  <from>
                    <xdr:col>18</xdr:col>
                    <xdr:colOff>0</xdr:colOff>
                    <xdr:row>9</xdr:row>
                    <xdr:rowOff>257175</xdr:rowOff>
                  </from>
                  <to>
                    <xdr:col>19</xdr:col>
                    <xdr:colOff>152400</xdr:colOff>
                    <xdr:row>10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9" name="Button 98">
              <controlPr defaultSize="0" print="0" autoFill="0" autoPict="0" macro="[0]!Clear">
                <anchor moveWithCells="1">
                  <from>
                    <xdr:col>10</xdr:col>
                    <xdr:colOff>28575</xdr:colOff>
                    <xdr:row>1</xdr:row>
                    <xdr:rowOff>485775</xdr:rowOff>
                  </from>
                  <to>
                    <xdr:col>12</xdr:col>
                    <xdr:colOff>142875</xdr:colOff>
                    <xdr:row>1</xdr:row>
                    <xdr:rowOff>904875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" name="Button 99">
              <controlPr defaultSize="0" print="0" autoFill="0" autoPict="0" macro="[0]!CompleteStatus">
                <anchor moveWithCells="1">
                  <from>
                    <xdr:col>22</xdr:col>
                    <xdr:colOff>219075</xdr:colOff>
                    <xdr:row>1</xdr:row>
                    <xdr:rowOff>28575</xdr:rowOff>
                  </from>
                  <to>
                    <xdr:col>24</xdr:col>
                    <xdr:colOff>333375</xdr:colOff>
                    <xdr:row>1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9">
    <tabColor rgb="FFFFC000"/>
  </sheetPr>
  <dimension ref="A1:AD69"/>
  <sheetViews>
    <sheetView showGridLines="0" topLeftCell="A5" zoomScale="72" zoomScaleNormal="78" zoomScaleSheetLayoutView="55" zoomScalePageLayoutView="70" workbookViewId="0">
      <selection activeCell="C31" sqref="C31:D31"/>
    </sheetView>
  </sheetViews>
  <sheetFormatPr defaultColWidth="8.7109375" defaultRowHeight="23.25"/>
  <cols>
    <col min="1" max="1" width="2.42578125" customWidth="1"/>
    <col min="2" max="2" width="9" customWidth="1"/>
    <col min="3" max="3" width="15.42578125" style="5" customWidth="1"/>
    <col min="4" max="4" width="45.42578125" style="5" customWidth="1"/>
    <col min="5" max="5" width="12.140625" style="2" customWidth="1"/>
    <col min="6" max="6" width="8.7109375" style="1" customWidth="1"/>
    <col min="7" max="7" width="14.42578125" customWidth="1"/>
    <col min="8" max="9" width="19.140625" customWidth="1"/>
    <col min="10" max="10" width="24.140625" customWidth="1"/>
    <col min="11" max="14" width="3.7109375" customWidth="1"/>
    <col min="15" max="15" width="2.42578125" customWidth="1"/>
    <col min="16" max="24" width="4" customWidth="1"/>
    <col min="25" max="29" width="8.7109375" style="37"/>
  </cols>
  <sheetData>
    <row r="1" spans="1:30" ht="2.85" customHeight="1">
      <c r="AB1" s="37" t="str">
        <f ca="1">MID(K12,1,6)</f>
        <v>( 3)</v>
      </c>
    </row>
    <row r="2" spans="1:30" ht="54.75">
      <c r="A2" s="36"/>
      <c r="B2" s="2152" t="s">
        <v>2036</v>
      </c>
      <c r="C2" s="2152"/>
      <c r="D2" s="2152"/>
      <c r="E2" s="2152"/>
      <c r="F2" s="2152"/>
      <c r="G2" s="2152"/>
      <c r="H2" s="2152"/>
      <c r="I2" s="2152"/>
      <c r="AB2" s="37" t="str">
        <f ca="1">MID(K12,8,8)</f>
        <v/>
      </c>
      <c r="AD2" s="47"/>
    </row>
    <row r="3" spans="1:30" ht="29.25" thickBot="1">
      <c r="A3" s="36"/>
      <c r="B3" s="2153" t="e">
        <f>company_name_en</f>
        <v>#NAME?</v>
      </c>
      <c r="C3" s="2153"/>
      <c r="D3" s="2153"/>
      <c r="E3" s="2153"/>
      <c r="F3" s="2153"/>
      <c r="G3" s="2153"/>
      <c r="H3" s="2153"/>
      <c r="I3" s="2153"/>
      <c r="AD3" s="47"/>
    </row>
    <row r="4" spans="1:30" ht="15.75" thickBot="1">
      <c r="A4" s="36"/>
      <c r="B4" s="2154" t="s">
        <v>2035</v>
      </c>
      <c r="C4" s="2154"/>
      <c r="D4" s="2154"/>
      <c r="E4" s="2154"/>
      <c r="F4" s="2154"/>
      <c r="G4" s="2154"/>
      <c r="H4" s="2154"/>
      <c r="I4" s="2154"/>
      <c r="J4" s="46" t="s">
        <v>150</v>
      </c>
      <c r="K4" s="14" t="s">
        <v>108</v>
      </c>
      <c r="L4" s="14">
        <v>0</v>
      </c>
      <c r="M4" s="14">
        <v>0</v>
      </c>
      <c r="N4" s="14">
        <v>9</v>
      </c>
      <c r="O4" s="13" t="s">
        <v>109</v>
      </c>
      <c r="P4" s="14">
        <v>2</v>
      </c>
      <c r="Q4" s="14">
        <v>1</v>
      </c>
      <c r="R4" s="14">
        <v>0</v>
      </c>
      <c r="S4" s="14">
        <v>0</v>
      </c>
      <c r="T4" s="14">
        <v>0</v>
      </c>
      <c r="U4" s="14">
        <v>0</v>
      </c>
      <c r="V4" s="14">
        <v>6</v>
      </c>
      <c r="W4" s="14">
        <v>3</v>
      </c>
      <c r="X4" s="14">
        <v>3</v>
      </c>
      <c r="AB4" s="37" t="str">
        <f>MID(K13,8,8)</f>
        <v/>
      </c>
      <c r="AD4" s="47"/>
    </row>
    <row r="5" spans="1:30" ht="15">
      <c r="A5" s="36"/>
      <c r="B5" s="2154" t="e">
        <f>Address_ENG</f>
        <v>#NAME?</v>
      </c>
      <c r="C5" s="2154"/>
      <c r="D5" s="2154"/>
      <c r="E5" s="2154"/>
      <c r="F5" s="2154"/>
      <c r="G5" s="2154"/>
      <c r="H5" s="2154"/>
      <c r="I5" s="2154"/>
      <c r="K5" s="13"/>
      <c r="L5" s="13"/>
      <c r="M5" s="13"/>
      <c r="N5" s="13"/>
      <c r="O5" s="13"/>
      <c r="P5" s="122"/>
      <c r="Q5" s="122"/>
      <c r="R5" s="122"/>
      <c r="S5" s="122"/>
      <c r="T5" s="122"/>
      <c r="U5" s="122"/>
      <c r="V5" s="122"/>
      <c r="W5" s="122"/>
      <c r="X5" s="122"/>
      <c r="AD5" s="47"/>
    </row>
    <row r="6" spans="1:30" ht="15">
      <c r="A6" s="36"/>
      <c r="B6" s="2154" t="e">
        <f>c_phone_email</f>
        <v>#NAME?</v>
      </c>
      <c r="C6" s="2154"/>
      <c r="D6" s="2154"/>
      <c r="E6" s="2154"/>
      <c r="F6" s="2154"/>
      <c r="G6" s="2154"/>
      <c r="H6" s="2154"/>
      <c r="I6" s="2154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AD6" s="47"/>
    </row>
    <row r="7" spans="1:30" ht="27.6" customHeight="1" thickBot="1">
      <c r="A7" s="36"/>
      <c r="B7" s="2144" t="s">
        <v>151</v>
      </c>
      <c r="C7" s="2144"/>
      <c r="D7" s="2144"/>
      <c r="E7" s="123"/>
      <c r="F7" s="123"/>
      <c r="G7" s="123"/>
      <c r="H7" s="123"/>
      <c r="I7" s="123"/>
      <c r="Y7"/>
      <c r="Z7"/>
      <c r="AB7" s="37" t="str">
        <f>MID(K14,8,8)</f>
        <v/>
      </c>
      <c r="AD7" s="47"/>
    </row>
    <row r="8" spans="1:30" ht="10.35" customHeight="1">
      <c r="A8" s="12"/>
      <c r="E8" s="45"/>
      <c r="I8" s="46"/>
      <c r="AB8" s="81" t="str">
        <f>MID(K15,8,8)</f>
        <v>Rate</v>
      </c>
      <c r="AD8" s="47"/>
    </row>
    <row r="9" spans="1:30" ht="50.1" customHeight="1">
      <c r="A9" s="12"/>
      <c r="E9" s="45"/>
      <c r="H9" s="2141" t="str">
        <f ca="1">""&amp;I12&amp;""</f>
        <v>STCI00-0003</v>
      </c>
      <c r="I9" s="2141"/>
      <c r="AB9" s="37" t="str">
        <f>MID(K16,8,8)</f>
        <v/>
      </c>
      <c r="AD9" s="47"/>
    </row>
    <row r="10" spans="1:30" ht="21.6" customHeight="1">
      <c r="A10" s="12"/>
      <c r="E10" s="45"/>
      <c r="H10" s="2141"/>
      <c r="I10" s="2141"/>
      <c r="AD10" s="47"/>
    </row>
    <row r="11" spans="1:30" ht="10.35" customHeight="1" thickBot="1">
      <c r="A11" s="12"/>
      <c r="E11" s="45"/>
      <c r="I11" s="46"/>
      <c r="Y11" s="39"/>
    </row>
    <row r="12" spans="1:30" s="52" customFormat="1">
      <c r="A12" s="12"/>
      <c r="B12" s="1960"/>
      <c r="C12" s="1960"/>
      <c r="E12" s="53"/>
      <c r="F12" s="54"/>
      <c r="H12" s="104" t="s">
        <v>111</v>
      </c>
      <c r="I12" s="2127" t="str">
        <f ca="1">"STCI"&amp;RIGHT(YEAR(I14),2)&amp;TEXT(K12,"0000")</f>
        <v>STCI00-0003</v>
      </c>
      <c r="K12" s="81" t="str">
        <f ca="1">MID(MID(CELL("filename",A1),FIND("]",CELL("filename",A1))+1,255),1,40)</f>
        <v>( 3)</v>
      </c>
      <c r="L12"/>
      <c r="M12"/>
      <c r="N12"/>
      <c r="O12"/>
      <c r="Y12" s="37"/>
      <c r="Z12" s="37"/>
      <c r="AA12" s="37"/>
      <c r="AB12" s="37"/>
      <c r="AC12" s="37"/>
    </row>
    <row r="13" spans="1:30" s="52" customFormat="1" ht="21">
      <c r="A13" s="12"/>
      <c r="E13" s="53"/>
      <c r="F13" s="54"/>
      <c r="H13" s="55" t="s">
        <v>81</v>
      </c>
      <c r="I13" s="2128"/>
      <c r="M13"/>
      <c r="Y13" s="37"/>
      <c r="Z13" s="37"/>
      <c r="AA13" s="37"/>
      <c r="AB13" s="37"/>
      <c r="AC13" s="37"/>
    </row>
    <row r="14" spans="1:30" s="52" customFormat="1" ht="24" thickBot="1">
      <c r="A14" s="12"/>
      <c r="B14" s="2129" t="s">
        <v>113</v>
      </c>
      <c r="C14" s="2129"/>
      <c r="E14" s="53"/>
      <c r="F14" s="54"/>
      <c r="H14" s="105" t="s">
        <v>114</v>
      </c>
      <c r="I14" s="80">
        <f>N14</f>
        <v>0</v>
      </c>
      <c r="K14" s="3" t="s">
        <v>115</v>
      </c>
      <c r="L14" s="82"/>
      <c r="M14" s="82"/>
      <c r="N14" s="2142"/>
      <c r="O14" s="2142"/>
      <c r="P14" s="2142"/>
      <c r="Q14" s="2142"/>
      <c r="U14" s="83"/>
      <c r="Y14" s="37"/>
      <c r="Z14" s="37"/>
      <c r="AA14" s="37"/>
      <c r="AB14" s="37"/>
      <c r="AC14" s="37"/>
    </row>
    <row r="15" spans="1:30" s="52" customFormat="1" ht="21.75" thickBot="1">
      <c r="A15" s="12"/>
      <c r="B15" s="2138"/>
      <c r="C15" s="2139"/>
      <c r="D15" s="2140"/>
      <c r="E15" s="53"/>
      <c r="F15" s="54"/>
      <c r="H15" s="56" t="s">
        <v>70</v>
      </c>
      <c r="I15" s="57"/>
      <c r="K15" t="s">
        <v>116</v>
      </c>
      <c r="N15" s="2143"/>
      <c r="O15" s="2143"/>
      <c r="P15" s="2143"/>
      <c r="Q15" s="2143"/>
      <c r="S15" s="84" t="s">
        <v>117</v>
      </c>
      <c r="T15" s="83"/>
      <c r="U15" s="83"/>
      <c r="Y15" s="37"/>
      <c r="Z15" s="37"/>
      <c r="AA15" s="37"/>
      <c r="AB15" s="37"/>
      <c r="AC15" s="37"/>
    </row>
    <row r="16" spans="1:30" ht="10.35" customHeight="1" thickBot="1">
      <c r="A16" s="5"/>
      <c r="B16" s="5"/>
      <c r="E16" s="5"/>
      <c r="F16" s="5"/>
      <c r="G16" s="5"/>
      <c r="H16" s="5"/>
      <c r="I16" s="5"/>
      <c r="J16" s="5"/>
      <c r="K16" s="5"/>
      <c r="L16" s="2"/>
    </row>
    <row r="17" spans="1:29" ht="24" thickBot="1">
      <c r="A17" s="58">
        <v>-9</v>
      </c>
      <c r="B17" s="59" t="s">
        <v>152</v>
      </c>
      <c r="C17" s="23"/>
      <c r="D17" s="23"/>
      <c r="E17" s="23"/>
      <c r="F17" s="23"/>
      <c r="G17" s="60">
        <v>-3</v>
      </c>
      <c r="H17" s="19"/>
      <c r="I17" s="20"/>
      <c r="J17" s="58"/>
      <c r="L17" s="118"/>
      <c r="M17" s="118"/>
      <c r="N17" s="118"/>
      <c r="P17" s="118" t="s">
        <v>119</v>
      </c>
    </row>
    <row r="18" spans="1:29" ht="26.25" thickBot="1">
      <c r="A18" s="58"/>
      <c r="B18" s="106" t="s">
        <v>120</v>
      </c>
      <c r="C18" s="61"/>
      <c r="D18" s="2130"/>
      <c r="E18" s="2130"/>
      <c r="F18" s="2130"/>
      <c r="G18" s="2130"/>
      <c r="H18" s="2130"/>
      <c r="I18" s="21"/>
      <c r="J18" s="58"/>
      <c r="K18" s="13"/>
      <c r="L18" s="2107" t="str">
        <f>IF(Customer_TIN_Area="","",Customer_TIN_Area)</f>
        <v/>
      </c>
      <c r="M18" s="2108"/>
      <c r="N18" s="2108"/>
      <c r="O18" s="2108"/>
      <c r="P18" s="2108"/>
      <c r="Q18" s="2108"/>
      <c r="R18" s="2108"/>
      <c r="S18" s="2108"/>
      <c r="T18" s="2108"/>
      <c r="U18" s="2108"/>
      <c r="V18" s="2108"/>
      <c r="W18" s="2108"/>
      <c r="X18" s="2109"/>
    </row>
    <row r="19" spans="1:29">
      <c r="A19" s="58"/>
      <c r="B19" s="18" t="s">
        <v>153</v>
      </c>
      <c r="C19" s="61"/>
      <c r="D19" s="2131"/>
      <c r="E19" s="2131"/>
      <c r="F19" s="2131"/>
      <c r="G19" s="2131"/>
      <c r="H19" s="2131"/>
      <c r="I19" s="21"/>
      <c r="J19" s="62" t="s">
        <v>122</v>
      </c>
      <c r="K19" s="63" t="s">
        <v>123</v>
      </c>
      <c r="L19" s="37" t="s">
        <v>124</v>
      </c>
      <c r="M19" s="37" t="s">
        <v>124</v>
      </c>
      <c r="N19" s="37" t="s">
        <v>124</v>
      </c>
      <c r="O19" s="37"/>
      <c r="P19" s="37" t="s">
        <v>124</v>
      </c>
      <c r="Q19" s="37" t="s">
        <v>124</v>
      </c>
      <c r="R19" s="37" t="s">
        <v>124</v>
      </c>
      <c r="S19" s="37" t="s">
        <v>124</v>
      </c>
      <c r="T19" s="37" t="s">
        <v>124</v>
      </c>
      <c r="U19" s="37" t="s">
        <v>124</v>
      </c>
      <c r="V19" s="37" t="s">
        <v>124</v>
      </c>
      <c r="W19" s="37" t="s">
        <v>124</v>
      </c>
      <c r="X19" s="37" t="s">
        <v>124</v>
      </c>
    </row>
    <row r="20" spans="1:29">
      <c r="A20" s="58"/>
      <c r="B20" s="107" t="s">
        <v>125</v>
      </c>
      <c r="C20" s="61"/>
      <c r="D20" s="2132"/>
      <c r="E20" s="2133"/>
      <c r="F20" s="2133"/>
      <c r="G20" s="2133"/>
      <c r="H20" s="2133"/>
      <c r="I20" s="21"/>
      <c r="J20" s="58"/>
      <c r="L20" s="37"/>
      <c r="M20" s="37"/>
      <c r="O20" s="38" t="s">
        <v>126</v>
      </c>
      <c r="P20" s="2110"/>
      <c r="Q20" s="2110"/>
      <c r="R20" s="2110"/>
      <c r="S20" s="2110"/>
      <c r="T20" s="2110"/>
      <c r="U20" s="2110"/>
      <c r="V20" s="2110"/>
      <c r="W20" s="2110"/>
      <c r="X20" s="2110"/>
    </row>
    <row r="21" spans="1:29">
      <c r="A21" s="58"/>
      <c r="B21" s="18" t="s">
        <v>23</v>
      </c>
      <c r="C21" s="61"/>
      <c r="D21" s="2134"/>
      <c r="E21" s="2134"/>
      <c r="F21" s="2134"/>
      <c r="G21" s="2134"/>
      <c r="H21" s="2134"/>
      <c r="I21" s="21"/>
      <c r="J21" s="58"/>
      <c r="K21" s="58"/>
    </row>
    <row r="22" spans="1:29">
      <c r="A22" s="5"/>
      <c r="B22" s="107" t="s">
        <v>128</v>
      </c>
      <c r="D22" s="44"/>
      <c r="E22" s="108" t="s">
        <v>129</v>
      </c>
      <c r="F22" s="2135"/>
      <c r="G22" s="2133"/>
      <c r="H22" s="2133"/>
      <c r="I22" s="21"/>
      <c r="J22" s="5"/>
      <c r="K22" s="5"/>
    </row>
    <row r="23" spans="1:29">
      <c r="A23" s="5"/>
      <c r="B23" s="25" t="s">
        <v>154</v>
      </c>
      <c r="D23" s="26"/>
      <c r="E23" s="35" t="s">
        <v>131</v>
      </c>
      <c r="F23" s="2135"/>
      <c r="G23" s="2133"/>
      <c r="H23" s="2133"/>
      <c r="I23" s="16"/>
      <c r="J23" s="5"/>
      <c r="K23" s="5"/>
    </row>
    <row r="24" spans="1:29" ht="32.85" customHeight="1" thickBot="1">
      <c r="A24" s="5"/>
      <c r="B24" s="2124" t="s">
        <v>155</v>
      </c>
      <c r="C24" s="2125"/>
      <c r="D24" s="2136" t="str">
        <f>L18</f>
        <v/>
      </c>
      <c r="E24" s="2136"/>
      <c r="F24" s="2136"/>
      <c r="G24" s="17"/>
      <c r="H24" s="7"/>
      <c r="I24" s="15"/>
      <c r="J24" s="5"/>
    </row>
    <row r="25" spans="1:29" s="4" customFormat="1" ht="10.35" customHeight="1" thickBot="1">
      <c r="A25"/>
      <c r="C25" s="64"/>
      <c r="D25" s="65"/>
      <c r="E25" s="66"/>
      <c r="F25" s="67"/>
      <c r="H25" s="68"/>
      <c r="I25" s="69"/>
      <c r="M25"/>
      <c r="N25"/>
      <c r="O25"/>
      <c r="P25"/>
      <c r="Q25"/>
      <c r="R25"/>
      <c r="S25"/>
      <c r="Y25" s="40"/>
      <c r="Z25" s="40"/>
      <c r="AA25" s="40"/>
      <c r="AB25" s="40"/>
      <c r="AC25" s="40"/>
    </row>
    <row r="26" spans="1:29" s="3" customFormat="1">
      <c r="B26" s="109" t="s">
        <v>47</v>
      </c>
      <c r="C26" s="110" t="s">
        <v>133</v>
      </c>
      <c r="D26" s="111"/>
      <c r="E26" s="112" t="s">
        <v>134</v>
      </c>
      <c r="F26" s="109" t="s">
        <v>135</v>
      </c>
      <c r="G26" s="109" t="s">
        <v>90</v>
      </c>
      <c r="H26" s="113" t="s">
        <v>136</v>
      </c>
      <c r="I26" s="109" t="s">
        <v>136</v>
      </c>
      <c r="M26"/>
      <c r="N26"/>
      <c r="O26"/>
      <c r="P26"/>
      <c r="Q26"/>
      <c r="R26"/>
      <c r="S26"/>
      <c r="Y26" s="41"/>
      <c r="Z26" s="41"/>
      <c r="AA26" s="41"/>
      <c r="AB26" s="41"/>
      <c r="AC26" s="41"/>
    </row>
    <row r="27" spans="1:29" ht="30">
      <c r="B27" s="70" t="s">
        <v>69</v>
      </c>
      <c r="C27" s="27" t="s">
        <v>76</v>
      </c>
      <c r="D27" s="94"/>
      <c r="E27" s="28" t="s">
        <v>19</v>
      </c>
      <c r="F27" s="29" t="s">
        <v>67</v>
      </c>
      <c r="G27" s="30" t="s">
        <v>137</v>
      </c>
      <c r="H27" s="31" t="s">
        <v>138</v>
      </c>
      <c r="I27" s="31" t="s">
        <v>139</v>
      </c>
    </row>
    <row r="28" spans="1:29" s="34" customFormat="1">
      <c r="B28" s="120" t="str">
        <f>IF(C28="","",1)</f>
        <v/>
      </c>
      <c r="C28" s="2126"/>
      <c r="D28" s="2126"/>
      <c r="E28" s="85"/>
      <c r="F28" s="86"/>
      <c r="G28" s="87"/>
      <c r="H28" s="88">
        <f>(G28*F28*10%)+G28*F28</f>
        <v>0</v>
      </c>
      <c r="I28" s="119">
        <f>IF(H28="","",H28*$D$41)</f>
        <v>0</v>
      </c>
      <c r="Y28" s="42"/>
      <c r="Z28" s="42"/>
      <c r="AA28" s="42"/>
      <c r="AB28" s="42"/>
      <c r="AC28" s="42"/>
    </row>
    <row r="29" spans="1:29" s="34" customFormat="1" ht="41.85" customHeight="1">
      <c r="B29" s="95" t="str">
        <f>IF(C29="","",B28+1)</f>
        <v/>
      </c>
      <c r="C29" s="2104"/>
      <c r="D29" s="2104"/>
      <c r="E29" s="85"/>
      <c r="F29" s="86"/>
      <c r="G29" s="89"/>
      <c r="H29" s="88">
        <f>(G29*F29*10%)+G29*F29</f>
        <v>0</v>
      </c>
      <c r="I29" s="96">
        <f t="shared" ref="I29:I39" si="0">IF(H29="","",H29*$D$41)</f>
        <v>0</v>
      </c>
      <c r="Y29" s="42"/>
      <c r="Z29" s="42"/>
      <c r="AA29" s="42"/>
      <c r="AB29" s="42"/>
      <c r="AC29" s="42"/>
    </row>
    <row r="30" spans="1:29" s="34" customFormat="1">
      <c r="B30" s="120" t="str">
        <f>IF(C30="","",B29+1)</f>
        <v/>
      </c>
      <c r="C30" s="2151"/>
      <c r="D30" s="2151"/>
      <c r="E30" s="85"/>
      <c r="F30" s="86"/>
      <c r="G30" s="89"/>
      <c r="H30" s="88">
        <f t="shared" ref="H30:H38" si="1">(G30*F30*10%)+G30*F30</f>
        <v>0</v>
      </c>
      <c r="I30" s="96">
        <f t="shared" si="0"/>
        <v>0</v>
      </c>
      <c r="Y30" s="42"/>
      <c r="Z30" s="42"/>
      <c r="AA30" s="42"/>
      <c r="AB30" s="42"/>
      <c r="AC30" s="42"/>
    </row>
    <row r="31" spans="1:29" s="34" customFormat="1" ht="44.1" customHeight="1">
      <c r="B31" s="95" t="str">
        <f>IF(C31="","",B30+1)</f>
        <v/>
      </c>
      <c r="C31" s="2104"/>
      <c r="D31" s="2104"/>
      <c r="E31" s="85"/>
      <c r="F31" s="86"/>
      <c r="G31" s="89"/>
      <c r="H31" s="88">
        <f t="shared" si="1"/>
        <v>0</v>
      </c>
      <c r="I31" s="96">
        <f t="shared" si="0"/>
        <v>0</v>
      </c>
      <c r="Y31" s="42"/>
      <c r="Z31" s="42"/>
      <c r="AA31" s="42"/>
      <c r="AB31" s="42"/>
      <c r="AC31" s="42"/>
    </row>
    <row r="32" spans="1:29" s="34" customFormat="1">
      <c r="B32" s="95" t="str">
        <f t="shared" ref="B32:B39" si="2">IF(C32="","",B31+1)</f>
        <v/>
      </c>
      <c r="C32" s="2105"/>
      <c r="D32" s="2105"/>
      <c r="E32" s="85"/>
      <c r="F32" s="86"/>
      <c r="G32" s="89"/>
      <c r="H32" s="88">
        <f t="shared" si="1"/>
        <v>0</v>
      </c>
      <c r="I32" s="96">
        <f t="shared" si="0"/>
        <v>0</v>
      </c>
      <c r="Y32" s="42"/>
      <c r="Z32" s="42"/>
      <c r="AA32" s="42"/>
      <c r="AB32" s="42"/>
      <c r="AC32" s="42"/>
    </row>
    <row r="33" spans="2:29" s="34" customFormat="1">
      <c r="B33" s="95" t="str">
        <f t="shared" si="2"/>
        <v/>
      </c>
      <c r="C33" s="2106"/>
      <c r="D33" s="2106"/>
      <c r="E33" s="90"/>
      <c r="F33" s="91"/>
      <c r="G33" s="92"/>
      <c r="H33" s="88">
        <f t="shared" si="1"/>
        <v>0</v>
      </c>
      <c r="I33" s="97">
        <f t="shared" si="0"/>
        <v>0</v>
      </c>
      <c r="Y33" s="42"/>
      <c r="Z33" s="42"/>
      <c r="AA33" s="42"/>
      <c r="AB33" s="42"/>
      <c r="AC33" s="42"/>
    </row>
    <row r="34" spans="2:29" s="34" customFormat="1">
      <c r="B34" s="95" t="str">
        <f t="shared" si="2"/>
        <v/>
      </c>
      <c r="C34" s="2106"/>
      <c r="D34" s="2106"/>
      <c r="E34" s="93"/>
      <c r="F34" s="91"/>
      <c r="G34" s="92"/>
      <c r="H34" s="88">
        <f t="shared" si="1"/>
        <v>0</v>
      </c>
      <c r="I34" s="97">
        <f t="shared" si="0"/>
        <v>0</v>
      </c>
      <c r="Y34" s="42"/>
      <c r="Z34" s="42"/>
      <c r="AA34" s="42"/>
      <c r="AB34" s="42"/>
      <c r="AC34" s="42"/>
    </row>
    <row r="35" spans="2:29" s="34" customFormat="1">
      <c r="B35" s="95" t="str">
        <f t="shared" si="2"/>
        <v/>
      </c>
      <c r="C35" s="2106"/>
      <c r="D35" s="2106"/>
      <c r="E35" s="93"/>
      <c r="F35" s="91"/>
      <c r="G35" s="92"/>
      <c r="H35" s="88">
        <f t="shared" si="1"/>
        <v>0</v>
      </c>
      <c r="I35" s="97">
        <f t="shared" si="0"/>
        <v>0</v>
      </c>
      <c r="Y35" s="42"/>
      <c r="Z35" s="42"/>
      <c r="AA35" s="42"/>
      <c r="AB35" s="42"/>
      <c r="AC35" s="42"/>
    </row>
    <row r="36" spans="2:29" s="34" customFormat="1">
      <c r="B36" s="95" t="str">
        <f t="shared" si="2"/>
        <v/>
      </c>
      <c r="C36" s="2106"/>
      <c r="D36" s="2106"/>
      <c r="E36" s="93"/>
      <c r="F36" s="91"/>
      <c r="G36" s="92"/>
      <c r="H36" s="88">
        <f t="shared" si="1"/>
        <v>0</v>
      </c>
      <c r="I36" s="97">
        <f t="shared" si="0"/>
        <v>0</v>
      </c>
      <c r="Y36" s="42"/>
      <c r="Z36" s="42"/>
      <c r="AA36" s="42"/>
      <c r="AB36" s="42"/>
      <c r="AC36" s="42"/>
    </row>
    <row r="37" spans="2:29" s="34" customFormat="1">
      <c r="B37" s="95" t="str">
        <f t="shared" si="2"/>
        <v/>
      </c>
      <c r="C37" s="2106"/>
      <c r="D37" s="2106"/>
      <c r="E37" s="93"/>
      <c r="F37" s="91"/>
      <c r="G37" s="92"/>
      <c r="H37" s="88">
        <f t="shared" si="1"/>
        <v>0</v>
      </c>
      <c r="I37" s="97">
        <f t="shared" si="0"/>
        <v>0</v>
      </c>
      <c r="Y37" s="42"/>
      <c r="Z37" s="42"/>
      <c r="AA37" s="42"/>
      <c r="AB37" s="42"/>
      <c r="AC37" s="42"/>
    </row>
    <row r="38" spans="2:29" s="34" customFormat="1">
      <c r="B38" s="95" t="str">
        <f t="shared" si="2"/>
        <v/>
      </c>
      <c r="C38" s="2106"/>
      <c r="D38" s="2106"/>
      <c r="E38" s="93"/>
      <c r="F38" s="91"/>
      <c r="G38" s="92"/>
      <c r="H38" s="88">
        <f t="shared" si="1"/>
        <v>0</v>
      </c>
      <c r="I38" s="97">
        <f t="shared" si="0"/>
        <v>0</v>
      </c>
      <c r="Y38" s="42"/>
      <c r="Z38" s="42"/>
      <c r="AA38" s="42"/>
      <c r="AB38" s="42"/>
      <c r="AC38" s="42"/>
    </row>
    <row r="39" spans="2:29" s="34" customFormat="1" ht="6.6" customHeight="1" thickBot="1">
      <c r="B39" s="98" t="str">
        <f t="shared" si="2"/>
        <v/>
      </c>
      <c r="C39" s="2121"/>
      <c r="D39" s="2121"/>
      <c r="E39" s="99"/>
      <c r="F39" s="100"/>
      <c r="G39" s="101"/>
      <c r="H39" s="102" t="str">
        <f>IF(G39="","",F39*G39)</f>
        <v/>
      </c>
      <c r="I39" s="103" t="str">
        <f t="shared" si="0"/>
        <v/>
      </c>
      <c r="Y39" s="42"/>
      <c r="Z39" s="42"/>
      <c r="AA39" s="42"/>
      <c r="AB39" s="42"/>
      <c r="AC39" s="42"/>
    </row>
    <row r="40" spans="2:29">
      <c r="B40" s="2122" t="s">
        <v>143</v>
      </c>
      <c r="C40" s="2123"/>
      <c r="D40" s="71" t="str">
        <f>SpellNumber(H40)</f>
        <v>Zero US Dollars and Zero Cents</v>
      </c>
      <c r="E40" s="22"/>
      <c r="F40" s="19"/>
      <c r="G40" s="114" t="s">
        <v>144</v>
      </c>
      <c r="H40" s="2117">
        <f>SUM(H28:H39)</f>
        <v>0</v>
      </c>
      <c r="I40" s="2119">
        <f>SUM(I28:I39)</f>
        <v>0</v>
      </c>
    </row>
    <row r="41" spans="2:29" ht="24" thickBot="1">
      <c r="B41" s="117" t="s">
        <v>145</v>
      </c>
      <c r="C41" s="9"/>
      <c r="D41" s="43">
        <f>N15</f>
        <v>0</v>
      </c>
      <c r="E41" s="72"/>
      <c r="F41"/>
      <c r="G41" s="115" t="s">
        <v>156</v>
      </c>
      <c r="H41" s="2118"/>
      <c r="I41" s="2120"/>
    </row>
    <row r="42" spans="2:29" ht="24" thickBot="1">
      <c r="B42" s="79" t="s">
        <v>147</v>
      </c>
      <c r="C42" s="73"/>
      <c r="D42" s="73"/>
      <c r="E42" s="24"/>
      <c r="F42" s="48"/>
      <c r="G42" s="116"/>
      <c r="H42" s="116"/>
      <c r="I42" s="116"/>
    </row>
    <row r="43" spans="2:29" ht="10.35" customHeight="1" thickBot="1">
      <c r="B43" s="9"/>
      <c r="C43" s="9"/>
      <c r="D43" s="9"/>
      <c r="E43" s="72"/>
      <c r="F43"/>
      <c r="H43" s="5"/>
    </row>
    <row r="44" spans="2:29" ht="80.849999999999994" customHeight="1" thickBot="1">
      <c r="B44" s="74"/>
      <c r="C44" s="75"/>
      <c r="D44" s="75"/>
      <c r="E44" s="32"/>
      <c r="F44" s="76"/>
      <c r="G44" s="76"/>
      <c r="H44" s="33"/>
      <c r="I44" s="77"/>
    </row>
    <row r="45" spans="2:29" ht="10.35" customHeight="1" thickBot="1">
      <c r="B45" s="9"/>
      <c r="C45" s="9"/>
      <c r="D45" s="9"/>
      <c r="E45" s="72"/>
      <c r="F45"/>
    </row>
    <row r="46" spans="2:29" ht="180.6" customHeight="1">
      <c r="B46" s="78"/>
      <c r="C46" s="71"/>
      <c r="D46" s="71"/>
      <c r="E46" s="22"/>
      <c r="F46" s="19"/>
      <c r="G46" s="19"/>
      <c r="H46" s="19"/>
      <c r="I46" s="20"/>
    </row>
    <row r="47" spans="2:29" ht="21">
      <c r="B47" s="2145" t="s">
        <v>157</v>
      </c>
      <c r="C47" s="2146"/>
      <c r="D47" s="2146"/>
      <c r="E47" s="2146"/>
      <c r="F47" s="2146"/>
      <c r="G47" s="2146"/>
      <c r="H47" s="2146"/>
      <c r="I47" s="2147"/>
    </row>
    <row r="48" spans="2:29" ht="24" thickBot="1">
      <c r="B48" s="2148" t="s">
        <v>158</v>
      </c>
      <c r="C48" s="2149"/>
      <c r="D48" s="2149"/>
      <c r="E48" s="2149"/>
      <c r="F48" s="2149"/>
      <c r="G48" s="2149"/>
      <c r="H48" s="2149"/>
      <c r="I48" s="2150"/>
    </row>
    <row r="49" spans="2:9" ht="15">
      <c r="B49" s="9"/>
      <c r="C49" s="9"/>
      <c r="D49" s="11"/>
      <c r="E49" s="10"/>
      <c r="F49"/>
    </row>
    <row r="50" spans="2:9" ht="15">
      <c r="C50"/>
      <c r="D50"/>
      <c r="F50"/>
    </row>
    <row r="51" spans="2:9" ht="6" customHeight="1">
      <c r="B51" s="1903"/>
      <c r="C51" s="1903"/>
      <c r="D51" s="1903"/>
      <c r="E51" s="1903"/>
      <c r="F51" s="6"/>
      <c r="G51" s="1903"/>
      <c r="H51" s="1903"/>
      <c r="I51" s="1903"/>
    </row>
    <row r="52" spans="2:9" ht="87.6" customHeight="1">
      <c r="B52" s="5"/>
      <c r="E52" s="8"/>
      <c r="F52" s="6"/>
      <c r="G52" s="5"/>
      <c r="H52" s="5"/>
      <c r="I52" s="5"/>
    </row>
    <row r="53" spans="2:9" ht="87.6" customHeight="1">
      <c r="B53" s="5"/>
      <c r="E53" s="8"/>
      <c r="F53" s="6"/>
      <c r="G53" s="5"/>
      <c r="H53" s="5"/>
      <c r="I53" s="5"/>
    </row>
    <row r="54" spans="2:9" ht="94.35" customHeight="1">
      <c r="B54" s="5"/>
      <c r="E54" s="8"/>
      <c r="F54" s="6"/>
      <c r="G54" s="5"/>
      <c r="H54" s="5"/>
      <c r="I54" s="5"/>
    </row>
    <row r="55" spans="2:9">
      <c r="B55" s="5"/>
      <c r="E55" s="8"/>
      <c r="F55" s="6"/>
      <c r="G55" s="5"/>
      <c r="H55" s="5"/>
      <c r="I55" s="5"/>
    </row>
    <row r="56" spans="2:9">
      <c r="B56" s="5"/>
      <c r="E56" s="8"/>
      <c r="F56" s="6"/>
      <c r="G56" s="5"/>
      <c r="H56" s="5"/>
      <c r="I56" s="5"/>
    </row>
    <row r="57" spans="2:9">
      <c r="B57" s="5"/>
      <c r="E57" s="8"/>
      <c r="F57" s="6"/>
      <c r="G57" s="5"/>
      <c r="H57" s="5"/>
      <c r="I57" s="5"/>
    </row>
    <row r="58" spans="2:9">
      <c r="B58" s="5"/>
      <c r="E58" s="8"/>
      <c r="F58" s="6"/>
      <c r="G58" s="5"/>
      <c r="H58" s="5"/>
      <c r="I58" s="5"/>
    </row>
    <row r="59" spans="2:9">
      <c r="B59" s="5"/>
      <c r="E59" s="8"/>
      <c r="F59" s="6"/>
      <c r="G59" s="5"/>
      <c r="H59" s="5"/>
      <c r="I59" s="5"/>
    </row>
    <row r="60" spans="2:9">
      <c r="B60" s="5"/>
      <c r="E60" s="8"/>
      <c r="F60" s="6"/>
      <c r="G60" s="5"/>
      <c r="H60" s="5"/>
      <c r="I60" s="5"/>
    </row>
    <row r="61" spans="2:9">
      <c r="B61" s="5"/>
      <c r="E61" s="8"/>
      <c r="F61" s="6"/>
      <c r="G61" s="5"/>
      <c r="H61" s="5"/>
      <c r="I61" s="5"/>
    </row>
    <row r="62" spans="2:9">
      <c r="B62" s="5"/>
      <c r="E62" s="8"/>
      <c r="F62" s="6"/>
      <c r="G62" s="5"/>
      <c r="H62" s="5"/>
      <c r="I62" s="5"/>
    </row>
    <row r="63" spans="2:9">
      <c r="B63" s="5"/>
      <c r="E63" s="8"/>
      <c r="F63" s="6"/>
      <c r="G63" s="5"/>
      <c r="H63" s="5"/>
      <c r="I63" s="5"/>
    </row>
    <row r="64" spans="2:9">
      <c r="B64" s="5"/>
      <c r="E64" s="8"/>
      <c r="F64" s="6"/>
      <c r="G64" s="5"/>
      <c r="H64" s="5"/>
      <c r="I64" s="5"/>
    </row>
    <row r="65" spans="2:9">
      <c r="B65" s="5"/>
      <c r="E65" s="8"/>
      <c r="F65" s="6"/>
      <c r="G65" s="5"/>
      <c r="H65" s="5"/>
      <c r="I65" s="5"/>
    </row>
    <row r="66" spans="2:9">
      <c r="B66" s="5"/>
      <c r="E66" s="8"/>
      <c r="F66" s="6"/>
      <c r="G66" s="5"/>
      <c r="H66" s="5"/>
      <c r="I66" s="5"/>
    </row>
    <row r="67" spans="2:9">
      <c r="B67" s="5"/>
      <c r="E67" s="8"/>
      <c r="F67" s="6"/>
      <c r="G67" s="5"/>
      <c r="H67" s="5"/>
      <c r="I67" s="5"/>
    </row>
    <row r="68" spans="2:9">
      <c r="B68" s="5"/>
      <c r="E68" s="8"/>
      <c r="F68" s="6"/>
      <c r="G68" s="5"/>
      <c r="H68" s="5"/>
      <c r="I68" s="5"/>
    </row>
    <row r="69" spans="2:9">
      <c r="B69" s="5"/>
      <c r="E69" s="8"/>
      <c r="F69" s="6"/>
      <c r="G69" s="5"/>
      <c r="H69" s="5"/>
      <c r="I69" s="5"/>
    </row>
  </sheetData>
  <sheetProtection selectLockedCells="1"/>
  <mergeCells count="42">
    <mergeCell ref="B2:I2"/>
    <mergeCell ref="B3:I3"/>
    <mergeCell ref="B4:I4"/>
    <mergeCell ref="B5:I5"/>
    <mergeCell ref="B6:I6"/>
    <mergeCell ref="B7:D7"/>
    <mergeCell ref="H40:H41"/>
    <mergeCell ref="I40:I41"/>
    <mergeCell ref="B47:I47"/>
    <mergeCell ref="B48:I48"/>
    <mergeCell ref="C29:D29"/>
    <mergeCell ref="C30:D30"/>
    <mergeCell ref="C31:D31"/>
    <mergeCell ref="C32:D32"/>
    <mergeCell ref="C33:D33"/>
    <mergeCell ref="C34:D34"/>
    <mergeCell ref="D21:H21"/>
    <mergeCell ref="F22:H22"/>
    <mergeCell ref="F23:H23"/>
    <mergeCell ref="B24:C24"/>
    <mergeCell ref="D24:F24"/>
    <mergeCell ref="B51:E51"/>
    <mergeCell ref="G51:I51"/>
    <mergeCell ref="C35:D35"/>
    <mergeCell ref="C36:D36"/>
    <mergeCell ref="C37:D37"/>
    <mergeCell ref="C38:D38"/>
    <mergeCell ref="C39:D39"/>
    <mergeCell ref="B40:C40"/>
    <mergeCell ref="C28:D28"/>
    <mergeCell ref="B15:D15"/>
    <mergeCell ref="N15:Q15"/>
    <mergeCell ref="D18:H18"/>
    <mergeCell ref="L18:X18"/>
    <mergeCell ref="D19:H19"/>
    <mergeCell ref="D20:H20"/>
    <mergeCell ref="P20:X20"/>
    <mergeCell ref="H9:I10"/>
    <mergeCell ref="B12:C12"/>
    <mergeCell ref="I12:I13"/>
    <mergeCell ref="B14:C14"/>
    <mergeCell ref="N14:Q14"/>
  </mergeCells>
  <dataValidations count="2">
    <dataValidation type="textLength" allowBlank="1" showInputMessage="1" showErrorMessage="1" errorTitle="Number not valid" error="បញ្ចូលលេខមិនត្រឹមត្រូវេ! សូមបញ្ចូលលេខប្រអប់ ត្រឹមតែមួយខ្ទង់សម្រាប់មួយប្រអប់។ _x000a_" promptTitle="Customer TAX ID " sqref="K18 K4:N6 P4:X5 O6:Y6" xr:uid="{00000000-0002-0000-1400-000000000000}">
      <formula1>1</formula1>
      <formula2>1</formula2>
    </dataValidation>
    <dataValidation type="textLength" allowBlank="1" showInputMessage="1" showErrorMessage="1" errorTitle="Incorrect" error="បញ្ចូលលេខមិនត្រឹមត្រូវេ! សូមបញ្ចូលលេខប្រអប់ ត្រឹមតែមួយខ្ទង់សម្រាប់មួយប្រអប់។ " sqref="P20:X20" xr:uid="{00000000-0002-0000-1400-000001000000}">
      <formula1>1</formula1>
      <formula2>1</formula2>
    </dataValidation>
  </dataValidations>
  <hyperlinks>
    <hyperlink ref="S15" r:id="rId1" tooltip="Get exchange rate by day from NBC" xr:uid="{00000000-0004-0000-1400-000000000000}"/>
  </hyperlinks>
  <printOptions horizontalCentered="1"/>
  <pageMargins left="0.59055118110236227" right="0.31496062992125984" top="0.23622047244094491" bottom="0.11811023622047245" header="0.31496062992125984" footer="0.23622047244094491"/>
  <pageSetup paperSize="9" scale="64" orientation="portrait" r:id="rId2"/>
  <headerFooter>
    <oddFooter xml:space="preserve">&amp;C
</oddFoot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5" name="Button 1">
              <controlPr defaultSize="0" print="0" autoFill="0" autoPict="0" macro="[0]!CopySheetSave_Click">
                <anchor moveWithCells="1">
                  <from>
                    <xdr:col>10</xdr:col>
                    <xdr:colOff>104775</xdr:colOff>
                    <xdr:row>1</xdr:row>
                    <xdr:rowOff>66675</xdr:rowOff>
                  </from>
                  <to>
                    <xdr:col>15</xdr:col>
                    <xdr:colOff>76200</xdr:colOff>
                    <xdr:row>1</xdr:row>
                    <xdr:rowOff>523875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6" name="Button 2">
              <controlPr defaultSize="0" print="0" autoFill="0" autoPict="0" macro="[0]!PRint_Click">
                <anchor moveWithCells="1" sizeWithCells="1">
                  <from>
                    <xdr:col>15</xdr:col>
                    <xdr:colOff>219075</xdr:colOff>
                    <xdr:row>1</xdr:row>
                    <xdr:rowOff>104775</xdr:rowOff>
                  </from>
                  <to>
                    <xdr:col>17</xdr:col>
                    <xdr:colOff>219075</xdr:colOff>
                    <xdr:row>1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7" name="Button 3">
              <controlPr defaultSize="0" print="0" autoFill="0" autoPict="0" macro="[0]!SaveDraft_Click">
                <anchor moveWithCells="1">
                  <from>
                    <xdr:col>9</xdr:col>
                    <xdr:colOff>409575</xdr:colOff>
                    <xdr:row>1</xdr:row>
                    <xdr:rowOff>66675</xdr:rowOff>
                  </from>
                  <to>
                    <xdr:col>10</xdr:col>
                    <xdr:colOff>9525</xdr:colOff>
                    <xdr:row>1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8" name="Button 4">
              <controlPr defaultSize="0" print="0" autoFill="0" autoPict="0" macro="[0]!TodayPickdate">
                <anchor moveWithCells="1">
                  <from>
                    <xdr:col>18</xdr:col>
                    <xdr:colOff>0</xdr:colOff>
                    <xdr:row>12</xdr:row>
                    <xdr:rowOff>257175</xdr:rowOff>
                  </from>
                  <to>
                    <xdr:col>19</xdr:col>
                    <xdr:colOff>180975</xdr:colOff>
                    <xdr:row>13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CompleteStatus">
                <anchor moveWithCells="1">
                  <from>
                    <xdr:col>18</xdr:col>
                    <xdr:colOff>76200</xdr:colOff>
                    <xdr:row>1</xdr:row>
                    <xdr:rowOff>76200</xdr:rowOff>
                  </from>
                  <to>
                    <xdr:col>20</xdr:col>
                    <xdr:colOff>219075</xdr:colOff>
                    <xdr:row>1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0" name="Button 8">
              <controlPr defaultSize="0" print="0" autoFill="0" autoPict="0" macro="[0]!Clear">
                <anchor moveWithCells="1">
                  <from>
                    <xdr:col>9</xdr:col>
                    <xdr:colOff>447675</xdr:colOff>
                    <xdr:row>1</xdr:row>
                    <xdr:rowOff>523875</xdr:rowOff>
                  </from>
                  <to>
                    <xdr:col>9</xdr:col>
                    <xdr:colOff>1095375</xdr:colOff>
                    <xdr:row>2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38B74-533A-4928-B1F6-353779FE2488}">
  <sheetPr codeName="Sheet5"/>
  <dimension ref="C1:N15"/>
  <sheetViews>
    <sheetView showGridLines="0" topLeftCell="A4" zoomScale="90" zoomScaleNormal="90" workbookViewId="0">
      <pane ySplit="4" topLeftCell="A8" activePane="bottomLeft" state="frozen"/>
      <selection activeCell="A4" sqref="A4"/>
      <selection pane="bottomLeft" activeCell="H26" sqref="H26"/>
    </sheetView>
  </sheetViews>
  <sheetFormatPr defaultRowHeight="15"/>
  <cols>
    <col min="1" max="1" width="2.28515625" customWidth="1"/>
    <col min="2" max="2" width="1.42578125" customWidth="1"/>
    <col min="3" max="3" width="9.140625" style="2"/>
    <col min="4" max="6" width="39.5703125" bestFit="1" customWidth="1"/>
    <col min="7" max="7" width="3.28515625" customWidth="1"/>
    <col min="8" max="8" width="20.140625" customWidth="1"/>
    <col min="9" max="9" width="1.28515625" customWidth="1"/>
    <col min="10" max="10" width="29.42578125" customWidth="1"/>
    <col min="11" max="11" width="34" customWidth="1"/>
    <col min="14" max="16" width="39.85546875" bestFit="1" customWidth="1"/>
  </cols>
  <sheetData>
    <row r="1" spans="3:14" hidden="1"/>
    <row r="2" spans="3:14" hidden="1"/>
    <row r="3" spans="3:14" hidden="1"/>
    <row r="5" spans="3:14" ht="49.5" customHeight="1">
      <c r="C5" s="1587" t="s">
        <v>4512</v>
      </c>
    </row>
    <row r="6" spans="3:14" hidden="1"/>
    <row r="7" spans="3:14" ht="30" customHeight="1">
      <c r="C7" s="1588" t="s">
        <v>10</v>
      </c>
      <c r="D7" s="172" t="s">
        <v>0</v>
      </c>
      <c r="E7" s="172" t="s">
        <v>1</v>
      </c>
      <c r="F7" s="172" t="s">
        <v>2</v>
      </c>
      <c r="J7" s="295"/>
      <c r="K7" s="1822" t="str">
        <f>MID(E8,20,100)</f>
        <v>០៨ កញ្ញា ២០២៦</v>
      </c>
    </row>
    <row r="8" spans="3:14" ht="30" customHeight="1">
      <c r="C8" s="1585">
        <v>1</v>
      </c>
      <c r="D8" s="68" t="s">
        <v>4504</v>
      </c>
      <c r="E8" s="68" t="s">
        <v>4504</v>
      </c>
      <c r="F8" s="68" t="s">
        <v>4504</v>
      </c>
      <c r="H8" s="1818"/>
      <c r="J8" s="296"/>
      <c r="N8" s="208"/>
    </row>
    <row r="9" spans="3:14" ht="30" customHeight="1">
      <c r="C9" s="1586">
        <v>2</v>
      </c>
      <c r="D9" s="68" t="s">
        <v>4505</v>
      </c>
      <c r="E9" s="68" t="s">
        <v>4505</v>
      </c>
      <c r="F9" s="68" t="s">
        <v>4505</v>
      </c>
      <c r="H9" s="1819" t="str">
        <f>TRIM(MID(NBC_Exchange_Rate[[#This Row],[Column1]],27,6))</f>
        <v>៤.០៥០</v>
      </c>
      <c r="I9" s="187"/>
      <c r="J9" s="2155">
        <v>4047</v>
      </c>
    </row>
    <row r="10" spans="3:14" ht="30" customHeight="1">
      <c r="C10" s="1585">
        <v>3</v>
      </c>
      <c r="D10" s="68" t="s">
        <v>3</v>
      </c>
      <c r="E10" s="68" t="s">
        <v>4</v>
      </c>
      <c r="F10" s="68" t="s">
        <v>5</v>
      </c>
      <c r="H10" s="1820">
        <f>_xlfn.NUMBERVALUE(H9,",",".")</f>
        <v>4050</v>
      </c>
      <c r="J10" s="2155"/>
    </row>
    <row r="11" spans="3:14" ht="30" customHeight="1">
      <c r="C11" s="1586">
        <v>4</v>
      </c>
      <c r="D11" s="68" t="s">
        <v>6</v>
      </c>
      <c r="E11" s="68" t="s">
        <v>4506</v>
      </c>
      <c r="F11" s="68" t="s">
        <v>4507</v>
      </c>
      <c r="H11" s="1821" t="s">
        <v>73</v>
      </c>
      <c r="J11" s="1593">
        <v>46265</v>
      </c>
    </row>
    <row r="12" spans="3:14" ht="30" customHeight="1">
      <c r="C12" s="1585">
        <v>5</v>
      </c>
      <c r="D12" s="68" t="s">
        <v>7</v>
      </c>
      <c r="E12" s="68" t="s">
        <v>4508</v>
      </c>
      <c r="F12" s="68" t="s">
        <v>4509</v>
      </c>
      <c r="H12" s="1818"/>
    </row>
    <row r="13" spans="3:14" ht="30" customHeight="1">
      <c r="C13" s="1586">
        <v>6</v>
      </c>
      <c r="D13" s="68" t="s">
        <v>8</v>
      </c>
      <c r="E13" s="68" t="s">
        <v>4510</v>
      </c>
      <c r="F13" s="68" t="s">
        <v>4511</v>
      </c>
      <c r="H13" s="1818"/>
    </row>
    <row r="15" spans="3:14">
      <c r="K15" s="1594"/>
    </row>
  </sheetData>
  <mergeCells count="1">
    <mergeCell ref="J9:J10"/>
  </mergeCells>
  <phoneticPr fontId="36" type="noConversion"/>
  <pageMargins left="0.7" right="0.7" top="0.75" bottom="0.75" header="0.3" footer="0.3"/>
  <drawing r:id="rId1"/>
  <tableParts count="1">
    <tablePart r:id="rId2"/>
  </tablePart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09BADA-3190-4E29-B0AF-174AEB28D096}">
  <sheetPr codeName="Sheet24"/>
  <dimension ref="C1:P18"/>
  <sheetViews>
    <sheetView showGridLines="0" zoomScale="90" zoomScaleNormal="90" workbookViewId="0">
      <pane ySplit="7" topLeftCell="A8" activePane="bottomLeft" state="frozen"/>
      <selection pane="bottomLeft" activeCell="H18" sqref="H18"/>
    </sheetView>
  </sheetViews>
  <sheetFormatPr defaultRowHeight="21.95" customHeight="1"/>
  <cols>
    <col min="1" max="1" width="4" customWidth="1"/>
    <col min="2" max="2" width="3.42578125" customWidth="1"/>
    <col min="3" max="3" width="8.28515625" style="414" customWidth="1"/>
    <col min="4" max="4" width="20.7109375" style="414" customWidth="1"/>
    <col min="5" max="5" width="20.85546875" style="414" customWidth="1"/>
    <col min="6" max="7" width="16.140625" style="414" customWidth="1"/>
    <col min="8" max="8" width="33.28515625" style="188" bestFit="1" customWidth="1"/>
    <col min="9" max="9" width="18.140625" style="188" bestFit="1" customWidth="1"/>
    <col min="10" max="10" width="15.42578125" style="414" bestFit="1" customWidth="1"/>
    <col min="11" max="11" width="17.28515625" style="487" customWidth="1"/>
    <col min="12" max="12" width="17.140625" style="487" customWidth="1"/>
    <col min="13" max="13" width="21" style="414" bestFit="1" customWidth="1"/>
    <col min="14" max="14" width="24.5703125" style="188" customWidth="1"/>
    <col min="15" max="15" width="17.42578125" style="414" customWidth="1"/>
    <col min="16" max="16" width="14.42578125" style="414" customWidth="1"/>
    <col min="17" max="17" width="14.7109375" customWidth="1"/>
    <col min="18" max="18" width="17.5703125" bestFit="1" customWidth="1"/>
  </cols>
  <sheetData>
    <row r="1" spans="3:16" ht="15" hidden="1">
      <c r="C1" s="13"/>
      <c r="D1" s="13"/>
      <c r="E1" s="13"/>
      <c r="F1" s="13"/>
      <c r="G1" s="13"/>
      <c r="H1" s="121"/>
      <c r="I1" s="121"/>
      <c r="J1" s="13"/>
      <c r="K1" s="458"/>
      <c r="L1" s="458"/>
      <c r="M1" s="13"/>
      <c r="N1" s="121"/>
      <c r="O1" s="13"/>
      <c r="P1" s="13"/>
    </row>
    <row r="2" spans="3:16" ht="15" hidden="1">
      <c r="C2" s="13"/>
      <c r="D2" s="13"/>
      <c r="E2" s="13"/>
      <c r="F2" s="13"/>
      <c r="G2" s="13"/>
      <c r="H2" s="121"/>
      <c r="I2" s="121"/>
      <c r="J2" s="13"/>
      <c r="K2" s="458"/>
      <c r="L2" s="458"/>
      <c r="M2" s="13"/>
      <c r="N2" s="121"/>
      <c r="O2" s="13"/>
      <c r="P2" s="13"/>
    </row>
    <row r="3" spans="3:16" ht="15">
      <c r="C3" s="13"/>
      <c r="D3" s="13"/>
      <c r="E3" s="13"/>
      <c r="F3" s="13"/>
      <c r="G3" s="13"/>
      <c r="H3" s="121"/>
      <c r="I3" s="121"/>
      <c r="J3" s="13"/>
      <c r="K3" s="458"/>
      <c r="L3" s="458"/>
      <c r="M3" s="13"/>
      <c r="N3" s="121"/>
      <c r="O3" s="13"/>
      <c r="P3" s="13"/>
    </row>
    <row r="4" spans="3:16" ht="44.25">
      <c r="C4" s="1789" t="s">
        <v>2014</v>
      </c>
      <c r="D4" s="488"/>
      <c r="E4" s="3"/>
      <c r="F4" s="488"/>
      <c r="G4" s="488"/>
      <c r="H4" s="121"/>
      <c r="I4" s="121"/>
      <c r="J4" s="488"/>
      <c r="K4" s="489"/>
      <c r="L4" s="489"/>
      <c r="M4" s="488"/>
      <c r="N4" s="121"/>
      <c r="O4" s="488"/>
      <c r="P4" s="488"/>
    </row>
    <row r="5" spans="3:16" ht="15">
      <c r="C5" s="13"/>
      <c r="D5" s="13"/>
      <c r="E5" s="13"/>
      <c r="F5" s="13"/>
      <c r="G5" s="13"/>
      <c r="H5" s="121"/>
      <c r="I5" s="121"/>
      <c r="J5" s="13"/>
      <c r="K5" s="458"/>
      <c r="L5" s="458"/>
      <c r="M5" s="13"/>
      <c r="N5" s="121"/>
      <c r="O5" s="13"/>
      <c r="P5" s="13"/>
    </row>
    <row r="6" spans="3:16" ht="28.5" customHeight="1">
      <c r="C6" s="563" t="s">
        <v>47</v>
      </c>
      <c r="D6" s="563" t="s">
        <v>1906</v>
      </c>
      <c r="E6" s="563" t="s">
        <v>2011</v>
      </c>
      <c r="F6" s="563" t="s">
        <v>1966</v>
      </c>
      <c r="G6" s="563" t="s">
        <v>1977</v>
      </c>
      <c r="H6" s="563" t="s">
        <v>1978</v>
      </c>
      <c r="I6" s="563" t="s">
        <v>2016</v>
      </c>
      <c r="J6" s="563" t="s">
        <v>1809</v>
      </c>
      <c r="K6" s="563" t="s">
        <v>1967</v>
      </c>
      <c r="L6" s="563" t="s">
        <v>1981</v>
      </c>
      <c r="M6" s="563" t="s">
        <v>2012</v>
      </c>
      <c r="N6" s="563" t="s">
        <v>653</v>
      </c>
      <c r="O6" s="563" t="s">
        <v>1007</v>
      </c>
      <c r="P6" s="563" t="s">
        <v>187</v>
      </c>
    </row>
    <row r="7" spans="3:16" ht="19.5" customHeight="1">
      <c r="C7" s="559" t="s">
        <v>1567</v>
      </c>
      <c r="D7" s="559" t="s">
        <v>218</v>
      </c>
      <c r="E7" s="559" t="s">
        <v>577</v>
      </c>
      <c r="F7" s="559" t="s">
        <v>222</v>
      </c>
      <c r="G7" s="559" t="s">
        <v>652</v>
      </c>
      <c r="H7" s="559" t="s">
        <v>66</v>
      </c>
      <c r="I7" s="559" t="s">
        <v>2015</v>
      </c>
      <c r="J7" s="559" t="s">
        <v>2017</v>
      </c>
      <c r="K7" s="559" t="s">
        <v>1908</v>
      </c>
      <c r="L7" s="559" t="s">
        <v>1909</v>
      </c>
      <c r="M7" s="559" t="s">
        <v>637</v>
      </c>
      <c r="N7" s="559" t="s">
        <v>639</v>
      </c>
      <c r="O7" s="559" t="s">
        <v>230</v>
      </c>
      <c r="P7" s="559" t="s">
        <v>163</v>
      </c>
    </row>
    <row r="8" spans="3:16" ht="21.95" customHeight="1">
      <c r="C8" s="414">
        <v>1</v>
      </c>
      <c r="D8" s="414">
        <v>2</v>
      </c>
      <c r="E8" s="414" t="s">
        <v>3345</v>
      </c>
      <c r="F8" s="414">
        <v>26</v>
      </c>
      <c r="G8" s="414" t="s">
        <v>2219</v>
      </c>
      <c r="H8" s="188" t="s">
        <v>3346</v>
      </c>
      <c r="J8" s="414">
        <v>1</v>
      </c>
      <c r="K8" s="487">
        <v>3.01</v>
      </c>
      <c r="L8" s="487">
        <v>3.0139999999999998</v>
      </c>
      <c r="M8" s="414" t="s">
        <v>346</v>
      </c>
      <c r="N8" s="1788">
        <v>46224.769317129627</v>
      </c>
      <c r="O8" s="414">
        <v>1</v>
      </c>
      <c r="P8" s="414">
        <v>1</v>
      </c>
    </row>
    <row r="9" spans="3:16" ht="21.95" customHeight="1">
      <c r="C9" s="414">
        <v>2</v>
      </c>
      <c r="D9" s="414">
        <v>21</v>
      </c>
      <c r="E9" s="414" t="s">
        <v>4522</v>
      </c>
      <c r="F9" s="414">
        <v>83</v>
      </c>
      <c r="G9" s="414" t="s">
        <v>2346</v>
      </c>
      <c r="H9" s="188" t="s">
        <v>4386</v>
      </c>
      <c r="I9" s="188" t="s">
        <v>2759</v>
      </c>
      <c r="J9" s="414">
        <v>24</v>
      </c>
      <c r="K9" s="487">
        <v>24</v>
      </c>
      <c r="L9" s="487">
        <v>26.400000000000002</v>
      </c>
      <c r="M9" s="414" t="s">
        <v>346</v>
      </c>
      <c r="N9" s="1788">
        <v>46275.309282407405</v>
      </c>
      <c r="O9" s="414">
        <v>1</v>
      </c>
      <c r="P9" s="414">
        <v>1</v>
      </c>
    </row>
    <row r="10" spans="3:16" ht="21.95" customHeight="1">
      <c r="C10" s="414">
        <v>3</v>
      </c>
      <c r="D10" s="414">
        <v>21</v>
      </c>
      <c r="E10" s="414" t="s">
        <v>4522</v>
      </c>
      <c r="F10" s="414">
        <v>425</v>
      </c>
      <c r="G10" s="414" t="s">
        <v>4465</v>
      </c>
      <c r="H10" s="188" t="s">
        <v>4383</v>
      </c>
      <c r="I10" s="188" t="s">
        <v>4353</v>
      </c>
      <c r="J10" s="414">
        <v>1</v>
      </c>
      <c r="K10" s="487">
        <v>3.5</v>
      </c>
      <c r="L10" s="487">
        <v>1.2</v>
      </c>
      <c r="M10" s="414" t="s">
        <v>346</v>
      </c>
      <c r="N10" s="1788">
        <v>46275.309282407405</v>
      </c>
      <c r="O10" s="414">
        <v>1</v>
      </c>
      <c r="P10" s="414">
        <v>1</v>
      </c>
    </row>
    <row r="11" spans="3:16" ht="21.95" customHeight="1">
      <c r="C11" s="414">
        <v>4</v>
      </c>
      <c r="D11" s="414">
        <v>21</v>
      </c>
      <c r="E11" s="414" t="s">
        <v>4522</v>
      </c>
      <c r="F11" s="414">
        <v>369</v>
      </c>
      <c r="G11" s="414" t="s">
        <v>4300</v>
      </c>
      <c r="H11" s="188" t="s">
        <v>4308</v>
      </c>
      <c r="I11" s="188" t="s">
        <v>2783</v>
      </c>
      <c r="J11" s="414">
        <v>1</v>
      </c>
      <c r="K11" s="487">
        <v>0.27</v>
      </c>
      <c r="L11" s="487">
        <v>0.35</v>
      </c>
      <c r="M11" s="414" t="s">
        <v>346</v>
      </c>
      <c r="N11" s="1788">
        <v>46275.309282407405</v>
      </c>
      <c r="O11" s="414">
        <v>1</v>
      </c>
      <c r="P11" s="414">
        <v>1</v>
      </c>
    </row>
    <row r="12" spans="3:16" ht="21.95" customHeight="1">
      <c r="C12" s="414">
        <v>5</v>
      </c>
      <c r="D12" s="414">
        <v>21</v>
      </c>
      <c r="E12" s="414" t="s">
        <v>4522</v>
      </c>
      <c r="F12" s="414">
        <v>337</v>
      </c>
      <c r="G12" s="414" t="s">
        <v>4162</v>
      </c>
      <c r="H12" s="188" t="s">
        <v>4193</v>
      </c>
      <c r="I12" s="188" t="s">
        <v>4484</v>
      </c>
      <c r="J12" s="414">
        <v>60</v>
      </c>
      <c r="K12" s="487">
        <v>5</v>
      </c>
      <c r="L12" s="487">
        <v>4</v>
      </c>
      <c r="M12" s="414" t="s">
        <v>346</v>
      </c>
      <c r="N12" s="1788">
        <v>46275.309282407405</v>
      </c>
      <c r="O12" s="414">
        <v>1</v>
      </c>
      <c r="P12" s="414">
        <v>1</v>
      </c>
    </row>
    <row r="13" spans="3:16" ht="21.95" customHeight="1">
      <c r="C13" s="414">
        <v>6</v>
      </c>
      <c r="D13" s="414">
        <v>23</v>
      </c>
      <c r="E13" s="414" t="s">
        <v>4544</v>
      </c>
      <c r="F13" s="414">
        <v>179</v>
      </c>
      <c r="G13" s="414" t="s">
        <v>2532</v>
      </c>
      <c r="H13" s="188" t="s">
        <v>4543</v>
      </c>
      <c r="I13" s="188" t="s">
        <v>2780</v>
      </c>
      <c r="J13" s="414">
        <v>1000</v>
      </c>
      <c r="K13" s="487">
        <v>95</v>
      </c>
      <c r="L13" s="487">
        <v>0.78</v>
      </c>
      <c r="M13" s="414" t="s">
        <v>346</v>
      </c>
      <c r="N13" s="1788">
        <v>46276.562314814815</v>
      </c>
      <c r="O13" s="414">
        <v>1</v>
      </c>
      <c r="P13" s="414">
        <v>1</v>
      </c>
    </row>
    <row r="14" spans="3:16" ht="21.95" customHeight="1">
      <c r="C14" s="414">
        <v>7</v>
      </c>
      <c r="D14" s="414">
        <v>23</v>
      </c>
      <c r="E14" s="414" t="s">
        <v>4544</v>
      </c>
      <c r="F14" s="414">
        <v>305</v>
      </c>
      <c r="G14" s="414" t="s">
        <v>4045</v>
      </c>
      <c r="H14" s="188" t="s">
        <v>3878</v>
      </c>
      <c r="I14" s="188" t="s">
        <v>3920</v>
      </c>
      <c r="J14" s="414">
        <v>100</v>
      </c>
      <c r="K14" s="487">
        <v>4.25</v>
      </c>
      <c r="L14" s="487">
        <v>3.88</v>
      </c>
      <c r="M14" s="414" t="s">
        <v>346</v>
      </c>
      <c r="N14" s="1788">
        <v>46276.562314814815</v>
      </c>
      <c r="O14" s="414">
        <v>1</v>
      </c>
      <c r="P14" s="414">
        <v>1</v>
      </c>
    </row>
    <row r="15" spans="3:16" ht="21.95" customHeight="1">
      <c r="C15" s="414">
        <v>8</v>
      </c>
      <c r="D15" s="414">
        <v>27</v>
      </c>
      <c r="E15" s="414" t="s">
        <v>4601</v>
      </c>
      <c r="F15" s="414">
        <v>273</v>
      </c>
      <c r="G15" s="414" t="s">
        <v>4013</v>
      </c>
      <c r="H15" s="188" t="s">
        <v>4334</v>
      </c>
      <c r="I15" s="188" t="s">
        <v>3915</v>
      </c>
      <c r="J15" s="414">
        <v>80</v>
      </c>
      <c r="K15" s="487">
        <v>23</v>
      </c>
      <c r="L15" s="487">
        <v>23.5</v>
      </c>
      <c r="M15" s="414" t="s">
        <v>346</v>
      </c>
      <c r="N15" s="1788">
        <v>46286.339236111111</v>
      </c>
      <c r="O15" s="414">
        <v>1</v>
      </c>
      <c r="P15" s="414">
        <v>1</v>
      </c>
    </row>
    <row r="16" spans="3:16" ht="21.95" customHeight="1">
      <c r="C16" s="414">
        <v>9</v>
      </c>
      <c r="D16" s="414">
        <v>27</v>
      </c>
      <c r="E16" s="414" t="s">
        <v>4601</v>
      </c>
      <c r="F16" s="414">
        <v>96</v>
      </c>
      <c r="G16" s="414" t="s">
        <v>2371</v>
      </c>
      <c r="H16" s="188" t="s">
        <v>4426</v>
      </c>
      <c r="I16" s="188" t="s">
        <v>2632</v>
      </c>
      <c r="J16" s="414">
        <v>12</v>
      </c>
      <c r="K16" s="487">
        <v>3.24</v>
      </c>
      <c r="L16" s="487">
        <v>5.5</v>
      </c>
      <c r="M16" s="414" t="s">
        <v>346</v>
      </c>
      <c r="N16" s="1788">
        <v>46286.339236111111</v>
      </c>
      <c r="O16" s="414">
        <v>1</v>
      </c>
      <c r="P16" s="414">
        <v>1</v>
      </c>
    </row>
    <row r="17" spans="3:16" ht="21.95" customHeight="1">
      <c r="C17" s="414">
        <v>10</v>
      </c>
      <c r="D17" s="414">
        <v>27</v>
      </c>
      <c r="E17" s="414" t="s">
        <v>4601</v>
      </c>
      <c r="F17" s="414">
        <v>66</v>
      </c>
      <c r="G17" s="414" t="s">
        <v>2313</v>
      </c>
      <c r="H17" s="188" t="s">
        <v>3490</v>
      </c>
      <c r="I17" s="188" t="s">
        <v>2783</v>
      </c>
      <c r="J17" s="414">
        <v>1</v>
      </c>
      <c r="K17" s="487">
        <v>0.41</v>
      </c>
      <c r="L17" s="487">
        <v>0.4</v>
      </c>
      <c r="M17" s="414" t="s">
        <v>346</v>
      </c>
      <c r="N17" s="1788">
        <v>46286.339236111111</v>
      </c>
      <c r="O17" s="414">
        <v>1</v>
      </c>
      <c r="P17" s="414">
        <v>1</v>
      </c>
    </row>
    <row r="18" spans="3:16" ht="21.95" customHeight="1">
      <c r="N18" s="1788"/>
    </row>
  </sheetData>
  <pageMargins left="0.7" right="0.7" top="0.75" bottom="0.75" header="0.3" footer="0.3"/>
  <pageSetup paperSize="9" orientation="portrait" verticalDpi="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B3FB46-3A92-4478-8FEF-6436E5768C80}">
  <sheetPr codeName="Sheet25"/>
  <dimension ref="C1:T19"/>
  <sheetViews>
    <sheetView showGridLines="0" topLeftCell="A3" zoomScale="90" zoomScaleNormal="90" workbookViewId="0">
      <pane ySplit="5" topLeftCell="A8" activePane="bottomLeft" state="frozen"/>
      <selection pane="bottomLeft" activeCell="L15" sqref="L15"/>
    </sheetView>
  </sheetViews>
  <sheetFormatPr defaultColWidth="9.140625" defaultRowHeight="21.95" customHeight="1"/>
  <cols>
    <col min="1" max="1" width="9.140625" style="414"/>
    <col min="2" max="2" width="3.28515625" style="414" customWidth="1"/>
    <col min="3" max="3" width="6.85546875" style="414" customWidth="1"/>
    <col min="4" max="4" width="14.42578125" style="414" customWidth="1"/>
    <col min="5" max="5" width="13.7109375" style="414" customWidth="1"/>
    <col min="6" max="6" width="19.5703125" style="188" customWidth="1"/>
    <col min="7" max="7" width="12.5703125" style="414" customWidth="1"/>
    <col min="8" max="8" width="17.140625" style="414" customWidth="1"/>
    <col min="9" max="9" width="12.140625" style="414" customWidth="1"/>
    <col min="10" max="10" width="15.7109375" style="188" customWidth="1"/>
    <col min="11" max="11" width="20.7109375" style="188" customWidth="1"/>
    <col min="12" max="12" width="16" style="414" customWidth="1"/>
    <col min="13" max="13" width="15.42578125" style="414" customWidth="1"/>
    <col min="14" max="14" width="15.28515625" style="414" customWidth="1"/>
    <col min="15" max="15" width="14.140625" style="414" customWidth="1"/>
    <col min="16" max="16" width="14" style="414" customWidth="1"/>
    <col min="17" max="17" width="12.28515625" style="414" customWidth="1"/>
    <col min="18" max="18" width="24.5703125" style="486" customWidth="1"/>
    <col min="19" max="19" width="18.5703125" style="414" customWidth="1"/>
    <col min="20" max="20" width="16.5703125" style="414" customWidth="1"/>
    <col min="21" max="22" width="9.140625" style="414" customWidth="1"/>
    <col min="23" max="16384" width="9.140625" style="414"/>
  </cols>
  <sheetData>
    <row r="1" spans="3:20" customFormat="1" ht="15" hidden="1">
      <c r="F1" s="139"/>
      <c r="J1" s="139"/>
      <c r="K1" s="139"/>
    </row>
    <row r="2" spans="3:20" customFormat="1" ht="15" hidden="1">
      <c r="F2" s="139"/>
      <c r="J2" s="139"/>
      <c r="K2" s="139"/>
    </row>
    <row r="3" spans="3:20" customFormat="1" ht="15">
      <c r="F3" s="139"/>
      <c r="J3" s="139"/>
      <c r="K3" s="139"/>
    </row>
    <row r="4" spans="3:20" customFormat="1" ht="44.25">
      <c r="C4" s="564" t="s">
        <v>2013</v>
      </c>
      <c r="D4" s="490"/>
      <c r="E4" s="490"/>
      <c r="F4" s="490"/>
      <c r="G4" s="490"/>
      <c r="H4" s="490"/>
      <c r="I4" s="490"/>
      <c r="J4" s="490"/>
      <c r="K4" s="490"/>
      <c r="L4" s="490"/>
      <c r="M4" s="490"/>
      <c r="N4" s="490"/>
      <c r="O4" s="490"/>
      <c r="P4" s="490"/>
      <c r="Q4" s="490"/>
      <c r="R4" s="490"/>
      <c r="S4" s="490"/>
      <c r="T4" s="490"/>
    </row>
    <row r="5" spans="3:20" customFormat="1" ht="15">
      <c r="F5" s="139"/>
      <c r="J5" s="139"/>
      <c r="K5" s="139"/>
    </row>
    <row r="6" spans="3:20" customFormat="1" ht="25.5">
      <c r="C6" s="565" t="s">
        <v>47</v>
      </c>
      <c r="D6" s="565" t="s">
        <v>1966</v>
      </c>
      <c r="E6" s="565" t="s">
        <v>1977</v>
      </c>
      <c r="F6" s="565" t="s">
        <v>1978</v>
      </c>
      <c r="G6" s="565" t="s">
        <v>185</v>
      </c>
      <c r="H6" s="565" t="s">
        <v>695</v>
      </c>
      <c r="I6" s="565" t="s">
        <v>61</v>
      </c>
      <c r="J6" s="565" t="s">
        <v>1529</v>
      </c>
      <c r="K6" s="565" t="s">
        <v>695</v>
      </c>
      <c r="L6" s="565" t="s">
        <v>1967</v>
      </c>
      <c r="M6" s="565" t="s">
        <v>1968</v>
      </c>
      <c r="N6" s="565" t="s">
        <v>1969</v>
      </c>
      <c r="O6" s="565" t="s">
        <v>48</v>
      </c>
      <c r="P6" s="565" t="s">
        <v>1970</v>
      </c>
      <c r="Q6" s="565" t="s">
        <v>224</v>
      </c>
      <c r="R6" s="565" t="s">
        <v>653</v>
      </c>
      <c r="S6" s="565" t="s">
        <v>1007</v>
      </c>
      <c r="T6" s="565" t="s">
        <v>187</v>
      </c>
    </row>
    <row r="7" spans="3:20" customFormat="1" ht="15">
      <c r="C7" s="559" t="s">
        <v>9</v>
      </c>
      <c r="D7" s="559" t="s">
        <v>222</v>
      </c>
      <c r="E7" s="559" t="s">
        <v>652</v>
      </c>
      <c r="F7" s="559" t="s">
        <v>66</v>
      </c>
      <c r="G7" s="559" t="s">
        <v>212</v>
      </c>
      <c r="H7" s="559" t="s">
        <v>1528</v>
      </c>
      <c r="I7" s="559" t="s">
        <v>235</v>
      </c>
      <c r="J7" s="559" t="s">
        <v>2005</v>
      </c>
      <c r="K7" s="559" t="s">
        <v>2004</v>
      </c>
      <c r="L7" s="559" t="s">
        <v>1910</v>
      </c>
      <c r="M7" s="559" t="s">
        <v>1911</v>
      </c>
      <c r="N7" s="559" t="s">
        <v>1522</v>
      </c>
      <c r="O7" s="559" t="s">
        <v>1912</v>
      </c>
      <c r="P7" s="559" t="s">
        <v>1913</v>
      </c>
      <c r="Q7" s="559" t="s">
        <v>1914</v>
      </c>
      <c r="R7" s="559" t="s">
        <v>639</v>
      </c>
      <c r="S7" s="559" t="s">
        <v>230</v>
      </c>
      <c r="T7" s="559" t="s">
        <v>1645</v>
      </c>
    </row>
    <row r="8" spans="3:20" ht="21.95" customHeight="1">
      <c r="C8" s="414">
        <v>1</v>
      </c>
      <c r="D8" s="414">
        <v>287</v>
      </c>
      <c r="E8" s="414" t="s">
        <v>4027</v>
      </c>
      <c r="F8" s="188" t="s">
        <v>3860</v>
      </c>
      <c r="G8" s="414">
        <v>1</v>
      </c>
      <c r="H8" s="414">
        <v>2</v>
      </c>
      <c r="I8" s="414">
        <v>73</v>
      </c>
      <c r="J8" s="188" t="s">
        <v>4135</v>
      </c>
      <c r="K8" s="188" t="s">
        <v>1507</v>
      </c>
      <c r="L8" s="414">
        <v>0.9</v>
      </c>
      <c r="M8" s="414">
        <v>1</v>
      </c>
      <c r="N8" s="414">
        <v>1</v>
      </c>
      <c r="O8" s="414">
        <v>0</v>
      </c>
      <c r="P8" s="414">
        <v>0</v>
      </c>
      <c r="Q8" s="414">
        <v>1</v>
      </c>
      <c r="R8" s="486">
        <v>46255.175497685188</v>
      </c>
      <c r="S8" s="414">
        <v>1</v>
      </c>
      <c r="T8" s="414">
        <v>1</v>
      </c>
    </row>
    <row r="9" spans="3:20" ht="21.95" customHeight="1">
      <c r="C9" s="414">
        <v>2</v>
      </c>
      <c r="D9" s="414">
        <v>287</v>
      </c>
      <c r="E9" s="414" t="s">
        <v>4027</v>
      </c>
      <c r="F9" s="188" t="s">
        <v>4139</v>
      </c>
      <c r="G9" s="414">
        <v>1</v>
      </c>
      <c r="H9" s="414">
        <v>2</v>
      </c>
      <c r="I9" s="414">
        <v>73</v>
      </c>
      <c r="J9" s="188" t="s">
        <v>4135</v>
      </c>
      <c r="K9" s="188" t="s">
        <v>4140</v>
      </c>
      <c r="L9" s="414">
        <v>0.9</v>
      </c>
      <c r="M9" s="414">
        <v>0</v>
      </c>
      <c r="N9" s="414">
        <v>1</v>
      </c>
      <c r="O9" s="414">
        <v>0</v>
      </c>
      <c r="P9" s="414">
        <v>0</v>
      </c>
      <c r="Q9" s="414">
        <v>1</v>
      </c>
      <c r="R9" s="486">
        <v>46255.422766203701</v>
      </c>
      <c r="S9" s="414">
        <v>1</v>
      </c>
      <c r="T9" s="414">
        <v>1</v>
      </c>
    </row>
    <row r="10" spans="3:20" ht="21.95" customHeight="1">
      <c r="C10" s="414">
        <v>3</v>
      </c>
      <c r="D10" s="414">
        <v>294</v>
      </c>
      <c r="E10" s="414" t="s">
        <v>4034</v>
      </c>
      <c r="F10" s="188" t="s">
        <v>3867</v>
      </c>
      <c r="G10" s="414">
        <v>1</v>
      </c>
      <c r="H10" s="414">
        <v>2</v>
      </c>
      <c r="I10" s="414">
        <v>72</v>
      </c>
      <c r="J10" s="188" t="s">
        <v>4132</v>
      </c>
      <c r="K10" s="188" t="s">
        <v>1507</v>
      </c>
      <c r="L10" s="414">
        <v>17</v>
      </c>
      <c r="M10" s="414">
        <v>20</v>
      </c>
      <c r="N10" s="414">
        <v>20</v>
      </c>
      <c r="O10" s="414">
        <v>0</v>
      </c>
      <c r="P10" s="414">
        <v>0</v>
      </c>
      <c r="Q10" s="414">
        <v>1</v>
      </c>
      <c r="R10" s="486">
        <v>46255.175497685188</v>
      </c>
      <c r="S10" s="414">
        <v>1</v>
      </c>
      <c r="T10" s="414">
        <v>1</v>
      </c>
    </row>
    <row r="11" spans="3:20" ht="21.95" customHeight="1">
      <c r="C11" s="414">
        <v>4</v>
      </c>
      <c r="D11" s="414">
        <v>303</v>
      </c>
      <c r="E11" s="414" t="s">
        <v>4043</v>
      </c>
      <c r="F11" s="188" t="s">
        <v>3876</v>
      </c>
      <c r="G11" s="414">
        <v>1</v>
      </c>
      <c r="H11" s="414">
        <v>2</v>
      </c>
      <c r="I11" s="414">
        <v>76</v>
      </c>
      <c r="J11" s="188" t="s">
        <v>4152</v>
      </c>
      <c r="K11" s="188" t="s">
        <v>1507</v>
      </c>
      <c r="L11" s="414">
        <v>2.5</v>
      </c>
      <c r="M11" s="414">
        <v>3</v>
      </c>
      <c r="N11" s="414">
        <v>3</v>
      </c>
      <c r="O11" s="414">
        <v>0</v>
      </c>
      <c r="P11" s="414">
        <v>0</v>
      </c>
      <c r="Q11" s="414">
        <v>1</v>
      </c>
      <c r="R11" s="486">
        <v>46255.175497685188</v>
      </c>
      <c r="S11" s="414">
        <v>1</v>
      </c>
      <c r="T11" s="414">
        <v>1</v>
      </c>
    </row>
    <row r="12" spans="3:20" ht="21.95" customHeight="1">
      <c r="C12" s="414">
        <v>5</v>
      </c>
      <c r="D12" s="414">
        <v>417</v>
      </c>
      <c r="E12" s="414" t="s">
        <v>4457</v>
      </c>
      <c r="F12" s="188" t="s">
        <v>4425</v>
      </c>
      <c r="G12" s="414">
        <v>1</v>
      </c>
      <c r="H12" s="414">
        <v>2</v>
      </c>
      <c r="I12" s="414">
        <v>88</v>
      </c>
      <c r="J12" s="188" t="s">
        <v>4357</v>
      </c>
      <c r="K12" s="188" t="s">
        <v>1507</v>
      </c>
      <c r="L12" s="414">
        <v>5.5</v>
      </c>
      <c r="M12" s="414">
        <v>0.5</v>
      </c>
      <c r="N12" s="414">
        <v>0.5</v>
      </c>
      <c r="O12" s="414">
        <v>0</v>
      </c>
      <c r="P12" s="414">
        <v>0</v>
      </c>
      <c r="Q12" s="414">
        <v>1</v>
      </c>
      <c r="R12" s="486">
        <v>46270.263703703706</v>
      </c>
      <c r="S12" s="414">
        <v>1</v>
      </c>
      <c r="T12" s="414">
        <v>1</v>
      </c>
    </row>
    <row r="13" spans="3:20" ht="21.95" customHeight="1">
      <c r="C13" s="414">
        <v>6</v>
      </c>
      <c r="D13" s="414">
        <v>26</v>
      </c>
      <c r="E13" s="414" t="s">
        <v>2219</v>
      </c>
      <c r="F13" s="188" t="s">
        <v>2802</v>
      </c>
      <c r="G13" s="414">
        <v>1</v>
      </c>
      <c r="H13" s="414">
        <v>2</v>
      </c>
      <c r="I13" s="414">
        <v>2</v>
      </c>
      <c r="J13" s="188" t="s">
        <v>2172</v>
      </c>
      <c r="K13" s="188" t="s">
        <v>1507</v>
      </c>
      <c r="L13" s="414">
        <v>3.0129999999999999</v>
      </c>
      <c r="M13" s="414">
        <v>3.5</v>
      </c>
      <c r="N13" s="414">
        <v>3.5</v>
      </c>
      <c r="O13" s="414">
        <v>0</v>
      </c>
      <c r="P13" s="414">
        <v>0</v>
      </c>
      <c r="Q13" s="414">
        <v>1</v>
      </c>
      <c r="R13" s="486">
        <v>46198.752997685187</v>
      </c>
      <c r="S13" s="414">
        <v>1</v>
      </c>
      <c r="T13" s="414">
        <v>1</v>
      </c>
    </row>
    <row r="14" spans="3:20" ht="21.95" customHeight="1">
      <c r="C14" s="414">
        <v>7</v>
      </c>
      <c r="D14" s="414">
        <v>34</v>
      </c>
      <c r="E14" s="414" t="s">
        <v>2237</v>
      </c>
      <c r="F14" s="188" t="s">
        <v>2810</v>
      </c>
      <c r="G14" s="414">
        <v>1</v>
      </c>
      <c r="H14" s="414">
        <v>2</v>
      </c>
      <c r="I14" s="414">
        <v>2</v>
      </c>
      <c r="J14" s="188" t="s">
        <v>2172</v>
      </c>
      <c r="K14" s="188" t="s">
        <v>1507</v>
      </c>
      <c r="L14" s="414">
        <v>0.496</v>
      </c>
      <c r="M14" s="414">
        <v>0.75</v>
      </c>
      <c r="N14" s="414">
        <v>0.75</v>
      </c>
      <c r="O14" s="414">
        <v>0</v>
      </c>
      <c r="P14" s="414">
        <v>0</v>
      </c>
      <c r="Q14" s="414">
        <v>1</v>
      </c>
      <c r="R14" s="486">
        <v>46198.752997685187</v>
      </c>
      <c r="S14" s="414">
        <v>1</v>
      </c>
      <c r="T14" s="414">
        <v>1</v>
      </c>
    </row>
    <row r="15" spans="3:20" ht="21.95" customHeight="1">
      <c r="C15" s="414">
        <v>8</v>
      </c>
      <c r="D15" s="414">
        <v>426</v>
      </c>
      <c r="E15" s="414" t="s">
        <v>4494</v>
      </c>
      <c r="F15" s="188" t="s">
        <v>4574</v>
      </c>
      <c r="G15" s="414">
        <v>1</v>
      </c>
      <c r="H15" s="414">
        <v>2</v>
      </c>
      <c r="I15" s="414">
        <v>87</v>
      </c>
      <c r="J15" s="188" t="s">
        <v>4356</v>
      </c>
      <c r="K15" s="188" t="s">
        <v>4140</v>
      </c>
      <c r="L15" s="414">
        <v>6.5</v>
      </c>
      <c r="M15" s="414">
        <v>0</v>
      </c>
      <c r="N15" s="414">
        <v>0.88</v>
      </c>
      <c r="O15" s="414">
        <v>0</v>
      </c>
      <c r="P15" s="414">
        <v>0</v>
      </c>
      <c r="Q15" s="414">
        <v>1</v>
      </c>
      <c r="R15" s="486">
        <v>46279.866284722222</v>
      </c>
      <c r="S15" s="414">
        <v>1</v>
      </c>
      <c r="T15" s="414">
        <v>1</v>
      </c>
    </row>
    <row r="16" spans="3:20" ht="21.95" customHeight="1">
      <c r="C16" s="414">
        <v>9</v>
      </c>
      <c r="D16" s="414">
        <v>177</v>
      </c>
      <c r="E16" s="414" t="s">
        <v>2528</v>
      </c>
      <c r="F16" s="188" t="s">
        <v>2952</v>
      </c>
      <c r="G16" s="414">
        <v>1</v>
      </c>
      <c r="H16" s="414">
        <v>2</v>
      </c>
      <c r="I16" s="414">
        <v>51</v>
      </c>
      <c r="J16" s="188" t="s">
        <v>2715</v>
      </c>
      <c r="K16" s="188" t="s">
        <v>1507</v>
      </c>
      <c r="L16" s="414">
        <v>83</v>
      </c>
      <c r="M16" s="414">
        <v>88</v>
      </c>
      <c r="N16" s="414">
        <v>88</v>
      </c>
      <c r="O16" s="414">
        <v>0</v>
      </c>
      <c r="P16" s="414">
        <v>0</v>
      </c>
      <c r="Q16" s="414">
        <v>1</v>
      </c>
      <c r="R16" s="486">
        <v>46198.752997685187</v>
      </c>
      <c r="S16" s="414">
        <v>1</v>
      </c>
      <c r="T16" s="414">
        <v>1</v>
      </c>
    </row>
    <row r="17" spans="3:20" ht="21.95" customHeight="1">
      <c r="C17" s="414">
        <v>10</v>
      </c>
      <c r="D17" s="414">
        <v>177</v>
      </c>
      <c r="E17" s="414" t="s">
        <v>2528</v>
      </c>
      <c r="F17" s="188" t="s">
        <v>2952</v>
      </c>
      <c r="G17" s="414">
        <v>1</v>
      </c>
      <c r="H17" s="414">
        <v>2</v>
      </c>
      <c r="I17" s="414">
        <v>22</v>
      </c>
      <c r="J17" s="188" t="s">
        <v>2609</v>
      </c>
      <c r="K17" s="188" t="s">
        <v>1507</v>
      </c>
      <c r="L17" s="414">
        <v>83</v>
      </c>
      <c r="M17" s="414">
        <v>4.4000000000000004</v>
      </c>
      <c r="N17" s="414">
        <v>4.5</v>
      </c>
      <c r="O17" s="414">
        <v>0</v>
      </c>
      <c r="P17" s="414">
        <v>0</v>
      </c>
      <c r="Q17" s="414">
        <v>1</v>
      </c>
      <c r="R17" s="486">
        <v>46198.752997685187</v>
      </c>
      <c r="S17" s="414">
        <v>1</v>
      </c>
      <c r="T17" s="414">
        <v>1</v>
      </c>
    </row>
    <row r="18" spans="3:20" ht="21.95" customHeight="1">
      <c r="C18" s="414">
        <v>11</v>
      </c>
      <c r="D18" s="414">
        <v>177</v>
      </c>
      <c r="E18" s="414" t="s">
        <v>2528</v>
      </c>
      <c r="F18" s="188" t="s">
        <v>2952</v>
      </c>
      <c r="G18" s="414">
        <v>1</v>
      </c>
      <c r="H18" s="414">
        <v>2</v>
      </c>
      <c r="I18" s="414">
        <v>12</v>
      </c>
      <c r="J18" s="188" t="s">
        <v>2685</v>
      </c>
      <c r="K18" s="188" t="s">
        <v>1507</v>
      </c>
      <c r="L18" s="414">
        <v>83</v>
      </c>
      <c r="M18" s="414">
        <v>8.7999999999999995E-2</v>
      </c>
      <c r="N18" s="414">
        <v>1</v>
      </c>
      <c r="O18" s="414">
        <v>0</v>
      </c>
      <c r="P18" s="414">
        <v>0</v>
      </c>
      <c r="Q18" s="414">
        <v>1</v>
      </c>
      <c r="R18" s="486">
        <v>46198.752997685187</v>
      </c>
      <c r="S18" s="414">
        <v>1</v>
      </c>
      <c r="T18" s="414">
        <v>1</v>
      </c>
    </row>
    <row r="19" spans="3:20" ht="21.95" customHeight="1">
      <c r="C19" s="414">
        <v>12</v>
      </c>
      <c r="D19" s="414">
        <v>101</v>
      </c>
      <c r="E19" s="414" t="s">
        <v>2382</v>
      </c>
      <c r="F19" s="188" t="s">
        <v>4274</v>
      </c>
      <c r="G19" s="414">
        <v>1</v>
      </c>
      <c r="H19" s="414">
        <v>2</v>
      </c>
      <c r="I19" s="414">
        <v>46</v>
      </c>
      <c r="J19" s="188" t="s">
        <v>2714</v>
      </c>
      <c r="K19" s="188" t="s">
        <v>1507</v>
      </c>
      <c r="L19" s="414">
        <v>5</v>
      </c>
      <c r="M19" s="414">
        <v>4.5</v>
      </c>
      <c r="N19" s="414">
        <v>4.5</v>
      </c>
      <c r="O19" s="414">
        <v>0</v>
      </c>
      <c r="P19" s="414">
        <v>0</v>
      </c>
      <c r="Q19" s="414">
        <v>1</v>
      </c>
      <c r="R19" s="486">
        <v>46198.752997685187</v>
      </c>
      <c r="S19" s="414">
        <v>1</v>
      </c>
      <c r="T19" s="414">
        <v>1</v>
      </c>
    </row>
  </sheetData>
  <pageMargins left="0.7" right="0.7" top="0.75" bottom="0.75" header="0.3" footer="0.3"/>
  <pageSetup paperSize="9" orientation="portrait" verticalDpi="0" r:id="rId1"/>
  <drawing r:id="rId2"/>
  <legacyDrawing r:id="rId3"/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65BE0A-1F56-493E-B142-0F94F12B37B4}">
  <sheetPr codeName="Sheet65"/>
  <dimension ref="B1:AD1261"/>
  <sheetViews>
    <sheetView showGridLines="0" zoomScale="80" zoomScaleNormal="80" workbookViewId="0">
      <pane ySplit="27" topLeftCell="A637" activePane="bottomLeft" state="frozen"/>
      <selection pane="bottomLeft" activeCell="F657" sqref="F657"/>
    </sheetView>
  </sheetViews>
  <sheetFormatPr defaultColWidth="9.140625" defaultRowHeight="21.95" customHeight="1"/>
  <cols>
    <col min="1" max="1" width="2.5703125" style="168" customWidth="1"/>
    <col min="2" max="2" width="3.42578125" style="178" customWidth="1"/>
    <col min="3" max="3" width="7.85546875" style="483" customWidth="1"/>
    <col min="4" max="4" width="17.7109375" style="483" customWidth="1"/>
    <col min="5" max="5" width="13.140625" style="483" customWidth="1"/>
    <col min="6" max="6" width="25.140625" style="505" customWidth="1"/>
    <col min="7" max="7" width="13.5703125" style="483" customWidth="1"/>
    <col min="8" max="8" width="15.42578125" style="483" customWidth="1"/>
    <col min="9" max="9" width="16.42578125" style="483" customWidth="1"/>
    <col min="10" max="10" width="17.85546875" style="505" bestFit="1" customWidth="1"/>
    <col min="11" max="11" width="17.5703125" style="505" bestFit="1" customWidth="1"/>
    <col min="12" max="12" width="15.140625" style="1485" customWidth="1"/>
    <col min="13" max="13" width="19.5703125" style="519" customWidth="1"/>
    <col min="14" max="14" width="19.140625" style="1546" customWidth="1"/>
    <col min="15" max="15" width="21.28515625" style="483" customWidth="1"/>
    <col min="16" max="16" width="20.140625" style="483" customWidth="1"/>
    <col min="17" max="17" width="26.42578125" style="483" customWidth="1"/>
    <col min="18" max="18" width="37.5703125" style="666" customWidth="1"/>
    <col min="19" max="19" width="20.5703125" style="483" customWidth="1"/>
    <col min="20" max="20" width="18.5703125" style="483" bestFit="1" customWidth="1"/>
    <col min="21" max="21" width="19.140625" style="168" customWidth="1"/>
    <col min="22" max="22" width="19.85546875" customWidth="1"/>
    <col min="23" max="23" width="26" customWidth="1"/>
    <col min="24" max="24" width="22.7109375" customWidth="1"/>
    <col min="25" max="25" width="29.28515625" customWidth="1"/>
    <col min="26" max="26" width="22" customWidth="1"/>
    <col min="27" max="27" width="8.85546875"/>
    <col min="28" max="28" width="9.140625" style="168"/>
    <col min="29" max="29" width="19.42578125" style="168" bestFit="1" customWidth="1"/>
    <col min="30" max="30" width="19.7109375" style="168" customWidth="1"/>
    <col min="31" max="16384" width="9.140625" style="168"/>
  </cols>
  <sheetData>
    <row r="1" spans="2:27" ht="7.5" customHeight="1">
      <c r="C1" s="168"/>
      <c r="D1" s="168"/>
      <c r="E1" s="168"/>
      <c r="F1" s="168"/>
      <c r="G1" s="168"/>
      <c r="H1" s="168"/>
      <c r="I1" s="168"/>
      <c r="J1" s="168"/>
      <c r="K1" s="168"/>
      <c r="L1" s="1474"/>
      <c r="M1" s="477"/>
      <c r="N1" s="1474"/>
      <c r="O1" s="168"/>
      <c r="P1" s="168"/>
      <c r="Q1" s="168"/>
      <c r="R1" s="168"/>
      <c r="S1" s="168"/>
      <c r="T1" s="168"/>
    </row>
    <row r="2" spans="2:27" s="258" customFormat="1" ht="44.25">
      <c r="B2" s="484"/>
      <c r="C2" s="562" t="s">
        <v>2010</v>
      </c>
      <c r="L2" s="1475"/>
      <c r="M2" s="480"/>
      <c r="N2" s="1475"/>
      <c r="R2" s="253"/>
      <c r="S2" s="253"/>
      <c r="T2" s="253"/>
      <c r="V2"/>
      <c r="W2"/>
      <c r="X2"/>
      <c r="Y2"/>
      <c r="Z2"/>
      <c r="AA2"/>
    </row>
    <row r="3" spans="2:27" ht="22.5" customHeight="1">
      <c r="C3" s="168"/>
      <c r="D3" s="168"/>
      <c r="E3" s="168"/>
      <c r="F3" s="168"/>
      <c r="G3" s="168"/>
      <c r="H3" s="168"/>
      <c r="I3" s="168"/>
      <c r="J3" s="168"/>
      <c r="K3" s="168"/>
      <c r="L3" s="1474"/>
      <c r="M3" s="477"/>
      <c r="N3" s="1474"/>
      <c r="O3" s="168"/>
      <c r="P3" s="168"/>
      <c r="Q3" s="168"/>
      <c r="R3" s="168"/>
      <c r="S3" s="168"/>
      <c r="T3" s="183"/>
    </row>
    <row r="4" spans="2:27" ht="24" customHeight="1">
      <c r="C4" s="2166" t="s">
        <v>1973</v>
      </c>
      <c r="D4" s="2166"/>
      <c r="E4" s="168"/>
      <c r="F4" s="188"/>
      <c r="G4" s="168"/>
      <c r="H4" s="478"/>
      <c r="I4" s="253" t="s">
        <v>1991</v>
      </c>
      <c r="J4" s="521"/>
      <c r="K4" s="478"/>
      <c r="L4" s="1476"/>
      <c r="M4" s="511"/>
      <c r="N4" s="1486"/>
      <c r="O4" s="512"/>
      <c r="P4" s="188"/>
      <c r="Q4" s="168"/>
      <c r="R4" s="168"/>
      <c r="S4" s="168"/>
      <c r="T4" s="183"/>
    </row>
    <row r="5" spans="2:27" ht="9" customHeight="1">
      <c r="C5" s="168"/>
      <c r="D5" s="168"/>
      <c r="E5" s="168"/>
      <c r="F5" s="168"/>
      <c r="G5" s="168"/>
      <c r="H5" s="478"/>
      <c r="I5" s="168"/>
      <c r="J5" s="168"/>
      <c r="K5" s="168"/>
      <c r="L5" s="1474"/>
      <c r="M5" s="477"/>
      <c r="N5" s="1474"/>
      <c r="O5" s="168"/>
      <c r="P5" s="168"/>
      <c r="Q5" s="168"/>
      <c r="R5" s="168"/>
      <c r="S5" s="168"/>
      <c r="T5" s="168"/>
    </row>
    <row r="6" spans="2:27" ht="33.75" customHeight="1">
      <c r="C6" s="1949"/>
      <c r="D6" s="1949"/>
      <c r="E6" s="2163"/>
      <c r="F6" s="2164"/>
      <c r="G6" s="2165"/>
      <c r="H6" s="168"/>
      <c r="I6" s="188" t="s">
        <v>1972</v>
      </c>
      <c r="J6" s="2156" t="s">
        <v>1858</v>
      </c>
      <c r="K6" s="2157"/>
      <c r="L6" s="2158"/>
      <c r="M6" s="478">
        <f>MID(J6,1,2)*1</f>
        <v>1</v>
      </c>
      <c r="N6" s="1487" t="s">
        <v>2008</v>
      </c>
      <c r="O6" s="585" t="s">
        <v>2001</v>
      </c>
      <c r="P6" s="585" t="s">
        <v>2002</v>
      </c>
      <c r="Q6" s="586" t="s">
        <v>2003</v>
      </c>
      <c r="R6" s="168"/>
      <c r="S6" s="168"/>
      <c r="T6" s="168"/>
      <c r="V6" s="3"/>
      <c r="W6" s="3"/>
      <c r="X6" s="3"/>
      <c r="Y6" s="3"/>
      <c r="Z6" s="3"/>
      <c r="AA6" s="3"/>
    </row>
    <row r="7" spans="2:27" ht="9" customHeight="1">
      <c r="C7" s="168"/>
      <c r="D7" s="168"/>
      <c r="E7" s="168"/>
      <c r="F7" s="168"/>
      <c r="G7" s="168"/>
      <c r="H7" s="168"/>
      <c r="I7" s="168"/>
      <c r="J7" s="168"/>
      <c r="K7" s="168"/>
      <c r="L7" s="1477"/>
      <c r="M7" s="168"/>
      <c r="N7" s="1477"/>
      <c r="O7" s="168"/>
      <c r="P7" s="168"/>
      <c r="Q7" s="168"/>
      <c r="R7" s="168"/>
      <c r="S7" s="168"/>
      <c r="T7" s="168"/>
    </row>
    <row r="8" spans="2:27" ht="27.75" customHeight="1">
      <c r="B8" s="485" t="s">
        <v>1992</v>
      </c>
      <c r="C8" s="587" t="s">
        <v>47</v>
      </c>
      <c r="D8" s="587" t="s">
        <v>695</v>
      </c>
      <c r="E8" s="588"/>
      <c r="F8" s="587" t="s">
        <v>62</v>
      </c>
      <c r="G8" s="587" t="s">
        <v>1976</v>
      </c>
      <c r="H8" s="587"/>
      <c r="I8" s="589" t="str">
        <f>IF(product_price_uom_id="","",product_price_uom_id)</f>
        <v/>
      </c>
      <c r="J8" s="590" t="str">
        <f>IF(OR(product_price_pid="",ISNA(VLOOKUP(product_price_uom_id,uom_converion_list,2,FALSE))),"",VLOOKUP(product_price_uom_id,uom_converion_list,2,FALSE))</f>
        <v/>
      </c>
      <c r="K8" s="558" t="str">
        <f>IF(AND(N9&gt;0,COUNTIFS(UomConversion!$D$8:$D$500,product_price_uom_id,UomConversion!$J$8:$J$500,1)&gt;1),N9,"")</f>
        <v/>
      </c>
      <c r="L8" s="1478"/>
      <c r="M8" s="558"/>
      <c r="N8" s="1488" t="s">
        <v>1815</v>
      </c>
      <c r="O8" s="591" t="s">
        <v>1999</v>
      </c>
      <c r="P8" s="591" t="s">
        <v>1998</v>
      </c>
      <c r="Q8" s="591" t="s">
        <v>2007</v>
      </c>
      <c r="R8" s="591" t="s">
        <v>1997</v>
      </c>
      <c r="S8" s="591" t="s">
        <v>1996</v>
      </c>
      <c r="T8" s="591" t="s">
        <v>2018</v>
      </c>
      <c r="U8" s="591" t="s">
        <v>2018</v>
      </c>
      <c r="V8" s="591" t="s">
        <v>2018</v>
      </c>
      <c r="W8" s="591" t="s">
        <v>2019</v>
      </c>
    </row>
    <row r="9" spans="2:27" ht="21.75" customHeight="1">
      <c r="B9" s="485"/>
      <c r="C9" s="552" t="s">
        <v>9</v>
      </c>
      <c r="D9" s="552" t="s">
        <v>1974</v>
      </c>
      <c r="E9" s="553"/>
      <c r="F9" s="554" t="s">
        <v>68</v>
      </c>
      <c r="G9" s="552" t="s">
        <v>1975</v>
      </c>
      <c r="H9" s="552"/>
      <c r="I9" s="555" t="str">
        <f>IF(J4="","",MID(J4,5,100))</f>
        <v/>
      </c>
      <c r="J9" s="556" t="str">
        <f>IF(OR(product_price_pid="",ISNA(VLOOKUP(product_price_uom_id,uom_converion_list,2,FALSE))),"",VLOOKUP(VLOOKUP(product_price_uom_id,uom_converion_list,2,FALSE),uom_list,5,FALSE))</f>
        <v/>
      </c>
      <c r="K9" s="555" t="str">
        <f>IF(AND(N10&gt;0,COUNTIFS(UomConversion!$D$8:$D$500,product_price_uom_id,UomConversion!$J$8:$J$500,1)&gt;1),VLOOKUP(N10,uom_list,5,FALSE),"")</f>
        <v/>
      </c>
      <c r="L9" s="1479"/>
      <c r="M9" s="555"/>
      <c r="N9" s="1501" t="str" cm="1">
        <f t="array" ref="N9">IF(product_price_pid="","",IF(ISNA(Slookup(product_price_uom_id,UomConversion!$D$8:$J$500,2,UomConversion!$I$8:$I$500,1,UomConversion!$J$8:$J$500,1)),"",Slookup(product_price_uom_id,UomConversion!$D$8:$J$500,2,UomConversion!$I$8:$I$500,1,UomConversion!$J$8:$J$500,1)))</f>
        <v/>
      </c>
      <c r="O9" s="557" t="s">
        <v>1993</v>
      </c>
      <c r="P9" s="557" t="s">
        <v>1994</v>
      </c>
      <c r="Q9" s="557" t="s">
        <v>2006</v>
      </c>
      <c r="R9" s="557" t="s">
        <v>1995</v>
      </c>
      <c r="S9" s="557" t="s">
        <v>1914</v>
      </c>
      <c r="T9" s="558" t="str">
        <f>I9</f>
        <v/>
      </c>
      <c r="U9" s="558" t="str">
        <f>J9</f>
        <v/>
      </c>
      <c r="V9" s="558" t="str">
        <f>K9</f>
        <v/>
      </c>
      <c r="W9" s="557" t="s">
        <v>2009</v>
      </c>
    </row>
    <row r="10" spans="2:27" ht="24.95" customHeight="1">
      <c r="B10" s="178">
        <f>IF(D10="","",MID(D10,1,2)*1)</f>
        <v>2</v>
      </c>
      <c r="C10" s="481">
        <f>IF(D10="","",1)</f>
        <v>1</v>
      </c>
      <c r="D10" s="2159" t="s">
        <v>22</v>
      </c>
      <c r="E10" s="2160"/>
      <c r="F10" s="482" t="str">
        <f t="shared" ref="F10:F21" si="0">IF(OR(product_price_pid="",D10=""),"",VLOOKUP(product_price_pid,product_list,14,FALSE))</f>
        <v/>
      </c>
      <c r="G10" s="2161" t="str">
        <f>IF(OR(B10="",product_price_pid="",product_price_uom_id=""),"",SUMIFS(N28:N10000,D28:D10000,product_price_pid,G28:G10000,product_price_branch_id,H28:H10000,B10,I28:I10000,product_price_uom_id,Q28:Q10000,MID(S10,1,1)*1,T28:T10000,1))</f>
        <v/>
      </c>
      <c r="H10" s="2162"/>
      <c r="I10" s="1505"/>
      <c r="J10" s="1505"/>
      <c r="K10" s="1505"/>
      <c r="L10" s="1480"/>
      <c r="M10" s="520"/>
      <c r="N10" s="1502" t="str" cm="1">
        <f t="array" ref="N10">IF(OR(product_price_pid="",D10=""),"",IF(ISNA(Slookup(product_price_uom_id,UomConversion!$D$8:$J$500,2,UomConversion!$I$8:$I$500,1,UomConversion!$J$8:$J$500,1)),"",Slookup(product_price_uom_id,UomConversion!$D$8:$J$500,2,UomConversion!$I$8:$I$500,1,UomConversion!$J$8:$J$500,1)))</f>
        <v/>
      </c>
      <c r="O10" s="483" t="str">
        <f t="shared" ref="O10" si="1">IF(OR(D10="",product_price_pid=""),"",COUNT($I$8:$M$8))</f>
        <v/>
      </c>
      <c r="P10" s="483" t="str">
        <f>IF(D10="","",_xlfn.TEXTJOIN(";",TRUE,$I$8:$M$8))</f>
        <v/>
      </c>
      <c r="Q10" s="491" t="str">
        <f>IF(D10="","",_xlfn.TEXTJOIN(";",TRUE,$I$9:$M$9))</f>
        <v/>
      </c>
      <c r="R10" s="492" t="str">
        <f>IF(D10="","",IF(I10&lt;&gt;"",ROUND(I10,2),0)&amp;";"&amp;IF(J10&lt;&gt;"",ROUND(J10,2),0)&amp;";"&amp;IF(K10&lt;&gt;"",ROUND(K10,2),0))</f>
        <v>0;0;0</v>
      </c>
      <c r="S10" s="481" t="s">
        <v>2001</v>
      </c>
      <c r="T10" s="492" t="str">
        <f>IF(OR(B10="",product_price_pid="",product_price_uom_id=""),"",SUMIFS(N28:N10000,D28:D10000,product_price_pid,G28:G10000,product_price_branch_id,H28:H10000,B10,I28:I10000,product_price_uom_id,Q28:Q10000,MID(S10,1,1)*1,T28:T10000,1))</f>
        <v/>
      </c>
      <c r="U10" s="492" t="str">
        <f>IF(OR(B10="",product_price_pid="",$J$8=""),"",SUMIFS(N28:N10000,D28:D10000,product_price_pid,G28:G10000,product_price_branch_id,H28:H10000,B10,I28:I10000,$J$8,Q28:Q10000,MID(S10,1,1)*1,T28:T10000,1))</f>
        <v/>
      </c>
      <c r="V10" s="492" t="str">
        <f>IF(OR(B10="",product_price_pid="",$K$8=""),"",SUMIFS(N28:N10000,D28:D10000,product_price_pid,G28:G10000,product_price_branch_id,H28:H10000,B10,I28:I10000,$K$8,Q28:Q10000,MID(S10,1,1)*1,T28:T10000,1))</f>
        <v/>
      </c>
      <c r="W10" s="492" t="str">
        <f>IF(D10="","",_xlfn.TEXTJOIN(";",TRUE,T10:V10))</f>
        <v/>
      </c>
    </row>
    <row r="11" spans="2:27" ht="24.95" customHeight="1">
      <c r="B11" s="178" t="str">
        <f t="shared" ref="B11:B21" si="2">IF(D11="","",MID(D11,1,2)*1)</f>
        <v/>
      </c>
      <c r="C11" s="481" t="str">
        <f>IF(D11="","",C10+1)</f>
        <v/>
      </c>
      <c r="D11" s="2159"/>
      <c r="E11" s="2160"/>
      <c r="F11" s="482" t="str">
        <f t="shared" si="0"/>
        <v/>
      </c>
      <c r="G11" s="2161" t="str">
        <f>IF(OR(B11="",product_price_pid="",product_price_uom_id=""),"",SUMIFS(N473:N10001,D473:D10001,product_price_pid,G473:G10001,product_price_branch_id,H473:H10001,B11,I473:I10001,product_price_uom_id,Q473:Q10001,MID(S11,1,1)*1,T473:T10001,1))</f>
        <v/>
      </c>
      <c r="H11" s="2162"/>
      <c r="I11" s="1505"/>
      <c r="J11" s="1505"/>
      <c r="K11" s="1505"/>
      <c r="L11" s="1480"/>
      <c r="M11" s="520"/>
      <c r="N11" s="1502" t="str" cm="1">
        <f t="array" ref="N11">IF(OR(product_price_pid="",D11=""),"",IF(ISNA(Slookup(product_price_uom_id,UomConversion!$D$8:$J$500,2,UomConversion!$I$8:$I$500,1,UomConversion!$J$8:$J$500,1)),"",Slookup(product_price_uom_id,UomConversion!$D$8:$J$500,2,UomConversion!$I$8:$I$500,1,UomConversion!$J$8:$J$500,1)))</f>
        <v/>
      </c>
      <c r="O11" s="483" t="str">
        <f t="shared" ref="O11:O21" si="3">IF(OR(D11="",product_price_pid=""),"",COUNT($I$8:$M$8))</f>
        <v/>
      </c>
      <c r="P11" s="483" t="str">
        <f t="shared" ref="P11:P21" si="4">IF(D11="","",_xlfn.TEXTJOIN(";",TRUE,$I$8:$M$8))</f>
        <v/>
      </c>
      <c r="Q11" s="491" t="str">
        <f t="shared" ref="Q11:Q21" si="5">IF(D11="","",_xlfn.TEXTJOIN(";",TRUE,$I$9:$M$9))</f>
        <v/>
      </c>
      <c r="R11" s="492" t="str">
        <f t="shared" ref="R11:R21" si="6">IF(D11="","",IF(I11&lt;&gt;"",ROUND(I11,2),0)&amp;";"&amp;IF(J11&lt;&gt;"",ROUND(J11,2),0)&amp;";"&amp;IF(K11&lt;&gt;"",ROUND(K11,2),0))</f>
        <v/>
      </c>
      <c r="S11" s="481"/>
      <c r="T11" s="492" t="str">
        <f>IF(OR(B11="",product_price_pid="",product_price_uom_id=""),"",SUMIFS(N473:N10001,D473:D10001,product_price_pid,G473:G10001,product_price_branch_id,H473:H10001,B11,I473:I10001,product_price_uom_id,Q473:Q10001,MID(S11,1,1)*1,T473:T10001,1))</f>
        <v/>
      </c>
      <c r="U11" s="492" t="str">
        <f>IF(OR(B11="",product_price_pid="",$J$8=""),"",SUMIFS(N473:N10001,D473:D10001,product_price_pid,G473:G10001,product_price_branch_id,H473:H10001,B11,I473:I10001,$J$8,Q473:Q10001,MID(S11,1,1)*1,T473:T10001,1))</f>
        <v/>
      </c>
      <c r="V11" s="492" t="str">
        <f>IF(OR(B11="",product_price_pid="",$K$8=""),"",SUMIFS(N473:N10001,D473:D10001,product_price_pid,G473:G10001,product_price_branch_id,H473:H10001,B11,I473:I10001,$K$8,Q473:Q10001,MID(S11,1,1)*1,T473:T10001,1))</f>
        <v/>
      </c>
      <c r="W11" s="492" t="str">
        <f t="shared" ref="W11:W21" si="7">IF(D11="","",_xlfn.TEXTJOIN(";",TRUE,T11:V11))</f>
        <v/>
      </c>
    </row>
    <row r="12" spans="2:27" ht="24.95" hidden="1" customHeight="1">
      <c r="B12" s="178" t="str">
        <f t="shared" si="2"/>
        <v/>
      </c>
      <c r="C12" s="481" t="str">
        <f t="shared" ref="C12:C21" si="8">IF(D12="","",C11+1)</f>
        <v/>
      </c>
      <c r="D12" s="2159"/>
      <c r="E12" s="2160"/>
      <c r="F12" s="482" t="str">
        <f t="shared" si="0"/>
        <v/>
      </c>
      <c r="G12" s="2161" t="str">
        <f>IF(OR(B12="",product_price_pid="",product_price_uom_id=""),"",SUMIFS(N473:N10002,D473:D10002,product_price_pid,G473:G10002,product_price_branch_id,H473:H10002,B12,I473:I10002,product_price_uom_id,Q473:Q10002,MID(S12,1,1)*1,T473:T10002,1))</f>
        <v/>
      </c>
      <c r="H12" s="2162"/>
      <c r="I12" s="1505"/>
      <c r="J12" s="1505"/>
      <c r="K12" s="1505"/>
      <c r="L12" s="1480"/>
      <c r="M12" s="520"/>
      <c r="N12" s="1502" t="str" cm="1">
        <f t="array" ref="N12">IF(OR(product_price_pid="",D12=""),"",IF(ISNA(Slookup(product_price_uom_id,UomConversion!$D$8:$J$500,2,UomConversion!$I$8:$I$500,1,UomConversion!$J$8:$J$500,1)),"",Slookup(product_price_uom_id,UomConversion!$D$8:$J$500,2,UomConversion!$I$8:$I$500,1,UomConversion!$J$8:$J$500,1)))</f>
        <v/>
      </c>
      <c r="O12" s="483" t="str">
        <f t="shared" si="3"/>
        <v/>
      </c>
      <c r="P12" s="483" t="str">
        <f t="shared" si="4"/>
        <v/>
      </c>
      <c r="Q12" s="491" t="str">
        <f t="shared" si="5"/>
        <v/>
      </c>
      <c r="R12" s="492" t="str">
        <f t="shared" si="6"/>
        <v/>
      </c>
      <c r="S12" s="481"/>
      <c r="T12" s="492" t="str">
        <f>IF(OR(B12="",product_price_pid="",product_price_uom_id=""),"",SUMIFS(N473:N10002,D473:D10002,product_price_pid,G473:G10002,product_price_branch_id,H473:H10002,B12,I473:I10002,product_price_uom_id,Q473:Q10002,MID(S12,1,1)*1,T473:T10002,1))</f>
        <v/>
      </c>
      <c r="U12" s="492" t="str">
        <f>IF(OR(B12="",product_price_pid="",$J$8=""),"",SUMIFS(N473:N10002,D473:D10002,product_price_pid,G473:G10002,product_price_branch_id,H473:H10002,B12,I473:I10002,$J$8,Q473:Q10002,MID(S12,1,1)*1,T473:T10002,1))</f>
        <v/>
      </c>
      <c r="V12" s="492" t="str">
        <f>IF(OR(B12="",product_price_pid="",$K$8=""),"",SUMIFS(N473:N10002,D473:D10002,product_price_pid,G473:G10002,product_price_branch_id,H473:H10002,B12,I473:I10002,$K$8,Q473:Q10002,MID(S12,1,1)*1,T473:T10002,1))</f>
        <v/>
      </c>
      <c r="W12" s="492" t="str">
        <f t="shared" si="7"/>
        <v/>
      </c>
    </row>
    <row r="13" spans="2:27" ht="24.75" hidden="1" customHeight="1">
      <c r="B13" s="178" t="str">
        <f t="shared" si="2"/>
        <v/>
      </c>
      <c r="C13" s="481" t="str">
        <f t="shared" si="8"/>
        <v/>
      </c>
      <c r="D13" s="2159"/>
      <c r="E13" s="2160"/>
      <c r="F13" s="482" t="str">
        <f t="shared" si="0"/>
        <v/>
      </c>
      <c r="G13" s="2161" t="str">
        <f>IF(OR(B13="",product_price_pid="",product_price_uom_id=""),"",SUMIFS(N473:N10003,D473:D10003,product_price_pid,G473:G10003,product_price_branch_id,H473:H10003,B13,I473:I10003,product_price_uom_id,Q473:Q10003,MID(S13,1,1)*1,T473:T10003,1))</f>
        <v/>
      </c>
      <c r="H13" s="2162"/>
      <c r="I13" s="1505"/>
      <c r="J13" s="1505"/>
      <c r="K13" s="1505"/>
      <c r="L13" s="1480"/>
      <c r="M13" s="520"/>
      <c r="N13" s="1502" t="str" cm="1">
        <f t="array" ref="N13">IF(OR(product_price_pid="",D13=""),"",IF(ISNA(Slookup(product_price_uom_id,UomConversion!$D$8:$J$500,2,UomConversion!$I$8:$I$500,1,UomConversion!$J$8:$J$500,1)),"",Slookup(product_price_uom_id,UomConversion!$D$8:$J$500,2,UomConversion!$I$8:$I$500,1,UomConversion!$J$8:$J$500,1)))</f>
        <v/>
      </c>
      <c r="O13" s="483" t="str">
        <f t="shared" si="3"/>
        <v/>
      </c>
      <c r="P13" s="483" t="str">
        <f t="shared" si="4"/>
        <v/>
      </c>
      <c r="Q13" s="491" t="str">
        <f t="shared" si="5"/>
        <v/>
      </c>
      <c r="R13" s="492" t="str">
        <f t="shared" si="6"/>
        <v/>
      </c>
      <c r="S13" s="481"/>
      <c r="T13" s="492" t="str">
        <f>IF(OR(B13="",product_price_pid="",product_price_uom_id=""),"",SUMIFS(N473:N10003,D473:D10003,product_price_pid,G473:G10003,product_price_branch_id,H473:H10003,B13,I473:I10003,product_price_uom_id,Q473:Q10003,MID(S13,1,1)*1,T473:T10003,1))</f>
        <v/>
      </c>
      <c r="U13" s="492" t="str">
        <f>IF(OR(B13="",product_price_pid="",$J$8=""),"",SUMIFS(N473:N10003,D473:D10003,product_price_pid,G473:G10003,product_price_branch_id,H473:H10003,B13,I473:I10003,$J$8,Q473:Q10003,MID(S13,1,1)*1,T473:T10003,1))</f>
        <v/>
      </c>
      <c r="V13" s="492" t="str">
        <f>IF(OR(B13="",product_price_pid="",$K$8=""),"",SUMIFS(N473:N10003,D473:D10003,product_price_pid,G473:G10003,product_price_branch_id,H473:H10003,B13,I473:I10003,$K$8,Q473:Q10003,MID(S13,1,1)*1,T473:T10003,1))</f>
        <v/>
      </c>
      <c r="W13" s="492" t="str">
        <f t="shared" si="7"/>
        <v/>
      </c>
    </row>
    <row r="14" spans="2:27" ht="21.95" hidden="1" customHeight="1">
      <c r="B14" s="178" t="str">
        <f t="shared" si="2"/>
        <v/>
      </c>
      <c r="C14" s="481" t="str">
        <f t="shared" si="8"/>
        <v/>
      </c>
      <c r="D14" s="2159"/>
      <c r="E14" s="2160"/>
      <c r="F14" s="482" t="str">
        <f t="shared" si="0"/>
        <v/>
      </c>
      <c r="G14" s="2161" t="str">
        <f>IF(OR(B14="",product_price_pid="",product_price_uom_id=""),"",SUMIFS(N473:N10004,D473:D10004,product_price_pid,G473:G10004,product_price_branch_id,H473:H10004,B14,I473:I10004,product_price_uom_id,Q473:Q10004,MID(S14,1,1)*1,T473:T10004,1))</f>
        <v/>
      </c>
      <c r="H14" s="2162"/>
      <c r="I14" s="1505"/>
      <c r="J14" s="1505"/>
      <c r="K14" s="1505"/>
      <c r="L14" s="1480"/>
      <c r="M14" s="520"/>
      <c r="N14" s="1502" t="str" cm="1">
        <f t="array" ref="N14">IF(OR(product_price_pid="",D14=""),"",IF(ISNA(Slookup(product_price_uom_id,UomConversion!$D$8:$J$500,2,UomConversion!$I$8:$I$500,1,UomConversion!$J$8:$J$500,1)),"",Slookup(product_price_uom_id,UomConversion!$D$8:$J$500,2,UomConversion!$I$8:$I$500,1,UomConversion!$J$8:$J$500,1)))</f>
        <v/>
      </c>
      <c r="O14" s="483" t="str">
        <f t="shared" si="3"/>
        <v/>
      </c>
      <c r="P14" s="483" t="str">
        <f t="shared" si="4"/>
        <v/>
      </c>
      <c r="Q14" s="491" t="str">
        <f t="shared" si="5"/>
        <v/>
      </c>
      <c r="R14" s="492" t="str">
        <f t="shared" si="6"/>
        <v/>
      </c>
      <c r="S14" s="481"/>
      <c r="T14" s="492" t="str">
        <f>IF(OR(B14="",product_price_pid="",product_price_uom_id=""),"",SUMIFS(N473:N10004,D473:D10004,product_price_pid,G473:G10004,product_price_branch_id,H473:H10004,B14,I473:I10004,product_price_uom_id,Q473:Q10004,MID(S14,1,1)*1,T473:T10004,1))</f>
        <v/>
      </c>
      <c r="U14" s="492" t="str">
        <f>IF(OR(B14="",product_price_pid="",$J$8=""),"",SUMIFS(N473:N10004,D473:D10004,product_price_pid,G473:G10004,product_price_branch_id,H473:H10004,B14,I473:I10004,$J$8,Q473:Q10004,MID(S14,1,1)*1,T473:T10004,1))</f>
        <v/>
      </c>
      <c r="V14" s="492" t="str">
        <f>IF(OR(B14="",product_price_pid="",$K$8=""),"",SUMIFS(N473:N10004,D473:D10004,product_price_pid,G473:G10004,product_price_branch_id,H473:H10004,B14,I473:I10004,$K$8,Q473:Q10004,MID(S14,1,1)*1,T473:T10004,1))</f>
        <v/>
      </c>
      <c r="W14" s="492" t="str">
        <f t="shared" si="7"/>
        <v/>
      </c>
    </row>
    <row r="15" spans="2:27" ht="21.95" hidden="1" customHeight="1">
      <c r="B15" s="178" t="str">
        <f t="shared" si="2"/>
        <v/>
      </c>
      <c r="C15" s="481" t="str">
        <f t="shared" si="8"/>
        <v/>
      </c>
      <c r="D15" s="2159"/>
      <c r="E15" s="2160"/>
      <c r="F15" s="482" t="str">
        <f t="shared" si="0"/>
        <v/>
      </c>
      <c r="G15" s="2161" t="str">
        <f>IF(OR(B15="",product_price_pid="",product_price_uom_id=""),"",SUMIFS(N473:N10005,D473:D10005,product_price_pid,G473:G10005,product_price_branch_id,H473:H10005,B15,I473:I10005,product_price_uom_id,Q473:Q10005,MID(S15,1,1)*1,T473:T10005,1))</f>
        <v/>
      </c>
      <c r="H15" s="2162"/>
      <c r="I15" s="1505"/>
      <c r="J15" s="1505"/>
      <c r="K15" s="1505"/>
      <c r="L15" s="1480"/>
      <c r="M15" s="520"/>
      <c r="N15" s="1502" t="str" cm="1">
        <f t="array" ref="N15">IF(OR(product_price_pid="",D15=""),"",IF(ISNA(Slookup(product_price_uom_id,UomConversion!$D$8:$J$500,2,UomConversion!$I$8:$I$500,1,UomConversion!$J$8:$J$500,1)),"",Slookup(product_price_uom_id,UomConversion!$D$8:$J$500,2,UomConversion!$I$8:$I$500,1,UomConversion!$J$8:$J$500,1)))</f>
        <v/>
      </c>
      <c r="O15" s="483" t="str">
        <f t="shared" si="3"/>
        <v/>
      </c>
      <c r="P15" s="483" t="str">
        <f t="shared" si="4"/>
        <v/>
      </c>
      <c r="Q15" s="491" t="str">
        <f t="shared" si="5"/>
        <v/>
      </c>
      <c r="R15" s="492" t="str">
        <f t="shared" si="6"/>
        <v/>
      </c>
      <c r="S15" s="481"/>
      <c r="T15" s="492" t="str">
        <f>IF(OR(B15="",product_price_pid="",product_price_uom_id=""),"",SUMIFS(N473:N10005,D473:D10005,product_price_pid,G473:G10005,product_price_branch_id,H473:H10005,B15,I473:I10005,product_price_uom_id,Q473:Q10005,MID(S15,1,1)*1,T473:T10005,1))</f>
        <v/>
      </c>
      <c r="U15" s="492" t="str">
        <f>IF(OR(B15="",product_price_pid="",$J$8=""),"",SUMIFS(N473:N10005,D473:D10005,product_price_pid,G473:G10005,product_price_branch_id,H473:H10005,B15,I473:I10005,$J$8,Q473:Q10005,MID(S15,1,1)*1,T473:T10005,1))</f>
        <v/>
      </c>
      <c r="V15" s="492" t="str">
        <f>IF(OR(B15="",product_price_pid="",$K$8=""),"",SUMIFS(N473:N10005,D473:D10005,product_price_pid,G473:G10005,product_price_branch_id,H473:H10005,B15,I473:I10005,$K$8,Q473:Q10005,MID(S15,1,1)*1,T473:T10005,1))</f>
        <v/>
      </c>
      <c r="W15" s="492" t="str">
        <f t="shared" si="7"/>
        <v/>
      </c>
    </row>
    <row r="16" spans="2:27" ht="21.95" hidden="1" customHeight="1">
      <c r="B16" s="178" t="str">
        <f t="shared" si="2"/>
        <v/>
      </c>
      <c r="C16" s="481" t="str">
        <f t="shared" si="8"/>
        <v/>
      </c>
      <c r="D16" s="2159"/>
      <c r="E16" s="2160"/>
      <c r="F16" s="482" t="str">
        <f t="shared" si="0"/>
        <v/>
      </c>
      <c r="G16" s="2161" t="str">
        <f>IF(OR(B16="",product_price_pid="",product_price_uom_id=""),"",SUMIFS(N473:N10006,D473:D10006,product_price_pid,G473:G10006,product_price_branch_id,H473:H10006,B16,I473:I10006,product_price_uom_id,Q473:Q10006,MID(S16,1,1)*1,T473:T10006,1))</f>
        <v/>
      </c>
      <c r="H16" s="2162"/>
      <c r="I16" s="1505"/>
      <c r="J16" s="1505"/>
      <c r="K16" s="1505"/>
      <c r="L16" s="1480"/>
      <c r="M16" s="520"/>
      <c r="N16" s="1502" t="str" cm="1">
        <f t="array" ref="N16">IF(OR(product_price_pid="",D16=""),"",IF(ISNA(Slookup(product_price_uom_id,UomConversion!$D$8:$J$500,2,UomConversion!$I$8:$I$500,1,UomConversion!$J$8:$J$500,1)),"",Slookup(product_price_uom_id,UomConversion!$D$8:$J$500,2,UomConversion!$I$8:$I$500,1,UomConversion!$J$8:$J$500,1)))</f>
        <v/>
      </c>
      <c r="O16" s="483" t="str">
        <f t="shared" si="3"/>
        <v/>
      </c>
      <c r="P16" s="483" t="str">
        <f t="shared" si="4"/>
        <v/>
      </c>
      <c r="Q16" s="491" t="str">
        <f t="shared" si="5"/>
        <v/>
      </c>
      <c r="R16" s="492" t="str">
        <f t="shared" si="6"/>
        <v/>
      </c>
      <c r="S16" s="481"/>
      <c r="T16" s="492" t="str">
        <f>IF(OR(B16="",product_price_pid="",product_price_uom_id=""),"",SUMIFS(N473:N10006,D473:D10006,product_price_pid,G473:G10006,product_price_branch_id,H473:H10006,B16,I473:I10006,product_price_uom_id,Q473:Q10006,MID(S16,1,1)*1,T473:T10006,1))</f>
        <v/>
      </c>
      <c r="U16" s="492" t="str">
        <f>IF(OR(B16="",product_price_pid="",$J$8=""),"",SUMIFS(N473:N10006,D473:D10006,product_price_pid,G473:G10006,product_price_branch_id,H473:H10006,B16,I473:I10006,$J$8,Q473:Q10006,MID(S16,1,1)*1,T473:T10006,1))</f>
        <v/>
      </c>
      <c r="V16" s="492" t="str">
        <f>IF(OR(B16="",product_price_pid="",$K$8=""),"",SUMIFS(N473:N10006,D473:D10006,product_price_pid,G473:G10006,product_price_branch_id,H473:H10006,B16,I473:I10006,$K$8,Q473:Q10006,MID(S16,1,1)*1,T473:T10006,1))</f>
        <v/>
      </c>
      <c r="W16" s="492" t="str">
        <f t="shared" si="7"/>
        <v/>
      </c>
    </row>
    <row r="17" spans="2:30" ht="21.95" hidden="1" customHeight="1">
      <c r="B17" s="178" t="str">
        <f t="shared" si="2"/>
        <v/>
      </c>
      <c r="C17" s="481" t="str">
        <f t="shared" si="8"/>
        <v/>
      </c>
      <c r="D17" s="2159"/>
      <c r="E17" s="2160"/>
      <c r="F17" s="482" t="str">
        <f t="shared" si="0"/>
        <v/>
      </c>
      <c r="G17" s="2161" t="str">
        <f>IF(OR(B17="",product_price_pid="",product_price_uom_id=""),"",SUMIFS(N473:N10007,D473:D10007,product_price_pid,G473:G10007,product_price_branch_id,H473:H10007,B17,I473:I10007,product_price_uom_id,Q473:Q10007,MID(S17,1,1)*1,T473:T10007,1))</f>
        <v/>
      </c>
      <c r="H17" s="2162"/>
      <c r="I17" s="1505"/>
      <c r="J17" s="1505"/>
      <c r="K17" s="1505"/>
      <c r="L17" s="1480"/>
      <c r="M17" s="520"/>
      <c r="N17" s="1502" t="str" cm="1">
        <f t="array" ref="N17">IF(OR(product_price_pid="",D17=""),"",IF(ISNA(Slookup(product_price_uom_id,UomConversion!$D$8:$J$500,2,UomConversion!$I$8:$I$500,1,UomConversion!$J$8:$J$500,1)),"",Slookup(product_price_uom_id,UomConversion!$D$8:$J$500,2,UomConversion!$I$8:$I$500,1,UomConversion!$J$8:$J$500,1)))</f>
        <v/>
      </c>
      <c r="O17" s="483" t="str">
        <f t="shared" si="3"/>
        <v/>
      </c>
      <c r="P17" s="483" t="str">
        <f t="shared" si="4"/>
        <v/>
      </c>
      <c r="Q17" s="491" t="str">
        <f t="shared" si="5"/>
        <v/>
      </c>
      <c r="R17" s="492" t="str">
        <f t="shared" si="6"/>
        <v/>
      </c>
      <c r="S17" s="481"/>
      <c r="T17" s="492" t="str">
        <f>IF(OR(B17="",product_price_pid="",product_price_uom_id=""),"",SUMIFS(N473:N10007,D473:D10007,product_price_pid,G473:G10007,product_price_branch_id,H473:H10007,B17,I473:I10007,product_price_uom_id,Q473:Q10007,MID(S17,1,1)*1,T473:T10007,1))</f>
        <v/>
      </c>
      <c r="U17" s="492" t="str">
        <f>IF(OR(B17="",product_price_pid="",$J$8=""),"",SUMIFS(N473:N10007,D473:D10007,product_price_pid,G473:G10007,product_price_branch_id,H473:H10007,B17,I473:I10007,$J$8,Q473:Q10007,MID(S17,1,1)*1,T473:T10007,1))</f>
        <v/>
      </c>
      <c r="V17" s="492" t="str">
        <f>IF(OR(B17="",product_price_pid="",$K$8=""),"",SUMIFS(N473:N10007,D473:D10007,product_price_pid,G473:G10007,product_price_branch_id,H473:H10007,B17,I473:I10007,$K$8,Q473:Q10007,MID(S17,1,1)*1,T473:T10007,1))</f>
        <v/>
      </c>
      <c r="W17" s="492" t="str">
        <f t="shared" si="7"/>
        <v/>
      </c>
    </row>
    <row r="18" spans="2:30" ht="21.95" hidden="1" customHeight="1">
      <c r="B18" s="178" t="str">
        <f t="shared" si="2"/>
        <v/>
      </c>
      <c r="C18" s="481" t="str">
        <f t="shared" si="8"/>
        <v/>
      </c>
      <c r="D18" s="2159"/>
      <c r="E18" s="2160"/>
      <c r="F18" s="482" t="str">
        <f t="shared" si="0"/>
        <v/>
      </c>
      <c r="G18" s="2161" t="str">
        <f>IF(OR(B18="",product_price_pid="",product_price_uom_id=""),"",SUMIFS(N473:N10008,D473:D10008,product_price_pid,G473:G10008,product_price_branch_id,H473:H10008,B18,I473:I10008,product_price_uom_id,Q473:Q10008,MID(S18,1,1)*1,T473:T10008,1))</f>
        <v/>
      </c>
      <c r="H18" s="2162"/>
      <c r="I18" s="1505"/>
      <c r="J18" s="1505"/>
      <c r="K18" s="1505"/>
      <c r="L18" s="1480"/>
      <c r="M18" s="520"/>
      <c r="N18" s="1502" t="str" cm="1">
        <f t="array" ref="N18">IF(OR(product_price_pid="",D18=""),"",IF(ISNA(Slookup(product_price_uom_id,UomConversion!$D$8:$J$500,2,UomConversion!$I$8:$I$500,1,UomConversion!$J$8:$J$500,1)),"",Slookup(product_price_uom_id,UomConversion!$D$8:$J$500,2,UomConversion!$I$8:$I$500,1,UomConversion!$J$8:$J$500,1)))</f>
        <v/>
      </c>
      <c r="O18" s="483" t="str">
        <f t="shared" si="3"/>
        <v/>
      </c>
      <c r="P18" s="483" t="str">
        <f t="shared" si="4"/>
        <v/>
      </c>
      <c r="Q18" s="491" t="str">
        <f t="shared" si="5"/>
        <v/>
      </c>
      <c r="R18" s="492" t="str">
        <f t="shared" si="6"/>
        <v/>
      </c>
      <c r="S18" s="481"/>
      <c r="T18" s="492" t="str">
        <f>IF(OR(B18="",product_price_pid="",product_price_uom_id=""),"",SUMIFS(N473:N10008,D473:D10008,product_price_pid,G473:G10008,product_price_branch_id,H473:H10008,B18,I473:I10008,product_price_uom_id,Q473:Q10008,MID(S18,1,1)*1,T473:T10008,1))</f>
        <v/>
      </c>
      <c r="U18" s="492" t="str">
        <f>IF(OR(B18="",product_price_pid="",$J$8=""),"",SUMIFS(N473:N10008,D473:D10008,product_price_pid,G473:G10008,product_price_branch_id,H473:H10008,B18,I473:I10008,$J$8,Q473:Q10008,MID(S18,1,1)*1,T473:T10008,1))</f>
        <v/>
      </c>
      <c r="V18" s="492" t="str">
        <f>IF(OR(B18="",product_price_pid="",$K$8=""),"",SUMIFS(N473:N10008,D473:D10008,product_price_pid,G473:G10008,product_price_branch_id,H473:H10008,B18,I473:I10008,$K$8,Q473:Q10008,MID(S18,1,1)*1,T473:T10008,1))</f>
        <v/>
      </c>
      <c r="W18" s="492" t="str">
        <f t="shared" si="7"/>
        <v/>
      </c>
    </row>
    <row r="19" spans="2:30" ht="21.95" hidden="1" customHeight="1">
      <c r="B19" s="178" t="str">
        <f t="shared" si="2"/>
        <v/>
      </c>
      <c r="C19" s="481" t="str">
        <f t="shared" si="8"/>
        <v/>
      </c>
      <c r="D19" s="2159"/>
      <c r="E19" s="2160"/>
      <c r="F19" s="482" t="str">
        <f t="shared" si="0"/>
        <v/>
      </c>
      <c r="G19" s="2161" t="str">
        <f>IF(OR(B19="",product_price_pid="",product_price_uom_id=""),"",SUMIFS(N473:N10009,D473:D10009,product_price_pid,G473:G10009,product_price_branch_id,H473:H10009,B19,I473:I10009,product_price_uom_id,Q473:Q10009,MID(S19,1,1)*1,T473:T10009,1))</f>
        <v/>
      </c>
      <c r="H19" s="2162"/>
      <c r="I19" s="1505"/>
      <c r="J19" s="1505"/>
      <c r="K19" s="1505"/>
      <c r="L19" s="1480"/>
      <c r="M19" s="520"/>
      <c r="N19" s="1502" t="str" cm="1">
        <f t="array" ref="N19">IF(OR(product_price_pid="",D19=""),"",IF(ISNA(Slookup(product_price_uom_id,UomConversion!$D$8:$J$500,2,UomConversion!$I$8:$I$500,1,UomConversion!$J$8:$J$500,1)),"",Slookup(product_price_uom_id,UomConversion!$D$8:$J$500,2,UomConversion!$I$8:$I$500,1,UomConversion!$J$8:$J$500,1)))</f>
        <v/>
      </c>
      <c r="O19" s="483" t="str">
        <f t="shared" si="3"/>
        <v/>
      </c>
      <c r="P19" s="483" t="str">
        <f t="shared" si="4"/>
        <v/>
      </c>
      <c r="Q19" s="491" t="str">
        <f t="shared" si="5"/>
        <v/>
      </c>
      <c r="R19" s="492" t="str">
        <f t="shared" si="6"/>
        <v/>
      </c>
      <c r="S19" s="481"/>
      <c r="T19" s="492" t="str">
        <f>IF(OR(B19="",product_price_pid="",product_price_uom_id=""),"",SUMIFS(N473:N10009,D473:D10009,product_price_pid,G473:G10009,product_price_branch_id,H473:H10009,B19,I473:I10009,product_price_uom_id,Q473:Q10009,MID(S19,1,1)*1,T473:T10009,1))</f>
        <v/>
      </c>
      <c r="U19" s="492" t="str">
        <f>IF(OR(B19="",product_price_pid="",$J$8=""),"",SUMIFS(N473:N10009,D473:D10009,product_price_pid,G473:G10009,product_price_branch_id,H473:H10009,B19,I473:I10009,$J$8,Q473:Q10009,MID(S19,1,1)*1,T473:T10009,1))</f>
        <v/>
      </c>
      <c r="V19" s="492" t="str">
        <f>IF(OR(B19="",product_price_pid="",$K$8=""),"",SUMIFS(N473:N10009,D473:D10009,product_price_pid,G473:G10009,product_price_branch_id,H473:H10009,B19,I473:I10009,$K$8,Q473:Q10009,MID(S19,1,1)*1,T473:T10009,1))</f>
        <v/>
      </c>
      <c r="W19" s="492" t="str">
        <f t="shared" si="7"/>
        <v/>
      </c>
    </row>
    <row r="20" spans="2:30" ht="21.95" hidden="1" customHeight="1">
      <c r="B20" s="178" t="str">
        <f t="shared" si="2"/>
        <v/>
      </c>
      <c r="C20" s="481" t="str">
        <f t="shared" si="8"/>
        <v/>
      </c>
      <c r="D20" s="2159"/>
      <c r="E20" s="2160"/>
      <c r="F20" s="482" t="str">
        <f t="shared" si="0"/>
        <v/>
      </c>
      <c r="G20" s="2161" t="str">
        <f>IF(OR(B20="",product_price_pid="",product_price_uom_id=""),"",SUMIFS(N473:N10010,D473:D10010,product_price_pid,G473:G10010,product_price_branch_id,H473:H10010,B20,I473:I10010,product_price_uom_id,Q473:Q10010,MID(S20,1,1)*1,T473:T10010,1))</f>
        <v/>
      </c>
      <c r="H20" s="2162"/>
      <c r="I20" s="1505"/>
      <c r="J20" s="1505"/>
      <c r="K20" s="1505"/>
      <c r="L20" s="1480"/>
      <c r="M20" s="520"/>
      <c r="N20" s="1502" t="str" cm="1">
        <f t="array" ref="N20">IF(OR(product_price_pid="",D20=""),"",IF(ISNA(Slookup(product_price_uom_id,UomConversion!$D$8:$J$500,2,UomConversion!$I$8:$I$500,1,UomConversion!$J$8:$J$500,1)),"",Slookup(product_price_uom_id,UomConversion!$D$8:$J$500,2,UomConversion!$I$8:$I$500,1,UomConversion!$J$8:$J$500,1)))</f>
        <v/>
      </c>
      <c r="O20" s="483" t="str">
        <f t="shared" si="3"/>
        <v/>
      </c>
      <c r="P20" s="483" t="str">
        <f t="shared" si="4"/>
        <v/>
      </c>
      <c r="Q20" s="491" t="str">
        <f t="shared" si="5"/>
        <v/>
      </c>
      <c r="R20" s="492" t="str">
        <f t="shared" si="6"/>
        <v/>
      </c>
      <c r="S20" s="481"/>
      <c r="T20" s="492" t="str">
        <f>IF(OR(B20="",product_price_pid="",product_price_uom_id=""),"",SUMIFS(N473:N10010,D473:D10010,product_price_pid,G473:G10010,product_price_branch_id,H473:H10010,B20,I473:I10010,product_price_uom_id,Q473:Q10010,MID(S20,1,1)*1,T473:T10010,1))</f>
        <v/>
      </c>
      <c r="U20" s="492" t="str">
        <f>IF(OR(B20="",product_price_pid="",$J$8=""),"",SUMIFS(N473:N10010,D473:D10010,product_price_pid,G473:G10010,product_price_branch_id,H473:H10010,B20,I473:I10010,$J$8,Q473:Q10010,MID(S20,1,1)*1,T473:T10010,1))</f>
        <v/>
      </c>
      <c r="V20" s="492" t="str">
        <f>IF(OR(B20="",product_price_pid="",$K$8=""),"",SUMIFS(N473:N10010,D473:D10010,product_price_pid,G473:G10010,product_price_branch_id,H473:H10010,B20,I473:I10010,$K$8,Q473:Q10010,MID(S20,1,1)*1,T473:T10010,1))</f>
        <v/>
      </c>
      <c r="W20" s="492" t="str">
        <f t="shared" si="7"/>
        <v/>
      </c>
    </row>
    <row r="21" spans="2:30" customFormat="1" ht="21.95" hidden="1" customHeight="1">
      <c r="B21" s="178" t="str">
        <f t="shared" si="2"/>
        <v/>
      </c>
      <c r="C21" s="481" t="str">
        <f t="shared" si="8"/>
        <v/>
      </c>
      <c r="D21" s="2159"/>
      <c r="E21" s="2160"/>
      <c r="F21" s="482" t="str">
        <f t="shared" si="0"/>
        <v/>
      </c>
      <c r="G21" s="2161" t="str">
        <f>IF(OR(B21="",product_price_pid="",product_price_uom_id=""),"",SUMIFS(N473:N10011,D473:D10011,product_price_pid,G473:G10011,product_price_branch_id,H473:H10011,B21,I473:I10011,product_price_uom_id,Q473:Q10011,MID(S21,1,1)*1,T473:T10011,1))</f>
        <v/>
      </c>
      <c r="H21" s="2162"/>
      <c r="I21" s="1505"/>
      <c r="J21" s="1505"/>
      <c r="K21" s="1505"/>
      <c r="L21" s="1480"/>
      <c r="M21" s="520"/>
      <c r="N21" s="1502" t="str" cm="1">
        <f t="array" ref="N21">IF(OR(product_price_pid="",D21=""),"",IF(ISNA(Slookup(product_price_uom_id,UomConversion!$D$8:$J$500,2,UomConversion!$I$8:$I$500,1,UomConversion!$J$8:$J$500,1)),"",Slookup(product_price_uom_id,UomConversion!$D$8:$J$500,2,UomConversion!$I$8:$I$500,1,UomConversion!$J$8:$J$500,1)))</f>
        <v/>
      </c>
      <c r="O21" s="483" t="str">
        <f t="shared" si="3"/>
        <v/>
      </c>
      <c r="P21" s="483" t="str">
        <f t="shared" si="4"/>
        <v/>
      </c>
      <c r="Q21" s="491" t="str">
        <f t="shared" si="5"/>
        <v/>
      </c>
      <c r="R21" s="492" t="str">
        <f t="shared" si="6"/>
        <v/>
      </c>
      <c r="S21" s="481"/>
      <c r="T21" s="492" t="str">
        <f>IF(OR(B21="",product_price_pid="",product_price_uom_id=""),"",SUMIFS(N473:N10011,D473:D10011,product_price_pid,G473:G10011,product_price_branch_id,H473:H10011,B21,I473:I10011,product_price_uom_id,Q473:Q10011,MID(S21,1,1)*1,T473:T10011,1))</f>
        <v/>
      </c>
      <c r="U21" s="492" t="str">
        <f>IF(OR(B21="",product_price_pid="",$J$8=""),"",SUMIFS(N473:N10011,D473:D10011,product_price_pid,G473:G10011,product_price_branch_id,H473:H10011,B21,I473:I10011,$J$8,Q473:Q10011,MID(S21,1,1)*1,T473:T10011,1))</f>
        <v/>
      </c>
      <c r="V21" s="492" t="str">
        <f>IF(OR(B21="",product_price_pid="",$K$8=""),"",SUMIFS(N473:N10011,D473:D10011,product_price_pid,G473:G10011,product_price_branch_id,H473:H10011,B21,I473:I10011,$K$8,Q473:Q10011,MID(S21,1,1)*1,T473:T10011,1))</f>
        <v/>
      </c>
      <c r="W21" s="492" t="str">
        <f t="shared" si="7"/>
        <v/>
      </c>
    </row>
    <row r="22" spans="2:30" customFormat="1" ht="10.5" hidden="1" customHeight="1">
      <c r="B22" s="81"/>
      <c r="C22" s="13"/>
      <c r="D22" s="2167"/>
      <c r="E22" s="2167"/>
      <c r="F22" s="479"/>
      <c r="G22" s="253"/>
      <c r="H22" s="168"/>
      <c r="I22" s="1506"/>
      <c r="J22" s="1506"/>
      <c r="K22" s="1506"/>
      <c r="L22" s="1481"/>
      <c r="M22" s="476"/>
      <c r="N22" s="1503"/>
      <c r="O22" s="13"/>
      <c r="P22" s="13"/>
      <c r="Q22" s="13"/>
      <c r="R22" s="13"/>
      <c r="S22" s="13"/>
    </row>
    <row r="23" spans="2:30" customFormat="1" ht="15.75" hidden="1" customHeight="1">
      <c r="B23" s="81"/>
      <c r="C23" s="13"/>
      <c r="D23" s="13"/>
      <c r="E23" s="13"/>
      <c r="F23" s="13"/>
      <c r="G23" s="13"/>
      <c r="H23" s="13"/>
      <c r="I23" s="1506"/>
      <c r="J23" s="1506"/>
      <c r="K23" s="1506"/>
      <c r="L23" s="1481"/>
      <c r="M23" s="476"/>
      <c r="N23" s="1503"/>
      <c r="O23" s="13"/>
      <c r="P23" s="13"/>
      <c r="Q23" s="13"/>
      <c r="R23" s="13"/>
      <c r="S23" s="13"/>
    </row>
    <row r="24" spans="2:30" customFormat="1" ht="13.5" hidden="1" customHeight="1">
      <c r="B24" s="81"/>
      <c r="C24" s="13"/>
      <c r="D24" s="13"/>
      <c r="E24" s="13"/>
      <c r="F24" s="13"/>
      <c r="G24" s="13"/>
      <c r="H24" s="13"/>
      <c r="I24" s="1506"/>
      <c r="J24" s="1506"/>
      <c r="K24" s="1506"/>
      <c r="L24" s="1481"/>
      <c r="M24" s="476"/>
      <c r="N24" s="1503"/>
      <c r="O24" s="13"/>
      <c r="P24" s="13"/>
      <c r="Q24" s="13"/>
      <c r="R24" s="13"/>
      <c r="S24" s="13"/>
    </row>
    <row r="25" spans="2:30" customFormat="1" ht="48" customHeight="1">
      <c r="B25" s="81"/>
      <c r="C25" s="544" t="s">
        <v>1965</v>
      </c>
      <c r="D25" s="593"/>
      <c r="E25" s="593"/>
      <c r="F25" s="593"/>
      <c r="G25" s="594"/>
      <c r="H25" s="594"/>
      <c r="I25" s="1507"/>
      <c r="J25" s="1507"/>
      <c r="K25" s="1507"/>
      <c r="L25" s="1482"/>
      <c r="M25" s="595"/>
      <c r="N25" s="1504"/>
      <c r="O25" s="594"/>
      <c r="P25" s="594"/>
      <c r="Q25" s="121"/>
      <c r="R25" s="594"/>
      <c r="S25" s="594"/>
      <c r="T25" s="139"/>
    </row>
    <row r="26" spans="2:30" customFormat="1" ht="23.25" customHeight="1">
      <c r="B26" s="81"/>
      <c r="C26" s="565" t="s">
        <v>47</v>
      </c>
      <c r="D26" s="565" t="s">
        <v>1966</v>
      </c>
      <c r="E26" s="565" t="s">
        <v>1977</v>
      </c>
      <c r="F26" s="565" t="s">
        <v>1978</v>
      </c>
      <c r="G26" s="565" t="s">
        <v>185</v>
      </c>
      <c r="H26" s="565" t="s">
        <v>695</v>
      </c>
      <c r="I26" s="565" t="s">
        <v>61</v>
      </c>
      <c r="J26" s="565" t="s">
        <v>1529</v>
      </c>
      <c r="K26" s="565" t="s">
        <v>695</v>
      </c>
      <c r="L26" s="1483" t="s">
        <v>1967</v>
      </c>
      <c r="M26" s="565" t="s">
        <v>1968</v>
      </c>
      <c r="N26" s="1483" t="s">
        <v>1969</v>
      </c>
      <c r="O26" s="565" t="s">
        <v>48</v>
      </c>
      <c r="P26" s="565" t="s">
        <v>1970</v>
      </c>
      <c r="Q26" s="565" t="s">
        <v>224</v>
      </c>
      <c r="R26" s="565" t="s">
        <v>653</v>
      </c>
      <c r="S26" s="565" t="s">
        <v>1007</v>
      </c>
      <c r="T26" s="592" t="s">
        <v>187</v>
      </c>
      <c r="AB26" s="168"/>
      <c r="AC26" s="168"/>
      <c r="AD26" s="168"/>
    </row>
    <row r="27" spans="2:30" customFormat="1" ht="18.75" customHeight="1">
      <c r="B27" s="81"/>
      <c r="C27" s="560" t="s">
        <v>9</v>
      </c>
      <c r="D27" s="560" t="s">
        <v>222</v>
      </c>
      <c r="E27" s="560" t="s">
        <v>652</v>
      </c>
      <c r="F27" s="560" t="s">
        <v>66</v>
      </c>
      <c r="G27" s="560" t="s">
        <v>212</v>
      </c>
      <c r="H27" s="560" t="s">
        <v>1528</v>
      </c>
      <c r="I27" s="560" t="s">
        <v>235</v>
      </c>
      <c r="J27" s="560" t="s">
        <v>2005</v>
      </c>
      <c r="K27" s="560" t="s">
        <v>2004</v>
      </c>
      <c r="L27" s="1484" t="s">
        <v>1910</v>
      </c>
      <c r="M27" s="560" t="s">
        <v>1911</v>
      </c>
      <c r="N27" s="1484" t="s">
        <v>1522</v>
      </c>
      <c r="O27" s="560" t="s">
        <v>1912</v>
      </c>
      <c r="P27" s="560" t="s">
        <v>1913</v>
      </c>
      <c r="Q27" s="560" t="s">
        <v>1914</v>
      </c>
      <c r="R27" s="560" t="s">
        <v>639</v>
      </c>
      <c r="S27" s="560" t="s">
        <v>230</v>
      </c>
      <c r="T27" s="560" t="s">
        <v>1645</v>
      </c>
      <c r="AB27" s="168"/>
      <c r="AC27" s="168"/>
      <c r="AD27" s="168"/>
    </row>
    <row r="28" spans="2:30" ht="21.95" customHeight="1">
      <c r="C28" s="483">
        <v>1</v>
      </c>
      <c r="D28" s="483">
        <v>26</v>
      </c>
      <c r="E28" s="483" t="s">
        <v>2219</v>
      </c>
      <c r="F28" s="505" t="s">
        <v>2802</v>
      </c>
      <c r="G28" s="483">
        <v>1</v>
      </c>
      <c r="H28" s="483">
        <v>2</v>
      </c>
      <c r="I28" s="483">
        <v>2</v>
      </c>
      <c r="J28" s="505" t="s">
        <v>2172</v>
      </c>
      <c r="K28" s="505" t="s">
        <v>1507</v>
      </c>
      <c r="L28" s="1485">
        <v>3.0129999999999999</v>
      </c>
      <c r="M28" s="519">
        <v>3.5</v>
      </c>
      <c r="N28" s="1546">
        <v>3.5</v>
      </c>
      <c r="O28" s="483">
        <v>0</v>
      </c>
      <c r="P28" s="483">
        <v>0</v>
      </c>
      <c r="Q28" s="483">
        <v>1</v>
      </c>
      <c r="R28" s="666">
        <v>46198.752997685187</v>
      </c>
      <c r="S28" s="483">
        <v>1</v>
      </c>
      <c r="T28" s="483">
        <v>1</v>
      </c>
      <c r="V28" t="str">
        <f t="shared" ref="V28:V91" si="9">IF(I28="","",VLOOKUP(I28,uom_list,5,FALSE))</f>
        <v>pcs</v>
      </c>
    </row>
    <row r="29" spans="2:30" ht="21.95" customHeight="1">
      <c r="C29" s="483">
        <v>2</v>
      </c>
      <c r="D29" s="483">
        <v>27</v>
      </c>
      <c r="E29" s="483" t="s">
        <v>2221</v>
      </c>
      <c r="F29" s="505" t="s">
        <v>2803</v>
      </c>
      <c r="G29" s="483">
        <v>1</v>
      </c>
      <c r="H29" s="483">
        <v>2</v>
      </c>
      <c r="I29" s="483">
        <v>2</v>
      </c>
      <c r="J29" s="505" t="s">
        <v>2172</v>
      </c>
      <c r="K29" s="505" t="s">
        <v>1507</v>
      </c>
      <c r="L29" s="1485">
        <v>3.0129999999999999</v>
      </c>
      <c r="M29" s="519">
        <v>3.5</v>
      </c>
      <c r="N29" s="1546">
        <v>3.5</v>
      </c>
      <c r="O29" s="483">
        <v>0</v>
      </c>
      <c r="P29" s="483">
        <v>0</v>
      </c>
      <c r="Q29" s="483">
        <v>1</v>
      </c>
      <c r="R29" s="666">
        <v>46198.752997685187</v>
      </c>
      <c r="S29" s="483">
        <v>1</v>
      </c>
      <c r="T29" s="483">
        <v>1</v>
      </c>
      <c r="V29" t="str">
        <f t="shared" si="9"/>
        <v>pcs</v>
      </c>
    </row>
    <row r="30" spans="2:30" ht="21.95" customHeight="1">
      <c r="C30" s="483">
        <v>3</v>
      </c>
      <c r="D30" s="483">
        <v>28</v>
      </c>
      <c r="E30" s="483" t="s">
        <v>2223</v>
      </c>
      <c r="F30" s="505" t="s">
        <v>2804</v>
      </c>
      <c r="G30" s="483">
        <v>1</v>
      </c>
      <c r="H30" s="483">
        <v>2</v>
      </c>
      <c r="I30" s="483">
        <v>2</v>
      </c>
      <c r="J30" s="505" t="s">
        <v>2172</v>
      </c>
      <c r="K30" s="505" t="s">
        <v>1507</v>
      </c>
      <c r="L30" s="1485">
        <v>1.49</v>
      </c>
      <c r="M30" s="519">
        <v>2</v>
      </c>
      <c r="N30" s="1546">
        <v>2</v>
      </c>
      <c r="O30" s="483">
        <v>0</v>
      </c>
      <c r="P30" s="483">
        <v>0</v>
      </c>
      <c r="Q30" s="483">
        <v>1</v>
      </c>
      <c r="R30" s="666">
        <v>46198.752997685187</v>
      </c>
      <c r="S30" s="483">
        <v>1</v>
      </c>
      <c r="T30" s="483">
        <v>1</v>
      </c>
      <c r="V30" t="str">
        <f t="shared" si="9"/>
        <v>pcs</v>
      </c>
    </row>
    <row r="31" spans="2:30" ht="21.95" customHeight="1">
      <c r="C31" s="483">
        <v>4</v>
      </c>
      <c r="D31" s="483">
        <v>29</v>
      </c>
      <c r="E31" s="483" t="s">
        <v>2226</v>
      </c>
      <c r="F31" s="505" t="s">
        <v>2805</v>
      </c>
      <c r="G31" s="483">
        <v>1</v>
      </c>
      <c r="H31" s="483">
        <v>2</v>
      </c>
      <c r="I31" s="483">
        <v>2</v>
      </c>
      <c r="J31" s="505" t="s">
        <v>2172</v>
      </c>
      <c r="K31" s="505" t="s">
        <v>1507</v>
      </c>
      <c r="L31" s="1485">
        <v>4.2300000000000004</v>
      </c>
      <c r="M31" s="519">
        <v>5</v>
      </c>
      <c r="N31" s="1546">
        <v>5</v>
      </c>
      <c r="O31" s="483">
        <v>0</v>
      </c>
      <c r="P31" s="483">
        <v>0</v>
      </c>
      <c r="Q31" s="483">
        <v>1</v>
      </c>
      <c r="R31" s="666">
        <v>46198.752997685187</v>
      </c>
      <c r="S31" s="483">
        <v>1</v>
      </c>
      <c r="T31" s="483">
        <v>1</v>
      </c>
      <c r="V31" t="str">
        <f t="shared" si="9"/>
        <v>pcs</v>
      </c>
    </row>
    <row r="32" spans="2:30" ht="21.95" customHeight="1">
      <c r="C32" s="483">
        <v>5</v>
      </c>
      <c r="D32" s="483">
        <v>30</v>
      </c>
      <c r="E32" s="483" t="s">
        <v>2228</v>
      </c>
      <c r="F32" s="505" t="s">
        <v>2806</v>
      </c>
      <c r="G32" s="483">
        <v>1</v>
      </c>
      <c r="H32" s="483">
        <v>2</v>
      </c>
      <c r="I32" s="483">
        <v>2</v>
      </c>
      <c r="J32" s="505" t="s">
        <v>2172</v>
      </c>
      <c r="K32" s="505" t="s">
        <v>1507</v>
      </c>
      <c r="L32" s="1485">
        <v>1.4910000000000001</v>
      </c>
      <c r="M32" s="519">
        <v>2</v>
      </c>
      <c r="N32" s="1546">
        <v>2</v>
      </c>
      <c r="O32" s="483">
        <v>0</v>
      </c>
      <c r="P32" s="483">
        <v>0</v>
      </c>
      <c r="Q32" s="483">
        <v>1</v>
      </c>
      <c r="R32" s="666">
        <v>46198.752997685187</v>
      </c>
      <c r="S32" s="483">
        <v>1</v>
      </c>
      <c r="T32" s="483">
        <v>1</v>
      </c>
      <c r="V32" t="str">
        <f t="shared" si="9"/>
        <v>pcs</v>
      </c>
    </row>
    <row r="33" spans="3:22" ht="21.75" customHeight="1">
      <c r="C33" s="483">
        <v>6</v>
      </c>
      <c r="D33" s="483">
        <v>31</v>
      </c>
      <c r="E33" s="483" t="s">
        <v>2230</v>
      </c>
      <c r="F33" s="505" t="s">
        <v>2807</v>
      </c>
      <c r="G33" s="483">
        <v>1</v>
      </c>
      <c r="H33" s="483">
        <v>2</v>
      </c>
      <c r="I33" s="483">
        <v>2</v>
      </c>
      <c r="J33" s="505" t="s">
        <v>2172</v>
      </c>
      <c r="K33" s="505" t="s">
        <v>1507</v>
      </c>
      <c r="L33" s="1485">
        <v>1.21</v>
      </c>
      <c r="M33" s="519">
        <v>1.75</v>
      </c>
      <c r="N33" s="1546">
        <v>1.75</v>
      </c>
      <c r="O33" s="483">
        <v>0</v>
      </c>
      <c r="P33" s="483">
        <v>0</v>
      </c>
      <c r="Q33" s="483">
        <v>1</v>
      </c>
      <c r="R33" s="666">
        <v>46198.752997685187</v>
      </c>
      <c r="S33" s="483">
        <v>1</v>
      </c>
      <c r="T33" s="483">
        <v>1</v>
      </c>
      <c r="V33" t="str">
        <f t="shared" si="9"/>
        <v>pcs</v>
      </c>
    </row>
    <row r="34" spans="3:22" ht="21.95" customHeight="1">
      <c r="C34" s="483">
        <v>7</v>
      </c>
      <c r="D34" s="483">
        <v>32</v>
      </c>
      <c r="E34" s="483" t="s">
        <v>2232</v>
      </c>
      <c r="F34" s="505" t="s">
        <v>2808</v>
      </c>
      <c r="G34" s="483">
        <v>1</v>
      </c>
      <c r="H34" s="483">
        <v>2</v>
      </c>
      <c r="I34" s="483">
        <v>2</v>
      </c>
      <c r="J34" s="505" t="s">
        <v>2172</v>
      </c>
      <c r="K34" s="505" t="s">
        <v>1507</v>
      </c>
      <c r="L34" s="1485">
        <v>1.04</v>
      </c>
      <c r="M34" s="519">
        <v>1.5</v>
      </c>
      <c r="N34" s="1546">
        <v>1.5</v>
      </c>
      <c r="O34" s="483">
        <v>0</v>
      </c>
      <c r="P34" s="483">
        <v>0</v>
      </c>
      <c r="Q34" s="483">
        <v>1</v>
      </c>
      <c r="R34" s="666">
        <v>46198.752997685187</v>
      </c>
      <c r="S34" s="483">
        <v>1</v>
      </c>
      <c r="T34" s="483">
        <v>1</v>
      </c>
      <c r="V34" t="str">
        <f t="shared" si="9"/>
        <v>pcs</v>
      </c>
    </row>
    <row r="35" spans="3:22" ht="21.95" customHeight="1">
      <c r="C35" s="483">
        <v>8</v>
      </c>
      <c r="D35" s="483">
        <v>33</v>
      </c>
      <c r="E35" s="483" t="s">
        <v>2235</v>
      </c>
      <c r="F35" s="505" t="s">
        <v>2809</v>
      </c>
      <c r="G35" s="483">
        <v>1</v>
      </c>
      <c r="H35" s="483">
        <v>2</v>
      </c>
      <c r="I35" s="483">
        <v>2</v>
      </c>
      <c r="J35" s="505" t="s">
        <v>2172</v>
      </c>
      <c r="K35" s="505" t="s">
        <v>1507</v>
      </c>
      <c r="L35" s="1485">
        <v>1.748</v>
      </c>
      <c r="M35" s="519">
        <v>2.25</v>
      </c>
      <c r="N35" s="1546">
        <v>2.25</v>
      </c>
      <c r="O35" s="483">
        <v>0</v>
      </c>
      <c r="P35" s="483">
        <v>0</v>
      </c>
      <c r="Q35" s="483">
        <v>1</v>
      </c>
      <c r="R35" s="666">
        <v>46198.752997685187</v>
      </c>
      <c r="S35" s="483">
        <v>1</v>
      </c>
      <c r="T35" s="483">
        <v>1</v>
      </c>
      <c r="V35" t="str">
        <f t="shared" si="9"/>
        <v>pcs</v>
      </c>
    </row>
    <row r="36" spans="3:22" ht="21.95" customHeight="1">
      <c r="C36" s="483">
        <v>9</v>
      </c>
      <c r="D36" s="483">
        <v>34</v>
      </c>
      <c r="E36" s="483" t="s">
        <v>2237</v>
      </c>
      <c r="F36" s="505" t="s">
        <v>2810</v>
      </c>
      <c r="G36" s="483">
        <v>1</v>
      </c>
      <c r="H36" s="483">
        <v>2</v>
      </c>
      <c r="I36" s="483">
        <v>2</v>
      </c>
      <c r="J36" s="505" t="s">
        <v>2172</v>
      </c>
      <c r="K36" s="505" t="s">
        <v>1507</v>
      </c>
      <c r="L36" s="1485">
        <v>0.496</v>
      </c>
      <c r="M36" s="519">
        <v>0.75</v>
      </c>
      <c r="N36" s="1546">
        <v>0.75</v>
      </c>
      <c r="O36" s="483">
        <v>0</v>
      </c>
      <c r="P36" s="483">
        <v>0</v>
      </c>
      <c r="Q36" s="483">
        <v>1</v>
      </c>
      <c r="R36" s="666">
        <v>46198.752997685187</v>
      </c>
      <c r="S36" s="483">
        <v>1</v>
      </c>
      <c r="T36" s="483">
        <v>1</v>
      </c>
      <c r="V36" t="str">
        <f t="shared" si="9"/>
        <v>pcs</v>
      </c>
    </row>
    <row r="37" spans="3:22" ht="21.95" customHeight="1">
      <c r="C37" s="483">
        <v>10</v>
      </c>
      <c r="D37" s="483">
        <v>35</v>
      </c>
      <c r="E37" s="483" t="s">
        <v>2239</v>
      </c>
      <c r="F37" s="505" t="s">
        <v>2811</v>
      </c>
      <c r="G37" s="483">
        <v>1</v>
      </c>
      <c r="H37" s="483">
        <v>2</v>
      </c>
      <c r="I37" s="483">
        <v>2</v>
      </c>
      <c r="J37" s="505" t="s">
        <v>2172</v>
      </c>
      <c r="K37" s="505" t="s">
        <v>1507</v>
      </c>
      <c r="L37" s="1485">
        <v>0.5</v>
      </c>
      <c r="M37" s="519">
        <v>0.75</v>
      </c>
      <c r="N37" s="1546">
        <v>0.75</v>
      </c>
      <c r="O37" s="483">
        <v>0</v>
      </c>
      <c r="P37" s="483">
        <v>0</v>
      </c>
      <c r="Q37" s="483">
        <v>1</v>
      </c>
      <c r="R37" s="666">
        <v>46198.752997685187</v>
      </c>
      <c r="S37" s="483">
        <v>1</v>
      </c>
      <c r="T37" s="483">
        <v>1</v>
      </c>
      <c r="V37" t="str">
        <f t="shared" si="9"/>
        <v>pcs</v>
      </c>
    </row>
    <row r="38" spans="3:22" ht="21.95" customHeight="1">
      <c r="C38" s="483">
        <v>11</v>
      </c>
      <c r="D38" s="483">
        <v>36</v>
      </c>
      <c r="E38" s="483" t="s">
        <v>2241</v>
      </c>
      <c r="F38" s="505" t="s">
        <v>2812</v>
      </c>
      <c r="G38" s="483">
        <v>1</v>
      </c>
      <c r="H38" s="483">
        <v>2</v>
      </c>
      <c r="I38" s="483">
        <v>2</v>
      </c>
      <c r="J38" s="505" t="s">
        <v>2172</v>
      </c>
      <c r="K38" s="505" t="s">
        <v>1507</v>
      </c>
      <c r="L38" s="1485">
        <v>0.32</v>
      </c>
      <c r="M38" s="519">
        <v>0.5</v>
      </c>
      <c r="N38" s="1546">
        <v>0.5</v>
      </c>
      <c r="O38" s="483">
        <v>0</v>
      </c>
      <c r="P38" s="483">
        <v>0</v>
      </c>
      <c r="Q38" s="483">
        <v>1</v>
      </c>
      <c r="R38" s="666">
        <v>46198.752997685187</v>
      </c>
      <c r="S38" s="483">
        <v>1</v>
      </c>
      <c r="T38" s="483">
        <v>1</v>
      </c>
      <c r="V38" t="str">
        <f t="shared" si="9"/>
        <v>pcs</v>
      </c>
    </row>
    <row r="39" spans="3:22" ht="21.95" customHeight="1">
      <c r="C39" s="483">
        <v>12</v>
      </c>
      <c r="D39" s="483">
        <v>37</v>
      </c>
      <c r="E39" s="483" t="s">
        <v>2244</v>
      </c>
      <c r="F39" s="505" t="s">
        <v>2813</v>
      </c>
      <c r="G39" s="483">
        <v>1</v>
      </c>
      <c r="H39" s="483">
        <v>2</v>
      </c>
      <c r="I39" s="483">
        <v>2</v>
      </c>
      <c r="J39" s="505" t="s">
        <v>2172</v>
      </c>
      <c r="K39" s="505" t="s">
        <v>1507</v>
      </c>
      <c r="L39" s="1485">
        <v>0.66</v>
      </c>
      <c r="M39" s="519">
        <v>1</v>
      </c>
      <c r="N39" s="1546">
        <v>1</v>
      </c>
      <c r="O39" s="483">
        <v>0</v>
      </c>
      <c r="P39" s="483">
        <v>0</v>
      </c>
      <c r="Q39" s="483">
        <v>1</v>
      </c>
      <c r="R39" s="666">
        <v>46198.752997685187</v>
      </c>
      <c r="S39" s="483">
        <v>1</v>
      </c>
      <c r="T39" s="483">
        <v>1</v>
      </c>
      <c r="V39" t="str">
        <f t="shared" si="9"/>
        <v>pcs</v>
      </c>
    </row>
    <row r="40" spans="3:22" ht="21.95" customHeight="1">
      <c r="C40" s="483">
        <v>13</v>
      </c>
      <c r="D40" s="483">
        <v>38</v>
      </c>
      <c r="E40" s="483" t="s">
        <v>2246</v>
      </c>
      <c r="F40" s="505" t="s">
        <v>2814</v>
      </c>
      <c r="G40" s="483">
        <v>1</v>
      </c>
      <c r="H40" s="483">
        <v>2</v>
      </c>
      <c r="I40" s="483">
        <v>2</v>
      </c>
      <c r="J40" s="505" t="s">
        <v>2172</v>
      </c>
      <c r="K40" s="505" t="s">
        <v>1507</v>
      </c>
      <c r="L40" s="1485">
        <v>0.28599999999999998</v>
      </c>
      <c r="M40" s="519">
        <v>0.5</v>
      </c>
      <c r="N40" s="1546">
        <v>0.5</v>
      </c>
      <c r="O40" s="483">
        <v>0</v>
      </c>
      <c r="P40" s="483">
        <v>0</v>
      </c>
      <c r="Q40" s="483">
        <v>1</v>
      </c>
      <c r="R40" s="666">
        <v>46198.752997685187</v>
      </c>
      <c r="S40" s="483">
        <v>1</v>
      </c>
      <c r="T40" s="483">
        <v>1</v>
      </c>
      <c r="V40" t="str">
        <f t="shared" si="9"/>
        <v>pcs</v>
      </c>
    </row>
    <row r="41" spans="3:22" ht="21.95" customHeight="1">
      <c r="C41" s="483">
        <v>14</v>
      </c>
      <c r="D41" s="483">
        <v>39</v>
      </c>
      <c r="E41" s="483" t="s">
        <v>2248</v>
      </c>
      <c r="F41" s="505" t="s">
        <v>2815</v>
      </c>
      <c r="G41" s="483">
        <v>1</v>
      </c>
      <c r="H41" s="483">
        <v>2</v>
      </c>
      <c r="I41" s="483">
        <v>2</v>
      </c>
      <c r="J41" s="505" t="s">
        <v>2172</v>
      </c>
      <c r="K41" s="505" t="s">
        <v>1507</v>
      </c>
      <c r="L41" s="1485">
        <v>0.28999999999999998</v>
      </c>
      <c r="M41" s="519">
        <v>0.5</v>
      </c>
      <c r="N41" s="1546">
        <v>0.5</v>
      </c>
      <c r="O41" s="483">
        <v>0</v>
      </c>
      <c r="P41" s="483">
        <v>0</v>
      </c>
      <c r="Q41" s="483">
        <v>1</v>
      </c>
      <c r="R41" s="666">
        <v>46198.752997685187</v>
      </c>
      <c r="S41" s="483">
        <v>1</v>
      </c>
      <c r="T41" s="483">
        <v>1</v>
      </c>
      <c r="V41" t="str">
        <f t="shared" si="9"/>
        <v>pcs</v>
      </c>
    </row>
    <row r="42" spans="3:22" ht="21.95" customHeight="1">
      <c r="C42" s="483">
        <v>15</v>
      </c>
      <c r="D42" s="483">
        <v>40</v>
      </c>
      <c r="E42" s="483" t="s">
        <v>2250</v>
      </c>
      <c r="F42" s="505" t="s">
        <v>2816</v>
      </c>
      <c r="G42" s="483">
        <v>1</v>
      </c>
      <c r="H42" s="483">
        <v>2</v>
      </c>
      <c r="I42" s="483">
        <v>2</v>
      </c>
      <c r="J42" s="505" t="s">
        <v>2172</v>
      </c>
      <c r="K42" s="505" t="s">
        <v>1507</v>
      </c>
      <c r="L42" s="1485">
        <v>0.23</v>
      </c>
      <c r="M42" s="519">
        <v>0.5</v>
      </c>
      <c r="N42" s="1546">
        <v>0.5</v>
      </c>
      <c r="O42" s="483">
        <v>0</v>
      </c>
      <c r="P42" s="483">
        <v>0</v>
      </c>
      <c r="Q42" s="483">
        <v>1</v>
      </c>
      <c r="R42" s="666">
        <v>46198.752997685187</v>
      </c>
      <c r="S42" s="483">
        <v>1</v>
      </c>
      <c r="T42" s="483">
        <v>1</v>
      </c>
      <c r="V42" t="str">
        <f t="shared" si="9"/>
        <v>pcs</v>
      </c>
    </row>
    <row r="43" spans="3:22" ht="21.95" customHeight="1">
      <c r="C43" s="483">
        <v>16</v>
      </c>
      <c r="D43" s="483">
        <v>41</v>
      </c>
      <c r="E43" s="483" t="s">
        <v>2253</v>
      </c>
      <c r="F43" s="505" t="s">
        <v>2817</v>
      </c>
      <c r="G43" s="483">
        <v>1</v>
      </c>
      <c r="H43" s="483">
        <v>2</v>
      </c>
      <c r="I43" s="483">
        <v>2</v>
      </c>
      <c r="J43" s="505" t="s">
        <v>2172</v>
      </c>
      <c r="K43" s="505" t="s">
        <v>1507</v>
      </c>
      <c r="L43" s="1485">
        <v>0.53</v>
      </c>
      <c r="M43" s="519">
        <v>0.75</v>
      </c>
      <c r="N43" s="1546">
        <v>0.75</v>
      </c>
      <c r="O43" s="483">
        <v>0</v>
      </c>
      <c r="P43" s="483">
        <v>0</v>
      </c>
      <c r="Q43" s="483">
        <v>1</v>
      </c>
      <c r="R43" s="666">
        <v>46198.752997685187</v>
      </c>
      <c r="S43" s="483">
        <v>1</v>
      </c>
      <c r="T43" s="483">
        <v>1</v>
      </c>
      <c r="V43" t="str">
        <f t="shared" si="9"/>
        <v>pcs</v>
      </c>
    </row>
    <row r="44" spans="3:22" ht="21.95" customHeight="1">
      <c r="C44" s="483">
        <v>17</v>
      </c>
      <c r="D44" s="483">
        <v>42</v>
      </c>
      <c r="E44" s="483" t="s">
        <v>2255</v>
      </c>
      <c r="F44" s="505" t="s">
        <v>2818</v>
      </c>
      <c r="G44" s="483">
        <v>1</v>
      </c>
      <c r="H44" s="483">
        <v>2</v>
      </c>
      <c r="I44" s="483">
        <v>2</v>
      </c>
      <c r="J44" s="505" t="s">
        <v>2172</v>
      </c>
      <c r="K44" s="505" t="s">
        <v>1507</v>
      </c>
      <c r="L44" s="1485">
        <v>0.24299999999999999</v>
      </c>
      <c r="M44" s="519">
        <v>0.5</v>
      </c>
      <c r="N44" s="1546">
        <v>0.5</v>
      </c>
      <c r="O44" s="483">
        <v>0</v>
      </c>
      <c r="P44" s="483">
        <v>0</v>
      </c>
      <c r="Q44" s="483">
        <v>1</v>
      </c>
      <c r="R44" s="666">
        <v>46198.752997685187</v>
      </c>
      <c r="S44" s="483">
        <v>1</v>
      </c>
      <c r="T44" s="483">
        <v>1</v>
      </c>
      <c r="V44" t="str">
        <f t="shared" si="9"/>
        <v>pcs</v>
      </c>
    </row>
    <row r="45" spans="3:22" ht="21.95" customHeight="1">
      <c r="C45" s="483">
        <v>18</v>
      </c>
      <c r="D45" s="483">
        <v>43</v>
      </c>
      <c r="E45" s="483" t="s">
        <v>2257</v>
      </c>
      <c r="F45" s="505" t="s">
        <v>2819</v>
      </c>
      <c r="G45" s="483">
        <v>1</v>
      </c>
      <c r="H45" s="483">
        <v>2</v>
      </c>
      <c r="I45" s="483">
        <v>2</v>
      </c>
      <c r="J45" s="505" t="s">
        <v>2172</v>
      </c>
      <c r="K45" s="505" t="s">
        <v>1507</v>
      </c>
      <c r="L45" s="1485">
        <v>0.24</v>
      </c>
      <c r="M45" s="519">
        <v>0.5</v>
      </c>
      <c r="N45" s="1546">
        <v>0.5</v>
      </c>
      <c r="O45" s="483">
        <v>0</v>
      </c>
      <c r="P45" s="483">
        <v>0</v>
      </c>
      <c r="Q45" s="483">
        <v>1</v>
      </c>
      <c r="R45" s="666">
        <v>46198.752997685187</v>
      </c>
      <c r="S45" s="483">
        <v>1</v>
      </c>
      <c r="T45" s="483">
        <v>1</v>
      </c>
      <c r="V45" t="str">
        <f t="shared" si="9"/>
        <v>pcs</v>
      </c>
    </row>
    <row r="46" spans="3:22" ht="21.95" customHeight="1">
      <c r="C46" s="483">
        <v>19</v>
      </c>
      <c r="D46" s="483">
        <v>44</v>
      </c>
      <c r="E46" s="483" t="s">
        <v>2259</v>
      </c>
      <c r="F46" s="505" t="s">
        <v>2820</v>
      </c>
      <c r="G46" s="483">
        <v>1</v>
      </c>
      <c r="H46" s="483">
        <v>2</v>
      </c>
      <c r="I46" s="483">
        <v>2</v>
      </c>
      <c r="J46" s="505" t="s">
        <v>2172</v>
      </c>
      <c r="K46" s="505" t="s">
        <v>1507</v>
      </c>
      <c r="L46" s="1485">
        <v>0.22</v>
      </c>
      <c r="M46" s="519">
        <v>0.38</v>
      </c>
      <c r="N46" s="1546">
        <v>0.38</v>
      </c>
      <c r="O46" s="483">
        <v>0</v>
      </c>
      <c r="P46" s="483">
        <v>0</v>
      </c>
      <c r="Q46" s="483">
        <v>1</v>
      </c>
      <c r="R46" s="666">
        <v>46198.752997685187</v>
      </c>
      <c r="S46" s="483">
        <v>1</v>
      </c>
      <c r="T46" s="483">
        <v>1</v>
      </c>
      <c r="V46" t="str">
        <f t="shared" si="9"/>
        <v>pcs</v>
      </c>
    </row>
    <row r="47" spans="3:22" ht="21.95" customHeight="1">
      <c r="C47" s="483">
        <v>20</v>
      </c>
      <c r="D47" s="483">
        <v>45</v>
      </c>
      <c r="E47" s="483" t="s">
        <v>2262</v>
      </c>
      <c r="F47" s="505" t="s">
        <v>2821</v>
      </c>
      <c r="G47" s="483">
        <v>1</v>
      </c>
      <c r="H47" s="483">
        <v>2</v>
      </c>
      <c r="I47" s="483">
        <v>2</v>
      </c>
      <c r="J47" s="505" t="s">
        <v>2172</v>
      </c>
      <c r="K47" s="505" t="s">
        <v>1507</v>
      </c>
      <c r="L47" s="1485">
        <v>0.34</v>
      </c>
      <c r="M47" s="519">
        <v>0.5</v>
      </c>
      <c r="N47" s="1546">
        <v>0.5</v>
      </c>
      <c r="O47" s="483">
        <v>0</v>
      </c>
      <c r="P47" s="483">
        <v>0</v>
      </c>
      <c r="Q47" s="483">
        <v>1</v>
      </c>
      <c r="R47" s="666">
        <v>46198.752997685187</v>
      </c>
      <c r="S47" s="483">
        <v>1</v>
      </c>
      <c r="T47" s="483">
        <v>1</v>
      </c>
      <c r="V47" t="str">
        <f t="shared" si="9"/>
        <v>pcs</v>
      </c>
    </row>
    <row r="48" spans="3:22" ht="21.95" customHeight="1">
      <c r="C48" s="483">
        <v>21</v>
      </c>
      <c r="D48" s="483">
        <v>46</v>
      </c>
      <c r="E48" s="483" t="s">
        <v>2264</v>
      </c>
      <c r="F48" s="505" t="s">
        <v>2822</v>
      </c>
      <c r="G48" s="483">
        <v>1</v>
      </c>
      <c r="H48" s="483">
        <v>2</v>
      </c>
      <c r="I48" s="483">
        <v>2</v>
      </c>
      <c r="J48" s="505" t="s">
        <v>2172</v>
      </c>
      <c r="K48" s="505" t="s">
        <v>1507</v>
      </c>
      <c r="L48" s="1485">
        <v>0.15</v>
      </c>
      <c r="M48" s="519">
        <v>0.38</v>
      </c>
      <c r="N48" s="1546">
        <v>0.38</v>
      </c>
      <c r="O48" s="483">
        <v>0</v>
      </c>
      <c r="P48" s="483">
        <v>0</v>
      </c>
      <c r="Q48" s="483">
        <v>1</v>
      </c>
      <c r="R48" s="666">
        <v>46198.752997685187</v>
      </c>
      <c r="S48" s="483">
        <v>1</v>
      </c>
      <c r="T48" s="483">
        <v>1</v>
      </c>
      <c r="V48" t="str">
        <f t="shared" si="9"/>
        <v>pcs</v>
      </c>
    </row>
    <row r="49" spans="3:22" ht="21.95" customHeight="1">
      <c r="C49" s="483">
        <v>22</v>
      </c>
      <c r="D49" s="483">
        <v>47</v>
      </c>
      <c r="E49" s="483" t="s">
        <v>2266</v>
      </c>
      <c r="F49" s="505" t="s">
        <v>2823</v>
      </c>
      <c r="G49" s="483">
        <v>1</v>
      </c>
      <c r="H49" s="483">
        <v>2</v>
      </c>
      <c r="I49" s="483">
        <v>2</v>
      </c>
      <c r="J49" s="505" t="s">
        <v>2172</v>
      </c>
      <c r="K49" s="505" t="s">
        <v>1507</v>
      </c>
      <c r="L49" s="1485">
        <v>0.15</v>
      </c>
      <c r="M49" s="519">
        <v>38</v>
      </c>
      <c r="N49" s="1546">
        <v>38</v>
      </c>
      <c r="O49" s="483">
        <v>0</v>
      </c>
      <c r="P49" s="483">
        <v>0</v>
      </c>
      <c r="Q49" s="483">
        <v>1</v>
      </c>
      <c r="R49" s="666">
        <v>46198.752997685187</v>
      </c>
      <c r="S49" s="483">
        <v>1</v>
      </c>
      <c r="T49" s="483">
        <v>1</v>
      </c>
      <c r="V49" t="str">
        <f t="shared" si="9"/>
        <v>pcs</v>
      </c>
    </row>
    <row r="50" spans="3:22" ht="21.95" customHeight="1">
      <c r="C50" s="483">
        <v>23</v>
      </c>
      <c r="D50" s="483">
        <v>48</v>
      </c>
      <c r="E50" s="483" t="s">
        <v>2268</v>
      </c>
      <c r="F50" s="505" t="s">
        <v>2824</v>
      </c>
      <c r="G50" s="483">
        <v>1</v>
      </c>
      <c r="H50" s="483">
        <v>2</v>
      </c>
      <c r="I50" s="483">
        <v>2</v>
      </c>
      <c r="J50" s="505" t="s">
        <v>2172</v>
      </c>
      <c r="K50" s="505" t="s">
        <v>1507</v>
      </c>
      <c r="L50" s="1485">
        <v>0.12</v>
      </c>
      <c r="M50" s="519">
        <v>0.25</v>
      </c>
      <c r="N50" s="1546">
        <v>0.25</v>
      </c>
      <c r="O50" s="483">
        <v>0</v>
      </c>
      <c r="P50" s="483">
        <v>0</v>
      </c>
      <c r="Q50" s="483">
        <v>1</v>
      </c>
      <c r="R50" s="666">
        <v>46198.752997685187</v>
      </c>
      <c r="S50" s="483">
        <v>1</v>
      </c>
      <c r="T50" s="483">
        <v>1</v>
      </c>
      <c r="V50" t="str">
        <f t="shared" si="9"/>
        <v>pcs</v>
      </c>
    </row>
    <row r="51" spans="3:22" ht="21.95" customHeight="1">
      <c r="C51" s="483">
        <v>24</v>
      </c>
      <c r="D51" s="483">
        <v>49</v>
      </c>
      <c r="E51" s="483" t="s">
        <v>2271</v>
      </c>
      <c r="F51" s="505" t="s">
        <v>2825</v>
      </c>
      <c r="G51" s="483">
        <v>1</v>
      </c>
      <c r="H51" s="483">
        <v>2</v>
      </c>
      <c r="I51" s="483">
        <v>2</v>
      </c>
      <c r="J51" s="505" t="s">
        <v>2172</v>
      </c>
      <c r="K51" s="505" t="s">
        <v>1507</v>
      </c>
      <c r="L51" s="1485">
        <v>0.28000000000000003</v>
      </c>
      <c r="M51" s="519">
        <v>0.38</v>
      </c>
      <c r="N51" s="1546">
        <v>0.38</v>
      </c>
      <c r="O51" s="483">
        <v>0</v>
      </c>
      <c r="P51" s="483">
        <v>0</v>
      </c>
      <c r="Q51" s="483">
        <v>1</v>
      </c>
      <c r="R51" s="666">
        <v>46198.752997685187</v>
      </c>
      <c r="S51" s="483">
        <v>1</v>
      </c>
      <c r="T51" s="483">
        <v>1</v>
      </c>
      <c r="V51" t="str">
        <f t="shared" si="9"/>
        <v>pcs</v>
      </c>
    </row>
    <row r="52" spans="3:22" ht="21.95" customHeight="1">
      <c r="C52" s="483">
        <v>25</v>
      </c>
      <c r="D52" s="483">
        <v>50</v>
      </c>
      <c r="E52" s="483" t="s">
        <v>2274</v>
      </c>
      <c r="F52" s="505" t="s">
        <v>2826</v>
      </c>
      <c r="G52" s="483">
        <v>1</v>
      </c>
      <c r="H52" s="483">
        <v>2</v>
      </c>
      <c r="I52" s="483">
        <v>2</v>
      </c>
      <c r="J52" s="505" t="s">
        <v>2172</v>
      </c>
      <c r="K52" s="505" t="s">
        <v>1507</v>
      </c>
      <c r="L52" s="1485">
        <v>0.123</v>
      </c>
      <c r="M52" s="519">
        <v>0.25</v>
      </c>
      <c r="N52" s="1546">
        <v>0.25</v>
      </c>
      <c r="O52" s="483">
        <v>0</v>
      </c>
      <c r="P52" s="483">
        <v>0</v>
      </c>
      <c r="Q52" s="483">
        <v>1</v>
      </c>
      <c r="R52" s="666">
        <v>46198.752997685187</v>
      </c>
      <c r="S52" s="483">
        <v>1</v>
      </c>
      <c r="T52" s="483">
        <v>1</v>
      </c>
      <c r="V52" t="str">
        <f t="shared" si="9"/>
        <v>pcs</v>
      </c>
    </row>
    <row r="53" spans="3:22" ht="21.95" customHeight="1">
      <c r="C53" s="483">
        <v>26</v>
      </c>
      <c r="D53" s="483">
        <v>51</v>
      </c>
      <c r="E53" s="483" t="s">
        <v>2277</v>
      </c>
      <c r="F53" s="505" t="s">
        <v>2827</v>
      </c>
      <c r="G53" s="483">
        <v>1</v>
      </c>
      <c r="H53" s="483">
        <v>2</v>
      </c>
      <c r="I53" s="483">
        <v>2</v>
      </c>
      <c r="J53" s="505" t="s">
        <v>2172</v>
      </c>
      <c r="K53" s="505" t="s">
        <v>1507</v>
      </c>
      <c r="L53" s="1485">
        <v>4.4859999999999998</v>
      </c>
      <c r="M53" s="519">
        <v>5</v>
      </c>
      <c r="N53" s="1546">
        <v>5</v>
      </c>
      <c r="O53" s="483">
        <v>0</v>
      </c>
      <c r="P53" s="483">
        <v>0</v>
      </c>
      <c r="Q53" s="483">
        <v>1</v>
      </c>
      <c r="R53" s="666">
        <v>46198.752997685187</v>
      </c>
      <c r="S53" s="483">
        <v>1</v>
      </c>
      <c r="T53" s="483">
        <v>1</v>
      </c>
      <c r="V53" t="str">
        <f t="shared" si="9"/>
        <v>pcs</v>
      </c>
    </row>
    <row r="54" spans="3:22" ht="21.95" customHeight="1">
      <c r="C54" s="483">
        <v>27</v>
      </c>
      <c r="D54" s="483">
        <v>52</v>
      </c>
      <c r="E54" s="483" t="s">
        <v>2280</v>
      </c>
      <c r="F54" s="505" t="s">
        <v>2828</v>
      </c>
      <c r="G54" s="483">
        <v>1</v>
      </c>
      <c r="H54" s="483">
        <v>2</v>
      </c>
      <c r="I54" s="483">
        <v>2</v>
      </c>
      <c r="J54" s="505" t="s">
        <v>2172</v>
      </c>
      <c r="K54" s="505" t="s">
        <v>1507</v>
      </c>
      <c r="L54" s="1485">
        <v>1.91</v>
      </c>
      <c r="M54" s="519">
        <v>2.5</v>
      </c>
      <c r="N54" s="1546">
        <v>2.5</v>
      </c>
      <c r="O54" s="483">
        <v>0</v>
      </c>
      <c r="P54" s="483">
        <v>0</v>
      </c>
      <c r="Q54" s="483">
        <v>1</v>
      </c>
      <c r="R54" s="666">
        <v>46198.752997685187</v>
      </c>
      <c r="S54" s="483">
        <v>1</v>
      </c>
      <c r="T54" s="483">
        <v>1</v>
      </c>
      <c r="V54" t="str">
        <f t="shared" si="9"/>
        <v>pcs</v>
      </c>
    </row>
    <row r="55" spans="3:22" ht="21.95" customHeight="1">
      <c r="C55" s="483">
        <v>28</v>
      </c>
      <c r="D55" s="483">
        <v>53</v>
      </c>
      <c r="E55" s="483" t="s">
        <v>2283</v>
      </c>
      <c r="F55" s="505" t="s">
        <v>2829</v>
      </c>
      <c r="G55" s="483">
        <v>1</v>
      </c>
      <c r="H55" s="483">
        <v>2</v>
      </c>
      <c r="I55" s="483">
        <v>2</v>
      </c>
      <c r="J55" s="505" t="s">
        <v>2172</v>
      </c>
      <c r="K55" s="505" t="s">
        <v>1507</v>
      </c>
      <c r="L55" s="1485">
        <v>0.95099999999999996</v>
      </c>
      <c r="M55" s="519">
        <v>1.5</v>
      </c>
      <c r="N55" s="1546">
        <v>1.5</v>
      </c>
      <c r="O55" s="483">
        <v>0</v>
      </c>
      <c r="P55" s="483">
        <v>0</v>
      </c>
      <c r="Q55" s="483">
        <v>1</v>
      </c>
      <c r="R55" s="666">
        <v>46198.752997685187</v>
      </c>
      <c r="S55" s="483">
        <v>1</v>
      </c>
      <c r="T55" s="483">
        <v>1</v>
      </c>
      <c r="V55" t="str">
        <f t="shared" si="9"/>
        <v>pcs</v>
      </c>
    </row>
    <row r="56" spans="3:22" ht="21.95" customHeight="1">
      <c r="C56" s="483">
        <v>29</v>
      </c>
      <c r="D56" s="483">
        <v>54</v>
      </c>
      <c r="E56" s="483" t="s">
        <v>2285</v>
      </c>
      <c r="F56" s="505" t="s">
        <v>2830</v>
      </c>
      <c r="G56" s="483">
        <v>1</v>
      </c>
      <c r="H56" s="483">
        <v>2</v>
      </c>
      <c r="I56" s="483">
        <v>2</v>
      </c>
      <c r="J56" s="505" t="s">
        <v>2172</v>
      </c>
      <c r="K56" s="505" t="s">
        <v>1507</v>
      </c>
      <c r="L56" s="1485">
        <v>2.1240000000000001</v>
      </c>
      <c r="M56" s="519">
        <v>2.5</v>
      </c>
      <c r="N56" s="1546">
        <v>2.5</v>
      </c>
      <c r="O56" s="483">
        <v>0</v>
      </c>
      <c r="P56" s="483">
        <v>0</v>
      </c>
      <c r="Q56" s="483">
        <v>1</v>
      </c>
      <c r="R56" s="666">
        <v>46198.752997685187</v>
      </c>
      <c r="S56" s="483">
        <v>1</v>
      </c>
      <c r="T56" s="483">
        <v>1</v>
      </c>
      <c r="V56" t="str">
        <f t="shared" si="9"/>
        <v>pcs</v>
      </c>
    </row>
    <row r="57" spans="3:22" ht="21.95" customHeight="1">
      <c r="C57" s="483">
        <v>30</v>
      </c>
      <c r="D57" s="483">
        <v>55</v>
      </c>
      <c r="E57" s="483" t="s">
        <v>2287</v>
      </c>
      <c r="F57" s="505" t="s">
        <v>2831</v>
      </c>
      <c r="G57" s="483">
        <v>1</v>
      </c>
      <c r="H57" s="483">
        <v>2</v>
      </c>
      <c r="I57" s="483">
        <v>2</v>
      </c>
      <c r="J57" s="505" t="s">
        <v>2172</v>
      </c>
      <c r="K57" s="505" t="s">
        <v>1507</v>
      </c>
      <c r="L57" s="1485">
        <v>1.077</v>
      </c>
      <c r="M57" s="519">
        <v>1.5</v>
      </c>
      <c r="N57" s="1546">
        <v>1.5</v>
      </c>
      <c r="O57" s="483">
        <v>0</v>
      </c>
      <c r="P57" s="483">
        <v>0</v>
      </c>
      <c r="Q57" s="483">
        <v>1</v>
      </c>
      <c r="R57" s="666">
        <v>46198.752997685187</v>
      </c>
      <c r="S57" s="483">
        <v>1</v>
      </c>
      <c r="T57" s="483">
        <v>1</v>
      </c>
      <c r="V57" t="str">
        <f t="shared" si="9"/>
        <v>pcs</v>
      </c>
    </row>
    <row r="58" spans="3:22" ht="21.95" customHeight="1">
      <c r="C58" s="483">
        <v>31</v>
      </c>
      <c r="D58" s="483">
        <v>56</v>
      </c>
      <c r="E58" s="483" t="s">
        <v>2289</v>
      </c>
      <c r="F58" s="505" t="s">
        <v>2832</v>
      </c>
      <c r="G58" s="483">
        <v>1</v>
      </c>
      <c r="H58" s="483">
        <v>2</v>
      </c>
      <c r="I58" s="483">
        <v>2</v>
      </c>
      <c r="J58" s="505" t="s">
        <v>2172</v>
      </c>
      <c r="K58" s="505" t="s">
        <v>1507</v>
      </c>
      <c r="L58" s="1485">
        <v>0.55000000000000004</v>
      </c>
      <c r="M58" s="519">
        <v>0.75</v>
      </c>
      <c r="N58" s="1546">
        <v>0.75</v>
      </c>
      <c r="O58" s="483">
        <v>0</v>
      </c>
      <c r="P58" s="483">
        <v>0</v>
      </c>
      <c r="Q58" s="483">
        <v>1</v>
      </c>
      <c r="R58" s="666">
        <v>46198.752997685187</v>
      </c>
      <c r="S58" s="483">
        <v>1</v>
      </c>
      <c r="T58" s="483">
        <v>1</v>
      </c>
      <c r="V58" t="str">
        <f t="shared" si="9"/>
        <v>pcs</v>
      </c>
    </row>
    <row r="59" spans="3:22" ht="21.95" customHeight="1">
      <c r="C59" s="483">
        <v>32</v>
      </c>
      <c r="D59" s="483">
        <v>57</v>
      </c>
      <c r="E59" s="483" t="s">
        <v>2291</v>
      </c>
      <c r="F59" s="505" t="s">
        <v>2833</v>
      </c>
      <c r="G59" s="483">
        <v>1</v>
      </c>
      <c r="H59" s="483">
        <v>2</v>
      </c>
      <c r="I59" s="483">
        <v>2</v>
      </c>
      <c r="J59" s="505" t="s">
        <v>2172</v>
      </c>
      <c r="K59" s="505" t="s">
        <v>1507</v>
      </c>
      <c r="L59" s="1485">
        <v>7.44</v>
      </c>
      <c r="M59" s="519">
        <v>8</v>
      </c>
      <c r="N59" s="1546">
        <v>8</v>
      </c>
      <c r="O59" s="483">
        <v>0</v>
      </c>
      <c r="P59" s="483">
        <v>0</v>
      </c>
      <c r="Q59" s="483">
        <v>1</v>
      </c>
      <c r="R59" s="666">
        <v>46198.752997685187</v>
      </c>
      <c r="S59" s="483">
        <v>1</v>
      </c>
      <c r="T59" s="483">
        <v>1</v>
      </c>
      <c r="V59" t="str">
        <f t="shared" si="9"/>
        <v>pcs</v>
      </c>
    </row>
    <row r="60" spans="3:22" ht="21.95" customHeight="1">
      <c r="C60" s="483">
        <v>33</v>
      </c>
      <c r="D60" s="483">
        <v>58</v>
      </c>
      <c r="E60" s="483" t="s">
        <v>2293</v>
      </c>
      <c r="F60" s="505" t="s">
        <v>2834</v>
      </c>
      <c r="G60" s="483">
        <v>1</v>
      </c>
      <c r="H60" s="483">
        <v>2</v>
      </c>
      <c r="I60" s="483">
        <v>2</v>
      </c>
      <c r="J60" s="505" t="s">
        <v>2172</v>
      </c>
      <c r="K60" s="505" t="s">
        <v>1507</v>
      </c>
      <c r="L60" s="1485">
        <v>3.9729999999999999</v>
      </c>
      <c r="M60" s="519">
        <v>4.5</v>
      </c>
      <c r="N60" s="1546">
        <v>4.5</v>
      </c>
      <c r="O60" s="483">
        <v>0</v>
      </c>
      <c r="P60" s="483">
        <v>0</v>
      </c>
      <c r="Q60" s="483">
        <v>1</v>
      </c>
      <c r="R60" s="666">
        <v>46198.752997685187</v>
      </c>
      <c r="S60" s="483">
        <v>1</v>
      </c>
      <c r="T60" s="483">
        <v>1</v>
      </c>
      <c r="V60" t="str">
        <f t="shared" si="9"/>
        <v>pcs</v>
      </c>
    </row>
    <row r="61" spans="3:22" ht="21.95" customHeight="1">
      <c r="C61" s="483">
        <v>34</v>
      </c>
      <c r="D61" s="483">
        <v>59</v>
      </c>
      <c r="E61" s="483" t="s">
        <v>2295</v>
      </c>
      <c r="F61" s="505" t="s">
        <v>2835</v>
      </c>
      <c r="G61" s="483">
        <v>1</v>
      </c>
      <c r="H61" s="483">
        <v>2</v>
      </c>
      <c r="I61" s="483">
        <v>2</v>
      </c>
      <c r="J61" s="505" t="s">
        <v>2172</v>
      </c>
      <c r="K61" s="505" t="s">
        <v>1507</v>
      </c>
      <c r="L61" s="1485">
        <v>1.4450000000000001</v>
      </c>
      <c r="M61" s="519">
        <v>2</v>
      </c>
      <c r="N61" s="1546">
        <v>2</v>
      </c>
      <c r="O61" s="483">
        <v>0</v>
      </c>
      <c r="P61" s="483">
        <v>0</v>
      </c>
      <c r="Q61" s="483">
        <v>1</v>
      </c>
      <c r="R61" s="666">
        <v>46198.752997685187</v>
      </c>
      <c r="S61" s="483">
        <v>1</v>
      </c>
      <c r="T61" s="483">
        <v>1</v>
      </c>
      <c r="V61" t="str">
        <f t="shared" si="9"/>
        <v>pcs</v>
      </c>
    </row>
    <row r="62" spans="3:22" ht="21.95" customHeight="1">
      <c r="C62" s="483">
        <v>35</v>
      </c>
      <c r="D62" s="483">
        <v>60</v>
      </c>
      <c r="E62" s="483" t="s">
        <v>2298</v>
      </c>
      <c r="F62" s="505" t="s">
        <v>2836</v>
      </c>
      <c r="G62" s="483">
        <v>1</v>
      </c>
      <c r="H62" s="483">
        <v>2</v>
      </c>
      <c r="I62" s="483">
        <v>2</v>
      </c>
      <c r="J62" s="505" t="s">
        <v>2172</v>
      </c>
      <c r="K62" s="505" t="s">
        <v>1507</v>
      </c>
      <c r="L62" s="1485">
        <v>7.7779999999999996</v>
      </c>
      <c r="M62" s="519">
        <v>8</v>
      </c>
      <c r="N62" s="1546">
        <v>8</v>
      </c>
      <c r="O62" s="483">
        <v>0</v>
      </c>
      <c r="P62" s="483">
        <v>0</v>
      </c>
      <c r="Q62" s="483">
        <v>1</v>
      </c>
      <c r="R62" s="666">
        <v>46198.752997685187</v>
      </c>
      <c r="S62" s="483">
        <v>1</v>
      </c>
      <c r="T62" s="483">
        <v>1</v>
      </c>
      <c r="V62" t="str">
        <f t="shared" si="9"/>
        <v>pcs</v>
      </c>
    </row>
    <row r="63" spans="3:22" ht="21.95" customHeight="1">
      <c r="C63" s="483">
        <v>36</v>
      </c>
      <c r="D63" s="483">
        <v>61</v>
      </c>
      <c r="E63" s="483" t="s">
        <v>2301</v>
      </c>
      <c r="F63" s="505" t="s">
        <v>2837</v>
      </c>
      <c r="G63" s="483">
        <v>1</v>
      </c>
      <c r="H63" s="483">
        <v>2</v>
      </c>
      <c r="I63" s="483">
        <v>2</v>
      </c>
      <c r="J63" s="505" t="s">
        <v>2172</v>
      </c>
      <c r="K63" s="505" t="s">
        <v>1507</v>
      </c>
      <c r="L63" s="1485">
        <v>6.4080000000000004</v>
      </c>
      <c r="M63" s="519">
        <v>7</v>
      </c>
      <c r="N63" s="1546">
        <v>7</v>
      </c>
      <c r="O63" s="483">
        <v>0</v>
      </c>
      <c r="P63" s="483">
        <v>0</v>
      </c>
      <c r="Q63" s="483">
        <v>1</v>
      </c>
      <c r="R63" s="666">
        <v>46198.752997685187</v>
      </c>
      <c r="S63" s="483">
        <v>1</v>
      </c>
      <c r="T63" s="483">
        <v>1</v>
      </c>
      <c r="V63" t="str">
        <f t="shared" si="9"/>
        <v>pcs</v>
      </c>
    </row>
    <row r="64" spans="3:22" ht="21.95" customHeight="1">
      <c r="C64" s="483">
        <v>37</v>
      </c>
      <c r="D64" s="483">
        <v>62</v>
      </c>
      <c r="E64" s="483" t="s">
        <v>2304</v>
      </c>
      <c r="F64" s="505" t="s">
        <v>2838</v>
      </c>
      <c r="G64" s="483">
        <v>1</v>
      </c>
      <c r="H64" s="483">
        <v>2</v>
      </c>
      <c r="I64" s="483">
        <v>2</v>
      </c>
      <c r="J64" s="505" t="s">
        <v>2172</v>
      </c>
      <c r="K64" s="505" t="s">
        <v>1507</v>
      </c>
      <c r="L64" s="1485">
        <v>4.327</v>
      </c>
      <c r="M64" s="519">
        <v>5</v>
      </c>
      <c r="N64" s="1546">
        <v>5</v>
      </c>
      <c r="O64" s="483">
        <v>0</v>
      </c>
      <c r="P64" s="483">
        <v>0</v>
      </c>
      <c r="Q64" s="483">
        <v>1</v>
      </c>
      <c r="R64" s="666">
        <v>46198.752997685187</v>
      </c>
      <c r="S64" s="483">
        <v>1</v>
      </c>
      <c r="T64" s="483">
        <v>1</v>
      </c>
      <c r="V64" t="str">
        <f t="shared" si="9"/>
        <v>pcs</v>
      </c>
    </row>
    <row r="65" spans="2:27" ht="21.95" customHeight="1">
      <c r="C65" s="483">
        <v>38</v>
      </c>
      <c r="D65" s="483">
        <v>63</v>
      </c>
      <c r="E65" s="483" t="s">
        <v>2306</v>
      </c>
      <c r="F65" s="505" t="s">
        <v>2839</v>
      </c>
      <c r="G65" s="483">
        <v>1</v>
      </c>
      <c r="H65" s="483">
        <v>2</v>
      </c>
      <c r="I65" s="483">
        <v>2</v>
      </c>
      <c r="J65" s="505" t="s">
        <v>2172</v>
      </c>
      <c r="K65" s="505" t="s">
        <v>1507</v>
      </c>
      <c r="L65" s="1485">
        <v>4.327</v>
      </c>
      <c r="M65" s="519">
        <v>6</v>
      </c>
      <c r="N65" s="1546">
        <v>6</v>
      </c>
      <c r="O65" s="483">
        <v>0</v>
      </c>
      <c r="P65" s="483">
        <v>0</v>
      </c>
      <c r="Q65" s="483">
        <v>1</v>
      </c>
      <c r="R65" s="666">
        <v>46198.752997685187</v>
      </c>
      <c r="S65" s="483">
        <v>1</v>
      </c>
      <c r="T65" s="483">
        <v>1</v>
      </c>
      <c r="V65" t="str">
        <f t="shared" si="9"/>
        <v>pcs</v>
      </c>
    </row>
    <row r="66" spans="2:27" ht="21.95" customHeight="1">
      <c r="C66" s="483">
        <v>39</v>
      </c>
      <c r="D66" s="483">
        <v>64</v>
      </c>
      <c r="E66" s="483" t="s">
        <v>2308</v>
      </c>
      <c r="F66" s="505" t="s">
        <v>2840</v>
      </c>
      <c r="G66" s="483">
        <v>1</v>
      </c>
      <c r="H66" s="483">
        <v>2</v>
      </c>
      <c r="I66" s="483">
        <v>2</v>
      </c>
      <c r="J66" s="505" t="s">
        <v>2172</v>
      </c>
      <c r="K66" s="505" t="s">
        <v>1507</v>
      </c>
      <c r="L66" s="1485">
        <v>1.9</v>
      </c>
      <c r="M66" s="519">
        <v>2.25</v>
      </c>
      <c r="N66" s="1546">
        <v>2.25</v>
      </c>
      <c r="O66" s="483">
        <v>0</v>
      </c>
      <c r="P66" s="483">
        <v>0</v>
      </c>
      <c r="Q66" s="483">
        <v>1</v>
      </c>
      <c r="R66" s="666">
        <v>46198.752997685187</v>
      </c>
      <c r="S66" s="483">
        <v>1</v>
      </c>
      <c r="T66" s="483">
        <v>1</v>
      </c>
      <c r="V66" t="str">
        <f t="shared" si="9"/>
        <v>pcs</v>
      </c>
    </row>
    <row r="67" spans="2:27" ht="21.95" customHeight="1">
      <c r="C67" s="483">
        <v>40</v>
      </c>
      <c r="D67" s="483">
        <v>65</v>
      </c>
      <c r="E67" s="483" t="s">
        <v>2311</v>
      </c>
      <c r="F67" s="505" t="s">
        <v>2841</v>
      </c>
      <c r="G67" s="483">
        <v>1</v>
      </c>
      <c r="H67" s="483">
        <v>2</v>
      </c>
      <c r="I67" s="483">
        <v>2</v>
      </c>
      <c r="J67" s="505" t="s">
        <v>2172</v>
      </c>
      <c r="K67" s="505" t="s">
        <v>1507</v>
      </c>
      <c r="L67" s="1485">
        <v>1.18</v>
      </c>
      <c r="M67" s="519">
        <v>1.5</v>
      </c>
      <c r="N67" s="1546">
        <v>1.5</v>
      </c>
      <c r="O67" s="483">
        <v>0</v>
      </c>
      <c r="P67" s="483">
        <v>0</v>
      </c>
      <c r="Q67" s="483">
        <v>1</v>
      </c>
      <c r="R67" s="666">
        <v>46198.752997685187</v>
      </c>
      <c r="S67" s="483">
        <v>1</v>
      </c>
      <c r="T67" s="483">
        <v>1</v>
      </c>
      <c r="V67" t="str">
        <f t="shared" si="9"/>
        <v>pcs</v>
      </c>
    </row>
    <row r="68" spans="2:27" ht="21.95" customHeight="1">
      <c r="C68" s="483">
        <v>41</v>
      </c>
      <c r="D68" s="483">
        <v>66</v>
      </c>
      <c r="E68" s="483" t="s">
        <v>2313</v>
      </c>
      <c r="F68" s="505" t="s">
        <v>2842</v>
      </c>
      <c r="G68" s="483">
        <v>1</v>
      </c>
      <c r="H68" s="483">
        <v>2</v>
      </c>
      <c r="I68" s="483">
        <v>2</v>
      </c>
      <c r="J68" s="505" t="s">
        <v>2172</v>
      </c>
      <c r="K68" s="505" t="s">
        <v>1507</v>
      </c>
      <c r="L68" s="1485">
        <v>0.40899999999999997</v>
      </c>
      <c r="M68" s="519">
        <v>0.75</v>
      </c>
      <c r="N68" s="1546">
        <v>0.75</v>
      </c>
      <c r="O68" s="483">
        <v>0</v>
      </c>
      <c r="P68" s="483">
        <v>0</v>
      </c>
      <c r="Q68" s="483">
        <v>1</v>
      </c>
      <c r="R68" s="666">
        <v>46198.752997685187</v>
      </c>
      <c r="S68" s="483">
        <v>1</v>
      </c>
      <c r="T68" s="483">
        <v>1</v>
      </c>
      <c r="V68" t="str">
        <f t="shared" si="9"/>
        <v>pcs</v>
      </c>
    </row>
    <row r="69" spans="2:27" ht="21.95" customHeight="1">
      <c r="C69" s="483">
        <v>42</v>
      </c>
      <c r="D69" s="483">
        <v>67</v>
      </c>
      <c r="E69" s="483" t="s">
        <v>2315</v>
      </c>
      <c r="F69" s="505" t="s">
        <v>2843</v>
      </c>
      <c r="G69" s="483">
        <v>1</v>
      </c>
      <c r="H69" s="483">
        <v>2</v>
      </c>
      <c r="I69" s="483">
        <v>2</v>
      </c>
      <c r="J69" s="505" t="s">
        <v>2172</v>
      </c>
      <c r="K69" s="505" t="s">
        <v>1507</v>
      </c>
      <c r="L69" s="1485">
        <v>0.75</v>
      </c>
      <c r="M69" s="519">
        <v>1</v>
      </c>
      <c r="N69" s="1546">
        <v>1</v>
      </c>
      <c r="O69" s="483">
        <v>0</v>
      </c>
      <c r="P69" s="483">
        <v>0</v>
      </c>
      <c r="Q69" s="483">
        <v>1</v>
      </c>
      <c r="R69" s="666">
        <v>46198.752997685187</v>
      </c>
      <c r="S69" s="483">
        <v>1</v>
      </c>
      <c r="T69" s="483">
        <v>1</v>
      </c>
      <c r="V69" t="str">
        <f t="shared" si="9"/>
        <v>pcs</v>
      </c>
    </row>
    <row r="70" spans="2:27" ht="21.95" customHeight="1">
      <c r="C70" s="483">
        <v>43</v>
      </c>
      <c r="D70" s="483">
        <v>68</v>
      </c>
      <c r="E70" s="483" t="s">
        <v>2318</v>
      </c>
      <c r="F70" s="505" t="s">
        <v>2844</v>
      </c>
      <c r="G70" s="483">
        <v>1</v>
      </c>
      <c r="H70" s="483">
        <v>2</v>
      </c>
      <c r="I70" s="483">
        <v>2</v>
      </c>
      <c r="J70" s="505" t="s">
        <v>2172</v>
      </c>
      <c r="K70" s="505" t="s">
        <v>1507</v>
      </c>
      <c r="L70" s="1485">
        <v>0.52500000000000002</v>
      </c>
      <c r="M70" s="519">
        <v>0.75</v>
      </c>
      <c r="N70" s="1546">
        <v>0.75</v>
      </c>
      <c r="O70" s="483">
        <v>0</v>
      </c>
      <c r="P70" s="483">
        <v>0</v>
      </c>
      <c r="Q70" s="483">
        <v>1</v>
      </c>
      <c r="R70" s="666">
        <v>46198.752997685187</v>
      </c>
      <c r="S70" s="483">
        <v>1</v>
      </c>
      <c r="T70" s="483">
        <v>1</v>
      </c>
      <c r="V70" t="str">
        <f t="shared" si="9"/>
        <v>pcs</v>
      </c>
    </row>
    <row r="71" spans="2:27" ht="21.95" customHeight="1">
      <c r="C71" s="483">
        <v>44</v>
      </c>
      <c r="D71" s="483">
        <v>69</v>
      </c>
      <c r="E71" s="483" t="s">
        <v>2321</v>
      </c>
      <c r="F71" s="505" t="s">
        <v>2845</v>
      </c>
      <c r="G71" s="483">
        <v>1</v>
      </c>
      <c r="H71" s="483">
        <v>2</v>
      </c>
      <c r="I71" s="483">
        <v>2</v>
      </c>
      <c r="J71" s="505" t="s">
        <v>2172</v>
      </c>
      <c r="K71" s="505" t="s">
        <v>1507</v>
      </c>
      <c r="L71" s="1485">
        <v>0.25</v>
      </c>
      <c r="M71" s="519">
        <v>0.5</v>
      </c>
      <c r="N71" s="1546">
        <v>0.5</v>
      </c>
      <c r="O71" s="483">
        <v>0</v>
      </c>
      <c r="P71" s="483">
        <v>0</v>
      </c>
      <c r="Q71" s="483">
        <v>1</v>
      </c>
      <c r="R71" s="666">
        <v>46198.752997685187</v>
      </c>
      <c r="S71" s="483">
        <v>1</v>
      </c>
      <c r="T71" s="483">
        <v>1</v>
      </c>
      <c r="V71" t="str">
        <f t="shared" si="9"/>
        <v>pcs</v>
      </c>
    </row>
    <row r="72" spans="2:27" ht="21.95" customHeight="1">
      <c r="C72" s="483">
        <v>45</v>
      </c>
      <c r="D72" s="483">
        <v>70</v>
      </c>
      <c r="E72" s="483" t="s">
        <v>2324</v>
      </c>
      <c r="F72" s="505" t="s">
        <v>2846</v>
      </c>
      <c r="G72" s="483">
        <v>1</v>
      </c>
      <c r="H72" s="483">
        <v>2</v>
      </c>
      <c r="I72" s="483">
        <v>2</v>
      </c>
      <c r="J72" s="505" t="s">
        <v>2172</v>
      </c>
      <c r="K72" s="505" t="s">
        <v>1507</v>
      </c>
      <c r="L72" s="1485">
        <v>0.15</v>
      </c>
      <c r="M72" s="519">
        <v>0.25</v>
      </c>
      <c r="N72" s="1546">
        <v>0.25</v>
      </c>
      <c r="O72" s="483">
        <v>0</v>
      </c>
      <c r="P72" s="483">
        <v>0</v>
      </c>
      <c r="Q72" s="483">
        <v>1</v>
      </c>
      <c r="R72" s="666">
        <v>46198.752997685187</v>
      </c>
      <c r="S72" s="483">
        <v>1</v>
      </c>
      <c r="T72" s="483">
        <v>1</v>
      </c>
      <c r="V72" t="str">
        <f t="shared" si="9"/>
        <v>pcs</v>
      </c>
    </row>
    <row r="73" spans="2:27" ht="21.95" customHeight="1">
      <c r="C73" s="483">
        <v>46</v>
      </c>
      <c r="D73" s="483">
        <v>71</v>
      </c>
      <c r="E73" s="483" t="s">
        <v>2326</v>
      </c>
      <c r="F73" s="505" t="s">
        <v>2847</v>
      </c>
      <c r="G73" s="483">
        <v>1</v>
      </c>
      <c r="H73" s="483">
        <v>2</v>
      </c>
      <c r="I73" s="483">
        <v>2</v>
      </c>
      <c r="J73" s="505" t="s">
        <v>2172</v>
      </c>
      <c r="K73" s="505" t="s">
        <v>1507</v>
      </c>
      <c r="L73" s="1485">
        <v>0.11</v>
      </c>
      <c r="M73" s="519">
        <v>0.2</v>
      </c>
      <c r="N73" s="1546">
        <v>0.2</v>
      </c>
      <c r="O73" s="483">
        <v>0</v>
      </c>
      <c r="P73" s="483">
        <v>0</v>
      </c>
      <c r="Q73" s="483">
        <v>1</v>
      </c>
      <c r="R73" s="666">
        <v>46198.752997685187</v>
      </c>
      <c r="S73" s="483">
        <v>1</v>
      </c>
      <c r="T73" s="483">
        <v>1</v>
      </c>
      <c r="V73" t="str">
        <f t="shared" si="9"/>
        <v>pcs</v>
      </c>
    </row>
    <row r="74" spans="2:27" ht="21.95" customHeight="1">
      <c r="C74" s="483">
        <v>47</v>
      </c>
      <c r="D74" s="483">
        <v>72</v>
      </c>
      <c r="E74" s="483" t="s">
        <v>2328</v>
      </c>
      <c r="F74" s="505" t="s">
        <v>2848</v>
      </c>
      <c r="G74" s="483">
        <v>1</v>
      </c>
      <c r="H74" s="483">
        <v>2</v>
      </c>
      <c r="I74" s="483">
        <v>2</v>
      </c>
      <c r="J74" s="505" t="s">
        <v>2172</v>
      </c>
      <c r="K74" s="505" t="s">
        <v>1507</v>
      </c>
      <c r="L74" s="1485">
        <v>2.4500000000000002</v>
      </c>
      <c r="M74" s="519">
        <v>2.8</v>
      </c>
      <c r="N74" s="1546">
        <v>2.8</v>
      </c>
      <c r="O74" s="483">
        <v>0</v>
      </c>
      <c r="P74" s="483">
        <v>0</v>
      </c>
      <c r="Q74" s="483">
        <v>1</v>
      </c>
      <c r="R74" s="666">
        <v>46198.752997685187</v>
      </c>
      <c r="S74" s="483">
        <v>1</v>
      </c>
      <c r="T74" s="483">
        <v>1</v>
      </c>
      <c r="V74" t="str">
        <f t="shared" si="9"/>
        <v>pcs</v>
      </c>
    </row>
    <row r="75" spans="2:27" ht="21.95" customHeight="1">
      <c r="C75" s="483">
        <v>48</v>
      </c>
      <c r="D75" s="483">
        <v>73</v>
      </c>
      <c r="E75" s="483" t="s">
        <v>2330</v>
      </c>
      <c r="F75" s="505" t="s">
        <v>2849</v>
      </c>
      <c r="G75" s="483">
        <v>1</v>
      </c>
      <c r="H75" s="483">
        <v>2</v>
      </c>
      <c r="I75" s="483">
        <v>2</v>
      </c>
      <c r="J75" s="505" t="s">
        <v>2172</v>
      </c>
      <c r="K75" s="505" t="s">
        <v>1507</v>
      </c>
      <c r="L75" s="1485">
        <v>0.34</v>
      </c>
      <c r="M75" s="519">
        <v>0.5</v>
      </c>
      <c r="N75" s="1546">
        <v>0.5</v>
      </c>
      <c r="O75" s="483">
        <v>0</v>
      </c>
      <c r="P75" s="483">
        <v>0</v>
      </c>
      <c r="Q75" s="483">
        <v>1</v>
      </c>
      <c r="R75" s="666">
        <v>46198.752997685187</v>
      </c>
      <c r="S75" s="483">
        <v>1</v>
      </c>
      <c r="T75" s="483">
        <v>1</v>
      </c>
      <c r="V75" t="str">
        <f t="shared" si="9"/>
        <v>pcs</v>
      </c>
    </row>
    <row r="76" spans="2:27" ht="21.95" customHeight="1">
      <c r="C76" s="483">
        <v>49</v>
      </c>
      <c r="D76" s="483">
        <v>74</v>
      </c>
      <c r="E76" s="483" t="s">
        <v>2332</v>
      </c>
      <c r="F76" s="505" t="s">
        <v>2850</v>
      </c>
      <c r="G76" s="483">
        <v>1</v>
      </c>
      <c r="H76" s="483">
        <v>2</v>
      </c>
      <c r="I76" s="483">
        <v>2</v>
      </c>
      <c r="J76" s="505" t="s">
        <v>2172</v>
      </c>
      <c r="K76" s="505" t="s">
        <v>1507</v>
      </c>
      <c r="L76" s="1485">
        <v>0.187</v>
      </c>
      <c r="M76" s="519">
        <v>0.25</v>
      </c>
      <c r="N76" s="1546">
        <v>0.25</v>
      </c>
      <c r="O76" s="483">
        <v>0</v>
      </c>
      <c r="P76" s="483">
        <v>0</v>
      </c>
      <c r="Q76" s="483">
        <v>1</v>
      </c>
      <c r="R76" s="666">
        <v>46198.752997685187</v>
      </c>
      <c r="S76" s="483">
        <v>1</v>
      </c>
      <c r="T76" s="483">
        <v>1</v>
      </c>
      <c r="V76" t="str">
        <f t="shared" si="9"/>
        <v>pcs</v>
      </c>
    </row>
    <row r="77" spans="2:27" s="1509" customFormat="1" ht="21.95" customHeight="1">
      <c r="B77" s="1508"/>
      <c r="C77" s="483">
        <v>50</v>
      </c>
      <c r="D77" s="483">
        <v>75</v>
      </c>
      <c r="E77" s="483" t="s">
        <v>2334</v>
      </c>
      <c r="F77" s="505" t="s">
        <v>2851</v>
      </c>
      <c r="G77" s="483">
        <v>1</v>
      </c>
      <c r="H77" s="483">
        <v>2</v>
      </c>
      <c r="I77" s="483">
        <v>2</v>
      </c>
      <c r="J77" s="505" t="s">
        <v>2172</v>
      </c>
      <c r="K77" s="505" t="s">
        <v>1507</v>
      </c>
      <c r="L77" s="1485">
        <v>0.128</v>
      </c>
      <c r="M77" s="519">
        <v>0.2</v>
      </c>
      <c r="N77" s="1546">
        <v>0.2</v>
      </c>
      <c r="O77" s="483">
        <v>0</v>
      </c>
      <c r="P77" s="483">
        <v>0</v>
      </c>
      <c r="Q77" s="483">
        <v>1</v>
      </c>
      <c r="R77" s="666">
        <v>46198.752997685187</v>
      </c>
      <c r="S77" s="483">
        <v>1</v>
      </c>
      <c r="T77" s="483">
        <v>1</v>
      </c>
      <c r="V77" t="str">
        <f t="shared" si="9"/>
        <v>pcs</v>
      </c>
      <c r="W77" s="1510"/>
      <c r="X77" s="1510"/>
      <c r="Y77" s="1510"/>
      <c r="Z77" s="1510"/>
      <c r="AA77" s="1510"/>
    </row>
    <row r="78" spans="2:27" ht="21.95" customHeight="1">
      <c r="C78" s="483">
        <v>51</v>
      </c>
      <c r="D78" s="483">
        <v>76</v>
      </c>
      <c r="E78" s="483" t="s">
        <v>2335</v>
      </c>
      <c r="F78" s="505" t="s">
        <v>2852</v>
      </c>
      <c r="G78" s="483">
        <v>1</v>
      </c>
      <c r="H78" s="483">
        <v>2</v>
      </c>
      <c r="I78" s="483">
        <v>52</v>
      </c>
      <c r="J78" s="505" t="s">
        <v>2617</v>
      </c>
      <c r="K78" s="505" t="s">
        <v>1507</v>
      </c>
      <c r="L78" s="1485">
        <v>1.35</v>
      </c>
      <c r="M78" s="519">
        <v>1.75</v>
      </c>
      <c r="N78" s="1546">
        <v>1.75</v>
      </c>
      <c r="O78" s="483">
        <v>0</v>
      </c>
      <c r="P78" s="483">
        <v>0</v>
      </c>
      <c r="Q78" s="483">
        <v>1</v>
      </c>
      <c r="R78" s="666">
        <v>46198.752997685187</v>
      </c>
      <c r="S78" s="483">
        <v>1</v>
      </c>
      <c r="T78" s="483">
        <v>1</v>
      </c>
      <c r="V78" t="str">
        <f t="shared" si="9"/>
        <v>Unit/2.9m</v>
      </c>
    </row>
    <row r="79" spans="2:27" ht="21.95" customHeight="1">
      <c r="C79" s="483">
        <v>52</v>
      </c>
      <c r="D79" s="483">
        <v>77</v>
      </c>
      <c r="E79" s="483" t="s">
        <v>2336</v>
      </c>
      <c r="F79" s="505" t="s">
        <v>2853</v>
      </c>
      <c r="G79" s="483">
        <v>1</v>
      </c>
      <c r="H79" s="483">
        <v>2</v>
      </c>
      <c r="I79" s="483">
        <v>45</v>
      </c>
      <c r="J79" s="505" t="s">
        <v>2161</v>
      </c>
      <c r="K79" s="505" t="s">
        <v>1507</v>
      </c>
      <c r="L79" s="1485">
        <v>8.8000000000000007</v>
      </c>
      <c r="M79" s="519">
        <v>9.5</v>
      </c>
      <c r="N79" s="1546">
        <v>9.5</v>
      </c>
      <c r="O79" s="483">
        <v>0</v>
      </c>
      <c r="P79" s="483">
        <v>0</v>
      </c>
      <c r="Q79" s="483">
        <v>1</v>
      </c>
      <c r="R79" s="666">
        <v>46198.752997685187</v>
      </c>
      <c r="S79" s="483">
        <v>1</v>
      </c>
      <c r="T79" s="483">
        <v>1</v>
      </c>
      <c r="V79" t="str">
        <f t="shared" si="9"/>
        <v>Coil/50m</v>
      </c>
    </row>
    <row r="80" spans="2:27" ht="21.95" customHeight="1">
      <c r="C80" s="483">
        <v>53</v>
      </c>
      <c r="D80" s="483">
        <v>77</v>
      </c>
      <c r="E80" s="483" t="s">
        <v>2336</v>
      </c>
      <c r="F80" s="505" t="s">
        <v>2853</v>
      </c>
      <c r="G80" s="483">
        <v>1</v>
      </c>
      <c r="H80" s="483">
        <v>2</v>
      </c>
      <c r="I80" s="483">
        <v>16</v>
      </c>
      <c r="J80" s="505" t="s">
        <v>2134</v>
      </c>
      <c r="K80" s="505" t="s">
        <v>1507</v>
      </c>
      <c r="L80" s="1485">
        <v>8.8000000000000007</v>
      </c>
      <c r="M80" s="519">
        <v>0.19</v>
      </c>
      <c r="N80" s="1546">
        <v>0.19</v>
      </c>
      <c r="O80" s="483">
        <v>0</v>
      </c>
      <c r="P80" s="483">
        <v>0</v>
      </c>
      <c r="Q80" s="483">
        <v>1</v>
      </c>
      <c r="R80" s="666">
        <v>46198.752997685187</v>
      </c>
      <c r="S80" s="483">
        <v>1</v>
      </c>
      <c r="T80" s="483">
        <v>1</v>
      </c>
      <c r="V80" t="str">
        <f t="shared" si="9"/>
        <v>m</v>
      </c>
    </row>
    <row r="81" spans="3:22" ht="21.95" customHeight="1">
      <c r="C81" s="483">
        <v>54</v>
      </c>
      <c r="D81" s="483">
        <v>78</v>
      </c>
      <c r="E81" s="483" t="s">
        <v>2337</v>
      </c>
      <c r="F81" s="505" t="s">
        <v>2854</v>
      </c>
      <c r="G81" s="483">
        <v>1</v>
      </c>
      <c r="H81" s="483">
        <v>2</v>
      </c>
      <c r="I81" s="483">
        <v>45</v>
      </c>
      <c r="J81" s="505" t="s">
        <v>2161</v>
      </c>
      <c r="K81" s="505" t="s">
        <v>1507</v>
      </c>
      <c r="L81" s="1485">
        <v>6</v>
      </c>
      <c r="M81" s="519">
        <v>6.5</v>
      </c>
      <c r="N81" s="1546">
        <v>6.5</v>
      </c>
      <c r="O81" s="483">
        <v>0</v>
      </c>
      <c r="P81" s="483">
        <v>0</v>
      </c>
      <c r="Q81" s="483">
        <v>1</v>
      </c>
      <c r="R81" s="666">
        <v>46198.752997685187</v>
      </c>
      <c r="S81" s="483">
        <v>1</v>
      </c>
      <c r="T81" s="483">
        <v>1</v>
      </c>
      <c r="V81" t="str">
        <f t="shared" si="9"/>
        <v>Coil/50m</v>
      </c>
    </row>
    <row r="82" spans="3:22" ht="21.95" customHeight="1">
      <c r="C82" s="483">
        <v>55</v>
      </c>
      <c r="D82" s="483">
        <v>78</v>
      </c>
      <c r="E82" s="483" t="s">
        <v>2337</v>
      </c>
      <c r="F82" s="505" t="s">
        <v>2854</v>
      </c>
      <c r="G82" s="483">
        <v>1</v>
      </c>
      <c r="H82" s="483">
        <v>2</v>
      </c>
      <c r="I82" s="483">
        <v>16</v>
      </c>
      <c r="J82" s="505" t="s">
        <v>2134</v>
      </c>
      <c r="K82" s="505" t="s">
        <v>1507</v>
      </c>
      <c r="L82" s="1485">
        <v>6</v>
      </c>
      <c r="M82" s="519">
        <v>0.13</v>
      </c>
      <c r="N82" s="1546">
        <v>0.13</v>
      </c>
      <c r="O82" s="483">
        <v>0</v>
      </c>
      <c r="P82" s="483">
        <v>0</v>
      </c>
      <c r="Q82" s="483">
        <v>1</v>
      </c>
      <c r="R82" s="666">
        <v>46198.752997685187</v>
      </c>
      <c r="S82" s="483">
        <v>1</v>
      </c>
      <c r="T82" s="483">
        <v>1</v>
      </c>
      <c r="V82" t="str">
        <f t="shared" si="9"/>
        <v>m</v>
      </c>
    </row>
    <row r="83" spans="3:22" ht="21.95" customHeight="1">
      <c r="C83" s="483">
        <v>56</v>
      </c>
      <c r="D83" s="483">
        <v>79</v>
      </c>
      <c r="E83" s="483" t="s">
        <v>2339</v>
      </c>
      <c r="F83" s="505" t="s">
        <v>2855</v>
      </c>
      <c r="G83" s="483">
        <v>1</v>
      </c>
      <c r="H83" s="483">
        <v>2</v>
      </c>
      <c r="I83" s="483">
        <v>45</v>
      </c>
      <c r="J83" s="505" t="s">
        <v>2161</v>
      </c>
      <c r="K83" s="505" t="s">
        <v>1507</v>
      </c>
      <c r="L83" s="1485">
        <v>5</v>
      </c>
      <c r="M83" s="519">
        <v>5.5</v>
      </c>
      <c r="N83" s="1546">
        <v>5.5</v>
      </c>
      <c r="O83" s="483">
        <v>0</v>
      </c>
      <c r="P83" s="483">
        <v>0</v>
      </c>
      <c r="Q83" s="483">
        <v>1</v>
      </c>
      <c r="R83" s="666">
        <v>46198.752997685187</v>
      </c>
      <c r="S83" s="483">
        <v>1</v>
      </c>
      <c r="T83" s="483">
        <v>1</v>
      </c>
      <c r="V83" t="str">
        <f t="shared" si="9"/>
        <v>Coil/50m</v>
      </c>
    </row>
    <row r="84" spans="3:22" ht="21.95" customHeight="1">
      <c r="C84" s="483">
        <v>57</v>
      </c>
      <c r="D84" s="483">
        <v>79</v>
      </c>
      <c r="E84" s="483" t="s">
        <v>2339</v>
      </c>
      <c r="F84" s="505" t="s">
        <v>2855</v>
      </c>
      <c r="G84" s="483">
        <v>1</v>
      </c>
      <c r="H84" s="483">
        <v>2</v>
      </c>
      <c r="I84" s="483">
        <v>16</v>
      </c>
      <c r="J84" s="505" t="s">
        <v>2134</v>
      </c>
      <c r="K84" s="505" t="s">
        <v>1507</v>
      </c>
      <c r="L84" s="1485">
        <v>5</v>
      </c>
      <c r="M84" s="519">
        <v>0.11</v>
      </c>
      <c r="N84" s="1546">
        <v>0.11</v>
      </c>
      <c r="O84" s="483">
        <v>0</v>
      </c>
      <c r="P84" s="483">
        <v>0</v>
      </c>
      <c r="Q84" s="483">
        <v>1</v>
      </c>
      <c r="R84" s="666">
        <v>46198.752997685187</v>
      </c>
      <c r="S84" s="483">
        <v>1</v>
      </c>
      <c r="T84" s="483">
        <v>1</v>
      </c>
      <c r="V84" t="str">
        <f t="shared" si="9"/>
        <v>m</v>
      </c>
    </row>
    <row r="85" spans="3:22" ht="21.95" customHeight="1">
      <c r="C85" s="483">
        <v>58</v>
      </c>
      <c r="D85" s="483">
        <v>80</v>
      </c>
      <c r="E85" s="483" t="s">
        <v>2341</v>
      </c>
      <c r="F85" s="505" t="s">
        <v>2856</v>
      </c>
      <c r="G85" s="483">
        <v>1</v>
      </c>
      <c r="H85" s="483">
        <v>2</v>
      </c>
      <c r="I85" s="483">
        <v>36</v>
      </c>
      <c r="J85" s="505" t="s">
        <v>2706</v>
      </c>
      <c r="K85" s="505" t="s">
        <v>1507</v>
      </c>
      <c r="L85" s="1485">
        <v>21</v>
      </c>
      <c r="M85" s="519">
        <v>30</v>
      </c>
      <c r="N85" s="1546">
        <v>30</v>
      </c>
      <c r="O85" s="483">
        <v>0</v>
      </c>
      <c r="P85" s="483">
        <v>0</v>
      </c>
      <c r="Q85" s="483">
        <v>1</v>
      </c>
      <c r="R85" s="666">
        <v>46198.752997685187</v>
      </c>
      <c r="S85" s="483">
        <v>1</v>
      </c>
      <c r="T85" s="483">
        <v>1</v>
      </c>
      <c r="V85" t="str">
        <f t="shared" si="9"/>
        <v>Case/150pcs</v>
      </c>
    </row>
    <row r="86" spans="3:22" ht="21.95" customHeight="1">
      <c r="C86" s="483">
        <v>59</v>
      </c>
      <c r="D86" s="483">
        <v>80</v>
      </c>
      <c r="E86" s="483" t="s">
        <v>2341</v>
      </c>
      <c r="F86" s="505" t="s">
        <v>2856</v>
      </c>
      <c r="G86" s="483">
        <v>1</v>
      </c>
      <c r="H86" s="483">
        <v>2</v>
      </c>
      <c r="I86" s="483">
        <v>2</v>
      </c>
      <c r="J86" s="505" t="s">
        <v>2172</v>
      </c>
      <c r="K86" s="505" t="s">
        <v>1507</v>
      </c>
      <c r="L86" s="1485">
        <v>21</v>
      </c>
      <c r="M86" s="519">
        <v>0.2</v>
      </c>
      <c r="N86" s="1546">
        <v>0.2</v>
      </c>
      <c r="O86" s="483">
        <v>0</v>
      </c>
      <c r="P86" s="483">
        <v>0</v>
      </c>
      <c r="Q86" s="483">
        <v>1</v>
      </c>
      <c r="R86" s="666">
        <v>46198.752997685187</v>
      </c>
      <c r="S86" s="483">
        <v>1</v>
      </c>
      <c r="T86" s="483">
        <v>1</v>
      </c>
      <c r="V86" t="str">
        <f t="shared" si="9"/>
        <v>pcs</v>
      </c>
    </row>
    <row r="87" spans="3:22" ht="21.95" customHeight="1">
      <c r="C87" s="483">
        <v>60</v>
      </c>
      <c r="D87" s="483">
        <v>81</v>
      </c>
      <c r="E87" s="483" t="s">
        <v>2343</v>
      </c>
      <c r="F87" s="505" t="s">
        <v>2857</v>
      </c>
      <c r="G87" s="483">
        <v>1</v>
      </c>
      <c r="H87" s="483">
        <v>2</v>
      </c>
      <c r="I87" s="483">
        <v>26</v>
      </c>
      <c r="J87" s="505" t="s">
        <v>2164</v>
      </c>
      <c r="K87" s="505" t="s">
        <v>1507</v>
      </c>
      <c r="L87" s="1485">
        <v>74.400000000000006</v>
      </c>
      <c r="M87" s="519">
        <v>84</v>
      </c>
      <c r="N87" s="1546">
        <v>84</v>
      </c>
      <c r="O87" s="483">
        <v>0</v>
      </c>
      <c r="P87" s="483">
        <v>0</v>
      </c>
      <c r="Q87" s="483">
        <v>1</v>
      </c>
      <c r="R87" s="666">
        <v>46198.752997685187</v>
      </c>
      <c r="S87" s="483">
        <v>1</v>
      </c>
      <c r="T87" s="483">
        <v>1</v>
      </c>
      <c r="V87" t="str">
        <f t="shared" si="9"/>
        <v>Box/12pcs</v>
      </c>
    </row>
    <row r="88" spans="3:22" ht="21.95" customHeight="1">
      <c r="C88" s="483">
        <v>61</v>
      </c>
      <c r="D88" s="483">
        <v>81</v>
      </c>
      <c r="E88" s="483" t="s">
        <v>2343</v>
      </c>
      <c r="F88" s="505" t="s">
        <v>2857</v>
      </c>
      <c r="G88" s="483">
        <v>1</v>
      </c>
      <c r="H88" s="483">
        <v>2</v>
      </c>
      <c r="I88" s="483">
        <v>2</v>
      </c>
      <c r="J88" s="505" t="s">
        <v>2172</v>
      </c>
      <c r="K88" s="505" t="s">
        <v>1507</v>
      </c>
      <c r="L88" s="1485">
        <v>74.400000000000006</v>
      </c>
      <c r="M88" s="519">
        <v>7</v>
      </c>
      <c r="N88" s="1546">
        <v>7</v>
      </c>
      <c r="O88" s="483">
        <v>0</v>
      </c>
      <c r="P88" s="483">
        <v>0</v>
      </c>
      <c r="Q88" s="483">
        <v>1</v>
      </c>
      <c r="R88" s="666">
        <v>46198.752997685187</v>
      </c>
      <c r="S88" s="483">
        <v>1</v>
      </c>
      <c r="T88" s="483">
        <v>1</v>
      </c>
      <c r="V88" t="str">
        <f t="shared" si="9"/>
        <v>pcs</v>
      </c>
    </row>
    <row r="89" spans="3:22" ht="21.95" customHeight="1">
      <c r="C89" s="483">
        <v>62</v>
      </c>
      <c r="D89" s="483">
        <v>82</v>
      </c>
      <c r="E89" s="483" t="s">
        <v>2345</v>
      </c>
      <c r="F89" s="505" t="s">
        <v>2858</v>
      </c>
      <c r="G89" s="483">
        <v>1</v>
      </c>
      <c r="H89" s="483">
        <v>2</v>
      </c>
      <c r="I89" s="483">
        <v>32</v>
      </c>
      <c r="J89" s="505" t="s">
        <v>2590</v>
      </c>
      <c r="K89" s="505" t="s">
        <v>1507</v>
      </c>
      <c r="L89" s="1485">
        <v>31.2</v>
      </c>
      <c r="M89" s="519">
        <v>38.400000000000006</v>
      </c>
      <c r="N89" s="1546">
        <v>38.400000000000006</v>
      </c>
      <c r="O89" s="483">
        <v>0</v>
      </c>
      <c r="P89" s="483">
        <v>0</v>
      </c>
      <c r="Q89" s="483">
        <v>1</v>
      </c>
      <c r="R89" s="666">
        <v>46198.752997685187</v>
      </c>
      <c r="S89" s="483">
        <v>1</v>
      </c>
      <c r="T89" s="483">
        <v>1</v>
      </c>
      <c r="V89" t="str">
        <f t="shared" si="9"/>
        <v>Case/24pcs</v>
      </c>
    </row>
    <row r="90" spans="3:22" ht="21.95" customHeight="1">
      <c r="C90" s="483">
        <v>63</v>
      </c>
      <c r="D90" s="483">
        <v>82</v>
      </c>
      <c r="E90" s="483" t="s">
        <v>2345</v>
      </c>
      <c r="F90" s="505" t="s">
        <v>2858</v>
      </c>
      <c r="G90" s="483">
        <v>1</v>
      </c>
      <c r="H90" s="483">
        <v>2</v>
      </c>
      <c r="I90" s="483">
        <v>2</v>
      </c>
      <c r="J90" s="505" t="s">
        <v>2172</v>
      </c>
      <c r="K90" s="505" t="s">
        <v>1507</v>
      </c>
      <c r="L90" s="1485">
        <v>31.2</v>
      </c>
      <c r="M90" s="519">
        <v>1.6</v>
      </c>
      <c r="N90" s="1546">
        <v>1.6</v>
      </c>
      <c r="O90" s="483">
        <v>0</v>
      </c>
      <c r="P90" s="483">
        <v>0</v>
      </c>
      <c r="Q90" s="483">
        <v>1</v>
      </c>
      <c r="R90" s="666">
        <v>46198.752997685187</v>
      </c>
      <c r="S90" s="483">
        <v>1</v>
      </c>
      <c r="T90" s="483">
        <v>1</v>
      </c>
      <c r="V90" t="str">
        <f t="shared" si="9"/>
        <v>pcs</v>
      </c>
    </row>
    <row r="91" spans="3:22" ht="21.95" customHeight="1">
      <c r="C91" s="483">
        <v>64</v>
      </c>
      <c r="D91" s="483">
        <v>83</v>
      </c>
      <c r="E91" s="483" t="s">
        <v>2346</v>
      </c>
      <c r="F91" s="505" t="s">
        <v>2859</v>
      </c>
      <c r="G91" s="483">
        <v>1</v>
      </c>
      <c r="H91" s="483">
        <v>2</v>
      </c>
      <c r="I91" s="483">
        <v>32</v>
      </c>
      <c r="J91" s="505" t="s">
        <v>2590</v>
      </c>
      <c r="K91" s="505" t="s">
        <v>1507</v>
      </c>
      <c r="L91" s="1485">
        <v>24</v>
      </c>
      <c r="M91" s="519">
        <v>30</v>
      </c>
      <c r="N91" s="1546">
        <v>30</v>
      </c>
      <c r="O91" s="483">
        <v>0</v>
      </c>
      <c r="P91" s="483">
        <v>0</v>
      </c>
      <c r="Q91" s="483">
        <v>1</v>
      </c>
      <c r="R91" s="666">
        <v>46198.752997685187</v>
      </c>
      <c r="S91" s="483">
        <v>1</v>
      </c>
      <c r="T91" s="483">
        <v>1</v>
      </c>
      <c r="V91" t="str">
        <f t="shared" si="9"/>
        <v>Case/24pcs</v>
      </c>
    </row>
    <row r="92" spans="3:22" ht="21.95" customHeight="1">
      <c r="C92" s="483">
        <v>65</v>
      </c>
      <c r="D92" s="483">
        <v>83</v>
      </c>
      <c r="E92" s="483" t="s">
        <v>2346</v>
      </c>
      <c r="F92" s="505" t="s">
        <v>2859</v>
      </c>
      <c r="G92" s="483">
        <v>1</v>
      </c>
      <c r="H92" s="483">
        <v>2</v>
      </c>
      <c r="I92" s="483">
        <v>2</v>
      </c>
      <c r="J92" s="505" t="s">
        <v>2172</v>
      </c>
      <c r="K92" s="505" t="s">
        <v>1507</v>
      </c>
      <c r="L92" s="1485">
        <v>24</v>
      </c>
      <c r="M92" s="519">
        <v>1.25</v>
      </c>
      <c r="N92" s="1546">
        <v>1.25</v>
      </c>
      <c r="O92" s="483">
        <v>0</v>
      </c>
      <c r="P92" s="483">
        <v>0</v>
      </c>
      <c r="Q92" s="483">
        <v>1</v>
      </c>
      <c r="R92" s="666">
        <v>46198.752997685187</v>
      </c>
      <c r="S92" s="483">
        <v>1</v>
      </c>
      <c r="T92" s="483">
        <v>1</v>
      </c>
      <c r="V92" t="str">
        <f t="shared" ref="V92:V155" si="10">IF(I92="","",VLOOKUP(I92,uom_list,5,FALSE))</f>
        <v>pcs</v>
      </c>
    </row>
    <row r="93" spans="3:22" ht="21.95" customHeight="1">
      <c r="C93" s="483">
        <v>66</v>
      </c>
      <c r="D93" s="483">
        <v>84</v>
      </c>
      <c r="E93" s="483" t="s">
        <v>2348</v>
      </c>
      <c r="F93" s="505" t="s">
        <v>2860</v>
      </c>
      <c r="G93" s="483">
        <v>1</v>
      </c>
      <c r="H93" s="483">
        <v>2</v>
      </c>
      <c r="I93" s="483">
        <v>26</v>
      </c>
      <c r="J93" s="505" t="s">
        <v>2164</v>
      </c>
      <c r="K93" s="505" t="s">
        <v>1507</v>
      </c>
      <c r="L93" s="1485">
        <v>14.4</v>
      </c>
      <c r="M93" s="519">
        <v>24</v>
      </c>
      <c r="N93" s="1546">
        <v>24</v>
      </c>
      <c r="O93" s="483">
        <v>0</v>
      </c>
      <c r="P93" s="483">
        <v>0</v>
      </c>
      <c r="Q93" s="483">
        <v>1</v>
      </c>
      <c r="R93" s="666">
        <v>46198.752997685187</v>
      </c>
      <c r="S93" s="483">
        <v>1</v>
      </c>
      <c r="T93" s="483">
        <v>1</v>
      </c>
      <c r="V93" t="str">
        <f t="shared" si="10"/>
        <v>Box/12pcs</v>
      </c>
    </row>
    <row r="94" spans="3:22" ht="21.95" customHeight="1">
      <c r="C94" s="483">
        <v>67</v>
      </c>
      <c r="D94" s="483">
        <v>84</v>
      </c>
      <c r="E94" s="483" t="s">
        <v>2348</v>
      </c>
      <c r="F94" s="505" t="s">
        <v>2860</v>
      </c>
      <c r="G94" s="483">
        <v>1</v>
      </c>
      <c r="H94" s="483">
        <v>2</v>
      </c>
      <c r="I94" s="483">
        <v>2</v>
      </c>
      <c r="J94" s="505" t="s">
        <v>2172</v>
      </c>
      <c r="K94" s="505" t="s">
        <v>1507</v>
      </c>
      <c r="L94" s="1485">
        <v>14.4</v>
      </c>
      <c r="M94" s="519">
        <v>2</v>
      </c>
      <c r="N94" s="1546">
        <v>2</v>
      </c>
      <c r="O94" s="483">
        <v>0</v>
      </c>
      <c r="P94" s="483">
        <v>0</v>
      </c>
      <c r="Q94" s="483">
        <v>1</v>
      </c>
      <c r="R94" s="666">
        <v>46198.752997685187</v>
      </c>
      <c r="S94" s="483">
        <v>1</v>
      </c>
      <c r="T94" s="483">
        <v>1</v>
      </c>
      <c r="V94" t="str">
        <f t="shared" si="10"/>
        <v>pcs</v>
      </c>
    </row>
    <row r="95" spans="3:22" ht="21.95" customHeight="1">
      <c r="C95" s="483">
        <v>68</v>
      </c>
      <c r="D95" s="483">
        <v>85</v>
      </c>
      <c r="E95" s="483" t="s">
        <v>2350</v>
      </c>
      <c r="F95" s="505" t="s">
        <v>2861</v>
      </c>
      <c r="G95" s="483">
        <v>1</v>
      </c>
      <c r="H95" s="483">
        <v>2</v>
      </c>
      <c r="I95" s="483">
        <v>52</v>
      </c>
      <c r="J95" s="505" t="s">
        <v>2617</v>
      </c>
      <c r="K95" s="505" t="s">
        <v>1507</v>
      </c>
      <c r="L95" s="1485">
        <v>1</v>
      </c>
      <c r="M95" s="519">
        <v>1.5</v>
      </c>
      <c r="N95" s="1546">
        <v>1.5</v>
      </c>
      <c r="O95" s="483">
        <v>0</v>
      </c>
      <c r="P95" s="483">
        <v>0</v>
      </c>
      <c r="Q95" s="483">
        <v>1</v>
      </c>
      <c r="R95" s="666">
        <v>46198.752997685187</v>
      </c>
      <c r="S95" s="483">
        <v>1</v>
      </c>
      <c r="T95" s="483">
        <v>1</v>
      </c>
      <c r="V95" t="str">
        <f t="shared" si="10"/>
        <v>Unit/2.9m</v>
      </c>
    </row>
    <row r="96" spans="3:22" ht="21.95" customHeight="1">
      <c r="C96" s="483">
        <v>69</v>
      </c>
      <c r="D96" s="483">
        <v>86</v>
      </c>
      <c r="E96" s="483" t="s">
        <v>2352</v>
      </c>
      <c r="F96" s="505" t="s">
        <v>2862</v>
      </c>
      <c r="G96" s="483">
        <v>1</v>
      </c>
      <c r="H96" s="483">
        <v>2</v>
      </c>
      <c r="I96" s="483">
        <v>40</v>
      </c>
      <c r="J96" s="505" t="s">
        <v>2710</v>
      </c>
      <c r="K96" s="505" t="s">
        <v>1507</v>
      </c>
      <c r="L96" s="1485">
        <v>92.16</v>
      </c>
      <c r="M96" s="519">
        <v>144</v>
      </c>
      <c r="N96" s="1546">
        <v>144</v>
      </c>
      <c r="O96" s="483">
        <v>0</v>
      </c>
      <c r="P96" s="483">
        <v>0</v>
      </c>
      <c r="Q96" s="483">
        <v>1</v>
      </c>
      <c r="R96" s="666">
        <v>46198.752997685187</v>
      </c>
      <c r="S96" s="483">
        <v>1</v>
      </c>
      <c r="T96" s="483">
        <v>1</v>
      </c>
      <c r="V96" t="str">
        <f t="shared" si="10"/>
        <v>Case/288pcs</v>
      </c>
    </row>
    <row r="97" spans="3:22" ht="21.95" customHeight="1">
      <c r="C97" s="483">
        <v>70</v>
      </c>
      <c r="D97" s="483">
        <v>86</v>
      </c>
      <c r="E97" s="483" t="s">
        <v>2352</v>
      </c>
      <c r="F97" s="505" t="s">
        <v>2862</v>
      </c>
      <c r="G97" s="483">
        <v>1</v>
      </c>
      <c r="H97" s="483">
        <v>2</v>
      </c>
      <c r="I97" s="483">
        <v>2</v>
      </c>
      <c r="J97" s="505" t="s">
        <v>2172</v>
      </c>
      <c r="K97" s="505" t="s">
        <v>1507</v>
      </c>
      <c r="L97" s="1485">
        <v>92.16</v>
      </c>
      <c r="M97" s="519">
        <v>0.5</v>
      </c>
      <c r="N97" s="1546">
        <v>0.5</v>
      </c>
      <c r="O97" s="483">
        <v>0</v>
      </c>
      <c r="P97" s="483">
        <v>0</v>
      </c>
      <c r="Q97" s="483">
        <v>1</v>
      </c>
      <c r="R97" s="666">
        <v>46198.752997685187</v>
      </c>
      <c r="S97" s="483">
        <v>1</v>
      </c>
      <c r="T97" s="483">
        <v>1</v>
      </c>
      <c r="V97" t="str">
        <f t="shared" si="10"/>
        <v>pcs</v>
      </c>
    </row>
    <row r="98" spans="3:22" ht="21.95" customHeight="1">
      <c r="C98" s="483">
        <v>71</v>
      </c>
      <c r="D98" s="483">
        <v>87</v>
      </c>
      <c r="E98" s="483" t="s">
        <v>2354</v>
      </c>
      <c r="F98" s="505" t="s">
        <v>2863</v>
      </c>
      <c r="G98" s="483">
        <v>1</v>
      </c>
      <c r="H98" s="483">
        <v>2</v>
      </c>
      <c r="I98" s="483">
        <v>41</v>
      </c>
      <c r="J98" s="505" t="s">
        <v>2711</v>
      </c>
      <c r="K98" s="505" t="s">
        <v>1507</v>
      </c>
      <c r="L98" s="1485">
        <v>0.317</v>
      </c>
      <c r="M98" s="519">
        <v>189</v>
      </c>
      <c r="N98" s="1546">
        <v>189</v>
      </c>
      <c r="O98" s="483">
        <v>0</v>
      </c>
      <c r="P98" s="483">
        <v>0</v>
      </c>
      <c r="Q98" s="483">
        <v>1</v>
      </c>
      <c r="R98" s="666">
        <v>46198.752997685187</v>
      </c>
      <c r="S98" s="483">
        <v>1</v>
      </c>
      <c r="T98" s="483">
        <v>1</v>
      </c>
      <c r="V98" t="str">
        <f t="shared" si="10"/>
        <v>Case/378pcs</v>
      </c>
    </row>
    <row r="99" spans="3:22" ht="21.95" customHeight="1">
      <c r="C99" s="483">
        <v>72</v>
      </c>
      <c r="D99" s="483">
        <v>87</v>
      </c>
      <c r="E99" s="483" t="s">
        <v>2354</v>
      </c>
      <c r="F99" s="505" t="s">
        <v>2863</v>
      </c>
      <c r="G99" s="483">
        <v>1</v>
      </c>
      <c r="H99" s="483">
        <v>2</v>
      </c>
      <c r="I99" s="483">
        <v>2</v>
      </c>
      <c r="J99" s="505" t="s">
        <v>2172</v>
      </c>
      <c r="K99" s="505" t="s">
        <v>1507</v>
      </c>
      <c r="L99" s="1485">
        <v>0.317</v>
      </c>
      <c r="M99" s="519">
        <v>0.5</v>
      </c>
      <c r="N99" s="1546">
        <v>0.5</v>
      </c>
      <c r="O99" s="483">
        <v>0</v>
      </c>
      <c r="P99" s="483">
        <v>0</v>
      </c>
      <c r="Q99" s="483">
        <v>1</v>
      </c>
      <c r="R99" s="666">
        <v>46198.752997685187</v>
      </c>
      <c r="S99" s="483">
        <v>1</v>
      </c>
      <c r="T99" s="483">
        <v>1</v>
      </c>
      <c r="V99" t="str">
        <f t="shared" si="10"/>
        <v>pcs</v>
      </c>
    </row>
    <row r="100" spans="3:22" ht="21.95" customHeight="1">
      <c r="C100" s="483">
        <v>73</v>
      </c>
      <c r="D100" s="483">
        <v>88</v>
      </c>
      <c r="E100" s="483" t="s">
        <v>2356</v>
      </c>
      <c r="F100" s="505" t="s">
        <v>2864</v>
      </c>
      <c r="G100" s="483">
        <v>1</v>
      </c>
      <c r="H100" s="483">
        <v>2</v>
      </c>
      <c r="I100" s="483">
        <v>38</v>
      </c>
      <c r="J100" s="505" t="s">
        <v>2708</v>
      </c>
      <c r="K100" s="505" t="s">
        <v>1507</v>
      </c>
      <c r="L100" s="1485">
        <v>82.08</v>
      </c>
      <c r="M100" s="519">
        <v>108</v>
      </c>
      <c r="N100" s="1546">
        <v>108</v>
      </c>
      <c r="O100" s="483">
        <v>0</v>
      </c>
      <c r="P100" s="483">
        <v>0</v>
      </c>
      <c r="Q100" s="483">
        <v>1</v>
      </c>
      <c r="R100" s="666">
        <v>46198.752997685187</v>
      </c>
      <c r="S100" s="483">
        <v>1</v>
      </c>
      <c r="T100" s="483">
        <v>1</v>
      </c>
      <c r="V100" t="str">
        <f t="shared" si="10"/>
        <v>Case/216pcs</v>
      </c>
    </row>
    <row r="101" spans="3:22" ht="21.95" customHeight="1">
      <c r="C101" s="483">
        <v>74</v>
      </c>
      <c r="D101" s="483">
        <v>88</v>
      </c>
      <c r="E101" s="483" t="s">
        <v>2356</v>
      </c>
      <c r="F101" s="505" t="s">
        <v>2864</v>
      </c>
      <c r="G101" s="483">
        <v>1</v>
      </c>
      <c r="H101" s="483">
        <v>2</v>
      </c>
      <c r="I101" s="483">
        <v>2</v>
      </c>
      <c r="J101" s="505" t="s">
        <v>2172</v>
      </c>
      <c r="K101" s="505" t="s">
        <v>1507</v>
      </c>
      <c r="L101" s="1485">
        <v>82.08</v>
      </c>
      <c r="M101" s="519">
        <v>0.5</v>
      </c>
      <c r="N101" s="1546">
        <v>0.5</v>
      </c>
      <c r="O101" s="483">
        <v>0</v>
      </c>
      <c r="P101" s="483">
        <v>0</v>
      </c>
      <c r="Q101" s="483">
        <v>1</v>
      </c>
      <c r="R101" s="666">
        <v>46198.752997685187</v>
      </c>
      <c r="S101" s="483">
        <v>1</v>
      </c>
      <c r="T101" s="483">
        <v>1</v>
      </c>
      <c r="V101" t="str">
        <f t="shared" si="10"/>
        <v>pcs</v>
      </c>
    </row>
    <row r="102" spans="3:22" ht="21.95" customHeight="1">
      <c r="C102" s="483">
        <v>75</v>
      </c>
      <c r="D102" s="483">
        <v>89</v>
      </c>
      <c r="E102" s="483" t="s">
        <v>2358</v>
      </c>
      <c r="F102" s="505" t="s">
        <v>2865</v>
      </c>
      <c r="G102" s="483">
        <v>1</v>
      </c>
      <c r="H102" s="483">
        <v>2</v>
      </c>
      <c r="I102" s="483">
        <v>39</v>
      </c>
      <c r="J102" s="505" t="s">
        <v>2709</v>
      </c>
      <c r="K102" s="505" t="s">
        <v>1507</v>
      </c>
      <c r="L102" s="1485">
        <v>99.1</v>
      </c>
      <c r="M102" s="519">
        <v>135</v>
      </c>
      <c r="N102" s="1546">
        <v>135</v>
      </c>
      <c r="O102" s="483">
        <v>0</v>
      </c>
      <c r="P102" s="483">
        <v>0</v>
      </c>
      <c r="Q102" s="483">
        <v>1</v>
      </c>
      <c r="R102" s="666">
        <v>46198.752997685187</v>
      </c>
      <c r="S102" s="483">
        <v>1</v>
      </c>
      <c r="T102" s="483">
        <v>1</v>
      </c>
      <c r="V102" t="str">
        <f t="shared" si="10"/>
        <v>Case/270pcs</v>
      </c>
    </row>
    <row r="103" spans="3:22" ht="21.95" customHeight="1">
      <c r="C103" s="483">
        <v>76</v>
      </c>
      <c r="D103" s="483">
        <v>89</v>
      </c>
      <c r="E103" s="483" t="s">
        <v>2358</v>
      </c>
      <c r="F103" s="505" t="s">
        <v>2865</v>
      </c>
      <c r="G103" s="483">
        <v>1</v>
      </c>
      <c r="H103" s="483">
        <v>2</v>
      </c>
      <c r="I103" s="483">
        <v>2</v>
      </c>
      <c r="J103" s="505" t="s">
        <v>2172</v>
      </c>
      <c r="K103" s="505" t="s">
        <v>1507</v>
      </c>
      <c r="L103" s="1485">
        <v>99.1</v>
      </c>
      <c r="M103" s="519">
        <v>0.5</v>
      </c>
      <c r="N103" s="1546">
        <v>0.5</v>
      </c>
      <c r="O103" s="483">
        <v>0</v>
      </c>
      <c r="P103" s="483">
        <v>0</v>
      </c>
      <c r="Q103" s="483">
        <v>1</v>
      </c>
      <c r="R103" s="666">
        <v>46198.752997685187</v>
      </c>
      <c r="S103" s="483">
        <v>1</v>
      </c>
      <c r="T103" s="483">
        <v>1</v>
      </c>
      <c r="V103" t="str">
        <f t="shared" si="10"/>
        <v>pcs</v>
      </c>
    </row>
    <row r="104" spans="3:22" ht="21.95" customHeight="1">
      <c r="C104" s="483">
        <v>77</v>
      </c>
      <c r="D104" s="483">
        <v>90</v>
      </c>
      <c r="E104" s="483" t="s">
        <v>2360</v>
      </c>
      <c r="F104" s="505" t="s">
        <v>2866</v>
      </c>
      <c r="G104" s="483">
        <v>1</v>
      </c>
      <c r="H104" s="483">
        <v>2</v>
      </c>
      <c r="I104" s="483">
        <v>35</v>
      </c>
      <c r="J104" s="505" t="s">
        <v>2588</v>
      </c>
      <c r="K104" s="505" t="s">
        <v>1507</v>
      </c>
      <c r="L104" s="1485">
        <v>18</v>
      </c>
      <c r="M104" s="519">
        <v>50</v>
      </c>
      <c r="N104" s="1546">
        <v>50</v>
      </c>
      <c r="O104" s="483">
        <v>0</v>
      </c>
      <c r="P104" s="483">
        <v>0</v>
      </c>
      <c r="Q104" s="483">
        <v>1</v>
      </c>
      <c r="R104" s="666">
        <v>46198.752997685187</v>
      </c>
      <c r="S104" s="483">
        <v>1</v>
      </c>
      <c r="T104" s="483">
        <v>1</v>
      </c>
      <c r="V104" t="str">
        <f t="shared" si="10"/>
        <v>Case/100pcs</v>
      </c>
    </row>
    <row r="105" spans="3:22" ht="21.95" customHeight="1">
      <c r="C105" s="483">
        <v>78</v>
      </c>
      <c r="D105" s="483">
        <v>90</v>
      </c>
      <c r="E105" s="483" t="s">
        <v>2360</v>
      </c>
      <c r="F105" s="505" t="s">
        <v>2866</v>
      </c>
      <c r="G105" s="483">
        <v>1</v>
      </c>
      <c r="H105" s="483">
        <v>2</v>
      </c>
      <c r="I105" s="483">
        <v>2</v>
      </c>
      <c r="J105" s="505" t="s">
        <v>2172</v>
      </c>
      <c r="K105" s="505" t="s">
        <v>1507</v>
      </c>
      <c r="L105" s="1485">
        <v>18</v>
      </c>
      <c r="M105" s="519">
        <v>0.5</v>
      </c>
      <c r="N105" s="1546">
        <v>0.5</v>
      </c>
      <c r="O105" s="483">
        <v>0</v>
      </c>
      <c r="P105" s="483">
        <v>0</v>
      </c>
      <c r="Q105" s="483">
        <v>1</v>
      </c>
      <c r="R105" s="666">
        <v>46198.752997685187</v>
      </c>
      <c r="S105" s="483">
        <v>1</v>
      </c>
      <c r="T105" s="483">
        <v>1</v>
      </c>
      <c r="V105" t="str">
        <f t="shared" si="10"/>
        <v>pcs</v>
      </c>
    </row>
    <row r="106" spans="3:22" ht="21.95" customHeight="1">
      <c r="C106" s="483">
        <v>79</v>
      </c>
      <c r="D106" s="483">
        <v>91</v>
      </c>
      <c r="E106" s="483" t="s">
        <v>2362</v>
      </c>
      <c r="F106" s="505" t="s">
        <v>2867</v>
      </c>
      <c r="G106" s="483">
        <v>1</v>
      </c>
      <c r="H106" s="483">
        <v>2</v>
      </c>
      <c r="I106" s="483">
        <v>31</v>
      </c>
      <c r="J106" s="505" t="s">
        <v>2704</v>
      </c>
      <c r="K106" s="505" t="s">
        <v>1507</v>
      </c>
      <c r="L106" s="1485">
        <v>4</v>
      </c>
      <c r="M106" s="519">
        <v>8</v>
      </c>
      <c r="N106" s="1546">
        <v>8</v>
      </c>
      <c r="O106" s="483">
        <v>0</v>
      </c>
      <c r="P106" s="483">
        <v>0</v>
      </c>
      <c r="Q106" s="483">
        <v>1</v>
      </c>
      <c r="R106" s="666">
        <v>46198.752997685187</v>
      </c>
      <c r="S106" s="483">
        <v>1</v>
      </c>
      <c r="T106" s="483">
        <v>1</v>
      </c>
      <c r="V106" t="str">
        <f t="shared" si="10"/>
        <v>Case/20pcs</v>
      </c>
    </row>
    <row r="107" spans="3:22" ht="21.95" customHeight="1">
      <c r="C107" s="483">
        <v>80</v>
      </c>
      <c r="D107" s="483">
        <v>91</v>
      </c>
      <c r="E107" s="483" t="s">
        <v>2362</v>
      </c>
      <c r="F107" s="505" t="s">
        <v>2867</v>
      </c>
      <c r="G107" s="483">
        <v>1</v>
      </c>
      <c r="H107" s="483">
        <v>2</v>
      </c>
      <c r="I107" s="483">
        <v>2</v>
      </c>
      <c r="J107" s="505" t="s">
        <v>2172</v>
      </c>
      <c r="K107" s="505" t="s">
        <v>1507</v>
      </c>
      <c r="L107" s="1485">
        <v>4</v>
      </c>
      <c r="M107" s="519">
        <v>0.4</v>
      </c>
      <c r="N107" s="1546">
        <v>0.4</v>
      </c>
      <c r="O107" s="483">
        <v>0</v>
      </c>
      <c r="P107" s="483">
        <v>0</v>
      </c>
      <c r="Q107" s="483">
        <v>1</v>
      </c>
      <c r="R107" s="666">
        <v>46198.752997685187</v>
      </c>
      <c r="S107" s="483">
        <v>1</v>
      </c>
      <c r="T107" s="483">
        <v>1</v>
      </c>
      <c r="V107" t="str">
        <f t="shared" si="10"/>
        <v>pcs</v>
      </c>
    </row>
    <row r="108" spans="3:22" ht="21.95" customHeight="1">
      <c r="C108" s="483">
        <v>81</v>
      </c>
      <c r="D108" s="483">
        <v>92</v>
      </c>
      <c r="E108" s="483" t="s">
        <v>2363</v>
      </c>
      <c r="F108" s="505" t="s">
        <v>2868</v>
      </c>
      <c r="G108" s="483">
        <v>1</v>
      </c>
      <c r="H108" s="483">
        <v>2</v>
      </c>
      <c r="I108" s="483">
        <v>52</v>
      </c>
      <c r="J108" s="505" t="s">
        <v>2617</v>
      </c>
      <c r="K108" s="505" t="s">
        <v>1507</v>
      </c>
      <c r="L108" s="1485">
        <v>0.78</v>
      </c>
      <c r="M108" s="519">
        <v>1</v>
      </c>
      <c r="N108" s="1546">
        <v>1</v>
      </c>
      <c r="O108" s="483">
        <v>0</v>
      </c>
      <c r="P108" s="483">
        <v>0</v>
      </c>
      <c r="Q108" s="483">
        <v>1</v>
      </c>
      <c r="R108" s="666">
        <v>46198.752997685187</v>
      </c>
      <c r="S108" s="483">
        <v>1</v>
      </c>
      <c r="T108" s="483">
        <v>1</v>
      </c>
      <c r="V108" t="str">
        <f t="shared" si="10"/>
        <v>Unit/2.9m</v>
      </c>
    </row>
    <row r="109" spans="3:22" ht="21.95" customHeight="1">
      <c r="C109" s="483">
        <v>82</v>
      </c>
      <c r="D109" s="483">
        <v>93</v>
      </c>
      <c r="E109" s="483" t="s">
        <v>2365</v>
      </c>
      <c r="F109" s="505" t="s">
        <v>2869</v>
      </c>
      <c r="G109" s="483">
        <v>1</v>
      </c>
      <c r="H109" s="483">
        <v>2</v>
      </c>
      <c r="I109" s="483">
        <v>32</v>
      </c>
      <c r="J109" s="505" t="s">
        <v>2590</v>
      </c>
      <c r="K109" s="505" t="s">
        <v>1507</v>
      </c>
      <c r="L109" s="1485">
        <v>11.76</v>
      </c>
      <c r="M109" s="519">
        <v>24</v>
      </c>
      <c r="N109" s="1546">
        <v>24</v>
      </c>
      <c r="O109" s="483">
        <v>0</v>
      </c>
      <c r="P109" s="483">
        <v>0</v>
      </c>
      <c r="Q109" s="483">
        <v>1</v>
      </c>
      <c r="R109" s="666">
        <v>46198.752997685187</v>
      </c>
      <c r="S109" s="483">
        <v>1</v>
      </c>
      <c r="T109" s="483">
        <v>1</v>
      </c>
      <c r="V109" t="str">
        <f t="shared" si="10"/>
        <v>Case/24pcs</v>
      </c>
    </row>
    <row r="110" spans="3:22" ht="21.95" customHeight="1">
      <c r="C110" s="483">
        <v>83</v>
      </c>
      <c r="D110" s="483">
        <v>93</v>
      </c>
      <c r="E110" s="483" t="s">
        <v>2365</v>
      </c>
      <c r="F110" s="505" t="s">
        <v>2869</v>
      </c>
      <c r="G110" s="483">
        <v>1</v>
      </c>
      <c r="H110" s="483">
        <v>2</v>
      </c>
      <c r="I110" s="483">
        <v>2</v>
      </c>
      <c r="J110" s="505" t="s">
        <v>2172</v>
      </c>
      <c r="K110" s="505" t="s">
        <v>1507</v>
      </c>
      <c r="L110" s="1485">
        <v>11.76</v>
      </c>
      <c r="M110" s="519">
        <v>1</v>
      </c>
      <c r="N110" s="1546">
        <v>1</v>
      </c>
      <c r="O110" s="483">
        <v>0</v>
      </c>
      <c r="P110" s="483">
        <v>0</v>
      </c>
      <c r="Q110" s="483">
        <v>1</v>
      </c>
      <c r="R110" s="666">
        <v>46198.752997685187</v>
      </c>
      <c r="S110" s="483">
        <v>1</v>
      </c>
      <c r="T110" s="483">
        <v>1</v>
      </c>
      <c r="V110" t="str">
        <f t="shared" si="10"/>
        <v>pcs</v>
      </c>
    </row>
    <row r="111" spans="3:22" ht="21.95" customHeight="1">
      <c r="C111" s="483">
        <v>84</v>
      </c>
      <c r="D111" s="483">
        <v>94</v>
      </c>
      <c r="E111" s="483" t="s">
        <v>2367</v>
      </c>
      <c r="F111" s="505" t="s">
        <v>2870</v>
      </c>
      <c r="G111" s="483">
        <v>1</v>
      </c>
      <c r="H111" s="483">
        <v>2</v>
      </c>
      <c r="I111" s="483">
        <v>37</v>
      </c>
      <c r="J111" s="505" t="s">
        <v>2707</v>
      </c>
      <c r="K111" s="505" t="s">
        <v>1507</v>
      </c>
      <c r="L111" s="1485">
        <v>18</v>
      </c>
      <c r="M111" s="519">
        <v>23.400000000000002</v>
      </c>
      <c r="N111" s="1546">
        <v>23.400000000000002</v>
      </c>
      <c r="O111" s="483">
        <v>0</v>
      </c>
      <c r="P111" s="483">
        <v>0</v>
      </c>
      <c r="Q111" s="483">
        <v>1</v>
      </c>
      <c r="R111" s="666">
        <v>46198.752997685187</v>
      </c>
      <c r="S111" s="483">
        <v>1</v>
      </c>
      <c r="T111" s="483">
        <v>1</v>
      </c>
      <c r="V111" t="str">
        <f t="shared" si="10"/>
        <v>Case/180pcs</v>
      </c>
    </row>
    <row r="112" spans="3:22" ht="21.95" customHeight="1">
      <c r="C112" s="483">
        <v>85</v>
      </c>
      <c r="D112" s="483">
        <v>94</v>
      </c>
      <c r="E112" s="483" t="s">
        <v>2367</v>
      </c>
      <c r="F112" s="505" t="s">
        <v>2870</v>
      </c>
      <c r="G112" s="483">
        <v>1</v>
      </c>
      <c r="H112" s="483">
        <v>2</v>
      </c>
      <c r="I112" s="483">
        <v>2</v>
      </c>
      <c r="J112" s="505" t="s">
        <v>2172</v>
      </c>
      <c r="K112" s="505" t="s">
        <v>1507</v>
      </c>
      <c r="L112" s="1485">
        <v>18</v>
      </c>
      <c r="M112" s="519">
        <v>0.13</v>
      </c>
      <c r="N112" s="1546">
        <v>0.13</v>
      </c>
      <c r="O112" s="483">
        <v>0</v>
      </c>
      <c r="P112" s="483">
        <v>0</v>
      </c>
      <c r="Q112" s="483">
        <v>1</v>
      </c>
      <c r="R112" s="666">
        <v>46198.752997685187</v>
      </c>
      <c r="S112" s="483">
        <v>1</v>
      </c>
      <c r="T112" s="483">
        <v>1</v>
      </c>
      <c r="V112" t="str">
        <f t="shared" si="10"/>
        <v>pcs</v>
      </c>
    </row>
    <row r="113" spans="3:22" ht="21.95" customHeight="1">
      <c r="C113" s="483">
        <v>86</v>
      </c>
      <c r="D113" s="483">
        <v>95</v>
      </c>
      <c r="E113" s="483" t="s">
        <v>2369</v>
      </c>
      <c r="F113" s="505" t="s">
        <v>2871</v>
      </c>
      <c r="G113" s="483">
        <v>1</v>
      </c>
      <c r="H113" s="483">
        <v>2</v>
      </c>
      <c r="I113" s="483">
        <v>26</v>
      </c>
      <c r="J113" s="505" t="s">
        <v>2164</v>
      </c>
      <c r="K113" s="505" t="s">
        <v>1507</v>
      </c>
      <c r="L113" s="1485">
        <v>4.5599999999999996</v>
      </c>
      <c r="M113" s="519">
        <v>9</v>
      </c>
      <c r="N113" s="1546">
        <v>9</v>
      </c>
      <c r="O113" s="483">
        <v>0</v>
      </c>
      <c r="P113" s="483">
        <v>0</v>
      </c>
      <c r="Q113" s="483">
        <v>1</v>
      </c>
      <c r="R113" s="666">
        <v>46198.752997685187</v>
      </c>
      <c r="S113" s="483">
        <v>1</v>
      </c>
      <c r="T113" s="483">
        <v>1</v>
      </c>
      <c r="V113" t="str">
        <f t="shared" si="10"/>
        <v>Box/12pcs</v>
      </c>
    </row>
    <row r="114" spans="3:22" ht="21.95" customHeight="1">
      <c r="C114" s="483">
        <v>87</v>
      </c>
      <c r="D114" s="483">
        <v>95</v>
      </c>
      <c r="E114" s="483" t="s">
        <v>2369</v>
      </c>
      <c r="F114" s="505" t="s">
        <v>2871</v>
      </c>
      <c r="G114" s="483">
        <v>1</v>
      </c>
      <c r="H114" s="483">
        <v>2</v>
      </c>
      <c r="I114" s="483">
        <v>2</v>
      </c>
      <c r="J114" s="505" t="s">
        <v>2172</v>
      </c>
      <c r="K114" s="505" t="s">
        <v>1507</v>
      </c>
      <c r="L114" s="1485">
        <v>4.5599999999999996</v>
      </c>
      <c r="M114" s="519">
        <v>0.75</v>
      </c>
      <c r="N114" s="1546">
        <v>0.75</v>
      </c>
      <c r="O114" s="483">
        <v>0</v>
      </c>
      <c r="P114" s="483">
        <v>0</v>
      </c>
      <c r="Q114" s="483">
        <v>1</v>
      </c>
      <c r="R114" s="666">
        <v>46198.752997685187</v>
      </c>
      <c r="S114" s="483">
        <v>1</v>
      </c>
      <c r="T114" s="483">
        <v>1</v>
      </c>
      <c r="V114" t="str">
        <f t="shared" si="10"/>
        <v>pcs</v>
      </c>
    </row>
    <row r="115" spans="3:22" ht="21.95" customHeight="1">
      <c r="C115" s="483">
        <v>88</v>
      </c>
      <c r="D115" s="483">
        <v>96</v>
      </c>
      <c r="E115" s="483" t="s">
        <v>2371</v>
      </c>
      <c r="F115" s="505" t="s">
        <v>2872</v>
      </c>
      <c r="G115" s="483">
        <v>1</v>
      </c>
      <c r="H115" s="483">
        <v>2</v>
      </c>
      <c r="I115" s="483">
        <v>26</v>
      </c>
      <c r="J115" s="505" t="s">
        <v>2164</v>
      </c>
      <c r="K115" s="505" t="s">
        <v>1507</v>
      </c>
      <c r="L115" s="1485">
        <v>3.24</v>
      </c>
      <c r="M115" s="519">
        <v>4.5600000000000005</v>
      </c>
      <c r="N115" s="1546">
        <v>4.5600000000000005</v>
      </c>
      <c r="O115" s="483">
        <v>0</v>
      </c>
      <c r="P115" s="483">
        <v>0</v>
      </c>
      <c r="Q115" s="483">
        <v>1</v>
      </c>
      <c r="R115" s="666">
        <v>46198.752997685187</v>
      </c>
      <c r="S115" s="483">
        <v>1</v>
      </c>
      <c r="T115" s="483">
        <v>1</v>
      </c>
      <c r="V115" t="str">
        <f t="shared" si="10"/>
        <v>Box/12pcs</v>
      </c>
    </row>
    <row r="116" spans="3:22" ht="21.95" customHeight="1">
      <c r="C116" s="483">
        <v>89</v>
      </c>
      <c r="D116" s="483">
        <v>96</v>
      </c>
      <c r="E116" s="483" t="s">
        <v>2371</v>
      </c>
      <c r="F116" s="505" t="s">
        <v>2872</v>
      </c>
      <c r="G116" s="483">
        <v>1</v>
      </c>
      <c r="H116" s="483">
        <v>2</v>
      </c>
      <c r="I116" s="483">
        <v>2</v>
      </c>
      <c r="J116" s="505" t="s">
        <v>2172</v>
      </c>
      <c r="K116" s="505" t="s">
        <v>1507</v>
      </c>
      <c r="L116" s="1485">
        <v>3.24</v>
      </c>
      <c r="M116" s="519">
        <v>0.38</v>
      </c>
      <c r="N116" s="1546">
        <v>0.38</v>
      </c>
      <c r="O116" s="483">
        <v>0</v>
      </c>
      <c r="P116" s="483">
        <v>0</v>
      </c>
      <c r="Q116" s="483">
        <v>1</v>
      </c>
      <c r="R116" s="666">
        <v>46198.752997685187</v>
      </c>
      <c r="S116" s="483">
        <v>1</v>
      </c>
      <c r="T116" s="483">
        <v>1</v>
      </c>
      <c r="V116" t="str">
        <f t="shared" si="10"/>
        <v>pcs</v>
      </c>
    </row>
    <row r="117" spans="3:22" ht="21.95" customHeight="1">
      <c r="C117" s="483">
        <v>90</v>
      </c>
      <c r="D117" s="483">
        <v>97</v>
      </c>
      <c r="E117" s="483" t="s">
        <v>2373</v>
      </c>
      <c r="F117" s="505" t="s">
        <v>2873</v>
      </c>
      <c r="G117" s="483">
        <v>1</v>
      </c>
      <c r="H117" s="483">
        <v>2</v>
      </c>
      <c r="I117" s="483">
        <v>26</v>
      </c>
      <c r="J117" s="505" t="s">
        <v>2164</v>
      </c>
      <c r="K117" s="505" t="s">
        <v>1507</v>
      </c>
      <c r="L117" s="1485">
        <v>3.6</v>
      </c>
      <c r="M117" s="519">
        <v>6</v>
      </c>
      <c r="N117" s="1546">
        <v>6</v>
      </c>
      <c r="O117" s="483">
        <v>0</v>
      </c>
      <c r="P117" s="483">
        <v>0</v>
      </c>
      <c r="Q117" s="483">
        <v>1</v>
      </c>
      <c r="R117" s="666">
        <v>46198.752997685187</v>
      </c>
      <c r="S117" s="483">
        <v>1</v>
      </c>
      <c r="T117" s="483">
        <v>1</v>
      </c>
      <c r="V117" t="str">
        <f t="shared" si="10"/>
        <v>Box/12pcs</v>
      </c>
    </row>
    <row r="118" spans="3:22" ht="21.95" customHeight="1">
      <c r="C118" s="483">
        <v>91</v>
      </c>
      <c r="D118" s="483">
        <v>97</v>
      </c>
      <c r="E118" s="483" t="s">
        <v>2373</v>
      </c>
      <c r="F118" s="505" t="s">
        <v>2873</v>
      </c>
      <c r="G118" s="483">
        <v>1</v>
      </c>
      <c r="H118" s="483">
        <v>2</v>
      </c>
      <c r="I118" s="483">
        <v>2</v>
      </c>
      <c r="J118" s="505" t="s">
        <v>2172</v>
      </c>
      <c r="K118" s="505" t="s">
        <v>1507</v>
      </c>
      <c r="L118" s="1485">
        <v>3.6</v>
      </c>
      <c r="M118" s="519">
        <v>0.5</v>
      </c>
      <c r="N118" s="1546">
        <v>0.5</v>
      </c>
      <c r="O118" s="483">
        <v>0</v>
      </c>
      <c r="P118" s="483">
        <v>0</v>
      </c>
      <c r="Q118" s="483">
        <v>1</v>
      </c>
      <c r="R118" s="666">
        <v>46198.752997685187</v>
      </c>
      <c r="S118" s="483">
        <v>1</v>
      </c>
      <c r="T118" s="483">
        <v>1</v>
      </c>
      <c r="V118" t="str">
        <f t="shared" si="10"/>
        <v>pcs</v>
      </c>
    </row>
    <row r="119" spans="3:22" ht="21.95" customHeight="1">
      <c r="C119" s="483">
        <v>92</v>
      </c>
      <c r="D119" s="483">
        <v>98</v>
      </c>
      <c r="E119" s="483" t="s">
        <v>2375</v>
      </c>
      <c r="F119" s="505" t="s">
        <v>2874</v>
      </c>
      <c r="G119" s="483">
        <v>1</v>
      </c>
      <c r="H119" s="483">
        <v>2</v>
      </c>
      <c r="I119" s="483">
        <v>32</v>
      </c>
      <c r="J119" s="505" t="s">
        <v>2590</v>
      </c>
      <c r="K119" s="505" t="s">
        <v>1507</v>
      </c>
      <c r="L119" s="1485">
        <v>9.6</v>
      </c>
      <c r="M119" s="519">
        <v>18</v>
      </c>
      <c r="N119" s="1546">
        <v>18</v>
      </c>
      <c r="O119" s="483">
        <v>0</v>
      </c>
      <c r="P119" s="483">
        <v>0</v>
      </c>
      <c r="Q119" s="483">
        <v>1</v>
      </c>
      <c r="R119" s="666">
        <v>46198.752997685187</v>
      </c>
      <c r="S119" s="483">
        <v>1</v>
      </c>
      <c r="T119" s="483">
        <v>1</v>
      </c>
      <c r="V119" t="str">
        <f t="shared" si="10"/>
        <v>Case/24pcs</v>
      </c>
    </row>
    <row r="120" spans="3:22" ht="21.95" customHeight="1">
      <c r="C120" s="483">
        <v>93</v>
      </c>
      <c r="D120" s="483">
        <v>98</v>
      </c>
      <c r="E120" s="483" t="s">
        <v>2375</v>
      </c>
      <c r="F120" s="505" t="s">
        <v>2874</v>
      </c>
      <c r="G120" s="483">
        <v>1</v>
      </c>
      <c r="H120" s="483">
        <v>2</v>
      </c>
      <c r="I120" s="483">
        <v>2</v>
      </c>
      <c r="J120" s="505" t="s">
        <v>2172</v>
      </c>
      <c r="K120" s="505" t="s">
        <v>1507</v>
      </c>
      <c r="L120" s="1485">
        <v>9.6</v>
      </c>
      <c r="M120" s="519">
        <v>0.75</v>
      </c>
      <c r="N120" s="1546">
        <v>0.75</v>
      </c>
      <c r="O120" s="483">
        <v>0</v>
      </c>
      <c r="P120" s="483">
        <v>0</v>
      </c>
      <c r="Q120" s="483">
        <v>1</v>
      </c>
      <c r="R120" s="666">
        <v>46198.752997685187</v>
      </c>
      <c r="S120" s="483">
        <v>1</v>
      </c>
      <c r="T120" s="483">
        <v>1</v>
      </c>
      <c r="V120" t="str">
        <f t="shared" si="10"/>
        <v>pcs</v>
      </c>
    </row>
    <row r="121" spans="3:22" ht="21.95" customHeight="1">
      <c r="C121" s="483">
        <v>94</v>
      </c>
      <c r="D121" s="483">
        <v>99</v>
      </c>
      <c r="E121" s="483" t="s">
        <v>2378</v>
      </c>
      <c r="F121" s="505" t="s">
        <v>2875</v>
      </c>
      <c r="G121" s="483">
        <v>1</v>
      </c>
      <c r="H121" s="483">
        <v>2</v>
      </c>
      <c r="I121" s="483">
        <v>31</v>
      </c>
      <c r="J121" s="505" t="s">
        <v>2704</v>
      </c>
      <c r="K121" s="505" t="s">
        <v>1507</v>
      </c>
      <c r="L121" s="1485">
        <v>4.8</v>
      </c>
      <c r="M121" s="519">
        <v>10</v>
      </c>
      <c r="N121" s="1546">
        <v>10</v>
      </c>
      <c r="O121" s="483">
        <v>0</v>
      </c>
      <c r="P121" s="483">
        <v>0</v>
      </c>
      <c r="Q121" s="483">
        <v>1</v>
      </c>
      <c r="R121" s="666">
        <v>46198.752997685187</v>
      </c>
      <c r="S121" s="483">
        <v>1</v>
      </c>
      <c r="T121" s="483">
        <v>1</v>
      </c>
      <c r="V121" t="str">
        <f t="shared" si="10"/>
        <v>Case/20pcs</v>
      </c>
    </row>
    <row r="122" spans="3:22" ht="21.95" customHeight="1">
      <c r="C122" s="483">
        <v>95</v>
      </c>
      <c r="D122" s="483">
        <v>99</v>
      </c>
      <c r="E122" s="483" t="s">
        <v>2378</v>
      </c>
      <c r="F122" s="505" t="s">
        <v>2875</v>
      </c>
      <c r="G122" s="483">
        <v>1</v>
      </c>
      <c r="H122" s="483">
        <v>2</v>
      </c>
      <c r="I122" s="483">
        <v>2</v>
      </c>
      <c r="J122" s="505" t="s">
        <v>2172</v>
      </c>
      <c r="K122" s="505" t="s">
        <v>1507</v>
      </c>
      <c r="L122" s="1485">
        <v>4.8</v>
      </c>
      <c r="M122" s="519">
        <v>0.5</v>
      </c>
      <c r="N122" s="1546">
        <v>0.5</v>
      </c>
      <c r="O122" s="483">
        <v>0</v>
      </c>
      <c r="P122" s="483">
        <v>0</v>
      </c>
      <c r="Q122" s="483">
        <v>1</v>
      </c>
      <c r="R122" s="666">
        <v>46198.752997685187</v>
      </c>
      <c r="S122" s="483">
        <v>1</v>
      </c>
      <c r="T122" s="483">
        <v>1</v>
      </c>
      <c r="V122" t="str">
        <f t="shared" si="10"/>
        <v>pcs</v>
      </c>
    </row>
    <row r="123" spans="3:22" ht="21.95" customHeight="1">
      <c r="C123" s="483">
        <v>96</v>
      </c>
      <c r="D123" s="483">
        <v>100</v>
      </c>
      <c r="E123" s="483" t="s">
        <v>2380</v>
      </c>
      <c r="F123" s="505" t="s">
        <v>2876</v>
      </c>
      <c r="G123" s="483">
        <v>1</v>
      </c>
      <c r="H123" s="483">
        <v>2</v>
      </c>
      <c r="I123" s="483">
        <v>26</v>
      </c>
      <c r="J123" s="505" t="s">
        <v>2164</v>
      </c>
      <c r="K123" s="505" t="s">
        <v>1507</v>
      </c>
      <c r="L123" s="1485">
        <v>66</v>
      </c>
      <c r="M123" s="519">
        <v>72</v>
      </c>
      <c r="N123" s="1546">
        <v>72</v>
      </c>
      <c r="O123" s="483">
        <v>0</v>
      </c>
      <c r="P123" s="483">
        <v>0</v>
      </c>
      <c r="Q123" s="483">
        <v>1</v>
      </c>
      <c r="R123" s="666">
        <v>46198.752997685187</v>
      </c>
      <c r="S123" s="483">
        <v>1</v>
      </c>
      <c r="T123" s="483">
        <v>1</v>
      </c>
      <c r="V123" t="str">
        <f t="shared" si="10"/>
        <v>Box/12pcs</v>
      </c>
    </row>
    <row r="124" spans="3:22" ht="21.95" customHeight="1">
      <c r="C124" s="483">
        <v>97</v>
      </c>
      <c r="D124" s="483">
        <v>100</v>
      </c>
      <c r="E124" s="483" t="s">
        <v>2380</v>
      </c>
      <c r="F124" s="505" t="s">
        <v>2876</v>
      </c>
      <c r="G124" s="483">
        <v>1</v>
      </c>
      <c r="H124" s="483">
        <v>2</v>
      </c>
      <c r="I124" s="483">
        <v>2</v>
      </c>
      <c r="J124" s="505" t="s">
        <v>2172</v>
      </c>
      <c r="K124" s="505" t="s">
        <v>1507</v>
      </c>
      <c r="L124" s="1485">
        <v>66</v>
      </c>
      <c r="M124" s="519">
        <v>6</v>
      </c>
      <c r="N124" s="1546">
        <v>6</v>
      </c>
      <c r="O124" s="483">
        <v>0</v>
      </c>
      <c r="P124" s="483">
        <v>0</v>
      </c>
      <c r="Q124" s="483">
        <v>1</v>
      </c>
      <c r="R124" s="666">
        <v>46198.752997685187</v>
      </c>
      <c r="S124" s="483">
        <v>1</v>
      </c>
      <c r="T124" s="483">
        <v>1</v>
      </c>
      <c r="V124" t="str">
        <f t="shared" si="10"/>
        <v>pcs</v>
      </c>
    </row>
    <row r="125" spans="3:22" ht="21.95" customHeight="1">
      <c r="C125" s="483">
        <v>98</v>
      </c>
      <c r="D125" s="483">
        <v>101</v>
      </c>
      <c r="E125" s="483" t="s">
        <v>2382</v>
      </c>
      <c r="F125" s="505" t="s">
        <v>4274</v>
      </c>
      <c r="G125" s="483">
        <v>1</v>
      </c>
      <c r="H125" s="483">
        <v>2</v>
      </c>
      <c r="I125" s="483">
        <v>46</v>
      </c>
      <c r="J125" s="505" t="s">
        <v>2714</v>
      </c>
      <c r="K125" s="505" t="s">
        <v>1507</v>
      </c>
      <c r="L125" s="1485">
        <v>5</v>
      </c>
      <c r="M125" s="519">
        <v>4.5</v>
      </c>
      <c r="N125" s="1546">
        <v>5.5</v>
      </c>
      <c r="O125" s="483">
        <v>0</v>
      </c>
      <c r="P125" s="483">
        <v>0</v>
      </c>
      <c r="Q125" s="483">
        <v>1</v>
      </c>
      <c r="R125" s="666">
        <v>46198.752997685187</v>
      </c>
      <c r="S125" s="483">
        <v>1</v>
      </c>
      <c r="T125" s="483">
        <v>1</v>
      </c>
      <c r="V125" t="str">
        <f t="shared" si="10"/>
        <v>Ctn/4.5Kg</v>
      </c>
    </row>
    <row r="126" spans="3:22" ht="21.95" customHeight="1">
      <c r="C126" s="483">
        <v>99</v>
      </c>
      <c r="D126" s="483">
        <v>101</v>
      </c>
      <c r="E126" s="483" t="s">
        <v>2382</v>
      </c>
      <c r="F126" s="505" t="s">
        <v>4274</v>
      </c>
      <c r="G126" s="483">
        <v>1</v>
      </c>
      <c r="H126" s="483">
        <v>2</v>
      </c>
      <c r="I126" s="483">
        <v>11</v>
      </c>
      <c r="J126" s="505" t="s">
        <v>2160</v>
      </c>
      <c r="K126" s="505" t="s">
        <v>1507</v>
      </c>
      <c r="L126" s="1485">
        <v>5</v>
      </c>
      <c r="M126" s="519">
        <v>1E-3</v>
      </c>
      <c r="N126" s="1546">
        <v>1E-3</v>
      </c>
      <c r="O126" s="483">
        <v>0</v>
      </c>
      <c r="P126" s="483">
        <v>0</v>
      </c>
      <c r="Q126" s="483">
        <v>1</v>
      </c>
      <c r="R126" s="666">
        <v>46198.752997685187</v>
      </c>
      <c r="S126" s="483">
        <v>1</v>
      </c>
      <c r="T126" s="483">
        <v>1</v>
      </c>
      <c r="V126" t="str">
        <f t="shared" si="10"/>
        <v>g</v>
      </c>
    </row>
    <row r="127" spans="3:22" ht="21.95" customHeight="1">
      <c r="C127" s="483">
        <v>100</v>
      </c>
      <c r="D127" s="483">
        <v>102</v>
      </c>
      <c r="E127" s="483" t="s">
        <v>2384</v>
      </c>
      <c r="F127" s="505" t="s">
        <v>2877</v>
      </c>
      <c r="G127" s="483">
        <v>1</v>
      </c>
      <c r="H127" s="483">
        <v>2</v>
      </c>
      <c r="I127" s="483">
        <v>44</v>
      </c>
      <c r="J127" s="505" t="s">
        <v>2589</v>
      </c>
      <c r="K127" s="505" t="s">
        <v>1507</v>
      </c>
      <c r="L127" s="1485">
        <v>108</v>
      </c>
      <c r="M127" s="519">
        <v>120</v>
      </c>
      <c r="N127" s="1546">
        <v>120</v>
      </c>
      <c r="O127" s="483">
        <v>0</v>
      </c>
      <c r="P127" s="483">
        <v>0</v>
      </c>
      <c r="Q127" s="483">
        <v>1</v>
      </c>
      <c r="R127" s="666">
        <v>46198.752997685187</v>
      </c>
      <c r="S127" s="483">
        <v>1</v>
      </c>
      <c r="T127" s="483">
        <v>1</v>
      </c>
      <c r="V127" t="str">
        <f t="shared" si="10"/>
        <v>Case/24Pack</v>
      </c>
    </row>
    <row r="128" spans="3:22" ht="21.95" customHeight="1">
      <c r="C128" s="483">
        <v>101</v>
      </c>
      <c r="D128" s="483">
        <v>102</v>
      </c>
      <c r="E128" s="483" t="s">
        <v>2384</v>
      </c>
      <c r="F128" s="505" t="s">
        <v>2877</v>
      </c>
      <c r="G128" s="483">
        <v>1</v>
      </c>
      <c r="H128" s="483">
        <v>2</v>
      </c>
      <c r="I128" s="483">
        <v>3</v>
      </c>
      <c r="J128" s="505" t="s">
        <v>2148</v>
      </c>
      <c r="K128" s="505" t="s">
        <v>1507</v>
      </c>
      <c r="L128" s="1485">
        <v>108</v>
      </c>
      <c r="M128" s="519">
        <v>5</v>
      </c>
      <c r="N128" s="1546">
        <v>5</v>
      </c>
      <c r="O128" s="483">
        <v>0</v>
      </c>
      <c r="P128" s="483">
        <v>0</v>
      </c>
      <c r="Q128" s="483">
        <v>1</v>
      </c>
      <c r="R128" s="666">
        <v>46198.752997685187</v>
      </c>
      <c r="S128" s="483">
        <v>1</v>
      </c>
      <c r="T128" s="483">
        <v>1</v>
      </c>
      <c r="V128" t="str">
        <f t="shared" si="10"/>
        <v>Pack</v>
      </c>
    </row>
    <row r="129" spans="3:22" ht="21.95" customHeight="1">
      <c r="C129" s="483">
        <v>102</v>
      </c>
      <c r="D129" s="483">
        <v>103</v>
      </c>
      <c r="E129" s="483" t="s">
        <v>2386</v>
      </c>
      <c r="F129" s="505" t="s">
        <v>2878</v>
      </c>
      <c r="G129" s="483">
        <v>1</v>
      </c>
      <c r="H129" s="483">
        <v>2</v>
      </c>
      <c r="I129" s="483">
        <v>26</v>
      </c>
      <c r="J129" s="505" t="s">
        <v>2164</v>
      </c>
      <c r="K129" s="505" t="s">
        <v>1507</v>
      </c>
      <c r="L129" s="1485">
        <v>9</v>
      </c>
      <c r="M129" s="519">
        <v>12</v>
      </c>
      <c r="N129" s="1546">
        <v>12</v>
      </c>
      <c r="O129" s="483">
        <v>0</v>
      </c>
      <c r="P129" s="483">
        <v>0</v>
      </c>
      <c r="Q129" s="483">
        <v>1</v>
      </c>
      <c r="R129" s="666">
        <v>46198.752997685187</v>
      </c>
      <c r="S129" s="483">
        <v>1</v>
      </c>
      <c r="T129" s="483">
        <v>1</v>
      </c>
      <c r="V129" t="str">
        <f t="shared" si="10"/>
        <v>Box/12pcs</v>
      </c>
    </row>
    <row r="130" spans="3:22" ht="21.95" customHeight="1">
      <c r="C130" s="483">
        <v>103</v>
      </c>
      <c r="D130" s="483">
        <v>103</v>
      </c>
      <c r="E130" s="483" t="s">
        <v>2386</v>
      </c>
      <c r="F130" s="505" t="s">
        <v>2878</v>
      </c>
      <c r="G130" s="483">
        <v>1</v>
      </c>
      <c r="H130" s="483">
        <v>2</v>
      </c>
      <c r="I130" s="483">
        <v>2</v>
      </c>
      <c r="J130" s="505" t="s">
        <v>2172</v>
      </c>
      <c r="K130" s="505" t="s">
        <v>1507</v>
      </c>
      <c r="L130" s="1485">
        <v>9</v>
      </c>
      <c r="M130" s="519">
        <v>1</v>
      </c>
      <c r="N130" s="1546">
        <v>1</v>
      </c>
      <c r="O130" s="483">
        <v>0</v>
      </c>
      <c r="P130" s="483">
        <v>0</v>
      </c>
      <c r="Q130" s="483">
        <v>1</v>
      </c>
      <c r="R130" s="666">
        <v>46198.752997685187</v>
      </c>
      <c r="S130" s="483">
        <v>1</v>
      </c>
      <c r="T130" s="483">
        <v>1</v>
      </c>
      <c r="V130" t="str">
        <f t="shared" si="10"/>
        <v>pcs</v>
      </c>
    </row>
    <row r="131" spans="3:22" ht="21.95" customHeight="1">
      <c r="C131" s="483">
        <v>104</v>
      </c>
      <c r="D131" s="483">
        <v>104</v>
      </c>
      <c r="E131" s="483" t="s">
        <v>2388</v>
      </c>
      <c r="F131" s="505" t="s">
        <v>2879</v>
      </c>
      <c r="G131" s="483">
        <v>1</v>
      </c>
      <c r="H131" s="483">
        <v>2</v>
      </c>
      <c r="I131" s="483">
        <v>26</v>
      </c>
      <c r="J131" s="505" t="s">
        <v>2164</v>
      </c>
      <c r="K131" s="505" t="s">
        <v>1507</v>
      </c>
      <c r="L131" s="1485">
        <v>11.4</v>
      </c>
      <c r="M131" s="519">
        <v>13.200000000000001</v>
      </c>
      <c r="N131" s="1546">
        <v>13.200000000000001</v>
      </c>
      <c r="O131" s="483">
        <v>0</v>
      </c>
      <c r="P131" s="483">
        <v>0</v>
      </c>
      <c r="Q131" s="483">
        <v>1</v>
      </c>
      <c r="R131" s="666">
        <v>46198.752997685187</v>
      </c>
      <c r="S131" s="483">
        <v>1</v>
      </c>
      <c r="T131" s="483">
        <v>1</v>
      </c>
      <c r="V131" t="str">
        <f t="shared" si="10"/>
        <v>Box/12pcs</v>
      </c>
    </row>
    <row r="132" spans="3:22" ht="21.95" customHeight="1">
      <c r="C132" s="483">
        <v>105</v>
      </c>
      <c r="D132" s="483">
        <v>104</v>
      </c>
      <c r="E132" s="483" t="s">
        <v>2388</v>
      </c>
      <c r="F132" s="505" t="s">
        <v>2879</v>
      </c>
      <c r="G132" s="483">
        <v>1</v>
      </c>
      <c r="H132" s="483">
        <v>2</v>
      </c>
      <c r="I132" s="483">
        <v>2</v>
      </c>
      <c r="J132" s="505" t="s">
        <v>2172</v>
      </c>
      <c r="K132" s="505" t="s">
        <v>1507</v>
      </c>
      <c r="L132" s="1485">
        <v>11.4</v>
      </c>
      <c r="M132" s="519">
        <v>1.1000000000000001</v>
      </c>
      <c r="N132" s="1546">
        <v>1.1000000000000001</v>
      </c>
      <c r="O132" s="483">
        <v>0</v>
      </c>
      <c r="P132" s="483">
        <v>0</v>
      </c>
      <c r="Q132" s="483">
        <v>1</v>
      </c>
      <c r="R132" s="666">
        <v>46198.752997685187</v>
      </c>
      <c r="S132" s="483">
        <v>1</v>
      </c>
      <c r="T132" s="483">
        <v>1</v>
      </c>
      <c r="V132" t="str">
        <f t="shared" si="10"/>
        <v>pcs</v>
      </c>
    </row>
    <row r="133" spans="3:22" ht="21.95" customHeight="1">
      <c r="C133" s="483">
        <v>106</v>
      </c>
      <c r="D133" s="483">
        <v>105</v>
      </c>
      <c r="E133" s="483" t="s">
        <v>2390</v>
      </c>
      <c r="F133" s="505" t="s">
        <v>2880</v>
      </c>
      <c r="G133" s="483">
        <v>1</v>
      </c>
      <c r="H133" s="483">
        <v>2</v>
      </c>
      <c r="I133" s="483">
        <v>26</v>
      </c>
      <c r="J133" s="505" t="s">
        <v>2164</v>
      </c>
      <c r="K133" s="505" t="s">
        <v>1507</v>
      </c>
      <c r="L133" s="1485">
        <v>13.2</v>
      </c>
      <c r="M133" s="519">
        <v>15</v>
      </c>
      <c r="N133" s="1546">
        <v>15</v>
      </c>
      <c r="O133" s="483">
        <v>0</v>
      </c>
      <c r="P133" s="483">
        <v>0</v>
      </c>
      <c r="Q133" s="483">
        <v>1</v>
      </c>
      <c r="R133" s="666">
        <v>46198.752997685187</v>
      </c>
      <c r="S133" s="483">
        <v>1</v>
      </c>
      <c r="T133" s="483">
        <v>1</v>
      </c>
      <c r="V133" t="str">
        <f t="shared" si="10"/>
        <v>Box/12pcs</v>
      </c>
    </row>
    <row r="134" spans="3:22" ht="21.95" customHeight="1">
      <c r="C134" s="483">
        <v>107</v>
      </c>
      <c r="D134" s="483">
        <v>105</v>
      </c>
      <c r="E134" s="483" t="s">
        <v>2390</v>
      </c>
      <c r="F134" s="505" t="s">
        <v>2880</v>
      </c>
      <c r="G134" s="483">
        <v>1</v>
      </c>
      <c r="H134" s="483">
        <v>2</v>
      </c>
      <c r="I134" s="483">
        <v>2</v>
      </c>
      <c r="J134" s="505" t="s">
        <v>2172</v>
      </c>
      <c r="K134" s="505" t="s">
        <v>1507</v>
      </c>
      <c r="L134" s="1485">
        <v>13.2</v>
      </c>
      <c r="M134" s="519">
        <v>1.25</v>
      </c>
      <c r="N134" s="1546">
        <v>1.25</v>
      </c>
      <c r="O134" s="483">
        <v>0</v>
      </c>
      <c r="P134" s="483">
        <v>0</v>
      </c>
      <c r="Q134" s="483">
        <v>1</v>
      </c>
      <c r="R134" s="666">
        <v>46198.752997685187</v>
      </c>
      <c r="S134" s="483">
        <v>1</v>
      </c>
      <c r="T134" s="483">
        <v>1</v>
      </c>
      <c r="V134" t="str">
        <f t="shared" si="10"/>
        <v>pcs</v>
      </c>
    </row>
    <row r="135" spans="3:22" ht="21.95" customHeight="1">
      <c r="C135" s="483">
        <v>108</v>
      </c>
      <c r="D135" s="483">
        <v>106</v>
      </c>
      <c r="E135" s="483" t="s">
        <v>2392</v>
      </c>
      <c r="F135" s="505" t="s">
        <v>2881</v>
      </c>
      <c r="G135" s="483">
        <v>1</v>
      </c>
      <c r="H135" s="483">
        <v>2</v>
      </c>
      <c r="I135" s="483">
        <v>26</v>
      </c>
      <c r="J135" s="505" t="s">
        <v>2164</v>
      </c>
      <c r="K135" s="505" t="s">
        <v>1507</v>
      </c>
      <c r="L135" s="1485">
        <v>14.4</v>
      </c>
      <c r="M135" s="519">
        <v>18</v>
      </c>
      <c r="N135" s="1546">
        <v>18</v>
      </c>
      <c r="O135" s="483">
        <v>0</v>
      </c>
      <c r="P135" s="483">
        <v>0</v>
      </c>
      <c r="Q135" s="483">
        <v>1</v>
      </c>
      <c r="R135" s="666">
        <v>46198.752997685187</v>
      </c>
      <c r="S135" s="483">
        <v>1</v>
      </c>
      <c r="T135" s="483">
        <v>1</v>
      </c>
      <c r="V135" t="str">
        <f t="shared" si="10"/>
        <v>Box/12pcs</v>
      </c>
    </row>
    <row r="136" spans="3:22" ht="21.95" customHeight="1">
      <c r="C136" s="483">
        <v>109</v>
      </c>
      <c r="D136" s="483">
        <v>106</v>
      </c>
      <c r="E136" s="483" t="s">
        <v>2392</v>
      </c>
      <c r="F136" s="505" t="s">
        <v>2881</v>
      </c>
      <c r="G136" s="483">
        <v>1</v>
      </c>
      <c r="H136" s="483">
        <v>2</v>
      </c>
      <c r="I136" s="483">
        <v>2</v>
      </c>
      <c r="J136" s="505" t="s">
        <v>2172</v>
      </c>
      <c r="K136" s="505" t="s">
        <v>1507</v>
      </c>
      <c r="L136" s="1485">
        <v>14.4</v>
      </c>
      <c r="M136" s="519">
        <v>1.5</v>
      </c>
      <c r="N136" s="1546">
        <v>1.5</v>
      </c>
      <c r="O136" s="483">
        <v>0</v>
      </c>
      <c r="P136" s="483">
        <v>0</v>
      </c>
      <c r="Q136" s="483">
        <v>1</v>
      </c>
      <c r="R136" s="666">
        <v>46198.752997685187</v>
      </c>
      <c r="S136" s="483">
        <v>1</v>
      </c>
      <c r="T136" s="483">
        <v>1</v>
      </c>
      <c r="V136" t="str">
        <f t="shared" si="10"/>
        <v>pcs</v>
      </c>
    </row>
    <row r="137" spans="3:22" ht="21.95" customHeight="1">
      <c r="C137" s="483">
        <v>110</v>
      </c>
      <c r="D137" s="483">
        <v>107</v>
      </c>
      <c r="E137" s="483" t="s">
        <v>2394</v>
      </c>
      <c r="F137" s="505" t="s">
        <v>2882</v>
      </c>
      <c r="G137" s="483">
        <v>1</v>
      </c>
      <c r="H137" s="483">
        <v>2</v>
      </c>
      <c r="I137" s="483">
        <v>26</v>
      </c>
      <c r="J137" s="505" t="s">
        <v>2164</v>
      </c>
      <c r="K137" s="505" t="s">
        <v>1507</v>
      </c>
      <c r="L137" s="1485">
        <v>2.2999999999999998</v>
      </c>
      <c r="M137" s="519">
        <v>33</v>
      </c>
      <c r="N137" s="1546">
        <v>33</v>
      </c>
      <c r="O137" s="483">
        <v>0</v>
      </c>
      <c r="P137" s="483">
        <v>0</v>
      </c>
      <c r="Q137" s="483">
        <v>1</v>
      </c>
      <c r="R137" s="666">
        <v>46198.752997685187</v>
      </c>
      <c r="S137" s="483">
        <v>1</v>
      </c>
      <c r="T137" s="483">
        <v>1</v>
      </c>
      <c r="V137" t="str">
        <f t="shared" si="10"/>
        <v>Box/12pcs</v>
      </c>
    </row>
    <row r="138" spans="3:22" ht="21.95" customHeight="1">
      <c r="C138" s="483">
        <v>111</v>
      </c>
      <c r="D138" s="483">
        <v>107</v>
      </c>
      <c r="E138" s="483" t="s">
        <v>2394</v>
      </c>
      <c r="F138" s="505" t="s">
        <v>2882</v>
      </c>
      <c r="G138" s="483">
        <v>1</v>
      </c>
      <c r="H138" s="483">
        <v>2</v>
      </c>
      <c r="I138" s="483">
        <v>2</v>
      </c>
      <c r="J138" s="505" t="s">
        <v>2172</v>
      </c>
      <c r="K138" s="505" t="s">
        <v>1507</v>
      </c>
      <c r="L138" s="1485">
        <v>2.2999999999999998</v>
      </c>
      <c r="M138" s="519">
        <v>2.75</v>
      </c>
      <c r="N138" s="1546">
        <v>2.75</v>
      </c>
      <c r="O138" s="483">
        <v>0</v>
      </c>
      <c r="P138" s="483">
        <v>0</v>
      </c>
      <c r="Q138" s="483">
        <v>1</v>
      </c>
      <c r="R138" s="666">
        <v>46198.752997685187</v>
      </c>
      <c r="S138" s="483">
        <v>1</v>
      </c>
      <c r="T138" s="483">
        <v>1</v>
      </c>
      <c r="V138" t="str">
        <f t="shared" si="10"/>
        <v>pcs</v>
      </c>
    </row>
    <row r="139" spans="3:22" ht="21.95" customHeight="1">
      <c r="C139" s="483">
        <v>112</v>
      </c>
      <c r="D139" s="483">
        <v>108</v>
      </c>
      <c r="E139" s="483" t="s">
        <v>2396</v>
      </c>
      <c r="F139" s="505" t="s">
        <v>2883</v>
      </c>
      <c r="G139" s="483">
        <v>1</v>
      </c>
      <c r="H139" s="483">
        <v>2</v>
      </c>
      <c r="I139" s="483">
        <v>2</v>
      </c>
      <c r="J139" s="505" t="s">
        <v>2172</v>
      </c>
      <c r="K139" s="505" t="s">
        <v>1507</v>
      </c>
      <c r="L139" s="1485">
        <v>2.7</v>
      </c>
      <c r="M139" s="519">
        <v>3</v>
      </c>
      <c r="N139" s="1546">
        <v>3</v>
      </c>
      <c r="O139" s="483">
        <v>0</v>
      </c>
      <c r="P139" s="483">
        <v>0</v>
      </c>
      <c r="Q139" s="483">
        <v>1</v>
      </c>
      <c r="R139" s="666">
        <v>46198.752997685187</v>
      </c>
      <c r="S139" s="483">
        <v>1</v>
      </c>
      <c r="T139" s="483">
        <v>1</v>
      </c>
      <c r="V139" t="str">
        <f t="shared" si="10"/>
        <v>pcs</v>
      </c>
    </row>
    <row r="140" spans="3:22" ht="21.95" customHeight="1">
      <c r="C140" s="483">
        <v>113</v>
      </c>
      <c r="D140" s="483">
        <v>109</v>
      </c>
      <c r="E140" s="483" t="s">
        <v>2398</v>
      </c>
      <c r="F140" s="505" t="s">
        <v>2884</v>
      </c>
      <c r="G140" s="483">
        <v>1</v>
      </c>
      <c r="H140" s="483">
        <v>2</v>
      </c>
      <c r="I140" s="483">
        <v>2</v>
      </c>
      <c r="J140" s="505" t="s">
        <v>2172</v>
      </c>
      <c r="K140" s="505" t="s">
        <v>1507</v>
      </c>
      <c r="L140" s="1485">
        <v>3.7</v>
      </c>
      <c r="M140" s="519">
        <v>4</v>
      </c>
      <c r="N140" s="1546">
        <v>4</v>
      </c>
      <c r="O140" s="483">
        <v>0</v>
      </c>
      <c r="P140" s="483">
        <v>0</v>
      </c>
      <c r="Q140" s="483">
        <v>1</v>
      </c>
      <c r="R140" s="666">
        <v>46198.752997685187</v>
      </c>
      <c r="S140" s="483">
        <v>1</v>
      </c>
      <c r="T140" s="483">
        <v>1</v>
      </c>
      <c r="V140" t="str">
        <f t="shared" si="10"/>
        <v>pcs</v>
      </c>
    </row>
    <row r="141" spans="3:22" ht="21.95" customHeight="1">
      <c r="C141" s="483">
        <v>114</v>
      </c>
      <c r="D141" s="483">
        <v>110</v>
      </c>
      <c r="E141" s="483" t="s">
        <v>2400</v>
      </c>
      <c r="F141" s="505" t="s">
        <v>2885</v>
      </c>
      <c r="G141" s="483">
        <v>1</v>
      </c>
      <c r="H141" s="483">
        <v>2</v>
      </c>
      <c r="I141" s="483">
        <v>2</v>
      </c>
      <c r="J141" s="505" t="s">
        <v>2172</v>
      </c>
      <c r="K141" s="505" t="s">
        <v>1507</v>
      </c>
      <c r="L141" s="1485">
        <v>0.35</v>
      </c>
      <c r="M141" s="519">
        <v>0.5</v>
      </c>
      <c r="N141" s="1546">
        <v>0.5</v>
      </c>
      <c r="O141" s="483">
        <v>0</v>
      </c>
      <c r="P141" s="483">
        <v>0</v>
      </c>
      <c r="Q141" s="483">
        <v>1</v>
      </c>
      <c r="R141" s="666">
        <v>46198.752997685187</v>
      </c>
      <c r="S141" s="483">
        <v>1</v>
      </c>
      <c r="T141" s="483">
        <v>1</v>
      </c>
      <c r="V141" t="str">
        <f t="shared" si="10"/>
        <v>pcs</v>
      </c>
    </row>
    <row r="142" spans="3:22" ht="21.95" customHeight="1">
      <c r="C142" s="483">
        <v>115</v>
      </c>
      <c r="D142" s="483">
        <v>111</v>
      </c>
      <c r="E142" s="483" t="s">
        <v>2402</v>
      </c>
      <c r="F142" s="505" t="s">
        <v>2886</v>
      </c>
      <c r="G142" s="483">
        <v>1</v>
      </c>
      <c r="H142" s="483">
        <v>2</v>
      </c>
      <c r="I142" s="483">
        <v>2</v>
      </c>
      <c r="J142" s="505" t="s">
        <v>2172</v>
      </c>
      <c r="K142" s="505" t="s">
        <v>1507</v>
      </c>
      <c r="L142" s="1485">
        <v>0.4</v>
      </c>
      <c r="M142" s="519">
        <v>0.5</v>
      </c>
      <c r="N142" s="1546">
        <v>0.5</v>
      </c>
      <c r="O142" s="483">
        <v>0</v>
      </c>
      <c r="P142" s="483">
        <v>0</v>
      </c>
      <c r="Q142" s="483">
        <v>1</v>
      </c>
      <c r="R142" s="666">
        <v>46198.752997685187</v>
      </c>
      <c r="S142" s="483">
        <v>1</v>
      </c>
      <c r="T142" s="483">
        <v>1</v>
      </c>
      <c r="V142" t="str">
        <f t="shared" si="10"/>
        <v>pcs</v>
      </c>
    </row>
    <row r="143" spans="3:22" ht="21.95" customHeight="1">
      <c r="C143" s="483">
        <v>116</v>
      </c>
      <c r="D143" s="483">
        <v>112</v>
      </c>
      <c r="E143" s="483" t="s">
        <v>2404</v>
      </c>
      <c r="F143" s="505" t="s">
        <v>2887</v>
      </c>
      <c r="G143" s="483">
        <v>1</v>
      </c>
      <c r="H143" s="483">
        <v>2</v>
      </c>
      <c r="I143" s="483">
        <v>2</v>
      </c>
      <c r="J143" s="505" t="s">
        <v>2172</v>
      </c>
      <c r="K143" s="505" t="s">
        <v>1507</v>
      </c>
      <c r="L143" s="1485">
        <v>2.6</v>
      </c>
      <c r="M143" s="519">
        <v>3</v>
      </c>
      <c r="N143" s="1546">
        <v>3</v>
      </c>
      <c r="O143" s="483">
        <v>0</v>
      </c>
      <c r="P143" s="483">
        <v>0</v>
      </c>
      <c r="Q143" s="483">
        <v>1</v>
      </c>
      <c r="R143" s="666">
        <v>46198.752997685187</v>
      </c>
      <c r="S143" s="483">
        <v>1</v>
      </c>
      <c r="T143" s="483">
        <v>1</v>
      </c>
      <c r="V143" t="str">
        <f t="shared" si="10"/>
        <v>pcs</v>
      </c>
    </row>
    <row r="144" spans="3:22" ht="21.95" customHeight="1">
      <c r="C144" s="483">
        <v>117</v>
      </c>
      <c r="D144" s="483">
        <v>113</v>
      </c>
      <c r="E144" s="483" t="s">
        <v>2406</v>
      </c>
      <c r="F144" s="505" t="s">
        <v>2888</v>
      </c>
      <c r="G144" s="483">
        <v>1</v>
      </c>
      <c r="H144" s="483">
        <v>2</v>
      </c>
      <c r="I144" s="483">
        <v>2</v>
      </c>
      <c r="J144" s="505" t="s">
        <v>2172</v>
      </c>
      <c r="K144" s="505" t="s">
        <v>1507</v>
      </c>
      <c r="L144" s="1485">
        <v>1.3</v>
      </c>
      <c r="M144" s="519">
        <v>1.75</v>
      </c>
      <c r="N144" s="1546">
        <v>1.75</v>
      </c>
      <c r="O144" s="483">
        <v>0</v>
      </c>
      <c r="P144" s="483">
        <v>0</v>
      </c>
      <c r="Q144" s="483">
        <v>1</v>
      </c>
      <c r="R144" s="666">
        <v>46198.752997685187</v>
      </c>
      <c r="S144" s="483">
        <v>1</v>
      </c>
      <c r="T144" s="483">
        <v>1</v>
      </c>
      <c r="V144" t="str">
        <f t="shared" si="10"/>
        <v>pcs</v>
      </c>
    </row>
    <row r="145" spans="3:22" ht="21.95" customHeight="1">
      <c r="C145" s="483">
        <v>118</v>
      </c>
      <c r="D145" s="483">
        <v>114</v>
      </c>
      <c r="E145" s="483" t="s">
        <v>2408</v>
      </c>
      <c r="F145" s="505" t="s">
        <v>2889</v>
      </c>
      <c r="G145" s="483">
        <v>1</v>
      </c>
      <c r="H145" s="483">
        <v>2</v>
      </c>
      <c r="I145" s="483">
        <v>2</v>
      </c>
      <c r="J145" s="505" t="s">
        <v>2172</v>
      </c>
      <c r="K145" s="505" t="s">
        <v>1507</v>
      </c>
      <c r="L145" s="1485">
        <v>1.5</v>
      </c>
      <c r="M145" s="519">
        <v>2</v>
      </c>
      <c r="N145" s="1546">
        <v>2</v>
      </c>
      <c r="O145" s="483">
        <v>0</v>
      </c>
      <c r="P145" s="483">
        <v>0</v>
      </c>
      <c r="Q145" s="483">
        <v>1</v>
      </c>
      <c r="R145" s="666">
        <v>46198.752997685187</v>
      </c>
      <c r="S145" s="483">
        <v>1</v>
      </c>
      <c r="T145" s="483">
        <v>1</v>
      </c>
      <c r="V145" t="str">
        <f t="shared" si="10"/>
        <v>pcs</v>
      </c>
    </row>
    <row r="146" spans="3:22" ht="21.95" customHeight="1">
      <c r="C146" s="483">
        <v>119</v>
      </c>
      <c r="D146" s="483">
        <v>115</v>
      </c>
      <c r="E146" s="483" t="s">
        <v>2410</v>
      </c>
      <c r="F146" s="505" t="s">
        <v>2890</v>
      </c>
      <c r="G146" s="483">
        <v>1</v>
      </c>
      <c r="H146" s="483">
        <v>2</v>
      </c>
      <c r="I146" s="483">
        <v>2</v>
      </c>
      <c r="J146" s="505" t="s">
        <v>2172</v>
      </c>
      <c r="K146" s="505" t="s">
        <v>1507</v>
      </c>
      <c r="L146" s="1485">
        <v>0.85</v>
      </c>
      <c r="M146" s="519">
        <v>1.5</v>
      </c>
      <c r="N146" s="1546">
        <v>1.5</v>
      </c>
      <c r="O146" s="483">
        <v>0</v>
      </c>
      <c r="P146" s="483">
        <v>0</v>
      </c>
      <c r="Q146" s="483">
        <v>1</v>
      </c>
      <c r="R146" s="666">
        <v>46198.752997685187</v>
      </c>
      <c r="S146" s="483">
        <v>1</v>
      </c>
      <c r="T146" s="483">
        <v>1</v>
      </c>
      <c r="V146" t="str">
        <f t="shared" si="10"/>
        <v>pcs</v>
      </c>
    </row>
    <row r="147" spans="3:22" ht="21.95" customHeight="1">
      <c r="C147" s="483">
        <v>120</v>
      </c>
      <c r="D147" s="483">
        <v>116</v>
      </c>
      <c r="E147" s="483" t="s">
        <v>2412</v>
      </c>
      <c r="F147" s="505" t="s">
        <v>2891</v>
      </c>
      <c r="G147" s="483">
        <v>1</v>
      </c>
      <c r="H147" s="483">
        <v>2</v>
      </c>
      <c r="I147" s="483">
        <v>2</v>
      </c>
      <c r="J147" s="505" t="s">
        <v>2172</v>
      </c>
      <c r="K147" s="505" t="s">
        <v>1507</v>
      </c>
      <c r="L147" s="1485">
        <v>0.95</v>
      </c>
      <c r="M147" s="519">
        <v>1.5</v>
      </c>
      <c r="N147" s="1546">
        <v>1.5</v>
      </c>
      <c r="O147" s="483">
        <v>0</v>
      </c>
      <c r="P147" s="483">
        <v>0</v>
      </c>
      <c r="Q147" s="483">
        <v>1</v>
      </c>
      <c r="R147" s="666">
        <v>46198.752997685187</v>
      </c>
      <c r="S147" s="483">
        <v>1</v>
      </c>
      <c r="T147" s="483">
        <v>1</v>
      </c>
      <c r="V147" t="str">
        <f t="shared" si="10"/>
        <v>pcs</v>
      </c>
    </row>
    <row r="148" spans="3:22" ht="21.95" customHeight="1">
      <c r="C148" s="483">
        <v>121</v>
      </c>
      <c r="D148" s="483">
        <v>117</v>
      </c>
      <c r="E148" s="483" t="s">
        <v>2414</v>
      </c>
      <c r="F148" s="505" t="s">
        <v>2892</v>
      </c>
      <c r="G148" s="483">
        <v>1</v>
      </c>
      <c r="H148" s="483">
        <v>2</v>
      </c>
      <c r="I148" s="483">
        <v>25</v>
      </c>
      <c r="J148" s="505" t="s">
        <v>2165</v>
      </c>
      <c r="K148" s="505" t="s">
        <v>1507</v>
      </c>
      <c r="L148" s="1485">
        <v>6.6</v>
      </c>
      <c r="M148" s="519">
        <v>8.1000000000000014</v>
      </c>
      <c r="N148" s="1546">
        <v>8.1000000000000014</v>
      </c>
      <c r="O148" s="483">
        <v>0</v>
      </c>
      <c r="P148" s="483">
        <v>0</v>
      </c>
      <c r="Q148" s="483">
        <v>1</v>
      </c>
      <c r="R148" s="666">
        <v>46198.752997685187</v>
      </c>
      <c r="S148" s="483">
        <v>1</v>
      </c>
      <c r="T148" s="483">
        <v>1</v>
      </c>
      <c r="V148" t="str">
        <f t="shared" si="10"/>
        <v>Box/6pcs</v>
      </c>
    </row>
    <row r="149" spans="3:22" ht="21.95" customHeight="1">
      <c r="C149" s="483">
        <v>122</v>
      </c>
      <c r="D149" s="483">
        <v>117</v>
      </c>
      <c r="E149" s="483" t="s">
        <v>2414</v>
      </c>
      <c r="F149" s="505" t="s">
        <v>2892</v>
      </c>
      <c r="G149" s="483">
        <v>1</v>
      </c>
      <c r="H149" s="483">
        <v>2</v>
      </c>
      <c r="I149" s="483">
        <v>2</v>
      </c>
      <c r="J149" s="505" t="s">
        <v>2172</v>
      </c>
      <c r="K149" s="505" t="s">
        <v>1507</v>
      </c>
      <c r="L149" s="1485">
        <v>6.6</v>
      </c>
      <c r="M149" s="519">
        <v>1.35</v>
      </c>
      <c r="N149" s="1546">
        <v>1.35</v>
      </c>
      <c r="O149" s="483">
        <v>0</v>
      </c>
      <c r="P149" s="483">
        <v>0</v>
      </c>
      <c r="Q149" s="483">
        <v>1</v>
      </c>
      <c r="R149" s="666">
        <v>46198.752997685187</v>
      </c>
      <c r="S149" s="483">
        <v>1</v>
      </c>
      <c r="T149" s="483">
        <v>1</v>
      </c>
      <c r="V149" t="str">
        <f t="shared" si="10"/>
        <v>pcs</v>
      </c>
    </row>
    <row r="150" spans="3:22" ht="21.95" customHeight="1">
      <c r="C150" s="483">
        <v>123</v>
      </c>
      <c r="D150" s="483">
        <v>118</v>
      </c>
      <c r="E150" s="483" t="s">
        <v>2416</v>
      </c>
      <c r="F150" s="505" t="s">
        <v>2893</v>
      </c>
      <c r="G150" s="483">
        <v>1</v>
      </c>
      <c r="H150" s="483">
        <v>2</v>
      </c>
      <c r="I150" s="483">
        <v>25</v>
      </c>
      <c r="J150" s="505" t="s">
        <v>2165</v>
      </c>
      <c r="K150" s="505" t="s">
        <v>1507</v>
      </c>
      <c r="L150" s="1485">
        <v>7.2</v>
      </c>
      <c r="M150" s="519">
        <v>9</v>
      </c>
      <c r="N150" s="1546">
        <v>9</v>
      </c>
      <c r="O150" s="483">
        <v>0</v>
      </c>
      <c r="P150" s="483">
        <v>0</v>
      </c>
      <c r="Q150" s="483">
        <v>1</v>
      </c>
      <c r="R150" s="666">
        <v>46198.752997685187</v>
      </c>
      <c r="S150" s="483">
        <v>1</v>
      </c>
      <c r="T150" s="483">
        <v>1</v>
      </c>
      <c r="V150" t="str">
        <f t="shared" si="10"/>
        <v>Box/6pcs</v>
      </c>
    </row>
    <row r="151" spans="3:22" ht="21.95" customHeight="1">
      <c r="C151" s="483">
        <v>124</v>
      </c>
      <c r="D151" s="483">
        <v>118</v>
      </c>
      <c r="E151" s="483" t="s">
        <v>2416</v>
      </c>
      <c r="F151" s="505" t="s">
        <v>2893</v>
      </c>
      <c r="G151" s="483">
        <v>1</v>
      </c>
      <c r="H151" s="483">
        <v>2</v>
      </c>
      <c r="I151" s="483">
        <v>2</v>
      </c>
      <c r="J151" s="505" t="s">
        <v>2172</v>
      </c>
      <c r="K151" s="505" t="s">
        <v>1507</v>
      </c>
      <c r="L151" s="1485">
        <v>7.2</v>
      </c>
      <c r="M151" s="519">
        <v>1.5</v>
      </c>
      <c r="N151" s="1546">
        <v>1.5</v>
      </c>
      <c r="O151" s="483">
        <v>0</v>
      </c>
      <c r="P151" s="483">
        <v>0</v>
      </c>
      <c r="Q151" s="483">
        <v>1</v>
      </c>
      <c r="R151" s="666">
        <v>46198.752997685187</v>
      </c>
      <c r="S151" s="483">
        <v>1</v>
      </c>
      <c r="T151" s="483">
        <v>1</v>
      </c>
      <c r="V151" t="str">
        <f t="shared" si="10"/>
        <v>pcs</v>
      </c>
    </row>
    <row r="152" spans="3:22" ht="21.95" customHeight="1">
      <c r="C152" s="483">
        <v>125</v>
      </c>
      <c r="D152" s="483">
        <v>119</v>
      </c>
      <c r="E152" s="483" t="s">
        <v>2418</v>
      </c>
      <c r="F152" s="505" t="s">
        <v>2894</v>
      </c>
      <c r="G152" s="483">
        <v>1</v>
      </c>
      <c r="H152" s="483">
        <v>2</v>
      </c>
      <c r="I152" s="483">
        <v>25</v>
      </c>
      <c r="J152" s="505" t="s">
        <v>2165</v>
      </c>
      <c r="K152" s="505" t="s">
        <v>1507</v>
      </c>
      <c r="L152" s="1485">
        <v>7.8</v>
      </c>
      <c r="M152" s="519">
        <v>10.5</v>
      </c>
      <c r="N152" s="1546">
        <v>10.5</v>
      </c>
      <c r="O152" s="483">
        <v>0</v>
      </c>
      <c r="P152" s="483">
        <v>0</v>
      </c>
      <c r="Q152" s="483">
        <v>1</v>
      </c>
      <c r="R152" s="666">
        <v>46198.752997685187</v>
      </c>
      <c r="S152" s="483">
        <v>1</v>
      </c>
      <c r="T152" s="483">
        <v>1</v>
      </c>
      <c r="V152" t="str">
        <f t="shared" si="10"/>
        <v>Box/6pcs</v>
      </c>
    </row>
    <row r="153" spans="3:22" ht="21.95" customHeight="1">
      <c r="C153" s="483">
        <v>126</v>
      </c>
      <c r="D153" s="483">
        <v>119</v>
      </c>
      <c r="E153" s="483" t="s">
        <v>2418</v>
      </c>
      <c r="F153" s="505" t="s">
        <v>2894</v>
      </c>
      <c r="G153" s="483">
        <v>1</v>
      </c>
      <c r="H153" s="483">
        <v>2</v>
      </c>
      <c r="I153" s="483">
        <v>2</v>
      </c>
      <c r="J153" s="505" t="s">
        <v>2172</v>
      </c>
      <c r="K153" s="505" t="s">
        <v>1507</v>
      </c>
      <c r="L153" s="1485">
        <v>7.8</v>
      </c>
      <c r="M153" s="519">
        <v>1.75</v>
      </c>
      <c r="N153" s="1546">
        <v>1.75</v>
      </c>
      <c r="O153" s="483">
        <v>0</v>
      </c>
      <c r="P153" s="483">
        <v>0</v>
      </c>
      <c r="Q153" s="483">
        <v>1</v>
      </c>
      <c r="R153" s="666">
        <v>46198.752997685187</v>
      </c>
      <c r="S153" s="483">
        <v>1</v>
      </c>
      <c r="T153" s="483">
        <v>1</v>
      </c>
      <c r="V153" t="str">
        <f t="shared" si="10"/>
        <v>pcs</v>
      </c>
    </row>
    <row r="154" spans="3:22" ht="21.95" customHeight="1">
      <c r="C154" s="483">
        <v>127</v>
      </c>
      <c r="D154" s="483">
        <v>120</v>
      </c>
      <c r="E154" s="483" t="s">
        <v>2420</v>
      </c>
      <c r="F154" s="505" t="s">
        <v>2895</v>
      </c>
      <c r="G154" s="483">
        <v>1</v>
      </c>
      <c r="H154" s="483">
        <v>2</v>
      </c>
      <c r="I154" s="483">
        <v>25</v>
      </c>
      <c r="J154" s="505" t="s">
        <v>2165</v>
      </c>
      <c r="K154" s="505" t="s">
        <v>1507</v>
      </c>
      <c r="L154" s="1485">
        <v>8.4</v>
      </c>
      <c r="M154" s="519">
        <v>10.8</v>
      </c>
      <c r="N154" s="1546">
        <v>10.8</v>
      </c>
      <c r="O154" s="483">
        <v>0</v>
      </c>
      <c r="P154" s="483">
        <v>0</v>
      </c>
      <c r="Q154" s="483">
        <v>1</v>
      </c>
      <c r="R154" s="666">
        <v>46198.752997685187</v>
      </c>
      <c r="S154" s="483">
        <v>1</v>
      </c>
      <c r="T154" s="483">
        <v>1</v>
      </c>
      <c r="V154" t="str">
        <f t="shared" si="10"/>
        <v>Box/6pcs</v>
      </c>
    </row>
    <row r="155" spans="3:22" ht="21.95" customHeight="1">
      <c r="C155" s="483">
        <v>128</v>
      </c>
      <c r="D155" s="483">
        <v>120</v>
      </c>
      <c r="E155" s="483" t="s">
        <v>2420</v>
      </c>
      <c r="F155" s="505" t="s">
        <v>2895</v>
      </c>
      <c r="G155" s="483">
        <v>1</v>
      </c>
      <c r="H155" s="483">
        <v>2</v>
      </c>
      <c r="I155" s="483">
        <v>2</v>
      </c>
      <c r="J155" s="505" t="s">
        <v>2172</v>
      </c>
      <c r="K155" s="505" t="s">
        <v>1507</v>
      </c>
      <c r="L155" s="1485">
        <v>8.4</v>
      </c>
      <c r="M155" s="519">
        <v>1.8</v>
      </c>
      <c r="N155" s="1546">
        <v>1.8</v>
      </c>
      <c r="O155" s="483">
        <v>0</v>
      </c>
      <c r="P155" s="483">
        <v>0</v>
      </c>
      <c r="Q155" s="483">
        <v>1</v>
      </c>
      <c r="R155" s="666">
        <v>46198.752997685187</v>
      </c>
      <c r="S155" s="483">
        <v>1</v>
      </c>
      <c r="T155" s="483">
        <v>1</v>
      </c>
      <c r="V155" t="str">
        <f t="shared" si="10"/>
        <v>pcs</v>
      </c>
    </row>
    <row r="156" spans="3:22" ht="21.95" customHeight="1">
      <c r="C156" s="483">
        <v>129</v>
      </c>
      <c r="D156" s="483">
        <v>121</v>
      </c>
      <c r="E156" s="483" t="s">
        <v>2422</v>
      </c>
      <c r="F156" s="505" t="s">
        <v>2896</v>
      </c>
      <c r="G156" s="483">
        <v>1</v>
      </c>
      <c r="H156" s="483">
        <v>2</v>
      </c>
      <c r="I156" s="483">
        <v>25</v>
      </c>
      <c r="J156" s="505" t="s">
        <v>2165</v>
      </c>
      <c r="K156" s="505" t="s">
        <v>1507</v>
      </c>
      <c r="L156" s="1485">
        <v>9</v>
      </c>
      <c r="M156" s="519">
        <v>10.8</v>
      </c>
      <c r="N156" s="1546">
        <v>10.8</v>
      </c>
      <c r="O156" s="483">
        <v>0</v>
      </c>
      <c r="P156" s="483">
        <v>0</v>
      </c>
      <c r="Q156" s="483">
        <v>1</v>
      </c>
      <c r="R156" s="666">
        <v>46198.752997685187</v>
      </c>
      <c r="S156" s="483">
        <v>1</v>
      </c>
      <c r="T156" s="483">
        <v>1</v>
      </c>
      <c r="V156" t="str">
        <f t="shared" ref="V156:V219" si="11">IF(I156="","",VLOOKUP(I156,uom_list,5,FALSE))</f>
        <v>Box/6pcs</v>
      </c>
    </row>
    <row r="157" spans="3:22" ht="21.95" customHeight="1">
      <c r="C157" s="483">
        <v>130</v>
      </c>
      <c r="D157" s="483">
        <v>121</v>
      </c>
      <c r="E157" s="483" t="s">
        <v>2422</v>
      </c>
      <c r="F157" s="505" t="s">
        <v>2896</v>
      </c>
      <c r="G157" s="483">
        <v>1</v>
      </c>
      <c r="H157" s="483">
        <v>2</v>
      </c>
      <c r="I157" s="483">
        <v>2</v>
      </c>
      <c r="J157" s="505" t="s">
        <v>2172</v>
      </c>
      <c r="K157" s="505" t="s">
        <v>1507</v>
      </c>
      <c r="L157" s="1485">
        <v>9</v>
      </c>
      <c r="M157" s="519">
        <v>1.8</v>
      </c>
      <c r="N157" s="1546">
        <v>1.8</v>
      </c>
      <c r="O157" s="483">
        <v>0</v>
      </c>
      <c r="P157" s="483">
        <v>0</v>
      </c>
      <c r="Q157" s="483">
        <v>1</v>
      </c>
      <c r="R157" s="666">
        <v>46198.752997685187</v>
      </c>
      <c r="S157" s="483">
        <v>1</v>
      </c>
      <c r="T157" s="483">
        <v>1</v>
      </c>
      <c r="V157" t="str">
        <f t="shared" si="11"/>
        <v>pcs</v>
      </c>
    </row>
    <row r="158" spans="3:22" ht="21.95" customHeight="1">
      <c r="C158" s="483">
        <v>131</v>
      </c>
      <c r="D158" s="483">
        <v>122</v>
      </c>
      <c r="E158" s="483" t="s">
        <v>2424</v>
      </c>
      <c r="F158" s="505" t="s">
        <v>2897</v>
      </c>
      <c r="G158" s="483">
        <v>1</v>
      </c>
      <c r="H158" s="483">
        <v>2</v>
      </c>
      <c r="I158" s="483">
        <v>32</v>
      </c>
      <c r="J158" s="505" t="s">
        <v>2590</v>
      </c>
      <c r="K158" s="505" t="s">
        <v>1507</v>
      </c>
      <c r="L158" s="1485">
        <v>31.2</v>
      </c>
      <c r="M158" s="519">
        <v>36</v>
      </c>
      <c r="N158" s="1546">
        <v>36</v>
      </c>
      <c r="O158" s="483">
        <v>0</v>
      </c>
      <c r="P158" s="483">
        <v>0</v>
      </c>
      <c r="Q158" s="483">
        <v>1</v>
      </c>
      <c r="R158" s="666">
        <v>46198.752997685187</v>
      </c>
      <c r="S158" s="483">
        <v>1</v>
      </c>
      <c r="T158" s="483">
        <v>1</v>
      </c>
      <c r="V158" t="str">
        <f t="shared" si="11"/>
        <v>Case/24pcs</v>
      </c>
    </row>
    <row r="159" spans="3:22" ht="21.95" customHeight="1">
      <c r="C159" s="483">
        <v>132</v>
      </c>
      <c r="D159" s="483">
        <v>122</v>
      </c>
      <c r="E159" s="483" t="s">
        <v>2424</v>
      </c>
      <c r="F159" s="505" t="s">
        <v>2897</v>
      </c>
      <c r="G159" s="483">
        <v>1</v>
      </c>
      <c r="H159" s="483">
        <v>2</v>
      </c>
      <c r="I159" s="483">
        <v>2</v>
      </c>
      <c r="J159" s="505" t="s">
        <v>2172</v>
      </c>
      <c r="K159" s="505" t="s">
        <v>1507</v>
      </c>
      <c r="L159" s="1485">
        <v>31.2</v>
      </c>
      <c r="M159" s="519">
        <v>1.5</v>
      </c>
      <c r="N159" s="1546">
        <v>1.5</v>
      </c>
      <c r="O159" s="483">
        <v>0</v>
      </c>
      <c r="P159" s="483">
        <v>0</v>
      </c>
      <c r="Q159" s="483">
        <v>1</v>
      </c>
      <c r="R159" s="666">
        <v>46198.752997685187</v>
      </c>
      <c r="S159" s="483">
        <v>1</v>
      </c>
      <c r="T159" s="483">
        <v>1</v>
      </c>
      <c r="V159" t="str">
        <f t="shared" si="11"/>
        <v>pcs</v>
      </c>
    </row>
    <row r="160" spans="3:22" ht="21.95" customHeight="1">
      <c r="C160" s="483">
        <v>133</v>
      </c>
      <c r="D160" s="483">
        <v>123</v>
      </c>
      <c r="E160" s="483" t="s">
        <v>2426</v>
      </c>
      <c r="F160" s="505" t="s">
        <v>2898</v>
      </c>
      <c r="G160" s="483">
        <v>1</v>
      </c>
      <c r="H160" s="483">
        <v>2</v>
      </c>
      <c r="I160" s="483">
        <v>33</v>
      </c>
      <c r="J160" s="505" t="s">
        <v>2591</v>
      </c>
      <c r="K160" s="505" t="s">
        <v>1507</v>
      </c>
      <c r="L160" s="1485">
        <v>25.92</v>
      </c>
      <c r="M160" s="519">
        <v>37.5</v>
      </c>
      <c r="N160" s="1546">
        <v>37.5</v>
      </c>
      <c r="O160" s="483">
        <v>0</v>
      </c>
      <c r="P160" s="483">
        <v>0</v>
      </c>
      <c r="Q160" s="483">
        <v>1</v>
      </c>
      <c r="R160" s="666">
        <v>46198.752997685187</v>
      </c>
      <c r="S160" s="483">
        <v>1</v>
      </c>
      <c r="T160" s="483">
        <v>1</v>
      </c>
      <c r="V160" t="str">
        <f t="shared" si="11"/>
        <v>Case/25pcs</v>
      </c>
    </row>
    <row r="161" spans="3:22" ht="21.95" customHeight="1">
      <c r="C161" s="483">
        <v>134</v>
      </c>
      <c r="D161" s="483">
        <v>123</v>
      </c>
      <c r="E161" s="483" t="s">
        <v>2426</v>
      </c>
      <c r="F161" s="505" t="s">
        <v>2898</v>
      </c>
      <c r="G161" s="483">
        <v>1</v>
      </c>
      <c r="H161" s="483">
        <v>2</v>
      </c>
      <c r="I161" s="483">
        <v>2</v>
      </c>
      <c r="J161" s="505" t="s">
        <v>2172</v>
      </c>
      <c r="K161" s="505" t="s">
        <v>1507</v>
      </c>
      <c r="L161" s="1485">
        <v>25.92</v>
      </c>
      <c r="M161" s="519">
        <v>1.5</v>
      </c>
      <c r="N161" s="1546">
        <v>1.5</v>
      </c>
      <c r="O161" s="483">
        <v>0</v>
      </c>
      <c r="P161" s="483">
        <v>0</v>
      </c>
      <c r="Q161" s="483">
        <v>1</v>
      </c>
      <c r="R161" s="666">
        <v>46198.752997685187</v>
      </c>
      <c r="S161" s="483">
        <v>1</v>
      </c>
      <c r="T161" s="483">
        <v>1</v>
      </c>
      <c r="V161" t="str">
        <f t="shared" si="11"/>
        <v>pcs</v>
      </c>
    </row>
    <row r="162" spans="3:22" ht="21.95" customHeight="1">
      <c r="C162" s="483">
        <v>135</v>
      </c>
      <c r="D162" s="483">
        <v>124</v>
      </c>
      <c r="E162" s="483" t="s">
        <v>2428</v>
      </c>
      <c r="F162" s="505" t="s">
        <v>2899</v>
      </c>
      <c r="G162" s="483">
        <v>1</v>
      </c>
      <c r="H162" s="483">
        <v>2</v>
      </c>
      <c r="I162" s="483">
        <v>2</v>
      </c>
      <c r="J162" s="505" t="s">
        <v>2172</v>
      </c>
      <c r="K162" s="505" t="s">
        <v>1507</v>
      </c>
      <c r="L162" s="1485">
        <v>2</v>
      </c>
      <c r="M162" s="519">
        <v>2.5</v>
      </c>
      <c r="N162" s="1546">
        <v>2.5</v>
      </c>
      <c r="O162" s="483">
        <v>0</v>
      </c>
      <c r="P162" s="483">
        <v>0</v>
      </c>
      <c r="Q162" s="483">
        <v>1</v>
      </c>
      <c r="R162" s="666">
        <v>46198.752997685187</v>
      </c>
      <c r="S162" s="483">
        <v>1</v>
      </c>
      <c r="T162" s="483">
        <v>1</v>
      </c>
      <c r="V162" t="str">
        <f t="shared" si="11"/>
        <v>pcs</v>
      </c>
    </row>
    <row r="163" spans="3:22" ht="21.95" customHeight="1">
      <c r="C163" s="483">
        <v>136</v>
      </c>
      <c r="D163" s="483">
        <v>125</v>
      </c>
      <c r="E163" s="483" t="s">
        <v>2430</v>
      </c>
      <c r="F163" s="505" t="s">
        <v>2900</v>
      </c>
      <c r="G163" s="483">
        <v>1</v>
      </c>
      <c r="H163" s="483">
        <v>2</v>
      </c>
      <c r="I163" s="483">
        <v>35</v>
      </c>
      <c r="J163" s="505" t="s">
        <v>2588</v>
      </c>
      <c r="K163" s="505" t="s">
        <v>1507</v>
      </c>
      <c r="L163" s="1485">
        <v>4</v>
      </c>
      <c r="M163" s="519">
        <v>4</v>
      </c>
      <c r="N163" s="1546">
        <v>4</v>
      </c>
      <c r="O163" s="483">
        <v>0</v>
      </c>
      <c r="P163" s="483">
        <v>0</v>
      </c>
      <c r="Q163" s="483">
        <v>1</v>
      </c>
      <c r="R163" s="666">
        <v>46198.752997685187</v>
      </c>
      <c r="S163" s="483">
        <v>1</v>
      </c>
      <c r="T163" s="483">
        <v>1</v>
      </c>
      <c r="V163" t="str">
        <f t="shared" si="11"/>
        <v>Case/100pcs</v>
      </c>
    </row>
    <row r="164" spans="3:22" ht="21.95" customHeight="1">
      <c r="C164" s="483">
        <v>137</v>
      </c>
      <c r="D164" s="483">
        <v>125</v>
      </c>
      <c r="E164" s="483" t="s">
        <v>2430</v>
      </c>
      <c r="F164" s="505" t="s">
        <v>2900</v>
      </c>
      <c r="G164" s="483">
        <v>1</v>
      </c>
      <c r="H164" s="483">
        <v>2</v>
      </c>
      <c r="I164" s="483">
        <v>2</v>
      </c>
      <c r="J164" s="505" t="s">
        <v>2172</v>
      </c>
      <c r="K164" s="505" t="s">
        <v>1507</v>
      </c>
      <c r="L164" s="1485">
        <v>4</v>
      </c>
      <c r="M164" s="519">
        <v>0.04</v>
      </c>
      <c r="N164" s="1546">
        <v>0.04</v>
      </c>
      <c r="O164" s="483">
        <v>0</v>
      </c>
      <c r="P164" s="483">
        <v>0</v>
      </c>
      <c r="Q164" s="483">
        <v>1</v>
      </c>
      <c r="R164" s="666">
        <v>46198.752997685187</v>
      </c>
      <c r="S164" s="483">
        <v>1</v>
      </c>
      <c r="T164" s="483">
        <v>1</v>
      </c>
      <c r="V164" t="str">
        <f t="shared" si="11"/>
        <v>pcs</v>
      </c>
    </row>
    <row r="165" spans="3:22" ht="21.95" customHeight="1">
      <c r="C165" s="483">
        <v>138</v>
      </c>
      <c r="D165" s="483">
        <v>126</v>
      </c>
      <c r="E165" s="483" t="s">
        <v>2432</v>
      </c>
      <c r="F165" s="505" t="s">
        <v>2901</v>
      </c>
      <c r="G165" s="483">
        <v>1</v>
      </c>
      <c r="H165" s="483">
        <v>2</v>
      </c>
      <c r="I165" s="483">
        <v>26</v>
      </c>
      <c r="J165" s="505" t="s">
        <v>2164</v>
      </c>
      <c r="K165" s="505" t="s">
        <v>1507</v>
      </c>
      <c r="L165" s="1485">
        <v>31.2</v>
      </c>
      <c r="M165" s="519">
        <v>42</v>
      </c>
      <c r="N165" s="1546">
        <v>42</v>
      </c>
      <c r="O165" s="483">
        <v>0</v>
      </c>
      <c r="P165" s="483">
        <v>0</v>
      </c>
      <c r="Q165" s="483">
        <v>1</v>
      </c>
      <c r="R165" s="666">
        <v>46198.752997685187</v>
      </c>
      <c r="S165" s="483">
        <v>1</v>
      </c>
      <c r="T165" s="483">
        <v>1</v>
      </c>
      <c r="V165" t="str">
        <f t="shared" si="11"/>
        <v>Box/12pcs</v>
      </c>
    </row>
    <row r="166" spans="3:22" ht="21.95" customHeight="1">
      <c r="C166" s="483">
        <v>139</v>
      </c>
      <c r="D166" s="483">
        <v>126</v>
      </c>
      <c r="E166" s="483" t="s">
        <v>2432</v>
      </c>
      <c r="F166" s="505" t="s">
        <v>2901</v>
      </c>
      <c r="G166" s="483">
        <v>1</v>
      </c>
      <c r="H166" s="483">
        <v>2</v>
      </c>
      <c r="I166" s="483">
        <v>2</v>
      </c>
      <c r="J166" s="505" t="s">
        <v>2172</v>
      </c>
      <c r="K166" s="505" t="s">
        <v>1507</v>
      </c>
      <c r="L166" s="1485">
        <v>31.2</v>
      </c>
      <c r="M166" s="519">
        <v>3.5</v>
      </c>
      <c r="N166" s="1546">
        <v>3.5</v>
      </c>
      <c r="O166" s="483">
        <v>0</v>
      </c>
      <c r="P166" s="483">
        <v>0</v>
      </c>
      <c r="Q166" s="483">
        <v>1</v>
      </c>
      <c r="R166" s="666">
        <v>46198.752997685187</v>
      </c>
      <c r="S166" s="483">
        <v>1</v>
      </c>
      <c r="T166" s="483">
        <v>1</v>
      </c>
      <c r="V166" t="str">
        <f t="shared" si="11"/>
        <v>pcs</v>
      </c>
    </row>
    <row r="167" spans="3:22" ht="21.95" customHeight="1">
      <c r="C167" s="483">
        <v>140</v>
      </c>
      <c r="D167" s="483">
        <v>127</v>
      </c>
      <c r="E167" s="483" t="s">
        <v>2434</v>
      </c>
      <c r="F167" s="505" t="s">
        <v>2902</v>
      </c>
      <c r="G167" s="483">
        <v>1</v>
      </c>
      <c r="H167" s="483">
        <v>2</v>
      </c>
      <c r="I167" s="483">
        <v>26</v>
      </c>
      <c r="J167" s="505" t="s">
        <v>2164</v>
      </c>
      <c r="K167" s="505" t="s">
        <v>1507</v>
      </c>
      <c r="L167" s="1485">
        <v>26.4</v>
      </c>
      <c r="M167" s="519">
        <v>36</v>
      </c>
      <c r="N167" s="1546">
        <v>36</v>
      </c>
      <c r="O167" s="483">
        <v>0</v>
      </c>
      <c r="P167" s="483">
        <v>0</v>
      </c>
      <c r="Q167" s="483">
        <v>1</v>
      </c>
      <c r="R167" s="666">
        <v>46198.752997685187</v>
      </c>
      <c r="S167" s="483">
        <v>1</v>
      </c>
      <c r="T167" s="483">
        <v>1</v>
      </c>
      <c r="V167" t="str">
        <f t="shared" si="11"/>
        <v>Box/12pcs</v>
      </c>
    </row>
    <row r="168" spans="3:22" ht="21.95" customHeight="1">
      <c r="C168" s="483">
        <v>141</v>
      </c>
      <c r="D168" s="483">
        <v>127</v>
      </c>
      <c r="E168" s="483" t="s">
        <v>2434</v>
      </c>
      <c r="F168" s="505" t="s">
        <v>2902</v>
      </c>
      <c r="G168" s="483">
        <v>1</v>
      </c>
      <c r="H168" s="483">
        <v>2</v>
      </c>
      <c r="I168" s="483">
        <v>2</v>
      </c>
      <c r="J168" s="505" t="s">
        <v>2172</v>
      </c>
      <c r="K168" s="505" t="s">
        <v>1507</v>
      </c>
      <c r="L168" s="1485">
        <v>26.4</v>
      </c>
      <c r="M168" s="519">
        <v>3</v>
      </c>
      <c r="N168" s="1546">
        <v>3</v>
      </c>
      <c r="O168" s="483">
        <v>0</v>
      </c>
      <c r="P168" s="483">
        <v>0</v>
      </c>
      <c r="Q168" s="483">
        <v>1</v>
      </c>
      <c r="R168" s="666">
        <v>46198.752997685187</v>
      </c>
      <c r="S168" s="483">
        <v>1</v>
      </c>
      <c r="T168" s="483">
        <v>1</v>
      </c>
      <c r="V168" t="str">
        <f t="shared" si="11"/>
        <v>pcs</v>
      </c>
    </row>
    <row r="169" spans="3:22" ht="21.95" customHeight="1">
      <c r="C169" s="483">
        <v>142</v>
      </c>
      <c r="D169" s="483">
        <v>128</v>
      </c>
      <c r="E169" s="483" t="s">
        <v>2436</v>
      </c>
      <c r="F169" s="505" t="s">
        <v>2903</v>
      </c>
      <c r="G169" s="483">
        <v>1</v>
      </c>
      <c r="H169" s="483">
        <v>2</v>
      </c>
      <c r="I169" s="483">
        <v>26</v>
      </c>
      <c r="J169" s="505" t="s">
        <v>2164</v>
      </c>
      <c r="K169" s="505" t="s">
        <v>1507</v>
      </c>
      <c r="L169" s="1485">
        <v>37.200000000000003</v>
      </c>
      <c r="M169" s="519">
        <v>42</v>
      </c>
      <c r="N169" s="1546">
        <v>42</v>
      </c>
      <c r="O169" s="483">
        <v>0</v>
      </c>
      <c r="P169" s="483">
        <v>0</v>
      </c>
      <c r="Q169" s="483">
        <v>1</v>
      </c>
      <c r="R169" s="666">
        <v>46198.752997685187</v>
      </c>
      <c r="S169" s="483">
        <v>1</v>
      </c>
      <c r="T169" s="483">
        <v>1</v>
      </c>
      <c r="V169" t="str">
        <f t="shared" si="11"/>
        <v>Box/12pcs</v>
      </c>
    </row>
    <row r="170" spans="3:22" ht="21.95" customHeight="1">
      <c r="C170" s="483">
        <v>143</v>
      </c>
      <c r="D170" s="483">
        <v>128</v>
      </c>
      <c r="E170" s="483" t="s">
        <v>2436</v>
      </c>
      <c r="F170" s="505" t="s">
        <v>2903</v>
      </c>
      <c r="G170" s="483">
        <v>1</v>
      </c>
      <c r="H170" s="483">
        <v>2</v>
      </c>
      <c r="I170" s="483">
        <v>2</v>
      </c>
      <c r="J170" s="505" t="s">
        <v>2172</v>
      </c>
      <c r="K170" s="505" t="s">
        <v>1507</v>
      </c>
      <c r="L170" s="1485">
        <v>37.200000000000003</v>
      </c>
      <c r="M170" s="519">
        <v>3.5</v>
      </c>
      <c r="N170" s="1546">
        <v>3.5</v>
      </c>
      <c r="O170" s="483">
        <v>0</v>
      </c>
      <c r="P170" s="483">
        <v>0</v>
      </c>
      <c r="Q170" s="483">
        <v>1</v>
      </c>
      <c r="R170" s="666">
        <v>46198.752997685187</v>
      </c>
      <c r="S170" s="483">
        <v>1</v>
      </c>
      <c r="T170" s="483">
        <v>1</v>
      </c>
      <c r="V170" t="str">
        <f t="shared" si="11"/>
        <v>pcs</v>
      </c>
    </row>
    <row r="171" spans="3:22" ht="21.95" customHeight="1">
      <c r="C171" s="483">
        <v>144</v>
      </c>
      <c r="D171" s="483">
        <v>129</v>
      </c>
      <c r="E171" s="483" t="s">
        <v>2438</v>
      </c>
      <c r="F171" s="505" t="s">
        <v>2904</v>
      </c>
      <c r="G171" s="483">
        <v>1</v>
      </c>
      <c r="H171" s="483">
        <v>2</v>
      </c>
      <c r="I171" s="483">
        <v>26</v>
      </c>
      <c r="J171" s="505" t="s">
        <v>2164</v>
      </c>
      <c r="K171" s="505" t="s">
        <v>1507</v>
      </c>
      <c r="L171" s="1485">
        <v>46.8</v>
      </c>
      <c r="M171" s="519">
        <v>54</v>
      </c>
      <c r="N171" s="1546">
        <v>54</v>
      </c>
      <c r="O171" s="483">
        <v>0</v>
      </c>
      <c r="P171" s="483">
        <v>0</v>
      </c>
      <c r="Q171" s="483">
        <v>1</v>
      </c>
      <c r="R171" s="666">
        <v>46198.752997685187</v>
      </c>
      <c r="S171" s="483">
        <v>1</v>
      </c>
      <c r="T171" s="483">
        <v>1</v>
      </c>
      <c r="V171" t="str">
        <f t="shared" si="11"/>
        <v>Box/12pcs</v>
      </c>
    </row>
    <row r="172" spans="3:22" ht="21.95" customHeight="1">
      <c r="C172" s="483">
        <v>145</v>
      </c>
      <c r="D172" s="483">
        <v>129</v>
      </c>
      <c r="E172" s="483" t="s">
        <v>2438</v>
      </c>
      <c r="F172" s="505" t="s">
        <v>2904</v>
      </c>
      <c r="G172" s="483">
        <v>1</v>
      </c>
      <c r="H172" s="483">
        <v>2</v>
      </c>
      <c r="I172" s="483">
        <v>2</v>
      </c>
      <c r="J172" s="505" t="s">
        <v>2172</v>
      </c>
      <c r="K172" s="505" t="s">
        <v>1507</v>
      </c>
      <c r="L172" s="1485">
        <v>46.8</v>
      </c>
      <c r="M172" s="519">
        <v>4.5</v>
      </c>
      <c r="N172" s="1546">
        <v>4.5</v>
      </c>
      <c r="O172" s="483">
        <v>0</v>
      </c>
      <c r="P172" s="483">
        <v>0</v>
      </c>
      <c r="Q172" s="483">
        <v>1</v>
      </c>
      <c r="R172" s="666">
        <v>46198.752997685187</v>
      </c>
      <c r="S172" s="483">
        <v>1</v>
      </c>
      <c r="T172" s="483">
        <v>1</v>
      </c>
      <c r="V172" t="str">
        <f t="shared" si="11"/>
        <v>pcs</v>
      </c>
    </row>
    <row r="173" spans="3:22" ht="21.95" customHeight="1">
      <c r="C173" s="483">
        <v>146</v>
      </c>
      <c r="D173" s="483">
        <v>130</v>
      </c>
      <c r="E173" s="483" t="s">
        <v>2440</v>
      </c>
      <c r="F173" s="505" t="s">
        <v>2905</v>
      </c>
      <c r="G173" s="483">
        <v>1</v>
      </c>
      <c r="H173" s="483">
        <v>2</v>
      </c>
      <c r="I173" s="483">
        <v>2</v>
      </c>
      <c r="J173" s="505" t="s">
        <v>2172</v>
      </c>
      <c r="K173" s="505" t="s">
        <v>1507</v>
      </c>
      <c r="L173" s="1485">
        <v>1.8</v>
      </c>
      <c r="M173" s="519">
        <v>2.25</v>
      </c>
      <c r="N173" s="1546">
        <v>2.25</v>
      </c>
      <c r="O173" s="483">
        <v>0</v>
      </c>
      <c r="P173" s="483">
        <v>0</v>
      </c>
      <c r="Q173" s="483">
        <v>1</v>
      </c>
      <c r="R173" s="666">
        <v>46198.752997685187</v>
      </c>
      <c r="S173" s="483">
        <v>1</v>
      </c>
      <c r="T173" s="483">
        <v>1</v>
      </c>
      <c r="V173" t="str">
        <f t="shared" si="11"/>
        <v>pcs</v>
      </c>
    </row>
    <row r="174" spans="3:22" ht="21.95" customHeight="1">
      <c r="C174" s="483">
        <v>147</v>
      </c>
      <c r="D174" s="483">
        <v>131</v>
      </c>
      <c r="E174" s="483" t="s">
        <v>2442</v>
      </c>
      <c r="F174" s="505" t="s">
        <v>2906</v>
      </c>
      <c r="G174" s="483">
        <v>1</v>
      </c>
      <c r="H174" s="483">
        <v>2</v>
      </c>
      <c r="I174" s="483">
        <v>2</v>
      </c>
      <c r="J174" s="505" t="s">
        <v>2172</v>
      </c>
      <c r="K174" s="505" t="s">
        <v>1507</v>
      </c>
      <c r="L174" s="1485">
        <v>0.7</v>
      </c>
      <c r="M174" s="519">
        <v>1.25</v>
      </c>
      <c r="N174" s="1546">
        <v>1.25</v>
      </c>
      <c r="O174" s="483">
        <v>0</v>
      </c>
      <c r="P174" s="483">
        <v>0</v>
      </c>
      <c r="Q174" s="483">
        <v>1</v>
      </c>
      <c r="R174" s="666">
        <v>46198.752997685187</v>
      </c>
      <c r="S174" s="483">
        <v>1</v>
      </c>
      <c r="T174" s="483">
        <v>1</v>
      </c>
      <c r="V174" t="str">
        <f t="shared" si="11"/>
        <v>pcs</v>
      </c>
    </row>
    <row r="175" spans="3:22" ht="21.95" customHeight="1">
      <c r="C175" s="483">
        <v>148</v>
      </c>
      <c r="D175" s="483">
        <v>132</v>
      </c>
      <c r="E175" s="483" t="s">
        <v>2444</v>
      </c>
      <c r="F175" s="505" t="s">
        <v>2907</v>
      </c>
      <c r="G175" s="483">
        <v>1</v>
      </c>
      <c r="H175" s="483">
        <v>2</v>
      </c>
      <c r="I175" s="483">
        <v>2</v>
      </c>
      <c r="J175" s="505" t="s">
        <v>2172</v>
      </c>
      <c r="K175" s="505" t="s">
        <v>1507</v>
      </c>
      <c r="L175" s="1485">
        <v>2.2000000000000002</v>
      </c>
      <c r="M175" s="519">
        <v>2.75</v>
      </c>
      <c r="N175" s="1546">
        <v>2.75</v>
      </c>
      <c r="O175" s="483">
        <v>0</v>
      </c>
      <c r="P175" s="483">
        <v>0</v>
      </c>
      <c r="Q175" s="483">
        <v>1</v>
      </c>
      <c r="R175" s="666">
        <v>46198.752997685187</v>
      </c>
      <c r="S175" s="483">
        <v>1</v>
      </c>
      <c r="T175" s="483">
        <v>1</v>
      </c>
      <c r="V175" t="str">
        <f t="shared" si="11"/>
        <v>pcs</v>
      </c>
    </row>
    <row r="176" spans="3:22" ht="21.95" customHeight="1">
      <c r="C176" s="483">
        <v>149</v>
      </c>
      <c r="D176" s="483">
        <v>133</v>
      </c>
      <c r="E176" s="483" t="s">
        <v>2446</v>
      </c>
      <c r="F176" s="505" t="s">
        <v>2908</v>
      </c>
      <c r="G176" s="483">
        <v>1</v>
      </c>
      <c r="H176" s="483">
        <v>2</v>
      </c>
      <c r="I176" s="483">
        <v>2</v>
      </c>
      <c r="J176" s="505" t="s">
        <v>2172</v>
      </c>
      <c r="K176" s="505" t="s">
        <v>1507</v>
      </c>
      <c r="L176" s="1485">
        <v>9.5</v>
      </c>
      <c r="M176" s="519">
        <v>10.5</v>
      </c>
      <c r="N176" s="1546">
        <v>10.5</v>
      </c>
      <c r="O176" s="483">
        <v>0</v>
      </c>
      <c r="P176" s="483">
        <v>0</v>
      </c>
      <c r="Q176" s="483">
        <v>1</v>
      </c>
      <c r="R176" s="666">
        <v>46198.752997685187</v>
      </c>
      <c r="S176" s="483">
        <v>1</v>
      </c>
      <c r="T176" s="483">
        <v>1</v>
      </c>
      <c r="V176" t="str">
        <f t="shared" si="11"/>
        <v>pcs</v>
      </c>
    </row>
    <row r="177" spans="3:22" ht="21.95" customHeight="1">
      <c r="C177" s="483">
        <v>150</v>
      </c>
      <c r="D177" s="483">
        <v>134</v>
      </c>
      <c r="E177" s="483" t="s">
        <v>2448</v>
      </c>
      <c r="F177" s="505" t="s">
        <v>2909</v>
      </c>
      <c r="G177" s="483">
        <v>1</v>
      </c>
      <c r="H177" s="483">
        <v>2</v>
      </c>
      <c r="I177" s="483">
        <v>2</v>
      </c>
      <c r="J177" s="505" t="s">
        <v>2172</v>
      </c>
      <c r="K177" s="505" t="s">
        <v>1507</v>
      </c>
      <c r="L177" s="1485">
        <v>1</v>
      </c>
      <c r="M177" s="519">
        <v>1.5</v>
      </c>
      <c r="N177" s="1546">
        <v>1.5</v>
      </c>
      <c r="O177" s="483">
        <v>0</v>
      </c>
      <c r="P177" s="483">
        <v>0</v>
      </c>
      <c r="Q177" s="483">
        <v>1</v>
      </c>
      <c r="R177" s="666">
        <v>46198.752997685187</v>
      </c>
      <c r="S177" s="483">
        <v>1</v>
      </c>
      <c r="T177" s="483">
        <v>1</v>
      </c>
      <c r="V177" t="str">
        <f t="shared" si="11"/>
        <v>pcs</v>
      </c>
    </row>
    <row r="178" spans="3:22" ht="21.95" customHeight="1">
      <c r="C178" s="483">
        <v>151</v>
      </c>
      <c r="D178" s="483">
        <v>135</v>
      </c>
      <c r="E178" s="483" t="s">
        <v>2450</v>
      </c>
      <c r="F178" s="505" t="s">
        <v>2910</v>
      </c>
      <c r="G178" s="483">
        <v>1</v>
      </c>
      <c r="H178" s="483">
        <v>2</v>
      </c>
      <c r="I178" s="483">
        <v>2</v>
      </c>
      <c r="J178" s="505" t="s">
        <v>2172</v>
      </c>
      <c r="K178" s="505" t="s">
        <v>1507</v>
      </c>
      <c r="L178" s="1485">
        <v>0.65</v>
      </c>
      <c r="M178" s="519">
        <v>1</v>
      </c>
      <c r="N178" s="1546">
        <v>1</v>
      </c>
      <c r="O178" s="483">
        <v>0</v>
      </c>
      <c r="P178" s="483">
        <v>0</v>
      </c>
      <c r="Q178" s="483">
        <v>1</v>
      </c>
      <c r="R178" s="666">
        <v>46198.752997685187</v>
      </c>
      <c r="S178" s="483">
        <v>1</v>
      </c>
      <c r="T178" s="483">
        <v>1</v>
      </c>
      <c r="V178" t="str">
        <f t="shared" si="11"/>
        <v>pcs</v>
      </c>
    </row>
    <row r="179" spans="3:22" ht="21.95" customHeight="1">
      <c r="C179" s="483">
        <v>152</v>
      </c>
      <c r="D179" s="483">
        <v>136</v>
      </c>
      <c r="E179" s="483" t="s">
        <v>2452</v>
      </c>
      <c r="F179" s="505" t="s">
        <v>2911</v>
      </c>
      <c r="G179" s="483">
        <v>1</v>
      </c>
      <c r="H179" s="483">
        <v>2</v>
      </c>
      <c r="I179" s="483">
        <v>2</v>
      </c>
      <c r="J179" s="505" t="s">
        <v>2172</v>
      </c>
      <c r="K179" s="505" t="s">
        <v>1507</v>
      </c>
      <c r="L179" s="1485">
        <v>0.38</v>
      </c>
      <c r="M179" s="519">
        <v>0.75</v>
      </c>
      <c r="N179" s="1546">
        <v>0.75</v>
      </c>
      <c r="O179" s="483">
        <v>0</v>
      </c>
      <c r="P179" s="483">
        <v>0</v>
      </c>
      <c r="Q179" s="483">
        <v>1</v>
      </c>
      <c r="R179" s="666">
        <v>46198.752997685187</v>
      </c>
      <c r="S179" s="483">
        <v>1</v>
      </c>
      <c r="T179" s="483">
        <v>1</v>
      </c>
      <c r="V179" t="str">
        <f t="shared" si="11"/>
        <v>pcs</v>
      </c>
    </row>
    <row r="180" spans="3:22" ht="21.95" customHeight="1">
      <c r="C180" s="483">
        <v>153</v>
      </c>
      <c r="D180" s="483">
        <v>137</v>
      </c>
      <c r="E180" s="483" t="s">
        <v>2454</v>
      </c>
      <c r="F180" s="505" t="s">
        <v>2912</v>
      </c>
      <c r="G180" s="483">
        <v>1</v>
      </c>
      <c r="H180" s="483">
        <v>2</v>
      </c>
      <c r="I180" s="483">
        <v>2</v>
      </c>
      <c r="J180" s="505" t="s">
        <v>2172</v>
      </c>
      <c r="K180" s="505" t="s">
        <v>1507</v>
      </c>
      <c r="L180" s="1485">
        <v>2.9</v>
      </c>
      <c r="M180" s="519">
        <v>3.25</v>
      </c>
      <c r="N180" s="1546">
        <v>3.25</v>
      </c>
      <c r="O180" s="483">
        <v>0</v>
      </c>
      <c r="P180" s="483">
        <v>0</v>
      </c>
      <c r="Q180" s="483">
        <v>1</v>
      </c>
      <c r="R180" s="666">
        <v>46198.752997685187</v>
      </c>
      <c r="S180" s="483">
        <v>1</v>
      </c>
      <c r="T180" s="483">
        <v>1</v>
      </c>
      <c r="V180" t="str">
        <f t="shared" si="11"/>
        <v>pcs</v>
      </c>
    </row>
    <row r="181" spans="3:22" ht="21.95" customHeight="1">
      <c r="C181" s="483">
        <v>154</v>
      </c>
      <c r="D181" s="483">
        <v>138</v>
      </c>
      <c r="E181" s="483" t="s">
        <v>2456</v>
      </c>
      <c r="F181" s="505" t="s">
        <v>2913</v>
      </c>
      <c r="G181" s="483">
        <v>1</v>
      </c>
      <c r="H181" s="483">
        <v>2</v>
      </c>
      <c r="I181" s="483">
        <v>2</v>
      </c>
      <c r="J181" s="505" t="s">
        <v>2172</v>
      </c>
      <c r="K181" s="505" t="s">
        <v>1507</v>
      </c>
      <c r="L181" s="1485">
        <v>3.8</v>
      </c>
      <c r="M181" s="519">
        <v>4.2</v>
      </c>
      <c r="N181" s="1546">
        <v>4.2</v>
      </c>
      <c r="O181" s="483">
        <v>0</v>
      </c>
      <c r="P181" s="483">
        <v>0</v>
      </c>
      <c r="Q181" s="483">
        <v>1</v>
      </c>
      <c r="R181" s="666">
        <v>46198.752997685187</v>
      </c>
      <c r="S181" s="483">
        <v>1</v>
      </c>
      <c r="T181" s="483">
        <v>1</v>
      </c>
      <c r="V181" t="str">
        <f t="shared" si="11"/>
        <v>pcs</v>
      </c>
    </row>
    <row r="182" spans="3:22" ht="21.95" customHeight="1">
      <c r="C182" s="483">
        <v>155</v>
      </c>
      <c r="D182" s="483">
        <v>139</v>
      </c>
      <c r="E182" s="483" t="s">
        <v>2457</v>
      </c>
      <c r="F182" s="505" t="s">
        <v>2914</v>
      </c>
      <c r="G182" s="483">
        <v>1</v>
      </c>
      <c r="H182" s="483">
        <v>2</v>
      </c>
      <c r="I182" s="483">
        <v>2</v>
      </c>
      <c r="J182" s="505" t="s">
        <v>2172</v>
      </c>
      <c r="K182" s="505" t="s">
        <v>1507</v>
      </c>
      <c r="L182" s="1485">
        <v>3.4</v>
      </c>
      <c r="M182" s="519">
        <v>4</v>
      </c>
      <c r="N182" s="1546">
        <v>4</v>
      </c>
      <c r="O182" s="483">
        <v>0</v>
      </c>
      <c r="P182" s="483">
        <v>0</v>
      </c>
      <c r="Q182" s="483">
        <v>1</v>
      </c>
      <c r="R182" s="666">
        <v>46198.752997685187</v>
      </c>
      <c r="S182" s="483">
        <v>1</v>
      </c>
      <c r="T182" s="483">
        <v>1</v>
      </c>
      <c r="V182" t="str">
        <f t="shared" si="11"/>
        <v>pcs</v>
      </c>
    </row>
    <row r="183" spans="3:22" ht="21.95" customHeight="1">
      <c r="C183" s="483">
        <v>156</v>
      </c>
      <c r="D183" s="483">
        <v>140</v>
      </c>
      <c r="E183" s="483" t="s">
        <v>2459</v>
      </c>
      <c r="F183" s="505" t="s">
        <v>2915</v>
      </c>
      <c r="G183" s="483">
        <v>1</v>
      </c>
      <c r="H183" s="483">
        <v>2</v>
      </c>
      <c r="I183" s="483">
        <v>2</v>
      </c>
      <c r="J183" s="505" t="s">
        <v>2172</v>
      </c>
      <c r="K183" s="505" t="s">
        <v>1507</v>
      </c>
      <c r="L183" s="1485">
        <v>7.5</v>
      </c>
      <c r="M183" s="519">
        <v>8.5</v>
      </c>
      <c r="N183" s="1546">
        <v>8.5</v>
      </c>
      <c r="O183" s="483">
        <v>0</v>
      </c>
      <c r="P183" s="483">
        <v>0</v>
      </c>
      <c r="Q183" s="483">
        <v>1</v>
      </c>
      <c r="R183" s="666">
        <v>46198.752997685187</v>
      </c>
      <c r="S183" s="483">
        <v>1</v>
      </c>
      <c r="T183" s="483">
        <v>1</v>
      </c>
      <c r="V183" t="str">
        <f t="shared" si="11"/>
        <v>pcs</v>
      </c>
    </row>
    <row r="184" spans="3:22" ht="21.95" customHeight="1">
      <c r="C184" s="483">
        <v>157</v>
      </c>
      <c r="D184" s="483">
        <v>141</v>
      </c>
      <c r="E184" s="483" t="s">
        <v>2461</v>
      </c>
      <c r="F184" s="505" t="s">
        <v>2916</v>
      </c>
      <c r="G184" s="483">
        <v>1</v>
      </c>
      <c r="H184" s="483">
        <v>2</v>
      </c>
      <c r="I184" s="483">
        <v>2</v>
      </c>
      <c r="J184" s="505" t="s">
        <v>2172</v>
      </c>
      <c r="K184" s="505" t="s">
        <v>1507</v>
      </c>
      <c r="L184" s="1485">
        <v>1.35</v>
      </c>
      <c r="M184" s="519">
        <v>2</v>
      </c>
      <c r="N184" s="1546">
        <v>2</v>
      </c>
      <c r="O184" s="483">
        <v>0</v>
      </c>
      <c r="P184" s="483">
        <v>0</v>
      </c>
      <c r="Q184" s="483">
        <v>1</v>
      </c>
      <c r="R184" s="666">
        <v>46198.752997685187</v>
      </c>
      <c r="S184" s="483">
        <v>1</v>
      </c>
      <c r="T184" s="483">
        <v>1</v>
      </c>
      <c r="V184" t="str">
        <f t="shared" si="11"/>
        <v>pcs</v>
      </c>
    </row>
    <row r="185" spans="3:22" ht="21.95" customHeight="1">
      <c r="C185" s="483">
        <v>158</v>
      </c>
      <c r="D185" s="483">
        <v>142</v>
      </c>
      <c r="E185" s="483" t="s">
        <v>2463</v>
      </c>
      <c r="F185" s="505" t="s">
        <v>2917</v>
      </c>
      <c r="G185" s="483">
        <v>1</v>
      </c>
      <c r="H185" s="483">
        <v>2</v>
      </c>
      <c r="I185" s="483">
        <v>26</v>
      </c>
      <c r="J185" s="505" t="s">
        <v>2164</v>
      </c>
      <c r="K185" s="505" t="s">
        <v>1507</v>
      </c>
      <c r="L185" s="1485">
        <v>4.08</v>
      </c>
      <c r="M185" s="519">
        <v>9</v>
      </c>
      <c r="N185" s="1546">
        <v>9</v>
      </c>
      <c r="O185" s="483">
        <v>0</v>
      </c>
      <c r="P185" s="483">
        <v>0</v>
      </c>
      <c r="Q185" s="483">
        <v>1</v>
      </c>
      <c r="R185" s="666">
        <v>46198.752997685187</v>
      </c>
      <c r="S185" s="483">
        <v>1</v>
      </c>
      <c r="T185" s="483">
        <v>1</v>
      </c>
      <c r="V185" t="str">
        <f t="shared" si="11"/>
        <v>Box/12pcs</v>
      </c>
    </row>
    <row r="186" spans="3:22" ht="21.95" customHeight="1">
      <c r="C186" s="483">
        <v>159</v>
      </c>
      <c r="D186" s="483">
        <v>142</v>
      </c>
      <c r="E186" s="483" t="s">
        <v>2463</v>
      </c>
      <c r="F186" s="505" t="s">
        <v>2917</v>
      </c>
      <c r="G186" s="483">
        <v>1</v>
      </c>
      <c r="H186" s="483">
        <v>2</v>
      </c>
      <c r="I186" s="483">
        <v>2</v>
      </c>
      <c r="J186" s="505" t="s">
        <v>2172</v>
      </c>
      <c r="K186" s="505" t="s">
        <v>1507</v>
      </c>
      <c r="L186" s="1485">
        <v>4.08</v>
      </c>
      <c r="M186" s="519">
        <v>0.75</v>
      </c>
      <c r="N186" s="1546">
        <v>0.75</v>
      </c>
      <c r="O186" s="483">
        <v>0</v>
      </c>
      <c r="P186" s="483">
        <v>0</v>
      </c>
      <c r="Q186" s="483">
        <v>1</v>
      </c>
      <c r="R186" s="666">
        <v>46198.752997685187</v>
      </c>
      <c r="S186" s="483">
        <v>1</v>
      </c>
      <c r="T186" s="483">
        <v>1</v>
      </c>
      <c r="V186" t="str">
        <f t="shared" si="11"/>
        <v>pcs</v>
      </c>
    </row>
    <row r="187" spans="3:22" ht="21.95" customHeight="1">
      <c r="C187" s="483">
        <v>160</v>
      </c>
      <c r="D187" s="483">
        <v>143</v>
      </c>
      <c r="E187" s="483" t="s">
        <v>2465</v>
      </c>
      <c r="F187" s="505" t="s">
        <v>2918</v>
      </c>
      <c r="G187" s="483">
        <v>1</v>
      </c>
      <c r="H187" s="483">
        <v>2</v>
      </c>
      <c r="I187" s="483">
        <v>26</v>
      </c>
      <c r="J187" s="505" t="s">
        <v>2164</v>
      </c>
      <c r="K187" s="505" t="s">
        <v>1507</v>
      </c>
      <c r="L187" s="1485">
        <v>38.799999999999997</v>
      </c>
      <c r="M187" s="519">
        <v>42</v>
      </c>
      <c r="N187" s="1546">
        <v>42</v>
      </c>
      <c r="O187" s="483">
        <v>0</v>
      </c>
      <c r="P187" s="483">
        <v>0</v>
      </c>
      <c r="Q187" s="483">
        <v>1</v>
      </c>
      <c r="R187" s="666">
        <v>46198.752997685187</v>
      </c>
      <c r="S187" s="483">
        <v>1</v>
      </c>
      <c r="T187" s="483">
        <v>1</v>
      </c>
      <c r="V187" t="str">
        <f t="shared" si="11"/>
        <v>Box/12pcs</v>
      </c>
    </row>
    <row r="188" spans="3:22" ht="21.95" customHeight="1">
      <c r="C188" s="483">
        <v>161</v>
      </c>
      <c r="D188" s="483">
        <v>143</v>
      </c>
      <c r="E188" s="483" t="s">
        <v>2465</v>
      </c>
      <c r="F188" s="505" t="s">
        <v>2918</v>
      </c>
      <c r="G188" s="483">
        <v>1</v>
      </c>
      <c r="H188" s="483">
        <v>2</v>
      </c>
      <c r="I188" s="483">
        <v>2</v>
      </c>
      <c r="J188" s="505" t="s">
        <v>2172</v>
      </c>
      <c r="K188" s="505" t="s">
        <v>1507</v>
      </c>
      <c r="L188" s="1485">
        <v>38.799999999999997</v>
      </c>
      <c r="M188" s="519">
        <v>3.5</v>
      </c>
      <c r="N188" s="1546">
        <v>3.5</v>
      </c>
      <c r="O188" s="483">
        <v>0</v>
      </c>
      <c r="P188" s="483">
        <v>0</v>
      </c>
      <c r="Q188" s="483">
        <v>1</v>
      </c>
      <c r="R188" s="666">
        <v>46198.752997685187</v>
      </c>
      <c r="S188" s="483">
        <v>1</v>
      </c>
      <c r="T188" s="483">
        <v>1</v>
      </c>
      <c r="V188" t="str">
        <f t="shared" si="11"/>
        <v>pcs</v>
      </c>
    </row>
    <row r="189" spans="3:22" ht="21.95" customHeight="1">
      <c r="C189" s="483">
        <v>162</v>
      </c>
      <c r="D189" s="483">
        <v>144</v>
      </c>
      <c r="E189" s="483" t="s">
        <v>2467</v>
      </c>
      <c r="F189" s="505" t="s">
        <v>2919</v>
      </c>
      <c r="G189" s="483">
        <v>1</v>
      </c>
      <c r="H189" s="483">
        <v>2</v>
      </c>
      <c r="I189" s="483">
        <v>34</v>
      </c>
      <c r="J189" s="505" t="s">
        <v>2705</v>
      </c>
      <c r="K189" s="505" t="s">
        <v>1507</v>
      </c>
      <c r="L189" s="1485">
        <v>15</v>
      </c>
      <c r="M189" s="519">
        <v>32.5</v>
      </c>
      <c r="N189" s="1546">
        <v>32.5</v>
      </c>
      <c r="O189" s="483">
        <v>0</v>
      </c>
      <c r="P189" s="483">
        <v>0</v>
      </c>
      <c r="Q189" s="483">
        <v>1</v>
      </c>
      <c r="R189" s="666">
        <v>46198.752997685187</v>
      </c>
      <c r="S189" s="483">
        <v>1</v>
      </c>
      <c r="T189" s="483">
        <v>1</v>
      </c>
      <c r="V189" t="str">
        <f t="shared" si="11"/>
        <v>Case/50pcs</v>
      </c>
    </row>
    <row r="190" spans="3:22" ht="21.95" customHeight="1">
      <c r="C190" s="483">
        <v>163</v>
      </c>
      <c r="D190" s="483">
        <v>144</v>
      </c>
      <c r="E190" s="483" t="s">
        <v>2467</v>
      </c>
      <c r="F190" s="505" t="s">
        <v>2919</v>
      </c>
      <c r="G190" s="483">
        <v>1</v>
      </c>
      <c r="H190" s="483">
        <v>2</v>
      </c>
      <c r="I190" s="483">
        <v>2</v>
      </c>
      <c r="J190" s="505" t="s">
        <v>2172</v>
      </c>
      <c r="K190" s="505" t="s">
        <v>1507</v>
      </c>
      <c r="L190" s="1485">
        <v>15</v>
      </c>
      <c r="M190" s="519">
        <v>0.65</v>
      </c>
      <c r="N190" s="1546">
        <v>0.65</v>
      </c>
      <c r="O190" s="483">
        <v>0</v>
      </c>
      <c r="P190" s="483">
        <v>0</v>
      </c>
      <c r="Q190" s="483">
        <v>1</v>
      </c>
      <c r="R190" s="666">
        <v>46198.752997685187</v>
      </c>
      <c r="S190" s="483">
        <v>1</v>
      </c>
      <c r="T190" s="483">
        <v>1</v>
      </c>
      <c r="V190" t="str">
        <f t="shared" si="11"/>
        <v>pcs</v>
      </c>
    </row>
    <row r="191" spans="3:22" ht="21.95" customHeight="1">
      <c r="C191" s="483">
        <v>164</v>
      </c>
      <c r="D191" s="483">
        <v>145</v>
      </c>
      <c r="E191" s="483" t="s">
        <v>2469</v>
      </c>
      <c r="F191" s="505" t="s">
        <v>2920</v>
      </c>
      <c r="G191" s="483">
        <v>1</v>
      </c>
      <c r="H191" s="483">
        <v>2</v>
      </c>
      <c r="I191" s="483">
        <v>26</v>
      </c>
      <c r="J191" s="505" t="s">
        <v>2164</v>
      </c>
      <c r="K191" s="505" t="s">
        <v>1507</v>
      </c>
      <c r="L191" s="1485">
        <v>3.48</v>
      </c>
      <c r="M191" s="519">
        <v>6</v>
      </c>
      <c r="N191" s="1546">
        <v>6</v>
      </c>
      <c r="O191" s="483">
        <v>0</v>
      </c>
      <c r="P191" s="483">
        <v>0</v>
      </c>
      <c r="Q191" s="483">
        <v>1</v>
      </c>
      <c r="R191" s="666">
        <v>46198.752997685187</v>
      </c>
      <c r="S191" s="483">
        <v>1</v>
      </c>
      <c r="T191" s="483">
        <v>1</v>
      </c>
      <c r="V191" t="str">
        <f t="shared" si="11"/>
        <v>Box/12pcs</v>
      </c>
    </row>
    <row r="192" spans="3:22" ht="21.95" customHeight="1">
      <c r="C192" s="483">
        <v>165</v>
      </c>
      <c r="D192" s="483">
        <v>145</v>
      </c>
      <c r="E192" s="483" t="s">
        <v>2469</v>
      </c>
      <c r="F192" s="505" t="s">
        <v>2920</v>
      </c>
      <c r="G192" s="483">
        <v>1</v>
      </c>
      <c r="H192" s="483">
        <v>2</v>
      </c>
      <c r="I192" s="483">
        <v>2</v>
      </c>
      <c r="J192" s="505" t="s">
        <v>2172</v>
      </c>
      <c r="K192" s="505" t="s">
        <v>1507</v>
      </c>
      <c r="L192" s="1485">
        <v>3.48</v>
      </c>
      <c r="M192" s="519">
        <v>0.5</v>
      </c>
      <c r="N192" s="1546">
        <v>0.5</v>
      </c>
      <c r="O192" s="483">
        <v>0</v>
      </c>
      <c r="P192" s="483">
        <v>0</v>
      </c>
      <c r="Q192" s="483">
        <v>1</v>
      </c>
      <c r="R192" s="666">
        <v>46198.752997685187</v>
      </c>
      <c r="S192" s="483">
        <v>1</v>
      </c>
      <c r="T192" s="483">
        <v>1</v>
      </c>
      <c r="V192" t="str">
        <f t="shared" si="11"/>
        <v>pcs</v>
      </c>
    </row>
    <row r="193" spans="3:22" ht="21.95" customHeight="1">
      <c r="C193" s="483">
        <v>166</v>
      </c>
      <c r="D193" s="483">
        <v>146</v>
      </c>
      <c r="E193" s="483" t="s">
        <v>2471</v>
      </c>
      <c r="F193" s="505" t="s">
        <v>2921</v>
      </c>
      <c r="G193" s="483">
        <v>1</v>
      </c>
      <c r="H193" s="483">
        <v>2</v>
      </c>
      <c r="I193" s="483">
        <v>2</v>
      </c>
      <c r="J193" s="505" t="s">
        <v>2172</v>
      </c>
      <c r="K193" s="505" t="s">
        <v>1507</v>
      </c>
      <c r="L193" s="1485">
        <v>0.04</v>
      </c>
      <c r="M193" s="519">
        <v>0.125</v>
      </c>
      <c r="N193" s="1546">
        <v>0.125</v>
      </c>
      <c r="O193" s="483">
        <v>0</v>
      </c>
      <c r="P193" s="483">
        <v>0</v>
      </c>
      <c r="Q193" s="483">
        <v>1</v>
      </c>
      <c r="R193" s="666">
        <v>46198.752997685187</v>
      </c>
      <c r="S193" s="483">
        <v>1</v>
      </c>
      <c r="T193" s="483">
        <v>1</v>
      </c>
      <c r="V193" t="str">
        <f t="shared" si="11"/>
        <v>pcs</v>
      </c>
    </row>
    <row r="194" spans="3:22" ht="21.95" customHeight="1">
      <c r="C194" s="483">
        <v>167</v>
      </c>
      <c r="D194" s="483">
        <v>147</v>
      </c>
      <c r="E194" s="483" t="s">
        <v>2473</v>
      </c>
      <c r="F194" s="505" t="s">
        <v>2922</v>
      </c>
      <c r="G194" s="483">
        <v>1</v>
      </c>
      <c r="H194" s="483">
        <v>2</v>
      </c>
      <c r="I194" s="483">
        <v>47</v>
      </c>
      <c r="J194" s="505" t="s">
        <v>2166</v>
      </c>
      <c r="K194" s="505" t="s">
        <v>1507</v>
      </c>
      <c r="L194" s="1485">
        <v>6</v>
      </c>
      <c r="M194" s="519">
        <v>9</v>
      </c>
      <c r="N194" s="1546">
        <v>9</v>
      </c>
      <c r="O194" s="483">
        <v>0</v>
      </c>
      <c r="P194" s="483">
        <v>0</v>
      </c>
      <c r="Q194" s="483">
        <v>1</v>
      </c>
      <c r="R194" s="666">
        <v>46198.752997685187</v>
      </c>
      <c r="S194" s="483">
        <v>1</v>
      </c>
      <c r="T194" s="483">
        <v>1</v>
      </c>
      <c r="V194" t="str">
        <f t="shared" si="11"/>
        <v>Ctn/6pcs</v>
      </c>
    </row>
    <row r="195" spans="3:22" ht="21.95" customHeight="1">
      <c r="C195" s="483">
        <v>168</v>
      </c>
      <c r="D195" s="483">
        <v>147</v>
      </c>
      <c r="E195" s="483" t="s">
        <v>2473</v>
      </c>
      <c r="F195" s="505" t="s">
        <v>2922</v>
      </c>
      <c r="G195" s="483">
        <v>1</v>
      </c>
      <c r="H195" s="483">
        <v>2</v>
      </c>
      <c r="I195" s="483">
        <v>2</v>
      </c>
      <c r="J195" s="505" t="s">
        <v>2172</v>
      </c>
      <c r="K195" s="505" t="s">
        <v>1507</v>
      </c>
      <c r="L195" s="1485">
        <v>6</v>
      </c>
      <c r="M195" s="519">
        <v>1.5</v>
      </c>
      <c r="N195" s="1546">
        <v>1.5</v>
      </c>
      <c r="O195" s="483">
        <v>0</v>
      </c>
      <c r="P195" s="483">
        <v>0</v>
      </c>
      <c r="Q195" s="483">
        <v>1</v>
      </c>
      <c r="R195" s="666">
        <v>46198.752997685187</v>
      </c>
      <c r="S195" s="483">
        <v>1</v>
      </c>
      <c r="T195" s="483">
        <v>1</v>
      </c>
      <c r="V195" t="str">
        <f t="shared" si="11"/>
        <v>pcs</v>
      </c>
    </row>
    <row r="196" spans="3:22" ht="21.95" customHeight="1">
      <c r="C196" s="483">
        <v>169</v>
      </c>
      <c r="D196" s="483">
        <v>148</v>
      </c>
      <c r="E196" s="483" t="s">
        <v>2475</v>
      </c>
      <c r="F196" s="505" t="s">
        <v>2923</v>
      </c>
      <c r="G196" s="483">
        <v>1</v>
      </c>
      <c r="H196" s="483">
        <v>2</v>
      </c>
      <c r="I196" s="483">
        <v>2</v>
      </c>
      <c r="J196" s="505" t="s">
        <v>2172</v>
      </c>
      <c r="K196" s="505" t="s">
        <v>1507</v>
      </c>
      <c r="L196" s="1485">
        <v>0.9</v>
      </c>
      <c r="M196" s="519">
        <v>1.5</v>
      </c>
      <c r="N196" s="1546">
        <v>1.5</v>
      </c>
      <c r="O196" s="483">
        <v>0</v>
      </c>
      <c r="P196" s="483">
        <v>0</v>
      </c>
      <c r="Q196" s="483">
        <v>1</v>
      </c>
      <c r="R196" s="666">
        <v>46198.752997685187</v>
      </c>
      <c r="S196" s="483">
        <v>1</v>
      </c>
      <c r="T196" s="483">
        <v>1</v>
      </c>
      <c r="V196" t="str">
        <f t="shared" si="11"/>
        <v>pcs</v>
      </c>
    </row>
    <row r="197" spans="3:22" ht="21.95" customHeight="1">
      <c r="C197" s="483">
        <v>170</v>
      </c>
      <c r="D197" s="483">
        <v>149</v>
      </c>
      <c r="E197" s="483" t="s">
        <v>2477</v>
      </c>
      <c r="F197" s="505" t="s">
        <v>2924</v>
      </c>
      <c r="G197" s="483">
        <v>1</v>
      </c>
      <c r="H197" s="483">
        <v>2</v>
      </c>
      <c r="I197" s="483">
        <v>48</v>
      </c>
      <c r="J197" s="505" t="s">
        <v>2592</v>
      </c>
      <c r="K197" s="505" t="s">
        <v>1507</v>
      </c>
      <c r="L197" s="1485">
        <v>4.8</v>
      </c>
      <c r="M197" s="519">
        <v>6</v>
      </c>
      <c r="N197" s="1546">
        <v>6</v>
      </c>
      <c r="O197" s="483">
        <v>0</v>
      </c>
      <c r="P197" s="483">
        <v>0</v>
      </c>
      <c r="Q197" s="483">
        <v>1</v>
      </c>
      <c r="R197" s="666">
        <v>46198.752997685187</v>
      </c>
      <c r="S197" s="483">
        <v>1</v>
      </c>
      <c r="T197" s="483">
        <v>1</v>
      </c>
      <c r="V197" t="str">
        <f t="shared" si="11"/>
        <v>Lots/12pair</v>
      </c>
    </row>
    <row r="198" spans="3:22" ht="21.95" customHeight="1">
      <c r="C198" s="483">
        <v>171</v>
      </c>
      <c r="D198" s="483">
        <v>149</v>
      </c>
      <c r="E198" s="483" t="s">
        <v>2477</v>
      </c>
      <c r="F198" s="505" t="s">
        <v>2924</v>
      </c>
      <c r="G198" s="483">
        <v>1</v>
      </c>
      <c r="H198" s="483">
        <v>2</v>
      </c>
      <c r="I198" s="483">
        <v>8</v>
      </c>
      <c r="J198" s="505" t="s">
        <v>2132</v>
      </c>
      <c r="K198" s="505" t="s">
        <v>1507</v>
      </c>
      <c r="L198" s="1485">
        <v>4.8</v>
      </c>
      <c r="M198" s="519">
        <v>0.5</v>
      </c>
      <c r="N198" s="1546">
        <v>0.5</v>
      </c>
      <c r="O198" s="483">
        <v>0</v>
      </c>
      <c r="P198" s="483">
        <v>0</v>
      </c>
      <c r="Q198" s="483">
        <v>1</v>
      </c>
      <c r="R198" s="666">
        <v>46198.752997685187</v>
      </c>
      <c r="S198" s="483">
        <v>1</v>
      </c>
      <c r="T198" s="483">
        <v>1</v>
      </c>
      <c r="V198" t="str">
        <f t="shared" si="11"/>
        <v>Pair</v>
      </c>
    </row>
    <row r="199" spans="3:22" ht="21.95" customHeight="1">
      <c r="C199" s="483">
        <v>172</v>
      </c>
      <c r="D199" s="483">
        <v>150</v>
      </c>
      <c r="E199" s="483" t="s">
        <v>2479</v>
      </c>
      <c r="F199" s="505" t="s">
        <v>2925</v>
      </c>
      <c r="G199" s="483">
        <v>1</v>
      </c>
      <c r="H199" s="483">
        <v>2</v>
      </c>
      <c r="I199" s="483">
        <v>48</v>
      </c>
      <c r="J199" s="505" t="s">
        <v>2592</v>
      </c>
      <c r="K199" s="505" t="s">
        <v>1507</v>
      </c>
      <c r="L199" s="1485">
        <v>1.56</v>
      </c>
      <c r="M199" s="519">
        <v>3</v>
      </c>
      <c r="N199" s="1546">
        <v>3</v>
      </c>
      <c r="O199" s="483">
        <v>0</v>
      </c>
      <c r="P199" s="483">
        <v>0</v>
      </c>
      <c r="Q199" s="483">
        <v>1</v>
      </c>
      <c r="R199" s="666">
        <v>46198.752997685187</v>
      </c>
      <c r="S199" s="483">
        <v>1</v>
      </c>
      <c r="T199" s="483">
        <v>1</v>
      </c>
      <c r="V199" t="str">
        <f t="shared" si="11"/>
        <v>Lots/12pair</v>
      </c>
    </row>
    <row r="200" spans="3:22" ht="21.95" customHeight="1">
      <c r="C200" s="483">
        <v>173</v>
      </c>
      <c r="D200" s="483">
        <v>150</v>
      </c>
      <c r="E200" s="483" t="s">
        <v>2479</v>
      </c>
      <c r="F200" s="505" t="s">
        <v>2925</v>
      </c>
      <c r="G200" s="483">
        <v>1</v>
      </c>
      <c r="H200" s="483">
        <v>2</v>
      </c>
      <c r="I200" s="483">
        <v>8</v>
      </c>
      <c r="J200" s="505" t="s">
        <v>2132</v>
      </c>
      <c r="K200" s="505" t="s">
        <v>1507</v>
      </c>
      <c r="L200" s="1485">
        <v>1.56</v>
      </c>
      <c r="M200" s="519">
        <v>0.25</v>
      </c>
      <c r="N200" s="1546">
        <v>0.25</v>
      </c>
      <c r="O200" s="483">
        <v>0</v>
      </c>
      <c r="P200" s="483">
        <v>0</v>
      </c>
      <c r="Q200" s="483">
        <v>1</v>
      </c>
      <c r="R200" s="666">
        <v>46198.752997685187</v>
      </c>
      <c r="S200" s="483">
        <v>1</v>
      </c>
      <c r="T200" s="483">
        <v>1</v>
      </c>
      <c r="V200" t="str">
        <f t="shared" si="11"/>
        <v>Pair</v>
      </c>
    </row>
    <row r="201" spans="3:22" ht="21.95" customHeight="1">
      <c r="C201" s="483">
        <v>174</v>
      </c>
      <c r="D201" s="483">
        <v>151</v>
      </c>
      <c r="E201" s="483" t="s">
        <v>2792</v>
      </c>
      <c r="F201" s="505" t="s">
        <v>2926</v>
      </c>
      <c r="G201" s="483">
        <v>1</v>
      </c>
      <c r="H201" s="483">
        <v>2</v>
      </c>
      <c r="I201" s="483">
        <v>28</v>
      </c>
      <c r="J201" s="505" t="s">
        <v>2703</v>
      </c>
      <c r="K201" s="505" t="s">
        <v>1507</v>
      </c>
      <c r="L201" s="1485">
        <v>49</v>
      </c>
      <c r="M201" s="519">
        <v>52</v>
      </c>
      <c r="N201" s="1546">
        <v>52</v>
      </c>
      <c r="O201" s="483">
        <v>0</v>
      </c>
      <c r="P201" s="483">
        <v>0</v>
      </c>
      <c r="Q201" s="483">
        <v>1</v>
      </c>
      <c r="R201" s="666">
        <v>46198.752997685187</v>
      </c>
      <c r="S201" s="483">
        <v>1</v>
      </c>
      <c r="T201" s="483">
        <v>1</v>
      </c>
      <c r="V201" t="str">
        <f t="shared" si="11"/>
        <v>Can/18l</v>
      </c>
    </row>
    <row r="202" spans="3:22" ht="21.95" customHeight="1">
      <c r="C202" s="483">
        <v>175</v>
      </c>
      <c r="D202" s="483">
        <v>152</v>
      </c>
      <c r="E202" s="483" t="s">
        <v>2482</v>
      </c>
      <c r="F202" s="505" t="s">
        <v>2927</v>
      </c>
      <c r="G202" s="483">
        <v>1</v>
      </c>
      <c r="H202" s="483">
        <v>2</v>
      </c>
      <c r="I202" s="483">
        <v>29</v>
      </c>
      <c r="J202" s="505" t="s">
        <v>2167</v>
      </c>
      <c r="K202" s="505" t="s">
        <v>1507</v>
      </c>
      <c r="L202" s="1485">
        <v>45</v>
      </c>
      <c r="M202" s="519">
        <v>46</v>
      </c>
      <c r="N202" s="1546">
        <v>46</v>
      </c>
      <c r="O202" s="483">
        <v>0</v>
      </c>
      <c r="P202" s="483">
        <v>0</v>
      </c>
      <c r="Q202" s="483">
        <v>1</v>
      </c>
      <c r="R202" s="666">
        <v>46198.752997685187</v>
      </c>
      <c r="S202" s="483">
        <v>1</v>
      </c>
      <c r="T202" s="483">
        <v>1</v>
      </c>
      <c r="V202" t="str">
        <f t="shared" si="11"/>
        <v>Case/4pcs</v>
      </c>
    </row>
    <row r="203" spans="3:22" ht="21.95" customHeight="1">
      <c r="C203" s="483">
        <v>176</v>
      </c>
      <c r="D203" s="483">
        <v>152</v>
      </c>
      <c r="E203" s="483" t="s">
        <v>2482</v>
      </c>
      <c r="F203" s="505" t="s">
        <v>2927</v>
      </c>
      <c r="G203" s="483">
        <v>1</v>
      </c>
      <c r="H203" s="483">
        <v>2</v>
      </c>
      <c r="I203" s="483">
        <v>2</v>
      </c>
      <c r="J203" s="505" t="s">
        <v>2172</v>
      </c>
      <c r="K203" s="505" t="s">
        <v>1507</v>
      </c>
      <c r="L203" s="1485">
        <v>45</v>
      </c>
      <c r="M203" s="519">
        <v>11.5</v>
      </c>
      <c r="N203" s="1546">
        <v>11.5</v>
      </c>
      <c r="O203" s="483">
        <v>0</v>
      </c>
      <c r="P203" s="483">
        <v>0</v>
      </c>
      <c r="Q203" s="483">
        <v>1</v>
      </c>
      <c r="R203" s="666">
        <v>46198.752997685187</v>
      </c>
      <c r="S203" s="483">
        <v>1</v>
      </c>
      <c r="T203" s="483">
        <v>1</v>
      </c>
      <c r="V203" t="str">
        <f t="shared" si="11"/>
        <v>pcs</v>
      </c>
    </row>
    <row r="204" spans="3:22" ht="21.95" customHeight="1">
      <c r="C204" s="483">
        <v>177</v>
      </c>
      <c r="D204" s="483">
        <v>153</v>
      </c>
      <c r="E204" s="483" t="s">
        <v>2484</v>
      </c>
      <c r="F204" s="505" t="s">
        <v>2928</v>
      </c>
      <c r="G204" s="483">
        <v>1</v>
      </c>
      <c r="H204" s="483">
        <v>2</v>
      </c>
      <c r="I204" s="483">
        <v>30</v>
      </c>
      <c r="J204" s="505" t="s">
        <v>2168</v>
      </c>
      <c r="K204" s="505" t="s">
        <v>1507</v>
      </c>
      <c r="L204" s="1485">
        <v>39.6</v>
      </c>
      <c r="M204" s="519">
        <v>45</v>
      </c>
      <c r="N204" s="1546">
        <v>45</v>
      </c>
      <c r="O204" s="483">
        <v>0</v>
      </c>
      <c r="P204" s="483">
        <v>0</v>
      </c>
      <c r="Q204" s="483">
        <v>1</v>
      </c>
      <c r="R204" s="666">
        <v>46198.752997685187</v>
      </c>
      <c r="S204" s="483">
        <v>1</v>
      </c>
      <c r="T204" s="483">
        <v>1</v>
      </c>
      <c r="V204" t="str">
        <f t="shared" si="11"/>
        <v>Case/12pcs</v>
      </c>
    </row>
    <row r="205" spans="3:22" ht="21.95" customHeight="1">
      <c r="C205" s="483">
        <v>178</v>
      </c>
      <c r="D205" s="483">
        <v>153</v>
      </c>
      <c r="E205" s="483" t="s">
        <v>2484</v>
      </c>
      <c r="F205" s="505" t="s">
        <v>2928</v>
      </c>
      <c r="G205" s="483">
        <v>1</v>
      </c>
      <c r="H205" s="483">
        <v>2</v>
      </c>
      <c r="I205" s="483">
        <v>2</v>
      </c>
      <c r="J205" s="505" t="s">
        <v>2172</v>
      </c>
      <c r="K205" s="505" t="s">
        <v>1507</v>
      </c>
      <c r="L205" s="1485">
        <v>39.6</v>
      </c>
      <c r="M205" s="519">
        <v>3.75</v>
      </c>
      <c r="N205" s="1546">
        <v>3.75</v>
      </c>
      <c r="O205" s="483">
        <v>0</v>
      </c>
      <c r="P205" s="483">
        <v>0</v>
      </c>
      <c r="Q205" s="483">
        <v>1</v>
      </c>
      <c r="R205" s="666">
        <v>46198.752997685187</v>
      </c>
      <c r="S205" s="483">
        <v>1</v>
      </c>
      <c r="T205" s="483">
        <v>1</v>
      </c>
      <c r="V205" t="str">
        <f t="shared" si="11"/>
        <v>pcs</v>
      </c>
    </row>
    <row r="206" spans="3:22" ht="21.95" customHeight="1">
      <c r="C206" s="483">
        <v>179</v>
      </c>
      <c r="D206" s="483">
        <v>154</v>
      </c>
      <c r="E206" s="483" t="s">
        <v>2486</v>
      </c>
      <c r="F206" s="505" t="s">
        <v>2929</v>
      </c>
      <c r="G206" s="483">
        <v>1</v>
      </c>
      <c r="H206" s="483">
        <v>2</v>
      </c>
      <c r="I206" s="483">
        <v>27</v>
      </c>
      <c r="J206" s="505" t="s">
        <v>2702</v>
      </c>
      <c r="K206" s="505" t="s">
        <v>1507</v>
      </c>
      <c r="L206" s="1485">
        <v>66</v>
      </c>
      <c r="M206" s="519">
        <v>68</v>
      </c>
      <c r="N206" s="1546">
        <v>68</v>
      </c>
      <c r="O206" s="483">
        <v>0</v>
      </c>
      <c r="P206" s="483">
        <v>0</v>
      </c>
      <c r="Q206" s="483">
        <v>1</v>
      </c>
      <c r="R206" s="666">
        <v>46198.752997685187</v>
      </c>
      <c r="S206" s="483">
        <v>1</v>
      </c>
      <c r="T206" s="483">
        <v>1</v>
      </c>
      <c r="V206" t="str">
        <f t="shared" si="11"/>
        <v>Can/17l</v>
      </c>
    </row>
    <row r="207" spans="3:22" ht="21.95" customHeight="1">
      <c r="C207" s="483">
        <v>180</v>
      </c>
      <c r="D207" s="483">
        <v>155</v>
      </c>
      <c r="E207" s="483" t="s">
        <v>2488</v>
      </c>
      <c r="F207" s="505" t="s">
        <v>2930</v>
      </c>
      <c r="G207" s="483">
        <v>1</v>
      </c>
      <c r="H207" s="483">
        <v>2</v>
      </c>
      <c r="I207" s="483">
        <v>42</v>
      </c>
      <c r="J207" s="505" t="s">
        <v>2712</v>
      </c>
      <c r="K207" s="505" t="s">
        <v>1507</v>
      </c>
      <c r="L207" s="1485">
        <v>58</v>
      </c>
      <c r="M207" s="519">
        <v>60</v>
      </c>
      <c r="N207" s="1546">
        <v>60</v>
      </c>
      <c r="O207" s="483">
        <v>0</v>
      </c>
      <c r="P207" s="483">
        <v>0</v>
      </c>
      <c r="Q207" s="483">
        <v>1</v>
      </c>
      <c r="R207" s="666">
        <v>46198.752997685187</v>
      </c>
      <c r="S207" s="483">
        <v>1</v>
      </c>
      <c r="T207" s="483">
        <v>1</v>
      </c>
      <c r="V207" t="str">
        <f t="shared" si="11"/>
        <v>Case/4can</v>
      </c>
    </row>
    <row r="208" spans="3:22" ht="21.95" customHeight="1">
      <c r="C208" s="483">
        <v>181</v>
      </c>
      <c r="D208" s="483">
        <v>155</v>
      </c>
      <c r="E208" s="483" t="s">
        <v>2488</v>
      </c>
      <c r="F208" s="505" t="s">
        <v>2930</v>
      </c>
      <c r="G208" s="483">
        <v>1</v>
      </c>
      <c r="H208" s="483">
        <v>2</v>
      </c>
      <c r="I208" s="483">
        <v>9</v>
      </c>
      <c r="J208" s="505" t="s">
        <v>2145</v>
      </c>
      <c r="K208" s="505" t="s">
        <v>1507</v>
      </c>
      <c r="L208" s="1485">
        <v>58</v>
      </c>
      <c r="M208" s="519">
        <v>15</v>
      </c>
      <c r="N208" s="1546">
        <v>15</v>
      </c>
      <c r="O208" s="483">
        <v>0</v>
      </c>
      <c r="P208" s="483">
        <v>0</v>
      </c>
      <c r="Q208" s="483">
        <v>1</v>
      </c>
      <c r="R208" s="666">
        <v>46198.752997685187</v>
      </c>
      <c r="S208" s="483">
        <v>1</v>
      </c>
      <c r="T208" s="483">
        <v>1</v>
      </c>
      <c r="V208" t="str">
        <f t="shared" si="11"/>
        <v>Can</v>
      </c>
    </row>
    <row r="209" spans="3:22" ht="21.95" customHeight="1">
      <c r="C209" s="483">
        <v>182</v>
      </c>
      <c r="D209" s="483">
        <v>156</v>
      </c>
      <c r="E209" s="483" t="s">
        <v>2490</v>
      </c>
      <c r="F209" s="505" t="s">
        <v>2931</v>
      </c>
      <c r="G209" s="483">
        <v>1</v>
      </c>
      <c r="H209" s="483">
        <v>2</v>
      </c>
      <c r="I209" s="483">
        <v>43</v>
      </c>
      <c r="J209" s="505" t="s">
        <v>2713</v>
      </c>
      <c r="K209" s="505" t="s">
        <v>1507</v>
      </c>
      <c r="L209" s="1485">
        <v>52.92</v>
      </c>
      <c r="M209" s="519">
        <v>57.599999999999994</v>
      </c>
      <c r="N209" s="1546">
        <v>57.599999999999994</v>
      </c>
      <c r="O209" s="483">
        <v>0</v>
      </c>
      <c r="P209" s="483">
        <v>0</v>
      </c>
      <c r="Q209" s="483">
        <v>1</v>
      </c>
      <c r="R209" s="666">
        <v>46198.752997685187</v>
      </c>
      <c r="S209" s="483">
        <v>1</v>
      </c>
      <c r="T209" s="483">
        <v>1</v>
      </c>
      <c r="V209" t="str">
        <f t="shared" si="11"/>
        <v>Case/12can</v>
      </c>
    </row>
    <row r="210" spans="3:22" ht="21.95" customHeight="1">
      <c r="C210" s="483">
        <v>183</v>
      </c>
      <c r="D210" s="483">
        <v>156</v>
      </c>
      <c r="E210" s="483" t="s">
        <v>2490</v>
      </c>
      <c r="F210" s="505" t="s">
        <v>2931</v>
      </c>
      <c r="G210" s="483">
        <v>1</v>
      </c>
      <c r="H210" s="483">
        <v>2</v>
      </c>
      <c r="I210" s="483">
        <v>9</v>
      </c>
      <c r="J210" s="505" t="s">
        <v>2145</v>
      </c>
      <c r="K210" s="505" t="s">
        <v>1507</v>
      </c>
      <c r="L210" s="1485">
        <v>52.92</v>
      </c>
      <c r="M210" s="519">
        <v>4.8</v>
      </c>
      <c r="N210" s="1546">
        <v>4.8</v>
      </c>
      <c r="O210" s="483">
        <v>0</v>
      </c>
      <c r="P210" s="483">
        <v>0</v>
      </c>
      <c r="Q210" s="483">
        <v>1</v>
      </c>
      <c r="R210" s="666">
        <v>46198.752997685187</v>
      </c>
      <c r="S210" s="483">
        <v>1</v>
      </c>
      <c r="T210" s="483">
        <v>1</v>
      </c>
      <c r="V210" t="str">
        <f t="shared" si="11"/>
        <v>Can</v>
      </c>
    </row>
    <row r="211" spans="3:22" ht="21.95" customHeight="1">
      <c r="C211" s="483">
        <v>184</v>
      </c>
      <c r="D211" s="483">
        <v>157</v>
      </c>
      <c r="E211" s="483" t="s">
        <v>2492</v>
      </c>
      <c r="F211" s="505" t="s">
        <v>2932</v>
      </c>
      <c r="G211" s="483">
        <v>1</v>
      </c>
      <c r="H211" s="483">
        <v>2</v>
      </c>
      <c r="I211" s="483">
        <v>43</v>
      </c>
      <c r="J211" s="505" t="s">
        <v>2713</v>
      </c>
      <c r="K211" s="505" t="s">
        <v>1507</v>
      </c>
      <c r="L211" s="1485">
        <v>21</v>
      </c>
      <c r="M211" s="519">
        <v>24</v>
      </c>
      <c r="N211" s="1546">
        <v>24</v>
      </c>
      <c r="O211" s="483">
        <v>0</v>
      </c>
      <c r="P211" s="483">
        <v>0</v>
      </c>
      <c r="Q211" s="483">
        <v>1</v>
      </c>
      <c r="R211" s="666">
        <v>46198.752997685187</v>
      </c>
      <c r="S211" s="483">
        <v>1</v>
      </c>
      <c r="T211" s="483">
        <v>1</v>
      </c>
      <c r="V211" t="str">
        <f t="shared" si="11"/>
        <v>Case/12can</v>
      </c>
    </row>
    <row r="212" spans="3:22" ht="21.95" customHeight="1">
      <c r="C212" s="483">
        <v>185</v>
      </c>
      <c r="D212" s="483">
        <v>157</v>
      </c>
      <c r="E212" s="483" t="s">
        <v>2492</v>
      </c>
      <c r="F212" s="505" t="s">
        <v>2932</v>
      </c>
      <c r="G212" s="483">
        <v>1</v>
      </c>
      <c r="H212" s="483">
        <v>2</v>
      </c>
      <c r="I212" s="483">
        <v>9</v>
      </c>
      <c r="J212" s="505" t="s">
        <v>2145</v>
      </c>
      <c r="K212" s="505" t="s">
        <v>1507</v>
      </c>
      <c r="L212" s="1485">
        <v>21</v>
      </c>
      <c r="M212" s="519">
        <v>2</v>
      </c>
      <c r="N212" s="1546">
        <v>2</v>
      </c>
      <c r="O212" s="483">
        <v>0</v>
      </c>
      <c r="P212" s="483">
        <v>0</v>
      </c>
      <c r="Q212" s="483">
        <v>1</v>
      </c>
      <c r="R212" s="666">
        <v>46198.752997685187</v>
      </c>
      <c r="S212" s="483">
        <v>1</v>
      </c>
      <c r="T212" s="483">
        <v>1</v>
      </c>
      <c r="V212" t="str">
        <f t="shared" si="11"/>
        <v>Can</v>
      </c>
    </row>
    <row r="213" spans="3:22" ht="21.95" customHeight="1">
      <c r="C213" s="483">
        <v>186</v>
      </c>
      <c r="D213" s="483">
        <v>158</v>
      </c>
      <c r="E213" s="483" t="s">
        <v>2494</v>
      </c>
      <c r="F213" s="505" t="s">
        <v>2933</v>
      </c>
      <c r="G213" s="483">
        <v>1</v>
      </c>
      <c r="H213" s="483">
        <v>2</v>
      </c>
      <c r="I213" s="483">
        <v>27</v>
      </c>
      <c r="J213" s="505" t="s">
        <v>2702</v>
      </c>
      <c r="K213" s="505" t="s">
        <v>1507</v>
      </c>
      <c r="L213" s="1485">
        <v>53</v>
      </c>
      <c r="M213" s="519">
        <v>55</v>
      </c>
      <c r="N213" s="1546">
        <v>55</v>
      </c>
      <c r="O213" s="483">
        <v>0</v>
      </c>
      <c r="P213" s="483">
        <v>0</v>
      </c>
      <c r="Q213" s="483">
        <v>1</v>
      </c>
      <c r="R213" s="666">
        <v>46198.752997685187</v>
      </c>
      <c r="S213" s="483">
        <v>1</v>
      </c>
      <c r="T213" s="483">
        <v>1</v>
      </c>
      <c r="V213" t="str">
        <f t="shared" si="11"/>
        <v>Can/17l</v>
      </c>
    </row>
    <row r="214" spans="3:22" ht="21.95" customHeight="1">
      <c r="C214" s="483">
        <v>187</v>
      </c>
      <c r="D214" s="483">
        <v>159</v>
      </c>
      <c r="E214" s="483" t="s">
        <v>2496</v>
      </c>
      <c r="F214" s="505" t="s">
        <v>2934</v>
      </c>
      <c r="G214" s="483">
        <v>1</v>
      </c>
      <c r="H214" s="483">
        <v>2</v>
      </c>
      <c r="I214" s="483">
        <v>27</v>
      </c>
      <c r="J214" s="505" t="s">
        <v>2702</v>
      </c>
      <c r="K214" s="505" t="s">
        <v>1507</v>
      </c>
      <c r="L214" s="1485">
        <v>49</v>
      </c>
      <c r="M214" s="519">
        <v>52</v>
      </c>
      <c r="N214" s="1546">
        <v>52</v>
      </c>
      <c r="O214" s="483">
        <v>0</v>
      </c>
      <c r="P214" s="483">
        <v>0</v>
      </c>
      <c r="Q214" s="483">
        <v>1</v>
      </c>
      <c r="R214" s="666">
        <v>46198.752997685187</v>
      </c>
      <c r="S214" s="483">
        <v>1</v>
      </c>
      <c r="T214" s="483">
        <v>1</v>
      </c>
      <c r="V214" t="str">
        <f t="shared" si="11"/>
        <v>Can/17l</v>
      </c>
    </row>
    <row r="215" spans="3:22" ht="21.95" customHeight="1">
      <c r="C215" s="483">
        <v>188</v>
      </c>
      <c r="D215" s="483">
        <v>160</v>
      </c>
      <c r="E215" s="483" t="s">
        <v>2498</v>
      </c>
      <c r="F215" s="505" t="s">
        <v>2935</v>
      </c>
      <c r="G215" s="483">
        <v>1</v>
      </c>
      <c r="H215" s="483">
        <v>2</v>
      </c>
      <c r="I215" s="483">
        <v>42</v>
      </c>
      <c r="J215" s="505" t="s">
        <v>2712</v>
      </c>
      <c r="K215" s="505" t="s">
        <v>1507</v>
      </c>
      <c r="L215" s="1485">
        <v>47</v>
      </c>
      <c r="M215" s="519">
        <v>48</v>
      </c>
      <c r="N215" s="1546">
        <v>48</v>
      </c>
      <c r="O215" s="483">
        <v>0</v>
      </c>
      <c r="P215" s="483">
        <v>0</v>
      </c>
      <c r="Q215" s="483">
        <v>1</v>
      </c>
      <c r="R215" s="666">
        <v>46198.752997685187</v>
      </c>
      <c r="S215" s="483">
        <v>1</v>
      </c>
      <c r="T215" s="483">
        <v>1</v>
      </c>
      <c r="V215" t="str">
        <f t="shared" si="11"/>
        <v>Case/4can</v>
      </c>
    </row>
    <row r="216" spans="3:22" ht="21.95" customHeight="1">
      <c r="C216" s="483">
        <v>189</v>
      </c>
      <c r="D216" s="483">
        <v>160</v>
      </c>
      <c r="E216" s="483" t="s">
        <v>2498</v>
      </c>
      <c r="F216" s="505" t="s">
        <v>2935</v>
      </c>
      <c r="G216" s="483">
        <v>1</v>
      </c>
      <c r="H216" s="483">
        <v>2</v>
      </c>
      <c r="I216" s="483">
        <v>9</v>
      </c>
      <c r="J216" s="505" t="s">
        <v>2145</v>
      </c>
      <c r="K216" s="505" t="s">
        <v>1507</v>
      </c>
      <c r="L216" s="1485">
        <v>47</v>
      </c>
      <c r="M216" s="519">
        <v>12</v>
      </c>
      <c r="N216" s="1546">
        <v>12</v>
      </c>
      <c r="O216" s="483">
        <v>0</v>
      </c>
      <c r="P216" s="483">
        <v>0</v>
      </c>
      <c r="Q216" s="483">
        <v>1</v>
      </c>
      <c r="R216" s="666">
        <v>46198.752997685187</v>
      </c>
      <c r="S216" s="483">
        <v>1</v>
      </c>
      <c r="T216" s="483">
        <v>1</v>
      </c>
      <c r="V216" t="str">
        <f t="shared" si="11"/>
        <v>Can</v>
      </c>
    </row>
    <row r="217" spans="3:22" ht="21.95" customHeight="1">
      <c r="C217" s="483">
        <v>190</v>
      </c>
      <c r="D217" s="483">
        <v>161</v>
      </c>
      <c r="E217" s="483" t="s">
        <v>2500</v>
      </c>
      <c r="F217" s="505" t="s">
        <v>2936</v>
      </c>
      <c r="G217" s="483">
        <v>1</v>
      </c>
      <c r="H217" s="483">
        <v>2</v>
      </c>
      <c r="I217" s="483">
        <v>43</v>
      </c>
      <c r="J217" s="505" t="s">
        <v>2713</v>
      </c>
      <c r="K217" s="505" t="s">
        <v>1507</v>
      </c>
      <c r="L217" s="1485">
        <v>43.2</v>
      </c>
      <c r="M217" s="519">
        <v>48</v>
      </c>
      <c r="N217" s="1546">
        <v>48</v>
      </c>
      <c r="O217" s="483">
        <v>0</v>
      </c>
      <c r="P217" s="483">
        <v>0</v>
      </c>
      <c r="Q217" s="483">
        <v>1</v>
      </c>
      <c r="R217" s="666">
        <v>46198.752997685187</v>
      </c>
      <c r="S217" s="483">
        <v>1</v>
      </c>
      <c r="T217" s="483">
        <v>1</v>
      </c>
      <c r="V217" t="str">
        <f t="shared" si="11"/>
        <v>Case/12can</v>
      </c>
    </row>
    <row r="218" spans="3:22" ht="21.95" customHeight="1">
      <c r="C218" s="483">
        <v>191</v>
      </c>
      <c r="D218" s="483">
        <v>161</v>
      </c>
      <c r="E218" s="483" t="s">
        <v>2500</v>
      </c>
      <c r="F218" s="505" t="s">
        <v>2936</v>
      </c>
      <c r="G218" s="483">
        <v>1</v>
      </c>
      <c r="H218" s="483">
        <v>2</v>
      </c>
      <c r="I218" s="483">
        <v>9</v>
      </c>
      <c r="J218" s="505" t="s">
        <v>2145</v>
      </c>
      <c r="K218" s="505" t="s">
        <v>1507</v>
      </c>
      <c r="L218" s="1485">
        <v>43.2</v>
      </c>
      <c r="M218" s="519">
        <v>4</v>
      </c>
      <c r="N218" s="1546">
        <v>4</v>
      </c>
      <c r="O218" s="483">
        <v>0</v>
      </c>
      <c r="P218" s="483">
        <v>0</v>
      </c>
      <c r="Q218" s="483">
        <v>1</v>
      </c>
      <c r="R218" s="666">
        <v>46198.752997685187</v>
      </c>
      <c r="S218" s="483">
        <v>1</v>
      </c>
      <c r="T218" s="483">
        <v>1</v>
      </c>
      <c r="V218" t="str">
        <f t="shared" si="11"/>
        <v>Can</v>
      </c>
    </row>
    <row r="219" spans="3:22" ht="21.95" customHeight="1">
      <c r="C219" s="483">
        <v>192</v>
      </c>
      <c r="D219" s="483">
        <v>162</v>
      </c>
      <c r="E219" s="483" t="s">
        <v>2502</v>
      </c>
      <c r="F219" s="505" t="s">
        <v>2937</v>
      </c>
      <c r="G219" s="483">
        <v>1</v>
      </c>
      <c r="H219" s="483">
        <v>2</v>
      </c>
      <c r="I219" s="483">
        <v>27</v>
      </c>
      <c r="J219" s="505" t="s">
        <v>2702</v>
      </c>
      <c r="K219" s="505" t="s">
        <v>1507</v>
      </c>
      <c r="L219" s="1485">
        <v>53</v>
      </c>
      <c r="M219" s="519">
        <v>55</v>
      </c>
      <c r="N219" s="1546">
        <v>55</v>
      </c>
      <c r="O219" s="483">
        <v>0</v>
      </c>
      <c r="P219" s="483">
        <v>0</v>
      </c>
      <c r="Q219" s="483">
        <v>1</v>
      </c>
      <c r="R219" s="666">
        <v>46198.752997685187</v>
      </c>
      <c r="S219" s="483">
        <v>1</v>
      </c>
      <c r="T219" s="483">
        <v>1</v>
      </c>
      <c r="V219" t="str">
        <f t="shared" si="11"/>
        <v>Can/17l</v>
      </c>
    </row>
    <row r="220" spans="3:22" ht="21.95" customHeight="1">
      <c r="C220" s="483">
        <v>193</v>
      </c>
      <c r="D220" s="483">
        <v>163</v>
      </c>
      <c r="E220" s="483" t="s">
        <v>2504</v>
      </c>
      <c r="F220" s="505" t="s">
        <v>2938</v>
      </c>
      <c r="G220" s="483">
        <v>1</v>
      </c>
      <c r="H220" s="483">
        <v>2</v>
      </c>
      <c r="I220" s="483">
        <v>42</v>
      </c>
      <c r="J220" s="505" t="s">
        <v>2712</v>
      </c>
      <c r="K220" s="505" t="s">
        <v>1507</v>
      </c>
      <c r="L220" s="1485">
        <v>51</v>
      </c>
      <c r="M220" s="519">
        <v>53</v>
      </c>
      <c r="N220" s="1546">
        <v>53</v>
      </c>
      <c r="O220" s="483">
        <v>0</v>
      </c>
      <c r="P220" s="483">
        <v>0</v>
      </c>
      <c r="Q220" s="483">
        <v>1</v>
      </c>
      <c r="R220" s="666">
        <v>46198.752997685187</v>
      </c>
      <c r="S220" s="483">
        <v>1</v>
      </c>
      <c r="T220" s="483">
        <v>1</v>
      </c>
      <c r="V220" t="str">
        <f t="shared" ref="V220:V283" si="12">IF(I220="","",VLOOKUP(I220,uom_list,5,FALSE))</f>
        <v>Case/4can</v>
      </c>
    </row>
    <row r="221" spans="3:22" ht="21.95" customHeight="1">
      <c r="C221" s="483">
        <v>194</v>
      </c>
      <c r="D221" s="483">
        <v>163</v>
      </c>
      <c r="E221" s="483" t="s">
        <v>2504</v>
      </c>
      <c r="F221" s="505" t="s">
        <v>2938</v>
      </c>
      <c r="G221" s="483">
        <v>1</v>
      </c>
      <c r="H221" s="483">
        <v>2</v>
      </c>
      <c r="I221" s="483">
        <v>9</v>
      </c>
      <c r="J221" s="505" t="s">
        <v>2145</v>
      </c>
      <c r="K221" s="505" t="s">
        <v>1507</v>
      </c>
      <c r="L221" s="1485">
        <v>51</v>
      </c>
      <c r="M221" s="519">
        <v>13.25</v>
      </c>
      <c r="N221" s="1546">
        <v>13.25</v>
      </c>
      <c r="O221" s="483">
        <v>0</v>
      </c>
      <c r="P221" s="483">
        <v>0</v>
      </c>
      <c r="Q221" s="483">
        <v>1</v>
      </c>
      <c r="R221" s="666">
        <v>46198.752997685187</v>
      </c>
      <c r="S221" s="483">
        <v>1</v>
      </c>
      <c r="T221" s="483">
        <v>1</v>
      </c>
      <c r="V221" t="str">
        <f t="shared" si="12"/>
        <v>Can</v>
      </c>
    </row>
    <row r="222" spans="3:22" ht="21.95" customHeight="1">
      <c r="C222" s="483">
        <v>195</v>
      </c>
      <c r="D222" s="483">
        <v>164</v>
      </c>
      <c r="E222" s="483" t="s">
        <v>2505</v>
      </c>
      <c r="F222" s="505" t="s">
        <v>2939</v>
      </c>
      <c r="G222" s="483">
        <v>1</v>
      </c>
      <c r="H222" s="483">
        <v>2</v>
      </c>
      <c r="I222" s="483">
        <v>27</v>
      </c>
      <c r="J222" s="505" t="s">
        <v>2702</v>
      </c>
      <c r="K222" s="505" t="s">
        <v>1507</v>
      </c>
      <c r="L222" s="1485">
        <v>88</v>
      </c>
      <c r="M222" s="519">
        <v>90</v>
      </c>
      <c r="N222" s="1546">
        <v>90</v>
      </c>
      <c r="O222" s="483">
        <v>0</v>
      </c>
      <c r="P222" s="483">
        <v>0</v>
      </c>
      <c r="Q222" s="483">
        <v>1</v>
      </c>
      <c r="R222" s="666">
        <v>46198.752997685187</v>
      </c>
      <c r="S222" s="483">
        <v>1</v>
      </c>
      <c r="T222" s="483">
        <v>1</v>
      </c>
      <c r="V222" t="str">
        <f t="shared" si="12"/>
        <v>Can/17l</v>
      </c>
    </row>
    <row r="223" spans="3:22" ht="21.95" customHeight="1">
      <c r="C223" s="483">
        <v>196</v>
      </c>
      <c r="D223" s="483">
        <v>165</v>
      </c>
      <c r="E223" s="483" t="s">
        <v>2506</v>
      </c>
      <c r="F223" s="505" t="s">
        <v>2940</v>
      </c>
      <c r="G223" s="483">
        <v>1</v>
      </c>
      <c r="H223" s="483">
        <v>2</v>
      </c>
      <c r="I223" s="483">
        <v>42</v>
      </c>
      <c r="J223" s="505" t="s">
        <v>2712</v>
      </c>
      <c r="K223" s="505" t="s">
        <v>1507</v>
      </c>
      <c r="L223" s="1485">
        <v>81</v>
      </c>
      <c r="M223" s="519">
        <v>85</v>
      </c>
      <c r="N223" s="1546">
        <v>85</v>
      </c>
      <c r="O223" s="483">
        <v>0</v>
      </c>
      <c r="P223" s="483">
        <v>0</v>
      </c>
      <c r="Q223" s="483">
        <v>1</v>
      </c>
      <c r="R223" s="666">
        <v>46198.752997685187</v>
      </c>
      <c r="S223" s="483">
        <v>1</v>
      </c>
      <c r="T223" s="483">
        <v>1</v>
      </c>
      <c r="V223" t="str">
        <f t="shared" si="12"/>
        <v>Case/4can</v>
      </c>
    </row>
    <row r="224" spans="3:22" ht="21.95" customHeight="1">
      <c r="C224" s="483">
        <v>197</v>
      </c>
      <c r="D224" s="483">
        <v>165</v>
      </c>
      <c r="E224" s="483" t="s">
        <v>2506</v>
      </c>
      <c r="F224" s="505" t="s">
        <v>2940</v>
      </c>
      <c r="G224" s="483">
        <v>1</v>
      </c>
      <c r="H224" s="483">
        <v>2</v>
      </c>
      <c r="I224" s="483">
        <v>9</v>
      </c>
      <c r="J224" s="505" t="s">
        <v>2145</v>
      </c>
      <c r="K224" s="505" t="s">
        <v>1507</v>
      </c>
      <c r="L224" s="1485">
        <v>81</v>
      </c>
      <c r="M224" s="519">
        <v>21.25</v>
      </c>
      <c r="N224" s="1546">
        <v>21.25</v>
      </c>
      <c r="O224" s="483">
        <v>0</v>
      </c>
      <c r="P224" s="483">
        <v>0</v>
      </c>
      <c r="Q224" s="483">
        <v>1</v>
      </c>
      <c r="R224" s="666">
        <v>46198.752997685187</v>
      </c>
      <c r="S224" s="483">
        <v>1</v>
      </c>
      <c r="T224" s="483">
        <v>1</v>
      </c>
      <c r="V224" t="str">
        <f t="shared" si="12"/>
        <v>Can</v>
      </c>
    </row>
    <row r="225" spans="3:22" ht="21.95" customHeight="1">
      <c r="C225" s="483">
        <v>198</v>
      </c>
      <c r="D225" s="483">
        <v>166</v>
      </c>
      <c r="E225" s="483" t="s">
        <v>2507</v>
      </c>
      <c r="F225" s="505" t="s">
        <v>2941</v>
      </c>
      <c r="G225" s="483">
        <v>1</v>
      </c>
      <c r="H225" s="483">
        <v>2</v>
      </c>
      <c r="I225" s="483">
        <v>2</v>
      </c>
      <c r="J225" s="505" t="s">
        <v>2172</v>
      </c>
      <c r="K225" s="505" t="s">
        <v>1507</v>
      </c>
      <c r="L225" s="1485">
        <v>0.75</v>
      </c>
      <c r="M225" s="519">
        <v>1</v>
      </c>
      <c r="N225" s="1546">
        <v>1</v>
      </c>
      <c r="O225" s="483">
        <v>0</v>
      </c>
      <c r="P225" s="483">
        <v>0</v>
      </c>
      <c r="Q225" s="483">
        <v>1</v>
      </c>
      <c r="R225" s="666">
        <v>46198.752997685187</v>
      </c>
      <c r="S225" s="483">
        <v>1</v>
      </c>
      <c r="T225" s="483">
        <v>1</v>
      </c>
      <c r="V225" t="str">
        <f t="shared" si="12"/>
        <v>pcs</v>
      </c>
    </row>
    <row r="226" spans="3:22" ht="21.95" customHeight="1">
      <c r="C226" s="483">
        <v>199</v>
      </c>
      <c r="D226" s="483">
        <v>167</v>
      </c>
      <c r="E226" s="483" t="s">
        <v>2508</v>
      </c>
      <c r="F226" s="505" t="s">
        <v>2942</v>
      </c>
      <c r="G226" s="483">
        <v>1</v>
      </c>
      <c r="H226" s="483">
        <v>2</v>
      </c>
      <c r="I226" s="483">
        <v>2</v>
      </c>
      <c r="J226" s="505" t="s">
        <v>2172</v>
      </c>
      <c r="K226" s="505" t="s">
        <v>1507</v>
      </c>
      <c r="L226" s="1485">
        <v>0.85</v>
      </c>
      <c r="M226" s="519">
        <v>1</v>
      </c>
      <c r="N226" s="1546">
        <v>1</v>
      </c>
      <c r="O226" s="483">
        <v>0</v>
      </c>
      <c r="P226" s="483">
        <v>0</v>
      </c>
      <c r="Q226" s="483">
        <v>1</v>
      </c>
      <c r="R226" s="666">
        <v>46198.752997685187</v>
      </c>
      <c r="S226" s="483">
        <v>1</v>
      </c>
      <c r="T226" s="483">
        <v>1</v>
      </c>
      <c r="V226" t="str">
        <f t="shared" si="12"/>
        <v>pcs</v>
      </c>
    </row>
    <row r="227" spans="3:22" ht="21.95" customHeight="1">
      <c r="C227" s="483">
        <v>200</v>
      </c>
      <c r="D227" s="483">
        <v>168</v>
      </c>
      <c r="E227" s="483" t="s">
        <v>2509</v>
      </c>
      <c r="F227" s="505" t="s">
        <v>2943</v>
      </c>
      <c r="G227" s="483">
        <v>1</v>
      </c>
      <c r="H227" s="483">
        <v>2</v>
      </c>
      <c r="I227" s="483">
        <v>2</v>
      </c>
      <c r="J227" s="505" t="s">
        <v>2172</v>
      </c>
      <c r="K227" s="505" t="s">
        <v>1507</v>
      </c>
      <c r="L227" s="1485">
        <v>1.2</v>
      </c>
      <c r="M227" s="519">
        <v>1.5</v>
      </c>
      <c r="N227" s="1546">
        <v>1.5</v>
      </c>
      <c r="O227" s="483">
        <v>0</v>
      </c>
      <c r="P227" s="483">
        <v>0</v>
      </c>
      <c r="Q227" s="483">
        <v>1</v>
      </c>
      <c r="R227" s="666">
        <v>46198.752997685187</v>
      </c>
      <c r="S227" s="483">
        <v>1</v>
      </c>
      <c r="T227" s="483">
        <v>1</v>
      </c>
      <c r="V227" t="str">
        <f t="shared" si="12"/>
        <v>pcs</v>
      </c>
    </row>
    <row r="228" spans="3:22" ht="21.95" customHeight="1">
      <c r="C228" s="483">
        <v>201</v>
      </c>
      <c r="D228" s="483">
        <v>169</v>
      </c>
      <c r="E228" s="483" t="s">
        <v>2511</v>
      </c>
      <c r="F228" s="505" t="s">
        <v>2944</v>
      </c>
      <c r="G228" s="483">
        <v>1</v>
      </c>
      <c r="H228" s="483">
        <v>2</v>
      </c>
      <c r="I228" s="483">
        <v>2</v>
      </c>
      <c r="J228" s="505" t="s">
        <v>2172</v>
      </c>
      <c r="K228" s="505" t="s">
        <v>1507</v>
      </c>
      <c r="L228" s="1485">
        <v>0.5</v>
      </c>
      <c r="M228" s="519">
        <v>0.65</v>
      </c>
      <c r="N228" s="1546">
        <v>0.65</v>
      </c>
      <c r="O228" s="483">
        <v>0</v>
      </c>
      <c r="P228" s="483">
        <v>0</v>
      </c>
      <c r="Q228" s="483">
        <v>1</v>
      </c>
      <c r="R228" s="666">
        <v>46198.752997685187</v>
      </c>
      <c r="S228" s="483">
        <v>1</v>
      </c>
      <c r="T228" s="483">
        <v>1</v>
      </c>
      <c r="V228" t="str">
        <f t="shared" si="12"/>
        <v>pcs</v>
      </c>
    </row>
    <row r="229" spans="3:22" ht="21.95" customHeight="1">
      <c r="C229" s="483">
        <v>202</v>
      </c>
      <c r="D229" s="483">
        <v>170</v>
      </c>
      <c r="E229" s="483" t="s">
        <v>2513</v>
      </c>
      <c r="F229" s="505" t="s">
        <v>2945</v>
      </c>
      <c r="G229" s="483">
        <v>1</v>
      </c>
      <c r="H229" s="483">
        <v>2</v>
      </c>
      <c r="I229" s="483">
        <v>2</v>
      </c>
      <c r="J229" s="505" t="s">
        <v>2172</v>
      </c>
      <c r="K229" s="505" t="s">
        <v>1507</v>
      </c>
      <c r="L229" s="1485">
        <v>0.4</v>
      </c>
      <c r="M229" s="519">
        <v>0.13</v>
      </c>
      <c r="N229" s="1546">
        <v>0.13</v>
      </c>
      <c r="O229" s="483">
        <v>0</v>
      </c>
      <c r="P229" s="483">
        <v>0</v>
      </c>
      <c r="Q229" s="483">
        <v>1</v>
      </c>
      <c r="R229" s="666">
        <v>46198.752997685187</v>
      </c>
      <c r="S229" s="483">
        <v>1</v>
      </c>
      <c r="T229" s="483">
        <v>1</v>
      </c>
      <c r="V229" t="str">
        <f t="shared" si="12"/>
        <v>pcs</v>
      </c>
    </row>
    <row r="230" spans="3:22" ht="21.95" customHeight="1">
      <c r="C230" s="483">
        <v>203</v>
      </c>
      <c r="D230" s="483">
        <v>171</v>
      </c>
      <c r="E230" s="483" t="s">
        <v>2515</v>
      </c>
      <c r="F230" s="505" t="s">
        <v>2946</v>
      </c>
      <c r="G230" s="483">
        <v>1</v>
      </c>
      <c r="H230" s="483">
        <v>2</v>
      </c>
      <c r="I230" s="483">
        <v>49</v>
      </c>
      <c r="J230" s="505" t="s">
        <v>2169</v>
      </c>
      <c r="K230" s="505" t="s">
        <v>1507</v>
      </c>
      <c r="L230" s="1485">
        <v>0.96</v>
      </c>
      <c r="M230" s="519">
        <v>1.5</v>
      </c>
      <c r="N230" s="1546">
        <v>1.5</v>
      </c>
      <c r="O230" s="483">
        <v>0</v>
      </c>
      <c r="P230" s="483">
        <v>0</v>
      </c>
      <c r="Q230" s="483">
        <v>1</v>
      </c>
      <c r="R230" s="666">
        <v>46198.752997685187</v>
      </c>
      <c r="S230" s="483">
        <v>1</v>
      </c>
      <c r="T230" s="483">
        <v>1</v>
      </c>
      <c r="V230" t="str">
        <f t="shared" si="12"/>
        <v>Lots/12pcs</v>
      </c>
    </row>
    <row r="231" spans="3:22" ht="21.95" customHeight="1">
      <c r="C231" s="483">
        <v>204</v>
      </c>
      <c r="D231" s="483">
        <v>171</v>
      </c>
      <c r="E231" s="483" t="s">
        <v>2515</v>
      </c>
      <c r="F231" s="505" t="s">
        <v>2946</v>
      </c>
      <c r="G231" s="483">
        <v>1</v>
      </c>
      <c r="H231" s="483">
        <v>2</v>
      </c>
      <c r="I231" s="483">
        <v>2</v>
      </c>
      <c r="J231" s="505" t="s">
        <v>2172</v>
      </c>
      <c r="K231" s="505" t="s">
        <v>1507</v>
      </c>
      <c r="L231" s="1485">
        <v>0.96</v>
      </c>
      <c r="M231" s="519">
        <v>0.125</v>
      </c>
      <c r="N231" s="1546">
        <v>0.125</v>
      </c>
      <c r="O231" s="483">
        <v>0</v>
      </c>
      <c r="P231" s="483">
        <v>0</v>
      </c>
      <c r="Q231" s="483">
        <v>1</v>
      </c>
      <c r="R231" s="666">
        <v>46198.752997685187</v>
      </c>
      <c r="S231" s="483">
        <v>1</v>
      </c>
      <c r="T231" s="483">
        <v>1</v>
      </c>
      <c r="V231" t="str">
        <f t="shared" si="12"/>
        <v>pcs</v>
      </c>
    </row>
    <row r="232" spans="3:22" ht="21.95" customHeight="1">
      <c r="C232" s="483">
        <v>205</v>
      </c>
      <c r="D232" s="483">
        <v>172</v>
      </c>
      <c r="E232" s="483" t="s">
        <v>2517</v>
      </c>
      <c r="F232" s="505" t="s">
        <v>2947</v>
      </c>
      <c r="G232" s="483">
        <v>1</v>
      </c>
      <c r="H232" s="483">
        <v>2</v>
      </c>
      <c r="I232" s="483">
        <v>49</v>
      </c>
      <c r="J232" s="505" t="s">
        <v>2169</v>
      </c>
      <c r="K232" s="505" t="s">
        <v>1507</v>
      </c>
      <c r="L232" s="1485">
        <v>1.2</v>
      </c>
      <c r="M232" s="519">
        <v>3</v>
      </c>
      <c r="N232" s="1546">
        <v>3</v>
      </c>
      <c r="O232" s="483">
        <v>0</v>
      </c>
      <c r="P232" s="483">
        <v>0</v>
      </c>
      <c r="Q232" s="483">
        <v>1</v>
      </c>
      <c r="R232" s="666">
        <v>46198.752997685187</v>
      </c>
      <c r="S232" s="483">
        <v>1</v>
      </c>
      <c r="T232" s="483">
        <v>1</v>
      </c>
      <c r="V232" t="str">
        <f t="shared" si="12"/>
        <v>Lots/12pcs</v>
      </c>
    </row>
    <row r="233" spans="3:22" ht="21.95" customHeight="1">
      <c r="C233" s="483">
        <v>206</v>
      </c>
      <c r="D233" s="483">
        <v>172</v>
      </c>
      <c r="E233" s="483" t="s">
        <v>2517</v>
      </c>
      <c r="F233" s="505" t="s">
        <v>2947</v>
      </c>
      <c r="G233" s="483">
        <v>1</v>
      </c>
      <c r="H233" s="483">
        <v>2</v>
      </c>
      <c r="I233" s="483">
        <v>2</v>
      </c>
      <c r="J233" s="505" t="s">
        <v>2172</v>
      </c>
      <c r="K233" s="505" t="s">
        <v>1507</v>
      </c>
      <c r="L233" s="1485">
        <v>1.2</v>
      </c>
      <c r="M233" s="519">
        <v>0.25</v>
      </c>
      <c r="N233" s="1546">
        <v>0.25</v>
      </c>
      <c r="O233" s="483">
        <v>0</v>
      </c>
      <c r="P233" s="483">
        <v>0</v>
      </c>
      <c r="Q233" s="483">
        <v>1</v>
      </c>
      <c r="R233" s="666">
        <v>46198.752997685187</v>
      </c>
      <c r="S233" s="483">
        <v>1</v>
      </c>
      <c r="T233" s="483">
        <v>1</v>
      </c>
      <c r="V233" t="str">
        <f t="shared" si="12"/>
        <v>pcs</v>
      </c>
    </row>
    <row r="234" spans="3:22" ht="21.95" customHeight="1">
      <c r="C234" s="483">
        <v>207</v>
      </c>
      <c r="D234" s="483">
        <v>173</v>
      </c>
      <c r="E234" s="483" t="s">
        <v>2519</v>
      </c>
      <c r="F234" s="505" t="s">
        <v>2948</v>
      </c>
      <c r="G234" s="483">
        <v>1</v>
      </c>
      <c r="H234" s="483">
        <v>2</v>
      </c>
      <c r="I234" s="483">
        <v>49</v>
      </c>
      <c r="J234" s="505" t="s">
        <v>2169</v>
      </c>
      <c r="K234" s="505" t="s">
        <v>1507</v>
      </c>
      <c r="L234" s="1485">
        <v>1.68</v>
      </c>
      <c r="M234" s="519">
        <v>4.4399999999999995</v>
      </c>
      <c r="N234" s="1546">
        <v>4.4399999999999995</v>
      </c>
      <c r="O234" s="483">
        <v>0</v>
      </c>
      <c r="P234" s="483">
        <v>0</v>
      </c>
      <c r="Q234" s="483">
        <v>1</v>
      </c>
      <c r="R234" s="666">
        <v>46198.752997685187</v>
      </c>
      <c r="S234" s="483">
        <v>1</v>
      </c>
      <c r="T234" s="483">
        <v>1</v>
      </c>
      <c r="V234" t="str">
        <f t="shared" si="12"/>
        <v>Lots/12pcs</v>
      </c>
    </row>
    <row r="235" spans="3:22" ht="21.95" customHeight="1">
      <c r="C235" s="483">
        <v>208</v>
      </c>
      <c r="D235" s="483">
        <v>173</v>
      </c>
      <c r="E235" s="483" t="s">
        <v>2519</v>
      </c>
      <c r="F235" s="505" t="s">
        <v>2948</v>
      </c>
      <c r="G235" s="483">
        <v>1</v>
      </c>
      <c r="H235" s="483">
        <v>2</v>
      </c>
      <c r="I235" s="483">
        <v>2</v>
      </c>
      <c r="J235" s="505" t="s">
        <v>2172</v>
      </c>
      <c r="K235" s="505" t="s">
        <v>1507</v>
      </c>
      <c r="L235" s="1485">
        <v>1.68</v>
      </c>
      <c r="M235" s="519">
        <v>0.37</v>
      </c>
      <c r="N235" s="1546">
        <v>0.37</v>
      </c>
      <c r="O235" s="483">
        <v>0</v>
      </c>
      <c r="P235" s="483">
        <v>0</v>
      </c>
      <c r="Q235" s="483">
        <v>1</v>
      </c>
      <c r="R235" s="666">
        <v>46198.752997685187</v>
      </c>
      <c r="S235" s="483">
        <v>1</v>
      </c>
      <c r="T235" s="483">
        <v>1</v>
      </c>
      <c r="V235" t="str">
        <f t="shared" si="12"/>
        <v>pcs</v>
      </c>
    </row>
    <row r="236" spans="3:22" ht="21.95" customHeight="1">
      <c r="C236" s="483">
        <v>209</v>
      </c>
      <c r="D236" s="483">
        <v>174</v>
      </c>
      <c r="E236" s="483" t="s">
        <v>2522</v>
      </c>
      <c r="F236" s="505" t="s">
        <v>2949</v>
      </c>
      <c r="G236" s="483">
        <v>1</v>
      </c>
      <c r="H236" s="483">
        <v>2</v>
      </c>
      <c r="I236" s="483">
        <v>49</v>
      </c>
      <c r="J236" s="505" t="s">
        <v>2169</v>
      </c>
      <c r="K236" s="505" t="s">
        <v>1507</v>
      </c>
      <c r="L236" s="1485">
        <v>2.4</v>
      </c>
      <c r="M236" s="519">
        <v>6</v>
      </c>
      <c r="N236" s="1546">
        <v>6</v>
      </c>
      <c r="O236" s="483">
        <v>0</v>
      </c>
      <c r="P236" s="483">
        <v>0</v>
      </c>
      <c r="Q236" s="483">
        <v>1</v>
      </c>
      <c r="R236" s="666">
        <v>46198.752997685187</v>
      </c>
      <c r="S236" s="483">
        <v>1</v>
      </c>
      <c r="T236" s="483">
        <v>1</v>
      </c>
      <c r="V236" t="str">
        <f t="shared" si="12"/>
        <v>Lots/12pcs</v>
      </c>
    </row>
    <row r="237" spans="3:22" ht="21.95" customHeight="1">
      <c r="C237" s="483">
        <v>210</v>
      </c>
      <c r="D237" s="483">
        <v>174</v>
      </c>
      <c r="E237" s="483" t="s">
        <v>2522</v>
      </c>
      <c r="F237" s="505" t="s">
        <v>2949</v>
      </c>
      <c r="G237" s="483">
        <v>1</v>
      </c>
      <c r="H237" s="483">
        <v>2</v>
      </c>
      <c r="I237" s="483">
        <v>2</v>
      </c>
      <c r="J237" s="505" t="s">
        <v>2172</v>
      </c>
      <c r="K237" s="505" t="s">
        <v>1507</v>
      </c>
      <c r="L237" s="1485">
        <v>2.4</v>
      </c>
      <c r="M237" s="519">
        <v>0.5</v>
      </c>
      <c r="N237" s="1546">
        <v>0.5</v>
      </c>
      <c r="O237" s="483">
        <v>0</v>
      </c>
      <c r="P237" s="483">
        <v>0</v>
      </c>
      <c r="Q237" s="483">
        <v>1</v>
      </c>
      <c r="R237" s="666">
        <v>46198.752997685187</v>
      </c>
      <c r="S237" s="483">
        <v>1</v>
      </c>
      <c r="T237" s="483">
        <v>1</v>
      </c>
      <c r="V237" t="str">
        <f t="shared" si="12"/>
        <v>pcs</v>
      </c>
    </row>
    <row r="238" spans="3:22" ht="21.95" customHeight="1">
      <c r="C238" s="483">
        <v>211</v>
      </c>
      <c r="D238" s="483">
        <v>175</v>
      </c>
      <c r="E238" s="483" t="s">
        <v>2524</v>
      </c>
      <c r="F238" s="505" t="s">
        <v>2950</v>
      </c>
      <c r="G238" s="483">
        <v>1</v>
      </c>
      <c r="H238" s="483">
        <v>2</v>
      </c>
      <c r="I238" s="483">
        <v>49</v>
      </c>
      <c r="J238" s="505" t="s">
        <v>2169</v>
      </c>
      <c r="K238" s="505" t="s">
        <v>1507</v>
      </c>
      <c r="L238" s="1485">
        <v>2.88</v>
      </c>
      <c r="M238" s="519">
        <v>7.8000000000000007</v>
      </c>
      <c r="N238" s="1546">
        <v>7.8000000000000007</v>
      </c>
      <c r="O238" s="483">
        <v>0</v>
      </c>
      <c r="P238" s="483">
        <v>0</v>
      </c>
      <c r="Q238" s="483">
        <v>1</v>
      </c>
      <c r="R238" s="666">
        <v>46198.752997685187</v>
      </c>
      <c r="S238" s="483">
        <v>1</v>
      </c>
      <c r="T238" s="483">
        <v>1</v>
      </c>
      <c r="V238" t="str">
        <f t="shared" si="12"/>
        <v>Lots/12pcs</v>
      </c>
    </row>
    <row r="239" spans="3:22" ht="21.95" customHeight="1">
      <c r="C239" s="483">
        <v>212</v>
      </c>
      <c r="D239" s="483">
        <v>175</v>
      </c>
      <c r="E239" s="483" t="s">
        <v>2524</v>
      </c>
      <c r="F239" s="505" t="s">
        <v>2950</v>
      </c>
      <c r="G239" s="483">
        <v>1</v>
      </c>
      <c r="H239" s="483">
        <v>2</v>
      </c>
      <c r="I239" s="483">
        <v>2</v>
      </c>
      <c r="J239" s="505" t="s">
        <v>2172</v>
      </c>
      <c r="K239" s="505" t="s">
        <v>1507</v>
      </c>
      <c r="L239" s="1485">
        <v>2.88</v>
      </c>
      <c r="M239" s="519">
        <v>0.65</v>
      </c>
      <c r="N239" s="1546">
        <v>0.65</v>
      </c>
      <c r="O239" s="483">
        <v>0</v>
      </c>
      <c r="P239" s="483">
        <v>0</v>
      </c>
      <c r="Q239" s="483">
        <v>1</v>
      </c>
      <c r="R239" s="666">
        <v>46198.752997685187</v>
      </c>
      <c r="S239" s="483">
        <v>1</v>
      </c>
      <c r="T239" s="483">
        <v>1</v>
      </c>
      <c r="V239" t="str">
        <f t="shared" si="12"/>
        <v>pcs</v>
      </c>
    </row>
    <row r="240" spans="3:22" ht="21.95" customHeight="1">
      <c r="C240" s="483">
        <v>213</v>
      </c>
      <c r="D240" s="483">
        <v>176</v>
      </c>
      <c r="E240" s="483" t="s">
        <v>2526</v>
      </c>
      <c r="F240" s="505" t="s">
        <v>2951</v>
      </c>
      <c r="G240" s="483">
        <v>1</v>
      </c>
      <c r="H240" s="483">
        <v>2</v>
      </c>
      <c r="I240" s="483">
        <v>51</v>
      </c>
      <c r="J240" s="505" t="s">
        <v>2715</v>
      </c>
      <c r="K240" s="505" t="s">
        <v>1507</v>
      </c>
      <c r="L240" s="1485">
        <v>85</v>
      </c>
      <c r="M240" s="519">
        <v>90</v>
      </c>
      <c r="N240" s="1546">
        <v>90</v>
      </c>
      <c r="O240" s="483">
        <v>0</v>
      </c>
      <c r="P240" s="483">
        <v>0</v>
      </c>
      <c r="Q240" s="483">
        <v>1</v>
      </c>
      <c r="R240" s="666">
        <v>46198.752997685187</v>
      </c>
      <c r="S240" s="483">
        <v>1</v>
      </c>
      <c r="T240" s="483">
        <v>1</v>
      </c>
      <c r="V240" t="str">
        <f t="shared" si="12"/>
        <v>Ton/20Be</v>
      </c>
    </row>
    <row r="241" spans="3:22" ht="21.95" customHeight="1">
      <c r="C241" s="483">
        <v>214</v>
      </c>
      <c r="D241" s="483">
        <v>176</v>
      </c>
      <c r="E241" s="483" t="s">
        <v>2526</v>
      </c>
      <c r="F241" s="505" t="s">
        <v>2951</v>
      </c>
      <c r="G241" s="483">
        <v>1</v>
      </c>
      <c r="H241" s="483">
        <v>2</v>
      </c>
      <c r="I241" s="483">
        <v>22</v>
      </c>
      <c r="J241" s="505" t="s">
        <v>2609</v>
      </c>
      <c r="K241" s="505" t="s">
        <v>1507</v>
      </c>
      <c r="L241" s="1485">
        <v>85</v>
      </c>
      <c r="M241" s="519">
        <v>4.5</v>
      </c>
      <c r="N241" s="1546">
        <v>4.5</v>
      </c>
      <c r="O241" s="483">
        <v>0</v>
      </c>
      <c r="P241" s="483">
        <v>0</v>
      </c>
      <c r="Q241" s="483">
        <v>1</v>
      </c>
      <c r="R241" s="666">
        <v>46198.752997685187</v>
      </c>
      <c r="S241" s="483">
        <v>1</v>
      </c>
      <c r="T241" s="483">
        <v>1</v>
      </c>
      <c r="V241" t="str">
        <f t="shared" si="12"/>
        <v>Be</v>
      </c>
    </row>
    <row r="242" spans="3:22" ht="21.95" customHeight="1">
      <c r="C242" s="483">
        <v>215</v>
      </c>
      <c r="D242" s="483">
        <v>176</v>
      </c>
      <c r="E242" s="483" t="s">
        <v>2526</v>
      </c>
      <c r="F242" s="505" t="s">
        <v>2951</v>
      </c>
      <c r="G242" s="483">
        <v>1</v>
      </c>
      <c r="H242" s="483">
        <v>2</v>
      </c>
      <c r="I242" s="483">
        <v>12</v>
      </c>
      <c r="J242" s="505" t="s">
        <v>2685</v>
      </c>
      <c r="K242" s="505" t="s">
        <v>1507</v>
      </c>
      <c r="L242" s="1485">
        <v>85</v>
      </c>
      <c r="M242" s="519">
        <v>0.09</v>
      </c>
      <c r="N242" s="1546">
        <v>0.09</v>
      </c>
      <c r="O242" s="483">
        <v>0</v>
      </c>
      <c r="P242" s="483">
        <v>0</v>
      </c>
      <c r="Q242" s="483">
        <v>1</v>
      </c>
      <c r="R242" s="666">
        <v>46198.752997685187</v>
      </c>
      <c r="S242" s="483">
        <v>1</v>
      </c>
      <c r="T242" s="483">
        <v>1</v>
      </c>
      <c r="V242" t="str">
        <f t="shared" si="12"/>
        <v>kg</v>
      </c>
    </row>
    <row r="243" spans="3:22" ht="21.95" customHeight="1">
      <c r="C243" s="483">
        <v>216</v>
      </c>
      <c r="D243" s="483">
        <v>177</v>
      </c>
      <c r="E243" s="483" t="s">
        <v>2528</v>
      </c>
      <c r="F243" s="505" t="s">
        <v>2952</v>
      </c>
      <c r="G243" s="483">
        <v>1</v>
      </c>
      <c r="H243" s="483">
        <v>2</v>
      </c>
      <c r="I243" s="483">
        <v>51</v>
      </c>
      <c r="J243" s="505" t="s">
        <v>2715</v>
      </c>
      <c r="K243" s="505" t="s">
        <v>1507</v>
      </c>
      <c r="L243" s="1485">
        <v>83</v>
      </c>
      <c r="M243" s="519">
        <v>88</v>
      </c>
      <c r="N243" s="1546">
        <v>88</v>
      </c>
      <c r="O243" s="483">
        <v>0</v>
      </c>
      <c r="P243" s="483">
        <v>0</v>
      </c>
      <c r="Q243" s="483">
        <v>1</v>
      </c>
      <c r="R243" s="666">
        <v>46198.752997685187</v>
      </c>
      <c r="S243" s="483">
        <v>1</v>
      </c>
      <c r="T243" s="483">
        <v>1</v>
      </c>
      <c r="V243" t="str">
        <f t="shared" si="12"/>
        <v>Ton/20Be</v>
      </c>
    </row>
    <row r="244" spans="3:22" ht="21.95" customHeight="1">
      <c r="C244" s="483">
        <v>217</v>
      </c>
      <c r="D244" s="483">
        <v>177</v>
      </c>
      <c r="E244" s="483" t="s">
        <v>2528</v>
      </c>
      <c r="F244" s="505" t="s">
        <v>2952</v>
      </c>
      <c r="G244" s="483">
        <v>1</v>
      </c>
      <c r="H244" s="483">
        <v>2</v>
      </c>
      <c r="I244" s="483">
        <v>22</v>
      </c>
      <c r="J244" s="505" t="s">
        <v>2609</v>
      </c>
      <c r="K244" s="505" t="s">
        <v>1507</v>
      </c>
      <c r="L244" s="1485">
        <v>83</v>
      </c>
      <c r="M244" s="519">
        <v>4.4000000000000004</v>
      </c>
      <c r="N244" s="1546">
        <v>4.5</v>
      </c>
      <c r="O244" s="483">
        <v>0</v>
      </c>
      <c r="P244" s="483">
        <v>0</v>
      </c>
      <c r="Q244" s="483">
        <v>1</v>
      </c>
      <c r="R244" s="666">
        <v>46198.752997685187</v>
      </c>
      <c r="S244" s="483">
        <v>1</v>
      </c>
      <c r="T244" s="483">
        <v>1</v>
      </c>
      <c r="V244" t="str">
        <f t="shared" si="12"/>
        <v>Be</v>
      </c>
    </row>
    <row r="245" spans="3:22" ht="21.95" customHeight="1">
      <c r="C245" s="483">
        <v>218</v>
      </c>
      <c r="D245" s="483">
        <v>177</v>
      </c>
      <c r="E245" s="483" t="s">
        <v>2528</v>
      </c>
      <c r="F245" s="505" t="s">
        <v>2952</v>
      </c>
      <c r="G245" s="483">
        <v>1</v>
      </c>
      <c r="H245" s="483">
        <v>2</v>
      </c>
      <c r="I245" s="483">
        <v>12</v>
      </c>
      <c r="J245" s="505" t="s">
        <v>2685</v>
      </c>
      <c r="K245" s="505" t="s">
        <v>1507</v>
      </c>
      <c r="L245" s="1485">
        <v>83</v>
      </c>
      <c r="M245" s="519">
        <v>8.7999999999999995E-2</v>
      </c>
      <c r="N245" s="1546">
        <v>0.09</v>
      </c>
      <c r="O245" s="483">
        <v>0</v>
      </c>
      <c r="P245" s="483">
        <v>0</v>
      </c>
      <c r="Q245" s="483">
        <v>1</v>
      </c>
      <c r="R245" s="666">
        <v>46198.752997685187</v>
      </c>
      <c r="S245" s="483">
        <v>1</v>
      </c>
      <c r="T245" s="483">
        <v>1</v>
      </c>
      <c r="V245" t="str">
        <f t="shared" si="12"/>
        <v>kg</v>
      </c>
    </row>
    <row r="246" spans="3:22" ht="21.95" customHeight="1">
      <c r="C246" s="483">
        <v>219</v>
      </c>
      <c r="D246" s="483">
        <v>178</v>
      </c>
      <c r="E246" s="483" t="s">
        <v>2530</v>
      </c>
      <c r="F246" s="505" t="s">
        <v>2953</v>
      </c>
      <c r="G246" s="483">
        <v>1</v>
      </c>
      <c r="H246" s="483">
        <v>2</v>
      </c>
      <c r="I246" s="483">
        <v>51</v>
      </c>
      <c r="J246" s="505" t="s">
        <v>2715</v>
      </c>
      <c r="K246" s="505" t="s">
        <v>1507</v>
      </c>
      <c r="L246" s="1485">
        <v>95</v>
      </c>
      <c r="M246" s="519">
        <v>100</v>
      </c>
      <c r="N246" s="1546">
        <v>100</v>
      </c>
      <c r="O246" s="483">
        <v>0</v>
      </c>
      <c r="P246" s="483">
        <v>0</v>
      </c>
      <c r="Q246" s="483">
        <v>1</v>
      </c>
      <c r="R246" s="666">
        <v>46198.752997685187</v>
      </c>
      <c r="S246" s="483">
        <v>1</v>
      </c>
      <c r="T246" s="483">
        <v>1</v>
      </c>
      <c r="V246" t="str">
        <f t="shared" si="12"/>
        <v>Ton/20Be</v>
      </c>
    </row>
    <row r="247" spans="3:22" ht="21.95" customHeight="1">
      <c r="C247" s="483">
        <v>220</v>
      </c>
      <c r="D247" s="483">
        <v>178</v>
      </c>
      <c r="E247" s="483" t="s">
        <v>2530</v>
      </c>
      <c r="F247" s="505" t="s">
        <v>2953</v>
      </c>
      <c r="G247" s="483">
        <v>1</v>
      </c>
      <c r="H247" s="483">
        <v>2</v>
      </c>
      <c r="I247" s="483">
        <v>22</v>
      </c>
      <c r="J247" s="505" t="s">
        <v>2609</v>
      </c>
      <c r="K247" s="505" t="s">
        <v>1507</v>
      </c>
      <c r="L247" s="1485">
        <v>95</v>
      </c>
      <c r="M247" s="519">
        <v>5</v>
      </c>
      <c r="N247" s="1546">
        <v>5</v>
      </c>
      <c r="O247" s="483">
        <v>0</v>
      </c>
      <c r="P247" s="483">
        <v>0</v>
      </c>
      <c r="Q247" s="483">
        <v>1</v>
      </c>
      <c r="R247" s="666">
        <v>46198.752997685187</v>
      </c>
      <c r="S247" s="483">
        <v>1</v>
      </c>
      <c r="T247" s="483">
        <v>1</v>
      </c>
      <c r="V247" t="str">
        <f t="shared" si="12"/>
        <v>Be</v>
      </c>
    </row>
    <row r="248" spans="3:22" ht="21.95" customHeight="1">
      <c r="C248" s="483">
        <v>221</v>
      </c>
      <c r="D248" s="483">
        <v>178</v>
      </c>
      <c r="E248" s="483" t="s">
        <v>2530</v>
      </c>
      <c r="F248" s="505" t="s">
        <v>2953</v>
      </c>
      <c r="G248" s="483">
        <v>1</v>
      </c>
      <c r="H248" s="483">
        <v>2</v>
      </c>
      <c r="I248" s="483">
        <v>12</v>
      </c>
      <c r="J248" s="505" t="s">
        <v>2685</v>
      </c>
      <c r="K248" s="505" t="s">
        <v>1507</v>
      </c>
      <c r="L248" s="1485">
        <v>95</v>
      </c>
      <c r="M248" s="519">
        <v>0.1</v>
      </c>
      <c r="N248" s="1546">
        <v>0.1</v>
      </c>
      <c r="O248" s="483">
        <v>0</v>
      </c>
      <c r="P248" s="483">
        <v>0</v>
      </c>
      <c r="Q248" s="483">
        <v>1</v>
      </c>
      <c r="R248" s="666">
        <v>46198.752997685187</v>
      </c>
      <c r="S248" s="483">
        <v>1</v>
      </c>
      <c r="T248" s="483">
        <v>1</v>
      </c>
      <c r="V248" t="str">
        <f t="shared" si="12"/>
        <v>kg</v>
      </c>
    </row>
    <row r="249" spans="3:22" ht="21.95" customHeight="1">
      <c r="C249" s="483">
        <v>222</v>
      </c>
      <c r="D249" s="483">
        <v>179</v>
      </c>
      <c r="E249" s="483" t="s">
        <v>2532</v>
      </c>
      <c r="F249" s="505" t="s">
        <v>2954</v>
      </c>
      <c r="G249" s="483">
        <v>1</v>
      </c>
      <c r="H249" s="483">
        <v>2</v>
      </c>
      <c r="I249" s="483">
        <v>51</v>
      </c>
      <c r="J249" s="505" t="s">
        <v>2715</v>
      </c>
      <c r="K249" s="505" t="s">
        <v>1507</v>
      </c>
      <c r="L249" s="1485">
        <v>95</v>
      </c>
      <c r="M249" s="519">
        <v>100</v>
      </c>
      <c r="N249" s="1546">
        <v>100</v>
      </c>
      <c r="O249" s="483">
        <v>0</v>
      </c>
      <c r="P249" s="483">
        <v>0</v>
      </c>
      <c r="Q249" s="483">
        <v>1</v>
      </c>
      <c r="R249" s="666">
        <v>46198.752997685187</v>
      </c>
      <c r="S249" s="483">
        <v>1</v>
      </c>
      <c r="T249" s="483">
        <v>1</v>
      </c>
      <c r="V249" t="str">
        <f t="shared" si="12"/>
        <v>Ton/20Be</v>
      </c>
    </row>
    <row r="250" spans="3:22" ht="21.95" customHeight="1">
      <c r="C250" s="483">
        <v>223</v>
      </c>
      <c r="D250" s="483">
        <v>179</v>
      </c>
      <c r="E250" s="483" t="s">
        <v>2532</v>
      </c>
      <c r="F250" s="505" t="s">
        <v>2954</v>
      </c>
      <c r="G250" s="483">
        <v>1</v>
      </c>
      <c r="H250" s="483">
        <v>2</v>
      </c>
      <c r="I250" s="483">
        <v>22</v>
      </c>
      <c r="J250" s="505" t="s">
        <v>2609</v>
      </c>
      <c r="K250" s="505" t="s">
        <v>1507</v>
      </c>
      <c r="L250" s="1485">
        <v>95</v>
      </c>
      <c r="M250" s="519">
        <v>5</v>
      </c>
      <c r="N250" s="1546">
        <v>5</v>
      </c>
      <c r="O250" s="483">
        <v>0</v>
      </c>
      <c r="P250" s="483">
        <v>0</v>
      </c>
      <c r="Q250" s="483">
        <v>1</v>
      </c>
      <c r="R250" s="666">
        <v>46198.752997685187</v>
      </c>
      <c r="S250" s="483">
        <v>1</v>
      </c>
      <c r="T250" s="483">
        <v>1</v>
      </c>
      <c r="V250" t="str">
        <f t="shared" si="12"/>
        <v>Be</v>
      </c>
    </row>
    <row r="251" spans="3:22" ht="21.95" customHeight="1">
      <c r="C251" s="483">
        <v>224</v>
      </c>
      <c r="D251" s="483">
        <v>179</v>
      </c>
      <c r="E251" s="483" t="s">
        <v>2532</v>
      </c>
      <c r="F251" s="505" t="s">
        <v>2954</v>
      </c>
      <c r="G251" s="483">
        <v>1</v>
      </c>
      <c r="H251" s="483">
        <v>2</v>
      </c>
      <c r="I251" s="483">
        <v>12</v>
      </c>
      <c r="J251" s="505" t="s">
        <v>2685</v>
      </c>
      <c r="K251" s="505" t="s">
        <v>1507</v>
      </c>
      <c r="L251" s="1485">
        <v>95</v>
      </c>
      <c r="M251" s="519">
        <v>0.1</v>
      </c>
      <c r="N251" s="1546">
        <v>0.1</v>
      </c>
      <c r="O251" s="483">
        <v>0</v>
      </c>
      <c r="P251" s="483">
        <v>0</v>
      </c>
      <c r="Q251" s="483">
        <v>1</v>
      </c>
      <c r="R251" s="666">
        <v>46198.752997685187</v>
      </c>
      <c r="S251" s="483">
        <v>1</v>
      </c>
      <c r="T251" s="483">
        <v>1</v>
      </c>
      <c r="V251" t="str">
        <f t="shared" si="12"/>
        <v>kg</v>
      </c>
    </row>
    <row r="252" spans="3:22" ht="21.95" customHeight="1">
      <c r="C252" s="483">
        <v>225</v>
      </c>
      <c r="D252" s="483">
        <v>180</v>
      </c>
      <c r="E252" s="483" t="s">
        <v>2534</v>
      </c>
      <c r="F252" s="505" t="s">
        <v>2955</v>
      </c>
      <c r="G252" s="483">
        <v>1</v>
      </c>
      <c r="H252" s="483">
        <v>2</v>
      </c>
      <c r="I252" s="483">
        <v>54</v>
      </c>
      <c r="J252" s="505" t="s">
        <v>2616</v>
      </c>
      <c r="K252" s="505" t="s">
        <v>1507</v>
      </c>
      <c r="L252" s="1485">
        <v>0.5</v>
      </c>
      <c r="M252" s="519">
        <v>1</v>
      </c>
      <c r="N252" s="1546">
        <v>1</v>
      </c>
      <c r="O252" s="483">
        <v>0</v>
      </c>
      <c r="P252" s="483">
        <v>0</v>
      </c>
      <c r="Q252" s="483">
        <v>1</v>
      </c>
      <c r="R252" s="666">
        <v>46198.752997685187</v>
      </c>
      <c r="S252" s="483">
        <v>1</v>
      </c>
      <c r="T252" s="483">
        <v>1</v>
      </c>
      <c r="V252" t="str">
        <f t="shared" si="12"/>
        <v>Unit/12m</v>
      </c>
    </row>
    <row r="253" spans="3:22" ht="21.95" customHeight="1">
      <c r="C253" s="483">
        <v>226</v>
      </c>
      <c r="D253" s="483">
        <v>180</v>
      </c>
      <c r="E253" s="483" t="s">
        <v>2534</v>
      </c>
      <c r="F253" s="505" t="s">
        <v>2955</v>
      </c>
      <c r="G253" s="483">
        <v>1</v>
      </c>
      <c r="H253" s="483">
        <v>2</v>
      </c>
      <c r="I253" s="483">
        <v>16</v>
      </c>
      <c r="J253" s="505" t="s">
        <v>2134</v>
      </c>
      <c r="K253" s="505" t="s">
        <v>1507</v>
      </c>
      <c r="L253" s="1485">
        <v>0.5</v>
      </c>
      <c r="M253" s="519">
        <v>8.3333333333333329E-2</v>
      </c>
      <c r="N253" s="1546">
        <v>8.3333333333333329E-2</v>
      </c>
      <c r="O253" s="483">
        <v>0</v>
      </c>
      <c r="P253" s="483">
        <v>0</v>
      </c>
      <c r="Q253" s="483">
        <v>1</v>
      </c>
      <c r="R253" s="666">
        <v>46198.752997685187</v>
      </c>
      <c r="S253" s="483">
        <v>1</v>
      </c>
      <c r="T253" s="483">
        <v>1</v>
      </c>
      <c r="V253" t="str">
        <f t="shared" si="12"/>
        <v>m</v>
      </c>
    </row>
    <row r="254" spans="3:22" ht="21.95" customHeight="1">
      <c r="C254" s="483">
        <v>227</v>
      </c>
      <c r="D254" s="483">
        <v>181</v>
      </c>
      <c r="E254" s="483" t="s">
        <v>2536</v>
      </c>
      <c r="F254" s="505" t="s">
        <v>2956</v>
      </c>
      <c r="G254" s="483">
        <v>1</v>
      </c>
      <c r="H254" s="483">
        <v>2</v>
      </c>
      <c r="I254" s="483">
        <v>54</v>
      </c>
      <c r="J254" s="505" t="s">
        <v>2616</v>
      </c>
      <c r="K254" s="505" t="s">
        <v>1507</v>
      </c>
      <c r="L254" s="1485">
        <v>1</v>
      </c>
      <c r="M254" s="519">
        <v>1.5</v>
      </c>
      <c r="N254" s="1546">
        <v>1.5</v>
      </c>
      <c r="O254" s="483">
        <v>0</v>
      </c>
      <c r="P254" s="483">
        <v>0</v>
      </c>
      <c r="Q254" s="483">
        <v>1</v>
      </c>
      <c r="R254" s="666">
        <v>46198.752997685187</v>
      </c>
      <c r="S254" s="483">
        <v>1</v>
      </c>
      <c r="T254" s="483">
        <v>1</v>
      </c>
      <c r="V254" t="str">
        <f t="shared" si="12"/>
        <v>Unit/12m</v>
      </c>
    </row>
    <row r="255" spans="3:22" ht="21.95" customHeight="1">
      <c r="C255" s="483">
        <v>228</v>
      </c>
      <c r="D255" s="483">
        <v>181</v>
      </c>
      <c r="E255" s="483" t="s">
        <v>2536</v>
      </c>
      <c r="F255" s="505" t="s">
        <v>2956</v>
      </c>
      <c r="G255" s="483">
        <v>1</v>
      </c>
      <c r="H255" s="483">
        <v>2</v>
      </c>
      <c r="I255" s="483">
        <v>16</v>
      </c>
      <c r="J255" s="505" t="s">
        <v>2134</v>
      </c>
      <c r="K255" s="505" t="s">
        <v>1507</v>
      </c>
      <c r="L255" s="1485">
        <v>1</v>
      </c>
      <c r="M255" s="519">
        <v>0.125</v>
      </c>
      <c r="N255" s="1546">
        <v>0.125</v>
      </c>
      <c r="O255" s="483">
        <v>0</v>
      </c>
      <c r="P255" s="483">
        <v>0</v>
      </c>
      <c r="Q255" s="483">
        <v>1</v>
      </c>
      <c r="R255" s="666">
        <v>46198.752997685187</v>
      </c>
      <c r="S255" s="483">
        <v>1</v>
      </c>
      <c r="T255" s="483">
        <v>1</v>
      </c>
      <c r="V255" t="str">
        <f t="shared" si="12"/>
        <v>m</v>
      </c>
    </row>
    <row r="256" spans="3:22" ht="21.95" customHeight="1">
      <c r="C256" s="483">
        <v>229</v>
      </c>
      <c r="D256" s="483">
        <v>182</v>
      </c>
      <c r="E256" s="483" t="s">
        <v>2538</v>
      </c>
      <c r="F256" s="505" t="s">
        <v>2957</v>
      </c>
      <c r="G256" s="483">
        <v>1</v>
      </c>
      <c r="H256" s="483">
        <v>2</v>
      </c>
      <c r="I256" s="483">
        <v>54</v>
      </c>
      <c r="J256" s="505" t="s">
        <v>2616</v>
      </c>
      <c r="K256" s="505" t="s">
        <v>1507</v>
      </c>
      <c r="L256" s="1485">
        <v>2</v>
      </c>
      <c r="M256" s="519">
        <v>2.5</v>
      </c>
      <c r="N256" s="1546">
        <v>2.5</v>
      </c>
      <c r="O256" s="483">
        <v>0</v>
      </c>
      <c r="P256" s="483">
        <v>0</v>
      </c>
      <c r="Q256" s="483">
        <v>1</v>
      </c>
      <c r="R256" s="666">
        <v>46198.752997685187</v>
      </c>
      <c r="S256" s="483">
        <v>1</v>
      </c>
      <c r="T256" s="483">
        <v>1</v>
      </c>
      <c r="V256" t="str">
        <f t="shared" si="12"/>
        <v>Unit/12m</v>
      </c>
    </row>
    <row r="257" spans="3:22" ht="21.95" customHeight="1">
      <c r="C257" s="483">
        <v>230</v>
      </c>
      <c r="D257" s="483">
        <v>182</v>
      </c>
      <c r="E257" s="483" t="s">
        <v>2538</v>
      </c>
      <c r="F257" s="505" t="s">
        <v>2957</v>
      </c>
      <c r="G257" s="483">
        <v>1</v>
      </c>
      <c r="H257" s="483">
        <v>2</v>
      </c>
      <c r="I257" s="483">
        <v>16</v>
      </c>
      <c r="J257" s="505" t="s">
        <v>2134</v>
      </c>
      <c r="K257" s="505" t="s">
        <v>1507</v>
      </c>
      <c r="L257" s="1485">
        <v>2</v>
      </c>
      <c r="M257" s="519">
        <v>0.20833333333333334</v>
      </c>
      <c r="N257" s="1546">
        <v>0.20833333333333334</v>
      </c>
      <c r="O257" s="483">
        <v>0</v>
      </c>
      <c r="P257" s="483">
        <v>0</v>
      </c>
      <c r="Q257" s="483">
        <v>1</v>
      </c>
      <c r="R257" s="666">
        <v>46198.752997685187</v>
      </c>
      <c r="S257" s="483">
        <v>1</v>
      </c>
      <c r="T257" s="483">
        <v>1</v>
      </c>
      <c r="V257" t="str">
        <f t="shared" si="12"/>
        <v>m</v>
      </c>
    </row>
    <row r="258" spans="3:22" ht="21.95" customHeight="1">
      <c r="C258" s="483">
        <v>231</v>
      </c>
      <c r="D258" s="483">
        <v>183</v>
      </c>
      <c r="E258" s="483" t="s">
        <v>2540</v>
      </c>
      <c r="F258" s="505" t="s">
        <v>2958</v>
      </c>
      <c r="G258" s="483">
        <v>1</v>
      </c>
      <c r="H258" s="483">
        <v>2</v>
      </c>
      <c r="I258" s="483">
        <v>54</v>
      </c>
      <c r="J258" s="505" t="s">
        <v>2616</v>
      </c>
      <c r="K258" s="505" t="s">
        <v>1507</v>
      </c>
      <c r="L258" s="1485">
        <v>4</v>
      </c>
      <c r="M258" s="519">
        <v>4.5</v>
      </c>
      <c r="N258" s="1546">
        <v>4.5</v>
      </c>
      <c r="O258" s="483">
        <v>0</v>
      </c>
      <c r="P258" s="483">
        <v>0</v>
      </c>
      <c r="Q258" s="483">
        <v>1</v>
      </c>
      <c r="R258" s="666">
        <v>46198.752997685187</v>
      </c>
      <c r="S258" s="483">
        <v>1</v>
      </c>
      <c r="T258" s="483">
        <v>1</v>
      </c>
      <c r="V258" t="str">
        <f t="shared" si="12"/>
        <v>Unit/12m</v>
      </c>
    </row>
    <row r="259" spans="3:22" ht="21.95" customHeight="1">
      <c r="C259" s="483">
        <v>232</v>
      </c>
      <c r="D259" s="483">
        <v>183</v>
      </c>
      <c r="E259" s="483" t="s">
        <v>2540</v>
      </c>
      <c r="F259" s="505" t="s">
        <v>2958</v>
      </c>
      <c r="G259" s="483">
        <v>1</v>
      </c>
      <c r="H259" s="483">
        <v>2</v>
      </c>
      <c r="I259" s="483">
        <v>16</v>
      </c>
      <c r="J259" s="505" t="s">
        <v>2134</v>
      </c>
      <c r="K259" s="505" t="s">
        <v>1507</v>
      </c>
      <c r="L259" s="1485">
        <v>4</v>
      </c>
      <c r="M259" s="519">
        <v>0.375</v>
      </c>
      <c r="N259" s="1546">
        <v>0.375</v>
      </c>
      <c r="O259" s="483">
        <v>0</v>
      </c>
      <c r="P259" s="483">
        <v>0</v>
      </c>
      <c r="Q259" s="483">
        <v>1</v>
      </c>
      <c r="R259" s="666">
        <v>46198.752997685187</v>
      </c>
      <c r="S259" s="483">
        <v>1</v>
      </c>
      <c r="T259" s="483">
        <v>1</v>
      </c>
      <c r="V259" t="str">
        <f t="shared" si="12"/>
        <v>m</v>
      </c>
    </row>
    <row r="260" spans="3:22" ht="21.95" customHeight="1">
      <c r="C260" s="483">
        <v>233</v>
      </c>
      <c r="D260" s="483">
        <v>184</v>
      </c>
      <c r="E260" s="483" t="s">
        <v>2542</v>
      </c>
      <c r="F260" s="505" t="s">
        <v>2959</v>
      </c>
      <c r="G260" s="483">
        <v>1</v>
      </c>
      <c r="H260" s="483">
        <v>2</v>
      </c>
      <c r="I260" s="483">
        <v>54</v>
      </c>
      <c r="J260" s="505" t="s">
        <v>2616</v>
      </c>
      <c r="K260" s="505" t="s">
        <v>1507</v>
      </c>
      <c r="L260" s="1485">
        <v>6</v>
      </c>
      <c r="M260" s="519">
        <v>6.5</v>
      </c>
      <c r="N260" s="1546">
        <v>6.5</v>
      </c>
      <c r="O260" s="483">
        <v>0</v>
      </c>
      <c r="P260" s="483">
        <v>0</v>
      </c>
      <c r="Q260" s="483">
        <v>1</v>
      </c>
      <c r="R260" s="666">
        <v>46198.752997685187</v>
      </c>
      <c r="S260" s="483">
        <v>1</v>
      </c>
      <c r="T260" s="483">
        <v>1</v>
      </c>
      <c r="V260" t="str">
        <f t="shared" si="12"/>
        <v>Unit/12m</v>
      </c>
    </row>
    <row r="261" spans="3:22" ht="21.95" customHeight="1">
      <c r="C261" s="483">
        <v>234</v>
      </c>
      <c r="D261" s="483">
        <v>184</v>
      </c>
      <c r="E261" s="483" t="s">
        <v>2542</v>
      </c>
      <c r="F261" s="505" t="s">
        <v>2959</v>
      </c>
      <c r="G261" s="483">
        <v>1</v>
      </c>
      <c r="H261" s="483">
        <v>2</v>
      </c>
      <c r="I261" s="483">
        <v>16</v>
      </c>
      <c r="J261" s="505" t="s">
        <v>2134</v>
      </c>
      <c r="K261" s="505" t="s">
        <v>1507</v>
      </c>
      <c r="L261" s="1485">
        <v>6</v>
      </c>
      <c r="M261" s="519">
        <v>0.54166666666666663</v>
      </c>
      <c r="N261" s="1546">
        <v>0.54166666666666663</v>
      </c>
      <c r="O261" s="483">
        <v>0</v>
      </c>
      <c r="P261" s="483">
        <v>0</v>
      </c>
      <c r="Q261" s="483">
        <v>1</v>
      </c>
      <c r="R261" s="666">
        <v>46198.752997685187</v>
      </c>
      <c r="S261" s="483">
        <v>1</v>
      </c>
      <c r="T261" s="483">
        <v>1</v>
      </c>
      <c r="V261" t="str">
        <f t="shared" si="12"/>
        <v>m</v>
      </c>
    </row>
    <row r="262" spans="3:22" ht="21.95" customHeight="1">
      <c r="C262" s="483">
        <v>235</v>
      </c>
      <c r="D262" s="483">
        <v>185</v>
      </c>
      <c r="E262" s="483" t="s">
        <v>2544</v>
      </c>
      <c r="F262" s="505" t="s">
        <v>2960</v>
      </c>
      <c r="G262" s="483">
        <v>1</v>
      </c>
      <c r="H262" s="483">
        <v>2</v>
      </c>
      <c r="I262" s="483">
        <v>54</v>
      </c>
      <c r="J262" s="505" t="s">
        <v>2616</v>
      </c>
      <c r="K262" s="505" t="s">
        <v>1507</v>
      </c>
      <c r="L262" s="1485">
        <v>8</v>
      </c>
      <c r="M262" s="519">
        <v>8.5</v>
      </c>
      <c r="N262" s="1546">
        <v>8.5</v>
      </c>
      <c r="O262" s="483">
        <v>0</v>
      </c>
      <c r="P262" s="483">
        <v>0</v>
      </c>
      <c r="Q262" s="483">
        <v>1</v>
      </c>
      <c r="R262" s="666">
        <v>46198.752997685187</v>
      </c>
      <c r="S262" s="483">
        <v>1</v>
      </c>
      <c r="T262" s="483">
        <v>1</v>
      </c>
      <c r="V262" t="str">
        <f t="shared" si="12"/>
        <v>Unit/12m</v>
      </c>
    </row>
    <row r="263" spans="3:22" ht="21.95" customHeight="1">
      <c r="C263" s="483">
        <v>236</v>
      </c>
      <c r="D263" s="483">
        <v>185</v>
      </c>
      <c r="E263" s="483" t="s">
        <v>2544</v>
      </c>
      <c r="F263" s="505" t="s">
        <v>2960</v>
      </c>
      <c r="G263" s="483">
        <v>1</v>
      </c>
      <c r="H263" s="483">
        <v>2</v>
      </c>
      <c r="I263" s="483">
        <v>16</v>
      </c>
      <c r="J263" s="505" t="s">
        <v>2134</v>
      </c>
      <c r="K263" s="505" t="s">
        <v>1507</v>
      </c>
      <c r="L263" s="1485">
        <v>8</v>
      </c>
      <c r="M263" s="519">
        <v>0.70833333333333337</v>
      </c>
      <c r="N263" s="1546">
        <v>0.70833333333333337</v>
      </c>
      <c r="O263" s="483">
        <v>0</v>
      </c>
      <c r="P263" s="483">
        <v>0</v>
      </c>
      <c r="Q263" s="483">
        <v>1</v>
      </c>
      <c r="R263" s="666">
        <v>46198.752997685187</v>
      </c>
      <c r="S263" s="483">
        <v>1</v>
      </c>
      <c r="T263" s="483">
        <v>1</v>
      </c>
      <c r="V263" t="str">
        <f t="shared" si="12"/>
        <v>m</v>
      </c>
    </row>
    <row r="264" spans="3:22" ht="21.95" customHeight="1">
      <c r="C264" s="483">
        <v>237</v>
      </c>
      <c r="D264" s="483">
        <v>186</v>
      </c>
      <c r="E264" s="483" t="s">
        <v>2546</v>
      </c>
      <c r="F264" s="505" t="s">
        <v>2961</v>
      </c>
      <c r="G264" s="483">
        <v>1</v>
      </c>
      <c r="H264" s="483">
        <v>2</v>
      </c>
      <c r="I264" s="483">
        <v>54</v>
      </c>
      <c r="J264" s="505" t="s">
        <v>2616</v>
      </c>
      <c r="K264" s="505" t="s">
        <v>1507</v>
      </c>
      <c r="L264" s="1485">
        <v>12</v>
      </c>
      <c r="M264" s="519">
        <v>12.5</v>
      </c>
      <c r="N264" s="1546">
        <v>12.5</v>
      </c>
      <c r="O264" s="483">
        <v>0</v>
      </c>
      <c r="P264" s="483">
        <v>0</v>
      </c>
      <c r="Q264" s="483">
        <v>1</v>
      </c>
      <c r="R264" s="666">
        <v>46198.752997685187</v>
      </c>
      <c r="S264" s="483">
        <v>1</v>
      </c>
      <c r="T264" s="483">
        <v>1</v>
      </c>
      <c r="V264" t="str">
        <f t="shared" si="12"/>
        <v>Unit/12m</v>
      </c>
    </row>
    <row r="265" spans="3:22" ht="21.95" customHeight="1">
      <c r="C265" s="483">
        <v>238</v>
      </c>
      <c r="D265" s="483">
        <v>186</v>
      </c>
      <c r="E265" s="483" t="s">
        <v>2546</v>
      </c>
      <c r="F265" s="505" t="s">
        <v>2961</v>
      </c>
      <c r="G265" s="483">
        <v>1</v>
      </c>
      <c r="H265" s="483">
        <v>2</v>
      </c>
      <c r="I265" s="483">
        <v>16</v>
      </c>
      <c r="J265" s="505" t="s">
        <v>2134</v>
      </c>
      <c r="K265" s="505" t="s">
        <v>1507</v>
      </c>
      <c r="L265" s="1485">
        <v>12</v>
      </c>
      <c r="M265" s="519">
        <v>1.0416666666666667</v>
      </c>
      <c r="N265" s="1546">
        <v>1.0416666666666667</v>
      </c>
      <c r="O265" s="483">
        <v>0</v>
      </c>
      <c r="P265" s="483">
        <v>0</v>
      </c>
      <c r="Q265" s="483">
        <v>1</v>
      </c>
      <c r="R265" s="666">
        <v>46198.752997685187</v>
      </c>
      <c r="S265" s="483">
        <v>1</v>
      </c>
      <c r="T265" s="483">
        <v>1</v>
      </c>
      <c r="V265" t="str">
        <f t="shared" si="12"/>
        <v>m</v>
      </c>
    </row>
    <row r="266" spans="3:22" ht="21.95" customHeight="1">
      <c r="C266" s="483">
        <v>239</v>
      </c>
      <c r="D266" s="483">
        <v>187</v>
      </c>
      <c r="E266" s="483" t="s">
        <v>2548</v>
      </c>
      <c r="F266" s="505" t="s">
        <v>2962</v>
      </c>
      <c r="G266" s="483">
        <v>1</v>
      </c>
      <c r="H266" s="483">
        <v>2</v>
      </c>
      <c r="I266" s="483">
        <v>53</v>
      </c>
      <c r="J266" s="505" t="s">
        <v>2618</v>
      </c>
      <c r="K266" s="505" t="s">
        <v>1507</v>
      </c>
      <c r="L266" s="1485">
        <v>3.37</v>
      </c>
      <c r="M266" s="519">
        <v>3.65</v>
      </c>
      <c r="N266" s="1546">
        <v>3.65</v>
      </c>
      <c r="O266" s="483">
        <v>0</v>
      </c>
      <c r="P266" s="483">
        <v>0</v>
      </c>
      <c r="Q266" s="483">
        <v>1</v>
      </c>
      <c r="R266" s="666">
        <v>46198.752997685187</v>
      </c>
      <c r="S266" s="483">
        <v>1</v>
      </c>
      <c r="T266" s="483">
        <v>1</v>
      </c>
      <c r="V266" t="str">
        <f t="shared" si="12"/>
        <v>Unit/4m</v>
      </c>
    </row>
    <row r="267" spans="3:22" ht="21.95" customHeight="1">
      <c r="C267" s="483">
        <v>240</v>
      </c>
      <c r="D267" s="483">
        <v>187</v>
      </c>
      <c r="E267" s="483" t="s">
        <v>2548</v>
      </c>
      <c r="F267" s="505" t="s">
        <v>2962</v>
      </c>
      <c r="G267" s="483">
        <v>1</v>
      </c>
      <c r="H267" s="483">
        <v>2</v>
      </c>
      <c r="I267" s="483">
        <v>16</v>
      </c>
      <c r="J267" s="505" t="s">
        <v>2134</v>
      </c>
      <c r="K267" s="505" t="s">
        <v>1507</v>
      </c>
      <c r="L267" s="1485">
        <v>3.37</v>
      </c>
      <c r="M267" s="519">
        <v>0.91249999999999998</v>
      </c>
      <c r="N267" s="1546">
        <v>0.91249999999999998</v>
      </c>
      <c r="O267" s="483">
        <v>0</v>
      </c>
      <c r="P267" s="483">
        <v>0</v>
      </c>
      <c r="Q267" s="483">
        <v>1</v>
      </c>
      <c r="R267" s="666">
        <v>46198.752997685187</v>
      </c>
      <c r="S267" s="483">
        <v>1</v>
      </c>
      <c r="T267" s="483">
        <v>1</v>
      </c>
      <c r="V267" t="str">
        <f t="shared" si="12"/>
        <v>m</v>
      </c>
    </row>
    <row r="268" spans="3:22" ht="21.95" customHeight="1">
      <c r="C268" s="483">
        <v>241</v>
      </c>
      <c r="D268" s="483">
        <v>188</v>
      </c>
      <c r="E268" s="483" t="s">
        <v>2550</v>
      </c>
      <c r="F268" s="505" t="s">
        <v>2963</v>
      </c>
      <c r="G268" s="483">
        <v>1</v>
      </c>
      <c r="H268" s="483">
        <v>2</v>
      </c>
      <c r="I268" s="483">
        <v>53</v>
      </c>
      <c r="J268" s="505" t="s">
        <v>2618</v>
      </c>
      <c r="K268" s="505" t="s">
        <v>1507</v>
      </c>
      <c r="L268" s="1485">
        <v>3.9</v>
      </c>
      <c r="M268" s="519">
        <v>4.4000000000000004</v>
      </c>
      <c r="N268" s="1546">
        <v>4.4000000000000004</v>
      </c>
      <c r="O268" s="483">
        <v>0</v>
      </c>
      <c r="P268" s="483">
        <v>0</v>
      </c>
      <c r="Q268" s="483">
        <v>1</v>
      </c>
      <c r="R268" s="666">
        <v>46198.752997685187</v>
      </c>
      <c r="S268" s="483">
        <v>1</v>
      </c>
      <c r="T268" s="483">
        <v>1</v>
      </c>
      <c r="V268" t="str">
        <f t="shared" si="12"/>
        <v>Unit/4m</v>
      </c>
    </row>
    <row r="269" spans="3:22" ht="21.95" customHeight="1">
      <c r="C269" s="483">
        <v>242</v>
      </c>
      <c r="D269" s="483">
        <v>188</v>
      </c>
      <c r="E269" s="483" t="s">
        <v>2550</v>
      </c>
      <c r="F269" s="505" t="s">
        <v>2963</v>
      </c>
      <c r="G269" s="483">
        <v>1</v>
      </c>
      <c r="H269" s="483">
        <v>2</v>
      </c>
      <c r="I269" s="483">
        <v>16</v>
      </c>
      <c r="J269" s="505" t="s">
        <v>2134</v>
      </c>
      <c r="K269" s="505" t="s">
        <v>1507</v>
      </c>
      <c r="L269" s="1485">
        <v>3.9</v>
      </c>
      <c r="M269" s="519">
        <v>1.1000000000000001</v>
      </c>
      <c r="N269" s="1546">
        <v>1.1000000000000001</v>
      </c>
      <c r="O269" s="483">
        <v>0</v>
      </c>
      <c r="P269" s="483">
        <v>0</v>
      </c>
      <c r="Q269" s="483">
        <v>1</v>
      </c>
      <c r="R269" s="666">
        <v>46198.752997685187</v>
      </c>
      <c r="S269" s="483">
        <v>1</v>
      </c>
      <c r="T269" s="483">
        <v>1</v>
      </c>
      <c r="V269" t="str">
        <f t="shared" si="12"/>
        <v>m</v>
      </c>
    </row>
    <row r="270" spans="3:22" ht="21.95" customHeight="1">
      <c r="C270" s="483">
        <v>243</v>
      </c>
      <c r="D270" s="483">
        <v>189</v>
      </c>
      <c r="E270" s="483" t="s">
        <v>2552</v>
      </c>
      <c r="F270" s="505" t="s">
        <v>2964</v>
      </c>
      <c r="G270" s="483">
        <v>1</v>
      </c>
      <c r="H270" s="483">
        <v>2</v>
      </c>
      <c r="I270" s="483">
        <v>53</v>
      </c>
      <c r="J270" s="505" t="s">
        <v>2618</v>
      </c>
      <c r="K270" s="505" t="s">
        <v>1507</v>
      </c>
      <c r="L270" s="1485">
        <v>4.09</v>
      </c>
      <c r="M270" s="519">
        <v>4.59</v>
      </c>
      <c r="N270" s="1546">
        <v>4.59</v>
      </c>
      <c r="O270" s="483">
        <v>0</v>
      </c>
      <c r="P270" s="483">
        <v>0</v>
      </c>
      <c r="Q270" s="483">
        <v>1</v>
      </c>
      <c r="R270" s="666">
        <v>46198.752997685187</v>
      </c>
      <c r="S270" s="483">
        <v>1</v>
      </c>
      <c r="T270" s="483">
        <v>1</v>
      </c>
      <c r="V270" t="str">
        <f t="shared" si="12"/>
        <v>Unit/4m</v>
      </c>
    </row>
    <row r="271" spans="3:22" ht="21.95" customHeight="1">
      <c r="C271" s="483">
        <v>244</v>
      </c>
      <c r="D271" s="483">
        <v>189</v>
      </c>
      <c r="E271" s="483" t="s">
        <v>2552</v>
      </c>
      <c r="F271" s="505" t="s">
        <v>2964</v>
      </c>
      <c r="G271" s="483">
        <v>1</v>
      </c>
      <c r="H271" s="483">
        <v>2</v>
      </c>
      <c r="I271" s="483">
        <v>16</v>
      </c>
      <c r="J271" s="505" t="s">
        <v>2134</v>
      </c>
      <c r="K271" s="505" t="s">
        <v>1507</v>
      </c>
      <c r="L271" s="1485">
        <v>4.09</v>
      </c>
      <c r="M271" s="519">
        <v>1.1475</v>
      </c>
      <c r="N271" s="1546">
        <v>1.1475</v>
      </c>
      <c r="O271" s="483">
        <v>0</v>
      </c>
      <c r="P271" s="483">
        <v>0</v>
      </c>
      <c r="Q271" s="483">
        <v>1</v>
      </c>
      <c r="R271" s="666">
        <v>46198.752997685187</v>
      </c>
      <c r="S271" s="483">
        <v>1</v>
      </c>
      <c r="T271" s="483">
        <v>1</v>
      </c>
      <c r="V271" t="str">
        <f t="shared" si="12"/>
        <v>m</v>
      </c>
    </row>
    <row r="272" spans="3:22" ht="21.95" customHeight="1">
      <c r="C272" s="483">
        <v>245</v>
      </c>
      <c r="D272" s="483">
        <v>190</v>
      </c>
      <c r="E272" s="483" t="s">
        <v>2554</v>
      </c>
      <c r="F272" s="505" t="s">
        <v>2965</v>
      </c>
      <c r="G272" s="483">
        <v>1</v>
      </c>
      <c r="H272" s="483">
        <v>2</v>
      </c>
      <c r="I272" s="483">
        <v>53</v>
      </c>
      <c r="J272" s="505" t="s">
        <v>2618</v>
      </c>
      <c r="K272" s="505" t="s">
        <v>1507</v>
      </c>
      <c r="L272" s="1485">
        <v>4.7300000000000004</v>
      </c>
      <c r="M272" s="519">
        <v>5.2</v>
      </c>
      <c r="N272" s="1546">
        <v>5.2</v>
      </c>
      <c r="O272" s="483">
        <v>0</v>
      </c>
      <c r="P272" s="483">
        <v>0</v>
      </c>
      <c r="Q272" s="483">
        <v>1</v>
      </c>
      <c r="R272" s="666">
        <v>46198.752997685187</v>
      </c>
      <c r="S272" s="483">
        <v>1</v>
      </c>
      <c r="T272" s="483">
        <v>1</v>
      </c>
      <c r="V272" t="str">
        <f t="shared" si="12"/>
        <v>Unit/4m</v>
      </c>
    </row>
    <row r="273" spans="3:22" ht="21.95" customHeight="1">
      <c r="C273" s="483">
        <v>246</v>
      </c>
      <c r="D273" s="483">
        <v>190</v>
      </c>
      <c r="E273" s="483" t="s">
        <v>2554</v>
      </c>
      <c r="F273" s="505" t="s">
        <v>2965</v>
      </c>
      <c r="G273" s="483">
        <v>1</v>
      </c>
      <c r="H273" s="483">
        <v>2</v>
      </c>
      <c r="I273" s="483">
        <v>16</v>
      </c>
      <c r="J273" s="505" t="s">
        <v>2134</v>
      </c>
      <c r="K273" s="505" t="s">
        <v>1507</v>
      </c>
      <c r="L273" s="1485">
        <v>4.7300000000000004</v>
      </c>
      <c r="M273" s="519">
        <v>1.3</v>
      </c>
      <c r="N273" s="1546">
        <v>1.3</v>
      </c>
      <c r="O273" s="483">
        <v>0</v>
      </c>
      <c r="P273" s="483">
        <v>0</v>
      </c>
      <c r="Q273" s="483">
        <v>1</v>
      </c>
      <c r="R273" s="666">
        <v>46198.752997685187</v>
      </c>
      <c r="S273" s="483">
        <v>1</v>
      </c>
      <c r="T273" s="483">
        <v>1</v>
      </c>
      <c r="V273" t="str">
        <f t="shared" si="12"/>
        <v>m</v>
      </c>
    </row>
    <row r="274" spans="3:22" ht="21.95" customHeight="1">
      <c r="C274" s="483">
        <v>247</v>
      </c>
      <c r="D274" s="483">
        <v>191</v>
      </c>
      <c r="E274" s="483" t="s">
        <v>2556</v>
      </c>
      <c r="F274" s="505" t="s">
        <v>2966</v>
      </c>
      <c r="G274" s="483">
        <v>1</v>
      </c>
      <c r="H274" s="483">
        <v>2</v>
      </c>
      <c r="I274" s="483">
        <v>53</v>
      </c>
      <c r="J274" s="505" t="s">
        <v>2618</v>
      </c>
      <c r="K274" s="505" t="s">
        <v>1507</v>
      </c>
      <c r="L274" s="1485">
        <v>4.92</v>
      </c>
      <c r="M274" s="519">
        <v>5.4</v>
      </c>
      <c r="N274" s="1546">
        <v>5.4</v>
      </c>
      <c r="O274" s="483">
        <v>0</v>
      </c>
      <c r="P274" s="483">
        <v>0</v>
      </c>
      <c r="Q274" s="483">
        <v>1</v>
      </c>
      <c r="R274" s="666">
        <v>46198.752997685187</v>
      </c>
      <c r="S274" s="483">
        <v>1</v>
      </c>
      <c r="T274" s="483">
        <v>1</v>
      </c>
      <c r="V274" t="str">
        <f t="shared" si="12"/>
        <v>Unit/4m</v>
      </c>
    </row>
    <row r="275" spans="3:22" ht="21.95" customHeight="1">
      <c r="C275" s="483">
        <v>248</v>
      </c>
      <c r="D275" s="483">
        <v>191</v>
      </c>
      <c r="E275" s="483" t="s">
        <v>2556</v>
      </c>
      <c r="F275" s="505" t="s">
        <v>2966</v>
      </c>
      <c r="G275" s="483">
        <v>1</v>
      </c>
      <c r="H275" s="483">
        <v>2</v>
      </c>
      <c r="I275" s="483">
        <v>16</v>
      </c>
      <c r="J275" s="505" t="s">
        <v>2134</v>
      </c>
      <c r="K275" s="505" t="s">
        <v>1507</v>
      </c>
      <c r="L275" s="1485">
        <v>4.92</v>
      </c>
      <c r="M275" s="519">
        <v>1.35</v>
      </c>
      <c r="N275" s="1546">
        <v>1.35</v>
      </c>
      <c r="O275" s="483">
        <v>0</v>
      </c>
      <c r="P275" s="483">
        <v>0</v>
      </c>
      <c r="Q275" s="483">
        <v>1</v>
      </c>
      <c r="R275" s="666">
        <v>46198.752997685187</v>
      </c>
      <c r="S275" s="483">
        <v>1</v>
      </c>
      <c r="T275" s="483">
        <v>1</v>
      </c>
      <c r="V275" t="str">
        <f t="shared" si="12"/>
        <v>m</v>
      </c>
    </row>
    <row r="276" spans="3:22" ht="21.95" customHeight="1">
      <c r="C276" s="483">
        <v>249</v>
      </c>
      <c r="D276" s="483">
        <v>192</v>
      </c>
      <c r="E276" s="483" t="s">
        <v>2558</v>
      </c>
      <c r="F276" s="505" t="s">
        <v>2967</v>
      </c>
      <c r="G276" s="483">
        <v>1</v>
      </c>
      <c r="H276" s="483">
        <v>2</v>
      </c>
      <c r="I276" s="483">
        <v>53</v>
      </c>
      <c r="J276" s="505" t="s">
        <v>2618</v>
      </c>
      <c r="K276" s="505" t="s">
        <v>1507</v>
      </c>
      <c r="L276" s="1485">
        <v>6.03</v>
      </c>
      <c r="M276" s="519">
        <v>6.53</v>
      </c>
      <c r="N276" s="1546">
        <v>6.53</v>
      </c>
      <c r="O276" s="483">
        <v>0</v>
      </c>
      <c r="P276" s="483">
        <v>0</v>
      </c>
      <c r="Q276" s="483">
        <v>1</v>
      </c>
      <c r="R276" s="666">
        <v>46198.752997685187</v>
      </c>
      <c r="S276" s="483">
        <v>1</v>
      </c>
      <c r="T276" s="483">
        <v>1</v>
      </c>
      <c r="V276" t="str">
        <f t="shared" si="12"/>
        <v>Unit/4m</v>
      </c>
    </row>
    <row r="277" spans="3:22" ht="21.95" customHeight="1">
      <c r="C277" s="483">
        <v>250</v>
      </c>
      <c r="D277" s="483">
        <v>192</v>
      </c>
      <c r="E277" s="483" t="s">
        <v>2558</v>
      </c>
      <c r="F277" s="505" t="s">
        <v>2967</v>
      </c>
      <c r="G277" s="483">
        <v>1</v>
      </c>
      <c r="H277" s="483">
        <v>2</v>
      </c>
      <c r="I277" s="483">
        <v>16</v>
      </c>
      <c r="J277" s="505" t="s">
        <v>2134</v>
      </c>
      <c r="K277" s="505" t="s">
        <v>1507</v>
      </c>
      <c r="L277" s="1485">
        <v>6.03</v>
      </c>
      <c r="M277" s="519">
        <v>1.6325000000000001</v>
      </c>
      <c r="N277" s="1546">
        <v>1.6325000000000001</v>
      </c>
      <c r="O277" s="483">
        <v>0</v>
      </c>
      <c r="P277" s="483">
        <v>0</v>
      </c>
      <c r="Q277" s="483">
        <v>1</v>
      </c>
      <c r="R277" s="666">
        <v>46198.752997685187</v>
      </c>
      <c r="S277" s="483">
        <v>1</v>
      </c>
      <c r="T277" s="483">
        <v>1</v>
      </c>
      <c r="V277" t="str">
        <f t="shared" si="12"/>
        <v>m</v>
      </c>
    </row>
    <row r="278" spans="3:22" ht="21.95" customHeight="1">
      <c r="C278" s="483">
        <v>251</v>
      </c>
      <c r="D278" s="483">
        <v>193</v>
      </c>
      <c r="E278" s="483" t="s">
        <v>2560</v>
      </c>
      <c r="F278" s="505" t="s">
        <v>2968</v>
      </c>
      <c r="G278" s="483">
        <v>1</v>
      </c>
      <c r="H278" s="483">
        <v>2</v>
      </c>
      <c r="I278" s="483">
        <v>53</v>
      </c>
      <c r="J278" s="505" t="s">
        <v>2618</v>
      </c>
      <c r="K278" s="505" t="s">
        <v>1507</v>
      </c>
      <c r="L278" s="1485">
        <v>3.88</v>
      </c>
      <c r="M278" s="519">
        <v>4.3</v>
      </c>
      <c r="N278" s="1546">
        <v>4.3</v>
      </c>
      <c r="O278" s="483">
        <v>0</v>
      </c>
      <c r="P278" s="483">
        <v>0</v>
      </c>
      <c r="Q278" s="483">
        <v>1</v>
      </c>
      <c r="R278" s="666">
        <v>46198.752997685187</v>
      </c>
      <c r="S278" s="483">
        <v>1</v>
      </c>
      <c r="T278" s="483">
        <v>1</v>
      </c>
      <c r="V278" t="str">
        <f t="shared" si="12"/>
        <v>Unit/4m</v>
      </c>
    </row>
    <row r="279" spans="3:22" ht="21.95" customHeight="1">
      <c r="C279" s="483">
        <v>252</v>
      </c>
      <c r="D279" s="483">
        <v>193</v>
      </c>
      <c r="E279" s="483" t="s">
        <v>2560</v>
      </c>
      <c r="F279" s="505" t="s">
        <v>2968</v>
      </c>
      <c r="G279" s="483">
        <v>1</v>
      </c>
      <c r="H279" s="483">
        <v>2</v>
      </c>
      <c r="I279" s="483">
        <v>16</v>
      </c>
      <c r="J279" s="505" t="s">
        <v>2134</v>
      </c>
      <c r="K279" s="505" t="s">
        <v>1507</v>
      </c>
      <c r="L279" s="1485">
        <v>3.88</v>
      </c>
      <c r="M279" s="519">
        <v>1.075</v>
      </c>
      <c r="N279" s="1546">
        <v>1.075</v>
      </c>
      <c r="O279" s="483">
        <v>0</v>
      </c>
      <c r="P279" s="483">
        <v>0</v>
      </c>
      <c r="Q279" s="483">
        <v>1</v>
      </c>
      <c r="R279" s="666">
        <v>46198.752997685187</v>
      </c>
      <c r="S279" s="483">
        <v>1</v>
      </c>
      <c r="T279" s="483">
        <v>1</v>
      </c>
      <c r="V279" t="str">
        <f t="shared" si="12"/>
        <v>m</v>
      </c>
    </row>
    <row r="280" spans="3:22" ht="21.95" customHeight="1">
      <c r="C280" s="483">
        <v>253</v>
      </c>
      <c r="D280" s="483">
        <v>194</v>
      </c>
      <c r="E280" s="483" t="s">
        <v>2562</v>
      </c>
      <c r="F280" s="505" t="s">
        <v>2969</v>
      </c>
      <c r="G280" s="483">
        <v>1</v>
      </c>
      <c r="H280" s="483">
        <v>2</v>
      </c>
      <c r="I280" s="483">
        <v>53</v>
      </c>
      <c r="J280" s="505" t="s">
        <v>2618</v>
      </c>
      <c r="K280" s="505" t="s">
        <v>1507</v>
      </c>
      <c r="L280" s="1485">
        <v>4.7</v>
      </c>
      <c r="M280" s="519">
        <v>5.2</v>
      </c>
      <c r="N280" s="1546">
        <v>5.2</v>
      </c>
      <c r="O280" s="483">
        <v>0</v>
      </c>
      <c r="P280" s="483">
        <v>0</v>
      </c>
      <c r="Q280" s="483">
        <v>1</v>
      </c>
      <c r="R280" s="666">
        <v>46198.752997685187</v>
      </c>
      <c r="S280" s="483">
        <v>1</v>
      </c>
      <c r="T280" s="483">
        <v>1</v>
      </c>
      <c r="V280" t="str">
        <f t="shared" si="12"/>
        <v>Unit/4m</v>
      </c>
    </row>
    <row r="281" spans="3:22" ht="21.95" customHeight="1">
      <c r="C281" s="483">
        <v>254</v>
      </c>
      <c r="D281" s="483">
        <v>194</v>
      </c>
      <c r="E281" s="483" t="s">
        <v>2562</v>
      </c>
      <c r="F281" s="505" t="s">
        <v>2969</v>
      </c>
      <c r="G281" s="483">
        <v>1</v>
      </c>
      <c r="H281" s="483">
        <v>2</v>
      </c>
      <c r="I281" s="483">
        <v>16</v>
      </c>
      <c r="J281" s="505" t="s">
        <v>2134</v>
      </c>
      <c r="K281" s="505" t="s">
        <v>1507</v>
      </c>
      <c r="L281" s="1485">
        <v>4.7</v>
      </c>
      <c r="M281" s="519">
        <v>1.3</v>
      </c>
      <c r="N281" s="1546">
        <v>1.3</v>
      </c>
      <c r="O281" s="483">
        <v>0</v>
      </c>
      <c r="P281" s="483">
        <v>0</v>
      </c>
      <c r="Q281" s="483">
        <v>1</v>
      </c>
      <c r="R281" s="666">
        <v>46198.752997685187</v>
      </c>
      <c r="S281" s="483">
        <v>1</v>
      </c>
      <c r="T281" s="483">
        <v>1</v>
      </c>
      <c r="V281" t="str">
        <f t="shared" si="12"/>
        <v>m</v>
      </c>
    </row>
    <row r="282" spans="3:22" ht="21.95" customHeight="1">
      <c r="C282" s="483">
        <v>255</v>
      </c>
      <c r="D282" s="483">
        <v>195</v>
      </c>
      <c r="E282" s="483" t="s">
        <v>2564</v>
      </c>
      <c r="F282" s="505" t="s">
        <v>2970</v>
      </c>
      <c r="G282" s="483">
        <v>1</v>
      </c>
      <c r="H282" s="483">
        <v>2</v>
      </c>
      <c r="I282" s="483">
        <v>53</v>
      </c>
      <c r="J282" s="505" t="s">
        <v>2618</v>
      </c>
      <c r="K282" s="505" t="s">
        <v>1507</v>
      </c>
      <c r="L282" s="1485">
        <v>6.28</v>
      </c>
      <c r="M282" s="519">
        <v>6.75</v>
      </c>
      <c r="N282" s="1546">
        <v>6.75</v>
      </c>
      <c r="O282" s="483">
        <v>0</v>
      </c>
      <c r="P282" s="483">
        <v>0</v>
      </c>
      <c r="Q282" s="483">
        <v>1</v>
      </c>
      <c r="R282" s="666">
        <v>46198.752997685187</v>
      </c>
      <c r="S282" s="483">
        <v>1</v>
      </c>
      <c r="T282" s="483">
        <v>1</v>
      </c>
      <c r="V282" t="str">
        <f t="shared" si="12"/>
        <v>Unit/4m</v>
      </c>
    </row>
    <row r="283" spans="3:22" ht="21.95" customHeight="1">
      <c r="C283" s="483">
        <v>256</v>
      </c>
      <c r="D283" s="483">
        <v>195</v>
      </c>
      <c r="E283" s="483" t="s">
        <v>2564</v>
      </c>
      <c r="F283" s="505" t="s">
        <v>2970</v>
      </c>
      <c r="G283" s="483">
        <v>1</v>
      </c>
      <c r="H283" s="483">
        <v>2</v>
      </c>
      <c r="I283" s="483">
        <v>16</v>
      </c>
      <c r="J283" s="505" t="s">
        <v>2134</v>
      </c>
      <c r="K283" s="505" t="s">
        <v>1507</v>
      </c>
      <c r="L283" s="1485">
        <v>6.28</v>
      </c>
      <c r="M283" s="519">
        <v>1.6875</v>
      </c>
      <c r="N283" s="1546">
        <v>1.6875</v>
      </c>
      <c r="O283" s="483">
        <v>0</v>
      </c>
      <c r="P283" s="483">
        <v>0</v>
      </c>
      <c r="Q283" s="483">
        <v>1</v>
      </c>
      <c r="R283" s="666">
        <v>46198.752997685187</v>
      </c>
      <c r="S283" s="483">
        <v>1</v>
      </c>
      <c r="T283" s="483">
        <v>1</v>
      </c>
      <c r="V283" t="str">
        <f t="shared" si="12"/>
        <v>m</v>
      </c>
    </row>
    <row r="284" spans="3:22" ht="21.95" customHeight="1">
      <c r="C284" s="483">
        <v>257</v>
      </c>
      <c r="D284" s="483">
        <v>196</v>
      </c>
      <c r="E284" s="483" t="s">
        <v>2566</v>
      </c>
      <c r="F284" s="505" t="s">
        <v>2971</v>
      </c>
      <c r="G284" s="483">
        <v>1</v>
      </c>
      <c r="H284" s="483">
        <v>2</v>
      </c>
      <c r="I284" s="483">
        <v>53</v>
      </c>
      <c r="J284" s="505" t="s">
        <v>2618</v>
      </c>
      <c r="K284" s="505" t="s">
        <v>1507</v>
      </c>
      <c r="L284" s="1485">
        <v>7.06</v>
      </c>
      <c r="M284" s="519">
        <v>7.56</v>
      </c>
      <c r="N284" s="1546">
        <v>7.56</v>
      </c>
      <c r="O284" s="483">
        <v>0</v>
      </c>
      <c r="P284" s="483">
        <v>0</v>
      </c>
      <c r="Q284" s="483">
        <v>1</v>
      </c>
      <c r="R284" s="666">
        <v>46198.752997685187</v>
      </c>
      <c r="S284" s="483">
        <v>1</v>
      </c>
      <c r="T284" s="483">
        <v>1</v>
      </c>
      <c r="V284" t="str">
        <f t="shared" ref="V284:V347" si="13">IF(I284="","",VLOOKUP(I284,uom_list,5,FALSE))</f>
        <v>Unit/4m</v>
      </c>
    </row>
    <row r="285" spans="3:22" ht="21.95" customHeight="1">
      <c r="C285" s="483">
        <v>258</v>
      </c>
      <c r="D285" s="483">
        <v>196</v>
      </c>
      <c r="E285" s="483" t="s">
        <v>2566</v>
      </c>
      <c r="F285" s="505" t="s">
        <v>2971</v>
      </c>
      <c r="G285" s="483">
        <v>1</v>
      </c>
      <c r="H285" s="483">
        <v>2</v>
      </c>
      <c r="I285" s="483">
        <v>16</v>
      </c>
      <c r="J285" s="505" t="s">
        <v>2134</v>
      </c>
      <c r="K285" s="505" t="s">
        <v>1507</v>
      </c>
      <c r="L285" s="1485">
        <v>7.06</v>
      </c>
      <c r="M285" s="519">
        <v>1.89</v>
      </c>
      <c r="N285" s="1546">
        <v>1.89</v>
      </c>
      <c r="O285" s="483">
        <v>0</v>
      </c>
      <c r="P285" s="483">
        <v>0</v>
      </c>
      <c r="Q285" s="483">
        <v>1</v>
      </c>
      <c r="R285" s="666">
        <v>46198.752997685187</v>
      </c>
      <c r="S285" s="483">
        <v>1</v>
      </c>
      <c r="T285" s="483">
        <v>1</v>
      </c>
      <c r="V285" t="str">
        <f t="shared" si="13"/>
        <v>m</v>
      </c>
    </row>
    <row r="286" spans="3:22" ht="21.95" customHeight="1">
      <c r="C286" s="483">
        <v>259</v>
      </c>
      <c r="D286" s="483">
        <v>197</v>
      </c>
      <c r="E286" s="483" t="s">
        <v>2568</v>
      </c>
      <c r="F286" s="505" t="s">
        <v>2972</v>
      </c>
      <c r="G286" s="483">
        <v>1</v>
      </c>
      <c r="H286" s="483">
        <v>2</v>
      </c>
      <c r="I286" s="483">
        <v>53</v>
      </c>
      <c r="J286" s="505" t="s">
        <v>2618</v>
      </c>
      <c r="K286" s="505" t="s">
        <v>1507</v>
      </c>
      <c r="L286" s="1485">
        <v>8.36</v>
      </c>
      <c r="M286" s="519">
        <v>8.7799999999999994</v>
      </c>
      <c r="N286" s="1546">
        <v>8.7799999999999994</v>
      </c>
      <c r="O286" s="483">
        <v>0</v>
      </c>
      <c r="P286" s="483">
        <v>0</v>
      </c>
      <c r="Q286" s="483">
        <v>1</v>
      </c>
      <c r="R286" s="666">
        <v>46198.752997685187</v>
      </c>
      <c r="S286" s="483">
        <v>1</v>
      </c>
      <c r="T286" s="483">
        <v>1</v>
      </c>
      <c r="V286" t="str">
        <f t="shared" si="13"/>
        <v>Unit/4m</v>
      </c>
    </row>
    <row r="287" spans="3:22" ht="21.95" customHeight="1">
      <c r="C287" s="483">
        <v>260</v>
      </c>
      <c r="D287" s="483">
        <v>197</v>
      </c>
      <c r="E287" s="483" t="s">
        <v>2568</v>
      </c>
      <c r="F287" s="505" t="s">
        <v>2972</v>
      </c>
      <c r="G287" s="483">
        <v>1</v>
      </c>
      <c r="H287" s="483">
        <v>2</v>
      </c>
      <c r="I287" s="483">
        <v>16</v>
      </c>
      <c r="J287" s="505" t="s">
        <v>2134</v>
      </c>
      <c r="K287" s="505" t="s">
        <v>1507</v>
      </c>
      <c r="L287" s="1485">
        <v>8.36</v>
      </c>
      <c r="M287" s="519">
        <v>2.1949999999999998</v>
      </c>
      <c r="N287" s="1546">
        <v>2.1949999999999998</v>
      </c>
      <c r="O287" s="483">
        <v>0</v>
      </c>
      <c r="P287" s="483">
        <v>0</v>
      </c>
      <c r="Q287" s="483">
        <v>1</v>
      </c>
      <c r="R287" s="666">
        <v>46198.752997685187</v>
      </c>
      <c r="S287" s="483">
        <v>1</v>
      </c>
      <c r="T287" s="483">
        <v>1</v>
      </c>
      <c r="V287" t="str">
        <f t="shared" si="13"/>
        <v>m</v>
      </c>
    </row>
    <row r="288" spans="3:22" ht="21.95" customHeight="1">
      <c r="C288" s="483">
        <v>261</v>
      </c>
      <c r="D288" s="483">
        <v>198</v>
      </c>
      <c r="E288" s="483" t="s">
        <v>2579</v>
      </c>
      <c r="F288" s="505" t="s">
        <v>2973</v>
      </c>
      <c r="G288" s="483">
        <v>1</v>
      </c>
      <c r="H288" s="483">
        <v>2</v>
      </c>
      <c r="I288" s="483">
        <v>53</v>
      </c>
      <c r="J288" s="505" t="s">
        <v>2618</v>
      </c>
      <c r="K288" s="505" t="s">
        <v>1507</v>
      </c>
      <c r="L288" s="1485">
        <v>9.48</v>
      </c>
      <c r="M288" s="519">
        <v>10</v>
      </c>
      <c r="N288" s="1546">
        <v>10</v>
      </c>
      <c r="O288" s="483">
        <v>0</v>
      </c>
      <c r="P288" s="483">
        <v>0</v>
      </c>
      <c r="Q288" s="483">
        <v>1</v>
      </c>
      <c r="R288" s="666">
        <v>46198.752997685187</v>
      </c>
      <c r="S288" s="483">
        <v>1</v>
      </c>
      <c r="T288" s="483">
        <v>1</v>
      </c>
      <c r="V288" t="str">
        <f t="shared" si="13"/>
        <v>Unit/4m</v>
      </c>
    </row>
    <row r="289" spans="3:22" ht="21.95" customHeight="1">
      <c r="C289" s="483">
        <v>262</v>
      </c>
      <c r="D289" s="483">
        <v>198</v>
      </c>
      <c r="E289" s="483" t="s">
        <v>2579</v>
      </c>
      <c r="F289" s="505" t="s">
        <v>2973</v>
      </c>
      <c r="G289" s="483">
        <v>1</v>
      </c>
      <c r="H289" s="483">
        <v>2</v>
      </c>
      <c r="I289" s="483">
        <v>16</v>
      </c>
      <c r="J289" s="505" t="s">
        <v>2134</v>
      </c>
      <c r="K289" s="505" t="s">
        <v>1507</v>
      </c>
      <c r="L289" s="1485">
        <v>9.48</v>
      </c>
      <c r="M289" s="519">
        <v>2.5</v>
      </c>
      <c r="N289" s="1546">
        <v>2.5</v>
      </c>
      <c r="O289" s="483">
        <v>0</v>
      </c>
      <c r="P289" s="483">
        <v>0</v>
      </c>
      <c r="Q289" s="483">
        <v>1</v>
      </c>
      <c r="R289" s="666">
        <v>46198.752997685187</v>
      </c>
      <c r="S289" s="483">
        <v>1</v>
      </c>
      <c r="T289" s="483">
        <v>1</v>
      </c>
      <c r="V289" t="str">
        <f t="shared" si="13"/>
        <v>m</v>
      </c>
    </row>
    <row r="290" spans="3:22" ht="21.95" customHeight="1">
      <c r="C290" s="483">
        <v>263</v>
      </c>
      <c r="D290" s="483">
        <v>199</v>
      </c>
      <c r="E290" s="483" t="s">
        <v>2580</v>
      </c>
      <c r="F290" s="505" t="s">
        <v>2974</v>
      </c>
      <c r="G290" s="483">
        <v>1</v>
      </c>
      <c r="H290" s="483">
        <v>2</v>
      </c>
      <c r="I290" s="483">
        <v>53</v>
      </c>
      <c r="J290" s="505" t="s">
        <v>2618</v>
      </c>
      <c r="K290" s="505" t="s">
        <v>1507</v>
      </c>
      <c r="L290" s="1485">
        <v>10.58</v>
      </c>
      <c r="M290" s="519">
        <v>11</v>
      </c>
      <c r="N290" s="1546">
        <v>11</v>
      </c>
      <c r="O290" s="483">
        <v>0</v>
      </c>
      <c r="P290" s="483">
        <v>0</v>
      </c>
      <c r="Q290" s="483">
        <v>1</v>
      </c>
      <c r="R290" s="666">
        <v>46198.752997685187</v>
      </c>
      <c r="S290" s="483">
        <v>1</v>
      </c>
      <c r="T290" s="483">
        <v>1</v>
      </c>
      <c r="V290" t="str">
        <f t="shared" si="13"/>
        <v>Unit/4m</v>
      </c>
    </row>
    <row r="291" spans="3:22" ht="21.95" customHeight="1">
      <c r="C291" s="483">
        <v>264</v>
      </c>
      <c r="D291" s="483">
        <v>199</v>
      </c>
      <c r="E291" s="483" t="s">
        <v>2580</v>
      </c>
      <c r="F291" s="505" t="s">
        <v>2974</v>
      </c>
      <c r="G291" s="483">
        <v>1</v>
      </c>
      <c r="H291" s="483">
        <v>2</v>
      </c>
      <c r="I291" s="483">
        <v>16</v>
      </c>
      <c r="J291" s="505" t="s">
        <v>2134</v>
      </c>
      <c r="K291" s="505" t="s">
        <v>1507</v>
      </c>
      <c r="L291" s="1485">
        <v>10.58</v>
      </c>
      <c r="M291" s="519">
        <v>2.75</v>
      </c>
      <c r="N291" s="1546">
        <v>2.75</v>
      </c>
      <c r="O291" s="483">
        <v>0</v>
      </c>
      <c r="P291" s="483">
        <v>0</v>
      </c>
      <c r="Q291" s="483">
        <v>1</v>
      </c>
      <c r="R291" s="666">
        <v>46198.752997685187</v>
      </c>
      <c r="S291" s="483">
        <v>1</v>
      </c>
      <c r="T291" s="483">
        <v>1</v>
      </c>
      <c r="V291" t="str">
        <f t="shared" si="13"/>
        <v>m</v>
      </c>
    </row>
    <row r="292" spans="3:22" ht="21.95" customHeight="1">
      <c r="C292" s="483">
        <v>265</v>
      </c>
      <c r="D292" s="483">
        <v>200</v>
      </c>
      <c r="E292" s="483" t="s">
        <v>2581</v>
      </c>
      <c r="F292" s="505" t="s">
        <v>2975</v>
      </c>
      <c r="G292" s="483">
        <v>1</v>
      </c>
      <c r="H292" s="483">
        <v>2</v>
      </c>
      <c r="I292" s="483">
        <v>53</v>
      </c>
      <c r="J292" s="505" t="s">
        <v>2618</v>
      </c>
      <c r="K292" s="505" t="s">
        <v>1507</v>
      </c>
      <c r="L292" s="1485">
        <v>11.94</v>
      </c>
      <c r="M292" s="519">
        <v>12.5</v>
      </c>
      <c r="N292" s="1546">
        <v>12.5</v>
      </c>
      <c r="O292" s="483">
        <v>0</v>
      </c>
      <c r="P292" s="483">
        <v>0</v>
      </c>
      <c r="Q292" s="483">
        <v>1</v>
      </c>
      <c r="R292" s="666">
        <v>46198.752997685187</v>
      </c>
      <c r="S292" s="483">
        <v>1</v>
      </c>
      <c r="T292" s="483">
        <v>1</v>
      </c>
      <c r="V292" t="str">
        <f t="shared" si="13"/>
        <v>Unit/4m</v>
      </c>
    </row>
    <row r="293" spans="3:22" ht="21.95" customHeight="1">
      <c r="C293" s="483">
        <v>266</v>
      </c>
      <c r="D293" s="1469">
        <v>200</v>
      </c>
      <c r="E293" s="1469" t="s">
        <v>2581</v>
      </c>
      <c r="F293" s="1470" t="s">
        <v>2975</v>
      </c>
      <c r="G293" s="1469">
        <v>1</v>
      </c>
      <c r="H293" s="1469">
        <v>2</v>
      </c>
      <c r="I293" s="1469">
        <v>16</v>
      </c>
      <c r="J293" s="1470" t="s">
        <v>2134</v>
      </c>
      <c r="K293" s="1470" t="s">
        <v>1507</v>
      </c>
      <c r="L293" s="1490">
        <v>11.94</v>
      </c>
      <c r="M293" s="1491">
        <v>3.125</v>
      </c>
      <c r="N293" s="1547">
        <v>3.125</v>
      </c>
      <c r="O293" s="1469">
        <v>0</v>
      </c>
      <c r="P293" s="1469">
        <v>0</v>
      </c>
      <c r="Q293" s="1469">
        <v>1</v>
      </c>
      <c r="R293" s="1492">
        <v>46198.752997685187</v>
      </c>
      <c r="S293" s="1469">
        <v>1</v>
      </c>
      <c r="T293" s="1469">
        <v>1</v>
      </c>
      <c r="V293" t="str">
        <f t="shared" si="13"/>
        <v>m</v>
      </c>
    </row>
    <row r="294" spans="3:22" ht="21.95" customHeight="1">
      <c r="C294" s="483">
        <v>267</v>
      </c>
      <c r="D294" s="483">
        <v>201</v>
      </c>
      <c r="E294" s="483" t="s">
        <v>3941</v>
      </c>
      <c r="F294" s="505" t="s">
        <v>3774</v>
      </c>
      <c r="G294" s="483">
        <v>1</v>
      </c>
      <c r="H294" s="483">
        <v>2</v>
      </c>
      <c r="I294" s="483">
        <v>2</v>
      </c>
      <c r="J294" s="505" t="s">
        <v>2172</v>
      </c>
      <c r="K294" s="505" t="s">
        <v>1507</v>
      </c>
      <c r="L294" s="1485">
        <v>1</v>
      </c>
      <c r="M294" s="519">
        <v>1.5</v>
      </c>
      <c r="N294" s="1546">
        <v>1.5</v>
      </c>
      <c r="O294" s="483">
        <v>0</v>
      </c>
      <c r="P294" s="483">
        <v>0</v>
      </c>
      <c r="Q294" s="483">
        <v>1</v>
      </c>
      <c r="R294" s="666">
        <v>46255.175497685188</v>
      </c>
      <c r="S294" s="483">
        <v>1</v>
      </c>
      <c r="T294" s="483">
        <v>1</v>
      </c>
      <c r="V294" t="str">
        <f t="shared" si="13"/>
        <v>pcs</v>
      </c>
    </row>
    <row r="295" spans="3:22" ht="21.95" customHeight="1">
      <c r="C295" s="483">
        <v>268</v>
      </c>
      <c r="D295" s="483">
        <v>202</v>
      </c>
      <c r="E295" s="483" t="s">
        <v>3942</v>
      </c>
      <c r="F295" s="505" t="s">
        <v>3775</v>
      </c>
      <c r="G295" s="483">
        <v>1</v>
      </c>
      <c r="H295" s="483">
        <v>2</v>
      </c>
      <c r="I295" s="483">
        <v>2</v>
      </c>
      <c r="J295" s="505" t="s">
        <v>2172</v>
      </c>
      <c r="K295" s="505" t="s">
        <v>1507</v>
      </c>
      <c r="L295" s="1485">
        <v>2</v>
      </c>
      <c r="M295" s="519">
        <v>2.5</v>
      </c>
      <c r="N295" s="1546">
        <v>2.5</v>
      </c>
      <c r="O295" s="483">
        <v>0</v>
      </c>
      <c r="P295" s="483">
        <v>0</v>
      </c>
      <c r="Q295" s="483">
        <v>1</v>
      </c>
      <c r="R295" s="666">
        <v>46255.175497685188</v>
      </c>
      <c r="S295" s="483">
        <v>1</v>
      </c>
      <c r="T295" s="483">
        <v>1</v>
      </c>
      <c r="V295" t="str">
        <f t="shared" si="13"/>
        <v>pcs</v>
      </c>
    </row>
    <row r="296" spans="3:22" ht="21.95" customHeight="1">
      <c r="C296" s="483">
        <v>269</v>
      </c>
      <c r="D296" s="483">
        <v>203</v>
      </c>
      <c r="E296" s="483" t="s">
        <v>3943</v>
      </c>
      <c r="F296" s="505" t="s">
        <v>3776</v>
      </c>
      <c r="G296" s="483">
        <v>1</v>
      </c>
      <c r="H296" s="483">
        <v>2</v>
      </c>
      <c r="I296" s="483">
        <v>49</v>
      </c>
      <c r="J296" s="505" t="s">
        <v>2169</v>
      </c>
      <c r="K296" s="505" t="s">
        <v>1507</v>
      </c>
      <c r="L296" s="1485">
        <v>18</v>
      </c>
      <c r="M296" s="519">
        <v>19</v>
      </c>
      <c r="N296" s="1546">
        <v>19</v>
      </c>
      <c r="O296" s="483">
        <v>0</v>
      </c>
      <c r="P296" s="483">
        <v>0</v>
      </c>
      <c r="Q296" s="483">
        <v>1</v>
      </c>
      <c r="R296" s="666">
        <v>46255.175497685188</v>
      </c>
      <c r="S296" s="483">
        <v>1</v>
      </c>
      <c r="T296" s="483">
        <v>1</v>
      </c>
      <c r="V296" t="str">
        <f t="shared" si="13"/>
        <v>Lots/12pcs</v>
      </c>
    </row>
    <row r="297" spans="3:22" ht="21.95" customHeight="1">
      <c r="C297" s="483">
        <v>270</v>
      </c>
      <c r="D297" s="483">
        <v>203</v>
      </c>
      <c r="E297" s="483" t="s">
        <v>3943</v>
      </c>
      <c r="F297" s="505" t="s">
        <v>3776</v>
      </c>
      <c r="G297" s="483">
        <v>1</v>
      </c>
      <c r="H297" s="483">
        <v>2</v>
      </c>
      <c r="I297" s="483">
        <v>2</v>
      </c>
      <c r="J297" s="505" t="s">
        <v>2172</v>
      </c>
      <c r="K297" s="505" t="s">
        <v>1507</v>
      </c>
      <c r="L297" s="1485">
        <v>1.5</v>
      </c>
      <c r="M297" s="519">
        <v>1.5</v>
      </c>
      <c r="N297" s="1546">
        <v>1.5</v>
      </c>
      <c r="O297" s="483">
        <v>0</v>
      </c>
      <c r="P297" s="483">
        <v>0</v>
      </c>
      <c r="Q297" s="483">
        <v>1</v>
      </c>
      <c r="R297" s="666">
        <v>46255.175497685188</v>
      </c>
      <c r="S297" s="483">
        <v>1</v>
      </c>
      <c r="T297" s="483">
        <v>1</v>
      </c>
      <c r="V297" t="str">
        <f t="shared" si="13"/>
        <v>pcs</v>
      </c>
    </row>
    <row r="298" spans="3:22" ht="21.95" customHeight="1">
      <c r="C298" s="483">
        <v>271</v>
      </c>
      <c r="D298" s="483">
        <v>204</v>
      </c>
      <c r="E298" s="483" t="s">
        <v>3944</v>
      </c>
      <c r="F298" s="505" t="s">
        <v>3777</v>
      </c>
      <c r="G298" s="483">
        <v>1</v>
      </c>
      <c r="H298" s="483">
        <v>2</v>
      </c>
      <c r="I298" s="483">
        <v>2</v>
      </c>
      <c r="J298" s="505" t="s">
        <v>2172</v>
      </c>
      <c r="K298" s="505" t="s">
        <v>1507</v>
      </c>
      <c r="L298" s="1485">
        <v>0.3</v>
      </c>
      <c r="M298" s="519">
        <v>0.65</v>
      </c>
      <c r="N298" s="1546">
        <v>0.65</v>
      </c>
      <c r="O298" s="483">
        <v>0</v>
      </c>
      <c r="P298" s="483">
        <v>0</v>
      </c>
      <c r="Q298" s="483">
        <v>1</v>
      </c>
      <c r="R298" s="666">
        <v>46255.175497685188</v>
      </c>
      <c r="S298" s="483">
        <v>1</v>
      </c>
      <c r="T298" s="483">
        <v>1</v>
      </c>
      <c r="V298" t="str">
        <f t="shared" si="13"/>
        <v>pcs</v>
      </c>
    </row>
    <row r="299" spans="3:22" ht="21.95" customHeight="1">
      <c r="C299" s="483">
        <v>272</v>
      </c>
      <c r="D299" s="483">
        <v>205</v>
      </c>
      <c r="E299" s="483" t="s">
        <v>3945</v>
      </c>
      <c r="F299" s="505" t="s">
        <v>3778</v>
      </c>
      <c r="G299" s="483">
        <v>1</v>
      </c>
      <c r="H299" s="483">
        <v>2</v>
      </c>
      <c r="I299" s="483">
        <v>2</v>
      </c>
      <c r="J299" s="505" t="s">
        <v>2172</v>
      </c>
      <c r="K299" s="505" t="s">
        <v>1507</v>
      </c>
      <c r="L299" s="1485">
        <v>3.5</v>
      </c>
      <c r="M299" s="519">
        <v>4</v>
      </c>
      <c r="N299" s="1546">
        <v>4</v>
      </c>
      <c r="O299" s="483">
        <v>0</v>
      </c>
      <c r="P299" s="483">
        <v>0</v>
      </c>
      <c r="Q299" s="483">
        <v>1</v>
      </c>
      <c r="R299" s="666">
        <v>46255.175497685188</v>
      </c>
      <c r="S299" s="483">
        <v>1</v>
      </c>
      <c r="T299" s="483">
        <v>1</v>
      </c>
      <c r="V299" t="str">
        <f t="shared" si="13"/>
        <v>pcs</v>
      </c>
    </row>
    <row r="300" spans="3:22" ht="21.95" customHeight="1">
      <c r="C300" s="483">
        <v>273</v>
      </c>
      <c r="D300" s="483">
        <v>206</v>
      </c>
      <c r="E300" s="483" t="s">
        <v>3946</v>
      </c>
      <c r="F300" s="505" t="s">
        <v>3779</v>
      </c>
      <c r="G300" s="483">
        <v>1</v>
      </c>
      <c r="H300" s="483">
        <v>2</v>
      </c>
      <c r="I300" s="483">
        <v>2</v>
      </c>
      <c r="J300" s="505" t="s">
        <v>2172</v>
      </c>
      <c r="K300" s="505" t="s">
        <v>1507</v>
      </c>
      <c r="L300" s="1485">
        <v>2.2000000000000002</v>
      </c>
      <c r="M300" s="519">
        <v>3</v>
      </c>
      <c r="N300" s="1546">
        <v>3</v>
      </c>
      <c r="O300" s="483">
        <v>0</v>
      </c>
      <c r="P300" s="483">
        <v>0</v>
      </c>
      <c r="Q300" s="483">
        <v>1</v>
      </c>
      <c r="R300" s="666">
        <v>46255.175497685188</v>
      </c>
      <c r="S300" s="483">
        <v>1</v>
      </c>
      <c r="T300" s="483">
        <v>1</v>
      </c>
      <c r="V300" t="str">
        <f t="shared" si="13"/>
        <v>pcs</v>
      </c>
    </row>
    <row r="301" spans="3:22" ht="21.95" customHeight="1">
      <c r="C301" s="483">
        <v>274</v>
      </c>
      <c r="D301" s="483">
        <v>207</v>
      </c>
      <c r="E301" s="483" t="s">
        <v>3947</v>
      </c>
      <c r="F301" s="505" t="s">
        <v>3780</v>
      </c>
      <c r="G301" s="483">
        <v>1</v>
      </c>
      <c r="H301" s="483">
        <v>2</v>
      </c>
      <c r="I301" s="483">
        <v>2</v>
      </c>
      <c r="J301" s="505" t="s">
        <v>2172</v>
      </c>
      <c r="K301" s="505" t="s">
        <v>1507</v>
      </c>
      <c r="L301" s="1485">
        <v>4</v>
      </c>
      <c r="M301" s="519">
        <v>4.5</v>
      </c>
      <c r="N301" s="1546">
        <v>4.5</v>
      </c>
      <c r="O301" s="483">
        <v>0</v>
      </c>
      <c r="P301" s="483">
        <v>0</v>
      </c>
      <c r="Q301" s="483">
        <v>1</v>
      </c>
      <c r="R301" s="666">
        <v>46255.175497685188</v>
      </c>
      <c r="S301" s="483">
        <v>1</v>
      </c>
      <c r="T301" s="483">
        <v>1</v>
      </c>
      <c r="V301" t="str">
        <f t="shared" si="13"/>
        <v>pcs</v>
      </c>
    </row>
    <row r="302" spans="3:22" ht="21.95" customHeight="1">
      <c r="C302" s="483">
        <v>275</v>
      </c>
      <c r="D302" s="483">
        <v>208</v>
      </c>
      <c r="E302" s="483" t="s">
        <v>3948</v>
      </c>
      <c r="F302" s="505" t="s">
        <v>3781</v>
      </c>
      <c r="G302" s="483">
        <v>1</v>
      </c>
      <c r="H302" s="483">
        <v>2</v>
      </c>
      <c r="I302" s="483">
        <v>2</v>
      </c>
      <c r="J302" s="505" t="s">
        <v>2172</v>
      </c>
      <c r="K302" s="505" t="s">
        <v>1507</v>
      </c>
      <c r="L302" s="1485">
        <v>2</v>
      </c>
      <c r="M302" s="519">
        <v>2.5</v>
      </c>
      <c r="N302" s="1546">
        <v>2.5</v>
      </c>
      <c r="O302" s="483">
        <v>0</v>
      </c>
      <c r="P302" s="483">
        <v>0</v>
      </c>
      <c r="Q302" s="483">
        <v>1</v>
      </c>
      <c r="R302" s="666">
        <v>46255.175497685188</v>
      </c>
      <c r="S302" s="483">
        <v>1</v>
      </c>
      <c r="T302" s="483">
        <v>1</v>
      </c>
      <c r="V302" t="str">
        <f t="shared" si="13"/>
        <v>pcs</v>
      </c>
    </row>
    <row r="303" spans="3:22" ht="21.95" customHeight="1">
      <c r="C303" s="483">
        <v>276</v>
      </c>
      <c r="D303" s="483">
        <v>209</v>
      </c>
      <c r="E303" s="483" t="s">
        <v>3949</v>
      </c>
      <c r="F303" s="505" t="s">
        <v>3782</v>
      </c>
      <c r="G303" s="483">
        <v>1</v>
      </c>
      <c r="H303" s="483">
        <v>2</v>
      </c>
      <c r="I303" s="483">
        <v>69</v>
      </c>
      <c r="J303" s="505" t="s">
        <v>3760</v>
      </c>
      <c r="K303" s="505" t="s">
        <v>1507</v>
      </c>
      <c r="L303" s="1485">
        <v>1.75</v>
      </c>
      <c r="M303" s="519">
        <v>2</v>
      </c>
      <c r="N303" s="1546">
        <v>2</v>
      </c>
      <c r="O303" s="483">
        <v>0</v>
      </c>
      <c r="P303" s="483">
        <v>0</v>
      </c>
      <c r="Q303" s="483">
        <v>1</v>
      </c>
      <c r="R303" s="666">
        <v>46255.175497685188</v>
      </c>
      <c r="S303" s="483">
        <v>1</v>
      </c>
      <c r="T303" s="483">
        <v>1</v>
      </c>
      <c r="V303" t="str">
        <f t="shared" si="13"/>
        <v>Pack/1kg</v>
      </c>
    </row>
    <row r="304" spans="3:22" ht="21.95" customHeight="1">
      <c r="C304" s="483">
        <v>277</v>
      </c>
      <c r="D304" s="483">
        <v>209</v>
      </c>
      <c r="E304" s="483" t="s">
        <v>3949</v>
      </c>
      <c r="F304" s="505" t="s">
        <v>3782</v>
      </c>
      <c r="G304" s="483">
        <v>1</v>
      </c>
      <c r="H304" s="483">
        <v>2</v>
      </c>
      <c r="I304" s="483">
        <v>55</v>
      </c>
      <c r="J304" s="505" t="s">
        <v>3718</v>
      </c>
      <c r="K304" s="505" t="s">
        <v>1507</v>
      </c>
      <c r="L304" s="1485">
        <v>0.17499999999999999</v>
      </c>
      <c r="M304" s="519">
        <v>0.25</v>
      </c>
      <c r="N304" s="1546">
        <v>0.25</v>
      </c>
      <c r="O304" s="483">
        <v>0</v>
      </c>
      <c r="P304" s="483">
        <v>0</v>
      </c>
      <c r="Q304" s="483">
        <v>1</v>
      </c>
      <c r="R304" s="666">
        <v>46255.175497685188</v>
      </c>
      <c r="S304" s="483">
        <v>1</v>
      </c>
      <c r="T304" s="483">
        <v>1</v>
      </c>
      <c r="V304" t="str">
        <f t="shared" si="13"/>
        <v>kham</v>
      </c>
    </row>
    <row r="305" spans="3:22" ht="21.95" customHeight="1">
      <c r="C305" s="483">
        <v>278</v>
      </c>
      <c r="D305" s="483">
        <v>210</v>
      </c>
      <c r="E305" s="483" t="s">
        <v>3950</v>
      </c>
      <c r="F305" s="505" t="s">
        <v>3783</v>
      </c>
      <c r="G305" s="483">
        <v>1</v>
      </c>
      <c r="H305" s="483">
        <v>2</v>
      </c>
      <c r="I305" s="483">
        <v>2</v>
      </c>
      <c r="J305" s="505" t="s">
        <v>2172</v>
      </c>
      <c r="K305" s="505" t="s">
        <v>1507</v>
      </c>
      <c r="L305" s="1485">
        <v>0.12</v>
      </c>
      <c r="M305" s="519">
        <v>0.25</v>
      </c>
      <c r="N305" s="1546">
        <v>0.25</v>
      </c>
      <c r="O305" s="483">
        <v>0</v>
      </c>
      <c r="P305" s="483">
        <v>0</v>
      </c>
      <c r="Q305" s="483">
        <v>1</v>
      </c>
      <c r="R305" s="666">
        <v>46255.175497685188</v>
      </c>
      <c r="S305" s="483">
        <v>1</v>
      </c>
      <c r="T305" s="483">
        <v>1</v>
      </c>
      <c r="V305" t="str">
        <f t="shared" si="13"/>
        <v>pcs</v>
      </c>
    </row>
    <row r="306" spans="3:22" ht="21.95" customHeight="1">
      <c r="C306" s="483">
        <v>279</v>
      </c>
      <c r="D306" s="483">
        <v>211</v>
      </c>
      <c r="E306" s="483" t="s">
        <v>3951</v>
      </c>
      <c r="F306" s="505" t="s">
        <v>3784</v>
      </c>
      <c r="G306" s="483">
        <v>1</v>
      </c>
      <c r="H306" s="483">
        <v>2</v>
      </c>
      <c r="I306" s="483">
        <v>2</v>
      </c>
      <c r="J306" s="505" t="s">
        <v>2172</v>
      </c>
      <c r="K306" s="505" t="s">
        <v>1507</v>
      </c>
      <c r="L306" s="1485">
        <v>0.12</v>
      </c>
      <c r="M306" s="519">
        <v>0.25</v>
      </c>
      <c r="N306" s="1546">
        <v>0.25</v>
      </c>
      <c r="O306" s="483">
        <v>0</v>
      </c>
      <c r="P306" s="483">
        <v>0</v>
      </c>
      <c r="Q306" s="483">
        <v>1</v>
      </c>
      <c r="R306" s="666">
        <v>46255.175497685188</v>
      </c>
      <c r="S306" s="483">
        <v>1</v>
      </c>
      <c r="T306" s="483">
        <v>1</v>
      </c>
      <c r="V306" t="str">
        <f t="shared" si="13"/>
        <v>pcs</v>
      </c>
    </row>
    <row r="307" spans="3:22" ht="21.95" customHeight="1">
      <c r="C307" s="483">
        <v>280</v>
      </c>
      <c r="D307" s="483">
        <v>212</v>
      </c>
      <c r="E307" s="483" t="s">
        <v>3952</v>
      </c>
      <c r="F307" s="505" t="s">
        <v>3785</v>
      </c>
      <c r="G307" s="483">
        <v>1</v>
      </c>
      <c r="H307" s="483">
        <v>2</v>
      </c>
      <c r="I307" s="483">
        <v>2</v>
      </c>
      <c r="J307" s="505" t="s">
        <v>2172</v>
      </c>
      <c r="K307" s="505" t="s">
        <v>1507</v>
      </c>
      <c r="L307" s="1485">
        <v>0.9</v>
      </c>
      <c r="M307" s="519">
        <v>1.25</v>
      </c>
      <c r="N307" s="1546">
        <v>1.25</v>
      </c>
      <c r="O307" s="483">
        <v>0</v>
      </c>
      <c r="P307" s="483">
        <v>0</v>
      </c>
      <c r="Q307" s="483">
        <v>1</v>
      </c>
      <c r="R307" s="666">
        <v>46255.175497685188</v>
      </c>
      <c r="S307" s="483">
        <v>1</v>
      </c>
      <c r="T307" s="483">
        <v>1</v>
      </c>
      <c r="V307" t="str">
        <f t="shared" si="13"/>
        <v>pcs</v>
      </c>
    </row>
    <row r="308" spans="3:22" ht="21.95" customHeight="1">
      <c r="C308" s="483">
        <v>281</v>
      </c>
      <c r="D308" s="483">
        <v>213</v>
      </c>
      <c r="E308" s="483" t="s">
        <v>3953</v>
      </c>
      <c r="F308" s="505" t="s">
        <v>3786</v>
      </c>
      <c r="G308" s="483">
        <v>1</v>
      </c>
      <c r="H308" s="483">
        <v>2</v>
      </c>
      <c r="I308" s="483">
        <v>8</v>
      </c>
      <c r="J308" s="505" t="s">
        <v>2132</v>
      </c>
      <c r="K308" s="505" t="s">
        <v>1507</v>
      </c>
      <c r="L308" s="1485">
        <v>0.25</v>
      </c>
      <c r="M308" s="519">
        <v>0.5</v>
      </c>
      <c r="N308" s="1546">
        <v>0.5</v>
      </c>
      <c r="O308" s="483">
        <v>0</v>
      </c>
      <c r="P308" s="483">
        <v>0</v>
      </c>
      <c r="Q308" s="483">
        <v>1</v>
      </c>
      <c r="R308" s="666">
        <v>46255.175497685188</v>
      </c>
      <c r="S308" s="483">
        <v>1</v>
      </c>
      <c r="T308" s="483">
        <v>1</v>
      </c>
      <c r="V308" t="str">
        <f t="shared" si="13"/>
        <v>Pair</v>
      </c>
    </row>
    <row r="309" spans="3:22" ht="21.95" customHeight="1">
      <c r="C309" s="483">
        <v>282</v>
      </c>
      <c r="D309" s="483">
        <v>214</v>
      </c>
      <c r="E309" s="483" t="s">
        <v>3954</v>
      </c>
      <c r="F309" s="505" t="s">
        <v>3787</v>
      </c>
      <c r="G309" s="483">
        <v>1</v>
      </c>
      <c r="H309" s="483">
        <v>2</v>
      </c>
      <c r="I309" s="483">
        <v>8</v>
      </c>
      <c r="J309" s="505" t="s">
        <v>2132</v>
      </c>
      <c r="K309" s="505" t="s">
        <v>1507</v>
      </c>
      <c r="L309" s="1485">
        <v>0.35</v>
      </c>
      <c r="M309" s="519">
        <v>0.625</v>
      </c>
      <c r="N309" s="1546">
        <v>0.625</v>
      </c>
      <c r="O309" s="483">
        <v>0</v>
      </c>
      <c r="P309" s="483">
        <v>0</v>
      </c>
      <c r="Q309" s="483">
        <v>1</v>
      </c>
      <c r="R309" s="666">
        <v>46255.175497685188</v>
      </c>
      <c r="S309" s="483">
        <v>1</v>
      </c>
      <c r="T309" s="483">
        <v>1</v>
      </c>
      <c r="V309" t="str">
        <f t="shared" si="13"/>
        <v>Pair</v>
      </c>
    </row>
    <row r="310" spans="3:22" ht="21.95" customHeight="1">
      <c r="C310" s="483">
        <v>283</v>
      </c>
      <c r="D310" s="483">
        <v>215</v>
      </c>
      <c r="E310" s="483" t="s">
        <v>3955</v>
      </c>
      <c r="F310" s="505" t="s">
        <v>3788</v>
      </c>
      <c r="G310" s="483">
        <v>1</v>
      </c>
      <c r="H310" s="483">
        <v>2</v>
      </c>
      <c r="I310" s="483">
        <v>8</v>
      </c>
      <c r="J310" s="505" t="s">
        <v>2132</v>
      </c>
      <c r="K310" s="505" t="s">
        <v>1507</v>
      </c>
      <c r="L310" s="1485">
        <v>2</v>
      </c>
      <c r="M310" s="519">
        <v>2.5</v>
      </c>
      <c r="N310" s="1546">
        <v>2.5</v>
      </c>
      <c r="O310" s="483">
        <v>0</v>
      </c>
      <c r="P310" s="483">
        <v>0</v>
      </c>
      <c r="Q310" s="483">
        <v>1</v>
      </c>
      <c r="R310" s="666">
        <v>46255.175497685188</v>
      </c>
      <c r="S310" s="483">
        <v>1</v>
      </c>
      <c r="T310" s="483">
        <v>1</v>
      </c>
      <c r="V310" t="str">
        <f t="shared" si="13"/>
        <v>Pair</v>
      </c>
    </row>
    <row r="311" spans="3:22" ht="21.95" customHeight="1">
      <c r="C311" s="483">
        <v>284</v>
      </c>
      <c r="D311" s="483">
        <v>216</v>
      </c>
      <c r="E311" s="483" t="s">
        <v>3956</v>
      </c>
      <c r="F311" s="505" t="s">
        <v>3789</v>
      </c>
      <c r="G311" s="483">
        <v>1</v>
      </c>
      <c r="H311" s="483">
        <v>2</v>
      </c>
      <c r="I311" s="483">
        <v>65</v>
      </c>
      <c r="J311" s="505" t="s">
        <v>3748</v>
      </c>
      <c r="K311" s="505" t="s">
        <v>1507</v>
      </c>
      <c r="L311" s="1485">
        <v>4.5</v>
      </c>
      <c r="M311" s="519">
        <v>5</v>
      </c>
      <c r="N311" s="1546">
        <v>5</v>
      </c>
      <c r="O311" s="483">
        <v>0</v>
      </c>
      <c r="P311" s="483">
        <v>0</v>
      </c>
      <c r="Q311" s="483">
        <v>1</v>
      </c>
      <c r="R311" s="666">
        <v>46255.175497685188</v>
      </c>
      <c r="S311" s="483">
        <v>1</v>
      </c>
      <c r="T311" s="483">
        <v>1</v>
      </c>
      <c r="V311" t="str">
        <f t="shared" si="13"/>
        <v>Coil/30m</v>
      </c>
    </row>
    <row r="312" spans="3:22" ht="21.95" customHeight="1">
      <c r="C312" s="483">
        <v>285</v>
      </c>
      <c r="D312" s="483">
        <v>216</v>
      </c>
      <c r="E312" s="483" t="s">
        <v>3956</v>
      </c>
      <c r="F312" s="505" t="s">
        <v>3789</v>
      </c>
      <c r="G312" s="483">
        <v>1</v>
      </c>
      <c r="H312" s="483">
        <v>2</v>
      </c>
      <c r="I312" s="483">
        <v>16</v>
      </c>
      <c r="J312" s="505" t="s">
        <v>2134</v>
      </c>
      <c r="K312" s="505" t="s">
        <v>1507</v>
      </c>
      <c r="L312" s="1485">
        <v>0.15</v>
      </c>
      <c r="M312" s="519">
        <v>0.25</v>
      </c>
      <c r="N312" s="1546">
        <v>0.25</v>
      </c>
      <c r="O312" s="483">
        <v>0</v>
      </c>
      <c r="P312" s="483">
        <v>0</v>
      </c>
      <c r="Q312" s="483">
        <v>1</v>
      </c>
      <c r="R312" s="666">
        <v>46255.175497685188</v>
      </c>
      <c r="S312" s="483">
        <v>1</v>
      </c>
      <c r="T312" s="483">
        <v>1</v>
      </c>
      <c r="V312" t="str">
        <f t="shared" si="13"/>
        <v>m</v>
      </c>
    </row>
    <row r="313" spans="3:22" ht="21.95" customHeight="1">
      <c r="C313" s="483">
        <v>286</v>
      </c>
      <c r="D313" s="483">
        <v>217</v>
      </c>
      <c r="E313" s="483" t="s">
        <v>3957</v>
      </c>
      <c r="F313" s="505" t="s">
        <v>3790</v>
      </c>
      <c r="G313" s="483">
        <v>1</v>
      </c>
      <c r="H313" s="483">
        <v>2</v>
      </c>
      <c r="I313" s="483">
        <v>49</v>
      </c>
      <c r="J313" s="505" t="s">
        <v>2169</v>
      </c>
      <c r="K313" s="505" t="s">
        <v>1507</v>
      </c>
      <c r="L313" s="1485">
        <v>6.5</v>
      </c>
      <c r="M313" s="519">
        <v>7</v>
      </c>
      <c r="N313" s="1546">
        <v>7</v>
      </c>
      <c r="O313" s="483">
        <v>0</v>
      </c>
      <c r="P313" s="483">
        <v>0</v>
      </c>
      <c r="Q313" s="483">
        <v>1</v>
      </c>
      <c r="R313" s="666">
        <v>46255.175497685188</v>
      </c>
      <c r="S313" s="483">
        <v>1</v>
      </c>
      <c r="T313" s="483">
        <v>1</v>
      </c>
      <c r="V313" t="str">
        <f t="shared" si="13"/>
        <v>Lots/12pcs</v>
      </c>
    </row>
    <row r="314" spans="3:22" ht="21.95" customHeight="1">
      <c r="C314" s="483">
        <v>287</v>
      </c>
      <c r="D314" s="483">
        <v>217</v>
      </c>
      <c r="E314" s="483" t="s">
        <v>3957</v>
      </c>
      <c r="F314" s="505" t="s">
        <v>3790</v>
      </c>
      <c r="G314" s="483">
        <v>1</v>
      </c>
      <c r="H314" s="483">
        <v>2</v>
      </c>
      <c r="I314" s="483">
        <v>2</v>
      </c>
      <c r="J314" s="505" t="s">
        <v>2172</v>
      </c>
      <c r="K314" s="505" t="s">
        <v>1507</v>
      </c>
      <c r="L314" s="1485">
        <v>0.54166666666666663</v>
      </c>
      <c r="M314" s="519">
        <v>0.88</v>
      </c>
      <c r="N314" s="1546">
        <v>0.88</v>
      </c>
      <c r="O314" s="483">
        <v>0</v>
      </c>
      <c r="P314" s="483">
        <v>0</v>
      </c>
      <c r="Q314" s="483">
        <v>1</v>
      </c>
      <c r="R314" s="666">
        <v>46255.175497685188</v>
      </c>
      <c r="S314" s="483">
        <v>1</v>
      </c>
      <c r="T314" s="483">
        <v>1</v>
      </c>
      <c r="V314" t="str">
        <f t="shared" si="13"/>
        <v>pcs</v>
      </c>
    </row>
    <row r="315" spans="3:22" ht="21.95" customHeight="1">
      <c r="C315" s="483">
        <v>288</v>
      </c>
      <c r="D315" s="483">
        <v>218</v>
      </c>
      <c r="E315" s="483" t="s">
        <v>3958</v>
      </c>
      <c r="F315" s="505" t="s">
        <v>3791</v>
      </c>
      <c r="G315" s="483">
        <v>1</v>
      </c>
      <c r="H315" s="483">
        <v>2</v>
      </c>
      <c r="I315" s="483">
        <v>2</v>
      </c>
      <c r="J315" s="505" t="s">
        <v>2172</v>
      </c>
      <c r="K315" s="505" t="s">
        <v>1507</v>
      </c>
      <c r="L315" s="1485">
        <v>3.5</v>
      </c>
      <c r="M315" s="519">
        <v>4</v>
      </c>
      <c r="N315" s="1546">
        <v>4</v>
      </c>
      <c r="O315" s="483">
        <v>0</v>
      </c>
      <c r="P315" s="483">
        <v>0</v>
      </c>
      <c r="Q315" s="483">
        <v>1</v>
      </c>
      <c r="R315" s="666">
        <v>46255.175497685188</v>
      </c>
      <c r="S315" s="483">
        <v>1</v>
      </c>
      <c r="T315" s="483">
        <v>1</v>
      </c>
      <c r="V315" t="str">
        <f t="shared" si="13"/>
        <v>pcs</v>
      </c>
    </row>
    <row r="316" spans="3:22" ht="21.95" customHeight="1">
      <c r="C316" s="483">
        <v>289</v>
      </c>
      <c r="D316" s="483">
        <v>219</v>
      </c>
      <c r="E316" s="483" t="s">
        <v>3959</v>
      </c>
      <c r="F316" s="505" t="s">
        <v>3792</v>
      </c>
      <c r="G316" s="483">
        <v>1</v>
      </c>
      <c r="H316" s="483">
        <v>2</v>
      </c>
      <c r="I316" s="483">
        <v>57</v>
      </c>
      <c r="J316" s="505" t="s">
        <v>3724</v>
      </c>
      <c r="K316" s="505" t="s">
        <v>1507</v>
      </c>
      <c r="L316" s="1485">
        <v>11</v>
      </c>
      <c r="M316" s="519">
        <v>13</v>
      </c>
      <c r="N316" s="1546">
        <v>13</v>
      </c>
      <c r="O316" s="483">
        <v>0</v>
      </c>
      <c r="P316" s="483">
        <v>0</v>
      </c>
      <c r="Q316" s="483">
        <v>1</v>
      </c>
      <c r="R316" s="666">
        <v>46255.175497685188</v>
      </c>
      <c r="S316" s="483">
        <v>1</v>
      </c>
      <c r="T316" s="483">
        <v>1</v>
      </c>
      <c r="V316" t="str">
        <f t="shared" si="13"/>
        <v>Be/50pcs</v>
      </c>
    </row>
    <row r="317" spans="3:22" ht="21.95" customHeight="1">
      <c r="C317" s="483">
        <v>290</v>
      </c>
      <c r="D317" s="483">
        <v>219</v>
      </c>
      <c r="E317" s="483" t="s">
        <v>3959</v>
      </c>
      <c r="F317" s="505" t="s">
        <v>3792</v>
      </c>
      <c r="G317" s="483">
        <v>1</v>
      </c>
      <c r="H317" s="483">
        <v>2</v>
      </c>
      <c r="I317" s="483">
        <v>2</v>
      </c>
      <c r="J317" s="505" t="s">
        <v>2172</v>
      </c>
      <c r="K317" s="505" t="s">
        <v>1507</v>
      </c>
      <c r="L317" s="1485">
        <v>0.22</v>
      </c>
      <c r="M317" s="519">
        <v>0.17</v>
      </c>
      <c r="N317" s="1546">
        <v>0.17</v>
      </c>
      <c r="O317" s="483">
        <v>0</v>
      </c>
      <c r="P317" s="483">
        <v>0</v>
      </c>
      <c r="Q317" s="483">
        <v>1</v>
      </c>
      <c r="R317" s="666">
        <v>46255.175497685188</v>
      </c>
      <c r="S317" s="483">
        <v>1</v>
      </c>
      <c r="T317" s="483">
        <v>1</v>
      </c>
      <c r="V317" t="str">
        <f t="shared" si="13"/>
        <v>pcs</v>
      </c>
    </row>
    <row r="318" spans="3:22" ht="21.95" customHeight="1">
      <c r="C318" s="483">
        <v>291</v>
      </c>
      <c r="D318" s="483">
        <v>220</v>
      </c>
      <c r="E318" s="483" t="s">
        <v>3960</v>
      </c>
      <c r="F318" s="505" t="s">
        <v>3793</v>
      </c>
      <c r="G318" s="483">
        <v>1</v>
      </c>
      <c r="H318" s="483">
        <v>2</v>
      </c>
      <c r="I318" s="483">
        <v>26</v>
      </c>
      <c r="J318" s="505" t="s">
        <v>2164</v>
      </c>
      <c r="K318" s="505" t="s">
        <v>1507</v>
      </c>
      <c r="L318" s="1485">
        <v>34</v>
      </c>
      <c r="M318" s="519">
        <v>35</v>
      </c>
      <c r="N318" s="1546">
        <v>35</v>
      </c>
      <c r="O318" s="483">
        <v>0</v>
      </c>
      <c r="P318" s="483">
        <v>0</v>
      </c>
      <c r="Q318" s="483">
        <v>1</v>
      </c>
      <c r="R318" s="666">
        <v>46255.175497685188</v>
      </c>
      <c r="S318" s="483">
        <v>1</v>
      </c>
      <c r="T318" s="483">
        <v>1</v>
      </c>
      <c r="V318" t="str">
        <f t="shared" si="13"/>
        <v>Box/12pcs</v>
      </c>
    </row>
    <row r="319" spans="3:22" ht="21.95" customHeight="1">
      <c r="C319" s="483">
        <v>292</v>
      </c>
      <c r="D319" s="483">
        <v>220</v>
      </c>
      <c r="E319" s="483" t="s">
        <v>3960</v>
      </c>
      <c r="F319" s="505" t="s">
        <v>3793</v>
      </c>
      <c r="G319" s="483">
        <v>1</v>
      </c>
      <c r="H319" s="483">
        <v>2</v>
      </c>
      <c r="I319" s="483">
        <v>2</v>
      </c>
      <c r="J319" s="505" t="s">
        <v>2172</v>
      </c>
      <c r="K319" s="505" t="s">
        <v>1507</v>
      </c>
      <c r="L319" s="1485">
        <v>2.8333333333333335</v>
      </c>
      <c r="M319" s="519">
        <v>5</v>
      </c>
      <c r="N319" s="1546">
        <v>5</v>
      </c>
      <c r="O319" s="483">
        <v>0</v>
      </c>
      <c r="P319" s="483">
        <v>0</v>
      </c>
      <c r="Q319" s="483">
        <v>1</v>
      </c>
      <c r="R319" s="666">
        <v>46255.175497685188</v>
      </c>
      <c r="S319" s="483">
        <v>1</v>
      </c>
      <c r="T319" s="483">
        <v>1</v>
      </c>
      <c r="V319" t="str">
        <f t="shared" si="13"/>
        <v>pcs</v>
      </c>
    </row>
    <row r="320" spans="3:22" ht="21.95" customHeight="1">
      <c r="C320" s="483">
        <v>293</v>
      </c>
      <c r="D320" s="483">
        <v>221</v>
      </c>
      <c r="E320" s="483" t="s">
        <v>3961</v>
      </c>
      <c r="F320" s="505" t="s">
        <v>3794</v>
      </c>
      <c r="G320" s="483">
        <v>1</v>
      </c>
      <c r="H320" s="483">
        <v>2</v>
      </c>
      <c r="I320" s="483">
        <v>62</v>
      </c>
      <c r="J320" s="505" t="s">
        <v>3739</v>
      </c>
      <c r="K320" s="505" t="s">
        <v>1507</v>
      </c>
      <c r="L320" s="1485">
        <v>120</v>
      </c>
      <c r="M320" s="519">
        <v>135</v>
      </c>
      <c r="N320" s="1546">
        <v>135</v>
      </c>
      <c r="O320" s="483">
        <v>0</v>
      </c>
      <c r="P320" s="483">
        <v>0</v>
      </c>
      <c r="Q320" s="483">
        <v>1</v>
      </c>
      <c r="R320" s="666">
        <v>46255.175497685188</v>
      </c>
      <c r="S320" s="483">
        <v>1</v>
      </c>
      <c r="T320" s="483">
        <v>1</v>
      </c>
      <c r="V320" t="str">
        <f t="shared" si="13"/>
        <v>Case/80pcs</v>
      </c>
    </row>
    <row r="321" spans="3:22" ht="21.95" customHeight="1">
      <c r="C321" s="483">
        <v>294</v>
      </c>
      <c r="D321" s="483">
        <v>221</v>
      </c>
      <c r="E321" s="483" t="s">
        <v>3961</v>
      </c>
      <c r="F321" s="505" t="s">
        <v>3794</v>
      </c>
      <c r="G321" s="483">
        <v>1</v>
      </c>
      <c r="H321" s="483">
        <v>2</v>
      </c>
      <c r="I321" s="483">
        <v>2</v>
      </c>
      <c r="J321" s="505" t="s">
        <v>2172</v>
      </c>
      <c r="K321" s="505" t="s">
        <v>1507</v>
      </c>
      <c r="L321" s="1485">
        <v>1.5</v>
      </c>
      <c r="M321" s="519">
        <v>0.5</v>
      </c>
      <c r="N321" s="1546">
        <v>0.5</v>
      </c>
      <c r="O321" s="483">
        <v>0</v>
      </c>
      <c r="P321" s="483">
        <v>0</v>
      </c>
      <c r="Q321" s="483">
        <v>1</v>
      </c>
      <c r="R321" s="666">
        <v>46255.175497685188</v>
      </c>
      <c r="S321" s="483">
        <v>1</v>
      </c>
      <c r="T321" s="483">
        <v>1</v>
      </c>
      <c r="V321" t="str">
        <f t="shared" si="13"/>
        <v>pcs</v>
      </c>
    </row>
    <row r="322" spans="3:22" ht="21.95" customHeight="1">
      <c r="C322" s="483">
        <v>295</v>
      </c>
      <c r="D322" s="483">
        <v>222</v>
      </c>
      <c r="E322" s="483" t="s">
        <v>3962</v>
      </c>
      <c r="F322" s="505" t="s">
        <v>3795</v>
      </c>
      <c r="G322" s="483">
        <v>1</v>
      </c>
      <c r="H322" s="483">
        <v>2</v>
      </c>
      <c r="I322" s="483">
        <v>60</v>
      </c>
      <c r="J322" s="505" t="s">
        <v>3733</v>
      </c>
      <c r="K322" s="505" t="s">
        <v>1507</v>
      </c>
      <c r="L322" s="1485">
        <v>45</v>
      </c>
      <c r="M322" s="519">
        <v>46</v>
      </c>
      <c r="N322" s="1546">
        <v>46</v>
      </c>
      <c r="O322" s="483">
        <v>0</v>
      </c>
      <c r="P322" s="483">
        <v>0</v>
      </c>
      <c r="Q322" s="483">
        <v>1</v>
      </c>
      <c r="R322" s="666">
        <v>46255.175497685188</v>
      </c>
      <c r="S322" s="483">
        <v>1</v>
      </c>
      <c r="T322" s="483">
        <v>1</v>
      </c>
      <c r="V322" t="str">
        <f t="shared" si="13"/>
        <v>Case/30pcs</v>
      </c>
    </row>
    <row r="323" spans="3:22" ht="21.95" customHeight="1">
      <c r="C323" s="483">
        <v>296</v>
      </c>
      <c r="D323" s="483">
        <v>222</v>
      </c>
      <c r="E323" s="483" t="s">
        <v>3962</v>
      </c>
      <c r="F323" s="505" t="s">
        <v>3795</v>
      </c>
      <c r="G323" s="483">
        <v>1</v>
      </c>
      <c r="H323" s="483">
        <v>2</v>
      </c>
      <c r="I323" s="483">
        <v>2</v>
      </c>
      <c r="J323" s="505" t="s">
        <v>2172</v>
      </c>
      <c r="K323" s="505" t="s">
        <v>1507</v>
      </c>
      <c r="L323" s="1485">
        <v>1.5</v>
      </c>
      <c r="M323" s="519">
        <v>2.5</v>
      </c>
      <c r="N323" s="1546">
        <v>2.5</v>
      </c>
      <c r="O323" s="483">
        <v>0</v>
      </c>
      <c r="P323" s="483">
        <v>0</v>
      </c>
      <c r="Q323" s="483">
        <v>1</v>
      </c>
      <c r="R323" s="666">
        <v>46255.175497685188</v>
      </c>
      <c r="S323" s="483">
        <v>1</v>
      </c>
      <c r="T323" s="483">
        <v>1</v>
      </c>
      <c r="V323" t="str">
        <f t="shared" si="13"/>
        <v>pcs</v>
      </c>
    </row>
    <row r="324" spans="3:22" ht="21.95" customHeight="1">
      <c r="C324" s="483">
        <v>297</v>
      </c>
      <c r="D324" s="483">
        <v>223</v>
      </c>
      <c r="E324" s="483" t="s">
        <v>3963</v>
      </c>
      <c r="F324" s="505" t="s">
        <v>3796</v>
      </c>
      <c r="G324" s="483">
        <v>1</v>
      </c>
      <c r="H324" s="483">
        <v>2</v>
      </c>
      <c r="I324" s="483">
        <v>2</v>
      </c>
      <c r="J324" s="505" t="s">
        <v>2172</v>
      </c>
      <c r="K324" s="505" t="s">
        <v>1507</v>
      </c>
      <c r="L324" s="1485">
        <v>3.3</v>
      </c>
      <c r="M324" s="519">
        <v>5</v>
      </c>
      <c r="N324" s="1546">
        <v>5</v>
      </c>
      <c r="O324" s="483">
        <v>0</v>
      </c>
      <c r="P324" s="483">
        <v>0</v>
      </c>
      <c r="Q324" s="483">
        <v>1</v>
      </c>
      <c r="R324" s="666">
        <v>46255.175497685188</v>
      </c>
      <c r="S324" s="483">
        <v>1</v>
      </c>
      <c r="T324" s="483">
        <v>1</v>
      </c>
      <c r="V324" t="str">
        <f t="shared" si="13"/>
        <v>pcs</v>
      </c>
    </row>
    <row r="325" spans="3:22" ht="21.95" customHeight="1">
      <c r="C325" s="483">
        <v>298</v>
      </c>
      <c r="D325" s="483">
        <v>224</v>
      </c>
      <c r="E325" s="483" t="s">
        <v>3964</v>
      </c>
      <c r="F325" s="505" t="s">
        <v>3797</v>
      </c>
      <c r="G325" s="483">
        <v>1</v>
      </c>
      <c r="H325" s="483">
        <v>2</v>
      </c>
      <c r="I325" s="483">
        <v>2</v>
      </c>
      <c r="J325" s="505" t="s">
        <v>2172</v>
      </c>
      <c r="K325" s="505" t="s">
        <v>1507</v>
      </c>
      <c r="L325" s="1485">
        <v>1.5</v>
      </c>
      <c r="M325" s="519">
        <v>2</v>
      </c>
      <c r="N325" s="1546">
        <v>2</v>
      </c>
      <c r="O325" s="483">
        <v>0</v>
      </c>
      <c r="P325" s="483">
        <v>0</v>
      </c>
      <c r="Q325" s="483">
        <v>1</v>
      </c>
      <c r="R325" s="666">
        <v>46255.175497685188</v>
      </c>
      <c r="S325" s="483">
        <v>1</v>
      </c>
      <c r="T325" s="483">
        <v>1</v>
      </c>
      <c r="V325" t="str">
        <f t="shared" si="13"/>
        <v>pcs</v>
      </c>
    </row>
    <row r="326" spans="3:22" ht="21.95" customHeight="1">
      <c r="C326" s="483">
        <v>299</v>
      </c>
      <c r="D326" s="483">
        <v>225</v>
      </c>
      <c r="E326" s="483" t="s">
        <v>3965</v>
      </c>
      <c r="F326" s="505" t="s">
        <v>3798</v>
      </c>
      <c r="G326" s="483">
        <v>1</v>
      </c>
      <c r="H326" s="483">
        <v>2</v>
      </c>
      <c r="I326" s="483">
        <v>69</v>
      </c>
      <c r="J326" s="505" t="s">
        <v>3760</v>
      </c>
      <c r="K326" s="505" t="s">
        <v>1507</v>
      </c>
      <c r="L326" s="1485">
        <v>3.5</v>
      </c>
      <c r="M326" s="519">
        <v>4.5</v>
      </c>
      <c r="N326" s="1546">
        <v>4.5</v>
      </c>
      <c r="O326" s="483">
        <v>0</v>
      </c>
      <c r="P326" s="483">
        <v>0</v>
      </c>
      <c r="Q326" s="483">
        <v>1</v>
      </c>
      <c r="R326" s="666">
        <v>46255.175497685188</v>
      </c>
      <c r="S326" s="483">
        <v>1</v>
      </c>
      <c r="T326" s="483">
        <v>1</v>
      </c>
      <c r="V326" t="str">
        <f t="shared" si="13"/>
        <v>Pack/1kg</v>
      </c>
    </row>
    <row r="327" spans="3:22" ht="21.95" customHeight="1">
      <c r="C327" s="483">
        <v>300</v>
      </c>
      <c r="D327" s="483">
        <v>225</v>
      </c>
      <c r="E327" s="483" t="s">
        <v>3965</v>
      </c>
      <c r="F327" s="505" t="s">
        <v>3798</v>
      </c>
      <c r="G327" s="483">
        <v>1</v>
      </c>
      <c r="H327" s="483">
        <v>2</v>
      </c>
      <c r="I327" s="483">
        <v>55</v>
      </c>
      <c r="J327" s="505" t="s">
        <v>3718</v>
      </c>
      <c r="K327" s="505" t="s">
        <v>1507</v>
      </c>
      <c r="L327" s="1485">
        <v>0.35</v>
      </c>
      <c r="M327" s="519">
        <v>0.5</v>
      </c>
      <c r="N327" s="1546">
        <v>0.5</v>
      </c>
      <c r="O327" s="483">
        <v>0</v>
      </c>
      <c r="P327" s="483">
        <v>0</v>
      </c>
      <c r="Q327" s="483">
        <v>1</v>
      </c>
      <c r="R327" s="666">
        <v>46255.175497685188</v>
      </c>
      <c r="S327" s="483">
        <v>1</v>
      </c>
      <c r="T327" s="483">
        <v>1</v>
      </c>
      <c r="V327" t="str">
        <f t="shared" si="13"/>
        <v>kham</v>
      </c>
    </row>
    <row r="328" spans="3:22" ht="21.95" customHeight="1">
      <c r="C328" s="483">
        <v>301</v>
      </c>
      <c r="D328" s="483">
        <v>226</v>
      </c>
      <c r="E328" s="483" t="s">
        <v>3966</v>
      </c>
      <c r="F328" s="505" t="s">
        <v>3799</v>
      </c>
      <c r="G328" s="483">
        <v>1</v>
      </c>
      <c r="H328" s="483">
        <v>2</v>
      </c>
      <c r="I328" s="483">
        <v>69</v>
      </c>
      <c r="J328" s="505" t="s">
        <v>3760</v>
      </c>
      <c r="K328" s="505" t="s">
        <v>1507</v>
      </c>
      <c r="L328" s="1485">
        <v>3.5</v>
      </c>
      <c r="M328" s="519">
        <v>4.5</v>
      </c>
      <c r="N328" s="1546">
        <v>4.5</v>
      </c>
      <c r="O328" s="483">
        <v>0</v>
      </c>
      <c r="P328" s="483">
        <v>0</v>
      </c>
      <c r="Q328" s="483">
        <v>1</v>
      </c>
      <c r="R328" s="666">
        <v>46255.175497685188</v>
      </c>
      <c r="S328" s="483">
        <v>1</v>
      </c>
      <c r="T328" s="483">
        <v>1</v>
      </c>
      <c r="V328" t="str">
        <f t="shared" si="13"/>
        <v>Pack/1kg</v>
      </c>
    </row>
    <row r="329" spans="3:22" ht="21.95" customHeight="1">
      <c r="C329" s="483">
        <v>302</v>
      </c>
      <c r="D329" s="483">
        <v>226</v>
      </c>
      <c r="E329" s="483" t="s">
        <v>3966</v>
      </c>
      <c r="F329" s="505" t="s">
        <v>3799</v>
      </c>
      <c r="G329" s="483">
        <v>1</v>
      </c>
      <c r="H329" s="483">
        <v>2</v>
      </c>
      <c r="I329" s="483">
        <v>55</v>
      </c>
      <c r="J329" s="505" t="s">
        <v>3718</v>
      </c>
      <c r="K329" s="505" t="s">
        <v>1507</v>
      </c>
      <c r="L329" s="1485">
        <v>0.35</v>
      </c>
      <c r="M329" s="519">
        <v>0.5</v>
      </c>
      <c r="N329" s="1546">
        <v>0.5</v>
      </c>
      <c r="O329" s="483">
        <v>0</v>
      </c>
      <c r="P329" s="483">
        <v>0</v>
      </c>
      <c r="Q329" s="483">
        <v>1</v>
      </c>
      <c r="R329" s="666">
        <v>46255.175497685188</v>
      </c>
      <c r="S329" s="483">
        <v>1</v>
      </c>
      <c r="T329" s="483">
        <v>1</v>
      </c>
      <c r="V329" t="str">
        <f t="shared" si="13"/>
        <v>kham</v>
      </c>
    </row>
    <row r="330" spans="3:22" ht="21.95" customHeight="1">
      <c r="C330" s="483">
        <v>303</v>
      </c>
      <c r="D330" s="483">
        <v>227</v>
      </c>
      <c r="E330" s="483" t="s">
        <v>3967</v>
      </c>
      <c r="F330" s="505" t="s">
        <v>3800</v>
      </c>
      <c r="G330" s="483">
        <v>1</v>
      </c>
      <c r="H330" s="483">
        <v>2</v>
      </c>
      <c r="I330" s="483">
        <v>69</v>
      </c>
      <c r="J330" s="505" t="s">
        <v>3760</v>
      </c>
      <c r="K330" s="505" t="s">
        <v>1507</v>
      </c>
      <c r="L330" s="1485">
        <v>4</v>
      </c>
      <c r="M330" s="519">
        <v>5</v>
      </c>
      <c r="N330" s="1546">
        <v>5</v>
      </c>
      <c r="O330" s="483">
        <v>0</v>
      </c>
      <c r="P330" s="483">
        <v>0</v>
      </c>
      <c r="Q330" s="483">
        <v>1</v>
      </c>
      <c r="R330" s="666">
        <v>46255.175497685188</v>
      </c>
      <c r="S330" s="483">
        <v>1</v>
      </c>
      <c r="T330" s="483">
        <v>1</v>
      </c>
      <c r="V330" t="str">
        <f t="shared" si="13"/>
        <v>Pack/1kg</v>
      </c>
    </row>
    <row r="331" spans="3:22" ht="21.95" customHeight="1">
      <c r="C331" s="483">
        <v>304</v>
      </c>
      <c r="D331" s="483">
        <v>227</v>
      </c>
      <c r="E331" s="483" t="s">
        <v>3967</v>
      </c>
      <c r="F331" s="505" t="s">
        <v>3800</v>
      </c>
      <c r="G331" s="483">
        <v>1</v>
      </c>
      <c r="H331" s="483">
        <v>2</v>
      </c>
      <c r="I331" s="483">
        <v>55</v>
      </c>
      <c r="J331" s="505" t="s">
        <v>3718</v>
      </c>
      <c r="K331" s="505" t="s">
        <v>1507</v>
      </c>
      <c r="L331" s="1485">
        <v>0.4</v>
      </c>
      <c r="M331" s="519">
        <v>0.5</v>
      </c>
      <c r="N331" s="1546">
        <v>0.5</v>
      </c>
      <c r="O331" s="483">
        <v>0</v>
      </c>
      <c r="P331" s="483">
        <v>0</v>
      </c>
      <c r="Q331" s="483">
        <v>1</v>
      </c>
      <c r="R331" s="666">
        <v>46255.175497685188</v>
      </c>
      <c r="S331" s="483">
        <v>1</v>
      </c>
      <c r="T331" s="483">
        <v>1</v>
      </c>
      <c r="V331" t="str">
        <f t="shared" si="13"/>
        <v>kham</v>
      </c>
    </row>
    <row r="332" spans="3:22" ht="21.95" customHeight="1">
      <c r="C332" s="483">
        <v>305</v>
      </c>
      <c r="D332" s="483">
        <v>228</v>
      </c>
      <c r="E332" s="483" t="s">
        <v>3968</v>
      </c>
      <c r="F332" s="505" t="s">
        <v>3801</v>
      </c>
      <c r="G332" s="483">
        <v>1</v>
      </c>
      <c r="H332" s="483">
        <v>2</v>
      </c>
      <c r="I332" s="483">
        <v>69</v>
      </c>
      <c r="J332" s="505" t="s">
        <v>3760</v>
      </c>
      <c r="K332" s="505" t="s">
        <v>1507</v>
      </c>
      <c r="L332" s="1485">
        <v>4</v>
      </c>
      <c r="M332" s="519">
        <v>5</v>
      </c>
      <c r="N332" s="1546">
        <v>5</v>
      </c>
      <c r="O332" s="483">
        <v>0</v>
      </c>
      <c r="P332" s="483">
        <v>0</v>
      </c>
      <c r="Q332" s="483">
        <v>1</v>
      </c>
      <c r="R332" s="666">
        <v>46255.175497685188</v>
      </c>
      <c r="S332" s="483">
        <v>1</v>
      </c>
      <c r="T332" s="483">
        <v>1</v>
      </c>
      <c r="V332" t="str">
        <f t="shared" si="13"/>
        <v>Pack/1kg</v>
      </c>
    </row>
    <row r="333" spans="3:22" ht="21.95" customHeight="1">
      <c r="C333" s="483">
        <v>306</v>
      </c>
      <c r="D333" s="483">
        <v>228</v>
      </c>
      <c r="E333" s="483" t="s">
        <v>3968</v>
      </c>
      <c r="F333" s="505" t="s">
        <v>3801</v>
      </c>
      <c r="G333" s="483">
        <v>1</v>
      </c>
      <c r="H333" s="483">
        <v>2</v>
      </c>
      <c r="I333" s="483">
        <v>55</v>
      </c>
      <c r="J333" s="505" t="s">
        <v>3718</v>
      </c>
      <c r="K333" s="505" t="s">
        <v>1507</v>
      </c>
      <c r="L333" s="1485">
        <v>0.4</v>
      </c>
      <c r="M333" s="519">
        <v>0.5</v>
      </c>
      <c r="N333" s="1546">
        <v>0.5</v>
      </c>
      <c r="O333" s="483">
        <v>0</v>
      </c>
      <c r="P333" s="483">
        <v>0</v>
      </c>
      <c r="Q333" s="483">
        <v>1</v>
      </c>
      <c r="R333" s="666">
        <v>46255.175497685188</v>
      </c>
      <c r="S333" s="483">
        <v>1</v>
      </c>
      <c r="T333" s="483">
        <v>1</v>
      </c>
      <c r="V333" t="str">
        <f t="shared" si="13"/>
        <v>kham</v>
      </c>
    </row>
    <row r="334" spans="3:22" ht="21.95" customHeight="1">
      <c r="C334" s="483">
        <v>307</v>
      </c>
      <c r="D334" s="483">
        <v>229</v>
      </c>
      <c r="E334" s="483" t="s">
        <v>3969</v>
      </c>
      <c r="F334" s="505" t="s">
        <v>3802</v>
      </c>
      <c r="G334" s="483">
        <v>1</v>
      </c>
      <c r="H334" s="483">
        <v>2</v>
      </c>
      <c r="I334" s="483">
        <v>2</v>
      </c>
      <c r="J334" s="505" t="s">
        <v>2172</v>
      </c>
      <c r="K334" s="505" t="s">
        <v>1507</v>
      </c>
      <c r="L334" s="1485">
        <v>1</v>
      </c>
      <c r="M334" s="519">
        <v>1.5</v>
      </c>
      <c r="N334" s="1546">
        <v>1.5</v>
      </c>
      <c r="O334" s="483">
        <v>0</v>
      </c>
      <c r="P334" s="483">
        <v>0</v>
      </c>
      <c r="Q334" s="483">
        <v>1</v>
      </c>
      <c r="R334" s="666">
        <v>46255.175497685188</v>
      </c>
      <c r="S334" s="483">
        <v>1</v>
      </c>
      <c r="T334" s="483">
        <v>1</v>
      </c>
      <c r="V334" t="str">
        <f t="shared" si="13"/>
        <v>pcs</v>
      </c>
    </row>
    <row r="335" spans="3:22" ht="21.95" customHeight="1">
      <c r="C335" s="483">
        <v>308</v>
      </c>
      <c r="D335" s="483">
        <v>230</v>
      </c>
      <c r="E335" s="483" t="s">
        <v>3970</v>
      </c>
      <c r="F335" s="505" t="s">
        <v>3803</v>
      </c>
      <c r="G335" s="483">
        <v>1</v>
      </c>
      <c r="H335" s="483">
        <v>2</v>
      </c>
      <c r="I335" s="483">
        <v>68</v>
      </c>
      <c r="J335" s="505" t="s">
        <v>3757</v>
      </c>
      <c r="K335" s="505" t="s">
        <v>1507</v>
      </c>
      <c r="L335" s="1485">
        <v>5</v>
      </c>
      <c r="M335" s="519">
        <v>5.5</v>
      </c>
      <c r="N335" s="1546">
        <v>5.5</v>
      </c>
      <c r="O335" s="483">
        <v>0</v>
      </c>
      <c r="P335" s="483">
        <v>0</v>
      </c>
      <c r="Q335" s="483">
        <v>1</v>
      </c>
      <c r="R335" s="666">
        <v>46255.175497685188</v>
      </c>
      <c r="S335" s="483">
        <v>1</v>
      </c>
      <c r="T335" s="483">
        <v>1</v>
      </c>
      <c r="V335" t="str">
        <f t="shared" si="13"/>
        <v>Ctn/10pcs</v>
      </c>
    </row>
    <row r="336" spans="3:22" ht="21.95" customHeight="1">
      <c r="C336" s="483">
        <v>309</v>
      </c>
      <c r="D336" s="483">
        <v>230</v>
      </c>
      <c r="E336" s="483" t="s">
        <v>3970</v>
      </c>
      <c r="F336" s="505" t="s">
        <v>3803</v>
      </c>
      <c r="G336" s="483">
        <v>1</v>
      </c>
      <c r="H336" s="483">
        <v>2</v>
      </c>
      <c r="I336" s="483">
        <v>2</v>
      </c>
      <c r="J336" s="505" t="s">
        <v>2172</v>
      </c>
      <c r="K336" s="505" t="s">
        <v>1507</v>
      </c>
      <c r="L336" s="1485">
        <v>0.5</v>
      </c>
      <c r="M336" s="519">
        <v>0.63</v>
      </c>
      <c r="N336" s="1546">
        <v>0.63</v>
      </c>
      <c r="O336" s="483">
        <v>0</v>
      </c>
      <c r="P336" s="483">
        <v>0</v>
      </c>
      <c r="Q336" s="483">
        <v>1</v>
      </c>
      <c r="R336" s="666">
        <v>46255.175497685188</v>
      </c>
      <c r="S336" s="483">
        <v>1</v>
      </c>
      <c r="T336" s="483">
        <v>1</v>
      </c>
      <c r="V336" t="str">
        <f t="shared" si="13"/>
        <v>pcs</v>
      </c>
    </row>
    <row r="337" spans="2:27" ht="21.95" customHeight="1">
      <c r="C337" s="483">
        <v>310</v>
      </c>
      <c r="D337" s="483">
        <v>231</v>
      </c>
      <c r="E337" s="483" t="s">
        <v>3971</v>
      </c>
      <c r="F337" s="505" t="s">
        <v>3804</v>
      </c>
      <c r="G337" s="483">
        <v>1</v>
      </c>
      <c r="H337" s="483">
        <v>2</v>
      </c>
      <c r="I337" s="483">
        <v>68</v>
      </c>
      <c r="J337" s="505" t="s">
        <v>3757</v>
      </c>
      <c r="K337" s="505" t="s">
        <v>1507</v>
      </c>
      <c r="L337" s="1485">
        <v>3.5</v>
      </c>
      <c r="M337" s="519">
        <v>4</v>
      </c>
      <c r="N337" s="1546">
        <v>4</v>
      </c>
      <c r="O337" s="483">
        <v>0</v>
      </c>
      <c r="P337" s="483">
        <v>0</v>
      </c>
      <c r="Q337" s="483">
        <v>1</v>
      </c>
      <c r="R337" s="666">
        <v>46255.175497685188</v>
      </c>
      <c r="S337" s="483">
        <v>1</v>
      </c>
      <c r="T337" s="483">
        <v>1</v>
      </c>
      <c r="V337" t="str">
        <f t="shared" si="13"/>
        <v>Ctn/10pcs</v>
      </c>
    </row>
    <row r="338" spans="2:27" ht="21.95" customHeight="1">
      <c r="C338" s="483">
        <v>311</v>
      </c>
      <c r="D338" s="483">
        <v>231</v>
      </c>
      <c r="E338" s="483" t="s">
        <v>3971</v>
      </c>
      <c r="F338" s="505" t="s">
        <v>3804</v>
      </c>
      <c r="G338" s="483">
        <v>1</v>
      </c>
      <c r="H338" s="483">
        <v>2</v>
      </c>
      <c r="I338" s="483">
        <v>2</v>
      </c>
      <c r="J338" s="505" t="s">
        <v>2172</v>
      </c>
      <c r="K338" s="505" t="s">
        <v>1507</v>
      </c>
      <c r="L338" s="1485">
        <v>0.35</v>
      </c>
      <c r="M338" s="519">
        <v>0.25</v>
      </c>
      <c r="N338" s="1546">
        <v>0.25</v>
      </c>
      <c r="O338" s="483">
        <v>0</v>
      </c>
      <c r="P338" s="483">
        <v>0</v>
      </c>
      <c r="Q338" s="483">
        <v>1</v>
      </c>
      <c r="R338" s="666">
        <v>46255.175497685188</v>
      </c>
      <c r="S338" s="483">
        <v>1</v>
      </c>
      <c r="T338" s="483">
        <v>1</v>
      </c>
      <c r="V338" t="str">
        <f t="shared" si="13"/>
        <v>pcs</v>
      </c>
    </row>
    <row r="339" spans="2:27" ht="21.95" customHeight="1">
      <c r="C339" s="483">
        <v>312</v>
      </c>
      <c r="D339" s="483">
        <v>232</v>
      </c>
      <c r="E339" s="483" t="s">
        <v>3972</v>
      </c>
      <c r="F339" s="505" t="s">
        <v>3805</v>
      </c>
      <c r="G339" s="483">
        <v>1</v>
      </c>
      <c r="H339" s="483">
        <v>2</v>
      </c>
      <c r="I339" s="483">
        <v>2</v>
      </c>
      <c r="J339" s="505" t="s">
        <v>2172</v>
      </c>
      <c r="K339" s="505" t="s">
        <v>1507</v>
      </c>
      <c r="L339" s="1485">
        <v>1</v>
      </c>
      <c r="M339" s="519">
        <v>1.5</v>
      </c>
      <c r="N339" s="1546">
        <v>1.5</v>
      </c>
      <c r="O339" s="483">
        <v>0</v>
      </c>
      <c r="P339" s="483">
        <v>0</v>
      </c>
      <c r="Q339" s="483">
        <v>1</v>
      </c>
      <c r="R339" s="666">
        <v>46255.175497685188</v>
      </c>
      <c r="S339" s="483">
        <v>1</v>
      </c>
      <c r="T339" s="483">
        <v>1</v>
      </c>
      <c r="V339" t="str">
        <f t="shared" si="13"/>
        <v>pcs</v>
      </c>
    </row>
    <row r="340" spans="2:27" ht="21.95" customHeight="1">
      <c r="C340" s="483">
        <v>313</v>
      </c>
      <c r="D340" s="483">
        <v>233</v>
      </c>
      <c r="E340" s="483" t="s">
        <v>3973</v>
      </c>
      <c r="F340" s="505" t="s">
        <v>3806</v>
      </c>
      <c r="G340" s="483">
        <v>1</v>
      </c>
      <c r="H340" s="483">
        <v>2</v>
      </c>
      <c r="I340" s="483">
        <v>2</v>
      </c>
      <c r="J340" s="505" t="s">
        <v>2172</v>
      </c>
      <c r="K340" s="505" t="s">
        <v>1507</v>
      </c>
      <c r="L340" s="1485">
        <v>0.7</v>
      </c>
      <c r="M340" s="519">
        <v>1</v>
      </c>
      <c r="N340" s="1546">
        <v>1</v>
      </c>
      <c r="O340" s="483">
        <v>0</v>
      </c>
      <c r="P340" s="483">
        <v>0</v>
      </c>
      <c r="Q340" s="483">
        <v>1</v>
      </c>
      <c r="R340" s="666">
        <v>46255.175497685188</v>
      </c>
      <c r="S340" s="483">
        <v>1</v>
      </c>
      <c r="T340" s="483">
        <v>1</v>
      </c>
      <c r="V340" t="str">
        <f t="shared" si="13"/>
        <v>pcs</v>
      </c>
    </row>
    <row r="341" spans="2:27" ht="21.95" customHeight="1">
      <c r="C341" s="483">
        <v>314</v>
      </c>
      <c r="D341" s="483">
        <v>234</v>
      </c>
      <c r="E341" s="483" t="s">
        <v>3974</v>
      </c>
      <c r="F341" s="505" t="s">
        <v>3807</v>
      </c>
      <c r="G341" s="483">
        <v>1</v>
      </c>
      <c r="H341" s="483">
        <v>2</v>
      </c>
      <c r="I341" s="483">
        <v>70</v>
      </c>
      <c r="J341" s="505" t="s">
        <v>3763</v>
      </c>
      <c r="K341" s="505" t="s">
        <v>1507</v>
      </c>
      <c r="L341" s="1485">
        <v>2.6</v>
      </c>
      <c r="M341" s="519">
        <v>3</v>
      </c>
      <c r="N341" s="1546">
        <v>3</v>
      </c>
      <c r="O341" s="483">
        <v>0</v>
      </c>
      <c r="P341" s="483">
        <v>0</v>
      </c>
      <c r="Q341" s="483">
        <v>1</v>
      </c>
      <c r="R341" s="666">
        <v>46255.175497685188</v>
      </c>
      <c r="S341" s="483">
        <v>1</v>
      </c>
      <c r="T341" s="483">
        <v>1</v>
      </c>
      <c r="V341" t="str">
        <f t="shared" si="13"/>
        <v>Unit/6m</v>
      </c>
    </row>
    <row r="342" spans="2:27" ht="21.95" customHeight="1">
      <c r="C342" s="483">
        <v>315</v>
      </c>
      <c r="D342" s="483">
        <v>234</v>
      </c>
      <c r="E342" s="483" t="s">
        <v>3974</v>
      </c>
      <c r="F342" s="505" t="s">
        <v>3807</v>
      </c>
      <c r="G342" s="483">
        <v>1</v>
      </c>
      <c r="H342" s="483">
        <v>2</v>
      </c>
      <c r="I342" s="483">
        <v>16</v>
      </c>
      <c r="J342" s="505" t="s">
        <v>2134</v>
      </c>
      <c r="K342" s="505" t="s">
        <v>1507</v>
      </c>
      <c r="L342" s="1485">
        <v>0.43333333333333335</v>
      </c>
      <c r="M342" s="519">
        <v>0.5</v>
      </c>
      <c r="N342" s="1546">
        <v>0.5</v>
      </c>
      <c r="O342" s="483">
        <v>0</v>
      </c>
      <c r="P342" s="483">
        <v>0</v>
      </c>
      <c r="Q342" s="483">
        <v>1</v>
      </c>
      <c r="R342" s="666">
        <v>46255.175497685188</v>
      </c>
      <c r="S342" s="483">
        <v>1</v>
      </c>
      <c r="T342" s="483">
        <v>1</v>
      </c>
      <c r="V342" t="str">
        <f t="shared" si="13"/>
        <v>m</v>
      </c>
    </row>
    <row r="343" spans="2:27" s="1493" customFormat="1" ht="21.95" customHeight="1">
      <c r="B343" s="1489"/>
      <c r="C343" s="483">
        <v>316</v>
      </c>
      <c r="D343" s="483">
        <v>235</v>
      </c>
      <c r="E343" s="483" t="s">
        <v>3975</v>
      </c>
      <c r="F343" s="505" t="s">
        <v>3808</v>
      </c>
      <c r="G343" s="483">
        <v>1</v>
      </c>
      <c r="H343" s="483">
        <v>2</v>
      </c>
      <c r="I343" s="483">
        <v>70</v>
      </c>
      <c r="J343" s="505" t="s">
        <v>3763</v>
      </c>
      <c r="K343" s="505" t="s">
        <v>1507</v>
      </c>
      <c r="L343" s="1485">
        <v>11</v>
      </c>
      <c r="M343" s="519">
        <v>12</v>
      </c>
      <c r="N343" s="1546">
        <v>12</v>
      </c>
      <c r="O343" s="483">
        <v>0</v>
      </c>
      <c r="P343" s="483">
        <v>0</v>
      </c>
      <c r="Q343" s="483">
        <v>1</v>
      </c>
      <c r="R343" s="666">
        <v>46255.175497685188</v>
      </c>
      <c r="S343" s="483">
        <v>1</v>
      </c>
      <c r="T343" s="483">
        <v>1</v>
      </c>
      <c r="V343" t="str">
        <f t="shared" si="13"/>
        <v>Unit/6m</v>
      </c>
      <c r="W343" s="1494"/>
      <c r="X343" s="1494"/>
      <c r="Y343" s="1494"/>
      <c r="Z343" s="1494"/>
      <c r="AA343" s="1494"/>
    </row>
    <row r="344" spans="2:27" ht="21.95" customHeight="1">
      <c r="C344" s="483">
        <v>317</v>
      </c>
      <c r="D344" s="483">
        <v>235</v>
      </c>
      <c r="E344" s="483" t="s">
        <v>3975</v>
      </c>
      <c r="F344" s="505" t="s">
        <v>3808</v>
      </c>
      <c r="G344" s="483">
        <v>1</v>
      </c>
      <c r="H344" s="483">
        <v>2</v>
      </c>
      <c r="I344" s="483">
        <v>16</v>
      </c>
      <c r="J344" s="505" t="s">
        <v>2134</v>
      </c>
      <c r="K344" s="505" t="s">
        <v>1507</v>
      </c>
      <c r="L344" s="1485">
        <v>1.8333333333333333</v>
      </c>
      <c r="M344" s="519">
        <v>2</v>
      </c>
      <c r="N344" s="1546">
        <v>2</v>
      </c>
      <c r="O344" s="483">
        <v>0</v>
      </c>
      <c r="P344" s="483">
        <v>0</v>
      </c>
      <c r="Q344" s="483">
        <v>1</v>
      </c>
      <c r="R344" s="666">
        <v>46255.175497685188</v>
      </c>
      <c r="S344" s="483">
        <v>1</v>
      </c>
      <c r="T344" s="483">
        <v>1</v>
      </c>
      <c r="V344" t="str">
        <f t="shared" si="13"/>
        <v>m</v>
      </c>
    </row>
    <row r="345" spans="2:27" ht="21.95" customHeight="1">
      <c r="C345" s="483">
        <v>318</v>
      </c>
      <c r="D345" s="483">
        <v>236</v>
      </c>
      <c r="E345" s="483" t="s">
        <v>3976</v>
      </c>
      <c r="F345" s="505" t="s">
        <v>3809</v>
      </c>
      <c r="G345" s="483">
        <v>1</v>
      </c>
      <c r="H345" s="483">
        <v>2</v>
      </c>
      <c r="I345" s="483">
        <v>70</v>
      </c>
      <c r="J345" s="505" t="s">
        <v>3763</v>
      </c>
      <c r="K345" s="505" t="s">
        <v>1507</v>
      </c>
      <c r="L345" s="1485">
        <v>13.5</v>
      </c>
      <c r="M345" s="519">
        <v>15</v>
      </c>
      <c r="N345" s="1546">
        <v>15</v>
      </c>
      <c r="O345" s="483">
        <v>0</v>
      </c>
      <c r="P345" s="483">
        <v>0</v>
      </c>
      <c r="Q345" s="483">
        <v>1</v>
      </c>
      <c r="R345" s="666">
        <v>46255.175497685188</v>
      </c>
      <c r="S345" s="483">
        <v>1</v>
      </c>
      <c r="T345" s="483">
        <v>1</v>
      </c>
      <c r="V345" t="str">
        <f t="shared" si="13"/>
        <v>Unit/6m</v>
      </c>
    </row>
    <row r="346" spans="2:27" ht="21.95" customHeight="1">
      <c r="C346" s="483">
        <v>319</v>
      </c>
      <c r="D346" s="483">
        <v>236</v>
      </c>
      <c r="E346" s="483" t="s">
        <v>3976</v>
      </c>
      <c r="F346" s="505" t="s">
        <v>3809</v>
      </c>
      <c r="G346" s="483">
        <v>1</v>
      </c>
      <c r="H346" s="483">
        <v>2</v>
      </c>
      <c r="I346" s="483">
        <v>16</v>
      </c>
      <c r="J346" s="505" t="s">
        <v>2134</v>
      </c>
      <c r="K346" s="505" t="s">
        <v>1507</v>
      </c>
      <c r="L346" s="1485">
        <v>2.25</v>
      </c>
      <c r="M346" s="519">
        <v>2.5</v>
      </c>
      <c r="N346" s="1546">
        <v>2.5</v>
      </c>
      <c r="O346" s="483">
        <v>0</v>
      </c>
      <c r="P346" s="483">
        <v>0</v>
      </c>
      <c r="Q346" s="483">
        <v>1</v>
      </c>
      <c r="R346" s="666">
        <v>46255.175497685188</v>
      </c>
      <c r="S346" s="483">
        <v>1</v>
      </c>
      <c r="T346" s="483">
        <v>1</v>
      </c>
      <c r="V346" t="str">
        <f t="shared" si="13"/>
        <v>m</v>
      </c>
    </row>
    <row r="347" spans="2:27" ht="21.95" customHeight="1">
      <c r="C347" s="483">
        <v>320</v>
      </c>
      <c r="D347" s="483">
        <v>237</v>
      </c>
      <c r="E347" s="483" t="s">
        <v>3977</v>
      </c>
      <c r="F347" s="505" t="s">
        <v>3810</v>
      </c>
      <c r="G347" s="483">
        <v>1</v>
      </c>
      <c r="H347" s="483">
        <v>2</v>
      </c>
      <c r="I347" s="483">
        <v>70</v>
      </c>
      <c r="J347" s="505" t="s">
        <v>3763</v>
      </c>
      <c r="K347" s="505" t="s">
        <v>1507</v>
      </c>
      <c r="L347" s="1485">
        <v>8.1999999999999993</v>
      </c>
      <c r="M347" s="519">
        <v>9</v>
      </c>
      <c r="N347" s="1546">
        <v>9</v>
      </c>
      <c r="O347" s="483">
        <v>0</v>
      </c>
      <c r="P347" s="483">
        <v>0</v>
      </c>
      <c r="Q347" s="483">
        <v>1</v>
      </c>
      <c r="R347" s="666">
        <v>46255.175497685188</v>
      </c>
      <c r="S347" s="483">
        <v>1</v>
      </c>
      <c r="T347" s="483">
        <v>1</v>
      </c>
      <c r="V347" t="str">
        <f t="shared" si="13"/>
        <v>Unit/6m</v>
      </c>
    </row>
    <row r="348" spans="2:27" ht="21.95" customHeight="1">
      <c r="C348" s="483">
        <v>321</v>
      </c>
      <c r="D348" s="483">
        <v>237</v>
      </c>
      <c r="E348" s="483" t="s">
        <v>3977</v>
      </c>
      <c r="F348" s="505" t="s">
        <v>3810</v>
      </c>
      <c r="G348" s="483">
        <v>1</v>
      </c>
      <c r="H348" s="483">
        <v>2</v>
      </c>
      <c r="I348" s="483">
        <v>16</v>
      </c>
      <c r="J348" s="505" t="s">
        <v>2134</v>
      </c>
      <c r="K348" s="505" t="s">
        <v>1507</v>
      </c>
      <c r="L348" s="1485">
        <v>1.3666666666666665</v>
      </c>
      <c r="M348" s="519">
        <v>1.5</v>
      </c>
      <c r="N348" s="1546">
        <v>1.5</v>
      </c>
      <c r="O348" s="483">
        <v>0</v>
      </c>
      <c r="P348" s="483">
        <v>0</v>
      </c>
      <c r="Q348" s="483">
        <v>1</v>
      </c>
      <c r="R348" s="666">
        <v>46255.175497685188</v>
      </c>
      <c r="S348" s="483">
        <v>1</v>
      </c>
      <c r="T348" s="483">
        <v>1</v>
      </c>
      <c r="V348" t="str">
        <f t="shared" ref="V348:V411" si="14">IF(I348="","",VLOOKUP(I348,uom_list,5,FALSE))</f>
        <v>m</v>
      </c>
    </row>
    <row r="349" spans="2:27" ht="21.95" customHeight="1">
      <c r="C349" s="483">
        <v>322</v>
      </c>
      <c r="D349" s="483">
        <v>238</v>
      </c>
      <c r="E349" s="483" t="s">
        <v>3978</v>
      </c>
      <c r="F349" s="505" t="s">
        <v>3811</v>
      </c>
      <c r="G349" s="483">
        <v>1</v>
      </c>
      <c r="H349" s="483">
        <v>2</v>
      </c>
      <c r="I349" s="483">
        <v>70</v>
      </c>
      <c r="J349" s="505" t="s">
        <v>3763</v>
      </c>
      <c r="K349" s="505" t="s">
        <v>1507</v>
      </c>
      <c r="L349" s="1485">
        <v>2.8</v>
      </c>
      <c r="M349" s="519">
        <v>3.25</v>
      </c>
      <c r="N349" s="1546">
        <v>3.25</v>
      </c>
      <c r="O349" s="483">
        <v>0</v>
      </c>
      <c r="P349" s="483">
        <v>0</v>
      </c>
      <c r="Q349" s="483">
        <v>1</v>
      </c>
      <c r="R349" s="666">
        <v>46255.175497685188</v>
      </c>
      <c r="S349" s="483">
        <v>1</v>
      </c>
      <c r="T349" s="483">
        <v>1</v>
      </c>
      <c r="V349" t="str">
        <f t="shared" si="14"/>
        <v>Unit/6m</v>
      </c>
    </row>
    <row r="350" spans="2:27" ht="21.95" customHeight="1">
      <c r="C350" s="483">
        <v>323</v>
      </c>
      <c r="D350" s="483">
        <v>238</v>
      </c>
      <c r="E350" s="483" t="s">
        <v>3978</v>
      </c>
      <c r="F350" s="505" t="s">
        <v>3811</v>
      </c>
      <c r="G350" s="483">
        <v>1</v>
      </c>
      <c r="H350" s="483">
        <v>2</v>
      </c>
      <c r="I350" s="483">
        <v>16</v>
      </c>
      <c r="J350" s="505" t="s">
        <v>2134</v>
      </c>
      <c r="K350" s="505" t="s">
        <v>1507</v>
      </c>
      <c r="L350" s="1485">
        <v>0.46666666666666662</v>
      </c>
      <c r="M350" s="519">
        <v>0.55000000000000004</v>
      </c>
      <c r="N350" s="1546">
        <v>0.55000000000000004</v>
      </c>
      <c r="O350" s="483">
        <v>0</v>
      </c>
      <c r="P350" s="483">
        <v>0</v>
      </c>
      <c r="Q350" s="483">
        <v>1</v>
      </c>
      <c r="R350" s="666">
        <v>46255.175497685188</v>
      </c>
      <c r="S350" s="483">
        <v>1</v>
      </c>
      <c r="T350" s="483">
        <v>1</v>
      </c>
      <c r="V350" t="str">
        <f t="shared" si="14"/>
        <v>m</v>
      </c>
    </row>
    <row r="351" spans="2:27" ht="21.95" customHeight="1">
      <c r="C351" s="483">
        <v>324</v>
      </c>
      <c r="D351" s="483">
        <v>239</v>
      </c>
      <c r="E351" s="483" t="s">
        <v>3979</v>
      </c>
      <c r="F351" s="505" t="s">
        <v>3812</v>
      </c>
      <c r="G351" s="483">
        <v>1</v>
      </c>
      <c r="H351" s="483">
        <v>2</v>
      </c>
      <c r="I351" s="483">
        <v>70</v>
      </c>
      <c r="J351" s="505" t="s">
        <v>3763</v>
      </c>
      <c r="K351" s="505" t="s">
        <v>1507</v>
      </c>
      <c r="L351" s="1485">
        <v>2</v>
      </c>
      <c r="M351" s="519">
        <v>2.5</v>
      </c>
      <c r="N351" s="1546">
        <v>2.5</v>
      </c>
      <c r="O351" s="483">
        <v>0</v>
      </c>
      <c r="P351" s="483">
        <v>0</v>
      </c>
      <c r="Q351" s="483">
        <v>1</v>
      </c>
      <c r="R351" s="666">
        <v>46255.175497685188</v>
      </c>
      <c r="S351" s="483">
        <v>1</v>
      </c>
      <c r="T351" s="483">
        <v>1</v>
      </c>
      <c r="V351" t="str">
        <f t="shared" si="14"/>
        <v>Unit/6m</v>
      </c>
    </row>
    <row r="352" spans="2:27" ht="21.95" customHeight="1">
      <c r="C352" s="483">
        <v>325</v>
      </c>
      <c r="D352" s="483">
        <v>239</v>
      </c>
      <c r="E352" s="483" t="s">
        <v>3979</v>
      </c>
      <c r="F352" s="505" t="s">
        <v>3812</v>
      </c>
      <c r="G352" s="483">
        <v>1</v>
      </c>
      <c r="H352" s="483">
        <v>2</v>
      </c>
      <c r="I352" s="483">
        <v>16</v>
      </c>
      <c r="J352" s="505" t="s">
        <v>2134</v>
      </c>
      <c r="K352" s="505" t="s">
        <v>1507</v>
      </c>
      <c r="L352" s="1485">
        <v>0.33333333333333331</v>
      </c>
      <c r="M352" s="519">
        <v>0.42</v>
      </c>
      <c r="N352" s="1546">
        <v>0.42</v>
      </c>
      <c r="O352" s="483">
        <v>0</v>
      </c>
      <c r="P352" s="483">
        <v>0</v>
      </c>
      <c r="Q352" s="483">
        <v>1</v>
      </c>
      <c r="R352" s="666">
        <v>46255.175497685188</v>
      </c>
      <c r="S352" s="483">
        <v>1</v>
      </c>
      <c r="T352" s="483">
        <v>1</v>
      </c>
      <c r="V352" t="str">
        <f t="shared" si="14"/>
        <v>m</v>
      </c>
    </row>
    <row r="353" spans="3:22" ht="21.95" customHeight="1">
      <c r="C353" s="483">
        <v>326</v>
      </c>
      <c r="D353" s="483">
        <v>240</v>
      </c>
      <c r="E353" s="483" t="s">
        <v>3980</v>
      </c>
      <c r="F353" s="505" t="s">
        <v>3813</v>
      </c>
      <c r="G353" s="483">
        <v>1</v>
      </c>
      <c r="H353" s="483">
        <v>2</v>
      </c>
      <c r="I353" s="483">
        <v>54</v>
      </c>
      <c r="J353" s="505" t="s">
        <v>2616</v>
      </c>
      <c r="K353" s="505" t="s">
        <v>1507</v>
      </c>
      <c r="L353" s="1485">
        <v>4</v>
      </c>
      <c r="M353" s="519">
        <v>4.4000000000000004</v>
      </c>
      <c r="N353" s="1546">
        <v>4.4000000000000004</v>
      </c>
      <c r="O353" s="483">
        <v>0</v>
      </c>
      <c r="P353" s="483">
        <v>0</v>
      </c>
      <c r="Q353" s="483">
        <v>1</v>
      </c>
      <c r="R353" s="666">
        <v>46255.175497685188</v>
      </c>
      <c r="S353" s="483">
        <v>1</v>
      </c>
      <c r="T353" s="483">
        <v>1</v>
      </c>
      <c r="V353" t="str">
        <f t="shared" si="14"/>
        <v>Unit/12m</v>
      </c>
    </row>
    <row r="354" spans="3:22" ht="21.95" customHeight="1">
      <c r="C354" s="483">
        <v>327</v>
      </c>
      <c r="D354" s="483">
        <v>240</v>
      </c>
      <c r="E354" s="483" t="s">
        <v>3980</v>
      </c>
      <c r="F354" s="505" t="s">
        <v>3813</v>
      </c>
      <c r="G354" s="483">
        <v>1</v>
      </c>
      <c r="H354" s="483">
        <v>2</v>
      </c>
      <c r="I354" s="483">
        <v>16</v>
      </c>
      <c r="J354" s="505" t="s">
        <v>2134</v>
      </c>
      <c r="K354" s="505" t="s">
        <v>1507</v>
      </c>
      <c r="L354" s="1485">
        <v>0.33333333333333331</v>
      </c>
      <c r="M354" s="519">
        <v>0.74</v>
      </c>
      <c r="N354" s="1546">
        <v>0.74</v>
      </c>
      <c r="O354" s="483">
        <v>0</v>
      </c>
      <c r="P354" s="483">
        <v>0</v>
      </c>
      <c r="Q354" s="483">
        <v>1</v>
      </c>
      <c r="R354" s="666">
        <v>46255.175497685188</v>
      </c>
      <c r="S354" s="483">
        <v>1</v>
      </c>
      <c r="T354" s="483">
        <v>1</v>
      </c>
      <c r="U354" s="1473"/>
      <c r="V354" t="str">
        <f t="shared" si="14"/>
        <v>m</v>
      </c>
    </row>
    <row r="355" spans="3:22" ht="21.95" customHeight="1">
      <c r="C355" s="483">
        <v>328</v>
      </c>
      <c r="D355" s="483">
        <v>241</v>
      </c>
      <c r="E355" s="483" t="s">
        <v>3981</v>
      </c>
      <c r="F355" s="505" t="s">
        <v>3814</v>
      </c>
      <c r="G355" s="483">
        <v>1</v>
      </c>
      <c r="H355" s="483">
        <v>2</v>
      </c>
      <c r="I355" s="483">
        <v>12</v>
      </c>
      <c r="J355" s="505" t="s">
        <v>2685</v>
      </c>
      <c r="K355" s="505" t="s">
        <v>1507</v>
      </c>
      <c r="L355" s="1485">
        <v>1</v>
      </c>
      <c r="M355" s="519">
        <v>1.5</v>
      </c>
      <c r="N355" s="1546">
        <v>1.5</v>
      </c>
      <c r="O355" s="483">
        <v>0</v>
      </c>
      <c r="P355" s="483">
        <v>0</v>
      </c>
      <c r="Q355" s="483">
        <v>1</v>
      </c>
      <c r="R355" s="666">
        <v>46255.175497685188</v>
      </c>
      <c r="S355" s="483">
        <v>1</v>
      </c>
      <c r="T355" s="483">
        <v>1</v>
      </c>
      <c r="V355" t="str">
        <f t="shared" si="14"/>
        <v>kg</v>
      </c>
    </row>
    <row r="356" spans="3:22" ht="21.95" customHeight="1">
      <c r="C356" s="483">
        <v>329</v>
      </c>
      <c r="D356" s="483">
        <v>242</v>
      </c>
      <c r="E356" s="483" t="s">
        <v>3982</v>
      </c>
      <c r="F356" s="505" t="s">
        <v>3815</v>
      </c>
      <c r="G356" s="483">
        <v>1</v>
      </c>
      <c r="H356" s="483">
        <v>2</v>
      </c>
      <c r="I356" s="483">
        <v>12</v>
      </c>
      <c r="J356" s="505" t="s">
        <v>2685</v>
      </c>
      <c r="K356" s="505" t="s">
        <v>1507</v>
      </c>
      <c r="L356" s="1485">
        <v>0.9</v>
      </c>
      <c r="M356" s="519">
        <v>1</v>
      </c>
      <c r="N356" s="1546">
        <v>1</v>
      </c>
      <c r="O356" s="483">
        <v>0</v>
      </c>
      <c r="P356" s="483">
        <v>0</v>
      </c>
      <c r="Q356" s="483">
        <v>1</v>
      </c>
      <c r="R356" s="666">
        <v>46255.175497685188</v>
      </c>
      <c r="S356" s="483">
        <v>1</v>
      </c>
      <c r="T356" s="483">
        <v>1</v>
      </c>
      <c r="V356" t="str">
        <f t="shared" si="14"/>
        <v>kg</v>
      </c>
    </row>
    <row r="357" spans="3:22" ht="21.95" customHeight="1">
      <c r="C357" s="483">
        <v>330</v>
      </c>
      <c r="D357" s="483">
        <v>243</v>
      </c>
      <c r="E357" s="483" t="s">
        <v>3983</v>
      </c>
      <c r="F357" s="505" t="s">
        <v>3816</v>
      </c>
      <c r="G357" s="483">
        <v>1</v>
      </c>
      <c r="H357" s="483">
        <v>2</v>
      </c>
      <c r="I357" s="483">
        <v>2</v>
      </c>
      <c r="J357" s="505" t="s">
        <v>2172</v>
      </c>
      <c r="K357" s="505" t="s">
        <v>1507</v>
      </c>
      <c r="L357" s="1485">
        <v>2.5</v>
      </c>
      <c r="M357" s="519">
        <v>3</v>
      </c>
      <c r="N357" s="1546">
        <v>3</v>
      </c>
      <c r="O357" s="483">
        <v>0</v>
      </c>
      <c r="P357" s="483">
        <v>0</v>
      </c>
      <c r="Q357" s="483">
        <v>1</v>
      </c>
      <c r="R357" s="666">
        <v>46255.175497685188</v>
      </c>
      <c r="S357" s="483">
        <v>1</v>
      </c>
      <c r="T357" s="483">
        <v>1</v>
      </c>
      <c r="V357" t="str">
        <f t="shared" si="14"/>
        <v>pcs</v>
      </c>
    </row>
    <row r="358" spans="3:22" ht="21.95" customHeight="1">
      <c r="C358" s="483">
        <v>331</v>
      </c>
      <c r="D358" s="483">
        <v>244</v>
      </c>
      <c r="E358" s="483" t="s">
        <v>3984</v>
      </c>
      <c r="F358" s="505" t="s">
        <v>3817</v>
      </c>
      <c r="G358" s="483">
        <v>1</v>
      </c>
      <c r="H358" s="483">
        <v>2</v>
      </c>
      <c r="I358" s="483">
        <v>2</v>
      </c>
      <c r="J358" s="505" t="s">
        <v>2172</v>
      </c>
      <c r="K358" s="505" t="s">
        <v>1507</v>
      </c>
      <c r="L358" s="1485">
        <v>3.5</v>
      </c>
      <c r="M358" s="519">
        <v>5</v>
      </c>
      <c r="N358" s="1546">
        <v>5</v>
      </c>
      <c r="O358" s="483">
        <v>0</v>
      </c>
      <c r="P358" s="483">
        <v>0</v>
      </c>
      <c r="Q358" s="483">
        <v>1</v>
      </c>
      <c r="R358" s="666">
        <v>46255.175497685188</v>
      </c>
      <c r="S358" s="483">
        <v>1</v>
      </c>
      <c r="T358" s="483">
        <v>1</v>
      </c>
      <c r="V358" t="str">
        <f t="shared" si="14"/>
        <v>pcs</v>
      </c>
    </row>
    <row r="359" spans="3:22" ht="21.95" customHeight="1">
      <c r="C359" s="483">
        <v>332</v>
      </c>
      <c r="D359" s="483">
        <v>245</v>
      </c>
      <c r="E359" s="483" t="s">
        <v>3985</v>
      </c>
      <c r="F359" s="505" t="s">
        <v>3818</v>
      </c>
      <c r="G359" s="483">
        <v>1</v>
      </c>
      <c r="H359" s="483">
        <v>2</v>
      </c>
      <c r="I359" s="483">
        <v>2</v>
      </c>
      <c r="J359" s="505" t="s">
        <v>2172</v>
      </c>
      <c r="K359" s="505" t="s">
        <v>1507</v>
      </c>
      <c r="L359" s="1485">
        <v>0.28999999999999998</v>
      </c>
      <c r="M359" s="519">
        <v>0.63</v>
      </c>
      <c r="N359" s="1546">
        <v>0.63</v>
      </c>
      <c r="O359" s="483">
        <v>0</v>
      </c>
      <c r="P359" s="483">
        <v>0</v>
      </c>
      <c r="Q359" s="483">
        <v>1</v>
      </c>
      <c r="R359" s="666">
        <v>46255.175497685188</v>
      </c>
      <c r="S359" s="483">
        <v>1</v>
      </c>
      <c r="T359" s="483">
        <v>1</v>
      </c>
      <c r="V359" t="str">
        <f t="shared" si="14"/>
        <v>pcs</v>
      </c>
    </row>
    <row r="360" spans="3:22" ht="21.95" customHeight="1">
      <c r="C360" s="483">
        <v>333</v>
      </c>
      <c r="D360" s="483">
        <v>246</v>
      </c>
      <c r="E360" s="483" t="s">
        <v>3986</v>
      </c>
      <c r="F360" s="505" t="s">
        <v>3819</v>
      </c>
      <c r="G360" s="483">
        <v>1</v>
      </c>
      <c r="H360" s="483">
        <v>2</v>
      </c>
      <c r="I360" s="483">
        <v>2</v>
      </c>
      <c r="J360" s="505" t="s">
        <v>2172</v>
      </c>
      <c r="K360" s="505" t="s">
        <v>1507</v>
      </c>
      <c r="L360" s="1485">
        <v>1.2</v>
      </c>
      <c r="M360" s="519">
        <v>1.75</v>
      </c>
      <c r="N360" s="1546">
        <v>1.75</v>
      </c>
      <c r="O360" s="483">
        <v>0</v>
      </c>
      <c r="P360" s="483">
        <v>0</v>
      </c>
      <c r="Q360" s="483">
        <v>1</v>
      </c>
      <c r="R360" s="666">
        <v>46255.175497685188</v>
      </c>
      <c r="S360" s="483">
        <v>1</v>
      </c>
      <c r="T360" s="483">
        <v>1</v>
      </c>
      <c r="V360" t="str">
        <f t="shared" si="14"/>
        <v>pcs</v>
      </c>
    </row>
    <row r="361" spans="3:22" ht="21.95" customHeight="1">
      <c r="C361" s="483">
        <v>334</v>
      </c>
      <c r="D361" s="483">
        <v>247</v>
      </c>
      <c r="E361" s="483" t="s">
        <v>3987</v>
      </c>
      <c r="F361" s="505" t="s">
        <v>3820</v>
      </c>
      <c r="G361" s="483">
        <v>1</v>
      </c>
      <c r="H361" s="483">
        <v>2</v>
      </c>
      <c r="I361" s="483">
        <v>2</v>
      </c>
      <c r="J361" s="505" t="s">
        <v>2172</v>
      </c>
      <c r="K361" s="505" t="s">
        <v>1507</v>
      </c>
      <c r="L361" s="1485">
        <v>0.5</v>
      </c>
      <c r="M361" s="519">
        <v>1</v>
      </c>
      <c r="N361" s="1546">
        <v>1</v>
      </c>
      <c r="O361" s="483">
        <v>0</v>
      </c>
      <c r="P361" s="483">
        <v>0</v>
      </c>
      <c r="Q361" s="483">
        <v>1</v>
      </c>
      <c r="R361" s="666">
        <v>46255.175497685188</v>
      </c>
      <c r="S361" s="483">
        <v>1</v>
      </c>
      <c r="T361" s="483">
        <v>1</v>
      </c>
      <c r="V361" t="str">
        <f t="shared" si="14"/>
        <v>pcs</v>
      </c>
    </row>
    <row r="362" spans="3:22" ht="21.95" customHeight="1">
      <c r="C362" s="483">
        <v>335</v>
      </c>
      <c r="D362" s="483">
        <v>248</v>
      </c>
      <c r="E362" s="483" t="s">
        <v>3988</v>
      </c>
      <c r="F362" s="505" t="s">
        <v>3821</v>
      </c>
      <c r="G362" s="483">
        <v>1</v>
      </c>
      <c r="H362" s="483">
        <v>2</v>
      </c>
      <c r="I362" s="483">
        <v>2</v>
      </c>
      <c r="J362" s="505" t="s">
        <v>2172</v>
      </c>
      <c r="K362" s="505" t="s">
        <v>1507</v>
      </c>
      <c r="L362" s="1485">
        <v>0.2</v>
      </c>
      <c r="M362" s="519">
        <v>0.38</v>
      </c>
      <c r="N362" s="1546">
        <v>0.38</v>
      </c>
      <c r="O362" s="483">
        <v>0</v>
      </c>
      <c r="P362" s="483">
        <v>0</v>
      </c>
      <c r="Q362" s="483">
        <v>1</v>
      </c>
      <c r="R362" s="666">
        <v>46255.175497685188</v>
      </c>
      <c r="S362" s="483">
        <v>1</v>
      </c>
      <c r="T362" s="483">
        <v>1</v>
      </c>
      <c r="V362" t="str">
        <f t="shared" si="14"/>
        <v>pcs</v>
      </c>
    </row>
    <row r="363" spans="3:22" ht="21.95" customHeight="1">
      <c r="C363" s="483">
        <v>336</v>
      </c>
      <c r="D363" s="483">
        <v>249</v>
      </c>
      <c r="E363" s="483" t="s">
        <v>3989</v>
      </c>
      <c r="F363" s="505" t="s">
        <v>3822</v>
      </c>
      <c r="G363" s="483">
        <v>1</v>
      </c>
      <c r="H363" s="483">
        <v>2</v>
      </c>
      <c r="I363" s="483">
        <v>2</v>
      </c>
      <c r="J363" s="505" t="s">
        <v>2172</v>
      </c>
      <c r="K363" s="505" t="s">
        <v>1507</v>
      </c>
      <c r="L363" s="1485">
        <v>0.5</v>
      </c>
      <c r="M363" s="519">
        <v>0.75</v>
      </c>
      <c r="N363" s="1546">
        <v>0.75</v>
      </c>
      <c r="O363" s="483">
        <v>0</v>
      </c>
      <c r="P363" s="483">
        <v>0</v>
      </c>
      <c r="Q363" s="483">
        <v>1</v>
      </c>
      <c r="R363" s="666">
        <v>46255.175497685188</v>
      </c>
      <c r="S363" s="483">
        <v>1</v>
      </c>
      <c r="T363" s="483">
        <v>1</v>
      </c>
      <c r="V363" t="str">
        <f t="shared" si="14"/>
        <v>pcs</v>
      </c>
    </row>
    <row r="364" spans="3:22" ht="21.95" customHeight="1">
      <c r="C364" s="483">
        <v>337</v>
      </c>
      <c r="D364" s="483">
        <v>250</v>
      </c>
      <c r="E364" s="483" t="s">
        <v>3990</v>
      </c>
      <c r="F364" s="505" t="s">
        <v>3823</v>
      </c>
      <c r="G364" s="483">
        <v>1</v>
      </c>
      <c r="H364" s="483">
        <v>2</v>
      </c>
      <c r="I364" s="483">
        <v>53</v>
      </c>
      <c r="J364" s="505" t="s">
        <v>2618</v>
      </c>
      <c r="K364" s="505" t="s">
        <v>1507</v>
      </c>
      <c r="L364" s="1485">
        <v>2.5</v>
      </c>
      <c r="M364" s="519">
        <v>3</v>
      </c>
      <c r="N364" s="1546">
        <v>3</v>
      </c>
      <c r="O364" s="483">
        <v>0</v>
      </c>
      <c r="P364" s="483">
        <v>0</v>
      </c>
      <c r="Q364" s="483">
        <v>1</v>
      </c>
      <c r="R364" s="666">
        <v>46255.175497685188</v>
      </c>
      <c r="S364" s="483">
        <v>1</v>
      </c>
      <c r="T364" s="483">
        <v>1</v>
      </c>
      <c r="V364" t="str">
        <f t="shared" si="14"/>
        <v>Unit/4m</v>
      </c>
    </row>
    <row r="365" spans="3:22" ht="21.95" customHeight="1">
      <c r="C365" s="483">
        <v>338</v>
      </c>
      <c r="D365" s="483">
        <v>250</v>
      </c>
      <c r="E365" s="483" t="s">
        <v>3990</v>
      </c>
      <c r="F365" s="505" t="s">
        <v>3823</v>
      </c>
      <c r="G365" s="483">
        <v>1</v>
      </c>
      <c r="H365" s="483">
        <v>2</v>
      </c>
      <c r="I365" s="483">
        <v>16</v>
      </c>
      <c r="J365" s="505" t="s">
        <v>2134</v>
      </c>
      <c r="K365" s="505" t="s">
        <v>1507</v>
      </c>
      <c r="L365" s="1485">
        <v>0.625</v>
      </c>
      <c r="M365" s="519">
        <v>3</v>
      </c>
      <c r="N365" s="1546">
        <v>0.75</v>
      </c>
      <c r="O365" s="483">
        <v>0</v>
      </c>
      <c r="P365" s="483">
        <v>0</v>
      </c>
      <c r="Q365" s="483">
        <v>1</v>
      </c>
      <c r="R365" s="666">
        <v>46255.175497685188</v>
      </c>
      <c r="S365" s="483">
        <v>1</v>
      </c>
      <c r="T365" s="483">
        <v>1</v>
      </c>
      <c r="V365" t="str">
        <f t="shared" si="14"/>
        <v>m</v>
      </c>
    </row>
    <row r="366" spans="3:22" ht="21.95" customHeight="1">
      <c r="C366" s="483">
        <v>339</v>
      </c>
      <c r="D366" s="483">
        <v>251</v>
      </c>
      <c r="E366" s="483" t="s">
        <v>3991</v>
      </c>
      <c r="F366" s="505" t="s">
        <v>3824</v>
      </c>
      <c r="G366" s="483">
        <v>1</v>
      </c>
      <c r="H366" s="483">
        <v>2</v>
      </c>
      <c r="I366" s="483">
        <v>53</v>
      </c>
      <c r="J366" s="505" t="s">
        <v>2618</v>
      </c>
      <c r="K366" s="505" t="s">
        <v>1507</v>
      </c>
      <c r="L366" s="1485">
        <v>1.35</v>
      </c>
      <c r="M366" s="519">
        <v>1.5</v>
      </c>
      <c r="N366" s="1546">
        <v>1.5</v>
      </c>
      <c r="O366" s="483">
        <v>0</v>
      </c>
      <c r="P366" s="483">
        <v>0</v>
      </c>
      <c r="Q366" s="483">
        <v>1</v>
      </c>
      <c r="R366" s="666">
        <v>46255.175497685188</v>
      </c>
      <c r="S366" s="483">
        <v>1</v>
      </c>
      <c r="T366" s="483">
        <v>1</v>
      </c>
      <c r="V366" t="str">
        <f t="shared" si="14"/>
        <v>Unit/4m</v>
      </c>
    </row>
    <row r="367" spans="3:22" ht="21.95" customHeight="1">
      <c r="C367" s="483">
        <v>340</v>
      </c>
      <c r="D367" s="483">
        <v>251</v>
      </c>
      <c r="E367" s="483" t="s">
        <v>3991</v>
      </c>
      <c r="F367" s="505" t="s">
        <v>3824</v>
      </c>
      <c r="G367" s="483">
        <v>1</v>
      </c>
      <c r="H367" s="483">
        <v>2</v>
      </c>
      <c r="I367" s="483">
        <v>16</v>
      </c>
      <c r="J367" s="505" t="s">
        <v>2134</v>
      </c>
      <c r="K367" s="505" t="s">
        <v>1507</v>
      </c>
      <c r="L367" s="1485">
        <v>0.33750000000000002</v>
      </c>
      <c r="M367" s="519">
        <v>1.5</v>
      </c>
      <c r="N367" s="1546">
        <v>0.38</v>
      </c>
      <c r="O367" s="483">
        <v>0</v>
      </c>
      <c r="P367" s="483">
        <v>0</v>
      </c>
      <c r="Q367" s="483">
        <v>1</v>
      </c>
      <c r="R367" s="666">
        <v>46255.175497685188</v>
      </c>
      <c r="S367" s="483">
        <v>1</v>
      </c>
      <c r="T367" s="483">
        <v>1</v>
      </c>
      <c r="V367" t="str">
        <f t="shared" si="14"/>
        <v>m</v>
      </c>
    </row>
    <row r="368" spans="3:22" ht="21.95" customHeight="1">
      <c r="C368" s="483">
        <v>341</v>
      </c>
      <c r="D368" s="483">
        <v>252</v>
      </c>
      <c r="E368" s="483" t="s">
        <v>3992</v>
      </c>
      <c r="F368" s="505" t="s">
        <v>3825</v>
      </c>
      <c r="G368" s="483">
        <v>1</v>
      </c>
      <c r="H368" s="483">
        <v>2</v>
      </c>
      <c r="I368" s="483">
        <v>53</v>
      </c>
      <c r="J368" s="505" t="s">
        <v>2618</v>
      </c>
      <c r="K368" s="505" t="s">
        <v>1507</v>
      </c>
      <c r="L368" s="1485">
        <v>1.32</v>
      </c>
      <c r="M368" s="519">
        <v>1.75</v>
      </c>
      <c r="N368" s="1546">
        <v>1.75</v>
      </c>
      <c r="O368" s="483">
        <v>0</v>
      </c>
      <c r="P368" s="483">
        <v>0</v>
      </c>
      <c r="Q368" s="483">
        <v>1</v>
      </c>
      <c r="R368" s="666">
        <v>46255.175497685188</v>
      </c>
      <c r="S368" s="483">
        <v>1</v>
      </c>
      <c r="T368" s="483">
        <v>1</v>
      </c>
      <c r="V368" t="str">
        <f t="shared" si="14"/>
        <v>Unit/4m</v>
      </c>
    </row>
    <row r="369" spans="3:22" ht="21.95" customHeight="1">
      <c r="C369" s="483">
        <v>342</v>
      </c>
      <c r="D369" s="483">
        <v>252</v>
      </c>
      <c r="E369" s="483" t="s">
        <v>3992</v>
      </c>
      <c r="F369" s="505" t="s">
        <v>3825</v>
      </c>
      <c r="G369" s="483">
        <v>1</v>
      </c>
      <c r="H369" s="483">
        <v>2</v>
      </c>
      <c r="I369" s="483">
        <v>16</v>
      </c>
      <c r="J369" s="505" t="s">
        <v>2134</v>
      </c>
      <c r="K369" s="505" t="s">
        <v>1507</v>
      </c>
      <c r="L369" s="1485">
        <v>0.33</v>
      </c>
      <c r="M369" s="519">
        <v>1.75</v>
      </c>
      <c r="N369" s="1546">
        <v>0.44</v>
      </c>
      <c r="O369" s="483">
        <v>0</v>
      </c>
      <c r="P369" s="483">
        <v>0</v>
      </c>
      <c r="Q369" s="483">
        <v>1</v>
      </c>
      <c r="R369" s="666">
        <v>46255.175497685188</v>
      </c>
      <c r="S369" s="483">
        <v>1</v>
      </c>
      <c r="T369" s="483">
        <v>1</v>
      </c>
      <c r="V369" t="str">
        <f t="shared" si="14"/>
        <v>m</v>
      </c>
    </row>
    <row r="370" spans="3:22" ht="21.95" customHeight="1">
      <c r="C370" s="483">
        <v>343</v>
      </c>
      <c r="D370" s="483">
        <v>253</v>
      </c>
      <c r="E370" s="483" t="s">
        <v>3993</v>
      </c>
      <c r="F370" s="505" t="s">
        <v>3826</v>
      </c>
      <c r="G370" s="483">
        <v>1</v>
      </c>
      <c r="H370" s="483">
        <v>2</v>
      </c>
      <c r="I370" s="483">
        <v>2</v>
      </c>
      <c r="J370" s="505" t="s">
        <v>2172</v>
      </c>
      <c r="K370" s="505" t="s">
        <v>1507</v>
      </c>
      <c r="L370" s="1485">
        <v>2</v>
      </c>
      <c r="M370" s="519">
        <v>2.25</v>
      </c>
      <c r="N370" s="1546">
        <v>2.25</v>
      </c>
      <c r="O370" s="483">
        <v>0</v>
      </c>
      <c r="P370" s="483">
        <v>0</v>
      </c>
      <c r="Q370" s="483">
        <v>1</v>
      </c>
      <c r="R370" s="666">
        <v>46255.175497685188</v>
      </c>
      <c r="S370" s="483">
        <v>1</v>
      </c>
      <c r="T370" s="483">
        <v>1</v>
      </c>
      <c r="V370" t="str">
        <f t="shared" si="14"/>
        <v>pcs</v>
      </c>
    </row>
    <row r="371" spans="3:22" ht="21.95" customHeight="1">
      <c r="C371" s="483">
        <v>344</v>
      </c>
      <c r="D371" s="483">
        <v>254</v>
      </c>
      <c r="E371" s="483" t="s">
        <v>3994</v>
      </c>
      <c r="F371" s="505" t="s">
        <v>3827</v>
      </c>
      <c r="G371" s="483">
        <v>1</v>
      </c>
      <c r="H371" s="483">
        <v>2</v>
      </c>
      <c r="I371" s="483">
        <v>2</v>
      </c>
      <c r="J371" s="505" t="s">
        <v>2172</v>
      </c>
      <c r="K371" s="505" t="s">
        <v>1507</v>
      </c>
      <c r="L371" s="1485">
        <v>0.75</v>
      </c>
      <c r="M371" s="519">
        <v>1</v>
      </c>
      <c r="N371" s="1546">
        <v>1</v>
      </c>
      <c r="O371" s="483">
        <v>0</v>
      </c>
      <c r="P371" s="483">
        <v>0</v>
      </c>
      <c r="Q371" s="483">
        <v>1</v>
      </c>
      <c r="R371" s="666">
        <v>46255.175497685188</v>
      </c>
      <c r="S371" s="483">
        <v>1</v>
      </c>
      <c r="T371" s="483">
        <v>1</v>
      </c>
      <c r="V371" t="str">
        <f t="shared" si="14"/>
        <v>pcs</v>
      </c>
    </row>
    <row r="372" spans="3:22" ht="21.95" customHeight="1">
      <c r="C372" s="483">
        <v>345</v>
      </c>
      <c r="D372" s="483">
        <v>255</v>
      </c>
      <c r="E372" s="483" t="s">
        <v>3995</v>
      </c>
      <c r="F372" s="505" t="s">
        <v>3828</v>
      </c>
      <c r="G372" s="483">
        <v>1</v>
      </c>
      <c r="H372" s="483">
        <v>2</v>
      </c>
      <c r="I372" s="483">
        <v>2</v>
      </c>
      <c r="J372" s="505" t="s">
        <v>2172</v>
      </c>
      <c r="K372" s="505" t="s">
        <v>1507</v>
      </c>
      <c r="L372" s="1485">
        <v>1</v>
      </c>
      <c r="M372" s="519">
        <v>1.25</v>
      </c>
      <c r="N372" s="1546">
        <v>1.25</v>
      </c>
      <c r="O372" s="483">
        <v>0</v>
      </c>
      <c r="P372" s="483">
        <v>0</v>
      </c>
      <c r="Q372" s="483">
        <v>1</v>
      </c>
      <c r="R372" s="666">
        <v>46255.175497685188</v>
      </c>
      <c r="S372" s="483">
        <v>1</v>
      </c>
      <c r="T372" s="483">
        <v>1</v>
      </c>
      <c r="V372" t="str">
        <f t="shared" si="14"/>
        <v>pcs</v>
      </c>
    </row>
    <row r="373" spans="3:22" ht="21.95" customHeight="1">
      <c r="C373" s="483">
        <v>346</v>
      </c>
      <c r="D373" s="483">
        <v>256</v>
      </c>
      <c r="E373" s="483" t="s">
        <v>3996</v>
      </c>
      <c r="F373" s="505" t="s">
        <v>3829</v>
      </c>
      <c r="G373" s="483">
        <v>1</v>
      </c>
      <c r="H373" s="483">
        <v>2</v>
      </c>
      <c r="I373" s="483">
        <v>2</v>
      </c>
      <c r="J373" s="505" t="s">
        <v>2172</v>
      </c>
      <c r="K373" s="505" t="s">
        <v>1507</v>
      </c>
      <c r="L373" s="1485">
        <v>1.2</v>
      </c>
      <c r="M373" s="519">
        <v>1.5</v>
      </c>
      <c r="N373" s="1546">
        <v>1.5</v>
      </c>
      <c r="O373" s="483">
        <v>0</v>
      </c>
      <c r="P373" s="483">
        <v>0</v>
      </c>
      <c r="Q373" s="483">
        <v>1</v>
      </c>
      <c r="R373" s="666">
        <v>46255.175497685188</v>
      </c>
      <c r="S373" s="483">
        <v>1</v>
      </c>
      <c r="T373" s="483">
        <v>1</v>
      </c>
      <c r="V373" t="str">
        <f t="shared" si="14"/>
        <v>pcs</v>
      </c>
    </row>
    <row r="374" spans="3:22" ht="21.95" customHeight="1">
      <c r="C374" s="483">
        <v>347</v>
      </c>
      <c r="D374" s="483">
        <v>257</v>
      </c>
      <c r="E374" s="483" t="s">
        <v>3997</v>
      </c>
      <c r="F374" s="505" t="s">
        <v>3830</v>
      </c>
      <c r="G374" s="483">
        <v>1</v>
      </c>
      <c r="H374" s="483">
        <v>2</v>
      </c>
      <c r="I374" s="483">
        <v>2</v>
      </c>
      <c r="J374" s="505" t="s">
        <v>2172</v>
      </c>
      <c r="K374" s="505" t="s">
        <v>1507</v>
      </c>
      <c r="L374" s="1485">
        <v>3</v>
      </c>
      <c r="M374" s="519">
        <v>3.5</v>
      </c>
      <c r="N374" s="1546">
        <v>3.5</v>
      </c>
      <c r="O374" s="483">
        <v>0</v>
      </c>
      <c r="P374" s="483">
        <v>0</v>
      </c>
      <c r="Q374" s="483">
        <v>1</v>
      </c>
      <c r="R374" s="666">
        <v>46255.175497685188</v>
      </c>
      <c r="S374" s="483">
        <v>1</v>
      </c>
      <c r="T374" s="483">
        <v>1</v>
      </c>
      <c r="V374" t="str">
        <f t="shared" si="14"/>
        <v>pcs</v>
      </c>
    </row>
    <row r="375" spans="3:22" ht="21.95" customHeight="1">
      <c r="C375" s="483">
        <v>348</v>
      </c>
      <c r="D375" s="483">
        <v>258</v>
      </c>
      <c r="E375" s="483" t="s">
        <v>3998</v>
      </c>
      <c r="F375" s="505" t="s">
        <v>3831</v>
      </c>
      <c r="G375" s="483">
        <v>1</v>
      </c>
      <c r="H375" s="483">
        <v>2</v>
      </c>
      <c r="I375" s="483">
        <v>2</v>
      </c>
      <c r="J375" s="505" t="s">
        <v>2172</v>
      </c>
      <c r="K375" s="505" t="s">
        <v>1507</v>
      </c>
      <c r="L375" s="1485">
        <v>2.5</v>
      </c>
      <c r="M375" s="519">
        <v>3</v>
      </c>
      <c r="N375" s="1546">
        <v>3</v>
      </c>
      <c r="O375" s="483">
        <v>0</v>
      </c>
      <c r="P375" s="483">
        <v>0</v>
      </c>
      <c r="Q375" s="483">
        <v>1</v>
      </c>
      <c r="R375" s="666">
        <v>46255.175497685188</v>
      </c>
      <c r="S375" s="483">
        <v>1</v>
      </c>
      <c r="T375" s="483">
        <v>1</v>
      </c>
      <c r="V375" t="str">
        <f t="shared" si="14"/>
        <v>pcs</v>
      </c>
    </row>
    <row r="376" spans="3:22" ht="21.95" customHeight="1">
      <c r="C376" s="483">
        <v>349</v>
      </c>
      <c r="D376" s="483">
        <v>259</v>
      </c>
      <c r="E376" s="483" t="s">
        <v>3999</v>
      </c>
      <c r="F376" s="505" t="s">
        <v>3832</v>
      </c>
      <c r="G376" s="483">
        <v>1</v>
      </c>
      <c r="H376" s="483">
        <v>2</v>
      </c>
      <c r="I376" s="483">
        <v>2</v>
      </c>
      <c r="J376" s="505" t="s">
        <v>2172</v>
      </c>
      <c r="K376" s="505" t="s">
        <v>1507</v>
      </c>
      <c r="L376" s="1485">
        <v>0.2</v>
      </c>
      <c r="M376" s="519">
        <v>0.38</v>
      </c>
      <c r="N376" s="1546">
        <v>0.38</v>
      </c>
      <c r="O376" s="483">
        <v>0</v>
      </c>
      <c r="P376" s="483">
        <v>0</v>
      </c>
      <c r="Q376" s="483">
        <v>1</v>
      </c>
      <c r="R376" s="666">
        <v>46255.175497685188</v>
      </c>
      <c r="S376" s="483">
        <v>1</v>
      </c>
      <c r="T376" s="483">
        <v>1</v>
      </c>
      <c r="V376" t="str">
        <f t="shared" si="14"/>
        <v>pcs</v>
      </c>
    </row>
    <row r="377" spans="3:22" ht="21.95" customHeight="1">
      <c r="C377" s="483">
        <v>350</v>
      </c>
      <c r="D377" s="483">
        <v>260</v>
      </c>
      <c r="E377" s="483" t="s">
        <v>4000</v>
      </c>
      <c r="F377" s="505" t="s">
        <v>3833</v>
      </c>
      <c r="G377" s="483">
        <v>1</v>
      </c>
      <c r="H377" s="483">
        <v>2</v>
      </c>
      <c r="I377" s="483">
        <v>2</v>
      </c>
      <c r="J377" s="505" t="s">
        <v>2172</v>
      </c>
      <c r="K377" s="505" t="s">
        <v>1507</v>
      </c>
      <c r="L377" s="1485">
        <v>0.25</v>
      </c>
      <c r="M377" s="519">
        <v>0.5</v>
      </c>
      <c r="N377" s="1546">
        <v>0.5</v>
      </c>
      <c r="O377" s="483">
        <v>0</v>
      </c>
      <c r="P377" s="483">
        <v>0</v>
      </c>
      <c r="Q377" s="483">
        <v>1</v>
      </c>
      <c r="R377" s="666">
        <v>46255.175497685188</v>
      </c>
      <c r="S377" s="483">
        <v>1</v>
      </c>
      <c r="T377" s="483">
        <v>1</v>
      </c>
      <c r="V377" t="str">
        <f t="shared" si="14"/>
        <v>pcs</v>
      </c>
    </row>
    <row r="378" spans="3:22" ht="21.95" customHeight="1">
      <c r="C378" s="483">
        <v>351</v>
      </c>
      <c r="D378" s="483">
        <v>261</v>
      </c>
      <c r="E378" s="483" t="s">
        <v>4001</v>
      </c>
      <c r="F378" s="505" t="s">
        <v>3834</v>
      </c>
      <c r="G378" s="483">
        <v>1</v>
      </c>
      <c r="H378" s="483">
        <v>2</v>
      </c>
      <c r="I378" s="483">
        <v>2</v>
      </c>
      <c r="J378" s="505" t="s">
        <v>2172</v>
      </c>
      <c r="K378" s="505" t="s">
        <v>1507</v>
      </c>
      <c r="L378" s="1485">
        <v>0.25</v>
      </c>
      <c r="M378" s="519">
        <v>0.5</v>
      </c>
      <c r="N378" s="1546">
        <v>0.5</v>
      </c>
      <c r="O378" s="483">
        <v>0</v>
      </c>
      <c r="P378" s="483">
        <v>0</v>
      </c>
      <c r="Q378" s="483">
        <v>1</v>
      </c>
      <c r="R378" s="666">
        <v>46255.175497685188</v>
      </c>
      <c r="S378" s="483">
        <v>1</v>
      </c>
      <c r="T378" s="483">
        <v>1</v>
      </c>
      <c r="V378" t="str">
        <f t="shared" si="14"/>
        <v>pcs</v>
      </c>
    </row>
    <row r="379" spans="3:22" ht="21.95" customHeight="1">
      <c r="C379" s="483">
        <v>352</v>
      </c>
      <c r="D379" s="483">
        <v>262</v>
      </c>
      <c r="E379" s="483" t="s">
        <v>4002</v>
      </c>
      <c r="F379" s="505" t="s">
        <v>3835</v>
      </c>
      <c r="G379" s="483">
        <v>1</v>
      </c>
      <c r="H379" s="483">
        <v>2</v>
      </c>
      <c r="I379" s="483">
        <v>2</v>
      </c>
      <c r="J379" s="505" t="s">
        <v>2172</v>
      </c>
      <c r="K379" s="505" t="s">
        <v>1507</v>
      </c>
      <c r="L379" s="1485">
        <v>0.28000000000000003</v>
      </c>
      <c r="M379" s="519">
        <v>0.5</v>
      </c>
      <c r="N379" s="1546">
        <v>0.5</v>
      </c>
      <c r="O379" s="483">
        <v>0</v>
      </c>
      <c r="P379" s="483">
        <v>0</v>
      </c>
      <c r="Q379" s="483">
        <v>1</v>
      </c>
      <c r="R379" s="666">
        <v>46255.175497685188</v>
      </c>
      <c r="S379" s="483">
        <v>1</v>
      </c>
      <c r="T379" s="483">
        <v>1</v>
      </c>
      <c r="V379" t="str">
        <f t="shared" si="14"/>
        <v>pcs</v>
      </c>
    </row>
    <row r="380" spans="3:22" ht="21.95" customHeight="1">
      <c r="C380" s="483">
        <v>353</v>
      </c>
      <c r="D380" s="483">
        <v>263</v>
      </c>
      <c r="E380" s="483" t="s">
        <v>4003</v>
      </c>
      <c r="F380" s="505" t="s">
        <v>3836</v>
      </c>
      <c r="G380" s="483">
        <v>1</v>
      </c>
      <c r="H380" s="483">
        <v>2</v>
      </c>
      <c r="I380" s="483">
        <v>2</v>
      </c>
      <c r="J380" s="505" t="s">
        <v>2172</v>
      </c>
      <c r="K380" s="505" t="s">
        <v>1507</v>
      </c>
      <c r="L380" s="1485">
        <v>0.45</v>
      </c>
      <c r="M380" s="519">
        <v>0.75</v>
      </c>
      <c r="N380" s="1546">
        <v>0.75</v>
      </c>
      <c r="O380" s="483">
        <v>0</v>
      </c>
      <c r="P380" s="483">
        <v>0</v>
      </c>
      <c r="Q380" s="483">
        <v>1</v>
      </c>
      <c r="R380" s="666">
        <v>46255.175497685188</v>
      </c>
      <c r="S380" s="483">
        <v>1</v>
      </c>
      <c r="T380" s="483">
        <v>1</v>
      </c>
      <c r="V380" t="str">
        <f t="shared" si="14"/>
        <v>pcs</v>
      </c>
    </row>
    <row r="381" spans="3:22" ht="21.95" customHeight="1">
      <c r="C381" s="483">
        <v>354</v>
      </c>
      <c r="D381" s="483">
        <v>264</v>
      </c>
      <c r="E381" s="483" t="s">
        <v>4004</v>
      </c>
      <c r="F381" s="505" t="s">
        <v>3837</v>
      </c>
      <c r="G381" s="483">
        <v>1</v>
      </c>
      <c r="H381" s="483">
        <v>2</v>
      </c>
      <c r="I381" s="483">
        <v>2</v>
      </c>
      <c r="J381" s="505" t="s">
        <v>2172</v>
      </c>
      <c r="K381" s="505" t="s">
        <v>1507</v>
      </c>
      <c r="L381" s="1485">
        <v>0.4</v>
      </c>
      <c r="M381" s="519">
        <v>0.6</v>
      </c>
      <c r="N381" s="1546">
        <v>0.6</v>
      </c>
      <c r="O381" s="483">
        <v>0</v>
      </c>
      <c r="P381" s="483">
        <v>0</v>
      </c>
      <c r="Q381" s="483">
        <v>1</v>
      </c>
      <c r="R381" s="666">
        <v>46255.175497685188</v>
      </c>
      <c r="S381" s="483">
        <v>1</v>
      </c>
      <c r="T381" s="483">
        <v>1</v>
      </c>
      <c r="V381" t="str">
        <f t="shared" si="14"/>
        <v>pcs</v>
      </c>
    </row>
    <row r="382" spans="3:22" ht="21.95" customHeight="1">
      <c r="C382" s="483">
        <v>355</v>
      </c>
      <c r="D382" s="483">
        <v>265</v>
      </c>
      <c r="E382" s="483" t="s">
        <v>4005</v>
      </c>
      <c r="F382" s="505" t="s">
        <v>3838</v>
      </c>
      <c r="G382" s="483">
        <v>1</v>
      </c>
      <c r="H382" s="483">
        <v>2</v>
      </c>
      <c r="I382" s="483">
        <v>2</v>
      </c>
      <c r="J382" s="505" t="s">
        <v>2172</v>
      </c>
      <c r="K382" s="505" t="s">
        <v>1507</v>
      </c>
      <c r="L382" s="1485">
        <v>0.55000000000000004</v>
      </c>
      <c r="M382" s="519">
        <v>1.25</v>
      </c>
      <c r="N382" s="1546">
        <v>1.25</v>
      </c>
      <c r="O382" s="483">
        <v>0</v>
      </c>
      <c r="P382" s="483">
        <v>0</v>
      </c>
      <c r="Q382" s="483">
        <v>1</v>
      </c>
      <c r="R382" s="666">
        <v>46255.175497685188</v>
      </c>
      <c r="S382" s="483">
        <v>1</v>
      </c>
      <c r="T382" s="483">
        <v>1</v>
      </c>
      <c r="V382" t="str">
        <f t="shared" si="14"/>
        <v>pcs</v>
      </c>
    </row>
    <row r="383" spans="3:22" ht="21.95" customHeight="1">
      <c r="C383" s="483">
        <v>356</v>
      </c>
      <c r="D383" s="483">
        <v>266</v>
      </c>
      <c r="E383" s="483" t="s">
        <v>4006</v>
      </c>
      <c r="F383" s="505" t="s">
        <v>3839</v>
      </c>
      <c r="G383" s="483">
        <v>1</v>
      </c>
      <c r="H383" s="483">
        <v>2</v>
      </c>
      <c r="I383" s="483">
        <v>2</v>
      </c>
      <c r="J383" s="505" t="s">
        <v>2172</v>
      </c>
      <c r="K383" s="505" t="s">
        <v>1507</v>
      </c>
      <c r="L383" s="1485">
        <v>0.12</v>
      </c>
      <c r="M383" s="519">
        <v>0.25</v>
      </c>
      <c r="N383" s="1546">
        <v>0.25</v>
      </c>
      <c r="O383" s="483">
        <v>0</v>
      </c>
      <c r="P383" s="483">
        <v>0</v>
      </c>
      <c r="Q383" s="483">
        <v>1</v>
      </c>
      <c r="R383" s="666">
        <v>46255.175497685188</v>
      </c>
      <c r="S383" s="483">
        <v>1</v>
      </c>
      <c r="T383" s="483">
        <v>1</v>
      </c>
      <c r="V383" t="str">
        <f t="shared" si="14"/>
        <v>pcs</v>
      </c>
    </row>
    <row r="384" spans="3:22" ht="21.95" customHeight="1">
      <c r="C384" s="483">
        <v>357</v>
      </c>
      <c r="D384" s="483">
        <v>267</v>
      </c>
      <c r="E384" s="483" t="s">
        <v>4007</v>
      </c>
      <c r="F384" s="505" t="s">
        <v>3840</v>
      </c>
      <c r="G384" s="483">
        <v>1</v>
      </c>
      <c r="H384" s="483">
        <v>2</v>
      </c>
      <c r="I384" s="483">
        <v>68</v>
      </c>
      <c r="J384" s="505" t="s">
        <v>3757</v>
      </c>
      <c r="K384" s="505" t="s">
        <v>1507</v>
      </c>
      <c r="L384" s="1485">
        <v>2.5</v>
      </c>
      <c r="M384" s="519">
        <v>3</v>
      </c>
      <c r="N384" s="1546">
        <v>3</v>
      </c>
      <c r="O384" s="483">
        <v>0</v>
      </c>
      <c r="P384" s="483">
        <v>0</v>
      </c>
      <c r="Q384" s="483">
        <v>1</v>
      </c>
      <c r="R384" s="666">
        <v>46255.175497685188</v>
      </c>
      <c r="S384" s="483">
        <v>1</v>
      </c>
      <c r="T384" s="483">
        <v>1</v>
      </c>
      <c r="V384" t="str">
        <f t="shared" si="14"/>
        <v>Ctn/10pcs</v>
      </c>
    </row>
    <row r="385" spans="3:22" ht="21.95" customHeight="1">
      <c r="C385" s="483">
        <v>358</v>
      </c>
      <c r="D385" s="483">
        <v>267</v>
      </c>
      <c r="E385" s="483" t="s">
        <v>4007</v>
      </c>
      <c r="F385" s="505" t="s">
        <v>3840</v>
      </c>
      <c r="G385" s="483">
        <v>1</v>
      </c>
      <c r="H385" s="483">
        <v>2</v>
      </c>
      <c r="I385" s="483">
        <v>2</v>
      </c>
      <c r="J385" s="505" t="s">
        <v>2172</v>
      </c>
      <c r="K385" s="505" t="s">
        <v>1507</v>
      </c>
      <c r="L385" s="1485">
        <v>0.25</v>
      </c>
      <c r="M385" s="519">
        <v>0.38</v>
      </c>
      <c r="N385" s="1546">
        <v>0.38</v>
      </c>
      <c r="O385" s="483">
        <v>0</v>
      </c>
      <c r="P385" s="483">
        <v>0</v>
      </c>
      <c r="Q385" s="483">
        <v>1</v>
      </c>
      <c r="R385" s="666">
        <v>46255.175497685188</v>
      </c>
      <c r="S385" s="483">
        <v>1</v>
      </c>
      <c r="T385" s="483">
        <v>1</v>
      </c>
      <c r="V385" t="str">
        <f t="shared" si="14"/>
        <v>pcs</v>
      </c>
    </row>
    <row r="386" spans="3:22" ht="21.95" customHeight="1">
      <c r="C386" s="483">
        <v>359</v>
      </c>
      <c r="D386" s="483">
        <v>268</v>
      </c>
      <c r="E386" s="483" t="s">
        <v>4008</v>
      </c>
      <c r="F386" s="505" t="s">
        <v>3841</v>
      </c>
      <c r="G386" s="483">
        <v>1</v>
      </c>
      <c r="H386" s="483">
        <v>2</v>
      </c>
      <c r="I386" s="483">
        <v>2</v>
      </c>
      <c r="J386" s="505" t="s">
        <v>2172</v>
      </c>
      <c r="K386" s="505" t="s">
        <v>1507</v>
      </c>
      <c r="L386" s="1485">
        <v>1</v>
      </c>
      <c r="M386" s="519">
        <v>1.5</v>
      </c>
      <c r="N386" s="1546">
        <v>1.5</v>
      </c>
      <c r="O386" s="483">
        <v>0</v>
      </c>
      <c r="P386" s="483">
        <v>0</v>
      </c>
      <c r="Q386" s="483">
        <v>1</v>
      </c>
      <c r="R386" s="666">
        <v>46255.175497685188</v>
      </c>
      <c r="S386" s="483">
        <v>1</v>
      </c>
      <c r="T386" s="483">
        <v>1</v>
      </c>
      <c r="V386" t="str">
        <f t="shared" si="14"/>
        <v>pcs</v>
      </c>
    </row>
    <row r="387" spans="3:22" ht="21.95" customHeight="1">
      <c r="C387" s="483">
        <v>360</v>
      </c>
      <c r="D387" s="483">
        <v>269</v>
      </c>
      <c r="E387" s="483" t="s">
        <v>4009</v>
      </c>
      <c r="F387" s="505" t="s">
        <v>3842</v>
      </c>
      <c r="G387" s="483">
        <v>1</v>
      </c>
      <c r="H387" s="483">
        <v>2</v>
      </c>
      <c r="I387" s="483">
        <v>2</v>
      </c>
      <c r="J387" s="505" t="s">
        <v>2172</v>
      </c>
      <c r="K387" s="505" t="s">
        <v>1507</v>
      </c>
      <c r="L387" s="1485">
        <v>1.55</v>
      </c>
      <c r="M387" s="519">
        <v>1.75</v>
      </c>
      <c r="N387" s="1546">
        <v>1.75</v>
      </c>
      <c r="O387" s="483">
        <v>0</v>
      </c>
      <c r="P387" s="483">
        <v>0</v>
      </c>
      <c r="Q387" s="483">
        <v>1</v>
      </c>
      <c r="R387" s="666">
        <v>46255.175497685188</v>
      </c>
      <c r="S387" s="483">
        <v>1</v>
      </c>
      <c r="T387" s="483">
        <v>1</v>
      </c>
      <c r="V387" t="str">
        <f t="shared" si="14"/>
        <v>pcs</v>
      </c>
    </row>
    <row r="388" spans="3:22" ht="21.95" customHeight="1">
      <c r="C388" s="483">
        <v>361</v>
      </c>
      <c r="D388" s="483">
        <v>270</v>
      </c>
      <c r="E388" s="483" t="s">
        <v>4010</v>
      </c>
      <c r="F388" s="505" t="s">
        <v>3843</v>
      </c>
      <c r="G388" s="483">
        <v>1</v>
      </c>
      <c r="H388" s="483">
        <v>2</v>
      </c>
      <c r="I388" s="483">
        <v>2</v>
      </c>
      <c r="J388" s="505" t="s">
        <v>2172</v>
      </c>
      <c r="K388" s="505" t="s">
        <v>1507</v>
      </c>
      <c r="L388" s="1485">
        <v>1.25</v>
      </c>
      <c r="M388" s="519">
        <v>1.75</v>
      </c>
      <c r="N388" s="1546">
        <v>1.75</v>
      </c>
      <c r="O388" s="483">
        <v>0</v>
      </c>
      <c r="P388" s="483">
        <v>0</v>
      </c>
      <c r="Q388" s="483">
        <v>1</v>
      </c>
      <c r="R388" s="666">
        <v>46255.175497685188</v>
      </c>
      <c r="S388" s="483">
        <v>1</v>
      </c>
      <c r="T388" s="483">
        <v>1</v>
      </c>
      <c r="V388" t="str">
        <f t="shared" si="14"/>
        <v>pcs</v>
      </c>
    </row>
    <row r="389" spans="3:22" ht="21.95" customHeight="1">
      <c r="C389" s="483">
        <v>362</v>
      </c>
      <c r="D389" s="483">
        <v>271</v>
      </c>
      <c r="E389" s="483" t="s">
        <v>4011</v>
      </c>
      <c r="F389" s="505" t="s">
        <v>3844</v>
      </c>
      <c r="G389" s="483">
        <v>1</v>
      </c>
      <c r="H389" s="483">
        <v>2</v>
      </c>
      <c r="I389" s="483">
        <v>2</v>
      </c>
      <c r="J389" s="505" t="s">
        <v>2172</v>
      </c>
      <c r="K389" s="505" t="s">
        <v>1507</v>
      </c>
      <c r="L389" s="1485">
        <v>1</v>
      </c>
      <c r="M389" s="519">
        <v>1.5</v>
      </c>
      <c r="N389" s="1546">
        <v>1.5</v>
      </c>
      <c r="O389" s="483">
        <v>0</v>
      </c>
      <c r="P389" s="483">
        <v>0</v>
      </c>
      <c r="Q389" s="483">
        <v>1</v>
      </c>
      <c r="R389" s="666">
        <v>46255.175497685188</v>
      </c>
      <c r="S389" s="483">
        <v>1</v>
      </c>
      <c r="T389" s="483">
        <v>1</v>
      </c>
      <c r="V389" t="str">
        <f t="shared" si="14"/>
        <v>pcs</v>
      </c>
    </row>
    <row r="390" spans="3:22" ht="21.95" customHeight="1">
      <c r="C390" s="483">
        <v>363</v>
      </c>
      <c r="D390" s="483">
        <v>272</v>
      </c>
      <c r="E390" s="483" t="s">
        <v>4012</v>
      </c>
      <c r="F390" s="505" t="s">
        <v>3845</v>
      </c>
      <c r="G390" s="483">
        <v>1</v>
      </c>
      <c r="H390" s="483">
        <v>2</v>
      </c>
      <c r="I390" s="483">
        <v>66</v>
      </c>
      <c r="J390" s="505" t="s">
        <v>3751</v>
      </c>
      <c r="K390" s="505" t="s">
        <v>1507</v>
      </c>
      <c r="L390" s="1485">
        <v>18</v>
      </c>
      <c r="M390" s="519">
        <v>22</v>
      </c>
      <c r="N390" s="1546">
        <v>22</v>
      </c>
      <c r="O390" s="483">
        <v>0</v>
      </c>
      <c r="P390" s="483">
        <v>0</v>
      </c>
      <c r="Q390" s="483">
        <v>1</v>
      </c>
      <c r="R390" s="666">
        <v>46255.175497685188</v>
      </c>
      <c r="S390" s="483">
        <v>1</v>
      </c>
      <c r="T390" s="483">
        <v>1</v>
      </c>
      <c r="V390" t="str">
        <f t="shared" si="14"/>
        <v>Coil/80m</v>
      </c>
    </row>
    <row r="391" spans="3:22" ht="21.95" customHeight="1">
      <c r="C391" s="483">
        <v>364</v>
      </c>
      <c r="D391" s="483">
        <v>272</v>
      </c>
      <c r="E391" s="483" t="s">
        <v>4012</v>
      </c>
      <c r="F391" s="505" t="s">
        <v>3845</v>
      </c>
      <c r="G391" s="483">
        <v>1</v>
      </c>
      <c r="H391" s="483">
        <v>2</v>
      </c>
      <c r="I391" s="483">
        <v>16</v>
      </c>
      <c r="J391" s="505" t="s">
        <v>2134</v>
      </c>
      <c r="K391" s="505" t="s">
        <v>1507</v>
      </c>
      <c r="L391" s="1485">
        <v>0.22500000000000001</v>
      </c>
      <c r="M391" s="519">
        <v>0.25</v>
      </c>
      <c r="N391" s="1546">
        <v>0.25</v>
      </c>
      <c r="O391" s="483">
        <v>0</v>
      </c>
      <c r="P391" s="483">
        <v>0</v>
      </c>
      <c r="Q391" s="483">
        <v>1</v>
      </c>
      <c r="R391" s="666">
        <v>46255.175497685188</v>
      </c>
      <c r="S391" s="483">
        <v>1</v>
      </c>
      <c r="T391" s="483">
        <v>1</v>
      </c>
      <c r="V391" t="str">
        <f t="shared" si="14"/>
        <v>m</v>
      </c>
    </row>
    <row r="392" spans="3:22" ht="21.95" customHeight="1">
      <c r="C392" s="483">
        <v>365</v>
      </c>
      <c r="D392" s="483">
        <v>273</v>
      </c>
      <c r="E392" s="483" t="s">
        <v>4013</v>
      </c>
      <c r="F392" s="505" t="s">
        <v>3846</v>
      </c>
      <c r="G392" s="483">
        <v>1</v>
      </c>
      <c r="H392" s="483">
        <v>2</v>
      </c>
      <c r="I392" s="483">
        <v>66</v>
      </c>
      <c r="J392" s="505" t="s">
        <v>3751</v>
      </c>
      <c r="K392" s="505" t="s">
        <v>1507</v>
      </c>
      <c r="L392" s="1485">
        <v>23</v>
      </c>
      <c r="M392" s="519">
        <v>28</v>
      </c>
      <c r="N392" s="1546">
        <v>28</v>
      </c>
      <c r="O392" s="483">
        <v>0</v>
      </c>
      <c r="P392" s="483">
        <v>0</v>
      </c>
      <c r="Q392" s="483">
        <v>1</v>
      </c>
      <c r="R392" s="666">
        <v>46255.175497685188</v>
      </c>
      <c r="S392" s="483">
        <v>1</v>
      </c>
      <c r="T392" s="483">
        <v>1</v>
      </c>
      <c r="V392" t="str">
        <f t="shared" si="14"/>
        <v>Coil/80m</v>
      </c>
    </row>
    <row r="393" spans="3:22" ht="21.95" customHeight="1">
      <c r="C393" s="483">
        <v>366</v>
      </c>
      <c r="D393" s="483">
        <v>273</v>
      </c>
      <c r="E393" s="483" t="s">
        <v>4013</v>
      </c>
      <c r="F393" s="505" t="s">
        <v>3846</v>
      </c>
      <c r="G393" s="483">
        <v>1</v>
      </c>
      <c r="H393" s="483">
        <v>2</v>
      </c>
      <c r="I393" s="483">
        <v>16</v>
      </c>
      <c r="J393" s="505" t="s">
        <v>2134</v>
      </c>
      <c r="K393" s="505" t="s">
        <v>1507</v>
      </c>
      <c r="L393" s="1485">
        <v>0.28749999999999998</v>
      </c>
      <c r="M393" s="519">
        <v>0.38</v>
      </c>
      <c r="N393" s="1546">
        <v>0.38</v>
      </c>
      <c r="O393" s="483">
        <v>0</v>
      </c>
      <c r="P393" s="483">
        <v>0</v>
      </c>
      <c r="Q393" s="483">
        <v>1</v>
      </c>
      <c r="R393" s="666">
        <v>46255.175497685188</v>
      </c>
      <c r="S393" s="483">
        <v>1</v>
      </c>
      <c r="T393" s="483">
        <v>1</v>
      </c>
      <c r="V393" t="str">
        <f t="shared" si="14"/>
        <v>m</v>
      </c>
    </row>
    <row r="394" spans="3:22" ht="21.95" customHeight="1">
      <c r="C394" s="483">
        <v>367</v>
      </c>
      <c r="D394" s="483">
        <v>274</v>
      </c>
      <c r="E394" s="483" t="s">
        <v>4014</v>
      </c>
      <c r="F394" s="505" t="s">
        <v>3847</v>
      </c>
      <c r="G394" s="483">
        <v>1</v>
      </c>
      <c r="H394" s="483">
        <v>2</v>
      </c>
      <c r="I394" s="483">
        <v>2</v>
      </c>
      <c r="J394" s="505" t="s">
        <v>2172</v>
      </c>
      <c r="K394" s="505" t="s">
        <v>1507</v>
      </c>
      <c r="L394" s="1485">
        <v>2</v>
      </c>
      <c r="M394" s="519">
        <v>2.5</v>
      </c>
      <c r="N394" s="1546">
        <v>2.5</v>
      </c>
      <c r="O394" s="483">
        <v>0</v>
      </c>
      <c r="P394" s="483">
        <v>0</v>
      </c>
      <c r="Q394" s="483">
        <v>1</v>
      </c>
      <c r="R394" s="666">
        <v>46255.175497685188</v>
      </c>
      <c r="S394" s="483">
        <v>1</v>
      </c>
      <c r="T394" s="483">
        <v>1</v>
      </c>
      <c r="V394" t="str">
        <f t="shared" si="14"/>
        <v>pcs</v>
      </c>
    </row>
    <row r="395" spans="3:22" ht="21.95" customHeight="1">
      <c r="C395" s="483">
        <v>368</v>
      </c>
      <c r="D395" s="483">
        <v>275</v>
      </c>
      <c r="E395" s="483" t="s">
        <v>4015</v>
      </c>
      <c r="F395" s="505" t="s">
        <v>3848</v>
      </c>
      <c r="G395" s="483">
        <v>1</v>
      </c>
      <c r="H395" s="483">
        <v>2</v>
      </c>
      <c r="I395" s="483">
        <v>2</v>
      </c>
      <c r="J395" s="505" t="s">
        <v>2172</v>
      </c>
      <c r="K395" s="505" t="s">
        <v>1507</v>
      </c>
      <c r="L395" s="1485">
        <v>0.2</v>
      </c>
      <c r="M395" s="519">
        <v>0.5</v>
      </c>
      <c r="N395" s="1546">
        <v>0.5</v>
      </c>
      <c r="O395" s="483">
        <v>0</v>
      </c>
      <c r="P395" s="483">
        <v>0</v>
      </c>
      <c r="Q395" s="483">
        <v>1</v>
      </c>
      <c r="R395" s="666">
        <v>46255.175497685188</v>
      </c>
      <c r="S395" s="483">
        <v>1</v>
      </c>
      <c r="T395" s="483">
        <v>1</v>
      </c>
      <c r="V395" t="str">
        <f t="shared" si="14"/>
        <v>pcs</v>
      </c>
    </row>
    <row r="396" spans="3:22" ht="21.95" customHeight="1">
      <c r="C396" s="483">
        <v>369</v>
      </c>
      <c r="D396" s="483">
        <v>276</v>
      </c>
      <c r="E396" s="483" t="s">
        <v>4016</v>
      </c>
      <c r="F396" s="505" t="s">
        <v>3849</v>
      </c>
      <c r="G396" s="483">
        <v>1</v>
      </c>
      <c r="H396" s="483">
        <v>2</v>
      </c>
      <c r="I396" s="483">
        <v>2</v>
      </c>
      <c r="J396" s="505" t="s">
        <v>2172</v>
      </c>
      <c r="K396" s="505" t="s">
        <v>1507</v>
      </c>
      <c r="L396" s="1485">
        <v>0.25</v>
      </c>
      <c r="M396" s="519">
        <v>0.5</v>
      </c>
      <c r="N396" s="1546">
        <v>0.5</v>
      </c>
      <c r="O396" s="483">
        <v>0</v>
      </c>
      <c r="P396" s="483">
        <v>0</v>
      </c>
      <c r="Q396" s="483">
        <v>1</v>
      </c>
      <c r="R396" s="666">
        <v>46255.175497685188</v>
      </c>
      <c r="S396" s="483">
        <v>1</v>
      </c>
      <c r="T396" s="483">
        <v>1</v>
      </c>
      <c r="V396" t="str">
        <f t="shared" si="14"/>
        <v>pcs</v>
      </c>
    </row>
    <row r="397" spans="3:22" ht="21.95" customHeight="1">
      <c r="C397" s="483">
        <v>370</v>
      </c>
      <c r="D397" s="483">
        <v>277</v>
      </c>
      <c r="E397" s="483" t="s">
        <v>4017</v>
      </c>
      <c r="F397" s="505" t="s">
        <v>3850</v>
      </c>
      <c r="G397" s="483">
        <v>1</v>
      </c>
      <c r="H397" s="483">
        <v>2</v>
      </c>
      <c r="I397" s="483">
        <v>2</v>
      </c>
      <c r="J397" s="505" t="s">
        <v>2172</v>
      </c>
      <c r="K397" s="505" t="s">
        <v>1507</v>
      </c>
      <c r="L397" s="1485">
        <v>0.28000000000000003</v>
      </c>
      <c r="M397" s="519">
        <v>0.625</v>
      </c>
      <c r="N397" s="1546">
        <v>0.625</v>
      </c>
      <c r="O397" s="483">
        <v>0</v>
      </c>
      <c r="P397" s="483">
        <v>0</v>
      </c>
      <c r="Q397" s="483">
        <v>1</v>
      </c>
      <c r="R397" s="666">
        <v>46255.175497685188</v>
      </c>
      <c r="S397" s="483">
        <v>1</v>
      </c>
      <c r="T397" s="483">
        <v>1</v>
      </c>
      <c r="V397" t="str">
        <f t="shared" si="14"/>
        <v>pcs</v>
      </c>
    </row>
    <row r="398" spans="3:22" ht="21.95" customHeight="1">
      <c r="C398" s="483">
        <v>371</v>
      </c>
      <c r="D398" s="483">
        <v>278</v>
      </c>
      <c r="E398" s="483" t="s">
        <v>4018</v>
      </c>
      <c r="F398" s="505" t="s">
        <v>3851</v>
      </c>
      <c r="G398" s="483">
        <v>1</v>
      </c>
      <c r="H398" s="483">
        <v>2</v>
      </c>
      <c r="I398" s="483">
        <v>2</v>
      </c>
      <c r="J398" s="505" t="s">
        <v>2172</v>
      </c>
      <c r="K398" s="505" t="s">
        <v>1507</v>
      </c>
      <c r="L398" s="1485">
        <v>0.8</v>
      </c>
      <c r="M398" s="519">
        <v>1.25</v>
      </c>
      <c r="N398" s="1546">
        <v>1.25</v>
      </c>
      <c r="O398" s="483">
        <v>0</v>
      </c>
      <c r="P398" s="483">
        <v>0</v>
      </c>
      <c r="Q398" s="483">
        <v>1</v>
      </c>
      <c r="R398" s="666">
        <v>46255.175497685188</v>
      </c>
      <c r="S398" s="483">
        <v>1</v>
      </c>
      <c r="T398" s="483">
        <v>1</v>
      </c>
      <c r="V398" t="str">
        <f t="shared" si="14"/>
        <v>pcs</v>
      </c>
    </row>
    <row r="399" spans="3:22" ht="21.95" customHeight="1">
      <c r="C399" s="483">
        <v>372</v>
      </c>
      <c r="D399" s="483">
        <v>279</v>
      </c>
      <c r="E399" s="483" t="s">
        <v>4019</v>
      </c>
      <c r="F399" s="505" t="s">
        <v>3852</v>
      </c>
      <c r="G399" s="483">
        <v>1</v>
      </c>
      <c r="H399" s="483">
        <v>2</v>
      </c>
      <c r="I399" s="483">
        <v>2</v>
      </c>
      <c r="J399" s="505" t="s">
        <v>2172</v>
      </c>
      <c r="K399" s="505" t="s">
        <v>1507</v>
      </c>
      <c r="L399" s="1485">
        <v>1.2</v>
      </c>
      <c r="M399" s="519">
        <v>1.75</v>
      </c>
      <c r="N399" s="1546">
        <v>1.75</v>
      </c>
      <c r="O399" s="483">
        <v>0</v>
      </c>
      <c r="P399" s="483">
        <v>0</v>
      </c>
      <c r="Q399" s="483">
        <v>1</v>
      </c>
      <c r="R399" s="666">
        <v>46255.175497685188</v>
      </c>
      <c r="S399" s="483">
        <v>1</v>
      </c>
      <c r="T399" s="483">
        <v>1</v>
      </c>
      <c r="V399" t="str">
        <f t="shared" si="14"/>
        <v>pcs</v>
      </c>
    </row>
    <row r="400" spans="3:22" ht="21.95" customHeight="1">
      <c r="C400" s="483">
        <v>373</v>
      </c>
      <c r="D400" s="483">
        <v>280</v>
      </c>
      <c r="E400" s="483" t="s">
        <v>4020</v>
      </c>
      <c r="F400" s="505" t="s">
        <v>3853</v>
      </c>
      <c r="G400" s="483">
        <v>1</v>
      </c>
      <c r="H400" s="483">
        <v>2</v>
      </c>
      <c r="I400" s="483">
        <v>2</v>
      </c>
      <c r="J400" s="505" t="s">
        <v>2172</v>
      </c>
      <c r="K400" s="505" t="s">
        <v>1507</v>
      </c>
      <c r="L400" s="1485">
        <v>2</v>
      </c>
      <c r="M400" s="519">
        <v>2.5</v>
      </c>
      <c r="N400" s="1546">
        <v>2.5</v>
      </c>
      <c r="O400" s="483">
        <v>0</v>
      </c>
      <c r="P400" s="483">
        <v>0</v>
      </c>
      <c r="Q400" s="483">
        <v>1</v>
      </c>
      <c r="R400" s="666">
        <v>46255.175497685188</v>
      </c>
      <c r="S400" s="483">
        <v>1</v>
      </c>
      <c r="T400" s="483">
        <v>1</v>
      </c>
      <c r="V400" t="str">
        <f t="shared" si="14"/>
        <v>pcs</v>
      </c>
    </row>
    <row r="401" spans="3:22" ht="21.95" customHeight="1">
      <c r="C401" s="483">
        <v>374</v>
      </c>
      <c r="D401" s="483">
        <v>281</v>
      </c>
      <c r="E401" s="483" t="s">
        <v>4021</v>
      </c>
      <c r="F401" s="505" t="s">
        <v>3854</v>
      </c>
      <c r="G401" s="483">
        <v>1</v>
      </c>
      <c r="H401" s="483">
        <v>2</v>
      </c>
      <c r="I401" s="483">
        <v>2</v>
      </c>
      <c r="J401" s="505" t="s">
        <v>2172</v>
      </c>
      <c r="K401" s="505" t="s">
        <v>1507</v>
      </c>
      <c r="L401" s="1485">
        <v>4</v>
      </c>
      <c r="M401" s="519">
        <v>5</v>
      </c>
      <c r="N401" s="1546">
        <v>5</v>
      </c>
      <c r="O401" s="483">
        <v>0</v>
      </c>
      <c r="P401" s="483">
        <v>0</v>
      </c>
      <c r="Q401" s="483">
        <v>1</v>
      </c>
      <c r="R401" s="666">
        <v>46255.175497685188</v>
      </c>
      <c r="S401" s="483">
        <v>1</v>
      </c>
      <c r="T401" s="483">
        <v>1</v>
      </c>
      <c r="V401" t="str">
        <f t="shared" si="14"/>
        <v>pcs</v>
      </c>
    </row>
    <row r="402" spans="3:22" ht="21.95" customHeight="1">
      <c r="C402" s="483">
        <v>375</v>
      </c>
      <c r="D402" s="483">
        <v>282</v>
      </c>
      <c r="E402" s="483" t="s">
        <v>4022</v>
      </c>
      <c r="F402" s="505" t="s">
        <v>3855</v>
      </c>
      <c r="G402" s="483">
        <v>1</v>
      </c>
      <c r="H402" s="483">
        <v>2</v>
      </c>
      <c r="I402" s="483">
        <v>2</v>
      </c>
      <c r="J402" s="505" t="s">
        <v>2172</v>
      </c>
      <c r="K402" s="505" t="s">
        <v>1507</v>
      </c>
      <c r="L402" s="1485">
        <v>2.2000000000000002</v>
      </c>
      <c r="M402" s="519">
        <v>3.5</v>
      </c>
      <c r="N402" s="1546">
        <v>3.5</v>
      </c>
      <c r="O402" s="483">
        <v>0</v>
      </c>
      <c r="P402" s="483">
        <v>0</v>
      </c>
      <c r="Q402" s="483">
        <v>1</v>
      </c>
      <c r="R402" s="666">
        <v>46255.175497685188</v>
      </c>
      <c r="S402" s="483">
        <v>1</v>
      </c>
      <c r="T402" s="483">
        <v>1</v>
      </c>
      <c r="V402" t="str">
        <f t="shared" si="14"/>
        <v>pcs</v>
      </c>
    </row>
    <row r="403" spans="3:22" ht="21.95" customHeight="1">
      <c r="C403" s="483">
        <v>376</v>
      </c>
      <c r="D403" s="483">
        <v>283</v>
      </c>
      <c r="E403" s="483" t="s">
        <v>4023</v>
      </c>
      <c r="F403" s="505" t="s">
        <v>3856</v>
      </c>
      <c r="G403" s="483">
        <v>1</v>
      </c>
      <c r="H403" s="483">
        <v>2</v>
      </c>
      <c r="I403" s="483">
        <v>2</v>
      </c>
      <c r="J403" s="505" t="s">
        <v>2172</v>
      </c>
      <c r="K403" s="505" t="s">
        <v>1507</v>
      </c>
      <c r="L403" s="1485">
        <v>2</v>
      </c>
      <c r="M403" s="519">
        <v>3.25</v>
      </c>
      <c r="N403" s="1546">
        <v>3.25</v>
      </c>
      <c r="O403" s="483">
        <v>0</v>
      </c>
      <c r="P403" s="483">
        <v>0</v>
      </c>
      <c r="Q403" s="483">
        <v>1</v>
      </c>
      <c r="R403" s="666">
        <v>46255.175497685188</v>
      </c>
      <c r="S403" s="483">
        <v>1</v>
      </c>
      <c r="T403" s="483">
        <v>1</v>
      </c>
      <c r="V403" t="str">
        <f t="shared" si="14"/>
        <v>pcs</v>
      </c>
    </row>
    <row r="404" spans="3:22" ht="21.95" customHeight="1">
      <c r="C404" s="483">
        <v>377</v>
      </c>
      <c r="D404" s="483">
        <v>284</v>
      </c>
      <c r="E404" s="483" t="s">
        <v>4024</v>
      </c>
      <c r="F404" s="505" t="s">
        <v>3857</v>
      </c>
      <c r="G404" s="483">
        <v>1</v>
      </c>
      <c r="H404" s="483">
        <v>2</v>
      </c>
      <c r="I404" s="483">
        <v>2</v>
      </c>
      <c r="J404" s="505" t="s">
        <v>2172</v>
      </c>
      <c r="K404" s="505" t="s">
        <v>1507</v>
      </c>
      <c r="L404" s="1485">
        <v>0.12</v>
      </c>
      <c r="M404" s="519">
        <v>0.18</v>
      </c>
      <c r="N404" s="1546">
        <v>0.18</v>
      </c>
      <c r="O404" s="483">
        <v>0</v>
      </c>
      <c r="P404" s="483">
        <v>0</v>
      </c>
      <c r="Q404" s="483">
        <v>1</v>
      </c>
      <c r="R404" s="666">
        <v>46255.175497685188</v>
      </c>
      <c r="S404" s="483">
        <v>1</v>
      </c>
      <c r="T404" s="483">
        <v>1</v>
      </c>
      <c r="V404" t="str">
        <f t="shared" si="14"/>
        <v>pcs</v>
      </c>
    </row>
    <row r="405" spans="3:22" ht="21.95" customHeight="1">
      <c r="C405" s="483">
        <v>378</v>
      </c>
      <c r="D405" s="483">
        <v>285</v>
      </c>
      <c r="E405" s="483" t="s">
        <v>4025</v>
      </c>
      <c r="F405" s="505" t="s">
        <v>3858</v>
      </c>
      <c r="G405" s="483">
        <v>1</v>
      </c>
      <c r="H405" s="483">
        <v>2</v>
      </c>
      <c r="I405" s="483">
        <v>2</v>
      </c>
      <c r="J405" s="505" t="s">
        <v>2172</v>
      </c>
      <c r="K405" s="505" t="s">
        <v>1507</v>
      </c>
      <c r="L405" s="1485">
        <v>0.12</v>
      </c>
      <c r="M405" s="519">
        <v>0.25</v>
      </c>
      <c r="N405" s="1546">
        <v>0.25</v>
      </c>
      <c r="O405" s="483">
        <v>0</v>
      </c>
      <c r="P405" s="483">
        <v>0</v>
      </c>
      <c r="Q405" s="483">
        <v>1</v>
      </c>
      <c r="R405" s="666">
        <v>46255.175497685188</v>
      </c>
      <c r="S405" s="483">
        <v>1</v>
      </c>
      <c r="T405" s="483">
        <v>1</v>
      </c>
      <c r="V405" t="str">
        <f t="shared" si="14"/>
        <v>pcs</v>
      </c>
    </row>
    <row r="406" spans="3:22" ht="21.95" customHeight="1">
      <c r="C406" s="483">
        <v>379</v>
      </c>
      <c r="D406" s="483">
        <v>286</v>
      </c>
      <c r="E406" s="483" t="s">
        <v>4026</v>
      </c>
      <c r="F406" s="505" t="s">
        <v>3859</v>
      </c>
      <c r="G406" s="483">
        <v>1</v>
      </c>
      <c r="H406" s="483">
        <v>2</v>
      </c>
      <c r="I406" s="483">
        <v>2</v>
      </c>
      <c r="J406" s="505" t="s">
        <v>2172</v>
      </c>
      <c r="K406" s="505" t="s">
        <v>1507</v>
      </c>
      <c r="L406" s="1485">
        <v>0.25</v>
      </c>
      <c r="M406" s="519">
        <v>0.5</v>
      </c>
      <c r="N406" s="1546">
        <v>0.5</v>
      </c>
      <c r="O406" s="483">
        <v>0</v>
      </c>
      <c r="P406" s="483">
        <v>0</v>
      </c>
      <c r="Q406" s="483">
        <v>1</v>
      </c>
      <c r="R406" s="666">
        <v>46255.175497685188</v>
      </c>
      <c r="S406" s="483">
        <v>1</v>
      </c>
      <c r="T406" s="483">
        <v>1</v>
      </c>
      <c r="V406" t="str">
        <f t="shared" si="14"/>
        <v>pcs</v>
      </c>
    </row>
    <row r="407" spans="3:22" ht="21.95" customHeight="1">
      <c r="C407" s="483">
        <v>380</v>
      </c>
      <c r="D407" s="1447">
        <v>287</v>
      </c>
      <c r="E407" s="1447" t="s">
        <v>4027</v>
      </c>
      <c r="F407" s="1448" t="s">
        <v>4139</v>
      </c>
      <c r="G407" s="1447">
        <v>1</v>
      </c>
      <c r="H407" s="1447">
        <v>2</v>
      </c>
      <c r="I407" s="1447">
        <v>73</v>
      </c>
      <c r="J407" s="1448" t="s">
        <v>4135</v>
      </c>
      <c r="K407" s="1448" t="s">
        <v>4140</v>
      </c>
      <c r="L407" s="1496">
        <v>0.9</v>
      </c>
      <c r="M407" s="1497">
        <v>0</v>
      </c>
      <c r="N407" s="1548">
        <v>1</v>
      </c>
      <c r="O407" s="1447">
        <v>0</v>
      </c>
      <c r="P407" s="1447">
        <v>0</v>
      </c>
      <c r="Q407" s="1447">
        <v>1</v>
      </c>
      <c r="R407" s="1498">
        <v>46255.422766203701</v>
      </c>
      <c r="S407" s="1447">
        <v>1</v>
      </c>
      <c r="T407" s="1447">
        <v>1</v>
      </c>
      <c r="V407" t="str">
        <f t="shared" si="14"/>
        <v>kg/10kham</v>
      </c>
    </row>
    <row r="408" spans="3:22" ht="21.95" customHeight="1">
      <c r="C408" s="483">
        <v>381</v>
      </c>
      <c r="D408" s="483">
        <v>288</v>
      </c>
      <c r="E408" s="483" t="s">
        <v>4028</v>
      </c>
      <c r="F408" s="505" t="s">
        <v>3861</v>
      </c>
      <c r="G408" s="483">
        <v>1</v>
      </c>
      <c r="H408" s="483">
        <v>2</v>
      </c>
      <c r="I408" s="483">
        <v>30</v>
      </c>
      <c r="J408" s="505" t="s">
        <v>2168</v>
      </c>
      <c r="K408" s="505" t="s">
        <v>1507</v>
      </c>
      <c r="L408" s="1485">
        <v>5</v>
      </c>
      <c r="M408" s="519">
        <v>6</v>
      </c>
      <c r="N408" s="1546">
        <v>6</v>
      </c>
      <c r="O408" s="483">
        <v>0</v>
      </c>
      <c r="P408" s="483">
        <v>0</v>
      </c>
      <c r="Q408" s="483">
        <v>1</v>
      </c>
      <c r="R408" s="666">
        <v>46255.175497685188</v>
      </c>
      <c r="S408" s="483">
        <v>1</v>
      </c>
      <c r="T408" s="483">
        <v>1</v>
      </c>
      <c r="V408" t="str">
        <f t="shared" si="14"/>
        <v>Case/12pcs</v>
      </c>
    </row>
    <row r="409" spans="3:22" ht="21.95" customHeight="1">
      <c r="C409" s="483">
        <v>382</v>
      </c>
      <c r="D409" s="483">
        <v>288</v>
      </c>
      <c r="E409" s="483" t="s">
        <v>4028</v>
      </c>
      <c r="F409" s="505" t="s">
        <v>3861</v>
      </c>
      <c r="G409" s="483">
        <v>1</v>
      </c>
      <c r="H409" s="483">
        <v>2</v>
      </c>
      <c r="I409" s="483">
        <v>2</v>
      </c>
      <c r="J409" s="505" t="s">
        <v>2172</v>
      </c>
      <c r="K409" s="505" t="s">
        <v>1507</v>
      </c>
      <c r="L409" s="1485">
        <v>0.41666666666666669</v>
      </c>
      <c r="M409" s="519">
        <v>0.5</v>
      </c>
      <c r="N409" s="1546">
        <v>0.5</v>
      </c>
      <c r="O409" s="483">
        <v>0</v>
      </c>
      <c r="P409" s="483">
        <v>0</v>
      </c>
      <c r="Q409" s="483">
        <v>1</v>
      </c>
      <c r="R409" s="666">
        <v>46255.175497685188</v>
      </c>
      <c r="S409" s="483">
        <v>1</v>
      </c>
      <c r="T409" s="483">
        <v>1</v>
      </c>
      <c r="V409" t="str">
        <f t="shared" si="14"/>
        <v>pcs</v>
      </c>
    </row>
    <row r="410" spans="3:22" ht="21.95" customHeight="1">
      <c r="C410" s="483">
        <v>383</v>
      </c>
      <c r="D410" s="483">
        <v>289</v>
      </c>
      <c r="E410" s="483" t="s">
        <v>4029</v>
      </c>
      <c r="F410" s="505" t="s">
        <v>3862</v>
      </c>
      <c r="G410" s="483">
        <v>1</v>
      </c>
      <c r="H410" s="483">
        <v>2</v>
      </c>
      <c r="I410" s="483">
        <v>63</v>
      </c>
      <c r="J410" s="505" t="s">
        <v>3742</v>
      </c>
      <c r="K410" s="505" t="s">
        <v>1507</v>
      </c>
      <c r="L410" s="1485">
        <v>5.8</v>
      </c>
      <c r="M410" s="519">
        <v>7</v>
      </c>
      <c r="N410" s="1546">
        <v>7</v>
      </c>
      <c r="O410" s="483">
        <v>0</v>
      </c>
      <c r="P410" s="483">
        <v>0</v>
      </c>
      <c r="Q410" s="483">
        <v>1</v>
      </c>
      <c r="R410" s="666">
        <v>46255.175497685188</v>
      </c>
      <c r="S410" s="483">
        <v>1</v>
      </c>
      <c r="T410" s="483">
        <v>1</v>
      </c>
      <c r="V410" t="str">
        <f t="shared" si="14"/>
        <v>Case/8pcs</v>
      </c>
    </row>
    <row r="411" spans="3:22" ht="21.95" customHeight="1">
      <c r="C411" s="483">
        <v>384</v>
      </c>
      <c r="D411" s="483">
        <v>289</v>
      </c>
      <c r="E411" s="483" t="s">
        <v>4029</v>
      </c>
      <c r="F411" s="505" t="s">
        <v>3862</v>
      </c>
      <c r="G411" s="483">
        <v>1</v>
      </c>
      <c r="H411" s="483">
        <v>2</v>
      </c>
      <c r="I411" s="483">
        <v>2</v>
      </c>
      <c r="J411" s="505" t="s">
        <v>2172</v>
      </c>
      <c r="K411" s="505" t="s">
        <v>1507</v>
      </c>
      <c r="L411" s="1485">
        <v>0.72499999999999998</v>
      </c>
      <c r="M411" s="519">
        <v>0.88</v>
      </c>
      <c r="N411" s="1546">
        <v>0.88</v>
      </c>
      <c r="O411" s="483">
        <v>0</v>
      </c>
      <c r="P411" s="483">
        <v>0</v>
      </c>
      <c r="Q411" s="483">
        <v>1</v>
      </c>
      <c r="R411" s="666">
        <v>46255.175497685188</v>
      </c>
      <c r="S411" s="483">
        <v>1</v>
      </c>
      <c r="T411" s="483">
        <v>1</v>
      </c>
      <c r="V411" t="str">
        <f t="shared" si="14"/>
        <v>pcs</v>
      </c>
    </row>
    <row r="412" spans="3:22" ht="21.95" customHeight="1">
      <c r="C412" s="483">
        <v>385</v>
      </c>
      <c r="D412" s="483">
        <v>290</v>
      </c>
      <c r="E412" s="483" t="s">
        <v>4030</v>
      </c>
      <c r="F412" s="505" t="s">
        <v>3863</v>
      </c>
      <c r="G412" s="483">
        <v>1</v>
      </c>
      <c r="H412" s="483">
        <v>2</v>
      </c>
      <c r="I412" s="483">
        <v>29</v>
      </c>
      <c r="J412" s="505" t="s">
        <v>2167</v>
      </c>
      <c r="K412" s="505" t="s">
        <v>1507</v>
      </c>
      <c r="L412" s="1485">
        <v>6</v>
      </c>
      <c r="M412" s="519">
        <v>8.5</v>
      </c>
      <c r="N412" s="1546">
        <v>8.5</v>
      </c>
      <c r="O412" s="483">
        <v>0</v>
      </c>
      <c r="P412" s="483">
        <v>0</v>
      </c>
      <c r="Q412" s="483">
        <v>1</v>
      </c>
      <c r="R412" s="666">
        <v>46255.175497685188</v>
      </c>
      <c r="S412" s="483">
        <v>1</v>
      </c>
      <c r="T412" s="483">
        <v>1</v>
      </c>
      <c r="V412" t="str">
        <f t="shared" ref="V412:V475" si="15">IF(I412="","",VLOOKUP(I412,uom_list,5,FALSE))</f>
        <v>Case/4pcs</v>
      </c>
    </row>
    <row r="413" spans="3:22" ht="21.95" customHeight="1">
      <c r="C413" s="483">
        <v>386</v>
      </c>
      <c r="D413" s="483">
        <v>290</v>
      </c>
      <c r="E413" s="483" t="s">
        <v>4030</v>
      </c>
      <c r="F413" s="505" t="s">
        <v>3863</v>
      </c>
      <c r="G413" s="483">
        <v>1</v>
      </c>
      <c r="H413" s="483">
        <v>2</v>
      </c>
      <c r="I413" s="483">
        <v>2</v>
      </c>
      <c r="J413" s="505" t="s">
        <v>2172</v>
      </c>
      <c r="K413" s="505" t="s">
        <v>1507</v>
      </c>
      <c r="L413" s="1485">
        <v>1.5</v>
      </c>
      <c r="M413" s="519">
        <v>2.13</v>
      </c>
      <c r="N413" s="1546">
        <v>2.13</v>
      </c>
      <c r="O413" s="483">
        <v>0</v>
      </c>
      <c r="P413" s="483">
        <v>0</v>
      </c>
      <c r="Q413" s="483">
        <v>1</v>
      </c>
      <c r="R413" s="666">
        <v>46255.175497685188</v>
      </c>
      <c r="S413" s="483">
        <v>1</v>
      </c>
      <c r="T413" s="483">
        <v>1</v>
      </c>
      <c r="V413" t="str">
        <f t="shared" si="15"/>
        <v>pcs</v>
      </c>
    </row>
    <row r="414" spans="3:22" ht="21.95" customHeight="1">
      <c r="C414" s="483">
        <v>387</v>
      </c>
      <c r="D414" s="483">
        <v>291</v>
      </c>
      <c r="E414" s="483" t="s">
        <v>4031</v>
      </c>
      <c r="F414" s="505" t="s">
        <v>3864</v>
      </c>
      <c r="G414" s="483">
        <v>1</v>
      </c>
      <c r="H414" s="483">
        <v>2</v>
      </c>
      <c r="I414" s="483">
        <v>32</v>
      </c>
      <c r="J414" s="505" t="s">
        <v>2590</v>
      </c>
      <c r="K414" s="505" t="s">
        <v>1507</v>
      </c>
      <c r="L414" s="1485">
        <v>31</v>
      </c>
      <c r="M414" s="519">
        <v>35</v>
      </c>
      <c r="N414" s="1546">
        <v>35</v>
      </c>
      <c r="O414" s="483">
        <v>0</v>
      </c>
      <c r="P414" s="483">
        <v>0</v>
      </c>
      <c r="Q414" s="483">
        <v>1</v>
      </c>
      <c r="R414" s="666">
        <v>46255.175497685188</v>
      </c>
      <c r="S414" s="483">
        <v>1</v>
      </c>
      <c r="T414" s="483">
        <v>1</v>
      </c>
      <c r="V414" t="str">
        <f t="shared" si="15"/>
        <v>Case/24pcs</v>
      </c>
    </row>
    <row r="415" spans="3:22" ht="21.95" customHeight="1">
      <c r="C415" s="483">
        <v>388</v>
      </c>
      <c r="D415" s="483">
        <v>291</v>
      </c>
      <c r="E415" s="483" t="s">
        <v>4031</v>
      </c>
      <c r="F415" s="505" t="s">
        <v>3864</v>
      </c>
      <c r="G415" s="483">
        <v>1</v>
      </c>
      <c r="H415" s="483">
        <v>2</v>
      </c>
      <c r="I415" s="483">
        <v>2</v>
      </c>
      <c r="J415" s="505" t="s">
        <v>2172</v>
      </c>
      <c r="K415" s="505" t="s">
        <v>1507</v>
      </c>
      <c r="L415" s="1485">
        <v>1.2916666666666667</v>
      </c>
      <c r="M415" s="519">
        <v>1.75</v>
      </c>
      <c r="N415" s="1546">
        <v>1.75</v>
      </c>
      <c r="O415" s="483">
        <v>0</v>
      </c>
      <c r="P415" s="483">
        <v>0</v>
      </c>
      <c r="Q415" s="483">
        <v>1</v>
      </c>
      <c r="R415" s="666">
        <v>46255.175497685188</v>
      </c>
      <c r="S415" s="483">
        <v>1</v>
      </c>
      <c r="T415" s="483">
        <v>1</v>
      </c>
      <c r="V415" t="str">
        <f t="shared" si="15"/>
        <v>pcs</v>
      </c>
    </row>
    <row r="416" spans="3:22" ht="21.95" customHeight="1">
      <c r="C416" s="483">
        <v>389</v>
      </c>
      <c r="D416" s="483">
        <v>292</v>
      </c>
      <c r="E416" s="483" t="s">
        <v>4032</v>
      </c>
      <c r="F416" s="505" t="s">
        <v>3865</v>
      </c>
      <c r="G416" s="483">
        <v>1</v>
      </c>
      <c r="H416" s="483">
        <v>2</v>
      </c>
      <c r="I416" s="483">
        <v>32</v>
      </c>
      <c r="J416" s="505" t="s">
        <v>2590</v>
      </c>
      <c r="K416" s="505" t="s">
        <v>1507</v>
      </c>
      <c r="L416" s="1485">
        <v>31</v>
      </c>
      <c r="M416" s="519">
        <v>35</v>
      </c>
      <c r="N416" s="1546">
        <v>35</v>
      </c>
      <c r="O416" s="483">
        <v>0</v>
      </c>
      <c r="P416" s="483">
        <v>0</v>
      </c>
      <c r="Q416" s="483">
        <v>1</v>
      </c>
      <c r="R416" s="666">
        <v>46255.175497685188</v>
      </c>
      <c r="S416" s="483">
        <v>1</v>
      </c>
      <c r="T416" s="483">
        <v>1</v>
      </c>
      <c r="V416" t="str">
        <f t="shared" si="15"/>
        <v>Case/24pcs</v>
      </c>
    </row>
    <row r="417" spans="2:27" ht="21.95" customHeight="1">
      <c r="C417" s="483">
        <v>390</v>
      </c>
      <c r="D417" s="483">
        <v>292</v>
      </c>
      <c r="E417" s="483" t="s">
        <v>4032</v>
      </c>
      <c r="F417" s="505" t="s">
        <v>3865</v>
      </c>
      <c r="G417" s="483">
        <v>1</v>
      </c>
      <c r="H417" s="483">
        <v>2</v>
      </c>
      <c r="I417" s="483">
        <v>2</v>
      </c>
      <c r="J417" s="505" t="s">
        <v>2172</v>
      </c>
      <c r="K417" s="505" t="s">
        <v>1507</v>
      </c>
      <c r="L417" s="1485">
        <v>1.2916666666666667</v>
      </c>
      <c r="M417" s="519">
        <v>1.75</v>
      </c>
      <c r="N417" s="1546">
        <v>1.75</v>
      </c>
      <c r="O417" s="483">
        <v>0</v>
      </c>
      <c r="P417" s="483">
        <v>0</v>
      </c>
      <c r="Q417" s="483">
        <v>1</v>
      </c>
      <c r="R417" s="666">
        <v>46255.175497685188</v>
      </c>
      <c r="S417" s="483">
        <v>1</v>
      </c>
      <c r="T417" s="483">
        <v>1</v>
      </c>
      <c r="V417" t="str">
        <f t="shared" si="15"/>
        <v>pcs</v>
      </c>
    </row>
    <row r="418" spans="2:27" ht="21.95" customHeight="1">
      <c r="C418" s="483">
        <v>391</v>
      </c>
      <c r="D418" s="483">
        <v>293</v>
      </c>
      <c r="E418" s="483" t="s">
        <v>4033</v>
      </c>
      <c r="F418" s="505" t="s">
        <v>3866</v>
      </c>
      <c r="G418" s="483">
        <v>1</v>
      </c>
      <c r="H418" s="483">
        <v>2</v>
      </c>
      <c r="I418" s="483">
        <v>72</v>
      </c>
      <c r="J418" s="505" t="s">
        <v>4132</v>
      </c>
      <c r="K418" s="505" t="s">
        <v>1507</v>
      </c>
      <c r="L418" s="1485">
        <v>12</v>
      </c>
      <c r="M418" s="519">
        <v>15</v>
      </c>
      <c r="N418" s="1546">
        <v>15</v>
      </c>
      <c r="O418" s="483">
        <v>0</v>
      </c>
      <c r="P418" s="483">
        <v>0</v>
      </c>
      <c r="Q418" s="483">
        <v>1</v>
      </c>
      <c r="R418" s="666">
        <v>46255.175497685188</v>
      </c>
      <c r="S418" s="483">
        <v>1</v>
      </c>
      <c r="T418" s="483">
        <v>1</v>
      </c>
      <c r="V418" t="str">
        <f t="shared" si="15"/>
        <v>m3/35petro</v>
      </c>
    </row>
    <row r="419" spans="2:27" ht="21.95" customHeight="1">
      <c r="C419" s="483">
        <v>392</v>
      </c>
      <c r="D419" s="483">
        <v>293</v>
      </c>
      <c r="E419" s="483" t="s">
        <v>4033</v>
      </c>
      <c r="F419" s="505" t="s">
        <v>3866</v>
      </c>
      <c r="G419" s="483">
        <v>1</v>
      </c>
      <c r="H419" s="483">
        <v>2</v>
      </c>
      <c r="I419" s="483">
        <v>71</v>
      </c>
      <c r="J419" s="505" t="s">
        <v>4126</v>
      </c>
      <c r="K419" s="505" t="s">
        <v>1507</v>
      </c>
      <c r="L419" s="1485">
        <v>0.34285714285714286</v>
      </c>
      <c r="M419" s="519">
        <v>0.63</v>
      </c>
      <c r="N419" s="1546">
        <v>0.63</v>
      </c>
      <c r="O419" s="483">
        <v>0</v>
      </c>
      <c r="P419" s="483">
        <v>0</v>
      </c>
      <c r="Q419" s="483">
        <v>1</v>
      </c>
      <c r="R419" s="666">
        <v>46255.175497685188</v>
      </c>
      <c r="S419" s="483">
        <v>1</v>
      </c>
      <c r="T419" s="483">
        <v>1</v>
      </c>
      <c r="V419" t="str">
        <f t="shared" si="15"/>
        <v>Petro</v>
      </c>
    </row>
    <row r="420" spans="2:27" ht="21.95" customHeight="1">
      <c r="C420" s="483">
        <v>393</v>
      </c>
      <c r="D420" s="483">
        <v>294</v>
      </c>
      <c r="E420" s="483" t="s">
        <v>4034</v>
      </c>
      <c r="F420" s="505" t="s">
        <v>3867</v>
      </c>
      <c r="G420" s="483">
        <v>1</v>
      </c>
      <c r="H420" s="483">
        <v>2</v>
      </c>
      <c r="I420" s="483">
        <v>72</v>
      </c>
      <c r="J420" s="505" t="s">
        <v>4132</v>
      </c>
      <c r="K420" s="505" t="s">
        <v>1507</v>
      </c>
      <c r="L420" s="1485">
        <v>17</v>
      </c>
      <c r="M420" s="519">
        <v>20</v>
      </c>
      <c r="N420" s="1546">
        <v>20</v>
      </c>
      <c r="O420" s="483">
        <v>0</v>
      </c>
      <c r="P420" s="483">
        <v>0</v>
      </c>
      <c r="Q420" s="483">
        <v>1</v>
      </c>
      <c r="R420" s="666">
        <v>46255.175497685188</v>
      </c>
      <c r="S420" s="483">
        <v>1</v>
      </c>
      <c r="T420" s="483">
        <v>1</v>
      </c>
      <c r="V420" t="str">
        <f>IF(I420="","",VLOOKUP(I420,uom_list,5,FALSE))</f>
        <v>m3/35petro</v>
      </c>
    </row>
    <row r="421" spans="2:27" ht="21.95" customHeight="1">
      <c r="C421" s="483">
        <v>394</v>
      </c>
      <c r="D421" s="483">
        <v>295</v>
      </c>
      <c r="E421" s="483" t="s">
        <v>4035</v>
      </c>
      <c r="F421" s="505" t="s">
        <v>3868</v>
      </c>
      <c r="G421" s="483">
        <v>1</v>
      </c>
      <c r="H421" s="483">
        <v>2</v>
      </c>
      <c r="I421" s="483">
        <v>20</v>
      </c>
      <c r="J421" s="505" t="s">
        <v>4133</v>
      </c>
      <c r="K421" s="505" t="s">
        <v>1507</v>
      </c>
      <c r="L421" s="1485">
        <v>16</v>
      </c>
      <c r="M421" s="519">
        <v>19</v>
      </c>
      <c r="N421" s="1546">
        <v>19</v>
      </c>
      <c r="O421" s="483">
        <v>0</v>
      </c>
      <c r="P421" s="483">
        <v>0</v>
      </c>
      <c r="Q421" s="483">
        <v>1</v>
      </c>
      <c r="R421" s="666">
        <v>46255.175497685188</v>
      </c>
      <c r="S421" s="483">
        <v>1</v>
      </c>
      <c r="T421" s="483">
        <v>1</v>
      </c>
      <c r="V421" t="str">
        <f t="shared" si="15"/>
        <v>m3</v>
      </c>
    </row>
    <row r="422" spans="2:27" ht="21.95" customHeight="1">
      <c r="C422" s="483">
        <v>395</v>
      </c>
      <c r="D422" s="483">
        <v>296</v>
      </c>
      <c r="E422" s="483" t="s">
        <v>4036</v>
      </c>
      <c r="F422" s="505" t="s">
        <v>3869</v>
      </c>
      <c r="G422" s="483">
        <v>1</v>
      </c>
      <c r="H422" s="483">
        <v>2</v>
      </c>
      <c r="I422" s="483">
        <v>2</v>
      </c>
      <c r="J422" s="505" t="s">
        <v>2172</v>
      </c>
      <c r="K422" s="505" t="s">
        <v>1507</v>
      </c>
      <c r="L422" s="1485">
        <v>2.5</v>
      </c>
      <c r="M422" s="519">
        <v>3</v>
      </c>
      <c r="N422" s="1546">
        <v>3</v>
      </c>
      <c r="O422" s="483">
        <v>0</v>
      </c>
      <c r="P422" s="483">
        <v>0</v>
      </c>
      <c r="Q422" s="483">
        <v>1</v>
      </c>
      <c r="R422" s="666">
        <v>46255.175497685188</v>
      </c>
      <c r="S422" s="483">
        <v>1</v>
      </c>
      <c r="T422" s="483">
        <v>1</v>
      </c>
      <c r="V422" t="str">
        <f t="shared" si="15"/>
        <v>pcs</v>
      </c>
    </row>
    <row r="423" spans="2:27" ht="21.95" customHeight="1">
      <c r="C423" s="483">
        <v>396</v>
      </c>
      <c r="D423" s="483">
        <v>297</v>
      </c>
      <c r="E423" s="483" t="s">
        <v>4037</v>
      </c>
      <c r="F423" s="505" t="s">
        <v>3870</v>
      </c>
      <c r="G423" s="483">
        <v>1</v>
      </c>
      <c r="H423" s="483">
        <v>2</v>
      </c>
      <c r="I423" s="483">
        <v>2</v>
      </c>
      <c r="J423" s="505" t="s">
        <v>2172</v>
      </c>
      <c r="K423" s="505" t="s">
        <v>1507</v>
      </c>
      <c r="L423" s="1485">
        <v>8.5</v>
      </c>
      <c r="M423" s="519">
        <v>10</v>
      </c>
      <c r="N423" s="1546">
        <v>10</v>
      </c>
      <c r="O423" s="483">
        <v>0</v>
      </c>
      <c r="P423" s="483">
        <v>0</v>
      </c>
      <c r="Q423" s="483">
        <v>1</v>
      </c>
      <c r="R423" s="666">
        <v>46255.175497685188</v>
      </c>
      <c r="S423" s="483">
        <v>1</v>
      </c>
      <c r="T423" s="483">
        <v>1</v>
      </c>
      <c r="V423" t="str">
        <f t="shared" si="15"/>
        <v>pcs</v>
      </c>
    </row>
    <row r="424" spans="2:27" ht="21.95" customHeight="1">
      <c r="C424" s="483">
        <v>397</v>
      </c>
      <c r="D424" s="483">
        <v>298</v>
      </c>
      <c r="E424" s="483" t="s">
        <v>4038</v>
      </c>
      <c r="F424" s="505" t="s">
        <v>3871</v>
      </c>
      <c r="G424" s="483">
        <v>1</v>
      </c>
      <c r="H424" s="483">
        <v>2</v>
      </c>
      <c r="I424" s="483">
        <v>56</v>
      </c>
      <c r="J424" s="505" t="s">
        <v>3721</v>
      </c>
      <c r="K424" s="505" t="s">
        <v>1507</v>
      </c>
      <c r="L424" s="1485">
        <v>3.8</v>
      </c>
      <c r="M424" s="519">
        <v>5</v>
      </c>
      <c r="N424" s="1546">
        <v>5</v>
      </c>
      <c r="O424" s="483">
        <v>0</v>
      </c>
      <c r="P424" s="483">
        <v>0</v>
      </c>
      <c r="Q424" s="483">
        <v>1</v>
      </c>
      <c r="R424" s="666">
        <v>46255.175497685188</v>
      </c>
      <c r="S424" s="483">
        <v>1</v>
      </c>
      <c r="T424" s="483">
        <v>1</v>
      </c>
      <c r="V424" t="str">
        <f t="shared" si="15"/>
        <v>Be/20kg</v>
      </c>
    </row>
    <row r="425" spans="2:27" ht="21.95" customHeight="1">
      <c r="C425" s="483">
        <v>398</v>
      </c>
      <c r="D425" s="483">
        <v>298</v>
      </c>
      <c r="E425" s="483" t="s">
        <v>4038</v>
      </c>
      <c r="F425" s="505" t="s">
        <v>3871</v>
      </c>
      <c r="G425" s="483">
        <v>1</v>
      </c>
      <c r="H425" s="483">
        <v>2</v>
      </c>
      <c r="I425" s="483">
        <v>12</v>
      </c>
      <c r="J425" s="505" t="s">
        <v>2685</v>
      </c>
      <c r="K425" s="505" t="s">
        <v>1507</v>
      </c>
      <c r="L425" s="1485">
        <v>0.19</v>
      </c>
      <c r="M425" s="519">
        <v>0.25</v>
      </c>
      <c r="N425" s="1546">
        <v>0.25</v>
      </c>
      <c r="O425" s="483">
        <v>0</v>
      </c>
      <c r="P425" s="483">
        <v>0</v>
      </c>
      <c r="Q425" s="483">
        <v>1</v>
      </c>
      <c r="R425" s="666">
        <v>46255.175497685188</v>
      </c>
      <c r="S425" s="483">
        <v>1</v>
      </c>
      <c r="T425" s="483">
        <v>1</v>
      </c>
      <c r="V425" t="str">
        <f t="shared" si="15"/>
        <v>kg</v>
      </c>
    </row>
    <row r="426" spans="2:27" ht="21.95" customHeight="1">
      <c r="C426" s="483">
        <v>399</v>
      </c>
      <c r="D426" s="483">
        <v>299</v>
      </c>
      <c r="E426" s="483" t="s">
        <v>4039</v>
      </c>
      <c r="F426" s="505" t="s">
        <v>3872</v>
      </c>
      <c r="G426" s="483">
        <v>1</v>
      </c>
      <c r="H426" s="483">
        <v>2</v>
      </c>
      <c r="I426" s="483">
        <v>2</v>
      </c>
      <c r="J426" s="505" t="s">
        <v>2172</v>
      </c>
      <c r="K426" s="505" t="s">
        <v>1507</v>
      </c>
      <c r="L426" s="1485">
        <v>5.4</v>
      </c>
      <c r="M426" s="519">
        <v>6.9</v>
      </c>
      <c r="N426" s="1546">
        <v>6.9</v>
      </c>
      <c r="O426" s="483">
        <v>0</v>
      </c>
      <c r="P426" s="483">
        <v>0</v>
      </c>
      <c r="Q426" s="483">
        <v>1</v>
      </c>
      <c r="R426" s="666">
        <v>46255.175497685188</v>
      </c>
      <c r="S426" s="483">
        <v>1</v>
      </c>
      <c r="T426" s="483">
        <v>1</v>
      </c>
      <c r="V426" t="str">
        <f t="shared" si="15"/>
        <v>pcs</v>
      </c>
    </row>
    <row r="427" spans="2:27" ht="21.95" customHeight="1">
      <c r="C427" s="483">
        <v>400</v>
      </c>
      <c r="D427" s="483">
        <v>300</v>
      </c>
      <c r="E427" s="483" t="s">
        <v>4040</v>
      </c>
      <c r="F427" s="505" t="s">
        <v>3873</v>
      </c>
      <c r="G427" s="483">
        <v>1</v>
      </c>
      <c r="H427" s="483">
        <v>2</v>
      </c>
      <c r="I427" s="483">
        <v>2</v>
      </c>
      <c r="J427" s="505" t="s">
        <v>2172</v>
      </c>
      <c r="K427" s="505" t="s">
        <v>1507</v>
      </c>
      <c r="L427" s="1485">
        <v>7.5</v>
      </c>
      <c r="M427" s="519">
        <v>8.5</v>
      </c>
      <c r="N427" s="1546">
        <v>8.5</v>
      </c>
      <c r="O427" s="483">
        <v>0</v>
      </c>
      <c r="P427" s="483">
        <v>0</v>
      </c>
      <c r="Q427" s="483">
        <v>1</v>
      </c>
      <c r="R427" s="666">
        <v>46255.175497685188</v>
      </c>
      <c r="S427" s="483">
        <v>1</v>
      </c>
      <c r="T427" s="483">
        <v>1</v>
      </c>
      <c r="V427" t="str">
        <f t="shared" si="15"/>
        <v>pcs</v>
      </c>
    </row>
    <row r="428" spans="2:27" s="1499" customFormat="1" ht="21.95" customHeight="1">
      <c r="B428" s="1495"/>
      <c r="C428" s="1447">
        <v>401</v>
      </c>
      <c r="D428" s="1447">
        <v>301</v>
      </c>
      <c r="E428" s="1447" t="s">
        <v>4041</v>
      </c>
      <c r="F428" s="1448" t="s">
        <v>3874</v>
      </c>
      <c r="G428" s="1447">
        <v>1</v>
      </c>
      <c r="H428" s="1447">
        <v>2</v>
      </c>
      <c r="I428" s="1447">
        <v>2</v>
      </c>
      <c r="J428" s="1448" t="s">
        <v>2172</v>
      </c>
      <c r="K428" s="1448" t="s">
        <v>1507</v>
      </c>
      <c r="L428" s="1496">
        <v>1.55</v>
      </c>
      <c r="M428" s="1497">
        <v>2</v>
      </c>
      <c r="N428" s="1548">
        <v>2</v>
      </c>
      <c r="O428" s="1447">
        <v>0</v>
      </c>
      <c r="P428" s="1447">
        <v>0</v>
      </c>
      <c r="Q428" s="1447">
        <v>1</v>
      </c>
      <c r="R428" s="1498">
        <v>46255.175497685188</v>
      </c>
      <c r="S428" s="1447">
        <v>1</v>
      </c>
      <c r="T428" s="1447">
        <v>1</v>
      </c>
      <c r="V428" s="1500" t="str">
        <f t="shared" si="15"/>
        <v>pcs</v>
      </c>
      <c r="W428" s="1500"/>
      <c r="X428" s="1500"/>
      <c r="Y428" s="1500"/>
      <c r="Z428" s="1500"/>
      <c r="AA428" s="1500"/>
    </row>
    <row r="429" spans="2:27" s="1499" customFormat="1" ht="21.95" customHeight="1">
      <c r="B429" s="1495"/>
      <c r="C429" s="1447">
        <v>402</v>
      </c>
      <c r="D429" s="1447">
        <v>302</v>
      </c>
      <c r="E429" s="1447" t="s">
        <v>4042</v>
      </c>
      <c r="F429" s="1448" t="s">
        <v>3875</v>
      </c>
      <c r="G429" s="1447">
        <v>1</v>
      </c>
      <c r="H429" s="1447">
        <v>2</v>
      </c>
      <c r="I429" s="1447">
        <v>2</v>
      </c>
      <c r="J429" s="1448" t="s">
        <v>2172</v>
      </c>
      <c r="K429" s="1448" t="s">
        <v>1507</v>
      </c>
      <c r="L429" s="1496">
        <v>2.4</v>
      </c>
      <c r="M429" s="1497">
        <v>3.25</v>
      </c>
      <c r="N429" s="1548">
        <v>3.25</v>
      </c>
      <c r="O429" s="1447">
        <v>0</v>
      </c>
      <c r="P429" s="1447">
        <v>0</v>
      </c>
      <c r="Q429" s="1447">
        <v>1</v>
      </c>
      <c r="R429" s="1498">
        <v>46255.175497685188</v>
      </c>
      <c r="S429" s="1447">
        <v>1</v>
      </c>
      <c r="T429" s="1447">
        <v>1</v>
      </c>
      <c r="V429" s="1500" t="str">
        <f t="shared" si="15"/>
        <v>pcs</v>
      </c>
      <c r="W429" s="1500"/>
      <c r="X429" s="1500"/>
      <c r="Y429" s="1500"/>
      <c r="Z429" s="1500"/>
      <c r="AA429" s="1500"/>
    </row>
    <row r="430" spans="2:27" s="1499" customFormat="1" ht="21.95" customHeight="1">
      <c r="B430" s="1495"/>
      <c r="C430" s="1447">
        <v>403</v>
      </c>
      <c r="D430" s="1447">
        <v>303</v>
      </c>
      <c r="E430" s="1447" t="s">
        <v>4043</v>
      </c>
      <c r="F430" s="1448" t="s">
        <v>3876</v>
      </c>
      <c r="G430" s="1447">
        <v>1</v>
      </c>
      <c r="H430" s="1447">
        <v>2</v>
      </c>
      <c r="I430" s="1447">
        <v>76</v>
      </c>
      <c r="J430" s="1448" t="s">
        <v>4152</v>
      </c>
      <c r="K430" s="1448" t="s">
        <v>1507</v>
      </c>
      <c r="L430" s="1496">
        <v>2.5</v>
      </c>
      <c r="M430" s="1497">
        <v>3</v>
      </c>
      <c r="N430" s="1548">
        <v>3</v>
      </c>
      <c r="O430" s="1447">
        <v>0</v>
      </c>
      <c r="P430" s="1447">
        <v>0</v>
      </c>
      <c r="Q430" s="1447">
        <v>1</v>
      </c>
      <c r="R430" s="1498">
        <v>46255.175497685188</v>
      </c>
      <c r="S430" s="1447">
        <v>1</v>
      </c>
      <c r="T430" s="1447">
        <v>1</v>
      </c>
      <c r="V430" s="1500" t="str">
        <f t="shared" si="15"/>
        <v>m/100cm</v>
      </c>
      <c r="W430" s="1500"/>
      <c r="X430" s="1500"/>
      <c r="Y430" s="1500"/>
      <c r="Z430" s="1500"/>
      <c r="AA430" s="1500"/>
    </row>
    <row r="431" spans="2:27" ht="21.95" customHeight="1">
      <c r="C431" s="483">
        <v>404</v>
      </c>
      <c r="D431" s="483">
        <v>304</v>
      </c>
      <c r="E431" s="483" t="s">
        <v>4044</v>
      </c>
      <c r="F431" s="505" t="s">
        <v>3877</v>
      </c>
      <c r="G431" s="483">
        <v>1</v>
      </c>
      <c r="H431" s="483">
        <v>2</v>
      </c>
      <c r="I431" s="483">
        <v>61</v>
      </c>
      <c r="J431" s="505" t="s">
        <v>3736</v>
      </c>
      <c r="K431" s="505" t="s">
        <v>1507</v>
      </c>
      <c r="L431" s="1485">
        <v>3.6</v>
      </c>
      <c r="M431" s="519">
        <v>4.5</v>
      </c>
      <c r="N431" s="1546">
        <v>4.5</v>
      </c>
      <c r="O431" s="483">
        <v>0</v>
      </c>
      <c r="P431" s="483">
        <v>0</v>
      </c>
      <c r="Q431" s="483">
        <v>1</v>
      </c>
      <c r="R431" s="666">
        <v>46255.175497685188</v>
      </c>
      <c r="S431" s="483">
        <v>1</v>
      </c>
      <c r="T431" s="483">
        <v>1</v>
      </c>
      <c r="V431" t="str">
        <f t="shared" si="15"/>
        <v>Case/6pcs</v>
      </c>
    </row>
    <row r="432" spans="2:27" ht="21.95" customHeight="1">
      <c r="C432" s="483">
        <v>405</v>
      </c>
      <c r="D432" s="483">
        <v>304</v>
      </c>
      <c r="E432" s="483" t="s">
        <v>4044</v>
      </c>
      <c r="F432" s="505" t="s">
        <v>3877</v>
      </c>
      <c r="G432" s="483">
        <v>1</v>
      </c>
      <c r="H432" s="483">
        <v>2</v>
      </c>
      <c r="I432" s="483">
        <v>2</v>
      </c>
      <c r="J432" s="505" t="s">
        <v>2172</v>
      </c>
      <c r="K432" s="505" t="s">
        <v>1507</v>
      </c>
      <c r="L432" s="1485">
        <v>0.6</v>
      </c>
      <c r="M432" s="519">
        <v>0.75</v>
      </c>
      <c r="N432" s="1546">
        <v>0.75</v>
      </c>
      <c r="O432" s="483">
        <v>0</v>
      </c>
      <c r="P432" s="483">
        <v>0</v>
      </c>
      <c r="Q432" s="483">
        <v>1</v>
      </c>
      <c r="R432" s="666">
        <v>46255.175497685188</v>
      </c>
      <c r="S432" s="483">
        <v>1</v>
      </c>
      <c r="T432" s="483">
        <v>1</v>
      </c>
      <c r="V432" t="str">
        <f t="shared" si="15"/>
        <v>pcs</v>
      </c>
    </row>
    <row r="433" spans="3:22" ht="21.95" customHeight="1">
      <c r="C433" s="483">
        <v>406</v>
      </c>
      <c r="D433" s="483">
        <v>305</v>
      </c>
      <c r="E433" s="483" t="s">
        <v>4045</v>
      </c>
      <c r="F433" s="505" t="s">
        <v>3878</v>
      </c>
      <c r="G433" s="483">
        <v>1</v>
      </c>
      <c r="H433" s="483">
        <v>2</v>
      </c>
      <c r="I433" s="483">
        <v>67</v>
      </c>
      <c r="J433" s="505" t="s">
        <v>3754</v>
      </c>
      <c r="K433" s="505" t="s">
        <v>1507</v>
      </c>
      <c r="L433" s="1485">
        <v>4.25</v>
      </c>
      <c r="M433" s="519">
        <v>4.5</v>
      </c>
      <c r="N433" s="1546">
        <v>4.5</v>
      </c>
      <c r="O433" s="483">
        <v>0</v>
      </c>
      <c r="P433" s="483">
        <v>0</v>
      </c>
      <c r="Q433" s="483">
        <v>1</v>
      </c>
      <c r="R433" s="666">
        <v>46255.175497685188</v>
      </c>
      <c r="S433" s="483">
        <v>1</v>
      </c>
      <c r="T433" s="483">
        <v>1</v>
      </c>
      <c r="V433" t="str">
        <f t="shared" si="15"/>
        <v>Ctn/100pcs</v>
      </c>
    </row>
    <row r="434" spans="3:22" ht="21.95" customHeight="1">
      <c r="C434" s="483">
        <v>407</v>
      </c>
      <c r="D434" s="483">
        <v>305</v>
      </c>
      <c r="E434" s="483" t="s">
        <v>4045</v>
      </c>
      <c r="F434" s="505" t="s">
        <v>3878</v>
      </c>
      <c r="G434" s="483">
        <v>1</v>
      </c>
      <c r="H434" s="483">
        <v>2</v>
      </c>
      <c r="I434" s="483">
        <v>2</v>
      </c>
      <c r="J434" s="505" t="s">
        <v>2172</v>
      </c>
      <c r="K434" s="505" t="s">
        <v>1507</v>
      </c>
      <c r="L434" s="1485">
        <v>4.2500000000000003E-2</v>
      </c>
      <c r="M434" s="519">
        <v>4.2500000000000003E-2</v>
      </c>
      <c r="N434" s="1546">
        <v>4.2500000000000003E-2</v>
      </c>
      <c r="O434" s="483">
        <v>0</v>
      </c>
      <c r="P434" s="483">
        <v>0</v>
      </c>
      <c r="Q434" s="483">
        <v>1</v>
      </c>
      <c r="R434" s="666">
        <v>46255.175497685188</v>
      </c>
      <c r="S434" s="483">
        <v>1</v>
      </c>
      <c r="T434" s="483">
        <v>1</v>
      </c>
      <c r="V434" t="str">
        <f t="shared" si="15"/>
        <v>pcs</v>
      </c>
    </row>
    <row r="435" spans="3:22" ht="21.95" customHeight="1">
      <c r="C435" s="483">
        <v>408</v>
      </c>
      <c r="D435" s="483">
        <v>306</v>
      </c>
      <c r="E435" s="483" t="s">
        <v>4046</v>
      </c>
      <c r="F435" s="505" t="s">
        <v>3879</v>
      </c>
      <c r="G435" s="483">
        <v>1</v>
      </c>
      <c r="H435" s="483">
        <v>2</v>
      </c>
      <c r="I435" s="483">
        <v>29</v>
      </c>
      <c r="J435" s="505" t="s">
        <v>2167</v>
      </c>
      <c r="K435" s="505" t="s">
        <v>1507</v>
      </c>
      <c r="L435" s="1485">
        <v>3.5</v>
      </c>
      <c r="M435" s="519">
        <v>4.5</v>
      </c>
      <c r="N435" s="1546">
        <v>4.5</v>
      </c>
      <c r="O435" s="483">
        <v>0</v>
      </c>
      <c r="P435" s="483">
        <v>0</v>
      </c>
      <c r="Q435" s="483">
        <v>1</v>
      </c>
      <c r="R435" s="666">
        <v>46255.175497685188</v>
      </c>
      <c r="S435" s="483">
        <v>1</v>
      </c>
      <c r="T435" s="483">
        <v>1</v>
      </c>
      <c r="V435" t="str">
        <f t="shared" si="15"/>
        <v>Case/4pcs</v>
      </c>
    </row>
    <row r="436" spans="3:22" ht="21.95" customHeight="1">
      <c r="C436" s="483">
        <v>409</v>
      </c>
      <c r="D436" s="483">
        <v>306</v>
      </c>
      <c r="E436" s="483" t="s">
        <v>4046</v>
      </c>
      <c r="F436" s="505" t="s">
        <v>3879</v>
      </c>
      <c r="G436" s="483">
        <v>1</v>
      </c>
      <c r="H436" s="483">
        <v>2</v>
      </c>
      <c r="I436" s="483">
        <v>2</v>
      </c>
      <c r="J436" s="505" t="s">
        <v>2172</v>
      </c>
      <c r="K436" s="505" t="s">
        <v>1507</v>
      </c>
      <c r="L436" s="1485">
        <v>0.875</v>
      </c>
      <c r="M436" s="519">
        <v>1.125</v>
      </c>
      <c r="N436" s="1546">
        <v>1.125</v>
      </c>
      <c r="O436" s="483">
        <v>0</v>
      </c>
      <c r="P436" s="483">
        <v>0</v>
      </c>
      <c r="Q436" s="483">
        <v>1</v>
      </c>
      <c r="R436" s="666">
        <v>46255.175497685188</v>
      </c>
      <c r="S436" s="483">
        <v>1</v>
      </c>
      <c r="T436" s="483">
        <v>1</v>
      </c>
      <c r="V436" t="str">
        <f t="shared" si="15"/>
        <v>pcs</v>
      </c>
    </row>
    <row r="437" spans="3:22" ht="21.95" customHeight="1">
      <c r="C437" s="483">
        <v>410</v>
      </c>
      <c r="D437" s="483">
        <v>307</v>
      </c>
      <c r="E437" s="483" t="s">
        <v>4047</v>
      </c>
      <c r="F437" s="505" t="s">
        <v>3880</v>
      </c>
      <c r="G437" s="483">
        <v>1</v>
      </c>
      <c r="H437" s="483">
        <v>2</v>
      </c>
      <c r="I437" s="483">
        <v>2</v>
      </c>
      <c r="J437" s="505" t="s">
        <v>2172</v>
      </c>
      <c r="K437" s="505" t="s">
        <v>1507</v>
      </c>
      <c r="L437" s="1485">
        <v>0.12</v>
      </c>
      <c r="M437" s="519">
        <v>0.25</v>
      </c>
      <c r="N437" s="1546">
        <v>0.25</v>
      </c>
      <c r="O437" s="483">
        <v>0</v>
      </c>
      <c r="P437" s="483">
        <v>0</v>
      </c>
      <c r="Q437" s="483">
        <v>1</v>
      </c>
      <c r="R437" s="666">
        <v>46255.175497685188</v>
      </c>
      <c r="S437" s="483">
        <v>1</v>
      </c>
      <c r="T437" s="483">
        <v>1</v>
      </c>
      <c r="V437" t="str">
        <f t="shared" si="15"/>
        <v>pcs</v>
      </c>
    </row>
    <row r="438" spans="3:22" ht="21.95" customHeight="1">
      <c r="C438" s="483">
        <v>411</v>
      </c>
      <c r="D438" s="483">
        <v>308</v>
      </c>
      <c r="E438" s="483" t="s">
        <v>4048</v>
      </c>
      <c r="F438" s="505" t="s">
        <v>3881</v>
      </c>
      <c r="G438" s="483">
        <v>1</v>
      </c>
      <c r="H438" s="483">
        <v>2</v>
      </c>
      <c r="I438" s="483">
        <v>43</v>
      </c>
      <c r="J438" s="505" t="s">
        <v>2713</v>
      </c>
      <c r="K438" s="505" t="s">
        <v>1507</v>
      </c>
      <c r="L438" s="1485">
        <v>15.5</v>
      </c>
      <c r="M438" s="519">
        <v>17</v>
      </c>
      <c r="N438" s="1546">
        <v>17</v>
      </c>
      <c r="O438" s="483">
        <v>0</v>
      </c>
      <c r="P438" s="483">
        <v>0</v>
      </c>
      <c r="Q438" s="483">
        <v>1</v>
      </c>
      <c r="R438" s="666">
        <v>46255.175497685188</v>
      </c>
      <c r="S438" s="483">
        <v>1</v>
      </c>
      <c r="T438" s="483">
        <v>1</v>
      </c>
      <c r="V438" t="str">
        <f t="shared" si="15"/>
        <v>Case/12can</v>
      </c>
    </row>
    <row r="439" spans="3:22" ht="21.95" customHeight="1">
      <c r="C439" s="483">
        <v>412</v>
      </c>
      <c r="D439" s="483">
        <v>308</v>
      </c>
      <c r="E439" s="483" t="s">
        <v>4048</v>
      </c>
      <c r="F439" s="505" t="s">
        <v>3881</v>
      </c>
      <c r="G439" s="483">
        <v>1</v>
      </c>
      <c r="H439" s="483">
        <v>2</v>
      </c>
      <c r="I439" s="483">
        <v>9</v>
      </c>
      <c r="J439" s="505" t="s">
        <v>2145</v>
      </c>
      <c r="K439" s="505" t="s">
        <v>1507</v>
      </c>
      <c r="L439" s="1485">
        <v>1.2916666666666667</v>
      </c>
      <c r="M439" s="519">
        <v>1.75</v>
      </c>
      <c r="N439" s="1546">
        <v>1.75</v>
      </c>
      <c r="O439" s="483">
        <v>0</v>
      </c>
      <c r="P439" s="483">
        <v>0</v>
      </c>
      <c r="Q439" s="483">
        <v>1</v>
      </c>
      <c r="R439" s="666">
        <v>46255.175497685188</v>
      </c>
      <c r="S439" s="483">
        <v>1</v>
      </c>
      <c r="T439" s="483">
        <v>1</v>
      </c>
      <c r="V439" t="str">
        <f t="shared" si="15"/>
        <v>Can</v>
      </c>
    </row>
    <row r="440" spans="3:22" ht="21.95" customHeight="1">
      <c r="C440" s="483">
        <v>413</v>
      </c>
      <c r="D440" s="483">
        <v>309</v>
      </c>
      <c r="E440" s="483" t="s">
        <v>4049</v>
      </c>
      <c r="F440" s="505" t="s">
        <v>3882</v>
      </c>
      <c r="G440" s="483">
        <v>1</v>
      </c>
      <c r="H440" s="483">
        <v>2</v>
      </c>
      <c r="I440" s="483">
        <v>58</v>
      </c>
      <c r="J440" s="505" t="s">
        <v>3727</v>
      </c>
      <c r="K440" s="505" t="s">
        <v>1507</v>
      </c>
      <c r="L440" s="1485">
        <v>12</v>
      </c>
      <c r="M440" s="519">
        <v>13</v>
      </c>
      <c r="N440" s="1546">
        <v>13</v>
      </c>
      <c r="O440" s="483">
        <v>0</v>
      </c>
      <c r="P440" s="483">
        <v>0</v>
      </c>
      <c r="Q440" s="483">
        <v>1</v>
      </c>
      <c r="R440" s="666">
        <v>46255.175497685188</v>
      </c>
      <c r="S440" s="483">
        <v>1</v>
      </c>
      <c r="T440" s="483">
        <v>1</v>
      </c>
      <c r="V440" t="str">
        <f t="shared" si="15"/>
        <v>Can/1L</v>
      </c>
    </row>
    <row r="441" spans="3:22" ht="21.95" customHeight="1">
      <c r="C441" s="483">
        <v>414</v>
      </c>
      <c r="D441" s="483">
        <v>310</v>
      </c>
      <c r="E441" s="483" t="s">
        <v>4050</v>
      </c>
      <c r="F441" s="505" t="s">
        <v>3883</v>
      </c>
      <c r="G441" s="483">
        <v>1</v>
      </c>
      <c r="H441" s="483">
        <v>2</v>
      </c>
      <c r="I441" s="483">
        <v>59</v>
      </c>
      <c r="J441" s="505" t="s">
        <v>3730</v>
      </c>
      <c r="K441" s="505" t="s">
        <v>1507</v>
      </c>
      <c r="L441" s="1485">
        <v>12</v>
      </c>
      <c r="M441" s="519">
        <v>15</v>
      </c>
      <c r="N441" s="1546">
        <v>15</v>
      </c>
      <c r="O441" s="483">
        <v>0</v>
      </c>
      <c r="P441" s="483">
        <v>0</v>
      </c>
      <c r="Q441" s="483">
        <v>1</v>
      </c>
      <c r="R441" s="666">
        <v>46255.175497685188</v>
      </c>
      <c r="S441" s="483">
        <v>1</v>
      </c>
      <c r="T441" s="483">
        <v>1</v>
      </c>
      <c r="V441" t="str">
        <f t="shared" si="15"/>
        <v>Can/5L</v>
      </c>
    </row>
    <row r="442" spans="3:22" ht="21.95" customHeight="1">
      <c r="C442" s="483">
        <v>415</v>
      </c>
      <c r="D442" s="483">
        <v>311</v>
      </c>
      <c r="E442" s="483" t="s">
        <v>4051</v>
      </c>
      <c r="F442" s="505" t="s">
        <v>3884</v>
      </c>
      <c r="G442" s="483">
        <v>1</v>
      </c>
      <c r="H442" s="483">
        <v>2</v>
      </c>
      <c r="I442" s="483">
        <v>59</v>
      </c>
      <c r="J442" s="505" t="s">
        <v>3730</v>
      </c>
      <c r="K442" s="505" t="s">
        <v>1507</v>
      </c>
      <c r="L442" s="1485">
        <v>8.5</v>
      </c>
      <c r="M442" s="519">
        <v>10</v>
      </c>
      <c r="N442" s="1546">
        <v>10</v>
      </c>
      <c r="O442" s="483">
        <v>0</v>
      </c>
      <c r="P442" s="483">
        <v>0</v>
      </c>
      <c r="Q442" s="483">
        <v>1</v>
      </c>
      <c r="R442" s="666">
        <v>46255.175497685188</v>
      </c>
      <c r="S442" s="483">
        <v>1</v>
      </c>
      <c r="T442" s="483">
        <v>1</v>
      </c>
      <c r="V442" t="str">
        <f t="shared" si="15"/>
        <v>Can/5L</v>
      </c>
    </row>
    <row r="443" spans="3:22" ht="21.95" customHeight="1">
      <c r="C443" s="483">
        <v>416</v>
      </c>
      <c r="D443" s="483">
        <v>312</v>
      </c>
      <c r="E443" s="483" t="s">
        <v>4052</v>
      </c>
      <c r="F443" s="505" t="s">
        <v>3885</v>
      </c>
      <c r="G443" s="483">
        <v>1</v>
      </c>
      <c r="H443" s="483">
        <v>2</v>
      </c>
      <c r="I443" s="483">
        <v>59</v>
      </c>
      <c r="J443" s="505" t="s">
        <v>3730</v>
      </c>
      <c r="K443" s="505" t="s">
        <v>1507</v>
      </c>
      <c r="L443" s="1485">
        <v>30</v>
      </c>
      <c r="M443" s="519">
        <v>35</v>
      </c>
      <c r="N443" s="1546">
        <v>35</v>
      </c>
      <c r="O443" s="483">
        <v>0</v>
      </c>
      <c r="P443" s="483">
        <v>0</v>
      </c>
      <c r="Q443" s="483">
        <v>1</v>
      </c>
      <c r="R443" s="666">
        <v>46255.175497685188</v>
      </c>
      <c r="S443" s="483">
        <v>1</v>
      </c>
      <c r="T443" s="483">
        <v>1</v>
      </c>
      <c r="V443" t="str">
        <f t="shared" si="15"/>
        <v>Can/5L</v>
      </c>
    </row>
    <row r="444" spans="3:22" ht="21.95" customHeight="1">
      <c r="C444" s="483">
        <v>417</v>
      </c>
      <c r="D444" s="483">
        <v>313</v>
      </c>
      <c r="E444" s="483" t="s">
        <v>4053</v>
      </c>
      <c r="F444" s="505" t="s">
        <v>3886</v>
      </c>
      <c r="G444" s="483">
        <v>1</v>
      </c>
      <c r="H444" s="483">
        <v>2</v>
      </c>
      <c r="I444" s="483">
        <v>59</v>
      </c>
      <c r="J444" s="505" t="s">
        <v>3730</v>
      </c>
      <c r="K444" s="505" t="s">
        <v>1507</v>
      </c>
      <c r="L444" s="1485">
        <v>12</v>
      </c>
      <c r="M444" s="519">
        <v>15</v>
      </c>
      <c r="N444" s="1546">
        <v>15</v>
      </c>
      <c r="O444" s="483">
        <v>0</v>
      </c>
      <c r="P444" s="483">
        <v>0</v>
      </c>
      <c r="Q444" s="483">
        <v>1</v>
      </c>
      <c r="R444" s="666">
        <v>46255.175497685188</v>
      </c>
      <c r="S444" s="483">
        <v>1</v>
      </c>
      <c r="T444" s="483">
        <v>1</v>
      </c>
      <c r="V444" t="str">
        <f t="shared" si="15"/>
        <v>Can/5L</v>
      </c>
    </row>
    <row r="445" spans="3:22" ht="21.95" customHeight="1">
      <c r="C445" s="483">
        <v>418</v>
      </c>
      <c r="D445" s="483">
        <v>314</v>
      </c>
      <c r="E445" s="483" t="s">
        <v>4054</v>
      </c>
      <c r="F445" s="505" t="s">
        <v>3887</v>
      </c>
      <c r="G445" s="483">
        <v>1</v>
      </c>
      <c r="H445" s="483">
        <v>2</v>
      </c>
      <c r="I445" s="483">
        <v>59</v>
      </c>
      <c r="J445" s="505" t="s">
        <v>3730</v>
      </c>
      <c r="K445" s="505" t="s">
        <v>1507</v>
      </c>
      <c r="L445" s="1485">
        <v>23</v>
      </c>
      <c r="M445" s="519">
        <v>26</v>
      </c>
      <c r="N445" s="1546">
        <v>26</v>
      </c>
      <c r="O445" s="483">
        <v>0</v>
      </c>
      <c r="P445" s="483">
        <v>0</v>
      </c>
      <c r="Q445" s="483">
        <v>1</v>
      </c>
      <c r="R445" s="666">
        <v>46255.175497685188</v>
      </c>
      <c r="S445" s="483">
        <v>1</v>
      </c>
      <c r="T445" s="483">
        <v>1</v>
      </c>
      <c r="V445" t="str">
        <f t="shared" si="15"/>
        <v>Can/5L</v>
      </c>
    </row>
    <row r="446" spans="3:22" ht="21.95" customHeight="1">
      <c r="C446" s="483">
        <v>419</v>
      </c>
      <c r="D446" s="483">
        <v>315</v>
      </c>
      <c r="E446" s="483" t="s">
        <v>4055</v>
      </c>
      <c r="F446" s="505" t="s">
        <v>3888</v>
      </c>
      <c r="G446" s="483">
        <v>1</v>
      </c>
      <c r="H446" s="483">
        <v>2</v>
      </c>
      <c r="I446" s="483">
        <v>56</v>
      </c>
      <c r="J446" s="505" t="s">
        <v>3721</v>
      </c>
      <c r="K446" s="505" t="s">
        <v>1507</v>
      </c>
      <c r="L446" s="1485">
        <v>8.5</v>
      </c>
      <c r="M446" s="519">
        <v>9</v>
      </c>
      <c r="N446" s="1546">
        <v>9</v>
      </c>
      <c r="O446" s="483">
        <v>0</v>
      </c>
      <c r="P446" s="483">
        <v>0</v>
      </c>
      <c r="Q446" s="483">
        <v>1</v>
      </c>
      <c r="R446" s="666">
        <v>46255.175497685188</v>
      </c>
      <c r="S446" s="483">
        <v>1</v>
      </c>
      <c r="T446" s="483">
        <v>1</v>
      </c>
      <c r="V446" t="str">
        <f t="shared" si="15"/>
        <v>Be/20kg</v>
      </c>
    </row>
    <row r="447" spans="3:22" ht="21.95" customHeight="1">
      <c r="C447" s="483">
        <v>420</v>
      </c>
      <c r="D447" s="483">
        <v>315</v>
      </c>
      <c r="E447" s="483" t="s">
        <v>4055</v>
      </c>
      <c r="F447" s="505" t="s">
        <v>3888</v>
      </c>
      <c r="G447" s="483">
        <v>1</v>
      </c>
      <c r="H447" s="483">
        <v>2</v>
      </c>
      <c r="I447" s="483">
        <v>12</v>
      </c>
      <c r="J447" s="505" t="s">
        <v>2685</v>
      </c>
      <c r="K447" s="505" t="s">
        <v>1507</v>
      </c>
      <c r="L447" s="1485">
        <v>0.42499999999999999</v>
      </c>
      <c r="M447" s="519">
        <v>0.5</v>
      </c>
      <c r="N447" s="1546">
        <v>0.5</v>
      </c>
      <c r="O447" s="483">
        <v>0</v>
      </c>
      <c r="P447" s="483">
        <v>0</v>
      </c>
      <c r="Q447" s="483">
        <v>1</v>
      </c>
      <c r="R447" s="666">
        <v>46255.175497685188</v>
      </c>
      <c r="S447" s="483">
        <v>1</v>
      </c>
      <c r="T447" s="483">
        <v>1</v>
      </c>
      <c r="V447" t="str">
        <f t="shared" si="15"/>
        <v>kg</v>
      </c>
    </row>
    <row r="448" spans="3:22" ht="21.95" customHeight="1">
      <c r="C448" s="483">
        <v>421</v>
      </c>
      <c r="D448" s="483">
        <v>316</v>
      </c>
      <c r="E448" s="483" t="s">
        <v>4056</v>
      </c>
      <c r="F448" s="505" t="s">
        <v>3889</v>
      </c>
      <c r="G448" s="483">
        <v>1</v>
      </c>
      <c r="H448" s="483">
        <v>2</v>
      </c>
      <c r="I448" s="483">
        <v>56</v>
      </c>
      <c r="J448" s="505" t="s">
        <v>3721</v>
      </c>
      <c r="K448" s="505" t="s">
        <v>1507</v>
      </c>
      <c r="L448" s="1485">
        <v>6.5</v>
      </c>
      <c r="M448" s="519">
        <v>7</v>
      </c>
      <c r="N448" s="1546">
        <v>7</v>
      </c>
      <c r="O448" s="483">
        <v>0</v>
      </c>
      <c r="P448" s="483">
        <v>0</v>
      </c>
      <c r="Q448" s="483">
        <v>1</v>
      </c>
      <c r="R448" s="666">
        <v>46255.175497685188</v>
      </c>
      <c r="S448" s="483">
        <v>1</v>
      </c>
      <c r="T448" s="483">
        <v>1</v>
      </c>
      <c r="V448" t="str">
        <f t="shared" si="15"/>
        <v>Be/20kg</v>
      </c>
    </row>
    <row r="449" spans="2:27" ht="21.95" customHeight="1">
      <c r="C449" s="483">
        <v>422</v>
      </c>
      <c r="D449" s="483">
        <v>316</v>
      </c>
      <c r="E449" s="483" t="s">
        <v>4056</v>
      </c>
      <c r="F449" s="505" t="s">
        <v>3889</v>
      </c>
      <c r="G449" s="483">
        <v>1</v>
      </c>
      <c r="H449" s="483">
        <v>2</v>
      </c>
      <c r="I449" s="483">
        <v>12</v>
      </c>
      <c r="J449" s="505" t="s">
        <v>2685</v>
      </c>
      <c r="K449" s="505" t="s">
        <v>1507</v>
      </c>
      <c r="L449" s="1485">
        <v>0.32500000000000001</v>
      </c>
      <c r="M449" s="519">
        <v>0.35</v>
      </c>
      <c r="N449" s="1546">
        <v>0.35</v>
      </c>
      <c r="O449" s="483">
        <v>0</v>
      </c>
      <c r="P449" s="483">
        <v>0</v>
      </c>
      <c r="Q449" s="483">
        <v>1</v>
      </c>
      <c r="R449" s="666">
        <v>46255.175497685188</v>
      </c>
      <c r="S449" s="483">
        <v>1</v>
      </c>
      <c r="T449" s="483">
        <v>1</v>
      </c>
      <c r="V449" t="str">
        <f t="shared" si="15"/>
        <v>kg</v>
      </c>
    </row>
    <row r="450" spans="2:27" ht="21.95" customHeight="1">
      <c r="C450" s="483">
        <v>423</v>
      </c>
      <c r="D450" s="483">
        <v>317</v>
      </c>
      <c r="E450" s="483" t="s">
        <v>4057</v>
      </c>
      <c r="F450" s="505" t="s">
        <v>3890</v>
      </c>
      <c r="G450" s="483">
        <v>1</v>
      </c>
      <c r="H450" s="483">
        <v>2</v>
      </c>
      <c r="I450" s="483">
        <v>2</v>
      </c>
      <c r="J450" s="505" t="s">
        <v>2172</v>
      </c>
      <c r="K450" s="505" t="s">
        <v>1507</v>
      </c>
      <c r="L450" s="1485">
        <v>1.2</v>
      </c>
      <c r="M450" s="519">
        <v>1.5</v>
      </c>
      <c r="N450" s="1546">
        <v>1.5</v>
      </c>
      <c r="O450" s="483">
        <v>0</v>
      </c>
      <c r="P450" s="483">
        <v>0</v>
      </c>
      <c r="Q450" s="483">
        <v>1</v>
      </c>
      <c r="R450" s="666">
        <v>46255.175497685188</v>
      </c>
      <c r="S450" s="483">
        <v>1</v>
      </c>
      <c r="T450" s="483">
        <v>1</v>
      </c>
      <c r="V450" t="str">
        <f t="shared" si="15"/>
        <v>pcs</v>
      </c>
    </row>
    <row r="451" spans="2:27" ht="21.95" customHeight="1">
      <c r="C451" s="483">
        <v>424</v>
      </c>
      <c r="D451" s="483">
        <v>318</v>
      </c>
      <c r="E451" s="483" t="s">
        <v>4058</v>
      </c>
      <c r="F451" s="505" t="s">
        <v>3891</v>
      </c>
      <c r="G451" s="483">
        <v>1</v>
      </c>
      <c r="H451" s="483">
        <v>2</v>
      </c>
      <c r="I451" s="483">
        <v>2</v>
      </c>
      <c r="J451" s="505" t="s">
        <v>2172</v>
      </c>
      <c r="K451" s="505" t="s">
        <v>1507</v>
      </c>
      <c r="L451" s="1485">
        <v>0.38</v>
      </c>
      <c r="M451" s="519">
        <v>0.75</v>
      </c>
      <c r="N451" s="1546">
        <v>0.75</v>
      </c>
      <c r="O451" s="483">
        <v>0</v>
      </c>
      <c r="P451" s="483">
        <v>0</v>
      </c>
      <c r="Q451" s="483">
        <v>1</v>
      </c>
      <c r="R451" s="666">
        <v>46255.175497685188</v>
      </c>
      <c r="S451" s="483">
        <v>1</v>
      </c>
      <c r="T451" s="483">
        <v>1</v>
      </c>
      <c r="V451" t="str">
        <f t="shared" si="15"/>
        <v>pcs</v>
      </c>
    </row>
    <row r="452" spans="2:27" ht="21.95" customHeight="1">
      <c r="C452" s="483">
        <v>425</v>
      </c>
      <c r="D452" s="483">
        <v>319</v>
      </c>
      <c r="E452" s="483" t="s">
        <v>4059</v>
      </c>
      <c r="F452" s="505" t="s">
        <v>3892</v>
      </c>
      <c r="G452" s="483">
        <v>1</v>
      </c>
      <c r="H452" s="483">
        <v>2</v>
      </c>
      <c r="I452" s="483">
        <v>2</v>
      </c>
      <c r="J452" s="505" t="s">
        <v>2172</v>
      </c>
      <c r="K452" s="505" t="s">
        <v>1507</v>
      </c>
      <c r="L452" s="1485">
        <v>0.38</v>
      </c>
      <c r="M452" s="519">
        <v>0.75</v>
      </c>
      <c r="N452" s="1546">
        <v>0.75</v>
      </c>
      <c r="O452" s="483">
        <v>0</v>
      </c>
      <c r="P452" s="483">
        <v>0</v>
      </c>
      <c r="Q452" s="483">
        <v>1</v>
      </c>
      <c r="R452" s="666">
        <v>46255.175497685188</v>
      </c>
      <c r="S452" s="483">
        <v>1</v>
      </c>
      <c r="T452" s="483">
        <v>1</v>
      </c>
      <c r="V452" t="str">
        <f t="shared" si="15"/>
        <v>pcs</v>
      </c>
    </row>
    <row r="453" spans="2:27" ht="21.95" customHeight="1">
      <c r="C453" s="483">
        <v>426</v>
      </c>
      <c r="D453" s="483">
        <v>320</v>
      </c>
      <c r="E453" s="483" t="s">
        <v>4060</v>
      </c>
      <c r="F453" s="505" t="s">
        <v>3893</v>
      </c>
      <c r="G453" s="483">
        <v>1</v>
      </c>
      <c r="H453" s="483">
        <v>2</v>
      </c>
      <c r="I453" s="483">
        <v>2</v>
      </c>
      <c r="J453" s="505" t="s">
        <v>2172</v>
      </c>
      <c r="K453" s="505" t="s">
        <v>1507</v>
      </c>
      <c r="L453" s="1485">
        <v>1.5</v>
      </c>
      <c r="M453" s="519">
        <v>1.75</v>
      </c>
      <c r="N453" s="1546">
        <v>1.75</v>
      </c>
      <c r="O453" s="483">
        <v>0</v>
      </c>
      <c r="P453" s="483">
        <v>0</v>
      </c>
      <c r="Q453" s="483">
        <v>1</v>
      </c>
      <c r="R453" s="666">
        <v>46255.175497685188</v>
      </c>
      <c r="S453" s="483">
        <v>1</v>
      </c>
      <c r="T453" s="483">
        <v>1</v>
      </c>
      <c r="V453" t="str">
        <f t="shared" si="15"/>
        <v>pcs</v>
      </c>
    </row>
    <row r="454" spans="2:27" ht="21.95" customHeight="1">
      <c r="C454" s="483">
        <v>427</v>
      </c>
      <c r="D454" s="483">
        <v>321</v>
      </c>
      <c r="E454" s="483" t="s">
        <v>4061</v>
      </c>
      <c r="F454" s="505" t="s">
        <v>3894</v>
      </c>
      <c r="G454" s="483">
        <v>1</v>
      </c>
      <c r="H454" s="483">
        <v>2</v>
      </c>
      <c r="I454" s="483">
        <v>2</v>
      </c>
      <c r="J454" s="505" t="s">
        <v>2172</v>
      </c>
      <c r="K454" s="505" t="s">
        <v>1507</v>
      </c>
      <c r="L454" s="1485">
        <v>9</v>
      </c>
      <c r="M454" s="519">
        <v>12</v>
      </c>
      <c r="N454" s="1546">
        <v>12</v>
      </c>
      <c r="O454" s="483">
        <v>0</v>
      </c>
      <c r="P454" s="483">
        <v>0</v>
      </c>
      <c r="Q454" s="483">
        <v>1</v>
      </c>
      <c r="R454" s="666">
        <v>46255.175497685188</v>
      </c>
      <c r="S454" s="483">
        <v>1</v>
      </c>
      <c r="T454" s="483">
        <v>1</v>
      </c>
      <c r="V454" t="str">
        <f t="shared" si="15"/>
        <v>pcs</v>
      </c>
    </row>
    <row r="455" spans="2:27" ht="21.95" customHeight="1">
      <c r="C455" s="483">
        <v>428</v>
      </c>
      <c r="D455" s="483">
        <v>322</v>
      </c>
      <c r="E455" s="483" t="s">
        <v>4062</v>
      </c>
      <c r="F455" s="505" t="s">
        <v>3895</v>
      </c>
      <c r="G455" s="483">
        <v>1</v>
      </c>
      <c r="H455" s="483">
        <v>2</v>
      </c>
      <c r="I455" s="483">
        <v>2</v>
      </c>
      <c r="J455" s="505" t="s">
        <v>2172</v>
      </c>
      <c r="K455" s="505" t="s">
        <v>1507</v>
      </c>
      <c r="L455" s="1485">
        <v>3.5</v>
      </c>
      <c r="M455" s="519">
        <v>5</v>
      </c>
      <c r="N455" s="1546">
        <v>5</v>
      </c>
      <c r="O455" s="483">
        <v>0</v>
      </c>
      <c r="P455" s="483">
        <v>0</v>
      </c>
      <c r="Q455" s="483">
        <v>1</v>
      </c>
      <c r="R455" s="666">
        <v>46255.175497685188</v>
      </c>
      <c r="S455" s="483">
        <v>1</v>
      </c>
      <c r="T455" s="483">
        <v>1</v>
      </c>
      <c r="V455" t="str">
        <f t="shared" si="15"/>
        <v>pcs</v>
      </c>
    </row>
    <row r="456" spans="2:27" ht="21.95" customHeight="1">
      <c r="C456" s="483">
        <v>429</v>
      </c>
      <c r="D456" s="483">
        <v>323</v>
      </c>
      <c r="E456" s="483" t="s">
        <v>4063</v>
      </c>
      <c r="F456" s="505" t="s">
        <v>3896</v>
      </c>
      <c r="G456" s="483">
        <v>1</v>
      </c>
      <c r="H456" s="483">
        <v>2</v>
      </c>
      <c r="I456" s="483">
        <v>61</v>
      </c>
      <c r="J456" s="505" t="s">
        <v>3736</v>
      </c>
      <c r="K456" s="505" t="s">
        <v>1507</v>
      </c>
      <c r="L456" s="1485">
        <v>8.8000000000000007</v>
      </c>
      <c r="M456" s="519">
        <v>10</v>
      </c>
      <c r="N456" s="1546">
        <v>10</v>
      </c>
      <c r="O456" s="483">
        <v>0</v>
      </c>
      <c r="P456" s="483">
        <v>0</v>
      </c>
      <c r="Q456" s="483">
        <v>1</v>
      </c>
      <c r="R456" s="666">
        <v>46255.175497685188</v>
      </c>
      <c r="S456" s="483">
        <v>1</v>
      </c>
      <c r="T456" s="483">
        <v>1</v>
      </c>
      <c r="V456" t="str">
        <f t="shared" si="15"/>
        <v>Case/6pcs</v>
      </c>
    </row>
    <row r="457" spans="2:27" s="1499" customFormat="1" ht="21.95" customHeight="1">
      <c r="B457" s="1495"/>
      <c r="C457" s="483">
        <v>430</v>
      </c>
      <c r="D457" s="483">
        <v>323</v>
      </c>
      <c r="E457" s="483" t="s">
        <v>4063</v>
      </c>
      <c r="F457" s="505" t="s">
        <v>3896</v>
      </c>
      <c r="G457" s="483">
        <v>1</v>
      </c>
      <c r="H457" s="483">
        <v>2</v>
      </c>
      <c r="I457" s="483">
        <v>2</v>
      </c>
      <c r="J457" s="505" t="s">
        <v>2172</v>
      </c>
      <c r="K457" s="505" t="s">
        <v>1507</v>
      </c>
      <c r="L457" s="1485">
        <v>1.4666666666666668</v>
      </c>
      <c r="M457" s="519">
        <v>1.67</v>
      </c>
      <c r="N457" s="1546">
        <v>1.67</v>
      </c>
      <c r="O457" s="483">
        <v>0</v>
      </c>
      <c r="P457" s="483">
        <v>0</v>
      </c>
      <c r="Q457" s="483">
        <v>1</v>
      </c>
      <c r="R457" s="666">
        <v>46255.175497685188</v>
      </c>
      <c r="S457" s="483">
        <v>1</v>
      </c>
      <c r="T457" s="483">
        <v>1</v>
      </c>
      <c r="V457" t="str">
        <f t="shared" si="15"/>
        <v>pcs</v>
      </c>
      <c r="W457" s="1500"/>
      <c r="X457" s="1500"/>
      <c r="Y457" s="1500"/>
      <c r="Z457" s="1500"/>
      <c r="AA457" s="1500"/>
    </row>
    <row r="458" spans="2:27" ht="21.95" customHeight="1">
      <c r="C458" s="483">
        <v>431</v>
      </c>
      <c r="D458" s="483">
        <v>324</v>
      </c>
      <c r="E458" s="483" t="s">
        <v>4064</v>
      </c>
      <c r="F458" s="505" t="s">
        <v>3897</v>
      </c>
      <c r="G458" s="483">
        <v>1</v>
      </c>
      <c r="H458" s="483">
        <v>2</v>
      </c>
      <c r="I458" s="483">
        <v>2</v>
      </c>
      <c r="J458" s="505" t="s">
        <v>2172</v>
      </c>
      <c r="K458" s="505" t="s">
        <v>1507</v>
      </c>
      <c r="L458" s="1485">
        <v>8</v>
      </c>
      <c r="M458" s="519">
        <v>10</v>
      </c>
      <c r="N458" s="1546">
        <v>10</v>
      </c>
      <c r="O458" s="483">
        <v>0</v>
      </c>
      <c r="P458" s="483">
        <v>0</v>
      </c>
      <c r="Q458" s="483">
        <v>1</v>
      </c>
      <c r="R458" s="666">
        <v>46255.175497685188</v>
      </c>
      <c r="S458" s="483">
        <v>1</v>
      </c>
      <c r="T458" s="483">
        <v>1</v>
      </c>
      <c r="V458" t="str">
        <f t="shared" si="15"/>
        <v>pcs</v>
      </c>
    </row>
    <row r="459" spans="2:27" ht="21.95" customHeight="1">
      <c r="C459" s="483">
        <v>432</v>
      </c>
      <c r="D459" s="483">
        <v>325</v>
      </c>
      <c r="E459" s="483" t="s">
        <v>4065</v>
      </c>
      <c r="F459" s="505" t="s">
        <v>3898</v>
      </c>
      <c r="G459" s="483">
        <v>1</v>
      </c>
      <c r="H459" s="483">
        <v>2</v>
      </c>
      <c r="I459" s="483">
        <v>2</v>
      </c>
      <c r="J459" s="505" t="s">
        <v>2172</v>
      </c>
      <c r="K459" s="505" t="s">
        <v>1507</v>
      </c>
      <c r="L459" s="1485">
        <v>1.5</v>
      </c>
      <c r="M459" s="519">
        <v>2</v>
      </c>
      <c r="N459" s="1546">
        <v>2</v>
      </c>
      <c r="O459" s="483">
        <v>0</v>
      </c>
      <c r="P459" s="483">
        <v>0</v>
      </c>
      <c r="Q459" s="483">
        <v>1</v>
      </c>
      <c r="R459" s="666">
        <v>46255.175497685188</v>
      </c>
      <c r="S459" s="483">
        <v>1</v>
      </c>
      <c r="T459" s="483">
        <v>1</v>
      </c>
      <c r="V459" t="str">
        <f t="shared" si="15"/>
        <v>pcs</v>
      </c>
    </row>
    <row r="460" spans="2:27" ht="21.95" customHeight="1">
      <c r="C460" s="483">
        <v>433</v>
      </c>
      <c r="D460" s="483">
        <v>326</v>
      </c>
      <c r="E460" s="483" t="s">
        <v>4066</v>
      </c>
      <c r="F460" s="505" t="s">
        <v>3899</v>
      </c>
      <c r="G460" s="483">
        <v>1</v>
      </c>
      <c r="H460" s="483">
        <v>2</v>
      </c>
      <c r="I460" s="483">
        <v>2</v>
      </c>
      <c r="J460" s="505" t="s">
        <v>2172</v>
      </c>
      <c r="K460" s="505" t="s">
        <v>1507</v>
      </c>
      <c r="L460" s="1485">
        <v>15</v>
      </c>
      <c r="M460" s="519">
        <v>19</v>
      </c>
      <c r="N460" s="1546">
        <v>19</v>
      </c>
      <c r="O460" s="483">
        <v>0</v>
      </c>
      <c r="P460" s="483">
        <v>0</v>
      </c>
      <c r="Q460" s="483">
        <v>1</v>
      </c>
      <c r="R460" s="666">
        <v>46255.175497685188</v>
      </c>
      <c r="S460" s="483">
        <v>1</v>
      </c>
      <c r="T460" s="483">
        <v>1</v>
      </c>
      <c r="V460" t="str">
        <f t="shared" si="15"/>
        <v>pcs</v>
      </c>
    </row>
    <row r="461" spans="2:27" ht="21.95" customHeight="1">
      <c r="C461" s="483">
        <v>434</v>
      </c>
      <c r="D461" s="483">
        <v>327</v>
      </c>
      <c r="E461" s="483" t="s">
        <v>4067</v>
      </c>
      <c r="F461" s="505" t="s">
        <v>3900</v>
      </c>
      <c r="G461" s="483">
        <v>1</v>
      </c>
      <c r="H461" s="483">
        <v>2</v>
      </c>
      <c r="I461" s="483">
        <v>2</v>
      </c>
      <c r="J461" s="505" t="s">
        <v>2172</v>
      </c>
      <c r="K461" s="505" t="s">
        <v>1507</v>
      </c>
      <c r="L461" s="1485">
        <v>24</v>
      </c>
      <c r="M461" s="519">
        <v>35</v>
      </c>
      <c r="N461" s="1546">
        <v>35</v>
      </c>
      <c r="O461" s="483">
        <v>0</v>
      </c>
      <c r="P461" s="483">
        <v>0</v>
      </c>
      <c r="Q461" s="483">
        <v>1</v>
      </c>
      <c r="R461" s="666">
        <v>46255.175497685188</v>
      </c>
      <c r="S461" s="483">
        <v>1</v>
      </c>
      <c r="T461" s="483">
        <v>1</v>
      </c>
      <c r="V461" t="str">
        <f t="shared" si="15"/>
        <v>pcs</v>
      </c>
    </row>
    <row r="462" spans="2:27" ht="21.95" customHeight="1">
      <c r="C462" s="483">
        <v>435</v>
      </c>
      <c r="D462" s="483">
        <v>328</v>
      </c>
      <c r="E462" s="483" t="s">
        <v>4068</v>
      </c>
      <c r="F462" s="505" t="s">
        <v>3901</v>
      </c>
      <c r="G462" s="483">
        <v>1</v>
      </c>
      <c r="H462" s="483">
        <v>2</v>
      </c>
      <c r="I462" s="483">
        <v>2</v>
      </c>
      <c r="J462" s="505" t="s">
        <v>2172</v>
      </c>
      <c r="K462" s="505" t="s">
        <v>1507</v>
      </c>
      <c r="L462" s="1485">
        <v>2.5</v>
      </c>
      <c r="M462" s="519">
        <v>3.75</v>
      </c>
      <c r="N462" s="1546">
        <v>3.75</v>
      </c>
      <c r="O462" s="483">
        <v>0</v>
      </c>
      <c r="P462" s="483">
        <v>0</v>
      </c>
      <c r="Q462" s="483">
        <v>1</v>
      </c>
      <c r="R462" s="666">
        <v>46255.175497685188</v>
      </c>
      <c r="S462" s="483">
        <v>1</v>
      </c>
      <c r="T462" s="483">
        <v>1</v>
      </c>
      <c r="V462" t="str">
        <f t="shared" si="15"/>
        <v>pcs</v>
      </c>
    </row>
    <row r="463" spans="2:27" ht="21.95" customHeight="1">
      <c r="C463" s="483">
        <v>436</v>
      </c>
      <c r="D463" s="483">
        <v>329</v>
      </c>
      <c r="E463" s="483" t="s">
        <v>4069</v>
      </c>
      <c r="F463" s="505" t="s">
        <v>3902</v>
      </c>
      <c r="G463" s="483">
        <v>1</v>
      </c>
      <c r="H463" s="483">
        <v>2</v>
      </c>
      <c r="I463" s="483">
        <v>2</v>
      </c>
      <c r="J463" s="505" t="s">
        <v>2172</v>
      </c>
      <c r="K463" s="505" t="s">
        <v>1507</v>
      </c>
      <c r="L463" s="1485">
        <v>22</v>
      </c>
      <c r="M463" s="519">
        <v>25</v>
      </c>
      <c r="N463" s="1546">
        <v>25</v>
      </c>
      <c r="O463" s="483">
        <v>0</v>
      </c>
      <c r="P463" s="483">
        <v>0</v>
      </c>
      <c r="Q463" s="483">
        <v>1</v>
      </c>
      <c r="R463" s="666">
        <v>46255.175497685188</v>
      </c>
      <c r="S463" s="483">
        <v>1</v>
      </c>
      <c r="T463" s="483">
        <v>1</v>
      </c>
      <c r="V463" t="str">
        <f t="shared" si="15"/>
        <v>pcs</v>
      </c>
    </row>
    <row r="464" spans="2:27" ht="21.95" customHeight="1">
      <c r="C464" s="483">
        <v>437</v>
      </c>
      <c r="D464" s="483">
        <v>330</v>
      </c>
      <c r="E464" s="483" t="s">
        <v>4070</v>
      </c>
      <c r="F464" s="505" t="s">
        <v>3903</v>
      </c>
      <c r="G464" s="483">
        <v>1</v>
      </c>
      <c r="H464" s="483">
        <v>2</v>
      </c>
      <c r="I464" s="483">
        <v>2</v>
      </c>
      <c r="J464" s="505" t="s">
        <v>2172</v>
      </c>
      <c r="K464" s="505" t="s">
        <v>1507</v>
      </c>
      <c r="L464" s="1485">
        <v>2</v>
      </c>
      <c r="M464" s="519">
        <v>2.5</v>
      </c>
      <c r="N464" s="1546">
        <v>2.5</v>
      </c>
      <c r="O464" s="483">
        <v>0</v>
      </c>
      <c r="P464" s="483">
        <v>0</v>
      </c>
      <c r="Q464" s="483">
        <v>1</v>
      </c>
      <c r="R464" s="666">
        <v>46255.175497685188</v>
      </c>
      <c r="S464" s="483">
        <v>1</v>
      </c>
      <c r="T464" s="483">
        <v>1</v>
      </c>
      <c r="V464" t="str">
        <f t="shared" si="15"/>
        <v>pcs</v>
      </c>
    </row>
    <row r="465" spans="3:22" ht="21.95" customHeight="1">
      <c r="C465" s="483">
        <v>438</v>
      </c>
      <c r="D465" s="483">
        <v>331</v>
      </c>
      <c r="E465" s="483" t="s">
        <v>4071</v>
      </c>
      <c r="F465" s="505" t="s">
        <v>3904</v>
      </c>
      <c r="G465" s="483">
        <v>1</v>
      </c>
      <c r="H465" s="483">
        <v>2</v>
      </c>
      <c r="I465" s="483">
        <v>47</v>
      </c>
      <c r="J465" s="505" t="s">
        <v>2166</v>
      </c>
      <c r="K465" s="505" t="s">
        <v>1507</v>
      </c>
      <c r="L465" s="1485">
        <v>3.2</v>
      </c>
      <c r="M465" s="519">
        <v>3.5</v>
      </c>
      <c r="N465" s="1546">
        <v>3.5</v>
      </c>
      <c r="O465" s="483">
        <v>0</v>
      </c>
      <c r="P465" s="483">
        <v>0</v>
      </c>
      <c r="Q465" s="483">
        <v>1</v>
      </c>
      <c r="R465" s="666">
        <v>46255.175497685188</v>
      </c>
      <c r="S465" s="483">
        <v>1</v>
      </c>
      <c r="T465" s="483">
        <v>1</v>
      </c>
      <c r="V465" t="str">
        <f t="shared" si="15"/>
        <v>Ctn/6pcs</v>
      </c>
    </row>
    <row r="466" spans="3:22" ht="21.95" customHeight="1">
      <c r="C466" s="483">
        <v>439</v>
      </c>
      <c r="D466" s="483">
        <v>331</v>
      </c>
      <c r="E466" s="483" t="s">
        <v>4071</v>
      </c>
      <c r="F466" s="505" t="s">
        <v>3904</v>
      </c>
      <c r="G466" s="483">
        <v>1</v>
      </c>
      <c r="H466" s="483">
        <v>2</v>
      </c>
      <c r="I466" s="483">
        <v>2</v>
      </c>
      <c r="J466" s="505" t="s">
        <v>2172</v>
      </c>
      <c r="K466" s="505" t="s">
        <v>1507</v>
      </c>
      <c r="L466" s="1485">
        <v>0.53333333333333333</v>
      </c>
      <c r="M466" s="519">
        <v>0.62</v>
      </c>
      <c r="N466" s="1546">
        <v>0.62</v>
      </c>
      <c r="O466" s="483">
        <v>0</v>
      </c>
      <c r="P466" s="483">
        <v>0</v>
      </c>
      <c r="Q466" s="483">
        <v>1</v>
      </c>
      <c r="R466" s="666">
        <v>46255.175497685188</v>
      </c>
      <c r="S466" s="483">
        <v>1</v>
      </c>
      <c r="T466" s="483">
        <v>1</v>
      </c>
      <c r="V466" t="str">
        <f t="shared" si="15"/>
        <v>pcs</v>
      </c>
    </row>
    <row r="467" spans="3:22" ht="21.95" customHeight="1">
      <c r="C467" s="483">
        <v>440</v>
      </c>
      <c r="D467" s="483">
        <v>332</v>
      </c>
      <c r="E467" s="483" t="s">
        <v>4072</v>
      </c>
      <c r="F467" s="505" t="s">
        <v>3905</v>
      </c>
      <c r="G467" s="483">
        <v>1</v>
      </c>
      <c r="H467" s="483">
        <v>2</v>
      </c>
      <c r="I467" s="483">
        <v>64</v>
      </c>
      <c r="J467" s="505" t="s">
        <v>3745</v>
      </c>
      <c r="K467" s="505" t="s">
        <v>1507</v>
      </c>
      <c r="L467" s="1485">
        <v>27.5</v>
      </c>
      <c r="M467" s="519">
        <v>42</v>
      </c>
      <c r="N467" s="1546">
        <v>42</v>
      </c>
      <c r="O467" s="483">
        <v>0</v>
      </c>
      <c r="P467" s="483">
        <v>0</v>
      </c>
      <c r="Q467" s="483">
        <v>1</v>
      </c>
      <c r="R467" s="666">
        <v>46255.175497685188</v>
      </c>
      <c r="S467" s="483">
        <v>1</v>
      </c>
      <c r="T467" s="483">
        <v>1</v>
      </c>
      <c r="V467" t="str">
        <f t="shared" si="15"/>
        <v>Coil/100m</v>
      </c>
    </row>
    <row r="468" spans="3:22" ht="21.95" customHeight="1">
      <c r="C468" s="483">
        <v>441</v>
      </c>
      <c r="D468" s="483">
        <v>332</v>
      </c>
      <c r="E468" s="483" t="s">
        <v>4072</v>
      </c>
      <c r="F468" s="505" t="s">
        <v>3905</v>
      </c>
      <c r="G468" s="483">
        <v>1</v>
      </c>
      <c r="H468" s="483">
        <v>2</v>
      </c>
      <c r="I468" s="483">
        <v>16</v>
      </c>
      <c r="J468" s="505" t="s">
        <v>2134</v>
      </c>
      <c r="K468" s="505" t="s">
        <v>1507</v>
      </c>
      <c r="L468" s="1485">
        <v>0.27500000000000002</v>
      </c>
      <c r="M468" s="519">
        <v>0.626</v>
      </c>
      <c r="N468" s="1546">
        <v>0.626</v>
      </c>
      <c r="O468" s="483">
        <v>0</v>
      </c>
      <c r="P468" s="483">
        <v>0</v>
      </c>
      <c r="Q468" s="483">
        <v>1</v>
      </c>
      <c r="R468" s="666">
        <v>46255.175497685188</v>
      </c>
      <c r="S468" s="483">
        <v>1</v>
      </c>
      <c r="T468" s="483">
        <v>1</v>
      </c>
      <c r="V468" t="str">
        <f t="shared" si="15"/>
        <v>m</v>
      </c>
    </row>
    <row r="469" spans="3:22" ht="21.95" customHeight="1">
      <c r="C469" s="483">
        <v>442</v>
      </c>
      <c r="D469" s="483">
        <v>333</v>
      </c>
      <c r="E469" s="483" t="s">
        <v>4073</v>
      </c>
      <c r="F469" s="505" t="s">
        <v>3906</v>
      </c>
      <c r="G469" s="483">
        <v>1</v>
      </c>
      <c r="H469" s="483">
        <v>2</v>
      </c>
      <c r="I469" s="483">
        <v>26</v>
      </c>
      <c r="J469" s="505" t="s">
        <v>2164</v>
      </c>
      <c r="K469" s="505" t="s">
        <v>1507</v>
      </c>
      <c r="L469" s="1485">
        <v>2</v>
      </c>
      <c r="M469" s="519">
        <v>3</v>
      </c>
      <c r="N469" s="1546">
        <v>3</v>
      </c>
      <c r="O469" s="483">
        <v>0</v>
      </c>
      <c r="P469" s="483">
        <v>0</v>
      </c>
      <c r="Q469" s="483">
        <v>1</v>
      </c>
      <c r="R469" s="666">
        <v>46255.175497685188</v>
      </c>
      <c r="S469" s="483">
        <v>1</v>
      </c>
      <c r="T469" s="483">
        <v>1</v>
      </c>
      <c r="V469" t="str">
        <f t="shared" si="15"/>
        <v>Box/12pcs</v>
      </c>
    </row>
    <row r="470" spans="3:22" ht="21.95" customHeight="1">
      <c r="C470" s="483">
        <v>443</v>
      </c>
      <c r="D470" s="483">
        <v>333</v>
      </c>
      <c r="E470" s="483" t="s">
        <v>4073</v>
      </c>
      <c r="F470" s="505" t="s">
        <v>3906</v>
      </c>
      <c r="G470" s="483">
        <v>1</v>
      </c>
      <c r="H470" s="483">
        <v>2</v>
      </c>
      <c r="I470" s="483">
        <v>2</v>
      </c>
      <c r="J470" s="505" t="s">
        <v>2172</v>
      </c>
      <c r="K470" s="505" t="s">
        <v>1507</v>
      </c>
      <c r="L470" s="1485">
        <v>0.16666666666666666</v>
      </c>
      <c r="M470" s="519">
        <v>0.25</v>
      </c>
      <c r="N470" s="1546">
        <v>0.25</v>
      </c>
      <c r="O470" s="483">
        <v>0</v>
      </c>
      <c r="P470" s="483">
        <v>0</v>
      </c>
      <c r="Q470" s="483">
        <v>1</v>
      </c>
      <c r="R470" s="666">
        <v>46255.175497685188</v>
      </c>
      <c r="S470" s="483">
        <v>1</v>
      </c>
      <c r="T470" s="483">
        <v>1</v>
      </c>
      <c r="V470" t="str">
        <f t="shared" si="15"/>
        <v>pcs</v>
      </c>
    </row>
    <row r="471" spans="3:22" ht="21.95" customHeight="1">
      <c r="C471" s="1511">
        <v>444</v>
      </c>
      <c r="D471" s="1511">
        <v>287</v>
      </c>
      <c r="E471" s="1511" t="s">
        <v>4027</v>
      </c>
      <c r="F471" s="1512" t="s">
        <v>4139</v>
      </c>
      <c r="G471" s="1511">
        <v>1</v>
      </c>
      <c r="H471" s="1511">
        <v>2</v>
      </c>
      <c r="I471" s="1511">
        <v>55</v>
      </c>
      <c r="J471" s="1512" t="s">
        <v>3718</v>
      </c>
      <c r="K471" s="1512" t="s">
        <v>4140</v>
      </c>
      <c r="L471" s="1513">
        <v>0.9</v>
      </c>
      <c r="M471" s="1514">
        <v>1</v>
      </c>
      <c r="N471" s="1549">
        <v>0.1</v>
      </c>
      <c r="O471" s="1511">
        <v>0</v>
      </c>
      <c r="P471" s="1511">
        <v>0</v>
      </c>
      <c r="Q471" s="1511">
        <v>1</v>
      </c>
      <c r="R471" s="1515">
        <v>46255.424571759257</v>
      </c>
      <c r="S471" s="1511">
        <v>1</v>
      </c>
      <c r="T471" s="1511">
        <v>1</v>
      </c>
      <c r="V471" t="str">
        <f t="shared" si="15"/>
        <v>kham</v>
      </c>
    </row>
    <row r="472" spans="3:22" ht="21.95" customHeight="1">
      <c r="C472" s="483">
        <v>445</v>
      </c>
      <c r="D472" s="483">
        <v>1</v>
      </c>
      <c r="E472" s="483" t="s">
        <v>2570</v>
      </c>
      <c r="F472" s="505" t="s">
        <v>3444</v>
      </c>
      <c r="G472" s="483">
        <v>1</v>
      </c>
      <c r="H472" s="483">
        <v>2</v>
      </c>
      <c r="I472" s="483">
        <v>53</v>
      </c>
      <c r="K472" s="505" t="s">
        <v>1507</v>
      </c>
      <c r="L472" s="1485">
        <v>27.34</v>
      </c>
      <c r="M472" s="519">
        <v>28.5</v>
      </c>
      <c r="N472" s="1546">
        <v>28.5</v>
      </c>
      <c r="O472" s="483">
        <v>0</v>
      </c>
      <c r="P472" s="483">
        <v>0</v>
      </c>
      <c r="Q472" s="483">
        <v>1</v>
      </c>
      <c r="R472" s="666">
        <v>46255.706759259258</v>
      </c>
      <c r="S472" s="483">
        <v>1</v>
      </c>
      <c r="T472" s="483">
        <v>1</v>
      </c>
      <c r="V472" t="str">
        <f t="shared" si="15"/>
        <v>Unit/4m</v>
      </c>
    </row>
    <row r="473" spans="3:22" ht="21.95" customHeight="1">
      <c r="C473" s="483">
        <v>446</v>
      </c>
      <c r="D473" s="483">
        <v>1</v>
      </c>
      <c r="E473" s="483" t="s">
        <v>2570</v>
      </c>
      <c r="F473" s="505" t="s">
        <v>3444</v>
      </c>
      <c r="G473" s="483">
        <v>1</v>
      </c>
      <c r="H473" s="483">
        <v>2</v>
      </c>
      <c r="I473" s="483">
        <v>16</v>
      </c>
      <c r="K473" s="505" t="s">
        <v>1507</v>
      </c>
      <c r="L473" s="1485">
        <v>6.835</v>
      </c>
      <c r="M473" s="519">
        <v>7.13</v>
      </c>
      <c r="N473" s="1546">
        <v>7.13</v>
      </c>
      <c r="O473" s="483">
        <v>0</v>
      </c>
      <c r="P473" s="483">
        <v>0</v>
      </c>
      <c r="Q473" s="483">
        <v>1</v>
      </c>
      <c r="R473" s="666">
        <v>46255.706759259258</v>
      </c>
      <c r="S473" s="483">
        <v>1</v>
      </c>
      <c r="T473" s="483">
        <v>1</v>
      </c>
      <c r="V473" t="str">
        <f t="shared" si="15"/>
        <v>m</v>
      </c>
    </row>
    <row r="474" spans="3:22" ht="21.95" customHeight="1">
      <c r="C474" s="483">
        <v>447</v>
      </c>
      <c r="D474" s="483">
        <v>2</v>
      </c>
      <c r="E474" s="483" t="s">
        <v>2571</v>
      </c>
      <c r="F474" s="505" t="s">
        <v>3443</v>
      </c>
      <c r="G474" s="483">
        <v>1</v>
      </c>
      <c r="H474" s="483">
        <v>2</v>
      </c>
      <c r="I474" s="483">
        <v>53</v>
      </c>
      <c r="K474" s="505" t="s">
        <v>1507</v>
      </c>
      <c r="L474" s="1485">
        <v>11.32</v>
      </c>
      <c r="M474" s="519">
        <v>12</v>
      </c>
      <c r="N474" s="1546">
        <v>12</v>
      </c>
      <c r="O474" s="483">
        <v>0</v>
      </c>
      <c r="P474" s="483">
        <v>0</v>
      </c>
      <c r="Q474" s="483">
        <v>1</v>
      </c>
      <c r="R474" s="666">
        <v>46255.706759259258</v>
      </c>
      <c r="S474" s="483">
        <v>1</v>
      </c>
      <c r="T474" s="483">
        <v>1</v>
      </c>
      <c r="V474" t="str">
        <f t="shared" si="15"/>
        <v>Unit/4m</v>
      </c>
    </row>
    <row r="475" spans="3:22" ht="21.95" customHeight="1">
      <c r="C475" s="483">
        <v>448</v>
      </c>
      <c r="D475" s="483">
        <v>2</v>
      </c>
      <c r="E475" s="483" t="s">
        <v>2571</v>
      </c>
      <c r="F475" s="505" t="s">
        <v>3443</v>
      </c>
      <c r="G475" s="483">
        <v>1</v>
      </c>
      <c r="H475" s="483">
        <v>2</v>
      </c>
      <c r="I475" s="483">
        <v>16</v>
      </c>
      <c r="K475" s="505" t="s">
        <v>1507</v>
      </c>
      <c r="L475" s="1485">
        <v>2.83</v>
      </c>
      <c r="M475" s="519">
        <v>3</v>
      </c>
      <c r="N475" s="1546">
        <v>3</v>
      </c>
      <c r="O475" s="483">
        <v>0</v>
      </c>
      <c r="P475" s="483">
        <v>0</v>
      </c>
      <c r="Q475" s="483">
        <v>1</v>
      </c>
      <c r="R475" s="666">
        <v>46255.706759259258</v>
      </c>
      <c r="S475" s="483">
        <v>1</v>
      </c>
      <c r="T475" s="483">
        <v>1</v>
      </c>
      <c r="V475" t="str">
        <f t="shared" si="15"/>
        <v>m</v>
      </c>
    </row>
    <row r="476" spans="3:22" ht="21.95" customHeight="1">
      <c r="C476" s="483">
        <v>449</v>
      </c>
      <c r="D476" s="483">
        <v>3</v>
      </c>
      <c r="E476" s="483" t="s">
        <v>2572</v>
      </c>
      <c r="F476" s="505" t="s">
        <v>3445</v>
      </c>
      <c r="G476" s="483">
        <v>1</v>
      </c>
      <c r="H476" s="483">
        <v>2</v>
      </c>
      <c r="I476" s="483">
        <v>53</v>
      </c>
      <c r="K476" s="505" t="s">
        <v>1507</v>
      </c>
      <c r="L476" s="1485">
        <v>8.8000000000000007</v>
      </c>
      <c r="M476" s="519">
        <v>9.5</v>
      </c>
      <c r="N476" s="1546">
        <v>9.5</v>
      </c>
      <c r="O476" s="483">
        <v>0</v>
      </c>
      <c r="P476" s="483">
        <v>0</v>
      </c>
      <c r="Q476" s="483">
        <v>1</v>
      </c>
      <c r="R476" s="666">
        <v>46255.706759259258</v>
      </c>
      <c r="S476" s="483">
        <v>1</v>
      </c>
      <c r="T476" s="483">
        <v>1</v>
      </c>
      <c r="V476" t="str">
        <f t="shared" ref="V476:V539" si="16">IF(I476="","",VLOOKUP(I476,uom_list,5,FALSE))</f>
        <v>Unit/4m</v>
      </c>
    </row>
    <row r="477" spans="3:22" ht="21.95" customHeight="1">
      <c r="C477" s="483">
        <v>450</v>
      </c>
      <c r="D477" s="483">
        <v>3</v>
      </c>
      <c r="E477" s="483" t="s">
        <v>2572</v>
      </c>
      <c r="F477" s="505" t="s">
        <v>3445</v>
      </c>
      <c r="G477" s="483">
        <v>1</v>
      </c>
      <c r="H477" s="483">
        <v>2</v>
      </c>
      <c r="I477" s="483">
        <v>16</v>
      </c>
      <c r="K477" s="505" t="s">
        <v>1507</v>
      </c>
      <c r="L477" s="1485">
        <v>2.2000000000000002</v>
      </c>
      <c r="M477" s="519">
        <v>2.38</v>
      </c>
      <c r="N477" s="1546">
        <v>2.38</v>
      </c>
      <c r="O477" s="483">
        <v>0</v>
      </c>
      <c r="P477" s="483">
        <v>0</v>
      </c>
      <c r="Q477" s="483">
        <v>1</v>
      </c>
      <c r="R477" s="666">
        <v>46255.706759259258</v>
      </c>
      <c r="S477" s="483">
        <v>1</v>
      </c>
      <c r="T477" s="483">
        <v>1</v>
      </c>
      <c r="V477" t="str">
        <f t="shared" si="16"/>
        <v>m</v>
      </c>
    </row>
    <row r="478" spans="3:22" ht="21.95" customHeight="1">
      <c r="C478" s="483">
        <v>451</v>
      </c>
      <c r="D478" s="483">
        <v>4</v>
      </c>
      <c r="E478" s="483" t="s">
        <v>2573</v>
      </c>
      <c r="F478" s="505" t="s">
        <v>3441</v>
      </c>
      <c r="G478" s="483">
        <v>1</v>
      </c>
      <c r="H478" s="483">
        <v>2</v>
      </c>
      <c r="I478" s="483">
        <v>53</v>
      </c>
      <c r="K478" s="505" t="s">
        <v>1507</v>
      </c>
      <c r="L478" s="1485">
        <v>5.8</v>
      </c>
      <c r="M478" s="519">
        <v>6.5</v>
      </c>
      <c r="N478" s="1546">
        <v>6.5</v>
      </c>
      <c r="O478" s="483">
        <v>0</v>
      </c>
      <c r="P478" s="483">
        <v>0</v>
      </c>
      <c r="Q478" s="483">
        <v>1</v>
      </c>
      <c r="R478" s="666">
        <v>46255.706759259258</v>
      </c>
      <c r="S478" s="483">
        <v>1</v>
      </c>
      <c r="T478" s="483">
        <v>1</v>
      </c>
      <c r="V478" t="str">
        <f t="shared" si="16"/>
        <v>Unit/4m</v>
      </c>
    </row>
    <row r="479" spans="3:22" ht="21.95" customHeight="1">
      <c r="C479" s="483">
        <v>452</v>
      </c>
      <c r="D479" s="483">
        <v>4</v>
      </c>
      <c r="E479" s="483" t="s">
        <v>2573</v>
      </c>
      <c r="F479" s="505" t="s">
        <v>3441</v>
      </c>
      <c r="G479" s="483">
        <v>1</v>
      </c>
      <c r="H479" s="483">
        <v>2</v>
      </c>
      <c r="I479" s="483">
        <v>16</v>
      </c>
      <c r="K479" s="505" t="s">
        <v>1507</v>
      </c>
      <c r="L479" s="1485">
        <v>1.45</v>
      </c>
      <c r="M479" s="519">
        <v>1.63</v>
      </c>
      <c r="N479" s="1546">
        <v>1.63</v>
      </c>
      <c r="O479" s="483">
        <v>0</v>
      </c>
      <c r="P479" s="483">
        <v>0</v>
      </c>
      <c r="Q479" s="483">
        <v>1</v>
      </c>
      <c r="R479" s="666">
        <v>46255.706759259258</v>
      </c>
      <c r="S479" s="483">
        <v>1</v>
      </c>
      <c r="T479" s="483">
        <v>1</v>
      </c>
      <c r="V479" t="str">
        <f t="shared" si="16"/>
        <v>m</v>
      </c>
    </row>
    <row r="480" spans="3:22" ht="21.95" customHeight="1">
      <c r="C480" s="483">
        <v>453</v>
      </c>
      <c r="D480" s="483">
        <v>5</v>
      </c>
      <c r="E480" s="483" t="s">
        <v>2574</v>
      </c>
      <c r="F480" s="505" t="s">
        <v>3450</v>
      </c>
      <c r="G480" s="483">
        <v>1</v>
      </c>
      <c r="H480" s="483">
        <v>2</v>
      </c>
      <c r="I480" s="483">
        <v>53</v>
      </c>
      <c r="K480" s="505" t="s">
        <v>1507</v>
      </c>
      <c r="L480" s="1485">
        <v>3.74</v>
      </c>
      <c r="M480" s="519">
        <v>4.25</v>
      </c>
      <c r="N480" s="1546">
        <v>4.25</v>
      </c>
      <c r="O480" s="483">
        <v>0</v>
      </c>
      <c r="P480" s="483">
        <v>0</v>
      </c>
      <c r="Q480" s="483">
        <v>1</v>
      </c>
      <c r="R480" s="666">
        <v>46255.706759259258</v>
      </c>
      <c r="S480" s="483">
        <v>1</v>
      </c>
      <c r="T480" s="483">
        <v>1</v>
      </c>
      <c r="V480" t="str">
        <f t="shared" si="16"/>
        <v>Unit/4m</v>
      </c>
    </row>
    <row r="481" spans="3:22" ht="21.95" customHeight="1">
      <c r="C481" s="483">
        <v>454</v>
      </c>
      <c r="D481" s="483">
        <v>5</v>
      </c>
      <c r="E481" s="483" t="s">
        <v>2574</v>
      </c>
      <c r="F481" s="505" t="s">
        <v>3450</v>
      </c>
      <c r="G481" s="483">
        <v>1</v>
      </c>
      <c r="H481" s="483">
        <v>2</v>
      </c>
      <c r="I481" s="483">
        <v>16</v>
      </c>
      <c r="K481" s="505" t="s">
        <v>1507</v>
      </c>
      <c r="L481" s="1485">
        <v>0.93500000000000005</v>
      </c>
      <c r="M481" s="519">
        <v>1.06</v>
      </c>
      <c r="N481" s="1546">
        <v>1.06</v>
      </c>
      <c r="O481" s="483">
        <v>0</v>
      </c>
      <c r="P481" s="483">
        <v>0</v>
      </c>
      <c r="Q481" s="483">
        <v>1</v>
      </c>
      <c r="R481" s="666">
        <v>46255.706759259258</v>
      </c>
      <c r="S481" s="483">
        <v>1</v>
      </c>
      <c r="T481" s="483">
        <v>1</v>
      </c>
      <c r="V481" t="str">
        <f t="shared" si="16"/>
        <v>m</v>
      </c>
    </row>
    <row r="482" spans="3:22" ht="21.95" customHeight="1">
      <c r="C482" s="483">
        <v>455</v>
      </c>
      <c r="D482" s="483">
        <v>6</v>
      </c>
      <c r="E482" s="483" t="s">
        <v>2575</v>
      </c>
      <c r="F482" s="505" t="s">
        <v>3446</v>
      </c>
      <c r="G482" s="483">
        <v>1</v>
      </c>
      <c r="H482" s="483">
        <v>2</v>
      </c>
      <c r="I482" s="483">
        <v>53</v>
      </c>
      <c r="K482" s="505" t="s">
        <v>1507</v>
      </c>
      <c r="L482" s="1485">
        <v>2.89</v>
      </c>
      <c r="M482" s="519">
        <v>3.5</v>
      </c>
      <c r="N482" s="1546">
        <v>3.5</v>
      </c>
      <c r="O482" s="483">
        <v>0</v>
      </c>
      <c r="P482" s="483">
        <v>0</v>
      </c>
      <c r="Q482" s="483">
        <v>1</v>
      </c>
      <c r="R482" s="666">
        <v>46255.706759259258</v>
      </c>
      <c r="S482" s="483">
        <v>1</v>
      </c>
      <c r="T482" s="483">
        <v>1</v>
      </c>
      <c r="V482" t="str">
        <f t="shared" si="16"/>
        <v>Unit/4m</v>
      </c>
    </row>
    <row r="483" spans="3:22" ht="21.95" customHeight="1">
      <c r="C483" s="483">
        <v>456</v>
      </c>
      <c r="D483" s="483">
        <v>6</v>
      </c>
      <c r="E483" s="483" t="s">
        <v>2575</v>
      </c>
      <c r="F483" s="505" t="s">
        <v>3446</v>
      </c>
      <c r="G483" s="483">
        <v>1</v>
      </c>
      <c r="H483" s="483">
        <v>2</v>
      </c>
      <c r="I483" s="483">
        <v>16</v>
      </c>
      <c r="K483" s="505" t="s">
        <v>1507</v>
      </c>
      <c r="L483" s="1485">
        <v>0.72250000000000003</v>
      </c>
      <c r="M483" s="519">
        <v>0.88</v>
      </c>
      <c r="N483" s="1546">
        <v>0.88</v>
      </c>
      <c r="O483" s="483">
        <v>0</v>
      </c>
      <c r="P483" s="483">
        <v>0</v>
      </c>
      <c r="Q483" s="483">
        <v>1</v>
      </c>
      <c r="R483" s="666">
        <v>46255.706759259258</v>
      </c>
      <c r="S483" s="483">
        <v>1</v>
      </c>
      <c r="T483" s="483">
        <v>1</v>
      </c>
      <c r="V483" t="str">
        <f t="shared" si="16"/>
        <v>m</v>
      </c>
    </row>
    <row r="484" spans="3:22" ht="21.95" customHeight="1">
      <c r="C484" s="483">
        <v>457</v>
      </c>
      <c r="D484" s="483">
        <v>7</v>
      </c>
      <c r="E484" s="483" t="s">
        <v>2576</v>
      </c>
      <c r="F484" s="505" t="s">
        <v>3448</v>
      </c>
      <c r="G484" s="483">
        <v>1</v>
      </c>
      <c r="H484" s="483">
        <v>2</v>
      </c>
      <c r="I484" s="483">
        <v>53</v>
      </c>
      <c r="K484" s="505" t="s">
        <v>1507</v>
      </c>
      <c r="L484" s="1485">
        <v>1.79</v>
      </c>
      <c r="M484" s="519">
        <v>2.5</v>
      </c>
      <c r="N484" s="1546">
        <v>2.5</v>
      </c>
      <c r="O484" s="483">
        <v>0</v>
      </c>
      <c r="P484" s="483">
        <v>0</v>
      </c>
      <c r="Q484" s="483">
        <v>1</v>
      </c>
      <c r="R484" s="666">
        <v>46255.706759259258</v>
      </c>
      <c r="S484" s="483">
        <v>1</v>
      </c>
      <c r="T484" s="483">
        <v>1</v>
      </c>
      <c r="V484" t="str">
        <f t="shared" si="16"/>
        <v>Unit/4m</v>
      </c>
    </row>
    <row r="485" spans="3:22" ht="21.95" customHeight="1">
      <c r="C485" s="483">
        <v>458</v>
      </c>
      <c r="D485" s="483">
        <v>7</v>
      </c>
      <c r="E485" s="483" t="s">
        <v>2576</v>
      </c>
      <c r="F485" s="505" t="s">
        <v>3448</v>
      </c>
      <c r="G485" s="483">
        <v>1</v>
      </c>
      <c r="H485" s="483">
        <v>2</v>
      </c>
      <c r="I485" s="483">
        <v>16</v>
      </c>
      <c r="K485" s="505" t="s">
        <v>1507</v>
      </c>
      <c r="L485" s="1485">
        <v>0.44750000000000001</v>
      </c>
      <c r="M485" s="519">
        <v>0.63</v>
      </c>
      <c r="N485" s="1546">
        <v>0.63</v>
      </c>
      <c r="O485" s="483">
        <v>0</v>
      </c>
      <c r="P485" s="483">
        <v>0</v>
      </c>
      <c r="Q485" s="483">
        <v>1</v>
      </c>
      <c r="R485" s="666">
        <v>46255.706759259258</v>
      </c>
      <c r="S485" s="483">
        <v>1</v>
      </c>
      <c r="T485" s="483">
        <v>1</v>
      </c>
      <c r="V485" t="str">
        <f t="shared" si="16"/>
        <v>m</v>
      </c>
    </row>
    <row r="486" spans="3:22" ht="21.95" customHeight="1">
      <c r="C486" s="483">
        <v>459</v>
      </c>
      <c r="D486" s="483">
        <v>8</v>
      </c>
      <c r="E486" s="483" t="s">
        <v>2577</v>
      </c>
      <c r="F486" s="505" t="s">
        <v>3499</v>
      </c>
      <c r="G486" s="483">
        <v>1</v>
      </c>
      <c r="H486" s="483">
        <v>2</v>
      </c>
      <c r="I486" s="483">
        <v>53</v>
      </c>
      <c r="K486" s="505" t="s">
        <v>1507</v>
      </c>
      <c r="L486" s="1485">
        <v>1.32</v>
      </c>
      <c r="M486" s="519">
        <v>1.75</v>
      </c>
      <c r="N486" s="1546">
        <v>1.75</v>
      </c>
      <c r="O486" s="483">
        <v>0</v>
      </c>
      <c r="P486" s="483">
        <v>0</v>
      </c>
      <c r="Q486" s="483">
        <v>1</v>
      </c>
      <c r="R486" s="666">
        <v>46255.706759259258</v>
      </c>
      <c r="S486" s="483">
        <v>1</v>
      </c>
      <c r="T486" s="483">
        <v>1</v>
      </c>
      <c r="V486" t="str">
        <f t="shared" si="16"/>
        <v>Unit/4m</v>
      </c>
    </row>
    <row r="487" spans="3:22" ht="21.95" customHeight="1">
      <c r="C487" s="483">
        <v>460</v>
      </c>
      <c r="D487" s="483">
        <v>8</v>
      </c>
      <c r="E487" s="483" t="s">
        <v>2577</v>
      </c>
      <c r="F487" s="505" t="s">
        <v>3499</v>
      </c>
      <c r="G487" s="483">
        <v>1</v>
      </c>
      <c r="H487" s="483">
        <v>2</v>
      </c>
      <c r="I487" s="483">
        <v>16</v>
      </c>
      <c r="K487" s="505" t="s">
        <v>1507</v>
      </c>
      <c r="L487" s="1485">
        <v>0.33</v>
      </c>
      <c r="M487" s="519">
        <v>0.44</v>
      </c>
      <c r="N487" s="1546">
        <v>0.44</v>
      </c>
      <c r="O487" s="483">
        <v>0</v>
      </c>
      <c r="P487" s="483">
        <v>0</v>
      </c>
      <c r="Q487" s="483">
        <v>1</v>
      </c>
      <c r="R487" s="666">
        <v>46255.706759259258</v>
      </c>
      <c r="S487" s="483">
        <v>1</v>
      </c>
      <c r="T487" s="483">
        <v>1</v>
      </c>
      <c r="V487" t="str">
        <f t="shared" si="16"/>
        <v>m</v>
      </c>
    </row>
    <row r="488" spans="3:22" ht="21.95" customHeight="1">
      <c r="C488" s="483">
        <v>461</v>
      </c>
      <c r="D488" s="483">
        <v>9</v>
      </c>
      <c r="E488" s="483" t="s">
        <v>2578</v>
      </c>
      <c r="F488" s="505" t="s">
        <v>3498</v>
      </c>
      <c r="G488" s="483">
        <v>1</v>
      </c>
      <c r="H488" s="483">
        <v>2</v>
      </c>
      <c r="I488" s="483">
        <v>53</v>
      </c>
      <c r="K488" s="505" t="s">
        <v>1507</v>
      </c>
      <c r="L488" s="1485">
        <v>1.1499999999999999</v>
      </c>
      <c r="M488" s="519">
        <v>1.5</v>
      </c>
      <c r="N488" s="1546">
        <v>1.5</v>
      </c>
      <c r="O488" s="483">
        <v>0</v>
      </c>
      <c r="P488" s="483">
        <v>0</v>
      </c>
      <c r="Q488" s="483">
        <v>1</v>
      </c>
      <c r="R488" s="666">
        <v>46255.706759259258</v>
      </c>
      <c r="S488" s="483">
        <v>1</v>
      </c>
      <c r="T488" s="483">
        <v>1</v>
      </c>
      <c r="V488" t="str">
        <f t="shared" si="16"/>
        <v>Unit/4m</v>
      </c>
    </row>
    <row r="489" spans="3:22" ht="21.95" customHeight="1">
      <c r="C489" s="483">
        <v>462</v>
      </c>
      <c r="D489" s="483">
        <v>9</v>
      </c>
      <c r="E489" s="483" t="s">
        <v>2578</v>
      </c>
      <c r="F489" s="505" t="s">
        <v>3498</v>
      </c>
      <c r="G489" s="483">
        <v>1</v>
      </c>
      <c r="H489" s="483">
        <v>2</v>
      </c>
      <c r="I489" s="483">
        <v>16</v>
      </c>
      <c r="K489" s="505" t="s">
        <v>1507</v>
      </c>
      <c r="L489" s="1485">
        <v>0.28749999999999998</v>
      </c>
      <c r="M489" s="519">
        <v>0.38</v>
      </c>
      <c r="N489" s="1546">
        <v>0.38</v>
      </c>
      <c r="O489" s="483">
        <v>0</v>
      </c>
      <c r="P489" s="483">
        <v>0</v>
      </c>
      <c r="Q489" s="483">
        <v>1</v>
      </c>
      <c r="R489" s="666">
        <v>46255.706759259258</v>
      </c>
      <c r="S489" s="483">
        <v>1</v>
      </c>
      <c r="T489" s="483">
        <v>1</v>
      </c>
      <c r="V489" t="str">
        <f t="shared" si="16"/>
        <v>m</v>
      </c>
    </row>
    <row r="490" spans="3:22" ht="21.95" customHeight="1">
      <c r="C490" s="483">
        <v>463</v>
      </c>
      <c r="D490" s="483">
        <v>10</v>
      </c>
      <c r="E490" s="483" t="s">
        <v>2191</v>
      </c>
      <c r="F490" s="505" t="s">
        <v>3444</v>
      </c>
      <c r="G490" s="483">
        <v>1</v>
      </c>
      <c r="H490" s="483">
        <v>2</v>
      </c>
      <c r="I490" s="483">
        <v>53</v>
      </c>
      <c r="K490" s="505" t="s">
        <v>1507</v>
      </c>
      <c r="L490" s="1485">
        <v>14.85</v>
      </c>
      <c r="M490" s="519">
        <v>15.5</v>
      </c>
      <c r="N490" s="1546">
        <v>15.5</v>
      </c>
      <c r="O490" s="483">
        <v>0</v>
      </c>
      <c r="P490" s="483">
        <v>0</v>
      </c>
      <c r="Q490" s="483">
        <v>1</v>
      </c>
      <c r="R490" s="666">
        <v>46255.706759259258</v>
      </c>
      <c r="S490" s="483">
        <v>1</v>
      </c>
      <c r="T490" s="483">
        <v>1</v>
      </c>
      <c r="V490" t="str">
        <f t="shared" si="16"/>
        <v>Unit/4m</v>
      </c>
    </row>
    <row r="491" spans="3:22" ht="21.95" customHeight="1">
      <c r="C491" s="483">
        <v>464</v>
      </c>
      <c r="D491" s="483">
        <v>10</v>
      </c>
      <c r="E491" s="483" t="s">
        <v>2191</v>
      </c>
      <c r="F491" s="505" t="s">
        <v>3444</v>
      </c>
      <c r="G491" s="483">
        <v>1</v>
      </c>
      <c r="H491" s="483">
        <v>2</v>
      </c>
      <c r="I491" s="483">
        <v>16</v>
      </c>
      <c r="K491" s="505" t="s">
        <v>1507</v>
      </c>
      <c r="L491" s="1485">
        <v>3.7124999999999999</v>
      </c>
      <c r="M491" s="519">
        <v>3.88</v>
      </c>
      <c r="N491" s="1546">
        <v>3.88</v>
      </c>
      <c r="O491" s="483">
        <v>0</v>
      </c>
      <c r="P491" s="483">
        <v>0</v>
      </c>
      <c r="Q491" s="483">
        <v>1</v>
      </c>
      <c r="R491" s="666">
        <v>46255.706759259258</v>
      </c>
      <c r="S491" s="483">
        <v>1</v>
      </c>
      <c r="T491" s="483">
        <v>1</v>
      </c>
      <c r="V491" t="str">
        <f t="shared" si="16"/>
        <v>m</v>
      </c>
    </row>
    <row r="492" spans="3:22" ht="21.95" customHeight="1">
      <c r="C492" s="483">
        <v>465</v>
      </c>
      <c r="D492" s="483">
        <v>11</v>
      </c>
      <c r="E492" s="483" t="s">
        <v>2192</v>
      </c>
      <c r="F492" s="505" t="s">
        <v>3443</v>
      </c>
      <c r="G492" s="483">
        <v>1</v>
      </c>
      <c r="H492" s="483">
        <v>2</v>
      </c>
      <c r="I492" s="483">
        <v>53</v>
      </c>
      <c r="K492" s="505" t="s">
        <v>1507</v>
      </c>
      <c r="L492" s="1485">
        <v>9.52</v>
      </c>
      <c r="M492" s="519">
        <v>10.199999999999999</v>
      </c>
      <c r="N492" s="1546">
        <v>10.199999999999999</v>
      </c>
      <c r="O492" s="483">
        <v>0</v>
      </c>
      <c r="P492" s="483">
        <v>0</v>
      </c>
      <c r="Q492" s="483">
        <v>1</v>
      </c>
      <c r="R492" s="666">
        <v>46255.706759259258</v>
      </c>
      <c r="S492" s="483">
        <v>1</v>
      </c>
      <c r="T492" s="483">
        <v>1</v>
      </c>
      <c r="V492" t="str">
        <f t="shared" si="16"/>
        <v>Unit/4m</v>
      </c>
    </row>
    <row r="493" spans="3:22" ht="21.95" customHeight="1">
      <c r="C493" s="483">
        <v>466</v>
      </c>
      <c r="D493" s="483">
        <v>11</v>
      </c>
      <c r="E493" s="483" t="s">
        <v>2192</v>
      </c>
      <c r="F493" s="505" t="s">
        <v>3443</v>
      </c>
      <c r="G493" s="483">
        <v>1</v>
      </c>
      <c r="H493" s="483">
        <v>2</v>
      </c>
      <c r="I493" s="483">
        <v>16</v>
      </c>
      <c r="K493" s="505" t="s">
        <v>1507</v>
      </c>
      <c r="L493" s="1485">
        <v>2.38</v>
      </c>
      <c r="M493" s="519">
        <v>2.5499999999999998</v>
      </c>
      <c r="N493" s="1546">
        <v>2.5499999999999998</v>
      </c>
      <c r="O493" s="483">
        <v>0</v>
      </c>
      <c r="P493" s="483">
        <v>0</v>
      </c>
      <c r="Q493" s="483">
        <v>1</v>
      </c>
      <c r="R493" s="666">
        <v>46255.706759259258</v>
      </c>
      <c r="S493" s="483">
        <v>1</v>
      </c>
      <c r="T493" s="483">
        <v>1</v>
      </c>
      <c r="V493" t="str">
        <f t="shared" si="16"/>
        <v>m</v>
      </c>
    </row>
    <row r="494" spans="3:22" ht="21.95" customHeight="1">
      <c r="C494" s="483">
        <v>467</v>
      </c>
      <c r="D494" s="483">
        <v>12</v>
      </c>
      <c r="E494" s="483" t="s">
        <v>2194</v>
      </c>
      <c r="F494" s="505" t="s">
        <v>3442</v>
      </c>
      <c r="G494" s="483">
        <v>1</v>
      </c>
      <c r="H494" s="483">
        <v>2</v>
      </c>
      <c r="I494" s="483">
        <v>53</v>
      </c>
      <c r="K494" s="505" t="s">
        <v>1507</v>
      </c>
      <c r="L494" s="1485">
        <v>7.6</v>
      </c>
      <c r="M494" s="519">
        <v>8.5</v>
      </c>
      <c r="N494" s="1546">
        <v>8.5</v>
      </c>
      <c r="O494" s="483">
        <v>0</v>
      </c>
      <c r="P494" s="483">
        <v>0</v>
      </c>
      <c r="Q494" s="483">
        <v>1</v>
      </c>
      <c r="R494" s="666">
        <v>46255.706759259258</v>
      </c>
      <c r="S494" s="483">
        <v>1</v>
      </c>
      <c r="T494" s="483">
        <v>1</v>
      </c>
      <c r="V494" t="str">
        <f t="shared" si="16"/>
        <v>Unit/4m</v>
      </c>
    </row>
    <row r="495" spans="3:22" ht="21.95" customHeight="1">
      <c r="C495" s="483">
        <v>468</v>
      </c>
      <c r="D495" s="483">
        <v>12</v>
      </c>
      <c r="E495" s="483" t="s">
        <v>2194</v>
      </c>
      <c r="F495" s="505" t="s">
        <v>3442</v>
      </c>
      <c r="G495" s="483">
        <v>1</v>
      </c>
      <c r="H495" s="483">
        <v>2</v>
      </c>
      <c r="I495" s="483">
        <v>16</v>
      </c>
      <c r="K495" s="505" t="s">
        <v>1507</v>
      </c>
      <c r="L495" s="1485">
        <v>1.9</v>
      </c>
      <c r="M495" s="519">
        <v>2.13</v>
      </c>
      <c r="N495" s="1546">
        <v>2.13</v>
      </c>
      <c r="O495" s="483">
        <v>0</v>
      </c>
      <c r="P495" s="483">
        <v>0</v>
      </c>
      <c r="Q495" s="483">
        <v>1</v>
      </c>
      <c r="R495" s="666">
        <v>46255.706759259258</v>
      </c>
      <c r="S495" s="483">
        <v>1</v>
      </c>
      <c r="T495" s="483">
        <v>1</v>
      </c>
      <c r="V495" t="str">
        <f t="shared" si="16"/>
        <v>m</v>
      </c>
    </row>
    <row r="496" spans="3:22" ht="21.95" customHeight="1">
      <c r="C496" s="483">
        <v>469</v>
      </c>
      <c r="D496" s="483">
        <v>13</v>
      </c>
      <c r="E496" s="483" t="s">
        <v>2195</v>
      </c>
      <c r="F496" s="505" t="s">
        <v>3451</v>
      </c>
      <c r="G496" s="483">
        <v>1</v>
      </c>
      <c r="H496" s="483">
        <v>2</v>
      </c>
      <c r="I496" s="483">
        <v>53</v>
      </c>
      <c r="K496" s="505" t="s">
        <v>1507</v>
      </c>
      <c r="L496" s="1485">
        <v>5.3</v>
      </c>
      <c r="M496" s="519">
        <v>5.75</v>
      </c>
      <c r="N496" s="1546">
        <v>5.75</v>
      </c>
      <c r="O496" s="483">
        <v>0</v>
      </c>
      <c r="P496" s="483">
        <v>0</v>
      </c>
      <c r="Q496" s="483">
        <v>1</v>
      </c>
      <c r="R496" s="666">
        <v>46255.706759259258</v>
      </c>
      <c r="S496" s="483">
        <v>1</v>
      </c>
      <c r="T496" s="483">
        <v>1</v>
      </c>
      <c r="V496" t="str">
        <f t="shared" si="16"/>
        <v>Unit/4m</v>
      </c>
    </row>
    <row r="497" spans="3:22" ht="21.95" customHeight="1">
      <c r="C497" s="483">
        <v>470</v>
      </c>
      <c r="D497" s="483">
        <v>13</v>
      </c>
      <c r="E497" s="483" t="s">
        <v>2195</v>
      </c>
      <c r="F497" s="505" t="s">
        <v>3451</v>
      </c>
      <c r="G497" s="483">
        <v>1</v>
      </c>
      <c r="H497" s="483">
        <v>2</v>
      </c>
      <c r="I497" s="483">
        <v>16</v>
      </c>
      <c r="K497" s="505" t="s">
        <v>1507</v>
      </c>
      <c r="L497" s="1485">
        <v>1.325</v>
      </c>
      <c r="M497" s="519">
        <v>1.44</v>
      </c>
      <c r="N497" s="1546">
        <v>1.44</v>
      </c>
      <c r="O497" s="483">
        <v>0</v>
      </c>
      <c r="P497" s="483">
        <v>0</v>
      </c>
      <c r="Q497" s="483">
        <v>1</v>
      </c>
      <c r="R497" s="666">
        <v>46255.706759259258</v>
      </c>
      <c r="S497" s="483">
        <v>1</v>
      </c>
      <c r="T497" s="483">
        <v>1</v>
      </c>
      <c r="V497" t="str">
        <f t="shared" si="16"/>
        <v>m</v>
      </c>
    </row>
    <row r="498" spans="3:22" ht="21.95" customHeight="1">
      <c r="C498" s="483">
        <v>471</v>
      </c>
      <c r="D498" s="483">
        <v>14</v>
      </c>
      <c r="E498" s="483" t="s">
        <v>2196</v>
      </c>
      <c r="F498" s="505" t="s">
        <v>3449</v>
      </c>
      <c r="G498" s="483">
        <v>1</v>
      </c>
      <c r="H498" s="483">
        <v>2</v>
      </c>
      <c r="I498" s="483">
        <v>53</v>
      </c>
      <c r="K498" s="505" t="s">
        <v>1507</v>
      </c>
      <c r="L498" s="1485">
        <v>3.3</v>
      </c>
      <c r="M498" s="519">
        <v>3.75</v>
      </c>
      <c r="N498" s="1546">
        <v>3.75</v>
      </c>
      <c r="O498" s="483">
        <v>0</v>
      </c>
      <c r="P498" s="483">
        <v>0</v>
      </c>
      <c r="Q498" s="483">
        <v>1</v>
      </c>
      <c r="R498" s="666">
        <v>46255.706759259258</v>
      </c>
      <c r="S498" s="483">
        <v>1</v>
      </c>
      <c r="T498" s="483">
        <v>1</v>
      </c>
      <c r="V498" t="str">
        <f t="shared" si="16"/>
        <v>Unit/4m</v>
      </c>
    </row>
    <row r="499" spans="3:22" ht="21.95" customHeight="1">
      <c r="C499" s="483">
        <v>472</v>
      </c>
      <c r="D499" s="483">
        <v>14</v>
      </c>
      <c r="E499" s="483" t="s">
        <v>2196</v>
      </c>
      <c r="F499" s="505" t="s">
        <v>3449</v>
      </c>
      <c r="G499" s="483">
        <v>1</v>
      </c>
      <c r="H499" s="483">
        <v>2</v>
      </c>
      <c r="I499" s="483">
        <v>16</v>
      </c>
      <c r="K499" s="505" t="s">
        <v>1507</v>
      </c>
      <c r="L499" s="1485">
        <v>0.82499999999999996</v>
      </c>
      <c r="M499" s="519">
        <v>0.94</v>
      </c>
      <c r="N499" s="1546">
        <v>0.94</v>
      </c>
      <c r="O499" s="483">
        <v>0</v>
      </c>
      <c r="P499" s="483">
        <v>0</v>
      </c>
      <c r="Q499" s="483">
        <v>1</v>
      </c>
      <c r="R499" s="666">
        <v>46255.706759259258</v>
      </c>
      <c r="S499" s="483">
        <v>1</v>
      </c>
      <c r="T499" s="483">
        <v>1</v>
      </c>
      <c r="V499" t="str">
        <f t="shared" si="16"/>
        <v>m</v>
      </c>
    </row>
    <row r="500" spans="3:22" ht="21.95" customHeight="1">
      <c r="C500" s="483">
        <v>473</v>
      </c>
      <c r="D500" s="483">
        <v>15</v>
      </c>
      <c r="E500" s="483" t="s">
        <v>2197</v>
      </c>
      <c r="F500" s="505" t="s">
        <v>3446</v>
      </c>
      <c r="G500" s="483">
        <v>1</v>
      </c>
      <c r="H500" s="483">
        <v>2</v>
      </c>
      <c r="I500" s="483">
        <v>53</v>
      </c>
      <c r="K500" s="505" t="s">
        <v>1507</v>
      </c>
      <c r="L500" s="1485">
        <v>2.7</v>
      </c>
      <c r="M500" s="519">
        <v>3.5</v>
      </c>
      <c r="N500" s="1546">
        <v>3.5</v>
      </c>
      <c r="O500" s="483">
        <v>0</v>
      </c>
      <c r="P500" s="483">
        <v>0</v>
      </c>
      <c r="Q500" s="483">
        <v>1</v>
      </c>
      <c r="R500" s="666">
        <v>46255.706759259258</v>
      </c>
      <c r="S500" s="483">
        <v>1</v>
      </c>
      <c r="T500" s="483">
        <v>1</v>
      </c>
      <c r="V500" t="str">
        <f t="shared" si="16"/>
        <v>Unit/4m</v>
      </c>
    </row>
    <row r="501" spans="3:22" ht="21.95" customHeight="1">
      <c r="C501" s="483">
        <v>474</v>
      </c>
      <c r="D501" s="483">
        <v>15</v>
      </c>
      <c r="E501" s="483" t="s">
        <v>2197</v>
      </c>
      <c r="F501" s="505" t="s">
        <v>3446</v>
      </c>
      <c r="G501" s="483">
        <v>1</v>
      </c>
      <c r="H501" s="483">
        <v>2</v>
      </c>
      <c r="I501" s="483">
        <v>16</v>
      </c>
      <c r="K501" s="505" t="s">
        <v>1507</v>
      </c>
      <c r="L501" s="1485">
        <v>0.67500000000000004</v>
      </c>
      <c r="M501" s="519">
        <v>0.88</v>
      </c>
      <c r="N501" s="1546">
        <v>0.88</v>
      </c>
      <c r="O501" s="483">
        <v>0</v>
      </c>
      <c r="P501" s="483">
        <v>0</v>
      </c>
      <c r="Q501" s="483">
        <v>1</v>
      </c>
      <c r="R501" s="666">
        <v>46255.706759259258</v>
      </c>
      <c r="S501" s="483">
        <v>1</v>
      </c>
      <c r="T501" s="483">
        <v>1</v>
      </c>
      <c r="V501" t="str">
        <f t="shared" si="16"/>
        <v>m</v>
      </c>
    </row>
    <row r="502" spans="3:22" ht="21.95" customHeight="1">
      <c r="C502" s="483">
        <v>475</v>
      </c>
      <c r="D502" s="483">
        <v>16</v>
      </c>
      <c r="E502" s="483" t="s">
        <v>2198</v>
      </c>
      <c r="F502" s="505" t="s">
        <v>3448</v>
      </c>
      <c r="G502" s="483">
        <v>1</v>
      </c>
      <c r="H502" s="483">
        <v>2</v>
      </c>
      <c r="I502" s="483">
        <v>53</v>
      </c>
      <c r="K502" s="505" t="s">
        <v>1507</v>
      </c>
      <c r="L502" s="1485">
        <v>2.1</v>
      </c>
      <c r="M502" s="519">
        <v>2.75</v>
      </c>
      <c r="N502" s="1546">
        <v>2.75</v>
      </c>
      <c r="O502" s="483">
        <v>0</v>
      </c>
      <c r="P502" s="483">
        <v>0</v>
      </c>
      <c r="Q502" s="483">
        <v>1</v>
      </c>
      <c r="R502" s="666">
        <v>46255.706759259258</v>
      </c>
      <c r="S502" s="483">
        <v>1</v>
      </c>
      <c r="T502" s="483">
        <v>1</v>
      </c>
      <c r="V502" t="str">
        <f t="shared" si="16"/>
        <v>Unit/4m</v>
      </c>
    </row>
    <row r="503" spans="3:22" ht="21.95" customHeight="1">
      <c r="C503" s="483">
        <v>476</v>
      </c>
      <c r="D503" s="483">
        <v>16</v>
      </c>
      <c r="E503" s="483" t="s">
        <v>2198</v>
      </c>
      <c r="F503" s="505" t="s">
        <v>3448</v>
      </c>
      <c r="G503" s="483">
        <v>1</v>
      </c>
      <c r="H503" s="483">
        <v>2</v>
      </c>
      <c r="I503" s="483">
        <v>16</v>
      </c>
      <c r="K503" s="505" t="s">
        <v>1507</v>
      </c>
      <c r="L503" s="1485">
        <v>0.52500000000000002</v>
      </c>
      <c r="M503" s="519">
        <v>0.69</v>
      </c>
      <c r="N503" s="1546">
        <v>0.69</v>
      </c>
      <c r="O503" s="483">
        <v>0</v>
      </c>
      <c r="P503" s="483">
        <v>0</v>
      </c>
      <c r="Q503" s="483">
        <v>1</v>
      </c>
      <c r="R503" s="666">
        <v>46255.706759259258</v>
      </c>
      <c r="S503" s="483">
        <v>1</v>
      </c>
      <c r="T503" s="483">
        <v>1</v>
      </c>
      <c r="V503" t="str">
        <f t="shared" si="16"/>
        <v>m</v>
      </c>
    </row>
    <row r="504" spans="3:22" ht="21.95" customHeight="1">
      <c r="C504" s="483">
        <v>477</v>
      </c>
      <c r="D504" s="483">
        <v>17</v>
      </c>
      <c r="E504" s="483" t="s">
        <v>2199</v>
      </c>
      <c r="F504" s="505" t="s">
        <v>3447</v>
      </c>
      <c r="G504" s="483">
        <v>1</v>
      </c>
      <c r="H504" s="483">
        <v>2</v>
      </c>
      <c r="I504" s="483">
        <v>53</v>
      </c>
      <c r="K504" s="505" t="s">
        <v>1507</v>
      </c>
      <c r="L504" s="1485">
        <v>1.63</v>
      </c>
      <c r="M504" s="519">
        <v>2.25</v>
      </c>
      <c r="N504" s="1546">
        <v>2.25</v>
      </c>
      <c r="O504" s="483">
        <v>0</v>
      </c>
      <c r="P504" s="483">
        <v>0</v>
      </c>
      <c r="Q504" s="483">
        <v>1</v>
      </c>
      <c r="R504" s="666">
        <v>46255.706759259258</v>
      </c>
      <c r="S504" s="483">
        <v>1</v>
      </c>
      <c r="T504" s="483">
        <v>1</v>
      </c>
      <c r="V504" t="str">
        <f t="shared" si="16"/>
        <v>Unit/4m</v>
      </c>
    </row>
    <row r="505" spans="3:22" ht="21.95" customHeight="1">
      <c r="C505" s="483">
        <v>478</v>
      </c>
      <c r="D505" s="483">
        <v>17</v>
      </c>
      <c r="E505" s="483" t="s">
        <v>2199</v>
      </c>
      <c r="F505" s="505" t="s">
        <v>3447</v>
      </c>
      <c r="G505" s="483">
        <v>1</v>
      </c>
      <c r="H505" s="483">
        <v>2</v>
      </c>
      <c r="I505" s="483">
        <v>16</v>
      </c>
      <c r="K505" s="505" t="s">
        <v>1507</v>
      </c>
      <c r="L505" s="1485">
        <v>0.40749999999999997</v>
      </c>
      <c r="M505" s="519">
        <v>0.56000000000000005</v>
      </c>
      <c r="N505" s="1546">
        <v>0.56000000000000005</v>
      </c>
      <c r="O505" s="483">
        <v>0</v>
      </c>
      <c r="P505" s="483">
        <v>0</v>
      </c>
      <c r="Q505" s="483">
        <v>1</v>
      </c>
      <c r="R505" s="666">
        <v>46255.706759259258</v>
      </c>
      <c r="S505" s="483">
        <v>1</v>
      </c>
      <c r="T505" s="483">
        <v>1</v>
      </c>
      <c r="V505" t="str">
        <f t="shared" si="16"/>
        <v>m</v>
      </c>
    </row>
    <row r="506" spans="3:22" ht="21.95" customHeight="1">
      <c r="C506" s="483">
        <v>479</v>
      </c>
      <c r="D506" s="483">
        <v>18</v>
      </c>
      <c r="E506" s="483" t="s">
        <v>2200</v>
      </c>
      <c r="F506" s="505" t="s">
        <v>3440</v>
      </c>
      <c r="G506" s="483">
        <v>1</v>
      </c>
      <c r="H506" s="483">
        <v>2</v>
      </c>
      <c r="I506" s="483">
        <v>53</v>
      </c>
      <c r="K506" s="505" t="s">
        <v>1507</v>
      </c>
      <c r="L506" s="1485">
        <v>1.35</v>
      </c>
      <c r="M506" s="519">
        <v>2</v>
      </c>
      <c r="N506" s="1546">
        <v>2</v>
      </c>
      <c r="O506" s="483">
        <v>0</v>
      </c>
      <c r="P506" s="483">
        <v>0</v>
      </c>
      <c r="Q506" s="483">
        <v>1</v>
      </c>
      <c r="R506" s="666">
        <v>46255.706759259258</v>
      </c>
      <c r="S506" s="483">
        <v>1</v>
      </c>
      <c r="T506" s="483">
        <v>1</v>
      </c>
      <c r="V506" t="str">
        <f t="shared" si="16"/>
        <v>Unit/4m</v>
      </c>
    </row>
    <row r="507" spans="3:22" ht="21.95" customHeight="1">
      <c r="C507" s="483">
        <v>480</v>
      </c>
      <c r="D507" s="483">
        <v>18</v>
      </c>
      <c r="E507" s="483" t="s">
        <v>2200</v>
      </c>
      <c r="F507" s="505" t="s">
        <v>3440</v>
      </c>
      <c r="G507" s="483">
        <v>1</v>
      </c>
      <c r="H507" s="483">
        <v>2</v>
      </c>
      <c r="I507" s="483">
        <v>16</v>
      </c>
      <c r="K507" s="505" t="s">
        <v>1507</v>
      </c>
      <c r="L507" s="1485">
        <v>0.33750000000000002</v>
      </c>
      <c r="M507" s="519">
        <v>0.5</v>
      </c>
      <c r="N507" s="1546">
        <v>0.5</v>
      </c>
      <c r="O507" s="483">
        <v>0</v>
      </c>
      <c r="P507" s="483">
        <v>0</v>
      </c>
      <c r="Q507" s="483">
        <v>1</v>
      </c>
      <c r="R507" s="666">
        <v>46255.706759259258</v>
      </c>
      <c r="S507" s="483">
        <v>1</v>
      </c>
      <c r="T507" s="483">
        <v>1</v>
      </c>
      <c r="V507" t="str">
        <f t="shared" si="16"/>
        <v>m</v>
      </c>
    </row>
    <row r="508" spans="3:22" ht="21.95" customHeight="1">
      <c r="C508" s="483">
        <v>481</v>
      </c>
      <c r="D508" s="483">
        <v>19</v>
      </c>
      <c r="E508" s="483" t="s">
        <v>2202</v>
      </c>
      <c r="F508" s="505" t="s">
        <v>3452</v>
      </c>
      <c r="G508" s="483">
        <v>1</v>
      </c>
      <c r="H508" s="483">
        <v>2</v>
      </c>
      <c r="I508" s="483">
        <v>53</v>
      </c>
      <c r="K508" s="505" t="s">
        <v>1507</v>
      </c>
      <c r="L508" s="1485">
        <v>7.49</v>
      </c>
      <c r="M508" s="519">
        <v>8</v>
      </c>
      <c r="N508" s="1546">
        <v>8</v>
      </c>
      <c r="O508" s="483">
        <v>0</v>
      </c>
      <c r="P508" s="483">
        <v>0</v>
      </c>
      <c r="Q508" s="483">
        <v>1</v>
      </c>
      <c r="R508" s="666">
        <v>46255.706759259258</v>
      </c>
      <c r="S508" s="483">
        <v>1</v>
      </c>
      <c r="T508" s="483">
        <v>1</v>
      </c>
      <c r="V508" t="str">
        <f t="shared" si="16"/>
        <v>Unit/4m</v>
      </c>
    </row>
    <row r="509" spans="3:22" ht="21.95" customHeight="1">
      <c r="C509" s="483">
        <v>482</v>
      </c>
      <c r="D509" s="483">
        <v>19</v>
      </c>
      <c r="E509" s="483" t="s">
        <v>2202</v>
      </c>
      <c r="F509" s="505" t="s">
        <v>3452</v>
      </c>
      <c r="G509" s="483">
        <v>1</v>
      </c>
      <c r="H509" s="483">
        <v>2</v>
      </c>
      <c r="I509" s="483">
        <v>16</v>
      </c>
      <c r="K509" s="505" t="s">
        <v>1507</v>
      </c>
      <c r="L509" s="1485">
        <v>1.8725000000000001</v>
      </c>
      <c r="M509" s="519">
        <v>2</v>
      </c>
      <c r="N509" s="1546">
        <v>2</v>
      </c>
      <c r="O509" s="483">
        <v>0</v>
      </c>
      <c r="P509" s="483">
        <v>0</v>
      </c>
      <c r="Q509" s="483">
        <v>1</v>
      </c>
      <c r="R509" s="666">
        <v>46255.706759259258</v>
      </c>
      <c r="S509" s="483">
        <v>1</v>
      </c>
      <c r="T509" s="483">
        <v>1</v>
      </c>
      <c r="V509" t="str">
        <f t="shared" si="16"/>
        <v>m</v>
      </c>
    </row>
    <row r="510" spans="3:22" ht="21.95" customHeight="1">
      <c r="C510" s="483">
        <v>483</v>
      </c>
      <c r="D510" s="483">
        <v>20</v>
      </c>
      <c r="E510" s="483" t="s">
        <v>2204</v>
      </c>
      <c r="F510" s="505" t="s">
        <v>3453</v>
      </c>
      <c r="G510" s="483">
        <v>1</v>
      </c>
      <c r="H510" s="483">
        <v>2</v>
      </c>
      <c r="I510" s="483">
        <v>53</v>
      </c>
      <c r="K510" s="505" t="s">
        <v>1507</v>
      </c>
      <c r="L510" s="1485">
        <v>5.03</v>
      </c>
      <c r="M510" s="519">
        <v>5.25</v>
      </c>
      <c r="N510" s="1546">
        <v>5.25</v>
      </c>
      <c r="O510" s="483">
        <v>0</v>
      </c>
      <c r="P510" s="483">
        <v>0</v>
      </c>
      <c r="Q510" s="483">
        <v>1</v>
      </c>
      <c r="R510" s="666">
        <v>46255.706759259258</v>
      </c>
      <c r="S510" s="483">
        <v>1</v>
      </c>
      <c r="T510" s="483">
        <v>1</v>
      </c>
      <c r="V510" t="str">
        <f t="shared" si="16"/>
        <v>Unit/4m</v>
      </c>
    </row>
    <row r="511" spans="3:22" ht="21.95" customHeight="1">
      <c r="C511" s="483">
        <v>484</v>
      </c>
      <c r="D511" s="483">
        <v>20</v>
      </c>
      <c r="E511" s="483" t="s">
        <v>2204</v>
      </c>
      <c r="F511" s="505" t="s">
        <v>3453</v>
      </c>
      <c r="G511" s="483">
        <v>1</v>
      </c>
      <c r="H511" s="483">
        <v>2</v>
      </c>
      <c r="I511" s="483">
        <v>16</v>
      </c>
      <c r="K511" s="505" t="s">
        <v>1507</v>
      </c>
      <c r="L511" s="1485">
        <v>1.2575000000000001</v>
      </c>
      <c r="M511" s="519">
        <v>1.31</v>
      </c>
      <c r="N511" s="1546">
        <v>1.31</v>
      </c>
      <c r="O511" s="483">
        <v>0</v>
      </c>
      <c r="P511" s="483">
        <v>0</v>
      </c>
      <c r="Q511" s="483">
        <v>1</v>
      </c>
      <c r="R511" s="666">
        <v>46255.706759259258</v>
      </c>
      <c r="S511" s="483">
        <v>1</v>
      </c>
      <c r="T511" s="483">
        <v>1</v>
      </c>
      <c r="V511" t="str">
        <f t="shared" si="16"/>
        <v>m</v>
      </c>
    </row>
    <row r="512" spans="3:22" ht="21.95" customHeight="1">
      <c r="C512" s="483">
        <v>485</v>
      </c>
      <c r="D512" s="483">
        <v>21</v>
      </c>
      <c r="E512" s="483" t="s">
        <v>2206</v>
      </c>
      <c r="F512" s="505" t="s">
        <v>3454</v>
      </c>
      <c r="G512" s="483">
        <v>1</v>
      </c>
      <c r="H512" s="483">
        <v>2</v>
      </c>
      <c r="I512" s="483">
        <v>53</v>
      </c>
      <c r="K512" s="505" t="s">
        <v>1507</v>
      </c>
      <c r="L512" s="1485">
        <v>4.3099999999999996</v>
      </c>
      <c r="M512" s="519">
        <v>4.75</v>
      </c>
      <c r="N512" s="1546">
        <v>4.75</v>
      </c>
      <c r="O512" s="483">
        <v>0</v>
      </c>
      <c r="P512" s="483">
        <v>0</v>
      </c>
      <c r="Q512" s="483">
        <v>1</v>
      </c>
      <c r="R512" s="666">
        <v>46255.706759259258</v>
      </c>
      <c r="S512" s="483">
        <v>1</v>
      </c>
      <c r="T512" s="483">
        <v>1</v>
      </c>
      <c r="V512" t="str">
        <f t="shared" si="16"/>
        <v>Unit/4m</v>
      </c>
    </row>
    <row r="513" spans="3:22" ht="21.95" customHeight="1">
      <c r="C513" s="483">
        <v>486</v>
      </c>
      <c r="D513" s="483">
        <v>21</v>
      </c>
      <c r="E513" s="483" t="s">
        <v>2206</v>
      </c>
      <c r="F513" s="505" t="s">
        <v>3454</v>
      </c>
      <c r="G513" s="483">
        <v>1</v>
      </c>
      <c r="H513" s="483">
        <v>2</v>
      </c>
      <c r="I513" s="483">
        <v>16</v>
      </c>
      <c r="K513" s="505" t="s">
        <v>1507</v>
      </c>
      <c r="L513" s="1485">
        <v>1.0774999999999999</v>
      </c>
      <c r="M513" s="519">
        <v>1.19</v>
      </c>
      <c r="N513" s="1546">
        <v>1.19</v>
      </c>
      <c r="O513" s="483">
        <v>0</v>
      </c>
      <c r="P513" s="483">
        <v>0</v>
      </c>
      <c r="Q513" s="483">
        <v>1</v>
      </c>
      <c r="R513" s="666">
        <v>46255.706759259258</v>
      </c>
      <c r="S513" s="483">
        <v>1</v>
      </c>
      <c r="T513" s="483">
        <v>1</v>
      </c>
      <c r="V513" t="str">
        <f t="shared" si="16"/>
        <v>m</v>
      </c>
    </row>
    <row r="514" spans="3:22" ht="21.95" customHeight="1">
      <c r="C514" s="483">
        <v>487</v>
      </c>
      <c r="D514" s="483">
        <v>22</v>
      </c>
      <c r="E514" s="483" t="s">
        <v>2208</v>
      </c>
      <c r="F514" s="505" t="s">
        <v>3455</v>
      </c>
      <c r="G514" s="483">
        <v>1</v>
      </c>
      <c r="H514" s="483">
        <v>2</v>
      </c>
      <c r="I514" s="483">
        <v>53</v>
      </c>
      <c r="K514" s="505" t="s">
        <v>1507</v>
      </c>
      <c r="L514" s="1485">
        <v>2.9</v>
      </c>
      <c r="M514" s="519">
        <v>3.25</v>
      </c>
      <c r="N514" s="1546">
        <v>3.25</v>
      </c>
      <c r="O514" s="483">
        <v>0</v>
      </c>
      <c r="P514" s="483">
        <v>0</v>
      </c>
      <c r="Q514" s="483">
        <v>1</v>
      </c>
      <c r="R514" s="666">
        <v>46255.706759259258</v>
      </c>
      <c r="S514" s="483">
        <v>1</v>
      </c>
      <c r="T514" s="483">
        <v>1</v>
      </c>
      <c r="V514" t="str">
        <f t="shared" si="16"/>
        <v>Unit/4m</v>
      </c>
    </row>
    <row r="515" spans="3:22" ht="21.95" customHeight="1">
      <c r="C515" s="483">
        <v>488</v>
      </c>
      <c r="D515" s="483">
        <v>22</v>
      </c>
      <c r="E515" s="483" t="s">
        <v>2208</v>
      </c>
      <c r="F515" s="505" t="s">
        <v>3455</v>
      </c>
      <c r="G515" s="483">
        <v>1</v>
      </c>
      <c r="H515" s="483">
        <v>2</v>
      </c>
      <c r="I515" s="483">
        <v>16</v>
      </c>
      <c r="K515" s="505" t="s">
        <v>1507</v>
      </c>
      <c r="L515" s="1485">
        <v>0.72499999999999998</v>
      </c>
      <c r="M515" s="519">
        <v>0.81</v>
      </c>
      <c r="N515" s="1546">
        <v>0.81</v>
      </c>
      <c r="O515" s="483">
        <v>0</v>
      </c>
      <c r="P515" s="483">
        <v>0</v>
      </c>
      <c r="Q515" s="483">
        <v>1</v>
      </c>
      <c r="R515" s="666">
        <v>46255.706759259258</v>
      </c>
      <c r="S515" s="483">
        <v>1</v>
      </c>
      <c r="T515" s="483">
        <v>1</v>
      </c>
      <c r="V515" t="str">
        <f t="shared" si="16"/>
        <v>m</v>
      </c>
    </row>
    <row r="516" spans="3:22" ht="21.95" customHeight="1">
      <c r="C516" s="483">
        <v>489</v>
      </c>
      <c r="D516" s="483">
        <v>23</v>
      </c>
      <c r="E516" s="483" t="s">
        <v>2210</v>
      </c>
      <c r="F516" s="505" t="s">
        <v>3456</v>
      </c>
      <c r="G516" s="483">
        <v>1</v>
      </c>
      <c r="H516" s="483">
        <v>2</v>
      </c>
      <c r="I516" s="483">
        <v>53</v>
      </c>
      <c r="K516" s="505" t="s">
        <v>1507</v>
      </c>
      <c r="L516" s="1485">
        <v>2.12</v>
      </c>
      <c r="M516" s="519">
        <v>2.75</v>
      </c>
      <c r="N516" s="1546">
        <v>2.75</v>
      </c>
      <c r="O516" s="483">
        <v>0</v>
      </c>
      <c r="P516" s="483">
        <v>0</v>
      </c>
      <c r="Q516" s="483">
        <v>1</v>
      </c>
      <c r="R516" s="666">
        <v>46255.706759259258</v>
      </c>
      <c r="S516" s="483">
        <v>1</v>
      </c>
      <c r="T516" s="483">
        <v>1</v>
      </c>
      <c r="V516" t="str">
        <f t="shared" si="16"/>
        <v>Unit/4m</v>
      </c>
    </row>
    <row r="517" spans="3:22" ht="21.95" customHeight="1">
      <c r="C517" s="483">
        <v>490</v>
      </c>
      <c r="D517" s="483">
        <v>23</v>
      </c>
      <c r="E517" s="483" t="s">
        <v>2210</v>
      </c>
      <c r="F517" s="505" t="s">
        <v>3456</v>
      </c>
      <c r="G517" s="483">
        <v>1</v>
      </c>
      <c r="H517" s="483">
        <v>2</v>
      </c>
      <c r="I517" s="483">
        <v>16</v>
      </c>
      <c r="K517" s="505" t="s">
        <v>1507</v>
      </c>
      <c r="L517" s="1485">
        <v>0.53</v>
      </c>
      <c r="M517" s="519">
        <v>0.69</v>
      </c>
      <c r="N517" s="1546">
        <v>0.69</v>
      </c>
      <c r="O517" s="483">
        <v>0</v>
      </c>
      <c r="P517" s="483">
        <v>0</v>
      </c>
      <c r="Q517" s="483">
        <v>1</v>
      </c>
      <c r="R517" s="666">
        <v>46255.706759259258</v>
      </c>
      <c r="S517" s="483">
        <v>1</v>
      </c>
      <c r="T517" s="483">
        <v>1</v>
      </c>
      <c r="V517" t="str">
        <f t="shared" si="16"/>
        <v>m</v>
      </c>
    </row>
    <row r="518" spans="3:22" ht="21.95" customHeight="1">
      <c r="C518" s="483">
        <v>491</v>
      </c>
      <c r="D518" s="483">
        <v>24</v>
      </c>
      <c r="E518" s="483" t="s">
        <v>2212</v>
      </c>
      <c r="F518" s="505" t="s">
        <v>3457</v>
      </c>
      <c r="G518" s="483">
        <v>1</v>
      </c>
      <c r="H518" s="483">
        <v>2</v>
      </c>
      <c r="I518" s="483">
        <v>53</v>
      </c>
      <c r="K518" s="505" t="s">
        <v>1507</v>
      </c>
      <c r="L518" s="1485">
        <v>1.73</v>
      </c>
      <c r="M518" s="519">
        <v>2.25</v>
      </c>
      <c r="N518" s="1546">
        <v>2.25</v>
      </c>
      <c r="O518" s="483">
        <v>0</v>
      </c>
      <c r="P518" s="483">
        <v>0</v>
      </c>
      <c r="Q518" s="483">
        <v>1</v>
      </c>
      <c r="R518" s="666">
        <v>46255.706759259258</v>
      </c>
      <c r="S518" s="483">
        <v>1</v>
      </c>
      <c r="T518" s="483">
        <v>1</v>
      </c>
      <c r="V518" t="str">
        <f t="shared" si="16"/>
        <v>Unit/4m</v>
      </c>
    </row>
    <row r="519" spans="3:22" ht="21.95" customHeight="1">
      <c r="C519" s="483">
        <v>492</v>
      </c>
      <c r="D519" s="483">
        <v>24</v>
      </c>
      <c r="E519" s="483" t="s">
        <v>2212</v>
      </c>
      <c r="F519" s="505" t="s">
        <v>3457</v>
      </c>
      <c r="G519" s="483">
        <v>1</v>
      </c>
      <c r="H519" s="483">
        <v>2</v>
      </c>
      <c r="I519" s="483">
        <v>16</v>
      </c>
      <c r="K519" s="505" t="s">
        <v>1507</v>
      </c>
      <c r="L519" s="1485">
        <v>0.4325</v>
      </c>
      <c r="M519" s="519">
        <v>0.56000000000000005</v>
      </c>
      <c r="N519" s="1546">
        <v>0.56000000000000005</v>
      </c>
      <c r="O519" s="483">
        <v>0</v>
      </c>
      <c r="P519" s="483">
        <v>0</v>
      </c>
      <c r="Q519" s="483">
        <v>1</v>
      </c>
      <c r="R519" s="666">
        <v>46255.706759259258</v>
      </c>
      <c r="S519" s="483">
        <v>1</v>
      </c>
      <c r="T519" s="483">
        <v>1</v>
      </c>
      <c r="V519" t="str">
        <f t="shared" si="16"/>
        <v>m</v>
      </c>
    </row>
    <row r="520" spans="3:22" ht="21.95" customHeight="1">
      <c r="C520" s="483">
        <v>493</v>
      </c>
      <c r="D520" s="483">
        <v>25</v>
      </c>
      <c r="E520" s="483" t="s">
        <v>2214</v>
      </c>
      <c r="F520" s="505" t="s">
        <v>3458</v>
      </c>
      <c r="G520" s="483">
        <v>1</v>
      </c>
      <c r="H520" s="483">
        <v>2</v>
      </c>
      <c r="I520" s="483">
        <v>53</v>
      </c>
      <c r="K520" s="505" t="s">
        <v>1507</v>
      </c>
      <c r="L520" s="1485">
        <v>1.51</v>
      </c>
      <c r="M520" s="519">
        <v>2</v>
      </c>
      <c r="N520" s="1546">
        <v>2</v>
      </c>
      <c r="O520" s="483">
        <v>0</v>
      </c>
      <c r="P520" s="483">
        <v>0</v>
      </c>
      <c r="Q520" s="483">
        <v>1</v>
      </c>
      <c r="R520" s="666">
        <v>46255.706759259258</v>
      </c>
      <c r="S520" s="483">
        <v>1</v>
      </c>
      <c r="T520" s="483">
        <v>1</v>
      </c>
      <c r="V520" t="str">
        <f t="shared" si="16"/>
        <v>Unit/4m</v>
      </c>
    </row>
    <row r="521" spans="3:22" ht="21.95" customHeight="1">
      <c r="C521" s="483">
        <v>494</v>
      </c>
      <c r="D521" s="483">
        <v>25</v>
      </c>
      <c r="E521" s="483" t="s">
        <v>2214</v>
      </c>
      <c r="F521" s="505" t="s">
        <v>3458</v>
      </c>
      <c r="G521" s="483">
        <v>1</v>
      </c>
      <c r="H521" s="483">
        <v>2</v>
      </c>
      <c r="I521" s="483">
        <v>16</v>
      </c>
      <c r="K521" s="505" t="s">
        <v>1507</v>
      </c>
      <c r="L521" s="1485">
        <v>0.3775</v>
      </c>
      <c r="M521" s="519">
        <v>0.5</v>
      </c>
      <c r="N521" s="1546">
        <v>0.5</v>
      </c>
      <c r="O521" s="483">
        <v>0</v>
      </c>
      <c r="P521" s="483">
        <v>0</v>
      </c>
      <c r="Q521" s="483">
        <v>1</v>
      </c>
      <c r="R521" s="666">
        <v>46255.706759259258</v>
      </c>
      <c r="S521" s="483">
        <v>1</v>
      </c>
      <c r="T521" s="483">
        <v>1</v>
      </c>
      <c r="V521" t="str">
        <f t="shared" si="16"/>
        <v>m</v>
      </c>
    </row>
    <row r="522" spans="3:22" ht="21.95" customHeight="1">
      <c r="C522" s="483">
        <v>495</v>
      </c>
      <c r="D522" s="483">
        <v>294</v>
      </c>
      <c r="E522" s="483" t="s">
        <v>4034</v>
      </c>
      <c r="F522" s="505" t="s">
        <v>4141</v>
      </c>
      <c r="G522" s="483">
        <v>1</v>
      </c>
      <c r="H522" s="483">
        <v>2</v>
      </c>
      <c r="I522" s="483">
        <v>71</v>
      </c>
      <c r="J522" s="505" t="s">
        <v>4126</v>
      </c>
      <c r="K522" s="505" t="s">
        <v>4140</v>
      </c>
      <c r="L522" s="1485">
        <v>17</v>
      </c>
      <c r="M522" s="519">
        <v>20</v>
      </c>
      <c r="N522" s="1546">
        <v>0.75</v>
      </c>
      <c r="O522" s="483">
        <v>0</v>
      </c>
      <c r="P522" s="483">
        <v>0</v>
      </c>
      <c r="Q522" s="483">
        <v>1</v>
      </c>
      <c r="R522" s="666">
        <v>46255.873402777775</v>
      </c>
      <c r="S522" s="483">
        <v>1</v>
      </c>
      <c r="T522" s="483">
        <v>1</v>
      </c>
      <c r="V522" t="str">
        <f t="shared" si="16"/>
        <v>Petro</v>
      </c>
    </row>
    <row r="523" spans="3:22" ht="21.95" customHeight="1">
      <c r="C523" s="483">
        <v>496</v>
      </c>
      <c r="D523" s="483">
        <v>334</v>
      </c>
      <c r="E523" s="483" t="s">
        <v>4142</v>
      </c>
      <c r="F523" s="505" t="s">
        <v>4150</v>
      </c>
      <c r="G523" s="483">
        <v>1</v>
      </c>
      <c r="H523" s="483">
        <v>2</v>
      </c>
      <c r="I523" s="483">
        <v>75</v>
      </c>
      <c r="J523" s="505" t="s">
        <v>4148</v>
      </c>
      <c r="K523" s="505" t="s">
        <v>4140</v>
      </c>
      <c r="L523" s="1485">
        <v>5</v>
      </c>
      <c r="M523" s="519">
        <v>0</v>
      </c>
      <c r="N523" s="1546">
        <v>10</v>
      </c>
      <c r="O523" s="483">
        <v>0</v>
      </c>
      <c r="P523" s="483">
        <v>0</v>
      </c>
      <c r="Q523" s="483">
        <v>1</v>
      </c>
      <c r="R523" s="666">
        <v>46256.389814814815</v>
      </c>
      <c r="S523" s="483">
        <v>1</v>
      </c>
      <c r="T523" s="483">
        <v>1</v>
      </c>
      <c r="V523" t="str">
        <f t="shared" si="16"/>
        <v>kg/40pcs</v>
      </c>
    </row>
    <row r="524" spans="3:22" ht="21.95" customHeight="1">
      <c r="C524" s="483">
        <v>497</v>
      </c>
      <c r="D524" s="483">
        <v>334</v>
      </c>
      <c r="E524" s="483" t="s">
        <v>4142</v>
      </c>
      <c r="F524" s="505" t="s">
        <v>4150</v>
      </c>
      <c r="G524" s="483">
        <v>1</v>
      </c>
      <c r="H524" s="483">
        <v>2</v>
      </c>
      <c r="I524" s="483">
        <v>2</v>
      </c>
      <c r="J524" s="505" t="s">
        <v>2172</v>
      </c>
      <c r="K524" s="505" t="s">
        <v>4140</v>
      </c>
      <c r="L524" s="1485">
        <v>5</v>
      </c>
      <c r="M524" s="519">
        <v>0</v>
      </c>
      <c r="N524" s="1546">
        <v>0.25</v>
      </c>
      <c r="O524" s="483">
        <v>0</v>
      </c>
      <c r="P524" s="483">
        <v>0</v>
      </c>
      <c r="Q524" s="483">
        <v>1</v>
      </c>
      <c r="R524" s="666">
        <v>46256.389814814815</v>
      </c>
      <c r="S524" s="483">
        <v>1</v>
      </c>
      <c r="T524" s="483">
        <v>1</v>
      </c>
      <c r="V524" t="str">
        <f t="shared" si="16"/>
        <v>pcs</v>
      </c>
    </row>
    <row r="525" spans="3:22" ht="21.95" customHeight="1">
      <c r="C525" s="483">
        <v>498</v>
      </c>
      <c r="D525" s="483">
        <v>303</v>
      </c>
      <c r="E525" s="483" t="s">
        <v>4043</v>
      </c>
      <c r="F525" s="505" t="s">
        <v>4153</v>
      </c>
      <c r="G525" s="483">
        <v>1</v>
      </c>
      <c r="H525" s="483">
        <v>2</v>
      </c>
      <c r="I525" s="483">
        <v>18</v>
      </c>
      <c r="J525" s="505" t="s">
        <v>2135</v>
      </c>
      <c r="K525" s="505" t="s">
        <v>4140</v>
      </c>
      <c r="L525" s="1485">
        <v>2.5</v>
      </c>
      <c r="M525" s="519">
        <v>3</v>
      </c>
      <c r="N525" s="1546">
        <v>0.03</v>
      </c>
      <c r="O525" s="483">
        <v>0</v>
      </c>
      <c r="P525" s="483">
        <v>0</v>
      </c>
      <c r="Q525" s="483">
        <v>1</v>
      </c>
      <c r="R525" s="666">
        <v>46256.439629629633</v>
      </c>
      <c r="S525" s="483">
        <v>1</v>
      </c>
      <c r="T525" s="483">
        <v>1</v>
      </c>
      <c r="V525" t="str">
        <f t="shared" si="16"/>
        <v>cm</v>
      </c>
    </row>
    <row r="526" spans="3:22" ht="21.95" customHeight="1">
      <c r="C526" s="483">
        <v>499</v>
      </c>
      <c r="D526" s="483">
        <v>335</v>
      </c>
      <c r="E526" s="483" t="s">
        <v>4154</v>
      </c>
      <c r="F526" s="505" t="s">
        <v>4158</v>
      </c>
      <c r="G526" s="483">
        <v>1</v>
      </c>
      <c r="H526" s="483">
        <v>2</v>
      </c>
      <c r="I526" s="483">
        <v>53</v>
      </c>
      <c r="J526" s="505" t="s">
        <v>2618</v>
      </c>
      <c r="K526" s="505" t="s">
        <v>4140</v>
      </c>
      <c r="L526" s="1485">
        <v>10</v>
      </c>
      <c r="M526" s="519">
        <v>0</v>
      </c>
      <c r="N526" s="1546">
        <v>11</v>
      </c>
      <c r="O526" s="483">
        <v>0</v>
      </c>
      <c r="P526" s="483">
        <v>0</v>
      </c>
      <c r="Q526" s="483">
        <v>1</v>
      </c>
      <c r="R526" s="666">
        <v>46256.618969907409</v>
      </c>
      <c r="S526" s="483">
        <v>1</v>
      </c>
      <c r="T526" s="483">
        <v>1</v>
      </c>
      <c r="V526" t="str">
        <f t="shared" si="16"/>
        <v>Unit/4m</v>
      </c>
    </row>
    <row r="527" spans="3:22" ht="21.95" customHeight="1">
      <c r="C527" s="483">
        <v>500</v>
      </c>
      <c r="D527" s="483">
        <v>335</v>
      </c>
      <c r="E527" s="483" t="s">
        <v>4154</v>
      </c>
      <c r="F527" s="505" t="s">
        <v>4158</v>
      </c>
      <c r="G527" s="483">
        <v>1</v>
      </c>
      <c r="H527" s="483">
        <v>2</v>
      </c>
      <c r="I527" s="483">
        <v>16</v>
      </c>
      <c r="J527" s="505" t="s">
        <v>2134</v>
      </c>
      <c r="K527" s="505" t="s">
        <v>4140</v>
      </c>
      <c r="L527" s="1485">
        <v>10</v>
      </c>
      <c r="M527" s="519">
        <v>0</v>
      </c>
      <c r="N527" s="1546">
        <v>2.75</v>
      </c>
      <c r="O527" s="483">
        <v>0</v>
      </c>
      <c r="P527" s="483">
        <v>0</v>
      </c>
      <c r="Q527" s="483">
        <v>1</v>
      </c>
      <c r="R527" s="666">
        <v>46256.618969907409</v>
      </c>
      <c r="S527" s="483">
        <v>1</v>
      </c>
      <c r="T527" s="483">
        <v>1</v>
      </c>
      <c r="V527" t="str">
        <f t="shared" si="16"/>
        <v>m</v>
      </c>
    </row>
    <row r="528" spans="3:22" ht="21.95" customHeight="1">
      <c r="C528" s="483">
        <v>501</v>
      </c>
      <c r="D528" s="483">
        <v>336</v>
      </c>
      <c r="E528" s="483" t="s">
        <v>4159</v>
      </c>
      <c r="F528" s="505" t="s">
        <v>4161</v>
      </c>
      <c r="G528" s="483">
        <v>1</v>
      </c>
      <c r="H528" s="483">
        <v>2</v>
      </c>
      <c r="I528" s="483">
        <v>2</v>
      </c>
      <c r="J528" s="505" t="s">
        <v>2172</v>
      </c>
      <c r="K528" s="505" t="s">
        <v>4140</v>
      </c>
      <c r="L528" s="1485">
        <v>0.8</v>
      </c>
      <c r="M528" s="519">
        <v>0</v>
      </c>
      <c r="N528" s="1546">
        <v>1.25</v>
      </c>
      <c r="O528" s="483">
        <v>0</v>
      </c>
      <c r="P528" s="483">
        <v>0</v>
      </c>
      <c r="Q528" s="483">
        <v>1</v>
      </c>
      <c r="R528" s="666">
        <v>46256.651666666665</v>
      </c>
      <c r="S528" s="483">
        <v>1</v>
      </c>
      <c r="T528" s="483">
        <v>1</v>
      </c>
      <c r="V528" t="str">
        <f t="shared" si="16"/>
        <v>pcs</v>
      </c>
    </row>
    <row r="529" spans="3:22" ht="21.95" customHeight="1">
      <c r="C529" s="483">
        <v>502</v>
      </c>
      <c r="D529" s="483">
        <v>338</v>
      </c>
      <c r="E529" s="483" t="s">
        <v>4173</v>
      </c>
      <c r="F529" s="505" t="s">
        <v>4188</v>
      </c>
      <c r="G529" s="483">
        <v>1</v>
      </c>
      <c r="H529" s="483">
        <v>2</v>
      </c>
      <c r="I529" s="483">
        <v>78</v>
      </c>
      <c r="J529" s="505" t="s">
        <v>4179</v>
      </c>
      <c r="K529" s="505" t="s">
        <v>4140</v>
      </c>
      <c r="L529" s="1485">
        <v>33.75</v>
      </c>
      <c r="M529" s="519">
        <v>0</v>
      </c>
      <c r="N529" s="1546">
        <v>34</v>
      </c>
      <c r="O529" s="483">
        <v>0</v>
      </c>
      <c r="P529" s="483">
        <v>0</v>
      </c>
      <c r="Q529" s="483">
        <v>1</v>
      </c>
      <c r="R529" s="666">
        <v>46257.568738425929</v>
      </c>
      <c r="S529" s="483">
        <v>1</v>
      </c>
      <c r="T529" s="483">
        <v>1</v>
      </c>
      <c r="V529" t="str">
        <f t="shared" si="16"/>
        <v>Coil/45m</v>
      </c>
    </row>
    <row r="530" spans="3:22" ht="21.95" customHeight="1">
      <c r="C530" s="483">
        <v>503</v>
      </c>
      <c r="D530" s="483">
        <v>338</v>
      </c>
      <c r="E530" s="483" t="s">
        <v>4173</v>
      </c>
      <c r="F530" s="505" t="s">
        <v>4188</v>
      </c>
      <c r="G530" s="483">
        <v>1</v>
      </c>
      <c r="H530" s="483">
        <v>2</v>
      </c>
      <c r="I530" s="483">
        <v>16</v>
      </c>
      <c r="J530" s="505" t="s">
        <v>2134</v>
      </c>
      <c r="K530" s="505" t="s">
        <v>4140</v>
      </c>
      <c r="L530" s="1485">
        <v>33.75</v>
      </c>
      <c r="M530" s="519">
        <v>0</v>
      </c>
      <c r="N530" s="1546">
        <v>1.25</v>
      </c>
      <c r="O530" s="483">
        <v>0</v>
      </c>
      <c r="P530" s="483">
        <v>0</v>
      </c>
      <c r="Q530" s="483">
        <v>1</v>
      </c>
      <c r="R530" s="666">
        <v>46257.568738425929</v>
      </c>
      <c r="S530" s="483">
        <v>1</v>
      </c>
      <c r="T530" s="483">
        <v>1</v>
      </c>
      <c r="V530" t="str">
        <f t="shared" si="16"/>
        <v>m</v>
      </c>
    </row>
    <row r="531" spans="3:22" ht="21.95" customHeight="1">
      <c r="C531" s="483">
        <v>504</v>
      </c>
      <c r="D531" s="483">
        <v>338</v>
      </c>
      <c r="E531" s="483" t="s">
        <v>4173</v>
      </c>
      <c r="F531" s="505" t="s">
        <v>4188</v>
      </c>
      <c r="G531" s="483">
        <v>1</v>
      </c>
      <c r="H531" s="483">
        <v>2</v>
      </c>
      <c r="I531" s="483">
        <v>79</v>
      </c>
      <c r="J531" s="505" t="s">
        <v>4181</v>
      </c>
      <c r="K531" s="505" t="s">
        <v>4140</v>
      </c>
      <c r="L531" s="1485">
        <v>33.75</v>
      </c>
      <c r="M531" s="519">
        <v>0</v>
      </c>
      <c r="N531" s="1546">
        <v>0.22</v>
      </c>
      <c r="O531" s="483">
        <v>0</v>
      </c>
      <c r="P531" s="483">
        <v>0</v>
      </c>
      <c r="Q531" s="483">
        <v>1</v>
      </c>
      <c r="R531" s="666">
        <v>46257.568738425929</v>
      </c>
      <c r="S531" s="483">
        <v>1</v>
      </c>
      <c r="T531" s="483">
        <v>1</v>
      </c>
      <c r="V531" t="str">
        <f t="shared" si="16"/>
        <v>T</v>
      </c>
    </row>
    <row r="532" spans="3:22" ht="21.95" customHeight="1">
      <c r="C532" s="483">
        <v>505</v>
      </c>
      <c r="D532" s="483">
        <v>339</v>
      </c>
      <c r="E532" s="483" t="s">
        <v>4174</v>
      </c>
      <c r="F532" s="505" t="s">
        <v>4189</v>
      </c>
      <c r="G532" s="483">
        <v>1</v>
      </c>
      <c r="H532" s="483">
        <v>2</v>
      </c>
      <c r="I532" s="483">
        <v>78</v>
      </c>
      <c r="J532" s="505" t="s">
        <v>4179</v>
      </c>
      <c r="K532" s="505" t="s">
        <v>4140</v>
      </c>
      <c r="L532" s="1485">
        <v>78.75</v>
      </c>
      <c r="M532" s="519">
        <v>0</v>
      </c>
      <c r="N532" s="1546">
        <v>80</v>
      </c>
      <c r="O532" s="483">
        <v>0</v>
      </c>
      <c r="P532" s="483">
        <v>0</v>
      </c>
      <c r="Q532" s="483">
        <v>1</v>
      </c>
      <c r="R532" s="666">
        <v>46257.569930555554</v>
      </c>
      <c r="S532" s="483">
        <v>1</v>
      </c>
      <c r="T532" s="483">
        <v>1</v>
      </c>
      <c r="V532" t="str">
        <f t="shared" si="16"/>
        <v>Coil/45m</v>
      </c>
    </row>
    <row r="533" spans="3:22" ht="21.95" customHeight="1">
      <c r="C533" s="483">
        <v>506</v>
      </c>
      <c r="D533" s="483">
        <v>339</v>
      </c>
      <c r="E533" s="483" t="s">
        <v>4174</v>
      </c>
      <c r="F533" s="505" t="s">
        <v>4189</v>
      </c>
      <c r="G533" s="483">
        <v>1</v>
      </c>
      <c r="H533" s="483">
        <v>2</v>
      </c>
      <c r="I533" s="483">
        <v>16</v>
      </c>
      <c r="J533" s="505" t="s">
        <v>2134</v>
      </c>
      <c r="K533" s="505" t="s">
        <v>4140</v>
      </c>
      <c r="L533" s="1485">
        <v>78.75</v>
      </c>
      <c r="M533" s="519">
        <v>0</v>
      </c>
      <c r="N533" s="1546">
        <v>2.5</v>
      </c>
      <c r="O533" s="483">
        <v>0</v>
      </c>
      <c r="P533" s="483">
        <v>0</v>
      </c>
      <c r="Q533" s="483">
        <v>1</v>
      </c>
      <c r="R533" s="666">
        <v>46257.569930555554</v>
      </c>
      <c r="S533" s="483">
        <v>1</v>
      </c>
      <c r="T533" s="483">
        <v>1</v>
      </c>
      <c r="V533" t="str">
        <f t="shared" si="16"/>
        <v>m</v>
      </c>
    </row>
    <row r="534" spans="3:22" ht="21.95" customHeight="1">
      <c r="C534" s="483">
        <v>507</v>
      </c>
      <c r="D534" s="483">
        <v>339</v>
      </c>
      <c r="E534" s="483" t="s">
        <v>4174</v>
      </c>
      <c r="F534" s="505" t="s">
        <v>4189</v>
      </c>
      <c r="G534" s="483">
        <v>1</v>
      </c>
      <c r="H534" s="483">
        <v>2</v>
      </c>
      <c r="I534" s="483">
        <v>79</v>
      </c>
      <c r="J534" s="505" t="s">
        <v>4181</v>
      </c>
      <c r="K534" s="505" t="s">
        <v>4140</v>
      </c>
      <c r="L534" s="1485">
        <v>78.75</v>
      </c>
      <c r="M534" s="519">
        <v>0</v>
      </c>
      <c r="N534" s="1546">
        <v>0.25</v>
      </c>
      <c r="O534" s="483">
        <v>0</v>
      </c>
      <c r="P534" s="483">
        <v>0</v>
      </c>
      <c r="Q534" s="483">
        <v>1</v>
      </c>
      <c r="R534" s="666">
        <v>46257.569930555554</v>
      </c>
      <c r="S534" s="483">
        <v>1</v>
      </c>
      <c r="T534" s="483">
        <v>1</v>
      </c>
      <c r="V534" t="str">
        <f t="shared" si="16"/>
        <v>T</v>
      </c>
    </row>
    <row r="535" spans="3:22" ht="21.95" customHeight="1">
      <c r="C535" s="483">
        <v>508</v>
      </c>
      <c r="D535" s="483">
        <v>340</v>
      </c>
      <c r="E535" s="483" t="s">
        <v>4175</v>
      </c>
      <c r="F535" s="505" t="s">
        <v>4190</v>
      </c>
      <c r="G535" s="483">
        <v>1</v>
      </c>
      <c r="H535" s="483">
        <v>2</v>
      </c>
      <c r="I535" s="483">
        <v>78</v>
      </c>
      <c r="J535" s="505" t="s">
        <v>4179</v>
      </c>
      <c r="K535" s="505" t="s">
        <v>4140</v>
      </c>
      <c r="L535" s="1485">
        <v>180</v>
      </c>
      <c r="M535" s="519">
        <v>0</v>
      </c>
      <c r="N535" s="1546">
        <v>190</v>
      </c>
      <c r="O535" s="483">
        <v>0</v>
      </c>
      <c r="P535" s="483">
        <v>0</v>
      </c>
      <c r="Q535" s="483">
        <v>1</v>
      </c>
      <c r="R535" s="666">
        <v>46257.570428240739</v>
      </c>
      <c r="S535" s="483">
        <v>1</v>
      </c>
      <c r="T535" s="483">
        <v>1</v>
      </c>
      <c r="V535" t="str">
        <f t="shared" si="16"/>
        <v>Coil/45m</v>
      </c>
    </row>
    <row r="536" spans="3:22" ht="21.95" customHeight="1">
      <c r="C536" s="483">
        <v>509</v>
      </c>
      <c r="D536" s="483">
        <v>340</v>
      </c>
      <c r="E536" s="483" t="s">
        <v>4175</v>
      </c>
      <c r="F536" s="505" t="s">
        <v>4190</v>
      </c>
      <c r="G536" s="483">
        <v>1</v>
      </c>
      <c r="H536" s="483">
        <v>2</v>
      </c>
      <c r="I536" s="483">
        <v>16</v>
      </c>
      <c r="J536" s="505" t="s">
        <v>2134</v>
      </c>
      <c r="K536" s="505" t="s">
        <v>4140</v>
      </c>
      <c r="L536" s="1485">
        <v>180</v>
      </c>
      <c r="M536" s="519">
        <v>0</v>
      </c>
      <c r="N536" s="1546">
        <v>5</v>
      </c>
      <c r="O536" s="483">
        <v>0</v>
      </c>
      <c r="P536" s="483">
        <v>0</v>
      </c>
      <c r="Q536" s="483">
        <v>1</v>
      </c>
      <c r="R536" s="666">
        <v>46257.570428240739</v>
      </c>
      <c r="S536" s="483">
        <v>1</v>
      </c>
      <c r="T536" s="483">
        <v>1</v>
      </c>
      <c r="V536" t="str">
        <f t="shared" si="16"/>
        <v>m</v>
      </c>
    </row>
    <row r="537" spans="3:22" ht="21.95" customHeight="1">
      <c r="C537" s="483">
        <v>510</v>
      </c>
      <c r="D537" s="483">
        <v>340</v>
      </c>
      <c r="E537" s="483" t="s">
        <v>4175</v>
      </c>
      <c r="F537" s="505" t="s">
        <v>4190</v>
      </c>
      <c r="G537" s="483">
        <v>1</v>
      </c>
      <c r="H537" s="483">
        <v>2</v>
      </c>
      <c r="I537" s="483">
        <v>79</v>
      </c>
      <c r="J537" s="505" t="s">
        <v>4181</v>
      </c>
      <c r="K537" s="505" t="s">
        <v>4140</v>
      </c>
      <c r="L537" s="1485">
        <v>180</v>
      </c>
      <c r="M537" s="519">
        <v>0</v>
      </c>
      <c r="N537" s="1546">
        <v>0.5</v>
      </c>
      <c r="O537" s="483">
        <v>0</v>
      </c>
      <c r="P537" s="483">
        <v>0</v>
      </c>
      <c r="Q537" s="483">
        <v>1</v>
      </c>
      <c r="R537" s="666">
        <v>46257.570428240739</v>
      </c>
      <c r="S537" s="483">
        <v>1</v>
      </c>
      <c r="T537" s="483">
        <v>1</v>
      </c>
      <c r="V537" t="str">
        <f t="shared" si="16"/>
        <v>T</v>
      </c>
    </row>
    <row r="538" spans="3:22" ht="21.95" customHeight="1">
      <c r="C538" s="483">
        <v>511</v>
      </c>
      <c r="D538" s="483">
        <v>341</v>
      </c>
      <c r="E538" s="483" t="s">
        <v>4176</v>
      </c>
      <c r="F538" s="505" t="s">
        <v>4191</v>
      </c>
      <c r="G538" s="483">
        <v>1</v>
      </c>
      <c r="H538" s="483">
        <v>2</v>
      </c>
      <c r="I538" s="483">
        <v>78</v>
      </c>
      <c r="J538" s="505" t="s">
        <v>4179</v>
      </c>
      <c r="K538" s="505" t="s">
        <v>4140</v>
      </c>
      <c r="L538" s="1485">
        <v>225</v>
      </c>
      <c r="M538" s="519">
        <v>0</v>
      </c>
      <c r="N538" s="1546">
        <v>235</v>
      </c>
      <c r="O538" s="483">
        <v>0</v>
      </c>
      <c r="P538" s="483">
        <v>0</v>
      </c>
      <c r="Q538" s="483">
        <v>1</v>
      </c>
      <c r="R538" s="666">
        <v>46257.570856481485</v>
      </c>
      <c r="S538" s="483">
        <v>1</v>
      </c>
      <c r="T538" s="483">
        <v>1</v>
      </c>
      <c r="V538" t="str">
        <f t="shared" si="16"/>
        <v>Coil/45m</v>
      </c>
    </row>
    <row r="539" spans="3:22" ht="21.95" customHeight="1">
      <c r="C539" s="483">
        <v>512</v>
      </c>
      <c r="D539" s="483">
        <v>341</v>
      </c>
      <c r="E539" s="483" t="s">
        <v>4176</v>
      </c>
      <c r="F539" s="505" t="s">
        <v>4191</v>
      </c>
      <c r="G539" s="483">
        <v>1</v>
      </c>
      <c r="H539" s="483">
        <v>2</v>
      </c>
      <c r="I539" s="483">
        <v>16</v>
      </c>
      <c r="J539" s="505" t="s">
        <v>2134</v>
      </c>
      <c r="K539" s="505" t="s">
        <v>4140</v>
      </c>
      <c r="L539" s="1485">
        <v>225</v>
      </c>
      <c r="M539" s="519">
        <v>0</v>
      </c>
      <c r="N539" s="1546">
        <v>6</v>
      </c>
      <c r="O539" s="483">
        <v>0</v>
      </c>
      <c r="P539" s="483">
        <v>0</v>
      </c>
      <c r="Q539" s="483">
        <v>1</v>
      </c>
      <c r="R539" s="666">
        <v>46257.570856481485</v>
      </c>
      <c r="S539" s="483">
        <v>1</v>
      </c>
      <c r="T539" s="483">
        <v>1</v>
      </c>
      <c r="V539" t="str">
        <f t="shared" si="16"/>
        <v>m</v>
      </c>
    </row>
    <row r="540" spans="3:22" ht="21.95" customHeight="1">
      <c r="C540" s="483">
        <v>513</v>
      </c>
      <c r="D540" s="483">
        <v>341</v>
      </c>
      <c r="E540" s="483" t="s">
        <v>4176</v>
      </c>
      <c r="F540" s="505" t="s">
        <v>4191</v>
      </c>
      <c r="G540" s="483">
        <v>1</v>
      </c>
      <c r="H540" s="483">
        <v>2</v>
      </c>
      <c r="I540" s="483">
        <v>79</v>
      </c>
      <c r="J540" s="505" t="s">
        <v>4181</v>
      </c>
      <c r="K540" s="505" t="s">
        <v>4140</v>
      </c>
      <c r="L540" s="1485">
        <v>225</v>
      </c>
      <c r="M540" s="519">
        <v>0</v>
      </c>
      <c r="N540" s="1546">
        <v>0.6</v>
      </c>
      <c r="O540" s="483">
        <v>0</v>
      </c>
      <c r="P540" s="483">
        <v>0</v>
      </c>
      <c r="Q540" s="483">
        <v>1</v>
      </c>
      <c r="R540" s="666">
        <v>46257.570856481485</v>
      </c>
      <c r="S540" s="483">
        <v>1</v>
      </c>
      <c r="T540" s="483">
        <v>1</v>
      </c>
      <c r="V540" t="str">
        <f t="shared" ref="V540:V603" si="17">IF(I540="","",VLOOKUP(I540,uom_list,5,FALSE))</f>
        <v>T</v>
      </c>
    </row>
    <row r="541" spans="3:22" ht="21.95" customHeight="1">
      <c r="C541" s="483">
        <v>514</v>
      </c>
      <c r="D541" s="483">
        <v>337</v>
      </c>
      <c r="E541" s="483" t="s">
        <v>4162</v>
      </c>
      <c r="F541" s="505" t="s">
        <v>4194</v>
      </c>
      <c r="G541" s="483">
        <v>1</v>
      </c>
      <c r="H541" s="483">
        <v>2</v>
      </c>
      <c r="I541" s="483">
        <v>77</v>
      </c>
      <c r="J541" s="505" t="s">
        <v>4177</v>
      </c>
      <c r="K541" s="505" t="s">
        <v>4140</v>
      </c>
      <c r="L541" s="1485">
        <v>5</v>
      </c>
      <c r="M541" s="519">
        <v>0</v>
      </c>
      <c r="N541" s="1546">
        <v>5.5</v>
      </c>
      <c r="O541" s="483">
        <v>0</v>
      </c>
      <c r="P541" s="483">
        <v>0</v>
      </c>
      <c r="Q541" s="483">
        <v>1</v>
      </c>
      <c r="R541" s="666">
        <v>46257.5937037037</v>
      </c>
      <c r="S541" s="483">
        <v>1</v>
      </c>
      <c r="T541" s="483">
        <v>1</v>
      </c>
      <c r="V541" t="str">
        <f t="shared" si="17"/>
        <v>Box/60pcs</v>
      </c>
    </row>
    <row r="542" spans="3:22" ht="21.95" customHeight="1">
      <c r="C542" s="483">
        <v>515</v>
      </c>
      <c r="D542" s="483">
        <v>337</v>
      </c>
      <c r="E542" s="483" t="s">
        <v>4162</v>
      </c>
      <c r="F542" s="505" t="s">
        <v>4194</v>
      </c>
      <c r="G542" s="483">
        <v>1</v>
      </c>
      <c r="H542" s="483">
        <v>2</v>
      </c>
      <c r="I542" s="483">
        <v>2</v>
      </c>
      <c r="J542" s="505" t="s">
        <v>2172</v>
      </c>
      <c r="K542" s="505" t="s">
        <v>4140</v>
      </c>
      <c r="L542" s="1485">
        <v>5</v>
      </c>
      <c r="M542" s="519">
        <v>0</v>
      </c>
      <c r="N542" s="1546">
        <v>0.12</v>
      </c>
      <c r="O542" s="483">
        <v>0</v>
      </c>
      <c r="P542" s="483">
        <v>0</v>
      </c>
      <c r="Q542" s="483">
        <v>1</v>
      </c>
      <c r="R542" s="666">
        <v>46257.5937037037</v>
      </c>
      <c r="S542" s="483">
        <v>1</v>
      </c>
      <c r="T542" s="483">
        <v>1</v>
      </c>
      <c r="V542" t="str">
        <f t="shared" si="17"/>
        <v>pcs</v>
      </c>
    </row>
    <row r="543" spans="3:22" ht="21.95" customHeight="1">
      <c r="C543" s="483">
        <v>516</v>
      </c>
      <c r="D543" s="483">
        <v>342</v>
      </c>
      <c r="E543" s="483" t="s">
        <v>4195</v>
      </c>
      <c r="F543" s="505" t="s">
        <v>4199</v>
      </c>
      <c r="G543" s="483">
        <v>1</v>
      </c>
      <c r="H543" s="483">
        <v>2</v>
      </c>
      <c r="I543" s="483">
        <v>2</v>
      </c>
      <c r="J543" s="505" t="s">
        <v>2172</v>
      </c>
      <c r="K543" s="505" t="s">
        <v>4140</v>
      </c>
      <c r="L543" s="1485">
        <v>0.11</v>
      </c>
      <c r="M543" s="519">
        <v>0</v>
      </c>
      <c r="N543" s="1546">
        <v>0.63</v>
      </c>
      <c r="O543" s="483">
        <v>0</v>
      </c>
      <c r="P543" s="483">
        <v>0</v>
      </c>
      <c r="Q543" s="483">
        <v>1</v>
      </c>
      <c r="R543" s="666">
        <v>46257.641736111109</v>
      </c>
      <c r="S543" s="483">
        <v>1</v>
      </c>
      <c r="T543" s="483">
        <v>1</v>
      </c>
      <c r="V543" t="str">
        <f t="shared" si="17"/>
        <v>pcs</v>
      </c>
    </row>
    <row r="544" spans="3:22" ht="21.95" customHeight="1">
      <c r="C544" s="483">
        <v>517</v>
      </c>
      <c r="D544" s="483">
        <v>343</v>
      </c>
      <c r="E544" s="483" t="s">
        <v>4196</v>
      </c>
      <c r="F544" s="505" t="s">
        <v>4200</v>
      </c>
      <c r="G544" s="483">
        <v>1</v>
      </c>
      <c r="H544" s="483">
        <v>2</v>
      </c>
      <c r="I544" s="483">
        <v>2</v>
      </c>
      <c r="J544" s="505" t="s">
        <v>2172</v>
      </c>
      <c r="K544" s="505" t="s">
        <v>4140</v>
      </c>
      <c r="L544" s="1485">
        <v>0.128</v>
      </c>
      <c r="M544" s="519">
        <v>0</v>
      </c>
      <c r="N544" s="1546">
        <v>0.63</v>
      </c>
      <c r="O544" s="483">
        <v>0</v>
      </c>
      <c r="P544" s="483">
        <v>0</v>
      </c>
      <c r="Q544" s="483">
        <v>1</v>
      </c>
      <c r="R544" s="666">
        <v>46257.641944444447</v>
      </c>
      <c r="S544" s="483">
        <v>1</v>
      </c>
      <c r="T544" s="483">
        <v>1</v>
      </c>
      <c r="V544" t="str">
        <f t="shared" si="17"/>
        <v>pcs</v>
      </c>
    </row>
    <row r="545" spans="3:22" ht="21.95" customHeight="1">
      <c r="C545" s="483">
        <v>518</v>
      </c>
      <c r="D545" s="483">
        <v>344</v>
      </c>
      <c r="E545" s="483" t="s">
        <v>4201</v>
      </c>
      <c r="F545" s="505" t="s">
        <v>4204</v>
      </c>
      <c r="G545" s="483">
        <v>1</v>
      </c>
      <c r="H545" s="483">
        <v>2</v>
      </c>
      <c r="I545" s="483">
        <v>2</v>
      </c>
      <c r="J545" s="505" t="s">
        <v>2172</v>
      </c>
      <c r="K545" s="505" t="s">
        <v>4140</v>
      </c>
      <c r="L545" s="1485">
        <v>7.2</v>
      </c>
      <c r="M545" s="519">
        <v>0</v>
      </c>
      <c r="N545" s="1546">
        <v>8.5</v>
      </c>
      <c r="O545" s="483">
        <v>0</v>
      </c>
      <c r="P545" s="483">
        <v>0</v>
      </c>
      <c r="Q545" s="483">
        <v>1</v>
      </c>
      <c r="R545" s="666">
        <v>46257.679745370369</v>
      </c>
      <c r="S545" s="483">
        <v>1</v>
      </c>
      <c r="T545" s="483">
        <v>1</v>
      </c>
      <c r="V545" t="str">
        <f t="shared" si="17"/>
        <v>pcs</v>
      </c>
    </row>
    <row r="546" spans="3:22" ht="21.95" customHeight="1">
      <c r="C546" s="483">
        <v>519</v>
      </c>
      <c r="D546" s="483">
        <v>345</v>
      </c>
      <c r="E546" s="483" t="s">
        <v>4203</v>
      </c>
      <c r="F546" s="505" t="s">
        <v>4207</v>
      </c>
      <c r="G546" s="483">
        <v>1</v>
      </c>
      <c r="H546" s="483">
        <v>2</v>
      </c>
      <c r="I546" s="483">
        <v>2</v>
      </c>
      <c r="J546" s="505" t="s">
        <v>2172</v>
      </c>
      <c r="K546" s="505" t="s">
        <v>4140</v>
      </c>
      <c r="L546" s="1485">
        <v>3</v>
      </c>
      <c r="M546" s="519">
        <v>0</v>
      </c>
      <c r="N546" s="1546">
        <v>3.75</v>
      </c>
      <c r="O546" s="483">
        <v>0</v>
      </c>
      <c r="P546" s="483">
        <v>0</v>
      </c>
      <c r="Q546" s="483">
        <v>1</v>
      </c>
      <c r="R546" s="666">
        <v>46257.70212962963</v>
      </c>
      <c r="S546" s="483">
        <v>1</v>
      </c>
      <c r="T546" s="483">
        <v>1</v>
      </c>
      <c r="V546" t="str">
        <f t="shared" si="17"/>
        <v>pcs</v>
      </c>
    </row>
    <row r="547" spans="3:22" ht="21.95" customHeight="1">
      <c r="C547" s="483">
        <v>520</v>
      </c>
      <c r="D547" s="483">
        <v>351</v>
      </c>
      <c r="E547" s="483" t="s">
        <v>4212</v>
      </c>
      <c r="F547" s="505" t="s">
        <v>4244</v>
      </c>
      <c r="G547" s="483">
        <v>1</v>
      </c>
      <c r="H547" s="483">
        <v>2</v>
      </c>
      <c r="I547" s="483">
        <v>2</v>
      </c>
      <c r="J547" s="505" t="s">
        <v>2172</v>
      </c>
      <c r="K547" s="505" t="s">
        <v>4140</v>
      </c>
      <c r="L547" s="1485">
        <v>6.2</v>
      </c>
      <c r="M547" s="519">
        <v>0</v>
      </c>
      <c r="N547" s="1546">
        <v>7.5</v>
      </c>
      <c r="O547" s="483">
        <v>0</v>
      </c>
      <c r="P547" s="483">
        <v>0</v>
      </c>
      <c r="Q547" s="483">
        <v>1</v>
      </c>
      <c r="R547" s="666">
        <v>46257.850393518522</v>
      </c>
      <c r="S547" s="483">
        <v>1</v>
      </c>
      <c r="T547" s="483">
        <v>1</v>
      </c>
      <c r="V547" t="str">
        <f t="shared" si="17"/>
        <v>pcs</v>
      </c>
    </row>
    <row r="548" spans="3:22" ht="21.95" customHeight="1">
      <c r="C548" s="483">
        <v>521</v>
      </c>
      <c r="D548" s="483">
        <v>352</v>
      </c>
      <c r="E548" s="483" t="s">
        <v>4213</v>
      </c>
      <c r="F548" s="505" t="s">
        <v>4245</v>
      </c>
      <c r="G548" s="483">
        <v>1</v>
      </c>
      <c r="H548" s="483">
        <v>2</v>
      </c>
      <c r="I548" s="483">
        <v>2</v>
      </c>
      <c r="J548" s="505" t="s">
        <v>2172</v>
      </c>
      <c r="K548" s="505" t="s">
        <v>4140</v>
      </c>
      <c r="L548" s="1485">
        <v>8.8000000000000007</v>
      </c>
      <c r="M548" s="519">
        <v>0</v>
      </c>
      <c r="N548" s="1546">
        <v>10.5</v>
      </c>
      <c r="O548" s="483">
        <v>0</v>
      </c>
      <c r="P548" s="483">
        <v>0</v>
      </c>
      <c r="Q548" s="483">
        <v>1</v>
      </c>
      <c r="R548" s="666">
        <v>46257.850891203707</v>
      </c>
      <c r="S548" s="483">
        <v>1</v>
      </c>
      <c r="T548" s="483">
        <v>1</v>
      </c>
      <c r="V548" t="str">
        <f t="shared" si="17"/>
        <v>pcs</v>
      </c>
    </row>
    <row r="549" spans="3:22" ht="21.95" customHeight="1">
      <c r="C549" s="483">
        <v>522</v>
      </c>
      <c r="D549" s="483">
        <v>353</v>
      </c>
      <c r="E549" s="483" t="s">
        <v>4222</v>
      </c>
      <c r="F549" s="505" t="s">
        <v>4246</v>
      </c>
      <c r="G549" s="483">
        <v>1</v>
      </c>
      <c r="H549" s="483">
        <v>2</v>
      </c>
      <c r="I549" s="483">
        <v>2</v>
      </c>
      <c r="J549" s="505" t="s">
        <v>2172</v>
      </c>
      <c r="K549" s="505" t="s">
        <v>4140</v>
      </c>
      <c r="L549" s="1485">
        <v>10.5</v>
      </c>
      <c r="M549" s="519">
        <v>0</v>
      </c>
      <c r="N549" s="1546">
        <v>12</v>
      </c>
      <c r="O549" s="483">
        <v>0</v>
      </c>
      <c r="P549" s="483">
        <v>0</v>
      </c>
      <c r="Q549" s="483">
        <v>1</v>
      </c>
      <c r="R549" s="666">
        <v>46257.851666666669</v>
      </c>
      <c r="S549" s="483">
        <v>1</v>
      </c>
      <c r="T549" s="483">
        <v>1</v>
      </c>
      <c r="V549" t="str">
        <f t="shared" si="17"/>
        <v>pcs</v>
      </c>
    </row>
    <row r="550" spans="3:22" ht="21.95" customHeight="1">
      <c r="C550" s="483">
        <v>523</v>
      </c>
      <c r="D550" s="483">
        <v>354</v>
      </c>
      <c r="E550" s="483" t="s">
        <v>4223</v>
      </c>
      <c r="F550" s="505" t="s">
        <v>4247</v>
      </c>
      <c r="G550" s="483">
        <v>1</v>
      </c>
      <c r="H550" s="483">
        <v>2</v>
      </c>
      <c r="I550" s="483">
        <v>2</v>
      </c>
      <c r="J550" s="505" t="s">
        <v>2172</v>
      </c>
      <c r="K550" s="505" t="s">
        <v>4140</v>
      </c>
      <c r="L550" s="1485">
        <v>11.8</v>
      </c>
      <c r="M550" s="519">
        <v>0</v>
      </c>
      <c r="N550" s="1546">
        <v>13.5</v>
      </c>
      <c r="O550" s="483">
        <v>0</v>
      </c>
      <c r="P550" s="483">
        <v>0</v>
      </c>
      <c r="Q550" s="483">
        <v>1</v>
      </c>
      <c r="R550" s="666">
        <v>46257.851921296293</v>
      </c>
      <c r="S550" s="483">
        <v>1</v>
      </c>
      <c r="T550" s="483">
        <v>1</v>
      </c>
      <c r="V550" t="str">
        <f t="shared" si="17"/>
        <v>pcs</v>
      </c>
    </row>
    <row r="551" spans="3:22" ht="21.95" customHeight="1">
      <c r="C551" s="483">
        <v>524</v>
      </c>
      <c r="D551" s="483">
        <v>355</v>
      </c>
      <c r="E551" s="483" t="s">
        <v>4224</v>
      </c>
      <c r="F551" s="505" t="s">
        <v>4248</v>
      </c>
      <c r="G551" s="483">
        <v>1</v>
      </c>
      <c r="H551" s="483">
        <v>2</v>
      </c>
      <c r="I551" s="483">
        <v>2</v>
      </c>
      <c r="J551" s="505" t="s">
        <v>2172</v>
      </c>
      <c r="K551" s="505" t="s">
        <v>4140</v>
      </c>
      <c r="L551" s="1485">
        <v>13.3</v>
      </c>
      <c r="M551" s="519">
        <v>0</v>
      </c>
      <c r="N551" s="1546">
        <v>15.5</v>
      </c>
      <c r="O551" s="483">
        <v>0</v>
      </c>
      <c r="P551" s="483">
        <v>0</v>
      </c>
      <c r="Q551" s="483">
        <v>1</v>
      </c>
      <c r="R551" s="666">
        <v>46257.852766203701</v>
      </c>
      <c r="S551" s="483">
        <v>1</v>
      </c>
      <c r="T551" s="483">
        <v>1</v>
      </c>
      <c r="V551" t="str">
        <f t="shared" si="17"/>
        <v>pcs</v>
      </c>
    </row>
    <row r="552" spans="3:22" ht="21.95" customHeight="1">
      <c r="C552" s="483">
        <v>525</v>
      </c>
      <c r="D552" s="483">
        <v>356</v>
      </c>
      <c r="E552" s="483" t="s">
        <v>4225</v>
      </c>
      <c r="F552" s="505" t="s">
        <v>4249</v>
      </c>
      <c r="G552" s="483">
        <v>1</v>
      </c>
      <c r="H552" s="483">
        <v>2</v>
      </c>
      <c r="I552" s="483">
        <v>2</v>
      </c>
      <c r="J552" s="505" t="s">
        <v>2172</v>
      </c>
      <c r="K552" s="505" t="s">
        <v>4140</v>
      </c>
      <c r="L552" s="1485">
        <v>15.3</v>
      </c>
      <c r="M552" s="519">
        <v>0</v>
      </c>
      <c r="N552" s="1546">
        <v>17.5</v>
      </c>
      <c r="O552" s="483">
        <v>0</v>
      </c>
      <c r="P552" s="483">
        <v>0</v>
      </c>
      <c r="Q552" s="483">
        <v>1</v>
      </c>
      <c r="R552" s="666">
        <v>46257.853622685187</v>
      </c>
      <c r="S552" s="483">
        <v>1</v>
      </c>
      <c r="T552" s="483">
        <v>1</v>
      </c>
      <c r="V552" t="str">
        <f t="shared" si="17"/>
        <v>pcs</v>
      </c>
    </row>
    <row r="553" spans="3:22" ht="21.95" customHeight="1">
      <c r="C553" s="483">
        <v>526</v>
      </c>
      <c r="D553" s="483">
        <v>357</v>
      </c>
      <c r="E553" s="483" t="s">
        <v>4226</v>
      </c>
      <c r="F553" s="505" t="s">
        <v>4250</v>
      </c>
      <c r="G553" s="483">
        <v>1</v>
      </c>
      <c r="H553" s="483">
        <v>2</v>
      </c>
      <c r="I553" s="483">
        <v>2</v>
      </c>
      <c r="J553" s="505" t="s">
        <v>2172</v>
      </c>
      <c r="K553" s="505" t="s">
        <v>4140</v>
      </c>
      <c r="L553" s="1485">
        <v>17.899999999999999</v>
      </c>
      <c r="M553" s="519">
        <v>0</v>
      </c>
      <c r="N553" s="1546">
        <v>20</v>
      </c>
      <c r="O553" s="483">
        <v>0</v>
      </c>
      <c r="P553" s="483">
        <v>0</v>
      </c>
      <c r="Q553" s="483">
        <v>1</v>
      </c>
      <c r="R553" s="666">
        <v>46257.854120370372</v>
      </c>
      <c r="S553" s="483">
        <v>1</v>
      </c>
      <c r="T553" s="483">
        <v>1</v>
      </c>
      <c r="V553" t="str">
        <f t="shared" si="17"/>
        <v>pcs</v>
      </c>
    </row>
    <row r="554" spans="3:22" ht="21.95" customHeight="1">
      <c r="C554" s="483">
        <v>527</v>
      </c>
      <c r="D554" s="483">
        <v>347</v>
      </c>
      <c r="E554" s="483" t="s">
        <v>4208</v>
      </c>
      <c r="F554" s="505" t="s">
        <v>4251</v>
      </c>
      <c r="G554" s="483">
        <v>1</v>
      </c>
      <c r="H554" s="483">
        <v>2</v>
      </c>
      <c r="I554" s="483">
        <v>2</v>
      </c>
      <c r="J554" s="505" t="s">
        <v>2172</v>
      </c>
      <c r="K554" s="505" t="s">
        <v>4140</v>
      </c>
      <c r="L554" s="1485">
        <v>0.125</v>
      </c>
      <c r="M554" s="519">
        <v>0</v>
      </c>
      <c r="N554" s="1546">
        <v>0.25</v>
      </c>
      <c r="O554" s="483">
        <v>0</v>
      </c>
      <c r="P554" s="483">
        <v>0</v>
      </c>
      <c r="Q554" s="483">
        <v>1</v>
      </c>
      <c r="R554" s="666">
        <v>46257.855196759258</v>
      </c>
      <c r="S554" s="483">
        <v>1</v>
      </c>
      <c r="T554" s="483">
        <v>1</v>
      </c>
      <c r="V554" t="str">
        <f t="shared" si="17"/>
        <v>pcs</v>
      </c>
    </row>
    <row r="555" spans="3:22" ht="21.95" customHeight="1">
      <c r="C555" s="483">
        <v>528</v>
      </c>
      <c r="D555" s="483">
        <v>348</v>
      </c>
      <c r="E555" s="483" t="s">
        <v>4209</v>
      </c>
      <c r="F555" s="505" t="s">
        <v>4252</v>
      </c>
      <c r="G555" s="483">
        <v>1</v>
      </c>
      <c r="H555" s="483">
        <v>2</v>
      </c>
      <c r="I555" s="483">
        <v>2</v>
      </c>
      <c r="J555" s="505" t="s">
        <v>2172</v>
      </c>
      <c r="K555" s="505" t="s">
        <v>4140</v>
      </c>
      <c r="L555" s="1485">
        <v>0.2</v>
      </c>
      <c r="M555" s="519">
        <v>0</v>
      </c>
      <c r="N555" s="1546">
        <v>0.38</v>
      </c>
      <c r="O555" s="483">
        <v>0</v>
      </c>
      <c r="P555" s="483">
        <v>0</v>
      </c>
      <c r="Q555" s="483">
        <v>1</v>
      </c>
      <c r="R555" s="666">
        <v>46257.855914351851</v>
      </c>
      <c r="S555" s="483">
        <v>1</v>
      </c>
      <c r="T555" s="483">
        <v>1</v>
      </c>
      <c r="V555" t="str">
        <f t="shared" si="17"/>
        <v>pcs</v>
      </c>
    </row>
    <row r="556" spans="3:22" ht="21.95" customHeight="1">
      <c r="C556" s="483">
        <v>529</v>
      </c>
      <c r="D556" s="483">
        <v>346</v>
      </c>
      <c r="E556" s="483" t="s">
        <v>4205</v>
      </c>
      <c r="F556" s="505" t="s">
        <v>4253</v>
      </c>
      <c r="G556" s="483">
        <v>1</v>
      </c>
      <c r="H556" s="483">
        <v>2</v>
      </c>
      <c r="I556" s="483">
        <v>2</v>
      </c>
      <c r="J556" s="505" t="s">
        <v>2172</v>
      </c>
      <c r="K556" s="505" t="s">
        <v>4140</v>
      </c>
      <c r="L556" s="1485">
        <v>0.25</v>
      </c>
      <c r="M556" s="519">
        <v>0</v>
      </c>
      <c r="N556" s="1546">
        <v>0.5</v>
      </c>
      <c r="O556" s="483">
        <v>0</v>
      </c>
      <c r="P556" s="483">
        <v>0</v>
      </c>
      <c r="Q556" s="483">
        <v>1</v>
      </c>
      <c r="R556" s="666">
        <v>46257.862187500003</v>
      </c>
      <c r="S556" s="483">
        <v>1</v>
      </c>
      <c r="T556" s="483">
        <v>1</v>
      </c>
      <c r="V556" t="str">
        <f t="shared" si="17"/>
        <v>pcs</v>
      </c>
    </row>
    <row r="557" spans="3:22" ht="21.95" customHeight="1">
      <c r="C557" s="483">
        <v>530</v>
      </c>
      <c r="D557" s="483">
        <v>349</v>
      </c>
      <c r="E557" s="483" t="s">
        <v>4210</v>
      </c>
      <c r="F557" s="505" t="s">
        <v>4254</v>
      </c>
      <c r="G557" s="483">
        <v>1</v>
      </c>
      <c r="H557" s="483">
        <v>2</v>
      </c>
      <c r="I557" s="483">
        <v>2</v>
      </c>
      <c r="J557" s="505" t="s">
        <v>2172</v>
      </c>
      <c r="K557" s="505" t="s">
        <v>4140</v>
      </c>
      <c r="L557" s="1485">
        <v>1</v>
      </c>
      <c r="M557" s="519">
        <v>0</v>
      </c>
      <c r="N557" s="1546">
        <v>1.5</v>
      </c>
      <c r="O557" s="483">
        <v>0</v>
      </c>
      <c r="P557" s="483">
        <v>0</v>
      </c>
      <c r="Q557" s="483">
        <v>1</v>
      </c>
      <c r="R557" s="666">
        <v>46257.862476851849</v>
      </c>
      <c r="S557" s="483">
        <v>1</v>
      </c>
      <c r="T557" s="483">
        <v>1</v>
      </c>
      <c r="V557" t="str">
        <f t="shared" si="17"/>
        <v>pcs</v>
      </c>
    </row>
    <row r="558" spans="3:22" ht="21.95" customHeight="1">
      <c r="C558" s="483">
        <v>531</v>
      </c>
      <c r="D558" s="483">
        <v>350</v>
      </c>
      <c r="E558" s="483" t="s">
        <v>4211</v>
      </c>
      <c r="F558" s="505" t="s">
        <v>4255</v>
      </c>
      <c r="G558" s="483">
        <v>1</v>
      </c>
      <c r="H558" s="483">
        <v>2</v>
      </c>
      <c r="I558" s="483">
        <v>2</v>
      </c>
      <c r="J558" s="505" t="s">
        <v>2172</v>
      </c>
      <c r="K558" s="505" t="s">
        <v>4140</v>
      </c>
      <c r="L558" s="1485">
        <v>6</v>
      </c>
      <c r="M558" s="519">
        <v>0</v>
      </c>
      <c r="N558" s="1546">
        <v>7</v>
      </c>
      <c r="O558" s="483">
        <v>0</v>
      </c>
      <c r="P558" s="483">
        <v>0</v>
      </c>
      <c r="Q558" s="483">
        <v>1</v>
      </c>
      <c r="R558" s="666">
        <v>46257.863344907404</v>
      </c>
      <c r="S558" s="483">
        <v>1</v>
      </c>
      <c r="T558" s="483">
        <v>1</v>
      </c>
      <c r="V558" t="str">
        <f t="shared" si="17"/>
        <v>pcs</v>
      </c>
    </row>
    <row r="559" spans="3:22" ht="21.95" customHeight="1">
      <c r="C559" s="483">
        <v>532</v>
      </c>
      <c r="D559" s="483">
        <v>358</v>
      </c>
      <c r="E559" s="483" t="s">
        <v>4227</v>
      </c>
      <c r="F559" s="505" t="s">
        <v>4260</v>
      </c>
      <c r="G559" s="483">
        <v>1</v>
      </c>
      <c r="H559" s="483">
        <v>2</v>
      </c>
      <c r="I559" s="483">
        <v>81</v>
      </c>
      <c r="J559" s="505" t="s">
        <v>4258</v>
      </c>
      <c r="K559" s="505" t="s">
        <v>4140</v>
      </c>
      <c r="L559" s="1485">
        <v>16</v>
      </c>
      <c r="M559" s="519">
        <v>0</v>
      </c>
      <c r="N559" s="1546">
        <v>19</v>
      </c>
      <c r="O559" s="483">
        <v>0</v>
      </c>
      <c r="P559" s="483">
        <v>0</v>
      </c>
      <c r="Q559" s="483">
        <v>1</v>
      </c>
      <c r="R559" s="666">
        <v>46257.896319444444</v>
      </c>
      <c r="S559" s="483">
        <v>1</v>
      </c>
      <c r="T559" s="483">
        <v>1</v>
      </c>
      <c r="V559" t="str">
        <f t="shared" si="17"/>
        <v>m3/2*m3|2</v>
      </c>
    </row>
    <row r="560" spans="3:22" ht="21.95" customHeight="1">
      <c r="C560" s="483">
        <v>533</v>
      </c>
      <c r="D560" s="483">
        <v>358</v>
      </c>
      <c r="E560" s="483" t="s">
        <v>4227</v>
      </c>
      <c r="F560" s="505" t="s">
        <v>4260</v>
      </c>
      <c r="G560" s="483">
        <v>1</v>
      </c>
      <c r="H560" s="483">
        <v>2</v>
      </c>
      <c r="I560" s="483">
        <v>80</v>
      </c>
      <c r="J560" s="505" t="s">
        <v>4256</v>
      </c>
      <c r="K560" s="505" t="s">
        <v>4140</v>
      </c>
      <c r="L560" s="1485">
        <v>16</v>
      </c>
      <c r="M560" s="519">
        <v>0</v>
      </c>
      <c r="N560" s="1546">
        <v>9.5</v>
      </c>
      <c r="O560" s="483">
        <v>0</v>
      </c>
      <c r="P560" s="483">
        <v>0</v>
      </c>
      <c r="Q560" s="483">
        <v>1</v>
      </c>
      <c r="R560" s="666">
        <v>46257.896319444444</v>
      </c>
      <c r="S560" s="483">
        <v>1</v>
      </c>
      <c r="T560" s="483">
        <v>1</v>
      </c>
      <c r="V560" t="str">
        <f t="shared" si="17"/>
        <v>m3|2</v>
      </c>
    </row>
    <row r="561" spans="2:27" ht="21.95" customHeight="1">
      <c r="C561" s="483">
        <v>534</v>
      </c>
      <c r="D561" s="483">
        <v>359</v>
      </c>
      <c r="E561" s="483" t="s">
        <v>4228</v>
      </c>
      <c r="F561" s="505" t="s">
        <v>4262</v>
      </c>
      <c r="G561" s="483">
        <v>1</v>
      </c>
      <c r="H561" s="483">
        <v>2</v>
      </c>
      <c r="I561" s="483">
        <v>2</v>
      </c>
      <c r="J561" s="505" t="s">
        <v>2172</v>
      </c>
      <c r="K561" s="505" t="s">
        <v>4140</v>
      </c>
      <c r="L561" s="1485">
        <v>3.8</v>
      </c>
      <c r="M561" s="519">
        <v>0</v>
      </c>
      <c r="N561" s="1546">
        <v>4.8</v>
      </c>
      <c r="O561" s="483">
        <v>0</v>
      </c>
      <c r="P561" s="483">
        <v>0</v>
      </c>
      <c r="Q561" s="483">
        <v>1</v>
      </c>
      <c r="R561" s="666">
        <v>46257.909050925926</v>
      </c>
      <c r="S561" s="483">
        <v>1</v>
      </c>
      <c r="T561" s="483">
        <v>1</v>
      </c>
      <c r="V561" t="str">
        <f t="shared" si="17"/>
        <v>pcs</v>
      </c>
    </row>
    <row r="562" spans="2:27" ht="21.95" customHeight="1">
      <c r="C562" s="483">
        <v>535</v>
      </c>
      <c r="D562" s="483">
        <v>360</v>
      </c>
      <c r="E562" s="483" t="s">
        <v>4229</v>
      </c>
      <c r="F562" s="505" t="s">
        <v>4265</v>
      </c>
      <c r="G562" s="483">
        <v>1</v>
      </c>
      <c r="H562" s="483">
        <v>2</v>
      </c>
      <c r="I562" s="483">
        <v>53</v>
      </c>
      <c r="J562" s="505" t="s">
        <v>2618</v>
      </c>
      <c r="K562" s="505" t="s">
        <v>4140</v>
      </c>
      <c r="L562" s="1485">
        <v>2</v>
      </c>
      <c r="M562" s="519">
        <v>0</v>
      </c>
      <c r="N562" s="1546">
        <v>3</v>
      </c>
      <c r="O562" s="483">
        <v>0</v>
      </c>
      <c r="P562" s="483">
        <v>0</v>
      </c>
      <c r="Q562" s="483">
        <v>1</v>
      </c>
      <c r="R562" s="666">
        <v>46257.933923611112</v>
      </c>
      <c r="S562" s="483">
        <v>1</v>
      </c>
      <c r="T562" s="483">
        <v>1</v>
      </c>
      <c r="V562" t="str">
        <f t="shared" si="17"/>
        <v>Unit/4m</v>
      </c>
    </row>
    <row r="563" spans="2:27" ht="21.95" customHeight="1">
      <c r="C563" s="483">
        <v>536</v>
      </c>
      <c r="D563" s="483">
        <v>360</v>
      </c>
      <c r="E563" s="483" t="s">
        <v>4229</v>
      </c>
      <c r="F563" s="505" t="s">
        <v>4265</v>
      </c>
      <c r="G563" s="483">
        <v>1</v>
      </c>
      <c r="H563" s="483">
        <v>2</v>
      </c>
      <c r="I563" s="483">
        <v>16</v>
      </c>
      <c r="J563" s="505" t="s">
        <v>2134</v>
      </c>
      <c r="K563" s="505" t="s">
        <v>4140</v>
      </c>
      <c r="L563" s="1485">
        <v>2</v>
      </c>
      <c r="M563" s="519">
        <v>0</v>
      </c>
      <c r="N563" s="1546">
        <v>0.75</v>
      </c>
      <c r="O563" s="483">
        <v>0</v>
      </c>
      <c r="P563" s="483">
        <v>0</v>
      </c>
      <c r="Q563" s="483">
        <v>1</v>
      </c>
      <c r="R563" s="666">
        <v>46257.933923611112</v>
      </c>
      <c r="S563" s="483">
        <v>1</v>
      </c>
      <c r="T563" s="483">
        <v>1</v>
      </c>
      <c r="V563" t="str">
        <f t="shared" si="17"/>
        <v>m</v>
      </c>
    </row>
    <row r="564" spans="2:27" ht="21.95" customHeight="1">
      <c r="C564" s="483">
        <v>537</v>
      </c>
      <c r="D564" s="483">
        <v>361</v>
      </c>
      <c r="E564" s="483" t="s">
        <v>4266</v>
      </c>
      <c r="F564" s="505" t="s">
        <v>4273</v>
      </c>
      <c r="G564" s="483">
        <v>1</v>
      </c>
      <c r="H564" s="483">
        <v>2</v>
      </c>
      <c r="I564" s="483">
        <v>82</v>
      </c>
      <c r="J564" s="505" t="s">
        <v>4268</v>
      </c>
      <c r="K564" s="505" t="s">
        <v>4140</v>
      </c>
      <c r="L564" s="1485">
        <v>5</v>
      </c>
      <c r="M564" s="519">
        <v>0</v>
      </c>
      <c r="N564" s="1546">
        <v>5.5</v>
      </c>
      <c r="O564" s="483">
        <v>0</v>
      </c>
      <c r="P564" s="483">
        <v>0</v>
      </c>
      <c r="Q564" s="483">
        <v>1</v>
      </c>
      <c r="R564" s="666">
        <v>46257.975810185184</v>
      </c>
      <c r="S564" s="483">
        <v>1</v>
      </c>
      <c r="T564" s="483">
        <v>1</v>
      </c>
      <c r="V564" t="str">
        <f t="shared" si="17"/>
        <v>Ctn/45kham</v>
      </c>
    </row>
    <row r="565" spans="2:27" ht="21.95" customHeight="1">
      <c r="C565" s="483">
        <v>538</v>
      </c>
      <c r="D565" s="483">
        <v>361</v>
      </c>
      <c r="E565" s="483" t="s">
        <v>4266</v>
      </c>
      <c r="F565" s="505" t="s">
        <v>4273</v>
      </c>
      <c r="G565" s="483">
        <v>1</v>
      </c>
      <c r="H565" s="483">
        <v>2</v>
      </c>
      <c r="I565" s="483">
        <v>55</v>
      </c>
      <c r="J565" s="505" t="s">
        <v>3718</v>
      </c>
      <c r="K565" s="505" t="s">
        <v>4140</v>
      </c>
      <c r="L565" s="1485">
        <v>5</v>
      </c>
      <c r="M565" s="519">
        <v>0</v>
      </c>
      <c r="N565" s="1546">
        <v>0.15</v>
      </c>
      <c r="O565" s="483">
        <v>0</v>
      </c>
      <c r="P565" s="483">
        <v>0</v>
      </c>
      <c r="Q565" s="483">
        <v>1</v>
      </c>
      <c r="R565" s="666">
        <v>46257.975810185184</v>
      </c>
      <c r="S565" s="483">
        <v>1</v>
      </c>
      <c r="T565" s="483">
        <v>1</v>
      </c>
      <c r="V565" t="str">
        <f t="shared" si="17"/>
        <v>kham</v>
      </c>
    </row>
    <row r="566" spans="2:27" s="1509" customFormat="1" ht="21.95" customHeight="1">
      <c r="B566" s="1508"/>
      <c r="C566" s="1541">
        <v>539</v>
      </c>
      <c r="D566" s="1541">
        <v>362</v>
      </c>
      <c r="E566" s="1541" t="s">
        <v>4275</v>
      </c>
      <c r="F566" s="1542" t="s">
        <v>4277</v>
      </c>
      <c r="G566" s="1541">
        <v>1</v>
      </c>
      <c r="H566" s="1541">
        <v>2</v>
      </c>
      <c r="I566" s="1541">
        <v>2</v>
      </c>
      <c r="J566" s="1542" t="s">
        <v>2172</v>
      </c>
      <c r="K566" s="1542" t="s">
        <v>4140</v>
      </c>
      <c r="L566" s="1543">
        <v>0.5</v>
      </c>
      <c r="M566" s="1544">
        <v>0</v>
      </c>
      <c r="N566" s="1550">
        <v>1</v>
      </c>
      <c r="O566" s="1541">
        <v>0</v>
      </c>
      <c r="P566" s="1541">
        <v>0</v>
      </c>
      <c r="Q566" s="1541">
        <v>1</v>
      </c>
      <c r="R566" s="1545">
        <v>46257.989652777775</v>
      </c>
      <c r="S566" s="1541">
        <v>1</v>
      </c>
      <c r="T566" s="1541">
        <v>1</v>
      </c>
      <c r="V566" t="str">
        <f>IF(I566="","",VLOOKUP(I566,uom_list,5,FALSE))</f>
        <v>pcs</v>
      </c>
      <c r="W566" s="1510"/>
      <c r="X566" s="1510"/>
      <c r="Y566" s="1510"/>
      <c r="Z566" s="1510"/>
      <c r="AA566" s="1510"/>
    </row>
    <row r="567" spans="2:27" ht="21.95" customHeight="1">
      <c r="C567" s="483">
        <v>540</v>
      </c>
      <c r="D567" s="483">
        <v>363</v>
      </c>
      <c r="E567" s="483" t="s">
        <v>4294</v>
      </c>
      <c r="F567" s="505" t="s">
        <v>4322</v>
      </c>
      <c r="G567" s="483">
        <v>1</v>
      </c>
      <c r="H567" s="483">
        <v>2</v>
      </c>
      <c r="I567" s="483">
        <v>1</v>
      </c>
      <c r="J567" s="505" t="s">
        <v>19</v>
      </c>
      <c r="K567" s="505" t="s">
        <v>1507</v>
      </c>
      <c r="L567" s="1485">
        <v>2.8</v>
      </c>
      <c r="M567" s="519">
        <v>4</v>
      </c>
      <c r="N567" s="1546">
        <v>4</v>
      </c>
      <c r="O567" s="483">
        <v>0</v>
      </c>
      <c r="P567" s="483">
        <v>0</v>
      </c>
      <c r="Q567" s="483">
        <v>1</v>
      </c>
      <c r="R567" s="666">
        <v>46265.682812500003</v>
      </c>
      <c r="S567" s="483">
        <v>1</v>
      </c>
      <c r="T567" s="483">
        <v>1</v>
      </c>
      <c r="V567" t="str">
        <f t="shared" si="17"/>
        <v>Unit</v>
      </c>
    </row>
    <row r="568" spans="2:27" ht="21.95" customHeight="1">
      <c r="C568" s="483">
        <v>541</v>
      </c>
      <c r="D568" s="483">
        <v>364</v>
      </c>
      <c r="E568" s="483" t="s">
        <v>4295</v>
      </c>
      <c r="F568" s="505" t="s">
        <v>4320</v>
      </c>
      <c r="G568" s="483">
        <v>1</v>
      </c>
      <c r="H568" s="483">
        <v>2</v>
      </c>
      <c r="I568" s="483">
        <v>1</v>
      </c>
      <c r="J568" s="505" t="s">
        <v>19</v>
      </c>
      <c r="K568" s="505" t="s">
        <v>1507</v>
      </c>
      <c r="L568" s="1485">
        <v>1.7</v>
      </c>
      <c r="M568" s="519">
        <v>3</v>
      </c>
      <c r="N568" s="1546">
        <v>3</v>
      </c>
      <c r="O568" s="483">
        <v>0</v>
      </c>
      <c r="P568" s="483">
        <v>0</v>
      </c>
      <c r="Q568" s="483">
        <v>1</v>
      </c>
      <c r="R568" s="666">
        <v>46265.682812500003</v>
      </c>
      <c r="S568" s="483">
        <v>1</v>
      </c>
      <c r="T568" s="483">
        <v>1</v>
      </c>
      <c r="V568" t="str">
        <f t="shared" si="17"/>
        <v>Unit</v>
      </c>
    </row>
    <row r="569" spans="2:27" ht="21.95" customHeight="1">
      <c r="C569" s="483">
        <v>542</v>
      </c>
      <c r="D569" s="483">
        <v>365</v>
      </c>
      <c r="E569" s="483" t="s">
        <v>4296</v>
      </c>
      <c r="F569" s="505" t="s">
        <v>4346</v>
      </c>
      <c r="G569" s="483">
        <v>1</v>
      </c>
      <c r="H569" s="483">
        <v>2</v>
      </c>
      <c r="I569" s="483">
        <v>2</v>
      </c>
      <c r="J569" s="505" t="s">
        <v>2172</v>
      </c>
      <c r="K569" s="505" t="s">
        <v>1507</v>
      </c>
      <c r="L569" s="1485">
        <v>4.2</v>
      </c>
      <c r="M569" s="519">
        <v>5</v>
      </c>
      <c r="N569" s="1546">
        <v>5</v>
      </c>
      <c r="O569" s="483">
        <v>0</v>
      </c>
      <c r="P569" s="483">
        <v>0</v>
      </c>
      <c r="Q569" s="483">
        <v>1</v>
      </c>
      <c r="R569" s="666">
        <v>46265.682812500003</v>
      </c>
      <c r="S569" s="483">
        <v>1</v>
      </c>
      <c r="T569" s="483">
        <v>1</v>
      </c>
      <c r="V569" t="str">
        <f t="shared" si="17"/>
        <v>pcs</v>
      </c>
    </row>
    <row r="570" spans="2:27" ht="21.95" customHeight="1">
      <c r="C570" s="483">
        <v>543</v>
      </c>
      <c r="D570" s="483">
        <v>366</v>
      </c>
      <c r="E570" s="483" t="s">
        <v>4297</v>
      </c>
      <c r="F570" s="505" t="s">
        <v>4324</v>
      </c>
      <c r="G570" s="483">
        <v>1</v>
      </c>
      <c r="H570" s="483">
        <v>2</v>
      </c>
      <c r="I570" s="483">
        <v>2</v>
      </c>
      <c r="J570" s="505" t="s">
        <v>2172</v>
      </c>
      <c r="K570" s="505" t="s">
        <v>1507</v>
      </c>
      <c r="L570" s="1485">
        <v>1.1000000000000001</v>
      </c>
      <c r="M570" s="519">
        <v>1.5</v>
      </c>
      <c r="N570" s="1546">
        <v>1.5</v>
      </c>
      <c r="O570" s="483">
        <v>0</v>
      </c>
      <c r="P570" s="483">
        <v>0</v>
      </c>
      <c r="Q570" s="483">
        <v>1</v>
      </c>
      <c r="R570" s="666">
        <v>46265.682812500003</v>
      </c>
      <c r="S570" s="483">
        <v>1</v>
      </c>
      <c r="T570" s="483">
        <v>1</v>
      </c>
      <c r="V570" t="str">
        <f t="shared" si="17"/>
        <v>pcs</v>
      </c>
    </row>
    <row r="571" spans="2:27" ht="21.95" customHeight="1">
      <c r="C571" s="483">
        <v>544</v>
      </c>
      <c r="D571" s="483">
        <v>367</v>
      </c>
      <c r="E571" s="483" t="s">
        <v>4298</v>
      </c>
      <c r="F571" s="505" t="s">
        <v>4321</v>
      </c>
      <c r="G571" s="483">
        <v>1</v>
      </c>
      <c r="H571" s="483">
        <v>2</v>
      </c>
      <c r="I571" s="483">
        <v>2</v>
      </c>
      <c r="J571" s="505" t="s">
        <v>2172</v>
      </c>
      <c r="K571" s="505" t="s">
        <v>1507</v>
      </c>
      <c r="L571" s="1485">
        <v>1.3</v>
      </c>
      <c r="M571" s="519">
        <v>2</v>
      </c>
      <c r="N571" s="1546">
        <v>2</v>
      </c>
      <c r="O571" s="483">
        <v>0</v>
      </c>
      <c r="P571" s="483">
        <v>0</v>
      </c>
      <c r="Q571" s="483">
        <v>1</v>
      </c>
      <c r="R571" s="666">
        <v>46265.682812500003</v>
      </c>
      <c r="S571" s="483">
        <v>1</v>
      </c>
      <c r="T571" s="483">
        <v>1</v>
      </c>
      <c r="V571" t="str">
        <f t="shared" si="17"/>
        <v>pcs</v>
      </c>
    </row>
    <row r="572" spans="2:27" ht="21.95" customHeight="1">
      <c r="C572" s="483">
        <v>545</v>
      </c>
      <c r="D572" s="483">
        <v>368</v>
      </c>
      <c r="E572" s="483" t="s">
        <v>4299</v>
      </c>
      <c r="F572" s="505" t="s">
        <v>4344</v>
      </c>
      <c r="G572" s="483">
        <v>1</v>
      </c>
      <c r="H572" s="483">
        <v>2</v>
      </c>
      <c r="I572" s="483">
        <v>73</v>
      </c>
      <c r="J572" s="505" t="s">
        <v>4135</v>
      </c>
      <c r="K572" s="505" t="s">
        <v>1507</v>
      </c>
      <c r="L572" s="1485">
        <v>2.9</v>
      </c>
      <c r="M572" s="519">
        <v>3.5</v>
      </c>
      <c r="N572" s="1546">
        <v>3.5</v>
      </c>
      <c r="O572" s="483">
        <v>0</v>
      </c>
      <c r="P572" s="483">
        <v>0</v>
      </c>
      <c r="Q572" s="483">
        <v>1</v>
      </c>
      <c r="R572" s="666">
        <v>46265.682812500003</v>
      </c>
      <c r="S572" s="483">
        <v>1</v>
      </c>
      <c r="T572" s="483">
        <v>1</v>
      </c>
      <c r="V572" t="str">
        <f t="shared" si="17"/>
        <v>kg/10kham</v>
      </c>
    </row>
    <row r="573" spans="2:27" ht="21.95" customHeight="1">
      <c r="C573" s="483">
        <v>546</v>
      </c>
      <c r="D573" s="483">
        <v>368</v>
      </c>
      <c r="E573" s="483" t="s">
        <v>4299</v>
      </c>
      <c r="F573" s="505" t="s">
        <v>4344</v>
      </c>
      <c r="G573" s="483">
        <v>1</v>
      </c>
      <c r="H573" s="483">
        <v>2</v>
      </c>
      <c r="I573" s="483">
        <v>55</v>
      </c>
      <c r="J573" s="505" t="s">
        <v>3718</v>
      </c>
      <c r="K573" s="505" t="s">
        <v>1507</v>
      </c>
      <c r="L573" s="1485">
        <v>0.28999999999999998</v>
      </c>
      <c r="M573" s="519">
        <v>0.5</v>
      </c>
      <c r="N573" s="1546">
        <v>0.5</v>
      </c>
      <c r="O573" s="483">
        <v>0</v>
      </c>
      <c r="P573" s="483">
        <v>0</v>
      </c>
      <c r="Q573" s="483">
        <v>1</v>
      </c>
      <c r="R573" s="666">
        <v>46265.682812500003</v>
      </c>
      <c r="S573" s="483">
        <v>1</v>
      </c>
      <c r="T573" s="483">
        <v>1</v>
      </c>
      <c r="V573" t="str">
        <f t="shared" si="17"/>
        <v>kham</v>
      </c>
    </row>
    <row r="574" spans="2:27" ht="21.95" customHeight="1">
      <c r="C574" s="483">
        <v>547</v>
      </c>
      <c r="D574" s="483">
        <v>369</v>
      </c>
      <c r="E574" s="483" t="s">
        <v>4300</v>
      </c>
      <c r="F574" s="505" t="s">
        <v>4308</v>
      </c>
      <c r="G574" s="483">
        <v>1</v>
      </c>
      <c r="H574" s="483">
        <v>2</v>
      </c>
      <c r="I574" s="483">
        <v>2</v>
      </c>
      <c r="J574" s="505" t="s">
        <v>2172</v>
      </c>
      <c r="K574" s="505" t="s">
        <v>1507</v>
      </c>
      <c r="L574" s="1485">
        <v>0.27</v>
      </c>
      <c r="M574" s="519">
        <v>0.35</v>
      </c>
      <c r="N574" s="1546">
        <v>0.35</v>
      </c>
      <c r="O574" s="483">
        <v>0</v>
      </c>
      <c r="P574" s="483">
        <v>0</v>
      </c>
      <c r="Q574" s="483">
        <v>1</v>
      </c>
      <c r="R574" s="666">
        <v>46265.682812500003</v>
      </c>
      <c r="S574" s="483">
        <v>1</v>
      </c>
      <c r="T574" s="483">
        <v>1</v>
      </c>
      <c r="V574" t="str">
        <f t="shared" si="17"/>
        <v>pcs</v>
      </c>
    </row>
    <row r="575" spans="2:27" ht="21.95" customHeight="1">
      <c r="C575" s="483">
        <v>548</v>
      </c>
      <c r="D575" s="483">
        <v>370</v>
      </c>
      <c r="E575" s="483" t="s">
        <v>4301</v>
      </c>
      <c r="F575" s="505" t="s">
        <v>4317</v>
      </c>
      <c r="G575" s="483">
        <v>1</v>
      </c>
      <c r="H575" s="483">
        <v>2</v>
      </c>
      <c r="I575" s="483">
        <v>2</v>
      </c>
      <c r="J575" s="505" t="s">
        <v>2172</v>
      </c>
      <c r="K575" s="505" t="s">
        <v>1507</v>
      </c>
      <c r="L575" s="1485">
        <v>0.3</v>
      </c>
      <c r="M575" s="519">
        <v>0.5</v>
      </c>
      <c r="N575" s="1546">
        <v>0.5</v>
      </c>
      <c r="O575" s="483">
        <v>0</v>
      </c>
      <c r="P575" s="483">
        <v>0</v>
      </c>
      <c r="Q575" s="483">
        <v>1</v>
      </c>
      <c r="R575" s="666">
        <v>46265.682812500003</v>
      </c>
      <c r="S575" s="483">
        <v>1</v>
      </c>
      <c r="T575" s="483">
        <v>1</v>
      </c>
      <c r="V575" t="str">
        <f t="shared" si="17"/>
        <v>pcs</v>
      </c>
    </row>
    <row r="576" spans="2:27" ht="21.95" customHeight="1">
      <c r="C576" s="483">
        <v>549</v>
      </c>
      <c r="D576" s="483">
        <v>371</v>
      </c>
      <c r="E576" s="483" t="s">
        <v>4309</v>
      </c>
      <c r="F576" s="505" t="s">
        <v>4343</v>
      </c>
      <c r="G576" s="483">
        <v>1</v>
      </c>
      <c r="H576" s="483">
        <v>2</v>
      </c>
      <c r="I576" s="483">
        <v>1</v>
      </c>
      <c r="J576" s="505" t="s">
        <v>19</v>
      </c>
      <c r="K576" s="505" t="s">
        <v>1507</v>
      </c>
      <c r="L576" s="1485">
        <v>1.5</v>
      </c>
      <c r="M576" s="519">
        <v>2</v>
      </c>
      <c r="N576" s="1546">
        <v>2</v>
      </c>
      <c r="O576" s="483">
        <v>0</v>
      </c>
      <c r="P576" s="483">
        <v>0</v>
      </c>
      <c r="Q576" s="483">
        <v>1</v>
      </c>
      <c r="R576" s="666">
        <v>46265.682812500003</v>
      </c>
      <c r="S576" s="483">
        <v>1</v>
      </c>
      <c r="T576" s="483">
        <v>1</v>
      </c>
      <c r="V576" t="str">
        <f t="shared" si="17"/>
        <v>Unit</v>
      </c>
    </row>
    <row r="577" spans="3:22" ht="21.95" customHeight="1">
      <c r="C577" s="483">
        <v>550</v>
      </c>
      <c r="D577" s="483">
        <v>372</v>
      </c>
      <c r="E577" s="483" t="s">
        <v>4310</v>
      </c>
      <c r="F577" s="505" t="s">
        <v>4335</v>
      </c>
      <c r="G577" s="483">
        <v>1</v>
      </c>
      <c r="H577" s="483">
        <v>2</v>
      </c>
      <c r="I577" s="483">
        <v>2</v>
      </c>
      <c r="J577" s="505" t="s">
        <v>2172</v>
      </c>
      <c r="K577" s="505" t="s">
        <v>1507</v>
      </c>
      <c r="L577" s="1485">
        <v>2</v>
      </c>
      <c r="M577" s="519">
        <v>2.5</v>
      </c>
      <c r="N577" s="1546">
        <v>2.5</v>
      </c>
      <c r="O577" s="483">
        <v>0</v>
      </c>
      <c r="P577" s="483">
        <v>0</v>
      </c>
      <c r="Q577" s="483">
        <v>1</v>
      </c>
      <c r="R577" s="666">
        <v>46265.682812500003</v>
      </c>
      <c r="S577" s="483">
        <v>1</v>
      </c>
      <c r="T577" s="483">
        <v>1</v>
      </c>
      <c r="V577" t="str">
        <f t="shared" si="17"/>
        <v>pcs</v>
      </c>
    </row>
    <row r="578" spans="3:22" ht="21.95" customHeight="1">
      <c r="C578" s="483">
        <v>551</v>
      </c>
      <c r="D578" s="483">
        <v>373</v>
      </c>
      <c r="E578" s="483" t="s">
        <v>4311</v>
      </c>
      <c r="F578" s="505" t="s">
        <v>4338</v>
      </c>
      <c r="G578" s="483">
        <v>1</v>
      </c>
      <c r="H578" s="483">
        <v>2</v>
      </c>
      <c r="I578" s="483">
        <v>53</v>
      </c>
      <c r="J578" s="505" t="s">
        <v>2618</v>
      </c>
      <c r="K578" s="505" t="s">
        <v>1507</v>
      </c>
      <c r="L578" s="1485">
        <v>11</v>
      </c>
      <c r="M578" s="519">
        <v>12.5</v>
      </c>
      <c r="N578" s="1546">
        <v>12.5</v>
      </c>
      <c r="O578" s="483">
        <v>0</v>
      </c>
      <c r="P578" s="483">
        <v>0</v>
      </c>
      <c r="Q578" s="483">
        <v>1</v>
      </c>
      <c r="R578" s="666">
        <v>46265.682812500003</v>
      </c>
      <c r="S578" s="483">
        <v>1</v>
      </c>
      <c r="T578" s="483">
        <v>1</v>
      </c>
      <c r="V578" t="str">
        <f t="shared" si="17"/>
        <v>Unit/4m</v>
      </c>
    </row>
    <row r="579" spans="3:22" ht="21.95" customHeight="1">
      <c r="C579" s="483">
        <v>552</v>
      </c>
      <c r="D579" s="483">
        <v>373</v>
      </c>
      <c r="E579" s="483" t="s">
        <v>4311</v>
      </c>
      <c r="F579" s="505" t="s">
        <v>4338</v>
      </c>
      <c r="G579" s="483">
        <v>1</v>
      </c>
      <c r="H579" s="483">
        <v>2</v>
      </c>
      <c r="I579" s="483">
        <v>16</v>
      </c>
      <c r="J579" s="505" t="s">
        <v>2134</v>
      </c>
      <c r="K579" s="505" t="s">
        <v>1507</v>
      </c>
      <c r="L579" s="1485">
        <v>2.75</v>
      </c>
      <c r="M579" s="519">
        <v>3.5</v>
      </c>
      <c r="N579" s="1546">
        <v>3.5</v>
      </c>
      <c r="O579" s="483">
        <v>0</v>
      </c>
      <c r="P579" s="483">
        <v>0</v>
      </c>
      <c r="Q579" s="483">
        <v>1</v>
      </c>
      <c r="R579" s="666">
        <v>46265.682812500003</v>
      </c>
      <c r="S579" s="483">
        <v>1</v>
      </c>
      <c r="T579" s="483">
        <v>1</v>
      </c>
      <c r="V579" t="str">
        <f t="shared" si="17"/>
        <v>m</v>
      </c>
    </row>
    <row r="580" spans="3:22" ht="21.95" customHeight="1">
      <c r="C580" s="483">
        <v>553</v>
      </c>
      <c r="D580" s="483">
        <v>374</v>
      </c>
      <c r="E580" s="483" t="s">
        <v>4312</v>
      </c>
      <c r="F580" s="505" t="s">
        <v>4318</v>
      </c>
      <c r="G580" s="483">
        <v>1</v>
      </c>
      <c r="H580" s="483">
        <v>2</v>
      </c>
      <c r="I580" s="483">
        <v>2</v>
      </c>
      <c r="J580" s="505" t="s">
        <v>2172</v>
      </c>
      <c r="K580" s="505" t="s">
        <v>1507</v>
      </c>
      <c r="L580" s="1485">
        <v>5.0999999999999996</v>
      </c>
      <c r="M580" s="519">
        <v>7</v>
      </c>
      <c r="N580" s="1546">
        <v>7</v>
      </c>
      <c r="O580" s="483">
        <v>0</v>
      </c>
      <c r="P580" s="483">
        <v>0</v>
      </c>
      <c r="Q580" s="483">
        <v>1</v>
      </c>
      <c r="R580" s="666">
        <v>46265.682812500003</v>
      </c>
      <c r="S580" s="483">
        <v>1</v>
      </c>
      <c r="T580" s="483">
        <v>1</v>
      </c>
      <c r="V580" t="str">
        <f t="shared" si="17"/>
        <v>pcs</v>
      </c>
    </row>
    <row r="581" spans="3:22" ht="21.95" customHeight="1">
      <c r="C581" s="483">
        <v>554</v>
      </c>
      <c r="D581" s="483">
        <v>375</v>
      </c>
      <c r="E581" s="483" t="s">
        <v>4313</v>
      </c>
      <c r="F581" s="505" t="s">
        <v>4345</v>
      </c>
      <c r="G581" s="483">
        <v>1</v>
      </c>
      <c r="H581" s="483">
        <v>2</v>
      </c>
      <c r="I581" s="483">
        <v>2</v>
      </c>
      <c r="J581" s="505" t="s">
        <v>2172</v>
      </c>
      <c r="K581" s="505" t="s">
        <v>1507</v>
      </c>
      <c r="L581" s="1485">
        <v>2.6</v>
      </c>
      <c r="M581" s="519">
        <v>3</v>
      </c>
      <c r="N581" s="1546">
        <v>3</v>
      </c>
      <c r="O581" s="483">
        <v>0</v>
      </c>
      <c r="P581" s="483">
        <v>0</v>
      </c>
      <c r="Q581" s="483">
        <v>1</v>
      </c>
      <c r="R581" s="666">
        <v>46265.682812500003</v>
      </c>
      <c r="S581" s="483">
        <v>1</v>
      </c>
      <c r="T581" s="483">
        <v>1</v>
      </c>
      <c r="V581" t="str">
        <f t="shared" si="17"/>
        <v>pcs</v>
      </c>
    </row>
    <row r="582" spans="3:22" ht="21.95" customHeight="1">
      <c r="C582" s="483">
        <v>555</v>
      </c>
      <c r="D582" s="483">
        <v>376</v>
      </c>
      <c r="E582" s="483" t="s">
        <v>4314</v>
      </c>
      <c r="F582" s="505" t="s">
        <v>4337</v>
      </c>
      <c r="G582" s="483">
        <v>1</v>
      </c>
      <c r="H582" s="483">
        <v>2</v>
      </c>
      <c r="I582" s="483">
        <v>87</v>
      </c>
      <c r="J582" s="505" t="s">
        <v>4356</v>
      </c>
      <c r="K582" s="505" t="s">
        <v>1507</v>
      </c>
      <c r="L582" s="1485">
        <v>12</v>
      </c>
      <c r="M582" s="519">
        <v>13</v>
      </c>
      <c r="N582" s="1546">
        <v>13</v>
      </c>
      <c r="O582" s="483">
        <v>0</v>
      </c>
      <c r="P582" s="483">
        <v>0</v>
      </c>
      <c r="Q582" s="483">
        <v>1</v>
      </c>
      <c r="R582" s="666">
        <v>46265.682812500003</v>
      </c>
      <c r="S582" s="483">
        <v>1</v>
      </c>
      <c r="T582" s="483">
        <v>1</v>
      </c>
      <c r="V582" t="str">
        <f t="shared" si="17"/>
        <v>Box/10pcs</v>
      </c>
    </row>
    <row r="583" spans="3:22" ht="21.95" customHeight="1">
      <c r="C583" s="483">
        <v>556</v>
      </c>
      <c r="D583" s="483">
        <v>376</v>
      </c>
      <c r="E583" s="483" t="s">
        <v>4314</v>
      </c>
      <c r="F583" s="505" t="s">
        <v>4337</v>
      </c>
      <c r="G583" s="483">
        <v>1</v>
      </c>
      <c r="H583" s="483">
        <v>2</v>
      </c>
      <c r="I583" s="483">
        <v>2</v>
      </c>
      <c r="J583" s="505" t="s">
        <v>2172</v>
      </c>
      <c r="K583" s="505" t="s">
        <v>1507</v>
      </c>
      <c r="L583" s="1485">
        <v>1.2</v>
      </c>
      <c r="M583" s="519">
        <v>1.3</v>
      </c>
      <c r="N583" s="1546">
        <v>1.3</v>
      </c>
      <c r="O583" s="483">
        <v>0</v>
      </c>
      <c r="P583" s="483">
        <v>0</v>
      </c>
      <c r="Q583" s="483">
        <v>1</v>
      </c>
      <c r="R583" s="666">
        <v>46265.682812500003</v>
      </c>
      <c r="S583" s="483">
        <v>1</v>
      </c>
      <c r="T583" s="483">
        <v>1</v>
      </c>
      <c r="V583" t="str">
        <f t="shared" si="17"/>
        <v>pcs</v>
      </c>
    </row>
    <row r="584" spans="3:22" ht="21.95" customHeight="1">
      <c r="C584" s="483">
        <v>557</v>
      </c>
      <c r="D584" s="483">
        <v>377</v>
      </c>
      <c r="E584" s="483" t="s">
        <v>4315</v>
      </c>
      <c r="F584" s="505" t="s">
        <v>4332</v>
      </c>
      <c r="G584" s="483">
        <v>1</v>
      </c>
      <c r="H584" s="483">
        <v>2</v>
      </c>
      <c r="I584" s="483">
        <v>66</v>
      </c>
      <c r="J584" s="505" t="s">
        <v>3751</v>
      </c>
      <c r="K584" s="505" t="s">
        <v>1507</v>
      </c>
      <c r="L584" s="1485">
        <v>34.5</v>
      </c>
      <c r="M584" s="519">
        <v>36</v>
      </c>
      <c r="N584" s="1546">
        <v>36</v>
      </c>
      <c r="O584" s="483">
        <v>0</v>
      </c>
      <c r="P584" s="483">
        <v>0</v>
      </c>
      <c r="Q584" s="483">
        <v>1</v>
      </c>
      <c r="R584" s="666">
        <v>46265.682812500003</v>
      </c>
      <c r="S584" s="483">
        <v>1</v>
      </c>
      <c r="T584" s="483">
        <v>1</v>
      </c>
      <c r="V584" t="str">
        <f t="shared" si="17"/>
        <v>Coil/80m</v>
      </c>
    </row>
    <row r="585" spans="3:22" ht="21.95" customHeight="1">
      <c r="C585" s="483">
        <v>558</v>
      </c>
      <c r="D585" s="483">
        <v>377</v>
      </c>
      <c r="E585" s="483" t="s">
        <v>4315</v>
      </c>
      <c r="F585" s="505" t="s">
        <v>4332</v>
      </c>
      <c r="G585" s="483">
        <v>1</v>
      </c>
      <c r="H585" s="483">
        <v>2</v>
      </c>
      <c r="I585" s="483">
        <v>16</v>
      </c>
      <c r="J585" s="505" t="s">
        <v>2134</v>
      </c>
      <c r="K585" s="505" t="s">
        <v>1507</v>
      </c>
      <c r="L585" s="1485">
        <v>0.43125000000000002</v>
      </c>
      <c r="M585" s="519">
        <v>0.625</v>
      </c>
      <c r="N585" s="1546">
        <v>0.625</v>
      </c>
      <c r="O585" s="483">
        <v>0</v>
      </c>
      <c r="P585" s="483">
        <v>0</v>
      </c>
      <c r="Q585" s="483">
        <v>1</v>
      </c>
      <c r="R585" s="666">
        <v>46265.682812500003</v>
      </c>
      <c r="S585" s="483">
        <v>1</v>
      </c>
      <c r="T585" s="483">
        <v>1</v>
      </c>
      <c r="V585" t="str">
        <f t="shared" si="17"/>
        <v>m</v>
      </c>
    </row>
    <row r="586" spans="3:22" ht="21.95" customHeight="1">
      <c r="C586" s="483">
        <v>559</v>
      </c>
      <c r="D586" s="483">
        <v>378</v>
      </c>
      <c r="E586" s="483" t="s">
        <v>4316</v>
      </c>
      <c r="F586" s="505" t="s">
        <v>4336</v>
      </c>
      <c r="G586" s="483">
        <v>1</v>
      </c>
      <c r="H586" s="483">
        <v>2</v>
      </c>
      <c r="I586" s="483">
        <v>2</v>
      </c>
      <c r="J586" s="505" t="s">
        <v>2172</v>
      </c>
      <c r="K586" s="505" t="s">
        <v>1507</v>
      </c>
      <c r="L586" s="1485">
        <v>0.75</v>
      </c>
      <c r="M586" s="519">
        <v>1</v>
      </c>
      <c r="N586" s="1546">
        <v>1</v>
      </c>
      <c r="O586" s="483">
        <v>0</v>
      </c>
      <c r="P586" s="483">
        <v>0</v>
      </c>
      <c r="Q586" s="483">
        <v>1</v>
      </c>
      <c r="R586" s="666">
        <v>46265.682812500003</v>
      </c>
      <c r="S586" s="483">
        <v>1</v>
      </c>
      <c r="T586" s="483">
        <v>1</v>
      </c>
      <c r="V586" t="str">
        <f t="shared" si="17"/>
        <v>pcs</v>
      </c>
    </row>
    <row r="587" spans="3:22" ht="21.95" customHeight="1">
      <c r="C587" s="483">
        <v>560</v>
      </c>
      <c r="D587" s="483">
        <v>379</v>
      </c>
      <c r="E587" s="483" t="s">
        <v>4325</v>
      </c>
      <c r="F587" s="505" t="s">
        <v>4307</v>
      </c>
      <c r="G587" s="483">
        <v>1</v>
      </c>
      <c r="H587" s="483">
        <v>2</v>
      </c>
      <c r="I587" s="483">
        <v>2</v>
      </c>
      <c r="J587" s="505" t="s">
        <v>2172</v>
      </c>
      <c r="K587" s="505" t="s">
        <v>1507</v>
      </c>
      <c r="L587" s="1485">
        <v>6.2</v>
      </c>
      <c r="M587" s="519">
        <v>7.5</v>
      </c>
      <c r="N587" s="1546">
        <v>7.5</v>
      </c>
      <c r="O587" s="483">
        <v>0</v>
      </c>
      <c r="P587" s="483">
        <v>0</v>
      </c>
      <c r="Q587" s="483">
        <v>1</v>
      </c>
      <c r="R587" s="666">
        <v>46265.682812500003</v>
      </c>
      <c r="S587" s="483">
        <v>1</v>
      </c>
      <c r="T587" s="483">
        <v>1</v>
      </c>
      <c r="V587" t="str">
        <f t="shared" si="17"/>
        <v>pcs</v>
      </c>
    </row>
    <row r="588" spans="3:22" ht="21.95" customHeight="1">
      <c r="C588" s="483">
        <v>561</v>
      </c>
      <c r="D588" s="483">
        <v>380</v>
      </c>
      <c r="E588" s="483" t="s">
        <v>4326</v>
      </c>
      <c r="F588" s="505" t="s">
        <v>4306</v>
      </c>
      <c r="G588" s="483">
        <v>1</v>
      </c>
      <c r="H588" s="483">
        <v>2</v>
      </c>
      <c r="I588" s="483">
        <v>88</v>
      </c>
      <c r="J588" s="505" t="s">
        <v>4357</v>
      </c>
      <c r="K588" s="505" t="s">
        <v>1507</v>
      </c>
      <c r="L588" s="1485">
        <v>16</v>
      </c>
      <c r="M588" s="519">
        <v>17</v>
      </c>
      <c r="N588" s="1546">
        <v>17</v>
      </c>
      <c r="O588" s="483">
        <v>0</v>
      </c>
      <c r="P588" s="483">
        <v>0</v>
      </c>
      <c r="Q588" s="483">
        <v>1</v>
      </c>
      <c r="R588" s="666">
        <v>46265.682812500003</v>
      </c>
      <c r="S588" s="483">
        <v>1</v>
      </c>
      <c r="T588" s="483">
        <v>1</v>
      </c>
      <c r="V588" t="str">
        <f t="shared" si="17"/>
        <v>Box/24pcs</v>
      </c>
    </row>
    <row r="589" spans="3:22" ht="21.95" customHeight="1">
      <c r="C589" s="483">
        <v>562</v>
      </c>
      <c r="D589" s="483">
        <v>380</v>
      </c>
      <c r="E589" s="483" t="s">
        <v>4326</v>
      </c>
      <c r="F589" s="505" t="s">
        <v>4306</v>
      </c>
      <c r="G589" s="483">
        <v>1</v>
      </c>
      <c r="H589" s="483">
        <v>2</v>
      </c>
      <c r="I589" s="483">
        <v>2</v>
      </c>
      <c r="J589" s="505" t="s">
        <v>2172</v>
      </c>
      <c r="K589" s="505" t="s">
        <v>1507</v>
      </c>
      <c r="L589" s="1485">
        <v>0.66666666666666663</v>
      </c>
      <c r="M589" s="519">
        <v>0.88</v>
      </c>
      <c r="N589" s="1546">
        <v>0.88</v>
      </c>
      <c r="O589" s="483">
        <v>0</v>
      </c>
      <c r="P589" s="483">
        <v>0</v>
      </c>
      <c r="Q589" s="483">
        <v>1</v>
      </c>
      <c r="R589" s="666">
        <v>46265.682812500003</v>
      </c>
      <c r="S589" s="483">
        <v>1</v>
      </c>
      <c r="T589" s="483">
        <v>1</v>
      </c>
      <c r="V589" t="str">
        <f t="shared" si="17"/>
        <v>pcs</v>
      </c>
    </row>
    <row r="590" spans="3:22" ht="21.95" customHeight="1">
      <c r="C590" s="483">
        <v>563</v>
      </c>
      <c r="D590" s="483">
        <v>381</v>
      </c>
      <c r="E590" s="483" t="s">
        <v>4327</v>
      </c>
      <c r="F590" s="505" t="s">
        <v>4305</v>
      </c>
      <c r="G590" s="483">
        <v>1</v>
      </c>
      <c r="H590" s="483">
        <v>2</v>
      </c>
      <c r="I590" s="483">
        <v>3</v>
      </c>
      <c r="J590" s="505" t="s">
        <v>2148</v>
      </c>
      <c r="K590" s="505" t="s">
        <v>1507</v>
      </c>
      <c r="L590" s="1485">
        <v>6</v>
      </c>
      <c r="M590" s="519">
        <v>7</v>
      </c>
      <c r="N590" s="1546">
        <v>7</v>
      </c>
      <c r="O590" s="483">
        <v>0</v>
      </c>
      <c r="P590" s="483">
        <v>0</v>
      </c>
      <c r="Q590" s="483">
        <v>1</v>
      </c>
      <c r="R590" s="666">
        <v>46265.682812500003</v>
      </c>
      <c r="S590" s="483">
        <v>1</v>
      </c>
      <c r="T590" s="483">
        <v>1</v>
      </c>
      <c r="V590" t="str">
        <f t="shared" si="17"/>
        <v>Pack</v>
      </c>
    </row>
    <row r="591" spans="3:22" ht="21.95" customHeight="1">
      <c r="C591" s="483">
        <v>564</v>
      </c>
      <c r="D591" s="483">
        <v>382</v>
      </c>
      <c r="E591" s="483" t="s">
        <v>4328</v>
      </c>
      <c r="F591" s="505" t="s">
        <v>4347</v>
      </c>
      <c r="G591" s="483">
        <v>1</v>
      </c>
      <c r="H591" s="483">
        <v>2</v>
      </c>
      <c r="I591" s="483">
        <v>1</v>
      </c>
      <c r="J591" s="505" t="s">
        <v>19</v>
      </c>
      <c r="K591" s="505" t="s">
        <v>1507</v>
      </c>
      <c r="L591" s="1485">
        <v>4</v>
      </c>
      <c r="M591" s="519">
        <v>4.5</v>
      </c>
      <c r="N591" s="1546">
        <v>4.5</v>
      </c>
      <c r="O591" s="483">
        <v>0</v>
      </c>
      <c r="P591" s="483">
        <v>0</v>
      </c>
      <c r="Q591" s="483">
        <v>1</v>
      </c>
      <c r="R591" s="666">
        <v>46265.682812500003</v>
      </c>
      <c r="S591" s="483">
        <v>1</v>
      </c>
      <c r="T591" s="483">
        <v>1</v>
      </c>
      <c r="V591" t="str">
        <f t="shared" si="17"/>
        <v>Unit</v>
      </c>
    </row>
    <row r="592" spans="3:22" ht="21.95" customHeight="1">
      <c r="C592" s="483">
        <v>565</v>
      </c>
      <c r="D592" s="483">
        <v>383</v>
      </c>
      <c r="E592" s="483" t="s">
        <v>4329</v>
      </c>
      <c r="F592" s="505" t="s">
        <v>4348</v>
      </c>
      <c r="G592" s="483">
        <v>1</v>
      </c>
      <c r="H592" s="483">
        <v>2</v>
      </c>
      <c r="I592" s="483">
        <v>1</v>
      </c>
      <c r="J592" s="505" t="s">
        <v>19</v>
      </c>
      <c r="K592" s="505" t="s">
        <v>1507</v>
      </c>
      <c r="L592" s="1485">
        <v>4</v>
      </c>
      <c r="M592" s="519">
        <v>4.5</v>
      </c>
      <c r="N592" s="1546">
        <v>4.5</v>
      </c>
      <c r="O592" s="483">
        <v>0</v>
      </c>
      <c r="P592" s="483">
        <v>0</v>
      </c>
      <c r="Q592" s="483">
        <v>1</v>
      </c>
      <c r="R592" s="666">
        <v>46265.682812500003</v>
      </c>
      <c r="S592" s="483">
        <v>1</v>
      </c>
      <c r="T592" s="483">
        <v>1</v>
      </c>
      <c r="V592" t="str">
        <f t="shared" si="17"/>
        <v>Unit</v>
      </c>
    </row>
    <row r="593" spans="3:22" ht="21.95" customHeight="1">
      <c r="C593" s="483">
        <v>566</v>
      </c>
      <c r="D593" s="483">
        <v>384</v>
      </c>
      <c r="E593" s="483" t="s">
        <v>4330</v>
      </c>
      <c r="F593" s="505" t="s">
        <v>4302</v>
      </c>
      <c r="G593" s="483">
        <v>1</v>
      </c>
      <c r="H593" s="483">
        <v>2</v>
      </c>
      <c r="I593" s="483">
        <v>1</v>
      </c>
      <c r="J593" s="505" t="s">
        <v>19</v>
      </c>
      <c r="K593" s="505" t="s">
        <v>1507</v>
      </c>
      <c r="L593" s="1485">
        <v>6.5</v>
      </c>
      <c r="M593" s="519">
        <v>7.5</v>
      </c>
      <c r="N593" s="1546">
        <v>7.5</v>
      </c>
      <c r="O593" s="483">
        <v>0</v>
      </c>
      <c r="P593" s="483">
        <v>0</v>
      </c>
      <c r="Q593" s="483">
        <v>1</v>
      </c>
      <c r="R593" s="666">
        <v>46265.682812500003</v>
      </c>
      <c r="S593" s="483">
        <v>1</v>
      </c>
      <c r="T593" s="483">
        <v>1</v>
      </c>
      <c r="V593" t="str">
        <f t="shared" si="17"/>
        <v>Unit</v>
      </c>
    </row>
    <row r="594" spans="3:22" ht="21.95" customHeight="1">
      <c r="C594" s="483">
        <v>567</v>
      </c>
      <c r="D594" s="483">
        <v>385</v>
      </c>
      <c r="E594" s="483" t="s">
        <v>4331</v>
      </c>
      <c r="F594" s="505" t="s">
        <v>4303</v>
      </c>
      <c r="G594" s="483">
        <v>1</v>
      </c>
      <c r="H594" s="483">
        <v>2</v>
      </c>
      <c r="I594" s="483">
        <v>1</v>
      </c>
      <c r="J594" s="505" t="s">
        <v>19</v>
      </c>
      <c r="K594" s="505" t="s">
        <v>1507</v>
      </c>
      <c r="L594" s="1485">
        <v>6.5</v>
      </c>
      <c r="M594" s="519">
        <v>7.5</v>
      </c>
      <c r="N594" s="1546">
        <v>7.5</v>
      </c>
      <c r="O594" s="483">
        <v>0</v>
      </c>
      <c r="P594" s="483">
        <v>0</v>
      </c>
      <c r="Q594" s="483">
        <v>1</v>
      </c>
      <c r="R594" s="666">
        <v>46265.682812500003</v>
      </c>
      <c r="S594" s="483">
        <v>1</v>
      </c>
      <c r="T594" s="483">
        <v>1</v>
      </c>
      <c r="V594" t="str">
        <f t="shared" si="17"/>
        <v>Unit</v>
      </c>
    </row>
    <row r="595" spans="3:22" ht="21.95" customHeight="1">
      <c r="C595" s="483">
        <v>568</v>
      </c>
      <c r="D595" s="483">
        <v>386</v>
      </c>
      <c r="E595" s="483" t="s">
        <v>4339</v>
      </c>
      <c r="F595" s="505" t="s">
        <v>4304</v>
      </c>
      <c r="G595" s="483">
        <v>1</v>
      </c>
      <c r="H595" s="483">
        <v>2</v>
      </c>
      <c r="I595" s="483">
        <v>1</v>
      </c>
      <c r="J595" s="505" t="s">
        <v>19</v>
      </c>
      <c r="K595" s="505" t="s">
        <v>1507</v>
      </c>
      <c r="L595" s="1485">
        <v>6.5</v>
      </c>
      <c r="M595" s="519">
        <v>7</v>
      </c>
      <c r="N595" s="1546">
        <v>7</v>
      </c>
      <c r="O595" s="483">
        <v>0</v>
      </c>
      <c r="P595" s="483">
        <v>0</v>
      </c>
      <c r="Q595" s="483">
        <v>1</v>
      </c>
      <c r="R595" s="666">
        <v>46265.682812500003</v>
      </c>
      <c r="S595" s="483">
        <v>1</v>
      </c>
      <c r="T595" s="483">
        <v>1</v>
      </c>
      <c r="V595" t="str">
        <f t="shared" si="17"/>
        <v>Unit</v>
      </c>
    </row>
    <row r="596" spans="3:22" ht="21.95" customHeight="1">
      <c r="C596" s="483">
        <v>569</v>
      </c>
      <c r="D596" s="483">
        <v>387</v>
      </c>
      <c r="E596" s="483" t="s">
        <v>4340</v>
      </c>
      <c r="F596" s="505" t="s">
        <v>4319</v>
      </c>
      <c r="G596" s="483">
        <v>1</v>
      </c>
      <c r="H596" s="483">
        <v>2</v>
      </c>
      <c r="I596" s="483">
        <v>2</v>
      </c>
      <c r="J596" s="505" t="s">
        <v>2172</v>
      </c>
      <c r="K596" s="505" t="s">
        <v>1507</v>
      </c>
      <c r="L596" s="1485">
        <v>1</v>
      </c>
      <c r="M596" s="519">
        <v>1.25</v>
      </c>
      <c r="N596" s="1546">
        <v>1.25</v>
      </c>
      <c r="O596" s="483">
        <v>0</v>
      </c>
      <c r="P596" s="483">
        <v>0</v>
      </c>
      <c r="Q596" s="483">
        <v>1</v>
      </c>
      <c r="R596" s="666">
        <v>46265.682812500003</v>
      </c>
      <c r="S596" s="483">
        <v>1</v>
      </c>
      <c r="T596" s="483">
        <v>1</v>
      </c>
      <c r="V596" t="str">
        <f t="shared" si="17"/>
        <v>pcs</v>
      </c>
    </row>
    <row r="597" spans="3:22" ht="21.95" customHeight="1">
      <c r="C597" s="483">
        <v>570</v>
      </c>
      <c r="D597" s="483">
        <v>388</v>
      </c>
      <c r="E597" s="483" t="s">
        <v>4341</v>
      </c>
      <c r="F597" s="505" t="s">
        <v>4349</v>
      </c>
      <c r="G597" s="483">
        <v>1</v>
      </c>
      <c r="H597" s="483">
        <v>2</v>
      </c>
      <c r="I597" s="483">
        <v>2</v>
      </c>
      <c r="J597" s="505" t="s">
        <v>2172</v>
      </c>
      <c r="K597" s="505" t="s">
        <v>1507</v>
      </c>
      <c r="L597" s="1485">
        <v>2.5</v>
      </c>
      <c r="M597" s="519">
        <v>3</v>
      </c>
      <c r="N597" s="1546">
        <v>3</v>
      </c>
      <c r="O597" s="483">
        <v>0</v>
      </c>
      <c r="P597" s="483">
        <v>0</v>
      </c>
      <c r="Q597" s="483">
        <v>1</v>
      </c>
      <c r="R597" s="666">
        <v>46265.682812500003</v>
      </c>
      <c r="S597" s="483">
        <v>1</v>
      </c>
      <c r="T597" s="483">
        <v>1</v>
      </c>
      <c r="V597" t="str">
        <f t="shared" si="17"/>
        <v>pcs</v>
      </c>
    </row>
    <row r="598" spans="3:22" ht="21.95" customHeight="1">
      <c r="C598" s="483">
        <v>571</v>
      </c>
      <c r="D598" s="483">
        <v>389</v>
      </c>
      <c r="E598" s="483" t="s">
        <v>4342</v>
      </c>
      <c r="F598" s="505" t="s">
        <v>4323</v>
      </c>
      <c r="G598" s="483">
        <v>1</v>
      </c>
      <c r="H598" s="483">
        <v>2</v>
      </c>
      <c r="I598" s="483">
        <v>47</v>
      </c>
      <c r="J598" s="505" t="s">
        <v>2166</v>
      </c>
      <c r="K598" s="505" t="s">
        <v>1507</v>
      </c>
      <c r="L598" s="1485">
        <v>3.1</v>
      </c>
      <c r="M598" s="519">
        <v>3.5</v>
      </c>
      <c r="N598" s="1546">
        <v>3.5</v>
      </c>
      <c r="O598" s="483">
        <v>0</v>
      </c>
      <c r="P598" s="483">
        <v>0</v>
      </c>
      <c r="Q598" s="483">
        <v>1</v>
      </c>
      <c r="R598" s="666">
        <v>46265.682812500003</v>
      </c>
      <c r="S598" s="483">
        <v>1</v>
      </c>
      <c r="T598" s="483">
        <v>1</v>
      </c>
      <c r="V598" t="str">
        <f>IF(I598="","",VLOOKUP(I598,uom_list,5,FALSE))</f>
        <v>Ctn/6pcs</v>
      </c>
    </row>
    <row r="599" spans="3:22" ht="21.95" customHeight="1">
      <c r="C599" s="1551">
        <v>572</v>
      </c>
      <c r="D599" s="1551">
        <v>389</v>
      </c>
      <c r="E599" s="1551" t="s">
        <v>4342</v>
      </c>
      <c r="F599" s="1552" t="s">
        <v>4323</v>
      </c>
      <c r="G599" s="1551">
        <v>1</v>
      </c>
      <c r="H599" s="1551">
        <v>2</v>
      </c>
      <c r="I599" s="1551">
        <v>2</v>
      </c>
      <c r="J599" s="1552" t="s">
        <v>2172</v>
      </c>
      <c r="K599" s="1552" t="s">
        <v>1507</v>
      </c>
      <c r="L599" s="1573">
        <v>0.51666666666666672</v>
      </c>
      <c r="M599" s="1574">
        <v>0.75</v>
      </c>
      <c r="N599" s="1575">
        <v>0.75</v>
      </c>
      <c r="O599" s="1551">
        <v>0</v>
      </c>
      <c r="P599" s="1551">
        <v>0</v>
      </c>
      <c r="Q599" s="1551">
        <v>1</v>
      </c>
      <c r="R599" s="1576">
        <v>46265.682812500003</v>
      </c>
      <c r="S599" s="1551">
        <v>1</v>
      </c>
      <c r="T599" s="1551">
        <v>1</v>
      </c>
      <c r="V599" t="str">
        <f>IF(I599="","",VLOOKUP(I599,uom_list,5,FALSE))</f>
        <v>pcs</v>
      </c>
    </row>
    <row r="600" spans="3:22" ht="21.95" customHeight="1">
      <c r="C600" s="483">
        <v>573</v>
      </c>
      <c r="D600" s="483">
        <v>390</v>
      </c>
      <c r="E600" s="483" t="s">
        <v>4430</v>
      </c>
      <c r="F600" s="505" t="s">
        <v>4394</v>
      </c>
      <c r="G600" s="483">
        <v>1</v>
      </c>
      <c r="H600" s="483">
        <v>2</v>
      </c>
      <c r="I600" s="483">
        <v>2</v>
      </c>
      <c r="K600" s="505" t="s">
        <v>1507</v>
      </c>
      <c r="L600" s="1485">
        <v>0.35</v>
      </c>
      <c r="M600" s="519">
        <v>0.625</v>
      </c>
      <c r="N600" s="1546">
        <v>0.625</v>
      </c>
      <c r="O600" s="483">
        <v>0</v>
      </c>
      <c r="P600" s="483">
        <v>0</v>
      </c>
      <c r="Q600" s="483">
        <v>1</v>
      </c>
      <c r="R600" s="666">
        <v>46270.272777777776</v>
      </c>
      <c r="S600" s="483">
        <v>1</v>
      </c>
      <c r="T600" s="483">
        <v>1</v>
      </c>
      <c r="V600" t="str">
        <f t="shared" si="17"/>
        <v>pcs</v>
      </c>
    </row>
    <row r="601" spans="3:22" ht="21.95" customHeight="1">
      <c r="C601" s="483">
        <v>574</v>
      </c>
      <c r="D601" s="483">
        <v>391</v>
      </c>
      <c r="E601" s="483" t="s">
        <v>4431</v>
      </c>
      <c r="F601" s="505" t="s">
        <v>4400</v>
      </c>
      <c r="G601" s="483">
        <v>1</v>
      </c>
      <c r="H601" s="483">
        <v>2</v>
      </c>
      <c r="I601" s="483">
        <v>2</v>
      </c>
      <c r="K601" s="505" t="s">
        <v>1507</v>
      </c>
      <c r="L601" s="1485">
        <v>3</v>
      </c>
      <c r="M601" s="519">
        <v>4</v>
      </c>
      <c r="N601" s="1546">
        <v>4</v>
      </c>
      <c r="O601" s="483">
        <v>0</v>
      </c>
      <c r="P601" s="483">
        <v>0</v>
      </c>
      <c r="Q601" s="483">
        <v>1</v>
      </c>
      <c r="R601" s="666">
        <v>46270.272777777776</v>
      </c>
      <c r="S601" s="483">
        <v>1</v>
      </c>
      <c r="T601" s="483">
        <v>1</v>
      </c>
      <c r="V601" t="str">
        <f t="shared" si="17"/>
        <v>pcs</v>
      </c>
    </row>
    <row r="602" spans="3:22" ht="21.95" customHeight="1">
      <c r="C602" s="483">
        <v>575</v>
      </c>
      <c r="D602" s="483">
        <v>392</v>
      </c>
      <c r="E602" s="483" t="s">
        <v>4432</v>
      </c>
      <c r="F602" s="505" t="s">
        <v>4401</v>
      </c>
      <c r="G602" s="483">
        <v>1</v>
      </c>
      <c r="H602" s="483">
        <v>2</v>
      </c>
      <c r="I602" s="483">
        <v>2</v>
      </c>
      <c r="K602" s="505" t="s">
        <v>1507</v>
      </c>
      <c r="L602" s="1485">
        <v>2.8</v>
      </c>
      <c r="M602" s="519">
        <v>3.5</v>
      </c>
      <c r="N602" s="1546">
        <v>3.5</v>
      </c>
      <c r="O602" s="483">
        <v>0</v>
      </c>
      <c r="P602" s="483">
        <v>0</v>
      </c>
      <c r="Q602" s="483">
        <v>1</v>
      </c>
      <c r="R602" s="666">
        <v>46270.272777777776</v>
      </c>
      <c r="S602" s="483">
        <v>1</v>
      </c>
      <c r="T602" s="483">
        <v>1</v>
      </c>
      <c r="V602" t="str">
        <f t="shared" si="17"/>
        <v>pcs</v>
      </c>
    </row>
    <row r="603" spans="3:22" ht="21.95" customHeight="1">
      <c r="C603" s="483">
        <v>576</v>
      </c>
      <c r="D603" s="483">
        <v>393</v>
      </c>
      <c r="E603" s="483" t="s">
        <v>4433</v>
      </c>
      <c r="F603" s="505" t="s">
        <v>4399</v>
      </c>
      <c r="G603" s="483">
        <v>1</v>
      </c>
      <c r="H603" s="483">
        <v>2</v>
      </c>
      <c r="I603" s="483">
        <v>2</v>
      </c>
      <c r="K603" s="505" t="s">
        <v>1507</v>
      </c>
      <c r="L603" s="1485">
        <v>2.6</v>
      </c>
      <c r="M603" s="519">
        <v>3.5</v>
      </c>
      <c r="N603" s="1546">
        <v>3.5</v>
      </c>
      <c r="O603" s="483">
        <v>0</v>
      </c>
      <c r="P603" s="483">
        <v>0</v>
      </c>
      <c r="Q603" s="483">
        <v>1</v>
      </c>
      <c r="R603" s="666">
        <v>46270.272777777776</v>
      </c>
      <c r="S603" s="483">
        <v>1</v>
      </c>
      <c r="T603" s="483">
        <v>1</v>
      </c>
      <c r="V603" t="str">
        <f t="shared" si="17"/>
        <v>pcs</v>
      </c>
    </row>
    <row r="604" spans="3:22" ht="21.95" customHeight="1">
      <c r="C604" s="483">
        <v>577</v>
      </c>
      <c r="D604" s="483">
        <v>394</v>
      </c>
      <c r="E604" s="483" t="s">
        <v>4434</v>
      </c>
      <c r="F604" s="505" t="s">
        <v>4389</v>
      </c>
      <c r="G604" s="483">
        <v>1</v>
      </c>
      <c r="H604" s="483">
        <v>2</v>
      </c>
      <c r="I604" s="483">
        <v>1</v>
      </c>
      <c r="K604" s="505" t="s">
        <v>1507</v>
      </c>
      <c r="L604" s="1485">
        <v>4.0999999999999996</v>
      </c>
      <c r="M604" s="519">
        <v>4.5</v>
      </c>
      <c r="N604" s="1546">
        <v>4.5</v>
      </c>
      <c r="O604" s="483">
        <v>0</v>
      </c>
      <c r="P604" s="483">
        <v>0</v>
      </c>
      <c r="Q604" s="483">
        <v>1</v>
      </c>
      <c r="R604" s="666">
        <v>46270.272777777776</v>
      </c>
      <c r="S604" s="483">
        <v>1</v>
      </c>
      <c r="T604" s="483">
        <v>1</v>
      </c>
      <c r="V604" t="str">
        <f t="shared" ref="V604:V641" si="18">IF(I604="","",VLOOKUP(I604,uom_list,5,FALSE))</f>
        <v>Unit</v>
      </c>
    </row>
    <row r="605" spans="3:22" ht="21.95" customHeight="1">
      <c r="C605" s="483">
        <v>578</v>
      </c>
      <c r="D605" s="483">
        <v>395</v>
      </c>
      <c r="E605" s="483" t="s">
        <v>4435</v>
      </c>
      <c r="F605" s="505" t="s">
        <v>4415</v>
      </c>
      <c r="G605" s="483">
        <v>1</v>
      </c>
      <c r="H605" s="483">
        <v>2</v>
      </c>
      <c r="I605" s="483">
        <v>2</v>
      </c>
      <c r="K605" s="505" t="s">
        <v>1507</v>
      </c>
      <c r="L605" s="1485">
        <v>3.5</v>
      </c>
      <c r="M605" s="519">
        <v>4.5</v>
      </c>
      <c r="N605" s="1546">
        <v>4.5</v>
      </c>
      <c r="O605" s="483">
        <v>0</v>
      </c>
      <c r="P605" s="483">
        <v>0</v>
      </c>
      <c r="Q605" s="483">
        <v>1</v>
      </c>
      <c r="R605" s="666">
        <v>46270.272777777776</v>
      </c>
      <c r="S605" s="483">
        <v>1</v>
      </c>
      <c r="T605" s="483">
        <v>1</v>
      </c>
      <c r="V605" t="str">
        <f t="shared" si="18"/>
        <v>pcs</v>
      </c>
    </row>
    <row r="606" spans="3:22" ht="21.95" customHeight="1">
      <c r="C606" s="483">
        <v>579</v>
      </c>
      <c r="D606" s="483">
        <v>396</v>
      </c>
      <c r="E606" s="483" t="s">
        <v>4436</v>
      </c>
      <c r="F606" s="505" t="s">
        <v>4402</v>
      </c>
      <c r="G606" s="483">
        <v>1</v>
      </c>
      <c r="H606" s="483">
        <v>2</v>
      </c>
      <c r="I606" s="483">
        <v>90</v>
      </c>
      <c r="K606" s="505" t="s">
        <v>1507</v>
      </c>
      <c r="L606" s="1485">
        <v>48</v>
      </c>
      <c r="M606" s="519">
        <v>53</v>
      </c>
      <c r="N606" s="1546">
        <v>53</v>
      </c>
      <c r="O606" s="483">
        <v>0</v>
      </c>
      <c r="P606" s="483">
        <v>0</v>
      </c>
      <c r="Q606" s="483">
        <v>1</v>
      </c>
      <c r="R606" s="666">
        <v>46270.272777777776</v>
      </c>
      <c r="S606" s="483">
        <v>1</v>
      </c>
      <c r="T606" s="483">
        <v>1</v>
      </c>
      <c r="V606" t="str">
        <f t="shared" si="18"/>
        <v>Box/20pcs</v>
      </c>
    </row>
    <row r="607" spans="3:22" ht="21.95" customHeight="1">
      <c r="C607" s="483">
        <v>580</v>
      </c>
      <c r="D607" s="483">
        <v>396</v>
      </c>
      <c r="E607" s="483" t="s">
        <v>4436</v>
      </c>
      <c r="F607" s="505" t="s">
        <v>4402</v>
      </c>
      <c r="G607" s="483">
        <v>1</v>
      </c>
      <c r="H607" s="483">
        <v>2</v>
      </c>
      <c r="I607" s="483">
        <v>2</v>
      </c>
      <c r="K607" s="505" t="s">
        <v>1507</v>
      </c>
      <c r="L607" s="1485">
        <v>2.4</v>
      </c>
      <c r="M607" s="519">
        <v>4</v>
      </c>
      <c r="N607" s="1546">
        <v>4</v>
      </c>
      <c r="O607" s="483">
        <v>0</v>
      </c>
      <c r="P607" s="483">
        <v>0</v>
      </c>
      <c r="Q607" s="483">
        <v>1</v>
      </c>
      <c r="R607" s="666">
        <v>46270.272777777776</v>
      </c>
      <c r="S607" s="483">
        <v>1</v>
      </c>
      <c r="T607" s="483">
        <v>1</v>
      </c>
      <c r="V607" t="str">
        <f t="shared" si="18"/>
        <v>pcs</v>
      </c>
    </row>
    <row r="608" spans="3:22" ht="21.95" customHeight="1">
      <c r="C608" s="483">
        <v>581</v>
      </c>
      <c r="D608" s="483">
        <v>397</v>
      </c>
      <c r="E608" s="483" t="s">
        <v>4437</v>
      </c>
      <c r="F608" s="505" t="s">
        <v>4407</v>
      </c>
      <c r="G608" s="483">
        <v>1</v>
      </c>
      <c r="H608" s="483">
        <v>2</v>
      </c>
      <c r="I608" s="483">
        <v>92</v>
      </c>
      <c r="K608" s="505" t="s">
        <v>1507</v>
      </c>
      <c r="L608" s="1485">
        <v>90</v>
      </c>
      <c r="M608" s="519">
        <v>95</v>
      </c>
      <c r="N608" s="1546">
        <v>95</v>
      </c>
      <c r="O608" s="483">
        <v>0</v>
      </c>
      <c r="P608" s="483">
        <v>0</v>
      </c>
      <c r="Q608" s="483">
        <v>1</v>
      </c>
      <c r="R608" s="666">
        <v>46270.272777777776</v>
      </c>
      <c r="S608" s="483">
        <v>1</v>
      </c>
      <c r="T608" s="483">
        <v>1</v>
      </c>
      <c r="V608" t="str">
        <f t="shared" si="18"/>
        <v>Case/800pcs</v>
      </c>
    </row>
    <row r="609" spans="3:22" ht="21.95" customHeight="1">
      <c r="C609" s="483">
        <v>582</v>
      </c>
      <c r="D609" s="483">
        <v>397</v>
      </c>
      <c r="E609" s="483" t="s">
        <v>4437</v>
      </c>
      <c r="F609" s="505" t="s">
        <v>4407</v>
      </c>
      <c r="G609" s="483">
        <v>1</v>
      </c>
      <c r="H609" s="483">
        <v>2</v>
      </c>
      <c r="I609" s="483">
        <v>2</v>
      </c>
      <c r="K609" s="505" t="s">
        <v>1507</v>
      </c>
      <c r="L609" s="1485">
        <v>0.1125</v>
      </c>
      <c r="M609" s="519">
        <v>0.375</v>
      </c>
      <c r="N609" s="1546">
        <v>0.375</v>
      </c>
      <c r="O609" s="483">
        <v>0</v>
      </c>
      <c r="P609" s="483">
        <v>0</v>
      </c>
      <c r="Q609" s="483">
        <v>1</v>
      </c>
      <c r="R609" s="666">
        <v>46270.272777777776</v>
      </c>
      <c r="S609" s="483">
        <v>1</v>
      </c>
      <c r="T609" s="483">
        <v>1</v>
      </c>
      <c r="V609" t="str">
        <f t="shared" si="18"/>
        <v>pcs</v>
      </c>
    </row>
    <row r="610" spans="3:22" ht="21.95" customHeight="1">
      <c r="C610" s="483">
        <v>583</v>
      </c>
      <c r="D610" s="483">
        <v>398</v>
      </c>
      <c r="E610" s="483" t="s">
        <v>4438</v>
      </c>
      <c r="F610" s="505" t="s">
        <v>4406</v>
      </c>
      <c r="G610" s="483">
        <v>1</v>
      </c>
      <c r="H610" s="483">
        <v>2</v>
      </c>
      <c r="I610" s="483">
        <v>91</v>
      </c>
      <c r="K610" s="505" t="s">
        <v>1507</v>
      </c>
      <c r="L610" s="1485">
        <v>44</v>
      </c>
      <c r="M610" s="519">
        <v>48</v>
      </c>
      <c r="N610" s="1546">
        <v>48</v>
      </c>
      <c r="O610" s="483">
        <v>0</v>
      </c>
      <c r="P610" s="483">
        <v>0</v>
      </c>
      <c r="Q610" s="483">
        <v>1</v>
      </c>
      <c r="R610" s="666">
        <v>46270.272777777776</v>
      </c>
      <c r="S610" s="483">
        <v>1</v>
      </c>
      <c r="T610" s="483">
        <v>1</v>
      </c>
      <c r="V610" t="str">
        <f t="shared" si="18"/>
        <v>Case/25pcs</v>
      </c>
    </row>
    <row r="611" spans="3:22" ht="21.95" customHeight="1">
      <c r="C611" s="483">
        <v>584</v>
      </c>
      <c r="D611" s="483">
        <v>398</v>
      </c>
      <c r="E611" s="483" t="s">
        <v>4438</v>
      </c>
      <c r="F611" s="505" t="s">
        <v>4406</v>
      </c>
      <c r="G611" s="483">
        <v>1</v>
      </c>
      <c r="H611" s="483">
        <v>2</v>
      </c>
      <c r="I611" s="483">
        <v>2</v>
      </c>
      <c r="K611" s="505" t="s">
        <v>1507</v>
      </c>
      <c r="L611" s="1485">
        <v>1.76</v>
      </c>
      <c r="M611" s="519">
        <v>3</v>
      </c>
      <c r="N611" s="1546">
        <v>3</v>
      </c>
      <c r="O611" s="483">
        <v>0</v>
      </c>
      <c r="P611" s="483">
        <v>0</v>
      </c>
      <c r="Q611" s="483">
        <v>1</v>
      </c>
      <c r="R611" s="666">
        <v>46270.272777777776</v>
      </c>
      <c r="S611" s="483">
        <v>1</v>
      </c>
      <c r="T611" s="483">
        <v>1</v>
      </c>
      <c r="V611" t="str">
        <f t="shared" si="18"/>
        <v>pcs</v>
      </c>
    </row>
    <row r="612" spans="3:22" ht="21.95" customHeight="1">
      <c r="C612" s="483">
        <v>585</v>
      </c>
      <c r="D612" s="483">
        <v>399</v>
      </c>
      <c r="E612" s="483" t="s">
        <v>4439</v>
      </c>
      <c r="F612" s="505" t="s">
        <v>4414</v>
      </c>
      <c r="G612" s="483">
        <v>1</v>
      </c>
      <c r="H612" s="483">
        <v>2</v>
      </c>
      <c r="I612" s="483">
        <v>2</v>
      </c>
      <c r="K612" s="505" t="s">
        <v>1507</v>
      </c>
      <c r="L612" s="1485">
        <v>1.2</v>
      </c>
      <c r="M612" s="519">
        <v>2.5</v>
      </c>
      <c r="N612" s="1546">
        <v>2.5</v>
      </c>
      <c r="O612" s="483">
        <v>0</v>
      </c>
      <c r="P612" s="483">
        <v>0</v>
      </c>
      <c r="Q612" s="483">
        <v>1</v>
      </c>
      <c r="R612" s="666">
        <v>46270.272777777776</v>
      </c>
      <c r="S612" s="483">
        <v>1</v>
      </c>
      <c r="T612" s="483">
        <v>1</v>
      </c>
      <c r="V612" t="str">
        <f t="shared" si="18"/>
        <v>pcs</v>
      </c>
    </row>
    <row r="613" spans="3:22" ht="21.95" customHeight="1">
      <c r="C613" s="483">
        <v>586</v>
      </c>
      <c r="D613" s="483">
        <v>400</v>
      </c>
      <c r="E613" s="483" t="s">
        <v>4440</v>
      </c>
      <c r="F613" s="505" t="s">
        <v>4429</v>
      </c>
      <c r="G613" s="483">
        <v>1</v>
      </c>
      <c r="H613" s="483">
        <v>2</v>
      </c>
      <c r="I613" s="483">
        <v>92</v>
      </c>
      <c r="K613" s="505" t="s">
        <v>1507</v>
      </c>
      <c r="L613" s="1485">
        <v>90</v>
      </c>
      <c r="M613" s="519">
        <v>95</v>
      </c>
      <c r="N613" s="1546">
        <v>95</v>
      </c>
      <c r="O613" s="483">
        <v>0</v>
      </c>
      <c r="P613" s="483">
        <v>0</v>
      </c>
      <c r="Q613" s="483">
        <v>1</v>
      </c>
      <c r="R613" s="666">
        <v>46270.272777777776</v>
      </c>
      <c r="S613" s="483">
        <v>1</v>
      </c>
      <c r="T613" s="483">
        <v>1</v>
      </c>
      <c r="V613" t="str">
        <f t="shared" si="18"/>
        <v>Case/800pcs</v>
      </c>
    </row>
    <row r="614" spans="3:22" ht="21.95" customHeight="1">
      <c r="C614" s="483">
        <v>587</v>
      </c>
      <c r="D614" s="483">
        <v>400</v>
      </c>
      <c r="E614" s="483" t="s">
        <v>4440</v>
      </c>
      <c r="F614" s="505" t="s">
        <v>4429</v>
      </c>
      <c r="G614" s="483">
        <v>1</v>
      </c>
      <c r="H614" s="483">
        <v>2</v>
      </c>
      <c r="I614" s="483">
        <v>2</v>
      </c>
      <c r="K614" s="505" t="s">
        <v>1507</v>
      </c>
      <c r="L614" s="1485">
        <v>0.1125</v>
      </c>
      <c r="M614" s="519">
        <v>0.375</v>
      </c>
      <c r="N614" s="1546">
        <v>0.375</v>
      </c>
      <c r="O614" s="483">
        <v>0</v>
      </c>
      <c r="P614" s="483">
        <v>0</v>
      </c>
      <c r="Q614" s="483">
        <v>1</v>
      </c>
      <c r="R614" s="666">
        <v>46270.272777777776</v>
      </c>
      <c r="S614" s="483">
        <v>1</v>
      </c>
      <c r="T614" s="483">
        <v>1</v>
      </c>
      <c r="V614" t="str">
        <f t="shared" si="18"/>
        <v>pcs</v>
      </c>
    </row>
    <row r="615" spans="3:22" ht="21.95" customHeight="1">
      <c r="C615" s="483">
        <v>588</v>
      </c>
      <c r="D615" s="483">
        <v>401</v>
      </c>
      <c r="E615" s="483" t="s">
        <v>4441</v>
      </c>
      <c r="F615" s="505" t="s">
        <v>4391</v>
      </c>
      <c r="G615" s="483">
        <v>1</v>
      </c>
      <c r="H615" s="483">
        <v>2</v>
      </c>
      <c r="I615" s="483">
        <v>1</v>
      </c>
      <c r="K615" s="505" t="s">
        <v>1507</v>
      </c>
      <c r="L615" s="1485">
        <v>2.1</v>
      </c>
      <c r="M615" s="519">
        <v>2</v>
      </c>
      <c r="N615" s="1546">
        <v>2</v>
      </c>
      <c r="O615" s="483">
        <v>0</v>
      </c>
      <c r="P615" s="483">
        <v>0</v>
      </c>
      <c r="Q615" s="483">
        <v>1</v>
      </c>
      <c r="R615" s="666">
        <v>46270.272777777776</v>
      </c>
      <c r="S615" s="483">
        <v>1</v>
      </c>
      <c r="T615" s="483">
        <v>1</v>
      </c>
      <c r="V615" t="str">
        <f t="shared" si="18"/>
        <v>Unit</v>
      </c>
    </row>
    <row r="616" spans="3:22" ht="21.95" customHeight="1">
      <c r="C616" s="483">
        <v>589</v>
      </c>
      <c r="D616" s="483">
        <v>402</v>
      </c>
      <c r="E616" s="483" t="s">
        <v>4442</v>
      </c>
      <c r="F616" s="505" t="s">
        <v>4392</v>
      </c>
      <c r="G616" s="483">
        <v>1</v>
      </c>
      <c r="H616" s="483">
        <v>2</v>
      </c>
      <c r="I616" s="483">
        <v>49</v>
      </c>
      <c r="K616" s="505" t="s">
        <v>1507</v>
      </c>
      <c r="L616" s="1485">
        <v>8.8000000000000007</v>
      </c>
      <c r="M616" s="519">
        <v>9.5</v>
      </c>
      <c r="N616" s="1546">
        <v>9.5</v>
      </c>
      <c r="O616" s="483">
        <v>0</v>
      </c>
      <c r="P616" s="483">
        <v>0</v>
      </c>
      <c r="Q616" s="483">
        <v>1</v>
      </c>
      <c r="R616" s="666">
        <v>46270.272777777776</v>
      </c>
      <c r="S616" s="483">
        <v>1</v>
      </c>
      <c r="T616" s="483">
        <v>1</v>
      </c>
      <c r="V616" t="str">
        <f t="shared" si="18"/>
        <v>Lots/12pcs</v>
      </c>
    </row>
    <row r="617" spans="3:22" ht="21.95" customHeight="1">
      <c r="C617" s="483">
        <v>590</v>
      </c>
      <c r="D617" s="483">
        <v>402</v>
      </c>
      <c r="E617" s="483" t="s">
        <v>4442</v>
      </c>
      <c r="F617" s="505" t="s">
        <v>4392</v>
      </c>
      <c r="G617" s="483">
        <v>1</v>
      </c>
      <c r="H617" s="483">
        <v>2</v>
      </c>
      <c r="I617" s="483">
        <v>2</v>
      </c>
      <c r="K617" s="505" t="s">
        <v>1507</v>
      </c>
      <c r="L617" s="1485">
        <v>0.73333333333333339</v>
      </c>
      <c r="M617" s="519">
        <v>1.25</v>
      </c>
      <c r="N617" s="1546">
        <v>1.25</v>
      </c>
      <c r="O617" s="483">
        <v>0</v>
      </c>
      <c r="P617" s="483">
        <v>0</v>
      </c>
      <c r="Q617" s="483">
        <v>1</v>
      </c>
      <c r="R617" s="666">
        <v>46270.272777777776</v>
      </c>
      <c r="S617" s="483">
        <v>1</v>
      </c>
      <c r="T617" s="483">
        <v>1</v>
      </c>
      <c r="V617" t="str">
        <f t="shared" si="18"/>
        <v>pcs</v>
      </c>
    </row>
    <row r="618" spans="3:22" ht="21.95" customHeight="1">
      <c r="C618" s="483">
        <v>591</v>
      </c>
      <c r="D618" s="483">
        <v>403</v>
      </c>
      <c r="E618" s="483" t="s">
        <v>4443</v>
      </c>
      <c r="F618" s="505" t="s">
        <v>4393</v>
      </c>
      <c r="G618" s="483">
        <v>1</v>
      </c>
      <c r="H618" s="483">
        <v>2</v>
      </c>
      <c r="I618" s="483">
        <v>49</v>
      </c>
      <c r="K618" s="505" t="s">
        <v>1507</v>
      </c>
      <c r="L618" s="1485">
        <v>9.8000000000000007</v>
      </c>
      <c r="M618" s="519">
        <v>11</v>
      </c>
      <c r="N618" s="1546">
        <v>11</v>
      </c>
      <c r="O618" s="483">
        <v>0</v>
      </c>
      <c r="P618" s="483">
        <v>0</v>
      </c>
      <c r="Q618" s="483">
        <v>1</v>
      </c>
      <c r="R618" s="666">
        <v>46270.272777777776</v>
      </c>
      <c r="S618" s="483">
        <v>1</v>
      </c>
      <c r="T618" s="483">
        <v>1</v>
      </c>
      <c r="V618" t="str">
        <f t="shared" si="18"/>
        <v>Lots/12pcs</v>
      </c>
    </row>
    <row r="619" spans="3:22" ht="21.95" customHeight="1">
      <c r="C619" s="483">
        <v>592</v>
      </c>
      <c r="D619" s="483">
        <v>403</v>
      </c>
      <c r="E619" s="483" t="s">
        <v>4443</v>
      </c>
      <c r="F619" s="505" t="s">
        <v>4393</v>
      </c>
      <c r="G619" s="483">
        <v>1</v>
      </c>
      <c r="H619" s="483">
        <v>2</v>
      </c>
      <c r="I619" s="483">
        <v>2</v>
      </c>
      <c r="K619" s="505" t="s">
        <v>1507</v>
      </c>
      <c r="L619" s="1485">
        <v>0.81666666666666676</v>
      </c>
      <c r="M619" s="519">
        <v>1.5</v>
      </c>
      <c r="N619" s="1546">
        <v>1.5</v>
      </c>
      <c r="O619" s="483">
        <v>0</v>
      </c>
      <c r="P619" s="483">
        <v>0</v>
      </c>
      <c r="Q619" s="483">
        <v>1</v>
      </c>
      <c r="R619" s="666">
        <v>46270.272777777776</v>
      </c>
      <c r="S619" s="483">
        <v>1</v>
      </c>
      <c r="T619" s="483">
        <v>1</v>
      </c>
      <c r="V619" t="str">
        <f t="shared" si="18"/>
        <v>pcs</v>
      </c>
    </row>
    <row r="620" spans="3:22" ht="21.95" customHeight="1">
      <c r="C620" s="483">
        <v>593</v>
      </c>
      <c r="D620" s="483">
        <v>404</v>
      </c>
      <c r="E620" s="483" t="s">
        <v>4444</v>
      </c>
      <c r="F620" s="505" t="s">
        <v>4390</v>
      </c>
      <c r="G620" s="483">
        <v>1</v>
      </c>
      <c r="H620" s="483">
        <v>2</v>
      </c>
      <c r="I620" s="483">
        <v>1</v>
      </c>
      <c r="K620" s="505" t="s">
        <v>1507</v>
      </c>
      <c r="L620" s="1485">
        <v>1.8</v>
      </c>
      <c r="M620" s="519">
        <v>2</v>
      </c>
      <c r="N620" s="1546">
        <v>2</v>
      </c>
      <c r="O620" s="483">
        <v>0</v>
      </c>
      <c r="P620" s="483">
        <v>0</v>
      </c>
      <c r="Q620" s="483">
        <v>1</v>
      </c>
      <c r="R620" s="666">
        <v>46270.272777777776</v>
      </c>
      <c r="S620" s="483">
        <v>1</v>
      </c>
      <c r="T620" s="483">
        <v>1</v>
      </c>
      <c r="V620" t="str">
        <f t="shared" si="18"/>
        <v>Unit</v>
      </c>
    </row>
    <row r="621" spans="3:22" ht="21.95" customHeight="1">
      <c r="C621" s="483">
        <v>594</v>
      </c>
      <c r="D621" s="483">
        <v>405</v>
      </c>
      <c r="E621" s="483" t="s">
        <v>4445</v>
      </c>
      <c r="F621" s="505" t="s">
        <v>4421</v>
      </c>
      <c r="G621" s="483">
        <v>1</v>
      </c>
      <c r="H621" s="483">
        <v>2</v>
      </c>
      <c r="I621" s="483">
        <v>2</v>
      </c>
      <c r="K621" s="505" t="s">
        <v>1507</v>
      </c>
      <c r="L621" s="1485">
        <v>0.82</v>
      </c>
      <c r="M621" s="519">
        <v>1.25</v>
      </c>
      <c r="N621" s="1546">
        <v>1.25</v>
      </c>
      <c r="O621" s="483">
        <v>0</v>
      </c>
      <c r="P621" s="483">
        <v>0</v>
      </c>
      <c r="Q621" s="483">
        <v>1</v>
      </c>
      <c r="R621" s="666">
        <v>46270.272777777776</v>
      </c>
      <c r="S621" s="483">
        <v>1</v>
      </c>
      <c r="T621" s="483">
        <v>1</v>
      </c>
      <c r="V621" t="str">
        <f t="shared" si="18"/>
        <v>pcs</v>
      </c>
    </row>
    <row r="622" spans="3:22" ht="21.95" customHeight="1">
      <c r="C622" s="483">
        <v>595</v>
      </c>
      <c r="D622" s="483">
        <v>406</v>
      </c>
      <c r="E622" s="483" t="s">
        <v>4446</v>
      </c>
      <c r="F622" s="505" t="s">
        <v>4422</v>
      </c>
      <c r="G622" s="483">
        <v>1</v>
      </c>
      <c r="H622" s="483">
        <v>2</v>
      </c>
      <c r="I622" s="483">
        <v>2</v>
      </c>
      <c r="K622" s="505" t="s">
        <v>1507</v>
      </c>
      <c r="L622" s="1485">
        <v>0.2</v>
      </c>
      <c r="M622" s="519">
        <v>0.3</v>
      </c>
      <c r="N622" s="1546">
        <v>0.3</v>
      </c>
      <c r="O622" s="483">
        <v>0</v>
      </c>
      <c r="P622" s="483">
        <v>0</v>
      </c>
      <c r="Q622" s="483">
        <v>1</v>
      </c>
      <c r="R622" s="666">
        <v>46270.272777777776</v>
      </c>
      <c r="S622" s="483">
        <v>1</v>
      </c>
      <c r="T622" s="483">
        <v>1</v>
      </c>
      <c r="V622" t="str">
        <f t="shared" si="18"/>
        <v>pcs</v>
      </c>
    </row>
    <row r="623" spans="3:22" ht="21.95" customHeight="1">
      <c r="C623" s="483">
        <v>596</v>
      </c>
      <c r="D623" s="483">
        <v>407</v>
      </c>
      <c r="E623" s="483" t="s">
        <v>4447</v>
      </c>
      <c r="F623" s="505" t="s">
        <v>4423</v>
      </c>
      <c r="G623" s="483">
        <v>1</v>
      </c>
      <c r="H623" s="483">
        <v>2</v>
      </c>
      <c r="I623" s="483">
        <v>2</v>
      </c>
      <c r="K623" s="505" t="s">
        <v>1507</v>
      </c>
      <c r="L623" s="1485">
        <v>0.25</v>
      </c>
      <c r="M623" s="519">
        <v>3.7499999999999999E-2</v>
      </c>
      <c r="N623" s="1546">
        <v>3.7499999999999999E-2</v>
      </c>
      <c r="O623" s="483">
        <v>0</v>
      </c>
      <c r="P623" s="483">
        <v>0</v>
      </c>
      <c r="Q623" s="483">
        <v>1</v>
      </c>
      <c r="R623" s="666">
        <v>46270.272777777776</v>
      </c>
      <c r="S623" s="483">
        <v>1</v>
      </c>
      <c r="T623" s="483">
        <v>1</v>
      </c>
      <c r="V623" t="str">
        <f t="shared" si="18"/>
        <v>pcs</v>
      </c>
    </row>
    <row r="624" spans="3:22" ht="21.95" customHeight="1">
      <c r="C624" s="483">
        <v>597</v>
      </c>
      <c r="D624" s="483">
        <v>408</v>
      </c>
      <c r="E624" s="483" t="s">
        <v>4448</v>
      </c>
      <c r="F624" s="505" t="s">
        <v>4398</v>
      </c>
      <c r="G624" s="483">
        <v>1</v>
      </c>
      <c r="H624" s="483">
        <v>2</v>
      </c>
      <c r="I624" s="483">
        <v>2</v>
      </c>
      <c r="K624" s="505" t="s">
        <v>1507</v>
      </c>
      <c r="L624" s="1485">
        <v>0.8</v>
      </c>
      <c r="M624" s="519">
        <v>1.25</v>
      </c>
      <c r="N624" s="1546">
        <v>1.25</v>
      </c>
      <c r="O624" s="483">
        <v>0</v>
      </c>
      <c r="P624" s="483">
        <v>0</v>
      </c>
      <c r="Q624" s="483">
        <v>1</v>
      </c>
      <c r="R624" s="666">
        <v>46270.272777777776</v>
      </c>
      <c r="S624" s="483">
        <v>1</v>
      </c>
      <c r="T624" s="483">
        <v>1</v>
      </c>
      <c r="V624" t="str">
        <f t="shared" si="18"/>
        <v>pcs</v>
      </c>
    </row>
    <row r="625" spans="3:22" ht="21.95" customHeight="1">
      <c r="C625" s="483">
        <v>598</v>
      </c>
      <c r="D625" s="483">
        <v>409</v>
      </c>
      <c r="E625" s="483" t="s">
        <v>4449</v>
      </c>
      <c r="F625" s="505" t="s">
        <v>4397</v>
      </c>
      <c r="G625" s="483">
        <v>1</v>
      </c>
      <c r="H625" s="483">
        <v>2</v>
      </c>
      <c r="I625" s="483">
        <v>2</v>
      </c>
      <c r="K625" s="505" t="s">
        <v>1507</v>
      </c>
      <c r="L625" s="1485">
        <v>1</v>
      </c>
      <c r="M625" s="519">
        <v>1.5</v>
      </c>
      <c r="N625" s="1546">
        <v>1.5</v>
      </c>
      <c r="O625" s="483">
        <v>0</v>
      </c>
      <c r="P625" s="483">
        <v>0</v>
      </c>
      <c r="Q625" s="483">
        <v>1</v>
      </c>
      <c r="R625" s="666">
        <v>46270.272777777776</v>
      </c>
      <c r="S625" s="483">
        <v>1</v>
      </c>
      <c r="T625" s="483">
        <v>1</v>
      </c>
      <c r="V625" t="str">
        <f t="shared" si="18"/>
        <v>pcs</v>
      </c>
    </row>
    <row r="626" spans="3:22" ht="21.95" customHeight="1">
      <c r="C626" s="483">
        <v>599</v>
      </c>
      <c r="D626" s="483">
        <v>410</v>
      </c>
      <c r="E626" s="483" t="s">
        <v>4450</v>
      </c>
      <c r="F626" s="505" t="s">
        <v>4396</v>
      </c>
      <c r="G626" s="483">
        <v>1</v>
      </c>
      <c r="H626" s="483">
        <v>2</v>
      </c>
      <c r="I626" s="483">
        <v>2</v>
      </c>
      <c r="K626" s="505" t="s">
        <v>1507</v>
      </c>
      <c r="L626" s="1485">
        <v>1.1000000000000001</v>
      </c>
      <c r="M626" s="519">
        <v>1.5</v>
      </c>
      <c r="N626" s="1546">
        <v>1.5</v>
      </c>
      <c r="O626" s="483">
        <v>0</v>
      </c>
      <c r="P626" s="483">
        <v>0</v>
      </c>
      <c r="Q626" s="483">
        <v>1</v>
      </c>
      <c r="R626" s="666">
        <v>46270.272777777776</v>
      </c>
      <c r="S626" s="483">
        <v>1</v>
      </c>
      <c r="T626" s="483">
        <v>1</v>
      </c>
      <c r="V626" t="str">
        <f t="shared" si="18"/>
        <v>pcs</v>
      </c>
    </row>
    <row r="627" spans="3:22" ht="21.95" customHeight="1">
      <c r="C627" s="483">
        <v>600</v>
      </c>
      <c r="D627" s="483">
        <v>411</v>
      </c>
      <c r="E627" s="483" t="s">
        <v>4451</v>
      </c>
      <c r="F627" s="505" t="s">
        <v>4410</v>
      </c>
      <c r="G627" s="483">
        <v>1</v>
      </c>
      <c r="H627" s="483">
        <v>2</v>
      </c>
      <c r="I627" s="483">
        <v>2</v>
      </c>
      <c r="K627" s="505" t="s">
        <v>1507</v>
      </c>
      <c r="L627" s="1485">
        <v>1.8</v>
      </c>
      <c r="M627" s="519">
        <v>2.5</v>
      </c>
      <c r="N627" s="1546">
        <v>2.5</v>
      </c>
      <c r="O627" s="483">
        <v>0</v>
      </c>
      <c r="P627" s="483">
        <v>0</v>
      </c>
      <c r="Q627" s="483">
        <v>1</v>
      </c>
      <c r="R627" s="666">
        <v>46270.272777777776</v>
      </c>
      <c r="S627" s="483">
        <v>1</v>
      </c>
      <c r="T627" s="483">
        <v>1</v>
      </c>
      <c r="V627" t="str">
        <f t="shared" si="18"/>
        <v>pcs</v>
      </c>
    </row>
    <row r="628" spans="3:22" ht="21.95" customHeight="1">
      <c r="C628" s="483">
        <v>601</v>
      </c>
      <c r="D628" s="483">
        <v>412</v>
      </c>
      <c r="E628" s="483" t="s">
        <v>4452</v>
      </c>
      <c r="F628" s="505" t="s">
        <v>4395</v>
      </c>
      <c r="G628" s="483">
        <v>1</v>
      </c>
      <c r="H628" s="483">
        <v>2</v>
      </c>
      <c r="I628" s="483">
        <v>2</v>
      </c>
      <c r="K628" s="505" t="s">
        <v>1507</v>
      </c>
      <c r="L628" s="1485">
        <v>3.4</v>
      </c>
      <c r="M628" s="519">
        <v>6</v>
      </c>
      <c r="N628" s="1546">
        <v>6</v>
      </c>
      <c r="O628" s="483">
        <v>0</v>
      </c>
      <c r="P628" s="483">
        <v>0</v>
      </c>
      <c r="Q628" s="483">
        <v>1</v>
      </c>
      <c r="R628" s="666">
        <v>46270.272777777776</v>
      </c>
      <c r="S628" s="483">
        <v>1</v>
      </c>
      <c r="T628" s="483">
        <v>1</v>
      </c>
      <c r="V628" t="str">
        <f t="shared" si="18"/>
        <v>pcs</v>
      </c>
    </row>
    <row r="629" spans="3:22" ht="21.95" customHeight="1">
      <c r="C629" s="483">
        <v>602</v>
      </c>
      <c r="D629" s="483">
        <v>413</v>
      </c>
      <c r="E629" s="483" t="s">
        <v>4453</v>
      </c>
      <c r="F629" s="505" t="s">
        <v>4413</v>
      </c>
      <c r="G629" s="483">
        <v>1</v>
      </c>
      <c r="H629" s="483">
        <v>2</v>
      </c>
      <c r="I629" s="483">
        <v>2</v>
      </c>
      <c r="K629" s="505" t="s">
        <v>1507</v>
      </c>
      <c r="L629" s="1485">
        <v>2.5</v>
      </c>
      <c r="M629" s="519">
        <v>3.5</v>
      </c>
      <c r="N629" s="1546">
        <v>3.5</v>
      </c>
      <c r="O629" s="483">
        <v>0</v>
      </c>
      <c r="P629" s="483">
        <v>0</v>
      </c>
      <c r="Q629" s="483">
        <v>1</v>
      </c>
      <c r="R629" s="666">
        <v>46270.272777777776</v>
      </c>
      <c r="S629" s="483">
        <v>1</v>
      </c>
      <c r="T629" s="483">
        <v>1</v>
      </c>
      <c r="V629" t="str">
        <f t="shared" si="18"/>
        <v>pcs</v>
      </c>
    </row>
    <row r="630" spans="3:22" ht="21.95" customHeight="1">
      <c r="C630" s="483">
        <v>603</v>
      </c>
      <c r="D630" s="483">
        <v>414</v>
      </c>
      <c r="E630" s="483" t="s">
        <v>4454</v>
      </c>
      <c r="F630" s="505" t="s">
        <v>4411</v>
      </c>
      <c r="G630" s="483">
        <v>1</v>
      </c>
      <c r="H630" s="483">
        <v>2</v>
      </c>
      <c r="I630" s="483">
        <v>2</v>
      </c>
      <c r="K630" s="505" t="s">
        <v>1507</v>
      </c>
      <c r="L630" s="1485">
        <v>1.8</v>
      </c>
      <c r="M630" s="519">
        <v>2.5</v>
      </c>
      <c r="N630" s="1546">
        <v>2.5</v>
      </c>
      <c r="O630" s="483">
        <v>0</v>
      </c>
      <c r="P630" s="483">
        <v>0</v>
      </c>
      <c r="Q630" s="483">
        <v>1</v>
      </c>
      <c r="R630" s="666">
        <v>46270.272777777776</v>
      </c>
      <c r="S630" s="483">
        <v>1</v>
      </c>
      <c r="T630" s="483">
        <v>1</v>
      </c>
      <c r="V630" t="str">
        <f t="shared" si="18"/>
        <v>pcs</v>
      </c>
    </row>
    <row r="631" spans="3:22" ht="21.95" customHeight="1">
      <c r="C631" s="483">
        <v>604</v>
      </c>
      <c r="D631" s="483">
        <v>415</v>
      </c>
      <c r="E631" s="483" t="s">
        <v>4455</v>
      </c>
      <c r="F631" s="505" t="s">
        <v>4412</v>
      </c>
      <c r="G631" s="483">
        <v>1</v>
      </c>
      <c r="H631" s="483">
        <v>2</v>
      </c>
      <c r="I631" s="483">
        <v>2</v>
      </c>
      <c r="K631" s="505" t="s">
        <v>1507</v>
      </c>
      <c r="L631" s="1485">
        <v>1.7</v>
      </c>
      <c r="M631" s="519">
        <v>2.5</v>
      </c>
      <c r="N631" s="1546">
        <v>2.5</v>
      </c>
      <c r="O631" s="483">
        <v>0</v>
      </c>
      <c r="P631" s="483">
        <v>0</v>
      </c>
      <c r="Q631" s="483">
        <v>1</v>
      </c>
      <c r="R631" s="666">
        <v>46270.272777777776</v>
      </c>
      <c r="S631" s="483">
        <v>1</v>
      </c>
      <c r="T631" s="483">
        <v>1</v>
      </c>
      <c r="V631" t="str">
        <f t="shared" si="18"/>
        <v>pcs</v>
      </c>
    </row>
    <row r="632" spans="3:22" ht="21.95" customHeight="1">
      <c r="C632" s="483">
        <v>605</v>
      </c>
      <c r="D632" s="483">
        <v>416</v>
      </c>
      <c r="E632" s="483" t="s">
        <v>4456</v>
      </c>
      <c r="F632" s="505" t="s">
        <v>4424</v>
      </c>
      <c r="G632" s="483">
        <v>1</v>
      </c>
      <c r="H632" s="483">
        <v>2</v>
      </c>
      <c r="I632" s="483">
        <v>2</v>
      </c>
      <c r="K632" s="505" t="s">
        <v>1507</v>
      </c>
      <c r="L632" s="1485">
        <v>3.5</v>
      </c>
      <c r="M632" s="519">
        <v>4.5</v>
      </c>
      <c r="N632" s="1546">
        <v>4.5</v>
      </c>
      <c r="O632" s="483">
        <v>0</v>
      </c>
      <c r="P632" s="483">
        <v>0</v>
      </c>
      <c r="Q632" s="483">
        <v>1</v>
      </c>
      <c r="R632" s="666">
        <v>46270.272777777776</v>
      </c>
      <c r="S632" s="483">
        <v>1</v>
      </c>
      <c r="T632" s="483">
        <v>1</v>
      </c>
      <c r="V632" t="str">
        <f t="shared" si="18"/>
        <v>pcs</v>
      </c>
    </row>
    <row r="633" spans="3:22" ht="21.95" customHeight="1">
      <c r="C633" s="483">
        <v>606</v>
      </c>
      <c r="D633" s="483">
        <v>417</v>
      </c>
      <c r="E633" s="483" t="s">
        <v>4457</v>
      </c>
      <c r="F633" s="505" t="s">
        <v>4425</v>
      </c>
      <c r="G633" s="483">
        <v>1</v>
      </c>
      <c r="H633" s="483">
        <v>2</v>
      </c>
      <c r="I633" s="483">
        <v>88</v>
      </c>
      <c r="K633" s="505" t="s">
        <v>1507</v>
      </c>
      <c r="L633" s="1485">
        <v>5.5</v>
      </c>
      <c r="M633" s="519">
        <v>12</v>
      </c>
      <c r="N633" s="1546">
        <v>12</v>
      </c>
      <c r="O633" s="483">
        <v>0</v>
      </c>
      <c r="P633" s="483">
        <v>0</v>
      </c>
      <c r="Q633" s="483">
        <v>1</v>
      </c>
      <c r="R633" s="666">
        <v>46270.272777777776</v>
      </c>
      <c r="S633" s="483">
        <v>1</v>
      </c>
      <c r="T633" s="483">
        <v>1</v>
      </c>
      <c r="V633" t="str">
        <f t="shared" si="18"/>
        <v>Box/24pcs</v>
      </c>
    </row>
    <row r="634" spans="3:22" ht="21.95" customHeight="1">
      <c r="C634" s="483">
        <v>607</v>
      </c>
      <c r="D634" s="483">
        <v>417</v>
      </c>
      <c r="E634" s="483" t="s">
        <v>4457</v>
      </c>
      <c r="F634" s="505" t="s">
        <v>4425</v>
      </c>
      <c r="G634" s="483">
        <v>1</v>
      </c>
      <c r="H634" s="483">
        <v>2</v>
      </c>
      <c r="I634" s="483">
        <v>2</v>
      </c>
      <c r="K634" s="505" t="s">
        <v>1507</v>
      </c>
      <c r="L634" s="1485">
        <v>0.22916666666666666</v>
      </c>
      <c r="M634" s="519">
        <v>0.5</v>
      </c>
      <c r="N634" s="1546">
        <v>0.5</v>
      </c>
      <c r="O634" s="483">
        <v>0</v>
      </c>
      <c r="P634" s="483">
        <v>0</v>
      </c>
      <c r="Q634" s="483">
        <v>1</v>
      </c>
      <c r="R634" s="666">
        <v>46270.272777777776</v>
      </c>
      <c r="S634" s="483">
        <v>1</v>
      </c>
      <c r="T634" s="483">
        <v>1</v>
      </c>
      <c r="V634" t="str">
        <f t="shared" si="18"/>
        <v>pcs</v>
      </c>
    </row>
    <row r="635" spans="3:22" ht="21.95" customHeight="1">
      <c r="C635" s="483">
        <v>608</v>
      </c>
      <c r="D635" s="483">
        <v>418</v>
      </c>
      <c r="E635" s="483" t="s">
        <v>4458</v>
      </c>
      <c r="F635" s="505" t="s">
        <v>4404</v>
      </c>
      <c r="G635" s="483">
        <v>1</v>
      </c>
      <c r="H635" s="483">
        <v>2</v>
      </c>
      <c r="I635" s="483">
        <v>89</v>
      </c>
      <c r="K635" s="505" t="s">
        <v>1507</v>
      </c>
      <c r="L635" s="1485">
        <v>79.5</v>
      </c>
      <c r="M635" s="519">
        <v>85</v>
      </c>
      <c r="N635" s="1546">
        <v>85</v>
      </c>
      <c r="O635" s="483">
        <v>0</v>
      </c>
      <c r="P635" s="483">
        <v>0</v>
      </c>
      <c r="Q635" s="483">
        <v>1</v>
      </c>
      <c r="R635" s="666">
        <v>46270.272777777776</v>
      </c>
      <c r="S635" s="483">
        <v>1</v>
      </c>
      <c r="T635" s="483">
        <v>1</v>
      </c>
      <c r="V635" t="str">
        <f t="shared" si="18"/>
        <v>Bucket</v>
      </c>
    </row>
    <row r="636" spans="3:22" ht="21.95" customHeight="1">
      <c r="C636" s="483">
        <v>609</v>
      </c>
      <c r="D636" s="483">
        <v>419</v>
      </c>
      <c r="E636" s="483" t="s">
        <v>4459</v>
      </c>
      <c r="F636" s="505" t="s">
        <v>4405</v>
      </c>
      <c r="G636" s="483">
        <v>1</v>
      </c>
      <c r="H636" s="483">
        <v>2</v>
      </c>
      <c r="I636" s="483">
        <v>89</v>
      </c>
      <c r="K636" s="505" t="s">
        <v>1507</v>
      </c>
      <c r="L636" s="1485">
        <v>79.5</v>
      </c>
      <c r="M636" s="519">
        <v>85</v>
      </c>
      <c r="N636" s="1546">
        <v>85</v>
      </c>
      <c r="O636" s="483">
        <v>0</v>
      </c>
      <c r="P636" s="483">
        <v>0</v>
      </c>
      <c r="Q636" s="483">
        <v>1</v>
      </c>
      <c r="R636" s="666">
        <v>46270.272777777776</v>
      </c>
      <c r="S636" s="483">
        <v>1</v>
      </c>
      <c r="T636" s="483">
        <v>1</v>
      </c>
      <c r="V636" t="str">
        <f t="shared" si="18"/>
        <v>Bucket</v>
      </c>
    </row>
    <row r="637" spans="3:22" ht="21.95" customHeight="1">
      <c r="C637" s="483">
        <v>610</v>
      </c>
      <c r="D637" s="483">
        <v>420</v>
      </c>
      <c r="E637" s="483" t="s">
        <v>4460</v>
      </c>
      <c r="F637" s="505" t="s">
        <v>4381</v>
      </c>
      <c r="G637" s="483">
        <v>1</v>
      </c>
      <c r="H637" s="483">
        <v>2</v>
      </c>
      <c r="I637" s="483">
        <v>1</v>
      </c>
      <c r="K637" s="505" t="s">
        <v>1507</v>
      </c>
      <c r="L637" s="1485">
        <v>1.65</v>
      </c>
      <c r="M637" s="519">
        <v>2.5</v>
      </c>
      <c r="N637" s="1546">
        <v>2.5</v>
      </c>
      <c r="O637" s="483">
        <v>0</v>
      </c>
      <c r="P637" s="483">
        <v>0</v>
      </c>
      <c r="Q637" s="483">
        <v>1</v>
      </c>
      <c r="R637" s="666">
        <v>46270.272777777776</v>
      </c>
      <c r="S637" s="483">
        <v>1</v>
      </c>
      <c r="T637" s="483">
        <v>1</v>
      </c>
      <c r="V637" t="str">
        <f t="shared" si="18"/>
        <v>Unit</v>
      </c>
    </row>
    <row r="638" spans="3:22" ht="21.95" customHeight="1">
      <c r="C638" s="483">
        <v>611</v>
      </c>
      <c r="D638" s="483">
        <v>421</v>
      </c>
      <c r="E638" s="483" t="s">
        <v>4461</v>
      </c>
      <c r="F638" s="505" t="s">
        <v>4387</v>
      </c>
      <c r="G638" s="483">
        <v>1</v>
      </c>
      <c r="H638" s="483">
        <v>2</v>
      </c>
      <c r="I638" s="483">
        <v>3</v>
      </c>
      <c r="K638" s="505" t="s">
        <v>1507</v>
      </c>
      <c r="L638" s="1485">
        <v>1.1000000000000001</v>
      </c>
      <c r="M638" s="519">
        <v>1.5</v>
      </c>
      <c r="N638" s="1546">
        <v>1.5</v>
      </c>
      <c r="O638" s="483">
        <v>0</v>
      </c>
      <c r="P638" s="483">
        <v>0</v>
      </c>
      <c r="Q638" s="483">
        <v>1</v>
      </c>
      <c r="R638" s="666">
        <v>46270.272777777776</v>
      </c>
      <c r="S638" s="483">
        <v>1</v>
      </c>
      <c r="T638" s="483">
        <v>1</v>
      </c>
      <c r="V638" t="str">
        <f t="shared" si="18"/>
        <v>Pack</v>
      </c>
    </row>
    <row r="639" spans="3:22" ht="21.95" customHeight="1">
      <c r="C639" s="483">
        <v>612</v>
      </c>
      <c r="D639" s="483">
        <v>422</v>
      </c>
      <c r="E639" s="483" t="s">
        <v>4462</v>
      </c>
      <c r="F639" s="505" t="s">
        <v>4384</v>
      </c>
      <c r="G639" s="483">
        <v>1</v>
      </c>
      <c r="H639" s="483">
        <v>2</v>
      </c>
      <c r="I639" s="483">
        <v>3</v>
      </c>
      <c r="K639" s="505" t="s">
        <v>1507</v>
      </c>
      <c r="L639" s="1485">
        <v>1.05</v>
      </c>
      <c r="M639" s="519">
        <v>1.5</v>
      </c>
      <c r="N639" s="1546">
        <v>1.5</v>
      </c>
      <c r="O639" s="483">
        <v>0</v>
      </c>
      <c r="P639" s="483">
        <v>0</v>
      </c>
      <c r="Q639" s="483">
        <v>1</v>
      </c>
      <c r="R639" s="666">
        <v>46270.272777777776</v>
      </c>
      <c r="S639" s="483">
        <v>1</v>
      </c>
      <c r="T639" s="483">
        <v>1</v>
      </c>
      <c r="V639" t="str">
        <f t="shared" si="18"/>
        <v>Pack</v>
      </c>
    </row>
    <row r="640" spans="3:22" ht="21.95" customHeight="1">
      <c r="C640" s="483">
        <v>613</v>
      </c>
      <c r="D640" s="483">
        <v>423</v>
      </c>
      <c r="E640" s="483" t="s">
        <v>4463</v>
      </c>
      <c r="F640" s="505" t="s">
        <v>4388</v>
      </c>
      <c r="G640" s="483">
        <v>1</v>
      </c>
      <c r="H640" s="483">
        <v>2</v>
      </c>
      <c r="I640" s="483">
        <v>3</v>
      </c>
      <c r="K640" s="505" t="s">
        <v>1507</v>
      </c>
      <c r="L640" s="1485">
        <v>0.8</v>
      </c>
      <c r="M640" s="519">
        <v>1.25</v>
      </c>
      <c r="N640" s="1546">
        <v>1.25</v>
      </c>
      <c r="O640" s="483">
        <v>0</v>
      </c>
      <c r="P640" s="483">
        <v>0</v>
      </c>
      <c r="Q640" s="483">
        <v>1</v>
      </c>
      <c r="R640" s="666">
        <v>46270.272777777776</v>
      </c>
      <c r="S640" s="483">
        <v>1</v>
      </c>
      <c r="T640" s="483">
        <v>1</v>
      </c>
      <c r="V640" t="str">
        <f t="shared" si="18"/>
        <v>Pack</v>
      </c>
    </row>
    <row r="641" spans="3:22" ht="21.95" customHeight="1">
      <c r="C641" s="483">
        <v>614</v>
      </c>
      <c r="D641" s="483">
        <v>424</v>
      </c>
      <c r="E641" s="483" t="s">
        <v>4464</v>
      </c>
      <c r="F641" s="505" t="s">
        <v>4382</v>
      </c>
      <c r="G641" s="483">
        <v>1</v>
      </c>
      <c r="H641" s="483">
        <v>2</v>
      </c>
      <c r="I641" s="483">
        <v>3</v>
      </c>
      <c r="K641" s="505" t="s">
        <v>1507</v>
      </c>
      <c r="L641" s="1485">
        <v>1</v>
      </c>
      <c r="M641" s="519">
        <v>1.5</v>
      </c>
      <c r="N641" s="1546">
        <v>1.5</v>
      </c>
      <c r="O641" s="483">
        <v>0</v>
      </c>
      <c r="P641" s="483">
        <v>0</v>
      </c>
      <c r="Q641" s="483">
        <v>1</v>
      </c>
      <c r="R641" s="666">
        <v>46270.272777777776</v>
      </c>
      <c r="S641" s="483">
        <v>1</v>
      </c>
      <c r="T641" s="483">
        <v>1</v>
      </c>
      <c r="V641" t="str">
        <f t="shared" si="18"/>
        <v>Pack</v>
      </c>
    </row>
    <row r="642" spans="3:22" ht="21.95" customHeight="1">
      <c r="C642" s="483">
        <v>615</v>
      </c>
      <c r="D642" s="483">
        <v>425</v>
      </c>
      <c r="E642" s="483" t="s">
        <v>4465</v>
      </c>
      <c r="F642" s="505" t="s">
        <v>4383</v>
      </c>
      <c r="G642" s="483">
        <v>1</v>
      </c>
      <c r="H642" s="483">
        <v>2</v>
      </c>
      <c r="I642" s="483">
        <v>3</v>
      </c>
      <c r="K642" s="505" t="s">
        <v>1507</v>
      </c>
      <c r="L642" s="1485">
        <v>3.5</v>
      </c>
      <c r="M642" s="519">
        <v>4.5</v>
      </c>
      <c r="N642" s="1546">
        <v>4.5</v>
      </c>
      <c r="O642" s="483">
        <v>0</v>
      </c>
      <c r="P642" s="483">
        <v>0</v>
      </c>
      <c r="Q642" s="483">
        <v>1</v>
      </c>
      <c r="R642" s="666">
        <v>46270.272777777776</v>
      </c>
      <c r="S642" s="483">
        <v>1</v>
      </c>
      <c r="T642" s="483">
        <v>1</v>
      </c>
    </row>
    <row r="643" spans="3:22" ht="21.95" customHeight="1">
      <c r="C643" s="483">
        <v>616</v>
      </c>
      <c r="D643" s="483">
        <v>433</v>
      </c>
      <c r="E643" s="483" t="s">
        <v>4545</v>
      </c>
      <c r="F643" s="505" t="s">
        <v>4547</v>
      </c>
      <c r="G643" s="483">
        <v>1</v>
      </c>
      <c r="H643" s="483">
        <v>2</v>
      </c>
      <c r="I643" s="483">
        <v>92</v>
      </c>
      <c r="J643" s="505" t="s">
        <v>4468</v>
      </c>
      <c r="K643" s="505" t="s">
        <v>4140</v>
      </c>
      <c r="L643" s="1485">
        <v>90</v>
      </c>
      <c r="M643" s="519">
        <v>0</v>
      </c>
      <c r="N643" s="1546">
        <v>95</v>
      </c>
      <c r="O643" s="483">
        <v>0</v>
      </c>
      <c r="P643" s="483">
        <v>0</v>
      </c>
      <c r="Q643" s="483">
        <v>1</v>
      </c>
      <c r="R643" s="666">
        <v>46277.436793981484</v>
      </c>
      <c r="S643" s="483">
        <v>1</v>
      </c>
      <c r="T643" s="483">
        <v>1</v>
      </c>
    </row>
    <row r="644" spans="3:22" ht="21.95" customHeight="1">
      <c r="C644" s="483">
        <v>617</v>
      </c>
      <c r="D644" s="483">
        <v>433</v>
      </c>
      <c r="E644" s="483" t="s">
        <v>4545</v>
      </c>
      <c r="F644" s="505" t="s">
        <v>4547</v>
      </c>
      <c r="G644" s="483">
        <v>1</v>
      </c>
      <c r="H644" s="483">
        <v>2</v>
      </c>
      <c r="I644" s="483">
        <v>2</v>
      </c>
      <c r="J644" s="505" t="s">
        <v>2172</v>
      </c>
      <c r="K644" s="505" t="s">
        <v>4140</v>
      </c>
      <c r="L644" s="1485">
        <v>90</v>
      </c>
      <c r="M644" s="519">
        <v>0</v>
      </c>
      <c r="N644" s="1546">
        <v>0.38</v>
      </c>
      <c r="O644" s="483">
        <v>0</v>
      </c>
      <c r="P644" s="483">
        <v>0</v>
      </c>
      <c r="Q644" s="483">
        <v>1</v>
      </c>
      <c r="R644" s="666">
        <v>46277.436793981484</v>
      </c>
      <c r="S644" s="483">
        <v>1</v>
      </c>
      <c r="T644" s="483">
        <v>1</v>
      </c>
    </row>
    <row r="645" spans="3:22" ht="21.95" customHeight="1">
      <c r="C645" s="483">
        <v>618</v>
      </c>
      <c r="D645" s="483">
        <v>429</v>
      </c>
      <c r="E645" s="483" t="s">
        <v>4497</v>
      </c>
      <c r="F645" s="505" t="s">
        <v>4565</v>
      </c>
      <c r="G645" s="483">
        <v>1</v>
      </c>
      <c r="H645" s="483">
        <v>2</v>
      </c>
      <c r="I645" s="483">
        <v>2</v>
      </c>
      <c r="J645" s="505" t="s">
        <v>2172</v>
      </c>
      <c r="K645" s="505" t="s">
        <v>4140</v>
      </c>
      <c r="L645" s="1485">
        <v>2.2999999999999998</v>
      </c>
      <c r="M645" s="519">
        <v>0</v>
      </c>
      <c r="N645" s="1546">
        <v>3.25</v>
      </c>
      <c r="O645" s="483">
        <v>0</v>
      </c>
      <c r="P645" s="483">
        <v>0</v>
      </c>
      <c r="Q645" s="483">
        <v>1</v>
      </c>
      <c r="R645" s="666">
        <v>46279.86377314815</v>
      </c>
      <c r="S645" s="483">
        <v>1</v>
      </c>
      <c r="T645" s="483">
        <v>1</v>
      </c>
    </row>
    <row r="646" spans="3:22" ht="21.95" customHeight="1">
      <c r="C646" s="483">
        <v>619</v>
      </c>
      <c r="D646" s="483">
        <v>426</v>
      </c>
      <c r="E646" s="483" t="s">
        <v>4494</v>
      </c>
      <c r="F646" s="505" t="s">
        <v>4574</v>
      </c>
      <c r="G646" s="483">
        <v>1</v>
      </c>
      <c r="H646" s="483">
        <v>2</v>
      </c>
      <c r="I646" s="483">
        <v>87</v>
      </c>
      <c r="J646" s="505" t="s">
        <v>4356</v>
      </c>
      <c r="K646" s="505" t="s">
        <v>4140</v>
      </c>
      <c r="L646" s="1485">
        <v>6.5</v>
      </c>
      <c r="M646" s="519">
        <v>0</v>
      </c>
      <c r="N646" s="1546">
        <v>8.8000000000000007</v>
      </c>
      <c r="O646" s="483">
        <v>0</v>
      </c>
      <c r="P646" s="483">
        <v>0</v>
      </c>
      <c r="Q646" s="483">
        <v>1</v>
      </c>
      <c r="R646" s="666">
        <v>46279.866284722222</v>
      </c>
      <c r="S646" s="483">
        <v>1</v>
      </c>
      <c r="T646" s="483">
        <v>1</v>
      </c>
    </row>
    <row r="647" spans="3:22" ht="21.95" customHeight="1">
      <c r="C647" s="483">
        <v>620</v>
      </c>
      <c r="D647" s="483">
        <v>427</v>
      </c>
      <c r="E647" s="483" t="s">
        <v>4495</v>
      </c>
      <c r="F647" s="505" t="s">
        <v>4575</v>
      </c>
      <c r="G647" s="483">
        <v>1</v>
      </c>
      <c r="H647" s="483">
        <v>2</v>
      </c>
      <c r="I647" s="483">
        <v>87</v>
      </c>
      <c r="J647" s="505" t="s">
        <v>4356</v>
      </c>
      <c r="K647" s="505" t="s">
        <v>4140</v>
      </c>
      <c r="L647" s="1485">
        <v>6.9</v>
      </c>
      <c r="M647" s="519">
        <v>0</v>
      </c>
      <c r="N647" s="1546">
        <v>10</v>
      </c>
      <c r="O647" s="483">
        <v>0</v>
      </c>
      <c r="P647" s="483">
        <v>0</v>
      </c>
      <c r="Q647" s="483">
        <v>1</v>
      </c>
      <c r="R647" s="666">
        <v>46279.866550925923</v>
      </c>
      <c r="S647" s="483">
        <v>1</v>
      </c>
      <c r="T647" s="483">
        <v>1</v>
      </c>
    </row>
    <row r="648" spans="3:22" ht="21.95" customHeight="1">
      <c r="C648" s="483">
        <v>621</v>
      </c>
      <c r="D648" s="483">
        <v>427</v>
      </c>
      <c r="E648" s="483" t="s">
        <v>4495</v>
      </c>
      <c r="F648" s="505" t="s">
        <v>4575</v>
      </c>
      <c r="G648" s="483">
        <v>1</v>
      </c>
      <c r="H648" s="483">
        <v>2</v>
      </c>
      <c r="I648" s="483">
        <v>2</v>
      </c>
      <c r="J648" s="505" t="s">
        <v>2172</v>
      </c>
      <c r="K648" s="505" t="s">
        <v>4140</v>
      </c>
      <c r="L648" s="1485">
        <v>6.9</v>
      </c>
      <c r="M648" s="519">
        <v>0</v>
      </c>
      <c r="N648" s="1546">
        <v>1</v>
      </c>
      <c r="O648" s="483">
        <v>0</v>
      </c>
      <c r="P648" s="483">
        <v>0</v>
      </c>
      <c r="Q648" s="483">
        <v>1</v>
      </c>
      <c r="R648" s="666">
        <v>46279.866550925923</v>
      </c>
      <c r="S648" s="483">
        <v>1</v>
      </c>
      <c r="T648" s="483">
        <v>1</v>
      </c>
    </row>
    <row r="649" spans="3:22" ht="21.95" customHeight="1">
      <c r="C649" s="483">
        <v>622</v>
      </c>
      <c r="D649" s="483">
        <v>428</v>
      </c>
      <c r="E649" s="483" t="s">
        <v>4496</v>
      </c>
      <c r="F649" s="505" t="s">
        <v>4576</v>
      </c>
      <c r="G649" s="483">
        <v>1</v>
      </c>
      <c r="H649" s="483">
        <v>2</v>
      </c>
      <c r="I649" s="483">
        <v>87</v>
      </c>
      <c r="J649" s="505" t="s">
        <v>4356</v>
      </c>
      <c r="K649" s="505" t="s">
        <v>4140</v>
      </c>
      <c r="L649" s="1485">
        <v>7.2</v>
      </c>
      <c r="M649" s="519">
        <v>0</v>
      </c>
      <c r="N649" s="1546">
        <v>12.5</v>
      </c>
      <c r="O649" s="483">
        <v>0</v>
      </c>
      <c r="P649" s="483">
        <v>0</v>
      </c>
      <c r="Q649" s="483">
        <v>1</v>
      </c>
      <c r="R649" s="666">
        <v>46279.866932870369</v>
      </c>
      <c r="S649" s="483">
        <v>1</v>
      </c>
      <c r="T649" s="483">
        <v>1</v>
      </c>
    </row>
    <row r="650" spans="3:22" ht="21.95" customHeight="1">
      <c r="C650" s="483">
        <v>623</v>
      </c>
      <c r="D650" s="483">
        <v>428</v>
      </c>
      <c r="E650" s="483" t="s">
        <v>4496</v>
      </c>
      <c r="F650" s="505" t="s">
        <v>4576</v>
      </c>
      <c r="G650" s="483">
        <v>1</v>
      </c>
      <c r="H650" s="483">
        <v>2</v>
      </c>
      <c r="I650" s="483">
        <v>2</v>
      </c>
      <c r="J650" s="505" t="s">
        <v>2172</v>
      </c>
      <c r="K650" s="505" t="s">
        <v>4140</v>
      </c>
      <c r="L650" s="1485">
        <v>7.2</v>
      </c>
      <c r="M650" s="519">
        <v>0</v>
      </c>
      <c r="N650" s="1546">
        <v>1.25</v>
      </c>
      <c r="O650" s="483">
        <v>0</v>
      </c>
      <c r="P650" s="483">
        <v>0</v>
      </c>
      <c r="Q650" s="483">
        <v>1</v>
      </c>
      <c r="R650" s="666">
        <v>46279.866932870369</v>
      </c>
      <c r="S650" s="483">
        <v>1</v>
      </c>
      <c r="T650" s="483">
        <v>1</v>
      </c>
    </row>
    <row r="651" spans="3:22" ht="21.95" customHeight="1">
      <c r="C651" s="483">
        <v>624</v>
      </c>
      <c r="D651" s="483">
        <v>430</v>
      </c>
      <c r="E651" s="483" t="s">
        <v>4501</v>
      </c>
      <c r="F651" s="505" t="s">
        <v>4577</v>
      </c>
      <c r="G651" s="483">
        <v>1</v>
      </c>
      <c r="H651" s="483">
        <v>2</v>
      </c>
      <c r="I651" s="483">
        <v>2</v>
      </c>
      <c r="J651" s="505" t="s">
        <v>2172</v>
      </c>
      <c r="K651" s="505" t="s">
        <v>4140</v>
      </c>
      <c r="L651" s="1485">
        <v>6.5</v>
      </c>
      <c r="M651" s="519">
        <v>0</v>
      </c>
      <c r="N651" s="1546">
        <v>7.5</v>
      </c>
      <c r="O651" s="483">
        <v>0</v>
      </c>
      <c r="P651" s="483">
        <v>0</v>
      </c>
      <c r="Q651" s="483">
        <v>1</v>
      </c>
      <c r="R651" s="666">
        <v>46279.867268518516</v>
      </c>
      <c r="S651" s="483">
        <v>1</v>
      </c>
      <c r="T651" s="483">
        <v>1</v>
      </c>
    </row>
    <row r="652" spans="3:22" ht="21.95" customHeight="1">
      <c r="C652" s="483">
        <v>625</v>
      </c>
      <c r="D652" s="483">
        <v>431</v>
      </c>
      <c r="E652" s="483" t="s">
        <v>4502</v>
      </c>
      <c r="F652" s="505" t="s">
        <v>4578</v>
      </c>
      <c r="G652" s="483">
        <v>1</v>
      </c>
      <c r="H652" s="483">
        <v>2</v>
      </c>
      <c r="I652" s="483">
        <v>2</v>
      </c>
      <c r="J652" s="505" t="s">
        <v>2172</v>
      </c>
      <c r="K652" s="505" t="s">
        <v>4140</v>
      </c>
      <c r="L652" s="1485">
        <v>6.5</v>
      </c>
      <c r="M652" s="519">
        <v>0</v>
      </c>
      <c r="N652" s="1546">
        <v>7.5</v>
      </c>
      <c r="O652" s="483">
        <v>0</v>
      </c>
      <c r="P652" s="483">
        <v>0</v>
      </c>
      <c r="Q652" s="483">
        <v>1</v>
      </c>
      <c r="R652" s="666">
        <v>46279.867372685185</v>
      </c>
      <c r="S652" s="483">
        <v>1</v>
      </c>
      <c r="T652" s="483">
        <v>1</v>
      </c>
    </row>
    <row r="653" spans="3:22" ht="21.95" customHeight="1">
      <c r="C653" s="483">
        <v>626</v>
      </c>
      <c r="D653" s="483">
        <v>432</v>
      </c>
      <c r="E653" s="483" t="s">
        <v>4503</v>
      </c>
      <c r="F653" s="505" t="s">
        <v>4579</v>
      </c>
      <c r="G653" s="483">
        <v>1</v>
      </c>
      <c r="H653" s="483">
        <v>2</v>
      </c>
      <c r="I653" s="483">
        <v>2</v>
      </c>
      <c r="J653" s="505" t="s">
        <v>2172</v>
      </c>
      <c r="K653" s="505" t="s">
        <v>4140</v>
      </c>
      <c r="L653" s="1485">
        <v>6.5</v>
      </c>
      <c r="M653" s="519">
        <v>0</v>
      </c>
      <c r="N653" s="1546">
        <v>7.5</v>
      </c>
      <c r="O653" s="483">
        <v>0</v>
      </c>
      <c r="P653" s="483">
        <v>0</v>
      </c>
      <c r="Q653" s="483">
        <v>1</v>
      </c>
      <c r="R653" s="666">
        <v>46279.8675</v>
      </c>
      <c r="S653" s="483">
        <v>1</v>
      </c>
      <c r="T653" s="483">
        <v>1</v>
      </c>
    </row>
    <row r="654" spans="3:22" ht="21.95" customHeight="1">
      <c r="C654" s="1541">
        <v>627</v>
      </c>
      <c r="D654" s="1541">
        <v>426</v>
      </c>
      <c r="E654" s="1541" t="s">
        <v>4494</v>
      </c>
      <c r="F654" s="1542" t="s">
        <v>4574</v>
      </c>
      <c r="G654" s="1541">
        <v>1</v>
      </c>
      <c r="H654" s="1541">
        <v>2</v>
      </c>
      <c r="I654" s="1541">
        <v>2</v>
      </c>
      <c r="J654" s="1542" t="s">
        <v>2172</v>
      </c>
      <c r="K654" s="1542" t="s">
        <v>4140</v>
      </c>
      <c r="L654" s="1543">
        <v>6.5</v>
      </c>
      <c r="M654" s="1544">
        <v>0.88</v>
      </c>
      <c r="N654" s="1550">
        <v>0.88</v>
      </c>
      <c r="O654" s="1541">
        <v>0</v>
      </c>
      <c r="P654" s="1541">
        <v>0</v>
      </c>
      <c r="Q654" s="1541">
        <v>1</v>
      </c>
      <c r="R654" s="1545">
        <v>46279.868819444448</v>
      </c>
      <c r="S654" s="1541">
        <v>1</v>
      </c>
      <c r="T654" s="1541">
        <v>1</v>
      </c>
    </row>
    <row r="655" spans="3:22" ht="21.95" customHeight="1">
      <c r="C655" s="483">
        <v>628</v>
      </c>
      <c r="D655" s="483">
        <v>435</v>
      </c>
      <c r="E655" s="483" t="s">
        <v>4642</v>
      </c>
      <c r="F655" s="505" t="s">
        <v>4674</v>
      </c>
      <c r="G655" s="483">
        <v>1</v>
      </c>
      <c r="H655" s="483">
        <v>2</v>
      </c>
      <c r="I655" s="483">
        <v>87</v>
      </c>
      <c r="K655" s="505" t="s">
        <v>1507</v>
      </c>
      <c r="L655" s="1485">
        <v>3</v>
      </c>
      <c r="M655" s="519">
        <v>4</v>
      </c>
      <c r="N655" s="1546">
        <v>4</v>
      </c>
      <c r="O655" s="483">
        <v>0</v>
      </c>
      <c r="P655" s="483">
        <v>0</v>
      </c>
      <c r="Q655" s="483">
        <v>1</v>
      </c>
      <c r="R655" s="666">
        <v>46295.357719907406</v>
      </c>
      <c r="S655" s="483">
        <v>1</v>
      </c>
      <c r="T655" s="483">
        <v>1</v>
      </c>
    </row>
    <row r="656" spans="3:22" ht="21.95" customHeight="1">
      <c r="C656" s="483">
        <v>629</v>
      </c>
      <c r="D656" s="483">
        <v>435</v>
      </c>
      <c r="E656" s="483" t="s">
        <v>4642</v>
      </c>
      <c r="F656" s="505" t="s">
        <v>4674</v>
      </c>
      <c r="G656" s="483">
        <v>1</v>
      </c>
      <c r="H656" s="483">
        <v>2</v>
      </c>
      <c r="I656" s="483">
        <v>2</v>
      </c>
      <c r="K656" s="505" t="s">
        <v>1507</v>
      </c>
      <c r="L656" s="1485">
        <v>0.3</v>
      </c>
      <c r="M656" s="519">
        <v>0.5</v>
      </c>
      <c r="N656" s="1546">
        <v>0.5</v>
      </c>
      <c r="O656" s="483">
        <v>0</v>
      </c>
      <c r="P656" s="483">
        <v>0</v>
      </c>
      <c r="Q656" s="483">
        <v>1</v>
      </c>
      <c r="R656" s="666">
        <v>46295.357719907406</v>
      </c>
      <c r="S656" s="483">
        <v>1</v>
      </c>
      <c r="T656" s="483">
        <v>1</v>
      </c>
    </row>
    <row r="657" spans="3:20" ht="21.95" customHeight="1">
      <c r="C657" s="483">
        <v>630</v>
      </c>
      <c r="D657" s="483">
        <v>436</v>
      </c>
      <c r="E657" s="483" t="s">
        <v>4643</v>
      </c>
      <c r="F657" s="505" t="s">
        <v>4675</v>
      </c>
      <c r="G657" s="483">
        <v>1</v>
      </c>
      <c r="H657" s="483">
        <v>2</v>
      </c>
      <c r="I657" s="483">
        <v>87</v>
      </c>
      <c r="K657" s="505" t="s">
        <v>1507</v>
      </c>
      <c r="L657" s="1485">
        <v>2</v>
      </c>
      <c r="M657" s="519">
        <v>3</v>
      </c>
      <c r="N657" s="1546">
        <v>3</v>
      </c>
      <c r="O657" s="483">
        <v>0</v>
      </c>
      <c r="P657" s="483">
        <v>0</v>
      </c>
      <c r="Q657" s="483">
        <v>1</v>
      </c>
      <c r="R657" s="666">
        <v>46295.357719907406</v>
      </c>
      <c r="S657" s="483">
        <v>1</v>
      </c>
      <c r="T657" s="483">
        <v>1</v>
      </c>
    </row>
    <row r="658" spans="3:20" ht="21.95" customHeight="1">
      <c r="C658" s="483">
        <v>631</v>
      </c>
      <c r="D658" s="483">
        <v>436</v>
      </c>
      <c r="E658" s="483" t="s">
        <v>4643</v>
      </c>
      <c r="F658" s="505" t="s">
        <v>4675</v>
      </c>
      <c r="G658" s="483">
        <v>1</v>
      </c>
      <c r="H658" s="483">
        <v>2</v>
      </c>
      <c r="I658" s="483">
        <v>2</v>
      </c>
      <c r="K658" s="505" t="s">
        <v>1507</v>
      </c>
      <c r="L658" s="1485">
        <v>0.2</v>
      </c>
      <c r="M658" s="519">
        <v>0.38</v>
      </c>
      <c r="N658" s="1546">
        <v>0.38</v>
      </c>
      <c r="O658" s="483">
        <v>0</v>
      </c>
      <c r="P658" s="483">
        <v>0</v>
      </c>
      <c r="Q658" s="483">
        <v>1</v>
      </c>
      <c r="R658" s="666">
        <v>46295.357719907406</v>
      </c>
      <c r="S658" s="483">
        <v>1</v>
      </c>
      <c r="T658" s="483">
        <v>1</v>
      </c>
    </row>
    <row r="659" spans="3:20" ht="21.95" customHeight="1">
      <c r="C659" s="483">
        <v>632</v>
      </c>
      <c r="D659" s="483">
        <v>437</v>
      </c>
      <c r="E659" s="483" t="s">
        <v>4644</v>
      </c>
      <c r="F659" s="505" t="s">
        <v>4676</v>
      </c>
      <c r="G659" s="483">
        <v>1</v>
      </c>
      <c r="H659" s="483">
        <v>2</v>
      </c>
      <c r="I659" s="483">
        <v>2</v>
      </c>
      <c r="K659" s="505" t="s">
        <v>1507</v>
      </c>
      <c r="L659" s="1485">
        <v>3</v>
      </c>
      <c r="M659" s="519">
        <v>4</v>
      </c>
      <c r="N659" s="1546">
        <v>4</v>
      </c>
      <c r="O659" s="483">
        <v>0</v>
      </c>
      <c r="P659" s="483">
        <v>0</v>
      </c>
      <c r="Q659" s="483">
        <v>1</v>
      </c>
      <c r="R659" s="666">
        <v>46295.357719907406</v>
      </c>
      <c r="S659" s="483">
        <v>1</v>
      </c>
      <c r="T659" s="483">
        <v>1</v>
      </c>
    </row>
    <row r="660" spans="3:20" ht="21.95" customHeight="1">
      <c r="C660" s="483">
        <v>633</v>
      </c>
      <c r="D660" s="483">
        <v>438</v>
      </c>
      <c r="E660" s="483" t="s">
        <v>4645</v>
      </c>
      <c r="F660" s="505" t="s">
        <v>4677</v>
      </c>
      <c r="G660" s="483">
        <v>1</v>
      </c>
      <c r="H660" s="483">
        <v>2</v>
      </c>
      <c r="I660" s="483">
        <v>2</v>
      </c>
      <c r="K660" s="505" t="s">
        <v>1507</v>
      </c>
      <c r="L660" s="1485">
        <v>0.9</v>
      </c>
      <c r="M660" s="519">
        <v>2</v>
      </c>
      <c r="N660" s="1546">
        <v>2</v>
      </c>
      <c r="O660" s="483">
        <v>0</v>
      </c>
      <c r="P660" s="483">
        <v>0</v>
      </c>
      <c r="Q660" s="483">
        <v>1</v>
      </c>
      <c r="R660" s="666">
        <v>46295.357719907406</v>
      </c>
      <c r="S660" s="483">
        <v>1</v>
      </c>
      <c r="T660" s="483">
        <v>1</v>
      </c>
    </row>
    <row r="661" spans="3:20" ht="21.95" customHeight="1">
      <c r="C661" s="483">
        <v>634</v>
      </c>
      <c r="D661" s="483">
        <v>439</v>
      </c>
      <c r="E661" s="483" t="s">
        <v>4646</v>
      </c>
      <c r="F661" s="505" t="s">
        <v>4678</v>
      </c>
      <c r="G661" s="483">
        <v>1</v>
      </c>
      <c r="H661" s="483">
        <v>2</v>
      </c>
      <c r="I661" s="483">
        <v>2</v>
      </c>
      <c r="K661" s="505" t="s">
        <v>1507</v>
      </c>
      <c r="L661" s="1485">
        <v>2.5</v>
      </c>
      <c r="M661" s="519">
        <v>3.5</v>
      </c>
      <c r="N661" s="1546">
        <v>3.5</v>
      </c>
      <c r="O661" s="483">
        <v>0</v>
      </c>
      <c r="P661" s="483">
        <v>0</v>
      </c>
      <c r="Q661" s="483">
        <v>1</v>
      </c>
      <c r="R661" s="666">
        <v>46295.357719907406</v>
      </c>
      <c r="S661" s="483">
        <v>1</v>
      </c>
      <c r="T661" s="483">
        <v>1</v>
      </c>
    </row>
    <row r="662" spans="3:20" ht="21.95" customHeight="1">
      <c r="C662" s="483">
        <v>635</v>
      </c>
      <c r="D662" s="483">
        <v>440</v>
      </c>
      <c r="E662" s="483" t="s">
        <v>4647</v>
      </c>
      <c r="F662" s="505" t="s">
        <v>4679</v>
      </c>
      <c r="G662" s="483">
        <v>1</v>
      </c>
      <c r="H662" s="483">
        <v>2</v>
      </c>
      <c r="I662" s="483">
        <v>73</v>
      </c>
      <c r="K662" s="505" t="s">
        <v>1507</v>
      </c>
      <c r="L662" s="1485">
        <v>1</v>
      </c>
      <c r="M662" s="519">
        <v>1.25</v>
      </c>
      <c r="N662" s="1546">
        <v>1.25</v>
      </c>
      <c r="O662" s="483">
        <v>0</v>
      </c>
      <c r="P662" s="483">
        <v>0</v>
      </c>
      <c r="Q662" s="483">
        <v>1</v>
      </c>
      <c r="R662" s="666">
        <v>46295.357719907406</v>
      </c>
      <c r="S662" s="483">
        <v>1</v>
      </c>
      <c r="T662" s="483">
        <v>1</v>
      </c>
    </row>
    <row r="663" spans="3:20" ht="21.95" customHeight="1">
      <c r="C663" s="483">
        <v>636</v>
      </c>
      <c r="D663" s="483">
        <v>440</v>
      </c>
      <c r="E663" s="483" t="s">
        <v>4647</v>
      </c>
      <c r="F663" s="505" t="s">
        <v>4679</v>
      </c>
      <c r="G663" s="483">
        <v>1</v>
      </c>
      <c r="H663" s="483">
        <v>2</v>
      </c>
      <c r="I663" s="483">
        <v>55</v>
      </c>
      <c r="K663" s="505" t="s">
        <v>1507</v>
      </c>
      <c r="L663" s="1485">
        <v>0.1</v>
      </c>
      <c r="M663" s="519">
        <v>0.13</v>
      </c>
      <c r="N663" s="1546">
        <v>0.13</v>
      </c>
      <c r="O663" s="483">
        <v>0</v>
      </c>
      <c r="P663" s="483">
        <v>0</v>
      </c>
      <c r="Q663" s="483">
        <v>1</v>
      </c>
      <c r="R663" s="666">
        <v>46295.357719907406</v>
      </c>
      <c r="S663" s="483">
        <v>1</v>
      </c>
      <c r="T663" s="483">
        <v>1</v>
      </c>
    </row>
    <row r="664" spans="3:20" ht="21.95" customHeight="1">
      <c r="C664" s="483">
        <v>637</v>
      </c>
      <c r="D664" s="483">
        <v>441</v>
      </c>
      <c r="E664" s="483" t="s">
        <v>4648</v>
      </c>
      <c r="F664" s="505" t="s">
        <v>4680</v>
      </c>
      <c r="G664" s="483">
        <v>1</v>
      </c>
      <c r="H664" s="483">
        <v>2</v>
      </c>
      <c r="I664" s="483">
        <v>2</v>
      </c>
      <c r="K664" s="505" t="s">
        <v>1507</v>
      </c>
      <c r="L664" s="1485">
        <v>1.4</v>
      </c>
      <c r="M664" s="519">
        <v>2</v>
      </c>
      <c r="N664" s="1546">
        <v>2</v>
      </c>
      <c r="O664" s="483">
        <v>0</v>
      </c>
      <c r="P664" s="483">
        <v>0</v>
      </c>
      <c r="Q664" s="483">
        <v>1</v>
      </c>
      <c r="R664" s="666">
        <v>46295.357719907406</v>
      </c>
      <c r="S664" s="483">
        <v>1</v>
      </c>
      <c r="T664" s="483">
        <v>1</v>
      </c>
    </row>
    <row r="665" spans="3:20" ht="21.95" customHeight="1">
      <c r="C665" s="483">
        <v>638</v>
      </c>
      <c r="D665" s="483">
        <v>442</v>
      </c>
      <c r="E665" s="483" t="s">
        <v>4649</v>
      </c>
      <c r="F665" s="505" t="s">
        <v>4681</v>
      </c>
      <c r="G665" s="483">
        <v>1</v>
      </c>
      <c r="H665" s="483">
        <v>2</v>
      </c>
      <c r="I665" s="483">
        <v>2</v>
      </c>
      <c r="K665" s="505" t="s">
        <v>1507</v>
      </c>
      <c r="L665" s="1485">
        <v>1</v>
      </c>
      <c r="M665" s="519">
        <v>1.5</v>
      </c>
      <c r="N665" s="1546">
        <v>1.5</v>
      </c>
      <c r="O665" s="483">
        <v>0</v>
      </c>
      <c r="P665" s="483">
        <v>0</v>
      </c>
      <c r="Q665" s="483">
        <v>1</v>
      </c>
      <c r="R665" s="666">
        <v>46295.357719907406</v>
      </c>
      <c r="S665" s="483">
        <v>1</v>
      </c>
      <c r="T665" s="483">
        <v>1</v>
      </c>
    </row>
    <row r="666" spans="3:20" ht="21.95" customHeight="1">
      <c r="C666" s="483">
        <v>639</v>
      </c>
      <c r="D666" s="483">
        <v>443</v>
      </c>
      <c r="E666" s="483" t="s">
        <v>4650</v>
      </c>
      <c r="F666" s="505" t="s">
        <v>4682</v>
      </c>
      <c r="G666" s="483">
        <v>1</v>
      </c>
      <c r="H666" s="483">
        <v>2</v>
      </c>
      <c r="I666" s="483">
        <v>47</v>
      </c>
      <c r="K666" s="505" t="s">
        <v>1507</v>
      </c>
      <c r="L666" s="1485">
        <v>2.9</v>
      </c>
      <c r="M666" s="519">
        <v>3.5</v>
      </c>
      <c r="N666" s="1546">
        <v>3.5</v>
      </c>
      <c r="O666" s="483">
        <v>0</v>
      </c>
      <c r="P666" s="483">
        <v>0</v>
      </c>
      <c r="Q666" s="483">
        <v>1</v>
      </c>
      <c r="R666" s="666">
        <v>46295.357719907406</v>
      </c>
      <c r="S666" s="483">
        <v>1</v>
      </c>
      <c r="T666" s="483">
        <v>1</v>
      </c>
    </row>
    <row r="667" spans="3:20" ht="21.95" customHeight="1">
      <c r="C667" s="483">
        <v>640</v>
      </c>
      <c r="D667" s="483">
        <v>443</v>
      </c>
      <c r="E667" s="483" t="s">
        <v>4650</v>
      </c>
      <c r="F667" s="505" t="s">
        <v>4682</v>
      </c>
      <c r="G667" s="483">
        <v>1</v>
      </c>
      <c r="H667" s="483">
        <v>2</v>
      </c>
      <c r="I667" s="483">
        <v>2</v>
      </c>
      <c r="K667" s="505" t="s">
        <v>1507</v>
      </c>
      <c r="L667" s="1485">
        <v>0.48333333333333334</v>
      </c>
      <c r="M667" s="519">
        <v>0.625</v>
      </c>
      <c r="N667" s="1546">
        <v>0.625</v>
      </c>
      <c r="O667" s="483">
        <v>0</v>
      </c>
      <c r="P667" s="483">
        <v>0</v>
      </c>
      <c r="Q667" s="483">
        <v>1</v>
      </c>
      <c r="R667" s="666">
        <v>46295.357719907406</v>
      </c>
      <c r="S667" s="483">
        <v>1</v>
      </c>
      <c r="T667" s="483">
        <v>1</v>
      </c>
    </row>
    <row r="668" spans="3:20" ht="21.95" customHeight="1">
      <c r="C668" s="483">
        <v>641</v>
      </c>
      <c r="D668" s="483">
        <v>444</v>
      </c>
      <c r="E668" s="483" t="s">
        <v>4651</v>
      </c>
      <c r="F668" s="505" t="s">
        <v>4683</v>
      </c>
      <c r="G668" s="483">
        <v>1</v>
      </c>
      <c r="H668" s="483">
        <v>2</v>
      </c>
      <c r="I668" s="483">
        <v>47</v>
      </c>
      <c r="K668" s="505" t="s">
        <v>1507</v>
      </c>
      <c r="L668" s="1485">
        <v>4.0999999999999996</v>
      </c>
      <c r="M668" s="519">
        <v>4.5</v>
      </c>
      <c r="N668" s="1546">
        <v>4.5</v>
      </c>
      <c r="O668" s="483">
        <v>0</v>
      </c>
      <c r="P668" s="483">
        <v>0</v>
      </c>
      <c r="Q668" s="483">
        <v>1</v>
      </c>
      <c r="R668" s="666">
        <v>46295.357719907406</v>
      </c>
      <c r="S668" s="483">
        <v>1</v>
      </c>
      <c r="T668" s="483">
        <v>1</v>
      </c>
    </row>
    <row r="669" spans="3:20" ht="21.95" customHeight="1">
      <c r="C669" s="483">
        <v>642</v>
      </c>
      <c r="D669" s="483">
        <v>444</v>
      </c>
      <c r="E669" s="483" t="s">
        <v>4651</v>
      </c>
      <c r="F669" s="505" t="s">
        <v>4683</v>
      </c>
      <c r="G669" s="483">
        <v>1</v>
      </c>
      <c r="H669" s="483">
        <v>2</v>
      </c>
      <c r="I669" s="483">
        <v>2</v>
      </c>
      <c r="K669" s="505" t="s">
        <v>1507</v>
      </c>
      <c r="L669" s="1485">
        <v>0.68333333333333324</v>
      </c>
      <c r="M669" s="519">
        <v>0.88</v>
      </c>
      <c r="N669" s="1546">
        <v>0.88</v>
      </c>
      <c r="O669" s="483">
        <v>0</v>
      </c>
      <c r="P669" s="483">
        <v>0</v>
      </c>
      <c r="Q669" s="483">
        <v>1</v>
      </c>
      <c r="R669" s="666">
        <v>46295.357719907406</v>
      </c>
      <c r="S669" s="483">
        <v>1</v>
      </c>
      <c r="T669" s="483">
        <v>1</v>
      </c>
    </row>
    <row r="670" spans="3:20" ht="21.95" customHeight="1">
      <c r="C670" s="483">
        <v>643</v>
      </c>
      <c r="D670" s="483">
        <v>445</v>
      </c>
      <c r="E670" s="483" t="s">
        <v>4652</v>
      </c>
      <c r="F670" s="505" t="s">
        <v>4684</v>
      </c>
      <c r="G670" s="483">
        <v>1</v>
      </c>
      <c r="H670" s="483">
        <v>2</v>
      </c>
      <c r="I670" s="483">
        <v>5</v>
      </c>
      <c r="K670" s="505" t="s">
        <v>1507</v>
      </c>
      <c r="L670" s="1485">
        <v>0.9</v>
      </c>
      <c r="M670" s="519">
        <v>1.5</v>
      </c>
      <c r="N670" s="1546">
        <v>1.5</v>
      </c>
      <c r="O670" s="483">
        <v>0</v>
      </c>
      <c r="P670" s="483">
        <v>0</v>
      </c>
      <c r="Q670" s="483">
        <v>1</v>
      </c>
      <c r="R670" s="666">
        <v>46295.357719907406</v>
      </c>
      <c r="S670" s="483">
        <v>1</v>
      </c>
      <c r="T670" s="483">
        <v>1</v>
      </c>
    </row>
    <row r="671" spans="3:20" ht="21.95" customHeight="1">
      <c r="C671" s="483">
        <v>644</v>
      </c>
      <c r="D671" s="483">
        <v>446</v>
      </c>
      <c r="E671" s="483" t="s">
        <v>4653</v>
      </c>
      <c r="F671" s="505" t="s">
        <v>4685</v>
      </c>
      <c r="G671" s="483">
        <v>1</v>
      </c>
      <c r="H671" s="483">
        <v>2</v>
      </c>
      <c r="I671" s="483">
        <v>2</v>
      </c>
      <c r="K671" s="505" t="s">
        <v>1507</v>
      </c>
      <c r="L671" s="1485">
        <v>0.2</v>
      </c>
      <c r="M671" s="519">
        <v>0.38</v>
      </c>
      <c r="N671" s="1546">
        <v>0.38</v>
      </c>
      <c r="O671" s="483">
        <v>0</v>
      </c>
      <c r="P671" s="483">
        <v>0</v>
      </c>
      <c r="Q671" s="483">
        <v>1</v>
      </c>
      <c r="R671" s="666">
        <v>46295.357719907406</v>
      </c>
      <c r="S671" s="483">
        <v>1</v>
      </c>
      <c r="T671" s="483">
        <v>1</v>
      </c>
    </row>
    <row r="672" spans="3:20" ht="21.95" customHeight="1">
      <c r="C672" s="483">
        <v>645</v>
      </c>
      <c r="D672" s="483">
        <v>447</v>
      </c>
      <c r="E672" s="483" t="s">
        <v>4654</v>
      </c>
      <c r="F672" s="505" t="s">
        <v>4686</v>
      </c>
      <c r="G672" s="483">
        <v>1</v>
      </c>
      <c r="H672" s="483">
        <v>2</v>
      </c>
      <c r="I672" s="483">
        <v>2</v>
      </c>
      <c r="K672" s="505" t="s">
        <v>1507</v>
      </c>
      <c r="L672" s="1485">
        <v>0.2</v>
      </c>
      <c r="M672" s="519">
        <v>0.38</v>
      </c>
      <c r="N672" s="1546">
        <v>0.38</v>
      </c>
      <c r="O672" s="483">
        <v>0</v>
      </c>
      <c r="P672" s="483">
        <v>0</v>
      </c>
      <c r="Q672" s="483">
        <v>1</v>
      </c>
      <c r="R672" s="666">
        <v>46295.357719907406</v>
      </c>
      <c r="S672" s="483">
        <v>1</v>
      </c>
      <c r="T672" s="483">
        <v>1</v>
      </c>
    </row>
    <row r="673" spans="3:20" ht="21.95" customHeight="1">
      <c r="C673" s="483">
        <v>646</v>
      </c>
      <c r="D673" s="483">
        <v>448</v>
      </c>
      <c r="E673" s="483" t="s">
        <v>4655</v>
      </c>
      <c r="F673" s="505" t="s">
        <v>4687</v>
      </c>
      <c r="G673" s="483">
        <v>1</v>
      </c>
      <c r="H673" s="483">
        <v>2</v>
      </c>
      <c r="I673" s="483">
        <v>2</v>
      </c>
      <c r="K673" s="505" t="s">
        <v>1507</v>
      </c>
      <c r="L673" s="1485">
        <v>3.8</v>
      </c>
      <c r="M673" s="519">
        <v>5</v>
      </c>
      <c r="N673" s="1546">
        <v>5</v>
      </c>
      <c r="O673" s="483">
        <v>0</v>
      </c>
      <c r="P673" s="483">
        <v>0</v>
      </c>
      <c r="Q673" s="483">
        <v>1</v>
      </c>
      <c r="R673" s="666">
        <v>46295.357719907406</v>
      </c>
      <c r="S673" s="483">
        <v>1</v>
      </c>
      <c r="T673" s="483">
        <v>1</v>
      </c>
    </row>
    <row r="674" spans="3:20" ht="21.95" customHeight="1">
      <c r="C674" s="483">
        <v>647</v>
      </c>
      <c r="D674" s="483">
        <v>449</v>
      </c>
      <c r="E674" s="483" t="s">
        <v>4656</v>
      </c>
      <c r="F674" s="505" t="s">
        <v>4688</v>
      </c>
      <c r="G674" s="483">
        <v>1</v>
      </c>
      <c r="H674" s="483">
        <v>2</v>
      </c>
      <c r="I674" s="483">
        <v>53</v>
      </c>
      <c r="K674" s="505" t="s">
        <v>1507</v>
      </c>
      <c r="L674" s="1485">
        <v>4.3499999999999996</v>
      </c>
      <c r="M674" s="519">
        <v>4.8499999999999996</v>
      </c>
      <c r="N674" s="1546">
        <v>4.8499999999999996</v>
      </c>
      <c r="O674" s="483">
        <v>0</v>
      </c>
      <c r="P674" s="483">
        <v>0</v>
      </c>
      <c r="Q674" s="483">
        <v>1</v>
      </c>
      <c r="R674" s="666">
        <v>46295.357719907406</v>
      </c>
      <c r="S674" s="483">
        <v>1</v>
      </c>
      <c r="T674" s="483">
        <v>1</v>
      </c>
    </row>
    <row r="675" spans="3:20" ht="21.95" customHeight="1">
      <c r="C675" s="483">
        <v>648</v>
      </c>
      <c r="D675" s="483">
        <v>449</v>
      </c>
      <c r="E675" s="483" t="s">
        <v>4656</v>
      </c>
      <c r="F675" s="505" t="s">
        <v>4688</v>
      </c>
      <c r="G675" s="483">
        <v>1</v>
      </c>
      <c r="H675" s="483">
        <v>2</v>
      </c>
      <c r="I675" s="483">
        <v>16</v>
      </c>
      <c r="K675" s="505" t="s">
        <v>1507</v>
      </c>
      <c r="L675" s="1485">
        <v>1.0874999999999999</v>
      </c>
      <c r="M675" s="519">
        <v>1.22</v>
      </c>
      <c r="N675" s="1546">
        <v>1.22</v>
      </c>
      <c r="O675" s="483">
        <v>0</v>
      </c>
      <c r="P675" s="483">
        <v>0</v>
      </c>
      <c r="Q675" s="483">
        <v>1</v>
      </c>
      <c r="R675" s="666">
        <v>46295.357719907406</v>
      </c>
      <c r="S675" s="483">
        <v>1</v>
      </c>
      <c r="T675" s="483">
        <v>1</v>
      </c>
    </row>
    <row r="676" spans="3:20" ht="21.95" customHeight="1">
      <c r="C676" s="483">
        <v>649</v>
      </c>
      <c r="D676" s="483">
        <v>450</v>
      </c>
      <c r="E676" s="483" t="s">
        <v>4657</v>
      </c>
      <c r="F676" s="505" t="s">
        <v>4689</v>
      </c>
      <c r="G676" s="483">
        <v>1</v>
      </c>
      <c r="H676" s="483">
        <v>2</v>
      </c>
      <c r="I676" s="483">
        <v>2</v>
      </c>
      <c r="K676" s="505" t="s">
        <v>1507</v>
      </c>
      <c r="L676" s="1485">
        <v>6.8</v>
      </c>
      <c r="M676" s="519">
        <v>10</v>
      </c>
      <c r="N676" s="1546">
        <v>10</v>
      </c>
      <c r="O676" s="483">
        <v>0</v>
      </c>
      <c r="P676" s="483">
        <v>0</v>
      </c>
      <c r="Q676" s="483">
        <v>1</v>
      </c>
      <c r="R676" s="666">
        <v>46295.357719907406</v>
      </c>
      <c r="S676" s="483">
        <v>1</v>
      </c>
      <c r="T676" s="483">
        <v>1</v>
      </c>
    </row>
    <row r="677" spans="3:20" ht="21.95" customHeight="1">
      <c r="C677" s="483">
        <v>650</v>
      </c>
      <c r="D677" s="483">
        <v>451</v>
      </c>
      <c r="E677" s="483" t="s">
        <v>4658</v>
      </c>
      <c r="F677" s="505" t="s">
        <v>4690</v>
      </c>
      <c r="G677" s="483">
        <v>1</v>
      </c>
      <c r="H677" s="483">
        <v>2</v>
      </c>
      <c r="I677" s="483">
        <v>2</v>
      </c>
      <c r="K677" s="505" t="s">
        <v>1507</v>
      </c>
      <c r="L677" s="1485">
        <v>3.6</v>
      </c>
      <c r="M677" s="519">
        <v>5.5</v>
      </c>
      <c r="N677" s="1546">
        <v>5.5</v>
      </c>
      <c r="O677" s="483">
        <v>0</v>
      </c>
      <c r="P677" s="483">
        <v>0</v>
      </c>
      <c r="Q677" s="483">
        <v>1</v>
      </c>
      <c r="R677" s="666">
        <v>46295.357719907406</v>
      </c>
      <c r="S677" s="483">
        <v>1</v>
      </c>
      <c r="T677" s="483">
        <v>1</v>
      </c>
    </row>
    <row r="678" spans="3:20" ht="21.95" customHeight="1">
      <c r="C678" s="483">
        <v>651</v>
      </c>
      <c r="D678" s="483">
        <v>452</v>
      </c>
      <c r="E678" s="483" t="s">
        <v>4659</v>
      </c>
      <c r="F678" s="505" t="s">
        <v>4691</v>
      </c>
      <c r="G678" s="483">
        <v>1</v>
      </c>
      <c r="H678" s="483">
        <v>2</v>
      </c>
      <c r="I678" s="483">
        <v>2</v>
      </c>
      <c r="K678" s="505" t="s">
        <v>1507</v>
      </c>
      <c r="L678" s="1485">
        <v>6</v>
      </c>
      <c r="M678" s="519">
        <v>8</v>
      </c>
      <c r="N678" s="1546">
        <v>8</v>
      </c>
      <c r="O678" s="483">
        <v>0</v>
      </c>
      <c r="P678" s="483">
        <v>0</v>
      </c>
      <c r="Q678" s="483">
        <v>1</v>
      </c>
      <c r="R678" s="666">
        <v>46295.357719907406</v>
      </c>
      <c r="S678" s="483">
        <v>1</v>
      </c>
      <c r="T678" s="483">
        <v>1</v>
      </c>
    </row>
    <row r="679" spans="3:20" ht="21.95" customHeight="1">
      <c r="C679" s="483">
        <v>652</v>
      </c>
      <c r="D679" s="483">
        <v>453</v>
      </c>
      <c r="E679" s="483" t="s">
        <v>4660</v>
      </c>
      <c r="F679" s="505" t="s">
        <v>4692</v>
      </c>
      <c r="G679" s="483">
        <v>1</v>
      </c>
      <c r="H679" s="483">
        <v>2</v>
      </c>
      <c r="I679" s="483">
        <v>2</v>
      </c>
      <c r="K679" s="505" t="s">
        <v>1507</v>
      </c>
      <c r="L679" s="1485">
        <v>6.8</v>
      </c>
      <c r="M679" s="519">
        <v>10</v>
      </c>
      <c r="N679" s="1546">
        <v>10</v>
      </c>
      <c r="O679" s="483">
        <v>0</v>
      </c>
      <c r="P679" s="483">
        <v>0</v>
      </c>
      <c r="Q679" s="483">
        <v>1</v>
      </c>
      <c r="R679" s="666">
        <v>46295.357719907406</v>
      </c>
      <c r="S679" s="483">
        <v>1</v>
      </c>
      <c r="T679" s="483">
        <v>1</v>
      </c>
    </row>
    <row r="680" spans="3:20" ht="21.95" customHeight="1">
      <c r="C680" s="483">
        <v>653</v>
      </c>
      <c r="D680" s="483">
        <v>454</v>
      </c>
      <c r="E680" s="483" t="s">
        <v>4661</v>
      </c>
      <c r="F680" s="505" t="s">
        <v>4693</v>
      </c>
      <c r="G680" s="483">
        <v>1</v>
      </c>
      <c r="H680" s="483">
        <v>2</v>
      </c>
      <c r="I680" s="483">
        <v>2</v>
      </c>
      <c r="K680" s="505" t="s">
        <v>1507</v>
      </c>
      <c r="L680" s="1485">
        <v>4.9000000000000004</v>
      </c>
      <c r="M680" s="519">
        <v>7.5</v>
      </c>
      <c r="N680" s="1546">
        <v>7.5</v>
      </c>
      <c r="O680" s="483">
        <v>0</v>
      </c>
      <c r="P680" s="483">
        <v>0</v>
      </c>
      <c r="Q680" s="483">
        <v>1</v>
      </c>
      <c r="R680" s="666">
        <v>46295.357719907406</v>
      </c>
      <c r="S680" s="483">
        <v>1</v>
      </c>
      <c r="T680" s="483">
        <v>1</v>
      </c>
    </row>
    <row r="681" spans="3:20" ht="21.95" customHeight="1">
      <c r="C681" s="483">
        <v>654</v>
      </c>
      <c r="D681" s="483">
        <v>455</v>
      </c>
      <c r="E681" s="483" t="s">
        <v>4662</v>
      </c>
      <c r="F681" s="505" t="s">
        <v>4694</v>
      </c>
      <c r="G681" s="483">
        <v>1</v>
      </c>
      <c r="H681" s="483">
        <v>2</v>
      </c>
      <c r="I681" s="483">
        <v>2</v>
      </c>
      <c r="K681" s="505" t="s">
        <v>1507</v>
      </c>
      <c r="L681" s="1485">
        <v>3.6</v>
      </c>
      <c r="M681" s="519">
        <v>6.5</v>
      </c>
      <c r="N681" s="1546">
        <v>6.5</v>
      </c>
      <c r="O681" s="483">
        <v>0</v>
      </c>
      <c r="P681" s="483">
        <v>0</v>
      </c>
      <c r="Q681" s="483">
        <v>1</v>
      </c>
      <c r="R681" s="666">
        <v>46295.357719907406</v>
      </c>
      <c r="S681" s="483">
        <v>1</v>
      </c>
      <c r="T681" s="483">
        <v>1</v>
      </c>
    </row>
    <row r="682" spans="3:20" ht="21.95" customHeight="1">
      <c r="C682" s="483">
        <v>655</v>
      </c>
      <c r="D682" s="483">
        <v>456</v>
      </c>
      <c r="E682" s="483" t="s">
        <v>4663</v>
      </c>
      <c r="F682" s="505" t="s">
        <v>4695</v>
      </c>
      <c r="G682" s="483">
        <v>1</v>
      </c>
      <c r="H682" s="483">
        <v>2</v>
      </c>
      <c r="I682" s="483">
        <v>93</v>
      </c>
      <c r="K682" s="505" t="s">
        <v>1507</v>
      </c>
      <c r="L682" s="1485">
        <v>147.5</v>
      </c>
      <c r="M682" s="519">
        <v>175</v>
      </c>
      <c r="N682" s="1546">
        <v>175</v>
      </c>
      <c r="O682" s="483">
        <v>0</v>
      </c>
      <c r="P682" s="483">
        <v>0</v>
      </c>
      <c r="Q682" s="483">
        <v>1</v>
      </c>
      <c r="R682" s="666">
        <v>46295.357719907406</v>
      </c>
      <c r="S682" s="483">
        <v>1</v>
      </c>
      <c r="T682" s="483">
        <v>1</v>
      </c>
    </row>
    <row r="683" spans="3:20" ht="21.95" customHeight="1">
      <c r="C683" s="483">
        <v>656</v>
      </c>
      <c r="D683" s="483">
        <v>456</v>
      </c>
      <c r="E683" s="483" t="s">
        <v>4663</v>
      </c>
      <c r="F683" s="505" t="s">
        <v>4695</v>
      </c>
      <c r="G683" s="483">
        <v>1</v>
      </c>
      <c r="H683" s="483">
        <v>2</v>
      </c>
      <c r="I683" s="483">
        <v>16</v>
      </c>
      <c r="K683" s="505" t="s">
        <v>1507</v>
      </c>
      <c r="L683" s="1485">
        <v>0.59</v>
      </c>
      <c r="M683" s="519">
        <v>0.7</v>
      </c>
      <c r="N683" s="1546">
        <v>0.7</v>
      </c>
      <c r="O683" s="483">
        <v>0</v>
      </c>
      <c r="P683" s="483">
        <v>0</v>
      </c>
      <c r="Q683" s="483">
        <v>1</v>
      </c>
      <c r="R683" s="666">
        <v>46295.357719907406</v>
      </c>
      <c r="S683" s="483">
        <v>1</v>
      </c>
      <c r="T683" s="483">
        <v>1</v>
      </c>
    </row>
    <row r="684" spans="3:20" ht="21.95" customHeight="1">
      <c r="C684" s="483">
        <v>657</v>
      </c>
      <c r="D684" s="483">
        <v>457</v>
      </c>
      <c r="E684" s="483" t="s">
        <v>4664</v>
      </c>
      <c r="F684" s="505" t="s">
        <v>4696</v>
      </c>
      <c r="G684" s="483">
        <v>1</v>
      </c>
      <c r="H684" s="483">
        <v>2</v>
      </c>
      <c r="I684" s="483">
        <v>2</v>
      </c>
      <c r="K684" s="505" t="s">
        <v>1507</v>
      </c>
      <c r="L684" s="1485">
        <v>0.9</v>
      </c>
      <c r="M684" s="519">
        <v>1.25</v>
      </c>
      <c r="N684" s="1546">
        <v>1.25</v>
      </c>
      <c r="O684" s="483">
        <v>0</v>
      </c>
      <c r="P684" s="483">
        <v>0</v>
      </c>
      <c r="Q684" s="483">
        <v>1</v>
      </c>
      <c r="R684" s="666">
        <v>46295.357719907406</v>
      </c>
      <c r="S684" s="483">
        <v>1</v>
      </c>
      <c r="T684" s="483">
        <v>1</v>
      </c>
    </row>
    <row r="685" spans="3:20" ht="21.95" customHeight="1">
      <c r="C685" s="483">
        <v>658</v>
      </c>
      <c r="D685" s="483">
        <v>458</v>
      </c>
      <c r="E685" s="483" t="s">
        <v>4665</v>
      </c>
      <c r="F685" s="505" t="s">
        <v>4697</v>
      </c>
      <c r="G685" s="483">
        <v>1</v>
      </c>
      <c r="H685" s="483">
        <v>2</v>
      </c>
      <c r="I685" s="483">
        <v>49</v>
      </c>
      <c r="K685" s="505" t="s">
        <v>1507</v>
      </c>
      <c r="L685" s="1485">
        <v>4.0999999999999996</v>
      </c>
      <c r="M685" s="519">
        <v>6</v>
      </c>
      <c r="N685" s="1546">
        <v>6</v>
      </c>
      <c r="O685" s="483">
        <v>0</v>
      </c>
      <c r="P685" s="483">
        <v>0</v>
      </c>
      <c r="Q685" s="483">
        <v>1</v>
      </c>
      <c r="R685" s="666">
        <v>46295.357719907406</v>
      </c>
      <c r="S685" s="483">
        <v>1</v>
      </c>
      <c r="T685" s="483">
        <v>1</v>
      </c>
    </row>
    <row r="686" spans="3:20" ht="21.95" customHeight="1">
      <c r="C686" s="483">
        <v>659</v>
      </c>
      <c r="D686" s="483">
        <v>458</v>
      </c>
      <c r="E686" s="483" t="s">
        <v>4665</v>
      </c>
      <c r="F686" s="505" t="s">
        <v>4697</v>
      </c>
      <c r="G686" s="483">
        <v>1</v>
      </c>
      <c r="H686" s="483">
        <v>2</v>
      </c>
      <c r="I686" s="483">
        <v>2</v>
      </c>
      <c r="K686" s="505" t="s">
        <v>1507</v>
      </c>
      <c r="L686" s="1485">
        <v>0.34166666666666662</v>
      </c>
      <c r="M686" s="519">
        <v>0.5</v>
      </c>
      <c r="N686" s="1546">
        <v>0.5</v>
      </c>
      <c r="O686" s="483">
        <v>0</v>
      </c>
      <c r="P686" s="483">
        <v>0</v>
      </c>
      <c r="Q686" s="483">
        <v>1</v>
      </c>
      <c r="R686" s="666">
        <v>46295.357719907406</v>
      </c>
      <c r="S686" s="483">
        <v>1</v>
      </c>
      <c r="T686" s="483">
        <v>1</v>
      </c>
    </row>
    <row r="687" spans="3:20" ht="21.95" customHeight="1">
      <c r="C687" s="483">
        <v>660</v>
      </c>
      <c r="D687" s="483">
        <v>459</v>
      </c>
      <c r="E687" s="483" t="s">
        <v>4666</v>
      </c>
      <c r="F687" s="505" t="s">
        <v>4698</v>
      </c>
      <c r="G687" s="483">
        <v>1</v>
      </c>
      <c r="H687" s="483">
        <v>2</v>
      </c>
      <c r="I687" s="483">
        <v>49</v>
      </c>
      <c r="K687" s="505" t="s">
        <v>1507</v>
      </c>
      <c r="L687" s="1485">
        <v>5.6</v>
      </c>
      <c r="M687" s="519">
        <v>7.5</v>
      </c>
      <c r="N687" s="1546">
        <v>7.5</v>
      </c>
      <c r="O687" s="483">
        <v>0</v>
      </c>
      <c r="P687" s="483">
        <v>0</v>
      </c>
      <c r="Q687" s="483">
        <v>1</v>
      </c>
      <c r="R687" s="666">
        <v>46295.357719907406</v>
      </c>
      <c r="S687" s="483">
        <v>1</v>
      </c>
      <c r="T687" s="483">
        <v>1</v>
      </c>
    </row>
    <row r="688" spans="3:20" ht="21.95" customHeight="1">
      <c r="C688" s="483">
        <v>661</v>
      </c>
      <c r="D688" s="483">
        <v>459</v>
      </c>
      <c r="E688" s="483" t="s">
        <v>4666</v>
      </c>
      <c r="F688" s="505" t="s">
        <v>4698</v>
      </c>
      <c r="G688" s="483">
        <v>1</v>
      </c>
      <c r="H688" s="483">
        <v>2</v>
      </c>
      <c r="I688" s="483">
        <v>2</v>
      </c>
      <c r="K688" s="505" t="s">
        <v>1507</v>
      </c>
      <c r="L688" s="1485">
        <v>0.46666666666666662</v>
      </c>
      <c r="M688" s="519">
        <v>0.625</v>
      </c>
      <c r="N688" s="1546">
        <v>0.625</v>
      </c>
      <c r="O688" s="483">
        <v>0</v>
      </c>
      <c r="P688" s="483">
        <v>0</v>
      </c>
      <c r="Q688" s="483">
        <v>1</v>
      </c>
      <c r="R688" s="666">
        <v>46295.357719907406</v>
      </c>
      <c r="S688" s="483">
        <v>1</v>
      </c>
      <c r="T688" s="483">
        <v>1</v>
      </c>
    </row>
    <row r="689" spans="3:20" ht="21.95" customHeight="1">
      <c r="C689" s="483">
        <v>662</v>
      </c>
      <c r="D689" s="483">
        <v>460</v>
      </c>
      <c r="E689" s="483" t="s">
        <v>4667</v>
      </c>
      <c r="F689" s="505" t="s">
        <v>4699</v>
      </c>
      <c r="G689" s="483">
        <v>1</v>
      </c>
      <c r="H689" s="483">
        <v>2</v>
      </c>
      <c r="I689" s="483">
        <v>89</v>
      </c>
      <c r="K689" s="505" t="s">
        <v>1507</v>
      </c>
      <c r="L689" s="1485">
        <v>17</v>
      </c>
      <c r="M689" s="519">
        <v>22</v>
      </c>
      <c r="N689" s="1546">
        <v>22</v>
      </c>
      <c r="O689" s="483">
        <v>0</v>
      </c>
      <c r="P689" s="483">
        <v>0</v>
      </c>
      <c r="Q689" s="483">
        <v>1</v>
      </c>
      <c r="R689" s="666">
        <v>46295.357719907406</v>
      </c>
      <c r="S689" s="483">
        <v>1</v>
      </c>
      <c r="T689" s="483">
        <v>1</v>
      </c>
    </row>
    <row r="690" spans="3:20" ht="21.95" customHeight="1">
      <c r="C690" s="483">
        <v>663</v>
      </c>
      <c r="D690" s="483">
        <v>461</v>
      </c>
      <c r="E690" s="483" t="s">
        <v>4668</v>
      </c>
      <c r="F690" s="505" t="s">
        <v>4700</v>
      </c>
      <c r="G690" s="483">
        <v>1</v>
      </c>
      <c r="H690" s="483">
        <v>2</v>
      </c>
      <c r="I690" s="483">
        <v>2</v>
      </c>
      <c r="K690" s="505" t="s">
        <v>1507</v>
      </c>
      <c r="L690" s="1485">
        <v>9.8000000000000007</v>
      </c>
      <c r="M690" s="519">
        <v>12</v>
      </c>
      <c r="N690" s="1546">
        <v>12</v>
      </c>
      <c r="O690" s="483">
        <v>0</v>
      </c>
      <c r="P690" s="483">
        <v>0</v>
      </c>
      <c r="Q690" s="483">
        <v>1</v>
      </c>
      <c r="R690" s="666">
        <v>46295.357719907406</v>
      </c>
      <c r="S690" s="483">
        <v>1</v>
      </c>
      <c r="T690" s="483">
        <v>1</v>
      </c>
    </row>
    <row r="691" spans="3:20" ht="21.95" customHeight="1">
      <c r="C691" s="483">
        <v>664</v>
      </c>
      <c r="D691" s="483">
        <v>462</v>
      </c>
      <c r="E691" s="483" t="s">
        <v>4669</v>
      </c>
      <c r="F691" s="505" t="s">
        <v>4701</v>
      </c>
      <c r="G691" s="483">
        <v>1</v>
      </c>
      <c r="H691" s="483">
        <v>2</v>
      </c>
      <c r="I691" s="483">
        <v>2</v>
      </c>
      <c r="K691" s="505" t="s">
        <v>1507</v>
      </c>
      <c r="L691" s="1485">
        <v>3.5</v>
      </c>
      <c r="M691" s="519">
        <v>4.5</v>
      </c>
      <c r="N691" s="1546">
        <v>4.5</v>
      </c>
      <c r="O691" s="483">
        <v>0</v>
      </c>
      <c r="P691" s="483">
        <v>0</v>
      </c>
      <c r="Q691" s="483">
        <v>1</v>
      </c>
      <c r="R691" s="666">
        <v>46295.357719907406</v>
      </c>
      <c r="S691" s="483">
        <v>1</v>
      </c>
      <c r="T691" s="483">
        <v>1</v>
      </c>
    </row>
    <row r="692" spans="3:20" ht="21.95" customHeight="1">
      <c r="C692" s="483">
        <v>665</v>
      </c>
      <c r="D692" s="483">
        <v>463</v>
      </c>
      <c r="E692" s="483" t="s">
        <v>4670</v>
      </c>
      <c r="F692" s="505" t="s">
        <v>4702</v>
      </c>
      <c r="G692" s="483">
        <v>1</v>
      </c>
      <c r="H692" s="483">
        <v>2</v>
      </c>
      <c r="I692" s="483">
        <v>2</v>
      </c>
      <c r="K692" s="505" t="s">
        <v>1507</v>
      </c>
      <c r="L692" s="1485">
        <v>16.7</v>
      </c>
      <c r="M692" s="519">
        <v>20</v>
      </c>
      <c r="N692" s="1546">
        <v>20</v>
      </c>
      <c r="O692" s="483">
        <v>0</v>
      </c>
      <c r="P692" s="483">
        <v>0</v>
      </c>
      <c r="Q692" s="483">
        <v>1</v>
      </c>
      <c r="R692" s="666">
        <v>46295.357719907406</v>
      </c>
      <c r="S692" s="483">
        <v>1</v>
      </c>
      <c r="T692" s="483">
        <v>1</v>
      </c>
    </row>
    <row r="693" spans="3:20" ht="21.95" customHeight="1">
      <c r="C693" s="483">
        <v>666</v>
      </c>
      <c r="D693" s="483">
        <v>464</v>
      </c>
      <c r="E693" s="483" t="s">
        <v>4671</v>
      </c>
      <c r="F693" s="505" t="s">
        <v>4703</v>
      </c>
      <c r="G693" s="483">
        <v>1</v>
      </c>
      <c r="H693" s="483">
        <v>2</v>
      </c>
      <c r="I693" s="483">
        <v>2</v>
      </c>
      <c r="K693" s="505" t="s">
        <v>1507</v>
      </c>
      <c r="L693" s="1485">
        <v>8.5</v>
      </c>
      <c r="M693" s="519">
        <v>11.5</v>
      </c>
      <c r="N693" s="1546">
        <v>11.5</v>
      </c>
      <c r="O693" s="483">
        <v>0</v>
      </c>
      <c r="P693" s="483">
        <v>0</v>
      </c>
      <c r="Q693" s="483">
        <v>1</v>
      </c>
      <c r="R693" s="666">
        <v>46295.357719907406</v>
      </c>
      <c r="S693" s="483">
        <v>1</v>
      </c>
      <c r="T693" s="483">
        <v>1</v>
      </c>
    </row>
    <row r="694" spans="3:20" ht="21.95" customHeight="1">
      <c r="C694" s="483">
        <v>667</v>
      </c>
      <c r="D694" s="483">
        <v>465</v>
      </c>
      <c r="E694" s="483" t="s">
        <v>4672</v>
      </c>
      <c r="F694" s="505" t="s">
        <v>4704</v>
      </c>
      <c r="G694" s="483">
        <v>1</v>
      </c>
      <c r="H694" s="483">
        <v>2</v>
      </c>
      <c r="I694" s="483">
        <v>73</v>
      </c>
      <c r="K694" s="505" t="s">
        <v>1507</v>
      </c>
      <c r="L694" s="1485">
        <v>1.62</v>
      </c>
      <c r="M694" s="519">
        <v>2.25</v>
      </c>
      <c r="N694" s="1546">
        <v>2.25</v>
      </c>
      <c r="O694" s="483">
        <v>0</v>
      </c>
      <c r="P694" s="483">
        <v>0</v>
      </c>
      <c r="Q694" s="483">
        <v>1</v>
      </c>
      <c r="R694" s="666">
        <v>46295.357719907406</v>
      </c>
      <c r="S694" s="483">
        <v>1</v>
      </c>
      <c r="T694" s="483">
        <v>1</v>
      </c>
    </row>
    <row r="695" spans="3:20" ht="21.95" customHeight="1">
      <c r="C695" s="483">
        <v>668</v>
      </c>
      <c r="D695" s="483">
        <v>465</v>
      </c>
      <c r="E695" s="483" t="s">
        <v>4672</v>
      </c>
      <c r="F695" s="505" t="s">
        <v>4704</v>
      </c>
      <c r="G695" s="483">
        <v>1</v>
      </c>
      <c r="H695" s="483">
        <v>2</v>
      </c>
      <c r="I695" s="483">
        <v>55</v>
      </c>
      <c r="K695" s="505" t="s">
        <v>1507</v>
      </c>
      <c r="L695" s="1485">
        <v>0.16200000000000001</v>
      </c>
      <c r="M695" s="519">
        <v>2.3E-2</v>
      </c>
      <c r="N695" s="1546">
        <v>2.3E-2</v>
      </c>
      <c r="O695" s="483">
        <v>0</v>
      </c>
      <c r="P695" s="483">
        <v>0</v>
      </c>
      <c r="Q695" s="483">
        <v>1</v>
      </c>
      <c r="R695" s="666">
        <v>46295.357719907406</v>
      </c>
      <c r="S695" s="483">
        <v>1</v>
      </c>
      <c r="T695" s="483">
        <v>1</v>
      </c>
    </row>
    <row r="696" spans="3:20" ht="21.95" customHeight="1">
      <c r="C696" s="483">
        <v>669</v>
      </c>
      <c r="D696" s="483">
        <v>466</v>
      </c>
      <c r="E696" s="483" t="s">
        <v>4673</v>
      </c>
      <c r="F696" s="505" t="s">
        <v>4705</v>
      </c>
      <c r="G696" s="483">
        <v>1</v>
      </c>
      <c r="H696" s="483">
        <v>2</v>
      </c>
      <c r="I696" s="483">
        <v>2</v>
      </c>
      <c r="K696" s="505" t="s">
        <v>1507</v>
      </c>
      <c r="L696" s="1485">
        <v>92.7</v>
      </c>
      <c r="M696" s="519">
        <v>115</v>
      </c>
      <c r="N696" s="1546">
        <v>115</v>
      </c>
      <c r="O696" s="483">
        <v>0</v>
      </c>
      <c r="P696" s="483">
        <v>0</v>
      </c>
      <c r="Q696" s="483">
        <v>1</v>
      </c>
      <c r="R696" s="666">
        <v>46295.357719907406</v>
      </c>
      <c r="S696" s="483">
        <v>1</v>
      </c>
      <c r="T696" s="483">
        <v>1</v>
      </c>
    </row>
    <row r="760" spans="22:22" ht="21.95" customHeight="1">
      <c r="V760" t="str">
        <f t="shared" ref="V760:V795" si="19">IF(I760="","",VLOOKUP(I760,uom_list,5,FALSE))</f>
        <v/>
      </c>
    </row>
    <row r="761" spans="22:22" ht="21.95" customHeight="1">
      <c r="V761" t="str">
        <f t="shared" si="19"/>
        <v/>
      </c>
    </row>
    <row r="762" spans="22:22" ht="21.95" customHeight="1">
      <c r="V762" t="str">
        <f t="shared" si="19"/>
        <v/>
      </c>
    </row>
    <row r="763" spans="22:22" ht="21.95" customHeight="1">
      <c r="V763" t="str">
        <f t="shared" si="19"/>
        <v/>
      </c>
    </row>
    <row r="764" spans="22:22" ht="21.95" customHeight="1">
      <c r="V764" t="str">
        <f t="shared" si="19"/>
        <v/>
      </c>
    </row>
    <row r="765" spans="22:22" ht="21.95" customHeight="1">
      <c r="V765" t="str">
        <f t="shared" si="19"/>
        <v/>
      </c>
    </row>
    <row r="766" spans="22:22" ht="21.95" customHeight="1">
      <c r="V766" t="str">
        <f t="shared" si="19"/>
        <v/>
      </c>
    </row>
    <row r="767" spans="22:22" ht="21.95" customHeight="1">
      <c r="V767" t="str">
        <f t="shared" si="19"/>
        <v/>
      </c>
    </row>
    <row r="768" spans="22:22" ht="21.95" customHeight="1">
      <c r="V768" t="str">
        <f t="shared" si="19"/>
        <v/>
      </c>
    </row>
    <row r="769" spans="22:22" ht="21.95" customHeight="1">
      <c r="V769" t="str">
        <f t="shared" si="19"/>
        <v/>
      </c>
    </row>
    <row r="770" spans="22:22" ht="21.95" customHeight="1">
      <c r="V770" t="str">
        <f t="shared" si="19"/>
        <v/>
      </c>
    </row>
    <row r="771" spans="22:22" ht="21.95" customHeight="1">
      <c r="V771" t="str">
        <f t="shared" si="19"/>
        <v/>
      </c>
    </row>
    <row r="772" spans="22:22" ht="21.95" customHeight="1">
      <c r="V772" t="str">
        <f t="shared" si="19"/>
        <v/>
      </c>
    </row>
    <row r="773" spans="22:22" ht="21.95" customHeight="1">
      <c r="V773" t="str">
        <f t="shared" si="19"/>
        <v/>
      </c>
    </row>
    <row r="774" spans="22:22" ht="21.95" customHeight="1">
      <c r="V774" t="str">
        <f t="shared" si="19"/>
        <v/>
      </c>
    </row>
    <row r="775" spans="22:22" ht="21.95" customHeight="1">
      <c r="V775" t="str">
        <f t="shared" si="19"/>
        <v/>
      </c>
    </row>
    <row r="776" spans="22:22" ht="21.95" customHeight="1">
      <c r="V776" t="str">
        <f t="shared" si="19"/>
        <v/>
      </c>
    </row>
    <row r="777" spans="22:22" ht="21.95" customHeight="1">
      <c r="V777" t="str">
        <f t="shared" si="19"/>
        <v/>
      </c>
    </row>
    <row r="778" spans="22:22" ht="21.95" customHeight="1">
      <c r="V778" t="str">
        <f t="shared" si="19"/>
        <v/>
      </c>
    </row>
    <row r="779" spans="22:22" ht="21.95" customHeight="1">
      <c r="V779" t="str">
        <f t="shared" si="19"/>
        <v/>
      </c>
    </row>
    <row r="780" spans="22:22" ht="21.95" customHeight="1">
      <c r="V780" t="str">
        <f t="shared" si="19"/>
        <v/>
      </c>
    </row>
    <row r="781" spans="22:22" ht="21.95" customHeight="1">
      <c r="V781" t="str">
        <f t="shared" si="19"/>
        <v/>
      </c>
    </row>
    <row r="782" spans="22:22" ht="21.95" customHeight="1">
      <c r="V782" t="str">
        <f t="shared" si="19"/>
        <v/>
      </c>
    </row>
    <row r="783" spans="22:22" ht="21.95" customHeight="1">
      <c r="V783" t="str">
        <f t="shared" si="19"/>
        <v/>
      </c>
    </row>
    <row r="784" spans="22:22" ht="21.95" customHeight="1">
      <c r="V784" t="str">
        <f t="shared" si="19"/>
        <v/>
      </c>
    </row>
    <row r="785" spans="22:22" ht="21.95" customHeight="1">
      <c r="V785" t="str">
        <f t="shared" si="19"/>
        <v/>
      </c>
    </row>
    <row r="786" spans="22:22" ht="21.95" customHeight="1">
      <c r="V786" t="str">
        <f t="shared" si="19"/>
        <v/>
      </c>
    </row>
    <row r="787" spans="22:22" ht="21.95" customHeight="1">
      <c r="V787" t="str">
        <f t="shared" si="19"/>
        <v/>
      </c>
    </row>
    <row r="788" spans="22:22" ht="21.95" customHeight="1">
      <c r="V788" t="str">
        <f t="shared" si="19"/>
        <v/>
      </c>
    </row>
    <row r="789" spans="22:22" ht="21.95" customHeight="1">
      <c r="V789" t="str">
        <f t="shared" si="19"/>
        <v/>
      </c>
    </row>
    <row r="790" spans="22:22" ht="21.95" customHeight="1">
      <c r="V790" t="str">
        <f t="shared" si="19"/>
        <v/>
      </c>
    </row>
    <row r="791" spans="22:22" ht="21.95" customHeight="1">
      <c r="V791" t="str">
        <f t="shared" si="19"/>
        <v/>
      </c>
    </row>
    <row r="792" spans="22:22" ht="21.95" customHeight="1">
      <c r="V792" t="str">
        <f t="shared" si="19"/>
        <v/>
      </c>
    </row>
    <row r="793" spans="22:22" ht="21.95" customHeight="1">
      <c r="V793" t="str">
        <f t="shared" si="19"/>
        <v/>
      </c>
    </row>
    <row r="794" spans="22:22" ht="21.95" customHeight="1">
      <c r="V794" t="str">
        <f t="shared" si="19"/>
        <v/>
      </c>
    </row>
    <row r="795" spans="22:22" ht="21.95" customHeight="1">
      <c r="V795" t="str">
        <f t="shared" si="19"/>
        <v/>
      </c>
    </row>
    <row r="796" spans="22:22" ht="21.95" customHeight="1">
      <c r="V796" t="str">
        <f t="shared" ref="V796:V859" si="20">IF(I796="","",VLOOKUP(I796,uom_list,5,FALSE))</f>
        <v/>
      </c>
    </row>
    <row r="797" spans="22:22" ht="21.95" customHeight="1">
      <c r="V797" t="str">
        <f t="shared" si="20"/>
        <v/>
      </c>
    </row>
    <row r="798" spans="22:22" ht="21.95" customHeight="1">
      <c r="V798" t="str">
        <f t="shared" si="20"/>
        <v/>
      </c>
    </row>
    <row r="799" spans="22:22" ht="21.95" customHeight="1">
      <c r="V799" t="str">
        <f t="shared" si="20"/>
        <v/>
      </c>
    </row>
    <row r="800" spans="22:22" ht="21.95" customHeight="1">
      <c r="V800" t="str">
        <f t="shared" si="20"/>
        <v/>
      </c>
    </row>
    <row r="801" spans="22:22" ht="21.95" customHeight="1">
      <c r="V801" t="str">
        <f t="shared" si="20"/>
        <v/>
      </c>
    </row>
    <row r="802" spans="22:22" ht="21.95" customHeight="1">
      <c r="V802" t="str">
        <f t="shared" si="20"/>
        <v/>
      </c>
    </row>
    <row r="803" spans="22:22" ht="21.95" customHeight="1">
      <c r="V803" t="str">
        <f t="shared" si="20"/>
        <v/>
      </c>
    </row>
    <row r="804" spans="22:22" ht="21.95" customHeight="1">
      <c r="V804" t="str">
        <f t="shared" si="20"/>
        <v/>
      </c>
    </row>
    <row r="805" spans="22:22" ht="21.95" customHeight="1">
      <c r="V805" t="str">
        <f t="shared" si="20"/>
        <v/>
      </c>
    </row>
    <row r="806" spans="22:22" ht="21.95" customHeight="1">
      <c r="V806" t="str">
        <f t="shared" si="20"/>
        <v/>
      </c>
    </row>
    <row r="807" spans="22:22" ht="21.95" customHeight="1">
      <c r="V807" t="str">
        <f t="shared" si="20"/>
        <v/>
      </c>
    </row>
    <row r="808" spans="22:22" ht="21.95" customHeight="1">
      <c r="V808" t="str">
        <f t="shared" si="20"/>
        <v/>
      </c>
    </row>
    <row r="809" spans="22:22" ht="21.95" customHeight="1">
      <c r="V809" t="str">
        <f t="shared" si="20"/>
        <v/>
      </c>
    </row>
    <row r="810" spans="22:22" ht="21.95" customHeight="1">
      <c r="V810" t="str">
        <f t="shared" si="20"/>
        <v/>
      </c>
    </row>
    <row r="811" spans="22:22" ht="21.95" customHeight="1">
      <c r="V811" t="str">
        <f t="shared" si="20"/>
        <v/>
      </c>
    </row>
    <row r="812" spans="22:22" ht="21.95" customHeight="1">
      <c r="V812" t="str">
        <f t="shared" si="20"/>
        <v/>
      </c>
    </row>
    <row r="813" spans="22:22" ht="21.95" customHeight="1">
      <c r="V813" t="str">
        <f t="shared" si="20"/>
        <v/>
      </c>
    </row>
    <row r="814" spans="22:22" ht="21.95" customHeight="1">
      <c r="V814" t="str">
        <f t="shared" si="20"/>
        <v/>
      </c>
    </row>
    <row r="815" spans="22:22" ht="21.95" customHeight="1">
      <c r="V815" t="str">
        <f t="shared" si="20"/>
        <v/>
      </c>
    </row>
    <row r="816" spans="22:22" ht="21.95" customHeight="1">
      <c r="V816" t="str">
        <f t="shared" si="20"/>
        <v/>
      </c>
    </row>
    <row r="817" spans="22:22" ht="21.95" customHeight="1">
      <c r="V817" t="str">
        <f t="shared" si="20"/>
        <v/>
      </c>
    </row>
    <row r="818" spans="22:22" ht="21.95" customHeight="1">
      <c r="V818" t="str">
        <f t="shared" si="20"/>
        <v/>
      </c>
    </row>
    <row r="819" spans="22:22" ht="21.95" customHeight="1">
      <c r="V819" t="str">
        <f t="shared" si="20"/>
        <v/>
      </c>
    </row>
    <row r="820" spans="22:22" ht="21.95" customHeight="1">
      <c r="V820" t="str">
        <f t="shared" si="20"/>
        <v/>
      </c>
    </row>
    <row r="821" spans="22:22" ht="21.95" customHeight="1">
      <c r="V821" t="str">
        <f t="shared" si="20"/>
        <v/>
      </c>
    </row>
    <row r="822" spans="22:22" ht="21.95" customHeight="1">
      <c r="V822" t="str">
        <f t="shared" si="20"/>
        <v/>
      </c>
    </row>
    <row r="823" spans="22:22" ht="21.95" customHeight="1">
      <c r="V823" t="str">
        <f t="shared" si="20"/>
        <v/>
      </c>
    </row>
    <row r="824" spans="22:22" ht="21.95" customHeight="1">
      <c r="V824" t="str">
        <f t="shared" si="20"/>
        <v/>
      </c>
    </row>
    <row r="825" spans="22:22" ht="21.95" customHeight="1">
      <c r="V825" t="str">
        <f t="shared" si="20"/>
        <v/>
      </c>
    </row>
    <row r="826" spans="22:22" ht="21.95" customHeight="1">
      <c r="V826" t="str">
        <f t="shared" si="20"/>
        <v/>
      </c>
    </row>
    <row r="827" spans="22:22" ht="21.95" customHeight="1">
      <c r="V827" t="str">
        <f t="shared" si="20"/>
        <v/>
      </c>
    </row>
    <row r="828" spans="22:22" ht="21.95" customHeight="1">
      <c r="V828" t="str">
        <f t="shared" si="20"/>
        <v/>
      </c>
    </row>
    <row r="829" spans="22:22" ht="21.95" customHeight="1">
      <c r="V829" t="str">
        <f t="shared" si="20"/>
        <v/>
      </c>
    </row>
    <row r="830" spans="22:22" ht="21.95" customHeight="1">
      <c r="V830" t="str">
        <f t="shared" si="20"/>
        <v/>
      </c>
    </row>
    <row r="831" spans="22:22" ht="21.95" customHeight="1">
      <c r="V831" t="str">
        <f t="shared" si="20"/>
        <v/>
      </c>
    </row>
    <row r="832" spans="22:22" ht="21.95" customHeight="1">
      <c r="V832" t="str">
        <f t="shared" si="20"/>
        <v/>
      </c>
    </row>
    <row r="833" spans="22:22" ht="21.95" customHeight="1">
      <c r="V833" t="str">
        <f t="shared" si="20"/>
        <v/>
      </c>
    </row>
    <row r="834" spans="22:22" ht="21.95" customHeight="1">
      <c r="V834" t="str">
        <f t="shared" si="20"/>
        <v/>
      </c>
    </row>
    <row r="835" spans="22:22" ht="21.95" customHeight="1">
      <c r="V835" t="str">
        <f t="shared" si="20"/>
        <v/>
      </c>
    </row>
    <row r="836" spans="22:22" ht="21.95" customHeight="1">
      <c r="V836" t="str">
        <f t="shared" si="20"/>
        <v/>
      </c>
    </row>
    <row r="837" spans="22:22" ht="21.95" customHeight="1">
      <c r="V837" t="str">
        <f t="shared" si="20"/>
        <v/>
      </c>
    </row>
    <row r="838" spans="22:22" ht="21.95" customHeight="1">
      <c r="V838" t="str">
        <f t="shared" si="20"/>
        <v/>
      </c>
    </row>
    <row r="839" spans="22:22" ht="21.95" customHeight="1">
      <c r="V839" t="str">
        <f t="shared" si="20"/>
        <v/>
      </c>
    </row>
    <row r="840" spans="22:22" ht="21.95" customHeight="1">
      <c r="V840" t="str">
        <f t="shared" si="20"/>
        <v/>
      </c>
    </row>
    <row r="841" spans="22:22" ht="21.95" customHeight="1">
      <c r="V841" t="str">
        <f t="shared" si="20"/>
        <v/>
      </c>
    </row>
    <row r="842" spans="22:22" ht="21.95" customHeight="1">
      <c r="V842" t="str">
        <f t="shared" si="20"/>
        <v/>
      </c>
    </row>
    <row r="843" spans="22:22" ht="21.95" customHeight="1">
      <c r="V843" t="str">
        <f t="shared" si="20"/>
        <v/>
      </c>
    </row>
    <row r="844" spans="22:22" ht="21.95" customHeight="1">
      <c r="V844" t="str">
        <f t="shared" si="20"/>
        <v/>
      </c>
    </row>
    <row r="845" spans="22:22" ht="21.95" customHeight="1">
      <c r="V845" t="str">
        <f t="shared" si="20"/>
        <v/>
      </c>
    </row>
    <row r="846" spans="22:22" ht="21.95" customHeight="1">
      <c r="V846" t="str">
        <f t="shared" si="20"/>
        <v/>
      </c>
    </row>
    <row r="847" spans="22:22" ht="21.95" customHeight="1">
      <c r="V847" t="str">
        <f t="shared" si="20"/>
        <v/>
      </c>
    </row>
    <row r="848" spans="22:22" ht="21.95" customHeight="1">
      <c r="V848" t="str">
        <f t="shared" si="20"/>
        <v/>
      </c>
    </row>
    <row r="849" spans="22:22" ht="21.95" customHeight="1">
      <c r="V849" t="str">
        <f t="shared" si="20"/>
        <v/>
      </c>
    </row>
    <row r="850" spans="22:22" ht="21.95" customHeight="1">
      <c r="V850" t="str">
        <f t="shared" si="20"/>
        <v/>
      </c>
    </row>
    <row r="851" spans="22:22" ht="21.95" customHeight="1">
      <c r="V851" t="str">
        <f t="shared" si="20"/>
        <v/>
      </c>
    </row>
    <row r="852" spans="22:22" ht="21.95" customHeight="1">
      <c r="V852" t="str">
        <f t="shared" si="20"/>
        <v/>
      </c>
    </row>
    <row r="853" spans="22:22" ht="21.95" customHeight="1">
      <c r="V853" t="str">
        <f t="shared" si="20"/>
        <v/>
      </c>
    </row>
    <row r="854" spans="22:22" ht="21.95" customHeight="1">
      <c r="V854" t="str">
        <f t="shared" si="20"/>
        <v/>
      </c>
    </row>
    <row r="855" spans="22:22" ht="21.95" customHeight="1">
      <c r="V855" t="str">
        <f t="shared" si="20"/>
        <v/>
      </c>
    </row>
    <row r="856" spans="22:22" ht="21.95" customHeight="1">
      <c r="V856" t="str">
        <f t="shared" si="20"/>
        <v/>
      </c>
    </row>
    <row r="857" spans="22:22" ht="21.95" customHeight="1">
      <c r="V857" t="str">
        <f t="shared" si="20"/>
        <v/>
      </c>
    </row>
    <row r="858" spans="22:22" ht="21.95" customHeight="1">
      <c r="V858" t="str">
        <f t="shared" si="20"/>
        <v/>
      </c>
    </row>
    <row r="859" spans="22:22" ht="21.95" customHeight="1">
      <c r="V859" t="str">
        <f t="shared" si="20"/>
        <v/>
      </c>
    </row>
    <row r="860" spans="22:22" ht="21.95" customHeight="1">
      <c r="V860" t="str">
        <f t="shared" ref="V860:V923" si="21">IF(I860="","",VLOOKUP(I860,uom_list,5,FALSE))</f>
        <v/>
      </c>
    </row>
    <row r="861" spans="22:22" ht="21.95" customHeight="1">
      <c r="V861" t="str">
        <f t="shared" si="21"/>
        <v/>
      </c>
    </row>
    <row r="862" spans="22:22" ht="21.95" customHeight="1">
      <c r="V862" t="str">
        <f t="shared" si="21"/>
        <v/>
      </c>
    </row>
    <row r="863" spans="22:22" ht="21.95" customHeight="1">
      <c r="V863" t="str">
        <f t="shared" si="21"/>
        <v/>
      </c>
    </row>
    <row r="864" spans="22:22" ht="21.95" customHeight="1">
      <c r="V864" t="str">
        <f t="shared" si="21"/>
        <v/>
      </c>
    </row>
    <row r="865" spans="22:22" ht="21.95" customHeight="1">
      <c r="V865" t="str">
        <f t="shared" si="21"/>
        <v/>
      </c>
    </row>
    <row r="866" spans="22:22" ht="21.95" customHeight="1">
      <c r="V866" t="str">
        <f t="shared" si="21"/>
        <v/>
      </c>
    </row>
    <row r="867" spans="22:22" ht="21.95" customHeight="1">
      <c r="V867" t="str">
        <f t="shared" si="21"/>
        <v/>
      </c>
    </row>
    <row r="868" spans="22:22" ht="21.95" customHeight="1">
      <c r="V868" t="str">
        <f t="shared" si="21"/>
        <v/>
      </c>
    </row>
    <row r="869" spans="22:22" ht="21.95" customHeight="1">
      <c r="V869" t="str">
        <f t="shared" si="21"/>
        <v/>
      </c>
    </row>
    <row r="870" spans="22:22" ht="21.95" customHeight="1">
      <c r="V870" t="str">
        <f t="shared" si="21"/>
        <v/>
      </c>
    </row>
    <row r="871" spans="22:22" ht="21.95" customHeight="1">
      <c r="V871" t="str">
        <f t="shared" si="21"/>
        <v/>
      </c>
    </row>
    <row r="872" spans="22:22" ht="21.95" customHeight="1">
      <c r="V872" t="str">
        <f t="shared" si="21"/>
        <v/>
      </c>
    </row>
    <row r="873" spans="22:22" ht="21.95" customHeight="1">
      <c r="V873" t="str">
        <f t="shared" si="21"/>
        <v/>
      </c>
    </row>
    <row r="874" spans="22:22" ht="21.95" customHeight="1">
      <c r="V874" t="str">
        <f t="shared" si="21"/>
        <v/>
      </c>
    </row>
    <row r="875" spans="22:22" ht="21.95" customHeight="1">
      <c r="V875" t="str">
        <f t="shared" si="21"/>
        <v/>
      </c>
    </row>
    <row r="876" spans="22:22" ht="21.95" customHeight="1">
      <c r="V876" t="str">
        <f t="shared" si="21"/>
        <v/>
      </c>
    </row>
    <row r="877" spans="22:22" ht="21.95" customHeight="1">
      <c r="V877" t="str">
        <f t="shared" si="21"/>
        <v/>
      </c>
    </row>
    <row r="878" spans="22:22" ht="21.95" customHeight="1">
      <c r="V878" t="str">
        <f t="shared" si="21"/>
        <v/>
      </c>
    </row>
    <row r="879" spans="22:22" ht="21.95" customHeight="1">
      <c r="V879" t="str">
        <f t="shared" si="21"/>
        <v/>
      </c>
    </row>
    <row r="880" spans="22:22" ht="21.95" customHeight="1">
      <c r="V880" t="str">
        <f t="shared" si="21"/>
        <v/>
      </c>
    </row>
    <row r="881" spans="22:22" ht="21.95" customHeight="1">
      <c r="V881" t="str">
        <f t="shared" si="21"/>
        <v/>
      </c>
    </row>
    <row r="882" spans="22:22" ht="21.95" customHeight="1">
      <c r="V882" t="str">
        <f t="shared" si="21"/>
        <v/>
      </c>
    </row>
    <row r="883" spans="22:22" ht="21.95" customHeight="1">
      <c r="V883" t="str">
        <f t="shared" si="21"/>
        <v/>
      </c>
    </row>
    <row r="884" spans="22:22" ht="21.95" customHeight="1">
      <c r="V884" t="str">
        <f t="shared" si="21"/>
        <v/>
      </c>
    </row>
    <row r="885" spans="22:22" ht="21.95" customHeight="1">
      <c r="V885" t="str">
        <f t="shared" si="21"/>
        <v/>
      </c>
    </row>
    <row r="886" spans="22:22" ht="21.95" customHeight="1">
      <c r="V886" t="str">
        <f t="shared" si="21"/>
        <v/>
      </c>
    </row>
    <row r="887" spans="22:22" ht="21.95" customHeight="1">
      <c r="V887" t="str">
        <f t="shared" si="21"/>
        <v/>
      </c>
    </row>
    <row r="888" spans="22:22" ht="21.95" customHeight="1">
      <c r="V888" t="str">
        <f t="shared" si="21"/>
        <v/>
      </c>
    </row>
    <row r="889" spans="22:22" ht="21.95" customHeight="1">
      <c r="V889" t="str">
        <f t="shared" si="21"/>
        <v/>
      </c>
    </row>
    <row r="890" spans="22:22" ht="21.95" customHeight="1">
      <c r="V890" t="str">
        <f t="shared" si="21"/>
        <v/>
      </c>
    </row>
    <row r="891" spans="22:22" ht="21.95" customHeight="1">
      <c r="V891" t="str">
        <f t="shared" si="21"/>
        <v/>
      </c>
    </row>
    <row r="892" spans="22:22" ht="21.95" customHeight="1">
      <c r="V892" t="str">
        <f t="shared" si="21"/>
        <v/>
      </c>
    </row>
    <row r="893" spans="22:22" ht="21.95" customHeight="1">
      <c r="V893" t="str">
        <f t="shared" si="21"/>
        <v/>
      </c>
    </row>
    <row r="894" spans="22:22" ht="21.95" customHeight="1">
      <c r="V894" t="str">
        <f t="shared" si="21"/>
        <v/>
      </c>
    </row>
    <row r="895" spans="22:22" ht="21.95" customHeight="1">
      <c r="V895" t="str">
        <f t="shared" si="21"/>
        <v/>
      </c>
    </row>
    <row r="896" spans="22:22" ht="21.95" customHeight="1">
      <c r="V896" t="str">
        <f t="shared" si="21"/>
        <v/>
      </c>
    </row>
    <row r="897" spans="22:22" ht="21.95" customHeight="1">
      <c r="V897" t="str">
        <f t="shared" si="21"/>
        <v/>
      </c>
    </row>
    <row r="898" spans="22:22" ht="21.95" customHeight="1">
      <c r="V898" t="str">
        <f t="shared" si="21"/>
        <v/>
      </c>
    </row>
    <row r="899" spans="22:22" ht="21.95" customHeight="1">
      <c r="V899" t="str">
        <f t="shared" si="21"/>
        <v/>
      </c>
    </row>
    <row r="900" spans="22:22" ht="21.95" customHeight="1">
      <c r="V900" t="str">
        <f t="shared" si="21"/>
        <v/>
      </c>
    </row>
    <row r="901" spans="22:22" ht="21.95" customHeight="1">
      <c r="V901" t="str">
        <f t="shared" si="21"/>
        <v/>
      </c>
    </row>
    <row r="902" spans="22:22" ht="21.95" customHeight="1">
      <c r="V902" t="str">
        <f t="shared" si="21"/>
        <v/>
      </c>
    </row>
    <row r="903" spans="22:22" ht="21.95" customHeight="1">
      <c r="V903" t="str">
        <f t="shared" si="21"/>
        <v/>
      </c>
    </row>
    <row r="904" spans="22:22" ht="21.95" customHeight="1">
      <c r="V904" t="str">
        <f t="shared" si="21"/>
        <v/>
      </c>
    </row>
    <row r="905" spans="22:22" ht="21.95" customHeight="1">
      <c r="V905" t="str">
        <f t="shared" si="21"/>
        <v/>
      </c>
    </row>
    <row r="906" spans="22:22" ht="21.95" customHeight="1">
      <c r="V906" t="str">
        <f t="shared" si="21"/>
        <v/>
      </c>
    </row>
    <row r="907" spans="22:22" ht="21.95" customHeight="1">
      <c r="V907" t="str">
        <f t="shared" si="21"/>
        <v/>
      </c>
    </row>
    <row r="908" spans="22:22" ht="21.95" customHeight="1">
      <c r="V908" t="str">
        <f t="shared" si="21"/>
        <v/>
      </c>
    </row>
    <row r="909" spans="22:22" ht="21.95" customHeight="1">
      <c r="V909" t="str">
        <f t="shared" si="21"/>
        <v/>
      </c>
    </row>
    <row r="910" spans="22:22" ht="21.95" customHeight="1">
      <c r="V910" t="str">
        <f t="shared" si="21"/>
        <v/>
      </c>
    </row>
    <row r="911" spans="22:22" ht="21.95" customHeight="1">
      <c r="V911" t="str">
        <f t="shared" si="21"/>
        <v/>
      </c>
    </row>
    <row r="912" spans="22:22" ht="21.95" customHeight="1">
      <c r="V912" t="str">
        <f t="shared" si="21"/>
        <v/>
      </c>
    </row>
    <row r="913" spans="22:22" ht="21.95" customHeight="1">
      <c r="V913" t="str">
        <f t="shared" si="21"/>
        <v/>
      </c>
    </row>
    <row r="914" spans="22:22" ht="21.95" customHeight="1">
      <c r="V914" t="str">
        <f t="shared" si="21"/>
        <v/>
      </c>
    </row>
    <row r="915" spans="22:22" ht="21.95" customHeight="1">
      <c r="V915" t="str">
        <f t="shared" si="21"/>
        <v/>
      </c>
    </row>
    <row r="916" spans="22:22" ht="21.95" customHeight="1">
      <c r="V916" t="str">
        <f t="shared" si="21"/>
        <v/>
      </c>
    </row>
    <row r="917" spans="22:22" ht="21.95" customHeight="1">
      <c r="V917" t="str">
        <f t="shared" si="21"/>
        <v/>
      </c>
    </row>
    <row r="918" spans="22:22" ht="21.95" customHeight="1">
      <c r="V918" t="str">
        <f t="shared" si="21"/>
        <v/>
      </c>
    </row>
    <row r="919" spans="22:22" ht="21.95" customHeight="1">
      <c r="V919" t="str">
        <f t="shared" si="21"/>
        <v/>
      </c>
    </row>
    <row r="920" spans="22:22" ht="21.95" customHeight="1">
      <c r="V920" t="str">
        <f t="shared" si="21"/>
        <v/>
      </c>
    </row>
    <row r="921" spans="22:22" ht="21.95" customHeight="1">
      <c r="V921" t="str">
        <f t="shared" si="21"/>
        <v/>
      </c>
    </row>
    <row r="922" spans="22:22" ht="21.95" customHeight="1">
      <c r="V922" t="str">
        <f t="shared" si="21"/>
        <v/>
      </c>
    </row>
    <row r="923" spans="22:22" ht="21.95" customHeight="1">
      <c r="V923" t="str">
        <f t="shared" si="21"/>
        <v/>
      </c>
    </row>
    <row r="924" spans="22:22" ht="21.95" customHeight="1">
      <c r="V924" t="str">
        <f t="shared" ref="V924:V987" si="22">IF(I924="","",VLOOKUP(I924,uom_list,5,FALSE))</f>
        <v/>
      </c>
    </row>
    <row r="925" spans="22:22" ht="21.95" customHeight="1">
      <c r="V925" t="str">
        <f t="shared" si="22"/>
        <v/>
      </c>
    </row>
    <row r="926" spans="22:22" ht="21.95" customHeight="1">
      <c r="V926" t="str">
        <f t="shared" si="22"/>
        <v/>
      </c>
    </row>
    <row r="927" spans="22:22" ht="21.95" customHeight="1">
      <c r="V927" t="str">
        <f t="shared" si="22"/>
        <v/>
      </c>
    </row>
    <row r="928" spans="22:22" ht="21.95" customHeight="1">
      <c r="V928" t="str">
        <f t="shared" si="22"/>
        <v/>
      </c>
    </row>
    <row r="929" spans="22:22" ht="21.95" customHeight="1">
      <c r="V929" t="str">
        <f t="shared" si="22"/>
        <v/>
      </c>
    </row>
    <row r="930" spans="22:22" ht="21.95" customHeight="1">
      <c r="V930" t="str">
        <f t="shared" si="22"/>
        <v/>
      </c>
    </row>
    <row r="931" spans="22:22" ht="21.95" customHeight="1">
      <c r="V931" t="str">
        <f t="shared" si="22"/>
        <v/>
      </c>
    </row>
    <row r="932" spans="22:22" ht="21.95" customHeight="1">
      <c r="V932" t="str">
        <f t="shared" si="22"/>
        <v/>
      </c>
    </row>
    <row r="933" spans="22:22" ht="21.95" customHeight="1">
      <c r="V933" t="str">
        <f t="shared" si="22"/>
        <v/>
      </c>
    </row>
    <row r="934" spans="22:22" ht="21.95" customHeight="1">
      <c r="V934" t="str">
        <f t="shared" si="22"/>
        <v/>
      </c>
    </row>
    <row r="935" spans="22:22" ht="21.95" customHeight="1">
      <c r="V935" t="str">
        <f t="shared" si="22"/>
        <v/>
      </c>
    </row>
    <row r="936" spans="22:22" ht="21.95" customHeight="1">
      <c r="V936" t="str">
        <f t="shared" si="22"/>
        <v/>
      </c>
    </row>
    <row r="937" spans="22:22" ht="21.95" customHeight="1">
      <c r="V937" t="str">
        <f t="shared" si="22"/>
        <v/>
      </c>
    </row>
    <row r="938" spans="22:22" ht="21.95" customHeight="1">
      <c r="V938" t="str">
        <f t="shared" si="22"/>
        <v/>
      </c>
    </row>
    <row r="939" spans="22:22" ht="21.95" customHeight="1">
      <c r="V939" t="str">
        <f t="shared" si="22"/>
        <v/>
      </c>
    </row>
    <row r="940" spans="22:22" ht="21.95" customHeight="1">
      <c r="V940" t="str">
        <f t="shared" si="22"/>
        <v/>
      </c>
    </row>
    <row r="941" spans="22:22" ht="21.95" customHeight="1">
      <c r="V941" t="str">
        <f t="shared" si="22"/>
        <v/>
      </c>
    </row>
    <row r="942" spans="22:22" ht="21.95" customHeight="1">
      <c r="V942" t="str">
        <f t="shared" si="22"/>
        <v/>
      </c>
    </row>
    <row r="943" spans="22:22" ht="21.95" customHeight="1">
      <c r="V943" t="str">
        <f t="shared" si="22"/>
        <v/>
      </c>
    </row>
    <row r="944" spans="22:22" ht="21.95" customHeight="1">
      <c r="V944" t="str">
        <f t="shared" si="22"/>
        <v/>
      </c>
    </row>
    <row r="945" spans="22:22" ht="21.95" customHeight="1">
      <c r="V945" t="str">
        <f t="shared" si="22"/>
        <v/>
      </c>
    </row>
    <row r="946" spans="22:22" ht="21.95" customHeight="1">
      <c r="V946" t="str">
        <f t="shared" si="22"/>
        <v/>
      </c>
    </row>
    <row r="947" spans="22:22" ht="21.95" customHeight="1">
      <c r="V947" t="str">
        <f t="shared" si="22"/>
        <v/>
      </c>
    </row>
    <row r="948" spans="22:22" ht="21.95" customHeight="1">
      <c r="V948" t="str">
        <f t="shared" si="22"/>
        <v/>
      </c>
    </row>
    <row r="949" spans="22:22" ht="21.95" customHeight="1">
      <c r="V949" t="str">
        <f t="shared" si="22"/>
        <v/>
      </c>
    </row>
    <row r="950" spans="22:22" ht="21.95" customHeight="1">
      <c r="V950" t="str">
        <f t="shared" si="22"/>
        <v/>
      </c>
    </row>
    <row r="951" spans="22:22" ht="21.95" customHeight="1">
      <c r="V951" t="str">
        <f t="shared" si="22"/>
        <v/>
      </c>
    </row>
    <row r="952" spans="22:22" ht="21.95" customHeight="1">
      <c r="V952" t="str">
        <f t="shared" si="22"/>
        <v/>
      </c>
    </row>
    <row r="953" spans="22:22" ht="21.95" customHeight="1">
      <c r="V953" t="str">
        <f t="shared" si="22"/>
        <v/>
      </c>
    </row>
    <row r="954" spans="22:22" ht="21.95" customHeight="1">
      <c r="V954" t="str">
        <f t="shared" si="22"/>
        <v/>
      </c>
    </row>
    <row r="955" spans="22:22" ht="21.95" customHeight="1">
      <c r="V955" t="str">
        <f t="shared" si="22"/>
        <v/>
      </c>
    </row>
    <row r="956" spans="22:22" ht="21.95" customHeight="1">
      <c r="V956" t="str">
        <f t="shared" si="22"/>
        <v/>
      </c>
    </row>
    <row r="957" spans="22:22" ht="21.95" customHeight="1">
      <c r="V957" t="str">
        <f t="shared" si="22"/>
        <v/>
      </c>
    </row>
    <row r="958" spans="22:22" ht="21.95" customHeight="1">
      <c r="V958" t="str">
        <f t="shared" si="22"/>
        <v/>
      </c>
    </row>
    <row r="959" spans="22:22" ht="21.95" customHeight="1">
      <c r="V959" t="str">
        <f t="shared" si="22"/>
        <v/>
      </c>
    </row>
    <row r="960" spans="22:22" ht="21.95" customHeight="1">
      <c r="V960" t="str">
        <f t="shared" si="22"/>
        <v/>
      </c>
    </row>
    <row r="961" spans="22:22" ht="21.95" customHeight="1">
      <c r="V961" t="str">
        <f t="shared" si="22"/>
        <v/>
      </c>
    </row>
    <row r="962" spans="22:22" ht="21.95" customHeight="1">
      <c r="V962" t="str">
        <f t="shared" si="22"/>
        <v/>
      </c>
    </row>
    <row r="963" spans="22:22" ht="21.95" customHeight="1">
      <c r="V963" t="str">
        <f t="shared" si="22"/>
        <v/>
      </c>
    </row>
    <row r="964" spans="22:22" ht="21.95" customHeight="1">
      <c r="V964" t="str">
        <f t="shared" si="22"/>
        <v/>
      </c>
    </row>
    <row r="965" spans="22:22" ht="21.95" customHeight="1">
      <c r="V965" t="str">
        <f t="shared" si="22"/>
        <v/>
      </c>
    </row>
    <row r="966" spans="22:22" ht="21.95" customHeight="1">
      <c r="V966" t="str">
        <f t="shared" si="22"/>
        <v/>
      </c>
    </row>
    <row r="967" spans="22:22" ht="21.95" customHeight="1">
      <c r="V967" t="str">
        <f t="shared" si="22"/>
        <v/>
      </c>
    </row>
    <row r="968" spans="22:22" ht="21.95" customHeight="1">
      <c r="V968" t="str">
        <f t="shared" si="22"/>
        <v/>
      </c>
    </row>
    <row r="969" spans="22:22" ht="21.95" customHeight="1">
      <c r="V969" t="str">
        <f t="shared" si="22"/>
        <v/>
      </c>
    </row>
    <row r="970" spans="22:22" ht="21.95" customHeight="1">
      <c r="V970" t="str">
        <f t="shared" si="22"/>
        <v/>
      </c>
    </row>
    <row r="971" spans="22:22" ht="21.95" customHeight="1">
      <c r="V971" t="str">
        <f t="shared" si="22"/>
        <v/>
      </c>
    </row>
    <row r="972" spans="22:22" ht="21.95" customHeight="1">
      <c r="V972" t="str">
        <f t="shared" si="22"/>
        <v/>
      </c>
    </row>
    <row r="973" spans="22:22" ht="21.95" customHeight="1">
      <c r="V973" t="str">
        <f t="shared" si="22"/>
        <v/>
      </c>
    </row>
    <row r="974" spans="22:22" ht="21.95" customHeight="1">
      <c r="V974" t="str">
        <f t="shared" si="22"/>
        <v/>
      </c>
    </row>
    <row r="975" spans="22:22" ht="21.95" customHeight="1">
      <c r="V975" t="str">
        <f t="shared" si="22"/>
        <v/>
      </c>
    </row>
    <row r="976" spans="22:22" ht="21.95" customHeight="1">
      <c r="V976" t="str">
        <f t="shared" si="22"/>
        <v/>
      </c>
    </row>
    <row r="977" spans="22:22" ht="21.95" customHeight="1">
      <c r="V977" t="str">
        <f t="shared" si="22"/>
        <v/>
      </c>
    </row>
    <row r="978" spans="22:22" ht="21.95" customHeight="1">
      <c r="V978" t="str">
        <f t="shared" si="22"/>
        <v/>
      </c>
    </row>
    <row r="979" spans="22:22" ht="21.95" customHeight="1">
      <c r="V979" t="str">
        <f t="shared" si="22"/>
        <v/>
      </c>
    </row>
    <row r="980" spans="22:22" ht="21.95" customHeight="1">
      <c r="V980" t="str">
        <f t="shared" si="22"/>
        <v/>
      </c>
    </row>
    <row r="981" spans="22:22" ht="21.95" customHeight="1">
      <c r="V981" t="str">
        <f t="shared" si="22"/>
        <v/>
      </c>
    </row>
    <row r="982" spans="22:22" ht="21.95" customHeight="1">
      <c r="V982" t="str">
        <f t="shared" si="22"/>
        <v/>
      </c>
    </row>
    <row r="983" spans="22:22" ht="21.95" customHeight="1">
      <c r="V983" t="str">
        <f t="shared" si="22"/>
        <v/>
      </c>
    </row>
    <row r="984" spans="22:22" ht="21.95" customHeight="1">
      <c r="V984" t="str">
        <f t="shared" si="22"/>
        <v/>
      </c>
    </row>
    <row r="985" spans="22:22" ht="21.95" customHeight="1">
      <c r="V985" t="str">
        <f t="shared" si="22"/>
        <v/>
      </c>
    </row>
    <row r="986" spans="22:22" ht="21.95" customHeight="1">
      <c r="V986" t="str">
        <f t="shared" si="22"/>
        <v/>
      </c>
    </row>
    <row r="987" spans="22:22" ht="21.95" customHeight="1">
      <c r="V987" t="str">
        <f t="shared" si="22"/>
        <v/>
      </c>
    </row>
    <row r="988" spans="22:22" ht="21.95" customHeight="1">
      <c r="V988" t="str">
        <f t="shared" ref="V988:V1051" si="23">IF(I988="","",VLOOKUP(I988,uom_list,5,FALSE))</f>
        <v/>
      </c>
    </row>
    <row r="989" spans="22:22" ht="21.95" customHeight="1">
      <c r="V989" t="str">
        <f t="shared" si="23"/>
        <v/>
      </c>
    </row>
    <row r="990" spans="22:22" ht="21.95" customHeight="1">
      <c r="V990" t="str">
        <f t="shared" si="23"/>
        <v/>
      </c>
    </row>
    <row r="991" spans="22:22" ht="21.95" customHeight="1">
      <c r="V991" t="str">
        <f t="shared" si="23"/>
        <v/>
      </c>
    </row>
    <row r="992" spans="22:22" ht="21.95" customHeight="1">
      <c r="V992" t="str">
        <f t="shared" si="23"/>
        <v/>
      </c>
    </row>
    <row r="993" spans="22:22" ht="21.95" customHeight="1">
      <c r="V993" t="str">
        <f t="shared" si="23"/>
        <v/>
      </c>
    </row>
    <row r="994" spans="22:22" ht="21.95" customHeight="1">
      <c r="V994" t="str">
        <f t="shared" si="23"/>
        <v/>
      </c>
    </row>
    <row r="995" spans="22:22" ht="21.95" customHeight="1">
      <c r="V995" t="str">
        <f t="shared" si="23"/>
        <v/>
      </c>
    </row>
    <row r="996" spans="22:22" ht="21.95" customHeight="1">
      <c r="V996" t="str">
        <f t="shared" si="23"/>
        <v/>
      </c>
    </row>
    <row r="997" spans="22:22" ht="21.95" customHeight="1">
      <c r="V997" t="str">
        <f t="shared" si="23"/>
        <v/>
      </c>
    </row>
    <row r="998" spans="22:22" ht="21.95" customHeight="1">
      <c r="V998" t="str">
        <f t="shared" si="23"/>
        <v/>
      </c>
    </row>
    <row r="999" spans="22:22" ht="21.95" customHeight="1">
      <c r="V999" t="str">
        <f t="shared" si="23"/>
        <v/>
      </c>
    </row>
    <row r="1000" spans="22:22" ht="21.95" customHeight="1">
      <c r="V1000" t="str">
        <f t="shared" si="23"/>
        <v/>
      </c>
    </row>
    <row r="1001" spans="22:22" ht="21.95" customHeight="1">
      <c r="V1001" t="str">
        <f t="shared" si="23"/>
        <v/>
      </c>
    </row>
    <row r="1002" spans="22:22" ht="21.95" customHeight="1">
      <c r="V1002" t="str">
        <f t="shared" si="23"/>
        <v/>
      </c>
    </row>
    <row r="1003" spans="22:22" ht="21.95" customHeight="1">
      <c r="V1003" t="str">
        <f t="shared" si="23"/>
        <v/>
      </c>
    </row>
    <row r="1004" spans="22:22" ht="21.95" customHeight="1">
      <c r="V1004" t="str">
        <f t="shared" si="23"/>
        <v/>
      </c>
    </row>
    <row r="1005" spans="22:22" ht="21.95" customHeight="1">
      <c r="V1005" t="str">
        <f t="shared" si="23"/>
        <v/>
      </c>
    </row>
    <row r="1006" spans="22:22" ht="21.95" customHeight="1">
      <c r="V1006" t="str">
        <f t="shared" si="23"/>
        <v/>
      </c>
    </row>
    <row r="1007" spans="22:22" ht="21.95" customHeight="1">
      <c r="V1007" t="str">
        <f t="shared" si="23"/>
        <v/>
      </c>
    </row>
    <row r="1008" spans="22:22" ht="21.95" customHeight="1">
      <c r="V1008" t="str">
        <f t="shared" si="23"/>
        <v/>
      </c>
    </row>
    <row r="1009" spans="22:22" ht="21.95" customHeight="1">
      <c r="V1009" t="str">
        <f t="shared" si="23"/>
        <v/>
      </c>
    </row>
    <row r="1010" spans="22:22" ht="21.95" customHeight="1">
      <c r="V1010" t="str">
        <f t="shared" si="23"/>
        <v/>
      </c>
    </row>
    <row r="1011" spans="22:22" ht="21.95" customHeight="1">
      <c r="V1011" t="str">
        <f t="shared" si="23"/>
        <v/>
      </c>
    </row>
    <row r="1012" spans="22:22" ht="21.95" customHeight="1">
      <c r="V1012" t="str">
        <f t="shared" si="23"/>
        <v/>
      </c>
    </row>
    <row r="1013" spans="22:22" ht="21.95" customHeight="1">
      <c r="V1013" t="str">
        <f t="shared" si="23"/>
        <v/>
      </c>
    </row>
    <row r="1014" spans="22:22" ht="21.95" customHeight="1">
      <c r="V1014" t="str">
        <f t="shared" si="23"/>
        <v/>
      </c>
    </row>
    <row r="1015" spans="22:22" ht="21.95" customHeight="1">
      <c r="V1015" t="str">
        <f t="shared" si="23"/>
        <v/>
      </c>
    </row>
    <row r="1016" spans="22:22" ht="21.95" customHeight="1">
      <c r="V1016" t="str">
        <f t="shared" si="23"/>
        <v/>
      </c>
    </row>
    <row r="1017" spans="22:22" ht="21.95" customHeight="1">
      <c r="V1017" t="str">
        <f t="shared" si="23"/>
        <v/>
      </c>
    </row>
    <row r="1018" spans="22:22" ht="21.95" customHeight="1">
      <c r="V1018" t="str">
        <f t="shared" si="23"/>
        <v/>
      </c>
    </row>
    <row r="1019" spans="22:22" ht="21.95" customHeight="1">
      <c r="V1019" t="str">
        <f t="shared" si="23"/>
        <v/>
      </c>
    </row>
    <row r="1020" spans="22:22" ht="21.95" customHeight="1">
      <c r="V1020" t="str">
        <f t="shared" si="23"/>
        <v/>
      </c>
    </row>
    <row r="1021" spans="22:22" ht="21.95" customHeight="1">
      <c r="V1021" t="str">
        <f t="shared" si="23"/>
        <v/>
      </c>
    </row>
    <row r="1022" spans="22:22" ht="21.95" customHeight="1">
      <c r="V1022" t="str">
        <f t="shared" si="23"/>
        <v/>
      </c>
    </row>
    <row r="1023" spans="22:22" ht="21.95" customHeight="1">
      <c r="V1023" t="str">
        <f t="shared" si="23"/>
        <v/>
      </c>
    </row>
    <row r="1024" spans="22:22" ht="21.95" customHeight="1">
      <c r="V1024" t="str">
        <f t="shared" si="23"/>
        <v/>
      </c>
    </row>
    <row r="1025" spans="22:22" ht="21.95" customHeight="1">
      <c r="V1025" t="str">
        <f t="shared" si="23"/>
        <v/>
      </c>
    </row>
    <row r="1026" spans="22:22" ht="21.95" customHeight="1">
      <c r="V1026" t="str">
        <f t="shared" si="23"/>
        <v/>
      </c>
    </row>
    <row r="1027" spans="22:22" ht="21.95" customHeight="1">
      <c r="V1027" t="str">
        <f t="shared" si="23"/>
        <v/>
      </c>
    </row>
    <row r="1028" spans="22:22" ht="21.95" customHeight="1">
      <c r="V1028" t="str">
        <f t="shared" si="23"/>
        <v/>
      </c>
    </row>
    <row r="1029" spans="22:22" ht="21.95" customHeight="1">
      <c r="V1029" t="str">
        <f t="shared" si="23"/>
        <v/>
      </c>
    </row>
    <row r="1030" spans="22:22" ht="21.95" customHeight="1">
      <c r="V1030" t="str">
        <f t="shared" si="23"/>
        <v/>
      </c>
    </row>
    <row r="1031" spans="22:22" ht="21.95" customHeight="1">
      <c r="V1031" t="str">
        <f t="shared" si="23"/>
        <v/>
      </c>
    </row>
    <row r="1032" spans="22:22" ht="21.95" customHeight="1">
      <c r="V1032" t="str">
        <f t="shared" si="23"/>
        <v/>
      </c>
    </row>
    <row r="1033" spans="22:22" ht="21.95" customHeight="1">
      <c r="V1033" t="str">
        <f t="shared" si="23"/>
        <v/>
      </c>
    </row>
    <row r="1034" spans="22:22" ht="21.95" customHeight="1">
      <c r="V1034" t="str">
        <f t="shared" si="23"/>
        <v/>
      </c>
    </row>
    <row r="1035" spans="22:22" ht="21.95" customHeight="1">
      <c r="V1035" t="str">
        <f t="shared" si="23"/>
        <v/>
      </c>
    </row>
    <row r="1036" spans="22:22" ht="21.95" customHeight="1">
      <c r="V1036" t="str">
        <f t="shared" si="23"/>
        <v/>
      </c>
    </row>
    <row r="1037" spans="22:22" ht="21.95" customHeight="1">
      <c r="V1037" t="str">
        <f t="shared" si="23"/>
        <v/>
      </c>
    </row>
    <row r="1038" spans="22:22" ht="21.95" customHeight="1">
      <c r="V1038" t="str">
        <f t="shared" si="23"/>
        <v/>
      </c>
    </row>
    <row r="1039" spans="22:22" ht="21.95" customHeight="1">
      <c r="V1039" t="str">
        <f t="shared" si="23"/>
        <v/>
      </c>
    </row>
    <row r="1040" spans="22:22" ht="21.95" customHeight="1">
      <c r="V1040" t="str">
        <f t="shared" si="23"/>
        <v/>
      </c>
    </row>
    <row r="1041" spans="22:22" ht="21.95" customHeight="1">
      <c r="V1041" t="str">
        <f t="shared" si="23"/>
        <v/>
      </c>
    </row>
    <row r="1042" spans="22:22" ht="21.95" customHeight="1">
      <c r="V1042" t="str">
        <f t="shared" si="23"/>
        <v/>
      </c>
    </row>
    <row r="1043" spans="22:22" ht="21.95" customHeight="1">
      <c r="V1043" t="str">
        <f t="shared" si="23"/>
        <v/>
      </c>
    </row>
    <row r="1044" spans="22:22" ht="21.95" customHeight="1">
      <c r="V1044" t="str">
        <f t="shared" si="23"/>
        <v/>
      </c>
    </row>
    <row r="1045" spans="22:22" ht="21.95" customHeight="1">
      <c r="V1045" t="str">
        <f t="shared" si="23"/>
        <v/>
      </c>
    </row>
    <row r="1046" spans="22:22" ht="21.95" customHeight="1">
      <c r="V1046" t="str">
        <f t="shared" si="23"/>
        <v/>
      </c>
    </row>
    <row r="1047" spans="22:22" ht="21.95" customHeight="1">
      <c r="V1047" t="str">
        <f t="shared" si="23"/>
        <v/>
      </c>
    </row>
    <row r="1048" spans="22:22" ht="21.95" customHeight="1">
      <c r="V1048" t="str">
        <f t="shared" si="23"/>
        <v/>
      </c>
    </row>
    <row r="1049" spans="22:22" ht="21.95" customHeight="1">
      <c r="V1049" t="str">
        <f t="shared" si="23"/>
        <v/>
      </c>
    </row>
    <row r="1050" spans="22:22" ht="21.95" customHeight="1">
      <c r="V1050" t="str">
        <f t="shared" si="23"/>
        <v/>
      </c>
    </row>
    <row r="1051" spans="22:22" ht="21.95" customHeight="1">
      <c r="V1051" t="str">
        <f t="shared" si="23"/>
        <v/>
      </c>
    </row>
    <row r="1052" spans="22:22" ht="21.95" customHeight="1">
      <c r="V1052" t="str">
        <f t="shared" ref="V1052:V1115" si="24">IF(I1052="","",VLOOKUP(I1052,uom_list,5,FALSE))</f>
        <v/>
      </c>
    </row>
    <row r="1053" spans="22:22" ht="21.95" customHeight="1">
      <c r="V1053" t="str">
        <f t="shared" si="24"/>
        <v/>
      </c>
    </row>
    <row r="1054" spans="22:22" ht="21.95" customHeight="1">
      <c r="V1054" t="str">
        <f t="shared" si="24"/>
        <v/>
      </c>
    </row>
    <row r="1055" spans="22:22" ht="21.95" customHeight="1">
      <c r="V1055" t="str">
        <f t="shared" si="24"/>
        <v/>
      </c>
    </row>
    <row r="1056" spans="22:22" ht="21.95" customHeight="1">
      <c r="V1056" t="str">
        <f t="shared" si="24"/>
        <v/>
      </c>
    </row>
    <row r="1057" spans="22:22" ht="21.95" customHeight="1">
      <c r="V1057" t="str">
        <f t="shared" si="24"/>
        <v/>
      </c>
    </row>
    <row r="1058" spans="22:22" ht="21.95" customHeight="1">
      <c r="V1058" t="str">
        <f t="shared" si="24"/>
        <v/>
      </c>
    </row>
    <row r="1059" spans="22:22" ht="21.95" customHeight="1">
      <c r="V1059" t="str">
        <f t="shared" si="24"/>
        <v/>
      </c>
    </row>
    <row r="1060" spans="22:22" ht="21.95" customHeight="1">
      <c r="V1060" t="str">
        <f t="shared" si="24"/>
        <v/>
      </c>
    </row>
    <row r="1061" spans="22:22" ht="21.95" customHeight="1">
      <c r="V1061" t="str">
        <f t="shared" si="24"/>
        <v/>
      </c>
    </row>
    <row r="1062" spans="22:22" ht="21.95" customHeight="1">
      <c r="V1062" t="str">
        <f t="shared" si="24"/>
        <v/>
      </c>
    </row>
    <row r="1063" spans="22:22" ht="21.95" customHeight="1">
      <c r="V1063" t="str">
        <f t="shared" si="24"/>
        <v/>
      </c>
    </row>
    <row r="1064" spans="22:22" ht="21.95" customHeight="1">
      <c r="V1064" t="str">
        <f t="shared" si="24"/>
        <v/>
      </c>
    </row>
    <row r="1065" spans="22:22" ht="21.95" customHeight="1">
      <c r="V1065" t="str">
        <f t="shared" si="24"/>
        <v/>
      </c>
    </row>
    <row r="1066" spans="22:22" ht="21.95" customHeight="1">
      <c r="V1066" t="str">
        <f t="shared" si="24"/>
        <v/>
      </c>
    </row>
    <row r="1067" spans="22:22" ht="21.95" customHeight="1">
      <c r="V1067" t="str">
        <f t="shared" si="24"/>
        <v/>
      </c>
    </row>
    <row r="1068" spans="22:22" ht="21.95" customHeight="1">
      <c r="V1068" t="str">
        <f t="shared" si="24"/>
        <v/>
      </c>
    </row>
    <row r="1069" spans="22:22" ht="21.95" customHeight="1">
      <c r="V1069" t="str">
        <f t="shared" si="24"/>
        <v/>
      </c>
    </row>
    <row r="1070" spans="22:22" ht="21.95" customHeight="1">
      <c r="V1070" t="str">
        <f t="shared" si="24"/>
        <v/>
      </c>
    </row>
    <row r="1071" spans="22:22" ht="21.95" customHeight="1">
      <c r="V1071" t="str">
        <f t="shared" si="24"/>
        <v/>
      </c>
    </row>
    <row r="1072" spans="22:22" ht="21.95" customHeight="1">
      <c r="V1072" t="str">
        <f t="shared" si="24"/>
        <v/>
      </c>
    </row>
    <row r="1073" spans="22:22" ht="21.95" customHeight="1">
      <c r="V1073" t="str">
        <f t="shared" si="24"/>
        <v/>
      </c>
    </row>
    <row r="1074" spans="22:22" ht="21.95" customHeight="1">
      <c r="V1074" t="str">
        <f t="shared" si="24"/>
        <v/>
      </c>
    </row>
    <row r="1075" spans="22:22" ht="21.95" customHeight="1">
      <c r="V1075" t="str">
        <f t="shared" si="24"/>
        <v/>
      </c>
    </row>
    <row r="1076" spans="22:22" ht="21.95" customHeight="1">
      <c r="V1076" t="str">
        <f t="shared" si="24"/>
        <v/>
      </c>
    </row>
    <row r="1077" spans="22:22" ht="21.95" customHeight="1">
      <c r="V1077" t="str">
        <f t="shared" si="24"/>
        <v/>
      </c>
    </row>
    <row r="1078" spans="22:22" ht="21.95" customHeight="1">
      <c r="V1078" t="str">
        <f t="shared" si="24"/>
        <v/>
      </c>
    </row>
    <row r="1079" spans="22:22" ht="21.95" customHeight="1">
      <c r="V1079" t="str">
        <f t="shared" si="24"/>
        <v/>
      </c>
    </row>
    <row r="1080" spans="22:22" ht="21.95" customHeight="1">
      <c r="V1080" t="str">
        <f t="shared" si="24"/>
        <v/>
      </c>
    </row>
    <row r="1081" spans="22:22" ht="21.95" customHeight="1">
      <c r="V1081" t="str">
        <f t="shared" si="24"/>
        <v/>
      </c>
    </row>
    <row r="1082" spans="22:22" ht="21.95" customHeight="1">
      <c r="V1082" t="str">
        <f t="shared" si="24"/>
        <v/>
      </c>
    </row>
    <row r="1083" spans="22:22" ht="21.95" customHeight="1">
      <c r="V1083" t="str">
        <f t="shared" si="24"/>
        <v/>
      </c>
    </row>
    <row r="1084" spans="22:22" ht="21.95" customHeight="1">
      <c r="V1084" t="str">
        <f t="shared" si="24"/>
        <v/>
      </c>
    </row>
    <row r="1085" spans="22:22" ht="21.95" customHeight="1">
      <c r="V1085" t="str">
        <f t="shared" si="24"/>
        <v/>
      </c>
    </row>
    <row r="1086" spans="22:22" ht="21.95" customHeight="1">
      <c r="V1086" t="str">
        <f t="shared" si="24"/>
        <v/>
      </c>
    </row>
    <row r="1087" spans="22:22" ht="21.95" customHeight="1">
      <c r="V1087" t="str">
        <f t="shared" si="24"/>
        <v/>
      </c>
    </row>
    <row r="1088" spans="22:22" ht="21.95" customHeight="1">
      <c r="V1088" t="str">
        <f t="shared" si="24"/>
        <v/>
      </c>
    </row>
    <row r="1089" spans="22:22" ht="21.95" customHeight="1">
      <c r="V1089" t="str">
        <f t="shared" si="24"/>
        <v/>
      </c>
    </row>
    <row r="1090" spans="22:22" ht="21.95" customHeight="1">
      <c r="V1090" t="str">
        <f t="shared" si="24"/>
        <v/>
      </c>
    </row>
    <row r="1091" spans="22:22" ht="21.95" customHeight="1">
      <c r="V1091" t="str">
        <f t="shared" si="24"/>
        <v/>
      </c>
    </row>
    <row r="1092" spans="22:22" ht="21.95" customHeight="1">
      <c r="V1092" t="str">
        <f t="shared" si="24"/>
        <v/>
      </c>
    </row>
    <row r="1093" spans="22:22" ht="21.95" customHeight="1">
      <c r="V1093" t="str">
        <f t="shared" si="24"/>
        <v/>
      </c>
    </row>
    <row r="1094" spans="22:22" ht="21.95" customHeight="1">
      <c r="V1094" t="str">
        <f t="shared" si="24"/>
        <v/>
      </c>
    </row>
    <row r="1095" spans="22:22" ht="21.95" customHeight="1">
      <c r="V1095" t="str">
        <f t="shared" si="24"/>
        <v/>
      </c>
    </row>
    <row r="1096" spans="22:22" ht="21.95" customHeight="1">
      <c r="V1096" t="str">
        <f t="shared" si="24"/>
        <v/>
      </c>
    </row>
    <row r="1097" spans="22:22" ht="21.95" customHeight="1">
      <c r="V1097" t="str">
        <f t="shared" si="24"/>
        <v/>
      </c>
    </row>
    <row r="1098" spans="22:22" ht="21.95" customHeight="1">
      <c r="V1098" t="str">
        <f t="shared" si="24"/>
        <v/>
      </c>
    </row>
    <row r="1099" spans="22:22" ht="21.95" customHeight="1">
      <c r="V1099" t="str">
        <f t="shared" si="24"/>
        <v/>
      </c>
    </row>
    <row r="1100" spans="22:22" ht="21.95" customHeight="1">
      <c r="V1100" t="str">
        <f t="shared" si="24"/>
        <v/>
      </c>
    </row>
    <row r="1101" spans="22:22" ht="21.95" customHeight="1">
      <c r="V1101" t="str">
        <f t="shared" si="24"/>
        <v/>
      </c>
    </row>
    <row r="1102" spans="22:22" ht="21.95" customHeight="1">
      <c r="V1102" t="str">
        <f t="shared" si="24"/>
        <v/>
      </c>
    </row>
    <row r="1103" spans="22:22" ht="21.95" customHeight="1">
      <c r="V1103" t="str">
        <f t="shared" si="24"/>
        <v/>
      </c>
    </row>
    <row r="1104" spans="22:22" ht="21.95" customHeight="1">
      <c r="V1104" t="str">
        <f t="shared" si="24"/>
        <v/>
      </c>
    </row>
    <row r="1105" spans="22:22" ht="21.95" customHeight="1">
      <c r="V1105" t="str">
        <f t="shared" si="24"/>
        <v/>
      </c>
    </row>
    <row r="1106" spans="22:22" ht="21.95" customHeight="1">
      <c r="V1106" t="str">
        <f t="shared" si="24"/>
        <v/>
      </c>
    </row>
    <row r="1107" spans="22:22" ht="21.95" customHeight="1">
      <c r="V1107" t="str">
        <f t="shared" si="24"/>
        <v/>
      </c>
    </row>
    <row r="1108" spans="22:22" ht="21.95" customHeight="1">
      <c r="V1108" t="str">
        <f t="shared" si="24"/>
        <v/>
      </c>
    </row>
    <row r="1109" spans="22:22" ht="21.95" customHeight="1">
      <c r="V1109" t="str">
        <f t="shared" si="24"/>
        <v/>
      </c>
    </row>
    <row r="1110" spans="22:22" ht="21.95" customHeight="1">
      <c r="V1110" t="str">
        <f t="shared" si="24"/>
        <v/>
      </c>
    </row>
    <row r="1111" spans="22:22" ht="21.95" customHeight="1">
      <c r="V1111" t="str">
        <f t="shared" si="24"/>
        <v/>
      </c>
    </row>
    <row r="1112" spans="22:22" ht="21.95" customHeight="1">
      <c r="V1112" t="str">
        <f t="shared" si="24"/>
        <v/>
      </c>
    </row>
    <row r="1113" spans="22:22" ht="21.95" customHeight="1">
      <c r="V1113" t="str">
        <f t="shared" si="24"/>
        <v/>
      </c>
    </row>
    <row r="1114" spans="22:22" ht="21.95" customHeight="1">
      <c r="V1114" t="str">
        <f t="shared" si="24"/>
        <v/>
      </c>
    </row>
    <row r="1115" spans="22:22" ht="21.95" customHeight="1">
      <c r="V1115" t="str">
        <f t="shared" si="24"/>
        <v/>
      </c>
    </row>
    <row r="1116" spans="22:22" ht="21.95" customHeight="1">
      <c r="V1116" t="str">
        <f t="shared" ref="V1116:V1179" si="25">IF(I1116="","",VLOOKUP(I1116,uom_list,5,FALSE))</f>
        <v/>
      </c>
    </row>
    <row r="1117" spans="22:22" ht="21.95" customHeight="1">
      <c r="V1117" t="str">
        <f t="shared" si="25"/>
        <v/>
      </c>
    </row>
    <row r="1118" spans="22:22" ht="21.95" customHeight="1">
      <c r="V1118" t="str">
        <f t="shared" si="25"/>
        <v/>
      </c>
    </row>
    <row r="1119" spans="22:22" ht="21.95" customHeight="1">
      <c r="V1119" t="str">
        <f t="shared" si="25"/>
        <v/>
      </c>
    </row>
    <row r="1120" spans="22:22" ht="21.95" customHeight="1">
      <c r="V1120" t="str">
        <f t="shared" si="25"/>
        <v/>
      </c>
    </row>
    <row r="1121" spans="22:22" ht="21.95" customHeight="1">
      <c r="V1121" t="str">
        <f t="shared" si="25"/>
        <v/>
      </c>
    </row>
    <row r="1122" spans="22:22" ht="21.95" customHeight="1">
      <c r="V1122" t="str">
        <f t="shared" si="25"/>
        <v/>
      </c>
    </row>
    <row r="1123" spans="22:22" ht="21.95" customHeight="1">
      <c r="V1123" t="str">
        <f t="shared" si="25"/>
        <v/>
      </c>
    </row>
    <row r="1124" spans="22:22" ht="21.95" customHeight="1">
      <c r="V1124" t="str">
        <f t="shared" si="25"/>
        <v/>
      </c>
    </row>
    <row r="1125" spans="22:22" ht="21.95" customHeight="1">
      <c r="V1125" t="str">
        <f t="shared" si="25"/>
        <v/>
      </c>
    </row>
    <row r="1126" spans="22:22" ht="21.95" customHeight="1">
      <c r="V1126" t="str">
        <f t="shared" si="25"/>
        <v/>
      </c>
    </row>
    <row r="1127" spans="22:22" ht="21.95" customHeight="1">
      <c r="V1127" t="str">
        <f t="shared" si="25"/>
        <v/>
      </c>
    </row>
    <row r="1128" spans="22:22" ht="21.95" customHeight="1">
      <c r="V1128" t="str">
        <f t="shared" si="25"/>
        <v/>
      </c>
    </row>
    <row r="1129" spans="22:22" ht="21.95" customHeight="1">
      <c r="V1129" t="str">
        <f t="shared" si="25"/>
        <v/>
      </c>
    </row>
    <row r="1130" spans="22:22" ht="21.95" customHeight="1">
      <c r="V1130" t="str">
        <f t="shared" si="25"/>
        <v/>
      </c>
    </row>
    <row r="1131" spans="22:22" ht="21.95" customHeight="1">
      <c r="V1131" t="str">
        <f t="shared" si="25"/>
        <v/>
      </c>
    </row>
    <row r="1132" spans="22:22" ht="21.95" customHeight="1">
      <c r="V1132" t="str">
        <f t="shared" si="25"/>
        <v/>
      </c>
    </row>
    <row r="1133" spans="22:22" ht="21.95" customHeight="1">
      <c r="V1133" t="str">
        <f t="shared" si="25"/>
        <v/>
      </c>
    </row>
    <row r="1134" spans="22:22" ht="21.95" customHeight="1">
      <c r="V1134" t="str">
        <f t="shared" si="25"/>
        <v/>
      </c>
    </row>
    <row r="1135" spans="22:22" ht="21.95" customHeight="1">
      <c r="V1135" t="str">
        <f t="shared" si="25"/>
        <v/>
      </c>
    </row>
    <row r="1136" spans="22:22" ht="21.95" customHeight="1">
      <c r="V1136" t="str">
        <f t="shared" si="25"/>
        <v/>
      </c>
    </row>
    <row r="1137" spans="22:22" ht="21.95" customHeight="1">
      <c r="V1137" t="str">
        <f t="shared" si="25"/>
        <v/>
      </c>
    </row>
    <row r="1138" spans="22:22" ht="21.95" customHeight="1">
      <c r="V1138" t="str">
        <f t="shared" si="25"/>
        <v/>
      </c>
    </row>
    <row r="1139" spans="22:22" ht="21.95" customHeight="1">
      <c r="V1139" t="str">
        <f t="shared" si="25"/>
        <v/>
      </c>
    </row>
    <row r="1140" spans="22:22" ht="21.95" customHeight="1">
      <c r="V1140" t="str">
        <f t="shared" si="25"/>
        <v/>
      </c>
    </row>
    <row r="1141" spans="22:22" ht="21.95" customHeight="1">
      <c r="V1141" t="str">
        <f t="shared" si="25"/>
        <v/>
      </c>
    </row>
    <row r="1142" spans="22:22" ht="21.95" customHeight="1">
      <c r="V1142" t="str">
        <f t="shared" si="25"/>
        <v/>
      </c>
    </row>
    <row r="1143" spans="22:22" ht="21.95" customHeight="1">
      <c r="V1143" t="str">
        <f t="shared" si="25"/>
        <v/>
      </c>
    </row>
    <row r="1144" spans="22:22" ht="21.95" customHeight="1">
      <c r="V1144" t="str">
        <f t="shared" si="25"/>
        <v/>
      </c>
    </row>
    <row r="1145" spans="22:22" ht="21.95" customHeight="1">
      <c r="V1145" t="str">
        <f t="shared" si="25"/>
        <v/>
      </c>
    </row>
    <row r="1146" spans="22:22" ht="21.95" customHeight="1">
      <c r="V1146" t="str">
        <f t="shared" si="25"/>
        <v/>
      </c>
    </row>
    <row r="1147" spans="22:22" ht="21.95" customHeight="1">
      <c r="V1147" t="str">
        <f t="shared" si="25"/>
        <v/>
      </c>
    </row>
    <row r="1148" spans="22:22" ht="21.95" customHeight="1">
      <c r="V1148" t="str">
        <f t="shared" si="25"/>
        <v/>
      </c>
    </row>
    <row r="1149" spans="22:22" ht="21.95" customHeight="1">
      <c r="V1149" t="str">
        <f t="shared" si="25"/>
        <v/>
      </c>
    </row>
    <row r="1150" spans="22:22" ht="21.95" customHeight="1">
      <c r="V1150" t="str">
        <f t="shared" si="25"/>
        <v/>
      </c>
    </row>
    <row r="1151" spans="22:22" ht="21.95" customHeight="1">
      <c r="V1151" t="str">
        <f t="shared" si="25"/>
        <v/>
      </c>
    </row>
    <row r="1152" spans="22:22" ht="21.95" customHeight="1">
      <c r="V1152" t="str">
        <f t="shared" si="25"/>
        <v/>
      </c>
    </row>
    <row r="1153" spans="22:22" ht="21.95" customHeight="1">
      <c r="V1153" t="str">
        <f t="shared" si="25"/>
        <v/>
      </c>
    </row>
    <row r="1154" spans="22:22" ht="21.95" customHeight="1">
      <c r="V1154" t="str">
        <f t="shared" si="25"/>
        <v/>
      </c>
    </row>
    <row r="1155" spans="22:22" ht="21.95" customHeight="1">
      <c r="V1155" t="str">
        <f t="shared" si="25"/>
        <v/>
      </c>
    </row>
    <row r="1156" spans="22:22" ht="21.95" customHeight="1">
      <c r="V1156" t="str">
        <f t="shared" si="25"/>
        <v/>
      </c>
    </row>
    <row r="1157" spans="22:22" ht="21.95" customHeight="1">
      <c r="V1157" t="str">
        <f t="shared" si="25"/>
        <v/>
      </c>
    </row>
    <row r="1158" spans="22:22" ht="21.95" customHeight="1">
      <c r="V1158" t="str">
        <f t="shared" si="25"/>
        <v/>
      </c>
    </row>
    <row r="1159" spans="22:22" ht="21.95" customHeight="1">
      <c r="V1159" t="str">
        <f t="shared" si="25"/>
        <v/>
      </c>
    </row>
    <row r="1160" spans="22:22" ht="21.95" customHeight="1">
      <c r="V1160" t="str">
        <f t="shared" si="25"/>
        <v/>
      </c>
    </row>
    <row r="1161" spans="22:22" ht="21.95" customHeight="1">
      <c r="V1161" t="str">
        <f t="shared" si="25"/>
        <v/>
      </c>
    </row>
    <row r="1162" spans="22:22" ht="21.95" customHeight="1">
      <c r="V1162" t="str">
        <f t="shared" si="25"/>
        <v/>
      </c>
    </row>
    <row r="1163" spans="22:22" ht="21.95" customHeight="1">
      <c r="V1163" t="str">
        <f t="shared" si="25"/>
        <v/>
      </c>
    </row>
    <row r="1164" spans="22:22" ht="21.95" customHeight="1">
      <c r="V1164" t="str">
        <f t="shared" si="25"/>
        <v/>
      </c>
    </row>
    <row r="1165" spans="22:22" ht="21.95" customHeight="1">
      <c r="V1165" t="str">
        <f t="shared" si="25"/>
        <v/>
      </c>
    </row>
    <row r="1166" spans="22:22" ht="21.95" customHeight="1">
      <c r="V1166" t="str">
        <f t="shared" si="25"/>
        <v/>
      </c>
    </row>
    <row r="1167" spans="22:22" ht="21.95" customHeight="1">
      <c r="V1167" t="str">
        <f t="shared" si="25"/>
        <v/>
      </c>
    </row>
    <row r="1168" spans="22:22" ht="21.95" customHeight="1">
      <c r="V1168" t="str">
        <f t="shared" si="25"/>
        <v/>
      </c>
    </row>
    <row r="1169" spans="22:22" ht="21.95" customHeight="1">
      <c r="V1169" t="str">
        <f t="shared" si="25"/>
        <v/>
      </c>
    </row>
    <row r="1170" spans="22:22" ht="21.95" customHeight="1">
      <c r="V1170" t="str">
        <f t="shared" si="25"/>
        <v/>
      </c>
    </row>
    <row r="1171" spans="22:22" ht="21.95" customHeight="1">
      <c r="V1171" t="str">
        <f t="shared" si="25"/>
        <v/>
      </c>
    </row>
    <row r="1172" spans="22:22" ht="21.95" customHeight="1">
      <c r="V1172" t="str">
        <f t="shared" si="25"/>
        <v/>
      </c>
    </row>
    <row r="1173" spans="22:22" ht="21.95" customHeight="1">
      <c r="V1173" t="str">
        <f t="shared" si="25"/>
        <v/>
      </c>
    </row>
    <row r="1174" spans="22:22" ht="21.95" customHeight="1">
      <c r="V1174" t="str">
        <f t="shared" si="25"/>
        <v/>
      </c>
    </row>
    <row r="1175" spans="22:22" ht="21.95" customHeight="1">
      <c r="V1175" t="str">
        <f t="shared" si="25"/>
        <v/>
      </c>
    </row>
    <row r="1176" spans="22:22" ht="21.95" customHeight="1">
      <c r="V1176" t="str">
        <f t="shared" si="25"/>
        <v/>
      </c>
    </row>
    <row r="1177" spans="22:22" ht="21.95" customHeight="1">
      <c r="V1177" t="str">
        <f t="shared" si="25"/>
        <v/>
      </c>
    </row>
    <row r="1178" spans="22:22" ht="21.95" customHeight="1">
      <c r="V1178" t="str">
        <f t="shared" si="25"/>
        <v/>
      </c>
    </row>
    <row r="1179" spans="22:22" ht="21.95" customHeight="1">
      <c r="V1179" t="str">
        <f t="shared" si="25"/>
        <v/>
      </c>
    </row>
    <row r="1180" spans="22:22" ht="21.95" customHeight="1">
      <c r="V1180" t="str">
        <f t="shared" ref="V1180:V1243" si="26">IF(I1180="","",VLOOKUP(I1180,uom_list,5,FALSE))</f>
        <v/>
      </c>
    </row>
    <row r="1181" spans="22:22" ht="21.95" customHeight="1">
      <c r="V1181" t="str">
        <f t="shared" si="26"/>
        <v/>
      </c>
    </row>
    <row r="1182" spans="22:22" ht="21.95" customHeight="1">
      <c r="V1182" t="str">
        <f t="shared" si="26"/>
        <v/>
      </c>
    </row>
    <row r="1183" spans="22:22" ht="21.95" customHeight="1">
      <c r="V1183" t="str">
        <f t="shared" si="26"/>
        <v/>
      </c>
    </row>
    <row r="1184" spans="22:22" ht="21.95" customHeight="1">
      <c r="V1184" t="str">
        <f t="shared" si="26"/>
        <v/>
      </c>
    </row>
    <row r="1185" spans="22:22" ht="21.95" customHeight="1">
      <c r="V1185" t="str">
        <f t="shared" si="26"/>
        <v/>
      </c>
    </row>
    <row r="1186" spans="22:22" ht="21.95" customHeight="1">
      <c r="V1186" t="str">
        <f t="shared" si="26"/>
        <v/>
      </c>
    </row>
    <row r="1187" spans="22:22" ht="21.95" customHeight="1">
      <c r="V1187" t="str">
        <f t="shared" si="26"/>
        <v/>
      </c>
    </row>
    <row r="1188" spans="22:22" ht="21.95" customHeight="1">
      <c r="V1188" t="str">
        <f t="shared" si="26"/>
        <v/>
      </c>
    </row>
    <row r="1189" spans="22:22" ht="21.95" customHeight="1">
      <c r="V1189" t="str">
        <f t="shared" si="26"/>
        <v/>
      </c>
    </row>
    <row r="1190" spans="22:22" ht="21.95" customHeight="1">
      <c r="V1190" t="str">
        <f t="shared" si="26"/>
        <v/>
      </c>
    </row>
    <row r="1191" spans="22:22" ht="21.95" customHeight="1">
      <c r="V1191" t="str">
        <f t="shared" si="26"/>
        <v/>
      </c>
    </row>
    <row r="1192" spans="22:22" ht="21.95" customHeight="1">
      <c r="V1192" t="str">
        <f t="shared" si="26"/>
        <v/>
      </c>
    </row>
    <row r="1193" spans="22:22" ht="21.95" customHeight="1">
      <c r="V1193" t="str">
        <f t="shared" si="26"/>
        <v/>
      </c>
    </row>
    <row r="1194" spans="22:22" ht="21.95" customHeight="1">
      <c r="V1194" t="str">
        <f t="shared" si="26"/>
        <v/>
      </c>
    </row>
    <row r="1195" spans="22:22" ht="21.95" customHeight="1">
      <c r="V1195" t="str">
        <f t="shared" si="26"/>
        <v/>
      </c>
    </row>
    <row r="1196" spans="22:22" ht="21.95" customHeight="1">
      <c r="V1196" t="str">
        <f t="shared" si="26"/>
        <v/>
      </c>
    </row>
    <row r="1197" spans="22:22" ht="21.95" customHeight="1">
      <c r="V1197" t="str">
        <f t="shared" si="26"/>
        <v/>
      </c>
    </row>
    <row r="1198" spans="22:22" ht="21.95" customHeight="1">
      <c r="V1198" t="str">
        <f t="shared" si="26"/>
        <v/>
      </c>
    </row>
    <row r="1199" spans="22:22" ht="21.95" customHeight="1">
      <c r="V1199" t="str">
        <f t="shared" si="26"/>
        <v/>
      </c>
    </row>
    <row r="1200" spans="22:22" ht="21.95" customHeight="1">
      <c r="V1200" t="str">
        <f t="shared" si="26"/>
        <v/>
      </c>
    </row>
    <row r="1201" spans="22:22" ht="21.95" customHeight="1">
      <c r="V1201" t="str">
        <f t="shared" si="26"/>
        <v/>
      </c>
    </row>
    <row r="1202" spans="22:22" ht="21.95" customHeight="1">
      <c r="V1202" t="str">
        <f t="shared" si="26"/>
        <v/>
      </c>
    </row>
    <row r="1203" spans="22:22" ht="21.95" customHeight="1">
      <c r="V1203" t="str">
        <f t="shared" si="26"/>
        <v/>
      </c>
    </row>
    <row r="1204" spans="22:22" ht="21.95" customHeight="1">
      <c r="V1204" t="str">
        <f t="shared" si="26"/>
        <v/>
      </c>
    </row>
    <row r="1205" spans="22:22" ht="21.95" customHeight="1">
      <c r="V1205" t="str">
        <f t="shared" si="26"/>
        <v/>
      </c>
    </row>
    <row r="1206" spans="22:22" ht="21.95" customHeight="1">
      <c r="V1206" t="str">
        <f t="shared" si="26"/>
        <v/>
      </c>
    </row>
    <row r="1207" spans="22:22" ht="21.95" customHeight="1">
      <c r="V1207" t="str">
        <f t="shared" si="26"/>
        <v/>
      </c>
    </row>
    <row r="1208" spans="22:22" ht="21.95" customHeight="1">
      <c r="V1208" t="str">
        <f t="shared" si="26"/>
        <v/>
      </c>
    </row>
    <row r="1209" spans="22:22" ht="21.95" customHeight="1">
      <c r="V1209" t="str">
        <f t="shared" si="26"/>
        <v/>
      </c>
    </row>
    <row r="1210" spans="22:22" ht="21.95" customHeight="1">
      <c r="V1210" t="str">
        <f t="shared" si="26"/>
        <v/>
      </c>
    </row>
    <row r="1211" spans="22:22" ht="21.95" customHeight="1">
      <c r="V1211" t="str">
        <f t="shared" si="26"/>
        <v/>
      </c>
    </row>
    <row r="1212" spans="22:22" ht="21.95" customHeight="1">
      <c r="V1212" t="str">
        <f t="shared" si="26"/>
        <v/>
      </c>
    </row>
    <row r="1213" spans="22:22" ht="21.95" customHeight="1">
      <c r="V1213" t="str">
        <f t="shared" si="26"/>
        <v/>
      </c>
    </row>
    <row r="1214" spans="22:22" ht="21.95" customHeight="1">
      <c r="V1214" t="str">
        <f t="shared" si="26"/>
        <v/>
      </c>
    </row>
    <row r="1215" spans="22:22" ht="21.95" customHeight="1">
      <c r="V1215" t="str">
        <f t="shared" si="26"/>
        <v/>
      </c>
    </row>
    <row r="1216" spans="22:22" ht="21.95" customHeight="1">
      <c r="V1216" t="str">
        <f t="shared" si="26"/>
        <v/>
      </c>
    </row>
    <row r="1217" spans="22:22" ht="21.95" customHeight="1">
      <c r="V1217" t="str">
        <f t="shared" si="26"/>
        <v/>
      </c>
    </row>
    <row r="1218" spans="22:22" ht="21.95" customHeight="1">
      <c r="V1218" t="str">
        <f t="shared" si="26"/>
        <v/>
      </c>
    </row>
    <row r="1219" spans="22:22" ht="21.95" customHeight="1">
      <c r="V1219" t="str">
        <f t="shared" si="26"/>
        <v/>
      </c>
    </row>
    <row r="1220" spans="22:22" ht="21.95" customHeight="1">
      <c r="V1220" t="str">
        <f t="shared" si="26"/>
        <v/>
      </c>
    </row>
    <row r="1221" spans="22:22" ht="21.95" customHeight="1">
      <c r="V1221" t="str">
        <f t="shared" si="26"/>
        <v/>
      </c>
    </row>
    <row r="1222" spans="22:22" ht="21.95" customHeight="1">
      <c r="V1222" t="str">
        <f t="shared" si="26"/>
        <v/>
      </c>
    </row>
    <row r="1223" spans="22:22" ht="21.95" customHeight="1">
      <c r="V1223" t="str">
        <f t="shared" si="26"/>
        <v/>
      </c>
    </row>
    <row r="1224" spans="22:22" ht="21.95" customHeight="1">
      <c r="V1224" t="str">
        <f t="shared" si="26"/>
        <v/>
      </c>
    </row>
    <row r="1225" spans="22:22" ht="21.95" customHeight="1">
      <c r="V1225" t="str">
        <f t="shared" si="26"/>
        <v/>
      </c>
    </row>
    <row r="1226" spans="22:22" ht="21.95" customHeight="1">
      <c r="V1226" t="str">
        <f t="shared" si="26"/>
        <v/>
      </c>
    </row>
    <row r="1227" spans="22:22" ht="21.95" customHeight="1">
      <c r="V1227" t="str">
        <f t="shared" si="26"/>
        <v/>
      </c>
    </row>
    <row r="1228" spans="22:22" ht="21.95" customHeight="1">
      <c r="V1228" t="str">
        <f t="shared" si="26"/>
        <v/>
      </c>
    </row>
    <row r="1229" spans="22:22" ht="21.95" customHeight="1">
      <c r="V1229" t="str">
        <f t="shared" si="26"/>
        <v/>
      </c>
    </row>
    <row r="1230" spans="22:22" ht="21.95" customHeight="1">
      <c r="V1230" t="str">
        <f t="shared" si="26"/>
        <v/>
      </c>
    </row>
    <row r="1231" spans="22:22" ht="21.95" customHeight="1">
      <c r="V1231" t="str">
        <f t="shared" si="26"/>
        <v/>
      </c>
    </row>
    <row r="1232" spans="22:22" ht="21.95" customHeight="1">
      <c r="V1232" t="str">
        <f t="shared" si="26"/>
        <v/>
      </c>
    </row>
    <row r="1233" spans="22:22" ht="21.95" customHeight="1">
      <c r="V1233" t="str">
        <f t="shared" si="26"/>
        <v/>
      </c>
    </row>
    <row r="1234" spans="22:22" ht="21.95" customHeight="1">
      <c r="V1234" t="str">
        <f t="shared" si="26"/>
        <v/>
      </c>
    </row>
    <row r="1235" spans="22:22" ht="21.95" customHeight="1">
      <c r="V1235" t="str">
        <f t="shared" si="26"/>
        <v/>
      </c>
    </row>
    <row r="1236" spans="22:22" ht="21.95" customHeight="1">
      <c r="V1236" t="str">
        <f t="shared" si="26"/>
        <v/>
      </c>
    </row>
    <row r="1237" spans="22:22" ht="21.95" customHeight="1">
      <c r="V1237" t="str">
        <f t="shared" si="26"/>
        <v/>
      </c>
    </row>
    <row r="1238" spans="22:22" ht="21.95" customHeight="1">
      <c r="V1238" t="str">
        <f t="shared" si="26"/>
        <v/>
      </c>
    </row>
    <row r="1239" spans="22:22" ht="21.95" customHeight="1">
      <c r="V1239" t="str">
        <f t="shared" si="26"/>
        <v/>
      </c>
    </row>
    <row r="1240" spans="22:22" ht="21.95" customHeight="1">
      <c r="V1240" t="str">
        <f t="shared" si="26"/>
        <v/>
      </c>
    </row>
    <row r="1241" spans="22:22" ht="21.95" customHeight="1">
      <c r="V1241" t="str">
        <f t="shared" si="26"/>
        <v/>
      </c>
    </row>
    <row r="1242" spans="22:22" ht="21.95" customHeight="1">
      <c r="V1242" t="str">
        <f t="shared" si="26"/>
        <v/>
      </c>
    </row>
    <row r="1243" spans="22:22" ht="21.95" customHeight="1">
      <c r="V1243" t="str">
        <f t="shared" si="26"/>
        <v/>
      </c>
    </row>
    <row r="1244" spans="22:22" ht="21.95" customHeight="1">
      <c r="V1244" t="str">
        <f t="shared" ref="V1244:V1261" si="27">IF(I1244="","",VLOOKUP(I1244,uom_list,5,FALSE))</f>
        <v/>
      </c>
    </row>
    <row r="1245" spans="22:22" ht="21.95" customHeight="1">
      <c r="V1245" t="str">
        <f t="shared" si="27"/>
        <v/>
      </c>
    </row>
    <row r="1246" spans="22:22" ht="21.95" customHeight="1">
      <c r="V1246" t="str">
        <f t="shared" si="27"/>
        <v/>
      </c>
    </row>
    <row r="1247" spans="22:22" ht="21.95" customHeight="1">
      <c r="V1247" t="str">
        <f t="shared" si="27"/>
        <v/>
      </c>
    </row>
    <row r="1248" spans="22:22" ht="21.95" customHeight="1">
      <c r="V1248" t="str">
        <f t="shared" si="27"/>
        <v/>
      </c>
    </row>
    <row r="1249" spans="22:22" ht="21.95" customHeight="1">
      <c r="V1249" t="str">
        <f t="shared" si="27"/>
        <v/>
      </c>
    </row>
    <row r="1250" spans="22:22" ht="21.95" customHeight="1">
      <c r="V1250" t="str">
        <f t="shared" si="27"/>
        <v/>
      </c>
    </row>
    <row r="1251" spans="22:22" ht="21.95" customHeight="1">
      <c r="V1251" t="str">
        <f t="shared" si="27"/>
        <v/>
      </c>
    </row>
    <row r="1252" spans="22:22" ht="21.95" customHeight="1">
      <c r="V1252" t="str">
        <f t="shared" si="27"/>
        <v/>
      </c>
    </row>
    <row r="1253" spans="22:22" ht="21.95" customHeight="1">
      <c r="V1253" t="str">
        <f t="shared" si="27"/>
        <v/>
      </c>
    </row>
    <row r="1254" spans="22:22" ht="21.95" customHeight="1">
      <c r="V1254" t="str">
        <f t="shared" si="27"/>
        <v/>
      </c>
    </row>
    <row r="1255" spans="22:22" ht="21.95" customHeight="1">
      <c r="V1255" t="str">
        <f t="shared" si="27"/>
        <v/>
      </c>
    </row>
    <row r="1256" spans="22:22" ht="21.95" customHeight="1">
      <c r="V1256" t="str">
        <f t="shared" si="27"/>
        <v/>
      </c>
    </row>
    <row r="1257" spans="22:22" ht="21.95" customHeight="1">
      <c r="V1257" t="str">
        <f t="shared" si="27"/>
        <v/>
      </c>
    </row>
    <row r="1258" spans="22:22" ht="21.95" customHeight="1">
      <c r="V1258" t="str">
        <f t="shared" si="27"/>
        <v/>
      </c>
    </row>
    <row r="1259" spans="22:22" ht="21.95" customHeight="1">
      <c r="V1259" t="str">
        <f t="shared" si="27"/>
        <v/>
      </c>
    </row>
    <row r="1260" spans="22:22" ht="21.95" customHeight="1">
      <c r="V1260" t="str">
        <f t="shared" si="27"/>
        <v/>
      </c>
    </row>
    <row r="1261" spans="22:22" ht="21.95" customHeight="1">
      <c r="V1261" t="str">
        <f t="shared" si="27"/>
        <v/>
      </c>
    </row>
  </sheetData>
  <autoFilter ref="C27:W654" xr:uid="{5765BE0A-1F56-493E-B142-0F94F12B37B4}"/>
  <mergeCells count="29">
    <mergeCell ref="G19:H19"/>
    <mergeCell ref="G20:H20"/>
    <mergeCell ref="G21:H21"/>
    <mergeCell ref="G14:H14"/>
    <mergeCell ref="G15:H15"/>
    <mergeCell ref="G16:H16"/>
    <mergeCell ref="G17:H17"/>
    <mergeCell ref="G18:H18"/>
    <mergeCell ref="D14:E14"/>
    <mergeCell ref="D22:E22"/>
    <mergeCell ref="D16:E16"/>
    <mergeCell ref="D17:E17"/>
    <mergeCell ref="D18:E18"/>
    <mergeCell ref="D19:E19"/>
    <mergeCell ref="D20:E20"/>
    <mergeCell ref="D21:E21"/>
    <mergeCell ref="D15:E15"/>
    <mergeCell ref="G12:H12"/>
    <mergeCell ref="G13:H13"/>
    <mergeCell ref="C6:D6"/>
    <mergeCell ref="E6:G6"/>
    <mergeCell ref="C4:D4"/>
    <mergeCell ref="D12:E12"/>
    <mergeCell ref="D13:E13"/>
    <mergeCell ref="J6:L6"/>
    <mergeCell ref="D10:E10"/>
    <mergeCell ref="D11:E11"/>
    <mergeCell ref="G10:H10"/>
    <mergeCell ref="G11:H11"/>
  </mergeCells>
  <phoneticPr fontId="36" type="noConversion"/>
  <dataValidations count="4">
    <dataValidation type="list" allowBlank="1" showInputMessage="1" showErrorMessage="1" sqref="J6" xr:uid="{CADC07C6-A937-4CB2-95FC-BB67B0963A49}">
      <formula1>branch_option</formula1>
    </dataValidation>
    <dataValidation type="list" allowBlank="1" showInputMessage="1" showErrorMessage="1" sqref="D10:D22" xr:uid="{60658BFC-3187-45B4-BAF2-92B3E3AC60DF}">
      <formula1>price_type_option</formula1>
    </dataValidation>
    <dataValidation type="decimal" operator="greaterThanOrEqual" allowBlank="1" showInputMessage="1" showErrorMessage="1" sqref="I10:K21 M10:O21 L10:L24" xr:uid="{D3036E82-9228-4123-A0DA-ADF7920688DA}">
      <formula1>0</formula1>
    </dataValidation>
    <dataValidation type="list" allowBlank="1" showInputMessage="1" showErrorMessage="1" sqref="S10:S21" xr:uid="{EBB9776E-7EBD-4899-9CDC-A1EF883342AC}">
      <formula1>$O$6:$Q$6</formula1>
    </dataValidation>
  </dataValidations>
  <printOptions horizontalCentered="1"/>
  <pageMargins left="0" right="0" top="0.19685039370078741" bottom="0.19685039370078741" header="0" footer="0.15748031496062992"/>
  <pageSetup paperSize="9" scale="66" orientation="landscape" verticalDpi="1200" r:id="rId1"/>
  <headerFooter>
    <oddFooter>&amp;Cទំព័រ &amp;P នៃ &amp;N</oddFooter>
  </headerFooter>
  <drawing r:id="rId2"/>
  <legacyDrawing r:id="rId3"/>
  <controls>
    <mc:AlternateContent xmlns:mc="http://schemas.openxmlformats.org/markup-compatibility/2006">
      <mc:Choice Requires="x14">
        <control shapeId="4519954" r:id="rId4" name="ProductAddPrice">
          <controlPr defaultSize="0" print="0" autoFill="0" autoLine="0" autoPict="0" r:id="rId5">
            <anchor moveWithCells="1" sizeWithCells="1">
              <from>
                <xdr:col>3</xdr:col>
                <xdr:colOff>1162050</xdr:colOff>
                <xdr:row>2</xdr:row>
                <xdr:rowOff>95250</xdr:rowOff>
              </from>
              <to>
                <xdr:col>7</xdr:col>
                <xdr:colOff>28575</xdr:colOff>
                <xdr:row>4</xdr:row>
                <xdr:rowOff>9525</xdr:rowOff>
              </to>
            </anchor>
          </controlPr>
        </control>
      </mc:Choice>
      <mc:Fallback>
        <control shapeId="4519954" r:id="rId4" name="ProductAddPrice"/>
      </mc:Fallback>
    </mc:AlternateContent>
    <mc:AlternateContent xmlns:mc="http://schemas.openxmlformats.org/markup-compatibility/2006">
      <mc:Choice Requires="x14">
        <control shapeId="4519956" r:id="rId6" name="Button 20">
          <controlPr defaultSize="0" autoFill="0" autoPict="0" macro="[0]!AddProductPriceByUom">
            <anchor>
              <from>
                <xdr:col>13</xdr:col>
                <xdr:colOff>1247775</xdr:colOff>
                <xdr:row>2</xdr:row>
                <xdr:rowOff>95250</xdr:rowOff>
              </from>
              <to>
                <xdr:col>14</xdr:col>
                <xdr:colOff>1333500</xdr:colOff>
                <xdr:row>4</xdr:row>
                <xdr:rowOff>9525</xdr:rowOff>
              </to>
            </anchor>
          </controlPr>
        </control>
      </mc:Choice>
    </mc:AlternateContent>
  </controls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49D1B4-617A-44FB-AC74-1EE9D450D641}">
  <sheetPr codeName="Sheet8"/>
  <dimension ref="C1:J383"/>
  <sheetViews>
    <sheetView showGridLines="0" topLeftCell="A3" zoomScale="90" zoomScaleNormal="90" workbookViewId="0">
      <pane ySplit="5" topLeftCell="A8" activePane="bottomLeft" state="frozen"/>
      <selection pane="bottomLeft" activeCell="J8" sqref="J8"/>
    </sheetView>
  </sheetViews>
  <sheetFormatPr defaultRowHeight="25.5"/>
  <cols>
    <col min="3" max="3" width="9.140625" style="168"/>
    <col min="4" max="4" width="25.85546875" style="253" customWidth="1"/>
    <col min="5" max="5" width="26.5703125" style="188" customWidth="1"/>
    <col min="6" max="6" width="32.85546875" style="414" customWidth="1"/>
    <col min="7" max="7" width="32.140625" style="168" customWidth="1"/>
    <col min="8" max="8" width="17.140625" style="168" customWidth="1"/>
    <col min="9" max="9" width="14.7109375" style="168" customWidth="1"/>
    <col min="10" max="10" width="34.5703125" style="68" customWidth="1"/>
  </cols>
  <sheetData>
    <row r="1" spans="3:10" ht="23.25" hidden="1">
      <c r="C1" s="13"/>
      <c r="D1" s="3"/>
      <c r="E1" s="121"/>
      <c r="F1" s="13"/>
    </row>
    <row r="2" spans="3:10" ht="23.25" hidden="1">
      <c r="C2" s="13"/>
      <c r="D2" s="3"/>
      <c r="E2" s="121"/>
      <c r="F2" s="13"/>
    </row>
    <row r="3" spans="3:10" ht="8.25" customHeight="1">
      <c r="C3" s="13"/>
      <c r="D3" s="3"/>
      <c r="E3" s="121"/>
      <c r="F3" s="13"/>
    </row>
    <row r="4" spans="3:10" ht="60.75" customHeight="1">
      <c r="C4" s="538" t="s">
        <v>2044</v>
      </c>
      <c r="D4" s="3"/>
      <c r="E4" s="121"/>
      <c r="F4" s="488"/>
      <c r="G4" s="297"/>
      <c r="H4" s="297"/>
      <c r="I4" s="297"/>
    </row>
    <row r="5" spans="3:10" ht="9" customHeight="1">
      <c r="C5" s="488"/>
      <c r="D5" s="3"/>
      <c r="E5" s="121"/>
      <c r="F5" s="488"/>
    </row>
    <row r="6" spans="3:10">
      <c r="C6" s="526" t="s">
        <v>47</v>
      </c>
      <c r="D6" s="526" t="s">
        <v>193</v>
      </c>
      <c r="E6" s="526" t="s">
        <v>4800</v>
      </c>
      <c r="F6" s="526" t="s">
        <v>74</v>
      </c>
      <c r="G6" s="526" t="s">
        <v>653</v>
      </c>
      <c r="H6" s="526" t="s">
        <v>2097</v>
      </c>
      <c r="I6" s="526" t="s">
        <v>187</v>
      </c>
      <c r="J6" s="526" t="s">
        <v>4800</v>
      </c>
    </row>
    <row r="7" spans="3:10" ht="23.25" customHeight="1">
      <c r="C7" s="530" t="s">
        <v>2037</v>
      </c>
      <c r="D7" s="530" t="s">
        <v>12</v>
      </c>
      <c r="E7" s="530" t="s">
        <v>4799</v>
      </c>
      <c r="F7" s="530" t="s">
        <v>76</v>
      </c>
      <c r="G7" s="530" t="s">
        <v>639</v>
      </c>
      <c r="H7" s="530" t="s">
        <v>2085</v>
      </c>
      <c r="I7" s="530" t="s">
        <v>1645</v>
      </c>
      <c r="J7" s="530" t="s">
        <v>4799</v>
      </c>
    </row>
    <row r="8" spans="3:10">
      <c r="C8" s="483">
        <v>1</v>
      </c>
      <c r="D8" s="509" t="s">
        <v>2098</v>
      </c>
      <c r="E8" s="505" t="s">
        <v>2099</v>
      </c>
      <c r="F8" s="481"/>
      <c r="G8" s="665">
        <v>46188</v>
      </c>
      <c r="H8" s="483">
        <v>1</v>
      </c>
      <c r="I8" s="483">
        <v>1</v>
      </c>
      <c r="J8" s="196" t="str">
        <f>IF(D8="","",TEXT(C8,"000")&amp;"."&amp;E8)</f>
        <v xml:space="preserve">001.General </v>
      </c>
    </row>
    <row r="9" spans="3:10">
      <c r="C9" s="483">
        <v>2</v>
      </c>
      <c r="D9" s="509" t="s">
        <v>1947</v>
      </c>
      <c r="E9" s="505" t="s">
        <v>1945</v>
      </c>
      <c r="F9" s="481"/>
      <c r="G9" s="665">
        <v>46188</v>
      </c>
      <c r="H9" s="483">
        <v>2</v>
      </c>
      <c r="I9" s="483">
        <v>1</v>
      </c>
      <c r="J9" s="196" t="str">
        <f t="shared" ref="J9:J18" si="0">IF(D9="","",TEXT(C9,"000")&amp;"."&amp;E9)</f>
        <v>002.CHIP MONG</v>
      </c>
    </row>
    <row r="10" spans="3:10">
      <c r="C10" s="483">
        <v>3</v>
      </c>
      <c r="D10" s="509" t="s">
        <v>2052</v>
      </c>
      <c r="E10" s="505" t="s">
        <v>2049</v>
      </c>
      <c r="F10" s="481"/>
      <c r="G10" s="665">
        <v>46188</v>
      </c>
      <c r="H10" s="483">
        <v>3</v>
      </c>
      <c r="I10" s="483">
        <v>1</v>
      </c>
      <c r="J10" s="196" t="str">
        <f t="shared" si="0"/>
        <v>003.ECO PIPE</v>
      </c>
    </row>
    <row r="11" spans="3:10">
      <c r="C11" s="483">
        <v>4</v>
      </c>
      <c r="D11" s="509" t="s">
        <v>2055</v>
      </c>
      <c r="E11" s="505" t="s">
        <v>2050</v>
      </c>
      <c r="F11" s="481"/>
      <c r="G11" s="665">
        <v>46188</v>
      </c>
      <c r="H11" s="483">
        <v>4</v>
      </c>
      <c r="I11" s="483">
        <v>1</v>
      </c>
      <c r="J11" s="196" t="str">
        <f t="shared" si="0"/>
        <v>004.China</v>
      </c>
    </row>
    <row r="12" spans="3:10">
      <c r="C12" s="483">
        <v>5</v>
      </c>
      <c r="D12" s="509" t="s">
        <v>2051</v>
      </c>
      <c r="E12" s="505" t="s">
        <v>2054</v>
      </c>
      <c r="F12" s="481"/>
      <c r="G12" s="665">
        <v>46188</v>
      </c>
      <c r="H12" s="483">
        <v>5</v>
      </c>
      <c r="I12" s="483">
        <v>1</v>
      </c>
      <c r="J12" s="196" t="str">
        <f t="shared" si="0"/>
        <v>005.Kbal Kla</v>
      </c>
    </row>
    <row r="13" spans="3:10">
      <c r="C13" s="483">
        <v>6</v>
      </c>
      <c r="D13" s="509" t="s">
        <v>3766</v>
      </c>
      <c r="E13" s="505" t="s">
        <v>3767</v>
      </c>
      <c r="F13" s="481"/>
      <c r="G13" s="665">
        <v>46188</v>
      </c>
      <c r="H13" s="483">
        <v>6</v>
      </c>
      <c r="I13" s="483">
        <v>1</v>
      </c>
      <c r="J13" s="196" t="str">
        <f t="shared" si="0"/>
        <v>006.L P</v>
      </c>
    </row>
    <row r="14" spans="3:10">
      <c r="C14" s="483">
        <v>7</v>
      </c>
      <c r="D14" s="509" t="s">
        <v>2053</v>
      </c>
      <c r="E14" s="505" t="s">
        <v>3348</v>
      </c>
      <c r="F14" s="481"/>
      <c r="G14" s="665">
        <v>46188</v>
      </c>
      <c r="H14" s="483">
        <v>7</v>
      </c>
      <c r="I14" s="483">
        <v>1</v>
      </c>
      <c r="J14" s="196" t="str">
        <f t="shared" si="0"/>
        <v>007.U-9០</v>
      </c>
    </row>
    <row r="15" spans="3:10">
      <c r="C15" s="483">
        <v>8</v>
      </c>
      <c r="D15" s="509" t="s">
        <v>3768</v>
      </c>
      <c r="E15" s="505" t="s">
        <v>3769</v>
      </c>
      <c r="F15" s="481"/>
      <c r="G15" s="665">
        <v>46189</v>
      </c>
      <c r="H15" s="483">
        <v>8</v>
      </c>
      <c r="I15" s="483">
        <v>1</v>
      </c>
      <c r="J15" s="196" t="str">
        <f t="shared" si="0"/>
        <v>008.K.S.H  Group</v>
      </c>
    </row>
    <row r="16" spans="3:10">
      <c r="C16" s="483">
        <v>9</v>
      </c>
      <c r="D16" s="509" t="s">
        <v>3771</v>
      </c>
      <c r="E16" s="505" t="s">
        <v>3770</v>
      </c>
      <c r="F16" s="481"/>
      <c r="G16" s="665">
        <v>46190</v>
      </c>
      <c r="H16" s="483">
        <v>9</v>
      </c>
      <c r="I16" s="483">
        <v>1</v>
      </c>
      <c r="J16" s="196" t="str">
        <f t="shared" si="0"/>
        <v>009.SINH</v>
      </c>
    </row>
    <row r="17" spans="3:10">
      <c r="C17" s="483">
        <v>10</v>
      </c>
      <c r="D17" s="509" t="s">
        <v>4478</v>
      </c>
      <c r="E17" s="505" t="s">
        <v>3772</v>
      </c>
      <c r="F17" s="481"/>
      <c r="G17" s="665">
        <v>46191</v>
      </c>
      <c r="H17" s="483">
        <v>10</v>
      </c>
      <c r="I17" s="483">
        <v>1</v>
      </c>
      <c r="J17" s="196" t="str">
        <f>IF(D17="","",TEXT(C17,"000")&amp;"."&amp;E17)</f>
        <v>010.TOB</v>
      </c>
    </row>
    <row r="18" spans="3:10">
      <c r="C18" s="483">
        <v>11</v>
      </c>
      <c r="D18" s="509" t="s">
        <v>4477</v>
      </c>
      <c r="E18" s="505" t="s">
        <v>3773</v>
      </c>
      <c r="F18" s="481"/>
      <c r="G18" s="665">
        <v>46192</v>
      </c>
      <c r="H18" s="483">
        <v>11</v>
      </c>
      <c r="I18" s="483">
        <v>1</v>
      </c>
      <c r="J18" s="196" t="str">
        <f t="shared" si="0"/>
        <v>011.THC</v>
      </c>
    </row>
    <row r="19" spans="3:10">
      <c r="C19" s="483">
        <v>12</v>
      </c>
      <c r="D19" s="509" t="s">
        <v>4476</v>
      </c>
      <c r="E19" s="505" t="s">
        <v>4416</v>
      </c>
      <c r="F19" s="481"/>
      <c r="G19" s="665">
        <v>46269</v>
      </c>
      <c r="H19" s="483">
        <v>12</v>
      </c>
      <c r="I19" s="483">
        <v>1</v>
      </c>
      <c r="J19" s="196" t="str">
        <f t="shared" ref="J19:J20" si="1">IF(D19="","",TEXT(C19,"000")&amp;"."&amp;E19)</f>
        <v>012.AOHO</v>
      </c>
    </row>
    <row r="20" spans="3:10">
      <c r="C20" s="483">
        <v>13</v>
      </c>
      <c r="D20" s="509" t="s">
        <v>4418</v>
      </c>
      <c r="E20" s="505" t="s">
        <v>4417</v>
      </c>
      <c r="F20" s="481"/>
      <c r="G20" s="665">
        <v>46269</v>
      </c>
      <c r="H20" s="483">
        <v>13</v>
      </c>
      <c r="I20" s="483">
        <v>1</v>
      </c>
      <c r="J20" s="196" t="str">
        <f t="shared" si="1"/>
        <v>013.SIHAN</v>
      </c>
    </row>
    <row r="21" spans="3:10">
      <c r="C21" s="483">
        <v>14</v>
      </c>
      <c r="D21" s="509" t="s">
        <v>4636</v>
      </c>
      <c r="E21" s="505" t="s">
        <v>4637</v>
      </c>
      <c r="F21" s="481"/>
      <c r="G21" s="665">
        <v>46270</v>
      </c>
      <c r="H21" s="483">
        <v>14</v>
      </c>
      <c r="I21" s="483">
        <v>1</v>
      </c>
      <c r="J21" s="196" t="str">
        <f t="shared" ref="J21" si="2">IF(D21="","",TEXT(C21,"000")&amp;"."&amp;E21)</f>
        <v>014.Orchid</v>
      </c>
    </row>
    <row r="22" spans="3:10">
      <c r="C22" s="483">
        <v>15</v>
      </c>
      <c r="D22" s="509" t="s">
        <v>4639</v>
      </c>
      <c r="E22" s="505" t="s">
        <v>4640</v>
      </c>
      <c r="F22" s="481"/>
      <c r="G22" s="665">
        <v>46271</v>
      </c>
      <c r="H22" s="483">
        <v>15</v>
      </c>
      <c r="I22" s="483">
        <v>1</v>
      </c>
      <c r="J22" s="196" t="str">
        <f t="shared" ref="J22" si="3">IF(D22="","",TEXT(C22,"000")&amp;"."&amp;E22)</f>
        <v>015.Nikatec</v>
      </c>
    </row>
    <row r="23" spans="3:10">
      <c r="J23" s="196" t="str">
        <f t="shared" ref="J23:J73" si="4">IF(D23="","",TEXT(C23,"000")&amp;"."&amp;D23&amp;" ("&amp;E23&amp;")")</f>
        <v/>
      </c>
    </row>
    <row r="24" spans="3:10">
      <c r="J24" s="196" t="str">
        <f t="shared" si="4"/>
        <v/>
      </c>
    </row>
    <row r="25" spans="3:10">
      <c r="J25" s="196" t="str">
        <f t="shared" si="4"/>
        <v/>
      </c>
    </row>
    <row r="26" spans="3:10">
      <c r="J26" s="196" t="str">
        <f t="shared" si="4"/>
        <v/>
      </c>
    </row>
    <row r="27" spans="3:10">
      <c r="J27" s="196" t="str">
        <f t="shared" si="4"/>
        <v/>
      </c>
    </row>
    <row r="28" spans="3:10">
      <c r="J28" s="196" t="str">
        <f t="shared" si="4"/>
        <v/>
      </c>
    </row>
    <row r="29" spans="3:10">
      <c r="J29" s="196" t="str">
        <f t="shared" si="4"/>
        <v/>
      </c>
    </row>
    <row r="30" spans="3:10">
      <c r="J30" s="196" t="str">
        <f t="shared" si="4"/>
        <v/>
      </c>
    </row>
    <row r="31" spans="3:10">
      <c r="J31" s="196" t="str">
        <f t="shared" si="4"/>
        <v/>
      </c>
    </row>
    <row r="32" spans="3:10">
      <c r="J32" s="196" t="str">
        <f t="shared" si="4"/>
        <v/>
      </c>
    </row>
    <row r="33" spans="10:10">
      <c r="J33" s="196" t="str">
        <f t="shared" si="4"/>
        <v/>
      </c>
    </row>
    <row r="34" spans="10:10">
      <c r="J34" s="196" t="str">
        <f t="shared" si="4"/>
        <v/>
      </c>
    </row>
    <row r="35" spans="10:10">
      <c r="J35" s="196" t="str">
        <f t="shared" si="4"/>
        <v/>
      </c>
    </row>
    <row r="36" spans="10:10">
      <c r="J36" s="196" t="str">
        <f t="shared" si="4"/>
        <v/>
      </c>
    </row>
    <row r="37" spans="10:10">
      <c r="J37" s="196" t="str">
        <f t="shared" si="4"/>
        <v/>
      </c>
    </row>
    <row r="38" spans="10:10">
      <c r="J38" s="196" t="str">
        <f t="shared" si="4"/>
        <v/>
      </c>
    </row>
    <row r="39" spans="10:10">
      <c r="J39" s="196" t="str">
        <f t="shared" si="4"/>
        <v/>
      </c>
    </row>
    <row r="40" spans="10:10">
      <c r="J40" s="196" t="str">
        <f t="shared" si="4"/>
        <v/>
      </c>
    </row>
    <row r="41" spans="10:10">
      <c r="J41" s="196" t="str">
        <f t="shared" si="4"/>
        <v/>
      </c>
    </row>
    <row r="42" spans="10:10">
      <c r="J42" s="196" t="str">
        <f t="shared" si="4"/>
        <v/>
      </c>
    </row>
    <row r="43" spans="10:10">
      <c r="J43" s="196" t="str">
        <f t="shared" si="4"/>
        <v/>
      </c>
    </row>
    <row r="44" spans="10:10">
      <c r="J44" s="196" t="str">
        <f t="shared" si="4"/>
        <v/>
      </c>
    </row>
    <row r="45" spans="10:10">
      <c r="J45" s="196" t="str">
        <f t="shared" si="4"/>
        <v/>
      </c>
    </row>
    <row r="46" spans="10:10">
      <c r="J46" s="196" t="str">
        <f t="shared" si="4"/>
        <v/>
      </c>
    </row>
    <row r="47" spans="10:10">
      <c r="J47" s="196" t="str">
        <f t="shared" si="4"/>
        <v/>
      </c>
    </row>
    <row r="48" spans="10:10">
      <c r="J48" s="196" t="str">
        <f t="shared" si="4"/>
        <v/>
      </c>
    </row>
    <row r="49" spans="10:10">
      <c r="J49" s="196" t="str">
        <f t="shared" si="4"/>
        <v/>
      </c>
    </row>
    <row r="50" spans="10:10">
      <c r="J50" s="196" t="str">
        <f t="shared" si="4"/>
        <v/>
      </c>
    </row>
    <row r="51" spans="10:10">
      <c r="J51" s="196" t="str">
        <f t="shared" si="4"/>
        <v/>
      </c>
    </row>
    <row r="52" spans="10:10">
      <c r="J52" s="196" t="str">
        <f t="shared" si="4"/>
        <v/>
      </c>
    </row>
    <row r="53" spans="10:10">
      <c r="J53" s="196" t="str">
        <f t="shared" si="4"/>
        <v/>
      </c>
    </row>
    <row r="54" spans="10:10">
      <c r="J54" s="196" t="str">
        <f t="shared" si="4"/>
        <v/>
      </c>
    </row>
    <row r="55" spans="10:10">
      <c r="J55" s="196" t="str">
        <f t="shared" si="4"/>
        <v/>
      </c>
    </row>
    <row r="56" spans="10:10">
      <c r="J56" s="196" t="str">
        <f t="shared" si="4"/>
        <v/>
      </c>
    </row>
    <row r="57" spans="10:10">
      <c r="J57" s="196" t="str">
        <f t="shared" si="4"/>
        <v/>
      </c>
    </row>
    <row r="58" spans="10:10">
      <c r="J58" s="196" t="str">
        <f t="shared" si="4"/>
        <v/>
      </c>
    </row>
    <row r="59" spans="10:10">
      <c r="J59" s="196" t="str">
        <f t="shared" si="4"/>
        <v/>
      </c>
    </row>
    <row r="60" spans="10:10">
      <c r="J60" s="196" t="str">
        <f t="shared" si="4"/>
        <v/>
      </c>
    </row>
    <row r="61" spans="10:10">
      <c r="J61" s="196" t="str">
        <f t="shared" si="4"/>
        <v/>
      </c>
    </row>
    <row r="62" spans="10:10">
      <c r="J62" s="196" t="str">
        <f t="shared" si="4"/>
        <v/>
      </c>
    </row>
    <row r="63" spans="10:10">
      <c r="J63" s="196" t="str">
        <f t="shared" si="4"/>
        <v/>
      </c>
    </row>
    <row r="64" spans="10:10">
      <c r="J64" s="196" t="str">
        <f t="shared" si="4"/>
        <v/>
      </c>
    </row>
    <row r="65" spans="10:10">
      <c r="J65" s="196" t="str">
        <f t="shared" si="4"/>
        <v/>
      </c>
    </row>
    <row r="66" spans="10:10">
      <c r="J66" s="196" t="str">
        <f t="shared" si="4"/>
        <v/>
      </c>
    </row>
    <row r="67" spans="10:10">
      <c r="J67" s="196" t="str">
        <f t="shared" si="4"/>
        <v/>
      </c>
    </row>
    <row r="68" spans="10:10">
      <c r="J68" s="196" t="str">
        <f t="shared" si="4"/>
        <v/>
      </c>
    </row>
    <row r="69" spans="10:10">
      <c r="J69" s="196" t="str">
        <f t="shared" si="4"/>
        <v/>
      </c>
    </row>
    <row r="70" spans="10:10">
      <c r="J70" s="196" t="str">
        <f t="shared" si="4"/>
        <v/>
      </c>
    </row>
    <row r="71" spans="10:10">
      <c r="J71" s="196" t="str">
        <f t="shared" si="4"/>
        <v/>
      </c>
    </row>
    <row r="72" spans="10:10">
      <c r="J72" s="196" t="str">
        <f t="shared" si="4"/>
        <v/>
      </c>
    </row>
    <row r="73" spans="10:10">
      <c r="J73" s="196" t="str">
        <f t="shared" si="4"/>
        <v/>
      </c>
    </row>
    <row r="74" spans="10:10">
      <c r="J74" s="196" t="str">
        <f t="shared" ref="J74:J137" si="5">IF(D74="","",TEXT(C74,"000")&amp;"."&amp;D74&amp;" ("&amp;E74&amp;")")</f>
        <v/>
      </c>
    </row>
    <row r="75" spans="10:10">
      <c r="J75" s="196" t="str">
        <f t="shared" si="5"/>
        <v/>
      </c>
    </row>
    <row r="76" spans="10:10">
      <c r="J76" s="196" t="str">
        <f t="shared" si="5"/>
        <v/>
      </c>
    </row>
    <row r="77" spans="10:10">
      <c r="J77" s="196" t="str">
        <f t="shared" si="5"/>
        <v/>
      </c>
    </row>
    <row r="78" spans="10:10">
      <c r="J78" s="196" t="str">
        <f t="shared" si="5"/>
        <v/>
      </c>
    </row>
    <row r="79" spans="10:10">
      <c r="J79" s="196" t="str">
        <f t="shared" si="5"/>
        <v/>
      </c>
    </row>
    <row r="80" spans="10:10">
      <c r="J80" s="196" t="str">
        <f t="shared" si="5"/>
        <v/>
      </c>
    </row>
    <row r="81" spans="10:10">
      <c r="J81" s="196" t="str">
        <f t="shared" si="5"/>
        <v/>
      </c>
    </row>
    <row r="82" spans="10:10">
      <c r="J82" s="196" t="str">
        <f t="shared" si="5"/>
        <v/>
      </c>
    </row>
    <row r="83" spans="10:10">
      <c r="J83" s="196" t="str">
        <f t="shared" si="5"/>
        <v/>
      </c>
    </row>
    <row r="84" spans="10:10">
      <c r="J84" s="196" t="str">
        <f t="shared" si="5"/>
        <v/>
      </c>
    </row>
    <row r="85" spans="10:10">
      <c r="J85" s="196" t="str">
        <f t="shared" si="5"/>
        <v/>
      </c>
    </row>
    <row r="86" spans="10:10">
      <c r="J86" s="196" t="str">
        <f t="shared" si="5"/>
        <v/>
      </c>
    </row>
    <row r="87" spans="10:10">
      <c r="J87" s="196" t="str">
        <f t="shared" si="5"/>
        <v/>
      </c>
    </row>
    <row r="88" spans="10:10">
      <c r="J88" s="196" t="str">
        <f t="shared" si="5"/>
        <v/>
      </c>
    </row>
    <row r="89" spans="10:10">
      <c r="J89" s="196" t="str">
        <f t="shared" si="5"/>
        <v/>
      </c>
    </row>
    <row r="90" spans="10:10">
      <c r="J90" s="196" t="str">
        <f t="shared" si="5"/>
        <v/>
      </c>
    </row>
    <row r="91" spans="10:10">
      <c r="J91" s="196" t="str">
        <f t="shared" si="5"/>
        <v/>
      </c>
    </row>
    <row r="92" spans="10:10">
      <c r="J92" s="196" t="str">
        <f t="shared" si="5"/>
        <v/>
      </c>
    </row>
    <row r="93" spans="10:10">
      <c r="J93" s="196" t="str">
        <f t="shared" si="5"/>
        <v/>
      </c>
    </row>
    <row r="94" spans="10:10">
      <c r="J94" s="196" t="str">
        <f t="shared" si="5"/>
        <v/>
      </c>
    </row>
    <row r="95" spans="10:10">
      <c r="J95" s="196" t="str">
        <f t="shared" si="5"/>
        <v/>
      </c>
    </row>
    <row r="96" spans="10:10">
      <c r="J96" s="196" t="str">
        <f t="shared" si="5"/>
        <v/>
      </c>
    </row>
    <row r="97" spans="10:10">
      <c r="J97" s="196" t="str">
        <f t="shared" si="5"/>
        <v/>
      </c>
    </row>
    <row r="98" spans="10:10">
      <c r="J98" s="196" t="str">
        <f t="shared" si="5"/>
        <v/>
      </c>
    </row>
    <row r="99" spans="10:10">
      <c r="J99" s="196" t="str">
        <f t="shared" si="5"/>
        <v/>
      </c>
    </row>
    <row r="100" spans="10:10">
      <c r="J100" s="196" t="str">
        <f t="shared" si="5"/>
        <v/>
      </c>
    </row>
    <row r="101" spans="10:10">
      <c r="J101" s="196" t="str">
        <f t="shared" si="5"/>
        <v/>
      </c>
    </row>
    <row r="102" spans="10:10">
      <c r="J102" s="196" t="str">
        <f t="shared" si="5"/>
        <v/>
      </c>
    </row>
    <row r="103" spans="10:10">
      <c r="J103" s="196" t="str">
        <f t="shared" si="5"/>
        <v/>
      </c>
    </row>
    <row r="104" spans="10:10">
      <c r="J104" s="196" t="str">
        <f t="shared" si="5"/>
        <v/>
      </c>
    </row>
    <row r="105" spans="10:10">
      <c r="J105" s="196" t="str">
        <f t="shared" si="5"/>
        <v/>
      </c>
    </row>
    <row r="106" spans="10:10">
      <c r="J106" s="196" t="str">
        <f t="shared" si="5"/>
        <v/>
      </c>
    </row>
    <row r="107" spans="10:10">
      <c r="J107" s="196" t="str">
        <f t="shared" si="5"/>
        <v/>
      </c>
    </row>
    <row r="108" spans="10:10">
      <c r="J108" s="196" t="str">
        <f t="shared" si="5"/>
        <v/>
      </c>
    </row>
    <row r="109" spans="10:10">
      <c r="J109" s="196" t="str">
        <f t="shared" si="5"/>
        <v/>
      </c>
    </row>
    <row r="110" spans="10:10">
      <c r="J110" s="196" t="str">
        <f t="shared" si="5"/>
        <v/>
      </c>
    </row>
    <row r="111" spans="10:10">
      <c r="J111" s="196" t="str">
        <f t="shared" si="5"/>
        <v/>
      </c>
    </row>
    <row r="112" spans="10:10">
      <c r="J112" s="196" t="str">
        <f t="shared" si="5"/>
        <v/>
      </c>
    </row>
    <row r="113" spans="10:10">
      <c r="J113" s="196" t="str">
        <f t="shared" si="5"/>
        <v/>
      </c>
    </row>
    <row r="114" spans="10:10">
      <c r="J114" s="196" t="str">
        <f t="shared" si="5"/>
        <v/>
      </c>
    </row>
    <row r="115" spans="10:10">
      <c r="J115" s="196" t="str">
        <f t="shared" si="5"/>
        <v/>
      </c>
    </row>
    <row r="116" spans="10:10">
      <c r="J116" s="196" t="str">
        <f t="shared" si="5"/>
        <v/>
      </c>
    </row>
    <row r="117" spans="10:10">
      <c r="J117" s="196" t="str">
        <f t="shared" si="5"/>
        <v/>
      </c>
    </row>
    <row r="118" spans="10:10">
      <c r="J118" s="196" t="str">
        <f t="shared" si="5"/>
        <v/>
      </c>
    </row>
    <row r="119" spans="10:10">
      <c r="J119" s="196" t="str">
        <f t="shared" si="5"/>
        <v/>
      </c>
    </row>
    <row r="120" spans="10:10">
      <c r="J120" s="196" t="str">
        <f t="shared" si="5"/>
        <v/>
      </c>
    </row>
    <row r="121" spans="10:10">
      <c r="J121" s="196" t="str">
        <f t="shared" si="5"/>
        <v/>
      </c>
    </row>
    <row r="122" spans="10:10">
      <c r="J122" s="196" t="str">
        <f t="shared" si="5"/>
        <v/>
      </c>
    </row>
    <row r="123" spans="10:10">
      <c r="J123" s="196" t="str">
        <f t="shared" si="5"/>
        <v/>
      </c>
    </row>
    <row r="124" spans="10:10">
      <c r="J124" s="196" t="str">
        <f t="shared" si="5"/>
        <v/>
      </c>
    </row>
    <row r="125" spans="10:10">
      <c r="J125" s="196" t="str">
        <f t="shared" si="5"/>
        <v/>
      </c>
    </row>
    <row r="126" spans="10:10">
      <c r="J126" s="196" t="str">
        <f t="shared" si="5"/>
        <v/>
      </c>
    </row>
    <row r="127" spans="10:10">
      <c r="J127" s="196" t="str">
        <f t="shared" si="5"/>
        <v/>
      </c>
    </row>
    <row r="128" spans="10:10">
      <c r="J128" s="196" t="str">
        <f t="shared" si="5"/>
        <v/>
      </c>
    </row>
    <row r="129" spans="10:10">
      <c r="J129" s="196" t="str">
        <f t="shared" si="5"/>
        <v/>
      </c>
    </row>
    <row r="130" spans="10:10">
      <c r="J130" s="196" t="str">
        <f t="shared" si="5"/>
        <v/>
      </c>
    </row>
    <row r="131" spans="10:10">
      <c r="J131" s="196" t="str">
        <f t="shared" si="5"/>
        <v/>
      </c>
    </row>
    <row r="132" spans="10:10">
      <c r="J132" s="196" t="str">
        <f t="shared" si="5"/>
        <v/>
      </c>
    </row>
    <row r="133" spans="10:10">
      <c r="J133" s="196" t="str">
        <f t="shared" si="5"/>
        <v/>
      </c>
    </row>
    <row r="134" spans="10:10">
      <c r="J134" s="196" t="str">
        <f t="shared" si="5"/>
        <v/>
      </c>
    </row>
    <row r="135" spans="10:10">
      <c r="J135" s="196" t="str">
        <f t="shared" si="5"/>
        <v/>
      </c>
    </row>
    <row r="136" spans="10:10">
      <c r="J136" s="196" t="str">
        <f t="shared" si="5"/>
        <v/>
      </c>
    </row>
    <row r="137" spans="10:10">
      <c r="J137" s="196" t="str">
        <f t="shared" si="5"/>
        <v/>
      </c>
    </row>
    <row r="138" spans="10:10">
      <c r="J138" s="196" t="str">
        <f t="shared" ref="J138:J201" si="6">IF(D138="","",TEXT(C138,"000")&amp;"."&amp;D138&amp;" ("&amp;E138&amp;")")</f>
        <v/>
      </c>
    </row>
    <row r="139" spans="10:10">
      <c r="J139" s="196" t="str">
        <f t="shared" si="6"/>
        <v/>
      </c>
    </row>
    <row r="140" spans="10:10">
      <c r="J140" s="196" t="str">
        <f t="shared" si="6"/>
        <v/>
      </c>
    </row>
    <row r="141" spans="10:10">
      <c r="J141" s="196" t="str">
        <f t="shared" si="6"/>
        <v/>
      </c>
    </row>
    <row r="142" spans="10:10">
      <c r="J142" s="196" t="str">
        <f t="shared" si="6"/>
        <v/>
      </c>
    </row>
    <row r="143" spans="10:10">
      <c r="J143" s="196" t="str">
        <f t="shared" si="6"/>
        <v/>
      </c>
    </row>
    <row r="144" spans="10:10">
      <c r="J144" s="196" t="str">
        <f t="shared" si="6"/>
        <v/>
      </c>
    </row>
    <row r="145" spans="10:10">
      <c r="J145" s="196" t="str">
        <f t="shared" si="6"/>
        <v/>
      </c>
    </row>
    <row r="146" spans="10:10">
      <c r="J146" s="196" t="str">
        <f t="shared" si="6"/>
        <v/>
      </c>
    </row>
    <row r="147" spans="10:10">
      <c r="J147" s="196" t="str">
        <f t="shared" si="6"/>
        <v/>
      </c>
    </row>
    <row r="148" spans="10:10">
      <c r="J148" s="196" t="str">
        <f t="shared" si="6"/>
        <v/>
      </c>
    </row>
    <row r="149" spans="10:10">
      <c r="J149" s="196" t="str">
        <f t="shared" si="6"/>
        <v/>
      </c>
    </row>
    <row r="150" spans="10:10">
      <c r="J150" s="196" t="str">
        <f t="shared" si="6"/>
        <v/>
      </c>
    </row>
    <row r="151" spans="10:10">
      <c r="J151" s="196" t="str">
        <f t="shared" si="6"/>
        <v/>
      </c>
    </row>
    <row r="152" spans="10:10">
      <c r="J152" s="196" t="str">
        <f t="shared" si="6"/>
        <v/>
      </c>
    </row>
    <row r="153" spans="10:10">
      <c r="J153" s="196" t="str">
        <f t="shared" si="6"/>
        <v/>
      </c>
    </row>
    <row r="154" spans="10:10">
      <c r="J154" s="196" t="str">
        <f t="shared" si="6"/>
        <v/>
      </c>
    </row>
    <row r="155" spans="10:10">
      <c r="J155" s="196" t="str">
        <f t="shared" si="6"/>
        <v/>
      </c>
    </row>
    <row r="156" spans="10:10">
      <c r="J156" s="196" t="str">
        <f t="shared" si="6"/>
        <v/>
      </c>
    </row>
    <row r="157" spans="10:10">
      <c r="J157" s="196" t="str">
        <f t="shared" si="6"/>
        <v/>
      </c>
    </row>
    <row r="158" spans="10:10">
      <c r="J158" s="196" t="str">
        <f t="shared" si="6"/>
        <v/>
      </c>
    </row>
    <row r="159" spans="10:10">
      <c r="J159" s="196" t="str">
        <f t="shared" si="6"/>
        <v/>
      </c>
    </row>
    <row r="160" spans="10:10">
      <c r="J160" s="196" t="str">
        <f t="shared" si="6"/>
        <v/>
      </c>
    </row>
    <row r="161" spans="10:10">
      <c r="J161" s="196" t="str">
        <f t="shared" si="6"/>
        <v/>
      </c>
    </row>
    <row r="162" spans="10:10">
      <c r="J162" s="196" t="str">
        <f t="shared" si="6"/>
        <v/>
      </c>
    </row>
    <row r="163" spans="10:10">
      <c r="J163" s="196" t="str">
        <f t="shared" si="6"/>
        <v/>
      </c>
    </row>
    <row r="164" spans="10:10">
      <c r="J164" s="196" t="str">
        <f t="shared" si="6"/>
        <v/>
      </c>
    </row>
    <row r="165" spans="10:10">
      <c r="J165" s="196" t="str">
        <f t="shared" si="6"/>
        <v/>
      </c>
    </row>
    <row r="166" spans="10:10">
      <c r="J166" s="196" t="str">
        <f t="shared" si="6"/>
        <v/>
      </c>
    </row>
    <row r="167" spans="10:10">
      <c r="J167" s="196" t="str">
        <f t="shared" si="6"/>
        <v/>
      </c>
    </row>
    <row r="168" spans="10:10">
      <c r="J168" s="196" t="str">
        <f t="shared" si="6"/>
        <v/>
      </c>
    </row>
    <row r="169" spans="10:10">
      <c r="J169" s="196" t="str">
        <f t="shared" si="6"/>
        <v/>
      </c>
    </row>
    <row r="170" spans="10:10">
      <c r="J170" s="196" t="str">
        <f t="shared" si="6"/>
        <v/>
      </c>
    </row>
    <row r="171" spans="10:10">
      <c r="J171" s="196" t="str">
        <f t="shared" si="6"/>
        <v/>
      </c>
    </row>
    <row r="172" spans="10:10">
      <c r="J172" s="196" t="str">
        <f t="shared" si="6"/>
        <v/>
      </c>
    </row>
    <row r="173" spans="10:10">
      <c r="J173" s="196" t="str">
        <f t="shared" si="6"/>
        <v/>
      </c>
    </row>
    <row r="174" spans="10:10">
      <c r="J174" s="196" t="str">
        <f t="shared" si="6"/>
        <v/>
      </c>
    </row>
    <row r="175" spans="10:10">
      <c r="J175" s="196" t="str">
        <f t="shared" si="6"/>
        <v/>
      </c>
    </row>
    <row r="176" spans="10:10">
      <c r="J176" s="196" t="str">
        <f t="shared" si="6"/>
        <v/>
      </c>
    </row>
    <row r="177" spans="10:10">
      <c r="J177" s="196" t="str">
        <f t="shared" si="6"/>
        <v/>
      </c>
    </row>
    <row r="178" spans="10:10">
      <c r="J178" s="196" t="str">
        <f t="shared" si="6"/>
        <v/>
      </c>
    </row>
    <row r="179" spans="10:10">
      <c r="J179" s="196" t="str">
        <f t="shared" si="6"/>
        <v/>
      </c>
    </row>
    <row r="180" spans="10:10">
      <c r="J180" s="196" t="str">
        <f t="shared" si="6"/>
        <v/>
      </c>
    </row>
    <row r="181" spans="10:10">
      <c r="J181" s="196" t="str">
        <f t="shared" si="6"/>
        <v/>
      </c>
    </row>
    <row r="182" spans="10:10">
      <c r="J182" s="196" t="str">
        <f t="shared" si="6"/>
        <v/>
      </c>
    </row>
    <row r="183" spans="10:10">
      <c r="J183" s="196" t="str">
        <f t="shared" si="6"/>
        <v/>
      </c>
    </row>
    <row r="184" spans="10:10">
      <c r="J184" s="196" t="str">
        <f t="shared" si="6"/>
        <v/>
      </c>
    </row>
    <row r="185" spans="10:10">
      <c r="J185" s="196" t="str">
        <f t="shared" si="6"/>
        <v/>
      </c>
    </row>
    <row r="186" spans="10:10">
      <c r="J186" s="196" t="str">
        <f t="shared" si="6"/>
        <v/>
      </c>
    </row>
    <row r="187" spans="10:10">
      <c r="J187" s="196" t="str">
        <f t="shared" si="6"/>
        <v/>
      </c>
    </row>
    <row r="188" spans="10:10">
      <c r="J188" s="196" t="str">
        <f t="shared" si="6"/>
        <v/>
      </c>
    </row>
    <row r="189" spans="10:10">
      <c r="J189" s="196" t="str">
        <f t="shared" si="6"/>
        <v/>
      </c>
    </row>
    <row r="190" spans="10:10">
      <c r="J190" s="196" t="str">
        <f t="shared" si="6"/>
        <v/>
      </c>
    </row>
    <row r="191" spans="10:10">
      <c r="J191" s="196" t="str">
        <f t="shared" si="6"/>
        <v/>
      </c>
    </row>
    <row r="192" spans="10:10">
      <c r="J192" s="196" t="str">
        <f t="shared" si="6"/>
        <v/>
      </c>
    </row>
    <row r="193" spans="10:10">
      <c r="J193" s="196" t="str">
        <f t="shared" si="6"/>
        <v/>
      </c>
    </row>
    <row r="194" spans="10:10">
      <c r="J194" s="196" t="str">
        <f t="shared" si="6"/>
        <v/>
      </c>
    </row>
    <row r="195" spans="10:10">
      <c r="J195" s="196" t="str">
        <f t="shared" si="6"/>
        <v/>
      </c>
    </row>
    <row r="196" spans="10:10">
      <c r="J196" s="196" t="str">
        <f t="shared" si="6"/>
        <v/>
      </c>
    </row>
    <row r="197" spans="10:10">
      <c r="J197" s="196" t="str">
        <f t="shared" si="6"/>
        <v/>
      </c>
    </row>
    <row r="198" spans="10:10">
      <c r="J198" s="196" t="str">
        <f t="shared" si="6"/>
        <v/>
      </c>
    </row>
    <row r="199" spans="10:10">
      <c r="J199" s="196" t="str">
        <f t="shared" si="6"/>
        <v/>
      </c>
    </row>
    <row r="200" spans="10:10">
      <c r="J200" s="196" t="str">
        <f t="shared" si="6"/>
        <v/>
      </c>
    </row>
    <row r="201" spans="10:10">
      <c r="J201" s="196" t="str">
        <f t="shared" si="6"/>
        <v/>
      </c>
    </row>
    <row r="202" spans="10:10">
      <c r="J202" s="196" t="str">
        <f t="shared" ref="J202:J265" si="7">IF(D202="","",TEXT(C202,"000")&amp;"."&amp;D202&amp;" ("&amp;E202&amp;")")</f>
        <v/>
      </c>
    </row>
    <row r="203" spans="10:10">
      <c r="J203" s="196" t="str">
        <f t="shared" si="7"/>
        <v/>
      </c>
    </row>
    <row r="204" spans="10:10">
      <c r="J204" s="196" t="str">
        <f t="shared" si="7"/>
        <v/>
      </c>
    </row>
    <row r="205" spans="10:10">
      <c r="J205" s="196" t="str">
        <f t="shared" si="7"/>
        <v/>
      </c>
    </row>
    <row r="206" spans="10:10">
      <c r="J206" s="196" t="str">
        <f t="shared" si="7"/>
        <v/>
      </c>
    </row>
    <row r="207" spans="10:10">
      <c r="J207" s="196" t="str">
        <f t="shared" si="7"/>
        <v/>
      </c>
    </row>
    <row r="208" spans="10:10">
      <c r="J208" s="196" t="str">
        <f t="shared" si="7"/>
        <v/>
      </c>
    </row>
    <row r="209" spans="10:10">
      <c r="J209" s="196" t="str">
        <f t="shared" si="7"/>
        <v/>
      </c>
    </row>
    <row r="210" spans="10:10">
      <c r="J210" s="196" t="str">
        <f t="shared" si="7"/>
        <v/>
      </c>
    </row>
    <row r="211" spans="10:10">
      <c r="J211" s="196" t="str">
        <f t="shared" si="7"/>
        <v/>
      </c>
    </row>
    <row r="212" spans="10:10">
      <c r="J212" s="196" t="str">
        <f t="shared" si="7"/>
        <v/>
      </c>
    </row>
    <row r="213" spans="10:10">
      <c r="J213" s="196" t="str">
        <f t="shared" si="7"/>
        <v/>
      </c>
    </row>
    <row r="214" spans="10:10">
      <c r="J214" s="196" t="str">
        <f t="shared" si="7"/>
        <v/>
      </c>
    </row>
    <row r="215" spans="10:10">
      <c r="J215" s="196" t="str">
        <f t="shared" si="7"/>
        <v/>
      </c>
    </row>
    <row r="216" spans="10:10">
      <c r="J216" s="196" t="str">
        <f t="shared" si="7"/>
        <v/>
      </c>
    </row>
    <row r="217" spans="10:10">
      <c r="J217" s="196" t="str">
        <f t="shared" si="7"/>
        <v/>
      </c>
    </row>
    <row r="218" spans="10:10">
      <c r="J218" s="196" t="str">
        <f t="shared" si="7"/>
        <v/>
      </c>
    </row>
    <row r="219" spans="10:10">
      <c r="J219" s="196" t="str">
        <f t="shared" si="7"/>
        <v/>
      </c>
    </row>
    <row r="220" spans="10:10">
      <c r="J220" s="196" t="str">
        <f t="shared" si="7"/>
        <v/>
      </c>
    </row>
    <row r="221" spans="10:10">
      <c r="J221" s="196" t="str">
        <f t="shared" si="7"/>
        <v/>
      </c>
    </row>
    <row r="222" spans="10:10">
      <c r="J222" s="196" t="str">
        <f t="shared" si="7"/>
        <v/>
      </c>
    </row>
    <row r="223" spans="10:10">
      <c r="J223" s="196" t="str">
        <f t="shared" si="7"/>
        <v/>
      </c>
    </row>
    <row r="224" spans="10:10">
      <c r="J224" s="196" t="str">
        <f t="shared" si="7"/>
        <v/>
      </c>
    </row>
    <row r="225" spans="10:10">
      <c r="J225" s="196" t="str">
        <f t="shared" si="7"/>
        <v/>
      </c>
    </row>
    <row r="226" spans="10:10">
      <c r="J226" s="196" t="str">
        <f t="shared" si="7"/>
        <v/>
      </c>
    </row>
    <row r="227" spans="10:10">
      <c r="J227" s="196" t="str">
        <f t="shared" si="7"/>
        <v/>
      </c>
    </row>
    <row r="228" spans="10:10">
      <c r="J228" s="196" t="str">
        <f t="shared" si="7"/>
        <v/>
      </c>
    </row>
    <row r="229" spans="10:10">
      <c r="J229" s="196" t="str">
        <f t="shared" si="7"/>
        <v/>
      </c>
    </row>
    <row r="230" spans="10:10">
      <c r="J230" s="196" t="str">
        <f t="shared" si="7"/>
        <v/>
      </c>
    </row>
    <row r="231" spans="10:10">
      <c r="J231" s="196" t="str">
        <f t="shared" si="7"/>
        <v/>
      </c>
    </row>
    <row r="232" spans="10:10">
      <c r="J232" s="196" t="str">
        <f t="shared" si="7"/>
        <v/>
      </c>
    </row>
    <row r="233" spans="10:10">
      <c r="J233" s="196" t="str">
        <f t="shared" si="7"/>
        <v/>
      </c>
    </row>
    <row r="234" spans="10:10">
      <c r="J234" s="196" t="str">
        <f t="shared" si="7"/>
        <v/>
      </c>
    </row>
    <row r="235" spans="10:10">
      <c r="J235" s="196" t="str">
        <f t="shared" si="7"/>
        <v/>
      </c>
    </row>
    <row r="236" spans="10:10">
      <c r="J236" s="196" t="str">
        <f t="shared" si="7"/>
        <v/>
      </c>
    </row>
    <row r="237" spans="10:10">
      <c r="J237" s="196" t="str">
        <f t="shared" si="7"/>
        <v/>
      </c>
    </row>
    <row r="238" spans="10:10">
      <c r="J238" s="196" t="str">
        <f t="shared" si="7"/>
        <v/>
      </c>
    </row>
    <row r="239" spans="10:10">
      <c r="J239" s="196" t="str">
        <f t="shared" si="7"/>
        <v/>
      </c>
    </row>
    <row r="240" spans="10:10">
      <c r="J240" s="196" t="str">
        <f t="shared" si="7"/>
        <v/>
      </c>
    </row>
    <row r="241" spans="10:10">
      <c r="J241" s="196" t="str">
        <f t="shared" si="7"/>
        <v/>
      </c>
    </row>
    <row r="242" spans="10:10">
      <c r="J242" s="196" t="str">
        <f t="shared" si="7"/>
        <v/>
      </c>
    </row>
    <row r="243" spans="10:10">
      <c r="J243" s="196" t="str">
        <f t="shared" si="7"/>
        <v/>
      </c>
    </row>
    <row r="244" spans="10:10">
      <c r="J244" s="196" t="str">
        <f t="shared" si="7"/>
        <v/>
      </c>
    </row>
    <row r="245" spans="10:10">
      <c r="J245" s="196" t="str">
        <f t="shared" si="7"/>
        <v/>
      </c>
    </row>
    <row r="246" spans="10:10">
      <c r="J246" s="196" t="str">
        <f t="shared" si="7"/>
        <v/>
      </c>
    </row>
    <row r="247" spans="10:10">
      <c r="J247" s="196" t="str">
        <f t="shared" si="7"/>
        <v/>
      </c>
    </row>
    <row r="248" spans="10:10">
      <c r="J248" s="196" t="str">
        <f t="shared" si="7"/>
        <v/>
      </c>
    </row>
    <row r="249" spans="10:10">
      <c r="J249" s="196" t="str">
        <f t="shared" si="7"/>
        <v/>
      </c>
    </row>
    <row r="250" spans="10:10">
      <c r="J250" s="196" t="str">
        <f t="shared" si="7"/>
        <v/>
      </c>
    </row>
    <row r="251" spans="10:10">
      <c r="J251" s="196" t="str">
        <f t="shared" si="7"/>
        <v/>
      </c>
    </row>
    <row r="252" spans="10:10">
      <c r="J252" s="196" t="str">
        <f t="shared" si="7"/>
        <v/>
      </c>
    </row>
    <row r="253" spans="10:10">
      <c r="J253" s="196" t="str">
        <f t="shared" si="7"/>
        <v/>
      </c>
    </row>
    <row r="254" spans="10:10">
      <c r="J254" s="196" t="str">
        <f t="shared" si="7"/>
        <v/>
      </c>
    </row>
    <row r="255" spans="10:10">
      <c r="J255" s="196" t="str">
        <f t="shared" si="7"/>
        <v/>
      </c>
    </row>
    <row r="256" spans="10:10">
      <c r="J256" s="196" t="str">
        <f t="shared" si="7"/>
        <v/>
      </c>
    </row>
    <row r="257" spans="10:10">
      <c r="J257" s="196" t="str">
        <f t="shared" si="7"/>
        <v/>
      </c>
    </row>
    <row r="258" spans="10:10">
      <c r="J258" s="196" t="str">
        <f t="shared" si="7"/>
        <v/>
      </c>
    </row>
    <row r="259" spans="10:10">
      <c r="J259" s="196" t="str">
        <f t="shared" si="7"/>
        <v/>
      </c>
    </row>
    <row r="260" spans="10:10">
      <c r="J260" s="196" t="str">
        <f t="shared" si="7"/>
        <v/>
      </c>
    </row>
    <row r="261" spans="10:10">
      <c r="J261" s="196" t="str">
        <f t="shared" si="7"/>
        <v/>
      </c>
    </row>
    <row r="262" spans="10:10">
      <c r="J262" s="196" t="str">
        <f t="shared" si="7"/>
        <v/>
      </c>
    </row>
    <row r="263" spans="10:10">
      <c r="J263" s="196" t="str">
        <f t="shared" si="7"/>
        <v/>
      </c>
    </row>
    <row r="264" spans="10:10">
      <c r="J264" s="196" t="str">
        <f t="shared" si="7"/>
        <v/>
      </c>
    </row>
    <row r="265" spans="10:10">
      <c r="J265" s="196" t="str">
        <f t="shared" si="7"/>
        <v/>
      </c>
    </row>
    <row r="266" spans="10:10">
      <c r="J266" s="196" t="str">
        <f t="shared" ref="J266:J329" si="8">IF(D266="","",TEXT(C266,"000")&amp;"."&amp;D266&amp;" ("&amp;E266&amp;")")</f>
        <v/>
      </c>
    </row>
    <row r="267" spans="10:10">
      <c r="J267" s="196" t="str">
        <f t="shared" si="8"/>
        <v/>
      </c>
    </row>
    <row r="268" spans="10:10">
      <c r="J268" s="196" t="str">
        <f t="shared" si="8"/>
        <v/>
      </c>
    </row>
    <row r="269" spans="10:10">
      <c r="J269" s="196" t="str">
        <f t="shared" si="8"/>
        <v/>
      </c>
    </row>
    <row r="270" spans="10:10">
      <c r="J270" s="196" t="str">
        <f t="shared" si="8"/>
        <v/>
      </c>
    </row>
    <row r="271" spans="10:10">
      <c r="J271" s="196" t="str">
        <f t="shared" si="8"/>
        <v/>
      </c>
    </row>
    <row r="272" spans="10:10">
      <c r="J272" s="196" t="str">
        <f t="shared" si="8"/>
        <v/>
      </c>
    </row>
    <row r="273" spans="10:10">
      <c r="J273" s="196" t="str">
        <f t="shared" si="8"/>
        <v/>
      </c>
    </row>
    <row r="274" spans="10:10">
      <c r="J274" s="196" t="str">
        <f t="shared" si="8"/>
        <v/>
      </c>
    </row>
    <row r="275" spans="10:10">
      <c r="J275" s="196" t="str">
        <f t="shared" si="8"/>
        <v/>
      </c>
    </row>
    <row r="276" spans="10:10">
      <c r="J276" s="196" t="str">
        <f t="shared" si="8"/>
        <v/>
      </c>
    </row>
    <row r="277" spans="10:10">
      <c r="J277" s="196" t="str">
        <f t="shared" si="8"/>
        <v/>
      </c>
    </row>
    <row r="278" spans="10:10">
      <c r="J278" s="196" t="str">
        <f t="shared" si="8"/>
        <v/>
      </c>
    </row>
    <row r="279" spans="10:10">
      <c r="J279" s="196" t="str">
        <f t="shared" si="8"/>
        <v/>
      </c>
    </row>
    <row r="280" spans="10:10">
      <c r="J280" s="196" t="str">
        <f t="shared" si="8"/>
        <v/>
      </c>
    </row>
    <row r="281" spans="10:10">
      <c r="J281" s="196" t="str">
        <f t="shared" si="8"/>
        <v/>
      </c>
    </row>
    <row r="282" spans="10:10">
      <c r="J282" s="196" t="str">
        <f t="shared" si="8"/>
        <v/>
      </c>
    </row>
    <row r="283" spans="10:10">
      <c r="J283" s="196" t="str">
        <f t="shared" si="8"/>
        <v/>
      </c>
    </row>
    <row r="284" spans="10:10">
      <c r="J284" s="196" t="str">
        <f t="shared" si="8"/>
        <v/>
      </c>
    </row>
    <row r="285" spans="10:10">
      <c r="J285" s="196" t="str">
        <f t="shared" si="8"/>
        <v/>
      </c>
    </row>
    <row r="286" spans="10:10">
      <c r="J286" s="196" t="str">
        <f t="shared" si="8"/>
        <v/>
      </c>
    </row>
    <row r="287" spans="10:10">
      <c r="J287" s="196" t="str">
        <f t="shared" si="8"/>
        <v/>
      </c>
    </row>
    <row r="288" spans="10:10">
      <c r="J288" s="196" t="str">
        <f t="shared" si="8"/>
        <v/>
      </c>
    </row>
    <row r="289" spans="10:10">
      <c r="J289" s="196" t="str">
        <f t="shared" si="8"/>
        <v/>
      </c>
    </row>
    <row r="290" spans="10:10">
      <c r="J290" s="196" t="str">
        <f t="shared" si="8"/>
        <v/>
      </c>
    </row>
    <row r="291" spans="10:10">
      <c r="J291" s="196" t="str">
        <f t="shared" si="8"/>
        <v/>
      </c>
    </row>
    <row r="292" spans="10:10">
      <c r="J292" s="196" t="str">
        <f t="shared" si="8"/>
        <v/>
      </c>
    </row>
    <row r="293" spans="10:10">
      <c r="J293" s="196" t="str">
        <f t="shared" si="8"/>
        <v/>
      </c>
    </row>
    <row r="294" spans="10:10">
      <c r="J294" s="196" t="str">
        <f t="shared" si="8"/>
        <v/>
      </c>
    </row>
    <row r="295" spans="10:10">
      <c r="J295" s="196" t="str">
        <f t="shared" si="8"/>
        <v/>
      </c>
    </row>
    <row r="296" spans="10:10">
      <c r="J296" s="196" t="str">
        <f t="shared" si="8"/>
        <v/>
      </c>
    </row>
    <row r="297" spans="10:10">
      <c r="J297" s="196" t="str">
        <f t="shared" si="8"/>
        <v/>
      </c>
    </row>
    <row r="298" spans="10:10">
      <c r="J298" s="196" t="str">
        <f t="shared" si="8"/>
        <v/>
      </c>
    </row>
    <row r="299" spans="10:10">
      <c r="J299" s="196" t="str">
        <f t="shared" si="8"/>
        <v/>
      </c>
    </row>
    <row r="300" spans="10:10">
      <c r="J300" s="196" t="str">
        <f t="shared" si="8"/>
        <v/>
      </c>
    </row>
    <row r="301" spans="10:10">
      <c r="J301" s="196" t="str">
        <f t="shared" si="8"/>
        <v/>
      </c>
    </row>
    <row r="302" spans="10:10">
      <c r="J302" s="196" t="str">
        <f t="shared" si="8"/>
        <v/>
      </c>
    </row>
    <row r="303" spans="10:10">
      <c r="J303" s="196" t="str">
        <f t="shared" si="8"/>
        <v/>
      </c>
    </row>
    <row r="304" spans="10:10">
      <c r="J304" s="196" t="str">
        <f t="shared" si="8"/>
        <v/>
      </c>
    </row>
    <row r="305" spans="10:10">
      <c r="J305" s="196" t="str">
        <f t="shared" si="8"/>
        <v/>
      </c>
    </row>
    <row r="306" spans="10:10">
      <c r="J306" s="196" t="str">
        <f t="shared" si="8"/>
        <v/>
      </c>
    </row>
    <row r="307" spans="10:10">
      <c r="J307" s="196" t="str">
        <f t="shared" si="8"/>
        <v/>
      </c>
    </row>
    <row r="308" spans="10:10">
      <c r="J308" s="196" t="str">
        <f t="shared" si="8"/>
        <v/>
      </c>
    </row>
    <row r="309" spans="10:10">
      <c r="J309" s="196" t="str">
        <f t="shared" si="8"/>
        <v/>
      </c>
    </row>
    <row r="310" spans="10:10">
      <c r="J310" s="196" t="str">
        <f t="shared" si="8"/>
        <v/>
      </c>
    </row>
    <row r="311" spans="10:10">
      <c r="J311" s="196" t="str">
        <f t="shared" si="8"/>
        <v/>
      </c>
    </row>
    <row r="312" spans="10:10">
      <c r="J312" s="196" t="str">
        <f t="shared" si="8"/>
        <v/>
      </c>
    </row>
    <row r="313" spans="10:10">
      <c r="J313" s="196" t="str">
        <f t="shared" si="8"/>
        <v/>
      </c>
    </row>
    <row r="314" spans="10:10">
      <c r="J314" s="196" t="str">
        <f t="shared" si="8"/>
        <v/>
      </c>
    </row>
    <row r="315" spans="10:10">
      <c r="J315" s="196" t="str">
        <f t="shared" si="8"/>
        <v/>
      </c>
    </row>
    <row r="316" spans="10:10">
      <c r="J316" s="196" t="str">
        <f t="shared" si="8"/>
        <v/>
      </c>
    </row>
    <row r="317" spans="10:10">
      <c r="J317" s="196" t="str">
        <f t="shared" si="8"/>
        <v/>
      </c>
    </row>
    <row r="318" spans="10:10">
      <c r="J318" s="196" t="str">
        <f t="shared" si="8"/>
        <v/>
      </c>
    </row>
    <row r="319" spans="10:10">
      <c r="J319" s="196" t="str">
        <f t="shared" si="8"/>
        <v/>
      </c>
    </row>
    <row r="320" spans="10:10">
      <c r="J320" s="196" t="str">
        <f t="shared" si="8"/>
        <v/>
      </c>
    </row>
    <row r="321" spans="10:10">
      <c r="J321" s="196" t="str">
        <f t="shared" si="8"/>
        <v/>
      </c>
    </row>
    <row r="322" spans="10:10">
      <c r="J322" s="196" t="str">
        <f t="shared" si="8"/>
        <v/>
      </c>
    </row>
    <row r="323" spans="10:10">
      <c r="J323" s="196" t="str">
        <f t="shared" si="8"/>
        <v/>
      </c>
    </row>
    <row r="324" spans="10:10">
      <c r="J324" s="196" t="str">
        <f t="shared" si="8"/>
        <v/>
      </c>
    </row>
    <row r="325" spans="10:10">
      <c r="J325" s="196" t="str">
        <f t="shared" si="8"/>
        <v/>
      </c>
    </row>
    <row r="326" spans="10:10">
      <c r="J326" s="196" t="str">
        <f t="shared" si="8"/>
        <v/>
      </c>
    </row>
    <row r="327" spans="10:10">
      <c r="J327" s="196" t="str">
        <f t="shared" si="8"/>
        <v/>
      </c>
    </row>
    <row r="328" spans="10:10">
      <c r="J328" s="196" t="str">
        <f t="shared" si="8"/>
        <v/>
      </c>
    </row>
    <row r="329" spans="10:10">
      <c r="J329" s="196" t="str">
        <f t="shared" si="8"/>
        <v/>
      </c>
    </row>
    <row r="330" spans="10:10">
      <c r="J330" s="196" t="str">
        <f t="shared" ref="J330:J383" si="9">IF(D330="","",TEXT(C330,"000")&amp;"."&amp;D330&amp;" ("&amp;E330&amp;")")</f>
        <v/>
      </c>
    </row>
    <row r="331" spans="10:10">
      <c r="J331" s="196" t="str">
        <f t="shared" si="9"/>
        <v/>
      </c>
    </row>
    <row r="332" spans="10:10">
      <c r="J332" s="196" t="str">
        <f t="shared" si="9"/>
        <v/>
      </c>
    </row>
    <row r="333" spans="10:10">
      <c r="J333" s="196" t="str">
        <f t="shared" si="9"/>
        <v/>
      </c>
    </row>
    <row r="334" spans="10:10">
      <c r="J334" s="196" t="str">
        <f t="shared" si="9"/>
        <v/>
      </c>
    </row>
    <row r="335" spans="10:10">
      <c r="J335" s="196" t="str">
        <f t="shared" si="9"/>
        <v/>
      </c>
    </row>
    <row r="336" spans="10:10">
      <c r="J336" s="196" t="str">
        <f t="shared" si="9"/>
        <v/>
      </c>
    </row>
    <row r="337" spans="10:10">
      <c r="J337" s="196" t="str">
        <f t="shared" si="9"/>
        <v/>
      </c>
    </row>
    <row r="338" spans="10:10">
      <c r="J338" s="196" t="str">
        <f t="shared" si="9"/>
        <v/>
      </c>
    </row>
    <row r="339" spans="10:10">
      <c r="J339" s="196" t="str">
        <f t="shared" si="9"/>
        <v/>
      </c>
    </row>
    <row r="340" spans="10:10">
      <c r="J340" s="196" t="str">
        <f t="shared" si="9"/>
        <v/>
      </c>
    </row>
    <row r="341" spans="10:10">
      <c r="J341" s="196" t="str">
        <f t="shared" si="9"/>
        <v/>
      </c>
    </row>
    <row r="342" spans="10:10">
      <c r="J342" s="196" t="str">
        <f t="shared" si="9"/>
        <v/>
      </c>
    </row>
    <row r="343" spans="10:10">
      <c r="J343" s="196" t="str">
        <f t="shared" si="9"/>
        <v/>
      </c>
    </row>
    <row r="344" spans="10:10">
      <c r="J344" s="196" t="str">
        <f t="shared" si="9"/>
        <v/>
      </c>
    </row>
    <row r="345" spans="10:10">
      <c r="J345" s="196" t="str">
        <f t="shared" si="9"/>
        <v/>
      </c>
    </row>
    <row r="346" spans="10:10">
      <c r="J346" s="196" t="str">
        <f t="shared" si="9"/>
        <v/>
      </c>
    </row>
    <row r="347" spans="10:10">
      <c r="J347" s="196" t="str">
        <f t="shared" si="9"/>
        <v/>
      </c>
    </row>
    <row r="348" spans="10:10">
      <c r="J348" s="196" t="str">
        <f t="shared" si="9"/>
        <v/>
      </c>
    </row>
    <row r="349" spans="10:10">
      <c r="J349" s="196" t="str">
        <f t="shared" si="9"/>
        <v/>
      </c>
    </row>
    <row r="350" spans="10:10">
      <c r="J350" s="196" t="str">
        <f t="shared" si="9"/>
        <v/>
      </c>
    </row>
    <row r="351" spans="10:10">
      <c r="J351" s="196" t="str">
        <f t="shared" si="9"/>
        <v/>
      </c>
    </row>
    <row r="352" spans="10:10">
      <c r="J352" s="196" t="str">
        <f t="shared" si="9"/>
        <v/>
      </c>
    </row>
    <row r="353" spans="10:10">
      <c r="J353" s="196" t="str">
        <f t="shared" si="9"/>
        <v/>
      </c>
    </row>
    <row r="354" spans="10:10">
      <c r="J354" s="196" t="str">
        <f t="shared" si="9"/>
        <v/>
      </c>
    </row>
    <row r="355" spans="10:10">
      <c r="J355" s="196" t="str">
        <f t="shared" si="9"/>
        <v/>
      </c>
    </row>
    <row r="356" spans="10:10">
      <c r="J356" s="196" t="str">
        <f t="shared" si="9"/>
        <v/>
      </c>
    </row>
    <row r="357" spans="10:10">
      <c r="J357" s="196" t="str">
        <f t="shared" si="9"/>
        <v/>
      </c>
    </row>
    <row r="358" spans="10:10">
      <c r="J358" s="196" t="str">
        <f t="shared" si="9"/>
        <v/>
      </c>
    </row>
    <row r="359" spans="10:10">
      <c r="J359" s="196" t="str">
        <f t="shared" si="9"/>
        <v/>
      </c>
    </row>
    <row r="360" spans="10:10">
      <c r="J360" s="196" t="str">
        <f t="shared" si="9"/>
        <v/>
      </c>
    </row>
    <row r="361" spans="10:10">
      <c r="J361" s="196" t="str">
        <f t="shared" si="9"/>
        <v/>
      </c>
    </row>
    <row r="362" spans="10:10">
      <c r="J362" s="196" t="str">
        <f t="shared" si="9"/>
        <v/>
      </c>
    </row>
    <row r="363" spans="10:10">
      <c r="J363" s="196" t="str">
        <f t="shared" si="9"/>
        <v/>
      </c>
    </row>
    <row r="364" spans="10:10">
      <c r="J364" s="196" t="str">
        <f t="shared" si="9"/>
        <v/>
      </c>
    </row>
    <row r="365" spans="10:10">
      <c r="J365" s="196" t="str">
        <f t="shared" si="9"/>
        <v/>
      </c>
    </row>
    <row r="366" spans="10:10">
      <c r="J366" s="196" t="str">
        <f t="shared" si="9"/>
        <v/>
      </c>
    </row>
    <row r="367" spans="10:10">
      <c r="J367" s="196" t="str">
        <f t="shared" si="9"/>
        <v/>
      </c>
    </row>
    <row r="368" spans="10:10">
      <c r="J368" s="196" t="str">
        <f t="shared" si="9"/>
        <v/>
      </c>
    </row>
    <row r="369" spans="10:10">
      <c r="J369" s="196" t="str">
        <f t="shared" si="9"/>
        <v/>
      </c>
    </row>
    <row r="370" spans="10:10">
      <c r="J370" s="196" t="str">
        <f t="shared" si="9"/>
        <v/>
      </c>
    </row>
    <row r="371" spans="10:10">
      <c r="J371" s="196" t="str">
        <f t="shared" si="9"/>
        <v/>
      </c>
    </row>
    <row r="372" spans="10:10">
      <c r="J372" s="196" t="str">
        <f t="shared" si="9"/>
        <v/>
      </c>
    </row>
    <row r="373" spans="10:10">
      <c r="J373" s="196" t="str">
        <f t="shared" si="9"/>
        <v/>
      </c>
    </row>
    <row r="374" spans="10:10">
      <c r="J374" s="196" t="str">
        <f t="shared" si="9"/>
        <v/>
      </c>
    </row>
    <row r="375" spans="10:10">
      <c r="J375" s="196" t="str">
        <f t="shared" si="9"/>
        <v/>
      </c>
    </row>
    <row r="376" spans="10:10">
      <c r="J376" s="196" t="str">
        <f t="shared" si="9"/>
        <v/>
      </c>
    </row>
    <row r="377" spans="10:10">
      <c r="J377" s="196" t="str">
        <f t="shared" si="9"/>
        <v/>
      </c>
    </row>
    <row r="378" spans="10:10">
      <c r="J378" s="196" t="str">
        <f t="shared" si="9"/>
        <v/>
      </c>
    </row>
    <row r="379" spans="10:10">
      <c r="J379" s="196" t="str">
        <f t="shared" si="9"/>
        <v/>
      </c>
    </row>
    <row r="380" spans="10:10">
      <c r="J380" s="196" t="str">
        <f t="shared" si="9"/>
        <v/>
      </c>
    </row>
    <row r="381" spans="10:10">
      <c r="J381" s="196" t="str">
        <f t="shared" si="9"/>
        <v/>
      </c>
    </row>
    <row r="382" spans="10:10">
      <c r="J382" s="196" t="str">
        <f t="shared" si="9"/>
        <v/>
      </c>
    </row>
    <row r="383" spans="10:10">
      <c r="J383" s="196" t="str">
        <f t="shared" si="9"/>
        <v/>
      </c>
    </row>
  </sheetData>
  <phoneticPr fontId="36" type="noConversion"/>
  <printOptions horizontalCentered="1"/>
  <pageMargins left="7.874015748031496E-2" right="7.874015748031496E-2" top="0.19685039370078741" bottom="0.19685039370078741" header="0.19685039370078741" footer="0.19685039370078741"/>
  <pageSetup paperSize="9" orientation="portrait" horizontalDpi="1200" verticalDpi="1200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BDA805-F492-4D13-AECB-5543D0E14372}">
  <sheetPr codeName="Sheet12"/>
  <dimension ref="C1:L690"/>
  <sheetViews>
    <sheetView showGridLines="0" zoomScale="80" zoomScaleNormal="80" zoomScaleSheetLayoutView="30" workbookViewId="0">
      <pane ySplit="7" topLeftCell="A8" activePane="bottomLeft" state="frozen"/>
      <selection pane="bottomLeft" activeCell="L8" sqref="L8"/>
    </sheetView>
  </sheetViews>
  <sheetFormatPr defaultRowHeight="23.25"/>
  <cols>
    <col min="3" max="3" width="6.85546875" style="13" customWidth="1"/>
    <col min="4" max="4" width="11.5703125" style="13" bestFit="1" customWidth="1"/>
    <col min="5" max="5" width="17.85546875" style="221" bestFit="1" customWidth="1"/>
    <col min="6" max="6" width="45.7109375" style="221" bestFit="1" customWidth="1"/>
    <col min="7" max="7" width="40.85546875" style="221" bestFit="1" customWidth="1"/>
    <col min="8" max="8" width="15.5703125" style="13" customWidth="1"/>
    <col min="9" max="9" width="21.85546875" style="13" customWidth="1"/>
    <col min="10" max="10" width="13" style="13" bestFit="1" customWidth="1"/>
    <col min="11" max="11" width="14.7109375" style="13" customWidth="1"/>
    <col min="12" max="12" width="40" style="68" bestFit="1" customWidth="1"/>
    <col min="13" max="13" width="18.85546875" customWidth="1"/>
  </cols>
  <sheetData>
    <row r="1" spans="3:12" ht="15" hidden="1">
      <c r="E1" s="13"/>
      <c r="F1" s="121"/>
      <c r="G1" s="121"/>
      <c r="L1"/>
    </row>
    <row r="2" spans="3:12" ht="15" hidden="1">
      <c r="E2" s="13"/>
      <c r="F2" s="121"/>
      <c r="G2" s="121"/>
      <c r="L2"/>
    </row>
    <row r="3" spans="3:12" ht="15">
      <c r="E3" s="13"/>
      <c r="F3" s="121"/>
      <c r="G3" s="121"/>
      <c r="L3"/>
    </row>
    <row r="4" spans="3:12" ht="44.25">
      <c r="C4" s="471" t="s">
        <v>2043</v>
      </c>
      <c r="D4" s="488"/>
      <c r="E4" s="488"/>
      <c r="F4" s="488"/>
      <c r="G4" s="488"/>
      <c r="H4" s="3"/>
      <c r="I4" s="3"/>
      <c r="J4" s="3"/>
      <c r="K4" s="3"/>
      <c r="L4"/>
    </row>
    <row r="5" spans="3:12" ht="9" customHeight="1">
      <c r="E5" s="13"/>
      <c r="F5" s="121"/>
      <c r="G5" s="121"/>
      <c r="L5"/>
    </row>
    <row r="6" spans="3:12" ht="25.5">
      <c r="C6" s="526" t="s">
        <v>47</v>
      </c>
      <c r="D6" s="526" t="s">
        <v>2040</v>
      </c>
      <c r="E6" s="526" t="s">
        <v>2041</v>
      </c>
      <c r="F6" s="526" t="s">
        <v>4798</v>
      </c>
      <c r="G6" s="526" t="s">
        <v>2042</v>
      </c>
      <c r="H6" s="526" t="s">
        <v>74</v>
      </c>
      <c r="I6" s="526" t="s">
        <v>2084</v>
      </c>
      <c r="J6" s="526" t="s">
        <v>653</v>
      </c>
      <c r="K6" s="526" t="s">
        <v>187</v>
      </c>
      <c r="L6" s="526" t="s">
        <v>4798</v>
      </c>
    </row>
    <row r="7" spans="3:12" ht="23.25" customHeight="1">
      <c r="C7" s="664" t="s">
        <v>2037</v>
      </c>
      <c r="D7" s="664" t="s">
        <v>2038</v>
      </c>
      <c r="E7" s="664" t="s">
        <v>2039</v>
      </c>
      <c r="F7" s="664" t="s">
        <v>4797</v>
      </c>
      <c r="G7" s="664" t="s">
        <v>669</v>
      </c>
      <c r="H7" s="664" t="s">
        <v>76</v>
      </c>
      <c r="I7" s="664" t="s">
        <v>2085</v>
      </c>
      <c r="J7" s="664" t="s">
        <v>639</v>
      </c>
      <c r="K7" s="664" t="s">
        <v>1645</v>
      </c>
      <c r="L7" s="664" t="s">
        <v>4797</v>
      </c>
    </row>
    <row r="8" spans="3:12" ht="25.5">
      <c r="C8" s="483">
        <v>1</v>
      </c>
      <c r="D8" s="483"/>
      <c r="E8" s="505" t="s">
        <v>2046</v>
      </c>
      <c r="F8" s="505" t="s">
        <v>2046</v>
      </c>
      <c r="G8" s="507" t="s">
        <v>2096</v>
      </c>
      <c r="H8" s="663"/>
      <c r="I8" s="483">
        <v>1</v>
      </c>
      <c r="J8" s="483"/>
      <c r="K8" s="483">
        <v>1</v>
      </c>
      <c r="L8" s="188" t="str">
        <f>IF(F8="","",TEXT(C8,"000")&amp;"."&amp;F8)</f>
        <v>001.គ្រឿងជាង</v>
      </c>
    </row>
    <row r="9" spans="3:12" ht="25.5">
      <c r="C9" s="483">
        <v>2</v>
      </c>
      <c r="D9" s="483"/>
      <c r="E9" s="505" t="s">
        <v>2088</v>
      </c>
      <c r="F9" s="505" t="s">
        <v>2088</v>
      </c>
      <c r="G9" s="507" t="s">
        <v>2048</v>
      </c>
      <c r="H9" s="663"/>
      <c r="I9" s="483">
        <v>2</v>
      </c>
      <c r="J9" s="483"/>
      <c r="K9" s="483">
        <v>1</v>
      </c>
      <c r="L9" s="188" t="str">
        <f t="shared" ref="L9:L35" si="0">IF(F9="","",TEXT(C9,"000")&amp;"."&amp;F9)</f>
        <v>002.គ្រឿងដែក</v>
      </c>
    </row>
    <row r="10" spans="3:12" ht="25.5">
      <c r="C10" s="483">
        <v>3</v>
      </c>
      <c r="D10" s="483"/>
      <c r="E10" s="505" t="s">
        <v>2086</v>
      </c>
      <c r="F10" s="505" t="s">
        <v>2086</v>
      </c>
      <c r="G10" s="507" t="s">
        <v>2095</v>
      </c>
      <c r="H10" s="663"/>
      <c r="I10" s="483">
        <v>3</v>
      </c>
      <c r="J10" s="483"/>
      <c r="K10" s="483">
        <v>1</v>
      </c>
      <c r="L10" s="188" t="str">
        <f t="shared" si="0"/>
        <v>003.គ្រឿងទឹក</v>
      </c>
    </row>
    <row r="11" spans="3:12" ht="25.5">
      <c r="C11" s="483">
        <v>4</v>
      </c>
      <c r="D11" s="483"/>
      <c r="E11" s="505" t="s">
        <v>2045</v>
      </c>
      <c r="F11" s="505" t="s">
        <v>2045</v>
      </c>
      <c r="G11" s="507" t="s">
        <v>2059</v>
      </c>
      <c r="H11" s="663"/>
      <c r="I11" s="483">
        <v>4</v>
      </c>
      <c r="J11" s="483"/>
      <c r="K11" s="483">
        <v>1</v>
      </c>
      <c r="L11" s="188" t="str">
        <f t="shared" si="0"/>
        <v>004.គ្រឿងភ្លើង</v>
      </c>
    </row>
    <row r="12" spans="3:12" ht="25.5">
      <c r="C12" s="483">
        <v>5</v>
      </c>
      <c r="D12" s="483"/>
      <c r="E12" s="505" t="s">
        <v>2047</v>
      </c>
      <c r="F12" s="505" t="s">
        <v>2047</v>
      </c>
      <c r="G12" s="507" t="s">
        <v>2083</v>
      </c>
      <c r="H12" s="663"/>
      <c r="I12" s="483">
        <v>5</v>
      </c>
      <c r="J12" s="483"/>
      <c r="K12" s="483">
        <v>1</v>
      </c>
      <c r="L12" s="188" t="str">
        <f t="shared" si="0"/>
        <v>005.គ្រឿងសំណង់</v>
      </c>
    </row>
    <row r="13" spans="3:12" ht="25.5">
      <c r="C13" s="483">
        <v>6</v>
      </c>
      <c r="D13" s="483"/>
      <c r="E13" s="505" t="s">
        <v>2074</v>
      </c>
      <c r="F13" s="505" t="s">
        <v>2074</v>
      </c>
      <c r="G13" s="507" t="s">
        <v>2056</v>
      </c>
      <c r="H13" s="663"/>
      <c r="I13" s="483">
        <v>6</v>
      </c>
      <c r="J13" s="483"/>
      <c r="K13" s="483">
        <v>1</v>
      </c>
      <c r="L13" s="188" t="str">
        <f t="shared" si="0"/>
        <v>006.ថ្នាំលាប និងថ្នាំកូត</v>
      </c>
    </row>
    <row r="14" spans="3:12" ht="25.5">
      <c r="C14" s="483">
        <v>7</v>
      </c>
      <c r="D14" s="483"/>
      <c r="E14" s="505" t="s">
        <v>2082</v>
      </c>
      <c r="F14" s="505" t="s">
        <v>2082</v>
      </c>
      <c r="G14" s="507" t="s">
        <v>2087</v>
      </c>
      <c r="H14" s="663"/>
      <c r="I14" s="483">
        <v>7</v>
      </c>
      <c r="J14" s="483"/>
      <c r="K14" s="483">
        <v>1</v>
      </c>
      <c r="L14" s="188" t="str">
        <f t="shared" si="0"/>
        <v>007.គ្រឿងបរិក្ខាផ្សេងៗ</v>
      </c>
    </row>
    <row r="15" spans="3:12" ht="25.5">
      <c r="C15" s="483">
        <v>8</v>
      </c>
      <c r="D15" s="483">
        <v>1</v>
      </c>
      <c r="E15" s="505" t="s">
        <v>2046</v>
      </c>
      <c r="F15" s="505" t="s">
        <v>2061</v>
      </c>
      <c r="G15" s="507" t="s">
        <v>2060</v>
      </c>
      <c r="H15" s="663"/>
      <c r="I15" s="483">
        <v>8</v>
      </c>
      <c r="J15" s="483"/>
      <c r="K15" s="483">
        <v>1</v>
      </c>
      <c r="L15" s="188" t="str">
        <f t="shared" si="0"/>
        <v>008.ឧបករណ៍​រុះរើ និង​បេតុង</v>
      </c>
    </row>
    <row r="16" spans="3:12" ht="25.5">
      <c r="C16" s="483">
        <v>9</v>
      </c>
      <c r="D16" s="483">
        <v>1</v>
      </c>
      <c r="E16" s="505" t="s">
        <v>2046</v>
      </c>
      <c r="F16" s="505" t="s">
        <v>2746</v>
      </c>
      <c r="G16" s="507" t="s">
        <v>2090</v>
      </c>
      <c r="H16" s="663"/>
      <c r="I16" s="483">
        <v>9</v>
      </c>
      <c r="J16" s="483"/>
      <c r="K16" s="483">
        <v>1</v>
      </c>
      <c r="L16" s="188" t="str">
        <f t="shared" si="0"/>
        <v>009.ឧបករណ៍ដៃ ដង្កាប់ ទួណឺវីស…</v>
      </c>
    </row>
    <row r="17" spans="3:12" ht="25.5">
      <c r="C17" s="483">
        <v>10</v>
      </c>
      <c r="D17" s="483">
        <v>1</v>
      </c>
      <c r="E17" s="505" t="s">
        <v>2046</v>
      </c>
      <c r="F17" s="505" t="s">
        <v>2091</v>
      </c>
      <c r="G17" s="507" t="s">
        <v>2081</v>
      </c>
      <c r="H17" s="663"/>
      <c r="I17" s="483">
        <v>10</v>
      </c>
      <c r="J17" s="483"/>
      <c r="K17" s="483">
        <v>1</v>
      </c>
      <c r="L17" s="188" t="str">
        <f t="shared" si="0"/>
        <v>010.ឧបករណ៍ការពារ PPE</v>
      </c>
    </row>
    <row r="18" spans="3:12" ht="25.5">
      <c r="C18" s="483">
        <v>11</v>
      </c>
      <c r="D18" s="483">
        <v>1</v>
      </c>
      <c r="E18" s="505" t="s">
        <v>2046</v>
      </c>
      <c r="F18" s="505" t="s">
        <v>2078</v>
      </c>
      <c r="G18" s="507" t="s">
        <v>2092</v>
      </c>
      <c r="H18" s="663"/>
      <c r="I18" s="483">
        <v>11</v>
      </c>
      <c r="J18" s="483"/>
      <c r="K18" s="483">
        <v>1</v>
      </c>
      <c r="L18" s="188" t="str">
        <f t="shared" si="0"/>
        <v>011.ឧបករណ៍ កាត់ សំណឹក…</v>
      </c>
    </row>
    <row r="19" spans="3:12" ht="25.5">
      <c r="C19" s="483">
        <v>12</v>
      </c>
      <c r="D19" s="483">
        <v>1</v>
      </c>
      <c r="E19" s="505" t="s">
        <v>2046</v>
      </c>
      <c r="F19" s="505" t="s">
        <v>2747</v>
      </c>
      <c r="G19" s="507" t="s">
        <v>2745</v>
      </c>
      <c r="H19" s="663"/>
      <c r="I19" s="483">
        <v>12</v>
      </c>
      <c r="J19" s="483"/>
      <c r="K19" s="483">
        <v>1</v>
      </c>
      <c r="L19" s="188" t="str">
        <f t="shared" si="0"/>
        <v>012.ឧបករណ៍ភ្ជាប់ ដែកគោល វីស...</v>
      </c>
    </row>
    <row r="20" spans="3:12" ht="25.5">
      <c r="C20" s="483">
        <v>13</v>
      </c>
      <c r="D20" s="483">
        <v>2</v>
      </c>
      <c r="E20" s="505" t="s">
        <v>2088</v>
      </c>
      <c r="F20" s="505" t="s">
        <v>2170</v>
      </c>
      <c r="G20" s="507" t="s">
        <v>2071</v>
      </c>
      <c r="H20" s="663"/>
      <c r="I20" s="483">
        <v>13</v>
      </c>
      <c r="J20" s="483"/>
      <c r="K20" s="483">
        <v>1</v>
      </c>
      <c r="L20" s="188" t="str">
        <f t="shared" si="0"/>
        <v>013.ដែកសរសៃ</v>
      </c>
    </row>
    <row r="21" spans="3:12" ht="25.5">
      <c r="C21" s="483">
        <v>14</v>
      </c>
      <c r="D21" s="483">
        <v>2</v>
      </c>
      <c r="E21" s="505" t="s">
        <v>2088</v>
      </c>
      <c r="F21" s="505" t="s">
        <v>2079</v>
      </c>
      <c r="G21" s="507" t="s">
        <v>2072</v>
      </c>
      <c r="H21" s="663"/>
      <c r="I21" s="483">
        <v>14</v>
      </c>
      <c r="J21" s="483"/>
      <c r="K21" s="483">
        <v>1</v>
      </c>
      <c r="L21" s="188" t="str">
        <f t="shared" si="0"/>
        <v>014.ដែកទីប និងដែកជ្រុង</v>
      </c>
    </row>
    <row r="22" spans="3:12" ht="25.5">
      <c r="C22" s="483">
        <v>15</v>
      </c>
      <c r="D22" s="483">
        <v>3</v>
      </c>
      <c r="E22" s="505" t="s">
        <v>2086</v>
      </c>
      <c r="F22" s="505" t="s">
        <v>2094</v>
      </c>
      <c r="G22" s="507" t="s">
        <v>2077</v>
      </c>
      <c r="H22" s="663"/>
      <c r="I22" s="483">
        <v>15</v>
      </c>
      <c r="J22" s="483"/>
      <c r="K22" s="483">
        <v>1</v>
      </c>
      <c r="L22" s="188" t="str">
        <f t="shared" si="0"/>
        <v>015.ទុយោទឹក</v>
      </c>
    </row>
    <row r="23" spans="3:12" ht="25.5">
      <c r="C23" s="483">
        <v>16</v>
      </c>
      <c r="D23" s="483">
        <v>3</v>
      </c>
      <c r="E23" s="505" t="s">
        <v>2086</v>
      </c>
      <c r="F23" s="505" t="s">
        <v>2058</v>
      </c>
      <c r="G23" s="507" t="s">
        <v>2057</v>
      </c>
      <c r="H23" s="663"/>
      <c r="I23" s="483">
        <v>16</v>
      </c>
      <c r="J23" s="483"/>
      <c r="K23" s="483">
        <v>1</v>
      </c>
      <c r="L23" s="188" t="str">
        <f t="shared" si="0"/>
        <v>016.គ្រឿងដំណរទុយោ</v>
      </c>
    </row>
    <row r="24" spans="3:12" ht="25.5">
      <c r="C24" s="483">
        <v>17</v>
      </c>
      <c r="D24" s="483">
        <v>4</v>
      </c>
      <c r="E24" s="505" t="s">
        <v>2045</v>
      </c>
      <c r="F24" s="505" t="s">
        <v>2748</v>
      </c>
      <c r="G24" s="507" t="s">
        <v>2749</v>
      </c>
      <c r="H24" s="663"/>
      <c r="I24" s="483">
        <v>17</v>
      </c>
      <c r="J24" s="483"/>
      <c r="K24" s="483">
        <v>1</v>
      </c>
      <c r="L24" s="188" t="str">
        <f t="shared" si="0"/>
        <v>017.ខ្សែភ្លើង និងខ្សែ</v>
      </c>
    </row>
    <row r="25" spans="3:12" ht="25.5">
      <c r="C25" s="483">
        <v>18</v>
      </c>
      <c r="D25" s="483">
        <v>4</v>
      </c>
      <c r="E25" s="505" t="s">
        <v>2045</v>
      </c>
      <c r="F25" s="505" t="s">
        <v>2750</v>
      </c>
      <c r="G25" s="507" t="s">
        <v>2751</v>
      </c>
      <c r="H25" s="663"/>
      <c r="I25" s="483">
        <v>18</v>
      </c>
      <c r="J25" s="483"/>
      <c r="K25" s="483">
        <v>1</v>
      </c>
      <c r="L25" s="188" t="str">
        <f t="shared" si="0"/>
        <v>018.ព្រីភ្លើង និងគ្រឿងចែកចាយថាមពល</v>
      </c>
    </row>
    <row r="26" spans="3:12" ht="25.5">
      <c r="C26" s="483">
        <v>19</v>
      </c>
      <c r="D26" s="483">
        <v>4</v>
      </c>
      <c r="E26" s="505" t="s">
        <v>2045</v>
      </c>
      <c r="F26" s="505" t="s">
        <v>2752</v>
      </c>
      <c r="G26" s="507" t="s">
        <v>2753</v>
      </c>
      <c r="H26" s="663"/>
      <c r="I26" s="483">
        <v>19</v>
      </c>
      <c r="J26" s="483"/>
      <c r="K26" s="483">
        <v>1</v>
      </c>
      <c r="L26" s="188" t="str">
        <f t="shared" si="0"/>
        <v>019.គ្រឿងបរិក្ខារ និងឧបករណ៍ភ្ជាប់</v>
      </c>
    </row>
    <row r="27" spans="3:12" ht="25.5">
      <c r="C27" s="483">
        <v>20</v>
      </c>
      <c r="D27" s="483">
        <v>4</v>
      </c>
      <c r="E27" s="505" t="s">
        <v>2045</v>
      </c>
      <c r="F27" s="505" t="s">
        <v>2754</v>
      </c>
      <c r="G27" s="507" t="s">
        <v>2755</v>
      </c>
      <c r="H27" s="663"/>
      <c r="I27" s="483">
        <v>20</v>
      </c>
      <c r="J27" s="483"/>
      <c r="K27" s="483">
        <v>1</v>
      </c>
      <c r="L27" s="188" t="str">
        <f t="shared" si="0"/>
        <v>020.គ្រឿងបំភ្លឺ និងគ្រឿងបន្លាស់</v>
      </c>
    </row>
    <row r="28" spans="3:12" ht="25.5">
      <c r="C28" s="483">
        <v>21</v>
      </c>
      <c r="D28" s="483">
        <v>5</v>
      </c>
      <c r="E28" s="505" t="s">
        <v>2047</v>
      </c>
      <c r="F28" s="505" t="s">
        <v>2093</v>
      </c>
      <c r="G28" s="507" t="s">
        <v>2073</v>
      </c>
      <c r="H28" s="663"/>
      <c r="I28" s="483">
        <v>21</v>
      </c>
      <c r="J28" s="483"/>
      <c r="K28" s="483">
        <v>1</v>
      </c>
      <c r="L28" s="188" t="str">
        <f t="shared" si="0"/>
        <v>021.វត្ថុធាតុដើមសំណង់ ខ្សាច់ ថ្ម...</v>
      </c>
    </row>
    <row r="29" spans="3:12" ht="25.5">
      <c r="C29" s="483">
        <v>22</v>
      </c>
      <c r="D29" s="483">
        <v>5</v>
      </c>
      <c r="E29" s="505" t="s">
        <v>2047</v>
      </c>
      <c r="F29" s="505" t="s">
        <v>2076</v>
      </c>
      <c r="G29" s="507" t="s">
        <v>2070</v>
      </c>
      <c r="H29" s="663"/>
      <c r="I29" s="483">
        <v>22</v>
      </c>
      <c r="J29" s="483"/>
      <c r="K29" s="483">
        <v>1</v>
      </c>
      <c r="L29" s="188" t="str">
        <f t="shared" si="0"/>
        <v>022.ស៊ីម៉ង់ត៍ និងបេតុង</v>
      </c>
    </row>
    <row r="30" spans="3:12" ht="25.5">
      <c r="C30" s="483">
        <v>23</v>
      </c>
      <c r="D30" s="483">
        <v>6</v>
      </c>
      <c r="E30" s="505" t="s">
        <v>2089</v>
      </c>
      <c r="F30" s="505" t="s">
        <v>4427</v>
      </c>
      <c r="G30" s="507" t="s">
        <v>2068</v>
      </c>
      <c r="H30" s="663"/>
      <c r="I30" s="483">
        <v>23</v>
      </c>
      <c r="J30" s="483"/>
      <c r="K30" s="483">
        <v>1</v>
      </c>
      <c r="L30" s="188" t="str">
        <f t="shared" si="0"/>
        <v>023.ថ្នាំបៀក</v>
      </c>
    </row>
    <row r="31" spans="3:12" ht="25.5">
      <c r="C31" s="483">
        <v>24</v>
      </c>
      <c r="D31" s="483">
        <v>6</v>
      </c>
      <c r="E31" s="505" t="s">
        <v>2089</v>
      </c>
      <c r="F31" s="505" t="s">
        <v>2075</v>
      </c>
      <c r="G31" s="507" t="s">
        <v>2069</v>
      </c>
      <c r="H31" s="663"/>
      <c r="I31" s="483">
        <v>24</v>
      </c>
      <c r="J31" s="483"/>
      <c r="K31" s="483">
        <v>1</v>
      </c>
      <c r="L31" s="188" t="str">
        <f t="shared" si="0"/>
        <v>024.ឧបករណ៍លាបថ្នាំលាប</v>
      </c>
    </row>
    <row r="32" spans="3:12" ht="25.5">
      <c r="C32" s="483">
        <v>25</v>
      </c>
      <c r="D32" s="483">
        <v>7</v>
      </c>
      <c r="E32" s="505" t="s">
        <v>2082</v>
      </c>
      <c r="F32" s="505" t="s">
        <v>2744</v>
      </c>
      <c r="G32" s="507" t="s">
        <v>2080</v>
      </c>
      <c r="H32" s="663"/>
      <c r="I32" s="483">
        <v>25</v>
      </c>
      <c r="J32" s="483"/>
      <c r="K32" s="483">
        <v>1</v>
      </c>
      <c r="L32" s="188" t="str">
        <f t="shared" si="0"/>
        <v>025.សោ និងកូនសោ</v>
      </c>
    </row>
    <row r="33" spans="3:12" ht="25.5">
      <c r="C33" s="483">
        <v>26</v>
      </c>
      <c r="D33" s="483">
        <v>7</v>
      </c>
      <c r="E33" s="505" t="s">
        <v>2082</v>
      </c>
      <c r="F33" s="505" t="s">
        <v>2063</v>
      </c>
      <c r="G33" s="507" t="s">
        <v>2062</v>
      </c>
      <c r="H33" s="663"/>
      <c r="I33" s="483">
        <v>26</v>
      </c>
      <c r="J33" s="483"/>
      <c r="K33" s="483">
        <v>1</v>
      </c>
      <c r="L33" s="188" t="str">
        <f t="shared" si="0"/>
        <v>026.ឧបករណ៍សម្រាប់បិទភ្ជាប់ និងស្អិត</v>
      </c>
    </row>
    <row r="34" spans="3:12" ht="25.5">
      <c r="C34" s="483">
        <v>27</v>
      </c>
      <c r="D34" s="483">
        <v>7</v>
      </c>
      <c r="E34" s="505" t="s">
        <v>2082</v>
      </c>
      <c r="F34" s="505" t="s">
        <v>2066</v>
      </c>
      <c r="G34" s="507" t="s">
        <v>2064</v>
      </c>
      <c r="H34" s="663"/>
      <c r="I34" s="483">
        <v>27</v>
      </c>
      <c r="J34" s="483"/>
      <c r="K34" s="483">
        <v>1</v>
      </c>
      <c r="L34" s="188" t="str">
        <f t="shared" si="0"/>
        <v>027.ឧបករណ៍សួនច្បារ និងឧបករណ៍កាត់</v>
      </c>
    </row>
    <row r="35" spans="3:12" ht="25.5">
      <c r="C35" s="483">
        <v>28</v>
      </c>
      <c r="D35" s="483">
        <v>7</v>
      </c>
      <c r="E35" s="505" t="s">
        <v>2082</v>
      </c>
      <c r="F35" s="505" t="s">
        <v>2067</v>
      </c>
      <c r="G35" s="507" t="s">
        <v>2065</v>
      </c>
      <c r="H35" s="663"/>
      <c r="I35" s="483">
        <v>28</v>
      </c>
      <c r="J35" s="483"/>
      <c r="K35" s="483">
        <v>1</v>
      </c>
      <c r="L35" s="188" t="str">
        <f t="shared" si="0"/>
        <v>028.ការសម្អាត និងការដុសខាត់</v>
      </c>
    </row>
    <row r="36" spans="3:12" ht="25.5">
      <c r="L36" s="188" t="str">
        <f t="shared" ref="L36:L38" si="1">IF(F36="","",TEXT(C36,"000")&amp;"."&amp;F36&amp;" ("&amp;G36&amp;")")</f>
        <v/>
      </c>
    </row>
    <row r="37" spans="3:12" ht="25.5">
      <c r="L37" s="188" t="str">
        <f t="shared" si="1"/>
        <v/>
      </c>
    </row>
    <row r="38" spans="3:12" ht="25.5">
      <c r="L38" s="188" t="str">
        <f t="shared" si="1"/>
        <v/>
      </c>
    </row>
    <row r="39" spans="3:12" ht="25.5">
      <c r="L39" s="188" t="str">
        <f t="shared" ref="L39:L102" si="2">IF(F39="","",TEXT(C39,"000")&amp;"."&amp;F39&amp;" ("&amp;G39&amp;")")</f>
        <v/>
      </c>
    </row>
    <row r="40" spans="3:12" ht="25.5">
      <c r="L40" s="188" t="str">
        <f t="shared" si="2"/>
        <v/>
      </c>
    </row>
    <row r="41" spans="3:12" ht="25.5">
      <c r="L41" s="188" t="str">
        <f t="shared" si="2"/>
        <v/>
      </c>
    </row>
    <row r="42" spans="3:12" ht="25.5">
      <c r="L42" s="188" t="str">
        <f t="shared" si="2"/>
        <v/>
      </c>
    </row>
    <row r="43" spans="3:12" ht="25.5">
      <c r="L43" s="188" t="str">
        <f t="shared" si="2"/>
        <v/>
      </c>
    </row>
    <row r="44" spans="3:12" ht="25.5">
      <c r="L44" s="188" t="str">
        <f t="shared" si="2"/>
        <v/>
      </c>
    </row>
    <row r="45" spans="3:12" ht="25.5">
      <c r="L45" s="188" t="str">
        <f t="shared" si="2"/>
        <v/>
      </c>
    </row>
    <row r="46" spans="3:12" ht="25.5">
      <c r="L46" s="188" t="str">
        <f t="shared" si="2"/>
        <v/>
      </c>
    </row>
    <row r="47" spans="3:12" ht="25.5">
      <c r="L47" s="188" t="str">
        <f t="shared" si="2"/>
        <v/>
      </c>
    </row>
    <row r="48" spans="3:12" ht="25.5">
      <c r="L48" s="188" t="str">
        <f t="shared" si="2"/>
        <v/>
      </c>
    </row>
    <row r="49" spans="12:12" ht="25.5">
      <c r="L49" s="188" t="str">
        <f t="shared" si="2"/>
        <v/>
      </c>
    </row>
    <row r="50" spans="12:12" ht="25.5">
      <c r="L50" s="188" t="str">
        <f t="shared" si="2"/>
        <v/>
      </c>
    </row>
    <row r="51" spans="12:12" ht="25.5">
      <c r="L51" s="188" t="str">
        <f t="shared" si="2"/>
        <v/>
      </c>
    </row>
    <row r="52" spans="12:12" ht="25.5">
      <c r="L52" s="188" t="str">
        <f t="shared" si="2"/>
        <v/>
      </c>
    </row>
    <row r="53" spans="12:12" ht="25.5">
      <c r="L53" s="188" t="str">
        <f t="shared" si="2"/>
        <v/>
      </c>
    </row>
    <row r="54" spans="12:12" ht="25.5">
      <c r="L54" s="188" t="str">
        <f t="shared" si="2"/>
        <v/>
      </c>
    </row>
    <row r="55" spans="12:12" ht="25.5">
      <c r="L55" s="188" t="str">
        <f t="shared" si="2"/>
        <v/>
      </c>
    </row>
    <row r="56" spans="12:12" ht="25.5">
      <c r="L56" s="188" t="str">
        <f t="shared" si="2"/>
        <v/>
      </c>
    </row>
    <row r="57" spans="12:12" ht="25.5">
      <c r="L57" s="188" t="str">
        <f t="shared" si="2"/>
        <v/>
      </c>
    </row>
    <row r="58" spans="12:12" ht="25.5">
      <c r="L58" s="188" t="str">
        <f t="shared" si="2"/>
        <v/>
      </c>
    </row>
    <row r="59" spans="12:12" ht="25.5">
      <c r="L59" s="188" t="str">
        <f t="shared" si="2"/>
        <v/>
      </c>
    </row>
    <row r="60" spans="12:12" ht="25.5">
      <c r="L60" s="188" t="str">
        <f t="shared" si="2"/>
        <v/>
      </c>
    </row>
    <row r="61" spans="12:12" ht="25.5">
      <c r="L61" s="188" t="str">
        <f t="shared" si="2"/>
        <v/>
      </c>
    </row>
    <row r="62" spans="12:12" ht="25.5">
      <c r="L62" s="188" t="str">
        <f t="shared" si="2"/>
        <v/>
      </c>
    </row>
    <row r="63" spans="12:12" ht="25.5">
      <c r="L63" s="188" t="str">
        <f t="shared" si="2"/>
        <v/>
      </c>
    </row>
    <row r="64" spans="12:12" ht="25.5">
      <c r="L64" s="188" t="str">
        <f t="shared" si="2"/>
        <v/>
      </c>
    </row>
    <row r="65" spans="12:12" ht="25.5">
      <c r="L65" s="188" t="str">
        <f t="shared" si="2"/>
        <v/>
      </c>
    </row>
    <row r="66" spans="12:12" ht="25.5">
      <c r="L66" s="188" t="str">
        <f t="shared" si="2"/>
        <v/>
      </c>
    </row>
    <row r="67" spans="12:12" ht="25.5">
      <c r="L67" s="188" t="str">
        <f t="shared" si="2"/>
        <v/>
      </c>
    </row>
    <row r="68" spans="12:12" ht="25.5">
      <c r="L68" s="188" t="str">
        <f t="shared" si="2"/>
        <v/>
      </c>
    </row>
    <row r="69" spans="12:12" ht="25.5">
      <c r="L69" s="188" t="str">
        <f t="shared" si="2"/>
        <v/>
      </c>
    </row>
    <row r="70" spans="12:12" ht="25.5">
      <c r="L70" s="188" t="str">
        <f t="shared" si="2"/>
        <v/>
      </c>
    </row>
    <row r="71" spans="12:12" ht="25.5">
      <c r="L71" s="188" t="str">
        <f t="shared" si="2"/>
        <v/>
      </c>
    </row>
    <row r="72" spans="12:12" ht="25.5">
      <c r="L72" s="188" t="str">
        <f t="shared" si="2"/>
        <v/>
      </c>
    </row>
    <row r="73" spans="12:12" ht="25.5">
      <c r="L73" s="188" t="str">
        <f t="shared" si="2"/>
        <v/>
      </c>
    </row>
    <row r="74" spans="12:12" ht="25.5">
      <c r="L74" s="188" t="str">
        <f t="shared" si="2"/>
        <v/>
      </c>
    </row>
    <row r="75" spans="12:12" ht="25.5">
      <c r="L75" s="188" t="str">
        <f t="shared" si="2"/>
        <v/>
      </c>
    </row>
    <row r="76" spans="12:12" ht="25.5">
      <c r="L76" s="188" t="str">
        <f t="shared" si="2"/>
        <v/>
      </c>
    </row>
    <row r="77" spans="12:12" ht="25.5">
      <c r="L77" s="188" t="str">
        <f t="shared" si="2"/>
        <v/>
      </c>
    </row>
    <row r="78" spans="12:12" ht="25.5">
      <c r="L78" s="188" t="str">
        <f t="shared" si="2"/>
        <v/>
      </c>
    </row>
    <row r="79" spans="12:12" ht="25.5">
      <c r="L79" s="188" t="str">
        <f t="shared" si="2"/>
        <v/>
      </c>
    </row>
    <row r="80" spans="12:12" ht="25.5">
      <c r="L80" s="188" t="str">
        <f t="shared" si="2"/>
        <v/>
      </c>
    </row>
    <row r="81" spans="12:12" ht="25.5">
      <c r="L81" s="188" t="str">
        <f t="shared" si="2"/>
        <v/>
      </c>
    </row>
    <row r="82" spans="12:12" ht="25.5">
      <c r="L82" s="188" t="str">
        <f t="shared" si="2"/>
        <v/>
      </c>
    </row>
    <row r="83" spans="12:12" ht="25.5">
      <c r="L83" s="188" t="str">
        <f t="shared" si="2"/>
        <v/>
      </c>
    </row>
    <row r="84" spans="12:12" ht="25.5">
      <c r="L84" s="188" t="str">
        <f t="shared" si="2"/>
        <v/>
      </c>
    </row>
    <row r="85" spans="12:12" ht="25.5">
      <c r="L85" s="188" t="str">
        <f t="shared" si="2"/>
        <v/>
      </c>
    </row>
    <row r="86" spans="12:12" ht="25.5">
      <c r="L86" s="188" t="str">
        <f t="shared" si="2"/>
        <v/>
      </c>
    </row>
    <row r="87" spans="12:12" ht="25.5">
      <c r="L87" s="188" t="str">
        <f t="shared" si="2"/>
        <v/>
      </c>
    </row>
    <row r="88" spans="12:12" ht="25.5">
      <c r="L88" s="188" t="str">
        <f t="shared" si="2"/>
        <v/>
      </c>
    </row>
    <row r="89" spans="12:12" ht="25.5">
      <c r="L89" s="188" t="str">
        <f t="shared" si="2"/>
        <v/>
      </c>
    </row>
    <row r="90" spans="12:12" ht="25.5">
      <c r="L90" s="188" t="str">
        <f t="shared" si="2"/>
        <v/>
      </c>
    </row>
    <row r="91" spans="12:12" ht="25.5">
      <c r="L91" s="188" t="str">
        <f t="shared" si="2"/>
        <v/>
      </c>
    </row>
    <row r="92" spans="12:12" ht="25.5">
      <c r="L92" s="188" t="str">
        <f t="shared" si="2"/>
        <v/>
      </c>
    </row>
    <row r="93" spans="12:12" ht="25.5">
      <c r="L93" s="188" t="str">
        <f t="shared" si="2"/>
        <v/>
      </c>
    </row>
    <row r="94" spans="12:12" ht="25.5">
      <c r="L94" s="188" t="str">
        <f t="shared" si="2"/>
        <v/>
      </c>
    </row>
    <row r="95" spans="12:12" ht="25.5">
      <c r="L95" s="188" t="str">
        <f t="shared" si="2"/>
        <v/>
      </c>
    </row>
    <row r="96" spans="12:12" ht="25.5">
      <c r="L96" s="188" t="str">
        <f t="shared" si="2"/>
        <v/>
      </c>
    </row>
    <row r="97" spans="12:12" ht="25.5">
      <c r="L97" s="188" t="str">
        <f t="shared" si="2"/>
        <v/>
      </c>
    </row>
    <row r="98" spans="12:12" ht="25.5">
      <c r="L98" s="188" t="str">
        <f t="shared" si="2"/>
        <v/>
      </c>
    </row>
    <row r="99" spans="12:12" ht="25.5">
      <c r="L99" s="188" t="str">
        <f t="shared" si="2"/>
        <v/>
      </c>
    </row>
    <row r="100" spans="12:12" ht="25.5">
      <c r="L100" s="188" t="str">
        <f t="shared" si="2"/>
        <v/>
      </c>
    </row>
    <row r="101" spans="12:12" ht="25.5">
      <c r="L101" s="188" t="str">
        <f t="shared" si="2"/>
        <v/>
      </c>
    </row>
    <row r="102" spans="12:12" ht="25.5">
      <c r="L102" s="188" t="str">
        <f t="shared" si="2"/>
        <v/>
      </c>
    </row>
    <row r="103" spans="12:12" ht="25.5">
      <c r="L103" s="188" t="str">
        <f t="shared" ref="L103:L166" si="3">IF(F103="","",TEXT(C103,"000")&amp;"."&amp;F103&amp;" ("&amp;G103&amp;")")</f>
        <v/>
      </c>
    </row>
    <row r="104" spans="12:12" ht="25.5">
      <c r="L104" s="188" t="str">
        <f t="shared" si="3"/>
        <v/>
      </c>
    </row>
    <row r="105" spans="12:12" ht="25.5">
      <c r="L105" s="188" t="str">
        <f t="shared" si="3"/>
        <v/>
      </c>
    </row>
    <row r="106" spans="12:12" ht="25.5">
      <c r="L106" s="188" t="str">
        <f t="shared" si="3"/>
        <v/>
      </c>
    </row>
    <row r="107" spans="12:12" ht="25.5">
      <c r="L107" s="188" t="str">
        <f t="shared" si="3"/>
        <v/>
      </c>
    </row>
    <row r="108" spans="12:12" ht="25.5">
      <c r="L108" s="188" t="str">
        <f t="shared" si="3"/>
        <v/>
      </c>
    </row>
    <row r="109" spans="12:12" ht="25.5">
      <c r="L109" s="188" t="str">
        <f t="shared" si="3"/>
        <v/>
      </c>
    </row>
    <row r="110" spans="12:12" ht="25.5">
      <c r="L110" s="188" t="str">
        <f t="shared" si="3"/>
        <v/>
      </c>
    </row>
    <row r="111" spans="12:12" ht="25.5">
      <c r="L111" s="188" t="str">
        <f t="shared" si="3"/>
        <v/>
      </c>
    </row>
    <row r="112" spans="12:12" ht="25.5">
      <c r="L112" s="188" t="str">
        <f t="shared" si="3"/>
        <v/>
      </c>
    </row>
    <row r="113" spans="12:12" ht="25.5">
      <c r="L113" s="188" t="str">
        <f t="shared" si="3"/>
        <v/>
      </c>
    </row>
    <row r="114" spans="12:12" ht="25.5">
      <c r="L114" s="188" t="str">
        <f t="shared" si="3"/>
        <v/>
      </c>
    </row>
    <row r="115" spans="12:12" ht="25.5">
      <c r="L115" s="188" t="str">
        <f t="shared" si="3"/>
        <v/>
      </c>
    </row>
    <row r="116" spans="12:12" ht="25.5">
      <c r="L116" s="188" t="str">
        <f t="shared" si="3"/>
        <v/>
      </c>
    </row>
    <row r="117" spans="12:12" ht="25.5">
      <c r="L117" s="188" t="str">
        <f t="shared" si="3"/>
        <v/>
      </c>
    </row>
    <row r="118" spans="12:12" ht="25.5">
      <c r="L118" s="188" t="str">
        <f t="shared" si="3"/>
        <v/>
      </c>
    </row>
    <row r="119" spans="12:12" ht="25.5">
      <c r="L119" s="188" t="str">
        <f t="shared" si="3"/>
        <v/>
      </c>
    </row>
    <row r="120" spans="12:12" ht="25.5">
      <c r="L120" s="188" t="str">
        <f t="shared" si="3"/>
        <v/>
      </c>
    </row>
    <row r="121" spans="12:12" ht="25.5">
      <c r="L121" s="188" t="str">
        <f t="shared" si="3"/>
        <v/>
      </c>
    </row>
    <row r="122" spans="12:12" ht="25.5">
      <c r="L122" s="188" t="str">
        <f t="shared" si="3"/>
        <v/>
      </c>
    </row>
    <row r="123" spans="12:12" ht="25.5">
      <c r="L123" s="188" t="str">
        <f t="shared" si="3"/>
        <v/>
      </c>
    </row>
    <row r="124" spans="12:12" ht="25.5">
      <c r="L124" s="188" t="str">
        <f t="shared" si="3"/>
        <v/>
      </c>
    </row>
    <row r="125" spans="12:12" ht="25.5">
      <c r="L125" s="188" t="str">
        <f t="shared" si="3"/>
        <v/>
      </c>
    </row>
    <row r="126" spans="12:12" ht="25.5">
      <c r="L126" s="188" t="str">
        <f t="shared" si="3"/>
        <v/>
      </c>
    </row>
    <row r="127" spans="12:12" ht="25.5">
      <c r="L127" s="188" t="str">
        <f t="shared" si="3"/>
        <v/>
      </c>
    </row>
    <row r="128" spans="12:12" ht="25.5">
      <c r="L128" s="188" t="str">
        <f t="shared" si="3"/>
        <v/>
      </c>
    </row>
    <row r="129" spans="12:12" ht="25.5">
      <c r="L129" s="188" t="str">
        <f t="shared" si="3"/>
        <v/>
      </c>
    </row>
    <row r="130" spans="12:12" ht="25.5">
      <c r="L130" s="188" t="str">
        <f t="shared" si="3"/>
        <v/>
      </c>
    </row>
    <row r="131" spans="12:12" ht="25.5">
      <c r="L131" s="188" t="str">
        <f t="shared" si="3"/>
        <v/>
      </c>
    </row>
    <row r="132" spans="12:12" ht="25.5">
      <c r="L132" s="188" t="str">
        <f t="shared" si="3"/>
        <v/>
      </c>
    </row>
    <row r="133" spans="12:12" ht="25.5">
      <c r="L133" s="188" t="str">
        <f t="shared" si="3"/>
        <v/>
      </c>
    </row>
    <row r="134" spans="12:12" ht="25.5">
      <c r="L134" s="188" t="str">
        <f t="shared" si="3"/>
        <v/>
      </c>
    </row>
    <row r="135" spans="12:12" ht="25.5">
      <c r="L135" s="188" t="str">
        <f t="shared" si="3"/>
        <v/>
      </c>
    </row>
    <row r="136" spans="12:12" ht="25.5">
      <c r="L136" s="188" t="str">
        <f t="shared" si="3"/>
        <v/>
      </c>
    </row>
    <row r="137" spans="12:12" ht="25.5">
      <c r="L137" s="188" t="str">
        <f t="shared" si="3"/>
        <v/>
      </c>
    </row>
    <row r="138" spans="12:12" ht="25.5">
      <c r="L138" s="188" t="str">
        <f t="shared" si="3"/>
        <v/>
      </c>
    </row>
    <row r="139" spans="12:12" ht="25.5">
      <c r="L139" s="188" t="str">
        <f t="shared" si="3"/>
        <v/>
      </c>
    </row>
    <row r="140" spans="12:12" ht="25.5">
      <c r="L140" s="188" t="str">
        <f t="shared" si="3"/>
        <v/>
      </c>
    </row>
    <row r="141" spans="12:12" ht="25.5">
      <c r="L141" s="188" t="str">
        <f t="shared" si="3"/>
        <v/>
      </c>
    </row>
    <row r="142" spans="12:12" ht="25.5">
      <c r="L142" s="188" t="str">
        <f t="shared" si="3"/>
        <v/>
      </c>
    </row>
    <row r="143" spans="12:12" ht="25.5">
      <c r="L143" s="188" t="str">
        <f t="shared" si="3"/>
        <v/>
      </c>
    </row>
    <row r="144" spans="12:12" ht="25.5">
      <c r="L144" s="188" t="str">
        <f t="shared" si="3"/>
        <v/>
      </c>
    </row>
    <row r="145" spans="12:12" ht="25.5">
      <c r="L145" s="188" t="str">
        <f t="shared" si="3"/>
        <v/>
      </c>
    </row>
    <row r="146" spans="12:12" ht="25.5">
      <c r="L146" s="188" t="str">
        <f t="shared" si="3"/>
        <v/>
      </c>
    </row>
    <row r="147" spans="12:12" ht="25.5">
      <c r="L147" s="188" t="str">
        <f t="shared" si="3"/>
        <v/>
      </c>
    </row>
    <row r="148" spans="12:12" ht="25.5">
      <c r="L148" s="188" t="str">
        <f t="shared" si="3"/>
        <v/>
      </c>
    </row>
    <row r="149" spans="12:12" ht="25.5">
      <c r="L149" s="188" t="str">
        <f t="shared" si="3"/>
        <v/>
      </c>
    </row>
    <row r="150" spans="12:12" ht="25.5">
      <c r="L150" s="188" t="str">
        <f t="shared" si="3"/>
        <v/>
      </c>
    </row>
    <row r="151" spans="12:12" ht="25.5">
      <c r="L151" s="188" t="str">
        <f t="shared" si="3"/>
        <v/>
      </c>
    </row>
    <row r="152" spans="12:12" ht="25.5">
      <c r="L152" s="188" t="str">
        <f t="shared" si="3"/>
        <v/>
      </c>
    </row>
    <row r="153" spans="12:12" ht="25.5">
      <c r="L153" s="188" t="str">
        <f t="shared" si="3"/>
        <v/>
      </c>
    </row>
    <row r="154" spans="12:12" ht="25.5">
      <c r="L154" s="188" t="str">
        <f t="shared" si="3"/>
        <v/>
      </c>
    </row>
    <row r="155" spans="12:12" ht="25.5">
      <c r="L155" s="188" t="str">
        <f t="shared" si="3"/>
        <v/>
      </c>
    </row>
    <row r="156" spans="12:12" ht="25.5">
      <c r="L156" s="188" t="str">
        <f t="shared" si="3"/>
        <v/>
      </c>
    </row>
    <row r="157" spans="12:12" ht="25.5">
      <c r="L157" s="188" t="str">
        <f t="shared" si="3"/>
        <v/>
      </c>
    </row>
    <row r="158" spans="12:12" ht="25.5">
      <c r="L158" s="188" t="str">
        <f t="shared" si="3"/>
        <v/>
      </c>
    </row>
    <row r="159" spans="12:12" ht="25.5">
      <c r="L159" s="188" t="str">
        <f t="shared" si="3"/>
        <v/>
      </c>
    </row>
    <row r="160" spans="12:12" ht="25.5">
      <c r="L160" s="188" t="str">
        <f t="shared" si="3"/>
        <v/>
      </c>
    </row>
    <row r="161" spans="12:12" ht="25.5">
      <c r="L161" s="188" t="str">
        <f t="shared" si="3"/>
        <v/>
      </c>
    </row>
    <row r="162" spans="12:12" ht="25.5">
      <c r="L162" s="188" t="str">
        <f t="shared" si="3"/>
        <v/>
      </c>
    </row>
    <row r="163" spans="12:12" ht="25.5">
      <c r="L163" s="188" t="str">
        <f t="shared" si="3"/>
        <v/>
      </c>
    </row>
    <row r="164" spans="12:12" ht="25.5">
      <c r="L164" s="188" t="str">
        <f t="shared" si="3"/>
        <v/>
      </c>
    </row>
    <row r="165" spans="12:12" ht="25.5">
      <c r="L165" s="188" t="str">
        <f t="shared" si="3"/>
        <v/>
      </c>
    </row>
    <row r="166" spans="12:12" ht="25.5">
      <c r="L166" s="188" t="str">
        <f t="shared" si="3"/>
        <v/>
      </c>
    </row>
    <row r="167" spans="12:12" ht="25.5">
      <c r="L167" s="188" t="str">
        <f t="shared" ref="L167:L230" si="4">IF(F167="","",TEXT(C167,"000")&amp;"."&amp;F167&amp;" ("&amp;G167&amp;")")</f>
        <v/>
      </c>
    </row>
    <row r="168" spans="12:12" ht="25.5">
      <c r="L168" s="188" t="str">
        <f t="shared" si="4"/>
        <v/>
      </c>
    </row>
    <row r="169" spans="12:12" ht="25.5">
      <c r="L169" s="188" t="str">
        <f t="shared" si="4"/>
        <v/>
      </c>
    </row>
    <row r="170" spans="12:12" ht="25.5">
      <c r="L170" s="188" t="str">
        <f t="shared" si="4"/>
        <v/>
      </c>
    </row>
    <row r="171" spans="12:12" ht="25.5">
      <c r="L171" s="188" t="str">
        <f t="shared" si="4"/>
        <v/>
      </c>
    </row>
    <row r="172" spans="12:12" ht="25.5">
      <c r="L172" s="188" t="str">
        <f t="shared" si="4"/>
        <v/>
      </c>
    </row>
    <row r="173" spans="12:12" ht="25.5">
      <c r="L173" s="188" t="str">
        <f t="shared" si="4"/>
        <v/>
      </c>
    </row>
    <row r="174" spans="12:12" ht="25.5">
      <c r="L174" s="188" t="str">
        <f t="shared" si="4"/>
        <v/>
      </c>
    </row>
    <row r="175" spans="12:12" ht="25.5">
      <c r="L175" s="188" t="str">
        <f t="shared" si="4"/>
        <v/>
      </c>
    </row>
    <row r="176" spans="12:12" ht="25.5">
      <c r="L176" s="188" t="str">
        <f t="shared" si="4"/>
        <v/>
      </c>
    </row>
    <row r="177" spans="12:12" ht="25.5">
      <c r="L177" s="188" t="str">
        <f t="shared" si="4"/>
        <v/>
      </c>
    </row>
    <row r="178" spans="12:12" ht="25.5">
      <c r="L178" s="188" t="str">
        <f t="shared" si="4"/>
        <v/>
      </c>
    </row>
    <row r="179" spans="12:12" ht="25.5">
      <c r="L179" s="188" t="str">
        <f t="shared" si="4"/>
        <v/>
      </c>
    </row>
    <row r="180" spans="12:12" ht="25.5">
      <c r="L180" s="188" t="str">
        <f t="shared" si="4"/>
        <v/>
      </c>
    </row>
    <row r="181" spans="12:12" ht="25.5">
      <c r="L181" s="188" t="str">
        <f t="shared" si="4"/>
        <v/>
      </c>
    </row>
    <row r="182" spans="12:12" ht="25.5">
      <c r="L182" s="188" t="str">
        <f t="shared" si="4"/>
        <v/>
      </c>
    </row>
    <row r="183" spans="12:12" ht="25.5">
      <c r="L183" s="188" t="str">
        <f t="shared" si="4"/>
        <v/>
      </c>
    </row>
    <row r="184" spans="12:12" ht="25.5">
      <c r="L184" s="188" t="str">
        <f t="shared" si="4"/>
        <v/>
      </c>
    </row>
    <row r="185" spans="12:12" ht="25.5">
      <c r="L185" s="188" t="str">
        <f t="shared" si="4"/>
        <v/>
      </c>
    </row>
    <row r="186" spans="12:12" ht="25.5">
      <c r="L186" s="188" t="str">
        <f t="shared" si="4"/>
        <v/>
      </c>
    </row>
    <row r="187" spans="12:12" ht="25.5">
      <c r="L187" s="188" t="str">
        <f t="shared" si="4"/>
        <v/>
      </c>
    </row>
    <row r="188" spans="12:12" ht="25.5">
      <c r="L188" s="188" t="str">
        <f t="shared" si="4"/>
        <v/>
      </c>
    </row>
    <row r="189" spans="12:12" ht="25.5">
      <c r="L189" s="188" t="str">
        <f t="shared" si="4"/>
        <v/>
      </c>
    </row>
    <row r="190" spans="12:12" ht="25.5">
      <c r="L190" s="188" t="str">
        <f t="shared" si="4"/>
        <v/>
      </c>
    </row>
    <row r="191" spans="12:12" ht="25.5">
      <c r="L191" s="188" t="str">
        <f t="shared" si="4"/>
        <v/>
      </c>
    </row>
    <row r="192" spans="12:12" ht="25.5">
      <c r="L192" s="188" t="str">
        <f t="shared" si="4"/>
        <v/>
      </c>
    </row>
    <row r="193" spans="12:12" ht="25.5">
      <c r="L193" s="188" t="str">
        <f t="shared" si="4"/>
        <v/>
      </c>
    </row>
    <row r="194" spans="12:12" ht="25.5">
      <c r="L194" s="188" t="str">
        <f t="shared" si="4"/>
        <v/>
      </c>
    </row>
    <row r="195" spans="12:12" ht="25.5">
      <c r="L195" s="188" t="str">
        <f t="shared" si="4"/>
        <v/>
      </c>
    </row>
    <row r="196" spans="12:12" ht="25.5">
      <c r="L196" s="188" t="str">
        <f t="shared" si="4"/>
        <v/>
      </c>
    </row>
    <row r="197" spans="12:12" ht="25.5">
      <c r="L197" s="188" t="str">
        <f t="shared" si="4"/>
        <v/>
      </c>
    </row>
    <row r="198" spans="12:12" ht="25.5">
      <c r="L198" s="188" t="str">
        <f t="shared" si="4"/>
        <v/>
      </c>
    </row>
    <row r="199" spans="12:12" ht="25.5">
      <c r="L199" s="188" t="str">
        <f t="shared" si="4"/>
        <v/>
      </c>
    </row>
    <row r="200" spans="12:12" ht="25.5">
      <c r="L200" s="188" t="str">
        <f t="shared" si="4"/>
        <v/>
      </c>
    </row>
    <row r="201" spans="12:12" ht="25.5">
      <c r="L201" s="188" t="str">
        <f t="shared" si="4"/>
        <v/>
      </c>
    </row>
    <row r="202" spans="12:12" ht="25.5">
      <c r="L202" s="188" t="str">
        <f t="shared" si="4"/>
        <v/>
      </c>
    </row>
    <row r="203" spans="12:12" ht="25.5">
      <c r="L203" s="188" t="str">
        <f t="shared" si="4"/>
        <v/>
      </c>
    </row>
    <row r="204" spans="12:12" ht="25.5">
      <c r="L204" s="188" t="str">
        <f t="shared" si="4"/>
        <v/>
      </c>
    </row>
    <row r="205" spans="12:12" ht="25.5">
      <c r="L205" s="188" t="str">
        <f t="shared" si="4"/>
        <v/>
      </c>
    </row>
    <row r="206" spans="12:12" ht="25.5">
      <c r="L206" s="188" t="str">
        <f t="shared" si="4"/>
        <v/>
      </c>
    </row>
    <row r="207" spans="12:12" ht="25.5">
      <c r="L207" s="188" t="str">
        <f t="shared" si="4"/>
        <v/>
      </c>
    </row>
    <row r="208" spans="12:12" ht="25.5">
      <c r="L208" s="188" t="str">
        <f t="shared" si="4"/>
        <v/>
      </c>
    </row>
    <row r="209" spans="12:12" ht="25.5">
      <c r="L209" s="188" t="str">
        <f t="shared" si="4"/>
        <v/>
      </c>
    </row>
    <row r="210" spans="12:12" ht="25.5">
      <c r="L210" s="188" t="str">
        <f t="shared" si="4"/>
        <v/>
      </c>
    </row>
    <row r="211" spans="12:12" ht="25.5">
      <c r="L211" s="188" t="str">
        <f t="shared" si="4"/>
        <v/>
      </c>
    </row>
    <row r="212" spans="12:12" ht="25.5">
      <c r="L212" s="188" t="str">
        <f t="shared" si="4"/>
        <v/>
      </c>
    </row>
    <row r="213" spans="12:12" ht="25.5">
      <c r="L213" s="188" t="str">
        <f t="shared" si="4"/>
        <v/>
      </c>
    </row>
    <row r="214" spans="12:12" ht="25.5">
      <c r="L214" s="188" t="str">
        <f t="shared" si="4"/>
        <v/>
      </c>
    </row>
    <row r="215" spans="12:12" ht="25.5">
      <c r="L215" s="188" t="str">
        <f t="shared" si="4"/>
        <v/>
      </c>
    </row>
    <row r="216" spans="12:12" ht="25.5">
      <c r="L216" s="188" t="str">
        <f t="shared" si="4"/>
        <v/>
      </c>
    </row>
    <row r="217" spans="12:12" ht="25.5">
      <c r="L217" s="188" t="str">
        <f t="shared" si="4"/>
        <v/>
      </c>
    </row>
    <row r="218" spans="12:12" ht="25.5">
      <c r="L218" s="188" t="str">
        <f t="shared" si="4"/>
        <v/>
      </c>
    </row>
    <row r="219" spans="12:12" ht="25.5">
      <c r="L219" s="188" t="str">
        <f t="shared" si="4"/>
        <v/>
      </c>
    </row>
    <row r="220" spans="12:12" ht="25.5">
      <c r="L220" s="188" t="str">
        <f t="shared" si="4"/>
        <v/>
      </c>
    </row>
    <row r="221" spans="12:12" ht="25.5">
      <c r="L221" s="188" t="str">
        <f t="shared" si="4"/>
        <v/>
      </c>
    </row>
    <row r="222" spans="12:12" ht="25.5">
      <c r="L222" s="188" t="str">
        <f t="shared" si="4"/>
        <v/>
      </c>
    </row>
    <row r="223" spans="12:12" ht="25.5">
      <c r="L223" s="188" t="str">
        <f t="shared" si="4"/>
        <v/>
      </c>
    </row>
    <row r="224" spans="12:12" ht="25.5">
      <c r="L224" s="188" t="str">
        <f t="shared" si="4"/>
        <v/>
      </c>
    </row>
    <row r="225" spans="12:12" ht="25.5">
      <c r="L225" s="188" t="str">
        <f t="shared" si="4"/>
        <v/>
      </c>
    </row>
    <row r="226" spans="12:12" ht="25.5">
      <c r="L226" s="188" t="str">
        <f t="shared" si="4"/>
        <v/>
      </c>
    </row>
    <row r="227" spans="12:12" ht="25.5">
      <c r="L227" s="188" t="str">
        <f t="shared" si="4"/>
        <v/>
      </c>
    </row>
    <row r="228" spans="12:12" ht="25.5">
      <c r="L228" s="188" t="str">
        <f t="shared" si="4"/>
        <v/>
      </c>
    </row>
    <row r="229" spans="12:12" ht="25.5">
      <c r="L229" s="188" t="str">
        <f t="shared" si="4"/>
        <v/>
      </c>
    </row>
    <row r="230" spans="12:12" ht="25.5">
      <c r="L230" s="188" t="str">
        <f t="shared" si="4"/>
        <v/>
      </c>
    </row>
    <row r="231" spans="12:12" ht="25.5">
      <c r="L231" s="188" t="str">
        <f t="shared" ref="L231:L294" si="5">IF(F231="","",TEXT(C231,"000")&amp;"."&amp;F231&amp;" ("&amp;G231&amp;")")</f>
        <v/>
      </c>
    </row>
    <row r="232" spans="12:12" ht="25.5">
      <c r="L232" s="188" t="str">
        <f t="shared" si="5"/>
        <v/>
      </c>
    </row>
    <row r="233" spans="12:12" ht="25.5">
      <c r="L233" s="188" t="str">
        <f t="shared" si="5"/>
        <v/>
      </c>
    </row>
    <row r="234" spans="12:12" ht="25.5">
      <c r="L234" s="188" t="str">
        <f t="shared" si="5"/>
        <v/>
      </c>
    </row>
    <row r="235" spans="12:12" ht="25.5">
      <c r="L235" s="188" t="str">
        <f t="shared" si="5"/>
        <v/>
      </c>
    </row>
    <row r="236" spans="12:12" ht="25.5">
      <c r="L236" s="188" t="str">
        <f t="shared" si="5"/>
        <v/>
      </c>
    </row>
    <row r="237" spans="12:12" ht="25.5">
      <c r="L237" s="188" t="str">
        <f t="shared" si="5"/>
        <v/>
      </c>
    </row>
    <row r="238" spans="12:12" ht="25.5">
      <c r="L238" s="188" t="str">
        <f t="shared" si="5"/>
        <v/>
      </c>
    </row>
    <row r="239" spans="12:12" ht="25.5">
      <c r="L239" s="188" t="str">
        <f t="shared" si="5"/>
        <v/>
      </c>
    </row>
    <row r="240" spans="12:12" ht="25.5">
      <c r="L240" s="188" t="str">
        <f t="shared" si="5"/>
        <v/>
      </c>
    </row>
    <row r="241" spans="12:12" ht="25.5">
      <c r="L241" s="188" t="str">
        <f t="shared" si="5"/>
        <v/>
      </c>
    </row>
    <row r="242" spans="12:12" ht="25.5">
      <c r="L242" s="188" t="str">
        <f t="shared" si="5"/>
        <v/>
      </c>
    </row>
    <row r="243" spans="12:12" ht="25.5">
      <c r="L243" s="188" t="str">
        <f t="shared" si="5"/>
        <v/>
      </c>
    </row>
    <row r="244" spans="12:12" ht="25.5">
      <c r="L244" s="188" t="str">
        <f t="shared" si="5"/>
        <v/>
      </c>
    </row>
    <row r="245" spans="12:12" ht="25.5">
      <c r="L245" s="188" t="str">
        <f t="shared" si="5"/>
        <v/>
      </c>
    </row>
    <row r="246" spans="12:12" ht="25.5">
      <c r="L246" s="188" t="str">
        <f t="shared" si="5"/>
        <v/>
      </c>
    </row>
    <row r="247" spans="12:12" ht="25.5">
      <c r="L247" s="188" t="str">
        <f t="shared" si="5"/>
        <v/>
      </c>
    </row>
    <row r="248" spans="12:12" ht="25.5">
      <c r="L248" s="188" t="str">
        <f t="shared" si="5"/>
        <v/>
      </c>
    </row>
    <row r="249" spans="12:12" ht="25.5">
      <c r="L249" s="188" t="str">
        <f t="shared" si="5"/>
        <v/>
      </c>
    </row>
    <row r="250" spans="12:12" ht="25.5">
      <c r="L250" s="188" t="str">
        <f t="shared" si="5"/>
        <v/>
      </c>
    </row>
    <row r="251" spans="12:12" ht="25.5">
      <c r="L251" s="188" t="str">
        <f t="shared" si="5"/>
        <v/>
      </c>
    </row>
    <row r="252" spans="12:12" ht="25.5">
      <c r="L252" s="188" t="str">
        <f t="shared" si="5"/>
        <v/>
      </c>
    </row>
    <row r="253" spans="12:12" ht="25.5">
      <c r="L253" s="188" t="str">
        <f t="shared" si="5"/>
        <v/>
      </c>
    </row>
    <row r="254" spans="12:12" ht="25.5">
      <c r="L254" s="188" t="str">
        <f t="shared" si="5"/>
        <v/>
      </c>
    </row>
    <row r="255" spans="12:12" ht="25.5">
      <c r="L255" s="188" t="str">
        <f t="shared" si="5"/>
        <v/>
      </c>
    </row>
    <row r="256" spans="12:12" ht="25.5">
      <c r="L256" s="188" t="str">
        <f t="shared" si="5"/>
        <v/>
      </c>
    </row>
    <row r="257" spans="12:12" ht="25.5">
      <c r="L257" s="188" t="str">
        <f t="shared" si="5"/>
        <v/>
      </c>
    </row>
    <row r="258" spans="12:12" ht="25.5">
      <c r="L258" s="188" t="str">
        <f t="shared" si="5"/>
        <v/>
      </c>
    </row>
    <row r="259" spans="12:12" ht="25.5">
      <c r="L259" s="188" t="str">
        <f t="shared" si="5"/>
        <v/>
      </c>
    </row>
    <row r="260" spans="12:12" ht="25.5">
      <c r="L260" s="188" t="str">
        <f t="shared" si="5"/>
        <v/>
      </c>
    </row>
    <row r="261" spans="12:12" ht="25.5">
      <c r="L261" s="188" t="str">
        <f t="shared" si="5"/>
        <v/>
      </c>
    </row>
    <row r="262" spans="12:12" ht="25.5">
      <c r="L262" s="188" t="str">
        <f t="shared" si="5"/>
        <v/>
      </c>
    </row>
    <row r="263" spans="12:12" ht="25.5">
      <c r="L263" s="188" t="str">
        <f t="shared" si="5"/>
        <v/>
      </c>
    </row>
    <row r="264" spans="12:12" ht="25.5">
      <c r="L264" s="188" t="str">
        <f t="shared" si="5"/>
        <v/>
      </c>
    </row>
    <row r="265" spans="12:12" ht="25.5">
      <c r="L265" s="188" t="str">
        <f t="shared" si="5"/>
        <v/>
      </c>
    </row>
    <row r="266" spans="12:12" ht="25.5">
      <c r="L266" s="188" t="str">
        <f t="shared" si="5"/>
        <v/>
      </c>
    </row>
    <row r="267" spans="12:12" ht="25.5">
      <c r="L267" s="188" t="str">
        <f t="shared" si="5"/>
        <v/>
      </c>
    </row>
    <row r="268" spans="12:12" ht="25.5">
      <c r="L268" s="188" t="str">
        <f t="shared" si="5"/>
        <v/>
      </c>
    </row>
    <row r="269" spans="12:12" ht="25.5">
      <c r="L269" s="188" t="str">
        <f t="shared" si="5"/>
        <v/>
      </c>
    </row>
    <row r="270" spans="12:12" ht="25.5">
      <c r="L270" s="188" t="str">
        <f t="shared" si="5"/>
        <v/>
      </c>
    </row>
    <row r="271" spans="12:12" ht="25.5">
      <c r="L271" s="188" t="str">
        <f t="shared" si="5"/>
        <v/>
      </c>
    </row>
    <row r="272" spans="12:12" ht="25.5">
      <c r="L272" s="188" t="str">
        <f t="shared" si="5"/>
        <v/>
      </c>
    </row>
    <row r="273" spans="12:12" ht="25.5">
      <c r="L273" s="188" t="str">
        <f t="shared" si="5"/>
        <v/>
      </c>
    </row>
    <row r="274" spans="12:12" ht="25.5">
      <c r="L274" s="188" t="str">
        <f t="shared" si="5"/>
        <v/>
      </c>
    </row>
    <row r="275" spans="12:12" ht="25.5">
      <c r="L275" s="188" t="str">
        <f t="shared" si="5"/>
        <v/>
      </c>
    </row>
    <row r="276" spans="12:12" ht="25.5">
      <c r="L276" s="188" t="str">
        <f t="shared" si="5"/>
        <v/>
      </c>
    </row>
    <row r="277" spans="12:12" ht="25.5">
      <c r="L277" s="188" t="str">
        <f t="shared" si="5"/>
        <v/>
      </c>
    </row>
    <row r="278" spans="12:12" ht="25.5">
      <c r="L278" s="188" t="str">
        <f t="shared" si="5"/>
        <v/>
      </c>
    </row>
    <row r="279" spans="12:12" ht="25.5">
      <c r="L279" s="188" t="str">
        <f t="shared" si="5"/>
        <v/>
      </c>
    </row>
    <row r="280" spans="12:12" ht="25.5">
      <c r="L280" s="188" t="str">
        <f t="shared" si="5"/>
        <v/>
      </c>
    </row>
    <row r="281" spans="12:12" ht="25.5">
      <c r="L281" s="188" t="str">
        <f t="shared" si="5"/>
        <v/>
      </c>
    </row>
    <row r="282" spans="12:12" ht="25.5">
      <c r="L282" s="188" t="str">
        <f t="shared" si="5"/>
        <v/>
      </c>
    </row>
    <row r="283" spans="12:12" ht="25.5">
      <c r="L283" s="188" t="str">
        <f t="shared" si="5"/>
        <v/>
      </c>
    </row>
    <row r="284" spans="12:12" ht="25.5">
      <c r="L284" s="188" t="str">
        <f t="shared" si="5"/>
        <v/>
      </c>
    </row>
    <row r="285" spans="12:12" ht="25.5">
      <c r="L285" s="188" t="str">
        <f t="shared" si="5"/>
        <v/>
      </c>
    </row>
    <row r="286" spans="12:12" ht="25.5">
      <c r="L286" s="188" t="str">
        <f t="shared" si="5"/>
        <v/>
      </c>
    </row>
    <row r="287" spans="12:12" ht="25.5">
      <c r="L287" s="188" t="str">
        <f t="shared" si="5"/>
        <v/>
      </c>
    </row>
    <row r="288" spans="12:12" ht="25.5">
      <c r="L288" s="188" t="str">
        <f t="shared" si="5"/>
        <v/>
      </c>
    </row>
    <row r="289" spans="12:12" ht="25.5">
      <c r="L289" s="188" t="str">
        <f t="shared" si="5"/>
        <v/>
      </c>
    </row>
    <row r="290" spans="12:12" ht="25.5">
      <c r="L290" s="188" t="str">
        <f t="shared" si="5"/>
        <v/>
      </c>
    </row>
    <row r="291" spans="12:12" ht="25.5">
      <c r="L291" s="188" t="str">
        <f t="shared" si="5"/>
        <v/>
      </c>
    </row>
    <row r="292" spans="12:12" ht="25.5">
      <c r="L292" s="188" t="str">
        <f t="shared" si="5"/>
        <v/>
      </c>
    </row>
    <row r="293" spans="12:12" ht="25.5">
      <c r="L293" s="188" t="str">
        <f t="shared" si="5"/>
        <v/>
      </c>
    </row>
    <row r="294" spans="12:12" ht="25.5">
      <c r="L294" s="188" t="str">
        <f t="shared" si="5"/>
        <v/>
      </c>
    </row>
    <row r="295" spans="12:12" ht="25.5">
      <c r="L295" s="188" t="str">
        <f t="shared" ref="L295:L358" si="6">IF(F295="","",TEXT(C295,"000")&amp;"."&amp;F295&amp;" ("&amp;G295&amp;")")</f>
        <v/>
      </c>
    </row>
    <row r="296" spans="12:12" ht="25.5">
      <c r="L296" s="188" t="str">
        <f t="shared" si="6"/>
        <v/>
      </c>
    </row>
    <row r="297" spans="12:12" ht="25.5">
      <c r="L297" s="188" t="str">
        <f t="shared" si="6"/>
        <v/>
      </c>
    </row>
    <row r="298" spans="12:12" ht="25.5">
      <c r="L298" s="188" t="str">
        <f t="shared" si="6"/>
        <v/>
      </c>
    </row>
    <row r="299" spans="12:12" ht="25.5">
      <c r="L299" s="188" t="str">
        <f t="shared" si="6"/>
        <v/>
      </c>
    </row>
    <row r="300" spans="12:12" ht="25.5">
      <c r="L300" s="188" t="str">
        <f t="shared" si="6"/>
        <v/>
      </c>
    </row>
    <row r="301" spans="12:12" ht="25.5">
      <c r="L301" s="188" t="str">
        <f t="shared" si="6"/>
        <v/>
      </c>
    </row>
    <row r="302" spans="12:12" ht="25.5">
      <c r="L302" s="188" t="str">
        <f t="shared" si="6"/>
        <v/>
      </c>
    </row>
    <row r="303" spans="12:12" ht="25.5">
      <c r="L303" s="188" t="str">
        <f t="shared" si="6"/>
        <v/>
      </c>
    </row>
    <row r="304" spans="12:12" ht="25.5">
      <c r="L304" s="188" t="str">
        <f t="shared" si="6"/>
        <v/>
      </c>
    </row>
    <row r="305" spans="12:12" ht="25.5">
      <c r="L305" s="188" t="str">
        <f t="shared" si="6"/>
        <v/>
      </c>
    </row>
    <row r="306" spans="12:12" ht="25.5">
      <c r="L306" s="188" t="str">
        <f t="shared" si="6"/>
        <v/>
      </c>
    </row>
    <row r="307" spans="12:12" ht="25.5">
      <c r="L307" s="188" t="str">
        <f t="shared" si="6"/>
        <v/>
      </c>
    </row>
    <row r="308" spans="12:12" ht="25.5">
      <c r="L308" s="188" t="str">
        <f t="shared" si="6"/>
        <v/>
      </c>
    </row>
    <row r="309" spans="12:12" ht="25.5">
      <c r="L309" s="188" t="str">
        <f t="shared" si="6"/>
        <v/>
      </c>
    </row>
    <row r="310" spans="12:12" ht="25.5">
      <c r="L310" s="188" t="str">
        <f t="shared" si="6"/>
        <v/>
      </c>
    </row>
    <row r="311" spans="12:12" ht="25.5">
      <c r="L311" s="188" t="str">
        <f t="shared" si="6"/>
        <v/>
      </c>
    </row>
    <row r="312" spans="12:12" ht="25.5">
      <c r="L312" s="188" t="str">
        <f t="shared" si="6"/>
        <v/>
      </c>
    </row>
    <row r="313" spans="12:12" ht="25.5">
      <c r="L313" s="188" t="str">
        <f t="shared" si="6"/>
        <v/>
      </c>
    </row>
    <row r="314" spans="12:12" ht="25.5">
      <c r="L314" s="188" t="str">
        <f t="shared" si="6"/>
        <v/>
      </c>
    </row>
    <row r="315" spans="12:12" ht="25.5">
      <c r="L315" s="188" t="str">
        <f t="shared" si="6"/>
        <v/>
      </c>
    </row>
    <row r="316" spans="12:12" ht="25.5">
      <c r="L316" s="188" t="str">
        <f t="shared" si="6"/>
        <v/>
      </c>
    </row>
    <row r="317" spans="12:12" ht="25.5">
      <c r="L317" s="188" t="str">
        <f t="shared" si="6"/>
        <v/>
      </c>
    </row>
    <row r="318" spans="12:12" ht="25.5">
      <c r="L318" s="188" t="str">
        <f t="shared" si="6"/>
        <v/>
      </c>
    </row>
    <row r="319" spans="12:12" ht="25.5">
      <c r="L319" s="188" t="str">
        <f t="shared" si="6"/>
        <v/>
      </c>
    </row>
    <row r="320" spans="12:12" ht="25.5">
      <c r="L320" s="188" t="str">
        <f t="shared" si="6"/>
        <v/>
      </c>
    </row>
    <row r="321" spans="12:12" ht="25.5">
      <c r="L321" s="188" t="str">
        <f t="shared" si="6"/>
        <v/>
      </c>
    </row>
    <row r="322" spans="12:12" ht="25.5">
      <c r="L322" s="188" t="str">
        <f t="shared" si="6"/>
        <v/>
      </c>
    </row>
    <row r="323" spans="12:12" ht="25.5">
      <c r="L323" s="188" t="str">
        <f t="shared" si="6"/>
        <v/>
      </c>
    </row>
    <row r="324" spans="12:12" ht="25.5">
      <c r="L324" s="188" t="str">
        <f t="shared" si="6"/>
        <v/>
      </c>
    </row>
    <row r="325" spans="12:12" ht="25.5">
      <c r="L325" s="188" t="str">
        <f t="shared" si="6"/>
        <v/>
      </c>
    </row>
    <row r="326" spans="12:12" ht="25.5">
      <c r="L326" s="188" t="str">
        <f t="shared" si="6"/>
        <v/>
      </c>
    </row>
    <row r="327" spans="12:12" ht="25.5">
      <c r="L327" s="188" t="str">
        <f t="shared" si="6"/>
        <v/>
      </c>
    </row>
    <row r="328" spans="12:12" ht="25.5">
      <c r="L328" s="188" t="str">
        <f t="shared" si="6"/>
        <v/>
      </c>
    </row>
    <row r="329" spans="12:12" ht="25.5">
      <c r="L329" s="188" t="str">
        <f t="shared" si="6"/>
        <v/>
      </c>
    </row>
    <row r="330" spans="12:12" ht="25.5">
      <c r="L330" s="188" t="str">
        <f t="shared" si="6"/>
        <v/>
      </c>
    </row>
    <row r="331" spans="12:12" ht="25.5">
      <c r="L331" s="188" t="str">
        <f t="shared" si="6"/>
        <v/>
      </c>
    </row>
    <row r="332" spans="12:12" ht="25.5">
      <c r="L332" s="188" t="str">
        <f t="shared" si="6"/>
        <v/>
      </c>
    </row>
    <row r="333" spans="12:12" ht="25.5">
      <c r="L333" s="188" t="str">
        <f t="shared" si="6"/>
        <v/>
      </c>
    </row>
    <row r="334" spans="12:12" ht="25.5">
      <c r="L334" s="188" t="str">
        <f t="shared" si="6"/>
        <v/>
      </c>
    </row>
    <row r="335" spans="12:12" ht="25.5">
      <c r="L335" s="188" t="str">
        <f t="shared" si="6"/>
        <v/>
      </c>
    </row>
    <row r="336" spans="12:12" ht="25.5">
      <c r="L336" s="188" t="str">
        <f t="shared" si="6"/>
        <v/>
      </c>
    </row>
    <row r="337" spans="12:12" ht="25.5">
      <c r="L337" s="188" t="str">
        <f t="shared" si="6"/>
        <v/>
      </c>
    </row>
    <row r="338" spans="12:12" ht="25.5">
      <c r="L338" s="188" t="str">
        <f t="shared" si="6"/>
        <v/>
      </c>
    </row>
    <row r="339" spans="12:12" ht="25.5">
      <c r="L339" s="188" t="str">
        <f t="shared" si="6"/>
        <v/>
      </c>
    </row>
    <row r="340" spans="12:12" ht="25.5">
      <c r="L340" s="188" t="str">
        <f t="shared" si="6"/>
        <v/>
      </c>
    </row>
    <row r="341" spans="12:12" ht="25.5">
      <c r="L341" s="188" t="str">
        <f t="shared" si="6"/>
        <v/>
      </c>
    </row>
    <row r="342" spans="12:12" ht="25.5">
      <c r="L342" s="188" t="str">
        <f t="shared" si="6"/>
        <v/>
      </c>
    </row>
    <row r="343" spans="12:12" ht="25.5">
      <c r="L343" s="188" t="str">
        <f t="shared" si="6"/>
        <v/>
      </c>
    </row>
    <row r="344" spans="12:12" ht="25.5">
      <c r="L344" s="188" t="str">
        <f t="shared" si="6"/>
        <v/>
      </c>
    </row>
    <row r="345" spans="12:12" ht="25.5">
      <c r="L345" s="188" t="str">
        <f t="shared" si="6"/>
        <v/>
      </c>
    </row>
    <row r="346" spans="12:12" ht="25.5">
      <c r="L346" s="188" t="str">
        <f t="shared" si="6"/>
        <v/>
      </c>
    </row>
    <row r="347" spans="12:12" ht="25.5">
      <c r="L347" s="188" t="str">
        <f t="shared" si="6"/>
        <v/>
      </c>
    </row>
    <row r="348" spans="12:12" ht="25.5">
      <c r="L348" s="188" t="str">
        <f t="shared" si="6"/>
        <v/>
      </c>
    </row>
    <row r="349" spans="12:12" ht="25.5">
      <c r="L349" s="188" t="str">
        <f t="shared" si="6"/>
        <v/>
      </c>
    </row>
    <row r="350" spans="12:12" ht="25.5">
      <c r="L350" s="188" t="str">
        <f t="shared" si="6"/>
        <v/>
      </c>
    </row>
    <row r="351" spans="12:12" ht="25.5">
      <c r="L351" s="188" t="str">
        <f t="shared" si="6"/>
        <v/>
      </c>
    </row>
    <row r="352" spans="12:12" ht="25.5">
      <c r="L352" s="188" t="str">
        <f t="shared" si="6"/>
        <v/>
      </c>
    </row>
    <row r="353" spans="12:12" ht="25.5">
      <c r="L353" s="188" t="str">
        <f t="shared" si="6"/>
        <v/>
      </c>
    </row>
    <row r="354" spans="12:12" ht="25.5">
      <c r="L354" s="188" t="str">
        <f t="shared" si="6"/>
        <v/>
      </c>
    </row>
    <row r="355" spans="12:12" ht="25.5">
      <c r="L355" s="188" t="str">
        <f t="shared" si="6"/>
        <v/>
      </c>
    </row>
    <row r="356" spans="12:12" ht="25.5">
      <c r="L356" s="188" t="str">
        <f t="shared" si="6"/>
        <v/>
      </c>
    </row>
    <row r="357" spans="12:12" ht="25.5">
      <c r="L357" s="188" t="str">
        <f t="shared" si="6"/>
        <v/>
      </c>
    </row>
    <row r="358" spans="12:12" ht="25.5">
      <c r="L358" s="188" t="str">
        <f t="shared" si="6"/>
        <v/>
      </c>
    </row>
    <row r="359" spans="12:12" ht="25.5">
      <c r="L359" s="188" t="str">
        <f t="shared" ref="L359:L422" si="7">IF(F359="","",TEXT(C359,"000")&amp;"."&amp;F359&amp;" ("&amp;G359&amp;")")</f>
        <v/>
      </c>
    </row>
    <row r="360" spans="12:12" ht="25.5">
      <c r="L360" s="188" t="str">
        <f t="shared" si="7"/>
        <v/>
      </c>
    </row>
    <row r="361" spans="12:12" ht="25.5">
      <c r="L361" s="188" t="str">
        <f t="shared" si="7"/>
        <v/>
      </c>
    </row>
    <row r="362" spans="12:12" ht="25.5">
      <c r="L362" s="188" t="str">
        <f t="shared" si="7"/>
        <v/>
      </c>
    </row>
    <row r="363" spans="12:12" ht="25.5">
      <c r="L363" s="188" t="str">
        <f t="shared" si="7"/>
        <v/>
      </c>
    </row>
    <row r="364" spans="12:12" ht="25.5">
      <c r="L364" s="188" t="str">
        <f t="shared" si="7"/>
        <v/>
      </c>
    </row>
    <row r="365" spans="12:12" ht="25.5">
      <c r="L365" s="188" t="str">
        <f t="shared" si="7"/>
        <v/>
      </c>
    </row>
    <row r="366" spans="12:12" ht="25.5">
      <c r="L366" s="188" t="str">
        <f t="shared" si="7"/>
        <v/>
      </c>
    </row>
    <row r="367" spans="12:12" ht="25.5">
      <c r="L367" s="188" t="str">
        <f t="shared" si="7"/>
        <v/>
      </c>
    </row>
    <row r="368" spans="12:12" ht="25.5">
      <c r="L368" s="188" t="str">
        <f t="shared" si="7"/>
        <v/>
      </c>
    </row>
    <row r="369" spans="12:12" ht="25.5">
      <c r="L369" s="188" t="str">
        <f t="shared" si="7"/>
        <v/>
      </c>
    </row>
    <row r="370" spans="12:12" ht="25.5">
      <c r="L370" s="188" t="str">
        <f t="shared" si="7"/>
        <v/>
      </c>
    </row>
    <row r="371" spans="12:12" ht="25.5">
      <c r="L371" s="188" t="str">
        <f t="shared" si="7"/>
        <v/>
      </c>
    </row>
    <row r="372" spans="12:12" ht="25.5">
      <c r="L372" s="188" t="str">
        <f t="shared" si="7"/>
        <v/>
      </c>
    </row>
    <row r="373" spans="12:12" ht="25.5">
      <c r="L373" s="188" t="str">
        <f t="shared" si="7"/>
        <v/>
      </c>
    </row>
    <row r="374" spans="12:12" ht="25.5">
      <c r="L374" s="188" t="str">
        <f t="shared" si="7"/>
        <v/>
      </c>
    </row>
    <row r="375" spans="12:12" ht="25.5">
      <c r="L375" s="188" t="str">
        <f t="shared" si="7"/>
        <v/>
      </c>
    </row>
    <row r="376" spans="12:12" ht="25.5">
      <c r="L376" s="188" t="str">
        <f t="shared" si="7"/>
        <v/>
      </c>
    </row>
    <row r="377" spans="12:12" ht="25.5">
      <c r="L377" s="188" t="str">
        <f t="shared" si="7"/>
        <v/>
      </c>
    </row>
    <row r="378" spans="12:12" ht="25.5">
      <c r="L378" s="188" t="str">
        <f t="shared" si="7"/>
        <v/>
      </c>
    </row>
    <row r="379" spans="12:12" ht="25.5">
      <c r="L379" s="188" t="str">
        <f t="shared" si="7"/>
        <v/>
      </c>
    </row>
    <row r="380" spans="12:12" ht="25.5">
      <c r="L380" s="188" t="str">
        <f t="shared" si="7"/>
        <v/>
      </c>
    </row>
    <row r="381" spans="12:12" ht="25.5">
      <c r="L381" s="188" t="str">
        <f t="shared" si="7"/>
        <v/>
      </c>
    </row>
    <row r="382" spans="12:12" ht="25.5">
      <c r="L382" s="188" t="str">
        <f t="shared" si="7"/>
        <v/>
      </c>
    </row>
    <row r="383" spans="12:12" ht="25.5">
      <c r="L383" s="188" t="str">
        <f t="shared" si="7"/>
        <v/>
      </c>
    </row>
    <row r="384" spans="12:12" ht="25.5">
      <c r="L384" s="188" t="str">
        <f t="shared" si="7"/>
        <v/>
      </c>
    </row>
    <row r="385" spans="12:12" ht="25.5">
      <c r="L385" s="188" t="str">
        <f t="shared" si="7"/>
        <v/>
      </c>
    </row>
    <row r="386" spans="12:12" ht="25.5">
      <c r="L386" s="188" t="str">
        <f t="shared" si="7"/>
        <v/>
      </c>
    </row>
    <row r="387" spans="12:12" ht="25.5">
      <c r="L387" s="188" t="str">
        <f t="shared" si="7"/>
        <v/>
      </c>
    </row>
    <row r="388" spans="12:12" ht="25.5">
      <c r="L388" s="188" t="str">
        <f t="shared" si="7"/>
        <v/>
      </c>
    </row>
    <row r="389" spans="12:12" ht="25.5">
      <c r="L389" s="188" t="str">
        <f t="shared" si="7"/>
        <v/>
      </c>
    </row>
    <row r="390" spans="12:12" ht="25.5">
      <c r="L390" s="188" t="str">
        <f t="shared" si="7"/>
        <v/>
      </c>
    </row>
    <row r="391" spans="12:12" ht="25.5">
      <c r="L391" s="188" t="str">
        <f t="shared" si="7"/>
        <v/>
      </c>
    </row>
    <row r="392" spans="12:12" ht="25.5">
      <c r="L392" s="188" t="str">
        <f t="shared" si="7"/>
        <v/>
      </c>
    </row>
    <row r="393" spans="12:12" ht="25.5">
      <c r="L393" s="188" t="str">
        <f t="shared" si="7"/>
        <v/>
      </c>
    </row>
    <row r="394" spans="12:12" ht="25.5">
      <c r="L394" s="188" t="str">
        <f t="shared" si="7"/>
        <v/>
      </c>
    </row>
    <row r="395" spans="12:12" ht="25.5">
      <c r="L395" s="188" t="str">
        <f t="shared" si="7"/>
        <v/>
      </c>
    </row>
    <row r="396" spans="12:12" ht="25.5">
      <c r="L396" s="188" t="str">
        <f t="shared" si="7"/>
        <v/>
      </c>
    </row>
    <row r="397" spans="12:12" ht="25.5">
      <c r="L397" s="188" t="str">
        <f t="shared" si="7"/>
        <v/>
      </c>
    </row>
    <row r="398" spans="12:12" ht="25.5">
      <c r="L398" s="188" t="str">
        <f t="shared" si="7"/>
        <v/>
      </c>
    </row>
    <row r="399" spans="12:12" ht="25.5">
      <c r="L399" s="188" t="str">
        <f t="shared" si="7"/>
        <v/>
      </c>
    </row>
    <row r="400" spans="12:12" ht="25.5">
      <c r="L400" s="188" t="str">
        <f t="shared" si="7"/>
        <v/>
      </c>
    </row>
    <row r="401" spans="12:12" ht="25.5">
      <c r="L401" s="188" t="str">
        <f t="shared" si="7"/>
        <v/>
      </c>
    </row>
    <row r="402" spans="12:12" ht="25.5">
      <c r="L402" s="188" t="str">
        <f t="shared" si="7"/>
        <v/>
      </c>
    </row>
    <row r="403" spans="12:12" ht="25.5">
      <c r="L403" s="188" t="str">
        <f t="shared" si="7"/>
        <v/>
      </c>
    </row>
    <row r="404" spans="12:12" ht="25.5">
      <c r="L404" s="188" t="str">
        <f t="shared" si="7"/>
        <v/>
      </c>
    </row>
    <row r="405" spans="12:12" ht="25.5">
      <c r="L405" s="188" t="str">
        <f t="shared" si="7"/>
        <v/>
      </c>
    </row>
    <row r="406" spans="12:12" ht="25.5">
      <c r="L406" s="188" t="str">
        <f t="shared" si="7"/>
        <v/>
      </c>
    </row>
    <row r="407" spans="12:12" ht="25.5">
      <c r="L407" s="188" t="str">
        <f t="shared" si="7"/>
        <v/>
      </c>
    </row>
    <row r="408" spans="12:12" ht="25.5">
      <c r="L408" s="188" t="str">
        <f t="shared" si="7"/>
        <v/>
      </c>
    </row>
    <row r="409" spans="12:12" ht="25.5">
      <c r="L409" s="188" t="str">
        <f t="shared" si="7"/>
        <v/>
      </c>
    </row>
    <row r="410" spans="12:12" ht="25.5">
      <c r="L410" s="188" t="str">
        <f t="shared" si="7"/>
        <v/>
      </c>
    </row>
    <row r="411" spans="12:12" ht="25.5">
      <c r="L411" s="188" t="str">
        <f t="shared" si="7"/>
        <v/>
      </c>
    </row>
    <row r="412" spans="12:12" ht="25.5">
      <c r="L412" s="188" t="str">
        <f t="shared" si="7"/>
        <v/>
      </c>
    </row>
    <row r="413" spans="12:12" ht="25.5">
      <c r="L413" s="188" t="str">
        <f t="shared" si="7"/>
        <v/>
      </c>
    </row>
    <row r="414" spans="12:12" ht="25.5">
      <c r="L414" s="188" t="str">
        <f t="shared" si="7"/>
        <v/>
      </c>
    </row>
    <row r="415" spans="12:12" ht="25.5">
      <c r="L415" s="188" t="str">
        <f t="shared" si="7"/>
        <v/>
      </c>
    </row>
    <row r="416" spans="12:12" ht="25.5">
      <c r="L416" s="188" t="str">
        <f t="shared" si="7"/>
        <v/>
      </c>
    </row>
    <row r="417" spans="12:12" ht="25.5">
      <c r="L417" s="188" t="str">
        <f t="shared" si="7"/>
        <v/>
      </c>
    </row>
    <row r="418" spans="12:12" ht="25.5">
      <c r="L418" s="188" t="str">
        <f t="shared" si="7"/>
        <v/>
      </c>
    </row>
    <row r="419" spans="12:12" ht="25.5">
      <c r="L419" s="188" t="str">
        <f t="shared" si="7"/>
        <v/>
      </c>
    </row>
    <row r="420" spans="12:12" ht="25.5">
      <c r="L420" s="188" t="str">
        <f t="shared" si="7"/>
        <v/>
      </c>
    </row>
    <row r="421" spans="12:12" ht="25.5">
      <c r="L421" s="188" t="str">
        <f t="shared" si="7"/>
        <v/>
      </c>
    </row>
    <row r="422" spans="12:12" ht="25.5">
      <c r="L422" s="188" t="str">
        <f t="shared" si="7"/>
        <v/>
      </c>
    </row>
    <row r="423" spans="12:12" ht="25.5">
      <c r="L423" s="188" t="str">
        <f t="shared" ref="L423:L486" si="8">IF(F423="","",TEXT(C423,"000")&amp;"."&amp;F423&amp;" ("&amp;G423&amp;")")</f>
        <v/>
      </c>
    </row>
    <row r="424" spans="12:12" ht="25.5">
      <c r="L424" s="188" t="str">
        <f t="shared" si="8"/>
        <v/>
      </c>
    </row>
    <row r="425" spans="12:12" ht="25.5">
      <c r="L425" s="188" t="str">
        <f t="shared" si="8"/>
        <v/>
      </c>
    </row>
    <row r="426" spans="12:12" ht="25.5">
      <c r="L426" s="188" t="str">
        <f t="shared" si="8"/>
        <v/>
      </c>
    </row>
    <row r="427" spans="12:12" ht="25.5">
      <c r="L427" s="188" t="str">
        <f t="shared" si="8"/>
        <v/>
      </c>
    </row>
    <row r="428" spans="12:12" ht="25.5">
      <c r="L428" s="188" t="str">
        <f t="shared" si="8"/>
        <v/>
      </c>
    </row>
    <row r="429" spans="12:12" ht="25.5">
      <c r="L429" s="188" t="str">
        <f t="shared" si="8"/>
        <v/>
      </c>
    </row>
    <row r="430" spans="12:12" ht="25.5">
      <c r="L430" s="188" t="str">
        <f t="shared" si="8"/>
        <v/>
      </c>
    </row>
    <row r="431" spans="12:12" ht="25.5">
      <c r="L431" s="188" t="str">
        <f t="shared" si="8"/>
        <v/>
      </c>
    </row>
    <row r="432" spans="12:12" ht="25.5">
      <c r="L432" s="188" t="str">
        <f t="shared" si="8"/>
        <v/>
      </c>
    </row>
    <row r="433" spans="12:12" ht="25.5">
      <c r="L433" s="188" t="str">
        <f t="shared" si="8"/>
        <v/>
      </c>
    </row>
    <row r="434" spans="12:12" ht="25.5">
      <c r="L434" s="188" t="str">
        <f t="shared" si="8"/>
        <v/>
      </c>
    </row>
    <row r="435" spans="12:12" ht="25.5">
      <c r="L435" s="188" t="str">
        <f t="shared" si="8"/>
        <v/>
      </c>
    </row>
    <row r="436" spans="12:12" ht="25.5">
      <c r="L436" s="188" t="str">
        <f t="shared" si="8"/>
        <v/>
      </c>
    </row>
    <row r="437" spans="12:12" ht="25.5">
      <c r="L437" s="188" t="str">
        <f t="shared" si="8"/>
        <v/>
      </c>
    </row>
    <row r="438" spans="12:12" ht="25.5">
      <c r="L438" s="188" t="str">
        <f t="shared" si="8"/>
        <v/>
      </c>
    </row>
    <row r="439" spans="12:12" ht="25.5">
      <c r="L439" s="188" t="str">
        <f t="shared" si="8"/>
        <v/>
      </c>
    </row>
    <row r="440" spans="12:12" ht="25.5">
      <c r="L440" s="188" t="str">
        <f t="shared" si="8"/>
        <v/>
      </c>
    </row>
    <row r="441" spans="12:12" ht="25.5">
      <c r="L441" s="188" t="str">
        <f t="shared" si="8"/>
        <v/>
      </c>
    </row>
    <row r="442" spans="12:12" ht="25.5">
      <c r="L442" s="188" t="str">
        <f t="shared" si="8"/>
        <v/>
      </c>
    </row>
    <row r="443" spans="12:12" ht="25.5">
      <c r="L443" s="188" t="str">
        <f t="shared" si="8"/>
        <v/>
      </c>
    </row>
    <row r="444" spans="12:12" ht="25.5">
      <c r="L444" s="188" t="str">
        <f t="shared" si="8"/>
        <v/>
      </c>
    </row>
    <row r="445" spans="12:12" ht="25.5">
      <c r="L445" s="188" t="str">
        <f t="shared" si="8"/>
        <v/>
      </c>
    </row>
    <row r="446" spans="12:12" ht="25.5">
      <c r="L446" s="188" t="str">
        <f t="shared" si="8"/>
        <v/>
      </c>
    </row>
    <row r="447" spans="12:12" ht="25.5">
      <c r="L447" s="188" t="str">
        <f t="shared" si="8"/>
        <v/>
      </c>
    </row>
    <row r="448" spans="12:12" ht="25.5">
      <c r="L448" s="188" t="str">
        <f t="shared" si="8"/>
        <v/>
      </c>
    </row>
    <row r="449" spans="12:12" ht="25.5">
      <c r="L449" s="188" t="str">
        <f t="shared" si="8"/>
        <v/>
      </c>
    </row>
    <row r="450" spans="12:12" ht="25.5">
      <c r="L450" s="188" t="str">
        <f t="shared" si="8"/>
        <v/>
      </c>
    </row>
    <row r="451" spans="12:12" ht="25.5">
      <c r="L451" s="188" t="str">
        <f t="shared" si="8"/>
        <v/>
      </c>
    </row>
    <row r="452" spans="12:12" ht="25.5">
      <c r="L452" s="188" t="str">
        <f t="shared" si="8"/>
        <v/>
      </c>
    </row>
    <row r="453" spans="12:12" ht="25.5">
      <c r="L453" s="188" t="str">
        <f t="shared" si="8"/>
        <v/>
      </c>
    </row>
    <row r="454" spans="12:12" ht="25.5">
      <c r="L454" s="188" t="str">
        <f t="shared" si="8"/>
        <v/>
      </c>
    </row>
    <row r="455" spans="12:12" ht="25.5">
      <c r="L455" s="188" t="str">
        <f t="shared" si="8"/>
        <v/>
      </c>
    </row>
    <row r="456" spans="12:12" ht="25.5">
      <c r="L456" s="188" t="str">
        <f t="shared" si="8"/>
        <v/>
      </c>
    </row>
    <row r="457" spans="12:12" ht="25.5">
      <c r="L457" s="188" t="str">
        <f t="shared" si="8"/>
        <v/>
      </c>
    </row>
    <row r="458" spans="12:12" ht="25.5">
      <c r="L458" s="188" t="str">
        <f t="shared" si="8"/>
        <v/>
      </c>
    </row>
    <row r="459" spans="12:12" ht="25.5">
      <c r="L459" s="188" t="str">
        <f t="shared" si="8"/>
        <v/>
      </c>
    </row>
    <row r="460" spans="12:12" ht="25.5">
      <c r="L460" s="188" t="str">
        <f t="shared" si="8"/>
        <v/>
      </c>
    </row>
    <row r="461" spans="12:12" ht="25.5">
      <c r="L461" s="188" t="str">
        <f t="shared" si="8"/>
        <v/>
      </c>
    </row>
    <row r="462" spans="12:12" ht="25.5">
      <c r="L462" s="188" t="str">
        <f t="shared" si="8"/>
        <v/>
      </c>
    </row>
    <row r="463" spans="12:12" ht="25.5">
      <c r="L463" s="188" t="str">
        <f t="shared" si="8"/>
        <v/>
      </c>
    </row>
    <row r="464" spans="12:12" ht="25.5">
      <c r="L464" s="188" t="str">
        <f t="shared" si="8"/>
        <v/>
      </c>
    </row>
    <row r="465" spans="12:12" ht="25.5">
      <c r="L465" s="188" t="str">
        <f t="shared" si="8"/>
        <v/>
      </c>
    </row>
    <row r="466" spans="12:12" ht="25.5">
      <c r="L466" s="188" t="str">
        <f t="shared" si="8"/>
        <v/>
      </c>
    </row>
    <row r="467" spans="12:12" ht="25.5">
      <c r="L467" s="188" t="str">
        <f t="shared" si="8"/>
        <v/>
      </c>
    </row>
    <row r="468" spans="12:12" ht="25.5">
      <c r="L468" s="188" t="str">
        <f t="shared" si="8"/>
        <v/>
      </c>
    </row>
    <row r="469" spans="12:12" ht="25.5">
      <c r="L469" s="188" t="str">
        <f t="shared" si="8"/>
        <v/>
      </c>
    </row>
    <row r="470" spans="12:12" ht="25.5">
      <c r="L470" s="188" t="str">
        <f t="shared" si="8"/>
        <v/>
      </c>
    </row>
    <row r="471" spans="12:12" ht="25.5">
      <c r="L471" s="188" t="str">
        <f t="shared" si="8"/>
        <v/>
      </c>
    </row>
    <row r="472" spans="12:12" ht="25.5">
      <c r="L472" s="188" t="str">
        <f t="shared" si="8"/>
        <v/>
      </c>
    </row>
    <row r="473" spans="12:12" ht="25.5">
      <c r="L473" s="188" t="str">
        <f t="shared" si="8"/>
        <v/>
      </c>
    </row>
    <row r="474" spans="12:12" ht="25.5">
      <c r="L474" s="188" t="str">
        <f t="shared" si="8"/>
        <v/>
      </c>
    </row>
    <row r="475" spans="12:12" ht="25.5">
      <c r="L475" s="188" t="str">
        <f t="shared" si="8"/>
        <v/>
      </c>
    </row>
    <row r="476" spans="12:12" ht="25.5">
      <c r="L476" s="188" t="str">
        <f t="shared" si="8"/>
        <v/>
      </c>
    </row>
    <row r="477" spans="12:12" ht="25.5">
      <c r="L477" s="188" t="str">
        <f t="shared" si="8"/>
        <v/>
      </c>
    </row>
    <row r="478" spans="12:12" ht="25.5">
      <c r="L478" s="188" t="str">
        <f t="shared" si="8"/>
        <v/>
      </c>
    </row>
    <row r="479" spans="12:12" ht="25.5">
      <c r="L479" s="188" t="str">
        <f t="shared" si="8"/>
        <v/>
      </c>
    </row>
    <row r="480" spans="12:12" ht="25.5">
      <c r="L480" s="188" t="str">
        <f t="shared" si="8"/>
        <v/>
      </c>
    </row>
    <row r="481" spans="12:12" ht="25.5">
      <c r="L481" s="188" t="str">
        <f t="shared" si="8"/>
        <v/>
      </c>
    </row>
    <row r="482" spans="12:12" ht="25.5">
      <c r="L482" s="188" t="str">
        <f t="shared" si="8"/>
        <v/>
      </c>
    </row>
    <row r="483" spans="12:12" ht="25.5">
      <c r="L483" s="188" t="str">
        <f t="shared" si="8"/>
        <v/>
      </c>
    </row>
    <row r="484" spans="12:12" ht="25.5">
      <c r="L484" s="188" t="str">
        <f t="shared" si="8"/>
        <v/>
      </c>
    </row>
    <row r="485" spans="12:12" ht="25.5">
      <c r="L485" s="188" t="str">
        <f t="shared" si="8"/>
        <v/>
      </c>
    </row>
    <row r="486" spans="12:12" ht="25.5">
      <c r="L486" s="188" t="str">
        <f t="shared" si="8"/>
        <v/>
      </c>
    </row>
    <row r="487" spans="12:12" ht="25.5">
      <c r="L487" s="188" t="str">
        <f t="shared" ref="L487:L550" si="9">IF(F487="","",TEXT(C487,"000")&amp;"."&amp;F487&amp;" ("&amp;G487&amp;")")</f>
        <v/>
      </c>
    </row>
    <row r="488" spans="12:12" ht="25.5">
      <c r="L488" s="188" t="str">
        <f t="shared" si="9"/>
        <v/>
      </c>
    </row>
    <row r="489" spans="12:12" ht="25.5">
      <c r="L489" s="188" t="str">
        <f t="shared" si="9"/>
        <v/>
      </c>
    </row>
    <row r="490" spans="12:12" ht="25.5">
      <c r="L490" s="188" t="str">
        <f t="shared" si="9"/>
        <v/>
      </c>
    </row>
    <row r="491" spans="12:12" ht="25.5">
      <c r="L491" s="188" t="str">
        <f t="shared" si="9"/>
        <v/>
      </c>
    </row>
    <row r="492" spans="12:12" ht="25.5">
      <c r="L492" s="188" t="str">
        <f t="shared" si="9"/>
        <v/>
      </c>
    </row>
    <row r="493" spans="12:12" ht="25.5">
      <c r="L493" s="188" t="str">
        <f t="shared" si="9"/>
        <v/>
      </c>
    </row>
    <row r="494" spans="12:12" ht="25.5">
      <c r="L494" s="188" t="str">
        <f t="shared" si="9"/>
        <v/>
      </c>
    </row>
    <row r="495" spans="12:12" ht="25.5">
      <c r="L495" s="188" t="str">
        <f t="shared" si="9"/>
        <v/>
      </c>
    </row>
    <row r="496" spans="12:12" ht="25.5">
      <c r="L496" s="188" t="str">
        <f t="shared" si="9"/>
        <v/>
      </c>
    </row>
    <row r="497" spans="12:12" ht="25.5">
      <c r="L497" s="188" t="str">
        <f t="shared" si="9"/>
        <v/>
      </c>
    </row>
    <row r="498" spans="12:12" ht="25.5">
      <c r="L498" s="188" t="str">
        <f t="shared" si="9"/>
        <v/>
      </c>
    </row>
    <row r="499" spans="12:12" ht="25.5">
      <c r="L499" s="188" t="str">
        <f t="shared" si="9"/>
        <v/>
      </c>
    </row>
    <row r="500" spans="12:12" ht="25.5">
      <c r="L500" s="188" t="str">
        <f t="shared" si="9"/>
        <v/>
      </c>
    </row>
    <row r="501" spans="12:12" ht="25.5">
      <c r="L501" s="188" t="str">
        <f t="shared" si="9"/>
        <v/>
      </c>
    </row>
    <row r="502" spans="12:12" ht="25.5">
      <c r="L502" s="188" t="str">
        <f t="shared" si="9"/>
        <v/>
      </c>
    </row>
    <row r="503" spans="12:12" ht="25.5">
      <c r="L503" s="188" t="str">
        <f t="shared" si="9"/>
        <v/>
      </c>
    </row>
    <row r="504" spans="12:12" ht="25.5">
      <c r="L504" s="188" t="str">
        <f t="shared" si="9"/>
        <v/>
      </c>
    </row>
    <row r="505" spans="12:12" ht="25.5">
      <c r="L505" s="188" t="str">
        <f t="shared" si="9"/>
        <v/>
      </c>
    </row>
    <row r="506" spans="12:12" ht="25.5">
      <c r="L506" s="188" t="str">
        <f t="shared" si="9"/>
        <v/>
      </c>
    </row>
    <row r="507" spans="12:12" ht="25.5">
      <c r="L507" s="188" t="str">
        <f t="shared" si="9"/>
        <v/>
      </c>
    </row>
    <row r="508" spans="12:12" ht="25.5">
      <c r="L508" s="188" t="str">
        <f t="shared" si="9"/>
        <v/>
      </c>
    </row>
    <row r="509" spans="12:12" ht="25.5">
      <c r="L509" s="188" t="str">
        <f t="shared" si="9"/>
        <v/>
      </c>
    </row>
    <row r="510" spans="12:12" ht="25.5">
      <c r="L510" s="188" t="str">
        <f t="shared" si="9"/>
        <v/>
      </c>
    </row>
    <row r="511" spans="12:12" ht="25.5">
      <c r="L511" s="188" t="str">
        <f t="shared" si="9"/>
        <v/>
      </c>
    </row>
    <row r="512" spans="12:12" ht="25.5">
      <c r="L512" s="188" t="str">
        <f t="shared" si="9"/>
        <v/>
      </c>
    </row>
    <row r="513" spans="12:12" ht="25.5">
      <c r="L513" s="188" t="str">
        <f t="shared" si="9"/>
        <v/>
      </c>
    </row>
    <row r="514" spans="12:12" ht="25.5">
      <c r="L514" s="188" t="str">
        <f t="shared" si="9"/>
        <v/>
      </c>
    </row>
    <row r="515" spans="12:12" ht="25.5">
      <c r="L515" s="188" t="str">
        <f t="shared" si="9"/>
        <v/>
      </c>
    </row>
    <row r="516" spans="12:12" ht="25.5">
      <c r="L516" s="188" t="str">
        <f t="shared" si="9"/>
        <v/>
      </c>
    </row>
    <row r="517" spans="12:12" ht="25.5">
      <c r="L517" s="188" t="str">
        <f t="shared" si="9"/>
        <v/>
      </c>
    </row>
    <row r="518" spans="12:12" ht="25.5">
      <c r="L518" s="188" t="str">
        <f t="shared" si="9"/>
        <v/>
      </c>
    </row>
    <row r="519" spans="12:12" ht="25.5">
      <c r="L519" s="188" t="str">
        <f t="shared" si="9"/>
        <v/>
      </c>
    </row>
    <row r="520" spans="12:12" ht="25.5">
      <c r="L520" s="188" t="str">
        <f t="shared" si="9"/>
        <v/>
      </c>
    </row>
    <row r="521" spans="12:12" ht="25.5">
      <c r="L521" s="188" t="str">
        <f t="shared" si="9"/>
        <v/>
      </c>
    </row>
    <row r="522" spans="12:12" ht="25.5">
      <c r="L522" s="188" t="str">
        <f t="shared" si="9"/>
        <v/>
      </c>
    </row>
    <row r="523" spans="12:12" ht="25.5">
      <c r="L523" s="188" t="str">
        <f t="shared" si="9"/>
        <v/>
      </c>
    </row>
    <row r="524" spans="12:12" ht="25.5">
      <c r="L524" s="188" t="str">
        <f t="shared" si="9"/>
        <v/>
      </c>
    </row>
    <row r="525" spans="12:12" ht="25.5">
      <c r="L525" s="188" t="str">
        <f t="shared" si="9"/>
        <v/>
      </c>
    </row>
    <row r="526" spans="12:12" ht="25.5">
      <c r="L526" s="188" t="str">
        <f t="shared" si="9"/>
        <v/>
      </c>
    </row>
    <row r="527" spans="12:12" ht="25.5">
      <c r="L527" s="188" t="str">
        <f t="shared" si="9"/>
        <v/>
      </c>
    </row>
    <row r="528" spans="12:12" ht="25.5">
      <c r="L528" s="188" t="str">
        <f t="shared" si="9"/>
        <v/>
      </c>
    </row>
    <row r="529" spans="12:12" ht="25.5">
      <c r="L529" s="188" t="str">
        <f t="shared" si="9"/>
        <v/>
      </c>
    </row>
    <row r="530" spans="12:12" ht="25.5">
      <c r="L530" s="188" t="str">
        <f t="shared" si="9"/>
        <v/>
      </c>
    </row>
    <row r="531" spans="12:12" ht="25.5">
      <c r="L531" s="188" t="str">
        <f t="shared" si="9"/>
        <v/>
      </c>
    </row>
    <row r="532" spans="12:12" ht="25.5">
      <c r="L532" s="188" t="str">
        <f t="shared" si="9"/>
        <v/>
      </c>
    </row>
    <row r="533" spans="12:12" ht="25.5">
      <c r="L533" s="188" t="str">
        <f t="shared" si="9"/>
        <v/>
      </c>
    </row>
    <row r="534" spans="12:12" ht="25.5">
      <c r="L534" s="188" t="str">
        <f t="shared" si="9"/>
        <v/>
      </c>
    </row>
    <row r="535" spans="12:12" ht="25.5">
      <c r="L535" s="188" t="str">
        <f t="shared" si="9"/>
        <v/>
      </c>
    </row>
    <row r="536" spans="12:12" ht="25.5">
      <c r="L536" s="188" t="str">
        <f t="shared" si="9"/>
        <v/>
      </c>
    </row>
    <row r="537" spans="12:12" ht="25.5">
      <c r="L537" s="188" t="str">
        <f t="shared" si="9"/>
        <v/>
      </c>
    </row>
    <row r="538" spans="12:12" ht="25.5">
      <c r="L538" s="188" t="str">
        <f t="shared" si="9"/>
        <v/>
      </c>
    </row>
    <row r="539" spans="12:12" ht="25.5">
      <c r="L539" s="188" t="str">
        <f t="shared" si="9"/>
        <v/>
      </c>
    </row>
    <row r="540" spans="12:12" ht="25.5">
      <c r="L540" s="188" t="str">
        <f t="shared" si="9"/>
        <v/>
      </c>
    </row>
    <row r="541" spans="12:12" ht="25.5">
      <c r="L541" s="188" t="str">
        <f t="shared" si="9"/>
        <v/>
      </c>
    </row>
    <row r="542" spans="12:12" ht="25.5">
      <c r="L542" s="188" t="str">
        <f t="shared" si="9"/>
        <v/>
      </c>
    </row>
    <row r="543" spans="12:12" ht="25.5">
      <c r="L543" s="188" t="str">
        <f t="shared" si="9"/>
        <v/>
      </c>
    </row>
    <row r="544" spans="12:12" ht="25.5">
      <c r="L544" s="188" t="str">
        <f t="shared" si="9"/>
        <v/>
      </c>
    </row>
    <row r="545" spans="12:12" ht="25.5">
      <c r="L545" s="188" t="str">
        <f t="shared" si="9"/>
        <v/>
      </c>
    </row>
    <row r="546" spans="12:12" ht="25.5">
      <c r="L546" s="188" t="str">
        <f t="shared" si="9"/>
        <v/>
      </c>
    </row>
    <row r="547" spans="12:12" ht="25.5">
      <c r="L547" s="188" t="str">
        <f t="shared" si="9"/>
        <v/>
      </c>
    </row>
    <row r="548" spans="12:12" ht="25.5">
      <c r="L548" s="188" t="str">
        <f t="shared" si="9"/>
        <v/>
      </c>
    </row>
    <row r="549" spans="12:12" ht="25.5">
      <c r="L549" s="188" t="str">
        <f t="shared" si="9"/>
        <v/>
      </c>
    </row>
    <row r="550" spans="12:12" ht="25.5">
      <c r="L550" s="188" t="str">
        <f t="shared" si="9"/>
        <v/>
      </c>
    </row>
    <row r="551" spans="12:12" ht="25.5">
      <c r="L551" s="188" t="str">
        <f t="shared" ref="L551:L614" si="10">IF(F551="","",TEXT(C551,"000")&amp;"."&amp;F551&amp;" ("&amp;G551&amp;")")</f>
        <v/>
      </c>
    </row>
    <row r="552" spans="12:12" ht="25.5">
      <c r="L552" s="188" t="str">
        <f t="shared" si="10"/>
        <v/>
      </c>
    </row>
    <row r="553" spans="12:12" ht="25.5">
      <c r="L553" s="188" t="str">
        <f t="shared" si="10"/>
        <v/>
      </c>
    </row>
    <row r="554" spans="12:12" ht="25.5">
      <c r="L554" s="188" t="str">
        <f t="shared" si="10"/>
        <v/>
      </c>
    </row>
    <row r="555" spans="12:12" ht="25.5">
      <c r="L555" s="188" t="str">
        <f t="shared" si="10"/>
        <v/>
      </c>
    </row>
    <row r="556" spans="12:12" ht="25.5">
      <c r="L556" s="188" t="str">
        <f t="shared" si="10"/>
        <v/>
      </c>
    </row>
    <row r="557" spans="12:12" ht="25.5">
      <c r="L557" s="188" t="str">
        <f t="shared" si="10"/>
        <v/>
      </c>
    </row>
    <row r="558" spans="12:12" ht="25.5">
      <c r="L558" s="188" t="str">
        <f t="shared" si="10"/>
        <v/>
      </c>
    </row>
    <row r="559" spans="12:12" ht="25.5">
      <c r="L559" s="188" t="str">
        <f t="shared" si="10"/>
        <v/>
      </c>
    </row>
    <row r="560" spans="12:12" ht="25.5">
      <c r="L560" s="188" t="str">
        <f t="shared" si="10"/>
        <v/>
      </c>
    </row>
    <row r="561" spans="12:12" ht="25.5">
      <c r="L561" s="188" t="str">
        <f t="shared" si="10"/>
        <v/>
      </c>
    </row>
    <row r="562" spans="12:12" ht="25.5">
      <c r="L562" s="188" t="str">
        <f t="shared" si="10"/>
        <v/>
      </c>
    </row>
    <row r="563" spans="12:12" ht="25.5">
      <c r="L563" s="188" t="str">
        <f t="shared" si="10"/>
        <v/>
      </c>
    </row>
    <row r="564" spans="12:12" ht="25.5">
      <c r="L564" s="188" t="str">
        <f t="shared" si="10"/>
        <v/>
      </c>
    </row>
    <row r="565" spans="12:12" ht="25.5">
      <c r="L565" s="188" t="str">
        <f t="shared" si="10"/>
        <v/>
      </c>
    </row>
    <row r="566" spans="12:12" ht="25.5">
      <c r="L566" s="188" t="str">
        <f t="shared" si="10"/>
        <v/>
      </c>
    </row>
    <row r="567" spans="12:12" ht="25.5">
      <c r="L567" s="188" t="str">
        <f t="shared" si="10"/>
        <v/>
      </c>
    </row>
    <row r="568" spans="12:12" ht="25.5">
      <c r="L568" s="188" t="str">
        <f t="shared" si="10"/>
        <v/>
      </c>
    </row>
    <row r="569" spans="12:12" ht="25.5">
      <c r="L569" s="188" t="str">
        <f t="shared" si="10"/>
        <v/>
      </c>
    </row>
    <row r="570" spans="12:12" ht="25.5">
      <c r="L570" s="188" t="str">
        <f t="shared" si="10"/>
        <v/>
      </c>
    </row>
    <row r="571" spans="12:12" ht="25.5">
      <c r="L571" s="188" t="str">
        <f t="shared" si="10"/>
        <v/>
      </c>
    </row>
    <row r="572" spans="12:12" ht="25.5">
      <c r="L572" s="188" t="str">
        <f t="shared" si="10"/>
        <v/>
      </c>
    </row>
    <row r="573" spans="12:12" ht="25.5">
      <c r="L573" s="188" t="str">
        <f t="shared" si="10"/>
        <v/>
      </c>
    </row>
    <row r="574" spans="12:12" ht="25.5">
      <c r="L574" s="188" t="str">
        <f t="shared" si="10"/>
        <v/>
      </c>
    </row>
    <row r="575" spans="12:12" ht="25.5">
      <c r="L575" s="188" t="str">
        <f t="shared" si="10"/>
        <v/>
      </c>
    </row>
    <row r="576" spans="12:12" ht="25.5">
      <c r="L576" s="188" t="str">
        <f t="shared" si="10"/>
        <v/>
      </c>
    </row>
    <row r="577" spans="12:12" ht="25.5">
      <c r="L577" s="188" t="str">
        <f t="shared" si="10"/>
        <v/>
      </c>
    </row>
    <row r="578" spans="12:12" ht="25.5">
      <c r="L578" s="188" t="str">
        <f t="shared" si="10"/>
        <v/>
      </c>
    </row>
    <row r="579" spans="12:12" ht="25.5">
      <c r="L579" s="188" t="str">
        <f t="shared" si="10"/>
        <v/>
      </c>
    </row>
    <row r="580" spans="12:12" ht="25.5">
      <c r="L580" s="188" t="str">
        <f t="shared" si="10"/>
        <v/>
      </c>
    </row>
    <row r="581" spans="12:12" ht="25.5">
      <c r="L581" s="188" t="str">
        <f t="shared" si="10"/>
        <v/>
      </c>
    </row>
    <row r="582" spans="12:12" ht="25.5">
      <c r="L582" s="188" t="str">
        <f t="shared" si="10"/>
        <v/>
      </c>
    </row>
    <row r="583" spans="12:12" ht="25.5">
      <c r="L583" s="188" t="str">
        <f t="shared" si="10"/>
        <v/>
      </c>
    </row>
    <row r="584" spans="12:12" ht="25.5">
      <c r="L584" s="188" t="str">
        <f t="shared" si="10"/>
        <v/>
      </c>
    </row>
    <row r="585" spans="12:12" ht="25.5">
      <c r="L585" s="188" t="str">
        <f t="shared" si="10"/>
        <v/>
      </c>
    </row>
    <row r="586" spans="12:12" ht="25.5">
      <c r="L586" s="188" t="str">
        <f t="shared" si="10"/>
        <v/>
      </c>
    </row>
    <row r="587" spans="12:12" ht="25.5">
      <c r="L587" s="188" t="str">
        <f t="shared" si="10"/>
        <v/>
      </c>
    </row>
    <row r="588" spans="12:12" ht="25.5">
      <c r="L588" s="188" t="str">
        <f t="shared" si="10"/>
        <v/>
      </c>
    </row>
    <row r="589" spans="12:12" ht="25.5">
      <c r="L589" s="188" t="str">
        <f t="shared" si="10"/>
        <v/>
      </c>
    </row>
    <row r="590" spans="12:12" ht="25.5">
      <c r="L590" s="188" t="str">
        <f t="shared" si="10"/>
        <v/>
      </c>
    </row>
    <row r="591" spans="12:12" ht="25.5">
      <c r="L591" s="188" t="str">
        <f t="shared" si="10"/>
        <v/>
      </c>
    </row>
    <row r="592" spans="12:12" ht="25.5">
      <c r="L592" s="188" t="str">
        <f t="shared" si="10"/>
        <v/>
      </c>
    </row>
    <row r="593" spans="12:12" ht="25.5">
      <c r="L593" s="188" t="str">
        <f t="shared" si="10"/>
        <v/>
      </c>
    </row>
    <row r="594" spans="12:12" ht="25.5">
      <c r="L594" s="188" t="str">
        <f t="shared" si="10"/>
        <v/>
      </c>
    </row>
    <row r="595" spans="12:12" ht="25.5">
      <c r="L595" s="188" t="str">
        <f t="shared" si="10"/>
        <v/>
      </c>
    </row>
    <row r="596" spans="12:12" ht="25.5">
      <c r="L596" s="188" t="str">
        <f t="shared" si="10"/>
        <v/>
      </c>
    </row>
    <row r="597" spans="12:12" ht="25.5">
      <c r="L597" s="188" t="str">
        <f t="shared" si="10"/>
        <v/>
      </c>
    </row>
    <row r="598" spans="12:12" ht="25.5">
      <c r="L598" s="188" t="str">
        <f t="shared" si="10"/>
        <v/>
      </c>
    </row>
    <row r="599" spans="12:12" ht="25.5">
      <c r="L599" s="188" t="str">
        <f t="shared" si="10"/>
        <v/>
      </c>
    </row>
    <row r="600" spans="12:12" ht="25.5">
      <c r="L600" s="188" t="str">
        <f t="shared" si="10"/>
        <v/>
      </c>
    </row>
    <row r="601" spans="12:12" ht="25.5">
      <c r="L601" s="188" t="str">
        <f t="shared" si="10"/>
        <v/>
      </c>
    </row>
    <row r="602" spans="12:12" ht="25.5">
      <c r="L602" s="188" t="str">
        <f t="shared" si="10"/>
        <v/>
      </c>
    </row>
    <row r="603" spans="12:12" ht="25.5">
      <c r="L603" s="188" t="str">
        <f t="shared" si="10"/>
        <v/>
      </c>
    </row>
    <row r="604" spans="12:12" ht="25.5">
      <c r="L604" s="188" t="str">
        <f t="shared" si="10"/>
        <v/>
      </c>
    </row>
    <row r="605" spans="12:12" ht="25.5">
      <c r="L605" s="188" t="str">
        <f t="shared" si="10"/>
        <v/>
      </c>
    </row>
    <row r="606" spans="12:12" ht="25.5">
      <c r="L606" s="188" t="str">
        <f t="shared" si="10"/>
        <v/>
      </c>
    </row>
    <row r="607" spans="12:12" ht="25.5">
      <c r="L607" s="188" t="str">
        <f t="shared" si="10"/>
        <v/>
      </c>
    </row>
    <row r="608" spans="12:12" ht="25.5">
      <c r="L608" s="188" t="str">
        <f t="shared" si="10"/>
        <v/>
      </c>
    </row>
    <row r="609" spans="12:12" ht="25.5">
      <c r="L609" s="188" t="str">
        <f t="shared" si="10"/>
        <v/>
      </c>
    </row>
    <row r="610" spans="12:12" ht="25.5">
      <c r="L610" s="188" t="str">
        <f t="shared" si="10"/>
        <v/>
      </c>
    </row>
    <row r="611" spans="12:12" ht="25.5">
      <c r="L611" s="188" t="str">
        <f t="shared" si="10"/>
        <v/>
      </c>
    </row>
    <row r="612" spans="12:12" ht="25.5">
      <c r="L612" s="188" t="str">
        <f t="shared" si="10"/>
        <v/>
      </c>
    </row>
    <row r="613" spans="12:12" ht="25.5">
      <c r="L613" s="188" t="str">
        <f t="shared" si="10"/>
        <v/>
      </c>
    </row>
    <row r="614" spans="12:12" ht="25.5">
      <c r="L614" s="188" t="str">
        <f t="shared" si="10"/>
        <v/>
      </c>
    </row>
    <row r="615" spans="12:12" ht="25.5">
      <c r="L615" s="188" t="str">
        <f t="shared" ref="L615:L678" si="11">IF(F615="","",TEXT(C615,"000")&amp;"."&amp;F615&amp;" ("&amp;G615&amp;")")</f>
        <v/>
      </c>
    </row>
    <row r="616" spans="12:12" ht="25.5">
      <c r="L616" s="188" t="str">
        <f t="shared" si="11"/>
        <v/>
      </c>
    </row>
    <row r="617" spans="12:12" ht="25.5">
      <c r="L617" s="188" t="str">
        <f t="shared" si="11"/>
        <v/>
      </c>
    </row>
    <row r="618" spans="12:12" ht="25.5">
      <c r="L618" s="188" t="str">
        <f t="shared" si="11"/>
        <v/>
      </c>
    </row>
    <row r="619" spans="12:12" ht="25.5">
      <c r="L619" s="188" t="str">
        <f t="shared" si="11"/>
        <v/>
      </c>
    </row>
    <row r="620" spans="12:12" ht="25.5">
      <c r="L620" s="188" t="str">
        <f t="shared" si="11"/>
        <v/>
      </c>
    </row>
    <row r="621" spans="12:12" ht="25.5">
      <c r="L621" s="188" t="str">
        <f t="shared" si="11"/>
        <v/>
      </c>
    </row>
    <row r="622" spans="12:12" ht="25.5">
      <c r="L622" s="188" t="str">
        <f t="shared" si="11"/>
        <v/>
      </c>
    </row>
    <row r="623" spans="12:12" ht="25.5">
      <c r="L623" s="188" t="str">
        <f t="shared" si="11"/>
        <v/>
      </c>
    </row>
    <row r="624" spans="12:12" ht="25.5">
      <c r="L624" s="188" t="str">
        <f t="shared" si="11"/>
        <v/>
      </c>
    </row>
    <row r="625" spans="12:12" ht="25.5">
      <c r="L625" s="188" t="str">
        <f t="shared" si="11"/>
        <v/>
      </c>
    </row>
    <row r="626" spans="12:12" ht="25.5">
      <c r="L626" s="188" t="str">
        <f t="shared" si="11"/>
        <v/>
      </c>
    </row>
    <row r="627" spans="12:12" ht="25.5">
      <c r="L627" s="188" t="str">
        <f t="shared" si="11"/>
        <v/>
      </c>
    </row>
    <row r="628" spans="12:12" ht="25.5">
      <c r="L628" s="188" t="str">
        <f t="shared" si="11"/>
        <v/>
      </c>
    </row>
    <row r="629" spans="12:12" ht="25.5">
      <c r="L629" s="188" t="str">
        <f t="shared" si="11"/>
        <v/>
      </c>
    </row>
    <row r="630" spans="12:12" ht="25.5">
      <c r="L630" s="188" t="str">
        <f t="shared" si="11"/>
        <v/>
      </c>
    </row>
    <row r="631" spans="12:12" ht="25.5">
      <c r="L631" s="188" t="str">
        <f t="shared" si="11"/>
        <v/>
      </c>
    </row>
    <row r="632" spans="12:12" ht="25.5">
      <c r="L632" s="188" t="str">
        <f t="shared" si="11"/>
        <v/>
      </c>
    </row>
    <row r="633" spans="12:12" ht="25.5">
      <c r="L633" s="188" t="str">
        <f t="shared" si="11"/>
        <v/>
      </c>
    </row>
    <row r="634" spans="12:12" ht="25.5">
      <c r="L634" s="188" t="str">
        <f t="shared" si="11"/>
        <v/>
      </c>
    </row>
    <row r="635" spans="12:12" ht="25.5">
      <c r="L635" s="188" t="str">
        <f t="shared" si="11"/>
        <v/>
      </c>
    </row>
    <row r="636" spans="12:12" ht="25.5">
      <c r="L636" s="188" t="str">
        <f t="shared" si="11"/>
        <v/>
      </c>
    </row>
    <row r="637" spans="12:12" ht="25.5">
      <c r="L637" s="188" t="str">
        <f t="shared" si="11"/>
        <v/>
      </c>
    </row>
    <row r="638" spans="12:12" ht="25.5">
      <c r="L638" s="188" t="str">
        <f t="shared" si="11"/>
        <v/>
      </c>
    </row>
    <row r="639" spans="12:12" ht="25.5">
      <c r="L639" s="188" t="str">
        <f t="shared" si="11"/>
        <v/>
      </c>
    </row>
    <row r="640" spans="12:12" ht="25.5">
      <c r="L640" s="188" t="str">
        <f t="shared" si="11"/>
        <v/>
      </c>
    </row>
    <row r="641" spans="12:12" ht="25.5">
      <c r="L641" s="188" t="str">
        <f t="shared" si="11"/>
        <v/>
      </c>
    </row>
    <row r="642" spans="12:12" ht="25.5">
      <c r="L642" s="188" t="str">
        <f t="shared" si="11"/>
        <v/>
      </c>
    </row>
    <row r="643" spans="12:12" ht="25.5">
      <c r="L643" s="188" t="str">
        <f t="shared" si="11"/>
        <v/>
      </c>
    </row>
    <row r="644" spans="12:12" ht="25.5">
      <c r="L644" s="188" t="str">
        <f t="shared" si="11"/>
        <v/>
      </c>
    </row>
    <row r="645" spans="12:12" ht="25.5">
      <c r="L645" s="188" t="str">
        <f t="shared" si="11"/>
        <v/>
      </c>
    </row>
    <row r="646" spans="12:12" ht="25.5">
      <c r="L646" s="188" t="str">
        <f t="shared" si="11"/>
        <v/>
      </c>
    </row>
    <row r="647" spans="12:12" ht="25.5">
      <c r="L647" s="188" t="str">
        <f t="shared" si="11"/>
        <v/>
      </c>
    </row>
    <row r="648" spans="12:12" ht="25.5">
      <c r="L648" s="188" t="str">
        <f t="shared" si="11"/>
        <v/>
      </c>
    </row>
    <row r="649" spans="12:12" ht="25.5">
      <c r="L649" s="188" t="str">
        <f t="shared" si="11"/>
        <v/>
      </c>
    </row>
    <row r="650" spans="12:12" ht="25.5">
      <c r="L650" s="188" t="str">
        <f t="shared" si="11"/>
        <v/>
      </c>
    </row>
    <row r="651" spans="12:12" ht="25.5">
      <c r="L651" s="188" t="str">
        <f t="shared" si="11"/>
        <v/>
      </c>
    </row>
    <row r="652" spans="12:12" ht="25.5">
      <c r="L652" s="188" t="str">
        <f t="shared" si="11"/>
        <v/>
      </c>
    </row>
    <row r="653" spans="12:12" ht="25.5">
      <c r="L653" s="188" t="str">
        <f t="shared" si="11"/>
        <v/>
      </c>
    </row>
    <row r="654" spans="12:12" ht="25.5">
      <c r="L654" s="188" t="str">
        <f t="shared" si="11"/>
        <v/>
      </c>
    </row>
    <row r="655" spans="12:12" ht="25.5">
      <c r="L655" s="188" t="str">
        <f t="shared" si="11"/>
        <v/>
      </c>
    </row>
    <row r="656" spans="12:12" ht="25.5">
      <c r="L656" s="188" t="str">
        <f t="shared" si="11"/>
        <v/>
      </c>
    </row>
    <row r="657" spans="12:12" ht="25.5">
      <c r="L657" s="188" t="str">
        <f t="shared" si="11"/>
        <v/>
      </c>
    </row>
    <row r="658" spans="12:12" ht="25.5">
      <c r="L658" s="188" t="str">
        <f t="shared" si="11"/>
        <v/>
      </c>
    </row>
    <row r="659" spans="12:12" ht="25.5">
      <c r="L659" s="188" t="str">
        <f t="shared" si="11"/>
        <v/>
      </c>
    </row>
    <row r="660" spans="12:12" ht="25.5">
      <c r="L660" s="188" t="str">
        <f t="shared" si="11"/>
        <v/>
      </c>
    </row>
    <row r="661" spans="12:12" ht="25.5">
      <c r="L661" s="188" t="str">
        <f t="shared" si="11"/>
        <v/>
      </c>
    </row>
    <row r="662" spans="12:12" ht="25.5">
      <c r="L662" s="188" t="str">
        <f t="shared" si="11"/>
        <v/>
      </c>
    </row>
    <row r="663" spans="12:12" ht="25.5">
      <c r="L663" s="188" t="str">
        <f t="shared" si="11"/>
        <v/>
      </c>
    </row>
    <row r="664" spans="12:12" ht="25.5">
      <c r="L664" s="188" t="str">
        <f t="shared" si="11"/>
        <v/>
      </c>
    </row>
    <row r="665" spans="12:12" ht="25.5">
      <c r="L665" s="188" t="str">
        <f t="shared" si="11"/>
        <v/>
      </c>
    </row>
    <row r="666" spans="12:12" ht="25.5">
      <c r="L666" s="188" t="str">
        <f t="shared" si="11"/>
        <v/>
      </c>
    </row>
    <row r="667" spans="12:12" ht="25.5">
      <c r="L667" s="188" t="str">
        <f t="shared" si="11"/>
        <v/>
      </c>
    </row>
    <row r="668" spans="12:12" ht="25.5">
      <c r="L668" s="188" t="str">
        <f t="shared" si="11"/>
        <v/>
      </c>
    </row>
    <row r="669" spans="12:12" ht="25.5">
      <c r="L669" s="188" t="str">
        <f t="shared" si="11"/>
        <v/>
      </c>
    </row>
    <row r="670" spans="12:12" ht="25.5">
      <c r="L670" s="188" t="str">
        <f t="shared" si="11"/>
        <v/>
      </c>
    </row>
    <row r="671" spans="12:12" ht="25.5">
      <c r="L671" s="188" t="str">
        <f t="shared" si="11"/>
        <v/>
      </c>
    </row>
    <row r="672" spans="12:12" ht="25.5">
      <c r="L672" s="188" t="str">
        <f t="shared" si="11"/>
        <v/>
      </c>
    </row>
    <row r="673" spans="12:12" ht="25.5">
      <c r="L673" s="188" t="str">
        <f t="shared" si="11"/>
        <v/>
      </c>
    </row>
    <row r="674" spans="12:12" ht="25.5">
      <c r="L674" s="188" t="str">
        <f t="shared" si="11"/>
        <v/>
      </c>
    </row>
    <row r="675" spans="12:12" ht="25.5">
      <c r="L675" s="188" t="str">
        <f t="shared" si="11"/>
        <v/>
      </c>
    </row>
    <row r="676" spans="12:12" ht="25.5">
      <c r="L676" s="188" t="str">
        <f t="shared" si="11"/>
        <v/>
      </c>
    </row>
    <row r="677" spans="12:12" ht="25.5">
      <c r="L677" s="188" t="str">
        <f t="shared" si="11"/>
        <v/>
      </c>
    </row>
    <row r="678" spans="12:12" ht="25.5">
      <c r="L678" s="188" t="str">
        <f t="shared" si="11"/>
        <v/>
      </c>
    </row>
    <row r="679" spans="12:12" ht="25.5">
      <c r="L679" s="188" t="str">
        <f t="shared" ref="L679:L690" si="12">IF(F679="","",TEXT(C679,"000")&amp;"."&amp;F679&amp;" ("&amp;G679&amp;")")</f>
        <v/>
      </c>
    </row>
    <row r="680" spans="12:12" ht="25.5">
      <c r="L680" s="188" t="str">
        <f t="shared" si="12"/>
        <v/>
      </c>
    </row>
    <row r="681" spans="12:12" ht="25.5">
      <c r="L681" s="188" t="str">
        <f t="shared" si="12"/>
        <v/>
      </c>
    </row>
    <row r="682" spans="12:12" ht="25.5">
      <c r="L682" s="188" t="str">
        <f t="shared" si="12"/>
        <v/>
      </c>
    </row>
    <row r="683" spans="12:12" ht="25.5">
      <c r="L683" s="188" t="str">
        <f t="shared" si="12"/>
        <v/>
      </c>
    </row>
    <row r="684" spans="12:12" ht="25.5">
      <c r="L684" s="188" t="str">
        <f t="shared" si="12"/>
        <v/>
      </c>
    </row>
    <row r="685" spans="12:12" ht="25.5">
      <c r="L685" s="188" t="str">
        <f t="shared" si="12"/>
        <v/>
      </c>
    </row>
    <row r="686" spans="12:12" ht="25.5">
      <c r="L686" s="188" t="str">
        <f t="shared" si="12"/>
        <v/>
      </c>
    </row>
    <row r="687" spans="12:12" ht="25.5">
      <c r="L687" s="188" t="str">
        <f t="shared" si="12"/>
        <v/>
      </c>
    </row>
    <row r="688" spans="12:12" ht="25.5">
      <c r="L688" s="188" t="str">
        <f t="shared" si="12"/>
        <v/>
      </c>
    </row>
    <row r="689" spans="12:12" ht="25.5">
      <c r="L689" s="188" t="str">
        <f t="shared" si="12"/>
        <v/>
      </c>
    </row>
    <row r="690" spans="12:12" ht="25.5">
      <c r="L690" s="188" t="str">
        <f t="shared" si="12"/>
        <v/>
      </c>
    </row>
  </sheetData>
  <printOptions horizontalCentered="1"/>
  <pageMargins left="0" right="0" top="0.19685039370078741" bottom="0.19685039370078741" header="0.19685039370078741" footer="0.19685039370078741"/>
  <pageSetup paperSize="9" scale="85" orientation="portrait" horizontalDpi="1200" verticalDpi="1200" r:id="rId1"/>
  <rowBreaks count="1" manualBreakCount="1">
    <brk id="35" min="2" max="6" man="1"/>
  </rowBreaks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pageSetUpPr fitToPage="1"/>
  </sheetPr>
  <dimension ref="C1:XFA500"/>
  <sheetViews>
    <sheetView showGridLines="0" topLeftCell="A4" zoomScale="91" zoomScaleNormal="91" zoomScaleSheetLayoutView="90" workbookViewId="0">
      <pane ySplit="4" topLeftCell="A84" activePane="bottomLeft" state="frozen"/>
      <selection pane="bottomLeft" activeCell="P313" sqref="P313"/>
    </sheetView>
  </sheetViews>
  <sheetFormatPr defaultColWidth="8.7109375" defaultRowHeight="24.95" customHeight="1"/>
  <cols>
    <col min="1" max="1" width="3" customWidth="1"/>
    <col min="2" max="2" width="9.28515625" customWidth="1"/>
    <col min="3" max="3" width="8.42578125" style="203" bestFit="1" customWidth="1"/>
    <col min="4" max="4" width="16" style="221" hidden="1" customWidth="1"/>
    <col min="5" max="5" width="20" style="221" hidden="1" customWidth="1"/>
    <col min="6" max="6" width="11.140625" style="221" bestFit="1" customWidth="1"/>
    <col min="7" max="7" width="13.42578125" style="221" bestFit="1" customWidth="1"/>
    <col min="8" max="8" width="23.28515625" style="221" customWidth="1"/>
    <col min="9" max="9" width="22.28515625" style="221" hidden="1" customWidth="1"/>
    <col min="10" max="10" width="18" style="221" customWidth="1"/>
    <col min="11" max="11" width="20.42578125" style="221" customWidth="1"/>
    <col min="12" max="12" width="19.28515625" style="221" customWidth="1"/>
    <col min="13" max="13" width="21" style="221" customWidth="1"/>
    <col min="14" max="14" width="21.42578125" style="221" hidden="1" customWidth="1"/>
    <col min="15" max="15" width="19.5703125" style="221" hidden="1" customWidth="1"/>
    <col min="16" max="16" width="16" style="1849" bestFit="1" customWidth="1"/>
    <col min="17" max="17" width="16.28515625" style="1850" bestFit="1" customWidth="1"/>
    <col min="18" max="18" width="14.7109375" style="168" customWidth="1"/>
    <col min="19" max="19" width="11.7109375" style="168" customWidth="1"/>
    <col min="20" max="20" width="18.42578125" style="168" customWidth="1"/>
    <col min="21" max="21" width="23.28515625" style="183" bestFit="1" customWidth="1"/>
    <col min="22" max="22" width="18" style="183" hidden="1" customWidth="1"/>
    <col min="23" max="24" width="18.140625" style="183" hidden="1" customWidth="1"/>
    <col min="25" max="25" width="10.5703125" style="168" customWidth="1"/>
    <col min="26" max="26" width="11.5703125" style="168" customWidth="1"/>
    <col min="27" max="27" width="86.42578125" style="221" customWidth="1"/>
    <col min="28" max="28" width="19" style="848" customWidth="1"/>
    <col min="29" max="29" width="21.42578125" style="848" customWidth="1"/>
    <col min="30" max="30" width="17.7109375" style="848" bestFit="1" customWidth="1"/>
    <col min="31" max="31" width="17.85546875" style="848" bestFit="1" customWidth="1"/>
    <col min="32" max="32" width="22.85546875" style="848" hidden="1" customWidth="1"/>
    <col min="33" max="33" width="18.85546875" style="848" hidden="1" customWidth="1"/>
    <col min="34" max="34" width="12.42578125" customWidth="1"/>
    <col min="35" max="35" width="15.28515625" customWidth="1"/>
  </cols>
  <sheetData>
    <row r="1" spans="3:35" ht="24.95" hidden="1" customHeight="1"/>
    <row r="2" spans="3:35" ht="24.95" hidden="1" customHeight="1"/>
    <row r="3" spans="3:35" ht="10.5" hidden="1" customHeight="1"/>
    <row r="4" spans="3:35" ht="54.75" customHeight="1">
      <c r="C4" s="1848" t="s">
        <v>3343</v>
      </c>
      <c r="H4" s="1583"/>
      <c r="U4" s="297"/>
      <c r="AC4" s="1816" t="s">
        <v>4531</v>
      </c>
      <c r="AD4" s="1817" t="str">
        <f>VLOOKUP(Setting!F9,currency_list,3,FALSE)</f>
        <v>$</v>
      </c>
      <c r="AE4" s="1817" t="str">
        <f>VLOOKUP(Setting!F9,currency_list,2,FALSE)</f>
        <v>USD - US Dollar</v>
      </c>
    </row>
    <row r="5" spans="3:35" ht="9" hidden="1" customHeight="1"/>
    <row r="6" spans="3:35" ht="27.75" customHeight="1">
      <c r="C6" s="1766" t="s">
        <v>47</v>
      </c>
      <c r="D6" s="1767" t="s">
        <v>2639</v>
      </c>
      <c r="E6" s="1767" t="s">
        <v>2641</v>
      </c>
      <c r="F6" s="1766" t="s">
        <v>1977</v>
      </c>
      <c r="G6" s="1766" t="s">
        <v>2171</v>
      </c>
      <c r="H6" s="1766" t="s">
        <v>60</v>
      </c>
      <c r="I6" s="1766" t="s">
        <v>2794</v>
      </c>
      <c r="J6" s="1766" t="s">
        <v>61</v>
      </c>
      <c r="K6" s="1766" t="s">
        <v>1554</v>
      </c>
      <c r="L6" s="1766" t="s">
        <v>1555</v>
      </c>
      <c r="M6" s="1766" t="s">
        <v>1559</v>
      </c>
      <c r="N6" s="1766" t="s">
        <v>74</v>
      </c>
      <c r="O6" s="1766" t="s">
        <v>1574</v>
      </c>
      <c r="P6" s="1766" t="s">
        <v>62</v>
      </c>
      <c r="Q6" s="1766" t="s">
        <v>226</v>
      </c>
      <c r="R6" s="1766" t="s">
        <v>4521</v>
      </c>
      <c r="S6" s="1766" t="s">
        <v>63</v>
      </c>
      <c r="T6" s="1766" t="s">
        <v>237</v>
      </c>
      <c r="U6" s="1766" t="s">
        <v>4490</v>
      </c>
      <c r="V6" s="1766" t="s">
        <v>2640</v>
      </c>
      <c r="W6" s="1766" t="s">
        <v>2603</v>
      </c>
      <c r="X6" s="1766" t="s">
        <v>2635</v>
      </c>
      <c r="Y6" s="1766" t="s">
        <v>224</v>
      </c>
      <c r="Z6" s="1766" t="s">
        <v>187</v>
      </c>
      <c r="AA6" s="1766" t="s">
        <v>4380</v>
      </c>
      <c r="AB6" s="1771" t="s">
        <v>4525</v>
      </c>
      <c r="AC6" s="1771" t="s">
        <v>4526</v>
      </c>
      <c r="AD6" s="1771" t="s">
        <v>4527</v>
      </c>
      <c r="AE6" s="1771" t="s">
        <v>4528</v>
      </c>
      <c r="AF6" s="1771" t="s">
        <v>4530</v>
      </c>
      <c r="AG6" s="1771" t="s">
        <v>4529</v>
      </c>
    </row>
    <row r="7" spans="3:35" ht="39" customHeight="1">
      <c r="C7" s="1840" t="s">
        <v>10</v>
      </c>
      <c r="D7" s="1770" t="s">
        <v>1915</v>
      </c>
      <c r="E7" s="1770" t="s">
        <v>2638</v>
      </c>
      <c r="F7" s="1840" t="s">
        <v>359</v>
      </c>
      <c r="G7" s="1840" t="s">
        <v>94</v>
      </c>
      <c r="H7" s="1840" t="s">
        <v>66</v>
      </c>
      <c r="I7" s="1840" t="s">
        <v>2793</v>
      </c>
      <c r="J7" s="1840" t="s">
        <v>19</v>
      </c>
      <c r="K7" s="1840" t="s">
        <v>1556</v>
      </c>
      <c r="L7" s="1840" t="s">
        <v>1557</v>
      </c>
      <c r="M7" s="1840" t="s">
        <v>1558</v>
      </c>
      <c r="N7" s="1840" t="s">
        <v>76</v>
      </c>
      <c r="O7" s="1840" t="s">
        <v>360</v>
      </c>
      <c r="P7" s="1840" t="s">
        <v>68</v>
      </c>
      <c r="Q7" s="1840" t="s">
        <v>29</v>
      </c>
      <c r="R7" s="1840" t="s">
        <v>4520</v>
      </c>
      <c r="S7" s="1840" t="s">
        <v>1508</v>
      </c>
      <c r="T7" s="1840" t="s">
        <v>3344</v>
      </c>
      <c r="U7" s="1840" t="s">
        <v>4489</v>
      </c>
      <c r="V7" s="1840" t="s">
        <v>2601</v>
      </c>
      <c r="W7" s="1840" t="s">
        <v>2602</v>
      </c>
      <c r="X7" s="1840" t="s">
        <v>2634</v>
      </c>
      <c r="Y7" s="1840" t="s">
        <v>219</v>
      </c>
      <c r="Z7" s="1840" t="s">
        <v>163</v>
      </c>
      <c r="AA7" s="1840" t="s">
        <v>1537</v>
      </c>
      <c r="AB7" s="1841" t="s">
        <v>4523</v>
      </c>
      <c r="AC7" s="1841" t="s">
        <v>4524</v>
      </c>
      <c r="AD7" s="1841">
        <f>ROUND(SUMIFS(AD8:AD1000,R8:R1000,"&gt;0"),2)</f>
        <v>0</v>
      </c>
      <c r="AE7" s="1841">
        <f>ROUND(SUMIFS(AE8:AE1000,R8:R1000,"&gt;0"),2)</f>
        <v>0</v>
      </c>
      <c r="AF7" s="1772">
        <f>ROUND(SUMIFS(AF8:AF1000,R8:R1000,"&lt;0"),2)</f>
        <v>0</v>
      </c>
      <c r="AG7" s="1772">
        <f>ROUND(SUMIFS(AG8:AG1000,R8:R1000,"&lt;0"),2)</f>
        <v>0</v>
      </c>
    </row>
    <row r="8" spans="3:35" ht="24.95" customHeight="1">
      <c r="C8" s="491">
        <v>1</v>
      </c>
      <c r="D8" s="1847"/>
      <c r="E8" s="1847"/>
      <c r="F8" s="1847" t="s">
        <v>2570</v>
      </c>
      <c r="G8" s="1847" t="s">
        <v>2570</v>
      </c>
      <c r="H8" s="1847" t="s">
        <v>3444</v>
      </c>
      <c r="I8" s="1847" t="s">
        <v>3444</v>
      </c>
      <c r="J8" s="1847" t="s">
        <v>2782</v>
      </c>
      <c r="K8" s="1847" t="s">
        <v>3925</v>
      </c>
      <c r="L8" s="1847" t="s">
        <v>2797</v>
      </c>
      <c r="M8" s="1847" t="s">
        <v>2173</v>
      </c>
      <c r="N8" s="1847"/>
      <c r="O8" s="1847"/>
      <c r="P8" s="1852">
        <v>27.34</v>
      </c>
      <c r="Q8" s="1852">
        <v>28.5</v>
      </c>
      <c r="R8" s="483" t="e">
        <f>IF(H8="","",SUMIFS('[1]1_group_totals'!$J$8:$J$10000,'[1]1_group_totals'!$C$8:$C$10000,C8))</f>
        <v>#VALUE!</v>
      </c>
      <c r="S8" s="483">
        <f t="shared" ref="S8:S71" si="0">IF(J8="","",MID(J8,1,3)*1)</f>
        <v>53</v>
      </c>
      <c r="T8" s="483">
        <v>4</v>
      </c>
      <c r="U8" s="510" t="e">
        <f t="shared" ref="U8:U71" si="1">getStockAvariableByUom(C8,R8,T8,Z8,S8)</f>
        <v>#VALUE!</v>
      </c>
      <c r="V8" s="510">
        <v>1</v>
      </c>
      <c r="W8" s="510">
        <v>0</v>
      </c>
      <c r="X8" s="510">
        <v>0</v>
      </c>
      <c r="Y8" s="483">
        <v>1</v>
      </c>
      <c r="Z8" s="483">
        <v>1</v>
      </c>
      <c r="AA8" s="1847" t="e">
        <f t="shared" ref="AA8:AA71" si="2">IF(AND(C8&lt;&gt;"",H8&lt;&gt;"",R8&gt;0),TEXT(C8,"00000")&amp;"."&amp;H8&amp;" | "&amp;F8&amp;" | Cost : "&amp;P8&amp;" "&amp;product_currency&amp;" | Price : "&amp;Q8&amp;" "&amp;product_currency&amp;" | Stock Ending : "&amp;U8,"")</f>
        <v>#VALUE!</v>
      </c>
      <c r="AB8" s="1847">
        <f t="shared" ref="AB8:AB71" si="3">P8/T8</f>
        <v>6.835</v>
      </c>
      <c r="AC8" s="1847">
        <f t="shared" ref="AC8:AC71" si="4">Q8/T8</f>
        <v>7.125</v>
      </c>
      <c r="AD8" s="1847" t="e">
        <f t="shared" ref="AD8:AD71" si="5">IF(R8&gt;0,R8*AB8,"")</f>
        <v>#VALUE!</v>
      </c>
      <c r="AE8" s="1847" t="e">
        <f t="shared" ref="AE8:AE71" si="6">IF(R8&gt;0,R8*AC8,"")</f>
        <v>#VALUE!</v>
      </c>
      <c r="AF8" s="1823" t="e">
        <f t="shared" ref="AF8:AF71" si="7">IF(R8&lt;0,R8*AB8,"")</f>
        <v>#VALUE!</v>
      </c>
      <c r="AG8" s="1769" t="e">
        <f t="shared" ref="AG8:AG71" si="8">IF(R8&lt;0,R8*AC8,"")</f>
        <v>#VALUE!</v>
      </c>
      <c r="AI8" t="s">
        <v>2570</v>
      </c>
    </row>
    <row r="9" spans="3:35" ht="24.95" customHeight="1">
      <c r="C9" s="491">
        <v>2</v>
      </c>
      <c r="D9" s="1847"/>
      <c r="E9" s="1847"/>
      <c r="F9" s="1847" t="s">
        <v>2571</v>
      </c>
      <c r="G9" s="1847" t="s">
        <v>2571</v>
      </c>
      <c r="H9" s="1847" t="s">
        <v>3443</v>
      </c>
      <c r="I9" s="1847" t="s">
        <v>2175</v>
      </c>
      <c r="J9" s="1847" t="s">
        <v>2782</v>
      </c>
      <c r="K9" s="1847" t="s">
        <v>3925</v>
      </c>
      <c r="L9" s="1847" t="s">
        <v>2797</v>
      </c>
      <c r="M9" s="1847" t="s">
        <v>2176</v>
      </c>
      <c r="N9" s="1847"/>
      <c r="O9" s="1847"/>
      <c r="P9" s="1852">
        <v>11.32</v>
      </c>
      <c r="Q9" s="1852">
        <v>12</v>
      </c>
      <c r="R9" s="483" t="e">
        <f>IF(H9="","",SUMIFS('[1]1_group_totals'!$J$8:$J$10000,'[1]1_group_totals'!$C$8:$C$10000,C9))</f>
        <v>#VALUE!</v>
      </c>
      <c r="S9" s="483">
        <f t="shared" si="0"/>
        <v>53</v>
      </c>
      <c r="T9" s="483">
        <v>4</v>
      </c>
      <c r="U9" s="510" t="e">
        <f t="shared" si="1"/>
        <v>#VALUE!</v>
      </c>
      <c r="V9" s="510">
        <v>1</v>
      </c>
      <c r="W9" s="510">
        <v>0</v>
      </c>
      <c r="X9" s="510">
        <v>0</v>
      </c>
      <c r="Y9" s="483">
        <v>1</v>
      </c>
      <c r="Z9" s="483">
        <v>1</v>
      </c>
      <c r="AA9" s="1847" t="e">
        <f t="shared" si="2"/>
        <v>#VALUE!</v>
      </c>
      <c r="AB9" s="1847">
        <f t="shared" si="3"/>
        <v>2.83</v>
      </c>
      <c r="AC9" s="1847">
        <f t="shared" si="4"/>
        <v>3</v>
      </c>
      <c r="AD9" s="1847" t="e">
        <f t="shared" si="5"/>
        <v>#VALUE!</v>
      </c>
      <c r="AE9" s="1847" t="e">
        <f t="shared" si="6"/>
        <v>#VALUE!</v>
      </c>
      <c r="AF9" s="1823" t="e">
        <f t="shared" si="7"/>
        <v>#VALUE!</v>
      </c>
      <c r="AG9" s="1769" t="e">
        <f t="shared" si="8"/>
        <v>#VALUE!</v>
      </c>
      <c r="AI9" t="s">
        <v>2571</v>
      </c>
    </row>
    <row r="10" spans="3:35" ht="24.95" customHeight="1">
      <c r="C10" s="491">
        <v>3</v>
      </c>
      <c r="D10" s="1847"/>
      <c r="E10" s="1847"/>
      <c r="F10" s="1847" t="s">
        <v>2572</v>
      </c>
      <c r="G10" s="1847" t="s">
        <v>2572</v>
      </c>
      <c r="H10" s="1847" t="s">
        <v>3445</v>
      </c>
      <c r="I10" s="1847" t="s">
        <v>2177</v>
      </c>
      <c r="J10" s="1847" t="s">
        <v>2782</v>
      </c>
      <c r="K10" s="1847" t="s">
        <v>3925</v>
      </c>
      <c r="L10" s="1847" t="s">
        <v>2797</v>
      </c>
      <c r="M10" s="1847" t="s">
        <v>2178</v>
      </c>
      <c r="N10" s="1847"/>
      <c r="O10" s="1847"/>
      <c r="P10" s="1852">
        <v>8.8000000000000007</v>
      </c>
      <c r="Q10" s="1852">
        <v>9.5</v>
      </c>
      <c r="R10" s="483" t="e">
        <f>IF(H10="","",SUMIFS('[1]1_group_totals'!$J$8:$J$10000,'[1]1_group_totals'!$C$8:$C$10000,C10))</f>
        <v>#VALUE!</v>
      </c>
      <c r="S10" s="483">
        <f t="shared" si="0"/>
        <v>53</v>
      </c>
      <c r="T10" s="483">
        <v>4</v>
      </c>
      <c r="U10" s="510" t="e">
        <f t="shared" si="1"/>
        <v>#VALUE!</v>
      </c>
      <c r="V10" s="510">
        <v>1</v>
      </c>
      <c r="W10" s="510">
        <v>0</v>
      </c>
      <c r="X10" s="510">
        <v>0</v>
      </c>
      <c r="Y10" s="483">
        <v>1</v>
      </c>
      <c r="Z10" s="483">
        <v>1</v>
      </c>
      <c r="AA10" s="1847" t="e">
        <f t="shared" si="2"/>
        <v>#VALUE!</v>
      </c>
      <c r="AB10" s="1847">
        <f t="shared" si="3"/>
        <v>2.2000000000000002</v>
      </c>
      <c r="AC10" s="1847">
        <f t="shared" si="4"/>
        <v>2.375</v>
      </c>
      <c r="AD10" s="1847" t="e">
        <f t="shared" si="5"/>
        <v>#VALUE!</v>
      </c>
      <c r="AE10" s="1847" t="e">
        <f t="shared" si="6"/>
        <v>#VALUE!</v>
      </c>
      <c r="AF10" s="1823" t="e">
        <f t="shared" si="7"/>
        <v>#VALUE!</v>
      </c>
      <c r="AG10" s="1769" t="e">
        <f t="shared" si="8"/>
        <v>#VALUE!</v>
      </c>
      <c r="AI10" t="s">
        <v>2572</v>
      </c>
    </row>
    <row r="11" spans="3:35" ht="24.95" customHeight="1">
      <c r="C11" s="491">
        <v>4</v>
      </c>
      <c r="D11" s="1847"/>
      <c r="E11" s="1847"/>
      <c r="F11" s="1847" t="s">
        <v>2573</v>
      </c>
      <c r="G11" s="1847" t="s">
        <v>2573</v>
      </c>
      <c r="H11" s="1847" t="s">
        <v>3441</v>
      </c>
      <c r="I11" s="1847" t="s">
        <v>2179</v>
      </c>
      <c r="J11" s="1847" t="s">
        <v>2782</v>
      </c>
      <c r="K11" s="1847" t="s">
        <v>3925</v>
      </c>
      <c r="L11" s="1847" t="s">
        <v>2797</v>
      </c>
      <c r="M11" s="1847" t="s">
        <v>2180</v>
      </c>
      <c r="N11" s="1847"/>
      <c r="O11" s="1847"/>
      <c r="P11" s="1852">
        <v>5.8</v>
      </c>
      <c r="Q11" s="1852">
        <v>6.5</v>
      </c>
      <c r="R11" s="483" t="e">
        <f>IF(H11="","",SUMIFS('[1]1_group_totals'!$J$8:$J$10000,'[1]1_group_totals'!$C$8:$C$10000,C11))</f>
        <v>#VALUE!</v>
      </c>
      <c r="S11" s="483">
        <f t="shared" si="0"/>
        <v>53</v>
      </c>
      <c r="T11" s="483">
        <v>4</v>
      </c>
      <c r="U11" s="510" t="e">
        <f t="shared" si="1"/>
        <v>#VALUE!</v>
      </c>
      <c r="V11" s="510">
        <v>1</v>
      </c>
      <c r="W11" s="510">
        <v>0</v>
      </c>
      <c r="X11" s="510">
        <v>0</v>
      </c>
      <c r="Y11" s="483">
        <v>1</v>
      </c>
      <c r="Z11" s="483">
        <v>1</v>
      </c>
      <c r="AA11" s="1847" t="e">
        <f t="shared" si="2"/>
        <v>#VALUE!</v>
      </c>
      <c r="AB11" s="1847">
        <f t="shared" si="3"/>
        <v>1.45</v>
      </c>
      <c r="AC11" s="1847">
        <f t="shared" si="4"/>
        <v>1.625</v>
      </c>
      <c r="AD11" s="1847" t="e">
        <f t="shared" si="5"/>
        <v>#VALUE!</v>
      </c>
      <c r="AE11" s="1847" t="e">
        <f t="shared" si="6"/>
        <v>#VALUE!</v>
      </c>
      <c r="AF11" s="1823" t="e">
        <f t="shared" si="7"/>
        <v>#VALUE!</v>
      </c>
      <c r="AG11" s="1769" t="e">
        <f t="shared" si="8"/>
        <v>#VALUE!</v>
      </c>
      <c r="AI11" t="s">
        <v>2573</v>
      </c>
    </row>
    <row r="12" spans="3:35" ht="24.95" customHeight="1">
      <c r="C12" s="491">
        <v>5</v>
      </c>
      <c r="D12" s="1847"/>
      <c r="E12" s="1847"/>
      <c r="F12" s="1847" t="s">
        <v>2574</v>
      </c>
      <c r="G12" s="1847" t="s">
        <v>2574</v>
      </c>
      <c r="H12" s="1847" t="s">
        <v>3450</v>
      </c>
      <c r="I12" s="1847" t="s">
        <v>2181</v>
      </c>
      <c r="J12" s="1847" t="s">
        <v>2782</v>
      </c>
      <c r="K12" s="1847" t="s">
        <v>3925</v>
      </c>
      <c r="L12" s="1847" t="s">
        <v>2797</v>
      </c>
      <c r="M12" s="1847" t="s">
        <v>2182</v>
      </c>
      <c r="N12" s="1847"/>
      <c r="O12" s="1847"/>
      <c r="P12" s="1852">
        <v>3.74</v>
      </c>
      <c r="Q12" s="1852">
        <v>4.25</v>
      </c>
      <c r="R12" s="483" t="e">
        <f>IF(H12="","",SUMIFS('[1]1_group_totals'!$J$8:$J$10000,'[1]1_group_totals'!$C$8:$C$10000,C12))</f>
        <v>#VALUE!</v>
      </c>
      <c r="S12" s="483">
        <f t="shared" si="0"/>
        <v>53</v>
      </c>
      <c r="T12" s="483">
        <v>4</v>
      </c>
      <c r="U12" s="510" t="e">
        <f t="shared" si="1"/>
        <v>#VALUE!</v>
      </c>
      <c r="V12" s="510">
        <v>1</v>
      </c>
      <c r="W12" s="510">
        <v>0</v>
      </c>
      <c r="X12" s="510">
        <v>0</v>
      </c>
      <c r="Y12" s="483">
        <v>1</v>
      </c>
      <c r="Z12" s="483">
        <v>1</v>
      </c>
      <c r="AA12" s="1847" t="e">
        <f t="shared" si="2"/>
        <v>#VALUE!</v>
      </c>
      <c r="AB12" s="1847">
        <f t="shared" si="3"/>
        <v>0.93500000000000005</v>
      </c>
      <c r="AC12" s="1847">
        <f t="shared" si="4"/>
        <v>1.0625</v>
      </c>
      <c r="AD12" s="1847" t="e">
        <f t="shared" si="5"/>
        <v>#VALUE!</v>
      </c>
      <c r="AE12" s="1847" t="e">
        <f t="shared" si="6"/>
        <v>#VALUE!</v>
      </c>
      <c r="AF12" s="1823" t="e">
        <f t="shared" si="7"/>
        <v>#VALUE!</v>
      </c>
      <c r="AG12" s="1769" t="e">
        <f t="shared" si="8"/>
        <v>#VALUE!</v>
      </c>
      <c r="AI12" t="s">
        <v>2574</v>
      </c>
    </row>
    <row r="13" spans="3:35" ht="24.95" customHeight="1">
      <c r="C13" s="491">
        <v>6</v>
      </c>
      <c r="D13" s="1847"/>
      <c r="E13" s="1847"/>
      <c r="F13" s="1847" t="s">
        <v>2575</v>
      </c>
      <c r="G13" s="1847" t="s">
        <v>2575</v>
      </c>
      <c r="H13" s="1847" t="s">
        <v>3446</v>
      </c>
      <c r="I13" s="1847" t="s">
        <v>2183</v>
      </c>
      <c r="J13" s="1847" t="s">
        <v>2782</v>
      </c>
      <c r="K13" s="1847" t="s">
        <v>3925</v>
      </c>
      <c r="L13" s="1847" t="s">
        <v>2797</v>
      </c>
      <c r="M13" s="1847" t="s">
        <v>2184</v>
      </c>
      <c r="N13" s="1847"/>
      <c r="O13" s="1847"/>
      <c r="P13" s="1852">
        <v>2.89</v>
      </c>
      <c r="Q13" s="1852">
        <v>3.5</v>
      </c>
      <c r="R13" s="483" t="e">
        <f>IF(H13="","",SUMIFS('[1]1_group_totals'!$J$8:$J$10000,'[1]1_group_totals'!$C$8:$C$10000,C13))</f>
        <v>#VALUE!</v>
      </c>
      <c r="S13" s="483">
        <f t="shared" si="0"/>
        <v>53</v>
      </c>
      <c r="T13" s="483">
        <v>4</v>
      </c>
      <c r="U13" s="510" t="e">
        <f t="shared" si="1"/>
        <v>#VALUE!</v>
      </c>
      <c r="V13" s="510">
        <v>1</v>
      </c>
      <c r="W13" s="510">
        <v>0</v>
      </c>
      <c r="X13" s="510">
        <v>0</v>
      </c>
      <c r="Y13" s="483">
        <v>1</v>
      </c>
      <c r="Z13" s="483">
        <v>1</v>
      </c>
      <c r="AA13" s="1847" t="e">
        <f t="shared" si="2"/>
        <v>#VALUE!</v>
      </c>
      <c r="AB13" s="1847">
        <f t="shared" si="3"/>
        <v>0.72250000000000003</v>
      </c>
      <c r="AC13" s="1847">
        <f t="shared" si="4"/>
        <v>0.875</v>
      </c>
      <c r="AD13" s="1847" t="e">
        <f t="shared" si="5"/>
        <v>#VALUE!</v>
      </c>
      <c r="AE13" s="1847" t="e">
        <f t="shared" si="6"/>
        <v>#VALUE!</v>
      </c>
      <c r="AF13" s="1823" t="e">
        <f t="shared" si="7"/>
        <v>#VALUE!</v>
      </c>
      <c r="AG13" s="1769" t="e">
        <f t="shared" si="8"/>
        <v>#VALUE!</v>
      </c>
      <c r="AI13" t="s">
        <v>2575</v>
      </c>
    </row>
    <row r="14" spans="3:35" ht="24.95" customHeight="1">
      <c r="C14" s="491">
        <v>7</v>
      </c>
      <c r="D14" s="1847"/>
      <c r="E14" s="1847"/>
      <c r="F14" s="1847" t="s">
        <v>2576</v>
      </c>
      <c r="G14" s="1847" t="s">
        <v>2576</v>
      </c>
      <c r="H14" s="1847" t="s">
        <v>3448</v>
      </c>
      <c r="I14" s="1847" t="s">
        <v>2185</v>
      </c>
      <c r="J14" s="1847" t="s">
        <v>2782</v>
      </c>
      <c r="K14" s="1847" t="s">
        <v>3925</v>
      </c>
      <c r="L14" s="1847" t="s">
        <v>2797</v>
      </c>
      <c r="M14" s="1847" t="s">
        <v>2186</v>
      </c>
      <c r="N14" s="1847"/>
      <c r="O14" s="1847"/>
      <c r="P14" s="1852">
        <v>1.79</v>
      </c>
      <c r="Q14" s="1852">
        <v>2.5</v>
      </c>
      <c r="R14" s="483" t="e">
        <f>IF(H14="","",SUMIFS('[1]1_group_totals'!$J$8:$J$10000,'[1]1_group_totals'!$C$8:$C$10000,C14))</f>
        <v>#VALUE!</v>
      </c>
      <c r="S14" s="483">
        <f t="shared" si="0"/>
        <v>53</v>
      </c>
      <c r="T14" s="483">
        <v>4</v>
      </c>
      <c r="U14" s="510" t="e">
        <f t="shared" si="1"/>
        <v>#VALUE!</v>
      </c>
      <c r="V14" s="510">
        <v>1</v>
      </c>
      <c r="W14" s="510">
        <v>0</v>
      </c>
      <c r="X14" s="510">
        <v>0</v>
      </c>
      <c r="Y14" s="483">
        <v>1</v>
      </c>
      <c r="Z14" s="483">
        <v>1</v>
      </c>
      <c r="AA14" s="1847" t="e">
        <f t="shared" si="2"/>
        <v>#VALUE!</v>
      </c>
      <c r="AB14" s="1847">
        <f t="shared" si="3"/>
        <v>0.44750000000000001</v>
      </c>
      <c r="AC14" s="1847">
        <f t="shared" si="4"/>
        <v>0.625</v>
      </c>
      <c r="AD14" s="1847" t="e">
        <f t="shared" si="5"/>
        <v>#VALUE!</v>
      </c>
      <c r="AE14" s="1847" t="e">
        <f t="shared" si="6"/>
        <v>#VALUE!</v>
      </c>
      <c r="AF14" s="1823" t="e">
        <f t="shared" si="7"/>
        <v>#VALUE!</v>
      </c>
      <c r="AG14" s="1769" t="e">
        <f t="shared" si="8"/>
        <v>#VALUE!</v>
      </c>
      <c r="AI14" t="s">
        <v>2576</v>
      </c>
    </row>
    <row r="15" spans="3:35" ht="24.95" customHeight="1">
      <c r="C15" s="491">
        <v>8</v>
      </c>
      <c r="D15" s="1847"/>
      <c r="E15" s="1847"/>
      <c r="F15" s="1847" t="s">
        <v>2577</v>
      </c>
      <c r="G15" s="1847" t="s">
        <v>2577</v>
      </c>
      <c r="H15" s="1847" t="s">
        <v>3499</v>
      </c>
      <c r="I15" s="1847" t="s">
        <v>2187</v>
      </c>
      <c r="J15" s="1847" t="s">
        <v>2782</v>
      </c>
      <c r="K15" s="1847" t="s">
        <v>3925</v>
      </c>
      <c r="L15" s="1847" t="s">
        <v>2797</v>
      </c>
      <c r="M15" s="1847" t="s">
        <v>2188</v>
      </c>
      <c r="N15" s="1847"/>
      <c r="O15" s="1847"/>
      <c r="P15" s="1852">
        <v>1.32</v>
      </c>
      <c r="Q15" s="1852">
        <v>1.75</v>
      </c>
      <c r="R15" s="483" t="e">
        <f>IF(H15="","",SUMIFS('[1]1_group_totals'!$J$8:$J$10000,'[1]1_group_totals'!$C$8:$C$10000,C15))</f>
        <v>#VALUE!</v>
      </c>
      <c r="S15" s="483">
        <f t="shared" si="0"/>
        <v>53</v>
      </c>
      <c r="T15" s="483">
        <v>4</v>
      </c>
      <c r="U15" s="510" t="e">
        <f t="shared" si="1"/>
        <v>#VALUE!</v>
      </c>
      <c r="V15" s="510">
        <v>1</v>
      </c>
      <c r="W15" s="510">
        <v>0</v>
      </c>
      <c r="X15" s="510">
        <v>0</v>
      </c>
      <c r="Y15" s="483">
        <v>1</v>
      </c>
      <c r="Z15" s="483">
        <v>1</v>
      </c>
      <c r="AA15" s="1847" t="e">
        <f t="shared" si="2"/>
        <v>#VALUE!</v>
      </c>
      <c r="AB15" s="1847">
        <f t="shared" si="3"/>
        <v>0.33</v>
      </c>
      <c r="AC15" s="1847">
        <f t="shared" si="4"/>
        <v>0.4375</v>
      </c>
      <c r="AD15" s="1847" t="e">
        <f t="shared" si="5"/>
        <v>#VALUE!</v>
      </c>
      <c r="AE15" s="1847" t="e">
        <f t="shared" si="6"/>
        <v>#VALUE!</v>
      </c>
      <c r="AF15" s="1823" t="e">
        <f t="shared" si="7"/>
        <v>#VALUE!</v>
      </c>
      <c r="AG15" s="1769" t="e">
        <f t="shared" si="8"/>
        <v>#VALUE!</v>
      </c>
      <c r="AI15" t="s">
        <v>2577</v>
      </c>
    </row>
    <row r="16" spans="3:35" ht="24.95" customHeight="1">
      <c r="C16" s="491">
        <v>9</v>
      </c>
      <c r="D16" s="1847"/>
      <c r="E16" s="1847"/>
      <c r="F16" s="1847" t="s">
        <v>2578</v>
      </c>
      <c r="G16" s="1847" t="s">
        <v>2578</v>
      </c>
      <c r="H16" s="1847" t="s">
        <v>3498</v>
      </c>
      <c r="I16" s="1847" t="s">
        <v>2189</v>
      </c>
      <c r="J16" s="1847" t="s">
        <v>2782</v>
      </c>
      <c r="K16" s="1847" t="s">
        <v>3925</v>
      </c>
      <c r="L16" s="1847" t="s">
        <v>2797</v>
      </c>
      <c r="M16" s="1847" t="s">
        <v>2190</v>
      </c>
      <c r="N16" s="1847"/>
      <c r="O16" s="1847"/>
      <c r="P16" s="1852">
        <v>1.1499999999999999</v>
      </c>
      <c r="Q16" s="1852">
        <v>1.5</v>
      </c>
      <c r="R16" s="483" t="e">
        <f>IF(H16="","",SUMIFS('[1]1_group_totals'!$J$8:$J$10000,'[1]1_group_totals'!$C$8:$C$10000,C16))</f>
        <v>#VALUE!</v>
      </c>
      <c r="S16" s="483">
        <f t="shared" si="0"/>
        <v>53</v>
      </c>
      <c r="T16" s="483">
        <v>4</v>
      </c>
      <c r="U16" s="510" t="e">
        <f t="shared" si="1"/>
        <v>#VALUE!</v>
      </c>
      <c r="V16" s="510">
        <v>1</v>
      </c>
      <c r="W16" s="510">
        <v>0</v>
      </c>
      <c r="X16" s="510">
        <v>0</v>
      </c>
      <c r="Y16" s="483">
        <v>1</v>
      </c>
      <c r="Z16" s="483">
        <v>1</v>
      </c>
      <c r="AA16" s="1847" t="e">
        <f t="shared" si="2"/>
        <v>#VALUE!</v>
      </c>
      <c r="AB16" s="1847">
        <f t="shared" si="3"/>
        <v>0.28749999999999998</v>
      </c>
      <c r="AC16" s="1847">
        <f t="shared" si="4"/>
        <v>0.375</v>
      </c>
      <c r="AD16" s="1847" t="e">
        <f t="shared" si="5"/>
        <v>#VALUE!</v>
      </c>
      <c r="AE16" s="1847" t="e">
        <f t="shared" si="6"/>
        <v>#VALUE!</v>
      </c>
      <c r="AF16" s="1823" t="e">
        <f t="shared" si="7"/>
        <v>#VALUE!</v>
      </c>
      <c r="AG16" s="1769" t="e">
        <f t="shared" si="8"/>
        <v>#VALUE!</v>
      </c>
      <c r="AI16" t="s">
        <v>2578</v>
      </c>
    </row>
    <row r="17" spans="3:35" ht="24.95" customHeight="1">
      <c r="C17" s="491">
        <v>10</v>
      </c>
      <c r="D17" s="1847"/>
      <c r="E17" s="1847"/>
      <c r="F17" s="1847" t="s">
        <v>2191</v>
      </c>
      <c r="G17" s="1847" t="s">
        <v>2191</v>
      </c>
      <c r="H17" s="1847" t="s">
        <v>3444</v>
      </c>
      <c r="I17" s="1847" t="s">
        <v>3444</v>
      </c>
      <c r="J17" s="1847" t="s">
        <v>2782</v>
      </c>
      <c r="K17" s="1847" t="s">
        <v>3925</v>
      </c>
      <c r="L17" s="1847" t="s">
        <v>2798</v>
      </c>
      <c r="M17" s="1847" t="s">
        <v>2173</v>
      </c>
      <c r="N17" s="1847"/>
      <c r="O17" s="1847"/>
      <c r="P17" s="1852">
        <v>14.85</v>
      </c>
      <c r="Q17" s="1852">
        <v>15.5</v>
      </c>
      <c r="R17" s="483" t="e">
        <f>IF(H17="","",SUMIFS('[1]1_group_totals'!$J$8:$J$10000,'[1]1_group_totals'!$C$8:$C$10000,C17))</f>
        <v>#VALUE!</v>
      </c>
      <c r="S17" s="483">
        <f t="shared" si="0"/>
        <v>53</v>
      </c>
      <c r="T17" s="483">
        <v>4</v>
      </c>
      <c r="U17" s="510" t="e">
        <f t="shared" si="1"/>
        <v>#VALUE!</v>
      </c>
      <c r="V17" s="510">
        <v>1</v>
      </c>
      <c r="W17" s="510">
        <v>0</v>
      </c>
      <c r="X17" s="510">
        <v>0</v>
      </c>
      <c r="Y17" s="483">
        <v>1</v>
      </c>
      <c r="Z17" s="483">
        <v>1</v>
      </c>
      <c r="AA17" s="1847" t="e">
        <f t="shared" si="2"/>
        <v>#VALUE!</v>
      </c>
      <c r="AB17" s="1847">
        <f t="shared" si="3"/>
        <v>3.7124999999999999</v>
      </c>
      <c r="AC17" s="1847">
        <f t="shared" si="4"/>
        <v>3.875</v>
      </c>
      <c r="AD17" s="1847" t="e">
        <f t="shared" si="5"/>
        <v>#VALUE!</v>
      </c>
      <c r="AE17" s="1847" t="e">
        <f t="shared" si="6"/>
        <v>#VALUE!</v>
      </c>
      <c r="AF17" s="1823" t="e">
        <f t="shared" si="7"/>
        <v>#VALUE!</v>
      </c>
      <c r="AG17" s="1769" t="e">
        <f t="shared" si="8"/>
        <v>#VALUE!</v>
      </c>
      <c r="AI17" t="s">
        <v>2191</v>
      </c>
    </row>
    <row r="18" spans="3:35" ht="24.95" customHeight="1">
      <c r="C18" s="491">
        <v>11</v>
      </c>
      <c r="D18" s="1847"/>
      <c r="E18" s="1847"/>
      <c r="F18" s="1847" t="s">
        <v>2192</v>
      </c>
      <c r="G18" s="1847" t="s">
        <v>2192</v>
      </c>
      <c r="H18" s="1847" t="s">
        <v>3443</v>
      </c>
      <c r="I18" s="1847" t="s">
        <v>2193</v>
      </c>
      <c r="J18" s="1847" t="s">
        <v>2782</v>
      </c>
      <c r="K18" s="1847" t="s">
        <v>3925</v>
      </c>
      <c r="L18" s="1847" t="s">
        <v>2798</v>
      </c>
      <c r="M18" s="1847" t="s">
        <v>2176</v>
      </c>
      <c r="N18" s="1847"/>
      <c r="O18" s="1847"/>
      <c r="P18" s="1852">
        <v>9.52</v>
      </c>
      <c r="Q18" s="1852">
        <v>10.199999999999999</v>
      </c>
      <c r="R18" s="483" t="e">
        <f>IF(H18="","",SUMIFS('[1]1_group_totals'!$J$8:$J$10000,'[1]1_group_totals'!$C$8:$C$10000,C18))</f>
        <v>#VALUE!</v>
      </c>
      <c r="S18" s="483">
        <f t="shared" si="0"/>
        <v>53</v>
      </c>
      <c r="T18" s="483">
        <v>4</v>
      </c>
      <c r="U18" s="510" t="e">
        <f t="shared" si="1"/>
        <v>#VALUE!</v>
      </c>
      <c r="V18" s="510">
        <v>1</v>
      </c>
      <c r="W18" s="510">
        <v>0</v>
      </c>
      <c r="X18" s="510">
        <v>0</v>
      </c>
      <c r="Y18" s="483">
        <v>1</v>
      </c>
      <c r="Z18" s="483">
        <v>1</v>
      </c>
      <c r="AA18" s="1847" t="e">
        <f t="shared" si="2"/>
        <v>#VALUE!</v>
      </c>
      <c r="AB18" s="1847">
        <f t="shared" si="3"/>
        <v>2.38</v>
      </c>
      <c r="AC18" s="1847">
        <f t="shared" si="4"/>
        <v>2.5499999999999998</v>
      </c>
      <c r="AD18" s="1847" t="e">
        <f t="shared" si="5"/>
        <v>#VALUE!</v>
      </c>
      <c r="AE18" s="1847" t="e">
        <f t="shared" si="6"/>
        <v>#VALUE!</v>
      </c>
      <c r="AF18" s="1823" t="e">
        <f t="shared" si="7"/>
        <v>#VALUE!</v>
      </c>
      <c r="AG18" s="1769" t="e">
        <f t="shared" si="8"/>
        <v>#VALUE!</v>
      </c>
      <c r="AI18" t="s">
        <v>2192</v>
      </c>
    </row>
    <row r="19" spans="3:35" ht="24.95" customHeight="1">
      <c r="C19" s="491">
        <v>12</v>
      </c>
      <c r="D19" s="1847"/>
      <c r="E19" s="1847"/>
      <c r="F19" s="1847" t="s">
        <v>2194</v>
      </c>
      <c r="G19" s="1847" t="s">
        <v>2194</v>
      </c>
      <c r="H19" s="1847" t="s">
        <v>3442</v>
      </c>
      <c r="I19" s="1847" t="s">
        <v>2177</v>
      </c>
      <c r="J19" s="1847" t="s">
        <v>2782</v>
      </c>
      <c r="K19" s="1847" t="s">
        <v>3925</v>
      </c>
      <c r="L19" s="1847" t="s">
        <v>2798</v>
      </c>
      <c r="M19" s="1847" t="s">
        <v>2178</v>
      </c>
      <c r="N19" s="1847"/>
      <c r="O19" s="1847"/>
      <c r="P19" s="1852">
        <v>7.6</v>
      </c>
      <c r="Q19" s="1852">
        <v>8.5</v>
      </c>
      <c r="R19" s="483" t="e">
        <f>IF(H19="","",SUMIFS('[1]1_group_totals'!$J$8:$J$10000,'[1]1_group_totals'!$C$8:$C$10000,C19))</f>
        <v>#VALUE!</v>
      </c>
      <c r="S19" s="483">
        <f t="shared" si="0"/>
        <v>53</v>
      </c>
      <c r="T19" s="483">
        <v>4</v>
      </c>
      <c r="U19" s="510" t="e">
        <f t="shared" si="1"/>
        <v>#VALUE!</v>
      </c>
      <c r="V19" s="510">
        <v>1</v>
      </c>
      <c r="W19" s="510">
        <v>0</v>
      </c>
      <c r="X19" s="510">
        <v>0</v>
      </c>
      <c r="Y19" s="483">
        <v>1</v>
      </c>
      <c r="Z19" s="483">
        <v>1</v>
      </c>
      <c r="AA19" s="1847" t="e">
        <f t="shared" si="2"/>
        <v>#VALUE!</v>
      </c>
      <c r="AB19" s="1847">
        <f t="shared" si="3"/>
        <v>1.9</v>
      </c>
      <c r="AC19" s="1847">
        <f t="shared" si="4"/>
        <v>2.125</v>
      </c>
      <c r="AD19" s="1847" t="e">
        <f t="shared" si="5"/>
        <v>#VALUE!</v>
      </c>
      <c r="AE19" s="1847" t="e">
        <f t="shared" si="6"/>
        <v>#VALUE!</v>
      </c>
      <c r="AF19" s="1823" t="e">
        <f t="shared" si="7"/>
        <v>#VALUE!</v>
      </c>
      <c r="AG19" s="1769" t="e">
        <f t="shared" si="8"/>
        <v>#VALUE!</v>
      </c>
      <c r="AI19" t="s">
        <v>2194</v>
      </c>
    </row>
    <row r="20" spans="3:35" ht="24.95" customHeight="1">
      <c r="C20" s="491">
        <v>13</v>
      </c>
      <c r="D20" s="1847"/>
      <c r="E20" s="1847"/>
      <c r="F20" s="1847" t="s">
        <v>2195</v>
      </c>
      <c r="G20" s="1847" t="s">
        <v>2195</v>
      </c>
      <c r="H20" s="1847" t="s">
        <v>3451</v>
      </c>
      <c r="I20" s="1847" t="s">
        <v>2179</v>
      </c>
      <c r="J20" s="1847" t="s">
        <v>2782</v>
      </c>
      <c r="K20" s="1847" t="s">
        <v>3925</v>
      </c>
      <c r="L20" s="1847" t="s">
        <v>2798</v>
      </c>
      <c r="M20" s="1847" t="s">
        <v>2180</v>
      </c>
      <c r="N20" s="1847"/>
      <c r="O20" s="1847"/>
      <c r="P20" s="1852">
        <v>5.3</v>
      </c>
      <c r="Q20" s="1852">
        <v>5.75</v>
      </c>
      <c r="R20" s="483" t="e">
        <f>IF(H20="","",SUMIFS('[1]1_group_totals'!$J$8:$J$10000,'[1]1_group_totals'!$C$8:$C$10000,C20))</f>
        <v>#VALUE!</v>
      </c>
      <c r="S20" s="483">
        <f t="shared" si="0"/>
        <v>53</v>
      </c>
      <c r="T20" s="483">
        <v>4</v>
      </c>
      <c r="U20" s="510" t="e">
        <f t="shared" si="1"/>
        <v>#VALUE!</v>
      </c>
      <c r="V20" s="510">
        <v>1</v>
      </c>
      <c r="W20" s="510">
        <v>0</v>
      </c>
      <c r="X20" s="510">
        <v>0</v>
      </c>
      <c r="Y20" s="483">
        <v>1</v>
      </c>
      <c r="Z20" s="483">
        <v>1</v>
      </c>
      <c r="AA20" s="1847" t="e">
        <f t="shared" si="2"/>
        <v>#VALUE!</v>
      </c>
      <c r="AB20" s="1847">
        <f t="shared" si="3"/>
        <v>1.325</v>
      </c>
      <c r="AC20" s="1847">
        <f t="shared" si="4"/>
        <v>1.4375</v>
      </c>
      <c r="AD20" s="1847" t="e">
        <f t="shared" si="5"/>
        <v>#VALUE!</v>
      </c>
      <c r="AE20" s="1847" t="e">
        <f t="shared" si="6"/>
        <v>#VALUE!</v>
      </c>
      <c r="AF20" s="1823" t="e">
        <f t="shared" si="7"/>
        <v>#VALUE!</v>
      </c>
      <c r="AG20" s="1769" t="e">
        <f t="shared" si="8"/>
        <v>#VALUE!</v>
      </c>
      <c r="AI20" t="s">
        <v>2195</v>
      </c>
    </row>
    <row r="21" spans="3:35" ht="24.95" customHeight="1">
      <c r="C21" s="491">
        <v>14</v>
      </c>
      <c r="D21" s="1847"/>
      <c r="E21" s="1847"/>
      <c r="F21" s="1847" t="s">
        <v>2196</v>
      </c>
      <c r="G21" s="1847" t="s">
        <v>2196</v>
      </c>
      <c r="H21" s="1847" t="s">
        <v>3449</v>
      </c>
      <c r="I21" s="1847" t="s">
        <v>2181</v>
      </c>
      <c r="J21" s="1847" t="s">
        <v>2782</v>
      </c>
      <c r="K21" s="1847" t="s">
        <v>3925</v>
      </c>
      <c r="L21" s="1847" t="s">
        <v>2798</v>
      </c>
      <c r="M21" s="1847" t="s">
        <v>2182</v>
      </c>
      <c r="N21" s="1847"/>
      <c r="O21" s="1847"/>
      <c r="P21" s="1852">
        <v>3.3</v>
      </c>
      <c r="Q21" s="1852">
        <v>3.75</v>
      </c>
      <c r="R21" s="483" t="e">
        <f>IF(H21="","",SUMIFS('[1]1_group_totals'!$J$8:$J$10000,'[1]1_group_totals'!$C$8:$C$10000,C21))</f>
        <v>#VALUE!</v>
      </c>
      <c r="S21" s="483">
        <f t="shared" si="0"/>
        <v>53</v>
      </c>
      <c r="T21" s="483">
        <v>4</v>
      </c>
      <c r="U21" s="510" t="e">
        <f t="shared" si="1"/>
        <v>#VALUE!</v>
      </c>
      <c r="V21" s="510">
        <v>1</v>
      </c>
      <c r="W21" s="510">
        <v>0</v>
      </c>
      <c r="X21" s="510">
        <v>0</v>
      </c>
      <c r="Y21" s="483">
        <v>1</v>
      </c>
      <c r="Z21" s="483">
        <v>1</v>
      </c>
      <c r="AA21" s="1847" t="e">
        <f t="shared" si="2"/>
        <v>#VALUE!</v>
      </c>
      <c r="AB21" s="1847">
        <f t="shared" si="3"/>
        <v>0.82499999999999996</v>
      </c>
      <c r="AC21" s="1847">
        <f t="shared" si="4"/>
        <v>0.9375</v>
      </c>
      <c r="AD21" s="1847" t="e">
        <f t="shared" si="5"/>
        <v>#VALUE!</v>
      </c>
      <c r="AE21" s="1847" t="e">
        <f t="shared" si="6"/>
        <v>#VALUE!</v>
      </c>
      <c r="AF21" s="1823" t="e">
        <f t="shared" si="7"/>
        <v>#VALUE!</v>
      </c>
      <c r="AG21" s="1769" t="e">
        <f t="shared" si="8"/>
        <v>#VALUE!</v>
      </c>
      <c r="AI21" t="s">
        <v>2196</v>
      </c>
    </row>
    <row r="22" spans="3:35" ht="24.95" customHeight="1">
      <c r="C22" s="491">
        <v>15</v>
      </c>
      <c r="D22" s="1847"/>
      <c r="E22" s="1847"/>
      <c r="F22" s="1847" t="s">
        <v>2197</v>
      </c>
      <c r="G22" s="1847" t="s">
        <v>2197</v>
      </c>
      <c r="H22" s="1847" t="s">
        <v>3446</v>
      </c>
      <c r="I22" s="1847" t="s">
        <v>2183</v>
      </c>
      <c r="J22" s="1847" t="s">
        <v>2782</v>
      </c>
      <c r="K22" s="1847" t="s">
        <v>3925</v>
      </c>
      <c r="L22" s="1847" t="s">
        <v>2798</v>
      </c>
      <c r="M22" s="1847" t="s">
        <v>2184</v>
      </c>
      <c r="N22" s="1847"/>
      <c r="O22" s="1847"/>
      <c r="P22" s="1852">
        <v>2.7</v>
      </c>
      <c r="Q22" s="1852">
        <v>3.5</v>
      </c>
      <c r="R22" s="483" t="e">
        <f>IF(H22="","",SUMIFS('[1]1_group_totals'!$J$8:$J$10000,'[1]1_group_totals'!$C$8:$C$10000,C22))</f>
        <v>#VALUE!</v>
      </c>
      <c r="S22" s="483">
        <f t="shared" si="0"/>
        <v>53</v>
      </c>
      <c r="T22" s="483">
        <v>4</v>
      </c>
      <c r="U22" s="510" t="e">
        <f t="shared" si="1"/>
        <v>#VALUE!</v>
      </c>
      <c r="V22" s="510">
        <v>1</v>
      </c>
      <c r="W22" s="510">
        <v>0</v>
      </c>
      <c r="X22" s="510">
        <v>0</v>
      </c>
      <c r="Y22" s="483">
        <v>1</v>
      </c>
      <c r="Z22" s="483">
        <v>1</v>
      </c>
      <c r="AA22" s="1847" t="e">
        <f t="shared" si="2"/>
        <v>#VALUE!</v>
      </c>
      <c r="AB22" s="1847">
        <f t="shared" si="3"/>
        <v>0.67500000000000004</v>
      </c>
      <c r="AC22" s="1847">
        <f t="shared" si="4"/>
        <v>0.875</v>
      </c>
      <c r="AD22" s="1847" t="e">
        <f t="shared" si="5"/>
        <v>#VALUE!</v>
      </c>
      <c r="AE22" s="1847" t="e">
        <f t="shared" si="6"/>
        <v>#VALUE!</v>
      </c>
      <c r="AF22" s="1823" t="e">
        <f t="shared" si="7"/>
        <v>#VALUE!</v>
      </c>
      <c r="AG22" s="1769" t="e">
        <f t="shared" si="8"/>
        <v>#VALUE!</v>
      </c>
      <c r="AI22" t="s">
        <v>2197</v>
      </c>
    </row>
    <row r="23" spans="3:35" ht="24.95" customHeight="1">
      <c r="C23" s="491">
        <v>16</v>
      </c>
      <c r="D23" s="1847"/>
      <c r="E23" s="1847"/>
      <c r="F23" s="1847" t="s">
        <v>2198</v>
      </c>
      <c r="G23" s="1847" t="s">
        <v>2198</v>
      </c>
      <c r="H23" s="1847" t="s">
        <v>3448</v>
      </c>
      <c r="I23" s="1847" t="s">
        <v>2185</v>
      </c>
      <c r="J23" s="1847" t="s">
        <v>2782</v>
      </c>
      <c r="K23" s="1847" t="s">
        <v>3925</v>
      </c>
      <c r="L23" s="1847" t="s">
        <v>2798</v>
      </c>
      <c r="M23" s="1847" t="s">
        <v>2186</v>
      </c>
      <c r="N23" s="1847"/>
      <c r="O23" s="1847"/>
      <c r="P23" s="1852">
        <v>2.1</v>
      </c>
      <c r="Q23" s="1852">
        <v>2.75</v>
      </c>
      <c r="R23" s="483" t="e">
        <f>IF(H23="","",SUMIFS('[1]1_group_totals'!$J$8:$J$10000,'[1]1_group_totals'!$C$8:$C$10000,C23))</f>
        <v>#VALUE!</v>
      </c>
      <c r="S23" s="483">
        <f t="shared" si="0"/>
        <v>53</v>
      </c>
      <c r="T23" s="483">
        <v>4</v>
      </c>
      <c r="U23" s="510" t="e">
        <f t="shared" si="1"/>
        <v>#VALUE!</v>
      </c>
      <c r="V23" s="510">
        <v>1</v>
      </c>
      <c r="W23" s="510">
        <v>0</v>
      </c>
      <c r="X23" s="510">
        <v>0</v>
      </c>
      <c r="Y23" s="483">
        <v>1</v>
      </c>
      <c r="Z23" s="483">
        <v>1</v>
      </c>
      <c r="AA23" s="1847" t="e">
        <f t="shared" si="2"/>
        <v>#VALUE!</v>
      </c>
      <c r="AB23" s="1847">
        <f t="shared" si="3"/>
        <v>0.52500000000000002</v>
      </c>
      <c r="AC23" s="1847">
        <f t="shared" si="4"/>
        <v>0.6875</v>
      </c>
      <c r="AD23" s="1847" t="e">
        <f t="shared" si="5"/>
        <v>#VALUE!</v>
      </c>
      <c r="AE23" s="1847" t="e">
        <f t="shared" si="6"/>
        <v>#VALUE!</v>
      </c>
      <c r="AF23" s="1823" t="e">
        <f t="shared" si="7"/>
        <v>#VALUE!</v>
      </c>
      <c r="AG23" s="1769" t="e">
        <f t="shared" si="8"/>
        <v>#VALUE!</v>
      </c>
      <c r="AI23" t="s">
        <v>2198</v>
      </c>
    </row>
    <row r="24" spans="3:35" ht="24.95" customHeight="1">
      <c r="C24" s="491">
        <v>17</v>
      </c>
      <c r="D24" s="1847"/>
      <c r="E24" s="1847"/>
      <c r="F24" s="1847" t="s">
        <v>2199</v>
      </c>
      <c r="G24" s="1847" t="s">
        <v>2199</v>
      </c>
      <c r="H24" s="1847" t="s">
        <v>3447</v>
      </c>
      <c r="I24" s="1847" t="s">
        <v>2187</v>
      </c>
      <c r="J24" s="1847" t="s">
        <v>2782</v>
      </c>
      <c r="K24" s="1847" t="s">
        <v>3925</v>
      </c>
      <c r="L24" s="1847" t="s">
        <v>2798</v>
      </c>
      <c r="M24" s="1847" t="s">
        <v>2188</v>
      </c>
      <c r="N24" s="1847"/>
      <c r="O24" s="1847"/>
      <c r="P24" s="1852">
        <v>1.63</v>
      </c>
      <c r="Q24" s="1852">
        <v>2.25</v>
      </c>
      <c r="R24" s="483" t="e">
        <f>IF(H24="","",SUMIFS('[1]1_group_totals'!$J$8:$J$10000,'[1]1_group_totals'!$C$8:$C$10000,C24))</f>
        <v>#VALUE!</v>
      </c>
      <c r="S24" s="483">
        <f t="shared" si="0"/>
        <v>53</v>
      </c>
      <c r="T24" s="483">
        <v>4</v>
      </c>
      <c r="U24" s="510" t="e">
        <f t="shared" si="1"/>
        <v>#VALUE!</v>
      </c>
      <c r="V24" s="510">
        <v>1</v>
      </c>
      <c r="W24" s="510">
        <v>0</v>
      </c>
      <c r="X24" s="510">
        <v>0</v>
      </c>
      <c r="Y24" s="483">
        <v>1</v>
      </c>
      <c r="Z24" s="483">
        <v>1</v>
      </c>
      <c r="AA24" s="1847" t="e">
        <f t="shared" si="2"/>
        <v>#VALUE!</v>
      </c>
      <c r="AB24" s="1847">
        <f t="shared" si="3"/>
        <v>0.40749999999999997</v>
      </c>
      <c r="AC24" s="1847">
        <f t="shared" si="4"/>
        <v>0.5625</v>
      </c>
      <c r="AD24" s="1847" t="e">
        <f t="shared" si="5"/>
        <v>#VALUE!</v>
      </c>
      <c r="AE24" s="1847" t="e">
        <f t="shared" si="6"/>
        <v>#VALUE!</v>
      </c>
      <c r="AF24" s="1823" t="e">
        <f t="shared" si="7"/>
        <v>#VALUE!</v>
      </c>
      <c r="AG24" s="1769" t="e">
        <f t="shared" si="8"/>
        <v>#VALUE!</v>
      </c>
      <c r="AI24" t="s">
        <v>2199</v>
      </c>
    </row>
    <row r="25" spans="3:35" ht="24.95" customHeight="1">
      <c r="C25" s="491">
        <v>18</v>
      </c>
      <c r="D25" s="1847"/>
      <c r="E25" s="1847"/>
      <c r="F25" s="1847" t="s">
        <v>2200</v>
      </c>
      <c r="G25" s="1847" t="s">
        <v>2200</v>
      </c>
      <c r="H25" s="1847" t="s">
        <v>3440</v>
      </c>
      <c r="I25" s="1847" t="s">
        <v>2189</v>
      </c>
      <c r="J25" s="1847" t="s">
        <v>2782</v>
      </c>
      <c r="K25" s="1847" t="s">
        <v>3925</v>
      </c>
      <c r="L25" s="1847" t="s">
        <v>2798</v>
      </c>
      <c r="M25" s="1847" t="s">
        <v>2201</v>
      </c>
      <c r="N25" s="1847"/>
      <c r="O25" s="1847"/>
      <c r="P25" s="1852">
        <v>1.35</v>
      </c>
      <c r="Q25" s="1852">
        <v>2</v>
      </c>
      <c r="R25" s="483" t="e">
        <f>IF(H25="","",SUMIFS('[1]1_group_totals'!$J$8:$J$10000,'[1]1_group_totals'!$C$8:$C$10000,C25))</f>
        <v>#VALUE!</v>
      </c>
      <c r="S25" s="483">
        <f t="shared" si="0"/>
        <v>53</v>
      </c>
      <c r="T25" s="483">
        <v>4</v>
      </c>
      <c r="U25" s="510" t="e">
        <f t="shared" si="1"/>
        <v>#VALUE!</v>
      </c>
      <c r="V25" s="510">
        <v>1</v>
      </c>
      <c r="W25" s="510">
        <v>0</v>
      </c>
      <c r="X25" s="510">
        <v>0</v>
      </c>
      <c r="Y25" s="483">
        <v>1</v>
      </c>
      <c r="Z25" s="483">
        <v>1</v>
      </c>
      <c r="AA25" s="1847" t="e">
        <f t="shared" si="2"/>
        <v>#VALUE!</v>
      </c>
      <c r="AB25" s="1847">
        <f t="shared" si="3"/>
        <v>0.33750000000000002</v>
      </c>
      <c r="AC25" s="1847">
        <f t="shared" si="4"/>
        <v>0.5</v>
      </c>
      <c r="AD25" s="1847" t="e">
        <f t="shared" si="5"/>
        <v>#VALUE!</v>
      </c>
      <c r="AE25" s="1847" t="e">
        <f t="shared" si="6"/>
        <v>#VALUE!</v>
      </c>
      <c r="AF25" s="1823" t="e">
        <f t="shared" si="7"/>
        <v>#VALUE!</v>
      </c>
      <c r="AG25" s="1769" t="e">
        <f t="shared" si="8"/>
        <v>#VALUE!</v>
      </c>
      <c r="AI25" t="s">
        <v>2200</v>
      </c>
    </row>
    <row r="26" spans="3:35" ht="24.95" customHeight="1">
      <c r="C26" s="491">
        <v>19</v>
      </c>
      <c r="D26" s="1847"/>
      <c r="E26" s="1847"/>
      <c r="F26" s="1847" t="s">
        <v>2202</v>
      </c>
      <c r="G26" s="1847" t="s">
        <v>2202</v>
      </c>
      <c r="H26" s="1847" t="s">
        <v>3452</v>
      </c>
      <c r="I26" s="1847" t="s">
        <v>2203</v>
      </c>
      <c r="J26" s="1847" t="s">
        <v>2782</v>
      </c>
      <c r="K26" s="1847" t="s">
        <v>3925</v>
      </c>
      <c r="L26" s="1847" t="s">
        <v>2798</v>
      </c>
      <c r="M26" s="1847" t="s">
        <v>2173</v>
      </c>
      <c r="N26" s="1847"/>
      <c r="O26" s="1847"/>
      <c r="P26" s="1852">
        <v>7.49</v>
      </c>
      <c r="Q26" s="1852">
        <v>8</v>
      </c>
      <c r="R26" s="483" t="e">
        <f>IF(H26="","",SUMIFS('[1]1_group_totals'!$J$8:$J$10000,'[1]1_group_totals'!$C$8:$C$10000,C26))</f>
        <v>#VALUE!</v>
      </c>
      <c r="S26" s="483">
        <f t="shared" si="0"/>
        <v>53</v>
      </c>
      <c r="T26" s="483">
        <v>4</v>
      </c>
      <c r="U26" s="510" t="e">
        <f t="shared" si="1"/>
        <v>#VALUE!</v>
      </c>
      <c r="V26" s="510">
        <v>1</v>
      </c>
      <c r="W26" s="510">
        <v>0</v>
      </c>
      <c r="X26" s="510">
        <v>0</v>
      </c>
      <c r="Y26" s="483">
        <v>1</v>
      </c>
      <c r="Z26" s="483">
        <v>1</v>
      </c>
      <c r="AA26" s="1847" t="e">
        <f t="shared" si="2"/>
        <v>#VALUE!</v>
      </c>
      <c r="AB26" s="1847">
        <f t="shared" si="3"/>
        <v>1.8725000000000001</v>
      </c>
      <c r="AC26" s="1847">
        <f t="shared" si="4"/>
        <v>2</v>
      </c>
      <c r="AD26" s="1847" t="e">
        <f t="shared" si="5"/>
        <v>#VALUE!</v>
      </c>
      <c r="AE26" s="1847" t="e">
        <f t="shared" si="6"/>
        <v>#VALUE!</v>
      </c>
      <c r="AF26" s="1823" t="e">
        <f t="shared" si="7"/>
        <v>#VALUE!</v>
      </c>
      <c r="AG26" s="1769" t="e">
        <f t="shared" si="8"/>
        <v>#VALUE!</v>
      </c>
      <c r="AI26" t="s">
        <v>2202</v>
      </c>
    </row>
    <row r="27" spans="3:35" ht="24.95" customHeight="1">
      <c r="C27" s="491">
        <v>20</v>
      </c>
      <c r="D27" s="1847"/>
      <c r="E27" s="1847"/>
      <c r="F27" s="1847" t="s">
        <v>2204</v>
      </c>
      <c r="G27" s="1847" t="s">
        <v>2204</v>
      </c>
      <c r="H27" s="1847" t="s">
        <v>3453</v>
      </c>
      <c r="I27" s="1847" t="s">
        <v>2205</v>
      </c>
      <c r="J27" s="1847" t="s">
        <v>2782</v>
      </c>
      <c r="K27" s="1847" t="s">
        <v>3925</v>
      </c>
      <c r="L27" s="1847" t="s">
        <v>2798</v>
      </c>
      <c r="M27" s="1847" t="s">
        <v>2176</v>
      </c>
      <c r="N27" s="1847"/>
      <c r="O27" s="1847"/>
      <c r="P27" s="1852">
        <v>5.03</v>
      </c>
      <c r="Q27" s="1852">
        <v>5.25</v>
      </c>
      <c r="R27" s="483" t="e">
        <f>IF(H27="","",SUMIFS('[1]1_group_totals'!$J$8:$J$10000,'[1]1_group_totals'!$C$8:$C$10000,C27))</f>
        <v>#VALUE!</v>
      </c>
      <c r="S27" s="483">
        <f t="shared" si="0"/>
        <v>53</v>
      </c>
      <c r="T27" s="483">
        <v>4</v>
      </c>
      <c r="U27" s="510" t="e">
        <f t="shared" si="1"/>
        <v>#VALUE!</v>
      </c>
      <c r="V27" s="510">
        <v>1</v>
      </c>
      <c r="W27" s="510">
        <v>0</v>
      </c>
      <c r="X27" s="510">
        <v>0</v>
      </c>
      <c r="Y27" s="483">
        <v>1</v>
      </c>
      <c r="Z27" s="483">
        <v>1</v>
      </c>
      <c r="AA27" s="1847" t="e">
        <f t="shared" si="2"/>
        <v>#VALUE!</v>
      </c>
      <c r="AB27" s="1847">
        <f t="shared" si="3"/>
        <v>1.2575000000000001</v>
      </c>
      <c r="AC27" s="1847">
        <f t="shared" si="4"/>
        <v>1.3125</v>
      </c>
      <c r="AD27" s="1847" t="e">
        <f t="shared" si="5"/>
        <v>#VALUE!</v>
      </c>
      <c r="AE27" s="1847" t="e">
        <f t="shared" si="6"/>
        <v>#VALUE!</v>
      </c>
      <c r="AF27" s="1823" t="e">
        <f t="shared" si="7"/>
        <v>#VALUE!</v>
      </c>
      <c r="AG27" s="1769" t="e">
        <f t="shared" si="8"/>
        <v>#VALUE!</v>
      </c>
      <c r="AI27" t="s">
        <v>2204</v>
      </c>
    </row>
    <row r="28" spans="3:35" ht="24.95" customHeight="1">
      <c r="C28" s="491">
        <v>21</v>
      </c>
      <c r="D28" s="1847"/>
      <c r="E28" s="1847"/>
      <c r="F28" s="1847" t="s">
        <v>2206</v>
      </c>
      <c r="G28" s="1847" t="s">
        <v>2206</v>
      </c>
      <c r="H28" s="1847" t="s">
        <v>3454</v>
      </c>
      <c r="I28" s="1847" t="s">
        <v>2207</v>
      </c>
      <c r="J28" s="1847" t="s">
        <v>2782</v>
      </c>
      <c r="K28" s="1847" t="s">
        <v>3925</v>
      </c>
      <c r="L28" s="1847" t="s">
        <v>2798</v>
      </c>
      <c r="M28" s="1847" t="s">
        <v>2178</v>
      </c>
      <c r="N28" s="1847"/>
      <c r="O28" s="1847"/>
      <c r="P28" s="1852">
        <v>4.3099999999999996</v>
      </c>
      <c r="Q28" s="1852">
        <v>4.75</v>
      </c>
      <c r="R28" s="483" t="e">
        <f>IF(H28="","",SUMIFS('[1]1_group_totals'!$J$8:$J$10000,'[1]1_group_totals'!$C$8:$C$10000,C28))</f>
        <v>#VALUE!</v>
      </c>
      <c r="S28" s="483">
        <f t="shared" si="0"/>
        <v>53</v>
      </c>
      <c r="T28" s="483">
        <v>4</v>
      </c>
      <c r="U28" s="510" t="e">
        <f t="shared" si="1"/>
        <v>#VALUE!</v>
      </c>
      <c r="V28" s="510">
        <v>1</v>
      </c>
      <c r="W28" s="510">
        <v>0</v>
      </c>
      <c r="X28" s="510">
        <v>0</v>
      </c>
      <c r="Y28" s="483">
        <v>1</v>
      </c>
      <c r="Z28" s="483">
        <v>1</v>
      </c>
      <c r="AA28" s="1847" t="e">
        <f t="shared" si="2"/>
        <v>#VALUE!</v>
      </c>
      <c r="AB28" s="1847">
        <f t="shared" si="3"/>
        <v>1.0774999999999999</v>
      </c>
      <c r="AC28" s="1847">
        <f t="shared" si="4"/>
        <v>1.1875</v>
      </c>
      <c r="AD28" s="1847" t="e">
        <f t="shared" si="5"/>
        <v>#VALUE!</v>
      </c>
      <c r="AE28" s="1847" t="e">
        <f t="shared" si="6"/>
        <v>#VALUE!</v>
      </c>
      <c r="AF28" s="1823" t="e">
        <f t="shared" si="7"/>
        <v>#VALUE!</v>
      </c>
      <c r="AG28" s="1769" t="e">
        <f t="shared" si="8"/>
        <v>#VALUE!</v>
      </c>
      <c r="AI28" t="s">
        <v>2206</v>
      </c>
    </row>
    <row r="29" spans="3:35" ht="24.95" customHeight="1">
      <c r="C29" s="491">
        <v>22</v>
      </c>
      <c r="D29" s="1847"/>
      <c r="E29" s="1847"/>
      <c r="F29" s="1847" t="s">
        <v>2208</v>
      </c>
      <c r="G29" s="1847" t="s">
        <v>2208</v>
      </c>
      <c r="H29" s="1847" t="s">
        <v>3455</v>
      </c>
      <c r="I29" s="1847" t="s">
        <v>2209</v>
      </c>
      <c r="J29" s="1847" t="s">
        <v>2782</v>
      </c>
      <c r="K29" s="1847" t="s">
        <v>3925</v>
      </c>
      <c r="L29" s="1847" t="s">
        <v>2798</v>
      </c>
      <c r="M29" s="1847" t="s">
        <v>2180</v>
      </c>
      <c r="N29" s="1847"/>
      <c r="O29" s="1847"/>
      <c r="P29" s="1852">
        <v>2.9</v>
      </c>
      <c r="Q29" s="1852">
        <v>3.25</v>
      </c>
      <c r="R29" s="483" t="e">
        <f>IF(H29="","",SUMIFS('[1]1_group_totals'!$J$8:$J$10000,'[1]1_group_totals'!$C$8:$C$10000,C29))</f>
        <v>#VALUE!</v>
      </c>
      <c r="S29" s="483">
        <f t="shared" si="0"/>
        <v>53</v>
      </c>
      <c r="T29" s="483">
        <v>4</v>
      </c>
      <c r="U29" s="510" t="e">
        <f t="shared" si="1"/>
        <v>#VALUE!</v>
      </c>
      <c r="V29" s="510">
        <v>1</v>
      </c>
      <c r="W29" s="510">
        <v>0</v>
      </c>
      <c r="X29" s="510">
        <v>0</v>
      </c>
      <c r="Y29" s="483">
        <v>1</v>
      </c>
      <c r="Z29" s="483">
        <v>1</v>
      </c>
      <c r="AA29" s="1847" t="e">
        <f t="shared" si="2"/>
        <v>#VALUE!</v>
      </c>
      <c r="AB29" s="1847">
        <f t="shared" si="3"/>
        <v>0.72499999999999998</v>
      </c>
      <c r="AC29" s="1847">
        <f t="shared" si="4"/>
        <v>0.8125</v>
      </c>
      <c r="AD29" s="1847" t="e">
        <f t="shared" si="5"/>
        <v>#VALUE!</v>
      </c>
      <c r="AE29" s="1847" t="e">
        <f t="shared" si="6"/>
        <v>#VALUE!</v>
      </c>
      <c r="AF29" s="1823" t="e">
        <f t="shared" si="7"/>
        <v>#VALUE!</v>
      </c>
      <c r="AG29" s="1769" t="e">
        <f t="shared" si="8"/>
        <v>#VALUE!</v>
      </c>
      <c r="AI29" t="s">
        <v>2208</v>
      </c>
    </row>
    <row r="30" spans="3:35" ht="24.95" customHeight="1">
      <c r="C30" s="491">
        <v>23</v>
      </c>
      <c r="D30" s="1847"/>
      <c r="E30" s="1847"/>
      <c r="F30" s="1847" t="s">
        <v>2210</v>
      </c>
      <c r="G30" s="1847" t="s">
        <v>2210</v>
      </c>
      <c r="H30" s="1847" t="s">
        <v>3456</v>
      </c>
      <c r="I30" s="1847" t="s">
        <v>2211</v>
      </c>
      <c r="J30" s="1847" t="s">
        <v>2782</v>
      </c>
      <c r="K30" s="1847" t="s">
        <v>3925</v>
      </c>
      <c r="L30" s="1847" t="s">
        <v>2798</v>
      </c>
      <c r="M30" s="1847" t="s">
        <v>2182</v>
      </c>
      <c r="N30" s="1847"/>
      <c r="O30" s="1847"/>
      <c r="P30" s="1852">
        <v>2.12</v>
      </c>
      <c r="Q30" s="1852">
        <v>2.75</v>
      </c>
      <c r="R30" s="483" t="e">
        <f>IF(H30="","",SUMIFS('[1]1_group_totals'!$J$8:$J$10000,'[1]1_group_totals'!$C$8:$C$10000,C30))</f>
        <v>#VALUE!</v>
      </c>
      <c r="S30" s="483">
        <f t="shared" si="0"/>
        <v>53</v>
      </c>
      <c r="T30" s="483">
        <v>4</v>
      </c>
      <c r="U30" s="510" t="e">
        <f t="shared" si="1"/>
        <v>#VALUE!</v>
      </c>
      <c r="V30" s="510">
        <v>1</v>
      </c>
      <c r="W30" s="510">
        <v>0</v>
      </c>
      <c r="X30" s="510">
        <v>0</v>
      </c>
      <c r="Y30" s="483">
        <v>1</v>
      </c>
      <c r="Z30" s="483">
        <v>1</v>
      </c>
      <c r="AA30" s="1847" t="e">
        <f t="shared" si="2"/>
        <v>#VALUE!</v>
      </c>
      <c r="AB30" s="1847">
        <f t="shared" si="3"/>
        <v>0.53</v>
      </c>
      <c r="AC30" s="1847">
        <f t="shared" si="4"/>
        <v>0.6875</v>
      </c>
      <c r="AD30" s="1847" t="e">
        <f t="shared" si="5"/>
        <v>#VALUE!</v>
      </c>
      <c r="AE30" s="1847" t="e">
        <f t="shared" si="6"/>
        <v>#VALUE!</v>
      </c>
      <c r="AF30" s="1823" t="e">
        <f t="shared" si="7"/>
        <v>#VALUE!</v>
      </c>
      <c r="AG30" s="1769" t="e">
        <f t="shared" si="8"/>
        <v>#VALUE!</v>
      </c>
      <c r="AI30" t="s">
        <v>2210</v>
      </c>
    </row>
    <row r="31" spans="3:35" ht="24.95" customHeight="1">
      <c r="C31" s="491">
        <v>24</v>
      </c>
      <c r="D31" s="1847"/>
      <c r="E31" s="1847"/>
      <c r="F31" s="1847" t="s">
        <v>2212</v>
      </c>
      <c r="G31" s="1847" t="s">
        <v>2212</v>
      </c>
      <c r="H31" s="1847" t="s">
        <v>3457</v>
      </c>
      <c r="I31" s="1847" t="s">
        <v>2213</v>
      </c>
      <c r="J31" s="1847" t="s">
        <v>2782</v>
      </c>
      <c r="K31" s="1847" t="s">
        <v>3925</v>
      </c>
      <c r="L31" s="1847" t="s">
        <v>2798</v>
      </c>
      <c r="M31" s="1847" t="s">
        <v>2184</v>
      </c>
      <c r="N31" s="1847"/>
      <c r="O31" s="1847"/>
      <c r="P31" s="1852">
        <v>1.73</v>
      </c>
      <c r="Q31" s="1852">
        <v>2.25</v>
      </c>
      <c r="R31" s="483" t="e">
        <f>IF(H31="","",SUMIFS('[1]1_group_totals'!$J$8:$J$10000,'[1]1_group_totals'!$C$8:$C$10000,C31))</f>
        <v>#VALUE!</v>
      </c>
      <c r="S31" s="483">
        <f t="shared" si="0"/>
        <v>53</v>
      </c>
      <c r="T31" s="483">
        <v>4</v>
      </c>
      <c r="U31" s="510" t="e">
        <f t="shared" si="1"/>
        <v>#VALUE!</v>
      </c>
      <c r="V31" s="510">
        <v>1</v>
      </c>
      <c r="W31" s="510">
        <v>0</v>
      </c>
      <c r="X31" s="510">
        <v>0</v>
      </c>
      <c r="Y31" s="483">
        <v>1</v>
      </c>
      <c r="Z31" s="483">
        <v>1</v>
      </c>
      <c r="AA31" s="1847" t="e">
        <f t="shared" si="2"/>
        <v>#VALUE!</v>
      </c>
      <c r="AB31" s="1847">
        <f t="shared" si="3"/>
        <v>0.4325</v>
      </c>
      <c r="AC31" s="1847">
        <f t="shared" si="4"/>
        <v>0.5625</v>
      </c>
      <c r="AD31" s="1847" t="e">
        <f t="shared" si="5"/>
        <v>#VALUE!</v>
      </c>
      <c r="AE31" s="1847" t="e">
        <f t="shared" si="6"/>
        <v>#VALUE!</v>
      </c>
      <c r="AF31" s="1823" t="e">
        <f t="shared" si="7"/>
        <v>#VALUE!</v>
      </c>
      <c r="AG31" s="1769" t="e">
        <f t="shared" si="8"/>
        <v>#VALUE!</v>
      </c>
      <c r="AI31" t="s">
        <v>2212</v>
      </c>
    </row>
    <row r="32" spans="3:35" ht="24.95" customHeight="1">
      <c r="C32" s="491">
        <v>25</v>
      </c>
      <c r="D32" s="1847"/>
      <c r="E32" s="1847"/>
      <c r="F32" s="1847" t="s">
        <v>2214</v>
      </c>
      <c r="G32" s="1847" t="s">
        <v>2214</v>
      </c>
      <c r="H32" s="1847" t="s">
        <v>3458</v>
      </c>
      <c r="I32" s="1847" t="s">
        <v>2215</v>
      </c>
      <c r="J32" s="1847" t="s">
        <v>2782</v>
      </c>
      <c r="K32" s="1847" t="s">
        <v>3925</v>
      </c>
      <c r="L32" s="1847" t="s">
        <v>2798</v>
      </c>
      <c r="M32" s="1847" t="s">
        <v>2186</v>
      </c>
      <c r="N32" s="1847"/>
      <c r="O32" s="1847"/>
      <c r="P32" s="1852">
        <v>1.51</v>
      </c>
      <c r="Q32" s="1852">
        <v>2</v>
      </c>
      <c r="R32" s="483" t="e">
        <f>IF(H32="","",SUMIFS('[1]1_group_totals'!$J$8:$J$10000,'[1]1_group_totals'!$C$8:$C$10000,C32))</f>
        <v>#VALUE!</v>
      </c>
      <c r="S32" s="483">
        <f t="shared" si="0"/>
        <v>53</v>
      </c>
      <c r="T32" s="483">
        <v>4</v>
      </c>
      <c r="U32" s="510" t="e">
        <f t="shared" si="1"/>
        <v>#VALUE!</v>
      </c>
      <c r="V32" s="510">
        <v>1</v>
      </c>
      <c r="W32" s="510">
        <v>0</v>
      </c>
      <c r="X32" s="510">
        <v>0</v>
      </c>
      <c r="Y32" s="483">
        <v>1</v>
      </c>
      <c r="Z32" s="483">
        <v>1</v>
      </c>
      <c r="AA32" s="1847" t="e">
        <f t="shared" si="2"/>
        <v>#VALUE!</v>
      </c>
      <c r="AB32" s="1847">
        <f t="shared" si="3"/>
        <v>0.3775</v>
      </c>
      <c r="AC32" s="1847">
        <f t="shared" si="4"/>
        <v>0.5</v>
      </c>
      <c r="AD32" s="1847" t="e">
        <f t="shared" si="5"/>
        <v>#VALUE!</v>
      </c>
      <c r="AE32" s="1847" t="e">
        <f t="shared" si="6"/>
        <v>#VALUE!</v>
      </c>
      <c r="AF32" s="1823" t="e">
        <f t="shared" si="7"/>
        <v>#VALUE!</v>
      </c>
      <c r="AG32" s="1769" t="e">
        <f t="shared" si="8"/>
        <v>#VALUE!</v>
      </c>
      <c r="AI32" t="s">
        <v>2214</v>
      </c>
    </row>
    <row r="33" spans="3:35" ht="24.95" customHeight="1">
      <c r="C33" s="491">
        <v>26</v>
      </c>
      <c r="D33" s="1847"/>
      <c r="E33" s="1847"/>
      <c r="F33" s="1847" t="s">
        <v>2219</v>
      </c>
      <c r="G33" s="1847" t="s">
        <v>2219</v>
      </c>
      <c r="H33" s="1847" t="s">
        <v>3459</v>
      </c>
      <c r="I33" s="1847" t="s">
        <v>2216</v>
      </c>
      <c r="J33" s="1847" t="s">
        <v>2783</v>
      </c>
      <c r="K33" s="1847" t="s">
        <v>3925</v>
      </c>
      <c r="L33" s="1847" t="s">
        <v>2797</v>
      </c>
      <c r="M33" s="1847" t="s">
        <v>2217</v>
      </c>
      <c r="N33" s="1847"/>
      <c r="O33" s="1847"/>
      <c r="P33" s="1852">
        <v>3.0129999999999999</v>
      </c>
      <c r="Q33" s="1852">
        <v>3.5</v>
      </c>
      <c r="R33" s="483" t="e">
        <f>IF(H33="","",SUMIFS('[1]1_group_totals'!$J$8:$J$10000,'[1]1_group_totals'!$C$8:$C$10000,C33))</f>
        <v>#VALUE!</v>
      </c>
      <c r="S33" s="483">
        <f t="shared" si="0"/>
        <v>2</v>
      </c>
      <c r="T33" s="483">
        <v>1</v>
      </c>
      <c r="U33" s="510" t="e">
        <f t="shared" si="1"/>
        <v>#VALUE!</v>
      </c>
      <c r="V33" s="510">
        <v>1</v>
      </c>
      <c r="W33" s="510">
        <v>0</v>
      </c>
      <c r="X33" s="510">
        <v>0</v>
      </c>
      <c r="Y33" s="483">
        <v>1</v>
      </c>
      <c r="Z33" s="483">
        <v>1</v>
      </c>
      <c r="AA33" s="1847" t="e">
        <f t="shared" si="2"/>
        <v>#VALUE!</v>
      </c>
      <c r="AB33" s="1847">
        <f t="shared" si="3"/>
        <v>3.0129999999999999</v>
      </c>
      <c r="AC33" s="1847">
        <f t="shared" si="4"/>
        <v>3.5</v>
      </c>
      <c r="AD33" s="1847" t="e">
        <f t="shared" si="5"/>
        <v>#VALUE!</v>
      </c>
      <c r="AE33" s="1847" t="e">
        <f t="shared" si="6"/>
        <v>#VALUE!</v>
      </c>
      <c r="AF33" s="1823" t="e">
        <f t="shared" si="7"/>
        <v>#VALUE!</v>
      </c>
      <c r="AG33" s="1769" t="e">
        <f t="shared" si="8"/>
        <v>#VALUE!</v>
      </c>
      <c r="AI33" t="s">
        <v>2219</v>
      </c>
    </row>
    <row r="34" spans="3:35" ht="24.95" customHeight="1">
      <c r="C34" s="491">
        <v>27</v>
      </c>
      <c r="D34" s="1847"/>
      <c r="E34" s="1847"/>
      <c r="F34" s="1847" t="s">
        <v>2221</v>
      </c>
      <c r="G34" s="1847" t="s">
        <v>2221</v>
      </c>
      <c r="H34" s="1847" t="s">
        <v>3460</v>
      </c>
      <c r="I34" s="1847" t="s">
        <v>2218</v>
      </c>
      <c r="J34" s="1847" t="s">
        <v>2783</v>
      </c>
      <c r="K34" s="1847" t="s">
        <v>3925</v>
      </c>
      <c r="L34" s="1847" t="s">
        <v>2797</v>
      </c>
      <c r="M34" s="1847" t="s">
        <v>2217</v>
      </c>
      <c r="N34" s="1847"/>
      <c r="O34" s="1847"/>
      <c r="P34" s="1852">
        <v>3.0129999999999999</v>
      </c>
      <c r="Q34" s="1852">
        <v>3.5</v>
      </c>
      <c r="R34" s="483" t="e">
        <f>IF(H34="","",SUMIFS('[1]1_group_totals'!$J$8:$J$10000,'[1]1_group_totals'!$C$8:$C$10000,C34))</f>
        <v>#VALUE!</v>
      </c>
      <c r="S34" s="483">
        <f t="shared" si="0"/>
        <v>2</v>
      </c>
      <c r="T34" s="483">
        <v>1</v>
      </c>
      <c r="U34" s="510" t="e">
        <f t="shared" si="1"/>
        <v>#VALUE!</v>
      </c>
      <c r="V34" s="510">
        <v>1</v>
      </c>
      <c r="W34" s="510">
        <v>0</v>
      </c>
      <c r="X34" s="510">
        <v>0</v>
      </c>
      <c r="Y34" s="483">
        <v>1</v>
      </c>
      <c r="Z34" s="483">
        <v>1</v>
      </c>
      <c r="AA34" s="1847" t="e">
        <f t="shared" si="2"/>
        <v>#VALUE!</v>
      </c>
      <c r="AB34" s="1847">
        <f t="shared" si="3"/>
        <v>3.0129999999999999</v>
      </c>
      <c r="AC34" s="1847">
        <f t="shared" si="4"/>
        <v>3.5</v>
      </c>
      <c r="AD34" s="1847" t="e">
        <f t="shared" si="5"/>
        <v>#VALUE!</v>
      </c>
      <c r="AE34" s="1847" t="e">
        <f t="shared" si="6"/>
        <v>#VALUE!</v>
      </c>
      <c r="AF34" s="1823" t="e">
        <f t="shared" si="7"/>
        <v>#VALUE!</v>
      </c>
      <c r="AG34" s="1769" t="e">
        <f t="shared" si="8"/>
        <v>#VALUE!</v>
      </c>
      <c r="AI34" t="s">
        <v>2221</v>
      </c>
    </row>
    <row r="35" spans="3:35" ht="24.95" customHeight="1">
      <c r="C35" s="491">
        <v>28</v>
      </c>
      <c r="D35" s="1847"/>
      <c r="E35" s="1847"/>
      <c r="F35" s="1847" t="s">
        <v>2223</v>
      </c>
      <c r="G35" s="1847" t="s">
        <v>2223</v>
      </c>
      <c r="H35" s="1847" t="s">
        <v>3461</v>
      </c>
      <c r="I35" s="1847" t="s">
        <v>2220</v>
      </c>
      <c r="J35" s="1847" t="s">
        <v>2783</v>
      </c>
      <c r="K35" s="1847" t="s">
        <v>3925</v>
      </c>
      <c r="L35" s="1847" t="s">
        <v>2797</v>
      </c>
      <c r="M35" s="1847" t="s">
        <v>2217</v>
      </c>
      <c r="N35" s="1847"/>
      <c r="O35" s="1847"/>
      <c r="P35" s="1852">
        <v>1.49</v>
      </c>
      <c r="Q35" s="1852">
        <v>2</v>
      </c>
      <c r="R35" s="483" t="e">
        <f>IF(H35="","",SUMIFS('[1]1_group_totals'!$J$8:$J$10000,'[1]1_group_totals'!$C$8:$C$10000,C35))</f>
        <v>#VALUE!</v>
      </c>
      <c r="S35" s="483">
        <f t="shared" si="0"/>
        <v>2</v>
      </c>
      <c r="T35" s="483">
        <v>1</v>
      </c>
      <c r="U35" s="510" t="e">
        <f t="shared" si="1"/>
        <v>#VALUE!</v>
      </c>
      <c r="V35" s="510">
        <v>1</v>
      </c>
      <c r="W35" s="510">
        <v>0</v>
      </c>
      <c r="X35" s="510">
        <v>0</v>
      </c>
      <c r="Y35" s="483">
        <v>1</v>
      </c>
      <c r="Z35" s="483">
        <v>1</v>
      </c>
      <c r="AA35" s="1847" t="e">
        <f t="shared" si="2"/>
        <v>#VALUE!</v>
      </c>
      <c r="AB35" s="1847">
        <f t="shared" si="3"/>
        <v>1.49</v>
      </c>
      <c r="AC35" s="1847">
        <f t="shared" si="4"/>
        <v>2</v>
      </c>
      <c r="AD35" s="1847" t="e">
        <f t="shared" si="5"/>
        <v>#VALUE!</v>
      </c>
      <c r="AE35" s="1847" t="e">
        <f t="shared" si="6"/>
        <v>#VALUE!</v>
      </c>
      <c r="AF35" s="1823" t="e">
        <f t="shared" si="7"/>
        <v>#VALUE!</v>
      </c>
      <c r="AG35" s="1769" t="e">
        <f t="shared" si="8"/>
        <v>#VALUE!</v>
      </c>
      <c r="AI35" t="s">
        <v>2223</v>
      </c>
    </row>
    <row r="36" spans="3:35" ht="24.95" customHeight="1">
      <c r="C36" s="491">
        <v>29</v>
      </c>
      <c r="D36" s="1847"/>
      <c r="E36" s="1847"/>
      <c r="F36" s="1847" t="s">
        <v>2226</v>
      </c>
      <c r="G36" s="1847" t="s">
        <v>2226</v>
      </c>
      <c r="H36" s="1847" t="s">
        <v>3462</v>
      </c>
      <c r="I36" s="1847" t="s">
        <v>2222</v>
      </c>
      <c r="J36" s="1847" t="s">
        <v>2783</v>
      </c>
      <c r="K36" s="1847" t="s">
        <v>3925</v>
      </c>
      <c r="L36" s="1847" t="s">
        <v>2797</v>
      </c>
      <c r="M36" s="1847" t="s">
        <v>2217</v>
      </c>
      <c r="N36" s="1847"/>
      <c r="O36" s="1847"/>
      <c r="P36" s="1852">
        <v>4.2300000000000004</v>
      </c>
      <c r="Q36" s="1852">
        <v>5</v>
      </c>
      <c r="R36" s="483" t="e">
        <f>IF(H36="","",SUMIFS('[1]1_group_totals'!$J$8:$J$10000,'[1]1_group_totals'!$C$8:$C$10000,C36))</f>
        <v>#VALUE!</v>
      </c>
      <c r="S36" s="483">
        <f t="shared" si="0"/>
        <v>2</v>
      </c>
      <c r="T36" s="483">
        <v>1</v>
      </c>
      <c r="U36" s="510" t="e">
        <f t="shared" si="1"/>
        <v>#VALUE!</v>
      </c>
      <c r="V36" s="510">
        <v>1</v>
      </c>
      <c r="W36" s="510">
        <v>0</v>
      </c>
      <c r="X36" s="510">
        <v>0</v>
      </c>
      <c r="Y36" s="483">
        <v>1</v>
      </c>
      <c r="Z36" s="483">
        <v>1</v>
      </c>
      <c r="AA36" s="1847" t="e">
        <f t="shared" si="2"/>
        <v>#VALUE!</v>
      </c>
      <c r="AB36" s="1847">
        <f t="shared" si="3"/>
        <v>4.2300000000000004</v>
      </c>
      <c r="AC36" s="1847">
        <f t="shared" si="4"/>
        <v>5</v>
      </c>
      <c r="AD36" s="1847" t="e">
        <f t="shared" si="5"/>
        <v>#VALUE!</v>
      </c>
      <c r="AE36" s="1847" t="e">
        <f t="shared" si="6"/>
        <v>#VALUE!</v>
      </c>
      <c r="AF36" s="1823" t="e">
        <f t="shared" si="7"/>
        <v>#VALUE!</v>
      </c>
      <c r="AG36" s="1769" t="e">
        <f t="shared" si="8"/>
        <v>#VALUE!</v>
      </c>
      <c r="AI36" t="s">
        <v>2226</v>
      </c>
    </row>
    <row r="37" spans="3:35" ht="24.95" customHeight="1">
      <c r="C37" s="491">
        <v>30</v>
      </c>
      <c r="D37" s="1847"/>
      <c r="E37" s="1847"/>
      <c r="F37" s="1847" t="s">
        <v>2228</v>
      </c>
      <c r="G37" s="1847" t="s">
        <v>2228</v>
      </c>
      <c r="H37" s="1847" t="s">
        <v>3463</v>
      </c>
      <c r="I37" s="1847" t="s">
        <v>2224</v>
      </c>
      <c r="J37" s="1847" t="s">
        <v>2783</v>
      </c>
      <c r="K37" s="1847" t="s">
        <v>3925</v>
      </c>
      <c r="L37" s="1847" t="s">
        <v>2797</v>
      </c>
      <c r="M37" s="1847" t="s">
        <v>2225</v>
      </c>
      <c r="N37" s="1847"/>
      <c r="O37" s="1847"/>
      <c r="P37" s="1852">
        <v>1.4910000000000001</v>
      </c>
      <c r="Q37" s="1852">
        <v>2</v>
      </c>
      <c r="R37" s="483" t="e">
        <f>IF(H37="","",SUMIFS('[1]1_group_totals'!$J$8:$J$10000,'[1]1_group_totals'!$C$8:$C$10000,C37))</f>
        <v>#VALUE!</v>
      </c>
      <c r="S37" s="483">
        <f t="shared" si="0"/>
        <v>2</v>
      </c>
      <c r="T37" s="483">
        <v>1</v>
      </c>
      <c r="U37" s="510" t="e">
        <f t="shared" si="1"/>
        <v>#VALUE!</v>
      </c>
      <c r="V37" s="510">
        <v>1</v>
      </c>
      <c r="W37" s="510">
        <v>0</v>
      </c>
      <c r="X37" s="510">
        <v>0</v>
      </c>
      <c r="Y37" s="483">
        <v>1</v>
      </c>
      <c r="Z37" s="483">
        <v>1</v>
      </c>
      <c r="AA37" s="1847" t="e">
        <f t="shared" si="2"/>
        <v>#VALUE!</v>
      </c>
      <c r="AB37" s="1847">
        <f t="shared" si="3"/>
        <v>1.4910000000000001</v>
      </c>
      <c r="AC37" s="1847">
        <f t="shared" si="4"/>
        <v>2</v>
      </c>
      <c r="AD37" s="1847" t="e">
        <f t="shared" si="5"/>
        <v>#VALUE!</v>
      </c>
      <c r="AE37" s="1847" t="e">
        <f t="shared" si="6"/>
        <v>#VALUE!</v>
      </c>
      <c r="AF37" s="1823" t="e">
        <f t="shared" si="7"/>
        <v>#VALUE!</v>
      </c>
      <c r="AG37" s="1769" t="e">
        <f t="shared" si="8"/>
        <v>#VALUE!</v>
      </c>
      <c r="AI37" t="s">
        <v>2228</v>
      </c>
    </row>
    <row r="38" spans="3:35" ht="24.95" customHeight="1">
      <c r="C38" s="491">
        <v>31</v>
      </c>
      <c r="D38" s="1847"/>
      <c r="E38" s="1847"/>
      <c r="F38" s="1847" t="s">
        <v>2230</v>
      </c>
      <c r="G38" s="1847" t="s">
        <v>2230</v>
      </c>
      <c r="H38" s="1847" t="s">
        <v>3464</v>
      </c>
      <c r="I38" s="1847" t="s">
        <v>2227</v>
      </c>
      <c r="J38" s="1847" t="s">
        <v>2783</v>
      </c>
      <c r="K38" s="1847" t="s">
        <v>3925</v>
      </c>
      <c r="L38" s="1847" t="s">
        <v>2797</v>
      </c>
      <c r="M38" s="1847" t="s">
        <v>2225</v>
      </c>
      <c r="N38" s="1847"/>
      <c r="O38" s="1847"/>
      <c r="P38" s="1852">
        <v>1.21</v>
      </c>
      <c r="Q38" s="1852">
        <v>1.75</v>
      </c>
      <c r="R38" s="483" t="e">
        <f>IF(H38="","",SUMIFS('[1]1_group_totals'!$J$8:$J$10000,'[1]1_group_totals'!$C$8:$C$10000,C38))</f>
        <v>#VALUE!</v>
      </c>
      <c r="S38" s="483">
        <f t="shared" si="0"/>
        <v>2</v>
      </c>
      <c r="T38" s="483">
        <v>1</v>
      </c>
      <c r="U38" s="510" t="e">
        <f t="shared" si="1"/>
        <v>#VALUE!</v>
      </c>
      <c r="V38" s="510">
        <v>1</v>
      </c>
      <c r="W38" s="510">
        <v>0</v>
      </c>
      <c r="X38" s="510">
        <v>0</v>
      </c>
      <c r="Y38" s="483">
        <v>1</v>
      </c>
      <c r="Z38" s="483">
        <v>1</v>
      </c>
      <c r="AA38" s="1847" t="e">
        <f t="shared" si="2"/>
        <v>#VALUE!</v>
      </c>
      <c r="AB38" s="1847">
        <f t="shared" si="3"/>
        <v>1.21</v>
      </c>
      <c r="AC38" s="1847">
        <f t="shared" si="4"/>
        <v>1.75</v>
      </c>
      <c r="AD38" s="1847" t="e">
        <f t="shared" si="5"/>
        <v>#VALUE!</v>
      </c>
      <c r="AE38" s="1847" t="e">
        <f t="shared" si="6"/>
        <v>#VALUE!</v>
      </c>
      <c r="AF38" s="1823" t="e">
        <f t="shared" si="7"/>
        <v>#VALUE!</v>
      </c>
      <c r="AG38" s="1769" t="e">
        <f t="shared" si="8"/>
        <v>#VALUE!</v>
      </c>
      <c r="AI38" t="s">
        <v>2230</v>
      </c>
    </row>
    <row r="39" spans="3:35" ht="24.95" customHeight="1">
      <c r="C39" s="491">
        <v>32</v>
      </c>
      <c r="D39" s="1847"/>
      <c r="E39" s="1847"/>
      <c r="F39" s="1847" t="s">
        <v>2232</v>
      </c>
      <c r="G39" s="1847" t="s">
        <v>2232</v>
      </c>
      <c r="H39" s="1847" t="s">
        <v>3465</v>
      </c>
      <c r="I39" s="1847" t="s">
        <v>2229</v>
      </c>
      <c r="J39" s="1847" t="s">
        <v>2783</v>
      </c>
      <c r="K39" s="1847" t="s">
        <v>3925</v>
      </c>
      <c r="L39" s="1847" t="s">
        <v>2797</v>
      </c>
      <c r="M39" s="1847" t="s">
        <v>2225</v>
      </c>
      <c r="N39" s="1847"/>
      <c r="O39" s="1847"/>
      <c r="P39" s="1852">
        <v>1.04</v>
      </c>
      <c r="Q39" s="1852">
        <v>1.5</v>
      </c>
      <c r="R39" s="483" t="e">
        <f>IF(H39="","",SUMIFS('[1]1_group_totals'!$J$8:$J$10000,'[1]1_group_totals'!$C$8:$C$10000,C39))</f>
        <v>#VALUE!</v>
      </c>
      <c r="S39" s="483">
        <f t="shared" si="0"/>
        <v>2</v>
      </c>
      <c r="T39" s="483">
        <v>1</v>
      </c>
      <c r="U39" s="510" t="e">
        <f t="shared" si="1"/>
        <v>#VALUE!</v>
      </c>
      <c r="V39" s="510">
        <v>1</v>
      </c>
      <c r="W39" s="510">
        <v>0</v>
      </c>
      <c r="X39" s="510">
        <v>0</v>
      </c>
      <c r="Y39" s="483">
        <v>1</v>
      </c>
      <c r="Z39" s="483">
        <v>1</v>
      </c>
      <c r="AA39" s="1847" t="e">
        <f t="shared" si="2"/>
        <v>#VALUE!</v>
      </c>
      <c r="AB39" s="1847">
        <f t="shared" si="3"/>
        <v>1.04</v>
      </c>
      <c r="AC39" s="1847">
        <f t="shared" si="4"/>
        <v>1.5</v>
      </c>
      <c r="AD39" s="1847" t="e">
        <f t="shared" si="5"/>
        <v>#VALUE!</v>
      </c>
      <c r="AE39" s="1847" t="e">
        <f t="shared" si="6"/>
        <v>#VALUE!</v>
      </c>
      <c r="AF39" s="1823" t="e">
        <f t="shared" si="7"/>
        <v>#VALUE!</v>
      </c>
      <c r="AG39" s="1769" t="e">
        <f t="shared" si="8"/>
        <v>#VALUE!</v>
      </c>
      <c r="AI39" t="s">
        <v>2232</v>
      </c>
    </row>
    <row r="40" spans="3:35" ht="24.95" customHeight="1">
      <c r="C40" s="491">
        <v>33</v>
      </c>
      <c r="D40" s="1847"/>
      <c r="E40" s="1847"/>
      <c r="F40" s="1847" t="s">
        <v>2235</v>
      </c>
      <c r="G40" s="1847" t="s">
        <v>2235</v>
      </c>
      <c r="H40" s="1847" t="s">
        <v>3466</v>
      </c>
      <c r="I40" s="1847" t="s">
        <v>2231</v>
      </c>
      <c r="J40" s="1847" t="s">
        <v>2783</v>
      </c>
      <c r="K40" s="1847" t="s">
        <v>3925</v>
      </c>
      <c r="L40" s="1847" t="s">
        <v>2797</v>
      </c>
      <c r="M40" s="1847" t="s">
        <v>2225</v>
      </c>
      <c r="N40" s="1847"/>
      <c r="O40" s="1847"/>
      <c r="P40" s="1852">
        <v>1.748</v>
      </c>
      <c r="Q40" s="1852">
        <v>2.25</v>
      </c>
      <c r="R40" s="483" t="e">
        <f>IF(H40="","",SUMIFS('[1]1_group_totals'!$J$8:$J$10000,'[1]1_group_totals'!$C$8:$C$10000,C40))</f>
        <v>#VALUE!</v>
      </c>
      <c r="S40" s="483">
        <f t="shared" si="0"/>
        <v>2</v>
      </c>
      <c r="T40" s="483">
        <v>1</v>
      </c>
      <c r="U40" s="510" t="e">
        <f t="shared" si="1"/>
        <v>#VALUE!</v>
      </c>
      <c r="V40" s="510">
        <v>1</v>
      </c>
      <c r="W40" s="510">
        <v>0</v>
      </c>
      <c r="X40" s="510">
        <v>0</v>
      </c>
      <c r="Y40" s="483">
        <v>1</v>
      </c>
      <c r="Z40" s="483">
        <v>1</v>
      </c>
      <c r="AA40" s="1847" t="e">
        <f t="shared" si="2"/>
        <v>#VALUE!</v>
      </c>
      <c r="AB40" s="1847">
        <f t="shared" si="3"/>
        <v>1.748</v>
      </c>
      <c r="AC40" s="1847">
        <f t="shared" si="4"/>
        <v>2.25</v>
      </c>
      <c r="AD40" s="1847" t="e">
        <f t="shared" si="5"/>
        <v>#VALUE!</v>
      </c>
      <c r="AE40" s="1847" t="e">
        <f t="shared" si="6"/>
        <v>#VALUE!</v>
      </c>
      <c r="AF40" s="1823" t="e">
        <f t="shared" si="7"/>
        <v>#VALUE!</v>
      </c>
      <c r="AG40" s="1769" t="e">
        <f t="shared" si="8"/>
        <v>#VALUE!</v>
      </c>
      <c r="AI40" t="s">
        <v>2235</v>
      </c>
    </row>
    <row r="41" spans="3:35" ht="24.95" customHeight="1">
      <c r="C41" s="491">
        <v>34</v>
      </c>
      <c r="D41" s="1847"/>
      <c r="E41" s="1847"/>
      <c r="F41" s="1847" t="s">
        <v>2237</v>
      </c>
      <c r="G41" s="1847" t="s">
        <v>2237</v>
      </c>
      <c r="H41" s="1847" t="s">
        <v>3467</v>
      </c>
      <c r="I41" s="1847" t="s">
        <v>2233</v>
      </c>
      <c r="J41" s="1847" t="s">
        <v>2783</v>
      </c>
      <c r="K41" s="1847" t="s">
        <v>3925</v>
      </c>
      <c r="L41" s="1847" t="s">
        <v>2797</v>
      </c>
      <c r="M41" s="1847" t="s">
        <v>2234</v>
      </c>
      <c r="N41" s="1847"/>
      <c r="O41" s="1847"/>
      <c r="P41" s="1852">
        <v>0.496</v>
      </c>
      <c r="Q41" s="1852">
        <v>0.75</v>
      </c>
      <c r="R41" s="483" t="e">
        <f>IF(H41="","",SUMIFS('[1]1_group_totals'!$J$8:$J$10000,'[1]1_group_totals'!$C$8:$C$10000,C41))</f>
        <v>#VALUE!</v>
      </c>
      <c r="S41" s="483">
        <f t="shared" si="0"/>
        <v>2</v>
      </c>
      <c r="T41" s="483">
        <v>1</v>
      </c>
      <c r="U41" s="510" t="e">
        <f t="shared" si="1"/>
        <v>#VALUE!</v>
      </c>
      <c r="V41" s="510">
        <v>1</v>
      </c>
      <c r="W41" s="510">
        <v>0</v>
      </c>
      <c r="X41" s="510">
        <v>0</v>
      </c>
      <c r="Y41" s="483">
        <v>1</v>
      </c>
      <c r="Z41" s="483">
        <v>1</v>
      </c>
      <c r="AA41" s="1847" t="e">
        <f t="shared" si="2"/>
        <v>#VALUE!</v>
      </c>
      <c r="AB41" s="1847">
        <f t="shared" si="3"/>
        <v>0.496</v>
      </c>
      <c r="AC41" s="1847">
        <f t="shared" si="4"/>
        <v>0.75</v>
      </c>
      <c r="AD41" s="1847" t="e">
        <f t="shared" si="5"/>
        <v>#VALUE!</v>
      </c>
      <c r="AE41" s="1847" t="e">
        <f t="shared" si="6"/>
        <v>#VALUE!</v>
      </c>
      <c r="AF41" s="1823" t="e">
        <f t="shared" si="7"/>
        <v>#VALUE!</v>
      </c>
      <c r="AG41" s="1769" t="e">
        <f t="shared" si="8"/>
        <v>#VALUE!</v>
      </c>
      <c r="AI41" t="s">
        <v>2237</v>
      </c>
    </row>
    <row r="42" spans="3:35" ht="24.95" customHeight="1">
      <c r="C42" s="491">
        <v>35</v>
      </c>
      <c r="D42" s="1847"/>
      <c r="E42" s="1847"/>
      <c r="F42" s="1847" t="s">
        <v>2239</v>
      </c>
      <c r="G42" s="1847" t="s">
        <v>2239</v>
      </c>
      <c r="H42" s="1847" t="s">
        <v>3468</v>
      </c>
      <c r="I42" s="1847" t="s">
        <v>2236</v>
      </c>
      <c r="J42" s="1847" t="s">
        <v>2783</v>
      </c>
      <c r="K42" s="1847" t="s">
        <v>3925</v>
      </c>
      <c r="L42" s="1847" t="s">
        <v>2797</v>
      </c>
      <c r="M42" s="1847" t="s">
        <v>2234</v>
      </c>
      <c r="N42" s="1847"/>
      <c r="O42" s="1847"/>
      <c r="P42" s="1852">
        <v>0.5</v>
      </c>
      <c r="Q42" s="1852">
        <v>0.75</v>
      </c>
      <c r="R42" s="483" t="e">
        <f>IF(H42="","",SUMIFS('[1]1_group_totals'!$J$8:$J$10000,'[1]1_group_totals'!$C$8:$C$10000,C42))</f>
        <v>#VALUE!</v>
      </c>
      <c r="S42" s="483">
        <f t="shared" si="0"/>
        <v>2</v>
      </c>
      <c r="T42" s="483">
        <v>1</v>
      </c>
      <c r="U42" s="510" t="e">
        <f t="shared" si="1"/>
        <v>#VALUE!</v>
      </c>
      <c r="V42" s="510">
        <v>1</v>
      </c>
      <c r="W42" s="510">
        <v>0</v>
      </c>
      <c r="X42" s="510">
        <v>0</v>
      </c>
      <c r="Y42" s="483">
        <v>1</v>
      </c>
      <c r="Z42" s="483">
        <v>1</v>
      </c>
      <c r="AA42" s="1847" t="e">
        <f t="shared" si="2"/>
        <v>#VALUE!</v>
      </c>
      <c r="AB42" s="1847">
        <f t="shared" si="3"/>
        <v>0.5</v>
      </c>
      <c r="AC42" s="1847">
        <f t="shared" si="4"/>
        <v>0.75</v>
      </c>
      <c r="AD42" s="1847" t="e">
        <f t="shared" si="5"/>
        <v>#VALUE!</v>
      </c>
      <c r="AE42" s="1847" t="e">
        <f t="shared" si="6"/>
        <v>#VALUE!</v>
      </c>
      <c r="AF42" s="1823" t="e">
        <f t="shared" si="7"/>
        <v>#VALUE!</v>
      </c>
      <c r="AG42" s="1769" t="e">
        <f t="shared" si="8"/>
        <v>#VALUE!</v>
      </c>
      <c r="AI42" t="s">
        <v>2239</v>
      </c>
    </row>
    <row r="43" spans="3:35" ht="24.95" customHeight="1">
      <c r="C43" s="491">
        <v>36</v>
      </c>
      <c r="D43" s="1847"/>
      <c r="E43" s="1847"/>
      <c r="F43" s="1847" t="s">
        <v>2241</v>
      </c>
      <c r="G43" s="1847" t="s">
        <v>2241</v>
      </c>
      <c r="H43" s="1847" t="s">
        <v>3469</v>
      </c>
      <c r="I43" s="1847" t="s">
        <v>2238</v>
      </c>
      <c r="J43" s="1847" t="s">
        <v>2783</v>
      </c>
      <c r="K43" s="1847" t="s">
        <v>3925</v>
      </c>
      <c r="L43" s="1847" t="s">
        <v>2797</v>
      </c>
      <c r="M43" s="1847" t="s">
        <v>2234</v>
      </c>
      <c r="N43" s="1847"/>
      <c r="O43" s="1847"/>
      <c r="P43" s="1852">
        <v>0.32</v>
      </c>
      <c r="Q43" s="1852">
        <v>0.5</v>
      </c>
      <c r="R43" s="483" t="e">
        <f>IF(H43="","",SUMIFS('[1]1_group_totals'!$J$8:$J$10000,'[1]1_group_totals'!$C$8:$C$10000,C43))</f>
        <v>#VALUE!</v>
      </c>
      <c r="S43" s="483">
        <f t="shared" si="0"/>
        <v>2</v>
      </c>
      <c r="T43" s="483">
        <v>1</v>
      </c>
      <c r="U43" s="510" t="e">
        <f t="shared" si="1"/>
        <v>#VALUE!</v>
      </c>
      <c r="V43" s="510">
        <v>1</v>
      </c>
      <c r="W43" s="510">
        <v>0</v>
      </c>
      <c r="X43" s="510">
        <v>0</v>
      </c>
      <c r="Y43" s="483">
        <v>1</v>
      </c>
      <c r="Z43" s="483">
        <v>1</v>
      </c>
      <c r="AA43" s="1847" t="e">
        <f t="shared" si="2"/>
        <v>#VALUE!</v>
      </c>
      <c r="AB43" s="1847">
        <f t="shared" si="3"/>
        <v>0.32</v>
      </c>
      <c r="AC43" s="1847">
        <f t="shared" si="4"/>
        <v>0.5</v>
      </c>
      <c r="AD43" s="1847" t="e">
        <f t="shared" si="5"/>
        <v>#VALUE!</v>
      </c>
      <c r="AE43" s="1847" t="e">
        <f t="shared" si="6"/>
        <v>#VALUE!</v>
      </c>
      <c r="AF43" s="1823" t="e">
        <f t="shared" si="7"/>
        <v>#VALUE!</v>
      </c>
      <c r="AG43" s="1769" t="e">
        <f t="shared" si="8"/>
        <v>#VALUE!</v>
      </c>
      <c r="AI43" t="s">
        <v>2241</v>
      </c>
    </row>
    <row r="44" spans="3:35" ht="24.95" customHeight="1">
      <c r="C44" s="491">
        <v>37</v>
      </c>
      <c r="D44" s="1847"/>
      <c r="E44" s="1847"/>
      <c r="F44" s="1847" t="s">
        <v>2244</v>
      </c>
      <c r="G44" s="1847" t="s">
        <v>2244</v>
      </c>
      <c r="H44" s="1847" t="s">
        <v>3470</v>
      </c>
      <c r="I44" s="1847" t="s">
        <v>2240</v>
      </c>
      <c r="J44" s="1847" t="s">
        <v>2783</v>
      </c>
      <c r="K44" s="1847" t="s">
        <v>3925</v>
      </c>
      <c r="L44" s="1847" t="s">
        <v>2797</v>
      </c>
      <c r="M44" s="1847" t="s">
        <v>2234</v>
      </c>
      <c r="N44" s="1847"/>
      <c r="O44" s="1847"/>
      <c r="P44" s="1852">
        <v>0.66</v>
      </c>
      <c r="Q44" s="1852">
        <v>1</v>
      </c>
      <c r="R44" s="483" t="e">
        <f>IF(H44="","",SUMIFS('[1]1_group_totals'!$J$8:$J$10000,'[1]1_group_totals'!$C$8:$C$10000,C44))</f>
        <v>#VALUE!</v>
      </c>
      <c r="S44" s="483">
        <f t="shared" si="0"/>
        <v>2</v>
      </c>
      <c r="T44" s="483">
        <v>1</v>
      </c>
      <c r="U44" s="510" t="e">
        <f t="shared" si="1"/>
        <v>#VALUE!</v>
      </c>
      <c r="V44" s="510">
        <v>1</v>
      </c>
      <c r="W44" s="510">
        <v>0</v>
      </c>
      <c r="X44" s="510">
        <v>0</v>
      </c>
      <c r="Y44" s="483">
        <v>1</v>
      </c>
      <c r="Z44" s="483">
        <v>1</v>
      </c>
      <c r="AA44" s="1847" t="e">
        <f t="shared" si="2"/>
        <v>#VALUE!</v>
      </c>
      <c r="AB44" s="1847">
        <f t="shared" si="3"/>
        <v>0.66</v>
      </c>
      <c r="AC44" s="1847">
        <f t="shared" si="4"/>
        <v>1</v>
      </c>
      <c r="AD44" s="1847" t="e">
        <f t="shared" si="5"/>
        <v>#VALUE!</v>
      </c>
      <c r="AE44" s="1847" t="e">
        <f t="shared" si="6"/>
        <v>#VALUE!</v>
      </c>
      <c r="AF44" s="1823" t="e">
        <f t="shared" si="7"/>
        <v>#VALUE!</v>
      </c>
      <c r="AG44" s="1769" t="e">
        <f t="shared" si="8"/>
        <v>#VALUE!</v>
      </c>
      <c r="AI44" t="s">
        <v>2244</v>
      </c>
    </row>
    <row r="45" spans="3:35" ht="24.95" customHeight="1">
      <c r="C45" s="491">
        <v>38</v>
      </c>
      <c r="D45" s="1847"/>
      <c r="E45" s="1847"/>
      <c r="F45" s="1847" t="s">
        <v>2246</v>
      </c>
      <c r="G45" s="1847" t="s">
        <v>2246</v>
      </c>
      <c r="H45" s="1847" t="s">
        <v>3471</v>
      </c>
      <c r="I45" s="1847" t="s">
        <v>2242</v>
      </c>
      <c r="J45" s="1847" t="s">
        <v>2783</v>
      </c>
      <c r="K45" s="1847" t="s">
        <v>3925</v>
      </c>
      <c r="L45" s="1847" t="s">
        <v>2797</v>
      </c>
      <c r="M45" s="1847" t="s">
        <v>2243</v>
      </c>
      <c r="N45" s="1847"/>
      <c r="O45" s="1847"/>
      <c r="P45" s="1852">
        <v>0.28599999999999998</v>
      </c>
      <c r="Q45" s="1852">
        <v>0.5</v>
      </c>
      <c r="R45" s="483" t="e">
        <f>IF(H45="","",SUMIFS('[1]1_group_totals'!$J$8:$J$10000,'[1]1_group_totals'!$C$8:$C$10000,C45))</f>
        <v>#VALUE!</v>
      </c>
      <c r="S45" s="483">
        <f t="shared" si="0"/>
        <v>2</v>
      </c>
      <c r="T45" s="483">
        <v>1</v>
      </c>
      <c r="U45" s="510" t="e">
        <f t="shared" si="1"/>
        <v>#VALUE!</v>
      </c>
      <c r="V45" s="510">
        <v>1</v>
      </c>
      <c r="W45" s="510">
        <v>0</v>
      </c>
      <c r="X45" s="510">
        <v>0</v>
      </c>
      <c r="Y45" s="483">
        <v>1</v>
      </c>
      <c r="Z45" s="483">
        <v>1</v>
      </c>
      <c r="AA45" s="1847" t="e">
        <f t="shared" si="2"/>
        <v>#VALUE!</v>
      </c>
      <c r="AB45" s="1847">
        <f t="shared" si="3"/>
        <v>0.28599999999999998</v>
      </c>
      <c r="AC45" s="1847">
        <f t="shared" si="4"/>
        <v>0.5</v>
      </c>
      <c r="AD45" s="1847" t="e">
        <f t="shared" si="5"/>
        <v>#VALUE!</v>
      </c>
      <c r="AE45" s="1847" t="e">
        <f t="shared" si="6"/>
        <v>#VALUE!</v>
      </c>
      <c r="AF45" s="1823" t="e">
        <f t="shared" si="7"/>
        <v>#VALUE!</v>
      </c>
      <c r="AG45" s="1769" t="e">
        <f t="shared" si="8"/>
        <v>#VALUE!</v>
      </c>
      <c r="AI45" t="s">
        <v>2246</v>
      </c>
    </row>
    <row r="46" spans="3:35" ht="24.95" customHeight="1">
      <c r="C46" s="491">
        <v>39</v>
      </c>
      <c r="D46" s="1847"/>
      <c r="E46" s="1847"/>
      <c r="F46" s="1847" t="s">
        <v>2248</v>
      </c>
      <c r="G46" s="1847" t="s">
        <v>2248</v>
      </c>
      <c r="H46" s="1847" t="s">
        <v>3472</v>
      </c>
      <c r="I46" s="1847" t="s">
        <v>2245</v>
      </c>
      <c r="J46" s="1847" t="s">
        <v>2783</v>
      </c>
      <c r="K46" s="1847" t="s">
        <v>3925</v>
      </c>
      <c r="L46" s="1847" t="s">
        <v>2797</v>
      </c>
      <c r="M46" s="1847" t="s">
        <v>2243</v>
      </c>
      <c r="N46" s="1847"/>
      <c r="O46" s="1847"/>
      <c r="P46" s="1852">
        <v>0.28999999999999998</v>
      </c>
      <c r="Q46" s="1852">
        <v>0.5</v>
      </c>
      <c r="R46" s="483" t="e">
        <f>IF(H46="","",SUMIFS('[1]1_group_totals'!$J$8:$J$10000,'[1]1_group_totals'!$C$8:$C$10000,C46))</f>
        <v>#VALUE!</v>
      </c>
      <c r="S46" s="483">
        <f t="shared" si="0"/>
        <v>2</v>
      </c>
      <c r="T46" s="483">
        <v>1</v>
      </c>
      <c r="U46" s="510" t="e">
        <f t="shared" si="1"/>
        <v>#VALUE!</v>
      </c>
      <c r="V46" s="510">
        <v>1</v>
      </c>
      <c r="W46" s="510">
        <v>0</v>
      </c>
      <c r="X46" s="510">
        <v>0</v>
      </c>
      <c r="Y46" s="483">
        <v>1</v>
      </c>
      <c r="Z46" s="483">
        <v>1</v>
      </c>
      <c r="AA46" s="1847" t="e">
        <f t="shared" si="2"/>
        <v>#VALUE!</v>
      </c>
      <c r="AB46" s="1847">
        <f t="shared" si="3"/>
        <v>0.28999999999999998</v>
      </c>
      <c r="AC46" s="1847">
        <f t="shared" si="4"/>
        <v>0.5</v>
      </c>
      <c r="AD46" s="1847" t="e">
        <f t="shared" si="5"/>
        <v>#VALUE!</v>
      </c>
      <c r="AE46" s="1847" t="e">
        <f t="shared" si="6"/>
        <v>#VALUE!</v>
      </c>
      <c r="AF46" s="1823" t="e">
        <f t="shared" si="7"/>
        <v>#VALUE!</v>
      </c>
      <c r="AG46" s="1769" t="e">
        <f t="shared" si="8"/>
        <v>#VALUE!</v>
      </c>
      <c r="AI46" t="s">
        <v>2248</v>
      </c>
    </row>
    <row r="47" spans="3:35" ht="24.95" customHeight="1">
      <c r="C47" s="491">
        <v>40</v>
      </c>
      <c r="D47" s="1847"/>
      <c r="E47" s="1847"/>
      <c r="F47" s="1847" t="s">
        <v>2250</v>
      </c>
      <c r="G47" s="1847" t="s">
        <v>2250</v>
      </c>
      <c r="H47" s="1847" t="s">
        <v>3473</v>
      </c>
      <c r="I47" s="1847" t="s">
        <v>2247</v>
      </c>
      <c r="J47" s="1847" t="s">
        <v>2783</v>
      </c>
      <c r="K47" s="1847" t="s">
        <v>3925</v>
      </c>
      <c r="L47" s="1847" t="s">
        <v>2797</v>
      </c>
      <c r="M47" s="1847" t="s">
        <v>2243</v>
      </c>
      <c r="N47" s="1847"/>
      <c r="O47" s="1847"/>
      <c r="P47" s="1852">
        <v>0.23</v>
      </c>
      <c r="Q47" s="1852">
        <v>0.5</v>
      </c>
      <c r="R47" s="483" t="e">
        <f>IF(H47="","",SUMIFS('[1]1_group_totals'!$J$8:$J$10000,'[1]1_group_totals'!$C$8:$C$10000,C47))</f>
        <v>#VALUE!</v>
      </c>
      <c r="S47" s="483">
        <f t="shared" si="0"/>
        <v>2</v>
      </c>
      <c r="T47" s="483">
        <v>1</v>
      </c>
      <c r="U47" s="510" t="e">
        <f t="shared" si="1"/>
        <v>#VALUE!</v>
      </c>
      <c r="V47" s="510">
        <v>1</v>
      </c>
      <c r="W47" s="510">
        <v>0</v>
      </c>
      <c r="X47" s="510">
        <v>0</v>
      </c>
      <c r="Y47" s="483">
        <v>1</v>
      </c>
      <c r="Z47" s="483">
        <v>1</v>
      </c>
      <c r="AA47" s="1847" t="e">
        <f t="shared" si="2"/>
        <v>#VALUE!</v>
      </c>
      <c r="AB47" s="1847">
        <f t="shared" si="3"/>
        <v>0.23</v>
      </c>
      <c r="AC47" s="1847">
        <f t="shared" si="4"/>
        <v>0.5</v>
      </c>
      <c r="AD47" s="1847" t="e">
        <f t="shared" si="5"/>
        <v>#VALUE!</v>
      </c>
      <c r="AE47" s="1847" t="e">
        <f t="shared" si="6"/>
        <v>#VALUE!</v>
      </c>
      <c r="AF47" s="1823" t="e">
        <f t="shared" si="7"/>
        <v>#VALUE!</v>
      </c>
      <c r="AG47" s="1769" t="e">
        <f t="shared" si="8"/>
        <v>#VALUE!</v>
      </c>
      <c r="AI47" t="s">
        <v>2250</v>
      </c>
    </row>
    <row r="48" spans="3:35" ht="24.95" customHeight="1">
      <c r="C48" s="491">
        <v>41</v>
      </c>
      <c r="D48" s="1847"/>
      <c r="E48" s="1847"/>
      <c r="F48" s="1847" t="s">
        <v>2253</v>
      </c>
      <c r="G48" s="1847" t="s">
        <v>2253</v>
      </c>
      <c r="H48" s="1847" t="s">
        <v>3474</v>
      </c>
      <c r="I48" s="1847" t="s">
        <v>2249</v>
      </c>
      <c r="J48" s="1847" t="s">
        <v>2783</v>
      </c>
      <c r="K48" s="1847" t="s">
        <v>3925</v>
      </c>
      <c r="L48" s="1847" t="s">
        <v>2797</v>
      </c>
      <c r="M48" s="1847" t="s">
        <v>2243</v>
      </c>
      <c r="N48" s="1847"/>
      <c r="O48" s="1847"/>
      <c r="P48" s="1852">
        <v>0.53</v>
      </c>
      <c r="Q48" s="1852">
        <v>0.75</v>
      </c>
      <c r="R48" s="483" t="e">
        <f>IF(H48="","",SUMIFS('[1]1_group_totals'!$J$8:$J$10000,'[1]1_group_totals'!$C$8:$C$10000,C48))</f>
        <v>#VALUE!</v>
      </c>
      <c r="S48" s="483">
        <f t="shared" si="0"/>
        <v>2</v>
      </c>
      <c r="T48" s="483">
        <v>1</v>
      </c>
      <c r="U48" s="510" t="e">
        <f t="shared" si="1"/>
        <v>#VALUE!</v>
      </c>
      <c r="V48" s="510">
        <v>1</v>
      </c>
      <c r="W48" s="510">
        <v>0</v>
      </c>
      <c r="X48" s="510">
        <v>0</v>
      </c>
      <c r="Y48" s="483">
        <v>1</v>
      </c>
      <c r="Z48" s="483">
        <v>1</v>
      </c>
      <c r="AA48" s="1847" t="e">
        <f t="shared" si="2"/>
        <v>#VALUE!</v>
      </c>
      <c r="AB48" s="1847">
        <f t="shared" si="3"/>
        <v>0.53</v>
      </c>
      <c r="AC48" s="1847">
        <f t="shared" si="4"/>
        <v>0.75</v>
      </c>
      <c r="AD48" s="1847" t="e">
        <f t="shared" si="5"/>
        <v>#VALUE!</v>
      </c>
      <c r="AE48" s="1847" t="e">
        <f t="shared" si="6"/>
        <v>#VALUE!</v>
      </c>
      <c r="AF48" s="1823" t="e">
        <f t="shared" si="7"/>
        <v>#VALUE!</v>
      </c>
      <c r="AG48" s="1769" t="e">
        <f t="shared" si="8"/>
        <v>#VALUE!</v>
      </c>
      <c r="AI48" t="s">
        <v>2253</v>
      </c>
    </row>
    <row r="49" spans="3:35" ht="24.95" customHeight="1">
      <c r="C49" s="491">
        <v>42</v>
      </c>
      <c r="D49" s="1847"/>
      <c r="E49" s="1847"/>
      <c r="F49" s="1847" t="s">
        <v>2255</v>
      </c>
      <c r="G49" s="1847" t="s">
        <v>2255</v>
      </c>
      <c r="H49" s="1847" t="s">
        <v>3475</v>
      </c>
      <c r="I49" s="1847" t="s">
        <v>2251</v>
      </c>
      <c r="J49" s="1847" t="s">
        <v>2783</v>
      </c>
      <c r="K49" s="1847" t="s">
        <v>3925</v>
      </c>
      <c r="L49" s="1847" t="s">
        <v>2797</v>
      </c>
      <c r="M49" s="1847" t="s">
        <v>2252</v>
      </c>
      <c r="N49" s="1847"/>
      <c r="O49" s="1847"/>
      <c r="P49" s="1852">
        <v>0.24299999999999999</v>
      </c>
      <c r="Q49" s="1852">
        <v>0.5</v>
      </c>
      <c r="R49" s="483" t="e">
        <f>IF(H49="","",SUMIFS('[1]1_group_totals'!$J$8:$J$10000,'[1]1_group_totals'!$C$8:$C$10000,C49))</f>
        <v>#VALUE!</v>
      </c>
      <c r="S49" s="483">
        <f t="shared" si="0"/>
        <v>2</v>
      </c>
      <c r="T49" s="483">
        <v>1</v>
      </c>
      <c r="U49" s="510" t="e">
        <f t="shared" si="1"/>
        <v>#VALUE!</v>
      </c>
      <c r="V49" s="510">
        <v>1</v>
      </c>
      <c r="W49" s="510">
        <v>0</v>
      </c>
      <c r="X49" s="510">
        <v>0</v>
      </c>
      <c r="Y49" s="483">
        <v>1</v>
      </c>
      <c r="Z49" s="483">
        <v>1</v>
      </c>
      <c r="AA49" s="1847" t="e">
        <f t="shared" si="2"/>
        <v>#VALUE!</v>
      </c>
      <c r="AB49" s="1847">
        <f t="shared" si="3"/>
        <v>0.24299999999999999</v>
      </c>
      <c r="AC49" s="1847">
        <f t="shared" si="4"/>
        <v>0.5</v>
      </c>
      <c r="AD49" s="1847" t="e">
        <f t="shared" si="5"/>
        <v>#VALUE!</v>
      </c>
      <c r="AE49" s="1847" t="e">
        <f t="shared" si="6"/>
        <v>#VALUE!</v>
      </c>
      <c r="AF49" s="1823" t="e">
        <f t="shared" si="7"/>
        <v>#VALUE!</v>
      </c>
      <c r="AG49" s="1769" t="e">
        <f t="shared" si="8"/>
        <v>#VALUE!</v>
      </c>
      <c r="AI49" t="s">
        <v>2255</v>
      </c>
    </row>
    <row r="50" spans="3:35" ht="24.95" customHeight="1">
      <c r="C50" s="491">
        <v>43</v>
      </c>
      <c r="D50" s="1847"/>
      <c r="E50" s="1847"/>
      <c r="F50" s="1847" t="s">
        <v>2257</v>
      </c>
      <c r="G50" s="1847" t="s">
        <v>2257</v>
      </c>
      <c r="H50" s="1847" t="s">
        <v>3715</v>
      </c>
      <c r="I50" s="1847" t="s">
        <v>2254</v>
      </c>
      <c r="J50" s="1847" t="s">
        <v>2783</v>
      </c>
      <c r="K50" s="1847" t="s">
        <v>3925</v>
      </c>
      <c r="L50" s="1847" t="s">
        <v>2797</v>
      </c>
      <c r="M50" s="1847" t="s">
        <v>2252</v>
      </c>
      <c r="N50" s="1847"/>
      <c r="O50" s="1847"/>
      <c r="P50" s="1852">
        <v>0.24</v>
      </c>
      <c r="Q50" s="1852">
        <v>0.5</v>
      </c>
      <c r="R50" s="483" t="e">
        <f>IF(H50="","",SUMIFS('[1]1_group_totals'!$J$8:$J$10000,'[1]1_group_totals'!$C$8:$C$10000,C50))</f>
        <v>#VALUE!</v>
      </c>
      <c r="S50" s="483">
        <f t="shared" si="0"/>
        <v>2</v>
      </c>
      <c r="T50" s="483">
        <v>1</v>
      </c>
      <c r="U50" s="510" t="e">
        <f t="shared" si="1"/>
        <v>#VALUE!</v>
      </c>
      <c r="V50" s="510">
        <v>1</v>
      </c>
      <c r="W50" s="510">
        <v>0</v>
      </c>
      <c r="X50" s="510">
        <v>0</v>
      </c>
      <c r="Y50" s="483">
        <v>1</v>
      </c>
      <c r="Z50" s="483">
        <v>1</v>
      </c>
      <c r="AA50" s="1847" t="e">
        <f t="shared" si="2"/>
        <v>#VALUE!</v>
      </c>
      <c r="AB50" s="1847">
        <f t="shared" si="3"/>
        <v>0.24</v>
      </c>
      <c r="AC50" s="1847">
        <f t="shared" si="4"/>
        <v>0.5</v>
      </c>
      <c r="AD50" s="1847" t="e">
        <f t="shared" si="5"/>
        <v>#VALUE!</v>
      </c>
      <c r="AE50" s="1847" t="e">
        <f t="shared" si="6"/>
        <v>#VALUE!</v>
      </c>
      <c r="AF50" s="1823" t="e">
        <f t="shared" si="7"/>
        <v>#VALUE!</v>
      </c>
      <c r="AG50" s="1769" t="e">
        <f t="shared" si="8"/>
        <v>#VALUE!</v>
      </c>
      <c r="AI50" t="s">
        <v>2257</v>
      </c>
    </row>
    <row r="51" spans="3:35" ht="24.95" customHeight="1">
      <c r="C51" s="491">
        <v>44</v>
      </c>
      <c r="D51" s="1847"/>
      <c r="E51" s="1847"/>
      <c r="F51" s="1847" t="s">
        <v>2259</v>
      </c>
      <c r="G51" s="1847" t="s">
        <v>2259</v>
      </c>
      <c r="H51" s="1847" t="s">
        <v>3716</v>
      </c>
      <c r="I51" s="1847" t="s">
        <v>2256</v>
      </c>
      <c r="J51" s="1847" t="s">
        <v>2783</v>
      </c>
      <c r="K51" s="1847" t="s">
        <v>3925</v>
      </c>
      <c r="L51" s="1847" t="s">
        <v>2797</v>
      </c>
      <c r="M51" s="1847" t="s">
        <v>2252</v>
      </c>
      <c r="N51" s="1847"/>
      <c r="O51" s="1847"/>
      <c r="P51" s="1852">
        <v>0.22</v>
      </c>
      <c r="Q51" s="1852">
        <v>0.38</v>
      </c>
      <c r="R51" s="483" t="e">
        <f>IF(H51="","",SUMIFS('[1]1_group_totals'!$J$8:$J$10000,'[1]1_group_totals'!$C$8:$C$10000,C51))</f>
        <v>#VALUE!</v>
      </c>
      <c r="S51" s="483">
        <f t="shared" si="0"/>
        <v>2</v>
      </c>
      <c r="T51" s="483">
        <v>1</v>
      </c>
      <c r="U51" s="510" t="e">
        <f t="shared" si="1"/>
        <v>#VALUE!</v>
      </c>
      <c r="V51" s="510">
        <v>1</v>
      </c>
      <c r="W51" s="510">
        <v>0</v>
      </c>
      <c r="X51" s="510">
        <v>0</v>
      </c>
      <c r="Y51" s="483">
        <v>1</v>
      </c>
      <c r="Z51" s="483">
        <v>1</v>
      </c>
      <c r="AA51" s="1847" t="e">
        <f t="shared" si="2"/>
        <v>#VALUE!</v>
      </c>
      <c r="AB51" s="1847">
        <f t="shared" si="3"/>
        <v>0.22</v>
      </c>
      <c r="AC51" s="1847">
        <f t="shared" si="4"/>
        <v>0.38</v>
      </c>
      <c r="AD51" s="1847" t="e">
        <f t="shared" si="5"/>
        <v>#VALUE!</v>
      </c>
      <c r="AE51" s="1847" t="e">
        <f t="shared" si="6"/>
        <v>#VALUE!</v>
      </c>
      <c r="AF51" s="1823" t="e">
        <f t="shared" si="7"/>
        <v>#VALUE!</v>
      </c>
      <c r="AG51" s="1769" t="e">
        <f t="shared" si="8"/>
        <v>#VALUE!</v>
      </c>
      <c r="AI51" t="s">
        <v>2259</v>
      </c>
    </row>
    <row r="52" spans="3:35" ht="24.95" customHeight="1">
      <c r="C52" s="491">
        <v>45</v>
      </c>
      <c r="D52" s="1847"/>
      <c r="E52" s="1847"/>
      <c r="F52" s="1847" t="s">
        <v>2262</v>
      </c>
      <c r="G52" s="1847" t="s">
        <v>2262</v>
      </c>
      <c r="H52" s="1847" t="s">
        <v>3717</v>
      </c>
      <c r="I52" s="1847" t="s">
        <v>2258</v>
      </c>
      <c r="J52" s="1847" t="s">
        <v>2783</v>
      </c>
      <c r="K52" s="1847" t="s">
        <v>3925</v>
      </c>
      <c r="L52" s="1847" t="s">
        <v>2797</v>
      </c>
      <c r="M52" s="1847" t="s">
        <v>2252</v>
      </c>
      <c r="N52" s="1847"/>
      <c r="O52" s="1847"/>
      <c r="P52" s="1852">
        <v>0.34</v>
      </c>
      <c r="Q52" s="1852">
        <v>0.5</v>
      </c>
      <c r="R52" s="483" t="e">
        <f>IF(H52="","",SUMIFS('[1]1_group_totals'!$J$8:$J$10000,'[1]1_group_totals'!$C$8:$C$10000,C52))</f>
        <v>#VALUE!</v>
      </c>
      <c r="S52" s="483">
        <f t="shared" si="0"/>
        <v>2</v>
      </c>
      <c r="T52" s="483">
        <v>1</v>
      </c>
      <c r="U52" s="510" t="e">
        <f t="shared" si="1"/>
        <v>#VALUE!</v>
      </c>
      <c r="V52" s="510">
        <v>1</v>
      </c>
      <c r="W52" s="510">
        <v>0</v>
      </c>
      <c r="X52" s="510">
        <v>0</v>
      </c>
      <c r="Y52" s="483">
        <v>1</v>
      </c>
      <c r="Z52" s="483">
        <v>1</v>
      </c>
      <c r="AA52" s="1847" t="e">
        <f t="shared" si="2"/>
        <v>#VALUE!</v>
      </c>
      <c r="AB52" s="1847">
        <f t="shared" si="3"/>
        <v>0.34</v>
      </c>
      <c r="AC52" s="1847">
        <f t="shared" si="4"/>
        <v>0.5</v>
      </c>
      <c r="AD52" s="1847" t="e">
        <f t="shared" si="5"/>
        <v>#VALUE!</v>
      </c>
      <c r="AE52" s="1847" t="e">
        <f t="shared" si="6"/>
        <v>#VALUE!</v>
      </c>
      <c r="AF52" s="1823" t="e">
        <f t="shared" si="7"/>
        <v>#VALUE!</v>
      </c>
      <c r="AG52" s="1769" t="e">
        <f t="shared" si="8"/>
        <v>#VALUE!</v>
      </c>
      <c r="AI52" t="s">
        <v>2262</v>
      </c>
    </row>
    <row r="53" spans="3:35" ht="24.95" customHeight="1">
      <c r="C53" s="491">
        <v>46</v>
      </c>
      <c r="D53" s="1847"/>
      <c r="E53" s="1847"/>
      <c r="F53" s="1847" t="s">
        <v>2264</v>
      </c>
      <c r="G53" s="1847" t="s">
        <v>2264</v>
      </c>
      <c r="H53" s="1847" t="s">
        <v>3711</v>
      </c>
      <c r="I53" s="1847" t="s">
        <v>2260</v>
      </c>
      <c r="J53" s="1847" t="s">
        <v>2783</v>
      </c>
      <c r="K53" s="1847" t="s">
        <v>3925</v>
      </c>
      <c r="L53" s="1847" t="s">
        <v>2797</v>
      </c>
      <c r="M53" s="1847" t="s">
        <v>2261</v>
      </c>
      <c r="N53" s="1847"/>
      <c r="O53" s="1847"/>
      <c r="P53" s="1852">
        <v>0.15</v>
      </c>
      <c r="Q53" s="1852">
        <v>0.38</v>
      </c>
      <c r="R53" s="483" t="e">
        <f>IF(H53="","",SUMIFS('[1]1_group_totals'!$J$8:$J$10000,'[1]1_group_totals'!$C$8:$C$10000,C53))</f>
        <v>#VALUE!</v>
      </c>
      <c r="S53" s="483">
        <f t="shared" si="0"/>
        <v>2</v>
      </c>
      <c r="T53" s="483">
        <v>1</v>
      </c>
      <c r="U53" s="510" t="e">
        <f t="shared" si="1"/>
        <v>#VALUE!</v>
      </c>
      <c r="V53" s="510">
        <v>1</v>
      </c>
      <c r="W53" s="510">
        <v>0</v>
      </c>
      <c r="X53" s="510">
        <v>0</v>
      </c>
      <c r="Y53" s="483">
        <v>1</v>
      </c>
      <c r="Z53" s="483">
        <v>1</v>
      </c>
      <c r="AA53" s="1847" t="e">
        <f t="shared" si="2"/>
        <v>#VALUE!</v>
      </c>
      <c r="AB53" s="1847">
        <f t="shared" si="3"/>
        <v>0.15</v>
      </c>
      <c r="AC53" s="1847">
        <f t="shared" si="4"/>
        <v>0.38</v>
      </c>
      <c r="AD53" s="1847" t="e">
        <f t="shared" si="5"/>
        <v>#VALUE!</v>
      </c>
      <c r="AE53" s="1847" t="e">
        <f t="shared" si="6"/>
        <v>#VALUE!</v>
      </c>
      <c r="AF53" s="1823" t="e">
        <f t="shared" si="7"/>
        <v>#VALUE!</v>
      </c>
      <c r="AG53" s="1769" t="e">
        <f t="shared" si="8"/>
        <v>#VALUE!</v>
      </c>
      <c r="AI53" t="s">
        <v>2264</v>
      </c>
    </row>
    <row r="54" spans="3:35" ht="24.95" customHeight="1">
      <c r="C54" s="491">
        <v>47</v>
      </c>
      <c r="D54" s="1847"/>
      <c r="E54" s="1847"/>
      <c r="F54" s="1847" t="s">
        <v>2266</v>
      </c>
      <c r="G54" s="1847" t="s">
        <v>2266</v>
      </c>
      <c r="H54" s="1847" t="s">
        <v>3712</v>
      </c>
      <c r="I54" s="1847" t="s">
        <v>2263</v>
      </c>
      <c r="J54" s="1847" t="s">
        <v>2783</v>
      </c>
      <c r="K54" s="1847" t="s">
        <v>3925</v>
      </c>
      <c r="L54" s="1847" t="s">
        <v>2797</v>
      </c>
      <c r="M54" s="1847" t="s">
        <v>2261</v>
      </c>
      <c r="N54" s="1847"/>
      <c r="O54" s="1847"/>
      <c r="P54" s="1852">
        <v>0.15</v>
      </c>
      <c r="Q54" s="1852">
        <v>38</v>
      </c>
      <c r="R54" s="483" t="e">
        <f>IF(H54="","",SUMIFS('[1]1_group_totals'!$J$8:$J$10000,'[1]1_group_totals'!$C$8:$C$10000,C54))</f>
        <v>#VALUE!</v>
      </c>
      <c r="S54" s="483">
        <f t="shared" si="0"/>
        <v>2</v>
      </c>
      <c r="T54" s="483">
        <v>1</v>
      </c>
      <c r="U54" s="510" t="e">
        <f t="shared" si="1"/>
        <v>#VALUE!</v>
      </c>
      <c r="V54" s="510">
        <v>1</v>
      </c>
      <c r="W54" s="510">
        <v>0</v>
      </c>
      <c r="X54" s="510">
        <v>0</v>
      </c>
      <c r="Y54" s="483">
        <v>1</v>
      </c>
      <c r="Z54" s="483">
        <v>1</v>
      </c>
      <c r="AA54" s="1847" t="e">
        <f t="shared" si="2"/>
        <v>#VALUE!</v>
      </c>
      <c r="AB54" s="1847">
        <f t="shared" si="3"/>
        <v>0.15</v>
      </c>
      <c r="AC54" s="1847">
        <f t="shared" si="4"/>
        <v>38</v>
      </c>
      <c r="AD54" s="1847" t="e">
        <f t="shared" si="5"/>
        <v>#VALUE!</v>
      </c>
      <c r="AE54" s="1847" t="e">
        <f t="shared" si="6"/>
        <v>#VALUE!</v>
      </c>
      <c r="AF54" s="1823" t="e">
        <f t="shared" si="7"/>
        <v>#VALUE!</v>
      </c>
      <c r="AG54" s="1769" t="e">
        <f t="shared" si="8"/>
        <v>#VALUE!</v>
      </c>
      <c r="AI54" t="s">
        <v>2266</v>
      </c>
    </row>
    <row r="55" spans="3:35" ht="24.95" customHeight="1">
      <c r="C55" s="491">
        <v>48</v>
      </c>
      <c r="D55" s="1847"/>
      <c r="E55" s="1847"/>
      <c r="F55" s="1847" t="s">
        <v>2268</v>
      </c>
      <c r="G55" s="1847" t="s">
        <v>2268</v>
      </c>
      <c r="H55" s="1847" t="s">
        <v>3713</v>
      </c>
      <c r="I55" s="1847" t="s">
        <v>2265</v>
      </c>
      <c r="J55" s="1847" t="s">
        <v>2783</v>
      </c>
      <c r="K55" s="1847" t="s">
        <v>3925</v>
      </c>
      <c r="L55" s="1847" t="s">
        <v>2797</v>
      </c>
      <c r="M55" s="1847" t="s">
        <v>2261</v>
      </c>
      <c r="N55" s="1847"/>
      <c r="O55" s="1847"/>
      <c r="P55" s="1852">
        <v>0.12</v>
      </c>
      <c r="Q55" s="1852">
        <v>0.25</v>
      </c>
      <c r="R55" s="483" t="e">
        <f>IF(H55="","",SUMIFS('[1]1_group_totals'!$J$8:$J$10000,'[1]1_group_totals'!$C$8:$C$10000,C55))</f>
        <v>#VALUE!</v>
      </c>
      <c r="S55" s="483">
        <f t="shared" si="0"/>
        <v>2</v>
      </c>
      <c r="T55" s="483">
        <v>1</v>
      </c>
      <c r="U55" s="510" t="e">
        <f t="shared" si="1"/>
        <v>#VALUE!</v>
      </c>
      <c r="V55" s="510">
        <v>1</v>
      </c>
      <c r="W55" s="510">
        <v>0</v>
      </c>
      <c r="X55" s="510">
        <v>0</v>
      </c>
      <c r="Y55" s="483">
        <v>1</v>
      </c>
      <c r="Z55" s="483">
        <v>1</v>
      </c>
      <c r="AA55" s="1847" t="e">
        <f t="shared" si="2"/>
        <v>#VALUE!</v>
      </c>
      <c r="AB55" s="1847">
        <f t="shared" si="3"/>
        <v>0.12</v>
      </c>
      <c r="AC55" s="1847">
        <f t="shared" si="4"/>
        <v>0.25</v>
      </c>
      <c r="AD55" s="1847" t="e">
        <f t="shared" si="5"/>
        <v>#VALUE!</v>
      </c>
      <c r="AE55" s="1847" t="e">
        <f t="shared" si="6"/>
        <v>#VALUE!</v>
      </c>
      <c r="AF55" s="1823" t="e">
        <f t="shared" si="7"/>
        <v>#VALUE!</v>
      </c>
      <c r="AG55" s="1769" t="e">
        <f t="shared" si="8"/>
        <v>#VALUE!</v>
      </c>
      <c r="AI55" t="s">
        <v>2268</v>
      </c>
    </row>
    <row r="56" spans="3:35" ht="24.95" customHeight="1">
      <c r="C56" s="491">
        <v>49</v>
      </c>
      <c r="D56" s="1847"/>
      <c r="E56" s="1847"/>
      <c r="F56" s="1847" t="s">
        <v>2271</v>
      </c>
      <c r="G56" s="1847" t="s">
        <v>2271</v>
      </c>
      <c r="H56" s="1847" t="s">
        <v>3714</v>
      </c>
      <c r="I56" s="1847" t="s">
        <v>2267</v>
      </c>
      <c r="J56" s="1847" t="s">
        <v>2783</v>
      </c>
      <c r="K56" s="1847" t="s">
        <v>3925</v>
      </c>
      <c r="L56" s="1847" t="s">
        <v>2797</v>
      </c>
      <c r="M56" s="1847" t="s">
        <v>2261</v>
      </c>
      <c r="N56" s="1847"/>
      <c r="O56" s="1847"/>
      <c r="P56" s="1852">
        <v>0.28000000000000003</v>
      </c>
      <c r="Q56" s="1852">
        <v>0.38</v>
      </c>
      <c r="R56" s="483" t="e">
        <f>IF(H56="","",SUMIFS('[1]1_group_totals'!$J$8:$J$10000,'[1]1_group_totals'!$C$8:$C$10000,C56))</f>
        <v>#VALUE!</v>
      </c>
      <c r="S56" s="483">
        <f t="shared" si="0"/>
        <v>2</v>
      </c>
      <c r="T56" s="483">
        <v>1</v>
      </c>
      <c r="U56" s="510" t="e">
        <f t="shared" si="1"/>
        <v>#VALUE!</v>
      </c>
      <c r="V56" s="510">
        <v>1</v>
      </c>
      <c r="W56" s="510">
        <v>0</v>
      </c>
      <c r="X56" s="510">
        <v>0</v>
      </c>
      <c r="Y56" s="483">
        <v>1</v>
      </c>
      <c r="Z56" s="483">
        <v>1</v>
      </c>
      <c r="AA56" s="1847" t="e">
        <f t="shared" si="2"/>
        <v>#VALUE!</v>
      </c>
      <c r="AB56" s="1847">
        <f t="shared" si="3"/>
        <v>0.28000000000000003</v>
      </c>
      <c r="AC56" s="1847">
        <f t="shared" si="4"/>
        <v>0.38</v>
      </c>
      <c r="AD56" s="1847" t="e">
        <f t="shared" si="5"/>
        <v>#VALUE!</v>
      </c>
      <c r="AE56" s="1847" t="e">
        <f t="shared" si="6"/>
        <v>#VALUE!</v>
      </c>
      <c r="AF56" s="1823" t="e">
        <f t="shared" si="7"/>
        <v>#VALUE!</v>
      </c>
      <c r="AG56" s="1769" t="e">
        <f t="shared" si="8"/>
        <v>#VALUE!</v>
      </c>
      <c r="AI56" t="s">
        <v>2271</v>
      </c>
    </row>
    <row r="57" spans="3:35" ht="24.95" customHeight="1">
      <c r="C57" s="491">
        <v>50</v>
      </c>
      <c r="D57" s="1847"/>
      <c r="E57" s="1847"/>
      <c r="F57" s="1847" t="s">
        <v>2274</v>
      </c>
      <c r="G57" s="1847" t="s">
        <v>2274</v>
      </c>
      <c r="H57" s="1847" t="s">
        <v>3439</v>
      </c>
      <c r="I57" s="1847" t="s">
        <v>2269</v>
      </c>
      <c r="J57" s="1847" t="s">
        <v>2783</v>
      </c>
      <c r="K57" s="1847" t="s">
        <v>3925</v>
      </c>
      <c r="L57" s="1847" t="s">
        <v>2797</v>
      </c>
      <c r="M57" s="1847" t="s">
        <v>2270</v>
      </c>
      <c r="N57" s="1847"/>
      <c r="O57" s="1847"/>
      <c r="P57" s="1852">
        <v>0.123</v>
      </c>
      <c r="Q57" s="1852">
        <v>0.25</v>
      </c>
      <c r="R57" s="483" t="e">
        <f>IF(H57="","",SUMIFS('[1]1_group_totals'!$J$8:$J$10000,'[1]1_group_totals'!$C$8:$C$10000,C57))</f>
        <v>#VALUE!</v>
      </c>
      <c r="S57" s="483">
        <f t="shared" si="0"/>
        <v>2</v>
      </c>
      <c r="T57" s="483">
        <v>1</v>
      </c>
      <c r="U57" s="510" t="e">
        <f t="shared" si="1"/>
        <v>#VALUE!</v>
      </c>
      <c r="V57" s="510">
        <v>1</v>
      </c>
      <c r="W57" s="510">
        <v>0</v>
      </c>
      <c r="X57" s="510">
        <v>0</v>
      </c>
      <c r="Y57" s="483">
        <v>1</v>
      </c>
      <c r="Z57" s="483">
        <v>1</v>
      </c>
      <c r="AA57" s="1847" t="e">
        <f t="shared" si="2"/>
        <v>#VALUE!</v>
      </c>
      <c r="AB57" s="1847">
        <f t="shared" si="3"/>
        <v>0.123</v>
      </c>
      <c r="AC57" s="1847">
        <f t="shared" si="4"/>
        <v>0.25</v>
      </c>
      <c r="AD57" s="1847" t="e">
        <f t="shared" si="5"/>
        <v>#VALUE!</v>
      </c>
      <c r="AE57" s="1847" t="e">
        <f t="shared" si="6"/>
        <v>#VALUE!</v>
      </c>
      <c r="AF57" s="1823" t="e">
        <f t="shared" si="7"/>
        <v>#VALUE!</v>
      </c>
      <c r="AG57" s="1769" t="e">
        <f t="shared" si="8"/>
        <v>#VALUE!</v>
      </c>
      <c r="AI57" t="s">
        <v>2274</v>
      </c>
    </row>
    <row r="58" spans="3:35" ht="24.95" customHeight="1">
      <c r="C58" s="491">
        <v>51</v>
      </c>
      <c r="D58" s="1847"/>
      <c r="E58" s="1847"/>
      <c r="F58" s="1847" t="s">
        <v>2277</v>
      </c>
      <c r="G58" s="1847" t="s">
        <v>2277</v>
      </c>
      <c r="H58" s="1847" t="s">
        <v>2272</v>
      </c>
      <c r="I58" s="1847" t="s">
        <v>2272</v>
      </c>
      <c r="J58" s="1847" t="s">
        <v>2783</v>
      </c>
      <c r="K58" s="1847" t="s">
        <v>3925</v>
      </c>
      <c r="L58" s="1847" t="s">
        <v>2797</v>
      </c>
      <c r="M58" s="1847" t="s">
        <v>2273</v>
      </c>
      <c r="N58" s="1847"/>
      <c r="O58" s="1847"/>
      <c r="P58" s="1852">
        <v>4.4859999999999998</v>
      </c>
      <c r="Q58" s="1852">
        <v>5</v>
      </c>
      <c r="R58" s="483" t="e">
        <f>IF(H58="","",SUMIFS('[1]1_group_totals'!$J$8:$J$10000,'[1]1_group_totals'!$C$8:$C$10000,C58))</f>
        <v>#VALUE!</v>
      </c>
      <c r="S58" s="483">
        <f t="shared" si="0"/>
        <v>2</v>
      </c>
      <c r="T58" s="483">
        <v>1</v>
      </c>
      <c r="U58" s="510" t="e">
        <f t="shared" si="1"/>
        <v>#VALUE!</v>
      </c>
      <c r="V58" s="510">
        <v>1</v>
      </c>
      <c r="W58" s="510">
        <v>0</v>
      </c>
      <c r="X58" s="510">
        <v>0</v>
      </c>
      <c r="Y58" s="483">
        <v>1</v>
      </c>
      <c r="Z58" s="483">
        <v>1</v>
      </c>
      <c r="AA58" s="1847" t="e">
        <f t="shared" si="2"/>
        <v>#VALUE!</v>
      </c>
      <c r="AB58" s="1847">
        <f t="shared" si="3"/>
        <v>4.4859999999999998</v>
      </c>
      <c r="AC58" s="1847">
        <f t="shared" si="4"/>
        <v>5</v>
      </c>
      <c r="AD58" s="1847" t="e">
        <f t="shared" si="5"/>
        <v>#VALUE!</v>
      </c>
      <c r="AE58" s="1847" t="e">
        <f t="shared" si="6"/>
        <v>#VALUE!</v>
      </c>
      <c r="AF58" s="1823" t="e">
        <f t="shared" si="7"/>
        <v>#VALUE!</v>
      </c>
      <c r="AG58" s="1769" t="e">
        <f t="shared" si="8"/>
        <v>#VALUE!</v>
      </c>
      <c r="AI58" t="s">
        <v>2277</v>
      </c>
    </row>
    <row r="59" spans="3:35" ht="24.95" customHeight="1">
      <c r="C59" s="491">
        <v>52</v>
      </c>
      <c r="D59" s="1847"/>
      <c r="E59" s="1847"/>
      <c r="F59" s="1847" t="s">
        <v>2280</v>
      </c>
      <c r="G59" s="1847" t="s">
        <v>2280</v>
      </c>
      <c r="H59" s="1847" t="s">
        <v>3476</v>
      </c>
      <c r="I59" s="1847" t="s">
        <v>2275</v>
      </c>
      <c r="J59" s="1847" t="s">
        <v>2783</v>
      </c>
      <c r="K59" s="1847" t="s">
        <v>3925</v>
      </c>
      <c r="L59" s="1847" t="s">
        <v>2797</v>
      </c>
      <c r="M59" s="1847" t="s">
        <v>2276</v>
      </c>
      <c r="N59" s="1847"/>
      <c r="O59" s="1847"/>
      <c r="P59" s="1852">
        <v>1.91</v>
      </c>
      <c r="Q59" s="1852">
        <v>2.5</v>
      </c>
      <c r="R59" s="483" t="e">
        <f>IF(H59="","",SUMIFS('[1]1_group_totals'!$J$8:$J$10000,'[1]1_group_totals'!$C$8:$C$10000,C59))</f>
        <v>#VALUE!</v>
      </c>
      <c r="S59" s="483">
        <f t="shared" si="0"/>
        <v>2</v>
      </c>
      <c r="T59" s="483">
        <v>1</v>
      </c>
      <c r="U59" s="510" t="e">
        <f t="shared" si="1"/>
        <v>#VALUE!</v>
      </c>
      <c r="V59" s="510">
        <v>1</v>
      </c>
      <c r="W59" s="510">
        <v>0</v>
      </c>
      <c r="X59" s="510">
        <v>0</v>
      </c>
      <c r="Y59" s="483">
        <v>1</v>
      </c>
      <c r="Z59" s="483">
        <v>1</v>
      </c>
      <c r="AA59" s="1847" t="e">
        <f t="shared" si="2"/>
        <v>#VALUE!</v>
      </c>
      <c r="AB59" s="1847">
        <f t="shared" si="3"/>
        <v>1.91</v>
      </c>
      <c r="AC59" s="1847">
        <f t="shared" si="4"/>
        <v>2.5</v>
      </c>
      <c r="AD59" s="1847" t="e">
        <f t="shared" si="5"/>
        <v>#VALUE!</v>
      </c>
      <c r="AE59" s="1847" t="e">
        <f t="shared" si="6"/>
        <v>#VALUE!</v>
      </c>
      <c r="AF59" s="1823" t="e">
        <f t="shared" si="7"/>
        <v>#VALUE!</v>
      </c>
      <c r="AG59" s="1769" t="e">
        <f t="shared" si="8"/>
        <v>#VALUE!</v>
      </c>
      <c r="AI59" t="s">
        <v>2280</v>
      </c>
    </row>
    <row r="60" spans="3:35" ht="24.95" customHeight="1">
      <c r="C60" s="491">
        <v>53</v>
      </c>
      <c r="D60" s="1847"/>
      <c r="E60" s="1847"/>
      <c r="F60" s="1847" t="s">
        <v>2283</v>
      </c>
      <c r="G60" s="1847" t="s">
        <v>2283</v>
      </c>
      <c r="H60" s="1847" t="s">
        <v>3477</v>
      </c>
      <c r="I60" s="1847" t="s">
        <v>2278</v>
      </c>
      <c r="J60" s="1847" t="s">
        <v>2783</v>
      </c>
      <c r="K60" s="1847" t="s">
        <v>3925</v>
      </c>
      <c r="L60" s="1847" t="s">
        <v>2797</v>
      </c>
      <c r="M60" s="1847" t="s">
        <v>2279</v>
      </c>
      <c r="N60" s="1847"/>
      <c r="O60" s="1847"/>
      <c r="P60" s="1852">
        <v>0.95099999999999996</v>
      </c>
      <c r="Q60" s="1852">
        <v>1.5</v>
      </c>
      <c r="R60" s="483" t="e">
        <f>IF(H60="","",SUMIFS('[1]1_group_totals'!$J$8:$J$10000,'[1]1_group_totals'!$C$8:$C$10000,C60))</f>
        <v>#VALUE!</v>
      </c>
      <c r="S60" s="483">
        <f t="shared" si="0"/>
        <v>2</v>
      </c>
      <c r="T60" s="483">
        <v>1</v>
      </c>
      <c r="U60" s="510" t="e">
        <f t="shared" si="1"/>
        <v>#VALUE!</v>
      </c>
      <c r="V60" s="510">
        <v>1</v>
      </c>
      <c r="W60" s="510">
        <v>0</v>
      </c>
      <c r="X60" s="510">
        <v>0</v>
      </c>
      <c r="Y60" s="483">
        <v>1</v>
      </c>
      <c r="Z60" s="483">
        <v>1</v>
      </c>
      <c r="AA60" s="1847" t="e">
        <f t="shared" si="2"/>
        <v>#VALUE!</v>
      </c>
      <c r="AB60" s="1847">
        <f t="shared" si="3"/>
        <v>0.95099999999999996</v>
      </c>
      <c r="AC60" s="1847">
        <f t="shared" si="4"/>
        <v>1.5</v>
      </c>
      <c r="AD60" s="1847" t="e">
        <f t="shared" si="5"/>
        <v>#VALUE!</v>
      </c>
      <c r="AE60" s="1847" t="e">
        <f t="shared" si="6"/>
        <v>#VALUE!</v>
      </c>
      <c r="AF60" s="1823" t="e">
        <f t="shared" si="7"/>
        <v>#VALUE!</v>
      </c>
      <c r="AG60" s="1769" t="e">
        <f t="shared" si="8"/>
        <v>#VALUE!</v>
      </c>
      <c r="AI60" t="s">
        <v>2283</v>
      </c>
    </row>
    <row r="61" spans="3:35" ht="24.95" customHeight="1">
      <c r="C61" s="491">
        <v>54</v>
      </c>
      <c r="D61" s="1847"/>
      <c r="E61" s="1847"/>
      <c r="F61" s="1847" t="s">
        <v>2285</v>
      </c>
      <c r="G61" s="1847" t="s">
        <v>2285</v>
      </c>
      <c r="H61" s="1847" t="s">
        <v>3479</v>
      </c>
      <c r="I61" s="1847" t="s">
        <v>2281</v>
      </c>
      <c r="J61" s="1847" t="s">
        <v>2783</v>
      </c>
      <c r="K61" s="1847" t="s">
        <v>3925</v>
      </c>
      <c r="L61" s="1847" t="s">
        <v>2797</v>
      </c>
      <c r="M61" s="1847" t="s">
        <v>2282</v>
      </c>
      <c r="N61" s="1847"/>
      <c r="O61" s="1847"/>
      <c r="P61" s="1852">
        <v>2.1240000000000001</v>
      </c>
      <c r="Q61" s="1852">
        <v>2.5</v>
      </c>
      <c r="R61" s="483" t="e">
        <f>IF(H61="","",SUMIFS('[1]1_group_totals'!$J$8:$J$10000,'[1]1_group_totals'!$C$8:$C$10000,C61))</f>
        <v>#VALUE!</v>
      </c>
      <c r="S61" s="483">
        <f t="shared" si="0"/>
        <v>2</v>
      </c>
      <c r="T61" s="483">
        <v>1</v>
      </c>
      <c r="U61" s="510" t="e">
        <f t="shared" si="1"/>
        <v>#VALUE!</v>
      </c>
      <c r="V61" s="510">
        <v>1</v>
      </c>
      <c r="W61" s="510">
        <v>0</v>
      </c>
      <c r="X61" s="510">
        <v>0</v>
      </c>
      <c r="Y61" s="483">
        <v>1</v>
      </c>
      <c r="Z61" s="483">
        <v>1</v>
      </c>
      <c r="AA61" s="1847" t="e">
        <f t="shared" si="2"/>
        <v>#VALUE!</v>
      </c>
      <c r="AB61" s="1847">
        <f t="shared" si="3"/>
        <v>2.1240000000000001</v>
      </c>
      <c r="AC61" s="1847">
        <f t="shared" si="4"/>
        <v>2.5</v>
      </c>
      <c r="AD61" s="1847" t="e">
        <f t="shared" si="5"/>
        <v>#VALUE!</v>
      </c>
      <c r="AE61" s="1847" t="e">
        <f t="shared" si="6"/>
        <v>#VALUE!</v>
      </c>
      <c r="AF61" s="1823" t="e">
        <f t="shared" si="7"/>
        <v>#VALUE!</v>
      </c>
      <c r="AG61" s="1769" t="e">
        <f t="shared" si="8"/>
        <v>#VALUE!</v>
      </c>
      <c r="AI61" t="s">
        <v>2285</v>
      </c>
    </row>
    <row r="62" spans="3:35" ht="24.95" customHeight="1">
      <c r="C62" s="491">
        <v>55</v>
      </c>
      <c r="D62" s="1847"/>
      <c r="E62" s="1847"/>
      <c r="F62" s="1847" t="s">
        <v>2287</v>
      </c>
      <c r="G62" s="1847" t="s">
        <v>2287</v>
      </c>
      <c r="H62" s="1847" t="s">
        <v>3478</v>
      </c>
      <c r="I62" s="1847" t="s">
        <v>2284</v>
      </c>
      <c r="J62" s="1847" t="s">
        <v>2783</v>
      </c>
      <c r="K62" s="1847" t="s">
        <v>3925</v>
      </c>
      <c r="L62" s="1847" t="s">
        <v>2797</v>
      </c>
      <c r="M62" s="1847" t="s">
        <v>2276</v>
      </c>
      <c r="N62" s="1847"/>
      <c r="O62" s="1847"/>
      <c r="P62" s="1852">
        <v>1.077</v>
      </c>
      <c r="Q62" s="1852">
        <v>1.5</v>
      </c>
      <c r="R62" s="483" t="e">
        <f>IF(H62="","",SUMIFS('[1]1_group_totals'!$J$8:$J$10000,'[1]1_group_totals'!$C$8:$C$10000,C62))</f>
        <v>#VALUE!</v>
      </c>
      <c r="S62" s="483">
        <f t="shared" si="0"/>
        <v>2</v>
      </c>
      <c r="T62" s="483">
        <v>1</v>
      </c>
      <c r="U62" s="510" t="e">
        <f t="shared" si="1"/>
        <v>#VALUE!</v>
      </c>
      <c r="V62" s="510">
        <v>1</v>
      </c>
      <c r="W62" s="510">
        <v>0</v>
      </c>
      <c r="X62" s="510">
        <v>0</v>
      </c>
      <c r="Y62" s="483">
        <v>1</v>
      </c>
      <c r="Z62" s="483">
        <v>1</v>
      </c>
      <c r="AA62" s="1847" t="e">
        <f t="shared" si="2"/>
        <v>#VALUE!</v>
      </c>
      <c r="AB62" s="1847">
        <f t="shared" si="3"/>
        <v>1.077</v>
      </c>
      <c r="AC62" s="1847">
        <f t="shared" si="4"/>
        <v>1.5</v>
      </c>
      <c r="AD62" s="1847" t="e">
        <f t="shared" si="5"/>
        <v>#VALUE!</v>
      </c>
      <c r="AE62" s="1847" t="e">
        <f t="shared" si="6"/>
        <v>#VALUE!</v>
      </c>
      <c r="AF62" s="1823" t="e">
        <f t="shared" si="7"/>
        <v>#VALUE!</v>
      </c>
      <c r="AG62" s="1769" t="e">
        <f t="shared" si="8"/>
        <v>#VALUE!</v>
      </c>
      <c r="AI62" t="s">
        <v>2287</v>
      </c>
    </row>
    <row r="63" spans="3:35" ht="24.95" customHeight="1">
      <c r="C63" s="491">
        <v>56</v>
      </c>
      <c r="D63" s="1847"/>
      <c r="E63" s="1847"/>
      <c r="F63" s="1847" t="s">
        <v>2289</v>
      </c>
      <c r="G63" s="1847" t="s">
        <v>2289</v>
      </c>
      <c r="H63" s="1847" t="s">
        <v>3480</v>
      </c>
      <c r="I63" s="1847" t="s">
        <v>2286</v>
      </c>
      <c r="J63" s="1847" t="s">
        <v>2783</v>
      </c>
      <c r="K63" s="1847" t="s">
        <v>3925</v>
      </c>
      <c r="L63" s="1847" t="s">
        <v>2797</v>
      </c>
      <c r="M63" s="1847" t="s">
        <v>2279</v>
      </c>
      <c r="N63" s="1847"/>
      <c r="O63" s="1847"/>
      <c r="P63" s="1852">
        <v>0.55000000000000004</v>
      </c>
      <c r="Q63" s="1852">
        <v>0.75</v>
      </c>
      <c r="R63" s="483" t="e">
        <f>IF(H63="","",SUMIFS('[1]1_group_totals'!$J$8:$J$10000,'[1]1_group_totals'!$C$8:$C$10000,C63))</f>
        <v>#VALUE!</v>
      </c>
      <c r="S63" s="483">
        <f t="shared" si="0"/>
        <v>2</v>
      </c>
      <c r="T63" s="483">
        <v>1</v>
      </c>
      <c r="U63" s="510" t="e">
        <f t="shared" si="1"/>
        <v>#VALUE!</v>
      </c>
      <c r="V63" s="510">
        <v>1</v>
      </c>
      <c r="W63" s="510">
        <v>0</v>
      </c>
      <c r="X63" s="510">
        <v>0</v>
      </c>
      <c r="Y63" s="483">
        <v>1</v>
      </c>
      <c r="Z63" s="483">
        <v>1</v>
      </c>
      <c r="AA63" s="1847" t="e">
        <f t="shared" si="2"/>
        <v>#VALUE!</v>
      </c>
      <c r="AB63" s="1847">
        <f t="shared" si="3"/>
        <v>0.55000000000000004</v>
      </c>
      <c r="AC63" s="1847">
        <f t="shared" si="4"/>
        <v>0.75</v>
      </c>
      <c r="AD63" s="1847" t="e">
        <f t="shared" si="5"/>
        <v>#VALUE!</v>
      </c>
      <c r="AE63" s="1847" t="e">
        <f t="shared" si="6"/>
        <v>#VALUE!</v>
      </c>
      <c r="AF63" s="1823" t="e">
        <f t="shared" si="7"/>
        <v>#VALUE!</v>
      </c>
      <c r="AG63" s="1769" t="e">
        <f t="shared" si="8"/>
        <v>#VALUE!</v>
      </c>
      <c r="AI63" t="s">
        <v>2289</v>
      </c>
    </row>
    <row r="64" spans="3:35" ht="24.95" customHeight="1">
      <c r="C64" s="491">
        <v>57</v>
      </c>
      <c r="D64" s="1847"/>
      <c r="E64" s="1847"/>
      <c r="F64" s="1847" t="s">
        <v>2291</v>
      </c>
      <c r="G64" s="1847" t="s">
        <v>2291</v>
      </c>
      <c r="H64" s="1847" t="s">
        <v>3481</v>
      </c>
      <c r="I64" s="1847" t="s">
        <v>2288</v>
      </c>
      <c r="J64" s="1847" t="s">
        <v>2783</v>
      </c>
      <c r="K64" s="1847" t="s">
        <v>3925</v>
      </c>
      <c r="L64" s="1847" t="s">
        <v>2797</v>
      </c>
      <c r="M64" s="1847" t="s">
        <v>2217</v>
      </c>
      <c r="N64" s="1847"/>
      <c r="O64" s="1847"/>
      <c r="P64" s="1852">
        <v>7.44</v>
      </c>
      <c r="Q64" s="1852">
        <v>8</v>
      </c>
      <c r="R64" s="483" t="e">
        <f>IF(H64="","",SUMIFS('[1]1_group_totals'!$J$8:$J$10000,'[1]1_group_totals'!$C$8:$C$10000,C64))</f>
        <v>#VALUE!</v>
      </c>
      <c r="S64" s="483">
        <f t="shared" si="0"/>
        <v>2</v>
      </c>
      <c r="T64" s="483">
        <v>1</v>
      </c>
      <c r="U64" s="510" t="e">
        <f t="shared" si="1"/>
        <v>#VALUE!</v>
      </c>
      <c r="V64" s="510">
        <v>1</v>
      </c>
      <c r="W64" s="510">
        <v>0</v>
      </c>
      <c r="X64" s="510">
        <v>0</v>
      </c>
      <c r="Y64" s="483">
        <v>1</v>
      </c>
      <c r="Z64" s="483">
        <v>1</v>
      </c>
      <c r="AA64" s="1847" t="e">
        <f t="shared" si="2"/>
        <v>#VALUE!</v>
      </c>
      <c r="AB64" s="1847">
        <f t="shared" si="3"/>
        <v>7.44</v>
      </c>
      <c r="AC64" s="1847">
        <f t="shared" si="4"/>
        <v>8</v>
      </c>
      <c r="AD64" s="1847" t="e">
        <f t="shared" si="5"/>
        <v>#VALUE!</v>
      </c>
      <c r="AE64" s="1847" t="e">
        <f t="shared" si="6"/>
        <v>#VALUE!</v>
      </c>
      <c r="AF64" s="1823" t="e">
        <f t="shared" si="7"/>
        <v>#VALUE!</v>
      </c>
      <c r="AG64" s="1769" t="e">
        <f t="shared" si="8"/>
        <v>#VALUE!</v>
      </c>
      <c r="AI64" t="s">
        <v>2291</v>
      </c>
    </row>
    <row r="65" spans="3:35" ht="24.95" customHeight="1">
      <c r="C65" s="491">
        <v>58</v>
      </c>
      <c r="D65" s="1847"/>
      <c r="E65" s="1847"/>
      <c r="F65" s="1847" t="s">
        <v>2293</v>
      </c>
      <c r="G65" s="1847" t="s">
        <v>2293</v>
      </c>
      <c r="H65" s="1847" t="s">
        <v>3482</v>
      </c>
      <c r="I65" s="1847" t="s">
        <v>2290</v>
      </c>
      <c r="J65" s="1847" t="s">
        <v>2783</v>
      </c>
      <c r="K65" s="1847" t="s">
        <v>3925</v>
      </c>
      <c r="L65" s="1847" t="s">
        <v>2797</v>
      </c>
      <c r="M65" s="1847" t="s">
        <v>2225</v>
      </c>
      <c r="N65" s="1847"/>
      <c r="O65" s="1847"/>
      <c r="P65" s="1852">
        <v>3.9729999999999999</v>
      </c>
      <c r="Q65" s="1852">
        <v>4.5</v>
      </c>
      <c r="R65" s="483" t="e">
        <f>IF(H65="","",SUMIFS('[1]1_group_totals'!$J$8:$J$10000,'[1]1_group_totals'!$C$8:$C$10000,C65))</f>
        <v>#VALUE!</v>
      </c>
      <c r="S65" s="483">
        <f t="shared" si="0"/>
        <v>2</v>
      </c>
      <c r="T65" s="483">
        <v>1</v>
      </c>
      <c r="U65" s="510" t="e">
        <f t="shared" si="1"/>
        <v>#VALUE!</v>
      </c>
      <c r="V65" s="510">
        <v>1</v>
      </c>
      <c r="W65" s="510">
        <v>0</v>
      </c>
      <c r="X65" s="510">
        <v>0</v>
      </c>
      <c r="Y65" s="483">
        <v>1</v>
      </c>
      <c r="Z65" s="483">
        <v>1</v>
      </c>
      <c r="AA65" s="1847" t="e">
        <f t="shared" si="2"/>
        <v>#VALUE!</v>
      </c>
      <c r="AB65" s="1847">
        <f t="shared" si="3"/>
        <v>3.9729999999999999</v>
      </c>
      <c r="AC65" s="1847">
        <f t="shared" si="4"/>
        <v>4.5</v>
      </c>
      <c r="AD65" s="1847" t="e">
        <f t="shared" si="5"/>
        <v>#VALUE!</v>
      </c>
      <c r="AE65" s="1847" t="e">
        <f t="shared" si="6"/>
        <v>#VALUE!</v>
      </c>
      <c r="AF65" s="1823" t="e">
        <f t="shared" si="7"/>
        <v>#VALUE!</v>
      </c>
      <c r="AG65" s="1769" t="e">
        <f t="shared" si="8"/>
        <v>#VALUE!</v>
      </c>
      <c r="AI65" t="s">
        <v>2293</v>
      </c>
    </row>
    <row r="66" spans="3:35" ht="24.95" customHeight="1">
      <c r="C66" s="491">
        <v>59</v>
      </c>
      <c r="D66" s="1847"/>
      <c r="E66" s="1847"/>
      <c r="F66" s="1847" t="s">
        <v>2295</v>
      </c>
      <c r="G66" s="1847" t="s">
        <v>2295</v>
      </c>
      <c r="H66" s="1847" t="s">
        <v>3483</v>
      </c>
      <c r="I66" s="1847" t="s">
        <v>2292</v>
      </c>
      <c r="J66" s="1847" t="s">
        <v>2783</v>
      </c>
      <c r="K66" s="1847" t="s">
        <v>3925</v>
      </c>
      <c r="L66" s="1847" t="s">
        <v>2797</v>
      </c>
      <c r="M66" s="1847" t="s">
        <v>2234</v>
      </c>
      <c r="N66" s="1847"/>
      <c r="O66" s="1847"/>
      <c r="P66" s="1852">
        <v>1.4450000000000001</v>
      </c>
      <c r="Q66" s="1852">
        <v>2</v>
      </c>
      <c r="R66" s="483" t="e">
        <f>IF(H66="","",SUMIFS('[1]1_group_totals'!$J$8:$J$10000,'[1]1_group_totals'!$C$8:$C$10000,C66))</f>
        <v>#VALUE!</v>
      </c>
      <c r="S66" s="483">
        <f t="shared" si="0"/>
        <v>2</v>
      </c>
      <c r="T66" s="483">
        <v>1</v>
      </c>
      <c r="U66" s="510" t="e">
        <f t="shared" si="1"/>
        <v>#VALUE!</v>
      </c>
      <c r="V66" s="510">
        <v>1</v>
      </c>
      <c r="W66" s="510">
        <v>0</v>
      </c>
      <c r="X66" s="510">
        <v>0</v>
      </c>
      <c r="Y66" s="483">
        <v>1</v>
      </c>
      <c r="Z66" s="483">
        <v>1</v>
      </c>
      <c r="AA66" s="1847" t="e">
        <f t="shared" si="2"/>
        <v>#VALUE!</v>
      </c>
      <c r="AB66" s="1847">
        <f t="shared" si="3"/>
        <v>1.4450000000000001</v>
      </c>
      <c r="AC66" s="1847">
        <f t="shared" si="4"/>
        <v>2</v>
      </c>
      <c r="AD66" s="1847" t="e">
        <f t="shared" si="5"/>
        <v>#VALUE!</v>
      </c>
      <c r="AE66" s="1847" t="e">
        <f t="shared" si="6"/>
        <v>#VALUE!</v>
      </c>
      <c r="AF66" s="1823" t="e">
        <f t="shared" si="7"/>
        <v>#VALUE!</v>
      </c>
      <c r="AG66" s="1769" t="e">
        <f t="shared" si="8"/>
        <v>#VALUE!</v>
      </c>
      <c r="AI66" t="s">
        <v>2295</v>
      </c>
    </row>
    <row r="67" spans="3:35" ht="24.95" customHeight="1">
      <c r="C67" s="491">
        <v>60</v>
      </c>
      <c r="D67" s="1847"/>
      <c r="E67" s="1847"/>
      <c r="F67" s="1847" t="s">
        <v>2298</v>
      </c>
      <c r="G67" s="1847" t="s">
        <v>2298</v>
      </c>
      <c r="H67" s="1847" t="s">
        <v>3484</v>
      </c>
      <c r="I67" s="1847" t="s">
        <v>2294</v>
      </c>
      <c r="J67" s="1847" t="s">
        <v>2783</v>
      </c>
      <c r="K67" s="1847" t="s">
        <v>3925</v>
      </c>
      <c r="L67" s="1847" t="s">
        <v>2797</v>
      </c>
      <c r="M67" s="1847" t="s">
        <v>2282</v>
      </c>
      <c r="N67" s="1847"/>
      <c r="O67" s="1847"/>
      <c r="P67" s="1852">
        <v>7.7779999999999996</v>
      </c>
      <c r="Q67" s="1852">
        <v>8</v>
      </c>
      <c r="R67" s="483" t="e">
        <f>IF(H67="","",SUMIFS('[1]1_group_totals'!$J$8:$J$10000,'[1]1_group_totals'!$C$8:$C$10000,C67))</f>
        <v>#VALUE!</v>
      </c>
      <c r="S67" s="483">
        <f t="shared" si="0"/>
        <v>2</v>
      </c>
      <c r="T67" s="483">
        <v>1</v>
      </c>
      <c r="U67" s="510" t="e">
        <f t="shared" si="1"/>
        <v>#VALUE!</v>
      </c>
      <c r="V67" s="510">
        <v>1</v>
      </c>
      <c r="W67" s="510">
        <v>0</v>
      </c>
      <c r="X67" s="510">
        <v>0</v>
      </c>
      <c r="Y67" s="483">
        <v>1</v>
      </c>
      <c r="Z67" s="483">
        <v>1</v>
      </c>
      <c r="AA67" s="1847" t="e">
        <f t="shared" si="2"/>
        <v>#VALUE!</v>
      </c>
      <c r="AB67" s="1847">
        <f t="shared" si="3"/>
        <v>7.7779999999999996</v>
      </c>
      <c r="AC67" s="1847">
        <f t="shared" si="4"/>
        <v>8</v>
      </c>
      <c r="AD67" s="1847" t="e">
        <f t="shared" si="5"/>
        <v>#VALUE!</v>
      </c>
      <c r="AE67" s="1847" t="e">
        <f t="shared" si="6"/>
        <v>#VALUE!</v>
      </c>
      <c r="AF67" s="1823" t="e">
        <f t="shared" si="7"/>
        <v>#VALUE!</v>
      </c>
      <c r="AG67" s="1769" t="e">
        <f t="shared" si="8"/>
        <v>#VALUE!</v>
      </c>
      <c r="AI67" t="s">
        <v>2298</v>
      </c>
    </row>
    <row r="68" spans="3:35" ht="24.95" customHeight="1">
      <c r="C68" s="491">
        <v>61</v>
      </c>
      <c r="D68" s="1847"/>
      <c r="E68" s="1847"/>
      <c r="F68" s="1847" t="s">
        <v>2301</v>
      </c>
      <c r="G68" s="1847" t="s">
        <v>2301</v>
      </c>
      <c r="H68" s="1847" t="s">
        <v>3485</v>
      </c>
      <c r="I68" s="1847" t="s">
        <v>2296</v>
      </c>
      <c r="J68" s="1847" t="s">
        <v>2783</v>
      </c>
      <c r="K68" s="1847" t="s">
        <v>3925</v>
      </c>
      <c r="L68" s="1847" t="s">
        <v>2797</v>
      </c>
      <c r="M68" s="1847" t="s">
        <v>2297</v>
      </c>
      <c r="N68" s="1847"/>
      <c r="O68" s="1847"/>
      <c r="P68" s="1852">
        <v>6.4080000000000004</v>
      </c>
      <c r="Q68" s="1852">
        <v>7</v>
      </c>
      <c r="R68" s="483" t="e">
        <f>IF(H68="","",SUMIFS('[1]1_group_totals'!$J$8:$J$10000,'[1]1_group_totals'!$C$8:$C$10000,C68))</f>
        <v>#VALUE!</v>
      </c>
      <c r="S68" s="483">
        <f t="shared" si="0"/>
        <v>2</v>
      </c>
      <c r="T68" s="483">
        <v>1</v>
      </c>
      <c r="U68" s="510" t="e">
        <f t="shared" si="1"/>
        <v>#VALUE!</v>
      </c>
      <c r="V68" s="510">
        <v>1</v>
      </c>
      <c r="W68" s="510">
        <v>0</v>
      </c>
      <c r="X68" s="510">
        <v>0</v>
      </c>
      <c r="Y68" s="483">
        <v>1</v>
      </c>
      <c r="Z68" s="483">
        <v>1</v>
      </c>
      <c r="AA68" s="1847" t="e">
        <f t="shared" si="2"/>
        <v>#VALUE!</v>
      </c>
      <c r="AB68" s="1847">
        <f t="shared" si="3"/>
        <v>6.4080000000000004</v>
      </c>
      <c r="AC68" s="1847">
        <f t="shared" si="4"/>
        <v>7</v>
      </c>
      <c r="AD68" s="1847" t="e">
        <f t="shared" si="5"/>
        <v>#VALUE!</v>
      </c>
      <c r="AE68" s="1847" t="e">
        <f t="shared" si="6"/>
        <v>#VALUE!</v>
      </c>
      <c r="AF68" s="1823" t="e">
        <f t="shared" si="7"/>
        <v>#VALUE!</v>
      </c>
      <c r="AG68" s="1769" t="e">
        <f t="shared" si="8"/>
        <v>#VALUE!</v>
      </c>
      <c r="AI68" t="s">
        <v>2301</v>
      </c>
    </row>
    <row r="69" spans="3:35" ht="24.95" customHeight="1">
      <c r="C69" s="491">
        <v>62</v>
      </c>
      <c r="D69" s="1847"/>
      <c r="E69" s="1847"/>
      <c r="F69" s="1847" t="s">
        <v>2304</v>
      </c>
      <c r="G69" s="1847" t="s">
        <v>2304</v>
      </c>
      <c r="H69" s="1847" t="s">
        <v>3486</v>
      </c>
      <c r="I69" s="1847" t="s">
        <v>2299</v>
      </c>
      <c r="J69" s="1847" t="s">
        <v>2783</v>
      </c>
      <c r="K69" s="1847" t="s">
        <v>3925</v>
      </c>
      <c r="L69" s="1847" t="s">
        <v>2797</v>
      </c>
      <c r="M69" s="1847" t="s">
        <v>2300</v>
      </c>
      <c r="N69" s="1847"/>
      <c r="O69" s="1847"/>
      <c r="P69" s="1852">
        <v>4.327</v>
      </c>
      <c r="Q69" s="1852">
        <v>5</v>
      </c>
      <c r="R69" s="483" t="e">
        <f>IF(H69="","",SUMIFS('[1]1_group_totals'!$J$8:$J$10000,'[1]1_group_totals'!$C$8:$C$10000,C69))</f>
        <v>#VALUE!</v>
      </c>
      <c r="S69" s="483">
        <f t="shared" si="0"/>
        <v>2</v>
      </c>
      <c r="T69" s="483">
        <v>1</v>
      </c>
      <c r="U69" s="510" t="e">
        <f t="shared" si="1"/>
        <v>#VALUE!</v>
      </c>
      <c r="V69" s="510">
        <v>1</v>
      </c>
      <c r="W69" s="510">
        <v>0</v>
      </c>
      <c r="X69" s="510">
        <v>0</v>
      </c>
      <c r="Y69" s="483">
        <v>1</v>
      </c>
      <c r="Z69" s="483">
        <v>1</v>
      </c>
      <c r="AA69" s="1847" t="e">
        <f t="shared" si="2"/>
        <v>#VALUE!</v>
      </c>
      <c r="AB69" s="1847">
        <f t="shared" si="3"/>
        <v>4.327</v>
      </c>
      <c r="AC69" s="1847">
        <f t="shared" si="4"/>
        <v>5</v>
      </c>
      <c r="AD69" s="1847" t="e">
        <f t="shared" si="5"/>
        <v>#VALUE!</v>
      </c>
      <c r="AE69" s="1847" t="e">
        <f t="shared" si="6"/>
        <v>#VALUE!</v>
      </c>
      <c r="AF69" s="1823" t="e">
        <f t="shared" si="7"/>
        <v>#VALUE!</v>
      </c>
      <c r="AG69" s="1769" t="e">
        <f t="shared" si="8"/>
        <v>#VALUE!</v>
      </c>
      <c r="AI69" t="s">
        <v>2304</v>
      </c>
    </row>
    <row r="70" spans="3:35" ht="24.95" customHeight="1">
      <c r="C70" s="491">
        <v>63</v>
      </c>
      <c r="D70" s="1847"/>
      <c r="E70" s="1847"/>
      <c r="F70" s="1847" t="s">
        <v>2306</v>
      </c>
      <c r="G70" s="1847" t="s">
        <v>2306</v>
      </c>
      <c r="H70" s="1847" t="s">
        <v>3487</v>
      </c>
      <c r="I70" s="1847" t="s">
        <v>2302</v>
      </c>
      <c r="J70" s="1847" t="s">
        <v>2783</v>
      </c>
      <c r="K70" s="1847" t="s">
        <v>3925</v>
      </c>
      <c r="L70" s="1847" t="s">
        <v>2797</v>
      </c>
      <c r="M70" s="1847" t="s">
        <v>2303</v>
      </c>
      <c r="N70" s="1847"/>
      <c r="O70" s="1847"/>
      <c r="P70" s="1852">
        <v>4.327</v>
      </c>
      <c r="Q70" s="1852">
        <v>6</v>
      </c>
      <c r="R70" s="483" t="e">
        <f>IF(H70="","",SUMIFS('[1]1_group_totals'!$J$8:$J$10000,'[1]1_group_totals'!$C$8:$C$10000,C70))</f>
        <v>#VALUE!</v>
      </c>
      <c r="S70" s="483">
        <f t="shared" si="0"/>
        <v>2</v>
      </c>
      <c r="T70" s="483">
        <v>1</v>
      </c>
      <c r="U70" s="510" t="e">
        <f t="shared" si="1"/>
        <v>#VALUE!</v>
      </c>
      <c r="V70" s="510">
        <v>1</v>
      </c>
      <c r="W70" s="510">
        <v>0</v>
      </c>
      <c r="X70" s="510">
        <v>0</v>
      </c>
      <c r="Y70" s="483">
        <v>1</v>
      </c>
      <c r="Z70" s="483">
        <v>1</v>
      </c>
      <c r="AA70" s="1847" t="e">
        <f t="shared" si="2"/>
        <v>#VALUE!</v>
      </c>
      <c r="AB70" s="1847">
        <f t="shared" si="3"/>
        <v>4.327</v>
      </c>
      <c r="AC70" s="1847">
        <f t="shared" si="4"/>
        <v>6</v>
      </c>
      <c r="AD70" s="1847" t="e">
        <f t="shared" si="5"/>
        <v>#VALUE!</v>
      </c>
      <c r="AE70" s="1847" t="e">
        <f t="shared" si="6"/>
        <v>#VALUE!</v>
      </c>
      <c r="AF70" s="1823" t="e">
        <f t="shared" si="7"/>
        <v>#VALUE!</v>
      </c>
      <c r="AG70" s="1769" t="e">
        <f t="shared" si="8"/>
        <v>#VALUE!</v>
      </c>
      <c r="AI70" t="s">
        <v>2306</v>
      </c>
    </row>
    <row r="71" spans="3:35" ht="24.95" customHeight="1">
      <c r="C71" s="491">
        <v>64</v>
      </c>
      <c r="D71" s="1847"/>
      <c r="E71" s="1847"/>
      <c r="F71" s="1847" t="s">
        <v>2308</v>
      </c>
      <c r="G71" s="1847" t="s">
        <v>2308</v>
      </c>
      <c r="H71" s="1847" t="s">
        <v>3488</v>
      </c>
      <c r="I71" s="1847" t="s">
        <v>2305</v>
      </c>
      <c r="J71" s="1847" t="s">
        <v>2783</v>
      </c>
      <c r="K71" s="1847" t="s">
        <v>3925</v>
      </c>
      <c r="L71" s="1847" t="s">
        <v>2797</v>
      </c>
      <c r="M71" s="1847" t="s">
        <v>2217</v>
      </c>
      <c r="N71" s="1847"/>
      <c r="O71" s="1847"/>
      <c r="P71" s="1852">
        <v>1.9</v>
      </c>
      <c r="Q71" s="1852">
        <v>2.25</v>
      </c>
      <c r="R71" s="483" t="e">
        <f>IF(H71="","",SUMIFS('[1]1_group_totals'!$J$8:$J$10000,'[1]1_group_totals'!$C$8:$C$10000,C71))</f>
        <v>#VALUE!</v>
      </c>
      <c r="S71" s="483">
        <f t="shared" si="0"/>
        <v>2</v>
      </c>
      <c r="T71" s="483">
        <v>1</v>
      </c>
      <c r="U71" s="510" t="e">
        <f t="shared" si="1"/>
        <v>#VALUE!</v>
      </c>
      <c r="V71" s="510">
        <v>1</v>
      </c>
      <c r="W71" s="510">
        <v>0</v>
      </c>
      <c r="X71" s="510">
        <v>0</v>
      </c>
      <c r="Y71" s="483">
        <v>1</v>
      </c>
      <c r="Z71" s="483">
        <v>1</v>
      </c>
      <c r="AA71" s="1847" t="e">
        <f t="shared" si="2"/>
        <v>#VALUE!</v>
      </c>
      <c r="AB71" s="1847">
        <f t="shared" si="3"/>
        <v>1.9</v>
      </c>
      <c r="AC71" s="1847">
        <f t="shared" si="4"/>
        <v>2.25</v>
      </c>
      <c r="AD71" s="1847" t="e">
        <f t="shared" si="5"/>
        <v>#VALUE!</v>
      </c>
      <c r="AE71" s="1847" t="e">
        <f t="shared" si="6"/>
        <v>#VALUE!</v>
      </c>
      <c r="AF71" s="1823" t="e">
        <f t="shared" si="7"/>
        <v>#VALUE!</v>
      </c>
      <c r="AG71" s="1769" t="e">
        <f t="shared" si="8"/>
        <v>#VALUE!</v>
      </c>
      <c r="AI71" t="s">
        <v>2308</v>
      </c>
    </row>
    <row r="72" spans="3:35" ht="24.95" customHeight="1">
      <c r="C72" s="491">
        <v>65</v>
      </c>
      <c r="D72" s="1847"/>
      <c r="E72" s="1847"/>
      <c r="F72" s="1847" t="s">
        <v>2311</v>
      </c>
      <c r="G72" s="1847" t="s">
        <v>2311</v>
      </c>
      <c r="H72" s="1847" t="s">
        <v>3489</v>
      </c>
      <c r="I72" s="1847" t="s">
        <v>2307</v>
      </c>
      <c r="J72" s="1847" t="s">
        <v>2783</v>
      </c>
      <c r="K72" s="1847" t="s">
        <v>3925</v>
      </c>
      <c r="L72" s="1847" t="s">
        <v>2797</v>
      </c>
      <c r="M72" s="1847" t="s">
        <v>2225</v>
      </c>
      <c r="N72" s="1847"/>
      <c r="O72" s="1847"/>
      <c r="P72" s="1852">
        <v>1.18</v>
      </c>
      <c r="Q72" s="1852">
        <v>1.5</v>
      </c>
      <c r="R72" s="483" t="e">
        <f>IF(H72="","",SUMIFS('[1]1_group_totals'!$J$8:$J$10000,'[1]1_group_totals'!$C$8:$C$10000,C72))</f>
        <v>#VALUE!</v>
      </c>
      <c r="S72" s="483">
        <f t="shared" ref="S72:S135" si="9">IF(J72="","",MID(J72,1,3)*1)</f>
        <v>2</v>
      </c>
      <c r="T72" s="483">
        <v>1</v>
      </c>
      <c r="U72" s="510" t="e">
        <f t="shared" ref="U72:U135" si="10">getStockAvariableByUom(C72,R72,T72,Z72,S72)</f>
        <v>#VALUE!</v>
      </c>
      <c r="V72" s="510">
        <v>1</v>
      </c>
      <c r="W72" s="510">
        <v>0</v>
      </c>
      <c r="X72" s="510">
        <v>0</v>
      </c>
      <c r="Y72" s="483">
        <v>1</v>
      </c>
      <c r="Z72" s="483">
        <v>1</v>
      </c>
      <c r="AA72" s="1847" t="e">
        <f t="shared" ref="AA72:AA135" si="11">IF(AND(C72&lt;&gt;"",H72&lt;&gt;"",R72&gt;0),TEXT(C72,"00000")&amp;"."&amp;H72&amp;" | "&amp;F72&amp;" | Cost : "&amp;P72&amp;" "&amp;product_currency&amp;" | Price : "&amp;Q72&amp;" "&amp;product_currency&amp;" | Stock Ending : "&amp;U72,"")</f>
        <v>#VALUE!</v>
      </c>
      <c r="AB72" s="1847">
        <f t="shared" ref="AB72:AB135" si="12">P72/T72</f>
        <v>1.18</v>
      </c>
      <c r="AC72" s="1847">
        <f t="shared" ref="AC72:AC135" si="13">Q72/T72</f>
        <v>1.5</v>
      </c>
      <c r="AD72" s="1847" t="e">
        <f t="shared" ref="AD72:AD135" si="14">IF(R72&gt;0,R72*AB72,"")</f>
        <v>#VALUE!</v>
      </c>
      <c r="AE72" s="1847" t="e">
        <f t="shared" ref="AE72:AE135" si="15">IF(R72&gt;0,R72*AC72,"")</f>
        <v>#VALUE!</v>
      </c>
      <c r="AF72" s="1823" t="e">
        <f t="shared" ref="AF72:AF135" si="16">IF(R72&lt;0,R72*AB72,"")</f>
        <v>#VALUE!</v>
      </c>
      <c r="AG72" s="1769" t="e">
        <f t="shared" ref="AG72:AG135" si="17">IF(R72&lt;0,R72*AC72,"")</f>
        <v>#VALUE!</v>
      </c>
      <c r="AI72" t="s">
        <v>2311</v>
      </c>
    </row>
    <row r="73" spans="3:35" ht="24.95" customHeight="1">
      <c r="C73" s="491">
        <v>66</v>
      </c>
      <c r="D73" s="1847"/>
      <c r="E73" s="1847"/>
      <c r="F73" s="1847" t="s">
        <v>2313</v>
      </c>
      <c r="G73" s="1847" t="s">
        <v>2313</v>
      </c>
      <c r="H73" s="1847" t="s">
        <v>3490</v>
      </c>
      <c r="I73" s="1847" t="s">
        <v>2309</v>
      </c>
      <c r="J73" s="1847" t="s">
        <v>2783</v>
      </c>
      <c r="K73" s="1847" t="s">
        <v>3925</v>
      </c>
      <c r="L73" s="1847" t="s">
        <v>2797</v>
      </c>
      <c r="M73" s="1847" t="s">
        <v>2310</v>
      </c>
      <c r="N73" s="1847"/>
      <c r="O73" s="1847"/>
      <c r="P73" s="1852">
        <v>0.40899999999999997</v>
      </c>
      <c r="Q73" s="1852">
        <v>0.75</v>
      </c>
      <c r="R73" s="483" t="e">
        <f>IF(H73="","",SUMIFS('[1]1_group_totals'!$J$8:$J$10000,'[1]1_group_totals'!$C$8:$C$10000,C73))</f>
        <v>#VALUE!</v>
      </c>
      <c r="S73" s="483">
        <f t="shared" si="9"/>
        <v>2</v>
      </c>
      <c r="T73" s="483">
        <v>1</v>
      </c>
      <c r="U73" s="510" t="e">
        <f t="shared" si="10"/>
        <v>#VALUE!</v>
      </c>
      <c r="V73" s="510">
        <v>1</v>
      </c>
      <c r="W73" s="510">
        <v>0</v>
      </c>
      <c r="X73" s="510">
        <v>0</v>
      </c>
      <c r="Y73" s="483">
        <v>1</v>
      </c>
      <c r="Z73" s="483">
        <v>1</v>
      </c>
      <c r="AA73" s="1847" t="e">
        <f t="shared" si="11"/>
        <v>#VALUE!</v>
      </c>
      <c r="AB73" s="1847">
        <f t="shared" si="12"/>
        <v>0.40899999999999997</v>
      </c>
      <c r="AC73" s="1847">
        <f t="shared" si="13"/>
        <v>0.75</v>
      </c>
      <c r="AD73" s="1847" t="e">
        <f t="shared" si="14"/>
        <v>#VALUE!</v>
      </c>
      <c r="AE73" s="1847" t="e">
        <f t="shared" si="15"/>
        <v>#VALUE!</v>
      </c>
      <c r="AF73" s="1823" t="e">
        <f t="shared" si="16"/>
        <v>#VALUE!</v>
      </c>
      <c r="AG73" s="1769" t="e">
        <f t="shared" si="17"/>
        <v>#VALUE!</v>
      </c>
      <c r="AI73" t="s">
        <v>2313</v>
      </c>
    </row>
    <row r="74" spans="3:35" ht="24.95" customHeight="1">
      <c r="C74" s="491">
        <v>67</v>
      </c>
      <c r="D74" s="1847"/>
      <c r="E74" s="1847"/>
      <c r="F74" s="1847" t="s">
        <v>2315</v>
      </c>
      <c r="G74" s="1847" t="s">
        <v>2315</v>
      </c>
      <c r="H74" s="1847" t="s">
        <v>3491</v>
      </c>
      <c r="I74" s="1847" t="s">
        <v>2312</v>
      </c>
      <c r="J74" s="1847" t="s">
        <v>2783</v>
      </c>
      <c r="K74" s="1847" t="s">
        <v>3925</v>
      </c>
      <c r="L74" s="1847" t="s">
        <v>2797</v>
      </c>
      <c r="M74" s="1847" t="s">
        <v>2234</v>
      </c>
      <c r="N74" s="1847"/>
      <c r="O74" s="1847"/>
      <c r="P74" s="1852">
        <v>0.75</v>
      </c>
      <c r="Q74" s="1852">
        <v>1</v>
      </c>
      <c r="R74" s="483" t="e">
        <f>IF(H74="","",SUMIFS('[1]1_group_totals'!$J$8:$J$10000,'[1]1_group_totals'!$C$8:$C$10000,C74))</f>
        <v>#VALUE!</v>
      </c>
      <c r="S74" s="483">
        <f t="shared" si="9"/>
        <v>2</v>
      </c>
      <c r="T74" s="483">
        <v>1</v>
      </c>
      <c r="U74" s="510" t="e">
        <f t="shared" si="10"/>
        <v>#VALUE!</v>
      </c>
      <c r="V74" s="510">
        <v>1</v>
      </c>
      <c r="W74" s="510">
        <v>0</v>
      </c>
      <c r="X74" s="510">
        <v>0</v>
      </c>
      <c r="Y74" s="483">
        <v>1</v>
      </c>
      <c r="Z74" s="483">
        <v>1</v>
      </c>
      <c r="AA74" s="1847" t="e">
        <f t="shared" si="11"/>
        <v>#VALUE!</v>
      </c>
      <c r="AB74" s="1847">
        <f t="shared" si="12"/>
        <v>0.75</v>
      </c>
      <c r="AC74" s="1847">
        <f t="shared" si="13"/>
        <v>1</v>
      </c>
      <c r="AD74" s="1847" t="e">
        <f t="shared" si="14"/>
        <v>#VALUE!</v>
      </c>
      <c r="AE74" s="1847" t="e">
        <f t="shared" si="15"/>
        <v>#VALUE!</v>
      </c>
      <c r="AF74" s="1823" t="e">
        <f t="shared" si="16"/>
        <v>#VALUE!</v>
      </c>
      <c r="AG74" s="1769" t="e">
        <f t="shared" si="17"/>
        <v>#VALUE!</v>
      </c>
      <c r="AI74" t="s">
        <v>2315</v>
      </c>
    </row>
    <row r="75" spans="3:35" ht="24.95" customHeight="1">
      <c r="C75" s="491">
        <v>68</v>
      </c>
      <c r="D75" s="1847"/>
      <c r="E75" s="1847"/>
      <c r="F75" s="1847" t="s">
        <v>2318</v>
      </c>
      <c r="G75" s="1847" t="s">
        <v>2318</v>
      </c>
      <c r="H75" s="1847" t="s">
        <v>3492</v>
      </c>
      <c r="I75" s="1847" t="s">
        <v>2314</v>
      </c>
      <c r="J75" s="1847" t="s">
        <v>2783</v>
      </c>
      <c r="K75" s="1847" t="s">
        <v>3925</v>
      </c>
      <c r="L75" s="1847" t="s">
        <v>2797</v>
      </c>
      <c r="M75" s="1847" t="s">
        <v>2310</v>
      </c>
      <c r="N75" s="1847"/>
      <c r="O75" s="1847"/>
      <c r="P75" s="1852">
        <v>0.52500000000000002</v>
      </c>
      <c r="Q75" s="1852">
        <v>0.75</v>
      </c>
      <c r="R75" s="483" t="e">
        <f>IF(H75="","",SUMIFS('[1]1_group_totals'!$J$8:$J$10000,'[1]1_group_totals'!$C$8:$C$10000,C75))</f>
        <v>#VALUE!</v>
      </c>
      <c r="S75" s="483">
        <f t="shared" si="9"/>
        <v>2</v>
      </c>
      <c r="T75" s="483">
        <v>1</v>
      </c>
      <c r="U75" s="510" t="e">
        <f t="shared" si="10"/>
        <v>#VALUE!</v>
      </c>
      <c r="V75" s="510">
        <v>1</v>
      </c>
      <c r="W75" s="510">
        <v>0</v>
      </c>
      <c r="X75" s="510">
        <v>0</v>
      </c>
      <c r="Y75" s="483">
        <v>1</v>
      </c>
      <c r="Z75" s="483">
        <v>1</v>
      </c>
      <c r="AA75" s="1847" t="e">
        <f t="shared" si="11"/>
        <v>#VALUE!</v>
      </c>
      <c r="AB75" s="1847">
        <f t="shared" si="12"/>
        <v>0.52500000000000002</v>
      </c>
      <c r="AC75" s="1847">
        <f t="shared" si="13"/>
        <v>0.75</v>
      </c>
      <c r="AD75" s="1847" t="e">
        <f t="shared" si="14"/>
        <v>#VALUE!</v>
      </c>
      <c r="AE75" s="1847" t="e">
        <f t="shared" si="15"/>
        <v>#VALUE!</v>
      </c>
      <c r="AF75" s="1823" t="e">
        <f t="shared" si="16"/>
        <v>#VALUE!</v>
      </c>
      <c r="AG75" s="1769" t="e">
        <f t="shared" si="17"/>
        <v>#VALUE!</v>
      </c>
      <c r="AI75" t="s">
        <v>2318</v>
      </c>
    </row>
    <row r="76" spans="3:35" ht="24.95" customHeight="1">
      <c r="C76" s="491">
        <v>69</v>
      </c>
      <c r="D76" s="1847"/>
      <c r="E76" s="1847"/>
      <c r="F76" s="1847" t="s">
        <v>2321</v>
      </c>
      <c r="G76" s="1847" t="s">
        <v>2321</v>
      </c>
      <c r="H76" s="1847" t="s">
        <v>3493</v>
      </c>
      <c r="I76" s="1847" t="s">
        <v>2316</v>
      </c>
      <c r="J76" s="1847" t="s">
        <v>2783</v>
      </c>
      <c r="K76" s="1847" t="s">
        <v>3925</v>
      </c>
      <c r="L76" s="1847" t="s">
        <v>2797</v>
      </c>
      <c r="M76" s="1847" t="s">
        <v>2317</v>
      </c>
      <c r="N76" s="1847"/>
      <c r="O76" s="1847"/>
      <c r="P76" s="1852">
        <v>0.25</v>
      </c>
      <c r="Q76" s="1852">
        <v>0.5</v>
      </c>
      <c r="R76" s="483" t="e">
        <f>IF(H76="","",SUMIFS('[1]1_group_totals'!$J$8:$J$10000,'[1]1_group_totals'!$C$8:$C$10000,C76))</f>
        <v>#VALUE!</v>
      </c>
      <c r="S76" s="483">
        <f t="shared" si="9"/>
        <v>2</v>
      </c>
      <c r="T76" s="483">
        <v>1</v>
      </c>
      <c r="U76" s="510" t="e">
        <f t="shared" si="10"/>
        <v>#VALUE!</v>
      </c>
      <c r="V76" s="510">
        <v>1</v>
      </c>
      <c r="W76" s="510">
        <v>0</v>
      </c>
      <c r="X76" s="510">
        <v>0</v>
      </c>
      <c r="Y76" s="483">
        <v>1</v>
      </c>
      <c r="Z76" s="483">
        <v>1</v>
      </c>
      <c r="AA76" s="1847" t="e">
        <f t="shared" si="11"/>
        <v>#VALUE!</v>
      </c>
      <c r="AB76" s="1847">
        <f t="shared" si="12"/>
        <v>0.25</v>
      </c>
      <c r="AC76" s="1847">
        <f t="shared" si="13"/>
        <v>0.5</v>
      </c>
      <c r="AD76" s="1847" t="e">
        <f t="shared" si="14"/>
        <v>#VALUE!</v>
      </c>
      <c r="AE76" s="1847" t="e">
        <f t="shared" si="15"/>
        <v>#VALUE!</v>
      </c>
      <c r="AF76" s="1823" t="e">
        <f t="shared" si="16"/>
        <v>#VALUE!</v>
      </c>
      <c r="AG76" s="1769" t="e">
        <f t="shared" si="17"/>
        <v>#VALUE!</v>
      </c>
      <c r="AI76" t="s">
        <v>2321</v>
      </c>
    </row>
    <row r="77" spans="3:35" ht="24.95" customHeight="1">
      <c r="C77" s="491">
        <v>70</v>
      </c>
      <c r="D77" s="1847"/>
      <c r="E77" s="1847"/>
      <c r="F77" s="1847" t="s">
        <v>2324</v>
      </c>
      <c r="G77" s="1847" t="s">
        <v>2324</v>
      </c>
      <c r="H77" s="1847" t="s">
        <v>3494</v>
      </c>
      <c r="I77" s="1847" t="s">
        <v>2319</v>
      </c>
      <c r="J77" s="1847" t="s">
        <v>2783</v>
      </c>
      <c r="K77" s="1847" t="s">
        <v>3925</v>
      </c>
      <c r="L77" s="1847" t="s">
        <v>2797</v>
      </c>
      <c r="M77" s="1847" t="s">
        <v>2320</v>
      </c>
      <c r="N77" s="1847"/>
      <c r="O77" s="1847"/>
      <c r="P77" s="1852">
        <v>0.15</v>
      </c>
      <c r="Q77" s="1852">
        <v>0.25</v>
      </c>
      <c r="R77" s="483" t="e">
        <f>IF(H77="","",SUMIFS('[1]1_group_totals'!$J$8:$J$10000,'[1]1_group_totals'!$C$8:$C$10000,C77))</f>
        <v>#VALUE!</v>
      </c>
      <c r="S77" s="483">
        <f t="shared" si="9"/>
        <v>2</v>
      </c>
      <c r="T77" s="483">
        <v>1</v>
      </c>
      <c r="U77" s="510" t="e">
        <f t="shared" si="10"/>
        <v>#VALUE!</v>
      </c>
      <c r="V77" s="510">
        <v>1</v>
      </c>
      <c r="W77" s="510">
        <v>0</v>
      </c>
      <c r="X77" s="510">
        <v>0</v>
      </c>
      <c r="Y77" s="483">
        <v>1</v>
      </c>
      <c r="Z77" s="483">
        <v>1</v>
      </c>
      <c r="AA77" s="1847" t="e">
        <f t="shared" si="11"/>
        <v>#VALUE!</v>
      </c>
      <c r="AB77" s="1847">
        <f t="shared" si="12"/>
        <v>0.15</v>
      </c>
      <c r="AC77" s="1847">
        <f t="shared" si="13"/>
        <v>0.25</v>
      </c>
      <c r="AD77" s="1847" t="e">
        <f t="shared" si="14"/>
        <v>#VALUE!</v>
      </c>
      <c r="AE77" s="1847" t="e">
        <f t="shared" si="15"/>
        <v>#VALUE!</v>
      </c>
      <c r="AF77" s="1823" t="e">
        <f t="shared" si="16"/>
        <v>#VALUE!</v>
      </c>
      <c r="AG77" s="1769" t="e">
        <f t="shared" si="17"/>
        <v>#VALUE!</v>
      </c>
      <c r="AI77" t="s">
        <v>2324</v>
      </c>
    </row>
    <row r="78" spans="3:35" ht="24.95" customHeight="1">
      <c r="C78" s="491">
        <v>71</v>
      </c>
      <c r="D78" s="1847"/>
      <c r="E78" s="1847"/>
      <c r="F78" s="1847" t="s">
        <v>2326</v>
      </c>
      <c r="G78" s="1847" t="s">
        <v>2326</v>
      </c>
      <c r="H78" s="1847" t="s">
        <v>3437</v>
      </c>
      <c r="I78" s="1847" t="s">
        <v>2322</v>
      </c>
      <c r="J78" s="1847" t="s">
        <v>2783</v>
      </c>
      <c r="K78" s="1847" t="s">
        <v>3925</v>
      </c>
      <c r="L78" s="1847" t="s">
        <v>2797</v>
      </c>
      <c r="M78" s="1847" t="s">
        <v>2323</v>
      </c>
      <c r="N78" s="1847"/>
      <c r="O78" s="1847"/>
      <c r="P78" s="1852">
        <v>0.11</v>
      </c>
      <c r="Q78" s="1852">
        <v>0.2</v>
      </c>
      <c r="R78" s="483" t="e">
        <f>IF(H78="","",SUMIFS('[1]1_group_totals'!$J$8:$J$10000,'[1]1_group_totals'!$C$8:$C$10000,C78))</f>
        <v>#VALUE!</v>
      </c>
      <c r="S78" s="483">
        <f t="shared" si="9"/>
        <v>2</v>
      </c>
      <c r="T78" s="483">
        <v>1</v>
      </c>
      <c r="U78" s="510" t="e">
        <f t="shared" si="10"/>
        <v>#VALUE!</v>
      </c>
      <c r="V78" s="510">
        <v>1</v>
      </c>
      <c r="W78" s="510">
        <v>0</v>
      </c>
      <c r="X78" s="510">
        <v>0</v>
      </c>
      <c r="Y78" s="483">
        <v>1</v>
      </c>
      <c r="Z78" s="483">
        <v>1</v>
      </c>
      <c r="AA78" s="1847" t="e">
        <f t="shared" si="11"/>
        <v>#VALUE!</v>
      </c>
      <c r="AB78" s="1847">
        <f t="shared" si="12"/>
        <v>0.11</v>
      </c>
      <c r="AC78" s="1847">
        <f t="shared" si="13"/>
        <v>0.2</v>
      </c>
      <c r="AD78" s="1847" t="e">
        <f t="shared" si="14"/>
        <v>#VALUE!</v>
      </c>
      <c r="AE78" s="1847" t="e">
        <f t="shared" si="15"/>
        <v>#VALUE!</v>
      </c>
      <c r="AF78" s="1823" t="e">
        <f t="shared" si="16"/>
        <v>#VALUE!</v>
      </c>
      <c r="AG78" s="1769" t="e">
        <f t="shared" si="17"/>
        <v>#VALUE!</v>
      </c>
      <c r="AI78" t="s">
        <v>2326</v>
      </c>
    </row>
    <row r="79" spans="3:35" ht="24.95" customHeight="1">
      <c r="C79" s="491">
        <v>72</v>
      </c>
      <c r="D79" s="1847"/>
      <c r="E79" s="1847"/>
      <c r="F79" s="1847" t="s">
        <v>2328</v>
      </c>
      <c r="G79" s="1847" t="s">
        <v>2328</v>
      </c>
      <c r="H79" s="1847" t="s">
        <v>3495</v>
      </c>
      <c r="I79" s="1847" t="s">
        <v>2325</v>
      </c>
      <c r="J79" s="1847" t="s">
        <v>2783</v>
      </c>
      <c r="K79" s="1847" t="s">
        <v>3925</v>
      </c>
      <c r="L79" s="1847" t="s">
        <v>2797</v>
      </c>
      <c r="M79" s="1847" t="s">
        <v>2225</v>
      </c>
      <c r="N79" s="1847"/>
      <c r="O79" s="1847"/>
      <c r="P79" s="1852">
        <v>2.4500000000000002</v>
      </c>
      <c r="Q79" s="1852">
        <v>2.8</v>
      </c>
      <c r="R79" s="483" t="e">
        <f>IF(H79="","",SUMIFS('[1]1_group_totals'!$J$8:$J$10000,'[1]1_group_totals'!$C$8:$C$10000,C79))</f>
        <v>#VALUE!</v>
      </c>
      <c r="S79" s="483">
        <f t="shared" si="9"/>
        <v>2</v>
      </c>
      <c r="T79" s="483">
        <v>1</v>
      </c>
      <c r="U79" s="510" t="e">
        <f t="shared" si="10"/>
        <v>#VALUE!</v>
      </c>
      <c r="V79" s="510">
        <v>1</v>
      </c>
      <c r="W79" s="510">
        <v>0</v>
      </c>
      <c r="X79" s="510">
        <v>0</v>
      </c>
      <c r="Y79" s="483">
        <v>1</v>
      </c>
      <c r="Z79" s="483">
        <v>1</v>
      </c>
      <c r="AA79" s="1847" t="e">
        <f t="shared" si="11"/>
        <v>#VALUE!</v>
      </c>
      <c r="AB79" s="1847">
        <f t="shared" si="12"/>
        <v>2.4500000000000002</v>
      </c>
      <c r="AC79" s="1847">
        <f t="shared" si="13"/>
        <v>2.8</v>
      </c>
      <c r="AD79" s="1847" t="e">
        <f t="shared" si="14"/>
        <v>#VALUE!</v>
      </c>
      <c r="AE79" s="1847" t="e">
        <f t="shared" si="15"/>
        <v>#VALUE!</v>
      </c>
      <c r="AF79" s="1823" t="e">
        <f t="shared" si="16"/>
        <v>#VALUE!</v>
      </c>
      <c r="AG79" s="1769" t="e">
        <f t="shared" si="17"/>
        <v>#VALUE!</v>
      </c>
      <c r="AI79" t="s">
        <v>2328</v>
      </c>
    </row>
    <row r="80" spans="3:35" ht="24.95" customHeight="1">
      <c r="C80" s="491">
        <v>73</v>
      </c>
      <c r="D80" s="1847"/>
      <c r="E80" s="1847"/>
      <c r="F80" s="1847" t="s">
        <v>2330</v>
      </c>
      <c r="G80" s="1847" t="s">
        <v>2330</v>
      </c>
      <c r="H80" s="1847" t="s">
        <v>3496</v>
      </c>
      <c r="I80" s="1847" t="s">
        <v>2327</v>
      </c>
      <c r="J80" s="1847" t="s">
        <v>2783</v>
      </c>
      <c r="K80" s="1847" t="s">
        <v>3925</v>
      </c>
      <c r="L80" s="1847" t="s">
        <v>2797</v>
      </c>
      <c r="M80" s="1847" t="s">
        <v>2320</v>
      </c>
      <c r="N80" s="1847"/>
      <c r="O80" s="1847"/>
      <c r="P80" s="1852">
        <v>0.34</v>
      </c>
      <c r="Q80" s="1852">
        <v>0.5</v>
      </c>
      <c r="R80" s="483" t="e">
        <f>IF(H80="","",SUMIFS('[1]1_group_totals'!$J$8:$J$10000,'[1]1_group_totals'!$C$8:$C$10000,C80))</f>
        <v>#VALUE!</v>
      </c>
      <c r="S80" s="483">
        <f t="shared" si="9"/>
        <v>2</v>
      </c>
      <c r="T80" s="483">
        <v>1</v>
      </c>
      <c r="U80" s="510" t="e">
        <f t="shared" si="10"/>
        <v>#VALUE!</v>
      </c>
      <c r="V80" s="510">
        <v>1</v>
      </c>
      <c r="W80" s="510">
        <v>0</v>
      </c>
      <c r="X80" s="510">
        <v>0</v>
      </c>
      <c r="Y80" s="483">
        <v>1</v>
      </c>
      <c r="Z80" s="483">
        <v>1</v>
      </c>
      <c r="AA80" s="1847" t="e">
        <f t="shared" si="11"/>
        <v>#VALUE!</v>
      </c>
      <c r="AB80" s="1847">
        <f t="shared" si="12"/>
        <v>0.34</v>
      </c>
      <c r="AC80" s="1847">
        <f t="shared" si="13"/>
        <v>0.5</v>
      </c>
      <c r="AD80" s="1847" t="e">
        <f t="shared" si="14"/>
        <v>#VALUE!</v>
      </c>
      <c r="AE80" s="1847" t="e">
        <f t="shared" si="15"/>
        <v>#VALUE!</v>
      </c>
      <c r="AF80" s="1823" t="e">
        <f t="shared" si="16"/>
        <v>#VALUE!</v>
      </c>
      <c r="AG80" s="1769" t="e">
        <f t="shared" si="17"/>
        <v>#VALUE!</v>
      </c>
      <c r="AI80" t="s">
        <v>2330</v>
      </c>
    </row>
    <row r="81" spans="3:35" ht="24.95" customHeight="1">
      <c r="C81" s="491">
        <v>74</v>
      </c>
      <c r="D81" s="1847"/>
      <c r="E81" s="1847"/>
      <c r="F81" s="1847" t="s">
        <v>2332</v>
      </c>
      <c r="G81" s="1847" t="s">
        <v>2332</v>
      </c>
      <c r="H81" s="1847" t="s">
        <v>3497</v>
      </c>
      <c r="I81" s="1847" t="s">
        <v>2329</v>
      </c>
      <c r="J81" s="1847" t="s">
        <v>2783</v>
      </c>
      <c r="K81" s="1847" t="s">
        <v>3925</v>
      </c>
      <c r="L81" s="1847" t="s">
        <v>2797</v>
      </c>
      <c r="M81" s="1847" t="s">
        <v>2320</v>
      </c>
      <c r="N81" s="1847"/>
      <c r="O81" s="1847"/>
      <c r="P81" s="1852">
        <v>0.187</v>
      </c>
      <c r="Q81" s="1852">
        <v>0.25</v>
      </c>
      <c r="R81" s="483" t="e">
        <f>IF(H81="","",SUMIFS('[1]1_group_totals'!$J$8:$J$10000,'[1]1_group_totals'!$C$8:$C$10000,C81))</f>
        <v>#VALUE!</v>
      </c>
      <c r="S81" s="483">
        <f t="shared" si="9"/>
        <v>2</v>
      </c>
      <c r="T81" s="483">
        <v>1</v>
      </c>
      <c r="U81" s="510" t="e">
        <f t="shared" si="10"/>
        <v>#VALUE!</v>
      </c>
      <c r="V81" s="510">
        <v>1</v>
      </c>
      <c r="W81" s="510">
        <v>0</v>
      </c>
      <c r="X81" s="510">
        <v>0</v>
      </c>
      <c r="Y81" s="483">
        <v>1</v>
      </c>
      <c r="Z81" s="483">
        <v>1</v>
      </c>
      <c r="AA81" s="1847" t="e">
        <f t="shared" si="11"/>
        <v>#VALUE!</v>
      </c>
      <c r="AB81" s="1847">
        <f t="shared" si="12"/>
        <v>0.187</v>
      </c>
      <c r="AC81" s="1847">
        <f t="shared" si="13"/>
        <v>0.25</v>
      </c>
      <c r="AD81" s="1847" t="e">
        <f t="shared" si="14"/>
        <v>#VALUE!</v>
      </c>
      <c r="AE81" s="1847" t="e">
        <f t="shared" si="15"/>
        <v>#VALUE!</v>
      </c>
      <c r="AF81" s="1823" t="e">
        <f t="shared" si="16"/>
        <v>#VALUE!</v>
      </c>
      <c r="AG81" s="1769" t="e">
        <f t="shared" si="17"/>
        <v>#VALUE!</v>
      </c>
      <c r="AI81" t="s">
        <v>2332</v>
      </c>
    </row>
    <row r="82" spans="3:35" ht="24.95" customHeight="1">
      <c r="C82" s="491">
        <v>75</v>
      </c>
      <c r="D82" s="1847"/>
      <c r="E82" s="1847"/>
      <c r="F82" s="1847" t="s">
        <v>2334</v>
      </c>
      <c r="G82" s="1847" t="s">
        <v>2334</v>
      </c>
      <c r="H82" s="1847" t="s">
        <v>3438</v>
      </c>
      <c r="I82" s="1847" t="s">
        <v>2331</v>
      </c>
      <c r="J82" s="1847" t="s">
        <v>2783</v>
      </c>
      <c r="K82" s="1847" t="s">
        <v>3925</v>
      </c>
      <c r="L82" s="1847" t="s">
        <v>2797</v>
      </c>
      <c r="M82" s="1847" t="s">
        <v>2323</v>
      </c>
      <c r="N82" s="1847"/>
      <c r="O82" s="1847"/>
      <c r="P82" s="1852">
        <v>0.128</v>
      </c>
      <c r="Q82" s="1852">
        <v>0.2</v>
      </c>
      <c r="R82" s="483" t="e">
        <f>IF(H82="","",SUMIFS('[1]1_group_totals'!$J$8:$J$10000,'[1]1_group_totals'!$C$8:$C$10000,C82))</f>
        <v>#VALUE!</v>
      </c>
      <c r="S82" s="483">
        <f t="shared" si="9"/>
        <v>2</v>
      </c>
      <c r="T82" s="483">
        <v>1</v>
      </c>
      <c r="U82" s="510" t="e">
        <f t="shared" si="10"/>
        <v>#VALUE!</v>
      </c>
      <c r="V82" s="510">
        <v>1</v>
      </c>
      <c r="W82" s="510">
        <v>0</v>
      </c>
      <c r="X82" s="510">
        <v>0</v>
      </c>
      <c r="Y82" s="483">
        <v>1</v>
      </c>
      <c r="Z82" s="483">
        <v>1</v>
      </c>
      <c r="AA82" s="1847" t="e">
        <f t="shared" si="11"/>
        <v>#VALUE!</v>
      </c>
      <c r="AB82" s="1847">
        <f t="shared" si="12"/>
        <v>0.128</v>
      </c>
      <c r="AC82" s="1847">
        <f t="shared" si="13"/>
        <v>0.2</v>
      </c>
      <c r="AD82" s="1847" t="e">
        <f t="shared" si="14"/>
        <v>#VALUE!</v>
      </c>
      <c r="AE82" s="1847" t="e">
        <f t="shared" si="15"/>
        <v>#VALUE!</v>
      </c>
      <c r="AF82" s="1823" t="e">
        <f t="shared" si="16"/>
        <v>#VALUE!</v>
      </c>
      <c r="AG82" s="1769" t="e">
        <f t="shared" si="17"/>
        <v>#VALUE!</v>
      </c>
      <c r="AI82" t="s">
        <v>2334</v>
      </c>
    </row>
    <row r="83" spans="3:35" ht="24.95" customHeight="1">
      <c r="C83" s="491">
        <v>76</v>
      </c>
      <c r="D83" s="1847"/>
      <c r="E83" s="1847"/>
      <c r="F83" s="1847" t="s">
        <v>2335</v>
      </c>
      <c r="G83" s="1847" t="s">
        <v>2335</v>
      </c>
      <c r="H83" s="1847" t="s">
        <v>2333</v>
      </c>
      <c r="I83" s="1847" t="s">
        <v>2333</v>
      </c>
      <c r="J83" s="1847" t="s">
        <v>2756</v>
      </c>
      <c r="K83" s="1847" t="s">
        <v>3926</v>
      </c>
      <c r="L83" s="1847" t="s">
        <v>2797</v>
      </c>
      <c r="M83" s="1847" t="s">
        <v>4074</v>
      </c>
      <c r="N83" s="1847"/>
      <c r="O83" s="1847"/>
      <c r="P83" s="1852">
        <v>1.35</v>
      </c>
      <c r="Q83" s="1852">
        <v>1.75</v>
      </c>
      <c r="R83" s="483" t="e">
        <f>IF(H83="","",SUMIFS('[1]1_group_totals'!$J$8:$J$10000,'[1]1_group_totals'!$C$8:$C$10000,C83))</f>
        <v>#VALUE!</v>
      </c>
      <c r="S83" s="483">
        <f t="shared" si="9"/>
        <v>52</v>
      </c>
      <c r="T83" s="483">
        <v>1</v>
      </c>
      <c r="U83" s="510" t="e">
        <f t="shared" si="10"/>
        <v>#VALUE!</v>
      </c>
      <c r="V83" s="510">
        <v>1</v>
      </c>
      <c r="W83" s="510">
        <v>0</v>
      </c>
      <c r="X83" s="510">
        <v>0</v>
      </c>
      <c r="Y83" s="483">
        <v>1</v>
      </c>
      <c r="Z83" s="483">
        <v>1</v>
      </c>
      <c r="AA83" s="1847" t="e">
        <f t="shared" si="11"/>
        <v>#VALUE!</v>
      </c>
      <c r="AB83" s="1847">
        <f t="shared" si="12"/>
        <v>1.35</v>
      </c>
      <c r="AC83" s="1847">
        <f t="shared" si="13"/>
        <v>1.75</v>
      </c>
      <c r="AD83" s="1847" t="e">
        <f t="shared" si="14"/>
        <v>#VALUE!</v>
      </c>
      <c r="AE83" s="1847" t="e">
        <f t="shared" si="15"/>
        <v>#VALUE!</v>
      </c>
      <c r="AF83" s="1823" t="e">
        <f t="shared" si="16"/>
        <v>#VALUE!</v>
      </c>
      <c r="AG83" s="1769" t="e">
        <f t="shared" si="17"/>
        <v>#VALUE!</v>
      </c>
      <c r="AI83" t="s">
        <v>2335</v>
      </c>
    </row>
    <row r="84" spans="3:35" ht="24.95" customHeight="1">
      <c r="C84" s="491">
        <v>77</v>
      </c>
      <c r="D84" s="1847"/>
      <c r="E84" s="1847"/>
      <c r="F84" s="1847" t="s">
        <v>2336</v>
      </c>
      <c r="G84" s="1847" t="s">
        <v>2336</v>
      </c>
      <c r="H84" s="1847" t="s">
        <v>2741</v>
      </c>
      <c r="I84" s="1847" t="s">
        <v>2741</v>
      </c>
      <c r="J84" s="1847" t="s">
        <v>2757</v>
      </c>
      <c r="K84" s="1847" t="s">
        <v>3926</v>
      </c>
      <c r="L84" s="1847" t="s">
        <v>2797</v>
      </c>
      <c r="M84" s="1847" t="s">
        <v>4075</v>
      </c>
      <c r="N84" s="1847"/>
      <c r="O84" s="1847"/>
      <c r="P84" s="1852">
        <v>8.8000000000000007</v>
      </c>
      <c r="Q84" s="1852">
        <v>9.5</v>
      </c>
      <c r="R84" s="483" t="e">
        <f>IF(H84="","",SUMIFS('[1]1_group_totals'!$J$8:$J$10000,'[1]1_group_totals'!$C$8:$C$10000,C84))</f>
        <v>#VALUE!</v>
      </c>
      <c r="S84" s="483">
        <f t="shared" si="9"/>
        <v>45</v>
      </c>
      <c r="T84" s="483">
        <v>50</v>
      </c>
      <c r="U84" s="510" t="e">
        <f t="shared" si="10"/>
        <v>#VALUE!</v>
      </c>
      <c r="V84" s="510">
        <v>1</v>
      </c>
      <c r="W84" s="510">
        <v>0</v>
      </c>
      <c r="X84" s="510">
        <v>0</v>
      </c>
      <c r="Y84" s="483">
        <v>1</v>
      </c>
      <c r="Z84" s="483">
        <v>1</v>
      </c>
      <c r="AA84" s="1847" t="e">
        <f t="shared" si="11"/>
        <v>#VALUE!</v>
      </c>
      <c r="AB84" s="1847">
        <f t="shared" si="12"/>
        <v>0.17600000000000002</v>
      </c>
      <c r="AC84" s="1847">
        <f t="shared" si="13"/>
        <v>0.19</v>
      </c>
      <c r="AD84" s="1847" t="e">
        <f t="shared" si="14"/>
        <v>#VALUE!</v>
      </c>
      <c r="AE84" s="1847" t="e">
        <f t="shared" si="15"/>
        <v>#VALUE!</v>
      </c>
      <c r="AF84" s="1823" t="e">
        <f t="shared" si="16"/>
        <v>#VALUE!</v>
      </c>
      <c r="AG84" s="1769" t="e">
        <f t="shared" si="17"/>
        <v>#VALUE!</v>
      </c>
      <c r="AI84" t="s">
        <v>2336</v>
      </c>
    </row>
    <row r="85" spans="3:35" ht="24.95" customHeight="1">
      <c r="C85" s="491">
        <v>78</v>
      </c>
      <c r="D85" s="1847"/>
      <c r="E85" s="1847"/>
      <c r="F85" s="1847" t="s">
        <v>2337</v>
      </c>
      <c r="G85" s="1847" t="s">
        <v>2337</v>
      </c>
      <c r="H85" s="1847" t="s">
        <v>2742</v>
      </c>
      <c r="I85" s="1847" t="s">
        <v>2742</v>
      </c>
      <c r="J85" s="1847" t="s">
        <v>2757</v>
      </c>
      <c r="K85" s="1847" t="s">
        <v>3926</v>
      </c>
      <c r="L85" s="1847" t="s">
        <v>2797</v>
      </c>
      <c r="M85" s="1847" t="s">
        <v>4075</v>
      </c>
      <c r="N85" s="1847"/>
      <c r="O85" s="1847"/>
      <c r="P85" s="1852">
        <v>6</v>
      </c>
      <c r="Q85" s="1852">
        <v>6.5</v>
      </c>
      <c r="R85" s="483" t="e">
        <f>IF(H85="","",SUMIFS('[1]1_group_totals'!$J$8:$J$10000,'[1]1_group_totals'!$C$8:$C$10000,C85))</f>
        <v>#VALUE!</v>
      </c>
      <c r="S85" s="483">
        <f t="shared" si="9"/>
        <v>45</v>
      </c>
      <c r="T85" s="483">
        <v>50</v>
      </c>
      <c r="U85" s="510" t="e">
        <f t="shared" si="10"/>
        <v>#VALUE!</v>
      </c>
      <c r="V85" s="510">
        <v>1</v>
      </c>
      <c r="W85" s="510">
        <v>0</v>
      </c>
      <c r="X85" s="510">
        <v>0</v>
      </c>
      <c r="Y85" s="483">
        <v>1</v>
      </c>
      <c r="Z85" s="483">
        <v>1</v>
      </c>
      <c r="AA85" s="1847" t="e">
        <f t="shared" si="11"/>
        <v>#VALUE!</v>
      </c>
      <c r="AB85" s="1847">
        <f t="shared" si="12"/>
        <v>0.12</v>
      </c>
      <c r="AC85" s="1847">
        <f t="shared" si="13"/>
        <v>0.13</v>
      </c>
      <c r="AD85" s="1847" t="e">
        <f t="shared" si="14"/>
        <v>#VALUE!</v>
      </c>
      <c r="AE85" s="1847" t="e">
        <f t="shared" si="15"/>
        <v>#VALUE!</v>
      </c>
      <c r="AF85" s="1823" t="e">
        <f t="shared" si="16"/>
        <v>#VALUE!</v>
      </c>
      <c r="AG85" s="1769" t="e">
        <f t="shared" si="17"/>
        <v>#VALUE!</v>
      </c>
      <c r="AI85" t="s">
        <v>2337</v>
      </c>
    </row>
    <row r="86" spans="3:35" ht="24.95" customHeight="1">
      <c r="C86" s="491">
        <v>79</v>
      </c>
      <c r="D86" s="1847"/>
      <c r="E86" s="1847"/>
      <c r="F86" s="1847" t="s">
        <v>2339</v>
      </c>
      <c r="G86" s="1847" t="s">
        <v>2339</v>
      </c>
      <c r="H86" s="1847" t="s">
        <v>2743</v>
      </c>
      <c r="I86" s="1847" t="s">
        <v>2743</v>
      </c>
      <c r="J86" s="1847" t="s">
        <v>2757</v>
      </c>
      <c r="K86" s="1847" t="s">
        <v>3926</v>
      </c>
      <c r="L86" s="1847" t="s">
        <v>2797</v>
      </c>
      <c r="M86" s="1847" t="s">
        <v>4075</v>
      </c>
      <c r="N86" s="1847"/>
      <c r="O86" s="1847"/>
      <c r="P86" s="1852">
        <v>5</v>
      </c>
      <c r="Q86" s="1852">
        <v>5.5</v>
      </c>
      <c r="R86" s="483" t="e">
        <f>IF(H86="","",SUMIFS('[1]1_group_totals'!$J$8:$J$10000,'[1]1_group_totals'!$C$8:$C$10000,C86))</f>
        <v>#VALUE!</v>
      </c>
      <c r="S86" s="483">
        <f t="shared" si="9"/>
        <v>45</v>
      </c>
      <c r="T86" s="483">
        <v>50</v>
      </c>
      <c r="U86" s="510" t="e">
        <f t="shared" si="10"/>
        <v>#VALUE!</v>
      </c>
      <c r="V86" s="510">
        <v>1</v>
      </c>
      <c r="W86" s="510">
        <v>0</v>
      </c>
      <c r="X86" s="510">
        <v>0</v>
      </c>
      <c r="Y86" s="483">
        <v>1</v>
      </c>
      <c r="Z86" s="483">
        <v>1</v>
      </c>
      <c r="AA86" s="1847" t="e">
        <f t="shared" si="11"/>
        <v>#VALUE!</v>
      </c>
      <c r="AB86" s="1847">
        <f t="shared" si="12"/>
        <v>0.1</v>
      </c>
      <c r="AC86" s="1847">
        <f t="shared" si="13"/>
        <v>0.11</v>
      </c>
      <c r="AD86" s="1847" t="e">
        <f t="shared" si="14"/>
        <v>#VALUE!</v>
      </c>
      <c r="AE86" s="1847" t="e">
        <f t="shared" si="15"/>
        <v>#VALUE!</v>
      </c>
      <c r="AF86" s="1823" t="e">
        <f t="shared" si="16"/>
        <v>#VALUE!</v>
      </c>
      <c r="AG86" s="1769" t="e">
        <f t="shared" si="17"/>
        <v>#VALUE!</v>
      </c>
      <c r="AI86" t="s">
        <v>2339</v>
      </c>
    </row>
    <row r="87" spans="3:35" ht="24.95" customHeight="1">
      <c r="C87" s="491">
        <v>80</v>
      </c>
      <c r="D87" s="1847"/>
      <c r="E87" s="1847"/>
      <c r="F87" s="1847" t="s">
        <v>2341</v>
      </c>
      <c r="G87" s="1847" t="s">
        <v>2341</v>
      </c>
      <c r="H87" s="1847" t="s">
        <v>2338</v>
      </c>
      <c r="I87" s="1847" t="s">
        <v>2338</v>
      </c>
      <c r="J87" s="1847" t="s">
        <v>2758</v>
      </c>
      <c r="K87" s="1847" t="s">
        <v>3926</v>
      </c>
      <c r="L87" s="1847" t="s">
        <v>2797</v>
      </c>
      <c r="M87" s="1847" t="s">
        <v>4076</v>
      </c>
      <c r="N87" s="1847"/>
      <c r="O87" s="1847"/>
      <c r="P87" s="1852">
        <v>21</v>
      </c>
      <c r="Q87" s="1852">
        <v>0.2</v>
      </c>
      <c r="R87" s="483" t="e">
        <f>IF(H87="","",SUMIFS('[1]1_group_totals'!$J$8:$J$10000,'[1]1_group_totals'!$C$8:$C$10000,C87))</f>
        <v>#VALUE!</v>
      </c>
      <c r="S87" s="483">
        <f t="shared" si="9"/>
        <v>36</v>
      </c>
      <c r="T87" s="483">
        <v>150</v>
      </c>
      <c r="U87" s="510" t="e">
        <f t="shared" si="10"/>
        <v>#VALUE!</v>
      </c>
      <c r="V87" s="510">
        <v>1</v>
      </c>
      <c r="W87" s="510">
        <v>0</v>
      </c>
      <c r="X87" s="510">
        <v>0</v>
      </c>
      <c r="Y87" s="483">
        <v>1</v>
      </c>
      <c r="Z87" s="483">
        <v>1</v>
      </c>
      <c r="AA87" s="1847" t="e">
        <f t="shared" si="11"/>
        <v>#VALUE!</v>
      </c>
      <c r="AB87" s="1847">
        <f t="shared" si="12"/>
        <v>0.14000000000000001</v>
      </c>
      <c r="AC87" s="1847">
        <f t="shared" si="13"/>
        <v>1.3333333333333335E-3</v>
      </c>
      <c r="AD87" s="1847" t="e">
        <f t="shared" si="14"/>
        <v>#VALUE!</v>
      </c>
      <c r="AE87" s="1847" t="e">
        <f t="shared" si="15"/>
        <v>#VALUE!</v>
      </c>
      <c r="AF87" s="1823" t="e">
        <f t="shared" si="16"/>
        <v>#VALUE!</v>
      </c>
      <c r="AG87" s="1769" t="e">
        <f t="shared" si="17"/>
        <v>#VALUE!</v>
      </c>
      <c r="AI87" t="s">
        <v>2341</v>
      </c>
    </row>
    <row r="88" spans="3:35" ht="24.95" customHeight="1">
      <c r="C88" s="491">
        <v>81</v>
      </c>
      <c r="D88" s="1847"/>
      <c r="E88" s="1847"/>
      <c r="F88" s="1847" t="s">
        <v>2343</v>
      </c>
      <c r="G88" s="1847" t="s">
        <v>2343</v>
      </c>
      <c r="H88" s="1847" t="s">
        <v>2340</v>
      </c>
      <c r="I88" s="1847" t="s">
        <v>2340</v>
      </c>
      <c r="J88" s="1847" t="s">
        <v>2632</v>
      </c>
      <c r="K88" s="1847" t="s">
        <v>3926</v>
      </c>
      <c r="L88" s="1847" t="s">
        <v>2799</v>
      </c>
      <c r="M88" s="1847" t="s">
        <v>4077</v>
      </c>
      <c r="N88" s="1847"/>
      <c r="O88" s="1847"/>
      <c r="P88" s="1852">
        <v>74.400000000000006</v>
      </c>
      <c r="Q88" s="1852">
        <v>7</v>
      </c>
      <c r="R88" s="483" t="e">
        <f>IF(H88="","",SUMIFS('[1]1_group_totals'!$J$8:$J$10000,'[1]1_group_totals'!$C$8:$C$10000,C88))</f>
        <v>#VALUE!</v>
      </c>
      <c r="S88" s="483">
        <f t="shared" si="9"/>
        <v>26</v>
      </c>
      <c r="T88" s="483">
        <v>12</v>
      </c>
      <c r="U88" s="510" t="e">
        <f t="shared" si="10"/>
        <v>#VALUE!</v>
      </c>
      <c r="V88" s="510">
        <v>1</v>
      </c>
      <c r="W88" s="510">
        <v>0</v>
      </c>
      <c r="X88" s="510">
        <v>0</v>
      </c>
      <c r="Y88" s="483">
        <v>1</v>
      </c>
      <c r="Z88" s="483">
        <v>1</v>
      </c>
      <c r="AA88" s="1847" t="e">
        <f t="shared" si="11"/>
        <v>#VALUE!</v>
      </c>
      <c r="AB88" s="1847">
        <f t="shared" si="12"/>
        <v>6.2</v>
      </c>
      <c r="AC88" s="1847">
        <f t="shared" si="13"/>
        <v>0.58333333333333337</v>
      </c>
      <c r="AD88" s="1847" t="e">
        <f t="shared" si="14"/>
        <v>#VALUE!</v>
      </c>
      <c r="AE88" s="1847" t="e">
        <f t="shared" si="15"/>
        <v>#VALUE!</v>
      </c>
      <c r="AF88" s="1823" t="e">
        <f t="shared" si="16"/>
        <v>#VALUE!</v>
      </c>
      <c r="AG88" s="1769" t="e">
        <f t="shared" si="17"/>
        <v>#VALUE!</v>
      </c>
      <c r="AI88" t="s">
        <v>2343</v>
      </c>
    </row>
    <row r="89" spans="3:35" ht="24.95" customHeight="1">
      <c r="C89" s="491">
        <v>82</v>
      </c>
      <c r="D89" s="1847"/>
      <c r="E89" s="1847"/>
      <c r="F89" s="1847" t="s">
        <v>2345</v>
      </c>
      <c r="G89" s="1847" t="s">
        <v>2345</v>
      </c>
      <c r="H89" s="1847" t="s">
        <v>4385</v>
      </c>
      <c r="I89" s="1847" t="s">
        <v>2342</v>
      </c>
      <c r="J89" s="1847" t="s">
        <v>2759</v>
      </c>
      <c r="K89" s="1847" t="s">
        <v>3926</v>
      </c>
      <c r="L89" s="1847" t="s">
        <v>2799</v>
      </c>
      <c r="M89" s="1847" t="s">
        <v>4078</v>
      </c>
      <c r="N89" s="1847"/>
      <c r="O89" s="1847"/>
      <c r="P89" s="1852">
        <v>31.2</v>
      </c>
      <c r="Q89" s="1852">
        <v>1.6</v>
      </c>
      <c r="R89" s="483" t="e">
        <f>IF(H89="","",SUMIFS('[1]1_group_totals'!$J$8:$J$10000,'[1]1_group_totals'!$C$8:$C$10000,C89))</f>
        <v>#VALUE!</v>
      </c>
      <c r="S89" s="483">
        <f t="shared" si="9"/>
        <v>32</v>
      </c>
      <c r="T89" s="483">
        <v>24</v>
      </c>
      <c r="U89" s="510" t="e">
        <f t="shared" si="10"/>
        <v>#VALUE!</v>
      </c>
      <c r="V89" s="510">
        <v>1</v>
      </c>
      <c r="W89" s="510">
        <v>0</v>
      </c>
      <c r="X89" s="510">
        <v>0</v>
      </c>
      <c r="Y89" s="483">
        <v>1</v>
      </c>
      <c r="Z89" s="483">
        <v>1</v>
      </c>
      <c r="AA89" s="1847" t="e">
        <f t="shared" si="11"/>
        <v>#VALUE!</v>
      </c>
      <c r="AB89" s="1847">
        <f t="shared" si="12"/>
        <v>1.3</v>
      </c>
      <c r="AC89" s="1847">
        <f t="shared" si="13"/>
        <v>6.6666666666666666E-2</v>
      </c>
      <c r="AD89" s="1847" t="e">
        <f t="shared" si="14"/>
        <v>#VALUE!</v>
      </c>
      <c r="AE89" s="1847" t="e">
        <f t="shared" si="15"/>
        <v>#VALUE!</v>
      </c>
      <c r="AF89" s="1823" t="e">
        <f t="shared" si="16"/>
        <v>#VALUE!</v>
      </c>
      <c r="AG89" s="1769" t="e">
        <f t="shared" si="17"/>
        <v>#VALUE!</v>
      </c>
      <c r="AI89" t="s">
        <v>2345</v>
      </c>
    </row>
    <row r="90" spans="3:35" ht="24.95" customHeight="1">
      <c r="C90" s="491">
        <v>83</v>
      </c>
      <c r="D90" s="1847"/>
      <c r="E90" s="1847"/>
      <c r="F90" s="1847" t="s">
        <v>2346</v>
      </c>
      <c r="G90" s="1847" t="s">
        <v>2346</v>
      </c>
      <c r="H90" s="1847" t="s">
        <v>4386</v>
      </c>
      <c r="I90" s="1847" t="s">
        <v>2344</v>
      </c>
      <c r="J90" s="1847" t="s">
        <v>2759</v>
      </c>
      <c r="K90" s="1847" t="s">
        <v>3926</v>
      </c>
      <c r="L90" s="1847" t="s">
        <v>2799</v>
      </c>
      <c r="M90" s="1847" t="s">
        <v>4078</v>
      </c>
      <c r="N90" s="1847"/>
      <c r="O90" s="1847"/>
      <c r="P90" s="1852">
        <v>24</v>
      </c>
      <c r="Q90" s="1852">
        <v>1.25</v>
      </c>
      <c r="R90" s="483" t="e">
        <f>IF(H90="","",SUMIFS('[1]1_group_totals'!$J$8:$J$10000,'[1]1_group_totals'!$C$8:$C$10000,C90))</f>
        <v>#VALUE!</v>
      </c>
      <c r="S90" s="483">
        <f t="shared" si="9"/>
        <v>32</v>
      </c>
      <c r="T90" s="483">
        <v>24</v>
      </c>
      <c r="U90" s="510" t="e">
        <f t="shared" si="10"/>
        <v>#VALUE!</v>
      </c>
      <c r="V90" s="510">
        <v>1</v>
      </c>
      <c r="W90" s="510">
        <v>0</v>
      </c>
      <c r="X90" s="510">
        <v>0</v>
      </c>
      <c r="Y90" s="483">
        <v>1</v>
      </c>
      <c r="Z90" s="483">
        <v>1</v>
      </c>
      <c r="AA90" s="1847" t="e">
        <f t="shared" si="11"/>
        <v>#VALUE!</v>
      </c>
      <c r="AB90" s="1847">
        <f t="shared" si="12"/>
        <v>1</v>
      </c>
      <c r="AC90" s="1847">
        <f t="shared" si="13"/>
        <v>5.2083333333333336E-2</v>
      </c>
      <c r="AD90" s="1847" t="e">
        <f t="shared" si="14"/>
        <v>#VALUE!</v>
      </c>
      <c r="AE90" s="1847" t="e">
        <f t="shared" si="15"/>
        <v>#VALUE!</v>
      </c>
      <c r="AF90" s="1823" t="e">
        <f t="shared" si="16"/>
        <v>#VALUE!</v>
      </c>
      <c r="AG90" s="1769" t="e">
        <f t="shared" si="17"/>
        <v>#VALUE!</v>
      </c>
      <c r="AI90" t="s">
        <v>2346</v>
      </c>
    </row>
    <row r="91" spans="3:35" ht="24.95" customHeight="1">
      <c r="C91" s="491">
        <v>84</v>
      </c>
      <c r="D91" s="1847"/>
      <c r="E91" s="1847"/>
      <c r="F91" s="1847" t="s">
        <v>2348</v>
      </c>
      <c r="G91" s="1847" t="s">
        <v>2348</v>
      </c>
      <c r="H91" s="1847" t="s">
        <v>2791</v>
      </c>
      <c r="I91" s="1847" t="s">
        <v>2791</v>
      </c>
      <c r="J91" s="1847" t="s">
        <v>2632</v>
      </c>
      <c r="K91" s="1847" t="s">
        <v>3926</v>
      </c>
      <c r="L91" s="1847" t="s">
        <v>2799</v>
      </c>
      <c r="M91" s="1847" t="s">
        <v>4077</v>
      </c>
      <c r="N91" s="1847"/>
      <c r="O91" s="1847"/>
      <c r="P91" s="1852">
        <v>14.4</v>
      </c>
      <c r="Q91" s="1852">
        <v>2</v>
      </c>
      <c r="R91" s="483" t="e">
        <f>IF(H91="","",SUMIFS('[1]1_group_totals'!$J$8:$J$10000,'[1]1_group_totals'!$C$8:$C$10000,C91))</f>
        <v>#VALUE!</v>
      </c>
      <c r="S91" s="483">
        <f t="shared" si="9"/>
        <v>26</v>
      </c>
      <c r="T91" s="483">
        <v>12</v>
      </c>
      <c r="U91" s="510" t="e">
        <f t="shared" si="10"/>
        <v>#VALUE!</v>
      </c>
      <c r="V91" s="510">
        <v>1</v>
      </c>
      <c r="W91" s="510">
        <v>0</v>
      </c>
      <c r="X91" s="510">
        <v>0</v>
      </c>
      <c r="Y91" s="483">
        <v>1</v>
      </c>
      <c r="Z91" s="483">
        <v>1</v>
      </c>
      <c r="AA91" s="1847" t="e">
        <f t="shared" si="11"/>
        <v>#VALUE!</v>
      </c>
      <c r="AB91" s="1847">
        <f t="shared" si="12"/>
        <v>1.2</v>
      </c>
      <c r="AC91" s="1847">
        <f t="shared" si="13"/>
        <v>0.16666666666666666</v>
      </c>
      <c r="AD91" s="1847" t="e">
        <f t="shared" si="14"/>
        <v>#VALUE!</v>
      </c>
      <c r="AE91" s="1847" t="e">
        <f t="shared" si="15"/>
        <v>#VALUE!</v>
      </c>
      <c r="AF91" s="1823" t="e">
        <f t="shared" si="16"/>
        <v>#VALUE!</v>
      </c>
      <c r="AG91" s="1769" t="e">
        <f t="shared" si="17"/>
        <v>#VALUE!</v>
      </c>
      <c r="AI91" t="s">
        <v>2348</v>
      </c>
    </row>
    <row r="92" spans="3:35" ht="24.95" customHeight="1">
      <c r="C92" s="491">
        <v>85</v>
      </c>
      <c r="D92" s="1847"/>
      <c r="E92" s="1847"/>
      <c r="F92" s="1847" t="s">
        <v>2350</v>
      </c>
      <c r="G92" s="1847" t="s">
        <v>2350</v>
      </c>
      <c r="H92" s="1847" t="s">
        <v>2347</v>
      </c>
      <c r="I92" s="1847" t="s">
        <v>2347</v>
      </c>
      <c r="J92" s="1847" t="s">
        <v>2756</v>
      </c>
      <c r="K92" s="1847" t="s">
        <v>3926</v>
      </c>
      <c r="L92" s="1847" t="s">
        <v>2797</v>
      </c>
      <c r="M92" s="1847" t="s">
        <v>4074</v>
      </c>
      <c r="N92" s="1847"/>
      <c r="O92" s="1847"/>
      <c r="P92" s="1852">
        <v>1</v>
      </c>
      <c r="Q92" s="1852">
        <v>1.5</v>
      </c>
      <c r="R92" s="483" t="e">
        <f>IF(H92="","",SUMIFS('[1]1_group_totals'!$J$8:$J$10000,'[1]1_group_totals'!$C$8:$C$10000,C92))</f>
        <v>#VALUE!</v>
      </c>
      <c r="S92" s="483">
        <f t="shared" si="9"/>
        <v>52</v>
      </c>
      <c r="T92" s="483">
        <v>1</v>
      </c>
      <c r="U92" s="510" t="e">
        <f t="shared" si="10"/>
        <v>#VALUE!</v>
      </c>
      <c r="V92" s="510">
        <v>1</v>
      </c>
      <c r="W92" s="510">
        <v>0</v>
      </c>
      <c r="X92" s="510">
        <v>0</v>
      </c>
      <c r="Y92" s="483">
        <v>1</v>
      </c>
      <c r="Z92" s="483">
        <v>1</v>
      </c>
      <c r="AA92" s="1847" t="e">
        <f t="shared" si="11"/>
        <v>#VALUE!</v>
      </c>
      <c r="AB92" s="1847">
        <f t="shared" si="12"/>
        <v>1</v>
      </c>
      <c r="AC92" s="1847">
        <f t="shared" si="13"/>
        <v>1.5</v>
      </c>
      <c r="AD92" s="1847" t="e">
        <f t="shared" si="14"/>
        <v>#VALUE!</v>
      </c>
      <c r="AE92" s="1847" t="e">
        <f t="shared" si="15"/>
        <v>#VALUE!</v>
      </c>
      <c r="AF92" s="1823" t="e">
        <f t="shared" si="16"/>
        <v>#VALUE!</v>
      </c>
      <c r="AG92" s="1769" t="e">
        <f t="shared" si="17"/>
        <v>#VALUE!</v>
      </c>
      <c r="AI92" t="s">
        <v>2350</v>
      </c>
    </row>
    <row r="93" spans="3:35" ht="24.95" customHeight="1">
      <c r="C93" s="491">
        <v>86</v>
      </c>
      <c r="D93" s="1847"/>
      <c r="E93" s="1847"/>
      <c r="F93" s="1847" t="s">
        <v>2352</v>
      </c>
      <c r="G93" s="1847" t="s">
        <v>2352</v>
      </c>
      <c r="H93" s="1847" t="s">
        <v>2349</v>
      </c>
      <c r="I93" s="1847" t="s">
        <v>2349</v>
      </c>
      <c r="J93" s="1847" t="s">
        <v>2760</v>
      </c>
      <c r="K93" s="1847" t="s">
        <v>3926</v>
      </c>
      <c r="L93" s="1847" t="s">
        <v>2797</v>
      </c>
      <c r="M93" s="1847" t="s">
        <v>4079</v>
      </c>
      <c r="N93" s="1847"/>
      <c r="O93" s="1847"/>
      <c r="P93" s="1852">
        <v>92.16</v>
      </c>
      <c r="Q93" s="1852">
        <v>0.5</v>
      </c>
      <c r="R93" s="483" t="e">
        <f>IF(H93="","",SUMIFS('[1]1_group_totals'!$J$8:$J$10000,'[1]1_group_totals'!$C$8:$C$10000,C93))</f>
        <v>#VALUE!</v>
      </c>
      <c r="S93" s="483">
        <f t="shared" si="9"/>
        <v>40</v>
      </c>
      <c r="T93" s="483">
        <v>288</v>
      </c>
      <c r="U93" s="510" t="e">
        <f t="shared" si="10"/>
        <v>#VALUE!</v>
      </c>
      <c r="V93" s="510">
        <v>1</v>
      </c>
      <c r="W93" s="510">
        <v>0</v>
      </c>
      <c r="X93" s="510">
        <v>0</v>
      </c>
      <c r="Y93" s="483">
        <v>1</v>
      </c>
      <c r="Z93" s="483">
        <v>1</v>
      </c>
      <c r="AA93" s="1847" t="e">
        <f t="shared" si="11"/>
        <v>#VALUE!</v>
      </c>
      <c r="AB93" s="1847">
        <f t="shared" si="12"/>
        <v>0.32</v>
      </c>
      <c r="AC93" s="1847">
        <f t="shared" si="13"/>
        <v>1.736111111111111E-3</v>
      </c>
      <c r="AD93" s="1847" t="e">
        <f t="shared" si="14"/>
        <v>#VALUE!</v>
      </c>
      <c r="AE93" s="1847" t="e">
        <f t="shared" si="15"/>
        <v>#VALUE!</v>
      </c>
      <c r="AF93" s="1823" t="e">
        <f t="shared" si="16"/>
        <v>#VALUE!</v>
      </c>
      <c r="AG93" s="1769" t="e">
        <f t="shared" si="17"/>
        <v>#VALUE!</v>
      </c>
      <c r="AI93" t="s">
        <v>2352</v>
      </c>
    </row>
    <row r="94" spans="3:35" ht="24.95" customHeight="1">
      <c r="C94" s="491">
        <v>87</v>
      </c>
      <c r="D94" s="1847"/>
      <c r="E94" s="1847"/>
      <c r="F94" s="1847" t="s">
        <v>2354</v>
      </c>
      <c r="G94" s="1847" t="s">
        <v>2354</v>
      </c>
      <c r="H94" s="1847" t="s">
        <v>2351</v>
      </c>
      <c r="I94" s="1847" t="s">
        <v>2351</v>
      </c>
      <c r="J94" s="1847" t="s">
        <v>2761</v>
      </c>
      <c r="K94" s="1847" t="s">
        <v>3926</v>
      </c>
      <c r="L94" s="1847" t="s">
        <v>2797</v>
      </c>
      <c r="M94" s="1847" t="s">
        <v>4080</v>
      </c>
      <c r="N94" s="1847"/>
      <c r="O94" s="1847"/>
      <c r="P94" s="1852">
        <v>0.317</v>
      </c>
      <c r="Q94" s="1852">
        <v>0.5</v>
      </c>
      <c r="R94" s="483" t="e">
        <f>IF(H94="","",SUMIFS('[1]1_group_totals'!$J$8:$J$10000,'[1]1_group_totals'!$C$8:$C$10000,C94))</f>
        <v>#VALUE!</v>
      </c>
      <c r="S94" s="483">
        <f t="shared" si="9"/>
        <v>41</v>
      </c>
      <c r="T94" s="483" t="s">
        <v>2734</v>
      </c>
      <c r="U94" s="510" t="e">
        <f t="shared" si="10"/>
        <v>#VALUE!</v>
      </c>
      <c r="V94" s="510">
        <v>1</v>
      </c>
      <c r="W94" s="510">
        <v>0</v>
      </c>
      <c r="X94" s="510">
        <v>0</v>
      </c>
      <c r="Y94" s="483">
        <v>1</v>
      </c>
      <c r="Z94" s="483">
        <v>1</v>
      </c>
      <c r="AA94" s="1847" t="e">
        <f t="shared" si="11"/>
        <v>#VALUE!</v>
      </c>
      <c r="AB94" s="1847">
        <f t="shared" si="12"/>
        <v>8.3862433862433858E-4</v>
      </c>
      <c r="AC94" s="1847">
        <f t="shared" si="13"/>
        <v>1.3227513227513227E-3</v>
      </c>
      <c r="AD94" s="1847" t="e">
        <f t="shared" si="14"/>
        <v>#VALUE!</v>
      </c>
      <c r="AE94" s="1847" t="e">
        <f t="shared" si="15"/>
        <v>#VALUE!</v>
      </c>
      <c r="AF94" s="1823" t="e">
        <f t="shared" si="16"/>
        <v>#VALUE!</v>
      </c>
      <c r="AG94" s="1769" t="e">
        <f t="shared" si="17"/>
        <v>#VALUE!</v>
      </c>
      <c r="AI94" t="s">
        <v>2354</v>
      </c>
    </row>
    <row r="95" spans="3:35" ht="24.95" customHeight="1">
      <c r="C95" s="491">
        <v>88</v>
      </c>
      <c r="D95" s="1847"/>
      <c r="E95" s="1847"/>
      <c r="F95" s="1847" t="s">
        <v>2356</v>
      </c>
      <c r="G95" s="1847" t="s">
        <v>2356</v>
      </c>
      <c r="H95" s="1847" t="s">
        <v>2353</v>
      </c>
      <c r="I95" s="1847" t="s">
        <v>2353</v>
      </c>
      <c r="J95" s="1847" t="s">
        <v>2762</v>
      </c>
      <c r="K95" s="1847" t="s">
        <v>3926</v>
      </c>
      <c r="L95" s="1847" t="s">
        <v>2797</v>
      </c>
      <c r="M95" s="1847" t="s">
        <v>4081</v>
      </c>
      <c r="N95" s="1847"/>
      <c r="O95" s="1847"/>
      <c r="P95" s="1852">
        <v>82.08</v>
      </c>
      <c r="Q95" s="1852">
        <v>0.5</v>
      </c>
      <c r="R95" s="483" t="e">
        <f>IF(H95="","",SUMIFS('[1]1_group_totals'!$J$8:$J$10000,'[1]1_group_totals'!$C$8:$C$10000,C95))</f>
        <v>#VALUE!</v>
      </c>
      <c r="S95" s="483">
        <f t="shared" si="9"/>
        <v>38</v>
      </c>
      <c r="T95" s="483" t="s">
        <v>2735</v>
      </c>
      <c r="U95" s="510" t="e">
        <f t="shared" si="10"/>
        <v>#VALUE!</v>
      </c>
      <c r="V95" s="510">
        <v>1</v>
      </c>
      <c r="W95" s="510">
        <v>0</v>
      </c>
      <c r="X95" s="510">
        <v>0</v>
      </c>
      <c r="Y95" s="483">
        <v>1</v>
      </c>
      <c r="Z95" s="483">
        <v>1</v>
      </c>
      <c r="AA95" s="1847" t="e">
        <f t="shared" si="11"/>
        <v>#VALUE!</v>
      </c>
      <c r="AB95" s="1847">
        <f t="shared" si="12"/>
        <v>0.38</v>
      </c>
      <c r="AC95" s="1847">
        <f t="shared" si="13"/>
        <v>2.3148148148148147E-3</v>
      </c>
      <c r="AD95" s="1847" t="e">
        <f t="shared" si="14"/>
        <v>#VALUE!</v>
      </c>
      <c r="AE95" s="1847" t="e">
        <f t="shared" si="15"/>
        <v>#VALUE!</v>
      </c>
      <c r="AF95" s="1823" t="e">
        <f t="shared" si="16"/>
        <v>#VALUE!</v>
      </c>
      <c r="AG95" s="1769" t="e">
        <f t="shared" si="17"/>
        <v>#VALUE!</v>
      </c>
      <c r="AI95" t="s">
        <v>2356</v>
      </c>
    </row>
    <row r="96" spans="3:35" ht="24.95" customHeight="1">
      <c r="C96" s="491">
        <v>89</v>
      </c>
      <c r="D96" s="1847"/>
      <c r="E96" s="1847"/>
      <c r="F96" s="1847" t="s">
        <v>2358</v>
      </c>
      <c r="G96" s="1847" t="s">
        <v>2358</v>
      </c>
      <c r="H96" s="1847" t="s">
        <v>2355</v>
      </c>
      <c r="I96" s="1847" t="s">
        <v>2355</v>
      </c>
      <c r="J96" s="1847" t="s">
        <v>2763</v>
      </c>
      <c r="K96" s="1847" t="s">
        <v>3926</v>
      </c>
      <c r="L96" s="1847" t="s">
        <v>2797</v>
      </c>
      <c r="M96" s="1847" t="s">
        <v>4082</v>
      </c>
      <c r="N96" s="1847"/>
      <c r="O96" s="1847"/>
      <c r="P96" s="1852">
        <v>99.1</v>
      </c>
      <c r="Q96" s="1852">
        <v>0.5</v>
      </c>
      <c r="R96" s="483" t="e">
        <f>IF(H96="","",SUMIFS('[1]1_group_totals'!$J$8:$J$10000,'[1]1_group_totals'!$C$8:$C$10000,C96))</f>
        <v>#VALUE!</v>
      </c>
      <c r="S96" s="483">
        <f t="shared" si="9"/>
        <v>39</v>
      </c>
      <c r="T96" s="483" t="s">
        <v>2736</v>
      </c>
      <c r="U96" s="510" t="e">
        <f t="shared" si="10"/>
        <v>#VALUE!</v>
      </c>
      <c r="V96" s="510">
        <v>1</v>
      </c>
      <c r="W96" s="510">
        <v>0</v>
      </c>
      <c r="X96" s="510">
        <v>0</v>
      </c>
      <c r="Y96" s="483">
        <v>1</v>
      </c>
      <c r="Z96" s="483">
        <v>1</v>
      </c>
      <c r="AA96" s="1847" t="e">
        <f t="shared" si="11"/>
        <v>#VALUE!</v>
      </c>
      <c r="AB96" s="1847">
        <f t="shared" si="12"/>
        <v>0.367037037037037</v>
      </c>
      <c r="AC96" s="1847">
        <f t="shared" si="13"/>
        <v>1.8518518518518519E-3</v>
      </c>
      <c r="AD96" s="1847" t="e">
        <f t="shared" si="14"/>
        <v>#VALUE!</v>
      </c>
      <c r="AE96" s="1847" t="e">
        <f t="shared" si="15"/>
        <v>#VALUE!</v>
      </c>
      <c r="AF96" s="1823" t="e">
        <f t="shared" si="16"/>
        <v>#VALUE!</v>
      </c>
      <c r="AG96" s="1769" t="e">
        <f t="shared" si="17"/>
        <v>#VALUE!</v>
      </c>
      <c r="AI96" t="s">
        <v>2358</v>
      </c>
    </row>
    <row r="97" spans="3:35" ht="24.95" customHeight="1">
      <c r="C97" s="491">
        <v>90</v>
      </c>
      <c r="D97" s="1847"/>
      <c r="E97" s="1847"/>
      <c r="F97" s="1847" t="s">
        <v>2360</v>
      </c>
      <c r="G97" s="1847" t="s">
        <v>2360</v>
      </c>
      <c r="H97" s="1847" t="s">
        <v>2357</v>
      </c>
      <c r="I97" s="1847" t="s">
        <v>2357</v>
      </c>
      <c r="J97" s="1847" t="s">
        <v>2764</v>
      </c>
      <c r="K97" s="1847" t="s">
        <v>3926</v>
      </c>
      <c r="L97" s="1847" t="s">
        <v>2799</v>
      </c>
      <c r="M97" s="1847" t="s">
        <v>4083</v>
      </c>
      <c r="N97" s="1847"/>
      <c r="O97" s="1847"/>
      <c r="P97" s="1852">
        <v>18</v>
      </c>
      <c r="Q97" s="1852">
        <v>0.5</v>
      </c>
      <c r="R97" s="483" t="e">
        <f>IF(H97="","",SUMIFS('[1]1_group_totals'!$J$8:$J$10000,'[1]1_group_totals'!$C$8:$C$10000,C97))</f>
        <v>#VALUE!</v>
      </c>
      <c r="S97" s="483">
        <f t="shared" si="9"/>
        <v>35</v>
      </c>
      <c r="T97" s="483" t="s">
        <v>2737</v>
      </c>
      <c r="U97" s="510" t="e">
        <f t="shared" si="10"/>
        <v>#VALUE!</v>
      </c>
      <c r="V97" s="510">
        <v>1</v>
      </c>
      <c r="W97" s="510">
        <v>0</v>
      </c>
      <c r="X97" s="510">
        <v>0</v>
      </c>
      <c r="Y97" s="483">
        <v>1</v>
      </c>
      <c r="Z97" s="483">
        <v>1</v>
      </c>
      <c r="AA97" s="1847" t="e">
        <f t="shared" si="11"/>
        <v>#VALUE!</v>
      </c>
      <c r="AB97" s="1847">
        <f t="shared" si="12"/>
        <v>0.18</v>
      </c>
      <c r="AC97" s="1847">
        <f t="shared" si="13"/>
        <v>5.0000000000000001E-3</v>
      </c>
      <c r="AD97" s="1847" t="e">
        <f t="shared" si="14"/>
        <v>#VALUE!</v>
      </c>
      <c r="AE97" s="1847" t="e">
        <f t="shared" si="15"/>
        <v>#VALUE!</v>
      </c>
      <c r="AF97" s="1823" t="e">
        <f t="shared" si="16"/>
        <v>#VALUE!</v>
      </c>
      <c r="AG97" s="1769" t="e">
        <f t="shared" si="17"/>
        <v>#VALUE!</v>
      </c>
      <c r="AI97" t="s">
        <v>2360</v>
      </c>
    </row>
    <row r="98" spans="3:35" ht="24.95" customHeight="1">
      <c r="C98" s="491">
        <v>91</v>
      </c>
      <c r="D98" s="1847"/>
      <c r="E98" s="1847"/>
      <c r="F98" s="1847" t="s">
        <v>2362</v>
      </c>
      <c r="G98" s="1847" t="s">
        <v>2362</v>
      </c>
      <c r="H98" s="1847" t="s">
        <v>2359</v>
      </c>
      <c r="I98" s="1847" t="s">
        <v>2359</v>
      </c>
      <c r="J98" s="1847" t="s">
        <v>2765</v>
      </c>
      <c r="K98" s="1847" t="s">
        <v>3926</v>
      </c>
      <c r="L98" s="1847" t="s">
        <v>2799</v>
      </c>
      <c r="M98" s="1847" t="s">
        <v>4084</v>
      </c>
      <c r="N98" s="1847"/>
      <c r="O98" s="1847"/>
      <c r="P98" s="1852">
        <v>4</v>
      </c>
      <c r="Q98" s="1852">
        <v>0.4</v>
      </c>
      <c r="R98" s="483" t="e">
        <f>IF(H98="","",SUMIFS('[1]1_group_totals'!$J$8:$J$10000,'[1]1_group_totals'!$C$8:$C$10000,C98))</f>
        <v>#VALUE!</v>
      </c>
      <c r="S98" s="483">
        <f t="shared" si="9"/>
        <v>31</v>
      </c>
      <c r="T98" s="483" t="s">
        <v>45</v>
      </c>
      <c r="U98" s="510" t="e">
        <f t="shared" si="10"/>
        <v>#VALUE!</v>
      </c>
      <c r="V98" s="510">
        <v>1</v>
      </c>
      <c r="W98" s="510">
        <v>0</v>
      </c>
      <c r="X98" s="510">
        <v>0</v>
      </c>
      <c r="Y98" s="483">
        <v>1</v>
      </c>
      <c r="Z98" s="483">
        <v>1</v>
      </c>
      <c r="AA98" s="1847" t="e">
        <f t="shared" si="11"/>
        <v>#VALUE!</v>
      </c>
      <c r="AB98" s="1847">
        <f t="shared" si="12"/>
        <v>0.2</v>
      </c>
      <c r="AC98" s="1847">
        <f t="shared" si="13"/>
        <v>0.02</v>
      </c>
      <c r="AD98" s="1847" t="e">
        <f t="shared" si="14"/>
        <v>#VALUE!</v>
      </c>
      <c r="AE98" s="1847" t="e">
        <f t="shared" si="15"/>
        <v>#VALUE!</v>
      </c>
      <c r="AF98" s="1823" t="e">
        <f t="shared" si="16"/>
        <v>#VALUE!</v>
      </c>
      <c r="AG98" s="1769" t="e">
        <f t="shared" si="17"/>
        <v>#VALUE!</v>
      </c>
      <c r="AI98" t="s">
        <v>2362</v>
      </c>
    </row>
    <row r="99" spans="3:35" ht="24.95" customHeight="1">
      <c r="C99" s="491">
        <v>92</v>
      </c>
      <c r="D99" s="1847"/>
      <c r="E99" s="1847"/>
      <c r="F99" s="1847" t="s">
        <v>2363</v>
      </c>
      <c r="G99" s="1847" t="s">
        <v>2363</v>
      </c>
      <c r="H99" s="1847" t="s">
        <v>2361</v>
      </c>
      <c r="I99" s="1847" t="s">
        <v>2361</v>
      </c>
      <c r="J99" s="1847" t="s">
        <v>2756</v>
      </c>
      <c r="K99" s="1847" t="s">
        <v>3926</v>
      </c>
      <c r="L99" s="1847" t="s">
        <v>2797</v>
      </c>
      <c r="M99" s="1847" t="s">
        <v>4074</v>
      </c>
      <c r="N99" s="1847"/>
      <c r="O99" s="1847"/>
      <c r="P99" s="1852">
        <v>0.78</v>
      </c>
      <c r="Q99" s="1852">
        <v>1</v>
      </c>
      <c r="R99" s="483" t="e">
        <f>IF(H99="","",SUMIFS('[1]1_group_totals'!$J$8:$J$10000,'[1]1_group_totals'!$C$8:$C$10000,C99))</f>
        <v>#VALUE!</v>
      </c>
      <c r="S99" s="483">
        <f t="shared" si="9"/>
        <v>52</v>
      </c>
      <c r="T99" s="483">
        <v>1</v>
      </c>
      <c r="U99" s="510" t="e">
        <f t="shared" si="10"/>
        <v>#VALUE!</v>
      </c>
      <c r="V99" s="510">
        <v>1</v>
      </c>
      <c r="W99" s="510">
        <v>0</v>
      </c>
      <c r="X99" s="510">
        <v>0</v>
      </c>
      <c r="Y99" s="483">
        <v>1</v>
      </c>
      <c r="Z99" s="483">
        <v>1</v>
      </c>
      <c r="AA99" s="1847" t="e">
        <f t="shared" si="11"/>
        <v>#VALUE!</v>
      </c>
      <c r="AB99" s="1847">
        <f t="shared" si="12"/>
        <v>0.78</v>
      </c>
      <c r="AC99" s="1847">
        <f t="shared" si="13"/>
        <v>1</v>
      </c>
      <c r="AD99" s="1847" t="e">
        <f t="shared" si="14"/>
        <v>#VALUE!</v>
      </c>
      <c r="AE99" s="1847" t="e">
        <f t="shared" si="15"/>
        <v>#VALUE!</v>
      </c>
      <c r="AF99" s="1823" t="e">
        <f t="shared" si="16"/>
        <v>#VALUE!</v>
      </c>
      <c r="AG99" s="1769" t="e">
        <f t="shared" si="17"/>
        <v>#VALUE!</v>
      </c>
      <c r="AI99" t="s">
        <v>2363</v>
      </c>
    </row>
    <row r="100" spans="3:35" ht="24.95" customHeight="1">
      <c r="C100" s="491">
        <v>93</v>
      </c>
      <c r="D100" s="1847"/>
      <c r="E100" s="1847"/>
      <c r="F100" s="1847" t="s">
        <v>2365</v>
      </c>
      <c r="G100" s="1847" t="s">
        <v>2365</v>
      </c>
      <c r="H100" s="1847" t="s">
        <v>2784</v>
      </c>
      <c r="I100" s="1847" t="s">
        <v>2784</v>
      </c>
      <c r="J100" s="1847" t="s">
        <v>2759</v>
      </c>
      <c r="K100" s="1847" t="s">
        <v>3926</v>
      </c>
      <c r="L100" s="1847" t="s">
        <v>2799</v>
      </c>
      <c r="M100" s="1847" t="s">
        <v>4078</v>
      </c>
      <c r="N100" s="1847"/>
      <c r="O100" s="1847"/>
      <c r="P100" s="1852">
        <v>11.76</v>
      </c>
      <c r="Q100" s="1852">
        <v>1</v>
      </c>
      <c r="R100" s="483" t="e">
        <f>IF(H100="","",SUMIFS('[1]1_group_totals'!$J$8:$J$10000,'[1]1_group_totals'!$C$8:$C$10000,C100))</f>
        <v>#VALUE!</v>
      </c>
      <c r="S100" s="483">
        <f t="shared" si="9"/>
        <v>32</v>
      </c>
      <c r="T100" s="483" t="s">
        <v>1799</v>
      </c>
      <c r="U100" s="510" t="e">
        <f t="shared" si="10"/>
        <v>#VALUE!</v>
      </c>
      <c r="V100" s="510">
        <v>1</v>
      </c>
      <c r="W100" s="510">
        <v>0</v>
      </c>
      <c r="X100" s="510">
        <v>0</v>
      </c>
      <c r="Y100" s="483">
        <v>1</v>
      </c>
      <c r="Z100" s="483">
        <v>1</v>
      </c>
      <c r="AA100" s="1847" t="e">
        <f t="shared" si="11"/>
        <v>#VALUE!</v>
      </c>
      <c r="AB100" s="1847">
        <f t="shared" si="12"/>
        <v>0.49</v>
      </c>
      <c r="AC100" s="1847">
        <f t="shared" si="13"/>
        <v>4.1666666666666664E-2</v>
      </c>
      <c r="AD100" s="1847" t="e">
        <f t="shared" si="14"/>
        <v>#VALUE!</v>
      </c>
      <c r="AE100" s="1847" t="e">
        <f t="shared" si="15"/>
        <v>#VALUE!</v>
      </c>
      <c r="AF100" s="1823" t="e">
        <f t="shared" si="16"/>
        <v>#VALUE!</v>
      </c>
      <c r="AG100" s="1769" t="e">
        <f t="shared" si="17"/>
        <v>#VALUE!</v>
      </c>
      <c r="AI100" t="s">
        <v>2365</v>
      </c>
    </row>
    <row r="101" spans="3:35" ht="24.95" customHeight="1">
      <c r="C101" s="491">
        <v>94</v>
      </c>
      <c r="D101" s="1847"/>
      <c r="E101" s="1847"/>
      <c r="F101" s="1847" t="s">
        <v>2367</v>
      </c>
      <c r="G101" s="1847" t="s">
        <v>2367</v>
      </c>
      <c r="H101" s="1847" t="s">
        <v>2364</v>
      </c>
      <c r="I101" s="1847" t="s">
        <v>2364</v>
      </c>
      <c r="J101" s="1847" t="s">
        <v>2766</v>
      </c>
      <c r="K101" s="1847" t="s">
        <v>3926</v>
      </c>
      <c r="L101" s="1847" t="s">
        <v>2797</v>
      </c>
      <c r="M101" s="1847" t="s">
        <v>4085</v>
      </c>
      <c r="N101" s="1847"/>
      <c r="O101" s="1847"/>
      <c r="P101" s="1852">
        <v>18</v>
      </c>
      <c r="Q101" s="1852">
        <v>0.13</v>
      </c>
      <c r="R101" s="483" t="e">
        <f>IF(H101="","",SUMIFS('[1]1_group_totals'!$J$8:$J$10000,'[1]1_group_totals'!$C$8:$C$10000,C101))</f>
        <v>#VALUE!</v>
      </c>
      <c r="S101" s="483">
        <f t="shared" si="9"/>
        <v>37</v>
      </c>
      <c r="T101" s="483" t="s">
        <v>2738</v>
      </c>
      <c r="U101" s="510" t="e">
        <f t="shared" si="10"/>
        <v>#VALUE!</v>
      </c>
      <c r="V101" s="510">
        <v>1</v>
      </c>
      <c r="W101" s="510">
        <v>0</v>
      </c>
      <c r="X101" s="510">
        <v>0</v>
      </c>
      <c r="Y101" s="483">
        <v>1</v>
      </c>
      <c r="Z101" s="483">
        <v>1</v>
      </c>
      <c r="AA101" s="1847" t="e">
        <f t="shared" si="11"/>
        <v>#VALUE!</v>
      </c>
      <c r="AB101" s="1847">
        <f t="shared" si="12"/>
        <v>0.1</v>
      </c>
      <c r="AC101" s="1847">
        <f t="shared" si="13"/>
        <v>7.222222222222223E-4</v>
      </c>
      <c r="AD101" s="1847" t="e">
        <f t="shared" si="14"/>
        <v>#VALUE!</v>
      </c>
      <c r="AE101" s="1847" t="e">
        <f t="shared" si="15"/>
        <v>#VALUE!</v>
      </c>
      <c r="AF101" s="1823" t="e">
        <f t="shared" si="16"/>
        <v>#VALUE!</v>
      </c>
      <c r="AG101" s="1769" t="e">
        <f t="shared" si="17"/>
        <v>#VALUE!</v>
      </c>
      <c r="AI101" t="s">
        <v>2367</v>
      </c>
    </row>
    <row r="102" spans="3:35" ht="24.95" customHeight="1">
      <c r="C102" s="491">
        <v>95</v>
      </c>
      <c r="D102" s="1847"/>
      <c r="E102" s="1847"/>
      <c r="F102" s="1847" t="s">
        <v>2369</v>
      </c>
      <c r="G102" s="1847" t="s">
        <v>2369</v>
      </c>
      <c r="H102" s="1847" t="s">
        <v>2366</v>
      </c>
      <c r="I102" s="1847" t="s">
        <v>2366</v>
      </c>
      <c r="J102" s="1847" t="s">
        <v>2632</v>
      </c>
      <c r="K102" s="1847" t="s">
        <v>3926</v>
      </c>
      <c r="L102" s="1847" t="s">
        <v>2799</v>
      </c>
      <c r="M102" s="1847" t="s">
        <v>4077</v>
      </c>
      <c r="N102" s="1847"/>
      <c r="O102" s="1847"/>
      <c r="P102" s="1852">
        <v>4.5599999999999996</v>
      </c>
      <c r="Q102" s="1852">
        <v>0.75</v>
      </c>
      <c r="R102" s="483" t="e">
        <f>IF(H102="","",SUMIFS('[1]1_group_totals'!$J$8:$J$10000,'[1]1_group_totals'!$C$8:$C$10000,C102))</f>
        <v>#VALUE!</v>
      </c>
      <c r="S102" s="483">
        <f t="shared" si="9"/>
        <v>26</v>
      </c>
      <c r="T102" s="483" t="s">
        <v>36</v>
      </c>
      <c r="U102" s="510" t="e">
        <f t="shared" si="10"/>
        <v>#VALUE!</v>
      </c>
      <c r="V102" s="510">
        <v>1</v>
      </c>
      <c r="W102" s="510">
        <v>0</v>
      </c>
      <c r="X102" s="510">
        <v>0</v>
      </c>
      <c r="Y102" s="483">
        <v>1</v>
      </c>
      <c r="Z102" s="483">
        <v>1</v>
      </c>
      <c r="AA102" s="1847" t="e">
        <f t="shared" si="11"/>
        <v>#VALUE!</v>
      </c>
      <c r="AB102" s="1847">
        <f t="shared" si="12"/>
        <v>0.37999999999999995</v>
      </c>
      <c r="AC102" s="1847">
        <f t="shared" si="13"/>
        <v>6.25E-2</v>
      </c>
      <c r="AD102" s="1847" t="e">
        <f t="shared" si="14"/>
        <v>#VALUE!</v>
      </c>
      <c r="AE102" s="1847" t="e">
        <f t="shared" si="15"/>
        <v>#VALUE!</v>
      </c>
      <c r="AF102" s="1823" t="e">
        <f t="shared" si="16"/>
        <v>#VALUE!</v>
      </c>
      <c r="AG102" s="1769" t="e">
        <f t="shared" si="17"/>
        <v>#VALUE!</v>
      </c>
      <c r="AI102" t="s">
        <v>2369</v>
      </c>
    </row>
    <row r="103" spans="3:35" ht="24.95" customHeight="1">
      <c r="C103" s="491">
        <v>96</v>
      </c>
      <c r="D103" s="1847"/>
      <c r="E103" s="1847"/>
      <c r="F103" s="1847" t="s">
        <v>2371</v>
      </c>
      <c r="G103" s="1847" t="s">
        <v>2371</v>
      </c>
      <c r="H103" s="1847" t="s">
        <v>4426</v>
      </c>
      <c r="I103" s="1847" t="s">
        <v>2368</v>
      </c>
      <c r="J103" s="1847" t="s">
        <v>2632</v>
      </c>
      <c r="K103" s="1847" t="s">
        <v>3926</v>
      </c>
      <c r="L103" s="1847" t="s">
        <v>2799</v>
      </c>
      <c r="M103" s="1847" t="s">
        <v>4077</v>
      </c>
      <c r="N103" s="1847"/>
      <c r="O103" s="1847"/>
      <c r="P103" s="1852">
        <v>3.24</v>
      </c>
      <c r="Q103" s="1852">
        <v>0.38</v>
      </c>
      <c r="R103" s="483" t="e">
        <f>IF(H103="","",SUMIFS('[1]1_group_totals'!$J$8:$J$10000,'[1]1_group_totals'!$C$8:$C$10000,C103))</f>
        <v>#VALUE!</v>
      </c>
      <c r="S103" s="483">
        <f t="shared" si="9"/>
        <v>26</v>
      </c>
      <c r="T103" s="483" t="s">
        <v>36</v>
      </c>
      <c r="U103" s="510" t="e">
        <f t="shared" si="10"/>
        <v>#VALUE!</v>
      </c>
      <c r="V103" s="510">
        <v>1</v>
      </c>
      <c r="W103" s="510">
        <v>0</v>
      </c>
      <c r="X103" s="510">
        <v>0</v>
      </c>
      <c r="Y103" s="483">
        <v>1</v>
      </c>
      <c r="Z103" s="483">
        <v>1</v>
      </c>
      <c r="AA103" s="1847" t="e">
        <f t="shared" si="11"/>
        <v>#VALUE!</v>
      </c>
      <c r="AB103" s="1847">
        <f t="shared" si="12"/>
        <v>0.27</v>
      </c>
      <c r="AC103" s="1847">
        <f t="shared" si="13"/>
        <v>3.1666666666666669E-2</v>
      </c>
      <c r="AD103" s="1847" t="e">
        <f t="shared" si="14"/>
        <v>#VALUE!</v>
      </c>
      <c r="AE103" s="1847" t="e">
        <f t="shared" si="15"/>
        <v>#VALUE!</v>
      </c>
      <c r="AF103" s="1823" t="e">
        <f t="shared" si="16"/>
        <v>#VALUE!</v>
      </c>
      <c r="AG103" s="1769" t="e">
        <f t="shared" si="17"/>
        <v>#VALUE!</v>
      </c>
      <c r="AI103" t="s">
        <v>2371</v>
      </c>
    </row>
    <row r="104" spans="3:35" ht="24.95" customHeight="1">
      <c r="C104" s="491">
        <v>97</v>
      </c>
      <c r="D104" s="1847"/>
      <c r="E104" s="1847"/>
      <c r="F104" s="1847" t="s">
        <v>2373</v>
      </c>
      <c r="G104" s="1847" t="s">
        <v>2373</v>
      </c>
      <c r="H104" s="1847" t="s">
        <v>2370</v>
      </c>
      <c r="I104" s="1847" t="s">
        <v>2370</v>
      </c>
      <c r="J104" s="1847" t="s">
        <v>2632</v>
      </c>
      <c r="K104" s="1847" t="s">
        <v>3926</v>
      </c>
      <c r="L104" s="1847" t="s">
        <v>2799</v>
      </c>
      <c r="M104" s="1847" t="s">
        <v>4077</v>
      </c>
      <c r="N104" s="1847"/>
      <c r="O104" s="1847"/>
      <c r="P104" s="1852">
        <v>3.6</v>
      </c>
      <c r="Q104" s="1852">
        <v>0.5</v>
      </c>
      <c r="R104" s="483" t="e">
        <f>IF(H104="","",SUMIFS('[1]1_group_totals'!$J$8:$J$10000,'[1]1_group_totals'!$C$8:$C$10000,C104))</f>
        <v>#VALUE!</v>
      </c>
      <c r="S104" s="483">
        <f t="shared" si="9"/>
        <v>26</v>
      </c>
      <c r="T104" s="483" t="s">
        <v>36</v>
      </c>
      <c r="U104" s="510" t="e">
        <f t="shared" si="10"/>
        <v>#VALUE!</v>
      </c>
      <c r="V104" s="510">
        <v>1</v>
      </c>
      <c r="W104" s="510">
        <v>0</v>
      </c>
      <c r="X104" s="510">
        <v>0</v>
      </c>
      <c r="Y104" s="483">
        <v>1</v>
      </c>
      <c r="Z104" s="483">
        <v>1</v>
      </c>
      <c r="AA104" s="1847" t="e">
        <f t="shared" si="11"/>
        <v>#VALUE!</v>
      </c>
      <c r="AB104" s="1847">
        <f t="shared" si="12"/>
        <v>0.3</v>
      </c>
      <c r="AC104" s="1847">
        <f t="shared" si="13"/>
        <v>4.1666666666666664E-2</v>
      </c>
      <c r="AD104" s="1847" t="e">
        <f t="shared" si="14"/>
        <v>#VALUE!</v>
      </c>
      <c r="AE104" s="1847" t="e">
        <f t="shared" si="15"/>
        <v>#VALUE!</v>
      </c>
      <c r="AF104" s="1823" t="e">
        <f t="shared" si="16"/>
        <v>#VALUE!</v>
      </c>
      <c r="AG104" s="1769" t="e">
        <f t="shared" si="17"/>
        <v>#VALUE!</v>
      </c>
      <c r="AI104" t="s">
        <v>2373</v>
      </c>
    </row>
    <row r="105" spans="3:35" ht="24.95" customHeight="1">
      <c r="C105" s="491">
        <v>98</v>
      </c>
      <c r="D105" s="1847"/>
      <c r="E105" s="1847"/>
      <c r="F105" s="1847" t="s">
        <v>2375</v>
      </c>
      <c r="G105" s="1847" t="s">
        <v>2375</v>
      </c>
      <c r="H105" s="1847" t="s">
        <v>2372</v>
      </c>
      <c r="I105" s="1847" t="s">
        <v>2372</v>
      </c>
      <c r="J105" s="1847" t="s">
        <v>2759</v>
      </c>
      <c r="K105" s="1847" t="s">
        <v>3926</v>
      </c>
      <c r="L105" s="1847" t="s">
        <v>2799</v>
      </c>
      <c r="M105" s="1847" t="s">
        <v>4078</v>
      </c>
      <c r="N105" s="1847"/>
      <c r="O105" s="1847"/>
      <c r="P105" s="1852">
        <v>9.6</v>
      </c>
      <c r="Q105" s="1852">
        <v>0.75</v>
      </c>
      <c r="R105" s="483" t="e">
        <f>IF(H105="","",SUMIFS('[1]1_group_totals'!$J$8:$J$10000,'[1]1_group_totals'!$C$8:$C$10000,C105))</f>
        <v>#VALUE!</v>
      </c>
      <c r="S105" s="483">
        <f t="shared" si="9"/>
        <v>32</v>
      </c>
      <c r="T105" s="483" t="s">
        <v>1799</v>
      </c>
      <c r="U105" s="510" t="e">
        <f t="shared" si="10"/>
        <v>#VALUE!</v>
      </c>
      <c r="V105" s="510">
        <v>1</v>
      </c>
      <c r="W105" s="510">
        <v>0</v>
      </c>
      <c r="X105" s="510">
        <v>0</v>
      </c>
      <c r="Y105" s="483">
        <v>1</v>
      </c>
      <c r="Z105" s="483">
        <v>1</v>
      </c>
      <c r="AA105" s="1847" t="e">
        <f t="shared" si="11"/>
        <v>#VALUE!</v>
      </c>
      <c r="AB105" s="1847">
        <f t="shared" si="12"/>
        <v>0.39999999999999997</v>
      </c>
      <c r="AC105" s="1847">
        <f t="shared" si="13"/>
        <v>3.125E-2</v>
      </c>
      <c r="AD105" s="1847" t="e">
        <f t="shared" si="14"/>
        <v>#VALUE!</v>
      </c>
      <c r="AE105" s="1847" t="e">
        <f t="shared" si="15"/>
        <v>#VALUE!</v>
      </c>
      <c r="AF105" s="1823" t="e">
        <f t="shared" si="16"/>
        <v>#VALUE!</v>
      </c>
      <c r="AG105" s="1769" t="e">
        <f t="shared" si="17"/>
        <v>#VALUE!</v>
      </c>
      <c r="AI105" t="s">
        <v>2375</v>
      </c>
    </row>
    <row r="106" spans="3:35" ht="24.95" customHeight="1">
      <c r="C106" s="491">
        <v>99</v>
      </c>
      <c r="D106" s="1847"/>
      <c r="E106" s="1847"/>
      <c r="F106" s="1847" t="s">
        <v>2378</v>
      </c>
      <c r="G106" s="1847" t="s">
        <v>2378</v>
      </c>
      <c r="H106" s="1847" t="s">
        <v>2374</v>
      </c>
      <c r="I106" s="1847" t="s">
        <v>2374</v>
      </c>
      <c r="J106" s="1847" t="s">
        <v>2765</v>
      </c>
      <c r="K106" s="1847" t="s">
        <v>3926</v>
      </c>
      <c r="L106" s="1847" t="s">
        <v>2799</v>
      </c>
      <c r="M106" s="1847" t="s">
        <v>4084</v>
      </c>
      <c r="N106" s="1847"/>
      <c r="O106" s="1847"/>
      <c r="P106" s="1852">
        <v>4.8</v>
      </c>
      <c r="Q106" s="1852">
        <v>0.5</v>
      </c>
      <c r="R106" s="483" t="e">
        <f>IF(H106="","",SUMIFS('[1]1_group_totals'!$J$8:$J$10000,'[1]1_group_totals'!$C$8:$C$10000,C106))</f>
        <v>#VALUE!</v>
      </c>
      <c r="S106" s="483">
        <f t="shared" si="9"/>
        <v>31</v>
      </c>
      <c r="T106" s="483" t="s">
        <v>45</v>
      </c>
      <c r="U106" s="510" t="e">
        <f t="shared" si="10"/>
        <v>#VALUE!</v>
      </c>
      <c r="V106" s="510">
        <v>1</v>
      </c>
      <c r="W106" s="510">
        <v>0</v>
      </c>
      <c r="X106" s="510">
        <v>0</v>
      </c>
      <c r="Y106" s="483">
        <v>1</v>
      </c>
      <c r="Z106" s="483">
        <v>1</v>
      </c>
      <c r="AA106" s="1847" t="e">
        <f t="shared" si="11"/>
        <v>#VALUE!</v>
      </c>
      <c r="AB106" s="1847">
        <f t="shared" si="12"/>
        <v>0.24</v>
      </c>
      <c r="AC106" s="1847">
        <f t="shared" si="13"/>
        <v>2.5000000000000001E-2</v>
      </c>
      <c r="AD106" s="1847" t="e">
        <f t="shared" si="14"/>
        <v>#VALUE!</v>
      </c>
      <c r="AE106" s="1847" t="e">
        <f t="shared" si="15"/>
        <v>#VALUE!</v>
      </c>
      <c r="AF106" s="1823" t="e">
        <f t="shared" si="16"/>
        <v>#VALUE!</v>
      </c>
      <c r="AG106" s="1769" t="e">
        <f t="shared" si="17"/>
        <v>#VALUE!</v>
      </c>
      <c r="AI106" t="s">
        <v>2378</v>
      </c>
    </row>
    <row r="107" spans="3:35" ht="24.95" customHeight="1">
      <c r="C107" s="491">
        <v>100</v>
      </c>
      <c r="D107" s="1847"/>
      <c r="E107" s="1847"/>
      <c r="F107" s="1847" t="s">
        <v>2380</v>
      </c>
      <c r="G107" s="1847" t="s">
        <v>2380</v>
      </c>
      <c r="H107" s="1847" t="s">
        <v>2376</v>
      </c>
      <c r="I107" s="1847" t="s">
        <v>2376</v>
      </c>
      <c r="J107" s="1847" t="s">
        <v>2632</v>
      </c>
      <c r="K107" s="1847" t="s">
        <v>3926</v>
      </c>
      <c r="L107" s="1847" t="s">
        <v>2799</v>
      </c>
      <c r="M107" s="1847" t="s">
        <v>4077</v>
      </c>
      <c r="N107" s="1847"/>
      <c r="O107" s="1847"/>
      <c r="P107" s="1852">
        <v>66</v>
      </c>
      <c r="Q107" s="1852">
        <v>6</v>
      </c>
      <c r="R107" s="483" t="e">
        <f>IF(H107="","",SUMIFS('[1]1_group_totals'!$J$8:$J$10000,'[1]1_group_totals'!$C$8:$C$10000,C107))</f>
        <v>#VALUE!</v>
      </c>
      <c r="S107" s="483">
        <f t="shared" si="9"/>
        <v>26</v>
      </c>
      <c r="T107" s="483" t="s">
        <v>36</v>
      </c>
      <c r="U107" s="510" t="e">
        <f t="shared" si="10"/>
        <v>#VALUE!</v>
      </c>
      <c r="V107" s="510">
        <v>1</v>
      </c>
      <c r="W107" s="510">
        <v>0</v>
      </c>
      <c r="X107" s="510">
        <v>0</v>
      </c>
      <c r="Y107" s="483">
        <v>1</v>
      </c>
      <c r="Z107" s="483">
        <v>1</v>
      </c>
      <c r="AA107" s="1847" t="e">
        <f t="shared" si="11"/>
        <v>#VALUE!</v>
      </c>
      <c r="AB107" s="1847">
        <f t="shared" si="12"/>
        <v>5.5</v>
      </c>
      <c r="AC107" s="1847">
        <f t="shared" si="13"/>
        <v>0.5</v>
      </c>
      <c r="AD107" s="1847" t="e">
        <f t="shared" si="14"/>
        <v>#VALUE!</v>
      </c>
      <c r="AE107" s="1847" t="e">
        <f t="shared" si="15"/>
        <v>#VALUE!</v>
      </c>
      <c r="AF107" s="1823" t="e">
        <f t="shared" si="16"/>
        <v>#VALUE!</v>
      </c>
      <c r="AG107" s="1769" t="e">
        <f t="shared" si="17"/>
        <v>#VALUE!</v>
      </c>
      <c r="AI107" t="s">
        <v>2380</v>
      </c>
    </row>
    <row r="108" spans="3:35" ht="24.95" customHeight="1">
      <c r="C108" s="491">
        <v>101</v>
      </c>
      <c r="D108" s="1847"/>
      <c r="E108" s="1847"/>
      <c r="F108" s="1847" t="s">
        <v>2382</v>
      </c>
      <c r="G108" s="1847" t="s">
        <v>2382</v>
      </c>
      <c r="H108" s="1847" t="s">
        <v>4607</v>
      </c>
      <c r="I108" s="1847" t="s">
        <v>2377</v>
      </c>
      <c r="J108" s="1847" t="s">
        <v>2767</v>
      </c>
      <c r="K108" s="1847" t="s">
        <v>3924</v>
      </c>
      <c r="L108" s="1847" t="s">
        <v>2800</v>
      </c>
      <c r="M108" s="1847" t="s">
        <v>4086</v>
      </c>
      <c r="N108" s="1847" t="s">
        <v>2050</v>
      </c>
      <c r="O108" s="1847"/>
      <c r="P108" s="1852">
        <v>5</v>
      </c>
      <c r="Q108" s="1852">
        <v>5.5</v>
      </c>
      <c r="R108" s="483" t="e">
        <f>IF(H108="","",SUMIFS('[1]1_group_totals'!$J$8:$J$10000,'[1]1_group_totals'!$C$8:$C$10000,C108))</f>
        <v>#VALUE!</v>
      </c>
      <c r="S108" s="483">
        <f t="shared" si="9"/>
        <v>46</v>
      </c>
      <c r="T108" s="483">
        <v>4500</v>
      </c>
      <c r="U108" s="510" t="e">
        <f t="shared" si="10"/>
        <v>#VALUE!</v>
      </c>
      <c r="V108" s="510">
        <v>1</v>
      </c>
      <c r="W108" s="510">
        <v>0</v>
      </c>
      <c r="X108" s="510">
        <v>0</v>
      </c>
      <c r="Y108" s="483">
        <v>1</v>
      </c>
      <c r="Z108" s="483">
        <v>1</v>
      </c>
      <c r="AA108" s="1847" t="e">
        <f t="shared" si="11"/>
        <v>#VALUE!</v>
      </c>
      <c r="AB108" s="1847">
        <f t="shared" si="12"/>
        <v>1.1111111111111111E-3</v>
      </c>
      <c r="AC108" s="1847">
        <f t="shared" si="13"/>
        <v>1.2222222222222222E-3</v>
      </c>
      <c r="AD108" s="1847" t="e">
        <f t="shared" si="14"/>
        <v>#VALUE!</v>
      </c>
      <c r="AE108" s="1847" t="e">
        <f t="shared" si="15"/>
        <v>#VALUE!</v>
      </c>
      <c r="AF108" s="1823" t="e">
        <f t="shared" si="16"/>
        <v>#VALUE!</v>
      </c>
      <c r="AG108" s="1769" t="e">
        <f t="shared" si="17"/>
        <v>#VALUE!</v>
      </c>
      <c r="AI108" t="s">
        <v>2382</v>
      </c>
    </row>
    <row r="109" spans="3:35" ht="24.95" customHeight="1">
      <c r="C109" s="491">
        <v>102</v>
      </c>
      <c r="D109" s="1847"/>
      <c r="E109" s="1847"/>
      <c r="F109" s="1847" t="s">
        <v>2384</v>
      </c>
      <c r="G109" s="1847" t="s">
        <v>2384</v>
      </c>
      <c r="H109" s="1847" t="s">
        <v>2379</v>
      </c>
      <c r="I109" s="1847" t="s">
        <v>2379</v>
      </c>
      <c r="J109" s="1847" t="s">
        <v>2768</v>
      </c>
      <c r="K109" s="1847" t="s">
        <v>2795</v>
      </c>
      <c r="L109" s="1847" t="s">
        <v>2799</v>
      </c>
      <c r="M109" s="1847" t="s">
        <v>4087</v>
      </c>
      <c r="N109" s="1847" t="s">
        <v>2050</v>
      </c>
      <c r="O109" s="1847"/>
      <c r="P109" s="1852">
        <v>108</v>
      </c>
      <c r="Q109" s="1852">
        <v>5</v>
      </c>
      <c r="R109" s="483" t="e">
        <f>IF(H109="","",SUMIFS('[1]1_group_totals'!$J$8:$J$10000,'[1]1_group_totals'!$C$8:$C$10000,C109))</f>
        <v>#VALUE!</v>
      </c>
      <c r="S109" s="483">
        <f t="shared" si="9"/>
        <v>44</v>
      </c>
      <c r="T109" s="483" t="s">
        <v>1799</v>
      </c>
      <c r="U109" s="510" t="e">
        <f t="shared" si="10"/>
        <v>#VALUE!</v>
      </c>
      <c r="V109" s="510">
        <v>1</v>
      </c>
      <c r="W109" s="510">
        <v>0</v>
      </c>
      <c r="X109" s="510">
        <v>0</v>
      </c>
      <c r="Y109" s="483">
        <v>1</v>
      </c>
      <c r="Z109" s="483">
        <v>1</v>
      </c>
      <c r="AA109" s="1847" t="e">
        <f t="shared" si="11"/>
        <v>#VALUE!</v>
      </c>
      <c r="AB109" s="1847">
        <f t="shared" si="12"/>
        <v>4.5</v>
      </c>
      <c r="AC109" s="1847">
        <f t="shared" si="13"/>
        <v>0.20833333333333334</v>
      </c>
      <c r="AD109" s="1847" t="e">
        <f t="shared" si="14"/>
        <v>#VALUE!</v>
      </c>
      <c r="AE109" s="1847" t="e">
        <f t="shared" si="15"/>
        <v>#VALUE!</v>
      </c>
      <c r="AF109" s="1823" t="e">
        <f t="shared" si="16"/>
        <v>#VALUE!</v>
      </c>
      <c r="AG109" s="1769" t="e">
        <f t="shared" si="17"/>
        <v>#VALUE!</v>
      </c>
      <c r="AI109" t="s">
        <v>2384</v>
      </c>
    </row>
    <row r="110" spans="3:35" ht="24.95" customHeight="1">
      <c r="C110" s="491">
        <v>103</v>
      </c>
      <c r="D110" s="1847"/>
      <c r="E110" s="1847"/>
      <c r="F110" s="1847" t="s">
        <v>2386</v>
      </c>
      <c r="G110" s="1847" t="s">
        <v>2386</v>
      </c>
      <c r="H110" s="1847" t="s">
        <v>2381</v>
      </c>
      <c r="I110" s="1847" t="s">
        <v>2381</v>
      </c>
      <c r="J110" s="1847" t="s">
        <v>2632</v>
      </c>
      <c r="K110" s="1847" t="s">
        <v>2795</v>
      </c>
      <c r="L110" s="1847" t="s">
        <v>2801</v>
      </c>
      <c r="M110" s="1847" t="s">
        <v>4077</v>
      </c>
      <c r="N110" s="1847" t="s">
        <v>2050</v>
      </c>
      <c r="O110" s="1847"/>
      <c r="P110" s="1852">
        <v>9</v>
      </c>
      <c r="Q110" s="1852">
        <v>1</v>
      </c>
      <c r="R110" s="483" t="e">
        <f>IF(H110="","",SUMIFS('[1]1_group_totals'!$J$8:$J$10000,'[1]1_group_totals'!$C$8:$C$10000,C110))</f>
        <v>#VALUE!</v>
      </c>
      <c r="S110" s="483">
        <f t="shared" si="9"/>
        <v>26</v>
      </c>
      <c r="T110" s="483" t="s">
        <v>36</v>
      </c>
      <c r="U110" s="510" t="e">
        <f t="shared" si="10"/>
        <v>#VALUE!</v>
      </c>
      <c r="V110" s="510">
        <v>1</v>
      </c>
      <c r="W110" s="510">
        <v>0</v>
      </c>
      <c r="X110" s="510">
        <v>0</v>
      </c>
      <c r="Y110" s="483">
        <v>1</v>
      </c>
      <c r="Z110" s="483">
        <v>1</v>
      </c>
      <c r="AA110" s="1847" t="e">
        <f t="shared" si="11"/>
        <v>#VALUE!</v>
      </c>
      <c r="AB110" s="1847">
        <f t="shared" si="12"/>
        <v>0.75</v>
      </c>
      <c r="AC110" s="1847">
        <f t="shared" si="13"/>
        <v>8.3333333333333329E-2</v>
      </c>
      <c r="AD110" s="1847" t="e">
        <f t="shared" si="14"/>
        <v>#VALUE!</v>
      </c>
      <c r="AE110" s="1847" t="e">
        <f t="shared" si="15"/>
        <v>#VALUE!</v>
      </c>
      <c r="AF110" s="1823" t="e">
        <f t="shared" si="16"/>
        <v>#VALUE!</v>
      </c>
      <c r="AG110" s="1769" t="e">
        <f t="shared" si="17"/>
        <v>#VALUE!</v>
      </c>
      <c r="AI110" t="s">
        <v>2386</v>
      </c>
    </row>
    <row r="111" spans="3:35" ht="24.95" customHeight="1">
      <c r="C111" s="491">
        <v>104</v>
      </c>
      <c r="D111" s="1847"/>
      <c r="E111" s="1847"/>
      <c r="F111" s="1847" t="s">
        <v>2388</v>
      </c>
      <c r="G111" s="1847" t="s">
        <v>2388</v>
      </c>
      <c r="H111" s="1847" t="s">
        <v>2383</v>
      </c>
      <c r="I111" s="1847" t="s">
        <v>2383</v>
      </c>
      <c r="J111" s="1847" t="s">
        <v>2632</v>
      </c>
      <c r="K111" s="1847" t="s">
        <v>2795</v>
      </c>
      <c r="L111" s="1847" t="s">
        <v>2801</v>
      </c>
      <c r="M111" s="1847" t="s">
        <v>4077</v>
      </c>
      <c r="N111" s="1847" t="s">
        <v>2050</v>
      </c>
      <c r="O111" s="1847"/>
      <c r="P111" s="1852">
        <v>11.4</v>
      </c>
      <c r="Q111" s="1852">
        <v>1.1000000000000001</v>
      </c>
      <c r="R111" s="483" t="e">
        <f>IF(H111="","",SUMIFS('[1]1_group_totals'!$J$8:$J$10000,'[1]1_group_totals'!$C$8:$C$10000,C111))</f>
        <v>#VALUE!</v>
      </c>
      <c r="S111" s="483">
        <f t="shared" si="9"/>
        <v>26</v>
      </c>
      <c r="T111" s="483" t="s">
        <v>36</v>
      </c>
      <c r="U111" s="510" t="e">
        <f t="shared" si="10"/>
        <v>#VALUE!</v>
      </c>
      <c r="V111" s="510">
        <v>1</v>
      </c>
      <c r="W111" s="510">
        <v>0</v>
      </c>
      <c r="X111" s="510">
        <v>0</v>
      </c>
      <c r="Y111" s="483">
        <v>1</v>
      </c>
      <c r="Z111" s="483">
        <v>1</v>
      </c>
      <c r="AA111" s="1847" t="e">
        <f t="shared" si="11"/>
        <v>#VALUE!</v>
      </c>
      <c r="AB111" s="1847">
        <f t="shared" si="12"/>
        <v>0.95000000000000007</v>
      </c>
      <c r="AC111" s="1847">
        <f t="shared" si="13"/>
        <v>9.1666666666666674E-2</v>
      </c>
      <c r="AD111" s="1847" t="e">
        <f t="shared" si="14"/>
        <v>#VALUE!</v>
      </c>
      <c r="AE111" s="1847" t="e">
        <f t="shared" si="15"/>
        <v>#VALUE!</v>
      </c>
      <c r="AF111" s="1823" t="e">
        <f t="shared" si="16"/>
        <v>#VALUE!</v>
      </c>
      <c r="AG111" s="1769" t="e">
        <f t="shared" si="17"/>
        <v>#VALUE!</v>
      </c>
      <c r="AI111" t="s">
        <v>2388</v>
      </c>
    </row>
    <row r="112" spans="3:35" ht="24.95" customHeight="1">
      <c r="C112" s="491">
        <v>105</v>
      </c>
      <c r="D112" s="1847"/>
      <c r="E112" s="1847"/>
      <c r="F112" s="1847" t="s">
        <v>2390</v>
      </c>
      <c r="G112" s="1847" t="s">
        <v>2390</v>
      </c>
      <c r="H112" s="1847" t="s">
        <v>2385</v>
      </c>
      <c r="I112" s="1847" t="s">
        <v>2385</v>
      </c>
      <c r="J112" s="1847" t="s">
        <v>2632</v>
      </c>
      <c r="K112" s="1847" t="s">
        <v>2795</v>
      </c>
      <c r="L112" s="1847" t="s">
        <v>2801</v>
      </c>
      <c r="M112" s="1847" t="s">
        <v>4077</v>
      </c>
      <c r="N112" s="1847" t="s">
        <v>2050</v>
      </c>
      <c r="O112" s="1847"/>
      <c r="P112" s="1852">
        <v>13.2</v>
      </c>
      <c r="Q112" s="1852">
        <v>1.25</v>
      </c>
      <c r="R112" s="483" t="e">
        <f>IF(H112="","",SUMIFS('[1]1_group_totals'!$J$8:$J$10000,'[1]1_group_totals'!$C$8:$C$10000,C112))</f>
        <v>#VALUE!</v>
      </c>
      <c r="S112" s="483">
        <f t="shared" si="9"/>
        <v>26</v>
      </c>
      <c r="T112" s="483" t="s">
        <v>36</v>
      </c>
      <c r="U112" s="510" t="e">
        <f t="shared" si="10"/>
        <v>#VALUE!</v>
      </c>
      <c r="V112" s="510">
        <v>1</v>
      </c>
      <c r="W112" s="510">
        <v>0</v>
      </c>
      <c r="X112" s="510">
        <v>0</v>
      </c>
      <c r="Y112" s="483">
        <v>1</v>
      </c>
      <c r="Z112" s="483">
        <v>1</v>
      </c>
      <c r="AA112" s="1847" t="e">
        <f t="shared" si="11"/>
        <v>#VALUE!</v>
      </c>
      <c r="AB112" s="1847">
        <f t="shared" si="12"/>
        <v>1.0999999999999999</v>
      </c>
      <c r="AC112" s="1847">
        <f t="shared" si="13"/>
        <v>0.10416666666666667</v>
      </c>
      <c r="AD112" s="1847" t="e">
        <f t="shared" si="14"/>
        <v>#VALUE!</v>
      </c>
      <c r="AE112" s="1847" t="e">
        <f t="shared" si="15"/>
        <v>#VALUE!</v>
      </c>
      <c r="AF112" s="1823" t="e">
        <f t="shared" si="16"/>
        <v>#VALUE!</v>
      </c>
      <c r="AG112" s="1769" t="e">
        <f t="shared" si="17"/>
        <v>#VALUE!</v>
      </c>
      <c r="AI112" t="s">
        <v>2390</v>
      </c>
    </row>
    <row r="113" spans="3:35" ht="24.95" customHeight="1">
      <c r="C113" s="491">
        <v>106</v>
      </c>
      <c r="D113" s="1847"/>
      <c r="E113" s="1847"/>
      <c r="F113" s="1847" t="s">
        <v>2392</v>
      </c>
      <c r="G113" s="1847" t="s">
        <v>2392</v>
      </c>
      <c r="H113" s="1847" t="s">
        <v>2387</v>
      </c>
      <c r="I113" s="1847" t="s">
        <v>2387</v>
      </c>
      <c r="J113" s="1847" t="s">
        <v>2632</v>
      </c>
      <c r="K113" s="1847" t="s">
        <v>2795</v>
      </c>
      <c r="L113" s="1847" t="s">
        <v>2801</v>
      </c>
      <c r="M113" s="1847" t="s">
        <v>4077</v>
      </c>
      <c r="N113" s="1847" t="s">
        <v>2050</v>
      </c>
      <c r="O113" s="1847"/>
      <c r="P113" s="1852">
        <v>14.4</v>
      </c>
      <c r="Q113" s="1852">
        <v>1.5</v>
      </c>
      <c r="R113" s="483" t="e">
        <f>IF(H113="","",SUMIFS('[1]1_group_totals'!$J$8:$J$10000,'[1]1_group_totals'!$C$8:$C$10000,C113))</f>
        <v>#VALUE!</v>
      </c>
      <c r="S113" s="483">
        <f t="shared" si="9"/>
        <v>26</v>
      </c>
      <c r="T113" s="483" t="s">
        <v>36</v>
      </c>
      <c r="U113" s="510" t="e">
        <f t="shared" si="10"/>
        <v>#VALUE!</v>
      </c>
      <c r="V113" s="510">
        <v>1</v>
      </c>
      <c r="W113" s="510">
        <v>0</v>
      </c>
      <c r="X113" s="510">
        <v>0</v>
      </c>
      <c r="Y113" s="483">
        <v>1</v>
      </c>
      <c r="Z113" s="483">
        <v>1</v>
      </c>
      <c r="AA113" s="1847" t="e">
        <f t="shared" si="11"/>
        <v>#VALUE!</v>
      </c>
      <c r="AB113" s="1847">
        <f t="shared" si="12"/>
        <v>1.2</v>
      </c>
      <c r="AC113" s="1847">
        <f t="shared" si="13"/>
        <v>0.125</v>
      </c>
      <c r="AD113" s="1847" t="e">
        <f t="shared" si="14"/>
        <v>#VALUE!</v>
      </c>
      <c r="AE113" s="1847" t="e">
        <f t="shared" si="15"/>
        <v>#VALUE!</v>
      </c>
      <c r="AF113" s="1823" t="e">
        <f t="shared" si="16"/>
        <v>#VALUE!</v>
      </c>
      <c r="AG113" s="1769" t="e">
        <f t="shared" si="17"/>
        <v>#VALUE!</v>
      </c>
      <c r="AI113" t="s">
        <v>2392</v>
      </c>
    </row>
    <row r="114" spans="3:35" ht="24.95" customHeight="1">
      <c r="C114" s="491">
        <v>107</v>
      </c>
      <c r="D114" s="1847"/>
      <c r="E114" s="1847"/>
      <c r="F114" s="1847" t="s">
        <v>2394</v>
      </c>
      <c r="G114" s="1847" t="s">
        <v>2394</v>
      </c>
      <c r="H114" s="1847" t="s">
        <v>2389</v>
      </c>
      <c r="I114" s="1847" t="s">
        <v>2389</v>
      </c>
      <c r="J114" s="1847" t="s">
        <v>2632</v>
      </c>
      <c r="K114" s="1847" t="s">
        <v>2795</v>
      </c>
      <c r="L114" s="1847" t="s">
        <v>2801</v>
      </c>
      <c r="M114" s="1847" t="s">
        <v>4077</v>
      </c>
      <c r="N114" s="1847" t="s">
        <v>2050</v>
      </c>
      <c r="O114" s="1847"/>
      <c r="P114" s="1852">
        <v>2.2999999999999998</v>
      </c>
      <c r="Q114" s="1852">
        <v>2.75</v>
      </c>
      <c r="R114" s="483" t="e">
        <f>IF(H114="","",SUMIFS('[1]1_group_totals'!$J$8:$J$10000,'[1]1_group_totals'!$C$8:$C$10000,C114))</f>
        <v>#VALUE!</v>
      </c>
      <c r="S114" s="483">
        <f t="shared" si="9"/>
        <v>26</v>
      </c>
      <c r="T114" s="483" t="s">
        <v>36</v>
      </c>
      <c r="U114" s="510" t="e">
        <f t="shared" si="10"/>
        <v>#VALUE!</v>
      </c>
      <c r="V114" s="510">
        <v>1</v>
      </c>
      <c r="W114" s="510">
        <v>0</v>
      </c>
      <c r="X114" s="510">
        <v>0</v>
      </c>
      <c r="Y114" s="483">
        <v>1</v>
      </c>
      <c r="Z114" s="483">
        <v>1</v>
      </c>
      <c r="AA114" s="1847" t="e">
        <f t="shared" si="11"/>
        <v>#VALUE!</v>
      </c>
      <c r="AB114" s="1847">
        <f t="shared" si="12"/>
        <v>0.19166666666666665</v>
      </c>
      <c r="AC114" s="1847">
        <f t="shared" si="13"/>
        <v>0.22916666666666666</v>
      </c>
      <c r="AD114" s="1847" t="e">
        <f t="shared" si="14"/>
        <v>#VALUE!</v>
      </c>
      <c r="AE114" s="1847" t="e">
        <f t="shared" si="15"/>
        <v>#VALUE!</v>
      </c>
      <c r="AF114" s="1823" t="e">
        <f t="shared" si="16"/>
        <v>#VALUE!</v>
      </c>
      <c r="AG114" s="1769" t="e">
        <f t="shared" si="17"/>
        <v>#VALUE!</v>
      </c>
      <c r="AI114" t="s">
        <v>2394</v>
      </c>
    </row>
    <row r="115" spans="3:35" ht="24.95" customHeight="1">
      <c r="C115" s="491">
        <v>108</v>
      </c>
      <c r="D115" s="1847"/>
      <c r="E115" s="1847"/>
      <c r="F115" s="1847" t="s">
        <v>2396</v>
      </c>
      <c r="G115" s="1847" t="s">
        <v>2396</v>
      </c>
      <c r="H115" s="1847" t="s">
        <v>2391</v>
      </c>
      <c r="I115" s="1847" t="s">
        <v>2391</v>
      </c>
      <c r="J115" s="1847" t="s">
        <v>2783</v>
      </c>
      <c r="K115" s="1847" t="s">
        <v>2795</v>
      </c>
      <c r="L115" s="1847" t="s">
        <v>2801</v>
      </c>
      <c r="M115" s="1847" t="s">
        <v>2172</v>
      </c>
      <c r="N115" s="1847" t="s">
        <v>2050</v>
      </c>
      <c r="O115" s="1847"/>
      <c r="P115" s="1852">
        <v>2.7</v>
      </c>
      <c r="Q115" s="1852">
        <v>3</v>
      </c>
      <c r="R115" s="483" t="e">
        <f>IF(H115="","",SUMIFS('[1]1_group_totals'!$J$8:$J$10000,'[1]1_group_totals'!$C$8:$C$10000,C115))</f>
        <v>#VALUE!</v>
      </c>
      <c r="S115" s="483">
        <f t="shared" si="9"/>
        <v>2</v>
      </c>
      <c r="T115" s="483">
        <v>1</v>
      </c>
      <c r="U115" s="510" t="e">
        <f t="shared" si="10"/>
        <v>#VALUE!</v>
      </c>
      <c r="V115" s="510">
        <v>1</v>
      </c>
      <c r="W115" s="510">
        <v>0</v>
      </c>
      <c r="X115" s="510">
        <v>0</v>
      </c>
      <c r="Y115" s="483">
        <v>1</v>
      </c>
      <c r="Z115" s="483">
        <v>1</v>
      </c>
      <c r="AA115" s="1847" t="e">
        <f t="shared" si="11"/>
        <v>#VALUE!</v>
      </c>
      <c r="AB115" s="1847">
        <f t="shared" si="12"/>
        <v>2.7</v>
      </c>
      <c r="AC115" s="1847">
        <f t="shared" si="13"/>
        <v>3</v>
      </c>
      <c r="AD115" s="1847" t="e">
        <f t="shared" si="14"/>
        <v>#VALUE!</v>
      </c>
      <c r="AE115" s="1847" t="e">
        <f t="shared" si="15"/>
        <v>#VALUE!</v>
      </c>
      <c r="AF115" s="1823" t="e">
        <f t="shared" si="16"/>
        <v>#VALUE!</v>
      </c>
      <c r="AG115" s="1769" t="e">
        <f t="shared" si="17"/>
        <v>#VALUE!</v>
      </c>
      <c r="AI115" t="s">
        <v>2396</v>
      </c>
    </row>
    <row r="116" spans="3:35" ht="24.95" customHeight="1">
      <c r="C116" s="491">
        <v>109</v>
      </c>
      <c r="D116" s="1847"/>
      <c r="E116" s="1847"/>
      <c r="F116" s="1847" t="s">
        <v>2398</v>
      </c>
      <c r="G116" s="1847" t="s">
        <v>2398</v>
      </c>
      <c r="H116" s="1847" t="s">
        <v>2393</v>
      </c>
      <c r="I116" s="1847" t="s">
        <v>2393</v>
      </c>
      <c r="J116" s="1847" t="s">
        <v>2783</v>
      </c>
      <c r="K116" s="1847" t="s">
        <v>2795</v>
      </c>
      <c r="L116" s="1847" t="s">
        <v>2801</v>
      </c>
      <c r="M116" s="1847" t="s">
        <v>2172</v>
      </c>
      <c r="N116" s="1847" t="s">
        <v>2050</v>
      </c>
      <c r="O116" s="1847"/>
      <c r="P116" s="1852">
        <v>3.7</v>
      </c>
      <c r="Q116" s="1852">
        <v>4</v>
      </c>
      <c r="R116" s="483" t="e">
        <f>IF(H116="","",SUMIFS('[1]1_group_totals'!$J$8:$J$10000,'[1]1_group_totals'!$C$8:$C$10000,C116))</f>
        <v>#VALUE!</v>
      </c>
      <c r="S116" s="483">
        <f t="shared" si="9"/>
        <v>2</v>
      </c>
      <c r="T116" s="483">
        <v>1</v>
      </c>
      <c r="U116" s="510" t="e">
        <f t="shared" si="10"/>
        <v>#VALUE!</v>
      </c>
      <c r="V116" s="510">
        <v>1</v>
      </c>
      <c r="W116" s="510">
        <v>0</v>
      </c>
      <c r="X116" s="510">
        <v>0</v>
      </c>
      <c r="Y116" s="483">
        <v>1</v>
      </c>
      <c r="Z116" s="483">
        <v>1</v>
      </c>
      <c r="AA116" s="1847" t="e">
        <f t="shared" si="11"/>
        <v>#VALUE!</v>
      </c>
      <c r="AB116" s="1847">
        <f t="shared" si="12"/>
        <v>3.7</v>
      </c>
      <c r="AC116" s="1847">
        <f t="shared" si="13"/>
        <v>4</v>
      </c>
      <c r="AD116" s="1847" t="e">
        <f t="shared" si="14"/>
        <v>#VALUE!</v>
      </c>
      <c r="AE116" s="1847" t="e">
        <f t="shared" si="15"/>
        <v>#VALUE!</v>
      </c>
      <c r="AF116" s="1823" t="e">
        <f t="shared" si="16"/>
        <v>#VALUE!</v>
      </c>
      <c r="AG116" s="1769" t="e">
        <f t="shared" si="17"/>
        <v>#VALUE!</v>
      </c>
      <c r="AI116" t="s">
        <v>2398</v>
      </c>
    </row>
    <row r="117" spans="3:35" ht="24.95" customHeight="1">
      <c r="C117" s="491">
        <v>110</v>
      </c>
      <c r="D117" s="1847"/>
      <c r="E117" s="1847"/>
      <c r="F117" s="1847" t="s">
        <v>2400</v>
      </c>
      <c r="G117" s="1847" t="s">
        <v>2400</v>
      </c>
      <c r="H117" s="1847" t="s">
        <v>2395</v>
      </c>
      <c r="I117" s="1847" t="s">
        <v>2395</v>
      </c>
      <c r="J117" s="1847" t="s">
        <v>2783</v>
      </c>
      <c r="K117" s="1847" t="s">
        <v>2795</v>
      </c>
      <c r="L117" s="1847" t="s">
        <v>2801</v>
      </c>
      <c r="M117" s="1847" t="s">
        <v>2172</v>
      </c>
      <c r="N117" s="1847" t="s">
        <v>2050</v>
      </c>
      <c r="O117" s="1847"/>
      <c r="P117" s="1852">
        <v>0.35</v>
      </c>
      <c r="Q117" s="1852">
        <v>0.5</v>
      </c>
      <c r="R117" s="483" t="e">
        <f>IF(H117="","",SUMIFS('[1]1_group_totals'!$J$8:$J$10000,'[1]1_group_totals'!$C$8:$C$10000,C117))</f>
        <v>#VALUE!</v>
      </c>
      <c r="S117" s="483">
        <f t="shared" si="9"/>
        <v>2</v>
      </c>
      <c r="T117" s="483">
        <v>1</v>
      </c>
      <c r="U117" s="510" t="e">
        <f t="shared" si="10"/>
        <v>#VALUE!</v>
      </c>
      <c r="V117" s="510">
        <v>1</v>
      </c>
      <c r="W117" s="510">
        <v>0</v>
      </c>
      <c r="X117" s="510">
        <v>0</v>
      </c>
      <c r="Y117" s="483">
        <v>1</v>
      </c>
      <c r="Z117" s="483">
        <v>1</v>
      </c>
      <c r="AA117" s="1847" t="e">
        <f t="shared" si="11"/>
        <v>#VALUE!</v>
      </c>
      <c r="AB117" s="1847">
        <f t="shared" si="12"/>
        <v>0.35</v>
      </c>
      <c r="AC117" s="1847">
        <f t="shared" si="13"/>
        <v>0.5</v>
      </c>
      <c r="AD117" s="1847" t="e">
        <f t="shared" si="14"/>
        <v>#VALUE!</v>
      </c>
      <c r="AE117" s="1847" t="e">
        <f t="shared" si="15"/>
        <v>#VALUE!</v>
      </c>
      <c r="AF117" s="1823" t="e">
        <f t="shared" si="16"/>
        <v>#VALUE!</v>
      </c>
      <c r="AG117" s="1769" t="e">
        <f t="shared" si="17"/>
        <v>#VALUE!</v>
      </c>
      <c r="AI117" t="s">
        <v>2400</v>
      </c>
    </row>
    <row r="118" spans="3:35" ht="24.95" customHeight="1">
      <c r="C118" s="491">
        <v>111</v>
      </c>
      <c r="D118" s="1847"/>
      <c r="E118" s="1847"/>
      <c r="F118" s="1847" t="s">
        <v>2402</v>
      </c>
      <c r="G118" s="1847" t="s">
        <v>2402</v>
      </c>
      <c r="H118" s="1847" t="s">
        <v>2397</v>
      </c>
      <c r="I118" s="1847" t="s">
        <v>2397</v>
      </c>
      <c r="J118" s="1847" t="s">
        <v>2783</v>
      </c>
      <c r="K118" s="1847" t="s">
        <v>2795</v>
      </c>
      <c r="L118" s="1847" t="s">
        <v>2801</v>
      </c>
      <c r="M118" s="1847" t="s">
        <v>2172</v>
      </c>
      <c r="N118" s="1847" t="s">
        <v>2050</v>
      </c>
      <c r="O118" s="1847"/>
      <c r="P118" s="1852">
        <v>0.4</v>
      </c>
      <c r="Q118" s="1852">
        <v>0.5</v>
      </c>
      <c r="R118" s="483" t="e">
        <f>IF(H118="","",SUMIFS('[1]1_group_totals'!$J$8:$J$10000,'[1]1_group_totals'!$C$8:$C$10000,C118))</f>
        <v>#VALUE!</v>
      </c>
      <c r="S118" s="483">
        <f t="shared" si="9"/>
        <v>2</v>
      </c>
      <c r="T118" s="483">
        <v>1</v>
      </c>
      <c r="U118" s="510" t="e">
        <f t="shared" si="10"/>
        <v>#VALUE!</v>
      </c>
      <c r="V118" s="510">
        <v>1</v>
      </c>
      <c r="W118" s="510">
        <v>0</v>
      </c>
      <c r="X118" s="510">
        <v>0</v>
      </c>
      <c r="Y118" s="483">
        <v>1</v>
      </c>
      <c r="Z118" s="483">
        <v>1</v>
      </c>
      <c r="AA118" s="1847" t="e">
        <f t="shared" si="11"/>
        <v>#VALUE!</v>
      </c>
      <c r="AB118" s="1847">
        <f t="shared" si="12"/>
        <v>0.4</v>
      </c>
      <c r="AC118" s="1847">
        <f t="shared" si="13"/>
        <v>0.5</v>
      </c>
      <c r="AD118" s="1847" t="e">
        <f t="shared" si="14"/>
        <v>#VALUE!</v>
      </c>
      <c r="AE118" s="1847" t="e">
        <f t="shared" si="15"/>
        <v>#VALUE!</v>
      </c>
      <c r="AF118" s="1823" t="e">
        <f t="shared" si="16"/>
        <v>#VALUE!</v>
      </c>
      <c r="AG118" s="1769" t="e">
        <f t="shared" si="17"/>
        <v>#VALUE!</v>
      </c>
      <c r="AI118" t="s">
        <v>2402</v>
      </c>
    </row>
    <row r="119" spans="3:35" ht="24.95" customHeight="1">
      <c r="C119" s="491">
        <v>112</v>
      </c>
      <c r="D119" s="1847"/>
      <c r="E119" s="1847"/>
      <c r="F119" s="1847" t="s">
        <v>2404</v>
      </c>
      <c r="G119" s="1847" t="s">
        <v>2404</v>
      </c>
      <c r="H119" s="1847" t="s">
        <v>2399</v>
      </c>
      <c r="I119" s="1847" t="s">
        <v>2399</v>
      </c>
      <c r="J119" s="1847" t="s">
        <v>2783</v>
      </c>
      <c r="K119" s="1847" t="s">
        <v>2795</v>
      </c>
      <c r="L119" s="1847" t="s">
        <v>2801</v>
      </c>
      <c r="M119" s="1847" t="s">
        <v>2172</v>
      </c>
      <c r="N119" s="1847" t="s">
        <v>2050</v>
      </c>
      <c r="O119" s="1847"/>
      <c r="P119" s="1852">
        <v>2.6</v>
      </c>
      <c r="Q119" s="1852">
        <v>3</v>
      </c>
      <c r="R119" s="483" t="e">
        <f>IF(H119="","",SUMIFS('[1]1_group_totals'!$J$8:$J$10000,'[1]1_group_totals'!$C$8:$C$10000,C119))</f>
        <v>#VALUE!</v>
      </c>
      <c r="S119" s="483">
        <f t="shared" si="9"/>
        <v>2</v>
      </c>
      <c r="T119" s="483">
        <v>1</v>
      </c>
      <c r="U119" s="510" t="e">
        <f t="shared" si="10"/>
        <v>#VALUE!</v>
      </c>
      <c r="V119" s="510">
        <v>1</v>
      </c>
      <c r="W119" s="510">
        <v>0</v>
      </c>
      <c r="X119" s="510">
        <v>0</v>
      </c>
      <c r="Y119" s="483">
        <v>1</v>
      </c>
      <c r="Z119" s="483">
        <v>1</v>
      </c>
      <c r="AA119" s="1847" t="e">
        <f t="shared" si="11"/>
        <v>#VALUE!</v>
      </c>
      <c r="AB119" s="1847">
        <f t="shared" si="12"/>
        <v>2.6</v>
      </c>
      <c r="AC119" s="1847">
        <f t="shared" si="13"/>
        <v>3</v>
      </c>
      <c r="AD119" s="1847" t="e">
        <f t="shared" si="14"/>
        <v>#VALUE!</v>
      </c>
      <c r="AE119" s="1847" t="e">
        <f t="shared" si="15"/>
        <v>#VALUE!</v>
      </c>
      <c r="AF119" s="1823" t="e">
        <f t="shared" si="16"/>
        <v>#VALUE!</v>
      </c>
      <c r="AG119" s="1769" t="e">
        <f t="shared" si="17"/>
        <v>#VALUE!</v>
      </c>
      <c r="AI119" t="s">
        <v>2404</v>
      </c>
    </row>
    <row r="120" spans="3:35" ht="24.95" customHeight="1">
      <c r="C120" s="491">
        <v>113</v>
      </c>
      <c r="D120" s="1847"/>
      <c r="E120" s="1847"/>
      <c r="F120" s="1847" t="s">
        <v>2406</v>
      </c>
      <c r="G120" s="1847" t="s">
        <v>2406</v>
      </c>
      <c r="H120" s="1847" t="s">
        <v>2401</v>
      </c>
      <c r="I120" s="1847" t="s">
        <v>2401</v>
      </c>
      <c r="J120" s="1847" t="s">
        <v>2783</v>
      </c>
      <c r="K120" s="1847" t="s">
        <v>3929</v>
      </c>
      <c r="L120" s="1847" t="s">
        <v>2801</v>
      </c>
      <c r="M120" s="1847" t="s">
        <v>2172</v>
      </c>
      <c r="N120" s="1847" t="s">
        <v>2050</v>
      </c>
      <c r="O120" s="1847"/>
      <c r="P120" s="1852">
        <v>1.3</v>
      </c>
      <c r="Q120" s="1852">
        <v>1.75</v>
      </c>
      <c r="R120" s="483" t="e">
        <f>IF(H120="","",SUMIFS('[1]1_group_totals'!$J$8:$J$10000,'[1]1_group_totals'!$C$8:$C$10000,C120))</f>
        <v>#VALUE!</v>
      </c>
      <c r="S120" s="483">
        <f t="shared" si="9"/>
        <v>2</v>
      </c>
      <c r="T120" s="483">
        <v>1</v>
      </c>
      <c r="U120" s="510" t="e">
        <f t="shared" si="10"/>
        <v>#VALUE!</v>
      </c>
      <c r="V120" s="510">
        <v>1</v>
      </c>
      <c r="W120" s="510">
        <v>0</v>
      </c>
      <c r="X120" s="510">
        <v>0</v>
      </c>
      <c r="Y120" s="483">
        <v>1</v>
      </c>
      <c r="Z120" s="483">
        <v>1</v>
      </c>
      <c r="AA120" s="1847" t="e">
        <f t="shared" si="11"/>
        <v>#VALUE!</v>
      </c>
      <c r="AB120" s="1847">
        <f t="shared" si="12"/>
        <v>1.3</v>
      </c>
      <c r="AC120" s="1847">
        <f t="shared" si="13"/>
        <v>1.75</v>
      </c>
      <c r="AD120" s="1847" t="e">
        <f t="shared" si="14"/>
        <v>#VALUE!</v>
      </c>
      <c r="AE120" s="1847" t="e">
        <f t="shared" si="15"/>
        <v>#VALUE!</v>
      </c>
      <c r="AF120" s="1823" t="e">
        <f t="shared" si="16"/>
        <v>#VALUE!</v>
      </c>
      <c r="AG120" s="1769" t="e">
        <f t="shared" si="17"/>
        <v>#VALUE!</v>
      </c>
      <c r="AI120" t="s">
        <v>2406</v>
      </c>
    </row>
    <row r="121" spans="3:35" ht="24.95" customHeight="1">
      <c r="C121" s="491">
        <v>114</v>
      </c>
      <c r="D121" s="1847"/>
      <c r="E121" s="1847"/>
      <c r="F121" s="1847" t="s">
        <v>2408</v>
      </c>
      <c r="G121" s="1847" t="s">
        <v>2408</v>
      </c>
      <c r="H121" s="1847" t="s">
        <v>2403</v>
      </c>
      <c r="I121" s="1847" t="s">
        <v>2403</v>
      </c>
      <c r="J121" s="1847" t="s">
        <v>2783</v>
      </c>
      <c r="K121" s="1847" t="s">
        <v>3929</v>
      </c>
      <c r="L121" s="1847" t="s">
        <v>2801</v>
      </c>
      <c r="M121" s="1847" t="s">
        <v>2172</v>
      </c>
      <c r="N121" s="1847" t="s">
        <v>2050</v>
      </c>
      <c r="O121" s="1847"/>
      <c r="P121" s="1852">
        <v>1.5</v>
      </c>
      <c r="Q121" s="1852">
        <v>2</v>
      </c>
      <c r="R121" s="483" t="e">
        <f>IF(H121="","",SUMIFS('[1]1_group_totals'!$J$8:$J$10000,'[1]1_group_totals'!$C$8:$C$10000,C121))</f>
        <v>#VALUE!</v>
      </c>
      <c r="S121" s="483">
        <f t="shared" si="9"/>
        <v>2</v>
      </c>
      <c r="T121" s="483">
        <v>1</v>
      </c>
      <c r="U121" s="510" t="e">
        <f t="shared" si="10"/>
        <v>#VALUE!</v>
      </c>
      <c r="V121" s="510">
        <v>1</v>
      </c>
      <c r="W121" s="510">
        <v>0</v>
      </c>
      <c r="X121" s="510">
        <v>0</v>
      </c>
      <c r="Y121" s="483">
        <v>1</v>
      </c>
      <c r="Z121" s="483">
        <v>1</v>
      </c>
      <c r="AA121" s="1847" t="e">
        <f t="shared" si="11"/>
        <v>#VALUE!</v>
      </c>
      <c r="AB121" s="1847">
        <f t="shared" si="12"/>
        <v>1.5</v>
      </c>
      <c r="AC121" s="1847">
        <f t="shared" si="13"/>
        <v>2</v>
      </c>
      <c r="AD121" s="1847" t="e">
        <f t="shared" si="14"/>
        <v>#VALUE!</v>
      </c>
      <c r="AE121" s="1847" t="e">
        <f t="shared" si="15"/>
        <v>#VALUE!</v>
      </c>
      <c r="AF121" s="1823" t="e">
        <f t="shared" si="16"/>
        <v>#VALUE!</v>
      </c>
      <c r="AG121" s="1769" t="e">
        <f t="shared" si="17"/>
        <v>#VALUE!</v>
      </c>
      <c r="AI121" t="s">
        <v>2408</v>
      </c>
    </row>
    <row r="122" spans="3:35" ht="24.95" customHeight="1">
      <c r="C122" s="491">
        <v>115</v>
      </c>
      <c r="D122" s="1847"/>
      <c r="E122" s="1847"/>
      <c r="F122" s="1847" t="s">
        <v>2410</v>
      </c>
      <c r="G122" s="1847" t="s">
        <v>2410</v>
      </c>
      <c r="H122" s="1847" t="s">
        <v>2405</v>
      </c>
      <c r="I122" s="1847" t="s">
        <v>2405</v>
      </c>
      <c r="J122" s="1847" t="s">
        <v>2783</v>
      </c>
      <c r="K122" s="1847" t="s">
        <v>2795</v>
      </c>
      <c r="L122" s="1847" t="s">
        <v>2801</v>
      </c>
      <c r="M122" s="1847" t="s">
        <v>2172</v>
      </c>
      <c r="N122" s="1847" t="s">
        <v>2050</v>
      </c>
      <c r="O122" s="1847"/>
      <c r="P122" s="1852">
        <v>0.85</v>
      </c>
      <c r="Q122" s="1852">
        <v>1.5</v>
      </c>
      <c r="R122" s="483" t="e">
        <f>IF(H122="","",SUMIFS('[1]1_group_totals'!$J$8:$J$10000,'[1]1_group_totals'!$C$8:$C$10000,C122))</f>
        <v>#VALUE!</v>
      </c>
      <c r="S122" s="483">
        <f t="shared" si="9"/>
        <v>2</v>
      </c>
      <c r="T122" s="483">
        <v>1</v>
      </c>
      <c r="U122" s="510" t="e">
        <f t="shared" si="10"/>
        <v>#VALUE!</v>
      </c>
      <c r="V122" s="510">
        <v>1</v>
      </c>
      <c r="W122" s="510">
        <v>0</v>
      </c>
      <c r="X122" s="510">
        <v>0</v>
      </c>
      <c r="Y122" s="483">
        <v>1</v>
      </c>
      <c r="Z122" s="483">
        <v>1</v>
      </c>
      <c r="AA122" s="1847" t="e">
        <f t="shared" si="11"/>
        <v>#VALUE!</v>
      </c>
      <c r="AB122" s="1847">
        <f t="shared" si="12"/>
        <v>0.85</v>
      </c>
      <c r="AC122" s="1847">
        <f t="shared" si="13"/>
        <v>1.5</v>
      </c>
      <c r="AD122" s="1847" t="e">
        <f t="shared" si="14"/>
        <v>#VALUE!</v>
      </c>
      <c r="AE122" s="1847" t="e">
        <f t="shared" si="15"/>
        <v>#VALUE!</v>
      </c>
      <c r="AF122" s="1823" t="e">
        <f t="shared" si="16"/>
        <v>#VALUE!</v>
      </c>
      <c r="AG122" s="1769" t="e">
        <f t="shared" si="17"/>
        <v>#VALUE!</v>
      </c>
      <c r="AI122" t="s">
        <v>2410</v>
      </c>
    </row>
    <row r="123" spans="3:35" ht="24.95" customHeight="1">
      <c r="C123" s="491">
        <v>116</v>
      </c>
      <c r="D123" s="1847"/>
      <c r="E123" s="1847"/>
      <c r="F123" s="1847" t="s">
        <v>2412</v>
      </c>
      <c r="G123" s="1847" t="s">
        <v>2412</v>
      </c>
      <c r="H123" s="1847" t="s">
        <v>2407</v>
      </c>
      <c r="I123" s="1847" t="s">
        <v>2407</v>
      </c>
      <c r="J123" s="1847" t="s">
        <v>2783</v>
      </c>
      <c r="K123" s="1847" t="s">
        <v>2795</v>
      </c>
      <c r="L123" s="1847" t="s">
        <v>2801</v>
      </c>
      <c r="M123" s="1847" t="s">
        <v>2172</v>
      </c>
      <c r="N123" s="1847" t="s">
        <v>2050</v>
      </c>
      <c r="O123" s="1847"/>
      <c r="P123" s="1852">
        <v>0.95</v>
      </c>
      <c r="Q123" s="1852">
        <v>1.5</v>
      </c>
      <c r="R123" s="483" t="e">
        <f>IF(H123="","",SUMIFS('[1]1_group_totals'!$J$8:$J$10000,'[1]1_group_totals'!$C$8:$C$10000,C123))</f>
        <v>#VALUE!</v>
      </c>
      <c r="S123" s="483">
        <f t="shared" si="9"/>
        <v>2</v>
      </c>
      <c r="T123" s="483">
        <v>1</v>
      </c>
      <c r="U123" s="510" t="e">
        <f t="shared" si="10"/>
        <v>#VALUE!</v>
      </c>
      <c r="V123" s="510">
        <v>1</v>
      </c>
      <c r="W123" s="510">
        <v>0</v>
      </c>
      <c r="X123" s="510">
        <v>0</v>
      </c>
      <c r="Y123" s="483">
        <v>1</v>
      </c>
      <c r="Z123" s="483">
        <v>1</v>
      </c>
      <c r="AA123" s="1847" t="e">
        <f t="shared" si="11"/>
        <v>#VALUE!</v>
      </c>
      <c r="AB123" s="1847">
        <f t="shared" si="12"/>
        <v>0.95</v>
      </c>
      <c r="AC123" s="1847">
        <f t="shared" si="13"/>
        <v>1.5</v>
      </c>
      <c r="AD123" s="1847" t="e">
        <f t="shared" si="14"/>
        <v>#VALUE!</v>
      </c>
      <c r="AE123" s="1847" t="e">
        <f t="shared" si="15"/>
        <v>#VALUE!</v>
      </c>
      <c r="AF123" s="1823" t="e">
        <f t="shared" si="16"/>
        <v>#VALUE!</v>
      </c>
      <c r="AG123" s="1769" t="e">
        <f t="shared" si="17"/>
        <v>#VALUE!</v>
      </c>
      <c r="AI123" t="s">
        <v>2412</v>
      </c>
    </row>
    <row r="124" spans="3:35" ht="24.95" customHeight="1">
      <c r="C124" s="491">
        <v>117</v>
      </c>
      <c r="D124" s="1847"/>
      <c r="E124" s="1847"/>
      <c r="F124" s="1847" t="s">
        <v>2414</v>
      </c>
      <c r="G124" s="1847" t="s">
        <v>2414</v>
      </c>
      <c r="H124" s="1847" t="s">
        <v>4569</v>
      </c>
      <c r="I124" s="1847" t="s">
        <v>2409</v>
      </c>
      <c r="J124" s="1847" t="s">
        <v>2665</v>
      </c>
      <c r="K124" s="1847" t="s">
        <v>2795</v>
      </c>
      <c r="L124" s="1847" t="s">
        <v>2801</v>
      </c>
      <c r="M124" s="1847" t="s">
        <v>4088</v>
      </c>
      <c r="N124" s="1847" t="s">
        <v>2050</v>
      </c>
      <c r="O124" s="1847"/>
      <c r="P124" s="1852">
        <v>6.6</v>
      </c>
      <c r="Q124" s="1852">
        <v>1.35</v>
      </c>
      <c r="R124" s="483" t="e">
        <f>IF(H124="","",SUMIFS('[1]1_group_totals'!$J$8:$J$10000,'[1]1_group_totals'!$C$8:$C$10000,C124))</f>
        <v>#VALUE!</v>
      </c>
      <c r="S124" s="483">
        <f t="shared" si="9"/>
        <v>25</v>
      </c>
      <c r="T124" s="483" t="s">
        <v>58</v>
      </c>
      <c r="U124" s="510" t="e">
        <f t="shared" si="10"/>
        <v>#VALUE!</v>
      </c>
      <c r="V124" s="510">
        <v>1</v>
      </c>
      <c r="W124" s="510">
        <v>0</v>
      </c>
      <c r="X124" s="510">
        <v>0</v>
      </c>
      <c r="Y124" s="483">
        <v>1</v>
      </c>
      <c r="Z124" s="483">
        <v>1</v>
      </c>
      <c r="AA124" s="1847" t="e">
        <f t="shared" si="11"/>
        <v>#VALUE!</v>
      </c>
      <c r="AB124" s="1847">
        <f t="shared" si="12"/>
        <v>1.0999999999999999</v>
      </c>
      <c r="AC124" s="1847">
        <f t="shared" si="13"/>
        <v>0.22500000000000001</v>
      </c>
      <c r="AD124" s="1847" t="e">
        <f t="shared" si="14"/>
        <v>#VALUE!</v>
      </c>
      <c r="AE124" s="1847" t="e">
        <f t="shared" si="15"/>
        <v>#VALUE!</v>
      </c>
      <c r="AF124" s="1823" t="e">
        <f t="shared" si="16"/>
        <v>#VALUE!</v>
      </c>
      <c r="AG124" s="1769" t="e">
        <f t="shared" si="17"/>
        <v>#VALUE!</v>
      </c>
      <c r="AI124" t="s">
        <v>2414</v>
      </c>
    </row>
    <row r="125" spans="3:35" ht="24.95" customHeight="1">
      <c r="C125" s="491">
        <v>118</v>
      </c>
      <c r="D125" s="1847"/>
      <c r="E125" s="1847"/>
      <c r="F125" s="1847" t="s">
        <v>2416</v>
      </c>
      <c r="G125" s="1847" t="s">
        <v>2416</v>
      </c>
      <c r="H125" s="1847" t="s">
        <v>4570</v>
      </c>
      <c r="I125" s="1847" t="s">
        <v>2411</v>
      </c>
      <c r="J125" s="1847" t="s">
        <v>2665</v>
      </c>
      <c r="K125" s="1847" t="s">
        <v>2795</v>
      </c>
      <c r="L125" s="1847" t="s">
        <v>2801</v>
      </c>
      <c r="M125" s="1847" t="s">
        <v>4088</v>
      </c>
      <c r="N125" s="1847" t="s">
        <v>2050</v>
      </c>
      <c r="O125" s="1847"/>
      <c r="P125" s="1852">
        <v>7.2</v>
      </c>
      <c r="Q125" s="1852">
        <v>1.5</v>
      </c>
      <c r="R125" s="483" t="e">
        <f>IF(H125="","",SUMIFS('[1]1_group_totals'!$J$8:$J$10000,'[1]1_group_totals'!$C$8:$C$10000,C125))</f>
        <v>#VALUE!</v>
      </c>
      <c r="S125" s="483">
        <f t="shared" si="9"/>
        <v>25</v>
      </c>
      <c r="T125" s="483" t="s">
        <v>58</v>
      </c>
      <c r="U125" s="510" t="e">
        <f t="shared" si="10"/>
        <v>#VALUE!</v>
      </c>
      <c r="V125" s="510">
        <v>1</v>
      </c>
      <c r="W125" s="510">
        <v>0</v>
      </c>
      <c r="X125" s="510">
        <v>0</v>
      </c>
      <c r="Y125" s="483">
        <v>1</v>
      </c>
      <c r="Z125" s="483">
        <v>1</v>
      </c>
      <c r="AA125" s="1847" t="e">
        <f t="shared" si="11"/>
        <v>#VALUE!</v>
      </c>
      <c r="AB125" s="1847">
        <f t="shared" si="12"/>
        <v>1.2</v>
      </c>
      <c r="AC125" s="1847">
        <f t="shared" si="13"/>
        <v>0.25</v>
      </c>
      <c r="AD125" s="1847" t="e">
        <f t="shared" si="14"/>
        <v>#VALUE!</v>
      </c>
      <c r="AE125" s="1847" t="e">
        <f t="shared" si="15"/>
        <v>#VALUE!</v>
      </c>
      <c r="AF125" s="1823" t="e">
        <f t="shared" si="16"/>
        <v>#VALUE!</v>
      </c>
      <c r="AG125" s="1769" t="e">
        <f t="shared" si="17"/>
        <v>#VALUE!</v>
      </c>
      <c r="AI125" t="s">
        <v>2416</v>
      </c>
    </row>
    <row r="126" spans="3:35" ht="24.95" customHeight="1">
      <c r="C126" s="491">
        <v>119</v>
      </c>
      <c r="D126" s="1847"/>
      <c r="E126" s="1847"/>
      <c r="F126" s="1847" t="s">
        <v>2418</v>
      </c>
      <c r="G126" s="1847" t="s">
        <v>2418</v>
      </c>
      <c r="H126" s="1847" t="s">
        <v>4571</v>
      </c>
      <c r="I126" s="1847" t="s">
        <v>2413</v>
      </c>
      <c r="J126" s="1847" t="s">
        <v>2665</v>
      </c>
      <c r="K126" s="1847" t="s">
        <v>2795</v>
      </c>
      <c r="L126" s="1847" t="s">
        <v>2801</v>
      </c>
      <c r="M126" s="1847" t="s">
        <v>4088</v>
      </c>
      <c r="N126" s="1847" t="s">
        <v>2050</v>
      </c>
      <c r="O126" s="1847"/>
      <c r="P126" s="1852">
        <v>7.8</v>
      </c>
      <c r="Q126" s="1852">
        <v>1.75</v>
      </c>
      <c r="R126" s="483" t="e">
        <f>IF(H126="","",SUMIFS('[1]1_group_totals'!$J$8:$J$10000,'[1]1_group_totals'!$C$8:$C$10000,C126))</f>
        <v>#VALUE!</v>
      </c>
      <c r="S126" s="483">
        <f t="shared" si="9"/>
        <v>25</v>
      </c>
      <c r="T126" s="483" t="s">
        <v>58</v>
      </c>
      <c r="U126" s="510" t="e">
        <f t="shared" si="10"/>
        <v>#VALUE!</v>
      </c>
      <c r="V126" s="510">
        <v>1</v>
      </c>
      <c r="W126" s="510">
        <v>0</v>
      </c>
      <c r="X126" s="510">
        <v>0</v>
      </c>
      <c r="Y126" s="483">
        <v>1</v>
      </c>
      <c r="Z126" s="483">
        <v>1</v>
      </c>
      <c r="AA126" s="1847" t="e">
        <f t="shared" si="11"/>
        <v>#VALUE!</v>
      </c>
      <c r="AB126" s="1847">
        <f t="shared" si="12"/>
        <v>1.3</v>
      </c>
      <c r="AC126" s="1847">
        <f t="shared" si="13"/>
        <v>0.29166666666666669</v>
      </c>
      <c r="AD126" s="1847" t="e">
        <f t="shared" si="14"/>
        <v>#VALUE!</v>
      </c>
      <c r="AE126" s="1847" t="e">
        <f t="shared" si="15"/>
        <v>#VALUE!</v>
      </c>
      <c r="AF126" s="1823" t="e">
        <f t="shared" si="16"/>
        <v>#VALUE!</v>
      </c>
      <c r="AG126" s="1769" t="e">
        <f t="shared" si="17"/>
        <v>#VALUE!</v>
      </c>
      <c r="AI126" t="s">
        <v>2418</v>
      </c>
    </row>
    <row r="127" spans="3:35" ht="24.95" customHeight="1">
      <c r="C127" s="491">
        <v>120</v>
      </c>
      <c r="D127" s="1847"/>
      <c r="E127" s="1847"/>
      <c r="F127" s="1847" t="s">
        <v>2420</v>
      </c>
      <c r="G127" s="1847" t="s">
        <v>2420</v>
      </c>
      <c r="H127" s="1847" t="s">
        <v>4572</v>
      </c>
      <c r="I127" s="1847" t="s">
        <v>2415</v>
      </c>
      <c r="J127" s="1847" t="s">
        <v>2665</v>
      </c>
      <c r="K127" s="1847" t="s">
        <v>2795</v>
      </c>
      <c r="L127" s="1847" t="s">
        <v>2801</v>
      </c>
      <c r="M127" s="1847" t="s">
        <v>4088</v>
      </c>
      <c r="N127" s="1847" t="s">
        <v>2050</v>
      </c>
      <c r="O127" s="1847"/>
      <c r="P127" s="1852">
        <v>8.4</v>
      </c>
      <c r="Q127" s="1852">
        <v>1.8</v>
      </c>
      <c r="R127" s="483" t="e">
        <f>IF(H127="","",SUMIFS('[1]1_group_totals'!$J$8:$J$10000,'[1]1_group_totals'!$C$8:$C$10000,C127))</f>
        <v>#VALUE!</v>
      </c>
      <c r="S127" s="483">
        <f t="shared" si="9"/>
        <v>25</v>
      </c>
      <c r="T127" s="483" t="s">
        <v>58</v>
      </c>
      <c r="U127" s="510" t="e">
        <f t="shared" si="10"/>
        <v>#VALUE!</v>
      </c>
      <c r="V127" s="510">
        <v>1</v>
      </c>
      <c r="W127" s="510">
        <v>0</v>
      </c>
      <c r="X127" s="510">
        <v>0</v>
      </c>
      <c r="Y127" s="483">
        <v>1</v>
      </c>
      <c r="Z127" s="483">
        <v>1</v>
      </c>
      <c r="AA127" s="1847" t="e">
        <f t="shared" si="11"/>
        <v>#VALUE!</v>
      </c>
      <c r="AB127" s="1847">
        <f t="shared" si="12"/>
        <v>1.4000000000000001</v>
      </c>
      <c r="AC127" s="1847">
        <f t="shared" si="13"/>
        <v>0.3</v>
      </c>
      <c r="AD127" s="1847" t="e">
        <f t="shared" si="14"/>
        <v>#VALUE!</v>
      </c>
      <c r="AE127" s="1847" t="e">
        <f t="shared" si="15"/>
        <v>#VALUE!</v>
      </c>
      <c r="AF127" s="1823" t="e">
        <f t="shared" si="16"/>
        <v>#VALUE!</v>
      </c>
      <c r="AG127" s="1769" t="e">
        <f t="shared" si="17"/>
        <v>#VALUE!</v>
      </c>
      <c r="AI127" t="s">
        <v>2420</v>
      </c>
    </row>
    <row r="128" spans="3:35" ht="24.95" customHeight="1">
      <c r="C128" s="491">
        <v>121</v>
      </c>
      <c r="D128" s="1847"/>
      <c r="E128" s="1847"/>
      <c r="F128" s="1847" t="s">
        <v>2422</v>
      </c>
      <c r="G128" s="1847" t="s">
        <v>2422</v>
      </c>
      <c r="H128" s="1847" t="s">
        <v>4573</v>
      </c>
      <c r="I128" s="1847" t="s">
        <v>2417</v>
      </c>
      <c r="J128" s="1847" t="s">
        <v>2665</v>
      </c>
      <c r="K128" s="1847" t="s">
        <v>2795</v>
      </c>
      <c r="L128" s="1847" t="s">
        <v>2801</v>
      </c>
      <c r="M128" s="1847" t="s">
        <v>4088</v>
      </c>
      <c r="N128" s="1847" t="s">
        <v>2050</v>
      </c>
      <c r="O128" s="1847"/>
      <c r="P128" s="1852">
        <v>9</v>
      </c>
      <c r="Q128" s="1852">
        <v>1.8</v>
      </c>
      <c r="R128" s="483" t="e">
        <f>IF(H128="","",SUMIFS('[1]1_group_totals'!$J$8:$J$10000,'[1]1_group_totals'!$C$8:$C$10000,C128))</f>
        <v>#VALUE!</v>
      </c>
      <c r="S128" s="483">
        <f t="shared" si="9"/>
        <v>25</v>
      </c>
      <c r="T128" s="483" t="s">
        <v>58</v>
      </c>
      <c r="U128" s="510" t="e">
        <f t="shared" si="10"/>
        <v>#VALUE!</v>
      </c>
      <c r="V128" s="510">
        <v>1</v>
      </c>
      <c r="W128" s="510">
        <v>0</v>
      </c>
      <c r="X128" s="510">
        <v>0</v>
      </c>
      <c r="Y128" s="483">
        <v>1</v>
      </c>
      <c r="Z128" s="483">
        <v>1</v>
      </c>
      <c r="AA128" s="1847" t="e">
        <f t="shared" si="11"/>
        <v>#VALUE!</v>
      </c>
      <c r="AB128" s="1847">
        <f t="shared" si="12"/>
        <v>1.5</v>
      </c>
      <c r="AC128" s="1847">
        <f t="shared" si="13"/>
        <v>0.3</v>
      </c>
      <c r="AD128" s="1847" t="e">
        <f t="shared" si="14"/>
        <v>#VALUE!</v>
      </c>
      <c r="AE128" s="1847" t="e">
        <f t="shared" si="15"/>
        <v>#VALUE!</v>
      </c>
      <c r="AF128" s="1823" t="e">
        <f t="shared" si="16"/>
        <v>#VALUE!</v>
      </c>
      <c r="AG128" s="1769" t="e">
        <f t="shared" si="17"/>
        <v>#VALUE!</v>
      </c>
      <c r="AI128" t="s">
        <v>2422</v>
      </c>
    </row>
    <row r="129" spans="3:35" ht="24.95" customHeight="1">
      <c r="C129" s="491">
        <v>122</v>
      </c>
      <c r="D129" s="1847"/>
      <c r="E129" s="1847"/>
      <c r="F129" s="1847" t="s">
        <v>2424</v>
      </c>
      <c r="G129" s="1847" t="s">
        <v>2424</v>
      </c>
      <c r="H129" s="1847" t="s">
        <v>2419</v>
      </c>
      <c r="I129" s="1847" t="s">
        <v>2419</v>
      </c>
      <c r="J129" s="1847" t="s">
        <v>2759</v>
      </c>
      <c r="K129" s="1847" t="s">
        <v>3929</v>
      </c>
      <c r="L129" s="1847" t="s">
        <v>2801</v>
      </c>
      <c r="M129" s="1847" t="s">
        <v>4078</v>
      </c>
      <c r="N129" s="1847" t="s">
        <v>2050</v>
      </c>
      <c r="O129" s="1847"/>
      <c r="P129" s="1852">
        <v>31.2</v>
      </c>
      <c r="Q129" s="1852">
        <v>36</v>
      </c>
      <c r="R129" s="483" t="e">
        <f>IF(H129="","",SUMIFS('[1]1_group_totals'!$J$8:$J$10000,'[1]1_group_totals'!$C$8:$C$10000,C129))</f>
        <v>#VALUE!</v>
      </c>
      <c r="S129" s="483">
        <f t="shared" si="9"/>
        <v>32</v>
      </c>
      <c r="T129" s="483">
        <v>24</v>
      </c>
      <c r="U129" s="510" t="e">
        <f t="shared" si="10"/>
        <v>#VALUE!</v>
      </c>
      <c r="V129" s="510">
        <v>1</v>
      </c>
      <c r="W129" s="510">
        <v>0</v>
      </c>
      <c r="X129" s="510">
        <v>0</v>
      </c>
      <c r="Y129" s="483">
        <v>1</v>
      </c>
      <c r="Z129" s="483">
        <v>1</v>
      </c>
      <c r="AA129" s="1847" t="e">
        <f t="shared" si="11"/>
        <v>#VALUE!</v>
      </c>
      <c r="AB129" s="1847">
        <f t="shared" si="12"/>
        <v>1.3</v>
      </c>
      <c r="AC129" s="1847">
        <f t="shared" si="13"/>
        <v>1.5</v>
      </c>
      <c r="AD129" s="1847" t="e">
        <f t="shared" si="14"/>
        <v>#VALUE!</v>
      </c>
      <c r="AE129" s="1847" t="e">
        <f t="shared" si="15"/>
        <v>#VALUE!</v>
      </c>
      <c r="AF129" s="1823" t="e">
        <f t="shared" si="16"/>
        <v>#VALUE!</v>
      </c>
      <c r="AG129" s="1769" t="e">
        <f t="shared" si="17"/>
        <v>#VALUE!</v>
      </c>
      <c r="AI129" t="s">
        <v>2424</v>
      </c>
    </row>
    <row r="130" spans="3:35" ht="24.95" customHeight="1">
      <c r="C130" s="491">
        <v>123</v>
      </c>
      <c r="D130" s="1847"/>
      <c r="E130" s="1847"/>
      <c r="F130" s="1847" t="s">
        <v>2426</v>
      </c>
      <c r="G130" s="1847" t="s">
        <v>2426</v>
      </c>
      <c r="H130" s="1847" t="s">
        <v>2421</v>
      </c>
      <c r="I130" s="1847" t="s">
        <v>2421</v>
      </c>
      <c r="J130" s="1847" t="s">
        <v>2769</v>
      </c>
      <c r="K130" s="1847" t="s">
        <v>3929</v>
      </c>
      <c r="L130" s="1847" t="s">
        <v>2801</v>
      </c>
      <c r="M130" s="1847" t="s">
        <v>4089</v>
      </c>
      <c r="N130" s="1847" t="s">
        <v>2050</v>
      </c>
      <c r="O130" s="1847"/>
      <c r="P130" s="1852">
        <v>25.92</v>
      </c>
      <c r="Q130" s="1852">
        <v>1.5</v>
      </c>
      <c r="R130" s="483" t="e">
        <f>IF(H130="","",SUMIFS('[1]1_group_totals'!$J$8:$J$10000,'[1]1_group_totals'!$C$8:$C$10000,C130))</f>
        <v>#VALUE!</v>
      </c>
      <c r="S130" s="483">
        <f t="shared" si="9"/>
        <v>33</v>
      </c>
      <c r="T130" s="483" t="s">
        <v>55</v>
      </c>
      <c r="U130" s="510" t="e">
        <f t="shared" si="10"/>
        <v>#VALUE!</v>
      </c>
      <c r="V130" s="510">
        <v>1</v>
      </c>
      <c r="W130" s="510">
        <v>0</v>
      </c>
      <c r="X130" s="510">
        <v>0</v>
      </c>
      <c r="Y130" s="483">
        <v>1</v>
      </c>
      <c r="Z130" s="483">
        <v>1</v>
      </c>
      <c r="AA130" s="1847" t="e">
        <f t="shared" si="11"/>
        <v>#VALUE!</v>
      </c>
      <c r="AB130" s="1847">
        <f t="shared" si="12"/>
        <v>1.0368000000000002</v>
      </c>
      <c r="AC130" s="1847">
        <f t="shared" si="13"/>
        <v>0.06</v>
      </c>
      <c r="AD130" s="1847" t="e">
        <f t="shared" si="14"/>
        <v>#VALUE!</v>
      </c>
      <c r="AE130" s="1847" t="e">
        <f t="shared" si="15"/>
        <v>#VALUE!</v>
      </c>
      <c r="AF130" s="1823" t="e">
        <f t="shared" si="16"/>
        <v>#VALUE!</v>
      </c>
      <c r="AG130" s="1769" t="e">
        <f t="shared" si="17"/>
        <v>#VALUE!</v>
      </c>
      <c r="AI130" t="s">
        <v>2426</v>
      </c>
    </row>
    <row r="131" spans="3:35" ht="24.95" customHeight="1">
      <c r="C131" s="491">
        <v>124</v>
      </c>
      <c r="D131" s="1847"/>
      <c r="E131" s="1847"/>
      <c r="F131" s="1847" t="s">
        <v>2428</v>
      </c>
      <c r="G131" s="1847" t="s">
        <v>2428</v>
      </c>
      <c r="H131" s="1847" t="s">
        <v>2423</v>
      </c>
      <c r="I131" s="1847" t="s">
        <v>2423</v>
      </c>
      <c r="J131" s="1847" t="s">
        <v>2783</v>
      </c>
      <c r="K131" s="1847" t="s">
        <v>3929</v>
      </c>
      <c r="L131" s="1847" t="s">
        <v>2801</v>
      </c>
      <c r="M131" s="1847" t="s">
        <v>2172</v>
      </c>
      <c r="N131" s="1847" t="s">
        <v>2050</v>
      </c>
      <c r="O131" s="1847"/>
      <c r="P131" s="1852">
        <v>2</v>
      </c>
      <c r="Q131" s="1852">
        <v>2.5</v>
      </c>
      <c r="R131" s="483" t="e">
        <f>IF(H131="","",SUMIFS('[1]1_group_totals'!$J$8:$J$10000,'[1]1_group_totals'!$C$8:$C$10000,C131))</f>
        <v>#VALUE!</v>
      </c>
      <c r="S131" s="483">
        <f t="shared" si="9"/>
        <v>2</v>
      </c>
      <c r="T131" s="483">
        <v>1</v>
      </c>
      <c r="U131" s="510" t="e">
        <f t="shared" si="10"/>
        <v>#VALUE!</v>
      </c>
      <c r="V131" s="510">
        <v>1</v>
      </c>
      <c r="W131" s="510">
        <v>0</v>
      </c>
      <c r="X131" s="510">
        <v>0</v>
      </c>
      <c r="Y131" s="483">
        <v>1</v>
      </c>
      <c r="Z131" s="483">
        <v>1</v>
      </c>
      <c r="AA131" s="1847" t="e">
        <f t="shared" si="11"/>
        <v>#VALUE!</v>
      </c>
      <c r="AB131" s="1847">
        <f t="shared" si="12"/>
        <v>2</v>
      </c>
      <c r="AC131" s="1847">
        <f t="shared" si="13"/>
        <v>2.5</v>
      </c>
      <c r="AD131" s="1847" t="e">
        <f t="shared" si="14"/>
        <v>#VALUE!</v>
      </c>
      <c r="AE131" s="1847" t="e">
        <f t="shared" si="15"/>
        <v>#VALUE!</v>
      </c>
      <c r="AF131" s="1823" t="e">
        <f t="shared" si="16"/>
        <v>#VALUE!</v>
      </c>
      <c r="AG131" s="1769" t="e">
        <f t="shared" si="17"/>
        <v>#VALUE!</v>
      </c>
      <c r="AI131" t="s">
        <v>2428</v>
      </c>
    </row>
    <row r="132" spans="3:35" ht="24.95" customHeight="1">
      <c r="C132" s="491">
        <v>125</v>
      </c>
      <c r="D132" s="1847"/>
      <c r="E132" s="1847"/>
      <c r="F132" s="1847" t="s">
        <v>2430</v>
      </c>
      <c r="G132" s="1847" t="s">
        <v>2430</v>
      </c>
      <c r="H132" s="1847" t="s">
        <v>2425</v>
      </c>
      <c r="I132" s="1847" t="s">
        <v>2425</v>
      </c>
      <c r="J132" s="1847" t="s">
        <v>2764</v>
      </c>
      <c r="K132" s="1847" t="s">
        <v>3929</v>
      </c>
      <c r="L132" s="1847" t="s">
        <v>2801</v>
      </c>
      <c r="M132" s="1847" t="s">
        <v>4083</v>
      </c>
      <c r="N132" s="1847" t="s">
        <v>2050</v>
      </c>
      <c r="O132" s="1847"/>
      <c r="P132" s="1852">
        <v>4</v>
      </c>
      <c r="Q132" s="1852">
        <v>0.04</v>
      </c>
      <c r="R132" s="483" t="e">
        <f>IF(H132="","",SUMIFS('[1]1_group_totals'!$J$8:$J$10000,'[1]1_group_totals'!$C$8:$C$10000,C132))</f>
        <v>#VALUE!</v>
      </c>
      <c r="S132" s="483">
        <f t="shared" si="9"/>
        <v>35</v>
      </c>
      <c r="T132" s="483" t="s">
        <v>2737</v>
      </c>
      <c r="U132" s="510" t="e">
        <f t="shared" si="10"/>
        <v>#VALUE!</v>
      </c>
      <c r="V132" s="510">
        <v>1</v>
      </c>
      <c r="W132" s="510">
        <v>0</v>
      </c>
      <c r="X132" s="510">
        <v>0</v>
      </c>
      <c r="Y132" s="483">
        <v>1</v>
      </c>
      <c r="Z132" s="483">
        <v>1</v>
      </c>
      <c r="AA132" s="1847" t="e">
        <f t="shared" si="11"/>
        <v>#VALUE!</v>
      </c>
      <c r="AB132" s="1847">
        <f t="shared" si="12"/>
        <v>0.04</v>
      </c>
      <c r="AC132" s="1847">
        <f t="shared" si="13"/>
        <v>4.0000000000000002E-4</v>
      </c>
      <c r="AD132" s="1847" t="e">
        <f t="shared" si="14"/>
        <v>#VALUE!</v>
      </c>
      <c r="AE132" s="1847" t="e">
        <f t="shared" si="15"/>
        <v>#VALUE!</v>
      </c>
      <c r="AF132" s="1823" t="e">
        <f t="shared" si="16"/>
        <v>#VALUE!</v>
      </c>
      <c r="AG132" s="1769" t="e">
        <f t="shared" si="17"/>
        <v>#VALUE!</v>
      </c>
      <c r="AI132" t="s">
        <v>2430</v>
      </c>
    </row>
    <row r="133" spans="3:35" ht="24.95" customHeight="1">
      <c r="C133" s="491">
        <v>126</v>
      </c>
      <c r="D133" s="1847"/>
      <c r="E133" s="1847"/>
      <c r="F133" s="1847" t="s">
        <v>2432</v>
      </c>
      <c r="G133" s="1847" t="s">
        <v>2432</v>
      </c>
      <c r="H133" s="1847" t="s">
        <v>2427</v>
      </c>
      <c r="I133" s="1847" t="s">
        <v>2427</v>
      </c>
      <c r="J133" s="1847" t="s">
        <v>2632</v>
      </c>
      <c r="K133" s="1847" t="s">
        <v>3929</v>
      </c>
      <c r="L133" s="1847" t="s">
        <v>2801</v>
      </c>
      <c r="M133" s="1847" t="s">
        <v>4077</v>
      </c>
      <c r="N133" s="1847" t="s">
        <v>2050</v>
      </c>
      <c r="O133" s="1847"/>
      <c r="P133" s="1852">
        <v>31.2</v>
      </c>
      <c r="Q133" s="1852">
        <v>3.5</v>
      </c>
      <c r="R133" s="483" t="e">
        <f>IF(H133="","",SUMIFS('[1]1_group_totals'!$J$8:$J$10000,'[1]1_group_totals'!$C$8:$C$10000,C133))</f>
        <v>#VALUE!</v>
      </c>
      <c r="S133" s="483">
        <f t="shared" si="9"/>
        <v>26</v>
      </c>
      <c r="T133" s="483" t="s">
        <v>36</v>
      </c>
      <c r="U133" s="510" t="e">
        <f t="shared" si="10"/>
        <v>#VALUE!</v>
      </c>
      <c r="V133" s="510">
        <v>1</v>
      </c>
      <c r="W133" s="510">
        <v>0</v>
      </c>
      <c r="X133" s="510">
        <v>0</v>
      </c>
      <c r="Y133" s="483">
        <v>1</v>
      </c>
      <c r="Z133" s="483">
        <v>1</v>
      </c>
      <c r="AA133" s="1847" t="e">
        <f t="shared" si="11"/>
        <v>#VALUE!</v>
      </c>
      <c r="AB133" s="1847">
        <f t="shared" si="12"/>
        <v>2.6</v>
      </c>
      <c r="AC133" s="1847">
        <f t="shared" si="13"/>
        <v>0.29166666666666669</v>
      </c>
      <c r="AD133" s="1847" t="e">
        <f t="shared" si="14"/>
        <v>#VALUE!</v>
      </c>
      <c r="AE133" s="1847" t="e">
        <f t="shared" si="15"/>
        <v>#VALUE!</v>
      </c>
      <c r="AF133" s="1823" t="e">
        <f t="shared" si="16"/>
        <v>#VALUE!</v>
      </c>
      <c r="AG133" s="1769" t="e">
        <f t="shared" si="17"/>
        <v>#VALUE!</v>
      </c>
      <c r="AI133" t="s">
        <v>2432</v>
      </c>
    </row>
    <row r="134" spans="3:35" ht="24.95" customHeight="1">
      <c r="C134" s="491">
        <v>127</v>
      </c>
      <c r="D134" s="1847"/>
      <c r="E134" s="1847"/>
      <c r="F134" s="1847" t="s">
        <v>2434</v>
      </c>
      <c r="G134" s="1847" t="s">
        <v>2434</v>
      </c>
      <c r="H134" s="1847" t="s">
        <v>2429</v>
      </c>
      <c r="I134" s="1847" t="s">
        <v>2429</v>
      </c>
      <c r="J134" s="1847" t="s">
        <v>2632</v>
      </c>
      <c r="K134" s="1847" t="s">
        <v>2795</v>
      </c>
      <c r="L134" s="1847" t="s">
        <v>2801</v>
      </c>
      <c r="M134" s="1847" t="s">
        <v>4077</v>
      </c>
      <c r="N134" s="1847" t="s">
        <v>2050</v>
      </c>
      <c r="O134" s="1847"/>
      <c r="P134" s="1852">
        <v>26.4</v>
      </c>
      <c r="Q134" s="1852">
        <v>3</v>
      </c>
      <c r="R134" s="483" t="e">
        <f>IF(H134="","",SUMIFS('[1]1_group_totals'!$J$8:$J$10000,'[1]1_group_totals'!$C$8:$C$10000,C134))</f>
        <v>#VALUE!</v>
      </c>
      <c r="S134" s="483">
        <f t="shared" si="9"/>
        <v>26</v>
      </c>
      <c r="T134" s="483" t="s">
        <v>36</v>
      </c>
      <c r="U134" s="510" t="e">
        <f t="shared" si="10"/>
        <v>#VALUE!</v>
      </c>
      <c r="V134" s="510">
        <v>1</v>
      </c>
      <c r="W134" s="510">
        <v>0</v>
      </c>
      <c r="X134" s="510">
        <v>0</v>
      </c>
      <c r="Y134" s="483">
        <v>1</v>
      </c>
      <c r="Z134" s="483">
        <v>1</v>
      </c>
      <c r="AA134" s="1847" t="e">
        <f t="shared" si="11"/>
        <v>#VALUE!</v>
      </c>
      <c r="AB134" s="1847">
        <f t="shared" si="12"/>
        <v>2.1999999999999997</v>
      </c>
      <c r="AC134" s="1847">
        <f t="shared" si="13"/>
        <v>0.25</v>
      </c>
      <c r="AD134" s="1847" t="e">
        <f t="shared" si="14"/>
        <v>#VALUE!</v>
      </c>
      <c r="AE134" s="1847" t="e">
        <f t="shared" si="15"/>
        <v>#VALUE!</v>
      </c>
      <c r="AF134" s="1823" t="e">
        <f t="shared" si="16"/>
        <v>#VALUE!</v>
      </c>
      <c r="AG134" s="1769" t="e">
        <f t="shared" si="17"/>
        <v>#VALUE!</v>
      </c>
      <c r="AI134" t="s">
        <v>2434</v>
      </c>
    </row>
    <row r="135" spans="3:35" ht="24.95" customHeight="1">
      <c r="C135" s="491">
        <v>128</v>
      </c>
      <c r="D135" s="1847"/>
      <c r="E135" s="1847"/>
      <c r="F135" s="1847" t="s">
        <v>2436</v>
      </c>
      <c r="G135" s="1847" t="s">
        <v>2436</v>
      </c>
      <c r="H135" s="1847" t="s">
        <v>2431</v>
      </c>
      <c r="I135" s="1847" t="s">
        <v>2431</v>
      </c>
      <c r="J135" s="1847" t="s">
        <v>2632</v>
      </c>
      <c r="K135" s="1847" t="s">
        <v>2795</v>
      </c>
      <c r="L135" s="1847" t="s">
        <v>2801</v>
      </c>
      <c r="M135" s="1847" t="s">
        <v>4077</v>
      </c>
      <c r="N135" s="1847" t="s">
        <v>2050</v>
      </c>
      <c r="O135" s="1847"/>
      <c r="P135" s="1852">
        <v>37.200000000000003</v>
      </c>
      <c r="Q135" s="1852">
        <v>3.5</v>
      </c>
      <c r="R135" s="483" t="e">
        <f>IF(H135="","",SUMIFS('[1]1_group_totals'!$J$8:$J$10000,'[1]1_group_totals'!$C$8:$C$10000,C135))</f>
        <v>#VALUE!</v>
      </c>
      <c r="S135" s="483">
        <f t="shared" si="9"/>
        <v>26</v>
      </c>
      <c r="T135" s="483" t="s">
        <v>36</v>
      </c>
      <c r="U135" s="510" t="e">
        <f t="shared" si="10"/>
        <v>#VALUE!</v>
      </c>
      <c r="V135" s="510">
        <v>1</v>
      </c>
      <c r="W135" s="510">
        <v>0</v>
      </c>
      <c r="X135" s="510">
        <v>0</v>
      </c>
      <c r="Y135" s="483">
        <v>1</v>
      </c>
      <c r="Z135" s="483">
        <v>1</v>
      </c>
      <c r="AA135" s="1847" t="e">
        <f t="shared" si="11"/>
        <v>#VALUE!</v>
      </c>
      <c r="AB135" s="1847">
        <f t="shared" si="12"/>
        <v>3.1</v>
      </c>
      <c r="AC135" s="1847">
        <f t="shared" si="13"/>
        <v>0.29166666666666669</v>
      </c>
      <c r="AD135" s="1847" t="e">
        <f t="shared" si="14"/>
        <v>#VALUE!</v>
      </c>
      <c r="AE135" s="1847" t="e">
        <f t="shared" si="15"/>
        <v>#VALUE!</v>
      </c>
      <c r="AF135" s="1823" t="e">
        <f t="shared" si="16"/>
        <v>#VALUE!</v>
      </c>
      <c r="AG135" s="1769" t="e">
        <f t="shared" si="17"/>
        <v>#VALUE!</v>
      </c>
      <c r="AI135" t="s">
        <v>2436</v>
      </c>
    </row>
    <row r="136" spans="3:35" ht="24.95" customHeight="1">
      <c r="C136" s="491">
        <v>129</v>
      </c>
      <c r="D136" s="1847"/>
      <c r="E136" s="1847"/>
      <c r="F136" s="1847" t="s">
        <v>2438</v>
      </c>
      <c r="G136" s="1847" t="s">
        <v>2438</v>
      </c>
      <c r="H136" s="1847" t="s">
        <v>2433</v>
      </c>
      <c r="I136" s="1847" t="s">
        <v>2433</v>
      </c>
      <c r="J136" s="1847" t="s">
        <v>2632</v>
      </c>
      <c r="K136" s="1847" t="s">
        <v>2795</v>
      </c>
      <c r="L136" s="1847" t="s">
        <v>2801</v>
      </c>
      <c r="M136" s="1847" t="s">
        <v>4077</v>
      </c>
      <c r="N136" s="1847" t="s">
        <v>2050</v>
      </c>
      <c r="O136" s="1847"/>
      <c r="P136" s="1852">
        <v>46.8</v>
      </c>
      <c r="Q136" s="1852">
        <v>4.5</v>
      </c>
      <c r="R136" s="483" t="e">
        <f>IF(H136="","",SUMIFS('[1]1_group_totals'!$J$8:$J$10000,'[1]1_group_totals'!$C$8:$C$10000,C136))</f>
        <v>#VALUE!</v>
      </c>
      <c r="S136" s="483">
        <f t="shared" ref="S136:S199" si="18">IF(J136="","",MID(J136,1,3)*1)</f>
        <v>26</v>
      </c>
      <c r="T136" s="483" t="s">
        <v>36</v>
      </c>
      <c r="U136" s="510" t="e">
        <f t="shared" ref="U136:U199" si="19">getStockAvariableByUom(C136,R136,T136,Z136,S136)</f>
        <v>#VALUE!</v>
      </c>
      <c r="V136" s="510">
        <v>1</v>
      </c>
      <c r="W136" s="510">
        <v>0</v>
      </c>
      <c r="X136" s="510">
        <v>0</v>
      </c>
      <c r="Y136" s="483">
        <v>1</v>
      </c>
      <c r="Z136" s="483">
        <v>1</v>
      </c>
      <c r="AA136" s="1847" t="e">
        <f t="shared" ref="AA136:AA199" si="20">IF(AND(C136&lt;&gt;"",H136&lt;&gt;"",R136&gt;0),TEXT(C136,"00000")&amp;"."&amp;H136&amp;" | "&amp;F136&amp;" | Cost : "&amp;P136&amp;" "&amp;product_currency&amp;" | Price : "&amp;Q136&amp;" "&amp;product_currency&amp;" | Stock Ending : "&amp;U136,"")</f>
        <v>#VALUE!</v>
      </c>
      <c r="AB136" s="1847">
        <f t="shared" ref="AB136:AB199" si="21">P136/T136</f>
        <v>3.9</v>
      </c>
      <c r="AC136" s="1847">
        <f t="shared" ref="AC136:AC199" si="22">Q136/T136</f>
        <v>0.375</v>
      </c>
      <c r="AD136" s="1847" t="e">
        <f t="shared" ref="AD136:AD199" si="23">IF(R136&gt;0,R136*AB136,"")</f>
        <v>#VALUE!</v>
      </c>
      <c r="AE136" s="1847" t="e">
        <f t="shared" ref="AE136:AE199" si="24">IF(R136&gt;0,R136*AC136,"")</f>
        <v>#VALUE!</v>
      </c>
      <c r="AF136" s="1823" t="e">
        <f t="shared" ref="AF136:AF199" si="25">IF(R136&lt;0,R136*AB136,"")</f>
        <v>#VALUE!</v>
      </c>
      <c r="AG136" s="1769" t="e">
        <f t="shared" ref="AG136:AG199" si="26">IF(R136&lt;0,R136*AC136,"")</f>
        <v>#VALUE!</v>
      </c>
      <c r="AI136" t="s">
        <v>2438</v>
      </c>
    </row>
    <row r="137" spans="3:35" ht="24.95" customHeight="1">
      <c r="C137" s="491">
        <v>130</v>
      </c>
      <c r="D137" s="1847"/>
      <c r="E137" s="1847"/>
      <c r="F137" s="1847" t="s">
        <v>2440</v>
      </c>
      <c r="G137" s="1847" t="s">
        <v>2440</v>
      </c>
      <c r="H137" s="1847" t="s">
        <v>2435</v>
      </c>
      <c r="I137" s="1847" t="s">
        <v>2435</v>
      </c>
      <c r="J137" s="1847" t="s">
        <v>2783</v>
      </c>
      <c r="K137" s="1847" t="s">
        <v>2795</v>
      </c>
      <c r="L137" s="1847" t="s">
        <v>2801</v>
      </c>
      <c r="M137" s="1847" t="s">
        <v>2739</v>
      </c>
      <c r="N137" s="1847" t="s">
        <v>2050</v>
      </c>
      <c r="O137" s="1847"/>
      <c r="P137" s="1852">
        <v>1.8</v>
      </c>
      <c r="Q137" s="1852">
        <v>2.25</v>
      </c>
      <c r="R137" s="483" t="e">
        <f>IF(H137="","",SUMIFS('[1]1_group_totals'!$J$8:$J$10000,'[1]1_group_totals'!$C$8:$C$10000,C137))</f>
        <v>#VALUE!</v>
      </c>
      <c r="S137" s="483">
        <f t="shared" si="18"/>
        <v>2</v>
      </c>
      <c r="T137" s="483">
        <v>1</v>
      </c>
      <c r="U137" s="510" t="e">
        <f t="shared" si="19"/>
        <v>#VALUE!</v>
      </c>
      <c r="V137" s="510">
        <v>1</v>
      </c>
      <c r="W137" s="510">
        <v>0</v>
      </c>
      <c r="X137" s="510">
        <v>0</v>
      </c>
      <c r="Y137" s="483">
        <v>1</v>
      </c>
      <c r="Z137" s="483">
        <v>1</v>
      </c>
      <c r="AA137" s="1847" t="e">
        <f t="shared" si="20"/>
        <v>#VALUE!</v>
      </c>
      <c r="AB137" s="1847">
        <f t="shared" si="21"/>
        <v>1.8</v>
      </c>
      <c r="AC137" s="1847">
        <f t="shared" si="22"/>
        <v>2.25</v>
      </c>
      <c r="AD137" s="1847" t="e">
        <f t="shared" si="23"/>
        <v>#VALUE!</v>
      </c>
      <c r="AE137" s="1847" t="e">
        <f t="shared" si="24"/>
        <v>#VALUE!</v>
      </c>
      <c r="AF137" s="1823" t="e">
        <f t="shared" si="25"/>
        <v>#VALUE!</v>
      </c>
      <c r="AG137" s="1769" t="e">
        <f t="shared" si="26"/>
        <v>#VALUE!</v>
      </c>
      <c r="AI137" t="s">
        <v>2440</v>
      </c>
    </row>
    <row r="138" spans="3:35" ht="24.95" customHeight="1">
      <c r="C138" s="491">
        <v>131</v>
      </c>
      <c r="D138" s="1847"/>
      <c r="E138" s="1847"/>
      <c r="F138" s="1847" t="s">
        <v>2442</v>
      </c>
      <c r="G138" s="1847" t="s">
        <v>2442</v>
      </c>
      <c r="H138" s="1847" t="s">
        <v>2437</v>
      </c>
      <c r="I138" s="1847" t="s">
        <v>2437</v>
      </c>
      <c r="J138" s="1847" t="s">
        <v>2783</v>
      </c>
      <c r="K138" s="1847" t="s">
        <v>3929</v>
      </c>
      <c r="L138" s="1847" t="s">
        <v>2801</v>
      </c>
      <c r="M138" s="1847" t="s">
        <v>2172</v>
      </c>
      <c r="N138" s="1847" t="s">
        <v>2050</v>
      </c>
      <c r="O138" s="1847"/>
      <c r="P138" s="1852">
        <v>0.7</v>
      </c>
      <c r="Q138" s="1852">
        <v>1.25</v>
      </c>
      <c r="R138" s="483" t="e">
        <f>IF(H138="","",SUMIFS('[1]1_group_totals'!$J$8:$J$10000,'[1]1_group_totals'!$C$8:$C$10000,C138))</f>
        <v>#VALUE!</v>
      </c>
      <c r="S138" s="483">
        <f t="shared" si="18"/>
        <v>2</v>
      </c>
      <c r="T138" s="483">
        <v>1</v>
      </c>
      <c r="U138" s="510" t="e">
        <f t="shared" si="19"/>
        <v>#VALUE!</v>
      </c>
      <c r="V138" s="510">
        <v>1</v>
      </c>
      <c r="W138" s="510">
        <v>0</v>
      </c>
      <c r="X138" s="510">
        <v>0</v>
      </c>
      <c r="Y138" s="483">
        <v>1</v>
      </c>
      <c r="Z138" s="483">
        <v>1</v>
      </c>
      <c r="AA138" s="1847" t="e">
        <f t="shared" si="20"/>
        <v>#VALUE!</v>
      </c>
      <c r="AB138" s="1847">
        <f t="shared" si="21"/>
        <v>0.7</v>
      </c>
      <c r="AC138" s="1847">
        <f t="shared" si="22"/>
        <v>1.25</v>
      </c>
      <c r="AD138" s="1847" t="e">
        <f t="shared" si="23"/>
        <v>#VALUE!</v>
      </c>
      <c r="AE138" s="1847" t="e">
        <f t="shared" si="24"/>
        <v>#VALUE!</v>
      </c>
      <c r="AF138" s="1823" t="e">
        <f t="shared" si="25"/>
        <v>#VALUE!</v>
      </c>
      <c r="AG138" s="1769" t="e">
        <f t="shared" si="26"/>
        <v>#VALUE!</v>
      </c>
      <c r="AI138" t="s">
        <v>2442</v>
      </c>
    </row>
    <row r="139" spans="3:35" ht="24.95" customHeight="1">
      <c r="C139" s="491">
        <v>132</v>
      </c>
      <c r="D139" s="1847"/>
      <c r="E139" s="1847"/>
      <c r="F139" s="1847" t="s">
        <v>2444</v>
      </c>
      <c r="G139" s="1847" t="s">
        <v>2444</v>
      </c>
      <c r="H139" s="1847" t="s">
        <v>2439</v>
      </c>
      <c r="I139" s="1847" t="s">
        <v>2439</v>
      </c>
      <c r="J139" s="1847" t="s">
        <v>2783</v>
      </c>
      <c r="K139" s="1847" t="s">
        <v>3929</v>
      </c>
      <c r="L139" s="1847" t="s">
        <v>2801</v>
      </c>
      <c r="M139" s="1847" t="s">
        <v>2172</v>
      </c>
      <c r="N139" s="1847" t="s">
        <v>2050</v>
      </c>
      <c r="O139" s="1847"/>
      <c r="P139" s="1852">
        <v>2.2000000000000002</v>
      </c>
      <c r="Q139" s="1852">
        <v>2.75</v>
      </c>
      <c r="R139" s="483" t="e">
        <f>IF(H139="","",SUMIFS('[1]1_group_totals'!$J$8:$J$10000,'[1]1_group_totals'!$C$8:$C$10000,C139))</f>
        <v>#VALUE!</v>
      </c>
      <c r="S139" s="483">
        <f t="shared" si="18"/>
        <v>2</v>
      </c>
      <c r="T139" s="483">
        <v>1</v>
      </c>
      <c r="U139" s="510" t="e">
        <f t="shared" si="19"/>
        <v>#VALUE!</v>
      </c>
      <c r="V139" s="510">
        <v>1</v>
      </c>
      <c r="W139" s="510">
        <v>0</v>
      </c>
      <c r="X139" s="510">
        <v>0</v>
      </c>
      <c r="Y139" s="483">
        <v>1</v>
      </c>
      <c r="Z139" s="483">
        <v>1</v>
      </c>
      <c r="AA139" s="1847" t="e">
        <f t="shared" si="20"/>
        <v>#VALUE!</v>
      </c>
      <c r="AB139" s="1847">
        <f t="shared" si="21"/>
        <v>2.2000000000000002</v>
      </c>
      <c r="AC139" s="1847">
        <f t="shared" si="22"/>
        <v>2.75</v>
      </c>
      <c r="AD139" s="1847" t="e">
        <f t="shared" si="23"/>
        <v>#VALUE!</v>
      </c>
      <c r="AE139" s="1847" t="e">
        <f t="shared" si="24"/>
        <v>#VALUE!</v>
      </c>
      <c r="AF139" s="1823" t="e">
        <f t="shared" si="25"/>
        <v>#VALUE!</v>
      </c>
      <c r="AG139" s="1769" t="e">
        <f t="shared" si="26"/>
        <v>#VALUE!</v>
      </c>
      <c r="AI139" t="s">
        <v>2444</v>
      </c>
    </row>
    <row r="140" spans="3:35" ht="24.95" customHeight="1">
      <c r="C140" s="491">
        <v>133</v>
      </c>
      <c r="D140" s="1847"/>
      <c r="E140" s="1847"/>
      <c r="F140" s="1847" t="s">
        <v>2446</v>
      </c>
      <c r="G140" s="1847" t="s">
        <v>2446</v>
      </c>
      <c r="H140" s="1847" t="s">
        <v>2441</v>
      </c>
      <c r="I140" s="1847" t="s">
        <v>2441</v>
      </c>
      <c r="J140" s="1847" t="s">
        <v>2783</v>
      </c>
      <c r="K140" s="1847" t="s">
        <v>3929</v>
      </c>
      <c r="L140" s="1847" t="s">
        <v>2801</v>
      </c>
      <c r="M140" s="1847" t="s">
        <v>2172</v>
      </c>
      <c r="N140" s="1847" t="s">
        <v>2050</v>
      </c>
      <c r="O140" s="1847"/>
      <c r="P140" s="1852">
        <v>9.5</v>
      </c>
      <c r="Q140" s="1852">
        <v>10.5</v>
      </c>
      <c r="R140" s="483" t="e">
        <f>IF(H140="","",SUMIFS('[1]1_group_totals'!$J$8:$J$10000,'[1]1_group_totals'!$C$8:$C$10000,C140))</f>
        <v>#VALUE!</v>
      </c>
      <c r="S140" s="483">
        <f t="shared" si="18"/>
        <v>2</v>
      </c>
      <c r="T140" s="483">
        <v>1</v>
      </c>
      <c r="U140" s="510" t="e">
        <f t="shared" si="19"/>
        <v>#VALUE!</v>
      </c>
      <c r="V140" s="510">
        <v>1</v>
      </c>
      <c r="W140" s="510">
        <v>0</v>
      </c>
      <c r="X140" s="510">
        <v>0</v>
      </c>
      <c r="Y140" s="483">
        <v>1</v>
      </c>
      <c r="Z140" s="483">
        <v>1</v>
      </c>
      <c r="AA140" s="1847" t="e">
        <f t="shared" si="20"/>
        <v>#VALUE!</v>
      </c>
      <c r="AB140" s="1847">
        <f t="shared" si="21"/>
        <v>9.5</v>
      </c>
      <c r="AC140" s="1847">
        <f t="shared" si="22"/>
        <v>10.5</v>
      </c>
      <c r="AD140" s="1847" t="e">
        <f t="shared" si="23"/>
        <v>#VALUE!</v>
      </c>
      <c r="AE140" s="1847" t="e">
        <f t="shared" si="24"/>
        <v>#VALUE!</v>
      </c>
      <c r="AF140" s="1823" t="e">
        <f t="shared" si="25"/>
        <v>#VALUE!</v>
      </c>
      <c r="AG140" s="1769" t="e">
        <f t="shared" si="26"/>
        <v>#VALUE!</v>
      </c>
      <c r="AI140" t="s">
        <v>2446</v>
      </c>
    </row>
    <row r="141" spans="3:35" ht="24.95" customHeight="1">
      <c r="C141" s="491">
        <v>134</v>
      </c>
      <c r="D141" s="1847"/>
      <c r="E141" s="1847"/>
      <c r="F141" s="1847" t="s">
        <v>2448</v>
      </c>
      <c r="G141" s="1847" t="s">
        <v>2448</v>
      </c>
      <c r="H141" s="1847" t="s">
        <v>2443</v>
      </c>
      <c r="I141" s="1847" t="s">
        <v>2443</v>
      </c>
      <c r="J141" s="1847" t="s">
        <v>2783</v>
      </c>
      <c r="K141" s="1847" t="s">
        <v>3929</v>
      </c>
      <c r="L141" s="1847" t="s">
        <v>2801</v>
      </c>
      <c r="M141" s="1847" t="s">
        <v>2172</v>
      </c>
      <c r="N141" s="1847" t="s">
        <v>2050</v>
      </c>
      <c r="O141" s="1847"/>
      <c r="P141" s="1852">
        <v>1</v>
      </c>
      <c r="Q141" s="1852">
        <v>1.5</v>
      </c>
      <c r="R141" s="483" t="e">
        <f>IF(H141="","",SUMIFS('[1]1_group_totals'!$J$8:$J$10000,'[1]1_group_totals'!$C$8:$C$10000,C141))</f>
        <v>#VALUE!</v>
      </c>
      <c r="S141" s="483">
        <f t="shared" si="18"/>
        <v>2</v>
      </c>
      <c r="T141" s="483">
        <v>1</v>
      </c>
      <c r="U141" s="510" t="e">
        <f t="shared" si="19"/>
        <v>#VALUE!</v>
      </c>
      <c r="V141" s="510">
        <v>1</v>
      </c>
      <c r="W141" s="510">
        <v>0</v>
      </c>
      <c r="X141" s="510">
        <v>0</v>
      </c>
      <c r="Y141" s="483">
        <v>1</v>
      </c>
      <c r="Z141" s="483">
        <v>1</v>
      </c>
      <c r="AA141" s="1847" t="e">
        <f t="shared" si="20"/>
        <v>#VALUE!</v>
      </c>
      <c r="AB141" s="1847">
        <f t="shared" si="21"/>
        <v>1</v>
      </c>
      <c r="AC141" s="1847">
        <f t="shared" si="22"/>
        <v>1.5</v>
      </c>
      <c r="AD141" s="1847" t="e">
        <f t="shared" si="23"/>
        <v>#VALUE!</v>
      </c>
      <c r="AE141" s="1847" t="e">
        <f t="shared" si="24"/>
        <v>#VALUE!</v>
      </c>
      <c r="AF141" s="1823" t="e">
        <f t="shared" si="25"/>
        <v>#VALUE!</v>
      </c>
      <c r="AG141" s="1769" t="e">
        <f t="shared" si="26"/>
        <v>#VALUE!</v>
      </c>
      <c r="AI141" t="s">
        <v>2448</v>
      </c>
    </row>
    <row r="142" spans="3:35" ht="24.95" customHeight="1">
      <c r="C142" s="491">
        <v>135</v>
      </c>
      <c r="D142" s="1847"/>
      <c r="E142" s="1847"/>
      <c r="F142" s="1847" t="s">
        <v>2450</v>
      </c>
      <c r="G142" s="1847" t="s">
        <v>2450</v>
      </c>
      <c r="H142" s="1847" t="s">
        <v>2445</v>
      </c>
      <c r="I142" s="1847" t="s">
        <v>2445</v>
      </c>
      <c r="J142" s="1847" t="s">
        <v>2783</v>
      </c>
      <c r="K142" s="1847" t="s">
        <v>2795</v>
      </c>
      <c r="L142" s="1847" t="s">
        <v>2801</v>
      </c>
      <c r="M142" s="1847" t="s">
        <v>2172</v>
      </c>
      <c r="N142" s="1847" t="s">
        <v>2050</v>
      </c>
      <c r="O142" s="1847"/>
      <c r="P142" s="1852">
        <v>0.65</v>
      </c>
      <c r="Q142" s="1852">
        <v>1</v>
      </c>
      <c r="R142" s="483" t="e">
        <f>IF(H142="","",SUMIFS('[1]1_group_totals'!$J$8:$J$10000,'[1]1_group_totals'!$C$8:$C$10000,C142))</f>
        <v>#VALUE!</v>
      </c>
      <c r="S142" s="483">
        <f t="shared" si="18"/>
        <v>2</v>
      </c>
      <c r="T142" s="483">
        <v>1</v>
      </c>
      <c r="U142" s="510" t="e">
        <f t="shared" si="19"/>
        <v>#VALUE!</v>
      </c>
      <c r="V142" s="510">
        <v>1</v>
      </c>
      <c r="W142" s="510">
        <v>0</v>
      </c>
      <c r="X142" s="510">
        <v>0</v>
      </c>
      <c r="Y142" s="483">
        <v>1</v>
      </c>
      <c r="Z142" s="483">
        <v>1</v>
      </c>
      <c r="AA142" s="1847" t="e">
        <f t="shared" si="20"/>
        <v>#VALUE!</v>
      </c>
      <c r="AB142" s="1847">
        <f t="shared" si="21"/>
        <v>0.65</v>
      </c>
      <c r="AC142" s="1847">
        <f t="shared" si="22"/>
        <v>1</v>
      </c>
      <c r="AD142" s="1847" t="e">
        <f t="shared" si="23"/>
        <v>#VALUE!</v>
      </c>
      <c r="AE142" s="1847" t="e">
        <f t="shared" si="24"/>
        <v>#VALUE!</v>
      </c>
      <c r="AF142" s="1823" t="e">
        <f t="shared" si="25"/>
        <v>#VALUE!</v>
      </c>
      <c r="AG142" s="1769" t="e">
        <f t="shared" si="26"/>
        <v>#VALUE!</v>
      </c>
      <c r="AI142" t="s">
        <v>2450</v>
      </c>
    </row>
    <row r="143" spans="3:35" ht="24.95" customHeight="1">
      <c r="C143" s="491">
        <v>136</v>
      </c>
      <c r="D143" s="1847"/>
      <c r="E143" s="1847"/>
      <c r="F143" s="1847" t="s">
        <v>2452</v>
      </c>
      <c r="G143" s="1847" t="s">
        <v>2452</v>
      </c>
      <c r="H143" s="1847" t="s">
        <v>2447</v>
      </c>
      <c r="I143" s="1847" t="s">
        <v>2447</v>
      </c>
      <c r="J143" s="1847" t="s">
        <v>2783</v>
      </c>
      <c r="K143" s="1847" t="s">
        <v>2795</v>
      </c>
      <c r="L143" s="1847" t="s">
        <v>2801</v>
      </c>
      <c r="M143" s="1847" t="s">
        <v>2172</v>
      </c>
      <c r="N143" s="1847" t="s">
        <v>2050</v>
      </c>
      <c r="O143" s="1847"/>
      <c r="P143" s="1852">
        <v>0.38</v>
      </c>
      <c r="Q143" s="1852">
        <v>0.75</v>
      </c>
      <c r="R143" s="483" t="e">
        <f>IF(H143="","",SUMIFS('[1]1_group_totals'!$J$8:$J$10000,'[1]1_group_totals'!$C$8:$C$10000,C143))</f>
        <v>#VALUE!</v>
      </c>
      <c r="S143" s="483">
        <f t="shared" si="18"/>
        <v>2</v>
      </c>
      <c r="T143" s="483">
        <v>1</v>
      </c>
      <c r="U143" s="510" t="e">
        <f t="shared" si="19"/>
        <v>#VALUE!</v>
      </c>
      <c r="V143" s="510">
        <v>1</v>
      </c>
      <c r="W143" s="510">
        <v>0</v>
      </c>
      <c r="X143" s="510">
        <v>0</v>
      </c>
      <c r="Y143" s="483">
        <v>1</v>
      </c>
      <c r="Z143" s="483">
        <v>1</v>
      </c>
      <c r="AA143" s="1847" t="e">
        <f t="shared" si="20"/>
        <v>#VALUE!</v>
      </c>
      <c r="AB143" s="1847">
        <f t="shared" si="21"/>
        <v>0.38</v>
      </c>
      <c r="AC143" s="1847">
        <f t="shared" si="22"/>
        <v>0.75</v>
      </c>
      <c r="AD143" s="1847" t="e">
        <f t="shared" si="23"/>
        <v>#VALUE!</v>
      </c>
      <c r="AE143" s="1847" t="e">
        <f t="shared" si="24"/>
        <v>#VALUE!</v>
      </c>
      <c r="AF143" s="1823" t="e">
        <f t="shared" si="25"/>
        <v>#VALUE!</v>
      </c>
      <c r="AG143" s="1769" t="e">
        <f t="shared" si="26"/>
        <v>#VALUE!</v>
      </c>
      <c r="AI143" t="s">
        <v>2452</v>
      </c>
    </row>
    <row r="144" spans="3:35" ht="24.95" customHeight="1">
      <c r="C144" s="491">
        <v>137</v>
      </c>
      <c r="D144" s="1847"/>
      <c r="E144" s="1847"/>
      <c r="F144" s="1847" t="s">
        <v>2454</v>
      </c>
      <c r="G144" s="1847" t="s">
        <v>2454</v>
      </c>
      <c r="H144" s="1847" t="s">
        <v>2449</v>
      </c>
      <c r="I144" s="1847" t="s">
        <v>2449</v>
      </c>
      <c r="J144" s="1847" t="s">
        <v>2783</v>
      </c>
      <c r="K144" s="1847" t="s">
        <v>2795</v>
      </c>
      <c r="L144" s="1847" t="s">
        <v>2801</v>
      </c>
      <c r="M144" s="1847" t="s">
        <v>2172</v>
      </c>
      <c r="N144" s="1847" t="s">
        <v>2050</v>
      </c>
      <c r="O144" s="1847"/>
      <c r="P144" s="1852">
        <v>2.9</v>
      </c>
      <c r="Q144" s="1852">
        <v>3.25</v>
      </c>
      <c r="R144" s="483" t="e">
        <f>IF(H144="","",SUMIFS('[1]1_group_totals'!$J$8:$J$10000,'[1]1_group_totals'!$C$8:$C$10000,C144))</f>
        <v>#VALUE!</v>
      </c>
      <c r="S144" s="483">
        <f t="shared" si="18"/>
        <v>2</v>
      </c>
      <c r="T144" s="483">
        <v>1</v>
      </c>
      <c r="U144" s="510" t="e">
        <f t="shared" si="19"/>
        <v>#VALUE!</v>
      </c>
      <c r="V144" s="510">
        <v>1</v>
      </c>
      <c r="W144" s="510">
        <v>0</v>
      </c>
      <c r="X144" s="510">
        <v>0</v>
      </c>
      <c r="Y144" s="483">
        <v>1</v>
      </c>
      <c r="Z144" s="483">
        <v>1</v>
      </c>
      <c r="AA144" s="1847" t="e">
        <f t="shared" si="20"/>
        <v>#VALUE!</v>
      </c>
      <c r="AB144" s="1847">
        <f t="shared" si="21"/>
        <v>2.9</v>
      </c>
      <c r="AC144" s="1847">
        <f t="shared" si="22"/>
        <v>3.25</v>
      </c>
      <c r="AD144" s="1847" t="e">
        <f t="shared" si="23"/>
        <v>#VALUE!</v>
      </c>
      <c r="AE144" s="1847" t="e">
        <f t="shared" si="24"/>
        <v>#VALUE!</v>
      </c>
      <c r="AF144" s="1823" t="e">
        <f t="shared" si="25"/>
        <v>#VALUE!</v>
      </c>
      <c r="AG144" s="1769" t="e">
        <f t="shared" si="26"/>
        <v>#VALUE!</v>
      </c>
      <c r="AI144" t="s">
        <v>2454</v>
      </c>
    </row>
    <row r="145" spans="3:35" ht="24.95" customHeight="1">
      <c r="C145" s="491">
        <v>138</v>
      </c>
      <c r="D145" s="1847"/>
      <c r="E145" s="1847"/>
      <c r="F145" s="1847" t="s">
        <v>2456</v>
      </c>
      <c r="G145" s="1847" t="s">
        <v>2456</v>
      </c>
      <c r="H145" s="1847" t="s">
        <v>2451</v>
      </c>
      <c r="I145" s="1847" t="s">
        <v>2451</v>
      </c>
      <c r="J145" s="1847" t="s">
        <v>2783</v>
      </c>
      <c r="K145" s="1847" t="s">
        <v>2795</v>
      </c>
      <c r="L145" s="1847" t="s">
        <v>2801</v>
      </c>
      <c r="M145" s="1847" t="s">
        <v>2172</v>
      </c>
      <c r="N145" s="1847" t="s">
        <v>2050</v>
      </c>
      <c r="O145" s="1847"/>
      <c r="P145" s="1852">
        <v>3.8</v>
      </c>
      <c r="Q145" s="1852">
        <v>4.2</v>
      </c>
      <c r="R145" s="483" t="e">
        <f>IF(H145="","",SUMIFS('[1]1_group_totals'!$J$8:$J$10000,'[1]1_group_totals'!$C$8:$C$10000,C145))</f>
        <v>#VALUE!</v>
      </c>
      <c r="S145" s="483">
        <f t="shared" si="18"/>
        <v>2</v>
      </c>
      <c r="T145" s="483">
        <v>1</v>
      </c>
      <c r="U145" s="510" t="e">
        <f t="shared" si="19"/>
        <v>#VALUE!</v>
      </c>
      <c r="V145" s="510">
        <v>1</v>
      </c>
      <c r="W145" s="510">
        <v>0</v>
      </c>
      <c r="X145" s="510">
        <v>0</v>
      </c>
      <c r="Y145" s="483">
        <v>1</v>
      </c>
      <c r="Z145" s="483">
        <v>1</v>
      </c>
      <c r="AA145" s="1847" t="e">
        <f t="shared" si="20"/>
        <v>#VALUE!</v>
      </c>
      <c r="AB145" s="1847">
        <f t="shared" si="21"/>
        <v>3.8</v>
      </c>
      <c r="AC145" s="1847">
        <f t="shared" si="22"/>
        <v>4.2</v>
      </c>
      <c r="AD145" s="1847" t="e">
        <f t="shared" si="23"/>
        <v>#VALUE!</v>
      </c>
      <c r="AE145" s="1847" t="e">
        <f t="shared" si="24"/>
        <v>#VALUE!</v>
      </c>
      <c r="AF145" s="1823" t="e">
        <f t="shared" si="25"/>
        <v>#VALUE!</v>
      </c>
      <c r="AG145" s="1769" t="e">
        <f t="shared" si="26"/>
        <v>#VALUE!</v>
      </c>
      <c r="AI145" t="s">
        <v>2456</v>
      </c>
    </row>
    <row r="146" spans="3:35" ht="24.95" customHeight="1">
      <c r="C146" s="491">
        <v>139</v>
      </c>
      <c r="D146" s="1847"/>
      <c r="E146" s="1847"/>
      <c r="F146" s="1847" t="s">
        <v>2457</v>
      </c>
      <c r="G146" s="1847" t="s">
        <v>2457</v>
      </c>
      <c r="H146" s="1847" t="s">
        <v>2453</v>
      </c>
      <c r="I146" s="1847" t="s">
        <v>2453</v>
      </c>
      <c r="J146" s="1847" t="s">
        <v>2783</v>
      </c>
      <c r="K146" s="1847" t="s">
        <v>2795</v>
      </c>
      <c r="L146" s="1847" t="s">
        <v>2801</v>
      </c>
      <c r="M146" s="1847" t="s">
        <v>2172</v>
      </c>
      <c r="N146" s="1847" t="s">
        <v>2050</v>
      </c>
      <c r="O146" s="1847"/>
      <c r="P146" s="1852">
        <v>3.4</v>
      </c>
      <c r="Q146" s="1852">
        <v>4</v>
      </c>
      <c r="R146" s="483" t="e">
        <f>IF(H146="","",SUMIFS('[1]1_group_totals'!$J$8:$J$10000,'[1]1_group_totals'!$C$8:$C$10000,C146))</f>
        <v>#VALUE!</v>
      </c>
      <c r="S146" s="483">
        <f t="shared" si="18"/>
        <v>2</v>
      </c>
      <c r="T146" s="483">
        <v>1</v>
      </c>
      <c r="U146" s="510" t="e">
        <f t="shared" si="19"/>
        <v>#VALUE!</v>
      </c>
      <c r="V146" s="510">
        <v>1</v>
      </c>
      <c r="W146" s="510">
        <v>0</v>
      </c>
      <c r="X146" s="510">
        <v>0</v>
      </c>
      <c r="Y146" s="483">
        <v>1</v>
      </c>
      <c r="Z146" s="483">
        <v>1</v>
      </c>
      <c r="AA146" s="1847" t="e">
        <f t="shared" si="20"/>
        <v>#VALUE!</v>
      </c>
      <c r="AB146" s="1847">
        <f t="shared" si="21"/>
        <v>3.4</v>
      </c>
      <c r="AC146" s="1847">
        <f t="shared" si="22"/>
        <v>4</v>
      </c>
      <c r="AD146" s="1847" t="e">
        <f t="shared" si="23"/>
        <v>#VALUE!</v>
      </c>
      <c r="AE146" s="1847" t="e">
        <f t="shared" si="24"/>
        <v>#VALUE!</v>
      </c>
      <c r="AF146" s="1823" t="e">
        <f t="shared" si="25"/>
        <v>#VALUE!</v>
      </c>
      <c r="AG146" s="1769" t="e">
        <f t="shared" si="26"/>
        <v>#VALUE!</v>
      </c>
      <c r="AI146" t="s">
        <v>2457</v>
      </c>
    </row>
    <row r="147" spans="3:35" ht="24.95" customHeight="1">
      <c r="C147" s="491">
        <v>140</v>
      </c>
      <c r="D147" s="1847"/>
      <c r="E147" s="1847"/>
      <c r="F147" s="1847" t="s">
        <v>2459</v>
      </c>
      <c r="G147" s="1847" t="s">
        <v>2459</v>
      </c>
      <c r="H147" s="1847" t="s">
        <v>2455</v>
      </c>
      <c r="I147" s="1847" t="s">
        <v>2455</v>
      </c>
      <c r="J147" s="1847" t="s">
        <v>2783</v>
      </c>
      <c r="K147" s="1847" t="s">
        <v>2795</v>
      </c>
      <c r="L147" s="1847" t="s">
        <v>2801</v>
      </c>
      <c r="M147" s="1847" t="s">
        <v>2172</v>
      </c>
      <c r="N147" s="1847" t="s">
        <v>2050</v>
      </c>
      <c r="O147" s="1847"/>
      <c r="P147" s="1852">
        <v>7.5</v>
      </c>
      <c r="Q147" s="1852">
        <v>8.5</v>
      </c>
      <c r="R147" s="483" t="e">
        <f>IF(H147="","",SUMIFS('[1]1_group_totals'!$J$8:$J$10000,'[1]1_group_totals'!$C$8:$C$10000,C147))</f>
        <v>#VALUE!</v>
      </c>
      <c r="S147" s="483">
        <f t="shared" si="18"/>
        <v>2</v>
      </c>
      <c r="T147" s="483">
        <v>1</v>
      </c>
      <c r="U147" s="510" t="e">
        <f t="shared" si="19"/>
        <v>#VALUE!</v>
      </c>
      <c r="V147" s="510">
        <v>1</v>
      </c>
      <c r="W147" s="510">
        <v>0</v>
      </c>
      <c r="X147" s="510">
        <v>0</v>
      </c>
      <c r="Y147" s="483">
        <v>1</v>
      </c>
      <c r="Z147" s="483">
        <v>1</v>
      </c>
      <c r="AA147" s="1847" t="e">
        <f t="shared" si="20"/>
        <v>#VALUE!</v>
      </c>
      <c r="AB147" s="1847">
        <f t="shared" si="21"/>
        <v>7.5</v>
      </c>
      <c r="AC147" s="1847">
        <f t="shared" si="22"/>
        <v>8.5</v>
      </c>
      <c r="AD147" s="1847" t="e">
        <f t="shared" si="23"/>
        <v>#VALUE!</v>
      </c>
      <c r="AE147" s="1847" t="e">
        <f t="shared" si="24"/>
        <v>#VALUE!</v>
      </c>
      <c r="AF147" s="1823" t="e">
        <f t="shared" si="25"/>
        <v>#VALUE!</v>
      </c>
      <c r="AG147" s="1769" t="e">
        <f t="shared" si="26"/>
        <v>#VALUE!</v>
      </c>
      <c r="AI147" t="s">
        <v>2459</v>
      </c>
    </row>
    <row r="148" spans="3:35" ht="24.95" customHeight="1">
      <c r="C148" s="491">
        <v>141</v>
      </c>
      <c r="D148" s="1847"/>
      <c r="E148" s="1847"/>
      <c r="F148" s="1847" t="s">
        <v>2461</v>
      </c>
      <c r="G148" s="1847" t="s">
        <v>2461</v>
      </c>
      <c r="H148" s="1847" t="s">
        <v>2790</v>
      </c>
      <c r="I148" s="1847" t="s">
        <v>2790</v>
      </c>
      <c r="J148" s="1847" t="s">
        <v>2783</v>
      </c>
      <c r="K148" s="1847" t="s">
        <v>3929</v>
      </c>
      <c r="L148" s="1847" t="s">
        <v>2801</v>
      </c>
      <c r="M148" s="1847" t="s">
        <v>2172</v>
      </c>
      <c r="N148" s="1847" t="s">
        <v>2050</v>
      </c>
      <c r="O148" s="1847"/>
      <c r="P148" s="1852">
        <v>1.35</v>
      </c>
      <c r="Q148" s="1852">
        <v>2</v>
      </c>
      <c r="R148" s="483" t="e">
        <f>IF(H148="","",SUMIFS('[1]1_group_totals'!$J$8:$J$10000,'[1]1_group_totals'!$C$8:$C$10000,C148))</f>
        <v>#VALUE!</v>
      </c>
      <c r="S148" s="483">
        <f t="shared" si="18"/>
        <v>2</v>
      </c>
      <c r="T148" s="483">
        <v>1</v>
      </c>
      <c r="U148" s="510" t="e">
        <f t="shared" si="19"/>
        <v>#VALUE!</v>
      </c>
      <c r="V148" s="510">
        <v>1</v>
      </c>
      <c r="W148" s="510">
        <v>0</v>
      </c>
      <c r="X148" s="510">
        <v>0</v>
      </c>
      <c r="Y148" s="483">
        <v>1</v>
      </c>
      <c r="Z148" s="483">
        <v>1</v>
      </c>
      <c r="AA148" s="1847" t="e">
        <f t="shared" si="20"/>
        <v>#VALUE!</v>
      </c>
      <c r="AB148" s="1847">
        <f t="shared" si="21"/>
        <v>1.35</v>
      </c>
      <c r="AC148" s="1847">
        <f t="shared" si="22"/>
        <v>2</v>
      </c>
      <c r="AD148" s="1847" t="e">
        <f t="shared" si="23"/>
        <v>#VALUE!</v>
      </c>
      <c r="AE148" s="1847" t="e">
        <f t="shared" si="24"/>
        <v>#VALUE!</v>
      </c>
      <c r="AF148" s="1823" t="e">
        <f t="shared" si="25"/>
        <v>#VALUE!</v>
      </c>
      <c r="AG148" s="1769" t="e">
        <f t="shared" si="26"/>
        <v>#VALUE!</v>
      </c>
      <c r="AI148" t="s">
        <v>2461</v>
      </c>
    </row>
    <row r="149" spans="3:35" ht="24.95" customHeight="1">
      <c r="C149" s="491">
        <v>142</v>
      </c>
      <c r="D149" s="1847"/>
      <c r="E149" s="1847"/>
      <c r="F149" s="1847" t="s">
        <v>2463</v>
      </c>
      <c r="G149" s="1847" t="s">
        <v>2463</v>
      </c>
      <c r="H149" s="1847" t="s">
        <v>2458</v>
      </c>
      <c r="I149" s="1847" t="s">
        <v>2458</v>
      </c>
      <c r="J149" s="1847" t="s">
        <v>2632</v>
      </c>
      <c r="K149" s="1847" t="s">
        <v>2795</v>
      </c>
      <c r="L149" s="1847" t="s">
        <v>2801</v>
      </c>
      <c r="M149" s="1847" t="s">
        <v>4077</v>
      </c>
      <c r="N149" s="1847" t="s">
        <v>2050</v>
      </c>
      <c r="O149" s="1847"/>
      <c r="P149" s="1852">
        <v>4.08</v>
      </c>
      <c r="Q149" s="1852">
        <v>0.75</v>
      </c>
      <c r="R149" s="483" t="e">
        <f>IF(H149="","",SUMIFS('[1]1_group_totals'!$J$8:$J$10000,'[1]1_group_totals'!$C$8:$C$10000,C149))</f>
        <v>#VALUE!</v>
      </c>
      <c r="S149" s="483">
        <f t="shared" si="18"/>
        <v>26</v>
      </c>
      <c r="T149" s="483" t="s">
        <v>36</v>
      </c>
      <c r="U149" s="510" t="e">
        <f t="shared" si="19"/>
        <v>#VALUE!</v>
      </c>
      <c r="V149" s="510">
        <v>1</v>
      </c>
      <c r="W149" s="510">
        <v>0</v>
      </c>
      <c r="X149" s="510">
        <v>0</v>
      </c>
      <c r="Y149" s="483">
        <v>1</v>
      </c>
      <c r="Z149" s="483">
        <v>1</v>
      </c>
      <c r="AA149" s="1847" t="e">
        <f t="shared" si="20"/>
        <v>#VALUE!</v>
      </c>
      <c r="AB149" s="1847">
        <f t="shared" si="21"/>
        <v>0.34</v>
      </c>
      <c r="AC149" s="1847">
        <f t="shared" si="22"/>
        <v>6.25E-2</v>
      </c>
      <c r="AD149" s="1847" t="e">
        <f t="shared" si="23"/>
        <v>#VALUE!</v>
      </c>
      <c r="AE149" s="1847" t="e">
        <f t="shared" si="24"/>
        <v>#VALUE!</v>
      </c>
      <c r="AF149" s="1823" t="e">
        <f t="shared" si="25"/>
        <v>#VALUE!</v>
      </c>
      <c r="AG149" s="1769" t="e">
        <f t="shared" si="26"/>
        <v>#VALUE!</v>
      </c>
      <c r="AI149" t="s">
        <v>2463</v>
      </c>
    </row>
    <row r="150" spans="3:35" ht="24.95" customHeight="1">
      <c r="C150" s="491">
        <v>143</v>
      </c>
      <c r="D150" s="1847"/>
      <c r="E150" s="1847"/>
      <c r="F150" s="1847" t="s">
        <v>2465</v>
      </c>
      <c r="G150" s="1847" t="s">
        <v>2465</v>
      </c>
      <c r="H150" s="1847" t="s">
        <v>2460</v>
      </c>
      <c r="I150" s="1847" t="s">
        <v>2460</v>
      </c>
      <c r="J150" s="1847" t="s">
        <v>2632</v>
      </c>
      <c r="K150" s="1847" t="s">
        <v>2795</v>
      </c>
      <c r="L150" s="1847" t="s">
        <v>2801</v>
      </c>
      <c r="M150" s="1847" t="s">
        <v>4077</v>
      </c>
      <c r="N150" s="1847" t="s">
        <v>2050</v>
      </c>
      <c r="O150" s="1847"/>
      <c r="P150" s="1852">
        <v>38.799999999999997</v>
      </c>
      <c r="Q150" s="1852">
        <v>3.5</v>
      </c>
      <c r="R150" s="483" t="e">
        <f>IF(H150="","",SUMIFS('[1]1_group_totals'!$J$8:$J$10000,'[1]1_group_totals'!$C$8:$C$10000,C150))</f>
        <v>#VALUE!</v>
      </c>
      <c r="S150" s="483">
        <f t="shared" si="18"/>
        <v>26</v>
      </c>
      <c r="T150" s="483" t="s">
        <v>36</v>
      </c>
      <c r="U150" s="510" t="e">
        <f t="shared" si="19"/>
        <v>#VALUE!</v>
      </c>
      <c r="V150" s="510">
        <v>1</v>
      </c>
      <c r="W150" s="510">
        <v>0</v>
      </c>
      <c r="X150" s="510">
        <v>0</v>
      </c>
      <c r="Y150" s="483">
        <v>1</v>
      </c>
      <c r="Z150" s="483">
        <v>1</v>
      </c>
      <c r="AA150" s="1847" t="e">
        <f t="shared" si="20"/>
        <v>#VALUE!</v>
      </c>
      <c r="AB150" s="1847">
        <f t="shared" si="21"/>
        <v>3.2333333333333329</v>
      </c>
      <c r="AC150" s="1847">
        <f t="shared" si="22"/>
        <v>0.29166666666666669</v>
      </c>
      <c r="AD150" s="1847" t="e">
        <f t="shared" si="23"/>
        <v>#VALUE!</v>
      </c>
      <c r="AE150" s="1847" t="e">
        <f t="shared" si="24"/>
        <v>#VALUE!</v>
      </c>
      <c r="AF150" s="1823" t="e">
        <f t="shared" si="25"/>
        <v>#VALUE!</v>
      </c>
      <c r="AG150" s="1769" t="e">
        <f t="shared" si="26"/>
        <v>#VALUE!</v>
      </c>
      <c r="AI150" t="s">
        <v>2465</v>
      </c>
    </row>
    <row r="151" spans="3:35" ht="24.95" customHeight="1">
      <c r="C151" s="491">
        <v>144</v>
      </c>
      <c r="D151" s="1847"/>
      <c r="E151" s="1847"/>
      <c r="F151" s="1847" t="s">
        <v>2467</v>
      </c>
      <c r="G151" s="1847" t="s">
        <v>2467</v>
      </c>
      <c r="H151" s="1847" t="s">
        <v>2462</v>
      </c>
      <c r="I151" s="1847" t="s">
        <v>2462</v>
      </c>
      <c r="J151" s="1847" t="s">
        <v>2770</v>
      </c>
      <c r="K151" s="1847" t="s">
        <v>2795</v>
      </c>
      <c r="L151" s="1847" t="s">
        <v>2801</v>
      </c>
      <c r="M151" s="1847" t="s">
        <v>4090</v>
      </c>
      <c r="N151" s="1847" t="s">
        <v>2050</v>
      </c>
      <c r="O151" s="1847"/>
      <c r="P151" s="1852">
        <v>15</v>
      </c>
      <c r="Q151" s="1852">
        <v>0.65</v>
      </c>
      <c r="R151" s="483" t="e">
        <f>IF(H151="","",SUMIFS('[1]1_group_totals'!$J$8:$J$10000,'[1]1_group_totals'!$C$8:$C$10000,C151))</f>
        <v>#VALUE!</v>
      </c>
      <c r="S151" s="483">
        <f t="shared" si="18"/>
        <v>34</v>
      </c>
      <c r="T151" s="483" t="s">
        <v>2740</v>
      </c>
      <c r="U151" s="510" t="e">
        <f t="shared" si="19"/>
        <v>#VALUE!</v>
      </c>
      <c r="V151" s="510">
        <v>1</v>
      </c>
      <c r="W151" s="510">
        <v>0</v>
      </c>
      <c r="X151" s="510">
        <v>0</v>
      </c>
      <c r="Y151" s="483">
        <v>1</v>
      </c>
      <c r="Z151" s="483">
        <v>1</v>
      </c>
      <c r="AA151" s="1847" t="e">
        <f t="shared" si="20"/>
        <v>#VALUE!</v>
      </c>
      <c r="AB151" s="1847">
        <f t="shared" si="21"/>
        <v>0.3</v>
      </c>
      <c r="AC151" s="1847">
        <f t="shared" si="22"/>
        <v>1.3000000000000001E-2</v>
      </c>
      <c r="AD151" s="1847" t="e">
        <f t="shared" si="23"/>
        <v>#VALUE!</v>
      </c>
      <c r="AE151" s="1847" t="e">
        <f t="shared" si="24"/>
        <v>#VALUE!</v>
      </c>
      <c r="AF151" s="1823" t="e">
        <f t="shared" si="25"/>
        <v>#VALUE!</v>
      </c>
      <c r="AG151" s="1769" t="e">
        <f t="shared" si="26"/>
        <v>#VALUE!</v>
      </c>
      <c r="AI151" t="s">
        <v>2467</v>
      </c>
    </row>
    <row r="152" spans="3:35" ht="24.95" customHeight="1">
      <c r="C152" s="491">
        <v>145</v>
      </c>
      <c r="D152" s="1847"/>
      <c r="E152" s="1847"/>
      <c r="F152" s="1847" t="s">
        <v>2469</v>
      </c>
      <c r="G152" s="1847" t="s">
        <v>2469</v>
      </c>
      <c r="H152" s="1847" t="s">
        <v>2464</v>
      </c>
      <c r="I152" s="1847" t="s">
        <v>2464</v>
      </c>
      <c r="J152" s="1847" t="s">
        <v>2632</v>
      </c>
      <c r="K152" s="1847" t="s">
        <v>2795</v>
      </c>
      <c r="L152" s="1847" t="s">
        <v>2801</v>
      </c>
      <c r="M152" s="1847" t="s">
        <v>4077</v>
      </c>
      <c r="N152" s="1847" t="s">
        <v>2050</v>
      </c>
      <c r="O152" s="1847"/>
      <c r="P152" s="1852">
        <v>3.48</v>
      </c>
      <c r="Q152" s="1852">
        <v>0.5</v>
      </c>
      <c r="R152" s="483" t="e">
        <f>IF(H152="","",SUMIFS('[1]1_group_totals'!$J$8:$J$10000,'[1]1_group_totals'!$C$8:$C$10000,C152))</f>
        <v>#VALUE!</v>
      </c>
      <c r="S152" s="483">
        <f t="shared" si="18"/>
        <v>26</v>
      </c>
      <c r="T152" s="483" t="s">
        <v>36</v>
      </c>
      <c r="U152" s="510" t="e">
        <f t="shared" si="19"/>
        <v>#VALUE!</v>
      </c>
      <c r="V152" s="510">
        <v>1</v>
      </c>
      <c r="W152" s="510">
        <v>0</v>
      </c>
      <c r="X152" s="510">
        <v>0</v>
      </c>
      <c r="Y152" s="483">
        <v>1</v>
      </c>
      <c r="Z152" s="483">
        <v>1</v>
      </c>
      <c r="AA152" s="1847" t="e">
        <f t="shared" si="20"/>
        <v>#VALUE!</v>
      </c>
      <c r="AB152" s="1847">
        <f t="shared" si="21"/>
        <v>0.28999999999999998</v>
      </c>
      <c r="AC152" s="1847">
        <f t="shared" si="22"/>
        <v>4.1666666666666664E-2</v>
      </c>
      <c r="AD152" s="1847" t="e">
        <f t="shared" si="23"/>
        <v>#VALUE!</v>
      </c>
      <c r="AE152" s="1847" t="e">
        <f t="shared" si="24"/>
        <v>#VALUE!</v>
      </c>
      <c r="AF152" s="1823" t="e">
        <f t="shared" si="25"/>
        <v>#VALUE!</v>
      </c>
      <c r="AG152" s="1769" t="e">
        <f t="shared" si="26"/>
        <v>#VALUE!</v>
      </c>
      <c r="AI152" t="s">
        <v>2469</v>
      </c>
    </row>
    <row r="153" spans="3:35" ht="24.95" customHeight="1">
      <c r="C153" s="491">
        <v>146</v>
      </c>
      <c r="D153" s="1847"/>
      <c r="E153" s="1847"/>
      <c r="F153" s="1847" t="s">
        <v>2471</v>
      </c>
      <c r="G153" s="1847" t="s">
        <v>2471</v>
      </c>
      <c r="H153" s="1847" t="s">
        <v>4491</v>
      </c>
      <c r="I153" s="1847" t="s">
        <v>2466</v>
      </c>
      <c r="J153" s="1847" t="s">
        <v>2783</v>
      </c>
      <c r="K153" s="1847" t="s">
        <v>2795</v>
      </c>
      <c r="L153" s="1847" t="s">
        <v>2801</v>
      </c>
      <c r="M153" s="1847" t="s">
        <v>3937</v>
      </c>
      <c r="N153" s="1847" t="s">
        <v>2050</v>
      </c>
      <c r="O153" s="1847"/>
      <c r="P153" s="1852">
        <v>0.04</v>
      </c>
      <c r="Q153" s="1852">
        <v>0.125</v>
      </c>
      <c r="R153" s="483" t="e">
        <f>IF(H153="","",SUMIFS('[1]1_group_totals'!$J$8:$J$10000,'[1]1_group_totals'!$C$8:$C$10000,C153))</f>
        <v>#VALUE!</v>
      </c>
      <c r="S153" s="483">
        <f t="shared" si="18"/>
        <v>2</v>
      </c>
      <c r="T153" s="483">
        <v>10</v>
      </c>
      <c r="U153" s="510" t="e">
        <f t="shared" si="19"/>
        <v>#VALUE!</v>
      </c>
      <c r="V153" s="510">
        <v>1</v>
      </c>
      <c r="W153" s="510">
        <v>0</v>
      </c>
      <c r="X153" s="510">
        <v>0</v>
      </c>
      <c r="Y153" s="483">
        <v>1</v>
      </c>
      <c r="Z153" s="483">
        <v>1</v>
      </c>
      <c r="AA153" s="1847" t="e">
        <f t="shared" si="20"/>
        <v>#VALUE!</v>
      </c>
      <c r="AB153" s="1847">
        <f t="shared" si="21"/>
        <v>4.0000000000000001E-3</v>
      </c>
      <c r="AC153" s="1847">
        <f t="shared" si="22"/>
        <v>1.2500000000000001E-2</v>
      </c>
      <c r="AD153" s="1847" t="e">
        <f t="shared" si="23"/>
        <v>#VALUE!</v>
      </c>
      <c r="AE153" s="1847" t="e">
        <f t="shared" si="24"/>
        <v>#VALUE!</v>
      </c>
      <c r="AF153" s="1823" t="e">
        <f t="shared" si="25"/>
        <v>#VALUE!</v>
      </c>
      <c r="AG153" s="1769" t="e">
        <f t="shared" si="26"/>
        <v>#VALUE!</v>
      </c>
      <c r="AI153" t="s">
        <v>2471</v>
      </c>
    </row>
    <row r="154" spans="3:35" ht="24.95" customHeight="1">
      <c r="C154" s="491">
        <v>147</v>
      </c>
      <c r="D154" s="1847"/>
      <c r="E154" s="1847"/>
      <c r="F154" s="1847" t="s">
        <v>2473</v>
      </c>
      <c r="G154" s="1847" t="s">
        <v>2473</v>
      </c>
      <c r="H154" s="1847" t="s">
        <v>2468</v>
      </c>
      <c r="I154" s="1847" t="s">
        <v>2468</v>
      </c>
      <c r="J154" s="1847" t="s">
        <v>2771</v>
      </c>
      <c r="K154" s="1847" t="s">
        <v>3929</v>
      </c>
      <c r="L154" s="1847" t="s">
        <v>2801</v>
      </c>
      <c r="M154" s="1847" t="s">
        <v>4091</v>
      </c>
      <c r="N154" s="1847" t="s">
        <v>2050</v>
      </c>
      <c r="O154" s="1847"/>
      <c r="P154" s="1852">
        <v>6</v>
      </c>
      <c r="Q154" s="1852">
        <v>1.5</v>
      </c>
      <c r="R154" s="483" t="e">
        <f>IF(H154="","",SUMIFS('[1]1_group_totals'!$J$8:$J$10000,'[1]1_group_totals'!$C$8:$C$10000,C154))</f>
        <v>#VALUE!</v>
      </c>
      <c r="S154" s="483">
        <f t="shared" si="18"/>
        <v>47</v>
      </c>
      <c r="T154" s="483" t="s">
        <v>58</v>
      </c>
      <c r="U154" s="510" t="e">
        <f t="shared" si="19"/>
        <v>#VALUE!</v>
      </c>
      <c r="V154" s="510">
        <v>1</v>
      </c>
      <c r="W154" s="510">
        <v>0</v>
      </c>
      <c r="X154" s="510">
        <v>0</v>
      </c>
      <c r="Y154" s="483">
        <v>1</v>
      </c>
      <c r="Z154" s="483">
        <v>1</v>
      </c>
      <c r="AA154" s="1847" t="e">
        <f t="shared" si="20"/>
        <v>#VALUE!</v>
      </c>
      <c r="AB154" s="1847">
        <f t="shared" si="21"/>
        <v>1</v>
      </c>
      <c r="AC154" s="1847">
        <f t="shared" si="22"/>
        <v>0.25</v>
      </c>
      <c r="AD154" s="1847" t="e">
        <f t="shared" si="23"/>
        <v>#VALUE!</v>
      </c>
      <c r="AE154" s="1847" t="e">
        <f t="shared" si="24"/>
        <v>#VALUE!</v>
      </c>
      <c r="AF154" s="1823" t="e">
        <f t="shared" si="25"/>
        <v>#VALUE!</v>
      </c>
      <c r="AG154" s="1769" t="e">
        <f t="shared" si="26"/>
        <v>#VALUE!</v>
      </c>
      <c r="AI154" t="s">
        <v>2473</v>
      </c>
    </row>
    <row r="155" spans="3:35" ht="24.95" customHeight="1">
      <c r="C155" s="491">
        <v>148</v>
      </c>
      <c r="D155" s="1847"/>
      <c r="E155" s="1847"/>
      <c r="F155" s="1847" t="s">
        <v>2475</v>
      </c>
      <c r="G155" s="1847" t="s">
        <v>2475</v>
      </c>
      <c r="H155" s="1847" t="s">
        <v>2470</v>
      </c>
      <c r="I155" s="1847" t="s">
        <v>2470</v>
      </c>
      <c r="J155" s="1847" t="s">
        <v>2783</v>
      </c>
      <c r="K155" s="1847" t="s">
        <v>2795</v>
      </c>
      <c r="L155" s="1847" t="s">
        <v>2801</v>
      </c>
      <c r="M155" s="1847" t="s">
        <v>2172</v>
      </c>
      <c r="N155" s="1847" t="s">
        <v>2050</v>
      </c>
      <c r="O155" s="1847"/>
      <c r="P155" s="1852">
        <v>0.9</v>
      </c>
      <c r="Q155" s="1852">
        <v>1.5</v>
      </c>
      <c r="R155" s="483" t="e">
        <f>IF(H155="","",SUMIFS('[1]1_group_totals'!$J$8:$J$10000,'[1]1_group_totals'!$C$8:$C$10000,C155))</f>
        <v>#VALUE!</v>
      </c>
      <c r="S155" s="483">
        <f t="shared" si="18"/>
        <v>2</v>
      </c>
      <c r="T155" s="483">
        <v>1</v>
      </c>
      <c r="U155" s="510" t="e">
        <f t="shared" si="19"/>
        <v>#VALUE!</v>
      </c>
      <c r="V155" s="510">
        <v>1</v>
      </c>
      <c r="W155" s="510">
        <v>0</v>
      </c>
      <c r="X155" s="510">
        <v>0</v>
      </c>
      <c r="Y155" s="483">
        <v>1</v>
      </c>
      <c r="Z155" s="483">
        <v>1</v>
      </c>
      <c r="AA155" s="1847" t="e">
        <f t="shared" si="20"/>
        <v>#VALUE!</v>
      </c>
      <c r="AB155" s="1847">
        <f t="shared" si="21"/>
        <v>0.9</v>
      </c>
      <c r="AC155" s="1847">
        <f t="shared" si="22"/>
        <v>1.5</v>
      </c>
      <c r="AD155" s="1847" t="e">
        <f t="shared" si="23"/>
        <v>#VALUE!</v>
      </c>
      <c r="AE155" s="1847" t="e">
        <f t="shared" si="24"/>
        <v>#VALUE!</v>
      </c>
      <c r="AF155" s="1823" t="e">
        <f t="shared" si="25"/>
        <v>#VALUE!</v>
      </c>
      <c r="AG155" s="1769" t="e">
        <f t="shared" si="26"/>
        <v>#VALUE!</v>
      </c>
      <c r="AI155" t="s">
        <v>2475</v>
      </c>
    </row>
    <row r="156" spans="3:35" ht="24.95" customHeight="1">
      <c r="C156" s="491">
        <v>149</v>
      </c>
      <c r="D156" s="1847"/>
      <c r="E156" s="1847"/>
      <c r="F156" s="1847" t="s">
        <v>2477</v>
      </c>
      <c r="G156" s="1847" t="s">
        <v>2477</v>
      </c>
      <c r="H156" s="1847" t="s">
        <v>2472</v>
      </c>
      <c r="I156" s="1847" t="s">
        <v>2472</v>
      </c>
      <c r="J156" s="1847" t="s">
        <v>2772</v>
      </c>
      <c r="K156" s="1847" t="s">
        <v>3929</v>
      </c>
      <c r="L156" s="1847" t="s">
        <v>2801</v>
      </c>
      <c r="M156" s="1847" t="s">
        <v>4092</v>
      </c>
      <c r="N156" s="1847" t="s">
        <v>2050</v>
      </c>
      <c r="O156" s="1847"/>
      <c r="P156" s="1852">
        <v>4.8</v>
      </c>
      <c r="Q156" s="1852">
        <v>0.5</v>
      </c>
      <c r="R156" s="483" t="e">
        <f>IF(H156="","",SUMIFS('[1]1_group_totals'!$J$8:$J$10000,'[1]1_group_totals'!$C$8:$C$10000,C156))</f>
        <v>#VALUE!</v>
      </c>
      <c r="S156" s="483">
        <f t="shared" si="18"/>
        <v>48</v>
      </c>
      <c r="T156" s="483" t="s">
        <v>36</v>
      </c>
      <c r="U156" s="510" t="e">
        <f t="shared" si="19"/>
        <v>#VALUE!</v>
      </c>
      <c r="V156" s="510">
        <v>1</v>
      </c>
      <c r="W156" s="510">
        <v>0</v>
      </c>
      <c r="X156" s="510">
        <v>0</v>
      </c>
      <c r="Y156" s="483">
        <v>1</v>
      </c>
      <c r="Z156" s="483">
        <v>1</v>
      </c>
      <c r="AA156" s="1847" t="e">
        <f t="shared" si="20"/>
        <v>#VALUE!</v>
      </c>
      <c r="AB156" s="1847">
        <f t="shared" si="21"/>
        <v>0.39999999999999997</v>
      </c>
      <c r="AC156" s="1847">
        <f t="shared" si="22"/>
        <v>4.1666666666666664E-2</v>
      </c>
      <c r="AD156" s="1847" t="e">
        <f t="shared" si="23"/>
        <v>#VALUE!</v>
      </c>
      <c r="AE156" s="1847" t="e">
        <f t="shared" si="24"/>
        <v>#VALUE!</v>
      </c>
      <c r="AF156" s="1823" t="e">
        <f t="shared" si="25"/>
        <v>#VALUE!</v>
      </c>
      <c r="AG156" s="1769" t="e">
        <f t="shared" si="26"/>
        <v>#VALUE!</v>
      </c>
      <c r="AI156" t="s">
        <v>2477</v>
      </c>
    </row>
    <row r="157" spans="3:35" ht="24.95" customHeight="1">
      <c r="C157" s="491">
        <v>150</v>
      </c>
      <c r="D157" s="1847"/>
      <c r="E157" s="1847"/>
      <c r="F157" s="1847" t="s">
        <v>2479</v>
      </c>
      <c r="G157" s="1847" t="s">
        <v>2479</v>
      </c>
      <c r="H157" s="1847" t="s">
        <v>2474</v>
      </c>
      <c r="I157" s="1847" t="s">
        <v>2474</v>
      </c>
      <c r="J157" s="1847" t="s">
        <v>2772</v>
      </c>
      <c r="K157" s="1847" t="s">
        <v>3929</v>
      </c>
      <c r="L157" s="1847" t="s">
        <v>2801</v>
      </c>
      <c r="M157" s="1847" t="s">
        <v>4092</v>
      </c>
      <c r="N157" s="1847" t="s">
        <v>2050</v>
      </c>
      <c r="O157" s="1847"/>
      <c r="P157" s="1852">
        <v>1.56</v>
      </c>
      <c r="Q157" s="1852">
        <v>0.25</v>
      </c>
      <c r="R157" s="483" t="e">
        <f>IF(H157="","",SUMIFS('[1]1_group_totals'!$J$8:$J$10000,'[1]1_group_totals'!$C$8:$C$10000,C157))</f>
        <v>#VALUE!</v>
      </c>
      <c r="S157" s="483">
        <f t="shared" si="18"/>
        <v>48</v>
      </c>
      <c r="T157" s="483" t="s">
        <v>36</v>
      </c>
      <c r="U157" s="510" t="e">
        <f t="shared" si="19"/>
        <v>#VALUE!</v>
      </c>
      <c r="V157" s="510">
        <v>1</v>
      </c>
      <c r="W157" s="510">
        <v>0</v>
      </c>
      <c r="X157" s="510">
        <v>0</v>
      </c>
      <c r="Y157" s="483">
        <v>1</v>
      </c>
      <c r="Z157" s="483">
        <v>1</v>
      </c>
      <c r="AA157" s="1847" t="e">
        <f t="shared" si="20"/>
        <v>#VALUE!</v>
      </c>
      <c r="AB157" s="1847">
        <f t="shared" si="21"/>
        <v>0.13</v>
      </c>
      <c r="AC157" s="1847">
        <f t="shared" si="22"/>
        <v>2.0833333333333332E-2</v>
      </c>
      <c r="AD157" s="1847" t="e">
        <f t="shared" si="23"/>
        <v>#VALUE!</v>
      </c>
      <c r="AE157" s="1847" t="e">
        <f t="shared" si="24"/>
        <v>#VALUE!</v>
      </c>
      <c r="AF157" s="1823" t="e">
        <f t="shared" si="25"/>
        <v>#VALUE!</v>
      </c>
      <c r="AG157" s="1769" t="e">
        <f t="shared" si="26"/>
        <v>#VALUE!</v>
      </c>
      <c r="AI157" t="s">
        <v>2479</v>
      </c>
    </row>
    <row r="158" spans="3:35" ht="24.95" customHeight="1">
      <c r="C158" s="491">
        <v>151</v>
      </c>
      <c r="D158" s="1847"/>
      <c r="E158" s="1847"/>
      <c r="F158" s="1847" t="s">
        <v>2792</v>
      </c>
      <c r="G158" s="1847" t="s">
        <v>2792</v>
      </c>
      <c r="H158" s="1847" t="s">
        <v>2476</v>
      </c>
      <c r="I158" s="1847" t="s">
        <v>2476</v>
      </c>
      <c r="J158" s="1847" t="s">
        <v>2773</v>
      </c>
      <c r="K158" s="1847" t="s">
        <v>2796</v>
      </c>
      <c r="L158" s="1847" t="s">
        <v>3349</v>
      </c>
      <c r="M158" s="1847" t="s">
        <v>4093</v>
      </c>
      <c r="N158" s="1847" t="s">
        <v>2174</v>
      </c>
      <c r="O158" s="1847"/>
      <c r="P158" s="1852">
        <v>49</v>
      </c>
      <c r="Q158" s="1852">
        <v>52</v>
      </c>
      <c r="R158" s="483" t="e">
        <f>IF(H158="","",SUMIFS('[1]1_group_totals'!$J$8:$J$10000,'[1]1_group_totals'!$C$8:$C$10000,C158))</f>
        <v>#VALUE!</v>
      </c>
      <c r="S158" s="483">
        <f t="shared" si="18"/>
        <v>28</v>
      </c>
      <c r="T158" s="483">
        <v>1</v>
      </c>
      <c r="U158" s="510" t="e">
        <f t="shared" si="19"/>
        <v>#VALUE!</v>
      </c>
      <c r="V158" s="510">
        <v>1</v>
      </c>
      <c r="W158" s="510">
        <v>0</v>
      </c>
      <c r="X158" s="510">
        <v>0</v>
      </c>
      <c r="Y158" s="483">
        <v>1</v>
      </c>
      <c r="Z158" s="483">
        <v>1</v>
      </c>
      <c r="AA158" s="1847" t="e">
        <f t="shared" si="20"/>
        <v>#VALUE!</v>
      </c>
      <c r="AB158" s="1847">
        <f t="shared" si="21"/>
        <v>49</v>
      </c>
      <c r="AC158" s="1847">
        <f t="shared" si="22"/>
        <v>52</v>
      </c>
      <c r="AD158" s="1847" t="e">
        <f t="shared" si="23"/>
        <v>#VALUE!</v>
      </c>
      <c r="AE158" s="1847" t="e">
        <f t="shared" si="24"/>
        <v>#VALUE!</v>
      </c>
      <c r="AF158" s="1823" t="e">
        <f t="shared" si="25"/>
        <v>#VALUE!</v>
      </c>
      <c r="AG158" s="1769" t="e">
        <f t="shared" si="26"/>
        <v>#VALUE!</v>
      </c>
      <c r="AI158" t="s">
        <v>2792</v>
      </c>
    </row>
    <row r="159" spans="3:35" ht="24.95" customHeight="1">
      <c r="C159" s="491">
        <v>152</v>
      </c>
      <c r="D159" s="1847"/>
      <c r="E159" s="1847"/>
      <c r="F159" s="1847" t="s">
        <v>2482</v>
      </c>
      <c r="G159" s="1847" t="s">
        <v>2482</v>
      </c>
      <c r="H159" s="1847" t="s">
        <v>2478</v>
      </c>
      <c r="I159" s="1847" t="s">
        <v>2478</v>
      </c>
      <c r="J159" s="1847" t="s">
        <v>2774</v>
      </c>
      <c r="K159" s="1847" t="s">
        <v>2796</v>
      </c>
      <c r="L159" s="1847" t="s">
        <v>3349</v>
      </c>
      <c r="M159" s="1847" t="s">
        <v>4094</v>
      </c>
      <c r="N159" s="1847" t="s">
        <v>2174</v>
      </c>
      <c r="O159" s="1847"/>
      <c r="P159" s="1852">
        <v>45</v>
      </c>
      <c r="Q159" s="1852">
        <v>11.5</v>
      </c>
      <c r="R159" s="483" t="e">
        <f>IF(H159="","",SUMIFS('[1]1_group_totals'!$J$8:$J$10000,'[1]1_group_totals'!$C$8:$C$10000,C159))</f>
        <v>#VALUE!</v>
      </c>
      <c r="S159" s="483">
        <f t="shared" si="18"/>
        <v>29</v>
      </c>
      <c r="T159" s="483" t="s">
        <v>56</v>
      </c>
      <c r="U159" s="510" t="e">
        <f t="shared" si="19"/>
        <v>#VALUE!</v>
      </c>
      <c r="V159" s="510">
        <v>1</v>
      </c>
      <c r="W159" s="510">
        <v>0</v>
      </c>
      <c r="X159" s="510">
        <v>0</v>
      </c>
      <c r="Y159" s="483">
        <v>1</v>
      </c>
      <c r="Z159" s="483">
        <v>1</v>
      </c>
      <c r="AA159" s="1847" t="e">
        <f t="shared" si="20"/>
        <v>#VALUE!</v>
      </c>
      <c r="AB159" s="1847">
        <f t="shared" si="21"/>
        <v>11.25</v>
      </c>
      <c r="AC159" s="1847">
        <f t="shared" si="22"/>
        <v>2.875</v>
      </c>
      <c r="AD159" s="1847" t="e">
        <f t="shared" si="23"/>
        <v>#VALUE!</v>
      </c>
      <c r="AE159" s="1847" t="e">
        <f t="shared" si="24"/>
        <v>#VALUE!</v>
      </c>
      <c r="AF159" s="1823" t="e">
        <f t="shared" si="25"/>
        <v>#VALUE!</v>
      </c>
      <c r="AG159" s="1769" t="e">
        <f t="shared" si="26"/>
        <v>#VALUE!</v>
      </c>
      <c r="AI159" t="s">
        <v>2482</v>
      </c>
    </row>
    <row r="160" spans="3:35" ht="24.95" customHeight="1">
      <c r="C160" s="491">
        <v>153</v>
      </c>
      <c r="D160" s="1847"/>
      <c r="E160" s="1847"/>
      <c r="F160" s="1847" t="s">
        <v>2484</v>
      </c>
      <c r="G160" s="1847" t="s">
        <v>2484</v>
      </c>
      <c r="H160" s="1847" t="s">
        <v>2480</v>
      </c>
      <c r="I160" s="1847" t="s">
        <v>2480</v>
      </c>
      <c r="J160" s="1847" t="s">
        <v>2775</v>
      </c>
      <c r="K160" s="1847" t="s">
        <v>2796</v>
      </c>
      <c r="L160" s="1847" t="s">
        <v>3349</v>
      </c>
      <c r="M160" s="1847" t="s">
        <v>4095</v>
      </c>
      <c r="N160" s="1847" t="s">
        <v>2174</v>
      </c>
      <c r="O160" s="1847"/>
      <c r="P160" s="1852">
        <v>39.6</v>
      </c>
      <c r="Q160" s="1852">
        <v>3.75</v>
      </c>
      <c r="R160" s="483" t="e">
        <f>IF(H160="","",SUMIFS('[1]1_group_totals'!$J$8:$J$10000,'[1]1_group_totals'!$C$8:$C$10000,C160))</f>
        <v>#VALUE!</v>
      </c>
      <c r="S160" s="483">
        <f t="shared" si="18"/>
        <v>30</v>
      </c>
      <c r="T160" s="483" t="s">
        <v>36</v>
      </c>
      <c r="U160" s="510" t="e">
        <f t="shared" si="19"/>
        <v>#VALUE!</v>
      </c>
      <c r="V160" s="510">
        <v>1</v>
      </c>
      <c r="W160" s="510">
        <v>0</v>
      </c>
      <c r="X160" s="510">
        <v>0</v>
      </c>
      <c r="Y160" s="483">
        <v>1</v>
      </c>
      <c r="Z160" s="483">
        <v>1</v>
      </c>
      <c r="AA160" s="1847" t="e">
        <f t="shared" si="20"/>
        <v>#VALUE!</v>
      </c>
      <c r="AB160" s="1847">
        <f t="shared" si="21"/>
        <v>3.3000000000000003</v>
      </c>
      <c r="AC160" s="1847">
        <f t="shared" si="22"/>
        <v>0.3125</v>
      </c>
      <c r="AD160" s="1847" t="e">
        <f t="shared" si="23"/>
        <v>#VALUE!</v>
      </c>
      <c r="AE160" s="1847" t="e">
        <f t="shared" si="24"/>
        <v>#VALUE!</v>
      </c>
      <c r="AF160" s="1823" t="e">
        <f t="shared" si="25"/>
        <v>#VALUE!</v>
      </c>
      <c r="AG160" s="1769" t="e">
        <f t="shared" si="26"/>
        <v>#VALUE!</v>
      </c>
      <c r="AI160" t="s">
        <v>2484</v>
      </c>
    </row>
    <row r="161" spans="3:35" ht="24.95" customHeight="1">
      <c r="C161" s="491">
        <v>154</v>
      </c>
      <c r="D161" s="1847"/>
      <c r="E161" s="1847"/>
      <c r="F161" s="1847" t="s">
        <v>2486</v>
      </c>
      <c r="G161" s="1847" t="s">
        <v>2486</v>
      </c>
      <c r="H161" s="1847" t="s">
        <v>2481</v>
      </c>
      <c r="I161" s="1847" t="s">
        <v>2481</v>
      </c>
      <c r="J161" s="1847" t="s">
        <v>2776</v>
      </c>
      <c r="K161" s="1847" t="s">
        <v>2796</v>
      </c>
      <c r="L161" s="1847" t="s">
        <v>3349</v>
      </c>
      <c r="M161" s="1847" t="s">
        <v>4096</v>
      </c>
      <c r="N161" s="1847" t="s">
        <v>2174</v>
      </c>
      <c r="O161" s="1847"/>
      <c r="P161" s="1852">
        <v>66</v>
      </c>
      <c r="Q161" s="1852">
        <v>68</v>
      </c>
      <c r="R161" s="483" t="e">
        <f>IF(H161="","",SUMIFS('[1]1_group_totals'!$J$8:$J$10000,'[1]1_group_totals'!$C$8:$C$10000,C161))</f>
        <v>#VALUE!</v>
      </c>
      <c r="S161" s="483">
        <f t="shared" si="18"/>
        <v>27</v>
      </c>
      <c r="T161" s="483">
        <v>1</v>
      </c>
      <c r="U161" s="510" t="e">
        <f t="shared" si="19"/>
        <v>#VALUE!</v>
      </c>
      <c r="V161" s="510">
        <v>1</v>
      </c>
      <c r="W161" s="510">
        <v>0</v>
      </c>
      <c r="X161" s="510">
        <v>0</v>
      </c>
      <c r="Y161" s="483">
        <v>1</v>
      </c>
      <c r="Z161" s="483">
        <v>1</v>
      </c>
      <c r="AA161" s="1847" t="e">
        <f t="shared" si="20"/>
        <v>#VALUE!</v>
      </c>
      <c r="AB161" s="1847">
        <f t="shared" si="21"/>
        <v>66</v>
      </c>
      <c r="AC161" s="1847">
        <f t="shared" si="22"/>
        <v>68</v>
      </c>
      <c r="AD161" s="1847" t="e">
        <f t="shared" si="23"/>
        <v>#VALUE!</v>
      </c>
      <c r="AE161" s="1847" t="e">
        <f t="shared" si="24"/>
        <v>#VALUE!</v>
      </c>
      <c r="AF161" s="1823" t="e">
        <f t="shared" si="25"/>
        <v>#VALUE!</v>
      </c>
      <c r="AG161" s="1769" t="e">
        <f t="shared" si="26"/>
        <v>#VALUE!</v>
      </c>
      <c r="AI161" t="s">
        <v>2486</v>
      </c>
    </row>
    <row r="162" spans="3:35" ht="24.95" customHeight="1">
      <c r="C162" s="491">
        <v>155</v>
      </c>
      <c r="D162" s="1847"/>
      <c r="E162" s="1847"/>
      <c r="F162" s="1847" t="s">
        <v>2488</v>
      </c>
      <c r="G162" s="1847" t="s">
        <v>2488</v>
      </c>
      <c r="H162" s="1847" t="s">
        <v>2483</v>
      </c>
      <c r="I162" s="1847" t="s">
        <v>2483</v>
      </c>
      <c r="J162" s="1847" t="s">
        <v>2777</v>
      </c>
      <c r="K162" s="1847" t="s">
        <v>2796</v>
      </c>
      <c r="L162" s="1847" t="s">
        <v>3349</v>
      </c>
      <c r="M162" s="1847" t="s">
        <v>4094</v>
      </c>
      <c r="N162" s="1847" t="s">
        <v>2174</v>
      </c>
      <c r="O162" s="1847"/>
      <c r="P162" s="1852">
        <v>58</v>
      </c>
      <c r="Q162" s="1852">
        <v>15</v>
      </c>
      <c r="R162" s="483" t="e">
        <f>IF(H162="","",SUMIFS('[1]1_group_totals'!$J$8:$J$10000,'[1]1_group_totals'!$C$8:$C$10000,C162))</f>
        <v>#VALUE!</v>
      </c>
      <c r="S162" s="483">
        <f t="shared" si="18"/>
        <v>42</v>
      </c>
      <c r="T162" s="483" t="s">
        <v>56</v>
      </c>
      <c r="U162" s="510" t="e">
        <f t="shared" si="19"/>
        <v>#VALUE!</v>
      </c>
      <c r="V162" s="510">
        <v>1</v>
      </c>
      <c r="W162" s="510">
        <v>0</v>
      </c>
      <c r="X162" s="510">
        <v>0</v>
      </c>
      <c r="Y162" s="483">
        <v>1</v>
      </c>
      <c r="Z162" s="483">
        <v>1</v>
      </c>
      <c r="AA162" s="1847" t="e">
        <f t="shared" si="20"/>
        <v>#VALUE!</v>
      </c>
      <c r="AB162" s="1847">
        <f t="shared" si="21"/>
        <v>14.5</v>
      </c>
      <c r="AC162" s="1847">
        <f t="shared" si="22"/>
        <v>3.75</v>
      </c>
      <c r="AD162" s="1847" t="e">
        <f t="shared" si="23"/>
        <v>#VALUE!</v>
      </c>
      <c r="AE162" s="1847" t="e">
        <f t="shared" si="24"/>
        <v>#VALUE!</v>
      </c>
      <c r="AF162" s="1823" t="e">
        <f t="shared" si="25"/>
        <v>#VALUE!</v>
      </c>
      <c r="AG162" s="1769" t="e">
        <f t="shared" si="26"/>
        <v>#VALUE!</v>
      </c>
      <c r="AI162" t="s">
        <v>2488</v>
      </c>
    </row>
    <row r="163" spans="3:35" ht="24.95" customHeight="1">
      <c r="C163" s="491">
        <v>156</v>
      </c>
      <c r="D163" s="1847"/>
      <c r="E163" s="1847"/>
      <c r="F163" s="1847" t="s">
        <v>2490</v>
      </c>
      <c r="G163" s="1847" t="s">
        <v>2490</v>
      </c>
      <c r="H163" s="1847" t="s">
        <v>2487</v>
      </c>
      <c r="I163" s="1847" t="s">
        <v>2487</v>
      </c>
      <c r="J163" s="1847" t="s">
        <v>2778</v>
      </c>
      <c r="K163" s="1847" t="s">
        <v>2796</v>
      </c>
      <c r="L163" s="1847" t="s">
        <v>3349</v>
      </c>
      <c r="M163" s="1847" t="s">
        <v>4095</v>
      </c>
      <c r="N163" s="1847" t="s">
        <v>2174</v>
      </c>
      <c r="O163" s="1847"/>
      <c r="P163" s="1852">
        <v>52.92</v>
      </c>
      <c r="Q163" s="1852">
        <v>4.8</v>
      </c>
      <c r="R163" s="483" t="e">
        <f>IF(H163="","",SUMIFS('[1]1_group_totals'!$J$8:$J$10000,'[1]1_group_totals'!$C$8:$C$10000,C163))</f>
        <v>#VALUE!</v>
      </c>
      <c r="S163" s="483">
        <f t="shared" si="18"/>
        <v>43</v>
      </c>
      <c r="T163" s="483" t="s">
        <v>36</v>
      </c>
      <c r="U163" s="510" t="e">
        <f t="shared" si="19"/>
        <v>#VALUE!</v>
      </c>
      <c r="V163" s="510">
        <v>1</v>
      </c>
      <c r="W163" s="510">
        <v>0</v>
      </c>
      <c r="X163" s="510">
        <v>0</v>
      </c>
      <c r="Y163" s="483">
        <v>1</v>
      </c>
      <c r="Z163" s="483">
        <v>1</v>
      </c>
      <c r="AA163" s="1847" t="e">
        <f t="shared" si="20"/>
        <v>#VALUE!</v>
      </c>
      <c r="AB163" s="1847">
        <f t="shared" si="21"/>
        <v>4.41</v>
      </c>
      <c r="AC163" s="1847">
        <f t="shared" si="22"/>
        <v>0.39999999999999997</v>
      </c>
      <c r="AD163" s="1847" t="e">
        <f t="shared" si="23"/>
        <v>#VALUE!</v>
      </c>
      <c r="AE163" s="1847" t="e">
        <f t="shared" si="24"/>
        <v>#VALUE!</v>
      </c>
      <c r="AF163" s="1823" t="e">
        <f t="shared" si="25"/>
        <v>#VALUE!</v>
      </c>
      <c r="AG163" s="1769" t="e">
        <f t="shared" si="26"/>
        <v>#VALUE!</v>
      </c>
      <c r="AI163" t="s">
        <v>2490</v>
      </c>
    </row>
    <row r="164" spans="3:35" ht="24.95" customHeight="1">
      <c r="C164" s="491">
        <v>157</v>
      </c>
      <c r="D164" s="1847"/>
      <c r="E164" s="1847"/>
      <c r="F164" s="1847" t="s">
        <v>2492</v>
      </c>
      <c r="G164" s="1847" t="s">
        <v>2492</v>
      </c>
      <c r="H164" s="1847" t="s">
        <v>2485</v>
      </c>
      <c r="I164" s="1847" t="s">
        <v>2485</v>
      </c>
      <c r="J164" s="1847" t="s">
        <v>2778</v>
      </c>
      <c r="K164" s="1847" t="s">
        <v>2796</v>
      </c>
      <c r="L164" s="1847" t="s">
        <v>3349</v>
      </c>
      <c r="M164" s="1847" t="s">
        <v>4095</v>
      </c>
      <c r="N164" s="1847" t="s">
        <v>2174</v>
      </c>
      <c r="O164" s="1847"/>
      <c r="P164" s="1852">
        <v>21</v>
      </c>
      <c r="Q164" s="1852">
        <v>2</v>
      </c>
      <c r="R164" s="483" t="e">
        <f>IF(H164="","",SUMIFS('[1]1_group_totals'!$J$8:$J$10000,'[1]1_group_totals'!$C$8:$C$10000,C164))</f>
        <v>#VALUE!</v>
      </c>
      <c r="S164" s="483">
        <f t="shared" si="18"/>
        <v>43</v>
      </c>
      <c r="T164" s="483" t="s">
        <v>36</v>
      </c>
      <c r="U164" s="510" t="e">
        <f t="shared" si="19"/>
        <v>#VALUE!</v>
      </c>
      <c r="V164" s="510">
        <v>1</v>
      </c>
      <c r="W164" s="510">
        <v>0</v>
      </c>
      <c r="X164" s="510">
        <v>0</v>
      </c>
      <c r="Y164" s="483">
        <v>1</v>
      </c>
      <c r="Z164" s="483">
        <v>1</v>
      </c>
      <c r="AA164" s="1847" t="e">
        <f t="shared" si="20"/>
        <v>#VALUE!</v>
      </c>
      <c r="AB164" s="1847">
        <f t="shared" si="21"/>
        <v>1.75</v>
      </c>
      <c r="AC164" s="1847">
        <f t="shared" si="22"/>
        <v>0.16666666666666666</v>
      </c>
      <c r="AD164" s="1847" t="e">
        <f t="shared" si="23"/>
        <v>#VALUE!</v>
      </c>
      <c r="AE164" s="1847" t="e">
        <f t="shared" si="24"/>
        <v>#VALUE!</v>
      </c>
      <c r="AF164" s="1823" t="e">
        <f t="shared" si="25"/>
        <v>#VALUE!</v>
      </c>
      <c r="AG164" s="1769" t="e">
        <f t="shared" si="26"/>
        <v>#VALUE!</v>
      </c>
      <c r="AI164" t="s">
        <v>2492</v>
      </c>
    </row>
    <row r="165" spans="3:35" ht="24.95" customHeight="1">
      <c r="C165" s="491">
        <v>158</v>
      </c>
      <c r="D165" s="1847"/>
      <c r="E165" s="1847"/>
      <c r="F165" s="1847" t="s">
        <v>2494</v>
      </c>
      <c r="G165" s="1847" t="s">
        <v>2494</v>
      </c>
      <c r="H165" s="1847" t="s">
        <v>2489</v>
      </c>
      <c r="I165" s="1847" t="s">
        <v>2489</v>
      </c>
      <c r="J165" s="1847" t="s">
        <v>2776</v>
      </c>
      <c r="K165" s="1847" t="s">
        <v>2796</v>
      </c>
      <c r="L165" s="1847" t="s">
        <v>3349</v>
      </c>
      <c r="M165" s="1847" t="s">
        <v>4096</v>
      </c>
      <c r="N165" s="1847" t="s">
        <v>2174</v>
      </c>
      <c r="O165" s="1847"/>
      <c r="P165" s="1852">
        <v>53</v>
      </c>
      <c r="Q165" s="1852">
        <v>55</v>
      </c>
      <c r="R165" s="483" t="e">
        <f>IF(H165="","",SUMIFS('[1]1_group_totals'!$J$8:$J$10000,'[1]1_group_totals'!$C$8:$C$10000,C165))</f>
        <v>#VALUE!</v>
      </c>
      <c r="S165" s="483">
        <f t="shared" si="18"/>
        <v>27</v>
      </c>
      <c r="T165" s="483">
        <v>1</v>
      </c>
      <c r="U165" s="510" t="e">
        <f t="shared" si="19"/>
        <v>#VALUE!</v>
      </c>
      <c r="V165" s="510">
        <v>1</v>
      </c>
      <c r="W165" s="510">
        <v>0</v>
      </c>
      <c r="X165" s="510">
        <v>0</v>
      </c>
      <c r="Y165" s="483">
        <v>1</v>
      </c>
      <c r="Z165" s="483">
        <v>1</v>
      </c>
      <c r="AA165" s="1847" t="e">
        <f t="shared" si="20"/>
        <v>#VALUE!</v>
      </c>
      <c r="AB165" s="1847">
        <f t="shared" si="21"/>
        <v>53</v>
      </c>
      <c r="AC165" s="1847">
        <f t="shared" si="22"/>
        <v>55</v>
      </c>
      <c r="AD165" s="1847" t="e">
        <f t="shared" si="23"/>
        <v>#VALUE!</v>
      </c>
      <c r="AE165" s="1847" t="e">
        <f t="shared" si="24"/>
        <v>#VALUE!</v>
      </c>
      <c r="AF165" s="1823" t="e">
        <f t="shared" si="25"/>
        <v>#VALUE!</v>
      </c>
      <c r="AG165" s="1769" t="e">
        <f t="shared" si="26"/>
        <v>#VALUE!</v>
      </c>
      <c r="AI165" t="s">
        <v>2494</v>
      </c>
    </row>
    <row r="166" spans="3:35" ht="24.95" customHeight="1">
      <c r="C166" s="491">
        <v>159</v>
      </c>
      <c r="D166" s="1847"/>
      <c r="E166" s="1847"/>
      <c r="F166" s="1847" t="s">
        <v>2496</v>
      </c>
      <c r="G166" s="1847" t="s">
        <v>2496</v>
      </c>
      <c r="H166" s="1847" t="s">
        <v>2491</v>
      </c>
      <c r="I166" s="1847" t="s">
        <v>2491</v>
      </c>
      <c r="J166" s="1847" t="s">
        <v>2776</v>
      </c>
      <c r="K166" s="1847" t="s">
        <v>2796</v>
      </c>
      <c r="L166" s="1847" t="s">
        <v>3349</v>
      </c>
      <c r="M166" s="1847" t="s">
        <v>4096</v>
      </c>
      <c r="N166" s="1847" t="s">
        <v>2174</v>
      </c>
      <c r="O166" s="1847"/>
      <c r="P166" s="1852">
        <v>49</v>
      </c>
      <c r="Q166" s="1852">
        <v>52</v>
      </c>
      <c r="R166" s="483" t="e">
        <f>IF(H166="","",SUMIFS('[1]1_group_totals'!$J$8:$J$10000,'[1]1_group_totals'!$C$8:$C$10000,C166))</f>
        <v>#VALUE!</v>
      </c>
      <c r="S166" s="483">
        <f t="shared" si="18"/>
        <v>27</v>
      </c>
      <c r="T166" s="483">
        <v>1</v>
      </c>
      <c r="U166" s="510" t="e">
        <f t="shared" si="19"/>
        <v>#VALUE!</v>
      </c>
      <c r="V166" s="510">
        <v>1</v>
      </c>
      <c r="W166" s="510">
        <v>0</v>
      </c>
      <c r="X166" s="510">
        <v>0</v>
      </c>
      <c r="Y166" s="483">
        <v>1</v>
      </c>
      <c r="Z166" s="483">
        <v>1</v>
      </c>
      <c r="AA166" s="1847" t="e">
        <f t="shared" si="20"/>
        <v>#VALUE!</v>
      </c>
      <c r="AB166" s="1847">
        <f t="shared" si="21"/>
        <v>49</v>
      </c>
      <c r="AC166" s="1847">
        <f t="shared" si="22"/>
        <v>52</v>
      </c>
      <c r="AD166" s="1847" t="e">
        <f t="shared" si="23"/>
        <v>#VALUE!</v>
      </c>
      <c r="AE166" s="1847" t="e">
        <f t="shared" si="24"/>
        <v>#VALUE!</v>
      </c>
      <c r="AF166" s="1823" t="e">
        <f t="shared" si="25"/>
        <v>#VALUE!</v>
      </c>
      <c r="AG166" s="1769" t="e">
        <f t="shared" si="26"/>
        <v>#VALUE!</v>
      </c>
      <c r="AI166" t="s">
        <v>2496</v>
      </c>
    </row>
    <row r="167" spans="3:35" ht="24.95" customHeight="1">
      <c r="C167" s="491">
        <v>160</v>
      </c>
      <c r="D167" s="1847"/>
      <c r="E167" s="1847"/>
      <c r="F167" s="1847" t="s">
        <v>2498</v>
      </c>
      <c r="G167" s="1847" t="s">
        <v>2498</v>
      </c>
      <c r="H167" s="1847" t="s">
        <v>2493</v>
      </c>
      <c r="I167" s="1847" t="s">
        <v>2493</v>
      </c>
      <c r="J167" s="1847" t="s">
        <v>2777</v>
      </c>
      <c r="K167" s="1847" t="s">
        <v>2796</v>
      </c>
      <c r="L167" s="1847" t="s">
        <v>3349</v>
      </c>
      <c r="M167" s="1847" t="s">
        <v>4094</v>
      </c>
      <c r="N167" s="1847" t="s">
        <v>2174</v>
      </c>
      <c r="O167" s="1847"/>
      <c r="P167" s="1852">
        <v>47</v>
      </c>
      <c r="Q167" s="1852">
        <v>12</v>
      </c>
      <c r="R167" s="483" t="e">
        <f>IF(H167="","",SUMIFS('[1]1_group_totals'!$J$8:$J$10000,'[1]1_group_totals'!$C$8:$C$10000,C167))</f>
        <v>#VALUE!</v>
      </c>
      <c r="S167" s="483">
        <f t="shared" si="18"/>
        <v>42</v>
      </c>
      <c r="T167" s="483" t="s">
        <v>56</v>
      </c>
      <c r="U167" s="510" t="e">
        <f t="shared" si="19"/>
        <v>#VALUE!</v>
      </c>
      <c r="V167" s="510">
        <v>1</v>
      </c>
      <c r="W167" s="510">
        <v>0</v>
      </c>
      <c r="X167" s="510">
        <v>0</v>
      </c>
      <c r="Y167" s="483">
        <v>1</v>
      </c>
      <c r="Z167" s="483">
        <v>1</v>
      </c>
      <c r="AA167" s="1847" t="e">
        <f t="shared" si="20"/>
        <v>#VALUE!</v>
      </c>
      <c r="AB167" s="1847">
        <f t="shared" si="21"/>
        <v>11.75</v>
      </c>
      <c r="AC167" s="1847">
        <f t="shared" si="22"/>
        <v>3</v>
      </c>
      <c r="AD167" s="1847" t="e">
        <f t="shared" si="23"/>
        <v>#VALUE!</v>
      </c>
      <c r="AE167" s="1847" t="e">
        <f t="shared" si="24"/>
        <v>#VALUE!</v>
      </c>
      <c r="AF167" s="1823" t="e">
        <f t="shared" si="25"/>
        <v>#VALUE!</v>
      </c>
      <c r="AG167" s="1769" t="e">
        <f t="shared" si="26"/>
        <v>#VALUE!</v>
      </c>
      <c r="AI167" t="s">
        <v>2498</v>
      </c>
    </row>
    <row r="168" spans="3:35" ht="24.95" customHeight="1">
      <c r="C168" s="491">
        <v>161</v>
      </c>
      <c r="D168" s="1847"/>
      <c r="E168" s="1847"/>
      <c r="F168" s="1847" t="s">
        <v>2500</v>
      </c>
      <c r="G168" s="1847" t="s">
        <v>2500</v>
      </c>
      <c r="H168" s="1847" t="s">
        <v>2495</v>
      </c>
      <c r="I168" s="1847" t="s">
        <v>2495</v>
      </c>
      <c r="J168" s="1847" t="s">
        <v>2778</v>
      </c>
      <c r="K168" s="1847" t="s">
        <v>2796</v>
      </c>
      <c r="L168" s="1847" t="s">
        <v>3349</v>
      </c>
      <c r="M168" s="1847" t="s">
        <v>4095</v>
      </c>
      <c r="N168" s="1847" t="s">
        <v>2174</v>
      </c>
      <c r="O168" s="1847"/>
      <c r="P168" s="1852">
        <v>43.2</v>
      </c>
      <c r="Q168" s="1852">
        <v>4</v>
      </c>
      <c r="R168" s="483" t="e">
        <f>IF(H168="","",SUMIFS('[1]1_group_totals'!$J$8:$J$10000,'[1]1_group_totals'!$C$8:$C$10000,C168))</f>
        <v>#VALUE!</v>
      </c>
      <c r="S168" s="483">
        <f t="shared" si="18"/>
        <v>43</v>
      </c>
      <c r="T168" s="483" t="s">
        <v>36</v>
      </c>
      <c r="U168" s="510" t="e">
        <f t="shared" si="19"/>
        <v>#VALUE!</v>
      </c>
      <c r="V168" s="510">
        <v>1</v>
      </c>
      <c r="W168" s="510">
        <v>0</v>
      </c>
      <c r="X168" s="510">
        <v>0</v>
      </c>
      <c r="Y168" s="483">
        <v>1</v>
      </c>
      <c r="Z168" s="483">
        <v>1</v>
      </c>
      <c r="AA168" s="1847" t="e">
        <f t="shared" si="20"/>
        <v>#VALUE!</v>
      </c>
      <c r="AB168" s="1847">
        <f t="shared" si="21"/>
        <v>3.6</v>
      </c>
      <c r="AC168" s="1847">
        <f t="shared" si="22"/>
        <v>0.33333333333333331</v>
      </c>
      <c r="AD168" s="1847" t="e">
        <f t="shared" si="23"/>
        <v>#VALUE!</v>
      </c>
      <c r="AE168" s="1847" t="e">
        <f t="shared" si="24"/>
        <v>#VALUE!</v>
      </c>
      <c r="AF168" s="1823" t="e">
        <f t="shared" si="25"/>
        <v>#VALUE!</v>
      </c>
      <c r="AG168" s="1769" t="e">
        <f t="shared" si="26"/>
        <v>#VALUE!</v>
      </c>
      <c r="AI168" t="s">
        <v>2500</v>
      </c>
    </row>
    <row r="169" spans="3:35" ht="24.95" customHeight="1">
      <c r="C169" s="491">
        <v>162</v>
      </c>
      <c r="D169" s="1847"/>
      <c r="E169" s="1847"/>
      <c r="F169" s="1847" t="s">
        <v>2502</v>
      </c>
      <c r="G169" s="1847" t="s">
        <v>2502</v>
      </c>
      <c r="H169" s="1847" t="s">
        <v>2497</v>
      </c>
      <c r="I169" s="1847" t="s">
        <v>2497</v>
      </c>
      <c r="J169" s="1847" t="s">
        <v>2776</v>
      </c>
      <c r="K169" s="1847" t="s">
        <v>2796</v>
      </c>
      <c r="L169" s="1847" t="s">
        <v>3349</v>
      </c>
      <c r="M169" s="1847" t="s">
        <v>4096</v>
      </c>
      <c r="N169" s="1847" t="s">
        <v>2174</v>
      </c>
      <c r="O169" s="1847"/>
      <c r="P169" s="1852">
        <v>53</v>
      </c>
      <c r="Q169" s="1852">
        <v>55</v>
      </c>
      <c r="R169" s="483" t="e">
        <f>IF(H169="","",SUMIFS('[1]1_group_totals'!$J$8:$J$10000,'[1]1_group_totals'!$C$8:$C$10000,C169))</f>
        <v>#VALUE!</v>
      </c>
      <c r="S169" s="483">
        <f t="shared" si="18"/>
        <v>27</v>
      </c>
      <c r="T169" s="483">
        <v>1</v>
      </c>
      <c r="U169" s="510" t="e">
        <f t="shared" si="19"/>
        <v>#VALUE!</v>
      </c>
      <c r="V169" s="510">
        <v>1</v>
      </c>
      <c r="W169" s="510">
        <v>0</v>
      </c>
      <c r="X169" s="510">
        <v>0</v>
      </c>
      <c r="Y169" s="483">
        <v>1</v>
      </c>
      <c r="Z169" s="483">
        <v>1</v>
      </c>
      <c r="AA169" s="1847" t="e">
        <f t="shared" si="20"/>
        <v>#VALUE!</v>
      </c>
      <c r="AB169" s="1847">
        <f t="shared" si="21"/>
        <v>53</v>
      </c>
      <c r="AC169" s="1847">
        <f t="shared" si="22"/>
        <v>55</v>
      </c>
      <c r="AD169" s="1847" t="e">
        <f t="shared" si="23"/>
        <v>#VALUE!</v>
      </c>
      <c r="AE169" s="1847" t="e">
        <f t="shared" si="24"/>
        <v>#VALUE!</v>
      </c>
      <c r="AF169" s="1823" t="e">
        <f t="shared" si="25"/>
        <v>#VALUE!</v>
      </c>
      <c r="AG169" s="1769" t="e">
        <f t="shared" si="26"/>
        <v>#VALUE!</v>
      </c>
      <c r="AI169" t="s">
        <v>2502</v>
      </c>
    </row>
    <row r="170" spans="3:35" ht="24.95" customHeight="1">
      <c r="C170" s="491">
        <v>163</v>
      </c>
      <c r="D170" s="1847"/>
      <c r="E170" s="1847"/>
      <c r="F170" s="1847" t="s">
        <v>2504</v>
      </c>
      <c r="G170" s="1847" t="s">
        <v>2504</v>
      </c>
      <c r="H170" s="1847" t="s">
        <v>2499</v>
      </c>
      <c r="I170" s="1847" t="s">
        <v>2499</v>
      </c>
      <c r="J170" s="1847" t="s">
        <v>2777</v>
      </c>
      <c r="K170" s="1847" t="s">
        <v>2796</v>
      </c>
      <c r="L170" s="1847" t="s">
        <v>3349</v>
      </c>
      <c r="M170" s="1847" t="s">
        <v>4094</v>
      </c>
      <c r="N170" s="1847" t="s">
        <v>2174</v>
      </c>
      <c r="O170" s="1847"/>
      <c r="P170" s="1852">
        <v>51</v>
      </c>
      <c r="Q170" s="1852">
        <v>13.25</v>
      </c>
      <c r="R170" s="483" t="e">
        <f>IF(H170="","",SUMIFS('[1]1_group_totals'!$J$8:$J$10000,'[1]1_group_totals'!$C$8:$C$10000,C170))</f>
        <v>#VALUE!</v>
      </c>
      <c r="S170" s="483">
        <f t="shared" si="18"/>
        <v>42</v>
      </c>
      <c r="T170" s="483" t="s">
        <v>56</v>
      </c>
      <c r="U170" s="510" t="e">
        <f t="shared" si="19"/>
        <v>#VALUE!</v>
      </c>
      <c r="V170" s="510">
        <v>1</v>
      </c>
      <c r="W170" s="510">
        <v>0</v>
      </c>
      <c r="X170" s="510">
        <v>0</v>
      </c>
      <c r="Y170" s="483">
        <v>1</v>
      </c>
      <c r="Z170" s="483">
        <v>1</v>
      </c>
      <c r="AA170" s="1847" t="e">
        <f t="shared" si="20"/>
        <v>#VALUE!</v>
      </c>
      <c r="AB170" s="1847">
        <f t="shared" si="21"/>
        <v>12.75</v>
      </c>
      <c r="AC170" s="1847">
        <f t="shared" si="22"/>
        <v>3.3125</v>
      </c>
      <c r="AD170" s="1847" t="e">
        <f t="shared" si="23"/>
        <v>#VALUE!</v>
      </c>
      <c r="AE170" s="1847" t="e">
        <f t="shared" si="24"/>
        <v>#VALUE!</v>
      </c>
      <c r="AF170" s="1823" t="e">
        <f t="shared" si="25"/>
        <v>#VALUE!</v>
      </c>
      <c r="AG170" s="1769" t="e">
        <f t="shared" si="26"/>
        <v>#VALUE!</v>
      </c>
      <c r="AI170" t="s">
        <v>2504</v>
      </c>
    </row>
    <row r="171" spans="3:35" ht="24.95" customHeight="1">
      <c r="C171" s="491">
        <v>164</v>
      </c>
      <c r="D171" s="1847"/>
      <c r="E171" s="1847"/>
      <c r="F171" s="1847" t="s">
        <v>2505</v>
      </c>
      <c r="G171" s="1847" t="s">
        <v>2505</v>
      </c>
      <c r="H171" s="1847" t="s">
        <v>2501</v>
      </c>
      <c r="I171" s="1847" t="s">
        <v>2501</v>
      </c>
      <c r="J171" s="1847" t="s">
        <v>2776</v>
      </c>
      <c r="K171" s="1847" t="s">
        <v>2796</v>
      </c>
      <c r="L171" s="1847" t="s">
        <v>3349</v>
      </c>
      <c r="M171" s="1847" t="s">
        <v>4096</v>
      </c>
      <c r="N171" s="1847" t="s">
        <v>2174</v>
      </c>
      <c r="O171" s="1847"/>
      <c r="P171" s="1852">
        <v>88</v>
      </c>
      <c r="Q171" s="1852">
        <v>90</v>
      </c>
      <c r="R171" s="483" t="e">
        <f>IF(H171="","",SUMIFS('[1]1_group_totals'!$J$8:$J$10000,'[1]1_group_totals'!$C$8:$C$10000,C171))</f>
        <v>#VALUE!</v>
      </c>
      <c r="S171" s="483">
        <f t="shared" si="18"/>
        <v>27</v>
      </c>
      <c r="T171" s="483">
        <v>1</v>
      </c>
      <c r="U171" s="510" t="e">
        <f t="shared" si="19"/>
        <v>#VALUE!</v>
      </c>
      <c r="V171" s="510">
        <v>1</v>
      </c>
      <c r="W171" s="510">
        <v>0</v>
      </c>
      <c r="X171" s="510">
        <v>0</v>
      </c>
      <c r="Y171" s="483">
        <v>1</v>
      </c>
      <c r="Z171" s="483">
        <v>1</v>
      </c>
      <c r="AA171" s="1847" t="e">
        <f t="shared" si="20"/>
        <v>#VALUE!</v>
      </c>
      <c r="AB171" s="1847">
        <f t="shared" si="21"/>
        <v>88</v>
      </c>
      <c r="AC171" s="1847">
        <f t="shared" si="22"/>
        <v>90</v>
      </c>
      <c r="AD171" s="1847" t="e">
        <f t="shared" si="23"/>
        <v>#VALUE!</v>
      </c>
      <c r="AE171" s="1847" t="e">
        <f t="shared" si="24"/>
        <v>#VALUE!</v>
      </c>
      <c r="AF171" s="1823" t="e">
        <f t="shared" si="25"/>
        <v>#VALUE!</v>
      </c>
      <c r="AG171" s="1769" t="e">
        <f t="shared" si="26"/>
        <v>#VALUE!</v>
      </c>
      <c r="AI171" t="s">
        <v>2505</v>
      </c>
    </row>
    <row r="172" spans="3:35" ht="24.95" customHeight="1">
      <c r="C172" s="491">
        <v>165</v>
      </c>
      <c r="D172" s="1847"/>
      <c r="E172" s="1847"/>
      <c r="F172" s="1847" t="s">
        <v>2506</v>
      </c>
      <c r="G172" s="1847" t="s">
        <v>2506</v>
      </c>
      <c r="H172" s="1847" t="s">
        <v>2503</v>
      </c>
      <c r="I172" s="1847" t="s">
        <v>2503</v>
      </c>
      <c r="J172" s="1847" t="s">
        <v>2777</v>
      </c>
      <c r="K172" s="1847" t="s">
        <v>2796</v>
      </c>
      <c r="L172" s="1847" t="s">
        <v>3349</v>
      </c>
      <c r="M172" s="1847" t="s">
        <v>4094</v>
      </c>
      <c r="N172" s="1847" t="s">
        <v>2174</v>
      </c>
      <c r="O172" s="1847"/>
      <c r="P172" s="1852">
        <v>81</v>
      </c>
      <c r="Q172" s="1852">
        <v>21.25</v>
      </c>
      <c r="R172" s="483" t="e">
        <f>IF(H172="","",SUMIFS('[1]1_group_totals'!$J$8:$J$10000,'[1]1_group_totals'!$C$8:$C$10000,C172))</f>
        <v>#VALUE!</v>
      </c>
      <c r="S172" s="483">
        <f t="shared" si="18"/>
        <v>42</v>
      </c>
      <c r="T172" s="483" t="s">
        <v>56</v>
      </c>
      <c r="U172" s="510" t="e">
        <f t="shared" si="19"/>
        <v>#VALUE!</v>
      </c>
      <c r="V172" s="510">
        <v>1</v>
      </c>
      <c r="W172" s="510">
        <v>0</v>
      </c>
      <c r="X172" s="510">
        <v>0</v>
      </c>
      <c r="Y172" s="483">
        <v>1</v>
      </c>
      <c r="Z172" s="483">
        <v>1</v>
      </c>
      <c r="AA172" s="1847" t="e">
        <f t="shared" si="20"/>
        <v>#VALUE!</v>
      </c>
      <c r="AB172" s="1847">
        <f t="shared" si="21"/>
        <v>20.25</v>
      </c>
      <c r="AC172" s="1847">
        <f t="shared" si="22"/>
        <v>5.3125</v>
      </c>
      <c r="AD172" s="1847" t="e">
        <f t="shared" si="23"/>
        <v>#VALUE!</v>
      </c>
      <c r="AE172" s="1847" t="e">
        <f t="shared" si="24"/>
        <v>#VALUE!</v>
      </c>
      <c r="AF172" s="1823" t="e">
        <f t="shared" si="25"/>
        <v>#VALUE!</v>
      </c>
      <c r="AG172" s="1769" t="e">
        <f t="shared" si="26"/>
        <v>#VALUE!</v>
      </c>
      <c r="AI172" t="s">
        <v>2506</v>
      </c>
    </row>
    <row r="173" spans="3:35" ht="24.95" customHeight="1">
      <c r="C173" s="491">
        <v>166</v>
      </c>
      <c r="D173" s="1847"/>
      <c r="E173" s="1847"/>
      <c r="F173" s="1847" t="s">
        <v>2507</v>
      </c>
      <c r="G173" s="1847" t="s">
        <v>2507</v>
      </c>
      <c r="H173" s="1847" t="s">
        <v>2785</v>
      </c>
      <c r="I173" s="1847" t="s">
        <v>2785</v>
      </c>
      <c r="J173" s="1847" t="s">
        <v>2783</v>
      </c>
      <c r="K173" s="1847" t="s">
        <v>2796</v>
      </c>
      <c r="L173" s="1847" t="s">
        <v>2801</v>
      </c>
      <c r="M173" s="1847" t="s">
        <v>2172</v>
      </c>
      <c r="N173" s="1847" t="s">
        <v>2050</v>
      </c>
      <c r="O173" s="1847"/>
      <c r="P173" s="1852">
        <v>0.75</v>
      </c>
      <c r="Q173" s="1852">
        <v>1</v>
      </c>
      <c r="R173" s="483" t="e">
        <f>IF(H173="","",SUMIFS('[1]1_group_totals'!$J$8:$J$10000,'[1]1_group_totals'!$C$8:$C$10000,C173))</f>
        <v>#VALUE!</v>
      </c>
      <c r="S173" s="483">
        <f t="shared" si="18"/>
        <v>2</v>
      </c>
      <c r="T173" s="483">
        <v>1</v>
      </c>
      <c r="U173" s="510" t="e">
        <f t="shared" si="19"/>
        <v>#VALUE!</v>
      </c>
      <c r="V173" s="510">
        <v>1</v>
      </c>
      <c r="W173" s="510">
        <v>0</v>
      </c>
      <c r="X173" s="510">
        <v>0</v>
      </c>
      <c r="Y173" s="483">
        <v>1</v>
      </c>
      <c r="Z173" s="483">
        <v>1</v>
      </c>
      <c r="AA173" s="1847" t="e">
        <f t="shared" si="20"/>
        <v>#VALUE!</v>
      </c>
      <c r="AB173" s="1847">
        <f t="shared" si="21"/>
        <v>0.75</v>
      </c>
      <c r="AC173" s="1847">
        <f t="shared" si="22"/>
        <v>1</v>
      </c>
      <c r="AD173" s="1847" t="e">
        <f t="shared" si="23"/>
        <v>#VALUE!</v>
      </c>
      <c r="AE173" s="1847" t="e">
        <f t="shared" si="24"/>
        <v>#VALUE!</v>
      </c>
      <c r="AF173" s="1823" t="e">
        <f t="shared" si="25"/>
        <v>#VALUE!</v>
      </c>
      <c r="AG173" s="1769" t="e">
        <f t="shared" si="26"/>
        <v>#VALUE!</v>
      </c>
      <c r="AI173" t="s">
        <v>2507</v>
      </c>
    </row>
    <row r="174" spans="3:35" ht="24.95" customHeight="1">
      <c r="C174" s="491">
        <v>167</v>
      </c>
      <c r="D174" s="1847"/>
      <c r="E174" s="1847"/>
      <c r="F174" s="1847" t="s">
        <v>2508</v>
      </c>
      <c r="G174" s="1847" t="s">
        <v>2508</v>
      </c>
      <c r="H174" s="1847" t="s">
        <v>2786</v>
      </c>
      <c r="I174" s="1847" t="s">
        <v>2786</v>
      </c>
      <c r="J174" s="1847" t="s">
        <v>2783</v>
      </c>
      <c r="K174" s="1847" t="s">
        <v>2796</v>
      </c>
      <c r="L174" s="1847" t="s">
        <v>2801</v>
      </c>
      <c r="M174" s="1847" t="s">
        <v>2172</v>
      </c>
      <c r="N174" s="1847" t="s">
        <v>2050</v>
      </c>
      <c r="O174" s="1847"/>
      <c r="P174" s="1852">
        <v>0.85</v>
      </c>
      <c r="Q174" s="1852">
        <v>1</v>
      </c>
      <c r="R174" s="483" t="e">
        <f>IF(H174="","",SUMIFS('[1]1_group_totals'!$J$8:$J$10000,'[1]1_group_totals'!$C$8:$C$10000,C174))</f>
        <v>#VALUE!</v>
      </c>
      <c r="S174" s="483">
        <f t="shared" si="18"/>
        <v>2</v>
      </c>
      <c r="T174" s="483">
        <v>1</v>
      </c>
      <c r="U174" s="510" t="e">
        <f t="shared" si="19"/>
        <v>#VALUE!</v>
      </c>
      <c r="V174" s="510">
        <v>1</v>
      </c>
      <c r="W174" s="510">
        <v>0</v>
      </c>
      <c r="X174" s="510">
        <v>0</v>
      </c>
      <c r="Y174" s="483">
        <v>1</v>
      </c>
      <c r="Z174" s="483">
        <v>1</v>
      </c>
      <c r="AA174" s="1847" t="e">
        <f t="shared" si="20"/>
        <v>#VALUE!</v>
      </c>
      <c r="AB174" s="1847">
        <f t="shared" si="21"/>
        <v>0.85</v>
      </c>
      <c r="AC174" s="1847">
        <f t="shared" si="22"/>
        <v>1</v>
      </c>
      <c r="AD174" s="1847" t="e">
        <f t="shared" si="23"/>
        <v>#VALUE!</v>
      </c>
      <c r="AE174" s="1847" t="e">
        <f t="shared" si="24"/>
        <v>#VALUE!</v>
      </c>
      <c r="AF174" s="1823" t="e">
        <f t="shared" si="25"/>
        <v>#VALUE!</v>
      </c>
      <c r="AG174" s="1769" t="e">
        <f t="shared" si="26"/>
        <v>#VALUE!</v>
      </c>
      <c r="AI174" t="s">
        <v>2508</v>
      </c>
    </row>
    <row r="175" spans="3:35" ht="24.95" customHeight="1">
      <c r="C175" s="491">
        <v>168</v>
      </c>
      <c r="D175" s="1847"/>
      <c r="E175" s="1847"/>
      <c r="F175" s="1847" t="s">
        <v>2509</v>
      </c>
      <c r="G175" s="1847" t="s">
        <v>2509</v>
      </c>
      <c r="H175" s="1847" t="s">
        <v>2787</v>
      </c>
      <c r="I175" s="1847" t="s">
        <v>2787</v>
      </c>
      <c r="J175" s="1847" t="s">
        <v>2783</v>
      </c>
      <c r="K175" s="1847" t="s">
        <v>2796</v>
      </c>
      <c r="L175" s="1847" t="s">
        <v>2801</v>
      </c>
      <c r="M175" s="1847" t="s">
        <v>2172</v>
      </c>
      <c r="N175" s="1847" t="s">
        <v>2050</v>
      </c>
      <c r="O175" s="1847"/>
      <c r="P175" s="1852">
        <v>1.2</v>
      </c>
      <c r="Q175" s="1852">
        <v>1.5</v>
      </c>
      <c r="R175" s="483" t="e">
        <f>IF(H175="","",SUMIFS('[1]1_group_totals'!$J$8:$J$10000,'[1]1_group_totals'!$C$8:$C$10000,C175))</f>
        <v>#VALUE!</v>
      </c>
      <c r="S175" s="483">
        <f t="shared" si="18"/>
        <v>2</v>
      </c>
      <c r="T175" s="483">
        <v>1</v>
      </c>
      <c r="U175" s="510" t="e">
        <f t="shared" si="19"/>
        <v>#VALUE!</v>
      </c>
      <c r="V175" s="510">
        <v>1</v>
      </c>
      <c r="W175" s="510">
        <v>0</v>
      </c>
      <c r="X175" s="510">
        <v>0</v>
      </c>
      <c r="Y175" s="483">
        <v>1</v>
      </c>
      <c r="Z175" s="483">
        <v>1</v>
      </c>
      <c r="AA175" s="1847" t="e">
        <f t="shared" si="20"/>
        <v>#VALUE!</v>
      </c>
      <c r="AB175" s="1847">
        <f t="shared" si="21"/>
        <v>1.2</v>
      </c>
      <c r="AC175" s="1847">
        <f t="shared" si="22"/>
        <v>1.5</v>
      </c>
      <c r="AD175" s="1847" t="e">
        <f t="shared" si="23"/>
        <v>#VALUE!</v>
      </c>
      <c r="AE175" s="1847" t="e">
        <f t="shared" si="24"/>
        <v>#VALUE!</v>
      </c>
      <c r="AF175" s="1823" t="e">
        <f t="shared" si="25"/>
        <v>#VALUE!</v>
      </c>
      <c r="AG175" s="1769" t="e">
        <f t="shared" si="26"/>
        <v>#VALUE!</v>
      </c>
      <c r="AI175" t="s">
        <v>2509</v>
      </c>
    </row>
    <row r="176" spans="3:35" ht="24.95" customHeight="1">
      <c r="C176" s="491">
        <v>169</v>
      </c>
      <c r="D176" s="1847"/>
      <c r="E176" s="1847"/>
      <c r="F176" s="1847" t="s">
        <v>2511</v>
      </c>
      <c r="G176" s="1847" t="s">
        <v>2511</v>
      </c>
      <c r="H176" s="1847" t="s">
        <v>2788</v>
      </c>
      <c r="I176" s="1847" t="s">
        <v>2788</v>
      </c>
      <c r="J176" s="1847" t="s">
        <v>2783</v>
      </c>
      <c r="K176" s="1847" t="s">
        <v>2796</v>
      </c>
      <c r="L176" s="1847" t="s">
        <v>2801</v>
      </c>
      <c r="M176" s="1847" t="s">
        <v>2172</v>
      </c>
      <c r="N176" s="1847" t="s">
        <v>2050</v>
      </c>
      <c r="O176" s="1847"/>
      <c r="P176" s="1852">
        <v>0.5</v>
      </c>
      <c r="Q176" s="1852">
        <v>0.65</v>
      </c>
      <c r="R176" s="483" t="e">
        <f>IF(H176="","",SUMIFS('[1]1_group_totals'!$J$8:$J$10000,'[1]1_group_totals'!$C$8:$C$10000,C176))</f>
        <v>#VALUE!</v>
      </c>
      <c r="S176" s="483">
        <f t="shared" si="18"/>
        <v>2</v>
      </c>
      <c r="T176" s="483">
        <v>1</v>
      </c>
      <c r="U176" s="510" t="e">
        <f t="shared" si="19"/>
        <v>#VALUE!</v>
      </c>
      <c r="V176" s="510">
        <v>1</v>
      </c>
      <c r="W176" s="510">
        <v>0</v>
      </c>
      <c r="X176" s="510">
        <v>0</v>
      </c>
      <c r="Y176" s="483">
        <v>1</v>
      </c>
      <c r="Z176" s="483">
        <v>1</v>
      </c>
      <c r="AA176" s="1847" t="e">
        <f t="shared" si="20"/>
        <v>#VALUE!</v>
      </c>
      <c r="AB176" s="1847">
        <f t="shared" si="21"/>
        <v>0.5</v>
      </c>
      <c r="AC176" s="1847">
        <f t="shared" si="22"/>
        <v>0.65</v>
      </c>
      <c r="AD176" s="1847" t="e">
        <f t="shared" si="23"/>
        <v>#VALUE!</v>
      </c>
      <c r="AE176" s="1847" t="e">
        <f t="shared" si="24"/>
        <v>#VALUE!</v>
      </c>
      <c r="AF176" s="1823" t="e">
        <f t="shared" si="25"/>
        <v>#VALUE!</v>
      </c>
      <c r="AG176" s="1769" t="e">
        <f t="shared" si="26"/>
        <v>#VALUE!</v>
      </c>
      <c r="AI176" t="s">
        <v>2511</v>
      </c>
    </row>
    <row r="177" spans="3:35" ht="24.95" customHeight="1">
      <c r="C177" s="491">
        <v>170</v>
      </c>
      <c r="D177" s="1847"/>
      <c r="E177" s="1847"/>
      <c r="F177" s="1847" t="s">
        <v>2513</v>
      </c>
      <c r="G177" s="1847" t="s">
        <v>2513</v>
      </c>
      <c r="H177" s="1847" t="s">
        <v>2789</v>
      </c>
      <c r="I177" s="1847" t="s">
        <v>2789</v>
      </c>
      <c r="J177" s="1847" t="s">
        <v>2783</v>
      </c>
      <c r="K177" s="1847" t="s">
        <v>2796</v>
      </c>
      <c r="L177" s="1847" t="s">
        <v>2801</v>
      </c>
      <c r="M177" s="1847" t="s">
        <v>2172</v>
      </c>
      <c r="N177" s="1847" t="s">
        <v>2050</v>
      </c>
      <c r="O177" s="1847"/>
      <c r="P177" s="1852">
        <v>0.4</v>
      </c>
      <c r="Q177" s="1852">
        <v>0.13</v>
      </c>
      <c r="R177" s="483" t="e">
        <f>IF(H177="","",SUMIFS('[1]1_group_totals'!$J$8:$J$10000,'[1]1_group_totals'!$C$8:$C$10000,C177))</f>
        <v>#VALUE!</v>
      </c>
      <c r="S177" s="483">
        <f t="shared" si="18"/>
        <v>2</v>
      </c>
      <c r="T177" s="483">
        <v>1</v>
      </c>
      <c r="U177" s="510" t="e">
        <f t="shared" si="19"/>
        <v>#VALUE!</v>
      </c>
      <c r="V177" s="510">
        <v>1</v>
      </c>
      <c r="W177" s="510">
        <v>0</v>
      </c>
      <c r="X177" s="510">
        <v>0</v>
      </c>
      <c r="Y177" s="483">
        <v>1</v>
      </c>
      <c r="Z177" s="483">
        <v>1</v>
      </c>
      <c r="AA177" s="1847" t="e">
        <f t="shared" si="20"/>
        <v>#VALUE!</v>
      </c>
      <c r="AB177" s="1847">
        <f t="shared" si="21"/>
        <v>0.4</v>
      </c>
      <c r="AC177" s="1847">
        <f t="shared" si="22"/>
        <v>0.13</v>
      </c>
      <c r="AD177" s="1847" t="e">
        <f t="shared" si="23"/>
        <v>#VALUE!</v>
      </c>
      <c r="AE177" s="1847" t="e">
        <f t="shared" si="24"/>
        <v>#VALUE!</v>
      </c>
      <c r="AF177" s="1823" t="e">
        <f t="shared" si="25"/>
        <v>#VALUE!</v>
      </c>
      <c r="AG177" s="1769" t="e">
        <f t="shared" si="26"/>
        <v>#VALUE!</v>
      </c>
      <c r="AI177" t="s">
        <v>2513</v>
      </c>
    </row>
    <row r="178" spans="3:35" ht="24.95" customHeight="1">
      <c r="C178" s="491">
        <v>171</v>
      </c>
      <c r="D178" s="1847"/>
      <c r="E178" s="1847"/>
      <c r="F178" s="1847" t="s">
        <v>2515</v>
      </c>
      <c r="G178" s="1847" t="s">
        <v>2515</v>
      </c>
      <c r="H178" s="1847" t="s">
        <v>2510</v>
      </c>
      <c r="I178" s="1847" t="s">
        <v>2510</v>
      </c>
      <c r="J178" s="1847" t="s">
        <v>2779</v>
      </c>
      <c r="K178" s="1847" t="s">
        <v>2796</v>
      </c>
      <c r="L178" s="1847" t="s">
        <v>2801</v>
      </c>
      <c r="M178" s="1847" t="s">
        <v>4097</v>
      </c>
      <c r="N178" s="1847" t="s">
        <v>2050</v>
      </c>
      <c r="O178" s="1847"/>
      <c r="P178" s="1852">
        <v>0.96</v>
      </c>
      <c r="Q178" s="1852">
        <v>1.5</v>
      </c>
      <c r="R178" s="483" t="e">
        <f>IF(H178="","",SUMIFS('[1]1_group_totals'!$J$8:$J$10000,'[1]1_group_totals'!$C$8:$C$10000,C178))</f>
        <v>#VALUE!</v>
      </c>
      <c r="S178" s="483">
        <f t="shared" si="18"/>
        <v>49</v>
      </c>
      <c r="T178" s="483">
        <v>12</v>
      </c>
      <c r="U178" s="510" t="e">
        <f t="shared" si="19"/>
        <v>#VALUE!</v>
      </c>
      <c r="V178" s="510">
        <v>1</v>
      </c>
      <c r="W178" s="510">
        <v>0</v>
      </c>
      <c r="X178" s="510">
        <v>0</v>
      </c>
      <c r="Y178" s="483">
        <v>1</v>
      </c>
      <c r="Z178" s="483">
        <v>1</v>
      </c>
      <c r="AA178" s="1847" t="e">
        <f t="shared" si="20"/>
        <v>#VALUE!</v>
      </c>
      <c r="AB178" s="1847">
        <f t="shared" si="21"/>
        <v>0.08</v>
      </c>
      <c r="AC178" s="1847">
        <f t="shared" si="22"/>
        <v>0.125</v>
      </c>
      <c r="AD178" s="1847" t="e">
        <f t="shared" si="23"/>
        <v>#VALUE!</v>
      </c>
      <c r="AE178" s="1847" t="e">
        <f t="shared" si="24"/>
        <v>#VALUE!</v>
      </c>
      <c r="AF178" s="1823" t="e">
        <f t="shared" si="25"/>
        <v>#VALUE!</v>
      </c>
      <c r="AG178" s="1769" t="e">
        <f t="shared" si="26"/>
        <v>#VALUE!</v>
      </c>
      <c r="AI178" t="s">
        <v>2515</v>
      </c>
    </row>
    <row r="179" spans="3:35" ht="24.95" customHeight="1">
      <c r="C179" s="491">
        <v>172</v>
      </c>
      <c r="D179" s="1847"/>
      <c r="E179" s="1847"/>
      <c r="F179" s="1847" t="s">
        <v>2517</v>
      </c>
      <c r="G179" s="1847" t="s">
        <v>2517</v>
      </c>
      <c r="H179" s="1847" t="s">
        <v>2512</v>
      </c>
      <c r="I179" s="1847" t="s">
        <v>2512</v>
      </c>
      <c r="J179" s="1847" t="s">
        <v>2779</v>
      </c>
      <c r="K179" s="1847" t="s">
        <v>2796</v>
      </c>
      <c r="L179" s="1847" t="s">
        <v>2801</v>
      </c>
      <c r="M179" s="1847" t="s">
        <v>4097</v>
      </c>
      <c r="N179" s="1847" t="s">
        <v>2050</v>
      </c>
      <c r="O179" s="1847"/>
      <c r="P179" s="1852">
        <v>1.2</v>
      </c>
      <c r="Q179" s="1852">
        <v>3</v>
      </c>
      <c r="R179" s="483" t="e">
        <f>IF(H179="","",SUMIFS('[1]1_group_totals'!$J$8:$J$10000,'[1]1_group_totals'!$C$8:$C$10000,C179))</f>
        <v>#VALUE!</v>
      </c>
      <c r="S179" s="483">
        <f t="shared" si="18"/>
        <v>49</v>
      </c>
      <c r="T179" s="483">
        <v>12</v>
      </c>
      <c r="U179" s="510" t="e">
        <f t="shared" si="19"/>
        <v>#VALUE!</v>
      </c>
      <c r="V179" s="510">
        <v>1</v>
      </c>
      <c r="W179" s="510">
        <v>0</v>
      </c>
      <c r="X179" s="510">
        <v>0</v>
      </c>
      <c r="Y179" s="483">
        <v>1</v>
      </c>
      <c r="Z179" s="483">
        <v>1</v>
      </c>
      <c r="AA179" s="1847" t="e">
        <f t="shared" si="20"/>
        <v>#VALUE!</v>
      </c>
      <c r="AB179" s="1847">
        <f t="shared" si="21"/>
        <v>9.9999999999999992E-2</v>
      </c>
      <c r="AC179" s="1847">
        <f t="shared" si="22"/>
        <v>0.25</v>
      </c>
      <c r="AD179" s="1847" t="e">
        <f t="shared" si="23"/>
        <v>#VALUE!</v>
      </c>
      <c r="AE179" s="1847" t="e">
        <f t="shared" si="24"/>
        <v>#VALUE!</v>
      </c>
      <c r="AF179" s="1823" t="e">
        <f t="shared" si="25"/>
        <v>#VALUE!</v>
      </c>
      <c r="AG179" s="1769" t="e">
        <f t="shared" si="26"/>
        <v>#VALUE!</v>
      </c>
      <c r="AI179" t="s">
        <v>2517</v>
      </c>
    </row>
    <row r="180" spans="3:35" ht="24.95" customHeight="1">
      <c r="C180" s="491">
        <v>173</v>
      </c>
      <c r="D180" s="1847"/>
      <c r="E180" s="1847"/>
      <c r="F180" s="1847" t="s">
        <v>2519</v>
      </c>
      <c r="G180" s="1847" t="s">
        <v>2519</v>
      </c>
      <c r="H180" s="1847" t="s">
        <v>2514</v>
      </c>
      <c r="I180" s="1847" t="s">
        <v>2514</v>
      </c>
      <c r="J180" s="1847" t="s">
        <v>2779</v>
      </c>
      <c r="K180" s="1847" t="s">
        <v>2796</v>
      </c>
      <c r="L180" s="1847" t="s">
        <v>2801</v>
      </c>
      <c r="M180" s="1847" t="s">
        <v>4097</v>
      </c>
      <c r="N180" s="1847" t="s">
        <v>2050</v>
      </c>
      <c r="O180" s="1847"/>
      <c r="P180" s="1852">
        <v>1.68</v>
      </c>
      <c r="Q180" s="1852">
        <v>4.4399999999999995</v>
      </c>
      <c r="R180" s="483" t="e">
        <f>IF(H180="","",SUMIFS('[1]1_group_totals'!$J$8:$J$10000,'[1]1_group_totals'!$C$8:$C$10000,C180))</f>
        <v>#VALUE!</v>
      </c>
      <c r="S180" s="483">
        <f t="shared" si="18"/>
        <v>49</v>
      </c>
      <c r="T180" s="483">
        <v>12</v>
      </c>
      <c r="U180" s="510" t="e">
        <f t="shared" si="19"/>
        <v>#VALUE!</v>
      </c>
      <c r="V180" s="510">
        <v>1</v>
      </c>
      <c r="W180" s="510">
        <v>0</v>
      </c>
      <c r="X180" s="510">
        <v>0</v>
      </c>
      <c r="Y180" s="483">
        <v>1</v>
      </c>
      <c r="Z180" s="483">
        <v>1</v>
      </c>
      <c r="AA180" s="1847" t="e">
        <f t="shared" si="20"/>
        <v>#VALUE!</v>
      </c>
      <c r="AB180" s="1847">
        <f t="shared" si="21"/>
        <v>0.13999999999999999</v>
      </c>
      <c r="AC180" s="1847">
        <f t="shared" si="22"/>
        <v>0.36999999999999994</v>
      </c>
      <c r="AD180" s="1847" t="e">
        <f t="shared" si="23"/>
        <v>#VALUE!</v>
      </c>
      <c r="AE180" s="1847" t="e">
        <f t="shared" si="24"/>
        <v>#VALUE!</v>
      </c>
      <c r="AF180" s="1823" t="e">
        <f t="shared" si="25"/>
        <v>#VALUE!</v>
      </c>
      <c r="AG180" s="1769" t="e">
        <f t="shared" si="26"/>
        <v>#VALUE!</v>
      </c>
      <c r="AI180" t="s">
        <v>2519</v>
      </c>
    </row>
    <row r="181" spans="3:35" ht="24.95" customHeight="1">
      <c r="C181" s="491">
        <v>174</v>
      </c>
      <c r="D181" s="1847"/>
      <c r="E181" s="1847"/>
      <c r="F181" s="1847" t="s">
        <v>2522</v>
      </c>
      <c r="G181" s="1847" t="s">
        <v>2522</v>
      </c>
      <c r="H181" s="1847" t="s">
        <v>2516</v>
      </c>
      <c r="I181" s="1847" t="s">
        <v>2516</v>
      </c>
      <c r="J181" s="1847" t="s">
        <v>2779</v>
      </c>
      <c r="K181" s="1847" t="s">
        <v>2796</v>
      </c>
      <c r="L181" s="1847" t="s">
        <v>2801</v>
      </c>
      <c r="M181" s="1847" t="s">
        <v>4097</v>
      </c>
      <c r="N181" s="1847" t="s">
        <v>2050</v>
      </c>
      <c r="O181" s="1847"/>
      <c r="P181" s="1852">
        <v>2.4</v>
      </c>
      <c r="Q181" s="1852">
        <v>6</v>
      </c>
      <c r="R181" s="483" t="e">
        <f>IF(H181="","",SUMIFS('[1]1_group_totals'!$J$8:$J$10000,'[1]1_group_totals'!$C$8:$C$10000,C181))</f>
        <v>#VALUE!</v>
      </c>
      <c r="S181" s="483">
        <f t="shared" si="18"/>
        <v>49</v>
      </c>
      <c r="T181" s="483">
        <v>12</v>
      </c>
      <c r="U181" s="510" t="e">
        <f t="shared" si="19"/>
        <v>#VALUE!</v>
      </c>
      <c r="V181" s="510">
        <v>1</v>
      </c>
      <c r="W181" s="510">
        <v>0</v>
      </c>
      <c r="X181" s="510">
        <v>0</v>
      </c>
      <c r="Y181" s="483">
        <v>1</v>
      </c>
      <c r="Z181" s="483">
        <v>1</v>
      </c>
      <c r="AA181" s="1847" t="e">
        <f t="shared" si="20"/>
        <v>#VALUE!</v>
      </c>
      <c r="AB181" s="1847">
        <f t="shared" si="21"/>
        <v>0.19999999999999998</v>
      </c>
      <c r="AC181" s="1847">
        <f t="shared" si="22"/>
        <v>0.5</v>
      </c>
      <c r="AD181" s="1847" t="e">
        <f t="shared" si="23"/>
        <v>#VALUE!</v>
      </c>
      <c r="AE181" s="1847" t="e">
        <f t="shared" si="24"/>
        <v>#VALUE!</v>
      </c>
      <c r="AF181" s="1823" t="e">
        <f t="shared" si="25"/>
        <v>#VALUE!</v>
      </c>
      <c r="AG181" s="1769" t="e">
        <f t="shared" si="26"/>
        <v>#VALUE!</v>
      </c>
      <c r="AI181" t="s">
        <v>2522</v>
      </c>
    </row>
    <row r="182" spans="3:35" ht="24.95" customHeight="1">
      <c r="C182" s="491">
        <v>175</v>
      </c>
      <c r="D182" s="1847"/>
      <c r="E182" s="1847"/>
      <c r="F182" s="1847" t="s">
        <v>2524</v>
      </c>
      <c r="G182" s="1847" t="s">
        <v>2524</v>
      </c>
      <c r="H182" s="1847" t="s">
        <v>2518</v>
      </c>
      <c r="I182" s="1847" t="s">
        <v>2518</v>
      </c>
      <c r="J182" s="1847" t="s">
        <v>2779</v>
      </c>
      <c r="K182" s="1847" t="s">
        <v>2796</v>
      </c>
      <c r="L182" s="1847" t="s">
        <v>2801</v>
      </c>
      <c r="M182" s="1847" t="s">
        <v>4097</v>
      </c>
      <c r="N182" s="1847" t="s">
        <v>2050</v>
      </c>
      <c r="O182" s="1847"/>
      <c r="P182" s="1852">
        <v>2.88</v>
      </c>
      <c r="Q182" s="1852">
        <v>8</v>
      </c>
      <c r="R182" s="483" t="e">
        <f>IF(H182="","",SUMIFS('[1]1_group_totals'!$J$8:$J$10000,'[1]1_group_totals'!$C$8:$C$10000,C182))</f>
        <v>#VALUE!</v>
      </c>
      <c r="S182" s="483">
        <f t="shared" si="18"/>
        <v>49</v>
      </c>
      <c r="T182" s="483">
        <v>12</v>
      </c>
      <c r="U182" s="510" t="e">
        <f t="shared" si="19"/>
        <v>#VALUE!</v>
      </c>
      <c r="V182" s="510">
        <v>1</v>
      </c>
      <c r="W182" s="510">
        <v>0</v>
      </c>
      <c r="X182" s="510">
        <v>0</v>
      </c>
      <c r="Y182" s="483">
        <v>1</v>
      </c>
      <c r="Z182" s="483">
        <v>1</v>
      </c>
      <c r="AA182" s="1847" t="e">
        <f t="shared" si="20"/>
        <v>#VALUE!</v>
      </c>
      <c r="AB182" s="1847">
        <f t="shared" si="21"/>
        <v>0.24</v>
      </c>
      <c r="AC182" s="1847">
        <f t="shared" si="22"/>
        <v>0.66666666666666663</v>
      </c>
      <c r="AD182" s="1847" t="e">
        <f t="shared" si="23"/>
        <v>#VALUE!</v>
      </c>
      <c r="AE182" s="1847" t="e">
        <f t="shared" si="24"/>
        <v>#VALUE!</v>
      </c>
      <c r="AF182" s="1823" t="e">
        <f t="shared" si="25"/>
        <v>#VALUE!</v>
      </c>
      <c r="AG182" s="1769" t="e">
        <f t="shared" si="26"/>
        <v>#VALUE!</v>
      </c>
      <c r="AI182" t="s">
        <v>2524</v>
      </c>
    </row>
    <row r="183" spans="3:35" ht="24.95" customHeight="1">
      <c r="C183" s="491">
        <v>176</v>
      </c>
      <c r="D183" s="1847"/>
      <c r="E183" s="1847"/>
      <c r="F183" s="1847" t="s">
        <v>2526</v>
      </c>
      <c r="G183" s="1847" t="s">
        <v>2526</v>
      </c>
      <c r="H183" s="1847" t="s">
        <v>4540</v>
      </c>
      <c r="I183" s="1847" t="s">
        <v>2520</v>
      </c>
      <c r="J183" s="1847" t="s">
        <v>2780</v>
      </c>
      <c r="K183" s="1847" t="s">
        <v>3928</v>
      </c>
      <c r="L183" s="1847" t="s">
        <v>2797</v>
      </c>
      <c r="M183" s="1847" t="s">
        <v>4098</v>
      </c>
      <c r="N183" s="1847" t="s">
        <v>2521</v>
      </c>
      <c r="O183" s="1847"/>
      <c r="P183" s="1852">
        <v>85</v>
      </c>
      <c r="Q183" s="1852">
        <v>90</v>
      </c>
      <c r="R183" s="483" t="e">
        <f>IF(H183="","",SUMIFS('[1]1_group_totals'!$J$8:$J$10000,'[1]1_group_totals'!$C$8:$C$10000,C183))</f>
        <v>#VALUE!</v>
      </c>
      <c r="S183" s="483">
        <f t="shared" si="18"/>
        <v>51</v>
      </c>
      <c r="T183" s="483">
        <v>1000</v>
      </c>
      <c r="U183" s="510" t="e">
        <f t="shared" si="19"/>
        <v>#VALUE!</v>
      </c>
      <c r="V183" s="510">
        <v>1</v>
      </c>
      <c r="W183" s="510">
        <v>0</v>
      </c>
      <c r="X183" s="510">
        <v>0</v>
      </c>
      <c r="Y183" s="483">
        <v>1</v>
      </c>
      <c r="Z183" s="483">
        <v>1</v>
      </c>
      <c r="AA183" s="1847" t="e">
        <f t="shared" si="20"/>
        <v>#VALUE!</v>
      </c>
      <c r="AB183" s="1847">
        <f t="shared" si="21"/>
        <v>8.5000000000000006E-2</v>
      </c>
      <c r="AC183" s="1847">
        <f t="shared" si="22"/>
        <v>0.09</v>
      </c>
      <c r="AD183" s="1847" t="e">
        <f t="shared" si="23"/>
        <v>#VALUE!</v>
      </c>
      <c r="AE183" s="1847" t="e">
        <f t="shared" si="24"/>
        <v>#VALUE!</v>
      </c>
      <c r="AF183" s="1823" t="e">
        <f t="shared" si="25"/>
        <v>#VALUE!</v>
      </c>
      <c r="AG183" s="1769" t="e">
        <f t="shared" si="26"/>
        <v>#VALUE!</v>
      </c>
      <c r="AI183" t="s">
        <v>2526</v>
      </c>
    </row>
    <row r="184" spans="3:35" ht="24.95" customHeight="1">
      <c r="C184" s="491">
        <v>177</v>
      </c>
      <c r="D184" s="1847"/>
      <c r="E184" s="1847"/>
      <c r="F184" s="1847" t="s">
        <v>2528</v>
      </c>
      <c r="G184" s="1847" t="s">
        <v>2528</v>
      </c>
      <c r="H184" s="1847" t="s">
        <v>4541</v>
      </c>
      <c r="I184" s="1847" t="s">
        <v>2523</v>
      </c>
      <c r="J184" s="1847" t="s">
        <v>2780</v>
      </c>
      <c r="K184" s="1847" t="s">
        <v>3928</v>
      </c>
      <c r="L184" s="1847" t="s">
        <v>2797</v>
      </c>
      <c r="M184" s="1847" t="s">
        <v>4098</v>
      </c>
      <c r="N184" s="1847" t="s">
        <v>2521</v>
      </c>
      <c r="O184" s="1847"/>
      <c r="P184" s="1852">
        <v>83</v>
      </c>
      <c r="Q184" s="1852">
        <v>88</v>
      </c>
      <c r="R184" s="483" t="e">
        <f>IF(H184="","",SUMIFS('[1]1_group_totals'!$J$8:$J$10000,'[1]1_group_totals'!$C$8:$C$10000,C184))</f>
        <v>#VALUE!</v>
      </c>
      <c r="S184" s="483">
        <f t="shared" si="18"/>
        <v>51</v>
      </c>
      <c r="T184" s="483">
        <v>1000</v>
      </c>
      <c r="U184" s="510" t="e">
        <f t="shared" si="19"/>
        <v>#VALUE!</v>
      </c>
      <c r="V184" s="510">
        <v>1</v>
      </c>
      <c r="W184" s="510">
        <v>0</v>
      </c>
      <c r="X184" s="510">
        <v>0</v>
      </c>
      <c r="Y184" s="483">
        <v>1</v>
      </c>
      <c r="Z184" s="483">
        <v>1</v>
      </c>
      <c r="AA184" s="1847" t="e">
        <f t="shared" si="20"/>
        <v>#VALUE!</v>
      </c>
      <c r="AB184" s="1847">
        <f t="shared" si="21"/>
        <v>8.3000000000000004E-2</v>
      </c>
      <c r="AC184" s="1847">
        <f t="shared" si="22"/>
        <v>8.7999999999999995E-2</v>
      </c>
      <c r="AD184" s="1847" t="e">
        <f t="shared" si="23"/>
        <v>#VALUE!</v>
      </c>
      <c r="AE184" s="1847" t="e">
        <f t="shared" si="24"/>
        <v>#VALUE!</v>
      </c>
      <c r="AF184" s="1823" t="e">
        <f t="shared" si="25"/>
        <v>#VALUE!</v>
      </c>
      <c r="AG184" s="1769" t="e">
        <f t="shared" si="26"/>
        <v>#VALUE!</v>
      </c>
      <c r="AI184" t="s">
        <v>2528</v>
      </c>
    </row>
    <row r="185" spans="3:35" ht="24.95" customHeight="1">
      <c r="C185" s="491">
        <v>178</v>
      </c>
      <c r="D185" s="1847"/>
      <c r="E185" s="1847"/>
      <c r="F185" s="1847" t="s">
        <v>2530</v>
      </c>
      <c r="G185" s="1847" t="s">
        <v>2530</v>
      </c>
      <c r="H185" s="1847" t="s">
        <v>4542</v>
      </c>
      <c r="I185" s="1847" t="s">
        <v>2525</v>
      </c>
      <c r="J185" s="1847" t="s">
        <v>2780</v>
      </c>
      <c r="K185" s="1847" t="s">
        <v>3928</v>
      </c>
      <c r="L185" s="1847" t="s">
        <v>2797</v>
      </c>
      <c r="M185" s="1847" t="s">
        <v>4098</v>
      </c>
      <c r="N185" s="1847" t="s">
        <v>2521</v>
      </c>
      <c r="O185" s="1847"/>
      <c r="P185" s="1852">
        <v>95</v>
      </c>
      <c r="Q185" s="1852">
        <v>100</v>
      </c>
      <c r="R185" s="483" t="e">
        <f>IF(H185="","",SUMIFS('[1]1_group_totals'!$J$8:$J$10000,'[1]1_group_totals'!$C$8:$C$10000,C185))</f>
        <v>#VALUE!</v>
      </c>
      <c r="S185" s="483">
        <f t="shared" si="18"/>
        <v>51</v>
      </c>
      <c r="T185" s="483">
        <v>1000</v>
      </c>
      <c r="U185" s="510" t="e">
        <f t="shared" si="19"/>
        <v>#VALUE!</v>
      </c>
      <c r="V185" s="510">
        <v>1</v>
      </c>
      <c r="W185" s="510">
        <v>0</v>
      </c>
      <c r="X185" s="510">
        <v>0</v>
      </c>
      <c r="Y185" s="483">
        <v>1</v>
      </c>
      <c r="Z185" s="483">
        <v>1</v>
      </c>
      <c r="AA185" s="1847" t="e">
        <f t="shared" si="20"/>
        <v>#VALUE!</v>
      </c>
      <c r="AB185" s="1847">
        <f t="shared" si="21"/>
        <v>9.5000000000000001E-2</v>
      </c>
      <c r="AC185" s="1847">
        <f t="shared" si="22"/>
        <v>0.1</v>
      </c>
      <c r="AD185" s="1847" t="e">
        <f t="shared" si="23"/>
        <v>#VALUE!</v>
      </c>
      <c r="AE185" s="1847" t="e">
        <f t="shared" si="24"/>
        <v>#VALUE!</v>
      </c>
      <c r="AF185" s="1823" t="e">
        <f t="shared" si="25"/>
        <v>#VALUE!</v>
      </c>
      <c r="AG185" s="1769" t="e">
        <f t="shared" si="26"/>
        <v>#VALUE!</v>
      </c>
      <c r="AI185" t="s">
        <v>2530</v>
      </c>
    </row>
    <row r="186" spans="3:35" ht="24.95" customHeight="1">
      <c r="C186" s="491">
        <v>179</v>
      </c>
      <c r="D186" s="1847"/>
      <c r="E186" s="1847"/>
      <c r="F186" s="1847" t="s">
        <v>2532</v>
      </c>
      <c r="G186" s="1847" t="s">
        <v>2532</v>
      </c>
      <c r="H186" s="1847" t="s">
        <v>4543</v>
      </c>
      <c r="I186" s="1847" t="s">
        <v>2527</v>
      </c>
      <c r="J186" s="1847" t="s">
        <v>2780</v>
      </c>
      <c r="K186" s="1847" t="s">
        <v>3928</v>
      </c>
      <c r="L186" s="1847" t="s">
        <v>2797</v>
      </c>
      <c r="M186" s="1847" t="s">
        <v>4098</v>
      </c>
      <c r="N186" s="1847" t="s">
        <v>2521</v>
      </c>
      <c r="O186" s="1847"/>
      <c r="P186" s="1852">
        <v>95</v>
      </c>
      <c r="Q186" s="1852">
        <v>100</v>
      </c>
      <c r="R186" s="483" t="e">
        <f>IF(H186="","",SUMIFS('[1]1_group_totals'!$J$8:$J$10000,'[1]1_group_totals'!$C$8:$C$10000,C186))</f>
        <v>#VALUE!</v>
      </c>
      <c r="S186" s="483">
        <f t="shared" si="18"/>
        <v>51</v>
      </c>
      <c r="T186" s="483">
        <v>1000</v>
      </c>
      <c r="U186" s="510" t="e">
        <f t="shared" si="19"/>
        <v>#VALUE!</v>
      </c>
      <c r="V186" s="510">
        <v>1</v>
      </c>
      <c r="W186" s="510">
        <v>0</v>
      </c>
      <c r="X186" s="510">
        <v>0</v>
      </c>
      <c r="Y186" s="483">
        <v>1</v>
      </c>
      <c r="Z186" s="483">
        <v>1</v>
      </c>
      <c r="AA186" s="1847" t="e">
        <f t="shared" si="20"/>
        <v>#VALUE!</v>
      </c>
      <c r="AB186" s="1847">
        <f t="shared" si="21"/>
        <v>9.5000000000000001E-2</v>
      </c>
      <c r="AC186" s="1847">
        <f t="shared" si="22"/>
        <v>0.1</v>
      </c>
      <c r="AD186" s="1847" t="e">
        <f t="shared" si="23"/>
        <v>#VALUE!</v>
      </c>
      <c r="AE186" s="1847" t="e">
        <f t="shared" si="24"/>
        <v>#VALUE!</v>
      </c>
      <c r="AF186" s="1823" t="e">
        <f t="shared" si="25"/>
        <v>#VALUE!</v>
      </c>
      <c r="AG186" s="1769" t="e">
        <f t="shared" si="26"/>
        <v>#VALUE!</v>
      </c>
      <c r="AI186" t="s">
        <v>2532</v>
      </c>
    </row>
    <row r="187" spans="3:35" ht="24.95" customHeight="1">
      <c r="C187" s="491">
        <v>180</v>
      </c>
      <c r="D187" s="1847"/>
      <c r="E187" s="1847"/>
      <c r="F187" s="1847" t="s">
        <v>2534</v>
      </c>
      <c r="G187" s="1847" t="s">
        <v>2534</v>
      </c>
      <c r="H187" s="1847" t="s">
        <v>2529</v>
      </c>
      <c r="I187" s="1847" t="s">
        <v>2529</v>
      </c>
      <c r="J187" s="1847" t="s">
        <v>2781</v>
      </c>
      <c r="K187" s="1847" t="s">
        <v>3924</v>
      </c>
      <c r="L187" s="1847" t="s">
        <v>2797</v>
      </c>
      <c r="M187" s="1847" t="s">
        <v>4099</v>
      </c>
      <c r="N187" s="1847" t="s">
        <v>2521</v>
      </c>
      <c r="O187" s="1847"/>
      <c r="P187" s="1852">
        <v>0.5</v>
      </c>
      <c r="Q187" s="1852">
        <v>1</v>
      </c>
      <c r="R187" s="483" t="e">
        <f>IF(H187="","",SUMIFS('[1]1_group_totals'!$J$8:$J$10000,'[1]1_group_totals'!$C$8:$C$10000,C187))</f>
        <v>#VALUE!</v>
      </c>
      <c r="S187" s="483">
        <f t="shared" si="18"/>
        <v>54</v>
      </c>
      <c r="T187" s="483">
        <v>12</v>
      </c>
      <c r="U187" s="510" t="e">
        <f t="shared" si="19"/>
        <v>#VALUE!</v>
      </c>
      <c r="V187" s="510">
        <v>1</v>
      </c>
      <c r="W187" s="510">
        <v>0</v>
      </c>
      <c r="X187" s="510">
        <v>0</v>
      </c>
      <c r="Y187" s="483">
        <v>1</v>
      </c>
      <c r="Z187" s="483">
        <v>1</v>
      </c>
      <c r="AA187" s="1847" t="e">
        <f t="shared" si="20"/>
        <v>#VALUE!</v>
      </c>
      <c r="AB187" s="1847">
        <f t="shared" si="21"/>
        <v>4.1666666666666664E-2</v>
      </c>
      <c r="AC187" s="1847">
        <f t="shared" si="22"/>
        <v>8.3333333333333329E-2</v>
      </c>
      <c r="AD187" s="1847" t="e">
        <f t="shared" si="23"/>
        <v>#VALUE!</v>
      </c>
      <c r="AE187" s="1847" t="e">
        <f t="shared" si="24"/>
        <v>#VALUE!</v>
      </c>
      <c r="AF187" s="1823" t="e">
        <f t="shared" si="25"/>
        <v>#VALUE!</v>
      </c>
      <c r="AG187" s="1769" t="e">
        <f t="shared" si="26"/>
        <v>#VALUE!</v>
      </c>
      <c r="AI187" t="s">
        <v>2534</v>
      </c>
    </row>
    <row r="188" spans="3:35" ht="24.95" customHeight="1">
      <c r="C188" s="491">
        <v>181</v>
      </c>
      <c r="D188" s="1847"/>
      <c r="E188" s="1847"/>
      <c r="F188" s="1847" t="s">
        <v>2536</v>
      </c>
      <c r="G188" s="1847" t="s">
        <v>2536</v>
      </c>
      <c r="H188" s="1847" t="s">
        <v>2531</v>
      </c>
      <c r="I188" s="1847" t="s">
        <v>2531</v>
      </c>
      <c r="J188" s="1847" t="s">
        <v>2781</v>
      </c>
      <c r="K188" s="1847" t="s">
        <v>3924</v>
      </c>
      <c r="L188" s="1847" t="s">
        <v>2797</v>
      </c>
      <c r="M188" s="1847" t="s">
        <v>4099</v>
      </c>
      <c r="N188" s="1847" t="s">
        <v>2521</v>
      </c>
      <c r="O188" s="1847"/>
      <c r="P188" s="1852">
        <v>1</v>
      </c>
      <c r="Q188" s="1852">
        <v>1.5</v>
      </c>
      <c r="R188" s="483" t="e">
        <f>IF(H188="","",SUMIFS('[1]1_group_totals'!$J$8:$J$10000,'[1]1_group_totals'!$C$8:$C$10000,C188))</f>
        <v>#VALUE!</v>
      </c>
      <c r="S188" s="483">
        <f t="shared" si="18"/>
        <v>54</v>
      </c>
      <c r="T188" s="483">
        <v>12</v>
      </c>
      <c r="U188" s="510" t="e">
        <f t="shared" si="19"/>
        <v>#VALUE!</v>
      </c>
      <c r="V188" s="510">
        <v>1</v>
      </c>
      <c r="W188" s="510">
        <v>0</v>
      </c>
      <c r="X188" s="510">
        <v>0</v>
      </c>
      <c r="Y188" s="483">
        <v>1</v>
      </c>
      <c r="Z188" s="483">
        <v>1</v>
      </c>
      <c r="AA188" s="1847" t="e">
        <f t="shared" si="20"/>
        <v>#VALUE!</v>
      </c>
      <c r="AB188" s="1847">
        <f t="shared" si="21"/>
        <v>8.3333333333333329E-2</v>
      </c>
      <c r="AC188" s="1847">
        <f t="shared" si="22"/>
        <v>0.125</v>
      </c>
      <c r="AD188" s="1847" t="e">
        <f t="shared" si="23"/>
        <v>#VALUE!</v>
      </c>
      <c r="AE188" s="1847" t="e">
        <f t="shared" si="24"/>
        <v>#VALUE!</v>
      </c>
      <c r="AF188" s="1823" t="e">
        <f t="shared" si="25"/>
        <v>#VALUE!</v>
      </c>
      <c r="AG188" s="1769" t="e">
        <f t="shared" si="26"/>
        <v>#VALUE!</v>
      </c>
      <c r="AI188" t="s">
        <v>2536</v>
      </c>
    </row>
    <row r="189" spans="3:35" ht="24.95" customHeight="1">
      <c r="C189" s="491">
        <v>182</v>
      </c>
      <c r="D189" s="1847"/>
      <c r="E189" s="1847"/>
      <c r="F189" s="1847" t="s">
        <v>2538</v>
      </c>
      <c r="G189" s="1847" t="s">
        <v>2538</v>
      </c>
      <c r="H189" s="1847" t="s">
        <v>2533</v>
      </c>
      <c r="I189" s="1847" t="s">
        <v>2533</v>
      </c>
      <c r="J189" s="1847" t="s">
        <v>2781</v>
      </c>
      <c r="K189" s="1847" t="s">
        <v>3924</v>
      </c>
      <c r="L189" s="1847" t="s">
        <v>2797</v>
      </c>
      <c r="M189" s="1847" t="s">
        <v>4099</v>
      </c>
      <c r="N189" s="1847" t="s">
        <v>2521</v>
      </c>
      <c r="O189" s="1847"/>
      <c r="P189" s="1852">
        <v>2</v>
      </c>
      <c r="Q189" s="1852">
        <v>2.5</v>
      </c>
      <c r="R189" s="483" t="e">
        <f>IF(H189="","",SUMIFS('[1]1_group_totals'!$J$8:$J$10000,'[1]1_group_totals'!$C$8:$C$10000,C189))</f>
        <v>#VALUE!</v>
      </c>
      <c r="S189" s="483">
        <f t="shared" si="18"/>
        <v>54</v>
      </c>
      <c r="T189" s="483">
        <v>12</v>
      </c>
      <c r="U189" s="510" t="e">
        <f t="shared" si="19"/>
        <v>#VALUE!</v>
      </c>
      <c r="V189" s="510">
        <v>1</v>
      </c>
      <c r="W189" s="510">
        <v>0</v>
      </c>
      <c r="X189" s="510">
        <v>0</v>
      </c>
      <c r="Y189" s="483">
        <v>1</v>
      </c>
      <c r="Z189" s="483">
        <v>1</v>
      </c>
      <c r="AA189" s="1847" t="e">
        <f t="shared" si="20"/>
        <v>#VALUE!</v>
      </c>
      <c r="AB189" s="1847">
        <f t="shared" si="21"/>
        <v>0.16666666666666666</v>
      </c>
      <c r="AC189" s="1847">
        <f t="shared" si="22"/>
        <v>0.20833333333333334</v>
      </c>
      <c r="AD189" s="1847" t="e">
        <f t="shared" si="23"/>
        <v>#VALUE!</v>
      </c>
      <c r="AE189" s="1847" t="e">
        <f t="shared" si="24"/>
        <v>#VALUE!</v>
      </c>
      <c r="AF189" s="1823" t="e">
        <f t="shared" si="25"/>
        <v>#VALUE!</v>
      </c>
      <c r="AG189" s="1769" t="e">
        <f t="shared" si="26"/>
        <v>#VALUE!</v>
      </c>
      <c r="AI189" t="s">
        <v>2538</v>
      </c>
    </row>
    <row r="190" spans="3:35" ht="24.95" customHeight="1">
      <c r="C190" s="491">
        <v>183</v>
      </c>
      <c r="D190" s="1847"/>
      <c r="E190" s="1847"/>
      <c r="F190" s="1847" t="s">
        <v>2540</v>
      </c>
      <c r="G190" s="1847" t="s">
        <v>2540</v>
      </c>
      <c r="H190" s="1847" t="s">
        <v>2535</v>
      </c>
      <c r="I190" s="1847" t="s">
        <v>2535</v>
      </c>
      <c r="J190" s="1847" t="s">
        <v>2781</v>
      </c>
      <c r="K190" s="1847" t="s">
        <v>3924</v>
      </c>
      <c r="L190" s="1847" t="s">
        <v>2797</v>
      </c>
      <c r="M190" s="1847" t="s">
        <v>4099</v>
      </c>
      <c r="N190" s="1847" t="s">
        <v>2521</v>
      </c>
      <c r="O190" s="1847"/>
      <c r="P190" s="1852">
        <v>4</v>
      </c>
      <c r="Q190" s="1852">
        <v>4.5</v>
      </c>
      <c r="R190" s="483" t="e">
        <f>IF(H190="","",SUMIFS('[1]1_group_totals'!$J$8:$J$10000,'[1]1_group_totals'!$C$8:$C$10000,C190))</f>
        <v>#VALUE!</v>
      </c>
      <c r="S190" s="483">
        <f t="shared" si="18"/>
        <v>54</v>
      </c>
      <c r="T190" s="483">
        <v>12</v>
      </c>
      <c r="U190" s="510" t="e">
        <f t="shared" si="19"/>
        <v>#VALUE!</v>
      </c>
      <c r="V190" s="510">
        <v>1</v>
      </c>
      <c r="W190" s="510">
        <v>0</v>
      </c>
      <c r="X190" s="510">
        <v>0</v>
      </c>
      <c r="Y190" s="483">
        <v>1</v>
      </c>
      <c r="Z190" s="483">
        <v>1</v>
      </c>
      <c r="AA190" s="1847" t="e">
        <f t="shared" si="20"/>
        <v>#VALUE!</v>
      </c>
      <c r="AB190" s="1847">
        <f t="shared" si="21"/>
        <v>0.33333333333333331</v>
      </c>
      <c r="AC190" s="1847">
        <f t="shared" si="22"/>
        <v>0.375</v>
      </c>
      <c r="AD190" s="1847" t="e">
        <f t="shared" si="23"/>
        <v>#VALUE!</v>
      </c>
      <c r="AE190" s="1847" t="e">
        <f t="shared" si="24"/>
        <v>#VALUE!</v>
      </c>
      <c r="AF190" s="1823" t="e">
        <f t="shared" si="25"/>
        <v>#VALUE!</v>
      </c>
      <c r="AG190" s="1769" t="e">
        <f t="shared" si="26"/>
        <v>#VALUE!</v>
      </c>
      <c r="AI190" t="s">
        <v>2540</v>
      </c>
    </row>
    <row r="191" spans="3:35" ht="24.95" customHeight="1">
      <c r="C191" s="491">
        <v>184</v>
      </c>
      <c r="D191" s="1847"/>
      <c r="E191" s="1847"/>
      <c r="F191" s="1847" t="s">
        <v>2542</v>
      </c>
      <c r="G191" s="1847" t="s">
        <v>2542</v>
      </c>
      <c r="H191" s="1847" t="s">
        <v>2537</v>
      </c>
      <c r="I191" s="1847" t="s">
        <v>2537</v>
      </c>
      <c r="J191" s="1847" t="s">
        <v>2781</v>
      </c>
      <c r="K191" s="1847" t="s">
        <v>3924</v>
      </c>
      <c r="L191" s="1847" t="s">
        <v>2797</v>
      </c>
      <c r="M191" s="1847" t="s">
        <v>4099</v>
      </c>
      <c r="N191" s="1847" t="s">
        <v>2521</v>
      </c>
      <c r="O191" s="1847"/>
      <c r="P191" s="1852">
        <v>6</v>
      </c>
      <c r="Q191" s="1852">
        <v>6.5</v>
      </c>
      <c r="R191" s="483" t="e">
        <f>IF(H191="","",SUMIFS('[1]1_group_totals'!$J$8:$J$10000,'[1]1_group_totals'!$C$8:$C$10000,C191))</f>
        <v>#VALUE!</v>
      </c>
      <c r="S191" s="483">
        <f t="shared" si="18"/>
        <v>54</v>
      </c>
      <c r="T191" s="483">
        <v>12</v>
      </c>
      <c r="U191" s="510" t="e">
        <f t="shared" si="19"/>
        <v>#VALUE!</v>
      </c>
      <c r="V191" s="510">
        <v>1</v>
      </c>
      <c r="W191" s="510">
        <v>0</v>
      </c>
      <c r="X191" s="510">
        <v>0</v>
      </c>
      <c r="Y191" s="483">
        <v>1</v>
      </c>
      <c r="Z191" s="483">
        <v>1</v>
      </c>
      <c r="AA191" s="1847" t="e">
        <f t="shared" si="20"/>
        <v>#VALUE!</v>
      </c>
      <c r="AB191" s="1847">
        <f t="shared" si="21"/>
        <v>0.5</v>
      </c>
      <c r="AC191" s="1847">
        <f t="shared" si="22"/>
        <v>0.54166666666666663</v>
      </c>
      <c r="AD191" s="1847" t="e">
        <f t="shared" si="23"/>
        <v>#VALUE!</v>
      </c>
      <c r="AE191" s="1847" t="e">
        <f t="shared" si="24"/>
        <v>#VALUE!</v>
      </c>
      <c r="AF191" s="1823" t="e">
        <f t="shared" si="25"/>
        <v>#VALUE!</v>
      </c>
      <c r="AG191" s="1769" t="e">
        <f t="shared" si="26"/>
        <v>#VALUE!</v>
      </c>
      <c r="AI191" t="s">
        <v>2542</v>
      </c>
    </row>
    <row r="192" spans="3:35" ht="24.95" customHeight="1">
      <c r="C192" s="491">
        <v>185</v>
      </c>
      <c r="D192" s="1847"/>
      <c r="E192" s="1847"/>
      <c r="F192" s="1847" t="s">
        <v>2544</v>
      </c>
      <c r="G192" s="1847" t="s">
        <v>2544</v>
      </c>
      <c r="H192" s="1847" t="s">
        <v>2539</v>
      </c>
      <c r="I192" s="1847" t="s">
        <v>2539</v>
      </c>
      <c r="J192" s="1847" t="s">
        <v>2781</v>
      </c>
      <c r="K192" s="1847" t="s">
        <v>3924</v>
      </c>
      <c r="L192" s="1847" t="s">
        <v>2797</v>
      </c>
      <c r="M192" s="1847" t="s">
        <v>4099</v>
      </c>
      <c r="N192" s="1847" t="s">
        <v>2521</v>
      </c>
      <c r="O192" s="1847"/>
      <c r="P192" s="1852">
        <v>8</v>
      </c>
      <c r="Q192" s="1852">
        <v>8.5</v>
      </c>
      <c r="R192" s="483" t="e">
        <f>IF(H192="","",SUMIFS('[1]1_group_totals'!$J$8:$J$10000,'[1]1_group_totals'!$C$8:$C$10000,C192))</f>
        <v>#VALUE!</v>
      </c>
      <c r="S192" s="483">
        <f t="shared" si="18"/>
        <v>54</v>
      </c>
      <c r="T192" s="483">
        <v>12</v>
      </c>
      <c r="U192" s="510" t="e">
        <f t="shared" si="19"/>
        <v>#VALUE!</v>
      </c>
      <c r="V192" s="510">
        <v>1</v>
      </c>
      <c r="W192" s="510">
        <v>0</v>
      </c>
      <c r="X192" s="510">
        <v>0</v>
      </c>
      <c r="Y192" s="483">
        <v>1</v>
      </c>
      <c r="Z192" s="483">
        <v>1</v>
      </c>
      <c r="AA192" s="1847" t="e">
        <f t="shared" si="20"/>
        <v>#VALUE!</v>
      </c>
      <c r="AB192" s="1847">
        <f t="shared" si="21"/>
        <v>0.66666666666666663</v>
      </c>
      <c r="AC192" s="1847">
        <f t="shared" si="22"/>
        <v>0.70833333333333337</v>
      </c>
      <c r="AD192" s="1847" t="e">
        <f t="shared" si="23"/>
        <v>#VALUE!</v>
      </c>
      <c r="AE192" s="1847" t="e">
        <f t="shared" si="24"/>
        <v>#VALUE!</v>
      </c>
      <c r="AF192" s="1823" t="e">
        <f t="shared" si="25"/>
        <v>#VALUE!</v>
      </c>
      <c r="AG192" s="1769" t="e">
        <f t="shared" si="26"/>
        <v>#VALUE!</v>
      </c>
      <c r="AI192" t="s">
        <v>2544</v>
      </c>
    </row>
    <row r="193" spans="3:35" ht="24.95" customHeight="1">
      <c r="C193" s="491">
        <v>186</v>
      </c>
      <c r="D193" s="1847"/>
      <c r="E193" s="1847"/>
      <c r="F193" s="1847" t="s">
        <v>2546</v>
      </c>
      <c r="G193" s="1847" t="s">
        <v>2546</v>
      </c>
      <c r="H193" s="1847" t="s">
        <v>2541</v>
      </c>
      <c r="I193" s="1847" t="s">
        <v>2541</v>
      </c>
      <c r="J193" s="1847" t="s">
        <v>2781</v>
      </c>
      <c r="K193" s="1847" t="s">
        <v>3924</v>
      </c>
      <c r="L193" s="1847" t="s">
        <v>2797</v>
      </c>
      <c r="M193" s="1847" t="s">
        <v>4099</v>
      </c>
      <c r="N193" s="1847" t="s">
        <v>2521</v>
      </c>
      <c r="O193" s="1847"/>
      <c r="P193" s="1852">
        <v>12</v>
      </c>
      <c r="Q193" s="1852">
        <v>12.5</v>
      </c>
      <c r="R193" s="483" t="e">
        <f>IF(H193="","",SUMIFS('[1]1_group_totals'!$J$8:$J$10000,'[1]1_group_totals'!$C$8:$C$10000,C193))</f>
        <v>#VALUE!</v>
      </c>
      <c r="S193" s="483">
        <f t="shared" si="18"/>
        <v>54</v>
      </c>
      <c r="T193" s="483">
        <v>12</v>
      </c>
      <c r="U193" s="510" t="e">
        <f t="shared" si="19"/>
        <v>#VALUE!</v>
      </c>
      <c r="V193" s="510">
        <v>1</v>
      </c>
      <c r="W193" s="510">
        <v>0</v>
      </c>
      <c r="X193" s="510">
        <v>0</v>
      </c>
      <c r="Y193" s="483">
        <v>1</v>
      </c>
      <c r="Z193" s="483">
        <v>1</v>
      </c>
      <c r="AA193" s="1847" t="e">
        <f t="shared" si="20"/>
        <v>#VALUE!</v>
      </c>
      <c r="AB193" s="1847">
        <f t="shared" si="21"/>
        <v>1</v>
      </c>
      <c r="AC193" s="1847">
        <f t="shared" si="22"/>
        <v>1.0416666666666667</v>
      </c>
      <c r="AD193" s="1847" t="e">
        <f t="shared" si="23"/>
        <v>#VALUE!</v>
      </c>
      <c r="AE193" s="1847" t="e">
        <f t="shared" si="24"/>
        <v>#VALUE!</v>
      </c>
      <c r="AF193" s="1823" t="e">
        <f t="shared" si="25"/>
        <v>#VALUE!</v>
      </c>
      <c r="AG193" s="1769" t="e">
        <f t="shared" si="26"/>
        <v>#VALUE!</v>
      </c>
      <c r="AI193" t="s">
        <v>2546</v>
      </c>
    </row>
    <row r="194" spans="3:35" ht="24.95" customHeight="1">
      <c r="C194" s="491">
        <v>187</v>
      </c>
      <c r="D194" s="1847"/>
      <c r="E194" s="1847"/>
      <c r="F194" s="1847" t="s">
        <v>2548</v>
      </c>
      <c r="G194" s="1847" t="s">
        <v>2548</v>
      </c>
      <c r="H194" s="1847" t="s">
        <v>2543</v>
      </c>
      <c r="I194" s="1847" t="s">
        <v>2543</v>
      </c>
      <c r="J194" s="1847" t="s">
        <v>2782</v>
      </c>
      <c r="K194" s="1847" t="s">
        <v>3924</v>
      </c>
      <c r="L194" s="1847" t="s">
        <v>2797</v>
      </c>
      <c r="M194" s="1847" t="s">
        <v>4100</v>
      </c>
      <c r="N194" s="1847" t="s">
        <v>2521</v>
      </c>
      <c r="O194" s="1847"/>
      <c r="P194" s="1852">
        <v>3.37</v>
      </c>
      <c r="Q194" s="1852">
        <v>3.65</v>
      </c>
      <c r="R194" s="483" t="e">
        <f>IF(H194="","",SUMIFS('[1]1_group_totals'!$J$8:$J$10000,'[1]1_group_totals'!$C$8:$C$10000,C194))</f>
        <v>#VALUE!</v>
      </c>
      <c r="S194" s="483">
        <f t="shared" si="18"/>
        <v>53</v>
      </c>
      <c r="T194" s="483">
        <v>4</v>
      </c>
      <c r="U194" s="510" t="e">
        <f t="shared" si="19"/>
        <v>#VALUE!</v>
      </c>
      <c r="V194" s="510">
        <v>1</v>
      </c>
      <c r="W194" s="510">
        <v>0</v>
      </c>
      <c r="X194" s="510">
        <v>0</v>
      </c>
      <c r="Y194" s="483">
        <v>1</v>
      </c>
      <c r="Z194" s="483">
        <v>1</v>
      </c>
      <c r="AA194" s="1847" t="e">
        <f t="shared" si="20"/>
        <v>#VALUE!</v>
      </c>
      <c r="AB194" s="1847">
        <f t="shared" si="21"/>
        <v>0.84250000000000003</v>
      </c>
      <c r="AC194" s="1847">
        <f t="shared" si="22"/>
        <v>0.91249999999999998</v>
      </c>
      <c r="AD194" s="1847" t="e">
        <f t="shared" si="23"/>
        <v>#VALUE!</v>
      </c>
      <c r="AE194" s="1847" t="e">
        <f t="shared" si="24"/>
        <v>#VALUE!</v>
      </c>
      <c r="AF194" s="1823" t="e">
        <f t="shared" si="25"/>
        <v>#VALUE!</v>
      </c>
      <c r="AG194" s="1769" t="e">
        <f t="shared" si="26"/>
        <v>#VALUE!</v>
      </c>
      <c r="AI194" t="s">
        <v>2548</v>
      </c>
    </row>
    <row r="195" spans="3:35" ht="24.95" customHeight="1">
      <c r="C195" s="491">
        <v>188</v>
      </c>
      <c r="D195" s="1847"/>
      <c r="E195" s="1847"/>
      <c r="F195" s="1847" t="s">
        <v>2550</v>
      </c>
      <c r="G195" s="1847" t="s">
        <v>2550</v>
      </c>
      <c r="H195" s="1847" t="s">
        <v>2545</v>
      </c>
      <c r="I195" s="1847" t="s">
        <v>2545</v>
      </c>
      <c r="J195" s="1847" t="s">
        <v>2782</v>
      </c>
      <c r="K195" s="1847" t="s">
        <v>3924</v>
      </c>
      <c r="L195" s="1847" t="s">
        <v>2797</v>
      </c>
      <c r="M195" s="1847" t="s">
        <v>4100</v>
      </c>
      <c r="N195" s="1847" t="s">
        <v>2521</v>
      </c>
      <c r="O195" s="1847"/>
      <c r="P195" s="1852">
        <v>3.9</v>
      </c>
      <c r="Q195" s="1852">
        <v>4.4000000000000004</v>
      </c>
      <c r="R195" s="483" t="e">
        <f>IF(H195="","",SUMIFS('[1]1_group_totals'!$J$8:$J$10000,'[1]1_group_totals'!$C$8:$C$10000,C195))</f>
        <v>#VALUE!</v>
      </c>
      <c r="S195" s="483">
        <f t="shared" si="18"/>
        <v>53</v>
      </c>
      <c r="T195" s="483">
        <v>4</v>
      </c>
      <c r="U195" s="510" t="e">
        <f t="shared" si="19"/>
        <v>#VALUE!</v>
      </c>
      <c r="V195" s="510">
        <v>1</v>
      </c>
      <c r="W195" s="510">
        <v>0</v>
      </c>
      <c r="X195" s="510">
        <v>0</v>
      </c>
      <c r="Y195" s="483">
        <v>1</v>
      </c>
      <c r="Z195" s="483">
        <v>1</v>
      </c>
      <c r="AA195" s="1847" t="e">
        <f t="shared" si="20"/>
        <v>#VALUE!</v>
      </c>
      <c r="AB195" s="1847">
        <f t="shared" si="21"/>
        <v>0.97499999999999998</v>
      </c>
      <c r="AC195" s="1847">
        <f t="shared" si="22"/>
        <v>1.1000000000000001</v>
      </c>
      <c r="AD195" s="1847" t="e">
        <f t="shared" si="23"/>
        <v>#VALUE!</v>
      </c>
      <c r="AE195" s="1847" t="e">
        <f t="shared" si="24"/>
        <v>#VALUE!</v>
      </c>
      <c r="AF195" s="1823" t="e">
        <f t="shared" si="25"/>
        <v>#VALUE!</v>
      </c>
      <c r="AG195" s="1769" t="e">
        <f t="shared" si="26"/>
        <v>#VALUE!</v>
      </c>
      <c r="AI195" t="s">
        <v>2550</v>
      </c>
    </row>
    <row r="196" spans="3:35" ht="24.95" customHeight="1">
      <c r="C196" s="491">
        <v>189</v>
      </c>
      <c r="D196" s="1847"/>
      <c r="E196" s="1847"/>
      <c r="F196" s="1847" t="s">
        <v>2552</v>
      </c>
      <c r="G196" s="1847" t="s">
        <v>2552</v>
      </c>
      <c r="H196" s="1847" t="s">
        <v>2547</v>
      </c>
      <c r="I196" s="1847" t="s">
        <v>2547</v>
      </c>
      <c r="J196" s="1847" t="s">
        <v>2782</v>
      </c>
      <c r="K196" s="1847" t="s">
        <v>3924</v>
      </c>
      <c r="L196" s="1847" t="s">
        <v>2797</v>
      </c>
      <c r="M196" s="1847" t="s">
        <v>4100</v>
      </c>
      <c r="N196" s="1847" t="s">
        <v>2521</v>
      </c>
      <c r="O196" s="1847"/>
      <c r="P196" s="1852">
        <v>4.09</v>
      </c>
      <c r="Q196" s="1852">
        <v>4.59</v>
      </c>
      <c r="R196" s="483" t="e">
        <f>IF(H196="","",SUMIFS('[1]1_group_totals'!$J$8:$J$10000,'[1]1_group_totals'!$C$8:$C$10000,C196))</f>
        <v>#VALUE!</v>
      </c>
      <c r="S196" s="483">
        <f t="shared" si="18"/>
        <v>53</v>
      </c>
      <c r="T196" s="483">
        <v>4</v>
      </c>
      <c r="U196" s="510" t="e">
        <f t="shared" si="19"/>
        <v>#VALUE!</v>
      </c>
      <c r="V196" s="510">
        <v>1</v>
      </c>
      <c r="W196" s="510">
        <v>0</v>
      </c>
      <c r="X196" s="510">
        <v>0</v>
      </c>
      <c r="Y196" s="483">
        <v>1</v>
      </c>
      <c r="Z196" s="483">
        <v>1</v>
      </c>
      <c r="AA196" s="1847" t="e">
        <f t="shared" si="20"/>
        <v>#VALUE!</v>
      </c>
      <c r="AB196" s="1847">
        <f t="shared" si="21"/>
        <v>1.0225</v>
      </c>
      <c r="AC196" s="1847">
        <f t="shared" si="22"/>
        <v>1.1475</v>
      </c>
      <c r="AD196" s="1847" t="e">
        <f t="shared" si="23"/>
        <v>#VALUE!</v>
      </c>
      <c r="AE196" s="1847" t="e">
        <f t="shared" si="24"/>
        <v>#VALUE!</v>
      </c>
      <c r="AF196" s="1823" t="e">
        <f t="shared" si="25"/>
        <v>#VALUE!</v>
      </c>
      <c r="AG196" s="1769" t="e">
        <f t="shared" si="26"/>
        <v>#VALUE!</v>
      </c>
      <c r="AI196" t="s">
        <v>2552</v>
      </c>
    </row>
    <row r="197" spans="3:35" ht="24.95" customHeight="1">
      <c r="C197" s="491">
        <v>190</v>
      </c>
      <c r="D197" s="1847"/>
      <c r="E197" s="1847"/>
      <c r="F197" s="1847" t="s">
        <v>2554</v>
      </c>
      <c r="G197" s="1847" t="s">
        <v>2554</v>
      </c>
      <c r="H197" s="1847" t="s">
        <v>2549</v>
      </c>
      <c r="I197" s="1847" t="s">
        <v>2549</v>
      </c>
      <c r="J197" s="1847" t="s">
        <v>2782</v>
      </c>
      <c r="K197" s="1847" t="s">
        <v>3924</v>
      </c>
      <c r="L197" s="1847" t="s">
        <v>2797</v>
      </c>
      <c r="M197" s="1847" t="s">
        <v>4100</v>
      </c>
      <c r="N197" s="1847" t="s">
        <v>2521</v>
      </c>
      <c r="O197" s="1847"/>
      <c r="P197" s="1852">
        <v>4.7300000000000004</v>
      </c>
      <c r="Q197" s="1852">
        <v>5.2</v>
      </c>
      <c r="R197" s="483" t="e">
        <f>IF(H197="","",SUMIFS('[1]1_group_totals'!$J$8:$J$10000,'[1]1_group_totals'!$C$8:$C$10000,C197))</f>
        <v>#VALUE!</v>
      </c>
      <c r="S197" s="483">
        <f t="shared" si="18"/>
        <v>53</v>
      </c>
      <c r="T197" s="483">
        <v>4</v>
      </c>
      <c r="U197" s="510" t="e">
        <f t="shared" si="19"/>
        <v>#VALUE!</v>
      </c>
      <c r="V197" s="510">
        <v>1</v>
      </c>
      <c r="W197" s="510">
        <v>0</v>
      </c>
      <c r="X197" s="510">
        <v>0</v>
      </c>
      <c r="Y197" s="483">
        <v>1</v>
      </c>
      <c r="Z197" s="483">
        <v>1</v>
      </c>
      <c r="AA197" s="1847" t="e">
        <f t="shared" si="20"/>
        <v>#VALUE!</v>
      </c>
      <c r="AB197" s="1847">
        <f t="shared" si="21"/>
        <v>1.1825000000000001</v>
      </c>
      <c r="AC197" s="1847">
        <f t="shared" si="22"/>
        <v>1.3</v>
      </c>
      <c r="AD197" s="1847" t="e">
        <f t="shared" si="23"/>
        <v>#VALUE!</v>
      </c>
      <c r="AE197" s="1847" t="e">
        <f t="shared" si="24"/>
        <v>#VALUE!</v>
      </c>
      <c r="AF197" s="1823" t="e">
        <f t="shared" si="25"/>
        <v>#VALUE!</v>
      </c>
      <c r="AG197" s="1769" t="e">
        <f t="shared" si="26"/>
        <v>#VALUE!</v>
      </c>
      <c r="AI197" t="s">
        <v>2554</v>
      </c>
    </row>
    <row r="198" spans="3:35" ht="24.95" customHeight="1">
      <c r="C198" s="491">
        <v>191</v>
      </c>
      <c r="D198" s="1847"/>
      <c r="E198" s="1847"/>
      <c r="F198" s="1847" t="s">
        <v>2556</v>
      </c>
      <c r="G198" s="1847" t="s">
        <v>2556</v>
      </c>
      <c r="H198" s="1847" t="s">
        <v>2551</v>
      </c>
      <c r="I198" s="1847" t="s">
        <v>2551</v>
      </c>
      <c r="J198" s="1847" t="s">
        <v>2782</v>
      </c>
      <c r="K198" s="1847" t="s">
        <v>3924</v>
      </c>
      <c r="L198" s="1847" t="s">
        <v>2797</v>
      </c>
      <c r="M198" s="1847" t="s">
        <v>4100</v>
      </c>
      <c r="N198" s="1847" t="s">
        <v>2521</v>
      </c>
      <c r="O198" s="1847"/>
      <c r="P198" s="1852">
        <v>4.92</v>
      </c>
      <c r="Q198" s="1852">
        <v>5.4</v>
      </c>
      <c r="R198" s="483" t="e">
        <f>IF(H198="","",SUMIFS('[1]1_group_totals'!$J$8:$J$10000,'[1]1_group_totals'!$C$8:$C$10000,C198))</f>
        <v>#VALUE!</v>
      </c>
      <c r="S198" s="483">
        <f t="shared" si="18"/>
        <v>53</v>
      </c>
      <c r="T198" s="483">
        <v>4</v>
      </c>
      <c r="U198" s="510" t="e">
        <f t="shared" si="19"/>
        <v>#VALUE!</v>
      </c>
      <c r="V198" s="510">
        <v>1</v>
      </c>
      <c r="W198" s="510">
        <v>0</v>
      </c>
      <c r="X198" s="510">
        <v>0</v>
      </c>
      <c r="Y198" s="483">
        <v>1</v>
      </c>
      <c r="Z198" s="483">
        <v>1</v>
      </c>
      <c r="AA198" s="1847" t="e">
        <f t="shared" si="20"/>
        <v>#VALUE!</v>
      </c>
      <c r="AB198" s="1847">
        <f t="shared" si="21"/>
        <v>1.23</v>
      </c>
      <c r="AC198" s="1847">
        <f t="shared" si="22"/>
        <v>1.35</v>
      </c>
      <c r="AD198" s="1847" t="e">
        <f t="shared" si="23"/>
        <v>#VALUE!</v>
      </c>
      <c r="AE198" s="1847" t="e">
        <f t="shared" si="24"/>
        <v>#VALUE!</v>
      </c>
      <c r="AF198" s="1823" t="e">
        <f t="shared" si="25"/>
        <v>#VALUE!</v>
      </c>
      <c r="AG198" s="1769" t="e">
        <f t="shared" si="26"/>
        <v>#VALUE!</v>
      </c>
      <c r="AI198" t="s">
        <v>2556</v>
      </c>
    </row>
    <row r="199" spans="3:35" ht="24.95" customHeight="1">
      <c r="C199" s="491">
        <v>192</v>
      </c>
      <c r="D199" s="1847"/>
      <c r="E199" s="1847"/>
      <c r="F199" s="1847" t="s">
        <v>2558</v>
      </c>
      <c r="G199" s="1847" t="s">
        <v>2558</v>
      </c>
      <c r="H199" s="1847" t="s">
        <v>2553</v>
      </c>
      <c r="I199" s="1847" t="s">
        <v>2553</v>
      </c>
      <c r="J199" s="1847" t="s">
        <v>2782</v>
      </c>
      <c r="K199" s="1847" t="s">
        <v>3924</v>
      </c>
      <c r="L199" s="1847" t="s">
        <v>2797</v>
      </c>
      <c r="M199" s="1847" t="s">
        <v>4100</v>
      </c>
      <c r="N199" s="1847" t="s">
        <v>2521</v>
      </c>
      <c r="O199" s="1847"/>
      <c r="P199" s="1852">
        <v>6.03</v>
      </c>
      <c r="Q199" s="1852">
        <v>6.53</v>
      </c>
      <c r="R199" s="483" t="e">
        <f>IF(H199="","",SUMIFS('[1]1_group_totals'!$J$8:$J$10000,'[1]1_group_totals'!$C$8:$C$10000,C199))</f>
        <v>#VALUE!</v>
      </c>
      <c r="S199" s="483">
        <f t="shared" si="18"/>
        <v>53</v>
      </c>
      <c r="T199" s="483">
        <v>4</v>
      </c>
      <c r="U199" s="510" t="e">
        <f t="shared" si="19"/>
        <v>#VALUE!</v>
      </c>
      <c r="V199" s="510">
        <v>1</v>
      </c>
      <c r="W199" s="510">
        <v>0</v>
      </c>
      <c r="X199" s="510">
        <v>0</v>
      </c>
      <c r="Y199" s="483">
        <v>1</v>
      </c>
      <c r="Z199" s="483">
        <v>1</v>
      </c>
      <c r="AA199" s="1847" t="e">
        <f t="shared" si="20"/>
        <v>#VALUE!</v>
      </c>
      <c r="AB199" s="1847">
        <f t="shared" si="21"/>
        <v>1.5075000000000001</v>
      </c>
      <c r="AC199" s="1847">
        <f t="shared" si="22"/>
        <v>1.6325000000000001</v>
      </c>
      <c r="AD199" s="1847" t="e">
        <f t="shared" si="23"/>
        <v>#VALUE!</v>
      </c>
      <c r="AE199" s="1847" t="e">
        <f t="shared" si="24"/>
        <v>#VALUE!</v>
      </c>
      <c r="AF199" s="1823" t="e">
        <f t="shared" si="25"/>
        <v>#VALUE!</v>
      </c>
      <c r="AG199" s="1769" t="e">
        <f t="shared" si="26"/>
        <v>#VALUE!</v>
      </c>
      <c r="AI199" t="s">
        <v>2558</v>
      </c>
    </row>
    <row r="200" spans="3:35" ht="24.95" customHeight="1">
      <c r="C200" s="491">
        <v>193</v>
      </c>
      <c r="D200" s="1847"/>
      <c r="E200" s="1847"/>
      <c r="F200" s="1847" t="s">
        <v>2560</v>
      </c>
      <c r="G200" s="1847" t="s">
        <v>2560</v>
      </c>
      <c r="H200" s="1847" t="s">
        <v>2555</v>
      </c>
      <c r="I200" s="1847" t="s">
        <v>2555</v>
      </c>
      <c r="J200" s="1847" t="s">
        <v>2782</v>
      </c>
      <c r="K200" s="1847" t="s">
        <v>3924</v>
      </c>
      <c r="L200" s="1847" t="s">
        <v>2797</v>
      </c>
      <c r="M200" s="1847" t="s">
        <v>4100</v>
      </c>
      <c r="N200" s="1847" t="s">
        <v>2521</v>
      </c>
      <c r="O200" s="1847"/>
      <c r="P200" s="1852">
        <v>3.88</v>
      </c>
      <c r="Q200" s="1852">
        <v>4.3</v>
      </c>
      <c r="R200" s="483" t="e">
        <f>IF(H200="","",SUMIFS('[1]1_group_totals'!$J$8:$J$10000,'[1]1_group_totals'!$C$8:$C$10000,C200))</f>
        <v>#VALUE!</v>
      </c>
      <c r="S200" s="483">
        <f t="shared" ref="S200:S263" si="27">IF(J200="","",MID(J200,1,3)*1)</f>
        <v>53</v>
      </c>
      <c r="T200" s="483">
        <v>4</v>
      </c>
      <c r="U200" s="510" t="e">
        <f t="shared" ref="U200:U263" si="28">getStockAvariableByUom(C200,R200,T200,Z200,S200)</f>
        <v>#VALUE!</v>
      </c>
      <c r="V200" s="510">
        <v>1</v>
      </c>
      <c r="W200" s="510">
        <v>0</v>
      </c>
      <c r="X200" s="510">
        <v>0</v>
      </c>
      <c r="Y200" s="483">
        <v>1</v>
      </c>
      <c r="Z200" s="483">
        <v>1</v>
      </c>
      <c r="AA200" s="1847" t="e">
        <f t="shared" ref="AA200:AA263" si="29">IF(AND(C200&lt;&gt;"",H200&lt;&gt;"",R200&gt;0),TEXT(C200,"00000")&amp;"."&amp;H200&amp;" | "&amp;F200&amp;" | Cost : "&amp;P200&amp;" "&amp;product_currency&amp;" | Price : "&amp;Q200&amp;" "&amp;product_currency&amp;" | Stock Ending : "&amp;U200,"")</f>
        <v>#VALUE!</v>
      </c>
      <c r="AB200" s="1847">
        <f t="shared" ref="AB200:AB263" si="30">P200/T200</f>
        <v>0.97</v>
      </c>
      <c r="AC200" s="1847">
        <f t="shared" ref="AC200:AC263" si="31">Q200/T200</f>
        <v>1.075</v>
      </c>
      <c r="AD200" s="1847" t="e">
        <f t="shared" ref="AD200:AD263" si="32">IF(R200&gt;0,R200*AB200,"")</f>
        <v>#VALUE!</v>
      </c>
      <c r="AE200" s="1847" t="e">
        <f t="shared" ref="AE200:AE263" si="33">IF(R200&gt;0,R200*AC200,"")</f>
        <v>#VALUE!</v>
      </c>
      <c r="AF200" s="1823" t="e">
        <f t="shared" ref="AF200:AF263" si="34">IF(R200&lt;0,R200*AB200,"")</f>
        <v>#VALUE!</v>
      </c>
      <c r="AG200" s="1769" t="e">
        <f t="shared" ref="AG200:AG263" si="35">IF(R200&lt;0,R200*AC200,"")</f>
        <v>#VALUE!</v>
      </c>
      <c r="AI200" t="s">
        <v>2560</v>
      </c>
    </row>
    <row r="201" spans="3:35" ht="24.95" customHeight="1">
      <c r="C201" s="491">
        <v>194</v>
      </c>
      <c r="D201" s="1847"/>
      <c r="E201" s="1847"/>
      <c r="F201" s="1847" t="s">
        <v>2562</v>
      </c>
      <c r="G201" s="1847" t="s">
        <v>2562</v>
      </c>
      <c r="H201" s="1847" t="s">
        <v>2557</v>
      </c>
      <c r="I201" s="1847" t="s">
        <v>2557</v>
      </c>
      <c r="J201" s="1847" t="s">
        <v>2782</v>
      </c>
      <c r="K201" s="1847" t="s">
        <v>3924</v>
      </c>
      <c r="L201" s="1847" t="s">
        <v>2797</v>
      </c>
      <c r="M201" s="1847" t="s">
        <v>4100</v>
      </c>
      <c r="N201" s="1847" t="s">
        <v>2521</v>
      </c>
      <c r="O201" s="1847"/>
      <c r="P201" s="1852">
        <v>4.7</v>
      </c>
      <c r="Q201" s="1852">
        <v>5.2</v>
      </c>
      <c r="R201" s="483" t="e">
        <f>IF(H201="","",SUMIFS('[1]1_group_totals'!$J$8:$J$10000,'[1]1_group_totals'!$C$8:$C$10000,C201))</f>
        <v>#VALUE!</v>
      </c>
      <c r="S201" s="483">
        <f t="shared" si="27"/>
        <v>53</v>
      </c>
      <c r="T201" s="483">
        <v>4</v>
      </c>
      <c r="U201" s="510" t="e">
        <f t="shared" si="28"/>
        <v>#VALUE!</v>
      </c>
      <c r="V201" s="510">
        <v>1</v>
      </c>
      <c r="W201" s="510">
        <v>0</v>
      </c>
      <c r="X201" s="510">
        <v>0</v>
      </c>
      <c r="Y201" s="483">
        <v>1</v>
      </c>
      <c r="Z201" s="483">
        <v>1</v>
      </c>
      <c r="AA201" s="1847" t="e">
        <f t="shared" si="29"/>
        <v>#VALUE!</v>
      </c>
      <c r="AB201" s="1847">
        <f t="shared" si="30"/>
        <v>1.175</v>
      </c>
      <c r="AC201" s="1847">
        <f t="shared" si="31"/>
        <v>1.3</v>
      </c>
      <c r="AD201" s="1847" t="e">
        <f t="shared" si="32"/>
        <v>#VALUE!</v>
      </c>
      <c r="AE201" s="1847" t="e">
        <f t="shared" si="33"/>
        <v>#VALUE!</v>
      </c>
      <c r="AF201" s="1823" t="e">
        <f t="shared" si="34"/>
        <v>#VALUE!</v>
      </c>
      <c r="AG201" s="1769" t="e">
        <f t="shared" si="35"/>
        <v>#VALUE!</v>
      </c>
      <c r="AI201" t="s">
        <v>2562</v>
      </c>
    </row>
    <row r="202" spans="3:35" ht="24.95" customHeight="1">
      <c r="C202" s="491">
        <v>195</v>
      </c>
      <c r="D202" s="1847"/>
      <c r="E202" s="1847"/>
      <c r="F202" s="1847" t="s">
        <v>2564</v>
      </c>
      <c r="G202" s="1847" t="s">
        <v>2564</v>
      </c>
      <c r="H202" s="1847" t="s">
        <v>2559</v>
      </c>
      <c r="I202" s="1847" t="s">
        <v>2559</v>
      </c>
      <c r="J202" s="1847" t="s">
        <v>2782</v>
      </c>
      <c r="K202" s="1847" t="s">
        <v>3924</v>
      </c>
      <c r="L202" s="1847" t="s">
        <v>2797</v>
      </c>
      <c r="M202" s="1847" t="s">
        <v>4100</v>
      </c>
      <c r="N202" s="1847" t="s">
        <v>2521</v>
      </c>
      <c r="O202" s="1847"/>
      <c r="P202" s="1852">
        <v>6.28</v>
      </c>
      <c r="Q202" s="1852">
        <v>6.75</v>
      </c>
      <c r="R202" s="483" t="e">
        <f>IF(H202="","",SUMIFS('[1]1_group_totals'!$J$8:$J$10000,'[1]1_group_totals'!$C$8:$C$10000,C202))</f>
        <v>#VALUE!</v>
      </c>
      <c r="S202" s="483">
        <f t="shared" si="27"/>
        <v>53</v>
      </c>
      <c r="T202" s="483">
        <v>4</v>
      </c>
      <c r="U202" s="510" t="e">
        <f t="shared" si="28"/>
        <v>#VALUE!</v>
      </c>
      <c r="V202" s="510">
        <v>1</v>
      </c>
      <c r="W202" s="510">
        <v>0</v>
      </c>
      <c r="X202" s="510">
        <v>0</v>
      </c>
      <c r="Y202" s="483">
        <v>1</v>
      </c>
      <c r="Z202" s="483">
        <v>1</v>
      </c>
      <c r="AA202" s="1847" t="e">
        <f t="shared" si="29"/>
        <v>#VALUE!</v>
      </c>
      <c r="AB202" s="1847">
        <f t="shared" si="30"/>
        <v>1.57</v>
      </c>
      <c r="AC202" s="1847">
        <f t="shared" si="31"/>
        <v>1.6875</v>
      </c>
      <c r="AD202" s="1847" t="e">
        <f t="shared" si="32"/>
        <v>#VALUE!</v>
      </c>
      <c r="AE202" s="1847" t="e">
        <f t="shared" si="33"/>
        <v>#VALUE!</v>
      </c>
      <c r="AF202" s="1823" t="e">
        <f t="shared" si="34"/>
        <v>#VALUE!</v>
      </c>
      <c r="AG202" s="1769" t="e">
        <f t="shared" si="35"/>
        <v>#VALUE!</v>
      </c>
      <c r="AI202" t="s">
        <v>2564</v>
      </c>
    </row>
    <row r="203" spans="3:35" ht="24.95" customHeight="1">
      <c r="C203" s="491">
        <v>196</v>
      </c>
      <c r="D203" s="1847"/>
      <c r="E203" s="1847"/>
      <c r="F203" s="1847" t="s">
        <v>2566</v>
      </c>
      <c r="G203" s="1847" t="s">
        <v>2566</v>
      </c>
      <c r="H203" s="1847" t="s">
        <v>2561</v>
      </c>
      <c r="I203" s="1847" t="s">
        <v>2561</v>
      </c>
      <c r="J203" s="1847" t="s">
        <v>2782</v>
      </c>
      <c r="K203" s="1847" t="s">
        <v>3924</v>
      </c>
      <c r="L203" s="1847" t="s">
        <v>2797</v>
      </c>
      <c r="M203" s="1847" t="s">
        <v>4100</v>
      </c>
      <c r="N203" s="1847" t="s">
        <v>2521</v>
      </c>
      <c r="O203" s="1847"/>
      <c r="P203" s="1852">
        <v>7.06</v>
      </c>
      <c r="Q203" s="1852">
        <v>7.56</v>
      </c>
      <c r="R203" s="483" t="e">
        <f>IF(H203="","",SUMIFS('[1]1_group_totals'!$J$8:$J$10000,'[1]1_group_totals'!$C$8:$C$10000,C203))</f>
        <v>#VALUE!</v>
      </c>
      <c r="S203" s="483">
        <f t="shared" si="27"/>
        <v>53</v>
      </c>
      <c r="T203" s="483">
        <v>4</v>
      </c>
      <c r="U203" s="510" t="e">
        <f t="shared" si="28"/>
        <v>#VALUE!</v>
      </c>
      <c r="V203" s="510">
        <v>1</v>
      </c>
      <c r="W203" s="510">
        <v>0</v>
      </c>
      <c r="X203" s="510">
        <v>0</v>
      </c>
      <c r="Y203" s="483">
        <v>1</v>
      </c>
      <c r="Z203" s="483">
        <v>1</v>
      </c>
      <c r="AA203" s="1847" t="e">
        <f t="shared" si="29"/>
        <v>#VALUE!</v>
      </c>
      <c r="AB203" s="1847">
        <f t="shared" si="30"/>
        <v>1.7649999999999999</v>
      </c>
      <c r="AC203" s="1847">
        <f t="shared" si="31"/>
        <v>1.89</v>
      </c>
      <c r="AD203" s="1847" t="e">
        <f t="shared" si="32"/>
        <v>#VALUE!</v>
      </c>
      <c r="AE203" s="1847" t="e">
        <f t="shared" si="33"/>
        <v>#VALUE!</v>
      </c>
      <c r="AF203" s="1823" t="e">
        <f t="shared" si="34"/>
        <v>#VALUE!</v>
      </c>
      <c r="AG203" s="1769" t="e">
        <f t="shared" si="35"/>
        <v>#VALUE!</v>
      </c>
      <c r="AI203" t="s">
        <v>2566</v>
      </c>
    </row>
    <row r="204" spans="3:35" ht="24.95" customHeight="1">
      <c r="C204" s="491">
        <v>197</v>
      </c>
      <c r="D204" s="1847"/>
      <c r="E204" s="1847"/>
      <c r="F204" s="1847" t="s">
        <v>2568</v>
      </c>
      <c r="G204" s="1847" t="s">
        <v>2568</v>
      </c>
      <c r="H204" s="1847" t="s">
        <v>2563</v>
      </c>
      <c r="I204" s="1847" t="s">
        <v>2563</v>
      </c>
      <c r="J204" s="1847" t="s">
        <v>2782</v>
      </c>
      <c r="K204" s="1847" t="s">
        <v>3924</v>
      </c>
      <c r="L204" s="1847" t="s">
        <v>2797</v>
      </c>
      <c r="M204" s="1847" t="s">
        <v>4100</v>
      </c>
      <c r="N204" s="1847" t="s">
        <v>2521</v>
      </c>
      <c r="O204" s="1847"/>
      <c r="P204" s="1852">
        <v>8.36</v>
      </c>
      <c r="Q204" s="1852">
        <v>8.7799999999999994</v>
      </c>
      <c r="R204" s="483" t="e">
        <f>IF(H204="","",SUMIFS('[1]1_group_totals'!$J$8:$J$10000,'[1]1_group_totals'!$C$8:$C$10000,C204))</f>
        <v>#VALUE!</v>
      </c>
      <c r="S204" s="483">
        <f t="shared" si="27"/>
        <v>53</v>
      </c>
      <c r="T204" s="483">
        <v>4</v>
      </c>
      <c r="U204" s="510" t="e">
        <f t="shared" si="28"/>
        <v>#VALUE!</v>
      </c>
      <c r="V204" s="510">
        <v>1</v>
      </c>
      <c r="W204" s="510">
        <v>0</v>
      </c>
      <c r="X204" s="510">
        <v>0</v>
      </c>
      <c r="Y204" s="483">
        <v>1</v>
      </c>
      <c r="Z204" s="483">
        <v>1</v>
      </c>
      <c r="AA204" s="1847" t="e">
        <f t="shared" si="29"/>
        <v>#VALUE!</v>
      </c>
      <c r="AB204" s="1847">
        <f t="shared" si="30"/>
        <v>2.09</v>
      </c>
      <c r="AC204" s="1847">
        <f t="shared" si="31"/>
        <v>2.1949999999999998</v>
      </c>
      <c r="AD204" s="1847" t="e">
        <f t="shared" si="32"/>
        <v>#VALUE!</v>
      </c>
      <c r="AE204" s="1847" t="e">
        <f t="shared" si="33"/>
        <v>#VALUE!</v>
      </c>
      <c r="AF204" s="1823" t="e">
        <f t="shared" si="34"/>
        <v>#VALUE!</v>
      </c>
      <c r="AG204" s="1769" t="e">
        <f t="shared" si="35"/>
        <v>#VALUE!</v>
      </c>
      <c r="AI204" t="s">
        <v>2568</v>
      </c>
    </row>
    <row r="205" spans="3:35" ht="24.95" customHeight="1">
      <c r="C205" s="491">
        <v>198</v>
      </c>
      <c r="D205" s="1847"/>
      <c r="E205" s="1847"/>
      <c r="F205" s="1847" t="s">
        <v>2579</v>
      </c>
      <c r="G205" s="1847" t="s">
        <v>2579</v>
      </c>
      <c r="H205" s="1847" t="s">
        <v>2565</v>
      </c>
      <c r="I205" s="1847" t="s">
        <v>2565</v>
      </c>
      <c r="J205" s="1847" t="s">
        <v>2782</v>
      </c>
      <c r="K205" s="1847" t="s">
        <v>3924</v>
      </c>
      <c r="L205" s="1847" t="s">
        <v>2797</v>
      </c>
      <c r="M205" s="1847" t="s">
        <v>4100</v>
      </c>
      <c r="N205" s="1847" t="s">
        <v>2521</v>
      </c>
      <c r="O205" s="1847"/>
      <c r="P205" s="1852">
        <v>9.48</v>
      </c>
      <c r="Q205" s="1852">
        <v>10</v>
      </c>
      <c r="R205" s="483" t="e">
        <f>IF(H205="","",SUMIFS('[1]1_group_totals'!$J$8:$J$10000,'[1]1_group_totals'!$C$8:$C$10000,C205))</f>
        <v>#VALUE!</v>
      </c>
      <c r="S205" s="483">
        <f t="shared" si="27"/>
        <v>53</v>
      </c>
      <c r="T205" s="483">
        <v>4</v>
      </c>
      <c r="U205" s="510" t="e">
        <f t="shared" si="28"/>
        <v>#VALUE!</v>
      </c>
      <c r="V205" s="510">
        <v>1</v>
      </c>
      <c r="W205" s="510">
        <v>0</v>
      </c>
      <c r="X205" s="510">
        <v>0</v>
      </c>
      <c r="Y205" s="483">
        <v>1</v>
      </c>
      <c r="Z205" s="483">
        <v>1</v>
      </c>
      <c r="AA205" s="1847" t="e">
        <f t="shared" si="29"/>
        <v>#VALUE!</v>
      </c>
      <c r="AB205" s="1847">
        <f t="shared" si="30"/>
        <v>2.37</v>
      </c>
      <c r="AC205" s="1847">
        <f t="shared" si="31"/>
        <v>2.5</v>
      </c>
      <c r="AD205" s="1847" t="e">
        <f t="shared" si="32"/>
        <v>#VALUE!</v>
      </c>
      <c r="AE205" s="1847" t="e">
        <f t="shared" si="33"/>
        <v>#VALUE!</v>
      </c>
      <c r="AF205" s="1823" t="e">
        <f t="shared" si="34"/>
        <v>#VALUE!</v>
      </c>
      <c r="AG205" s="1769" t="e">
        <f t="shared" si="35"/>
        <v>#VALUE!</v>
      </c>
      <c r="AI205" t="s">
        <v>2579</v>
      </c>
    </row>
    <row r="206" spans="3:35" ht="24.95" customHeight="1">
      <c r="C206" s="491">
        <v>199</v>
      </c>
      <c r="D206" s="1847"/>
      <c r="E206" s="1847"/>
      <c r="F206" s="1847" t="s">
        <v>2580</v>
      </c>
      <c r="G206" s="1847" t="s">
        <v>2580</v>
      </c>
      <c r="H206" s="1847" t="s">
        <v>2567</v>
      </c>
      <c r="I206" s="1847" t="s">
        <v>2567</v>
      </c>
      <c r="J206" s="1847" t="s">
        <v>2782</v>
      </c>
      <c r="K206" s="1847" t="s">
        <v>3924</v>
      </c>
      <c r="L206" s="1847" t="s">
        <v>2797</v>
      </c>
      <c r="M206" s="1847" t="s">
        <v>4100</v>
      </c>
      <c r="N206" s="1847" t="s">
        <v>2521</v>
      </c>
      <c r="O206" s="1847"/>
      <c r="P206" s="1852">
        <v>10.58</v>
      </c>
      <c r="Q206" s="1852">
        <v>11</v>
      </c>
      <c r="R206" s="483" t="e">
        <f>IF(H206="","",SUMIFS('[1]1_group_totals'!$J$8:$J$10000,'[1]1_group_totals'!$C$8:$C$10000,C206))</f>
        <v>#VALUE!</v>
      </c>
      <c r="S206" s="483">
        <f t="shared" si="27"/>
        <v>53</v>
      </c>
      <c r="T206" s="483">
        <v>4</v>
      </c>
      <c r="U206" s="510" t="e">
        <f t="shared" si="28"/>
        <v>#VALUE!</v>
      </c>
      <c r="V206" s="510">
        <v>1</v>
      </c>
      <c r="W206" s="510">
        <v>0</v>
      </c>
      <c r="X206" s="510">
        <v>0</v>
      </c>
      <c r="Y206" s="483">
        <v>1</v>
      </c>
      <c r="Z206" s="483">
        <v>1</v>
      </c>
      <c r="AA206" s="1847" t="e">
        <f t="shared" si="29"/>
        <v>#VALUE!</v>
      </c>
      <c r="AB206" s="1847">
        <f t="shared" si="30"/>
        <v>2.645</v>
      </c>
      <c r="AC206" s="1847">
        <f t="shared" si="31"/>
        <v>2.75</v>
      </c>
      <c r="AD206" s="1847" t="e">
        <f t="shared" si="32"/>
        <v>#VALUE!</v>
      </c>
      <c r="AE206" s="1847" t="e">
        <f t="shared" si="33"/>
        <v>#VALUE!</v>
      </c>
      <c r="AF206" s="1823" t="e">
        <f t="shared" si="34"/>
        <v>#VALUE!</v>
      </c>
      <c r="AG206" s="1769" t="e">
        <f t="shared" si="35"/>
        <v>#VALUE!</v>
      </c>
      <c r="AI206" t="s">
        <v>2580</v>
      </c>
    </row>
    <row r="207" spans="3:35" ht="24.95" customHeight="1">
      <c r="C207" s="491">
        <v>200</v>
      </c>
      <c r="D207" s="1847"/>
      <c r="E207" s="1847"/>
      <c r="F207" s="1847" t="s">
        <v>2581</v>
      </c>
      <c r="G207" s="1847" t="s">
        <v>2581</v>
      </c>
      <c r="H207" s="1847" t="s">
        <v>2569</v>
      </c>
      <c r="I207" s="1847" t="s">
        <v>2569</v>
      </c>
      <c r="J207" s="1847" t="s">
        <v>2782</v>
      </c>
      <c r="K207" s="1847" t="s">
        <v>3924</v>
      </c>
      <c r="L207" s="1847" t="s">
        <v>2797</v>
      </c>
      <c r="M207" s="1847" t="s">
        <v>4100</v>
      </c>
      <c r="N207" s="1847" t="s">
        <v>2521</v>
      </c>
      <c r="O207" s="1847"/>
      <c r="P207" s="1852">
        <v>11.94</v>
      </c>
      <c r="Q207" s="1852">
        <v>12.5</v>
      </c>
      <c r="R207" s="483" t="e">
        <f>IF(H207="","",SUMIFS('[1]1_group_totals'!$J$8:$J$10000,'[1]1_group_totals'!$C$8:$C$10000,C207))</f>
        <v>#VALUE!</v>
      </c>
      <c r="S207" s="483">
        <f t="shared" si="27"/>
        <v>53</v>
      </c>
      <c r="T207" s="483">
        <v>4</v>
      </c>
      <c r="U207" s="510" t="e">
        <f t="shared" si="28"/>
        <v>#VALUE!</v>
      </c>
      <c r="V207" s="510">
        <v>1</v>
      </c>
      <c r="W207" s="510">
        <v>0</v>
      </c>
      <c r="X207" s="510">
        <v>0</v>
      </c>
      <c r="Y207" s="483">
        <v>1</v>
      </c>
      <c r="Z207" s="483">
        <v>1</v>
      </c>
      <c r="AA207" s="1847" t="e">
        <f t="shared" si="29"/>
        <v>#VALUE!</v>
      </c>
      <c r="AB207" s="1847">
        <f t="shared" si="30"/>
        <v>2.9849999999999999</v>
      </c>
      <c r="AC207" s="1847">
        <f t="shared" si="31"/>
        <v>3.125</v>
      </c>
      <c r="AD207" s="1847" t="e">
        <f t="shared" si="32"/>
        <v>#VALUE!</v>
      </c>
      <c r="AE207" s="1847" t="e">
        <f t="shared" si="33"/>
        <v>#VALUE!</v>
      </c>
      <c r="AF207" s="1823" t="e">
        <f t="shared" si="34"/>
        <v>#VALUE!</v>
      </c>
      <c r="AG207" s="1769" t="e">
        <f t="shared" si="35"/>
        <v>#VALUE!</v>
      </c>
      <c r="AI207" t="s">
        <v>2581</v>
      </c>
    </row>
    <row r="208" spans="3:35" ht="24.95" customHeight="1">
      <c r="C208" s="491">
        <v>201</v>
      </c>
      <c r="D208" s="1847"/>
      <c r="E208" s="1847"/>
      <c r="F208" s="1847" t="s">
        <v>3941</v>
      </c>
      <c r="G208" s="1847" t="s">
        <v>3941</v>
      </c>
      <c r="H208" s="1847" t="s">
        <v>3774</v>
      </c>
      <c r="I208" s="1847"/>
      <c r="J208" s="1847" t="s">
        <v>2783</v>
      </c>
      <c r="K208" s="1847" t="s">
        <v>2795</v>
      </c>
      <c r="L208" s="1847" t="s">
        <v>2799</v>
      </c>
      <c r="M208" s="1847" t="s">
        <v>3937</v>
      </c>
      <c r="N208" s="1847"/>
      <c r="O208" s="1847"/>
      <c r="P208" s="1852">
        <v>1</v>
      </c>
      <c r="Q208" s="1852">
        <v>1.5</v>
      </c>
      <c r="R208" s="483" t="e">
        <f>IF(H208="","",SUMIFS('[1]1_group_totals'!$J$8:$J$10000,'[1]1_group_totals'!$C$8:$C$10000,C208))</f>
        <v>#VALUE!</v>
      </c>
      <c r="S208" s="483">
        <f t="shared" si="27"/>
        <v>2</v>
      </c>
      <c r="T208" s="483">
        <v>1</v>
      </c>
      <c r="U208" s="510" t="e">
        <f t="shared" si="28"/>
        <v>#VALUE!</v>
      </c>
      <c r="V208" s="510">
        <v>1</v>
      </c>
      <c r="W208" s="510">
        <v>0</v>
      </c>
      <c r="X208" s="510">
        <v>0</v>
      </c>
      <c r="Y208" s="483">
        <v>1</v>
      </c>
      <c r="Z208" s="483">
        <v>1</v>
      </c>
      <c r="AA208" s="1847" t="e">
        <f t="shared" si="29"/>
        <v>#VALUE!</v>
      </c>
      <c r="AB208" s="1847">
        <f t="shared" si="30"/>
        <v>1</v>
      </c>
      <c r="AC208" s="1847">
        <f t="shared" si="31"/>
        <v>1.5</v>
      </c>
      <c r="AD208" s="1847" t="e">
        <f t="shared" si="32"/>
        <v>#VALUE!</v>
      </c>
      <c r="AE208" s="1847" t="e">
        <f t="shared" si="33"/>
        <v>#VALUE!</v>
      </c>
      <c r="AF208" s="1823" t="e">
        <f t="shared" si="34"/>
        <v>#VALUE!</v>
      </c>
      <c r="AG208" s="1769" t="e">
        <f t="shared" si="35"/>
        <v>#VALUE!</v>
      </c>
      <c r="AI208" t="s">
        <v>3941</v>
      </c>
    </row>
    <row r="209" spans="3:35" ht="24.95" customHeight="1">
      <c r="C209" s="491">
        <v>202</v>
      </c>
      <c r="D209" s="1847"/>
      <c r="E209" s="1847"/>
      <c r="F209" s="1847" t="s">
        <v>3942</v>
      </c>
      <c r="G209" s="1847" t="s">
        <v>3942</v>
      </c>
      <c r="H209" s="1847" t="s">
        <v>3775</v>
      </c>
      <c r="I209" s="1847"/>
      <c r="J209" s="1847" t="s">
        <v>2783</v>
      </c>
      <c r="K209" s="1847" t="s">
        <v>2795</v>
      </c>
      <c r="L209" s="1847" t="s">
        <v>2800</v>
      </c>
      <c r="M209" s="1847" t="s">
        <v>3937</v>
      </c>
      <c r="N209" s="1847"/>
      <c r="O209" s="1847"/>
      <c r="P209" s="1852">
        <v>2</v>
      </c>
      <c r="Q209" s="1852">
        <v>2.5</v>
      </c>
      <c r="R209" s="483" t="e">
        <f>IF(H209="","",SUMIFS('[1]1_group_totals'!$J$8:$J$10000,'[1]1_group_totals'!$C$8:$C$10000,C209))</f>
        <v>#VALUE!</v>
      </c>
      <c r="S209" s="483">
        <f t="shared" si="27"/>
        <v>2</v>
      </c>
      <c r="T209" s="483">
        <v>1</v>
      </c>
      <c r="U209" s="510" t="e">
        <f t="shared" si="28"/>
        <v>#VALUE!</v>
      </c>
      <c r="V209" s="510">
        <v>1</v>
      </c>
      <c r="W209" s="510">
        <v>0</v>
      </c>
      <c r="X209" s="510">
        <v>0</v>
      </c>
      <c r="Y209" s="483">
        <v>1</v>
      </c>
      <c r="Z209" s="483">
        <v>1</v>
      </c>
      <c r="AA209" s="1847" t="e">
        <f t="shared" si="29"/>
        <v>#VALUE!</v>
      </c>
      <c r="AB209" s="1847">
        <f t="shared" si="30"/>
        <v>2</v>
      </c>
      <c r="AC209" s="1847">
        <f t="shared" si="31"/>
        <v>2.5</v>
      </c>
      <c r="AD209" s="1847" t="e">
        <f t="shared" si="32"/>
        <v>#VALUE!</v>
      </c>
      <c r="AE209" s="1847" t="e">
        <f t="shared" si="33"/>
        <v>#VALUE!</v>
      </c>
      <c r="AF209" s="1823" t="e">
        <f t="shared" si="34"/>
        <v>#VALUE!</v>
      </c>
      <c r="AG209" s="1769" t="e">
        <f t="shared" si="35"/>
        <v>#VALUE!</v>
      </c>
      <c r="AI209" t="s">
        <v>3942</v>
      </c>
    </row>
    <row r="210" spans="3:35" ht="24.95" customHeight="1">
      <c r="C210" s="491">
        <v>203</v>
      </c>
      <c r="D210" s="1847"/>
      <c r="E210" s="1847"/>
      <c r="F210" s="1847" t="s">
        <v>3943</v>
      </c>
      <c r="G210" s="1847" t="s">
        <v>3943</v>
      </c>
      <c r="H210" s="1847" t="s">
        <v>3776</v>
      </c>
      <c r="I210" s="1847"/>
      <c r="J210" s="1847" t="s">
        <v>2779</v>
      </c>
      <c r="K210" s="1847" t="s">
        <v>2795</v>
      </c>
      <c r="L210" s="1847" t="s">
        <v>3930</v>
      </c>
      <c r="M210" s="1847" t="s">
        <v>4097</v>
      </c>
      <c r="N210" s="1847"/>
      <c r="O210" s="1847"/>
      <c r="P210" s="1852">
        <v>18</v>
      </c>
      <c r="Q210" s="1852">
        <v>19</v>
      </c>
      <c r="R210" s="483" t="e">
        <f>IF(H210="","",SUMIFS('[1]1_group_totals'!$J$8:$J$10000,'[1]1_group_totals'!$C$8:$C$10000,C210))</f>
        <v>#VALUE!</v>
      </c>
      <c r="S210" s="483">
        <f t="shared" si="27"/>
        <v>49</v>
      </c>
      <c r="T210" s="483">
        <v>12</v>
      </c>
      <c r="U210" s="510" t="e">
        <f t="shared" si="28"/>
        <v>#VALUE!</v>
      </c>
      <c r="V210" s="510">
        <v>1</v>
      </c>
      <c r="W210" s="510">
        <v>0</v>
      </c>
      <c r="X210" s="510">
        <v>0</v>
      </c>
      <c r="Y210" s="483">
        <v>1</v>
      </c>
      <c r="Z210" s="483">
        <v>1</v>
      </c>
      <c r="AA210" s="1847" t="e">
        <f t="shared" si="29"/>
        <v>#VALUE!</v>
      </c>
      <c r="AB210" s="1847">
        <f t="shared" si="30"/>
        <v>1.5</v>
      </c>
      <c r="AC210" s="1847">
        <f t="shared" si="31"/>
        <v>1.5833333333333333</v>
      </c>
      <c r="AD210" s="1847" t="e">
        <f t="shared" si="32"/>
        <v>#VALUE!</v>
      </c>
      <c r="AE210" s="1847" t="e">
        <f t="shared" si="33"/>
        <v>#VALUE!</v>
      </c>
      <c r="AF210" s="1823" t="e">
        <f t="shared" si="34"/>
        <v>#VALUE!</v>
      </c>
      <c r="AG210" s="1769" t="e">
        <f t="shared" si="35"/>
        <v>#VALUE!</v>
      </c>
      <c r="AI210" t="s">
        <v>3943</v>
      </c>
    </row>
    <row r="211" spans="3:35" ht="24.95" customHeight="1">
      <c r="C211" s="491">
        <v>204</v>
      </c>
      <c r="D211" s="1847"/>
      <c r="E211" s="1847"/>
      <c r="F211" s="1847" t="s">
        <v>3944</v>
      </c>
      <c r="G211" s="1847" t="s">
        <v>3944</v>
      </c>
      <c r="H211" s="1847" t="s">
        <v>3777</v>
      </c>
      <c r="I211" s="1847"/>
      <c r="J211" s="1847" t="s">
        <v>2783</v>
      </c>
      <c r="K211" s="1847" t="s">
        <v>2795</v>
      </c>
      <c r="L211" s="1847" t="s">
        <v>3931</v>
      </c>
      <c r="M211" s="1847" t="s">
        <v>3937</v>
      </c>
      <c r="N211" s="1847"/>
      <c r="O211" s="1847"/>
      <c r="P211" s="1852">
        <v>0.3</v>
      </c>
      <c r="Q211" s="1852">
        <v>0.65</v>
      </c>
      <c r="R211" s="483" t="e">
        <f>IF(H211="","",SUMIFS('[1]1_group_totals'!$J$8:$J$10000,'[1]1_group_totals'!$C$8:$C$10000,C211))</f>
        <v>#VALUE!</v>
      </c>
      <c r="S211" s="483">
        <f t="shared" si="27"/>
        <v>2</v>
      </c>
      <c r="T211" s="483">
        <v>1</v>
      </c>
      <c r="U211" s="510" t="e">
        <f t="shared" si="28"/>
        <v>#VALUE!</v>
      </c>
      <c r="V211" s="510">
        <v>1</v>
      </c>
      <c r="W211" s="510">
        <v>0</v>
      </c>
      <c r="X211" s="510">
        <v>0</v>
      </c>
      <c r="Y211" s="483">
        <v>1</v>
      </c>
      <c r="Z211" s="483">
        <v>1</v>
      </c>
      <c r="AA211" s="1847" t="e">
        <f t="shared" si="29"/>
        <v>#VALUE!</v>
      </c>
      <c r="AB211" s="1847">
        <f t="shared" si="30"/>
        <v>0.3</v>
      </c>
      <c r="AC211" s="1847">
        <f t="shared" si="31"/>
        <v>0.65</v>
      </c>
      <c r="AD211" s="1847" t="e">
        <f t="shared" si="32"/>
        <v>#VALUE!</v>
      </c>
      <c r="AE211" s="1847" t="e">
        <f t="shared" si="33"/>
        <v>#VALUE!</v>
      </c>
      <c r="AF211" s="1823" t="e">
        <f t="shared" si="34"/>
        <v>#VALUE!</v>
      </c>
      <c r="AG211" s="1769" t="e">
        <f t="shared" si="35"/>
        <v>#VALUE!</v>
      </c>
      <c r="AI211" t="s">
        <v>3944</v>
      </c>
    </row>
    <row r="212" spans="3:35" ht="24.95" customHeight="1">
      <c r="C212" s="491">
        <v>205</v>
      </c>
      <c r="D212" s="1847"/>
      <c r="E212" s="1847"/>
      <c r="F212" s="1847" t="s">
        <v>3945</v>
      </c>
      <c r="G212" s="1847" t="s">
        <v>3945</v>
      </c>
      <c r="H212" s="1847" t="s">
        <v>3778</v>
      </c>
      <c r="I212" s="1847"/>
      <c r="J212" s="1847" t="s">
        <v>2783</v>
      </c>
      <c r="K212" s="1847" t="s">
        <v>2795</v>
      </c>
      <c r="L212" s="1847" t="s">
        <v>3932</v>
      </c>
      <c r="M212" s="1847" t="s">
        <v>3937</v>
      </c>
      <c r="N212" s="1847"/>
      <c r="O212" s="1847"/>
      <c r="P212" s="1852">
        <v>3.5</v>
      </c>
      <c r="Q212" s="1852">
        <v>4</v>
      </c>
      <c r="R212" s="483" t="e">
        <f>IF(H212="","",SUMIFS('[1]1_group_totals'!$J$8:$J$10000,'[1]1_group_totals'!$C$8:$C$10000,C212))</f>
        <v>#VALUE!</v>
      </c>
      <c r="S212" s="483">
        <f t="shared" si="27"/>
        <v>2</v>
      </c>
      <c r="T212" s="483">
        <v>1</v>
      </c>
      <c r="U212" s="510" t="e">
        <f t="shared" si="28"/>
        <v>#VALUE!</v>
      </c>
      <c r="V212" s="510">
        <v>1</v>
      </c>
      <c r="W212" s="510">
        <v>0</v>
      </c>
      <c r="X212" s="510">
        <v>0</v>
      </c>
      <c r="Y212" s="483">
        <v>1</v>
      </c>
      <c r="Z212" s="483">
        <v>1</v>
      </c>
      <c r="AA212" s="1847" t="e">
        <f t="shared" si="29"/>
        <v>#VALUE!</v>
      </c>
      <c r="AB212" s="1847">
        <f t="shared" si="30"/>
        <v>3.5</v>
      </c>
      <c r="AC212" s="1847">
        <f t="shared" si="31"/>
        <v>4</v>
      </c>
      <c r="AD212" s="1847" t="e">
        <f t="shared" si="32"/>
        <v>#VALUE!</v>
      </c>
      <c r="AE212" s="1847" t="e">
        <f t="shared" si="33"/>
        <v>#VALUE!</v>
      </c>
      <c r="AF212" s="1823" t="e">
        <f t="shared" si="34"/>
        <v>#VALUE!</v>
      </c>
      <c r="AG212" s="1769" t="e">
        <f t="shared" si="35"/>
        <v>#VALUE!</v>
      </c>
      <c r="AI212" t="s">
        <v>3945</v>
      </c>
    </row>
    <row r="213" spans="3:35" ht="24.95" customHeight="1">
      <c r="C213" s="491">
        <v>206</v>
      </c>
      <c r="D213" s="1847"/>
      <c r="E213" s="1847"/>
      <c r="F213" s="1847" t="s">
        <v>3946</v>
      </c>
      <c r="G213" s="1847" t="s">
        <v>3946</v>
      </c>
      <c r="H213" s="1847" t="s">
        <v>3779</v>
      </c>
      <c r="I213" s="1847"/>
      <c r="J213" s="1847" t="s">
        <v>2783</v>
      </c>
      <c r="K213" s="1847" t="s">
        <v>2795</v>
      </c>
      <c r="L213" s="1847" t="s">
        <v>2800</v>
      </c>
      <c r="M213" s="1847" t="s">
        <v>3937</v>
      </c>
      <c r="N213" s="1847"/>
      <c r="O213" s="1847"/>
      <c r="P213" s="1852">
        <v>2.2000000000000002</v>
      </c>
      <c r="Q213" s="1852">
        <v>3</v>
      </c>
      <c r="R213" s="483" t="e">
        <f>IF(H213="","",SUMIFS('[1]1_group_totals'!$J$8:$J$10000,'[1]1_group_totals'!$C$8:$C$10000,C213))</f>
        <v>#VALUE!</v>
      </c>
      <c r="S213" s="483">
        <f t="shared" si="27"/>
        <v>2</v>
      </c>
      <c r="T213" s="483">
        <v>1</v>
      </c>
      <c r="U213" s="510" t="e">
        <f t="shared" si="28"/>
        <v>#VALUE!</v>
      </c>
      <c r="V213" s="510">
        <v>1</v>
      </c>
      <c r="W213" s="510">
        <v>0</v>
      </c>
      <c r="X213" s="510">
        <v>0</v>
      </c>
      <c r="Y213" s="483">
        <v>1</v>
      </c>
      <c r="Z213" s="483">
        <v>1</v>
      </c>
      <c r="AA213" s="1847" t="e">
        <f t="shared" si="29"/>
        <v>#VALUE!</v>
      </c>
      <c r="AB213" s="1847">
        <f t="shared" si="30"/>
        <v>2.2000000000000002</v>
      </c>
      <c r="AC213" s="1847">
        <f t="shared" si="31"/>
        <v>3</v>
      </c>
      <c r="AD213" s="1847" t="e">
        <f t="shared" si="32"/>
        <v>#VALUE!</v>
      </c>
      <c r="AE213" s="1847" t="e">
        <f t="shared" si="33"/>
        <v>#VALUE!</v>
      </c>
      <c r="AF213" s="1823" t="e">
        <f t="shared" si="34"/>
        <v>#VALUE!</v>
      </c>
      <c r="AG213" s="1769" t="e">
        <f t="shared" si="35"/>
        <v>#VALUE!</v>
      </c>
      <c r="AI213" t="s">
        <v>3946</v>
      </c>
    </row>
    <row r="214" spans="3:35" ht="24.95" customHeight="1">
      <c r="C214" s="491">
        <v>207</v>
      </c>
      <c r="D214" s="1847"/>
      <c r="E214" s="1847"/>
      <c r="F214" s="1847" t="s">
        <v>3947</v>
      </c>
      <c r="G214" s="1847" t="s">
        <v>3947</v>
      </c>
      <c r="H214" s="1847" t="s">
        <v>3780</v>
      </c>
      <c r="I214" s="1847"/>
      <c r="J214" s="1847" t="s">
        <v>2783</v>
      </c>
      <c r="K214" s="1847" t="s">
        <v>2795</v>
      </c>
      <c r="L214" s="1847" t="s">
        <v>2800</v>
      </c>
      <c r="M214" s="1847" t="s">
        <v>3937</v>
      </c>
      <c r="N214" s="1847"/>
      <c r="O214" s="1847"/>
      <c r="P214" s="1852">
        <v>4</v>
      </c>
      <c r="Q214" s="1852">
        <v>4.5</v>
      </c>
      <c r="R214" s="483" t="e">
        <f>IF(H214="","",SUMIFS('[1]1_group_totals'!$J$8:$J$10000,'[1]1_group_totals'!$C$8:$C$10000,C214))</f>
        <v>#VALUE!</v>
      </c>
      <c r="S214" s="483">
        <f t="shared" si="27"/>
        <v>2</v>
      </c>
      <c r="T214" s="483">
        <v>1</v>
      </c>
      <c r="U214" s="510" t="e">
        <f t="shared" si="28"/>
        <v>#VALUE!</v>
      </c>
      <c r="V214" s="510">
        <v>1</v>
      </c>
      <c r="W214" s="510">
        <v>0</v>
      </c>
      <c r="X214" s="510">
        <v>0</v>
      </c>
      <c r="Y214" s="483">
        <v>1</v>
      </c>
      <c r="Z214" s="483">
        <v>1</v>
      </c>
      <c r="AA214" s="1847" t="e">
        <f t="shared" si="29"/>
        <v>#VALUE!</v>
      </c>
      <c r="AB214" s="1847">
        <f t="shared" si="30"/>
        <v>4</v>
      </c>
      <c r="AC214" s="1847">
        <f t="shared" si="31"/>
        <v>4.5</v>
      </c>
      <c r="AD214" s="1847" t="e">
        <f t="shared" si="32"/>
        <v>#VALUE!</v>
      </c>
      <c r="AE214" s="1847" t="e">
        <f t="shared" si="33"/>
        <v>#VALUE!</v>
      </c>
      <c r="AF214" s="1823" t="e">
        <f t="shared" si="34"/>
        <v>#VALUE!</v>
      </c>
      <c r="AG214" s="1769" t="e">
        <f t="shared" si="35"/>
        <v>#VALUE!</v>
      </c>
      <c r="AI214" t="s">
        <v>3947</v>
      </c>
    </row>
    <row r="215" spans="3:35" ht="24.95" customHeight="1">
      <c r="C215" s="491">
        <v>208</v>
      </c>
      <c r="D215" s="1847"/>
      <c r="E215" s="1847"/>
      <c r="F215" s="1847" t="s">
        <v>3948</v>
      </c>
      <c r="G215" s="1847" t="s">
        <v>3948</v>
      </c>
      <c r="H215" s="1847" t="s">
        <v>3781</v>
      </c>
      <c r="I215" s="1847"/>
      <c r="J215" s="1847" t="s">
        <v>2783</v>
      </c>
      <c r="K215" s="1847" t="s">
        <v>2795</v>
      </c>
      <c r="L215" s="1847" t="s">
        <v>3933</v>
      </c>
      <c r="M215" s="1847" t="s">
        <v>3937</v>
      </c>
      <c r="N215" s="1847"/>
      <c r="O215" s="1847"/>
      <c r="P215" s="1852">
        <v>2</v>
      </c>
      <c r="Q215" s="1852">
        <v>2.5</v>
      </c>
      <c r="R215" s="483" t="e">
        <f>IF(H215="","",SUMIFS('[1]1_group_totals'!$J$8:$J$10000,'[1]1_group_totals'!$C$8:$C$10000,C215))</f>
        <v>#VALUE!</v>
      </c>
      <c r="S215" s="483">
        <f t="shared" si="27"/>
        <v>2</v>
      </c>
      <c r="T215" s="483">
        <v>1</v>
      </c>
      <c r="U215" s="510" t="e">
        <f t="shared" si="28"/>
        <v>#VALUE!</v>
      </c>
      <c r="V215" s="510">
        <v>1</v>
      </c>
      <c r="W215" s="510">
        <v>0</v>
      </c>
      <c r="X215" s="510">
        <v>0</v>
      </c>
      <c r="Y215" s="483">
        <v>1</v>
      </c>
      <c r="Z215" s="483">
        <v>1</v>
      </c>
      <c r="AA215" s="1847" t="e">
        <f t="shared" si="29"/>
        <v>#VALUE!</v>
      </c>
      <c r="AB215" s="1847">
        <f t="shared" si="30"/>
        <v>2</v>
      </c>
      <c r="AC215" s="1847">
        <f t="shared" si="31"/>
        <v>2.5</v>
      </c>
      <c r="AD215" s="1847" t="e">
        <f t="shared" si="32"/>
        <v>#VALUE!</v>
      </c>
      <c r="AE215" s="1847" t="e">
        <f t="shared" si="33"/>
        <v>#VALUE!</v>
      </c>
      <c r="AF215" s="1823" t="e">
        <f t="shared" si="34"/>
        <v>#VALUE!</v>
      </c>
      <c r="AG215" s="1769" t="e">
        <f t="shared" si="35"/>
        <v>#VALUE!</v>
      </c>
      <c r="AI215" t="s">
        <v>3948</v>
      </c>
    </row>
    <row r="216" spans="3:35" ht="24.95" customHeight="1">
      <c r="C216" s="491">
        <v>209</v>
      </c>
      <c r="D216" s="1847"/>
      <c r="E216" s="1847"/>
      <c r="F216" s="1847" t="s">
        <v>3949</v>
      </c>
      <c r="G216" s="1847" t="s">
        <v>3949</v>
      </c>
      <c r="H216" s="1847" t="s">
        <v>3782</v>
      </c>
      <c r="I216" s="1847"/>
      <c r="J216" s="1847" t="s">
        <v>3907</v>
      </c>
      <c r="K216" s="1847" t="s">
        <v>2795</v>
      </c>
      <c r="L216" s="1847" t="s">
        <v>3934</v>
      </c>
      <c r="M216" s="1847" t="s">
        <v>4101</v>
      </c>
      <c r="N216" s="1847"/>
      <c r="O216" s="1847"/>
      <c r="P216" s="1852">
        <v>1.75</v>
      </c>
      <c r="Q216" s="1852">
        <v>2</v>
      </c>
      <c r="R216" s="483" t="e">
        <f>IF(H216="","",SUMIFS('[1]1_group_totals'!$J$8:$J$10000,'[1]1_group_totals'!$C$8:$C$10000,C216))</f>
        <v>#VALUE!</v>
      </c>
      <c r="S216" s="483">
        <f t="shared" si="27"/>
        <v>69</v>
      </c>
      <c r="T216" s="483">
        <v>10</v>
      </c>
      <c r="U216" s="510" t="e">
        <f t="shared" si="28"/>
        <v>#VALUE!</v>
      </c>
      <c r="V216" s="510">
        <v>1</v>
      </c>
      <c r="W216" s="510">
        <v>0</v>
      </c>
      <c r="X216" s="510">
        <v>0</v>
      </c>
      <c r="Y216" s="483">
        <v>1</v>
      </c>
      <c r="Z216" s="483">
        <v>1</v>
      </c>
      <c r="AA216" s="1847" t="e">
        <f t="shared" si="29"/>
        <v>#VALUE!</v>
      </c>
      <c r="AB216" s="1847">
        <f t="shared" si="30"/>
        <v>0.17499999999999999</v>
      </c>
      <c r="AC216" s="1847">
        <f t="shared" si="31"/>
        <v>0.2</v>
      </c>
      <c r="AD216" s="1847" t="e">
        <f t="shared" si="32"/>
        <v>#VALUE!</v>
      </c>
      <c r="AE216" s="1847" t="e">
        <f t="shared" si="33"/>
        <v>#VALUE!</v>
      </c>
      <c r="AF216" s="1823" t="e">
        <f t="shared" si="34"/>
        <v>#VALUE!</v>
      </c>
      <c r="AG216" s="1769" t="e">
        <f t="shared" si="35"/>
        <v>#VALUE!</v>
      </c>
      <c r="AI216" t="s">
        <v>3949</v>
      </c>
    </row>
    <row r="217" spans="3:35" ht="24.95" customHeight="1">
      <c r="C217" s="491">
        <v>210</v>
      </c>
      <c r="D217" s="1847"/>
      <c r="E217" s="1847"/>
      <c r="F217" s="1847" t="s">
        <v>3950</v>
      </c>
      <c r="G217" s="1847" t="s">
        <v>3950</v>
      </c>
      <c r="H217" s="1847" t="s">
        <v>3783</v>
      </c>
      <c r="I217" s="1847"/>
      <c r="J217" s="1847" t="s">
        <v>2783</v>
      </c>
      <c r="K217" s="1847" t="s">
        <v>2795</v>
      </c>
      <c r="L217" s="1847" t="s">
        <v>2800</v>
      </c>
      <c r="M217" s="1847" t="s">
        <v>3937</v>
      </c>
      <c r="N217" s="1847"/>
      <c r="O217" s="1847"/>
      <c r="P217" s="1852">
        <v>0.12</v>
      </c>
      <c r="Q217" s="1852">
        <v>0.25</v>
      </c>
      <c r="R217" s="483" t="e">
        <f>IF(H217="","",SUMIFS('[1]1_group_totals'!$J$8:$J$10000,'[1]1_group_totals'!$C$8:$C$10000,C217))</f>
        <v>#VALUE!</v>
      </c>
      <c r="S217" s="483">
        <f t="shared" si="27"/>
        <v>2</v>
      </c>
      <c r="T217" s="483">
        <v>1</v>
      </c>
      <c r="U217" s="510" t="e">
        <f t="shared" si="28"/>
        <v>#VALUE!</v>
      </c>
      <c r="V217" s="510">
        <v>1</v>
      </c>
      <c r="W217" s="510">
        <v>0</v>
      </c>
      <c r="X217" s="510">
        <v>0</v>
      </c>
      <c r="Y217" s="483">
        <v>1</v>
      </c>
      <c r="Z217" s="483">
        <v>1</v>
      </c>
      <c r="AA217" s="1847" t="e">
        <f t="shared" si="29"/>
        <v>#VALUE!</v>
      </c>
      <c r="AB217" s="1847">
        <f t="shared" si="30"/>
        <v>0.12</v>
      </c>
      <c r="AC217" s="1847">
        <f t="shared" si="31"/>
        <v>0.25</v>
      </c>
      <c r="AD217" s="1847" t="e">
        <f t="shared" si="32"/>
        <v>#VALUE!</v>
      </c>
      <c r="AE217" s="1847" t="e">
        <f t="shared" si="33"/>
        <v>#VALUE!</v>
      </c>
      <c r="AF217" s="1823" t="e">
        <f t="shared" si="34"/>
        <v>#VALUE!</v>
      </c>
      <c r="AG217" s="1769" t="e">
        <f t="shared" si="35"/>
        <v>#VALUE!</v>
      </c>
      <c r="AI217" t="s">
        <v>3950</v>
      </c>
    </row>
    <row r="218" spans="3:35" ht="24.95" customHeight="1">
      <c r="C218" s="491">
        <v>211</v>
      </c>
      <c r="D218" s="1847"/>
      <c r="E218" s="1847"/>
      <c r="F218" s="1847" t="s">
        <v>3951</v>
      </c>
      <c r="G218" s="1847" t="s">
        <v>3951</v>
      </c>
      <c r="H218" s="1847" t="s">
        <v>3784</v>
      </c>
      <c r="I218" s="1847"/>
      <c r="J218" s="1847" t="s">
        <v>2783</v>
      </c>
      <c r="K218" s="1847" t="s">
        <v>2795</v>
      </c>
      <c r="L218" s="1847" t="s">
        <v>2800</v>
      </c>
      <c r="M218" s="1847" t="s">
        <v>3937</v>
      </c>
      <c r="N218" s="1847"/>
      <c r="O218" s="1847"/>
      <c r="P218" s="1852">
        <v>0.12</v>
      </c>
      <c r="Q218" s="1852">
        <v>0.25</v>
      </c>
      <c r="R218" s="483" t="e">
        <f>IF(H218="","",SUMIFS('[1]1_group_totals'!$J$8:$J$10000,'[1]1_group_totals'!$C$8:$C$10000,C218))</f>
        <v>#VALUE!</v>
      </c>
      <c r="S218" s="483">
        <f t="shared" si="27"/>
        <v>2</v>
      </c>
      <c r="T218" s="483">
        <v>1</v>
      </c>
      <c r="U218" s="510" t="e">
        <f t="shared" si="28"/>
        <v>#VALUE!</v>
      </c>
      <c r="V218" s="510">
        <v>1</v>
      </c>
      <c r="W218" s="510">
        <v>0</v>
      </c>
      <c r="X218" s="510">
        <v>0</v>
      </c>
      <c r="Y218" s="483">
        <v>1</v>
      </c>
      <c r="Z218" s="483">
        <v>1</v>
      </c>
      <c r="AA218" s="1847" t="e">
        <f t="shared" si="29"/>
        <v>#VALUE!</v>
      </c>
      <c r="AB218" s="1847">
        <f t="shared" si="30"/>
        <v>0.12</v>
      </c>
      <c r="AC218" s="1847">
        <f t="shared" si="31"/>
        <v>0.25</v>
      </c>
      <c r="AD218" s="1847" t="e">
        <f t="shared" si="32"/>
        <v>#VALUE!</v>
      </c>
      <c r="AE218" s="1847" t="e">
        <f t="shared" si="33"/>
        <v>#VALUE!</v>
      </c>
      <c r="AF218" s="1823" t="e">
        <f t="shared" si="34"/>
        <v>#VALUE!</v>
      </c>
      <c r="AG218" s="1769" t="e">
        <f t="shared" si="35"/>
        <v>#VALUE!</v>
      </c>
      <c r="AI218" t="s">
        <v>3951</v>
      </c>
    </row>
    <row r="219" spans="3:35" ht="24.95" customHeight="1">
      <c r="C219" s="491">
        <v>212</v>
      </c>
      <c r="D219" s="1847"/>
      <c r="E219" s="1847"/>
      <c r="F219" s="1847" t="s">
        <v>3952</v>
      </c>
      <c r="G219" s="1847" t="s">
        <v>3952</v>
      </c>
      <c r="H219" s="1847" t="s">
        <v>3785</v>
      </c>
      <c r="I219" s="1847"/>
      <c r="J219" s="1847" t="s">
        <v>2783</v>
      </c>
      <c r="K219" s="1847" t="s">
        <v>2795</v>
      </c>
      <c r="L219" s="1847" t="s">
        <v>3934</v>
      </c>
      <c r="M219" s="1847" t="s">
        <v>3937</v>
      </c>
      <c r="N219" s="1847"/>
      <c r="O219" s="1847"/>
      <c r="P219" s="1852">
        <v>0.9</v>
      </c>
      <c r="Q219" s="1852">
        <v>1.25</v>
      </c>
      <c r="R219" s="483" t="e">
        <f>IF(H219="","",SUMIFS('[1]1_group_totals'!$J$8:$J$10000,'[1]1_group_totals'!$C$8:$C$10000,C219))</f>
        <v>#VALUE!</v>
      </c>
      <c r="S219" s="483">
        <f t="shared" si="27"/>
        <v>2</v>
      </c>
      <c r="T219" s="483">
        <v>1</v>
      </c>
      <c r="U219" s="510" t="e">
        <f t="shared" si="28"/>
        <v>#VALUE!</v>
      </c>
      <c r="V219" s="510">
        <v>1</v>
      </c>
      <c r="W219" s="510">
        <v>0</v>
      </c>
      <c r="X219" s="510">
        <v>0</v>
      </c>
      <c r="Y219" s="483">
        <v>1</v>
      </c>
      <c r="Z219" s="483">
        <v>1</v>
      </c>
      <c r="AA219" s="1847" t="e">
        <f t="shared" si="29"/>
        <v>#VALUE!</v>
      </c>
      <c r="AB219" s="1847">
        <f t="shared" si="30"/>
        <v>0.9</v>
      </c>
      <c r="AC219" s="1847">
        <f t="shared" si="31"/>
        <v>1.25</v>
      </c>
      <c r="AD219" s="1847" t="e">
        <f t="shared" si="32"/>
        <v>#VALUE!</v>
      </c>
      <c r="AE219" s="1847" t="e">
        <f t="shared" si="33"/>
        <v>#VALUE!</v>
      </c>
      <c r="AF219" s="1823" t="e">
        <f t="shared" si="34"/>
        <v>#VALUE!</v>
      </c>
      <c r="AG219" s="1769" t="e">
        <f t="shared" si="35"/>
        <v>#VALUE!</v>
      </c>
      <c r="AI219" t="s">
        <v>3952</v>
      </c>
    </row>
    <row r="220" spans="3:35" ht="24.95" customHeight="1">
      <c r="C220" s="491">
        <v>213</v>
      </c>
      <c r="D220" s="1847"/>
      <c r="E220" s="1847"/>
      <c r="F220" s="1847" t="s">
        <v>3953</v>
      </c>
      <c r="G220" s="1847" t="s">
        <v>3953</v>
      </c>
      <c r="H220" s="1847" t="s">
        <v>3786</v>
      </c>
      <c r="I220" s="1847"/>
      <c r="J220" s="1847" t="s">
        <v>3908</v>
      </c>
      <c r="K220" s="1847" t="s">
        <v>2795</v>
      </c>
      <c r="L220" s="1847" t="s">
        <v>3934</v>
      </c>
      <c r="M220" s="1847" t="s">
        <v>3938</v>
      </c>
      <c r="N220" s="1847"/>
      <c r="O220" s="1847"/>
      <c r="P220" s="1852">
        <v>0.25</v>
      </c>
      <c r="Q220" s="1852">
        <v>0.5</v>
      </c>
      <c r="R220" s="483" t="e">
        <f>IF(H220="","",SUMIFS('[1]1_group_totals'!$J$8:$J$10000,'[1]1_group_totals'!$C$8:$C$10000,C220))</f>
        <v>#VALUE!</v>
      </c>
      <c r="S220" s="483">
        <f t="shared" si="27"/>
        <v>8</v>
      </c>
      <c r="T220" s="483">
        <v>1</v>
      </c>
      <c r="U220" s="510" t="e">
        <f t="shared" si="28"/>
        <v>#VALUE!</v>
      </c>
      <c r="V220" s="510">
        <v>1</v>
      </c>
      <c r="W220" s="510">
        <v>0</v>
      </c>
      <c r="X220" s="510">
        <v>0</v>
      </c>
      <c r="Y220" s="483">
        <v>1</v>
      </c>
      <c r="Z220" s="483">
        <v>1</v>
      </c>
      <c r="AA220" s="1847" t="e">
        <f t="shared" si="29"/>
        <v>#VALUE!</v>
      </c>
      <c r="AB220" s="1847">
        <f t="shared" si="30"/>
        <v>0.25</v>
      </c>
      <c r="AC220" s="1847">
        <f t="shared" si="31"/>
        <v>0.5</v>
      </c>
      <c r="AD220" s="1847" t="e">
        <f t="shared" si="32"/>
        <v>#VALUE!</v>
      </c>
      <c r="AE220" s="1847" t="e">
        <f t="shared" si="33"/>
        <v>#VALUE!</v>
      </c>
      <c r="AF220" s="1823" t="e">
        <f t="shared" si="34"/>
        <v>#VALUE!</v>
      </c>
      <c r="AG220" s="1769" t="e">
        <f t="shared" si="35"/>
        <v>#VALUE!</v>
      </c>
      <c r="AI220" t="s">
        <v>3953</v>
      </c>
    </row>
    <row r="221" spans="3:35" ht="24.95" customHeight="1">
      <c r="C221" s="491">
        <v>214</v>
      </c>
      <c r="D221" s="1847"/>
      <c r="E221" s="1847"/>
      <c r="F221" s="1847" t="s">
        <v>3954</v>
      </c>
      <c r="G221" s="1847" t="s">
        <v>3954</v>
      </c>
      <c r="H221" s="1847" t="s">
        <v>3787</v>
      </c>
      <c r="I221" s="1847"/>
      <c r="J221" s="1847" t="s">
        <v>3908</v>
      </c>
      <c r="K221" s="1847" t="s">
        <v>2795</v>
      </c>
      <c r="L221" s="1847" t="s">
        <v>3934</v>
      </c>
      <c r="M221" s="1847" t="s">
        <v>3938</v>
      </c>
      <c r="N221" s="1847"/>
      <c r="O221" s="1847"/>
      <c r="P221" s="1852">
        <v>0.35</v>
      </c>
      <c r="Q221" s="1852">
        <v>0.625</v>
      </c>
      <c r="R221" s="483" t="e">
        <f>IF(H221="","",SUMIFS('[1]1_group_totals'!$J$8:$J$10000,'[1]1_group_totals'!$C$8:$C$10000,C221))</f>
        <v>#VALUE!</v>
      </c>
      <c r="S221" s="483">
        <f t="shared" si="27"/>
        <v>8</v>
      </c>
      <c r="T221" s="483">
        <v>1</v>
      </c>
      <c r="U221" s="510" t="e">
        <f t="shared" si="28"/>
        <v>#VALUE!</v>
      </c>
      <c r="V221" s="510">
        <v>1</v>
      </c>
      <c r="W221" s="510">
        <v>0</v>
      </c>
      <c r="X221" s="510">
        <v>0</v>
      </c>
      <c r="Y221" s="483">
        <v>1</v>
      </c>
      <c r="Z221" s="483">
        <v>1</v>
      </c>
      <c r="AA221" s="1847" t="e">
        <f t="shared" si="29"/>
        <v>#VALUE!</v>
      </c>
      <c r="AB221" s="1847">
        <f t="shared" si="30"/>
        <v>0.35</v>
      </c>
      <c r="AC221" s="1847">
        <f t="shared" si="31"/>
        <v>0.625</v>
      </c>
      <c r="AD221" s="1847" t="e">
        <f t="shared" si="32"/>
        <v>#VALUE!</v>
      </c>
      <c r="AE221" s="1847" t="e">
        <f t="shared" si="33"/>
        <v>#VALUE!</v>
      </c>
      <c r="AF221" s="1823" t="e">
        <f t="shared" si="34"/>
        <v>#VALUE!</v>
      </c>
      <c r="AG221" s="1769" t="e">
        <f t="shared" si="35"/>
        <v>#VALUE!</v>
      </c>
      <c r="AI221" t="s">
        <v>3954</v>
      </c>
    </row>
    <row r="222" spans="3:35" ht="24.95" customHeight="1">
      <c r="C222" s="491">
        <v>215</v>
      </c>
      <c r="D222" s="1847"/>
      <c r="E222" s="1847"/>
      <c r="F222" s="1847" t="s">
        <v>3955</v>
      </c>
      <c r="G222" s="1847" t="s">
        <v>3955</v>
      </c>
      <c r="H222" s="1847" t="s">
        <v>3788</v>
      </c>
      <c r="I222" s="1847"/>
      <c r="J222" s="1847" t="s">
        <v>3908</v>
      </c>
      <c r="K222" s="1847" t="s">
        <v>2795</v>
      </c>
      <c r="L222" s="1847" t="s">
        <v>3934</v>
      </c>
      <c r="M222" s="1847" t="s">
        <v>3938</v>
      </c>
      <c r="N222" s="1847"/>
      <c r="O222" s="1847"/>
      <c r="P222" s="1852">
        <v>2</v>
      </c>
      <c r="Q222" s="1852">
        <v>2.5</v>
      </c>
      <c r="R222" s="483" t="e">
        <f>IF(H222="","",SUMIFS('[1]1_group_totals'!$J$8:$J$10000,'[1]1_group_totals'!$C$8:$C$10000,C222))</f>
        <v>#VALUE!</v>
      </c>
      <c r="S222" s="483">
        <f t="shared" si="27"/>
        <v>8</v>
      </c>
      <c r="T222" s="483">
        <v>1</v>
      </c>
      <c r="U222" s="510" t="e">
        <f t="shared" si="28"/>
        <v>#VALUE!</v>
      </c>
      <c r="V222" s="510">
        <v>1</v>
      </c>
      <c r="W222" s="510">
        <v>0</v>
      </c>
      <c r="X222" s="510">
        <v>0</v>
      </c>
      <c r="Y222" s="483">
        <v>1</v>
      </c>
      <c r="Z222" s="483">
        <v>1</v>
      </c>
      <c r="AA222" s="1847" t="e">
        <f t="shared" si="29"/>
        <v>#VALUE!</v>
      </c>
      <c r="AB222" s="1847">
        <f t="shared" si="30"/>
        <v>2</v>
      </c>
      <c r="AC222" s="1847">
        <f t="shared" si="31"/>
        <v>2.5</v>
      </c>
      <c r="AD222" s="1847" t="e">
        <f t="shared" si="32"/>
        <v>#VALUE!</v>
      </c>
      <c r="AE222" s="1847" t="e">
        <f t="shared" si="33"/>
        <v>#VALUE!</v>
      </c>
      <c r="AF222" s="1823" t="e">
        <f t="shared" si="34"/>
        <v>#VALUE!</v>
      </c>
      <c r="AG222" s="1769" t="e">
        <f t="shared" si="35"/>
        <v>#VALUE!</v>
      </c>
      <c r="AI222" t="s">
        <v>3955</v>
      </c>
    </row>
    <row r="223" spans="3:35" ht="24.95" customHeight="1">
      <c r="C223" s="491">
        <v>216</v>
      </c>
      <c r="D223" s="1847"/>
      <c r="E223" s="1847"/>
      <c r="F223" s="1847" t="s">
        <v>3956</v>
      </c>
      <c r="G223" s="1847" t="s">
        <v>3956</v>
      </c>
      <c r="H223" s="1847" t="s">
        <v>3789</v>
      </c>
      <c r="I223" s="1847"/>
      <c r="J223" s="1847" t="s">
        <v>3909</v>
      </c>
      <c r="K223" s="1847" t="s">
        <v>2795</v>
      </c>
      <c r="L223" s="1847" t="s">
        <v>3933</v>
      </c>
      <c r="M223" s="1847" t="s">
        <v>4102</v>
      </c>
      <c r="N223" s="1847"/>
      <c r="O223" s="1847"/>
      <c r="P223" s="1852">
        <v>4.5</v>
      </c>
      <c r="Q223" s="1852">
        <v>5</v>
      </c>
      <c r="R223" s="483" t="e">
        <f>IF(H223="","",SUMIFS('[1]1_group_totals'!$J$8:$J$10000,'[1]1_group_totals'!$C$8:$C$10000,C223))</f>
        <v>#VALUE!</v>
      </c>
      <c r="S223" s="483">
        <f t="shared" si="27"/>
        <v>65</v>
      </c>
      <c r="T223" s="483">
        <v>30</v>
      </c>
      <c r="U223" s="510" t="e">
        <f t="shared" si="28"/>
        <v>#VALUE!</v>
      </c>
      <c r="V223" s="510">
        <v>1</v>
      </c>
      <c r="W223" s="510">
        <v>0</v>
      </c>
      <c r="X223" s="510">
        <v>0</v>
      </c>
      <c r="Y223" s="483">
        <v>1</v>
      </c>
      <c r="Z223" s="483">
        <v>1</v>
      </c>
      <c r="AA223" s="1847" t="e">
        <f t="shared" si="29"/>
        <v>#VALUE!</v>
      </c>
      <c r="AB223" s="1847">
        <f t="shared" si="30"/>
        <v>0.15</v>
      </c>
      <c r="AC223" s="1847">
        <f t="shared" si="31"/>
        <v>0.16666666666666666</v>
      </c>
      <c r="AD223" s="1847" t="e">
        <f t="shared" si="32"/>
        <v>#VALUE!</v>
      </c>
      <c r="AE223" s="1847" t="e">
        <f t="shared" si="33"/>
        <v>#VALUE!</v>
      </c>
      <c r="AF223" s="1823" t="e">
        <f t="shared" si="34"/>
        <v>#VALUE!</v>
      </c>
      <c r="AG223" s="1769" t="e">
        <f t="shared" si="35"/>
        <v>#VALUE!</v>
      </c>
      <c r="AI223" t="s">
        <v>3956</v>
      </c>
    </row>
    <row r="224" spans="3:35" ht="24.95" customHeight="1">
      <c r="C224" s="491">
        <v>217</v>
      </c>
      <c r="D224" s="1847"/>
      <c r="E224" s="1847"/>
      <c r="F224" s="1847" t="s">
        <v>3957</v>
      </c>
      <c r="G224" s="1847" t="s">
        <v>3957</v>
      </c>
      <c r="H224" s="1847" t="s">
        <v>3790</v>
      </c>
      <c r="I224" s="1847"/>
      <c r="J224" s="1847" t="s">
        <v>2779</v>
      </c>
      <c r="K224" s="1847" t="s">
        <v>2795</v>
      </c>
      <c r="L224" s="1847" t="s">
        <v>3930</v>
      </c>
      <c r="M224" s="1847" t="s">
        <v>4097</v>
      </c>
      <c r="N224" s="1847"/>
      <c r="O224" s="1847"/>
      <c r="P224" s="1852">
        <v>6.5</v>
      </c>
      <c r="Q224" s="1852">
        <v>7</v>
      </c>
      <c r="R224" s="483" t="e">
        <f>IF(H224="","",SUMIFS('[1]1_group_totals'!$J$8:$J$10000,'[1]1_group_totals'!$C$8:$C$10000,C224))</f>
        <v>#VALUE!</v>
      </c>
      <c r="S224" s="483">
        <f t="shared" si="27"/>
        <v>49</v>
      </c>
      <c r="T224" s="483">
        <v>12</v>
      </c>
      <c r="U224" s="510" t="e">
        <f t="shared" si="28"/>
        <v>#VALUE!</v>
      </c>
      <c r="V224" s="510">
        <v>1</v>
      </c>
      <c r="W224" s="510">
        <v>0</v>
      </c>
      <c r="X224" s="510">
        <v>0</v>
      </c>
      <c r="Y224" s="483">
        <v>1</v>
      </c>
      <c r="Z224" s="483">
        <v>1</v>
      </c>
      <c r="AA224" s="1847" t="e">
        <f t="shared" si="29"/>
        <v>#VALUE!</v>
      </c>
      <c r="AB224" s="1847">
        <f t="shared" si="30"/>
        <v>0.54166666666666663</v>
      </c>
      <c r="AC224" s="1847">
        <f t="shared" si="31"/>
        <v>0.58333333333333337</v>
      </c>
      <c r="AD224" s="1847" t="e">
        <f t="shared" si="32"/>
        <v>#VALUE!</v>
      </c>
      <c r="AE224" s="1847" t="e">
        <f t="shared" si="33"/>
        <v>#VALUE!</v>
      </c>
      <c r="AF224" s="1823" t="e">
        <f t="shared" si="34"/>
        <v>#VALUE!</v>
      </c>
      <c r="AG224" s="1769" t="e">
        <f t="shared" si="35"/>
        <v>#VALUE!</v>
      </c>
      <c r="AI224" t="s">
        <v>3957</v>
      </c>
    </row>
    <row r="225" spans="3:35" ht="24.95" customHeight="1">
      <c r="C225" s="491">
        <v>218</v>
      </c>
      <c r="D225" s="1847"/>
      <c r="E225" s="1847"/>
      <c r="F225" s="1847" t="s">
        <v>3958</v>
      </c>
      <c r="G225" s="1847" t="s">
        <v>3958</v>
      </c>
      <c r="H225" s="1847" t="s">
        <v>3791</v>
      </c>
      <c r="I225" s="1847"/>
      <c r="J225" s="1847" t="s">
        <v>2783</v>
      </c>
      <c r="K225" s="1847" t="s">
        <v>2795</v>
      </c>
      <c r="L225" s="1847" t="s">
        <v>2799</v>
      </c>
      <c r="M225" s="1847" t="s">
        <v>3937</v>
      </c>
      <c r="N225" s="1847"/>
      <c r="O225" s="1847"/>
      <c r="P225" s="1852">
        <v>3.5</v>
      </c>
      <c r="Q225" s="1852">
        <v>4</v>
      </c>
      <c r="R225" s="483" t="e">
        <f>IF(H225="","",SUMIFS('[1]1_group_totals'!$J$8:$J$10000,'[1]1_group_totals'!$C$8:$C$10000,C225))</f>
        <v>#VALUE!</v>
      </c>
      <c r="S225" s="483">
        <f t="shared" si="27"/>
        <v>2</v>
      </c>
      <c r="T225" s="483">
        <v>1</v>
      </c>
      <c r="U225" s="510" t="e">
        <f t="shared" si="28"/>
        <v>#VALUE!</v>
      </c>
      <c r="V225" s="510">
        <v>1</v>
      </c>
      <c r="W225" s="510">
        <v>0</v>
      </c>
      <c r="X225" s="510">
        <v>0</v>
      </c>
      <c r="Y225" s="483">
        <v>1</v>
      </c>
      <c r="Z225" s="483">
        <v>1</v>
      </c>
      <c r="AA225" s="1847" t="e">
        <f t="shared" si="29"/>
        <v>#VALUE!</v>
      </c>
      <c r="AB225" s="1847">
        <f t="shared" si="30"/>
        <v>3.5</v>
      </c>
      <c r="AC225" s="1847">
        <f t="shared" si="31"/>
        <v>4</v>
      </c>
      <c r="AD225" s="1847" t="e">
        <f t="shared" si="32"/>
        <v>#VALUE!</v>
      </c>
      <c r="AE225" s="1847" t="e">
        <f t="shared" si="33"/>
        <v>#VALUE!</v>
      </c>
      <c r="AF225" s="1823" t="e">
        <f t="shared" si="34"/>
        <v>#VALUE!</v>
      </c>
      <c r="AG225" s="1769" t="e">
        <f t="shared" si="35"/>
        <v>#VALUE!</v>
      </c>
      <c r="AI225" t="s">
        <v>3958</v>
      </c>
    </row>
    <row r="226" spans="3:35" ht="24.95" customHeight="1">
      <c r="C226" s="491">
        <v>219</v>
      </c>
      <c r="D226" s="1847"/>
      <c r="E226" s="1847"/>
      <c r="F226" s="1847" t="s">
        <v>3959</v>
      </c>
      <c r="G226" s="1847" t="s">
        <v>3959</v>
      </c>
      <c r="H226" s="1847" t="s">
        <v>3792</v>
      </c>
      <c r="I226" s="1847"/>
      <c r="J226" s="1847" t="s">
        <v>3910</v>
      </c>
      <c r="K226" s="1847" t="s">
        <v>2795</v>
      </c>
      <c r="L226" s="1847" t="s">
        <v>2799</v>
      </c>
      <c r="M226" s="1847" t="s">
        <v>4103</v>
      </c>
      <c r="N226" s="1847"/>
      <c r="O226" s="1847"/>
      <c r="P226" s="1852">
        <v>11</v>
      </c>
      <c r="Q226" s="1852">
        <v>13</v>
      </c>
      <c r="R226" s="483" t="e">
        <f>IF(H226="","",SUMIFS('[1]1_group_totals'!$J$8:$J$10000,'[1]1_group_totals'!$C$8:$C$10000,C226))</f>
        <v>#VALUE!</v>
      </c>
      <c r="S226" s="483">
        <f t="shared" si="27"/>
        <v>57</v>
      </c>
      <c r="T226" s="483">
        <v>50</v>
      </c>
      <c r="U226" s="510" t="e">
        <f t="shared" si="28"/>
        <v>#VALUE!</v>
      </c>
      <c r="V226" s="510">
        <v>1</v>
      </c>
      <c r="W226" s="510">
        <v>0</v>
      </c>
      <c r="X226" s="510">
        <v>0</v>
      </c>
      <c r="Y226" s="483">
        <v>1</v>
      </c>
      <c r="Z226" s="483">
        <v>1</v>
      </c>
      <c r="AA226" s="1847" t="e">
        <f t="shared" si="29"/>
        <v>#VALUE!</v>
      </c>
      <c r="AB226" s="1847">
        <f t="shared" si="30"/>
        <v>0.22</v>
      </c>
      <c r="AC226" s="1847">
        <f t="shared" si="31"/>
        <v>0.26</v>
      </c>
      <c r="AD226" s="1847" t="e">
        <f t="shared" si="32"/>
        <v>#VALUE!</v>
      </c>
      <c r="AE226" s="1847" t="e">
        <f t="shared" si="33"/>
        <v>#VALUE!</v>
      </c>
      <c r="AF226" s="1823" t="e">
        <f t="shared" si="34"/>
        <v>#VALUE!</v>
      </c>
      <c r="AG226" s="1769" t="e">
        <f t="shared" si="35"/>
        <v>#VALUE!</v>
      </c>
      <c r="AI226" t="s">
        <v>3959</v>
      </c>
    </row>
    <row r="227" spans="3:35" ht="24.95" customHeight="1">
      <c r="C227" s="491">
        <v>220</v>
      </c>
      <c r="D227" s="1847"/>
      <c r="E227" s="1847"/>
      <c r="F227" s="1847" t="s">
        <v>3960</v>
      </c>
      <c r="G227" s="1847" t="s">
        <v>3960</v>
      </c>
      <c r="H227" s="1847" t="s">
        <v>3793</v>
      </c>
      <c r="I227" s="1847"/>
      <c r="J227" s="1847" t="s">
        <v>2632</v>
      </c>
      <c r="K227" s="1847" t="s">
        <v>2795</v>
      </c>
      <c r="L227" s="1847" t="s">
        <v>3933</v>
      </c>
      <c r="M227" s="1847" t="s">
        <v>4077</v>
      </c>
      <c r="N227" s="1847"/>
      <c r="O227" s="1847"/>
      <c r="P227" s="1852">
        <v>34</v>
      </c>
      <c r="Q227" s="1852">
        <v>35</v>
      </c>
      <c r="R227" s="483" t="e">
        <f>IF(H227="","",SUMIFS('[1]1_group_totals'!$J$8:$J$10000,'[1]1_group_totals'!$C$8:$C$10000,C227))</f>
        <v>#VALUE!</v>
      </c>
      <c r="S227" s="483">
        <f t="shared" si="27"/>
        <v>26</v>
      </c>
      <c r="T227" s="483">
        <v>12</v>
      </c>
      <c r="U227" s="510" t="e">
        <f t="shared" si="28"/>
        <v>#VALUE!</v>
      </c>
      <c r="V227" s="510">
        <v>1</v>
      </c>
      <c r="W227" s="510">
        <v>0</v>
      </c>
      <c r="X227" s="510">
        <v>0</v>
      </c>
      <c r="Y227" s="483">
        <v>1</v>
      </c>
      <c r="Z227" s="483">
        <v>1</v>
      </c>
      <c r="AA227" s="1847" t="e">
        <f t="shared" si="29"/>
        <v>#VALUE!</v>
      </c>
      <c r="AB227" s="1847">
        <f t="shared" si="30"/>
        <v>2.8333333333333335</v>
      </c>
      <c r="AC227" s="1847">
        <f t="shared" si="31"/>
        <v>2.9166666666666665</v>
      </c>
      <c r="AD227" s="1847" t="e">
        <f t="shared" si="32"/>
        <v>#VALUE!</v>
      </c>
      <c r="AE227" s="1847" t="e">
        <f t="shared" si="33"/>
        <v>#VALUE!</v>
      </c>
      <c r="AF227" s="1823" t="e">
        <f t="shared" si="34"/>
        <v>#VALUE!</v>
      </c>
      <c r="AG227" s="1769" t="e">
        <f t="shared" si="35"/>
        <v>#VALUE!</v>
      </c>
      <c r="AI227" t="s">
        <v>3960</v>
      </c>
    </row>
    <row r="228" spans="3:35" ht="24.95" customHeight="1">
      <c r="C228" s="491">
        <v>221</v>
      </c>
      <c r="D228" s="1847"/>
      <c r="E228" s="1847"/>
      <c r="F228" s="1847" t="s">
        <v>3961</v>
      </c>
      <c r="G228" s="1847" t="s">
        <v>3961</v>
      </c>
      <c r="H228" s="1847" t="s">
        <v>3794</v>
      </c>
      <c r="I228" s="1847"/>
      <c r="J228" s="1847" t="s">
        <v>3911</v>
      </c>
      <c r="K228" s="1847" t="s">
        <v>2795</v>
      </c>
      <c r="L228" s="1847" t="s">
        <v>3933</v>
      </c>
      <c r="M228" s="1847" t="s">
        <v>4104</v>
      </c>
      <c r="N228" s="1847"/>
      <c r="O228" s="1847"/>
      <c r="P228" s="1852">
        <v>120</v>
      </c>
      <c r="Q228" s="1852">
        <v>135</v>
      </c>
      <c r="R228" s="483" t="e">
        <f>IF(H228="","",SUMIFS('[1]1_group_totals'!$J$8:$J$10000,'[1]1_group_totals'!$C$8:$C$10000,C228))</f>
        <v>#VALUE!</v>
      </c>
      <c r="S228" s="483">
        <f t="shared" si="27"/>
        <v>62</v>
      </c>
      <c r="T228" s="483">
        <v>80</v>
      </c>
      <c r="U228" s="510" t="e">
        <f t="shared" si="28"/>
        <v>#VALUE!</v>
      </c>
      <c r="V228" s="510">
        <v>1</v>
      </c>
      <c r="W228" s="510">
        <v>0</v>
      </c>
      <c r="X228" s="510">
        <v>0</v>
      </c>
      <c r="Y228" s="483">
        <v>1</v>
      </c>
      <c r="Z228" s="483">
        <v>1</v>
      </c>
      <c r="AA228" s="1847" t="e">
        <f t="shared" si="29"/>
        <v>#VALUE!</v>
      </c>
      <c r="AB228" s="1847">
        <f t="shared" si="30"/>
        <v>1.5</v>
      </c>
      <c r="AC228" s="1847">
        <f t="shared" si="31"/>
        <v>1.6875</v>
      </c>
      <c r="AD228" s="1847" t="e">
        <f t="shared" si="32"/>
        <v>#VALUE!</v>
      </c>
      <c r="AE228" s="1847" t="e">
        <f t="shared" si="33"/>
        <v>#VALUE!</v>
      </c>
      <c r="AF228" s="1823" t="e">
        <f t="shared" si="34"/>
        <v>#VALUE!</v>
      </c>
      <c r="AG228" s="1769" t="e">
        <f t="shared" si="35"/>
        <v>#VALUE!</v>
      </c>
      <c r="AI228" t="s">
        <v>3961</v>
      </c>
    </row>
    <row r="229" spans="3:35" ht="24.95" customHeight="1">
      <c r="C229" s="491">
        <v>222</v>
      </c>
      <c r="D229" s="1847"/>
      <c r="E229" s="1847"/>
      <c r="F229" s="1847" t="s">
        <v>3962</v>
      </c>
      <c r="G229" s="1847" t="s">
        <v>3962</v>
      </c>
      <c r="H229" s="1847" t="s">
        <v>3795</v>
      </c>
      <c r="I229" s="1847"/>
      <c r="J229" s="1847" t="s">
        <v>3912</v>
      </c>
      <c r="K229" s="1847" t="s">
        <v>2795</v>
      </c>
      <c r="L229" s="1847" t="s">
        <v>3933</v>
      </c>
      <c r="M229" s="1847" t="s">
        <v>4105</v>
      </c>
      <c r="N229" s="1847"/>
      <c r="O229" s="1847"/>
      <c r="P229" s="1852">
        <v>45</v>
      </c>
      <c r="Q229" s="1852">
        <v>46</v>
      </c>
      <c r="R229" s="483" t="e">
        <f>IF(H229="","",SUMIFS('[1]1_group_totals'!$J$8:$J$10000,'[1]1_group_totals'!$C$8:$C$10000,C229))</f>
        <v>#VALUE!</v>
      </c>
      <c r="S229" s="483">
        <f t="shared" si="27"/>
        <v>60</v>
      </c>
      <c r="T229" s="483">
        <v>30</v>
      </c>
      <c r="U229" s="510" t="e">
        <f t="shared" si="28"/>
        <v>#VALUE!</v>
      </c>
      <c r="V229" s="510">
        <v>1</v>
      </c>
      <c r="W229" s="510">
        <v>0</v>
      </c>
      <c r="X229" s="510">
        <v>0</v>
      </c>
      <c r="Y229" s="483">
        <v>1</v>
      </c>
      <c r="Z229" s="483">
        <v>1</v>
      </c>
      <c r="AA229" s="1847" t="e">
        <f t="shared" si="29"/>
        <v>#VALUE!</v>
      </c>
      <c r="AB229" s="1847">
        <f t="shared" si="30"/>
        <v>1.5</v>
      </c>
      <c r="AC229" s="1847">
        <f t="shared" si="31"/>
        <v>1.5333333333333334</v>
      </c>
      <c r="AD229" s="1847" t="e">
        <f t="shared" si="32"/>
        <v>#VALUE!</v>
      </c>
      <c r="AE229" s="1847" t="e">
        <f t="shared" si="33"/>
        <v>#VALUE!</v>
      </c>
      <c r="AF229" s="1823" t="e">
        <f t="shared" si="34"/>
        <v>#VALUE!</v>
      </c>
      <c r="AG229" s="1769" t="e">
        <f t="shared" si="35"/>
        <v>#VALUE!</v>
      </c>
      <c r="AI229" t="s">
        <v>3962</v>
      </c>
    </row>
    <row r="230" spans="3:35" ht="24.95" customHeight="1">
      <c r="C230" s="491">
        <v>223</v>
      </c>
      <c r="D230" s="1847"/>
      <c r="E230" s="1847"/>
      <c r="F230" s="1847" t="s">
        <v>3963</v>
      </c>
      <c r="G230" s="1847" t="s">
        <v>3963</v>
      </c>
      <c r="H230" s="1847" t="s">
        <v>3796</v>
      </c>
      <c r="I230" s="1847"/>
      <c r="J230" s="1847" t="s">
        <v>2783</v>
      </c>
      <c r="K230" s="1847" t="s">
        <v>2795</v>
      </c>
      <c r="L230" s="1847" t="s">
        <v>3933</v>
      </c>
      <c r="M230" s="1847" t="s">
        <v>3937</v>
      </c>
      <c r="N230" s="1847"/>
      <c r="O230" s="1847"/>
      <c r="P230" s="1852">
        <v>3.3</v>
      </c>
      <c r="Q230" s="1852">
        <v>5</v>
      </c>
      <c r="R230" s="483" t="e">
        <f>IF(H230="","",SUMIFS('[1]1_group_totals'!$J$8:$J$10000,'[1]1_group_totals'!$C$8:$C$10000,C230))</f>
        <v>#VALUE!</v>
      </c>
      <c r="S230" s="483">
        <f t="shared" si="27"/>
        <v>2</v>
      </c>
      <c r="T230" s="483">
        <v>1</v>
      </c>
      <c r="U230" s="510" t="e">
        <f t="shared" si="28"/>
        <v>#VALUE!</v>
      </c>
      <c r="V230" s="510">
        <v>1</v>
      </c>
      <c r="W230" s="510">
        <v>0</v>
      </c>
      <c r="X230" s="510">
        <v>0</v>
      </c>
      <c r="Y230" s="483">
        <v>1</v>
      </c>
      <c r="Z230" s="483">
        <v>1</v>
      </c>
      <c r="AA230" s="1847" t="e">
        <f t="shared" si="29"/>
        <v>#VALUE!</v>
      </c>
      <c r="AB230" s="1847">
        <f t="shared" si="30"/>
        <v>3.3</v>
      </c>
      <c r="AC230" s="1847">
        <f t="shared" si="31"/>
        <v>5</v>
      </c>
      <c r="AD230" s="1847" t="e">
        <f t="shared" si="32"/>
        <v>#VALUE!</v>
      </c>
      <c r="AE230" s="1847" t="e">
        <f t="shared" si="33"/>
        <v>#VALUE!</v>
      </c>
      <c r="AF230" s="1823" t="e">
        <f t="shared" si="34"/>
        <v>#VALUE!</v>
      </c>
      <c r="AG230" s="1769" t="e">
        <f t="shared" si="35"/>
        <v>#VALUE!</v>
      </c>
      <c r="AI230" t="s">
        <v>3963</v>
      </c>
    </row>
    <row r="231" spans="3:35" ht="24.95" customHeight="1">
      <c r="C231" s="491">
        <v>224</v>
      </c>
      <c r="D231" s="1847"/>
      <c r="E231" s="1847"/>
      <c r="F231" s="1847" t="s">
        <v>3964</v>
      </c>
      <c r="G231" s="1847" t="s">
        <v>3964</v>
      </c>
      <c r="H231" s="1847" t="s">
        <v>3797</v>
      </c>
      <c r="I231" s="1847"/>
      <c r="J231" s="1847" t="s">
        <v>2783</v>
      </c>
      <c r="K231" s="1847" t="s">
        <v>2795</v>
      </c>
      <c r="L231" s="1847" t="s">
        <v>3933</v>
      </c>
      <c r="M231" s="1847" t="s">
        <v>3937</v>
      </c>
      <c r="N231" s="1847"/>
      <c r="O231" s="1847"/>
      <c r="P231" s="1852">
        <v>1.5</v>
      </c>
      <c r="Q231" s="1852">
        <v>2</v>
      </c>
      <c r="R231" s="483" t="e">
        <f>IF(H231="","",SUMIFS('[1]1_group_totals'!$J$8:$J$10000,'[1]1_group_totals'!$C$8:$C$10000,C231))</f>
        <v>#VALUE!</v>
      </c>
      <c r="S231" s="483">
        <f t="shared" si="27"/>
        <v>2</v>
      </c>
      <c r="T231" s="483">
        <v>1</v>
      </c>
      <c r="U231" s="510" t="e">
        <f t="shared" si="28"/>
        <v>#VALUE!</v>
      </c>
      <c r="V231" s="510">
        <v>1</v>
      </c>
      <c r="W231" s="510">
        <v>0</v>
      </c>
      <c r="X231" s="510">
        <v>0</v>
      </c>
      <c r="Y231" s="483">
        <v>1</v>
      </c>
      <c r="Z231" s="483">
        <v>1</v>
      </c>
      <c r="AA231" s="1847" t="e">
        <f t="shared" si="29"/>
        <v>#VALUE!</v>
      </c>
      <c r="AB231" s="1847">
        <f t="shared" si="30"/>
        <v>1.5</v>
      </c>
      <c r="AC231" s="1847">
        <f t="shared" si="31"/>
        <v>2</v>
      </c>
      <c r="AD231" s="1847" t="e">
        <f t="shared" si="32"/>
        <v>#VALUE!</v>
      </c>
      <c r="AE231" s="1847" t="e">
        <f t="shared" si="33"/>
        <v>#VALUE!</v>
      </c>
      <c r="AF231" s="1823" t="e">
        <f t="shared" si="34"/>
        <v>#VALUE!</v>
      </c>
      <c r="AG231" s="1769" t="e">
        <f t="shared" si="35"/>
        <v>#VALUE!</v>
      </c>
      <c r="AI231" t="s">
        <v>3964</v>
      </c>
    </row>
    <row r="232" spans="3:35" ht="24.95" customHeight="1">
      <c r="C232" s="491">
        <v>225</v>
      </c>
      <c r="D232" s="1847"/>
      <c r="E232" s="1847"/>
      <c r="F232" s="1847" t="s">
        <v>3965</v>
      </c>
      <c r="G232" s="1847" t="s">
        <v>3965</v>
      </c>
      <c r="H232" s="1847" t="s">
        <v>3798</v>
      </c>
      <c r="I232" s="1847"/>
      <c r="J232" s="1847" t="s">
        <v>3907</v>
      </c>
      <c r="K232" s="1847" t="s">
        <v>2795</v>
      </c>
      <c r="L232" s="1847" t="s">
        <v>2799</v>
      </c>
      <c r="M232" s="1847" t="s">
        <v>4101</v>
      </c>
      <c r="N232" s="1847"/>
      <c r="O232" s="1847"/>
      <c r="P232" s="1852">
        <v>3.5</v>
      </c>
      <c r="Q232" s="1852">
        <v>4.5</v>
      </c>
      <c r="R232" s="483" t="e">
        <f>IF(H232="","",SUMIFS('[1]1_group_totals'!$J$8:$J$10000,'[1]1_group_totals'!$C$8:$C$10000,C232))</f>
        <v>#VALUE!</v>
      </c>
      <c r="S232" s="483">
        <f t="shared" si="27"/>
        <v>69</v>
      </c>
      <c r="T232" s="483">
        <v>10</v>
      </c>
      <c r="U232" s="510" t="e">
        <f t="shared" si="28"/>
        <v>#VALUE!</v>
      </c>
      <c r="V232" s="510">
        <v>1</v>
      </c>
      <c r="W232" s="510">
        <v>0</v>
      </c>
      <c r="X232" s="510">
        <v>0</v>
      </c>
      <c r="Y232" s="483">
        <v>1</v>
      </c>
      <c r="Z232" s="483">
        <v>1</v>
      </c>
      <c r="AA232" s="1847" t="e">
        <f t="shared" si="29"/>
        <v>#VALUE!</v>
      </c>
      <c r="AB232" s="1847">
        <f t="shared" si="30"/>
        <v>0.35</v>
      </c>
      <c r="AC232" s="1847">
        <f t="shared" si="31"/>
        <v>0.45</v>
      </c>
      <c r="AD232" s="1847" t="e">
        <f t="shared" si="32"/>
        <v>#VALUE!</v>
      </c>
      <c r="AE232" s="1847" t="e">
        <f t="shared" si="33"/>
        <v>#VALUE!</v>
      </c>
      <c r="AF232" s="1823" t="e">
        <f t="shared" si="34"/>
        <v>#VALUE!</v>
      </c>
      <c r="AG232" s="1769" t="e">
        <f t="shared" si="35"/>
        <v>#VALUE!</v>
      </c>
      <c r="AI232" t="s">
        <v>3965</v>
      </c>
    </row>
    <row r="233" spans="3:35" ht="24.95" customHeight="1">
      <c r="C233" s="491">
        <v>226</v>
      </c>
      <c r="D233" s="1847"/>
      <c r="E233" s="1847"/>
      <c r="F233" s="1847" t="s">
        <v>3966</v>
      </c>
      <c r="G233" s="1847" t="s">
        <v>3966</v>
      </c>
      <c r="H233" s="1847" t="s">
        <v>3799</v>
      </c>
      <c r="I233" s="1847"/>
      <c r="J233" s="1847" t="s">
        <v>3907</v>
      </c>
      <c r="K233" s="1847" t="s">
        <v>2795</v>
      </c>
      <c r="L233" s="1847" t="s">
        <v>2799</v>
      </c>
      <c r="M233" s="1847" t="s">
        <v>4101</v>
      </c>
      <c r="N233" s="1847"/>
      <c r="O233" s="1847"/>
      <c r="P233" s="1852">
        <v>3.5</v>
      </c>
      <c r="Q233" s="1852">
        <v>4.5</v>
      </c>
      <c r="R233" s="483" t="e">
        <f>IF(H233="","",SUMIFS('[1]1_group_totals'!$J$8:$J$10000,'[1]1_group_totals'!$C$8:$C$10000,C233))</f>
        <v>#VALUE!</v>
      </c>
      <c r="S233" s="483">
        <f t="shared" si="27"/>
        <v>69</v>
      </c>
      <c r="T233" s="483">
        <v>10</v>
      </c>
      <c r="U233" s="510" t="e">
        <f t="shared" si="28"/>
        <v>#VALUE!</v>
      </c>
      <c r="V233" s="510">
        <v>1</v>
      </c>
      <c r="W233" s="510">
        <v>0</v>
      </c>
      <c r="X233" s="510">
        <v>0</v>
      </c>
      <c r="Y233" s="483">
        <v>1</v>
      </c>
      <c r="Z233" s="483">
        <v>1</v>
      </c>
      <c r="AA233" s="1847" t="e">
        <f t="shared" si="29"/>
        <v>#VALUE!</v>
      </c>
      <c r="AB233" s="1847">
        <f t="shared" si="30"/>
        <v>0.35</v>
      </c>
      <c r="AC233" s="1847">
        <f t="shared" si="31"/>
        <v>0.45</v>
      </c>
      <c r="AD233" s="1847" t="e">
        <f t="shared" si="32"/>
        <v>#VALUE!</v>
      </c>
      <c r="AE233" s="1847" t="e">
        <f t="shared" si="33"/>
        <v>#VALUE!</v>
      </c>
      <c r="AF233" s="1823" t="e">
        <f t="shared" si="34"/>
        <v>#VALUE!</v>
      </c>
      <c r="AG233" s="1769" t="e">
        <f t="shared" si="35"/>
        <v>#VALUE!</v>
      </c>
      <c r="AI233" t="s">
        <v>3966</v>
      </c>
    </row>
    <row r="234" spans="3:35" ht="24.95" customHeight="1">
      <c r="C234" s="491">
        <v>227</v>
      </c>
      <c r="D234" s="1847"/>
      <c r="E234" s="1847"/>
      <c r="F234" s="1847" t="s">
        <v>3967</v>
      </c>
      <c r="G234" s="1847" t="s">
        <v>3967</v>
      </c>
      <c r="H234" s="1847" t="s">
        <v>3800</v>
      </c>
      <c r="I234" s="1847"/>
      <c r="J234" s="1847" t="s">
        <v>3907</v>
      </c>
      <c r="K234" s="1847" t="s">
        <v>2795</v>
      </c>
      <c r="L234" s="1847" t="s">
        <v>2799</v>
      </c>
      <c r="M234" s="1847" t="s">
        <v>4101</v>
      </c>
      <c r="N234" s="1847"/>
      <c r="O234" s="1847"/>
      <c r="P234" s="1852">
        <v>4</v>
      </c>
      <c r="Q234" s="1852">
        <v>5</v>
      </c>
      <c r="R234" s="483" t="e">
        <f>IF(H234="","",SUMIFS('[1]1_group_totals'!$J$8:$J$10000,'[1]1_group_totals'!$C$8:$C$10000,C234))</f>
        <v>#VALUE!</v>
      </c>
      <c r="S234" s="483">
        <f t="shared" si="27"/>
        <v>69</v>
      </c>
      <c r="T234" s="483">
        <v>10</v>
      </c>
      <c r="U234" s="510" t="e">
        <f t="shared" si="28"/>
        <v>#VALUE!</v>
      </c>
      <c r="V234" s="510">
        <v>1</v>
      </c>
      <c r="W234" s="510">
        <v>0</v>
      </c>
      <c r="X234" s="510">
        <v>0</v>
      </c>
      <c r="Y234" s="483">
        <v>1</v>
      </c>
      <c r="Z234" s="483">
        <v>1</v>
      </c>
      <c r="AA234" s="1847" t="e">
        <f t="shared" si="29"/>
        <v>#VALUE!</v>
      </c>
      <c r="AB234" s="1847">
        <f t="shared" si="30"/>
        <v>0.4</v>
      </c>
      <c r="AC234" s="1847">
        <f t="shared" si="31"/>
        <v>0.5</v>
      </c>
      <c r="AD234" s="1847" t="e">
        <f t="shared" si="32"/>
        <v>#VALUE!</v>
      </c>
      <c r="AE234" s="1847" t="e">
        <f t="shared" si="33"/>
        <v>#VALUE!</v>
      </c>
      <c r="AF234" s="1823" t="e">
        <f t="shared" si="34"/>
        <v>#VALUE!</v>
      </c>
      <c r="AG234" s="1769" t="e">
        <f t="shared" si="35"/>
        <v>#VALUE!</v>
      </c>
      <c r="AI234" t="s">
        <v>3967</v>
      </c>
    </row>
    <row r="235" spans="3:35" ht="24.95" customHeight="1">
      <c r="C235" s="491">
        <v>228</v>
      </c>
      <c r="D235" s="1847"/>
      <c r="E235" s="1847"/>
      <c r="F235" s="1847" t="s">
        <v>3968</v>
      </c>
      <c r="G235" s="1847" t="s">
        <v>3968</v>
      </c>
      <c r="H235" s="1847" t="s">
        <v>3801</v>
      </c>
      <c r="I235" s="1847"/>
      <c r="J235" s="1847" t="s">
        <v>3907</v>
      </c>
      <c r="K235" s="1847" t="s">
        <v>2795</v>
      </c>
      <c r="L235" s="1847" t="s">
        <v>2799</v>
      </c>
      <c r="M235" s="1847" t="s">
        <v>4101</v>
      </c>
      <c r="N235" s="1847"/>
      <c r="O235" s="1847"/>
      <c r="P235" s="1852">
        <v>4</v>
      </c>
      <c r="Q235" s="1852">
        <v>5</v>
      </c>
      <c r="R235" s="483" t="e">
        <f>IF(H235="","",SUMIFS('[1]1_group_totals'!$J$8:$J$10000,'[1]1_group_totals'!$C$8:$C$10000,C235))</f>
        <v>#VALUE!</v>
      </c>
      <c r="S235" s="483">
        <f t="shared" si="27"/>
        <v>69</v>
      </c>
      <c r="T235" s="483">
        <v>10</v>
      </c>
      <c r="U235" s="510" t="e">
        <f t="shared" si="28"/>
        <v>#VALUE!</v>
      </c>
      <c r="V235" s="510">
        <v>1</v>
      </c>
      <c r="W235" s="510">
        <v>0</v>
      </c>
      <c r="X235" s="510">
        <v>0</v>
      </c>
      <c r="Y235" s="483">
        <v>1</v>
      </c>
      <c r="Z235" s="483">
        <v>1</v>
      </c>
      <c r="AA235" s="1847" t="e">
        <f t="shared" si="29"/>
        <v>#VALUE!</v>
      </c>
      <c r="AB235" s="1847">
        <f t="shared" si="30"/>
        <v>0.4</v>
      </c>
      <c r="AC235" s="1847">
        <f t="shared" si="31"/>
        <v>0.5</v>
      </c>
      <c r="AD235" s="1847" t="e">
        <f t="shared" si="32"/>
        <v>#VALUE!</v>
      </c>
      <c r="AE235" s="1847" t="e">
        <f t="shared" si="33"/>
        <v>#VALUE!</v>
      </c>
      <c r="AF235" s="1823" t="e">
        <f t="shared" si="34"/>
        <v>#VALUE!</v>
      </c>
      <c r="AG235" s="1769" t="e">
        <f t="shared" si="35"/>
        <v>#VALUE!</v>
      </c>
      <c r="AI235" t="s">
        <v>3968</v>
      </c>
    </row>
    <row r="236" spans="3:35" ht="24.95" customHeight="1">
      <c r="C236" s="491">
        <v>229</v>
      </c>
      <c r="D236" s="1847"/>
      <c r="E236" s="1847"/>
      <c r="F236" s="1847" t="s">
        <v>3969</v>
      </c>
      <c r="G236" s="1847" t="s">
        <v>3969</v>
      </c>
      <c r="H236" s="1847" t="s">
        <v>3802</v>
      </c>
      <c r="I236" s="1847"/>
      <c r="J236" s="1847" t="s">
        <v>2783</v>
      </c>
      <c r="K236" s="1847" t="s">
        <v>2795</v>
      </c>
      <c r="L236" s="1847" t="s">
        <v>3933</v>
      </c>
      <c r="M236" s="1847" t="s">
        <v>3937</v>
      </c>
      <c r="N236" s="1847"/>
      <c r="O236" s="1847"/>
      <c r="P236" s="1852">
        <v>1</v>
      </c>
      <c r="Q236" s="1852">
        <v>1.5</v>
      </c>
      <c r="R236" s="483" t="e">
        <f>IF(H236="","",SUMIFS('[1]1_group_totals'!$J$8:$J$10000,'[1]1_group_totals'!$C$8:$C$10000,C236))</f>
        <v>#VALUE!</v>
      </c>
      <c r="S236" s="483">
        <f t="shared" si="27"/>
        <v>2</v>
      </c>
      <c r="T236" s="483">
        <v>1</v>
      </c>
      <c r="U236" s="510" t="e">
        <f t="shared" si="28"/>
        <v>#VALUE!</v>
      </c>
      <c r="V236" s="510">
        <v>1</v>
      </c>
      <c r="W236" s="510">
        <v>0</v>
      </c>
      <c r="X236" s="510">
        <v>0</v>
      </c>
      <c r="Y236" s="483">
        <v>1</v>
      </c>
      <c r="Z236" s="483">
        <v>1</v>
      </c>
      <c r="AA236" s="1847" t="e">
        <f t="shared" si="29"/>
        <v>#VALUE!</v>
      </c>
      <c r="AB236" s="1847">
        <f t="shared" si="30"/>
        <v>1</v>
      </c>
      <c r="AC236" s="1847">
        <f t="shared" si="31"/>
        <v>1.5</v>
      </c>
      <c r="AD236" s="1847" t="e">
        <f t="shared" si="32"/>
        <v>#VALUE!</v>
      </c>
      <c r="AE236" s="1847" t="e">
        <f t="shared" si="33"/>
        <v>#VALUE!</v>
      </c>
      <c r="AF236" s="1823" t="e">
        <f t="shared" si="34"/>
        <v>#VALUE!</v>
      </c>
      <c r="AG236" s="1769" t="e">
        <f t="shared" si="35"/>
        <v>#VALUE!</v>
      </c>
      <c r="AI236" t="s">
        <v>3969</v>
      </c>
    </row>
    <row r="237" spans="3:35" ht="24.95" customHeight="1">
      <c r="C237" s="491">
        <v>230</v>
      </c>
      <c r="D237" s="1847"/>
      <c r="E237" s="1847"/>
      <c r="F237" s="1847" t="s">
        <v>3970</v>
      </c>
      <c r="G237" s="1847" t="s">
        <v>3970</v>
      </c>
      <c r="H237" s="1847" t="s">
        <v>3803</v>
      </c>
      <c r="I237" s="1847"/>
      <c r="J237" s="1847" t="s">
        <v>3913</v>
      </c>
      <c r="K237" s="1847" t="s">
        <v>2795</v>
      </c>
      <c r="L237" s="1847" t="s">
        <v>3933</v>
      </c>
      <c r="M237" s="1847" t="s">
        <v>4106</v>
      </c>
      <c r="N237" s="1847"/>
      <c r="O237" s="1847"/>
      <c r="P237" s="1852">
        <v>5</v>
      </c>
      <c r="Q237" s="1852">
        <v>5.5</v>
      </c>
      <c r="R237" s="483" t="e">
        <f>IF(H237="","",SUMIFS('[1]1_group_totals'!$J$8:$J$10000,'[1]1_group_totals'!$C$8:$C$10000,C237))</f>
        <v>#VALUE!</v>
      </c>
      <c r="S237" s="483">
        <f t="shared" si="27"/>
        <v>68</v>
      </c>
      <c r="T237" s="483">
        <v>10</v>
      </c>
      <c r="U237" s="510" t="e">
        <f t="shared" si="28"/>
        <v>#VALUE!</v>
      </c>
      <c r="V237" s="510">
        <v>1</v>
      </c>
      <c r="W237" s="510">
        <v>0</v>
      </c>
      <c r="X237" s="510">
        <v>0</v>
      </c>
      <c r="Y237" s="483">
        <v>1</v>
      </c>
      <c r="Z237" s="483">
        <v>1</v>
      </c>
      <c r="AA237" s="1847" t="e">
        <f t="shared" si="29"/>
        <v>#VALUE!</v>
      </c>
      <c r="AB237" s="1847">
        <f t="shared" si="30"/>
        <v>0.5</v>
      </c>
      <c r="AC237" s="1847">
        <f t="shared" si="31"/>
        <v>0.55000000000000004</v>
      </c>
      <c r="AD237" s="1847" t="e">
        <f t="shared" si="32"/>
        <v>#VALUE!</v>
      </c>
      <c r="AE237" s="1847" t="e">
        <f t="shared" si="33"/>
        <v>#VALUE!</v>
      </c>
      <c r="AF237" s="1823" t="e">
        <f t="shared" si="34"/>
        <v>#VALUE!</v>
      </c>
      <c r="AG237" s="1769" t="e">
        <f t="shared" si="35"/>
        <v>#VALUE!</v>
      </c>
      <c r="AI237" t="s">
        <v>3970</v>
      </c>
    </row>
    <row r="238" spans="3:35" ht="24.95" customHeight="1">
      <c r="C238" s="491">
        <v>231</v>
      </c>
      <c r="D238" s="1847"/>
      <c r="E238" s="1847"/>
      <c r="F238" s="1847" t="s">
        <v>3971</v>
      </c>
      <c r="G238" s="1847" t="s">
        <v>3971</v>
      </c>
      <c r="H238" s="1847" t="s">
        <v>3804</v>
      </c>
      <c r="I238" s="1847"/>
      <c r="J238" s="1847" t="s">
        <v>3913</v>
      </c>
      <c r="K238" s="1847" t="s">
        <v>2795</v>
      </c>
      <c r="L238" s="1847" t="s">
        <v>3933</v>
      </c>
      <c r="M238" s="1847" t="s">
        <v>4106</v>
      </c>
      <c r="N238" s="1847"/>
      <c r="O238" s="1847"/>
      <c r="P238" s="1852">
        <v>3.5</v>
      </c>
      <c r="Q238" s="1852">
        <v>4</v>
      </c>
      <c r="R238" s="483" t="e">
        <f>IF(H238="","",SUMIFS('[1]1_group_totals'!$J$8:$J$10000,'[1]1_group_totals'!$C$8:$C$10000,C238))</f>
        <v>#VALUE!</v>
      </c>
      <c r="S238" s="483">
        <f t="shared" si="27"/>
        <v>68</v>
      </c>
      <c r="T238" s="483">
        <v>10</v>
      </c>
      <c r="U238" s="510" t="e">
        <f t="shared" si="28"/>
        <v>#VALUE!</v>
      </c>
      <c r="V238" s="510">
        <v>1</v>
      </c>
      <c r="W238" s="510">
        <v>0</v>
      </c>
      <c r="X238" s="510">
        <v>0</v>
      </c>
      <c r="Y238" s="483">
        <v>1</v>
      </c>
      <c r="Z238" s="483">
        <v>1</v>
      </c>
      <c r="AA238" s="1847" t="e">
        <f t="shared" si="29"/>
        <v>#VALUE!</v>
      </c>
      <c r="AB238" s="1847">
        <f t="shared" si="30"/>
        <v>0.35</v>
      </c>
      <c r="AC238" s="1847">
        <f t="shared" si="31"/>
        <v>0.4</v>
      </c>
      <c r="AD238" s="1847" t="e">
        <f t="shared" si="32"/>
        <v>#VALUE!</v>
      </c>
      <c r="AE238" s="1847" t="e">
        <f t="shared" si="33"/>
        <v>#VALUE!</v>
      </c>
      <c r="AF238" s="1823" t="e">
        <f t="shared" si="34"/>
        <v>#VALUE!</v>
      </c>
      <c r="AG238" s="1769" t="e">
        <f t="shared" si="35"/>
        <v>#VALUE!</v>
      </c>
      <c r="AI238" t="s">
        <v>3971</v>
      </c>
    </row>
    <row r="239" spans="3:35" ht="24.95" customHeight="1">
      <c r="C239" s="491">
        <v>232</v>
      </c>
      <c r="D239" s="1847"/>
      <c r="E239" s="1847"/>
      <c r="F239" s="1847" t="s">
        <v>3972</v>
      </c>
      <c r="G239" s="1847" t="s">
        <v>3972</v>
      </c>
      <c r="H239" s="1847" t="s">
        <v>3805</v>
      </c>
      <c r="I239" s="1847"/>
      <c r="J239" s="1847" t="s">
        <v>2783</v>
      </c>
      <c r="K239" s="1847" t="s">
        <v>2795</v>
      </c>
      <c r="L239" s="1847" t="s">
        <v>3934</v>
      </c>
      <c r="M239" s="1847" t="s">
        <v>3937</v>
      </c>
      <c r="N239" s="1847"/>
      <c r="O239" s="1847"/>
      <c r="P239" s="1852">
        <v>1</v>
      </c>
      <c r="Q239" s="1852">
        <v>1.5</v>
      </c>
      <c r="R239" s="483" t="e">
        <f>IF(H239="","",SUMIFS('[1]1_group_totals'!$J$8:$J$10000,'[1]1_group_totals'!$C$8:$C$10000,C239))</f>
        <v>#VALUE!</v>
      </c>
      <c r="S239" s="483">
        <f t="shared" si="27"/>
        <v>2</v>
      </c>
      <c r="T239" s="483">
        <v>1</v>
      </c>
      <c r="U239" s="510" t="e">
        <f t="shared" si="28"/>
        <v>#VALUE!</v>
      </c>
      <c r="V239" s="510">
        <v>1</v>
      </c>
      <c r="W239" s="510">
        <v>0</v>
      </c>
      <c r="X239" s="510">
        <v>0</v>
      </c>
      <c r="Y239" s="483">
        <v>1</v>
      </c>
      <c r="Z239" s="483">
        <v>1</v>
      </c>
      <c r="AA239" s="1847" t="e">
        <f t="shared" si="29"/>
        <v>#VALUE!</v>
      </c>
      <c r="AB239" s="1847">
        <f t="shared" si="30"/>
        <v>1</v>
      </c>
      <c r="AC239" s="1847">
        <f t="shared" si="31"/>
        <v>1.5</v>
      </c>
      <c r="AD239" s="1847" t="e">
        <f t="shared" si="32"/>
        <v>#VALUE!</v>
      </c>
      <c r="AE239" s="1847" t="e">
        <f t="shared" si="33"/>
        <v>#VALUE!</v>
      </c>
      <c r="AF239" s="1823" t="e">
        <f t="shared" si="34"/>
        <v>#VALUE!</v>
      </c>
      <c r="AG239" s="1769" t="e">
        <f t="shared" si="35"/>
        <v>#VALUE!</v>
      </c>
      <c r="AI239" t="s">
        <v>3972</v>
      </c>
    </row>
    <row r="240" spans="3:35" ht="24.95" customHeight="1">
      <c r="C240" s="491">
        <v>233</v>
      </c>
      <c r="D240" s="1847"/>
      <c r="E240" s="1847"/>
      <c r="F240" s="1847" t="s">
        <v>3973</v>
      </c>
      <c r="G240" s="1847" t="s">
        <v>3973</v>
      </c>
      <c r="H240" s="1847" t="s">
        <v>3806</v>
      </c>
      <c r="I240" s="1847"/>
      <c r="J240" s="1847" t="s">
        <v>2783</v>
      </c>
      <c r="K240" s="1847" t="s">
        <v>2795</v>
      </c>
      <c r="L240" s="1847" t="s">
        <v>3930</v>
      </c>
      <c r="M240" s="1847" t="s">
        <v>3937</v>
      </c>
      <c r="N240" s="1847"/>
      <c r="O240" s="1847"/>
      <c r="P240" s="1852">
        <v>0.7</v>
      </c>
      <c r="Q240" s="1852">
        <v>1</v>
      </c>
      <c r="R240" s="483" t="e">
        <f>IF(H240="","",SUMIFS('[1]1_group_totals'!$J$8:$J$10000,'[1]1_group_totals'!$C$8:$C$10000,C240))</f>
        <v>#VALUE!</v>
      </c>
      <c r="S240" s="483">
        <f t="shared" si="27"/>
        <v>2</v>
      </c>
      <c r="T240" s="483">
        <v>1</v>
      </c>
      <c r="U240" s="510" t="e">
        <f t="shared" si="28"/>
        <v>#VALUE!</v>
      </c>
      <c r="V240" s="510">
        <v>1</v>
      </c>
      <c r="W240" s="510">
        <v>0</v>
      </c>
      <c r="X240" s="510">
        <v>0</v>
      </c>
      <c r="Y240" s="483">
        <v>1</v>
      </c>
      <c r="Z240" s="483">
        <v>1</v>
      </c>
      <c r="AA240" s="1847" t="e">
        <f t="shared" si="29"/>
        <v>#VALUE!</v>
      </c>
      <c r="AB240" s="1847">
        <f t="shared" si="30"/>
        <v>0.7</v>
      </c>
      <c r="AC240" s="1847">
        <f t="shared" si="31"/>
        <v>1</v>
      </c>
      <c r="AD240" s="1847" t="e">
        <f t="shared" si="32"/>
        <v>#VALUE!</v>
      </c>
      <c r="AE240" s="1847" t="e">
        <f t="shared" si="33"/>
        <v>#VALUE!</v>
      </c>
      <c r="AF240" s="1823" t="e">
        <f t="shared" si="34"/>
        <v>#VALUE!</v>
      </c>
      <c r="AG240" s="1769" t="e">
        <f t="shared" si="35"/>
        <v>#VALUE!</v>
      </c>
      <c r="AI240" t="s">
        <v>3973</v>
      </c>
    </row>
    <row r="241" spans="3:35" ht="24.95" customHeight="1">
      <c r="C241" s="491">
        <v>234</v>
      </c>
      <c r="D241" s="1847"/>
      <c r="E241" s="1847"/>
      <c r="F241" s="1847" t="s">
        <v>3974</v>
      </c>
      <c r="G241" s="1847" t="s">
        <v>3974</v>
      </c>
      <c r="H241" s="1847" t="s">
        <v>3807</v>
      </c>
      <c r="I241" s="1847"/>
      <c r="J241" s="1847" t="s">
        <v>3765</v>
      </c>
      <c r="K241" s="1847" t="s">
        <v>3924</v>
      </c>
      <c r="L241" s="1847" t="s">
        <v>2797</v>
      </c>
      <c r="M241" s="1847" t="s">
        <v>4107</v>
      </c>
      <c r="N241" s="1847"/>
      <c r="O241" s="1847"/>
      <c r="P241" s="1852">
        <v>2.6</v>
      </c>
      <c r="Q241" s="1852">
        <v>3</v>
      </c>
      <c r="R241" s="483" t="e">
        <f>IF(H241="","",SUMIFS('[1]1_group_totals'!$J$8:$J$10000,'[1]1_group_totals'!$C$8:$C$10000,C241))</f>
        <v>#VALUE!</v>
      </c>
      <c r="S241" s="483">
        <f t="shared" si="27"/>
        <v>70</v>
      </c>
      <c r="T241" s="483">
        <v>6</v>
      </c>
      <c r="U241" s="510" t="e">
        <f t="shared" si="28"/>
        <v>#VALUE!</v>
      </c>
      <c r="V241" s="510">
        <v>1</v>
      </c>
      <c r="W241" s="510">
        <v>0</v>
      </c>
      <c r="X241" s="510">
        <v>0</v>
      </c>
      <c r="Y241" s="483">
        <v>1</v>
      </c>
      <c r="Z241" s="483">
        <v>1</v>
      </c>
      <c r="AA241" s="1847" t="e">
        <f t="shared" si="29"/>
        <v>#VALUE!</v>
      </c>
      <c r="AB241" s="1847">
        <f t="shared" si="30"/>
        <v>0.43333333333333335</v>
      </c>
      <c r="AC241" s="1847">
        <f t="shared" si="31"/>
        <v>0.5</v>
      </c>
      <c r="AD241" s="1847" t="e">
        <f t="shared" si="32"/>
        <v>#VALUE!</v>
      </c>
      <c r="AE241" s="1847" t="e">
        <f t="shared" si="33"/>
        <v>#VALUE!</v>
      </c>
      <c r="AF241" s="1823" t="e">
        <f t="shared" si="34"/>
        <v>#VALUE!</v>
      </c>
      <c r="AG241" s="1769" t="e">
        <f t="shared" si="35"/>
        <v>#VALUE!</v>
      </c>
      <c r="AI241" t="s">
        <v>3974</v>
      </c>
    </row>
    <row r="242" spans="3:35" ht="24.95" customHeight="1">
      <c r="C242" s="491">
        <v>235</v>
      </c>
      <c r="D242" s="1847"/>
      <c r="E242" s="1847"/>
      <c r="F242" s="1847" t="s">
        <v>3975</v>
      </c>
      <c r="G242" s="1847" t="s">
        <v>3975</v>
      </c>
      <c r="H242" s="1847" t="s">
        <v>3808</v>
      </c>
      <c r="I242" s="1847"/>
      <c r="J242" s="1847" t="s">
        <v>3765</v>
      </c>
      <c r="K242" s="1847" t="s">
        <v>3924</v>
      </c>
      <c r="L242" s="1847" t="s">
        <v>2797</v>
      </c>
      <c r="M242" s="1847" t="s">
        <v>4107</v>
      </c>
      <c r="N242" s="1847"/>
      <c r="O242" s="1847"/>
      <c r="P242" s="1852">
        <v>11</v>
      </c>
      <c r="Q242" s="1852">
        <v>12</v>
      </c>
      <c r="R242" s="483" t="e">
        <f>IF(H242="","",SUMIFS('[1]1_group_totals'!$J$8:$J$10000,'[1]1_group_totals'!$C$8:$C$10000,C242))</f>
        <v>#VALUE!</v>
      </c>
      <c r="S242" s="483">
        <f t="shared" si="27"/>
        <v>70</v>
      </c>
      <c r="T242" s="483">
        <v>6</v>
      </c>
      <c r="U242" s="510" t="e">
        <f t="shared" si="28"/>
        <v>#VALUE!</v>
      </c>
      <c r="V242" s="510">
        <v>1</v>
      </c>
      <c r="W242" s="510">
        <v>0</v>
      </c>
      <c r="X242" s="510">
        <v>0</v>
      </c>
      <c r="Y242" s="483">
        <v>1</v>
      </c>
      <c r="Z242" s="483">
        <v>1</v>
      </c>
      <c r="AA242" s="1847" t="e">
        <f t="shared" si="29"/>
        <v>#VALUE!</v>
      </c>
      <c r="AB242" s="1847">
        <f t="shared" si="30"/>
        <v>1.8333333333333333</v>
      </c>
      <c r="AC242" s="1847">
        <f t="shared" si="31"/>
        <v>2</v>
      </c>
      <c r="AD242" s="1847" t="e">
        <f t="shared" si="32"/>
        <v>#VALUE!</v>
      </c>
      <c r="AE242" s="1847" t="e">
        <f t="shared" si="33"/>
        <v>#VALUE!</v>
      </c>
      <c r="AF242" s="1823" t="e">
        <f t="shared" si="34"/>
        <v>#VALUE!</v>
      </c>
      <c r="AG242" s="1769" t="e">
        <f t="shared" si="35"/>
        <v>#VALUE!</v>
      </c>
      <c r="AI242" t="s">
        <v>3975</v>
      </c>
    </row>
    <row r="243" spans="3:35" ht="24.95" customHeight="1">
      <c r="C243" s="491">
        <v>236</v>
      </c>
      <c r="D243" s="1847"/>
      <c r="E243" s="1847"/>
      <c r="F243" s="1847" t="s">
        <v>3976</v>
      </c>
      <c r="G243" s="1847" t="s">
        <v>3976</v>
      </c>
      <c r="H243" s="1847" t="s">
        <v>3809</v>
      </c>
      <c r="I243" s="1847"/>
      <c r="J243" s="1847" t="s">
        <v>3765</v>
      </c>
      <c r="K243" s="1847" t="s">
        <v>3924</v>
      </c>
      <c r="L243" s="1847" t="s">
        <v>2797</v>
      </c>
      <c r="M243" s="1847" t="s">
        <v>4107</v>
      </c>
      <c r="N243" s="1847"/>
      <c r="O243" s="1847"/>
      <c r="P243" s="1852">
        <v>13.5</v>
      </c>
      <c r="Q243" s="1852">
        <v>15</v>
      </c>
      <c r="R243" s="483" t="e">
        <f>IF(H243="","",SUMIFS('[1]1_group_totals'!$J$8:$J$10000,'[1]1_group_totals'!$C$8:$C$10000,C243))</f>
        <v>#VALUE!</v>
      </c>
      <c r="S243" s="483">
        <f t="shared" si="27"/>
        <v>70</v>
      </c>
      <c r="T243" s="483">
        <v>6</v>
      </c>
      <c r="U243" s="510" t="e">
        <f t="shared" si="28"/>
        <v>#VALUE!</v>
      </c>
      <c r="V243" s="510">
        <v>1</v>
      </c>
      <c r="W243" s="510">
        <v>0</v>
      </c>
      <c r="X243" s="510">
        <v>0</v>
      </c>
      <c r="Y243" s="483">
        <v>1</v>
      </c>
      <c r="Z243" s="483">
        <v>1</v>
      </c>
      <c r="AA243" s="1847" t="e">
        <f t="shared" si="29"/>
        <v>#VALUE!</v>
      </c>
      <c r="AB243" s="1847">
        <f t="shared" si="30"/>
        <v>2.25</v>
      </c>
      <c r="AC243" s="1847">
        <f t="shared" si="31"/>
        <v>2.5</v>
      </c>
      <c r="AD243" s="1847" t="e">
        <f t="shared" si="32"/>
        <v>#VALUE!</v>
      </c>
      <c r="AE243" s="1847" t="e">
        <f t="shared" si="33"/>
        <v>#VALUE!</v>
      </c>
      <c r="AF243" s="1823" t="e">
        <f t="shared" si="34"/>
        <v>#VALUE!</v>
      </c>
      <c r="AG243" s="1769" t="e">
        <f t="shared" si="35"/>
        <v>#VALUE!</v>
      </c>
      <c r="AI243" t="s">
        <v>3976</v>
      </c>
    </row>
    <row r="244" spans="3:35" ht="24.95" customHeight="1">
      <c r="C244" s="491">
        <v>237</v>
      </c>
      <c r="D244" s="1847"/>
      <c r="E244" s="1847"/>
      <c r="F244" s="1847" t="s">
        <v>3977</v>
      </c>
      <c r="G244" s="1847" t="s">
        <v>3977</v>
      </c>
      <c r="H244" s="1847" t="s">
        <v>3810</v>
      </c>
      <c r="I244" s="1847"/>
      <c r="J244" s="1847" t="s">
        <v>3765</v>
      </c>
      <c r="K244" s="1847" t="s">
        <v>3924</v>
      </c>
      <c r="L244" s="1847" t="s">
        <v>2797</v>
      </c>
      <c r="M244" s="1847" t="s">
        <v>4107</v>
      </c>
      <c r="N244" s="1847"/>
      <c r="O244" s="1847"/>
      <c r="P244" s="1852">
        <v>8.1999999999999993</v>
      </c>
      <c r="Q244" s="1852">
        <v>9</v>
      </c>
      <c r="R244" s="483" t="e">
        <f>IF(H244="","",SUMIFS('[1]1_group_totals'!$J$8:$J$10000,'[1]1_group_totals'!$C$8:$C$10000,C244))</f>
        <v>#VALUE!</v>
      </c>
      <c r="S244" s="483">
        <f t="shared" si="27"/>
        <v>70</v>
      </c>
      <c r="T244" s="483">
        <v>6</v>
      </c>
      <c r="U244" s="510" t="e">
        <f t="shared" si="28"/>
        <v>#VALUE!</v>
      </c>
      <c r="V244" s="510">
        <v>1</v>
      </c>
      <c r="W244" s="510">
        <v>0</v>
      </c>
      <c r="X244" s="510">
        <v>0</v>
      </c>
      <c r="Y244" s="483">
        <v>1</v>
      </c>
      <c r="Z244" s="483">
        <v>1</v>
      </c>
      <c r="AA244" s="1847" t="e">
        <f t="shared" si="29"/>
        <v>#VALUE!</v>
      </c>
      <c r="AB244" s="1847">
        <f t="shared" si="30"/>
        <v>1.3666666666666665</v>
      </c>
      <c r="AC244" s="1847">
        <f t="shared" si="31"/>
        <v>1.5</v>
      </c>
      <c r="AD244" s="1847" t="e">
        <f t="shared" si="32"/>
        <v>#VALUE!</v>
      </c>
      <c r="AE244" s="1847" t="e">
        <f t="shared" si="33"/>
        <v>#VALUE!</v>
      </c>
      <c r="AF244" s="1823" t="e">
        <f t="shared" si="34"/>
        <v>#VALUE!</v>
      </c>
      <c r="AG244" s="1769" t="e">
        <f t="shared" si="35"/>
        <v>#VALUE!</v>
      </c>
      <c r="AI244" t="s">
        <v>3977</v>
      </c>
    </row>
    <row r="245" spans="3:35" ht="24.95" customHeight="1">
      <c r="C245" s="491">
        <v>238</v>
      </c>
      <c r="D245" s="1847"/>
      <c r="E245" s="1847"/>
      <c r="F245" s="1847" t="s">
        <v>3978</v>
      </c>
      <c r="G245" s="1847" t="s">
        <v>3978</v>
      </c>
      <c r="H245" s="1847" t="s">
        <v>3811</v>
      </c>
      <c r="I245" s="1847"/>
      <c r="J245" s="1847" t="s">
        <v>3765</v>
      </c>
      <c r="K245" s="1847" t="s">
        <v>3924</v>
      </c>
      <c r="L245" s="1847" t="s">
        <v>2797</v>
      </c>
      <c r="M245" s="1847" t="s">
        <v>4107</v>
      </c>
      <c r="N245" s="1847"/>
      <c r="O245" s="1847"/>
      <c r="P245" s="1852">
        <v>2.8</v>
      </c>
      <c r="Q245" s="1852">
        <v>3.25</v>
      </c>
      <c r="R245" s="483" t="e">
        <f>IF(H245="","",SUMIFS('[1]1_group_totals'!$J$8:$J$10000,'[1]1_group_totals'!$C$8:$C$10000,C245))</f>
        <v>#VALUE!</v>
      </c>
      <c r="S245" s="483">
        <f t="shared" si="27"/>
        <v>70</v>
      </c>
      <c r="T245" s="483">
        <v>6</v>
      </c>
      <c r="U245" s="510" t="e">
        <f t="shared" si="28"/>
        <v>#VALUE!</v>
      </c>
      <c r="V245" s="510">
        <v>1</v>
      </c>
      <c r="W245" s="510">
        <v>0</v>
      </c>
      <c r="X245" s="510">
        <v>0</v>
      </c>
      <c r="Y245" s="483">
        <v>1</v>
      </c>
      <c r="Z245" s="483">
        <v>1</v>
      </c>
      <c r="AA245" s="1847" t="e">
        <f t="shared" si="29"/>
        <v>#VALUE!</v>
      </c>
      <c r="AB245" s="1847">
        <f t="shared" si="30"/>
        <v>0.46666666666666662</v>
      </c>
      <c r="AC245" s="1847">
        <f t="shared" si="31"/>
        <v>0.54166666666666663</v>
      </c>
      <c r="AD245" s="1847" t="e">
        <f t="shared" si="32"/>
        <v>#VALUE!</v>
      </c>
      <c r="AE245" s="1847" t="e">
        <f t="shared" si="33"/>
        <v>#VALUE!</v>
      </c>
      <c r="AF245" s="1823" t="e">
        <f t="shared" si="34"/>
        <v>#VALUE!</v>
      </c>
      <c r="AG245" s="1769" t="e">
        <f t="shared" si="35"/>
        <v>#VALUE!</v>
      </c>
      <c r="AI245" t="s">
        <v>3978</v>
      </c>
    </row>
    <row r="246" spans="3:35" ht="24.95" customHeight="1">
      <c r="C246" s="491">
        <v>239</v>
      </c>
      <c r="D246" s="1847"/>
      <c r="E246" s="1847"/>
      <c r="F246" s="1847" t="s">
        <v>3979</v>
      </c>
      <c r="G246" s="1847" t="s">
        <v>3979</v>
      </c>
      <c r="H246" s="1847" t="s">
        <v>3812</v>
      </c>
      <c r="I246" s="1847"/>
      <c r="J246" s="1847" t="s">
        <v>3765</v>
      </c>
      <c r="K246" s="1847" t="s">
        <v>3924</v>
      </c>
      <c r="L246" s="1847" t="s">
        <v>2797</v>
      </c>
      <c r="M246" s="1847" t="s">
        <v>4107</v>
      </c>
      <c r="N246" s="1847"/>
      <c r="O246" s="1847"/>
      <c r="P246" s="1852">
        <v>2</v>
      </c>
      <c r="Q246" s="1852">
        <v>2.5</v>
      </c>
      <c r="R246" s="483" t="e">
        <f>IF(H246="","",SUMIFS('[1]1_group_totals'!$J$8:$J$10000,'[1]1_group_totals'!$C$8:$C$10000,C246))</f>
        <v>#VALUE!</v>
      </c>
      <c r="S246" s="483">
        <f t="shared" si="27"/>
        <v>70</v>
      </c>
      <c r="T246" s="483">
        <v>6</v>
      </c>
      <c r="U246" s="510" t="e">
        <f t="shared" si="28"/>
        <v>#VALUE!</v>
      </c>
      <c r="V246" s="510">
        <v>1</v>
      </c>
      <c r="W246" s="510">
        <v>0</v>
      </c>
      <c r="X246" s="510">
        <v>0</v>
      </c>
      <c r="Y246" s="483">
        <v>1</v>
      </c>
      <c r="Z246" s="483">
        <v>1</v>
      </c>
      <c r="AA246" s="1847" t="e">
        <f t="shared" si="29"/>
        <v>#VALUE!</v>
      </c>
      <c r="AB246" s="1847">
        <f t="shared" si="30"/>
        <v>0.33333333333333331</v>
      </c>
      <c r="AC246" s="1847">
        <f t="shared" si="31"/>
        <v>0.41666666666666669</v>
      </c>
      <c r="AD246" s="1847" t="e">
        <f t="shared" si="32"/>
        <v>#VALUE!</v>
      </c>
      <c r="AE246" s="1847" t="e">
        <f t="shared" si="33"/>
        <v>#VALUE!</v>
      </c>
      <c r="AF246" s="1823" t="e">
        <f t="shared" si="34"/>
        <v>#VALUE!</v>
      </c>
      <c r="AG246" s="1769" t="e">
        <f t="shared" si="35"/>
        <v>#VALUE!</v>
      </c>
      <c r="AI246" t="s">
        <v>3979</v>
      </c>
    </row>
    <row r="247" spans="3:35" ht="24.95" customHeight="1">
      <c r="C247" s="491">
        <v>240</v>
      </c>
      <c r="D247" s="1847"/>
      <c r="E247" s="1847"/>
      <c r="F247" s="1847" t="s">
        <v>3980</v>
      </c>
      <c r="G247" s="1847" t="s">
        <v>3980</v>
      </c>
      <c r="H247" s="1847" t="s">
        <v>3813</v>
      </c>
      <c r="I247" s="1847"/>
      <c r="J247" s="1847" t="s">
        <v>2781</v>
      </c>
      <c r="K247" s="1847" t="s">
        <v>3924</v>
      </c>
      <c r="L247" s="1847" t="s">
        <v>2797</v>
      </c>
      <c r="M247" s="1847" t="s">
        <v>4099</v>
      </c>
      <c r="N247" s="1847"/>
      <c r="O247" s="1847"/>
      <c r="P247" s="1852">
        <v>4</v>
      </c>
      <c r="Q247" s="1852">
        <v>4.4000000000000004</v>
      </c>
      <c r="R247" s="483" t="e">
        <f>IF(H247="","",SUMIFS('[1]1_group_totals'!$J$8:$J$10000,'[1]1_group_totals'!$C$8:$C$10000,C247))</f>
        <v>#VALUE!</v>
      </c>
      <c r="S247" s="483">
        <f t="shared" si="27"/>
        <v>54</v>
      </c>
      <c r="T247" s="483">
        <v>12</v>
      </c>
      <c r="U247" s="510" t="e">
        <f t="shared" si="28"/>
        <v>#VALUE!</v>
      </c>
      <c r="V247" s="510">
        <v>1</v>
      </c>
      <c r="W247" s="510">
        <v>0</v>
      </c>
      <c r="X247" s="510">
        <v>0</v>
      </c>
      <c r="Y247" s="483">
        <v>1</v>
      </c>
      <c r="Z247" s="483">
        <v>1</v>
      </c>
      <c r="AA247" s="1847" t="e">
        <f t="shared" si="29"/>
        <v>#VALUE!</v>
      </c>
      <c r="AB247" s="1847">
        <f t="shared" si="30"/>
        <v>0.33333333333333331</v>
      </c>
      <c r="AC247" s="1847">
        <f t="shared" si="31"/>
        <v>0.3666666666666667</v>
      </c>
      <c r="AD247" s="1847" t="e">
        <f t="shared" si="32"/>
        <v>#VALUE!</v>
      </c>
      <c r="AE247" s="1847" t="e">
        <f t="shared" si="33"/>
        <v>#VALUE!</v>
      </c>
      <c r="AF247" s="1823" t="e">
        <f t="shared" si="34"/>
        <v>#VALUE!</v>
      </c>
      <c r="AG247" s="1769" t="e">
        <f t="shared" si="35"/>
        <v>#VALUE!</v>
      </c>
      <c r="AI247" t="s">
        <v>3980</v>
      </c>
    </row>
    <row r="248" spans="3:35" ht="24.95" customHeight="1">
      <c r="C248" s="491">
        <v>241</v>
      </c>
      <c r="D248" s="1847"/>
      <c r="E248" s="1847"/>
      <c r="F248" s="1847" t="s">
        <v>3981</v>
      </c>
      <c r="G248" s="1847" t="s">
        <v>3981</v>
      </c>
      <c r="H248" s="1847" t="s">
        <v>3814</v>
      </c>
      <c r="I248" s="1847"/>
      <c r="J248" s="1847" t="s">
        <v>3914</v>
      </c>
      <c r="K248" s="1847" t="s">
        <v>3924</v>
      </c>
      <c r="L248" s="1847" t="s">
        <v>2797</v>
      </c>
      <c r="M248" s="1847" t="s">
        <v>4108</v>
      </c>
      <c r="N248" s="1847"/>
      <c r="O248" s="1847"/>
      <c r="P248" s="1852">
        <v>1</v>
      </c>
      <c r="Q248" s="1852">
        <v>1.5</v>
      </c>
      <c r="R248" s="483" t="e">
        <f>IF(H248="","",SUMIFS('[1]1_group_totals'!$J$8:$J$10000,'[1]1_group_totals'!$C$8:$C$10000,C248))</f>
        <v>#VALUE!</v>
      </c>
      <c r="S248" s="483">
        <f t="shared" si="27"/>
        <v>12</v>
      </c>
      <c r="T248" s="483">
        <v>1</v>
      </c>
      <c r="U248" s="510" t="e">
        <f t="shared" si="28"/>
        <v>#VALUE!</v>
      </c>
      <c r="V248" s="510">
        <v>1</v>
      </c>
      <c r="W248" s="510">
        <v>0</v>
      </c>
      <c r="X248" s="510">
        <v>0</v>
      </c>
      <c r="Y248" s="483">
        <v>1</v>
      </c>
      <c r="Z248" s="483">
        <v>1</v>
      </c>
      <c r="AA248" s="1847" t="e">
        <f t="shared" si="29"/>
        <v>#VALUE!</v>
      </c>
      <c r="AB248" s="1847">
        <f t="shared" si="30"/>
        <v>1</v>
      </c>
      <c r="AC248" s="1847">
        <f t="shared" si="31"/>
        <v>1.5</v>
      </c>
      <c r="AD248" s="1847" t="e">
        <f t="shared" si="32"/>
        <v>#VALUE!</v>
      </c>
      <c r="AE248" s="1847" t="e">
        <f t="shared" si="33"/>
        <v>#VALUE!</v>
      </c>
      <c r="AF248" s="1823" t="e">
        <f t="shared" si="34"/>
        <v>#VALUE!</v>
      </c>
      <c r="AG248" s="1769" t="e">
        <f t="shared" si="35"/>
        <v>#VALUE!</v>
      </c>
      <c r="AI248" t="s">
        <v>3981</v>
      </c>
    </row>
    <row r="249" spans="3:35" ht="24.95" customHeight="1">
      <c r="C249" s="491">
        <v>242</v>
      </c>
      <c r="D249" s="1847"/>
      <c r="E249" s="1847"/>
      <c r="F249" s="1847" t="s">
        <v>3982</v>
      </c>
      <c r="G249" s="1847" t="s">
        <v>3982</v>
      </c>
      <c r="H249" s="1847" t="s">
        <v>3815</v>
      </c>
      <c r="I249" s="1847"/>
      <c r="J249" s="1847" t="s">
        <v>3914</v>
      </c>
      <c r="K249" s="1847" t="s">
        <v>3924</v>
      </c>
      <c r="L249" s="1847" t="s">
        <v>2797</v>
      </c>
      <c r="M249" s="1847" t="s">
        <v>4109</v>
      </c>
      <c r="N249" s="1847"/>
      <c r="O249" s="1847"/>
      <c r="P249" s="1852">
        <v>0.9</v>
      </c>
      <c r="Q249" s="1852">
        <v>1</v>
      </c>
      <c r="R249" s="483" t="e">
        <f>IF(H249="","",SUMIFS('[1]1_group_totals'!$J$8:$J$10000,'[1]1_group_totals'!$C$8:$C$10000,C249))</f>
        <v>#VALUE!</v>
      </c>
      <c r="S249" s="483">
        <f t="shared" si="27"/>
        <v>12</v>
      </c>
      <c r="T249" s="483">
        <v>1</v>
      </c>
      <c r="U249" s="510" t="e">
        <f t="shared" si="28"/>
        <v>#VALUE!</v>
      </c>
      <c r="V249" s="510">
        <v>1</v>
      </c>
      <c r="W249" s="510">
        <v>0</v>
      </c>
      <c r="X249" s="510">
        <v>0</v>
      </c>
      <c r="Y249" s="483">
        <v>1</v>
      </c>
      <c r="Z249" s="483">
        <v>1</v>
      </c>
      <c r="AA249" s="1847" t="e">
        <f t="shared" si="29"/>
        <v>#VALUE!</v>
      </c>
      <c r="AB249" s="1847">
        <f t="shared" si="30"/>
        <v>0.9</v>
      </c>
      <c r="AC249" s="1847">
        <f t="shared" si="31"/>
        <v>1</v>
      </c>
      <c r="AD249" s="1847" t="e">
        <f t="shared" si="32"/>
        <v>#VALUE!</v>
      </c>
      <c r="AE249" s="1847" t="e">
        <f t="shared" si="33"/>
        <v>#VALUE!</v>
      </c>
      <c r="AF249" s="1823" t="e">
        <f t="shared" si="34"/>
        <v>#VALUE!</v>
      </c>
      <c r="AG249" s="1769" t="e">
        <f t="shared" si="35"/>
        <v>#VALUE!</v>
      </c>
      <c r="AI249" t="s">
        <v>3982</v>
      </c>
    </row>
    <row r="250" spans="3:35" ht="24.95" customHeight="1">
      <c r="C250" s="491">
        <v>243</v>
      </c>
      <c r="D250" s="1847"/>
      <c r="E250" s="1847"/>
      <c r="F250" s="1847" t="s">
        <v>3983</v>
      </c>
      <c r="G250" s="1847" t="s">
        <v>3983</v>
      </c>
      <c r="H250" s="1847" t="s">
        <v>4218</v>
      </c>
      <c r="I250" s="1847"/>
      <c r="J250" s="1847" t="s">
        <v>2783</v>
      </c>
      <c r="K250" s="1847" t="s">
        <v>3925</v>
      </c>
      <c r="L250" s="1847" t="s">
        <v>3935</v>
      </c>
      <c r="M250" s="1847" t="s">
        <v>4242</v>
      </c>
      <c r="N250" s="1847"/>
      <c r="O250" s="1847"/>
      <c r="P250" s="1852">
        <v>2.5</v>
      </c>
      <c r="Q250" s="1852">
        <v>3</v>
      </c>
      <c r="R250" s="483" t="e">
        <f>IF(H250="","",SUMIFS('[1]1_group_totals'!$J$8:$J$10000,'[1]1_group_totals'!$C$8:$C$10000,C250))</f>
        <v>#VALUE!</v>
      </c>
      <c r="S250" s="483">
        <f t="shared" si="27"/>
        <v>2</v>
      </c>
      <c r="T250" s="483">
        <v>1</v>
      </c>
      <c r="U250" s="510" t="e">
        <f t="shared" si="28"/>
        <v>#VALUE!</v>
      </c>
      <c r="V250" s="510">
        <v>1</v>
      </c>
      <c r="W250" s="510">
        <v>0</v>
      </c>
      <c r="X250" s="510">
        <v>0</v>
      </c>
      <c r="Y250" s="483">
        <v>1</v>
      </c>
      <c r="Z250" s="483">
        <v>1</v>
      </c>
      <c r="AA250" s="1847" t="e">
        <f t="shared" si="29"/>
        <v>#VALUE!</v>
      </c>
      <c r="AB250" s="1847">
        <f t="shared" si="30"/>
        <v>2.5</v>
      </c>
      <c r="AC250" s="1847">
        <f t="shared" si="31"/>
        <v>3</v>
      </c>
      <c r="AD250" s="1847" t="e">
        <f t="shared" si="32"/>
        <v>#VALUE!</v>
      </c>
      <c r="AE250" s="1847" t="e">
        <f t="shared" si="33"/>
        <v>#VALUE!</v>
      </c>
      <c r="AF250" s="1823" t="e">
        <f t="shared" si="34"/>
        <v>#VALUE!</v>
      </c>
      <c r="AG250" s="1769" t="e">
        <f t="shared" si="35"/>
        <v>#VALUE!</v>
      </c>
      <c r="AI250" t="s">
        <v>3983</v>
      </c>
    </row>
    <row r="251" spans="3:35" ht="24.95" customHeight="1">
      <c r="C251" s="491">
        <v>244</v>
      </c>
      <c r="D251" s="1847"/>
      <c r="E251" s="1847"/>
      <c r="F251" s="1847" t="s">
        <v>3984</v>
      </c>
      <c r="G251" s="1847" t="s">
        <v>3984</v>
      </c>
      <c r="H251" s="1847" t="s">
        <v>4219</v>
      </c>
      <c r="I251" s="1847"/>
      <c r="J251" s="1847" t="s">
        <v>2783</v>
      </c>
      <c r="K251" s="1847" t="s">
        <v>3925</v>
      </c>
      <c r="L251" s="1847" t="s">
        <v>3935</v>
      </c>
      <c r="M251" s="1847" t="s">
        <v>4243</v>
      </c>
      <c r="N251" s="1847"/>
      <c r="O251" s="1847"/>
      <c r="P251" s="1852">
        <v>4</v>
      </c>
      <c r="Q251" s="1852">
        <v>5</v>
      </c>
      <c r="R251" s="483" t="e">
        <f>IF(H251="","",SUMIFS('[1]1_group_totals'!$J$8:$J$10000,'[1]1_group_totals'!$C$8:$C$10000,C251))</f>
        <v>#VALUE!</v>
      </c>
      <c r="S251" s="483">
        <f t="shared" si="27"/>
        <v>2</v>
      </c>
      <c r="T251" s="483">
        <v>1</v>
      </c>
      <c r="U251" s="510" t="e">
        <f t="shared" si="28"/>
        <v>#VALUE!</v>
      </c>
      <c r="V251" s="510">
        <v>1</v>
      </c>
      <c r="W251" s="510">
        <v>0</v>
      </c>
      <c r="X251" s="510">
        <v>0</v>
      </c>
      <c r="Y251" s="483">
        <v>1</v>
      </c>
      <c r="Z251" s="483">
        <v>1</v>
      </c>
      <c r="AA251" s="1847" t="e">
        <f t="shared" si="29"/>
        <v>#VALUE!</v>
      </c>
      <c r="AB251" s="1847">
        <f t="shared" si="30"/>
        <v>4</v>
      </c>
      <c r="AC251" s="1847">
        <f t="shared" si="31"/>
        <v>5</v>
      </c>
      <c r="AD251" s="1847" t="e">
        <f t="shared" si="32"/>
        <v>#VALUE!</v>
      </c>
      <c r="AE251" s="1847" t="e">
        <f t="shared" si="33"/>
        <v>#VALUE!</v>
      </c>
      <c r="AF251" s="1823" t="e">
        <f t="shared" si="34"/>
        <v>#VALUE!</v>
      </c>
      <c r="AG251" s="1769" t="e">
        <f t="shared" si="35"/>
        <v>#VALUE!</v>
      </c>
      <c r="AI251" t="s">
        <v>3984</v>
      </c>
    </row>
    <row r="252" spans="3:35" ht="24.95" customHeight="1">
      <c r="C252" s="491">
        <v>245</v>
      </c>
      <c r="D252" s="1847"/>
      <c r="E252" s="1847"/>
      <c r="F252" s="1847" t="s">
        <v>3985</v>
      </c>
      <c r="G252" s="1847" t="s">
        <v>3985</v>
      </c>
      <c r="H252" s="1847" t="s">
        <v>3818</v>
      </c>
      <c r="I252" s="1847"/>
      <c r="J252" s="1847" t="s">
        <v>2783</v>
      </c>
      <c r="K252" s="1847" t="s">
        <v>3925</v>
      </c>
      <c r="L252" s="1847" t="s">
        <v>2797</v>
      </c>
      <c r="M252" s="1847" t="s">
        <v>3937</v>
      </c>
      <c r="N252" s="1847"/>
      <c r="O252" s="1847"/>
      <c r="P252" s="1852">
        <v>0.28999999999999998</v>
      </c>
      <c r="Q252" s="1852">
        <v>0.63</v>
      </c>
      <c r="R252" s="483" t="e">
        <f>IF(H252="","",SUMIFS('[1]1_group_totals'!$J$8:$J$10000,'[1]1_group_totals'!$C$8:$C$10000,C252))</f>
        <v>#VALUE!</v>
      </c>
      <c r="S252" s="483">
        <f t="shared" si="27"/>
        <v>2</v>
      </c>
      <c r="T252" s="483">
        <v>1</v>
      </c>
      <c r="U252" s="510" t="e">
        <f t="shared" si="28"/>
        <v>#VALUE!</v>
      </c>
      <c r="V252" s="510">
        <v>1</v>
      </c>
      <c r="W252" s="510">
        <v>0</v>
      </c>
      <c r="X252" s="510">
        <v>0</v>
      </c>
      <c r="Y252" s="483">
        <v>1</v>
      </c>
      <c r="Z252" s="483">
        <v>1</v>
      </c>
      <c r="AA252" s="1847" t="e">
        <f t="shared" si="29"/>
        <v>#VALUE!</v>
      </c>
      <c r="AB252" s="1847">
        <f t="shared" si="30"/>
        <v>0.28999999999999998</v>
      </c>
      <c r="AC252" s="1847">
        <f t="shared" si="31"/>
        <v>0.63</v>
      </c>
      <c r="AD252" s="1847" t="e">
        <f t="shared" si="32"/>
        <v>#VALUE!</v>
      </c>
      <c r="AE252" s="1847" t="e">
        <f t="shared" si="33"/>
        <v>#VALUE!</v>
      </c>
      <c r="AF252" s="1823" t="e">
        <f t="shared" si="34"/>
        <v>#VALUE!</v>
      </c>
      <c r="AG252" s="1769" t="e">
        <f t="shared" si="35"/>
        <v>#VALUE!</v>
      </c>
      <c r="AI252" t="s">
        <v>3985</v>
      </c>
    </row>
    <row r="253" spans="3:35" ht="24.95" customHeight="1">
      <c r="C253" s="491">
        <v>246</v>
      </c>
      <c r="D253" s="1847"/>
      <c r="E253" s="1847"/>
      <c r="F253" s="1847" t="s">
        <v>3986</v>
      </c>
      <c r="G253" s="1847" t="s">
        <v>3986</v>
      </c>
      <c r="H253" s="1847" t="s">
        <v>3819</v>
      </c>
      <c r="I253" s="1847"/>
      <c r="J253" s="1847" t="s">
        <v>2783</v>
      </c>
      <c r="K253" s="1847" t="s">
        <v>3925</v>
      </c>
      <c r="L253" s="1847" t="s">
        <v>2797</v>
      </c>
      <c r="M253" s="1847" t="s">
        <v>3937</v>
      </c>
      <c r="N253" s="1847"/>
      <c r="O253" s="1847"/>
      <c r="P253" s="1852">
        <v>1.2</v>
      </c>
      <c r="Q253" s="1852">
        <v>1.75</v>
      </c>
      <c r="R253" s="483" t="e">
        <f>IF(H253="","",SUMIFS('[1]1_group_totals'!$J$8:$J$10000,'[1]1_group_totals'!$C$8:$C$10000,C253))</f>
        <v>#VALUE!</v>
      </c>
      <c r="S253" s="483">
        <f t="shared" si="27"/>
        <v>2</v>
      </c>
      <c r="T253" s="483">
        <v>1</v>
      </c>
      <c r="U253" s="510" t="e">
        <f t="shared" si="28"/>
        <v>#VALUE!</v>
      </c>
      <c r="V253" s="510">
        <v>1</v>
      </c>
      <c r="W253" s="510">
        <v>0</v>
      </c>
      <c r="X253" s="510">
        <v>0</v>
      </c>
      <c r="Y253" s="483">
        <v>1</v>
      </c>
      <c r="Z253" s="483">
        <v>1</v>
      </c>
      <c r="AA253" s="1847" t="e">
        <f t="shared" si="29"/>
        <v>#VALUE!</v>
      </c>
      <c r="AB253" s="1847">
        <f t="shared" si="30"/>
        <v>1.2</v>
      </c>
      <c r="AC253" s="1847">
        <f t="shared" si="31"/>
        <v>1.75</v>
      </c>
      <c r="AD253" s="1847" t="e">
        <f t="shared" si="32"/>
        <v>#VALUE!</v>
      </c>
      <c r="AE253" s="1847" t="e">
        <f t="shared" si="33"/>
        <v>#VALUE!</v>
      </c>
      <c r="AF253" s="1823" t="e">
        <f t="shared" si="34"/>
        <v>#VALUE!</v>
      </c>
      <c r="AG253" s="1769" t="e">
        <f t="shared" si="35"/>
        <v>#VALUE!</v>
      </c>
      <c r="AI253" t="s">
        <v>3986</v>
      </c>
    </row>
    <row r="254" spans="3:35" ht="24.95" customHeight="1">
      <c r="C254" s="491">
        <v>247</v>
      </c>
      <c r="D254" s="1847"/>
      <c r="E254" s="1847"/>
      <c r="F254" s="1847" t="s">
        <v>3987</v>
      </c>
      <c r="G254" s="1847" t="s">
        <v>3987</v>
      </c>
      <c r="H254" s="1847" t="s">
        <v>3820</v>
      </c>
      <c r="I254" s="1847"/>
      <c r="J254" s="1847" t="s">
        <v>2783</v>
      </c>
      <c r="K254" s="1847" t="s">
        <v>3925</v>
      </c>
      <c r="L254" s="1847" t="s">
        <v>2797</v>
      </c>
      <c r="M254" s="1847" t="s">
        <v>3937</v>
      </c>
      <c r="N254" s="1847"/>
      <c r="O254" s="1847"/>
      <c r="P254" s="1852">
        <v>0.5</v>
      </c>
      <c r="Q254" s="1852">
        <v>1</v>
      </c>
      <c r="R254" s="483" t="e">
        <f>IF(H254="","",SUMIFS('[1]1_group_totals'!$J$8:$J$10000,'[1]1_group_totals'!$C$8:$C$10000,C254))</f>
        <v>#VALUE!</v>
      </c>
      <c r="S254" s="483">
        <f t="shared" si="27"/>
        <v>2</v>
      </c>
      <c r="T254" s="483">
        <v>1</v>
      </c>
      <c r="U254" s="510" t="e">
        <f t="shared" si="28"/>
        <v>#VALUE!</v>
      </c>
      <c r="V254" s="510">
        <v>1</v>
      </c>
      <c r="W254" s="510">
        <v>0</v>
      </c>
      <c r="X254" s="510">
        <v>0</v>
      </c>
      <c r="Y254" s="483">
        <v>1</v>
      </c>
      <c r="Z254" s="483">
        <v>1</v>
      </c>
      <c r="AA254" s="1847" t="e">
        <f t="shared" si="29"/>
        <v>#VALUE!</v>
      </c>
      <c r="AB254" s="1847">
        <f t="shared" si="30"/>
        <v>0.5</v>
      </c>
      <c r="AC254" s="1847">
        <f t="shared" si="31"/>
        <v>1</v>
      </c>
      <c r="AD254" s="1847" t="e">
        <f t="shared" si="32"/>
        <v>#VALUE!</v>
      </c>
      <c r="AE254" s="1847" t="e">
        <f t="shared" si="33"/>
        <v>#VALUE!</v>
      </c>
      <c r="AF254" s="1823" t="e">
        <f t="shared" si="34"/>
        <v>#VALUE!</v>
      </c>
      <c r="AG254" s="1769" t="e">
        <f t="shared" si="35"/>
        <v>#VALUE!</v>
      </c>
      <c r="AI254" t="s">
        <v>3987</v>
      </c>
    </row>
    <row r="255" spans="3:35" ht="24.95" customHeight="1">
      <c r="C255" s="491">
        <v>248</v>
      </c>
      <c r="D255" s="1847"/>
      <c r="E255" s="1847"/>
      <c r="F255" s="1847" t="s">
        <v>3988</v>
      </c>
      <c r="G255" s="1847" t="s">
        <v>3988</v>
      </c>
      <c r="H255" s="1847" t="s">
        <v>3821</v>
      </c>
      <c r="I255" s="1847"/>
      <c r="J255" s="1847" t="s">
        <v>2783</v>
      </c>
      <c r="K255" s="1847" t="s">
        <v>3925</v>
      </c>
      <c r="L255" s="1847" t="s">
        <v>2797</v>
      </c>
      <c r="M255" s="1847" t="s">
        <v>3937</v>
      </c>
      <c r="N255" s="1847"/>
      <c r="O255" s="1847"/>
      <c r="P255" s="1852">
        <v>0.2</v>
      </c>
      <c r="Q255" s="1852">
        <v>0.38</v>
      </c>
      <c r="R255" s="483" t="e">
        <f>IF(H255="","",SUMIFS('[1]1_group_totals'!$J$8:$J$10000,'[1]1_group_totals'!$C$8:$C$10000,C255))</f>
        <v>#VALUE!</v>
      </c>
      <c r="S255" s="483">
        <f t="shared" si="27"/>
        <v>2</v>
      </c>
      <c r="T255" s="483">
        <v>1</v>
      </c>
      <c r="U255" s="510" t="e">
        <f t="shared" si="28"/>
        <v>#VALUE!</v>
      </c>
      <c r="V255" s="510">
        <v>1</v>
      </c>
      <c r="W255" s="510">
        <v>0</v>
      </c>
      <c r="X255" s="510">
        <v>0</v>
      </c>
      <c r="Y255" s="483">
        <v>1</v>
      </c>
      <c r="Z255" s="483">
        <v>1</v>
      </c>
      <c r="AA255" s="1847" t="e">
        <f t="shared" si="29"/>
        <v>#VALUE!</v>
      </c>
      <c r="AB255" s="1847">
        <f t="shared" si="30"/>
        <v>0.2</v>
      </c>
      <c r="AC255" s="1847">
        <f t="shared" si="31"/>
        <v>0.38</v>
      </c>
      <c r="AD255" s="1847" t="e">
        <f t="shared" si="32"/>
        <v>#VALUE!</v>
      </c>
      <c r="AE255" s="1847" t="e">
        <f t="shared" si="33"/>
        <v>#VALUE!</v>
      </c>
      <c r="AF255" s="1823" t="e">
        <f t="shared" si="34"/>
        <v>#VALUE!</v>
      </c>
      <c r="AG255" s="1769" t="e">
        <f t="shared" si="35"/>
        <v>#VALUE!</v>
      </c>
      <c r="AI255" t="s">
        <v>3988</v>
      </c>
    </row>
    <row r="256" spans="3:35" ht="24.95" customHeight="1">
      <c r="C256" s="491">
        <v>249</v>
      </c>
      <c r="D256" s="1847"/>
      <c r="E256" s="1847"/>
      <c r="F256" s="1847" t="s">
        <v>3989</v>
      </c>
      <c r="G256" s="1847" t="s">
        <v>3989</v>
      </c>
      <c r="H256" s="1847" t="s">
        <v>3822</v>
      </c>
      <c r="I256" s="1847"/>
      <c r="J256" s="1847" t="s">
        <v>2783</v>
      </c>
      <c r="K256" s="1847" t="s">
        <v>3925</v>
      </c>
      <c r="L256" s="1847" t="s">
        <v>2797</v>
      </c>
      <c r="M256" s="1847" t="s">
        <v>3937</v>
      </c>
      <c r="N256" s="1847"/>
      <c r="O256" s="1847"/>
      <c r="P256" s="1852">
        <v>0.5</v>
      </c>
      <c r="Q256" s="1852">
        <v>0.75</v>
      </c>
      <c r="R256" s="483" t="e">
        <f>IF(H256="","",SUMIFS('[1]1_group_totals'!$J$8:$J$10000,'[1]1_group_totals'!$C$8:$C$10000,C256))</f>
        <v>#VALUE!</v>
      </c>
      <c r="S256" s="483">
        <f t="shared" si="27"/>
        <v>2</v>
      </c>
      <c r="T256" s="483">
        <v>1</v>
      </c>
      <c r="U256" s="510" t="e">
        <f t="shared" si="28"/>
        <v>#VALUE!</v>
      </c>
      <c r="V256" s="510">
        <v>1</v>
      </c>
      <c r="W256" s="510">
        <v>0</v>
      </c>
      <c r="X256" s="510">
        <v>0</v>
      </c>
      <c r="Y256" s="483">
        <v>1</v>
      </c>
      <c r="Z256" s="483">
        <v>1</v>
      </c>
      <c r="AA256" s="1847" t="e">
        <f t="shared" si="29"/>
        <v>#VALUE!</v>
      </c>
      <c r="AB256" s="1847">
        <f t="shared" si="30"/>
        <v>0.5</v>
      </c>
      <c r="AC256" s="1847">
        <f t="shared" si="31"/>
        <v>0.75</v>
      </c>
      <c r="AD256" s="1847" t="e">
        <f t="shared" si="32"/>
        <v>#VALUE!</v>
      </c>
      <c r="AE256" s="1847" t="e">
        <f t="shared" si="33"/>
        <v>#VALUE!</v>
      </c>
      <c r="AF256" s="1823" t="e">
        <f t="shared" si="34"/>
        <v>#VALUE!</v>
      </c>
      <c r="AG256" s="1769" t="e">
        <f t="shared" si="35"/>
        <v>#VALUE!</v>
      </c>
      <c r="AI256" t="s">
        <v>3989</v>
      </c>
    </row>
    <row r="257" spans="3:35" ht="24.95" customHeight="1">
      <c r="C257" s="491">
        <v>250</v>
      </c>
      <c r="D257" s="1847"/>
      <c r="E257" s="1847"/>
      <c r="F257" s="1847" t="s">
        <v>3990</v>
      </c>
      <c r="G257" s="1847" t="s">
        <v>3990</v>
      </c>
      <c r="H257" s="1847" t="s">
        <v>3823</v>
      </c>
      <c r="I257" s="1847"/>
      <c r="J257" s="1847" t="s">
        <v>2782</v>
      </c>
      <c r="K257" s="1847" t="s">
        <v>3925</v>
      </c>
      <c r="L257" s="1847" t="s">
        <v>2797</v>
      </c>
      <c r="M257" s="1847" t="s">
        <v>4100</v>
      </c>
      <c r="N257" s="1847"/>
      <c r="O257" s="1847"/>
      <c r="P257" s="1852">
        <v>2.5</v>
      </c>
      <c r="Q257" s="1852">
        <v>3</v>
      </c>
      <c r="R257" s="483" t="e">
        <f>IF(H257="","",SUMIFS('[1]1_group_totals'!$J$8:$J$10000,'[1]1_group_totals'!$C$8:$C$10000,C257))</f>
        <v>#VALUE!</v>
      </c>
      <c r="S257" s="483">
        <f t="shared" si="27"/>
        <v>53</v>
      </c>
      <c r="T257" s="483">
        <v>4</v>
      </c>
      <c r="U257" s="510" t="e">
        <f t="shared" si="28"/>
        <v>#VALUE!</v>
      </c>
      <c r="V257" s="510">
        <v>1</v>
      </c>
      <c r="W257" s="510">
        <v>0</v>
      </c>
      <c r="X257" s="510">
        <v>0</v>
      </c>
      <c r="Y257" s="483">
        <v>1</v>
      </c>
      <c r="Z257" s="483">
        <v>1</v>
      </c>
      <c r="AA257" s="1847" t="e">
        <f t="shared" si="29"/>
        <v>#VALUE!</v>
      </c>
      <c r="AB257" s="1847">
        <f t="shared" si="30"/>
        <v>0.625</v>
      </c>
      <c r="AC257" s="1847">
        <f t="shared" si="31"/>
        <v>0.75</v>
      </c>
      <c r="AD257" s="1847" t="e">
        <f t="shared" si="32"/>
        <v>#VALUE!</v>
      </c>
      <c r="AE257" s="1847" t="e">
        <f t="shared" si="33"/>
        <v>#VALUE!</v>
      </c>
      <c r="AF257" s="1823" t="e">
        <f t="shared" si="34"/>
        <v>#VALUE!</v>
      </c>
      <c r="AG257" s="1769" t="e">
        <f t="shared" si="35"/>
        <v>#VALUE!</v>
      </c>
      <c r="AI257" t="s">
        <v>3990</v>
      </c>
    </row>
    <row r="258" spans="3:35" ht="24.95" customHeight="1">
      <c r="C258" s="491">
        <v>251</v>
      </c>
      <c r="D258" s="1847"/>
      <c r="E258" s="1847"/>
      <c r="F258" s="1847" t="s">
        <v>3991</v>
      </c>
      <c r="G258" s="1847" t="s">
        <v>3991</v>
      </c>
      <c r="H258" s="1847" t="s">
        <v>3824</v>
      </c>
      <c r="I258" s="1847"/>
      <c r="J258" s="1847" t="s">
        <v>2782</v>
      </c>
      <c r="K258" s="1847" t="s">
        <v>3925</v>
      </c>
      <c r="L258" s="1847" t="s">
        <v>2797</v>
      </c>
      <c r="M258" s="1847" t="s">
        <v>4100</v>
      </c>
      <c r="N258" s="1847"/>
      <c r="O258" s="1847"/>
      <c r="P258" s="1852">
        <v>1.35</v>
      </c>
      <c r="Q258" s="1852">
        <v>1.5</v>
      </c>
      <c r="R258" s="483" t="e">
        <f>IF(H258="","",SUMIFS('[1]1_group_totals'!$J$8:$J$10000,'[1]1_group_totals'!$C$8:$C$10000,C258))</f>
        <v>#VALUE!</v>
      </c>
      <c r="S258" s="483">
        <f t="shared" si="27"/>
        <v>53</v>
      </c>
      <c r="T258" s="483">
        <v>4</v>
      </c>
      <c r="U258" s="510" t="e">
        <f t="shared" si="28"/>
        <v>#VALUE!</v>
      </c>
      <c r="V258" s="510">
        <v>1</v>
      </c>
      <c r="W258" s="510">
        <v>0</v>
      </c>
      <c r="X258" s="510">
        <v>0</v>
      </c>
      <c r="Y258" s="483">
        <v>1</v>
      </c>
      <c r="Z258" s="483">
        <v>1</v>
      </c>
      <c r="AA258" s="1847" t="e">
        <f t="shared" si="29"/>
        <v>#VALUE!</v>
      </c>
      <c r="AB258" s="1847">
        <f t="shared" si="30"/>
        <v>0.33750000000000002</v>
      </c>
      <c r="AC258" s="1847">
        <f t="shared" si="31"/>
        <v>0.375</v>
      </c>
      <c r="AD258" s="1847" t="e">
        <f t="shared" si="32"/>
        <v>#VALUE!</v>
      </c>
      <c r="AE258" s="1847" t="e">
        <f t="shared" si="33"/>
        <v>#VALUE!</v>
      </c>
      <c r="AF258" s="1823" t="e">
        <f t="shared" si="34"/>
        <v>#VALUE!</v>
      </c>
      <c r="AG258" s="1769" t="e">
        <f t="shared" si="35"/>
        <v>#VALUE!</v>
      </c>
      <c r="AI258" t="s">
        <v>3991</v>
      </c>
    </row>
    <row r="259" spans="3:35" ht="24.95" customHeight="1">
      <c r="C259" s="491">
        <v>252</v>
      </c>
      <c r="D259" s="1847"/>
      <c r="E259" s="1847"/>
      <c r="F259" s="1847" t="s">
        <v>3992</v>
      </c>
      <c r="G259" s="1847" t="s">
        <v>3992</v>
      </c>
      <c r="H259" s="1847" t="s">
        <v>3825</v>
      </c>
      <c r="I259" s="1847"/>
      <c r="J259" s="1847" t="s">
        <v>2782</v>
      </c>
      <c r="K259" s="1847" t="s">
        <v>3925</v>
      </c>
      <c r="L259" s="1847" t="s">
        <v>2797</v>
      </c>
      <c r="M259" s="1847" t="s">
        <v>4100</v>
      </c>
      <c r="N259" s="1847"/>
      <c r="O259" s="1847"/>
      <c r="P259" s="1852">
        <v>1.32</v>
      </c>
      <c r="Q259" s="1852">
        <v>1.75</v>
      </c>
      <c r="R259" s="483" t="e">
        <f>IF(H259="","",SUMIFS('[1]1_group_totals'!$J$8:$J$10000,'[1]1_group_totals'!$C$8:$C$10000,C259))</f>
        <v>#VALUE!</v>
      </c>
      <c r="S259" s="483">
        <f t="shared" si="27"/>
        <v>53</v>
      </c>
      <c r="T259" s="483">
        <v>4</v>
      </c>
      <c r="U259" s="510" t="e">
        <f t="shared" si="28"/>
        <v>#VALUE!</v>
      </c>
      <c r="V259" s="510">
        <v>1</v>
      </c>
      <c r="W259" s="510">
        <v>0</v>
      </c>
      <c r="X259" s="510">
        <v>0</v>
      </c>
      <c r="Y259" s="483">
        <v>1</v>
      </c>
      <c r="Z259" s="483">
        <v>1</v>
      </c>
      <c r="AA259" s="1847" t="e">
        <f t="shared" si="29"/>
        <v>#VALUE!</v>
      </c>
      <c r="AB259" s="1847">
        <f t="shared" si="30"/>
        <v>0.33</v>
      </c>
      <c r="AC259" s="1847">
        <f t="shared" si="31"/>
        <v>0.4375</v>
      </c>
      <c r="AD259" s="1847" t="e">
        <f t="shared" si="32"/>
        <v>#VALUE!</v>
      </c>
      <c r="AE259" s="1847" t="e">
        <f t="shared" si="33"/>
        <v>#VALUE!</v>
      </c>
      <c r="AF259" s="1823" t="e">
        <f t="shared" si="34"/>
        <v>#VALUE!</v>
      </c>
      <c r="AG259" s="1769" t="e">
        <f t="shared" si="35"/>
        <v>#VALUE!</v>
      </c>
      <c r="AI259" t="s">
        <v>3992</v>
      </c>
    </row>
    <row r="260" spans="3:35" ht="24.95" customHeight="1">
      <c r="C260" s="491">
        <v>253</v>
      </c>
      <c r="D260" s="1847"/>
      <c r="E260" s="1847"/>
      <c r="F260" s="1847" t="s">
        <v>3993</v>
      </c>
      <c r="G260" s="1847" t="s">
        <v>3993</v>
      </c>
      <c r="H260" s="1847" t="s">
        <v>3826</v>
      </c>
      <c r="I260" s="1847"/>
      <c r="J260" s="1847" t="s">
        <v>2783</v>
      </c>
      <c r="K260" s="1847" t="s">
        <v>3925</v>
      </c>
      <c r="L260" s="1847" t="s">
        <v>2797</v>
      </c>
      <c r="M260" s="1847" t="s">
        <v>3937</v>
      </c>
      <c r="N260" s="1847"/>
      <c r="O260" s="1847"/>
      <c r="P260" s="1852">
        <v>2</v>
      </c>
      <c r="Q260" s="1852">
        <v>2.25</v>
      </c>
      <c r="R260" s="483" t="e">
        <f>IF(H260="","",SUMIFS('[1]1_group_totals'!$J$8:$J$10000,'[1]1_group_totals'!$C$8:$C$10000,C260))</f>
        <v>#VALUE!</v>
      </c>
      <c r="S260" s="483">
        <f t="shared" si="27"/>
        <v>2</v>
      </c>
      <c r="T260" s="483">
        <v>1</v>
      </c>
      <c r="U260" s="510" t="e">
        <f t="shared" si="28"/>
        <v>#VALUE!</v>
      </c>
      <c r="V260" s="510">
        <v>1</v>
      </c>
      <c r="W260" s="510">
        <v>0</v>
      </c>
      <c r="X260" s="510">
        <v>0</v>
      </c>
      <c r="Y260" s="483">
        <v>1</v>
      </c>
      <c r="Z260" s="483">
        <v>1</v>
      </c>
      <c r="AA260" s="1847" t="e">
        <f t="shared" si="29"/>
        <v>#VALUE!</v>
      </c>
      <c r="AB260" s="1847">
        <f t="shared" si="30"/>
        <v>2</v>
      </c>
      <c r="AC260" s="1847">
        <f t="shared" si="31"/>
        <v>2.25</v>
      </c>
      <c r="AD260" s="1847" t="e">
        <f t="shared" si="32"/>
        <v>#VALUE!</v>
      </c>
      <c r="AE260" s="1847" t="e">
        <f t="shared" si="33"/>
        <v>#VALUE!</v>
      </c>
      <c r="AF260" s="1823" t="e">
        <f t="shared" si="34"/>
        <v>#VALUE!</v>
      </c>
      <c r="AG260" s="1769" t="e">
        <f t="shared" si="35"/>
        <v>#VALUE!</v>
      </c>
      <c r="AI260" t="s">
        <v>3993</v>
      </c>
    </row>
    <row r="261" spans="3:35" ht="24.95" customHeight="1">
      <c r="C261" s="491">
        <v>254</v>
      </c>
      <c r="D261" s="1847"/>
      <c r="E261" s="1847"/>
      <c r="F261" s="1847" t="s">
        <v>3994</v>
      </c>
      <c r="G261" s="1847" t="s">
        <v>3994</v>
      </c>
      <c r="H261" s="1847" t="s">
        <v>3827</v>
      </c>
      <c r="I261" s="1847"/>
      <c r="J261" s="1847" t="s">
        <v>2783</v>
      </c>
      <c r="K261" s="1847" t="s">
        <v>3925</v>
      </c>
      <c r="L261" s="1847" t="s">
        <v>2797</v>
      </c>
      <c r="M261" s="1847" t="s">
        <v>3937</v>
      </c>
      <c r="N261" s="1847"/>
      <c r="O261" s="1847"/>
      <c r="P261" s="1852">
        <v>0.75</v>
      </c>
      <c r="Q261" s="1852">
        <v>1</v>
      </c>
      <c r="R261" s="483" t="e">
        <f>IF(H261="","",SUMIFS('[1]1_group_totals'!$J$8:$J$10000,'[1]1_group_totals'!$C$8:$C$10000,C261))</f>
        <v>#VALUE!</v>
      </c>
      <c r="S261" s="483">
        <f t="shared" si="27"/>
        <v>2</v>
      </c>
      <c r="T261" s="483">
        <v>1</v>
      </c>
      <c r="U261" s="510" t="e">
        <f t="shared" si="28"/>
        <v>#VALUE!</v>
      </c>
      <c r="V261" s="510">
        <v>1</v>
      </c>
      <c r="W261" s="510">
        <v>0</v>
      </c>
      <c r="X261" s="510">
        <v>0</v>
      </c>
      <c r="Y261" s="483">
        <v>1</v>
      </c>
      <c r="Z261" s="483">
        <v>1</v>
      </c>
      <c r="AA261" s="1847" t="e">
        <f t="shared" si="29"/>
        <v>#VALUE!</v>
      </c>
      <c r="AB261" s="1847">
        <f t="shared" si="30"/>
        <v>0.75</v>
      </c>
      <c r="AC261" s="1847">
        <f t="shared" si="31"/>
        <v>1</v>
      </c>
      <c r="AD261" s="1847" t="e">
        <f t="shared" si="32"/>
        <v>#VALUE!</v>
      </c>
      <c r="AE261" s="1847" t="e">
        <f t="shared" si="33"/>
        <v>#VALUE!</v>
      </c>
      <c r="AF261" s="1823" t="e">
        <f t="shared" si="34"/>
        <v>#VALUE!</v>
      </c>
      <c r="AG261" s="1769" t="e">
        <f t="shared" si="35"/>
        <v>#VALUE!</v>
      </c>
      <c r="AI261" t="s">
        <v>3994</v>
      </c>
    </row>
    <row r="262" spans="3:35" ht="24.95" customHeight="1">
      <c r="C262" s="491">
        <v>255</v>
      </c>
      <c r="D262" s="1847"/>
      <c r="E262" s="1847"/>
      <c r="F262" s="1847" t="s">
        <v>3995</v>
      </c>
      <c r="G262" s="1847" t="s">
        <v>3995</v>
      </c>
      <c r="H262" s="1847" t="s">
        <v>3828</v>
      </c>
      <c r="I262" s="1847"/>
      <c r="J262" s="1847" t="s">
        <v>2783</v>
      </c>
      <c r="K262" s="1847" t="s">
        <v>3925</v>
      </c>
      <c r="L262" s="1847" t="s">
        <v>2797</v>
      </c>
      <c r="M262" s="1847" t="s">
        <v>3937</v>
      </c>
      <c r="N262" s="1847"/>
      <c r="O262" s="1847"/>
      <c r="P262" s="1852">
        <v>1</v>
      </c>
      <c r="Q262" s="1852">
        <v>1.25</v>
      </c>
      <c r="R262" s="483" t="e">
        <f>IF(H262="","",SUMIFS('[1]1_group_totals'!$J$8:$J$10000,'[1]1_group_totals'!$C$8:$C$10000,C262))</f>
        <v>#VALUE!</v>
      </c>
      <c r="S262" s="483">
        <f t="shared" si="27"/>
        <v>2</v>
      </c>
      <c r="T262" s="483">
        <v>1</v>
      </c>
      <c r="U262" s="510" t="e">
        <f t="shared" si="28"/>
        <v>#VALUE!</v>
      </c>
      <c r="V262" s="510">
        <v>1</v>
      </c>
      <c r="W262" s="510">
        <v>0</v>
      </c>
      <c r="X262" s="510">
        <v>0</v>
      </c>
      <c r="Y262" s="483">
        <v>1</v>
      </c>
      <c r="Z262" s="483">
        <v>1</v>
      </c>
      <c r="AA262" s="1847" t="e">
        <f t="shared" si="29"/>
        <v>#VALUE!</v>
      </c>
      <c r="AB262" s="1847">
        <f t="shared" si="30"/>
        <v>1</v>
      </c>
      <c r="AC262" s="1847">
        <f t="shared" si="31"/>
        <v>1.25</v>
      </c>
      <c r="AD262" s="1847" t="e">
        <f t="shared" si="32"/>
        <v>#VALUE!</v>
      </c>
      <c r="AE262" s="1847" t="e">
        <f t="shared" si="33"/>
        <v>#VALUE!</v>
      </c>
      <c r="AF262" s="1823" t="e">
        <f t="shared" si="34"/>
        <v>#VALUE!</v>
      </c>
      <c r="AG262" s="1769" t="e">
        <f t="shared" si="35"/>
        <v>#VALUE!</v>
      </c>
      <c r="AI262" t="s">
        <v>3995</v>
      </c>
    </row>
    <row r="263" spans="3:35" ht="24.95" customHeight="1">
      <c r="C263" s="491">
        <v>256</v>
      </c>
      <c r="D263" s="1847"/>
      <c r="E263" s="1847"/>
      <c r="F263" s="1847" t="s">
        <v>3996</v>
      </c>
      <c r="G263" s="1847" t="s">
        <v>3996</v>
      </c>
      <c r="H263" s="1847" t="s">
        <v>3829</v>
      </c>
      <c r="I263" s="1847"/>
      <c r="J263" s="1847" t="s">
        <v>2783</v>
      </c>
      <c r="K263" s="1847" t="s">
        <v>3925</v>
      </c>
      <c r="L263" s="1847" t="s">
        <v>2797</v>
      </c>
      <c r="M263" s="1847" t="s">
        <v>3937</v>
      </c>
      <c r="N263" s="1847"/>
      <c r="O263" s="1847"/>
      <c r="P263" s="1852">
        <v>1.2</v>
      </c>
      <c r="Q263" s="1852">
        <v>1.5</v>
      </c>
      <c r="R263" s="483" t="e">
        <f>IF(H263="","",SUMIFS('[1]1_group_totals'!$J$8:$J$10000,'[1]1_group_totals'!$C$8:$C$10000,C263))</f>
        <v>#VALUE!</v>
      </c>
      <c r="S263" s="483">
        <f t="shared" si="27"/>
        <v>2</v>
      </c>
      <c r="T263" s="483">
        <v>1</v>
      </c>
      <c r="U263" s="510" t="e">
        <f t="shared" si="28"/>
        <v>#VALUE!</v>
      </c>
      <c r="V263" s="510">
        <v>1</v>
      </c>
      <c r="W263" s="510">
        <v>0</v>
      </c>
      <c r="X263" s="510">
        <v>0</v>
      </c>
      <c r="Y263" s="483">
        <v>1</v>
      </c>
      <c r="Z263" s="483">
        <v>1</v>
      </c>
      <c r="AA263" s="1847" t="e">
        <f t="shared" si="29"/>
        <v>#VALUE!</v>
      </c>
      <c r="AB263" s="1847">
        <f t="shared" si="30"/>
        <v>1.2</v>
      </c>
      <c r="AC263" s="1847">
        <f t="shared" si="31"/>
        <v>1.5</v>
      </c>
      <c r="AD263" s="1847" t="e">
        <f t="shared" si="32"/>
        <v>#VALUE!</v>
      </c>
      <c r="AE263" s="1847" t="e">
        <f t="shared" si="33"/>
        <v>#VALUE!</v>
      </c>
      <c r="AF263" s="1823" t="e">
        <f t="shared" si="34"/>
        <v>#VALUE!</v>
      </c>
      <c r="AG263" s="1769" t="e">
        <f t="shared" si="35"/>
        <v>#VALUE!</v>
      </c>
      <c r="AI263" t="s">
        <v>3996</v>
      </c>
    </row>
    <row r="264" spans="3:35" ht="24.95" customHeight="1">
      <c r="C264" s="491">
        <v>257</v>
      </c>
      <c r="D264" s="1847"/>
      <c r="E264" s="1847"/>
      <c r="F264" s="1847" t="s">
        <v>3997</v>
      </c>
      <c r="G264" s="1847" t="s">
        <v>3997</v>
      </c>
      <c r="H264" s="1847" t="s">
        <v>3830</v>
      </c>
      <c r="I264" s="1847"/>
      <c r="J264" s="1847" t="s">
        <v>2783</v>
      </c>
      <c r="K264" s="1847" t="s">
        <v>3925</v>
      </c>
      <c r="L264" s="1847" t="s">
        <v>2797</v>
      </c>
      <c r="M264" s="1847" t="s">
        <v>3937</v>
      </c>
      <c r="N264" s="1847"/>
      <c r="O264" s="1847"/>
      <c r="P264" s="1852">
        <v>3</v>
      </c>
      <c r="Q264" s="1852">
        <v>3.5</v>
      </c>
      <c r="R264" s="483" t="e">
        <f>IF(H264="","",SUMIFS('[1]1_group_totals'!$J$8:$J$10000,'[1]1_group_totals'!$C$8:$C$10000,C264))</f>
        <v>#VALUE!</v>
      </c>
      <c r="S264" s="483">
        <f t="shared" ref="S264:S327" si="36">IF(J264="","",MID(J264,1,3)*1)</f>
        <v>2</v>
      </c>
      <c r="T264" s="483">
        <v>1</v>
      </c>
      <c r="U264" s="510" t="e">
        <f t="shared" ref="U264:U327" si="37">getStockAvariableByUom(C264,R264,T264,Z264,S264)</f>
        <v>#VALUE!</v>
      </c>
      <c r="V264" s="510">
        <v>1</v>
      </c>
      <c r="W264" s="510">
        <v>0</v>
      </c>
      <c r="X264" s="510">
        <v>0</v>
      </c>
      <c r="Y264" s="483">
        <v>1</v>
      </c>
      <c r="Z264" s="483">
        <v>1</v>
      </c>
      <c r="AA264" s="1847" t="e">
        <f t="shared" ref="AA264:AA327" si="38">IF(AND(C264&lt;&gt;"",H264&lt;&gt;"",R264&gt;0),TEXT(C264,"00000")&amp;"."&amp;H264&amp;" | "&amp;F264&amp;" | Cost : "&amp;P264&amp;" "&amp;product_currency&amp;" | Price : "&amp;Q264&amp;" "&amp;product_currency&amp;" | Stock Ending : "&amp;U264,"")</f>
        <v>#VALUE!</v>
      </c>
      <c r="AB264" s="1847">
        <f t="shared" ref="AB264:AB327" si="39">P264/T264</f>
        <v>3</v>
      </c>
      <c r="AC264" s="1847">
        <f t="shared" ref="AC264:AC327" si="40">Q264/T264</f>
        <v>3.5</v>
      </c>
      <c r="AD264" s="1847" t="e">
        <f t="shared" ref="AD264:AD327" si="41">IF(R264&gt;0,R264*AB264,"")</f>
        <v>#VALUE!</v>
      </c>
      <c r="AE264" s="1847" t="e">
        <f t="shared" ref="AE264:AE327" si="42">IF(R264&gt;0,R264*AC264,"")</f>
        <v>#VALUE!</v>
      </c>
      <c r="AF264" s="1823" t="e">
        <f t="shared" ref="AF264:AF327" si="43">IF(R264&lt;0,R264*AB264,"")</f>
        <v>#VALUE!</v>
      </c>
      <c r="AG264" s="1769" t="e">
        <f t="shared" ref="AG264:AG327" si="44">IF(R264&lt;0,R264*AC264,"")</f>
        <v>#VALUE!</v>
      </c>
      <c r="AI264" t="s">
        <v>3997</v>
      </c>
    </row>
    <row r="265" spans="3:35" ht="24.95" customHeight="1">
      <c r="C265" s="491">
        <v>258</v>
      </c>
      <c r="D265" s="1847"/>
      <c r="E265" s="1847"/>
      <c r="F265" s="1847" t="s">
        <v>3998</v>
      </c>
      <c r="G265" s="1847" t="s">
        <v>3998</v>
      </c>
      <c r="H265" s="1847" t="s">
        <v>3831</v>
      </c>
      <c r="I265" s="1847"/>
      <c r="J265" s="1847" t="s">
        <v>2783</v>
      </c>
      <c r="K265" s="1847" t="s">
        <v>3925</v>
      </c>
      <c r="L265" s="1847" t="s">
        <v>3935</v>
      </c>
      <c r="M265" s="1847" t="s">
        <v>3937</v>
      </c>
      <c r="N265" s="1847"/>
      <c r="O265" s="1847"/>
      <c r="P265" s="1852">
        <v>2.5</v>
      </c>
      <c r="Q265" s="1852">
        <v>3</v>
      </c>
      <c r="R265" s="483" t="e">
        <f>IF(H265="","",SUMIFS('[1]1_group_totals'!$J$8:$J$10000,'[1]1_group_totals'!$C$8:$C$10000,C265))</f>
        <v>#VALUE!</v>
      </c>
      <c r="S265" s="483">
        <f t="shared" si="36"/>
        <v>2</v>
      </c>
      <c r="T265" s="483">
        <v>1</v>
      </c>
      <c r="U265" s="510" t="e">
        <f t="shared" si="37"/>
        <v>#VALUE!</v>
      </c>
      <c r="V265" s="510">
        <v>1</v>
      </c>
      <c r="W265" s="510">
        <v>0</v>
      </c>
      <c r="X265" s="510">
        <v>0</v>
      </c>
      <c r="Y265" s="483">
        <v>1</v>
      </c>
      <c r="Z265" s="483">
        <v>1</v>
      </c>
      <c r="AA265" s="1847" t="e">
        <f t="shared" si="38"/>
        <v>#VALUE!</v>
      </c>
      <c r="AB265" s="1847">
        <f t="shared" si="39"/>
        <v>2.5</v>
      </c>
      <c r="AC265" s="1847">
        <f t="shared" si="40"/>
        <v>3</v>
      </c>
      <c r="AD265" s="1847" t="e">
        <f t="shared" si="41"/>
        <v>#VALUE!</v>
      </c>
      <c r="AE265" s="1847" t="e">
        <f t="shared" si="42"/>
        <v>#VALUE!</v>
      </c>
      <c r="AF265" s="1823" t="e">
        <f t="shared" si="43"/>
        <v>#VALUE!</v>
      </c>
      <c r="AG265" s="1769" t="e">
        <f t="shared" si="44"/>
        <v>#VALUE!</v>
      </c>
      <c r="AI265" t="s">
        <v>3998</v>
      </c>
    </row>
    <row r="266" spans="3:35" ht="24.95" customHeight="1">
      <c r="C266" s="491">
        <v>259</v>
      </c>
      <c r="D266" s="1847"/>
      <c r="E266" s="1847"/>
      <c r="F266" s="1847" t="s">
        <v>3999</v>
      </c>
      <c r="G266" s="1847" t="s">
        <v>3999</v>
      </c>
      <c r="H266" s="1847" t="s">
        <v>3832</v>
      </c>
      <c r="I266" s="1847"/>
      <c r="J266" s="1847" t="s">
        <v>2783</v>
      </c>
      <c r="K266" s="1847" t="s">
        <v>3925</v>
      </c>
      <c r="L266" s="1847" t="s">
        <v>2797</v>
      </c>
      <c r="M266" s="1847" t="s">
        <v>3937</v>
      </c>
      <c r="N266" s="1847"/>
      <c r="O266" s="1847"/>
      <c r="P266" s="1852">
        <v>0.2</v>
      </c>
      <c r="Q266" s="1852">
        <v>0.38</v>
      </c>
      <c r="R266" s="483" t="e">
        <f>IF(H266="","",SUMIFS('[1]1_group_totals'!$J$8:$J$10000,'[1]1_group_totals'!$C$8:$C$10000,C266))</f>
        <v>#VALUE!</v>
      </c>
      <c r="S266" s="483">
        <f t="shared" si="36"/>
        <v>2</v>
      </c>
      <c r="T266" s="483">
        <v>1</v>
      </c>
      <c r="U266" s="510" t="e">
        <f t="shared" si="37"/>
        <v>#VALUE!</v>
      </c>
      <c r="V266" s="510">
        <v>1</v>
      </c>
      <c r="W266" s="510">
        <v>0</v>
      </c>
      <c r="X266" s="510">
        <v>0</v>
      </c>
      <c r="Y266" s="483">
        <v>1</v>
      </c>
      <c r="Z266" s="483">
        <v>1</v>
      </c>
      <c r="AA266" s="1847" t="e">
        <f t="shared" si="38"/>
        <v>#VALUE!</v>
      </c>
      <c r="AB266" s="1847">
        <f t="shared" si="39"/>
        <v>0.2</v>
      </c>
      <c r="AC266" s="1847">
        <f t="shared" si="40"/>
        <v>0.38</v>
      </c>
      <c r="AD266" s="1847" t="e">
        <f t="shared" si="41"/>
        <v>#VALUE!</v>
      </c>
      <c r="AE266" s="1847" t="e">
        <f t="shared" si="42"/>
        <v>#VALUE!</v>
      </c>
      <c r="AF266" s="1823" t="e">
        <f t="shared" si="43"/>
        <v>#VALUE!</v>
      </c>
      <c r="AG266" s="1769" t="e">
        <f t="shared" si="44"/>
        <v>#VALUE!</v>
      </c>
      <c r="AI266" t="s">
        <v>3999</v>
      </c>
    </row>
    <row r="267" spans="3:35" ht="24.95" customHeight="1">
      <c r="C267" s="491">
        <v>260</v>
      </c>
      <c r="D267" s="1847"/>
      <c r="E267" s="1847"/>
      <c r="F267" s="1847" t="s">
        <v>4000</v>
      </c>
      <c r="G267" s="1847" t="s">
        <v>4000</v>
      </c>
      <c r="H267" s="1847" t="s">
        <v>3833</v>
      </c>
      <c r="I267" s="1847"/>
      <c r="J267" s="1847" t="s">
        <v>2783</v>
      </c>
      <c r="K267" s="1847" t="s">
        <v>3925</v>
      </c>
      <c r="L267" s="1847" t="s">
        <v>2797</v>
      </c>
      <c r="M267" s="1847" t="s">
        <v>3937</v>
      </c>
      <c r="N267" s="1847"/>
      <c r="O267" s="1847"/>
      <c r="P267" s="1852">
        <v>0.25</v>
      </c>
      <c r="Q267" s="1852">
        <v>0.5</v>
      </c>
      <c r="R267" s="483" t="e">
        <f>IF(H267="","",SUMIFS('[1]1_group_totals'!$J$8:$J$10000,'[1]1_group_totals'!$C$8:$C$10000,C267))</f>
        <v>#VALUE!</v>
      </c>
      <c r="S267" s="483">
        <f t="shared" si="36"/>
        <v>2</v>
      </c>
      <c r="T267" s="483">
        <v>1</v>
      </c>
      <c r="U267" s="510" t="e">
        <f t="shared" si="37"/>
        <v>#VALUE!</v>
      </c>
      <c r="V267" s="510">
        <v>1</v>
      </c>
      <c r="W267" s="510">
        <v>0</v>
      </c>
      <c r="X267" s="510">
        <v>0</v>
      </c>
      <c r="Y267" s="483">
        <v>1</v>
      </c>
      <c r="Z267" s="483">
        <v>1</v>
      </c>
      <c r="AA267" s="1847" t="e">
        <f t="shared" si="38"/>
        <v>#VALUE!</v>
      </c>
      <c r="AB267" s="1847">
        <f t="shared" si="39"/>
        <v>0.25</v>
      </c>
      <c r="AC267" s="1847">
        <f t="shared" si="40"/>
        <v>0.5</v>
      </c>
      <c r="AD267" s="1847" t="e">
        <f t="shared" si="41"/>
        <v>#VALUE!</v>
      </c>
      <c r="AE267" s="1847" t="e">
        <f t="shared" si="42"/>
        <v>#VALUE!</v>
      </c>
      <c r="AF267" s="1823" t="e">
        <f t="shared" si="43"/>
        <v>#VALUE!</v>
      </c>
      <c r="AG267" s="1769" t="e">
        <f t="shared" si="44"/>
        <v>#VALUE!</v>
      </c>
      <c r="AI267" t="s">
        <v>4000</v>
      </c>
    </row>
    <row r="268" spans="3:35" ht="24.95" customHeight="1">
      <c r="C268" s="491">
        <v>261</v>
      </c>
      <c r="D268" s="1847"/>
      <c r="E268" s="1847"/>
      <c r="F268" s="1847" t="s">
        <v>4001</v>
      </c>
      <c r="G268" s="1847" t="s">
        <v>4001</v>
      </c>
      <c r="H268" s="1847" t="s">
        <v>3834</v>
      </c>
      <c r="I268" s="1847"/>
      <c r="J268" s="1847" t="s">
        <v>2783</v>
      </c>
      <c r="K268" s="1847" t="s">
        <v>3925</v>
      </c>
      <c r="L268" s="1847" t="s">
        <v>2797</v>
      </c>
      <c r="M268" s="1847" t="s">
        <v>3937</v>
      </c>
      <c r="N268" s="1847"/>
      <c r="O268" s="1847"/>
      <c r="P268" s="1852">
        <v>0.25</v>
      </c>
      <c r="Q268" s="1852">
        <v>0.5</v>
      </c>
      <c r="R268" s="483" t="e">
        <f>IF(H268="","",SUMIFS('[1]1_group_totals'!$J$8:$J$10000,'[1]1_group_totals'!$C$8:$C$10000,C268))</f>
        <v>#VALUE!</v>
      </c>
      <c r="S268" s="483">
        <f t="shared" si="36"/>
        <v>2</v>
      </c>
      <c r="T268" s="483">
        <v>1</v>
      </c>
      <c r="U268" s="510" t="e">
        <f t="shared" si="37"/>
        <v>#VALUE!</v>
      </c>
      <c r="V268" s="510">
        <v>1</v>
      </c>
      <c r="W268" s="510">
        <v>0</v>
      </c>
      <c r="X268" s="510">
        <v>0</v>
      </c>
      <c r="Y268" s="483">
        <v>1</v>
      </c>
      <c r="Z268" s="483">
        <v>1</v>
      </c>
      <c r="AA268" s="1847" t="e">
        <f t="shared" si="38"/>
        <v>#VALUE!</v>
      </c>
      <c r="AB268" s="1847">
        <f t="shared" si="39"/>
        <v>0.25</v>
      </c>
      <c r="AC268" s="1847">
        <f t="shared" si="40"/>
        <v>0.5</v>
      </c>
      <c r="AD268" s="1847" t="e">
        <f t="shared" si="41"/>
        <v>#VALUE!</v>
      </c>
      <c r="AE268" s="1847" t="e">
        <f t="shared" si="42"/>
        <v>#VALUE!</v>
      </c>
      <c r="AF268" s="1823" t="e">
        <f t="shared" si="43"/>
        <v>#VALUE!</v>
      </c>
      <c r="AG268" s="1769" t="e">
        <f t="shared" si="44"/>
        <v>#VALUE!</v>
      </c>
      <c r="AI268" t="s">
        <v>4001</v>
      </c>
    </row>
    <row r="269" spans="3:35" ht="24.95" customHeight="1">
      <c r="C269" s="491">
        <v>262</v>
      </c>
      <c r="D269" s="1847"/>
      <c r="E269" s="1847"/>
      <c r="F269" s="1847" t="s">
        <v>4002</v>
      </c>
      <c r="G269" s="1847" t="s">
        <v>4002</v>
      </c>
      <c r="H269" s="1847" t="s">
        <v>3835</v>
      </c>
      <c r="I269" s="1847"/>
      <c r="J269" s="1847" t="s">
        <v>2783</v>
      </c>
      <c r="K269" s="1847" t="s">
        <v>3925</v>
      </c>
      <c r="L269" s="1847" t="s">
        <v>2797</v>
      </c>
      <c r="M269" s="1847" t="s">
        <v>3937</v>
      </c>
      <c r="N269" s="1847"/>
      <c r="O269" s="1847"/>
      <c r="P269" s="1852">
        <v>0.28000000000000003</v>
      </c>
      <c r="Q269" s="1852">
        <v>0.5</v>
      </c>
      <c r="R269" s="483" t="e">
        <f>IF(H269="","",SUMIFS('[1]1_group_totals'!$J$8:$J$10000,'[1]1_group_totals'!$C$8:$C$10000,C269))</f>
        <v>#VALUE!</v>
      </c>
      <c r="S269" s="483">
        <f t="shared" si="36"/>
        <v>2</v>
      </c>
      <c r="T269" s="483">
        <v>1</v>
      </c>
      <c r="U269" s="510" t="e">
        <f t="shared" si="37"/>
        <v>#VALUE!</v>
      </c>
      <c r="V269" s="510">
        <v>1</v>
      </c>
      <c r="W269" s="510">
        <v>0</v>
      </c>
      <c r="X269" s="510">
        <v>0</v>
      </c>
      <c r="Y269" s="483">
        <v>1</v>
      </c>
      <c r="Z269" s="483">
        <v>1</v>
      </c>
      <c r="AA269" s="1847" t="e">
        <f t="shared" si="38"/>
        <v>#VALUE!</v>
      </c>
      <c r="AB269" s="1847">
        <f t="shared" si="39"/>
        <v>0.28000000000000003</v>
      </c>
      <c r="AC269" s="1847">
        <f t="shared" si="40"/>
        <v>0.5</v>
      </c>
      <c r="AD269" s="1847" t="e">
        <f t="shared" si="41"/>
        <v>#VALUE!</v>
      </c>
      <c r="AE269" s="1847" t="e">
        <f t="shared" si="42"/>
        <v>#VALUE!</v>
      </c>
      <c r="AF269" s="1823" t="e">
        <f t="shared" si="43"/>
        <v>#VALUE!</v>
      </c>
      <c r="AG269" s="1769" t="e">
        <f t="shared" si="44"/>
        <v>#VALUE!</v>
      </c>
      <c r="AI269" t="s">
        <v>4002</v>
      </c>
    </row>
    <row r="270" spans="3:35" ht="24.95" customHeight="1">
      <c r="C270" s="491">
        <v>263</v>
      </c>
      <c r="D270" s="1847"/>
      <c r="E270" s="1847"/>
      <c r="F270" s="1847" t="s">
        <v>4003</v>
      </c>
      <c r="G270" s="1847" t="s">
        <v>4003</v>
      </c>
      <c r="H270" s="1847" t="s">
        <v>3836</v>
      </c>
      <c r="I270" s="1847"/>
      <c r="J270" s="1847" t="s">
        <v>2783</v>
      </c>
      <c r="K270" s="1847" t="s">
        <v>3925</v>
      </c>
      <c r="L270" s="1847" t="s">
        <v>2797</v>
      </c>
      <c r="M270" s="1847" t="s">
        <v>3937</v>
      </c>
      <c r="N270" s="1847"/>
      <c r="O270" s="1847"/>
      <c r="P270" s="1852">
        <v>0.45</v>
      </c>
      <c r="Q270" s="1852">
        <v>0.75</v>
      </c>
      <c r="R270" s="483" t="e">
        <f>IF(H270="","",SUMIFS('[1]1_group_totals'!$J$8:$J$10000,'[1]1_group_totals'!$C$8:$C$10000,C270))</f>
        <v>#VALUE!</v>
      </c>
      <c r="S270" s="483">
        <f t="shared" si="36"/>
        <v>2</v>
      </c>
      <c r="T270" s="483">
        <v>1</v>
      </c>
      <c r="U270" s="510" t="e">
        <f t="shared" si="37"/>
        <v>#VALUE!</v>
      </c>
      <c r="V270" s="510">
        <v>1</v>
      </c>
      <c r="W270" s="510">
        <v>0</v>
      </c>
      <c r="X270" s="510">
        <v>0</v>
      </c>
      <c r="Y270" s="483">
        <v>1</v>
      </c>
      <c r="Z270" s="483">
        <v>1</v>
      </c>
      <c r="AA270" s="1847" t="e">
        <f t="shared" si="38"/>
        <v>#VALUE!</v>
      </c>
      <c r="AB270" s="1847">
        <f t="shared" si="39"/>
        <v>0.45</v>
      </c>
      <c r="AC270" s="1847">
        <f t="shared" si="40"/>
        <v>0.75</v>
      </c>
      <c r="AD270" s="1847" t="e">
        <f t="shared" si="41"/>
        <v>#VALUE!</v>
      </c>
      <c r="AE270" s="1847" t="e">
        <f t="shared" si="42"/>
        <v>#VALUE!</v>
      </c>
      <c r="AF270" s="1823" t="e">
        <f t="shared" si="43"/>
        <v>#VALUE!</v>
      </c>
      <c r="AG270" s="1769" t="e">
        <f t="shared" si="44"/>
        <v>#VALUE!</v>
      </c>
      <c r="AI270" t="s">
        <v>4003</v>
      </c>
    </row>
    <row r="271" spans="3:35" ht="24.95" customHeight="1">
      <c r="C271" s="491">
        <v>264</v>
      </c>
      <c r="D271" s="1847"/>
      <c r="E271" s="1847"/>
      <c r="F271" s="1847" t="s">
        <v>4004</v>
      </c>
      <c r="G271" s="1847" t="s">
        <v>4004</v>
      </c>
      <c r="H271" s="1847" t="s">
        <v>3837</v>
      </c>
      <c r="I271" s="1847"/>
      <c r="J271" s="1847" t="s">
        <v>2783</v>
      </c>
      <c r="K271" s="1847" t="s">
        <v>3925</v>
      </c>
      <c r="L271" s="1847" t="s">
        <v>2797</v>
      </c>
      <c r="M271" s="1847" t="s">
        <v>3937</v>
      </c>
      <c r="N271" s="1847"/>
      <c r="O271" s="1847"/>
      <c r="P271" s="1852">
        <v>0.4</v>
      </c>
      <c r="Q271" s="1852">
        <v>0.6</v>
      </c>
      <c r="R271" s="483" t="e">
        <f>IF(H271="","",SUMIFS('[1]1_group_totals'!$J$8:$J$10000,'[1]1_group_totals'!$C$8:$C$10000,C271))</f>
        <v>#VALUE!</v>
      </c>
      <c r="S271" s="483">
        <f t="shared" si="36"/>
        <v>2</v>
      </c>
      <c r="T271" s="483">
        <v>1</v>
      </c>
      <c r="U271" s="510" t="e">
        <f t="shared" si="37"/>
        <v>#VALUE!</v>
      </c>
      <c r="V271" s="510">
        <v>1</v>
      </c>
      <c r="W271" s="510">
        <v>0</v>
      </c>
      <c r="X271" s="510">
        <v>0</v>
      </c>
      <c r="Y271" s="483">
        <v>1</v>
      </c>
      <c r="Z271" s="483">
        <v>1</v>
      </c>
      <c r="AA271" s="1847" t="e">
        <f t="shared" si="38"/>
        <v>#VALUE!</v>
      </c>
      <c r="AB271" s="1847">
        <f t="shared" si="39"/>
        <v>0.4</v>
      </c>
      <c r="AC271" s="1847">
        <f t="shared" si="40"/>
        <v>0.6</v>
      </c>
      <c r="AD271" s="1847" t="e">
        <f t="shared" si="41"/>
        <v>#VALUE!</v>
      </c>
      <c r="AE271" s="1847" t="e">
        <f t="shared" si="42"/>
        <v>#VALUE!</v>
      </c>
      <c r="AF271" s="1823" t="e">
        <f t="shared" si="43"/>
        <v>#VALUE!</v>
      </c>
      <c r="AG271" s="1769" t="e">
        <f t="shared" si="44"/>
        <v>#VALUE!</v>
      </c>
      <c r="AI271" t="s">
        <v>4004</v>
      </c>
    </row>
    <row r="272" spans="3:35" ht="24.95" customHeight="1">
      <c r="C272" s="491">
        <v>265</v>
      </c>
      <c r="D272" s="1847"/>
      <c r="E272" s="1847"/>
      <c r="F272" s="1847" t="s">
        <v>4005</v>
      </c>
      <c r="G272" s="1847" t="s">
        <v>4005</v>
      </c>
      <c r="H272" s="1847" t="s">
        <v>3838</v>
      </c>
      <c r="I272" s="1847"/>
      <c r="J272" s="1847" t="s">
        <v>2783</v>
      </c>
      <c r="K272" s="1847" t="s">
        <v>3925</v>
      </c>
      <c r="L272" s="1847" t="s">
        <v>2797</v>
      </c>
      <c r="M272" s="1847" t="s">
        <v>3937</v>
      </c>
      <c r="N272" s="1847"/>
      <c r="O272" s="1847"/>
      <c r="P272" s="1852">
        <v>0.55000000000000004</v>
      </c>
      <c r="Q272" s="1852">
        <v>1.25</v>
      </c>
      <c r="R272" s="483" t="e">
        <f>IF(H272="","",SUMIFS('[1]1_group_totals'!$J$8:$J$10000,'[1]1_group_totals'!$C$8:$C$10000,C272))</f>
        <v>#VALUE!</v>
      </c>
      <c r="S272" s="483">
        <f t="shared" si="36"/>
        <v>2</v>
      </c>
      <c r="T272" s="483">
        <v>1</v>
      </c>
      <c r="U272" s="510" t="e">
        <f t="shared" si="37"/>
        <v>#VALUE!</v>
      </c>
      <c r="V272" s="510">
        <v>1</v>
      </c>
      <c r="W272" s="510">
        <v>0</v>
      </c>
      <c r="X272" s="510">
        <v>0</v>
      </c>
      <c r="Y272" s="483">
        <v>1</v>
      </c>
      <c r="Z272" s="483">
        <v>1</v>
      </c>
      <c r="AA272" s="1847" t="e">
        <f t="shared" si="38"/>
        <v>#VALUE!</v>
      </c>
      <c r="AB272" s="1847">
        <f t="shared" si="39"/>
        <v>0.55000000000000004</v>
      </c>
      <c r="AC272" s="1847">
        <f t="shared" si="40"/>
        <v>1.25</v>
      </c>
      <c r="AD272" s="1847" t="e">
        <f t="shared" si="41"/>
        <v>#VALUE!</v>
      </c>
      <c r="AE272" s="1847" t="e">
        <f t="shared" si="42"/>
        <v>#VALUE!</v>
      </c>
      <c r="AF272" s="1823" t="e">
        <f t="shared" si="43"/>
        <v>#VALUE!</v>
      </c>
      <c r="AG272" s="1769" t="e">
        <f t="shared" si="44"/>
        <v>#VALUE!</v>
      </c>
      <c r="AI272" t="s">
        <v>4005</v>
      </c>
    </row>
    <row r="273" spans="3:35" ht="24.95" customHeight="1">
      <c r="C273" s="491">
        <v>266</v>
      </c>
      <c r="D273" s="1847"/>
      <c r="E273" s="1847"/>
      <c r="F273" s="1847" t="s">
        <v>4006</v>
      </c>
      <c r="G273" s="1847" t="s">
        <v>4006</v>
      </c>
      <c r="H273" s="1847" t="s">
        <v>3839</v>
      </c>
      <c r="I273" s="1847"/>
      <c r="J273" s="1847" t="s">
        <v>2783</v>
      </c>
      <c r="K273" s="1847" t="s">
        <v>3925</v>
      </c>
      <c r="L273" s="1847" t="s">
        <v>2797</v>
      </c>
      <c r="M273" s="1847" t="s">
        <v>3937</v>
      </c>
      <c r="N273" s="1847"/>
      <c r="O273" s="1847"/>
      <c r="P273" s="1852">
        <v>0.12</v>
      </c>
      <c r="Q273" s="1852">
        <v>0.25</v>
      </c>
      <c r="R273" s="483" t="e">
        <f>IF(H273="","",SUMIFS('[1]1_group_totals'!$J$8:$J$10000,'[1]1_group_totals'!$C$8:$C$10000,C273))</f>
        <v>#VALUE!</v>
      </c>
      <c r="S273" s="483">
        <f t="shared" si="36"/>
        <v>2</v>
      </c>
      <c r="T273" s="483">
        <v>1</v>
      </c>
      <c r="U273" s="510" t="e">
        <f t="shared" si="37"/>
        <v>#VALUE!</v>
      </c>
      <c r="V273" s="510">
        <v>1</v>
      </c>
      <c r="W273" s="510">
        <v>0</v>
      </c>
      <c r="X273" s="510">
        <v>0</v>
      </c>
      <c r="Y273" s="483">
        <v>1</v>
      </c>
      <c r="Z273" s="483">
        <v>1</v>
      </c>
      <c r="AA273" s="1847" t="e">
        <f t="shared" si="38"/>
        <v>#VALUE!</v>
      </c>
      <c r="AB273" s="1847">
        <f t="shared" si="39"/>
        <v>0.12</v>
      </c>
      <c r="AC273" s="1847">
        <f t="shared" si="40"/>
        <v>0.25</v>
      </c>
      <c r="AD273" s="1847" t="e">
        <f t="shared" si="41"/>
        <v>#VALUE!</v>
      </c>
      <c r="AE273" s="1847" t="e">
        <f t="shared" si="42"/>
        <v>#VALUE!</v>
      </c>
      <c r="AF273" s="1823" t="e">
        <f t="shared" si="43"/>
        <v>#VALUE!</v>
      </c>
      <c r="AG273" s="1769" t="e">
        <f t="shared" si="44"/>
        <v>#VALUE!</v>
      </c>
      <c r="AI273" t="s">
        <v>4006</v>
      </c>
    </row>
    <row r="274" spans="3:35" ht="24.95" customHeight="1">
      <c r="C274" s="491">
        <v>267</v>
      </c>
      <c r="D274" s="1847"/>
      <c r="E274" s="1847"/>
      <c r="F274" s="1847" t="s">
        <v>4007</v>
      </c>
      <c r="G274" s="1847" t="s">
        <v>4007</v>
      </c>
      <c r="H274" s="1847" t="s">
        <v>3840</v>
      </c>
      <c r="I274" s="1847"/>
      <c r="J274" s="1847" t="s">
        <v>3913</v>
      </c>
      <c r="K274" s="1847" t="s">
        <v>3925</v>
      </c>
      <c r="L274" s="1847" t="s">
        <v>2797</v>
      </c>
      <c r="M274" s="1847" t="s">
        <v>4106</v>
      </c>
      <c r="N274" s="1847"/>
      <c r="O274" s="1847"/>
      <c r="P274" s="1852">
        <v>2.5</v>
      </c>
      <c r="Q274" s="1852">
        <v>3</v>
      </c>
      <c r="R274" s="483" t="e">
        <f>IF(H274="","",SUMIFS('[1]1_group_totals'!$J$8:$J$10000,'[1]1_group_totals'!$C$8:$C$10000,C274))</f>
        <v>#VALUE!</v>
      </c>
      <c r="S274" s="483">
        <f t="shared" si="36"/>
        <v>68</v>
      </c>
      <c r="T274" s="483">
        <v>10</v>
      </c>
      <c r="U274" s="510" t="e">
        <f t="shared" si="37"/>
        <v>#VALUE!</v>
      </c>
      <c r="V274" s="510">
        <v>1</v>
      </c>
      <c r="W274" s="510">
        <v>0</v>
      </c>
      <c r="X274" s="510">
        <v>0</v>
      </c>
      <c r="Y274" s="483">
        <v>1</v>
      </c>
      <c r="Z274" s="483">
        <v>1</v>
      </c>
      <c r="AA274" s="1847" t="e">
        <f t="shared" si="38"/>
        <v>#VALUE!</v>
      </c>
      <c r="AB274" s="1847">
        <f t="shared" si="39"/>
        <v>0.25</v>
      </c>
      <c r="AC274" s="1847">
        <f t="shared" si="40"/>
        <v>0.3</v>
      </c>
      <c r="AD274" s="1847" t="e">
        <f t="shared" si="41"/>
        <v>#VALUE!</v>
      </c>
      <c r="AE274" s="1847" t="e">
        <f t="shared" si="42"/>
        <v>#VALUE!</v>
      </c>
      <c r="AF274" s="1823" t="e">
        <f t="shared" si="43"/>
        <v>#VALUE!</v>
      </c>
      <c r="AG274" s="1769" t="e">
        <f t="shared" si="44"/>
        <v>#VALUE!</v>
      </c>
      <c r="AI274" t="s">
        <v>4007</v>
      </c>
    </row>
    <row r="275" spans="3:35" ht="24.95" customHeight="1">
      <c r="C275" s="491">
        <v>268</v>
      </c>
      <c r="D275" s="1847"/>
      <c r="E275" s="1847"/>
      <c r="F275" s="1847" t="s">
        <v>4008</v>
      </c>
      <c r="G275" s="1847" t="s">
        <v>4008</v>
      </c>
      <c r="H275" s="1847" t="s">
        <v>3841</v>
      </c>
      <c r="I275" s="1847"/>
      <c r="J275" s="1847" t="s">
        <v>2783</v>
      </c>
      <c r="K275" s="1847" t="s">
        <v>3926</v>
      </c>
      <c r="L275" s="1847" t="s">
        <v>2799</v>
      </c>
      <c r="M275" s="1847" t="s">
        <v>3937</v>
      </c>
      <c r="N275" s="1847"/>
      <c r="O275" s="1847"/>
      <c r="P275" s="1852">
        <v>1</v>
      </c>
      <c r="Q275" s="1852">
        <v>1.5</v>
      </c>
      <c r="R275" s="483" t="e">
        <f>IF(H275="","",SUMIFS('[1]1_group_totals'!$J$8:$J$10000,'[1]1_group_totals'!$C$8:$C$10000,C275))</f>
        <v>#VALUE!</v>
      </c>
      <c r="S275" s="483">
        <f t="shared" si="36"/>
        <v>2</v>
      </c>
      <c r="T275" s="483">
        <v>1</v>
      </c>
      <c r="U275" s="510" t="e">
        <f t="shared" si="37"/>
        <v>#VALUE!</v>
      </c>
      <c r="V275" s="510">
        <v>1</v>
      </c>
      <c r="W275" s="510">
        <v>0</v>
      </c>
      <c r="X275" s="510">
        <v>0</v>
      </c>
      <c r="Y275" s="483">
        <v>1</v>
      </c>
      <c r="Z275" s="483">
        <v>1</v>
      </c>
      <c r="AA275" s="1847" t="e">
        <f t="shared" si="38"/>
        <v>#VALUE!</v>
      </c>
      <c r="AB275" s="1847">
        <f t="shared" si="39"/>
        <v>1</v>
      </c>
      <c r="AC275" s="1847">
        <f t="shared" si="40"/>
        <v>1.5</v>
      </c>
      <c r="AD275" s="1847" t="e">
        <f t="shared" si="41"/>
        <v>#VALUE!</v>
      </c>
      <c r="AE275" s="1847" t="e">
        <f t="shared" si="42"/>
        <v>#VALUE!</v>
      </c>
      <c r="AF275" s="1823" t="e">
        <f t="shared" si="43"/>
        <v>#VALUE!</v>
      </c>
      <c r="AG275" s="1769" t="e">
        <f t="shared" si="44"/>
        <v>#VALUE!</v>
      </c>
      <c r="AI275" t="s">
        <v>4008</v>
      </c>
    </row>
    <row r="276" spans="3:35" ht="24.95" customHeight="1">
      <c r="C276" s="491">
        <v>269</v>
      </c>
      <c r="D276" s="1847"/>
      <c r="E276" s="1847"/>
      <c r="F276" s="1847" t="s">
        <v>4009</v>
      </c>
      <c r="G276" s="1847" t="s">
        <v>4009</v>
      </c>
      <c r="H276" s="1847" t="s">
        <v>3842</v>
      </c>
      <c r="I276" s="1847"/>
      <c r="J276" s="1847" t="s">
        <v>2783</v>
      </c>
      <c r="K276" s="1847" t="s">
        <v>3926</v>
      </c>
      <c r="L276" s="1847" t="s">
        <v>2799</v>
      </c>
      <c r="M276" s="1847" t="s">
        <v>3937</v>
      </c>
      <c r="N276" s="1847"/>
      <c r="O276" s="1847"/>
      <c r="P276" s="1852">
        <v>1.55</v>
      </c>
      <c r="Q276" s="1852">
        <v>1.75</v>
      </c>
      <c r="R276" s="483" t="e">
        <f>IF(H276="","",SUMIFS('[1]1_group_totals'!$J$8:$J$10000,'[1]1_group_totals'!$C$8:$C$10000,C276))</f>
        <v>#VALUE!</v>
      </c>
      <c r="S276" s="483">
        <f t="shared" si="36"/>
        <v>2</v>
      </c>
      <c r="T276" s="483">
        <v>1</v>
      </c>
      <c r="U276" s="510" t="e">
        <f t="shared" si="37"/>
        <v>#VALUE!</v>
      </c>
      <c r="V276" s="510">
        <v>1</v>
      </c>
      <c r="W276" s="510">
        <v>0</v>
      </c>
      <c r="X276" s="510">
        <v>0</v>
      </c>
      <c r="Y276" s="483">
        <v>1</v>
      </c>
      <c r="Z276" s="483">
        <v>1</v>
      </c>
      <c r="AA276" s="1847" t="e">
        <f t="shared" si="38"/>
        <v>#VALUE!</v>
      </c>
      <c r="AB276" s="1847">
        <f t="shared" si="39"/>
        <v>1.55</v>
      </c>
      <c r="AC276" s="1847">
        <f t="shared" si="40"/>
        <v>1.75</v>
      </c>
      <c r="AD276" s="1847" t="e">
        <f t="shared" si="41"/>
        <v>#VALUE!</v>
      </c>
      <c r="AE276" s="1847" t="e">
        <f t="shared" si="42"/>
        <v>#VALUE!</v>
      </c>
      <c r="AF276" s="1823" t="e">
        <f t="shared" si="43"/>
        <v>#VALUE!</v>
      </c>
      <c r="AG276" s="1769" t="e">
        <f t="shared" si="44"/>
        <v>#VALUE!</v>
      </c>
      <c r="AI276" t="s">
        <v>4009</v>
      </c>
    </row>
    <row r="277" spans="3:35" ht="24.95" customHeight="1">
      <c r="C277" s="491">
        <v>270</v>
      </c>
      <c r="D277" s="1847"/>
      <c r="E277" s="1847"/>
      <c r="F277" s="1847" t="s">
        <v>4010</v>
      </c>
      <c r="G277" s="1847" t="s">
        <v>4010</v>
      </c>
      <c r="H277" s="1847" t="s">
        <v>3843</v>
      </c>
      <c r="I277" s="1847"/>
      <c r="J277" s="1847" t="s">
        <v>2783</v>
      </c>
      <c r="K277" s="1847" t="s">
        <v>3926</v>
      </c>
      <c r="L277" s="1847" t="s">
        <v>2799</v>
      </c>
      <c r="M277" s="1847" t="s">
        <v>3937</v>
      </c>
      <c r="N277" s="1847"/>
      <c r="O277" s="1847"/>
      <c r="P277" s="1852">
        <v>1.25</v>
      </c>
      <c r="Q277" s="1852">
        <v>1.75</v>
      </c>
      <c r="R277" s="483" t="e">
        <f>IF(H277="","",SUMIFS('[1]1_group_totals'!$J$8:$J$10000,'[1]1_group_totals'!$C$8:$C$10000,C277))</f>
        <v>#VALUE!</v>
      </c>
      <c r="S277" s="483">
        <f t="shared" si="36"/>
        <v>2</v>
      </c>
      <c r="T277" s="483">
        <v>1</v>
      </c>
      <c r="U277" s="510" t="e">
        <f t="shared" si="37"/>
        <v>#VALUE!</v>
      </c>
      <c r="V277" s="510">
        <v>1</v>
      </c>
      <c r="W277" s="510">
        <v>0</v>
      </c>
      <c r="X277" s="510">
        <v>0</v>
      </c>
      <c r="Y277" s="483">
        <v>1</v>
      </c>
      <c r="Z277" s="483">
        <v>1</v>
      </c>
      <c r="AA277" s="1847" t="e">
        <f t="shared" si="38"/>
        <v>#VALUE!</v>
      </c>
      <c r="AB277" s="1847">
        <f t="shared" si="39"/>
        <v>1.25</v>
      </c>
      <c r="AC277" s="1847">
        <f t="shared" si="40"/>
        <v>1.75</v>
      </c>
      <c r="AD277" s="1847" t="e">
        <f t="shared" si="41"/>
        <v>#VALUE!</v>
      </c>
      <c r="AE277" s="1847" t="e">
        <f t="shared" si="42"/>
        <v>#VALUE!</v>
      </c>
      <c r="AF277" s="1823" t="e">
        <f t="shared" si="43"/>
        <v>#VALUE!</v>
      </c>
      <c r="AG277" s="1769" t="e">
        <f t="shared" si="44"/>
        <v>#VALUE!</v>
      </c>
      <c r="AI277" t="s">
        <v>4010</v>
      </c>
    </row>
    <row r="278" spans="3:35" ht="24.95" customHeight="1">
      <c r="C278" s="491">
        <v>271</v>
      </c>
      <c r="D278" s="1847"/>
      <c r="E278" s="1847"/>
      <c r="F278" s="1847" t="s">
        <v>4011</v>
      </c>
      <c r="G278" s="1847" t="s">
        <v>4011</v>
      </c>
      <c r="H278" s="1847" t="s">
        <v>3844</v>
      </c>
      <c r="I278" s="1847"/>
      <c r="J278" s="1847" t="s">
        <v>2783</v>
      </c>
      <c r="K278" s="1847" t="s">
        <v>3926</v>
      </c>
      <c r="L278" s="1847" t="s">
        <v>2799</v>
      </c>
      <c r="M278" s="1847" t="s">
        <v>3937</v>
      </c>
      <c r="N278" s="1847"/>
      <c r="O278" s="1847"/>
      <c r="P278" s="1852">
        <v>1</v>
      </c>
      <c r="Q278" s="1852">
        <v>1.5</v>
      </c>
      <c r="R278" s="483" t="e">
        <f>IF(H278="","",SUMIFS('[1]1_group_totals'!$J$8:$J$10000,'[1]1_group_totals'!$C$8:$C$10000,C278))</f>
        <v>#VALUE!</v>
      </c>
      <c r="S278" s="483">
        <f t="shared" si="36"/>
        <v>2</v>
      </c>
      <c r="T278" s="483">
        <v>1</v>
      </c>
      <c r="U278" s="510" t="e">
        <f t="shared" si="37"/>
        <v>#VALUE!</v>
      </c>
      <c r="V278" s="510">
        <v>1</v>
      </c>
      <c r="W278" s="510">
        <v>0</v>
      </c>
      <c r="X278" s="510">
        <v>0</v>
      </c>
      <c r="Y278" s="483">
        <v>1</v>
      </c>
      <c r="Z278" s="483">
        <v>1</v>
      </c>
      <c r="AA278" s="1847" t="e">
        <f t="shared" si="38"/>
        <v>#VALUE!</v>
      </c>
      <c r="AB278" s="1847">
        <f t="shared" si="39"/>
        <v>1</v>
      </c>
      <c r="AC278" s="1847">
        <f t="shared" si="40"/>
        <v>1.5</v>
      </c>
      <c r="AD278" s="1847" t="e">
        <f t="shared" si="41"/>
        <v>#VALUE!</v>
      </c>
      <c r="AE278" s="1847" t="e">
        <f t="shared" si="42"/>
        <v>#VALUE!</v>
      </c>
      <c r="AF278" s="1823" t="e">
        <f t="shared" si="43"/>
        <v>#VALUE!</v>
      </c>
      <c r="AG278" s="1769" t="e">
        <f t="shared" si="44"/>
        <v>#VALUE!</v>
      </c>
      <c r="AI278" t="s">
        <v>4011</v>
      </c>
    </row>
    <row r="279" spans="3:35" ht="24.95" customHeight="1">
      <c r="C279" s="491">
        <v>272</v>
      </c>
      <c r="D279" s="1847"/>
      <c r="E279" s="1847"/>
      <c r="F279" s="1847" t="s">
        <v>4012</v>
      </c>
      <c r="G279" s="1847" t="s">
        <v>4012</v>
      </c>
      <c r="H279" s="1847" t="s">
        <v>4333</v>
      </c>
      <c r="I279" s="1847"/>
      <c r="J279" s="1847" t="s">
        <v>3915</v>
      </c>
      <c r="K279" s="1847" t="s">
        <v>3926</v>
      </c>
      <c r="L279" s="1847" t="s">
        <v>2799</v>
      </c>
      <c r="M279" s="1847" t="s">
        <v>4110</v>
      </c>
      <c r="N279" s="1847"/>
      <c r="O279" s="1847"/>
      <c r="P279" s="1852">
        <v>18</v>
      </c>
      <c r="Q279" s="1852">
        <v>22</v>
      </c>
      <c r="R279" s="483" t="e">
        <f>IF(H279="","",SUMIFS('[1]1_group_totals'!$J$8:$J$10000,'[1]1_group_totals'!$C$8:$C$10000,C279))</f>
        <v>#VALUE!</v>
      </c>
      <c r="S279" s="483">
        <f t="shared" si="36"/>
        <v>66</v>
      </c>
      <c r="T279" s="483">
        <v>80</v>
      </c>
      <c r="U279" s="510" t="e">
        <f t="shared" si="37"/>
        <v>#VALUE!</v>
      </c>
      <c r="V279" s="510">
        <v>1</v>
      </c>
      <c r="W279" s="510">
        <v>0</v>
      </c>
      <c r="X279" s="510">
        <v>0</v>
      </c>
      <c r="Y279" s="483">
        <v>1</v>
      </c>
      <c r="Z279" s="483">
        <v>1</v>
      </c>
      <c r="AA279" s="1847" t="e">
        <f t="shared" si="38"/>
        <v>#VALUE!</v>
      </c>
      <c r="AB279" s="1847">
        <f t="shared" si="39"/>
        <v>0.22500000000000001</v>
      </c>
      <c r="AC279" s="1847">
        <f t="shared" si="40"/>
        <v>0.27500000000000002</v>
      </c>
      <c r="AD279" s="1847" t="e">
        <f t="shared" si="41"/>
        <v>#VALUE!</v>
      </c>
      <c r="AE279" s="1847" t="e">
        <f t="shared" si="42"/>
        <v>#VALUE!</v>
      </c>
      <c r="AF279" s="1823" t="e">
        <f t="shared" si="43"/>
        <v>#VALUE!</v>
      </c>
      <c r="AG279" s="1769" t="e">
        <f t="shared" si="44"/>
        <v>#VALUE!</v>
      </c>
      <c r="AI279" t="s">
        <v>4012</v>
      </c>
    </row>
    <row r="280" spans="3:35" ht="24.95" customHeight="1">
      <c r="C280" s="491">
        <v>273</v>
      </c>
      <c r="D280" s="1847"/>
      <c r="E280" s="1847"/>
      <c r="F280" s="1847" t="s">
        <v>4013</v>
      </c>
      <c r="G280" s="1847" t="s">
        <v>4013</v>
      </c>
      <c r="H280" s="1847" t="s">
        <v>4334</v>
      </c>
      <c r="I280" s="1847"/>
      <c r="J280" s="1847" t="s">
        <v>3915</v>
      </c>
      <c r="K280" s="1847" t="s">
        <v>3926</v>
      </c>
      <c r="L280" s="1847" t="s">
        <v>2799</v>
      </c>
      <c r="M280" s="1847" t="s">
        <v>4110</v>
      </c>
      <c r="N280" s="1847"/>
      <c r="O280" s="1847"/>
      <c r="P280" s="1852">
        <v>23</v>
      </c>
      <c r="Q280" s="1852">
        <v>28</v>
      </c>
      <c r="R280" s="483" t="e">
        <f>IF(H280="","",SUMIFS('[1]1_group_totals'!$J$8:$J$10000,'[1]1_group_totals'!$C$8:$C$10000,C280))</f>
        <v>#VALUE!</v>
      </c>
      <c r="S280" s="483">
        <f t="shared" si="36"/>
        <v>66</v>
      </c>
      <c r="T280" s="483">
        <v>80</v>
      </c>
      <c r="U280" s="510" t="e">
        <f t="shared" si="37"/>
        <v>#VALUE!</v>
      </c>
      <c r="V280" s="510">
        <v>1</v>
      </c>
      <c r="W280" s="510">
        <v>0</v>
      </c>
      <c r="X280" s="510">
        <v>0</v>
      </c>
      <c r="Y280" s="483">
        <v>1</v>
      </c>
      <c r="Z280" s="483">
        <v>1</v>
      </c>
      <c r="AA280" s="1847" t="e">
        <f t="shared" si="38"/>
        <v>#VALUE!</v>
      </c>
      <c r="AB280" s="1847">
        <f t="shared" si="39"/>
        <v>0.28749999999999998</v>
      </c>
      <c r="AC280" s="1847">
        <f t="shared" si="40"/>
        <v>0.35</v>
      </c>
      <c r="AD280" s="1847" t="e">
        <f t="shared" si="41"/>
        <v>#VALUE!</v>
      </c>
      <c r="AE280" s="1847" t="e">
        <f t="shared" si="42"/>
        <v>#VALUE!</v>
      </c>
      <c r="AF280" s="1823" t="e">
        <f t="shared" si="43"/>
        <v>#VALUE!</v>
      </c>
      <c r="AG280" s="1769" t="e">
        <f t="shared" si="44"/>
        <v>#VALUE!</v>
      </c>
      <c r="AI280" t="s">
        <v>4013</v>
      </c>
    </row>
    <row r="281" spans="3:35" ht="24.95" customHeight="1">
      <c r="C281" s="491">
        <v>274</v>
      </c>
      <c r="D281" s="1847"/>
      <c r="E281" s="1847"/>
      <c r="F281" s="1847" t="s">
        <v>4014</v>
      </c>
      <c r="G281" s="1847" t="s">
        <v>4014</v>
      </c>
      <c r="H281" s="1847" t="s">
        <v>3847</v>
      </c>
      <c r="I281" s="1847"/>
      <c r="J281" s="1847" t="s">
        <v>2783</v>
      </c>
      <c r="K281" s="1847" t="s">
        <v>3926</v>
      </c>
      <c r="L281" s="1847" t="s">
        <v>2799</v>
      </c>
      <c r="M281" s="1847" t="s">
        <v>3937</v>
      </c>
      <c r="N281" s="1847"/>
      <c r="O281" s="1847"/>
      <c r="P281" s="1852">
        <v>2</v>
      </c>
      <c r="Q281" s="1852">
        <v>2.5</v>
      </c>
      <c r="R281" s="483" t="e">
        <f>IF(H281="","",SUMIFS('[1]1_group_totals'!$J$8:$J$10000,'[1]1_group_totals'!$C$8:$C$10000,C281))</f>
        <v>#VALUE!</v>
      </c>
      <c r="S281" s="483">
        <f t="shared" si="36"/>
        <v>2</v>
      </c>
      <c r="T281" s="483">
        <v>1</v>
      </c>
      <c r="U281" s="510" t="e">
        <f t="shared" si="37"/>
        <v>#VALUE!</v>
      </c>
      <c r="V281" s="510">
        <v>1</v>
      </c>
      <c r="W281" s="510">
        <v>0</v>
      </c>
      <c r="X281" s="510">
        <v>0</v>
      </c>
      <c r="Y281" s="483">
        <v>1</v>
      </c>
      <c r="Z281" s="483">
        <v>1</v>
      </c>
      <c r="AA281" s="1847" t="e">
        <f t="shared" si="38"/>
        <v>#VALUE!</v>
      </c>
      <c r="AB281" s="1847">
        <f t="shared" si="39"/>
        <v>2</v>
      </c>
      <c r="AC281" s="1847">
        <f t="shared" si="40"/>
        <v>2.5</v>
      </c>
      <c r="AD281" s="1847" t="e">
        <f t="shared" si="41"/>
        <v>#VALUE!</v>
      </c>
      <c r="AE281" s="1847" t="e">
        <f t="shared" si="42"/>
        <v>#VALUE!</v>
      </c>
      <c r="AF281" s="1823" t="e">
        <f t="shared" si="43"/>
        <v>#VALUE!</v>
      </c>
      <c r="AG281" s="1769" t="e">
        <f t="shared" si="44"/>
        <v>#VALUE!</v>
      </c>
      <c r="AI281" t="s">
        <v>4014</v>
      </c>
    </row>
    <row r="282" spans="3:35" ht="24.95" customHeight="1">
      <c r="C282" s="491">
        <v>275</v>
      </c>
      <c r="D282" s="1847"/>
      <c r="E282" s="1847"/>
      <c r="F282" s="1847" t="s">
        <v>4015</v>
      </c>
      <c r="G282" s="1847" t="s">
        <v>4015</v>
      </c>
      <c r="H282" s="1847" t="s">
        <v>3848</v>
      </c>
      <c r="I282" s="1847"/>
      <c r="J282" s="1847" t="s">
        <v>2783</v>
      </c>
      <c r="K282" s="1847" t="s">
        <v>3926</v>
      </c>
      <c r="L282" s="1847" t="s">
        <v>2799</v>
      </c>
      <c r="M282" s="1847" t="s">
        <v>3937</v>
      </c>
      <c r="N282" s="1847"/>
      <c r="O282" s="1847"/>
      <c r="P282" s="1852">
        <v>0.2</v>
      </c>
      <c r="Q282" s="1852">
        <v>0.5</v>
      </c>
      <c r="R282" s="483" t="e">
        <f>IF(H282="","",SUMIFS('[1]1_group_totals'!$J$8:$J$10000,'[1]1_group_totals'!$C$8:$C$10000,C282))</f>
        <v>#VALUE!</v>
      </c>
      <c r="S282" s="483">
        <f t="shared" si="36"/>
        <v>2</v>
      </c>
      <c r="T282" s="483">
        <v>1</v>
      </c>
      <c r="U282" s="510" t="e">
        <f t="shared" si="37"/>
        <v>#VALUE!</v>
      </c>
      <c r="V282" s="510">
        <v>1</v>
      </c>
      <c r="W282" s="510">
        <v>0</v>
      </c>
      <c r="X282" s="510">
        <v>0</v>
      </c>
      <c r="Y282" s="483">
        <v>1</v>
      </c>
      <c r="Z282" s="483">
        <v>1</v>
      </c>
      <c r="AA282" s="1847" t="e">
        <f t="shared" si="38"/>
        <v>#VALUE!</v>
      </c>
      <c r="AB282" s="1847">
        <f t="shared" si="39"/>
        <v>0.2</v>
      </c>
      <c r="AC282" s="1847">
        <f t="shared" si="40"/>
        <v>0.5</v>
      </c>
      <c r="AD282" s="1847" t="e">
        <f t="shared" si="41"/>
        <v>#VALUE!</v>
      </c>
      <c r="AE282" s="1847" t="e">
        <f t="shared" si="42"/>
        <v>#VALUE!</v>
      </c>
      <c r="AF282" s="1823" t="e">
        <f t="shared" si="43"/>
        <v>#VALUE!</v>
      </c>
      <c r="AG282" s="1769" t="e">
        <f t="shared" si="44"/>
        <v>#VALUE!</v>
      </c>
      <c r="AI282" t="s">
        <v>4015</v>
      </c>
    </row>
    <row r="283" spans="3:35" ht="24.95" customHeight="1">
      <c r="C283" s="491">
        <v>276</v>
      </c>
      <c r="D283" s="1847"/>
      <c r="E283" s="1847"/>
      <c r="F283" s="1847" t="s">
        <v>4016</v>
      </c>
      <c r="G283" s="1847" t="s">
        <v>4016</v>
      </c>
      <c r="H283" s="1847" t="s">
        <v>3849</v>
      </c>
      <c r="I283" s="1847"/>
      <c r="J283" s="1847" t="s">
        <v>2783</v>
      </c>
      <c r="K283" s="1847" t="s">
        <v>3926</v>
      </c>
      <c r="L283" s="1847" t="s">
        <v>2799</v>
      </c>
      <c r="M283" s="1847" t="s">
        <v>3937</v>
      </c>
      <c r="N283" s="1847"/>
      <c r="O283" s="1847"/>
      <c r="P283" s="1852">
        <v>0.25</v>
      </c>
      <c r="Q283" s="1852">
        <v>0.5</v>
      </c>
      <c r="R283" s="483" t="e">
        <f>IF(H283="","",SUMIFS('[1]1_group_totals'!$J$8:$J$10000,'[1]1_group_totals'!$C$8:$C$10000,C283))</f>
        <v>#VALUE!</v>
      </c>
      <c r="S283" s="483">
        <f t="shared" si="36"/>
        <v>2</v>
      </c>
      <c r="T283" s="483">
        <v>1</v>
      </c>
      <c r="U283" s="510" t="e">
        <f t="shared" si="37"/>
        <v>#VALUE!</v>
      </c>
      <c r="V283" s="510">
        <v>1</v>
      </c>
      <c r="W283" s="510">
        <v>0</v>
      </c>
      <c r="X283" s="510">
        <v>0</v>
      </c>
      <c r="Y283" s="483">
        <v>1</v>
      </c>
      <c r="Z283" s="483">
        <v>1</v>
      </c>
      <c r="AA283" s="1847" t="e">
        <f t="shared" si="38"/>
        <v>#VALUE!</v>
      </c>
      <c r="AB283" s="1847">
        <f t="shared" si="39"/>
        <v>0.25</v>
      </c>
      <c r="AC283" s="1847">
        <f t="shared" si="40"/>
        <v>0.5</v>
      </c>
      <c r="AD283" s="1847" t="e">
        <f t="shared" si="41"/>
        <v>#VALUE!</v>
      </c>
      <c r="AE283" s="1847" t="e">
        <f t="shared" si="42"/>
        <v>#VALUE!</v>
      </c>
      <c r="AF283" s="1823" t="e">
        <f t="shared" si="43"/>
        <v>#VALUE!</v>
      </c>
      <c r="AG283" s="1769" t="e">
        <f t="shared" si="44"/>
        <v>#VALUE!</v>
      </c>
      <c r="AI283" t="s">
        <v>4016</v>
      </c>
    </row>
    <row r="284" spans="3:35" ht="24.95" customHeight="1">
      <c r="C284" s="491">
        <v>277</v>
      </c>
      <c r="D284" s="1847"/>
      <c r="E284" s="1847"/>
      <c r="F284" s="1847" t="s">
        <v>4017</v>
      </c>
      <c r="G284" s="1847" t="s">
        <v>4017</v>
      </c>
      <c r="H284" s="1847" t="s">
        <v>3850</v>
      </c>
      <c r="I284" s="1847"/>
      <c r="J284" s="1847" t="s">
        <v>2783</v>
      </c>
      <c r="K284" s="1847" t="s">
        <v>3926</v>
      </c>
      <c r="L284" s="1847" t="s">
        <v>2799</v>
      </c>
      <c r="M284" s="1847" t="s">
        <v>3937</v>
      </c>
      <c r="N284" s="1847"/>
      <c r="O284" s="1847"/>
      <c r="P284" s="1852">
        <v>0.28000000000000003</v>
      </c>
      <c r="Q284" s="1852">
        <v>0.625</v>
      </c>
      <c r="R284" s="483" t="e">
        <f>IF(H284="","",SUMIFS('[1]1_group_totals'!$J$8:$J$10000,'[1]1_group_totals'!$C$8:$C$10000,C284))</f>
        <v>#VALUE!</v>
      </c>
      <c r="S284" s="483">
        <f t="shared" si="36"/>
        <v>2</v>
      </c>
      <c r="T284" s="483">
        <v>1</v>
      </c>
      <c r="U284" s="510" t="e">
        <f t="shared" si="37"/>
        <v>#VALUE!</v>
      </c>
      <c r="V284" s="510">
        <v>1</v>
      </c>
      <c r="W284" s="510">
        <v>0</v>
      </c>
      <c r="X284" s="510">
        <v>0</v>
      </c>
      <c r="Y284" s="483">
        <v>1</v>
      </c>
      <c r="Z284" s="483">
        <v>1</v>
      </c>
      <c r="AA284" s="1847" t="e">
        <f t="shared" si="38"/>
        <v>#VALUE!</v>
      </c>
      <c r="AB284" s="1847">
        <f t="shared" si="39"/>
        <v>0.28000000000000003</v>
      </c>
      <c r="AC284" s="1847">
        <f t="shared" si="40"/>
        <v>0.625</v>
      </c>
      <c r="AD284" s="1847" t="e">
        <f t="shared" si="41"/>
        <v>#VALUE!</v>
      </c>
      <c r="AE284" s="1847" t="e">
        <f t="shared" si="42"/>
        <v>#VALUE!</v>
      </c>
      <c r="AF284" s="1823" t="e">
        <f t="shared" si="43"/>
        <v>#VALUE!</v>
      </c>
      <c r="AG284" s="1769" t="e">
        <f t="shared" si="44"/>
        <v>#VALUE!</v>
      </c>
      <c r="AI284" t="s">
        <v>4017</v>
      </c>
    </row>
    <row r="285" spans="3:35" ht="24.95" customHeight="1">
      <c r="C285" s="491">
        <v>278</v>
      </c>
      <c r="D285" s="1847"/>
      <c r="E285" s="1847"/>
      <c r="F285" s="1847" t="s">
        <v>4018</v>
      </c>
      <c r="G285" s="1847" t="s">
        <v>4018</v>
      </c>
      <c r="H285" s="1847" t="s">
        <v>3851</v>
      </c>
      <c r="I285" s="1847"/>
      <c r="J285" s="1847" t="s">
        <v>2783</v>
      </c>
      <c r="K285" s="1847" t="s">
        <v>3926</v>
      </c>
      <c r="L285" s="1847" t="s">
        <v>2799</v>
      </c>
      <c r="M285" s="1847" t="s">
        <v>4111</v>
      </c>
      <c r="N285" s="1847"/>
      <c r="O285" s="1847"/>
      <c r="P285" s="1852">
        <v>0.8</v>
      </c>
      <c r="Q285" s="1852">
        <v>1.25</v>
      </c>
      <c r="R285" s="483" t="e">
        <f>IF(H285="","",SUMIFS('[1]1_group_totals'!$J$8:$J$10000,'[1]1_group_totals'!$C$8:$C$10000,C285))</f>
        <v>#VALUE!</v>
      </c>
      <c r="S285" s="483">
        <f t="shared" si="36"/>
        <v>2</v>
      </c>
      <c r="T285" s="483">
        <v>1</v>
      </c>
      <c r="U285" s="510" t="e">
        <f t="shared" si="37"/>
        <v>#VALUE!</v>
      </c>
      <c r="V285" s="510">
        <v>1</v>
      </c>
      <c r="W285" s="510">
        <v>0</v>
      </c>
      <c r="X285" s="510">
        <v>0</v>
      </c>
      <c r="Y285" s="483">
        <v>1</v>
      </c>
      <c r="Z285" s="483">
        <v>1</v>
      </c>
      <c r="AA285" s="1847" t="e">
        <f t="shared" si="38"/>
        <v>#VALUE!</v>
      </c>
      <c r="AB285" s="1847">
        <f t="shared" si="39"/>
        <v>0.8</v>
      </c>
      <c r="AC285" s="1847">
        <f t="shared" si="40"/>
        <v>1.25</v>
      </c>
      <c r="AD285" s="1847" t="e">
        <f t="shared" si="41"/>
        <v>#VALUE!</v>
      </c>
      <c r="AE285" s="1847" t="e">
        <f t="shared" si="42"/>
        <v>#VALUE!</v>
      </c>
      <c r="AF285" s="1823" t="e">
        <f t="shared" si="43"/>
        <v>#VALUE!</v>
      </c>
      <c r="AG285" s="1769" t="e">
        <f t="shared" si="44"/>
        <v>#VALUE!</v>
      </c>
      <c r="AI285" t="s">
        <v>4018</v>
      </c>
    </row>
    <row r="286" spans="3:35" ht="24.95" customHeight="1">
      <c r="C286" s="491">
        <v>279</v>
      </c>
      <c r="D286" s="1847"/>
      <c r="E286" s="1847"/>
      <c r="F286" s="1847" t="s">
        <v>4019</v>
      </c>
      <c r="G286" s="1847" t="s">
        <v>4019</v>
      </c>
      <c r="H286" s="1847" t="s">
        <v>3852</v>
      </c>
      <c r="I286" s="1847"/>
      <c r="J286" s="1847" t="s">
        <v>2783</v>
      </c>
      <c r="K286" s="1847" t="s">
        <v>3926</v>
      </c>
      <c r="L286" s="1847" t="s">
        <v>2799</v>
      </c>
      <c r="M286" s="1847" t="s">
        <v>4111</v>
      </c>
      <c r="N286" s="1847"/>
      <c r="O286" s="1847"/>
      <c r="P286" s="1852">
        <v>1.2</v>
      </c>
      <c r="Q286" s="1852">
        <v>1.75</v>
      </c>
      <c r="R286" s="483" t="e">
        <f>IF(H286="","",SUMIFS('[1]1_group_totals'!$J$8:$J$10000,'[1]1_group_totals'!$C$8:$C$10000,C286))</f>
        <v>#VALUE!</v>
      </c>
      <c r="S286" s="483">
        <f t="shared" si="36"/>
        <v>2</v>
      </c>
      <c r="T286" s="483">
        <v>1</v>
      </c>
      <c r="U286" s="510" t="e">
        <f t="shared" si="37"/>
        <v>#VALUE!</v>
      </c>
      <c r="V286" s="510">
        <v>1</v>
      </c>
      <c r="W286" s="510">
        <v>0</v>
      </c>
      <c r="X286" s="510">
        <v>0</v>
      </c>
      <c r="Y286" s="483">
        <v>1</v>
      </c>
      <c r="Z286" s="483">
        <v>1</v>
      </c>
      <c r="AA286" s="1847" t="e">
        <f t="shared" si="38"/>
        <v>#VALUE!</v>
      </c>
      <c r="AB286" s="1847">
        <f t="shared" si="39"/>
        <v>1.2</v>
      </c>
      <c r="AC286" s="1847">
        <f t="shared" si="40"/>
        <v>1.75</v>
      </c>
      <c r="AD286" s="1847" t="e">
        <f t="shared" si="41"/>
        <v>#VALUE!</v>
      </c>
      <c r="AE286" s="1847" t="e">
        <f t="shared" si="42"/>
        <v>#VALUE!</v>
      </c>
      <c r="AF286" s="1823" t="e">
        <f t="shared" si="43"/>
        <v>#VALUE!</v>
      </c>
      <c r="AG286" s="1769" t="e">
        <f t="shared" si="44"/>
        <v>#VALUE!</v>
      </c>
      <c r="AI286" t="s">
        <v>4019</v>
      </c>
    </row>
    <row r="287" spans="3:35" ht="24.95" customHeight="1">
      <c r="C287" s="491">
        <v>280</v>
      </c>
      <c r="D287" s="1847"/>
      <c r="E287" s="1847"/>
      <c r="F287" s="1847" t="s">
        <v>4020</v>
      </c>
      <c r="G287" s="1847" t="s">
        <v>4020</v>
      </c>
      <c r="H287" s="1847" t="s">
        <v>3853</v>
      </c>
      <c r="I287" s="1847"/>
      <c r="J287" s="1847" t="s">
        <v>2783</v>
      </c>
      <c r="K287" s="1847" t="s">
        <v>3926</v>
      </c>
      <c r="L287" s="1847" t="s">
        <v>2799</v>
      </c>
      <c r="M287" s="1847" t="s">
        <v>3937</v>
      </c>
      <c r="N287" s="1847"/>
      <c r="O287" s="1847"/>
      <c r="P287" s="1852">
        <v>2</v>
      </c>
      <c r="Q287" s="1852">
        <v>2.5</v>
      </c>
      <c r="R287" s="483" t="e">
        <f>IF(H287="","",SUMIFS('[1]1_group_totals'!$J$8:$J$10000,'[1]1_group_totals'!$C$8:$C$10000,C287))</f>
        <v>#VALUE!</v>
      </c>
      <c r="S287" s="483">
        <f t="shared" si="36"/>
        <v>2</v>
      </c>
      <c r="T287" s="483">
        <v>1</v>
      </c>
      <c r="U287" s="510" t="e">
        <f t="shared" si="37"/>
        <v>#VALUE!</v>
      </c>
      <c r="V287" s="510">
        <v>1</v>
      </c>
      <c r="W287" s="510">
        <v>0</v>
      </c>
      <c r="X287" s="510">
        <v>0</v>
      </c>
      <c r="Y287" s="483">
        <v>1</v>
      </c>
      <c r="Z287" s="483">
        <v>1</v>
      </c>
      <c r="AA287" s="1847" t="e">
        <f t="shared" si="38"/>
        <v>#VALUE!</v>
      </c>
      <c r="AB287" s="1847">
        <f t="shared" si="39"/>
        <v>2</v>
      </c>
      <c r="AC287" s="1847">
        <f t="shared" si="40"/>
        <v>2.5</v>
      </c>
      <c r="AD287" s="1847" t="e">
        <f t="shared" si="41"/>
        <v>#VALUE!</v>
      </c>
      <c r="AE287" s="1847" t="e">
        <f t="shared" si="42"/>
        <v>#VALUE!</v>
      </c>
      <c r="AF287" s="1823" t="e">
        <f t="shared" si="43"/>
        <v>#VALUE!</v>
      </c>
      <c r="AG287" s="1769" t="e">
        <f t="shared" si="44"/>
        <v>#VALUE!</v>
      </c>
      <c r="AI287" t="s">
        <v>4020</v>
      </c>
    </row>
    <row r="288" spans="3:35" ht="24.95" customHeight="1">
      <c r="C288" s="491">
        <v>281</v>
      </c>
      <c r="D288" s="1847"/>
      <c r="E288" s="1847"/>
      <c r="F288" s="1847" t="s">
        <v>4021</v>
      </c>
      <c r="G288" s="1847" t="s">
        <v>4021</v>
      </c>
      <c r="H288" s="1847" t="s">
        <v>3854</v>
      </c>
      <c r="I288" s="1847"/>
      <c r="J288" s="1847" t="s">
        <v>2783</v>
      </c>
      <c r="K288" s="1847" t="s">
        <v>3926</v>
      </c>
      <c r="L288" s="1847" t="s">
        <v>2799</v>
      </c>
      <c r="M288" s="1847" t="s">
        <v>3937</v>
      </c>
      <c r="N288" s="1847"/>
      <c r="O288" s="1847"/>
      <c r="P288" s="1852">
        <v>4</v>
      </c>
      <c r="Q288" s="1852">
        <v>5</v>
      </c>
      <c r="R288" s="483" t="e">
        <f>IF(H288="","",SUMIFS('[1]1_group_totals'!$J$8:$J$10000,'[1]1_group_totals'!$C$8:$C$10000,C288))</f>
        <v>#VALUE!</v>
      </c>
      <c r="S288" s="483">
        <f t="shared" si="36"/>
        <v>2</v>
      </c>
      <c r="T288" s="483">
        <v>1</v>
      </c>
      <c r="U288" s="510" t="e">
        <f t="shared" si="37"/>
        <v>#VALUE!</v>
      </c>
      <c r="V288" s="510">
        <v>1</v>
      </c>
      <c r="W288" s="510">
        <v>0</v>
      </c>
      <c r="X288" s="510">
        <v>0</v>
      </c>
      <c r="Y288" s="483">
        <v>1</v>
      </c>
      <c r="Z288" s="483">
        <v>1</v>
      </c>
      <c r="AA288" s="1847" t="e">
        <f t="shared" si="38"/>
        <v>#VALUE!</v>
      </c>
      <c r="AB288" s="1847">
        <f t="shared" si="39"/>
        <v>4</v>
      </c>
      <c r="AC288" s="1847">
        <f t="shared" si="40"/>
        <v>5</v>
      </c>
      <c r="AD288" s="1847" t="e">
        <f t="shared" si="41"/>
        <v>#VALUE!</v>
      </c>
      <c r="AE288" s="1847" t="e">
        <f t="shared" si="42"/>
        <v>#VALUE!</v>
      </c>
      <c r="AF288" s="1823" t="e">
        <f t="shared" si="43"/>
        <v>#VALUE!</v>
      </c>
      <c r="AG288" s="1769" t="e">
        <f t="shared" si="44"/>
        <v>#VALUE!</v>
      </c>
      <c r="AI288" t="s">
        <v>4021</v>
      </c>
    </row>
    <row r="289" spans="3:35" ht="24.95" customHeight="1">
      <c r="C289" s="491">
        <v>282</v>
      </c>
      <c r="D289" s="1847"/>
      <c r="E289" s="1847"/>
      <c r="F289" s="1847" t="s">
        <v>4022</v>
      </c>
      <c r="G289" s="1847" t="s">
        <v>4022</v>
      </c>
      <c r="H289" s="1847" t="s">
        <v>3855</v>
      </c>
      <c r="I289" s="1847"/>
      <c r="J289" s="1847" t="s">
        <v>2783</v>
      </c>
      <c r="K289" s="1847" t="s">
        <v>3926</v>
      </c>
      <c r="L289" s="1847" t="s">
        <v>2799</v>
      </c>
      <c r="M289" s="1847" t="s">
        <v>3937</v>
      </c>
      <c r="N289" s="1847"/>
      <c r="O289" s="1847"/>
      <c r="P289" s="1852">
        <v>2.2000000000000002</v>
      </c>
      <c r="Q289" s="1852">
        <v>3.5</v>
      </c>
      <c r="R289" s="483" t="e">
        <f>IF(H289="","",SUMIFS('[1]1_group_totals'!$J$8:$J$10000,'[1]1_group_totals'!$C$8:$C$10000,C289))</f>
        <v>#VALUE!</v>
      </c>
      <c r="S289" s="483">
        <f t="shared" si="36"/>
        <v>2</v>
      </c>
      <c r="T289" s="483">
        <v>1</v>
      </c>
      <c r="U289" s="510" t="e">
        <f t="shared" si="37"/>
        <v>#VALUE!</v>
      </c>
      <c r="V289" s="510">
        <v>1</v>
      </c>
      <c r="W289" s="510">
        <v>0</v>
      </c>
      <c r="X289" s="510">
        <v>0</v>
      </c>
      <c r="Y289" s="483">
        <v>1</v>
      </c>
      <c r="Z289" s="483">
        <v>1</v>
      </c>
      <c r="AA289" s="1847" t="e">
        <f t="shared" si="38"/>
        <v>#VALUE!</v>
      </c>
      <c r="AB289" s="1847">
        <f t="shared" si="39"/>
        <v>2.2000000000000002</v>
      </c>
      <c r="AC289" s="1847">
        <f t="shared" si="40"/>
        <v>3.5</v>
      </c>
      <c r="AD289" s="1847" t="e">
        <f t="shared" si="41"/>
        <v>#VALUE!</v>
      </c>
      <c r="AE289" s="1847" t="e">
        <f t="shared" si="42"/>
        <v>#VALUE!</v>
      </c>
      <c r="AF289" s="1823" t="e">
        <f t="shared" si="43"/>
        <v>#VALUE!</v>
      </c>
      <c r="AG289" s="1769" t="e">
        <f t="shared" si="44"/>
        <v>#VALUE!</v>
      </c>
      <c r="AI289" t="s">
        <v>4022</v>
      </c>
    </row>
    <row r="290" spans="3:35" ht="24.95" customHeight="1">
      <c r="C290" s="491">
        <v>283</v>
      </c>
      <c r="D290" s="1847"/>
      <c r="E290" s="1847"/>
      <c r="F290" s="1847" t="s">
        <v>4023</v>
      </c>
      <c r="G290" s="1847" t="s">
        <v>4023</v>
      </c>
      <c r="H290" s="1847" t="s">
        <v>3856</v>
      </c>
      <c r="I290" s="1847"/>
      <c r="J290" s="1847" t="s">
        <v>2783</v>
      </c>
      <c r="K290" s="1847" t="s">
        <v>3926</v>
      </c>
      <c r="L290" s="1847" t="s">
        <v>2799</v>
      </c>
      <c r="M290" s="1847" t="s">
        <v>3937</v>
      </c>
      <c r="N290" s="1847"/>
      <c r="O290" s="1847"/>
      <c r="P290" s="1852">
        <v>2</v>
      </c>
      <c r="Q290" s="1852">
        <v>3.25</v>
      </c>
      <c r="R290" s="483" t="e">
        <f>IF(H290="","",SUMIFS('[1]1_group_totals'!$J$8:$J$10000,'[1]1_group_totals'!$C$8:$C$10000,C290))</f>
        <v>#VALUE!</v>
      </c>
      <c r="S290" s="483">
        <f t="shared" si="36"/>
        <v>2</v>
      </c>
      <c r="T290" s="483">
        <v>1</v>
      </c>
      <c r="U290" s="510" t="e">
        <f t="shared" si="37"/>
        <v>#VALUE!</v>
      </c>
      <c r="V290" s="510">
        <v>1</v>
      </c>
      <c r="W290" s="510">
        <v>0</v>
      </c>
      <c r="X290" s="510">
        <v>0</v>
      </c>
      <c r="Y290" s="483">
        <v>1</v>
      </c>
      <c r="Z290" s="483">
        <v>1</v>
      </c>
      <c r="AA290" s="1847" t="e">
        <f t="shared" si="38"/>
        <v>#VALUE!</v>
      </c>
      <c r="AB290" s="1847">
        <f t="shared" si="39"/>
        <v>2</v>
      </c>
      <c r="AC290" s="1847">
        <f t="shared" si="40"/>
        <v>3.25</v>
      </c>
      <c r="AD290" s="1847" t="e">
        <f t="shared" si="41"/>
        <v>#VALUE!</v>
      </c>
      <c r="AE290" s="1847" t="e">
        <f t="shared" si="42"/>
        <v>#VALUE!</v>
      </c>
      <c r="AF290" s="1823" t="e">
        <f t="shared" si="43"/>
        <v>#VALUE!</v>
      </c>
      <c r="AG290" s="1769" t="e">
        <f t="shared" si="44"/>
        <v>#VALUE!</v>
      </c>
      <c r="AI290" t="s">
        <v>4023</v>
      </c>
    </row>
    <row r="291" spans="3:35" ht="24.95" customHeight="1">
      <c r="C291" s="491">
        <v>284</v>
      </c>
      <c r="D291" s="1847"/>
      <c r="E291" s="1847"/>
      <c r="F291" s="1847" t="s">
        <v>4024</v>
      </c>
      <c r="G291" s="1847" t="s">
        <v>4024</v>
      </c>
      <c r="H291" s="1847" t="s">
        <v>3857</v>
      </c>
      <c r="I291" s="1847"/>
      <c r="J291" s="1847" t="s">
        <v>2783</v>
      </c>
      <c r="K291" s="1847" t="s">
        <v>3927</v>
      </c>
      <c r="L291" s="1847" t="s">
        <v>2797</v>
      </c>
      <c r="M291" s="1847" t="s">
        <v>3937</v>
      </c>
      <c r="N291" s="1847"/>
      <c r="O291" s="1847"/>
      <c r="P291" s="1852">
        <v>0.12</v>
      </c>
      <c r="Q291" s="1852">
        <v>0.18</v>
      </c>
      <c r="R291" s="483" t="e">
        <f>IF(H291="","",SUMIFS('[1]1_group_totals'!$J$8:$J$10000,'[1]1_group_totals'!$C$8:$C$10000,C291))</f>
        <v>#VALUE!</v>
      </c>
      <c r="S291" s="483">
        <f t="shared" si="36"/>
        <v>2</v>
      </c>
      <c r="T291" s="483">
        <v>1</v>
      </c>
      <c r="U291" s="510" t="e">
        <f t="shared" si="37"/>
        <v>#VALUE!</v>
      </c>
      <c r="V291" s="510">
        <v>1</v>
      </c>
      <c r="W291" s="510">
        <v>0</v>
      </c>
      <c r="X291" s="510">
        <v>0</v>
      </c>
      <c r="Y291" s="483">
        <v>1</v>
      </c>
      <c r="Z291" s="483">
        <v>1</v>
      </c>
      <c r="AA291" s="1847" t="e">
        <f t="shared" si="38"/>
        <v>#VALUE!</v>
      </c>
      <c r="AB291" s="1847">
        <f t="shared" si="39"/>
        <v>0.12</v>
      </c>
      <c r="AC291" s="1847">
        <f t="shared" si="40"/>
        <v>0.18</v>
      </c>
      <c r="AD291" s="1847" t="e">
        <f t="shared" si="41"/>
        <v>#VALUE!</v>
      </c>
      <c r="AE291" s="1847" t="e">
        <f t="shared" si="42"/>
        <v>#VALUE!</v>
      </c>
      <c r="AF291" s="1823" t="e">
        <f t="shared" si="43"/>
        <v>#VALUE!</v>
      </c>
      <c r="AG291" s="1769" t="e">
        <f t="shared" si="44"/>
        <v>#VALUE!</v>
      </c>
      <c r="AI291" t="s">
        <v>4024</v>
      </c>
    </row>
    <row r="292" spans="3:35" ht="24.95" customHeight="1">
      <c r="C292" s="491">
        <v>285</v>
      </c>
      <c r="D292" s="1847"/>
      <c r="E292" s="1847"/>
      <c r="F292" s="1847" t="s">
        <v>4025</v>
      </c>
      <c r="G292" s="1847" t="s">
        <v>4025</v>
      </c>
      <c r="H292" s="1847" t="s">
        <v>3858</v>
      </c>
      <c r="I292" s="1847"/>
      <c r="J292" s="1847" t="s">
        <v>2783</v>
      </c>
      <c r="K292" s="1847" t="s">
        <v>3927</v>
      </c>
      <c r="L292" s="1847" t="s">
        <v>2797</v>
      </c>
      <c r="M292" s="1847" t="s">
        <v>3937</v>
      </c>
      <c r="N292" s="1847"/>
      <c r="O292" s="1847"/>
      <c r="P292" s="1852">
        <v>0.12</v>
      </c>
      <c r="Q292" s="1852">
        <v>0.25</v>
      </c>
      <c r="R292" s="483" t="e">
        <f>IF(H292="","",SUMIFS('[1]1_group_totals'!$J$8:$J$10000,'[1]1_group_totals'!$C$8:$C$10000,C292))</f>
        <v>#VALUE!</v>
      </c>
      <c r="S292" s="483">
        <f t="shared" si="36"/>
        <v>2</v>
      </c>
      <c r="T292" s="483">
        <v>1</v>
      </c>
      <c r="U292" s="510" t="e">
        <f t="shared" si="37"/>
        <v>#VALUE!</v>
      </c>
      <c r="V292" s="510">
        <v>1</v>
      </c>
      <c r="W292" s="510">
        <v>0</v>
      </c>
      <c r="X292" s="510">
        <v>0</v>
      </c>
      <c r="Y292" s="483">
        <v>1</v>
      </c>
      <c r="Z292" s="483">
        <v>1</v>
      </c>
      <c r="AA292" s="1847" t="e">
        <f t="shared" si="38"/>
        <v>#VALUE!</v>
      </c>
      <c r="AB292" s="1847">
        <f t="shared" si="39"/>
        <v>0.12</v>
      </c>
      <c r="AC292" s="1847">
        <f t="shared" si="40"/>
        <v>0.25</v>
      </c>
      <c r="AD292" s="1847" t="e">
        <f t="shared" si="41"/>
        <v>#VALUE!</v>
      </c>
      <c r="AE292" s="1847" t="e">
        <f t="shared" si="42"/>
        <v>#VALUE!</v>
      </c>
      <c r="AF292" s="1823" t="e">
        <f t="shared" si="43"/>
        <v>#VALUE!</v>
      </c>
      <c r="AG292" s="1769" t="e">
        <f t="shared" si="44"/>
        <v>#VALUE!</v>
      </c>
      <c r="AI292" t="s">
        <v>4025</v>
      </c>
    </row>
    <row r="293" spans="3:35" ht="24.95" customHeight="1">
      <c r="C293" s="491">
        <v>286</v>
      </c>
      <c r="D293" s="1847"/>
      <c r="E293" s="1847"/>
      <c r="F293" s="1847" t="s">
        <v>4026</v>
      </c>
      <c r="G293" s="1847" t="s">
        <v>4026</v>
      </c>
      <c r="H293" s="1847" t="s">
        <v>3859</v>
      </c>
      <c r="I293" s="1847"/>
      <c r="J293" s="1847" t="s">
        <v>2783</v>
      </c>
      <c r="K293" s="1847" t="s">
        <v>3927</v>
      </c>
      <c r="L293" s="1847" t="s">
        <v>2797</v>
      </c>
      <c r="M293" s="1847" t="s">
        <v>3937</v>
      </c>
      <c r="N293" s="1847"/>
      <c r="O293" s="1847"/>
      <c r="P293" s="1852">
        <v>0.25</v>
      </c>
      <c r="Q293" s="1852">
        <v>0.5</v>
      </c>
      <c r="R293" s="483" t="e">
        <f>IF(H293="","",SUMIFS('[1]1_group_totals'!$J$8:$J$10000,'[1]1_group_totals'!$C$8:$C$10000,C293))</f>
        <v>#VALUE!</v>
      </c>
      <c r="S293" s="483">
        <f t="shared" si="36"/>
        <v>2</v>
      </c>
      <c r="T293" s="483">
        <v>1</v>
      </c>
      <c r="U293" s="510" t="e">
        <f t="shared" si="37"/>
        <v>#VALUE!</v>
      </c>
      <c r="V293" s="510">
        <v>1</v>
      </c>
      <c r="W293" s="510">
        <v>0</v>
      </c>
      <c r="X293" s="510">
        <v>0</v>
      </c>
      <c r="Y293" s="483">
        <v>1</v>
      </c>
      <c r="Z293" s="483">
        <v>1</v>
      </c>
      <c r="AA293" s="1847" t="e">
        <f t="shared" si="38"/>
        <v>#VALUE!</v>
      </c>
      <c r="AB293" s="1847">
        <f t="shared" si="39"/>
        <v>0.25</v>
      </c>
      <c r="AC293" s="1847">
        <f t="shared" si="40"/>
        <v>0.5</v>
      </c>
      <c r="AD293" s="1847" t="e">
        <f t="shared" si="41"/>
        <v>#VALUE!</v>
      </c>
      <c r="AE293" s="1847" t="e">
        <f t="shared" si="42"/>
        <v>#VALUE!</v>
      </c>
      <c r="AF293" s="1823" t="e">
        <f t="shared" si="43"/>
        <v>#VALUE!</v>
      </c>
      <c r="AG293" s="1769" t="e">
        <f t="shared" si="44"/>
        <v>#VALUE!</v>
      </c>
      <c r="AI293" t="s">
        <v>4026</v>
      </c>
    </row>
    <row r="294" spans="3:35" ht="24.95" customHeight="1">
      <c r="C294" s="491">
        <v>287</v>
      </c>
      <c r="D294" s="1847"/>
      <c r="E294" s="1847"/>
      <c r="F294" s="1847" t="s">
        <v>4027</v>
      </c>
      <c r="G294" s="1847" t="s">
        <v>4027</v>
      </c>
      <c r="H294" s="1847" t="s">
        <v>3860</v>
      </c>
      <c r="I294" s="1847"/>
      <c r="J294" s="1847" t="s">
        <v>4137</v>
      </c>
      <c r="K294" s="1847" t="s">
        <v>3928</v>
      </c>
      <c r="L294" s="1847" t="s">
        <v>3935</v>
      </c>
      <c r="M294" s="1847" t="s">
        <v>4138</v>
      </c>
      <c r="N294" s="1847"/>
      <c r="O294" s="1847"/>
      <c r="P294" s="1852">
        <v>0.9</v>
      </c>
      <c r="Q294" s="1852">
        <v>1</v>
      </c>
      <c r="R294" s="483" t="e">
        <f>IF(H294="","",SUMIFS('[1]1_group_totals'!$J$8:$J$10000,'[1]1_group_totals'!$C$8:$C$10000,C294))</f>
        <v>#VALUE!</v>
      </c>
      <c r="S294" s="483">
        <f t="shared" si="36"/>
        <v>73</v>
      </c>
      <c r="T294" s="483">
        <v>10</v>
      </c>
      <c r="U294" s="510" t="e">
        <f t="shared" si="37"/>
        <v>#VALUE!</v>
      </c>
      <c r="V294" s="510">
        <v>1</v>
      </c>
      <c r="W294" s="510">
        <v>0</v>
      </c>
      <c r="X294" s="510">
        <v>0</v>
      </c>
      <c r="Y294" s="483">
        <v>1</v>
      </c>
      <c r="Z294" s="483">
        <v>1</v>
      </c>
      <c r="AA294" s="1847" t="e">
        <f t="shared" si="38"/>
        <v>#VALUE!</v>
      </c>
      <c r="AB294" s="1847">
        <f t="shared" si="39"/>
        <v>0.09</v>
      </c>
      <c r="AC294" s="1847">
        <f t="shared" si="40"/>
        <v>0.1</v>
      </c>
      <c r="AD294" s="1847" t="e">
        <f t="shared" si="41"/>
        <v>#VALUE!</v>
      </c>
      <c r="AE294" s="1847" t="e">
        <f t="shared" si="42"/>
        <v>#VALUE!</v>
      </c>
      <c r="AF294" s="1823" t="e">
        <f t="shared" si="43"/>
        <v>#VALUE!</v>
      </c>
      <c r="AG294" s="1769" t="e">
        <f t="shared" si="44"/>
        <v>#VALUE!</v>
      </c>
      <c r="AI294" t="s">
        <v>4027</v>
      </c>
    </row>
    <row r="295" spans="3:35" ht="24.95" customHeight="1">
      <c r="C295" s="491">
        <v>288</v>
      </c>
      <c r="D295" s="1847"/>
      <c r="E295" s="1847"/>
      <c r="F295" s="1847" t="s">
        <v>4028</v>
      </c>
      <c r="G295" s="1847" t="s">
        <v>4028</v>
      </c>
      <c r="H295" s="1847" t="s">
        <v>3861</v>
      </c>
      <c r="I295" s="1847"/>
      <c r="J295" s="1847" t="s">
        <v>2775</v>
      </c>
      <c r="K295" s="1847" t="s">
        <v>3928</v>
      </c>
      <c r="L295" s="1847" t="s">
        <v>2799</v>
      </c>
      <c r="M295" s="1847" t="s">
        <v>4112</v>
      </c>
      <c r="N295" s="1847"/>
      <c r="O295" s="1847"/>
      <c r="P295" s="1852">
        <v>5</v>
      </c>
      <c r="Q295" s="1852">
        <v>6</v>
      </c>
      <c r="R295" s="483" t="e">
        <f>IF(H295="","",SUMIFS('[1]1_group_totals'!$J$8:$J$10000,'[1]1_group_totals'!$C$8:$C$10000,C295))</f>
        <v>#VALUE!</v>
      </c>
      <c r="S295" s="483">
        <f t="shared" si="36"/>
        <v>30</v>
      </c>
      <c r="T295" s="483">
        <v>12</v>
      </c>
      <c r="U295" s="510" t="e">
        <f t="shared" si="37"/>
        <v>#VALUE!</v>
      </c>
      <c r="V295" s="510">
        <v>1</v>
      </c>
      <c r="W295" s="510">
        <v>0</v>
      </c>
      <c r="X295" s="510">
        <v>0</v>
      </c>
      <c r="Y295" s="483">
        <v>1</v>
      </c>
      <c r="Z295" s="483">
        <v>1</v>
      </c>
      <c r="AA295" s="1847" t="e">
        <f t="shared" si="38"/>
        <v>#VALUE!</v>
      </c>
      <c r="AB295" s="1847">
        <f t="shared" si="39"/>
        <v>0.41666666666666669</v>
      </c>
      <c r="AC295" s="1847">
        <f t="shared" si="40"/>
        <v>0.5</v>
      </c>
      <c r="AD295" s="1847" t="e">
        <f t="shared" si="41"/>
        <v>#VALUE!</v>
      </c>
      <c r="AE295" s="1847" t="e">
        <f t="shared" si="42"/>
        <v>#VALUE!</v>
      </c>
      <c r="AF295" s="1823" t="e">
        <f t="shared" si="43"/>
        <v>#VALUE!</v>
      </c>
      <c r="AG295" s="1769" t="e">
        <f t="shared" si="44"/>
        <v>#VALUE!</v>
      </c>
      <c r="AI295" t="s">
        <v>4028</v>
      </c>
    </row>
    <row r="296" spans="3:35" ht="24.95" customHeight="1">
      <c r="C296" s="491">
        <v>289</v>
      </c>
      <c r="D296" s="1847"/>
      <c r="E296" s="1847"/>
      <c r="F296" s="1847" t="s">
        <v>4029</v>
      </c>
      <c r="G296" s="1847" t="s">
        <v>4029</v>
      </c>
      <c r="H296" s="1847" t="s">
        <v>3862</v>
      </c>
      <c r="I296" s="1847"/>
      <c r="J296" s="1847" t="s">
        <v>3916</v>
      </c>
      <c r="K296" s="1847" t="s">
        <v>3928</v>
      </c>
      <c r="L296" s="1847" t="s">
        <v>2799</v>
      </c>
      <c r="M296" s="1847" t="s">
        <v>4113</v>
      </c>
      <c r="N296" s="1847"/>
      <c r="O296" s="1847"/>
      <c r="P296" s="1852">
        <v>5.8</v>
      </c>
      <c r="Q296" s="1852">
        <v>7</v>
      </c>
      <c r="R296" s="483" t="e">
        <f>IF(H296="","",SUMIFS('[1]1_group_totals'!$J$8:$J$10000,'[1]1_group_totals'!$C$8:$C$10000,C296))</f>
        <v>#VALUE!</v>
      </c>
      <c r="S296" s="483">
        <f t="shared" si="36"/>
        <v>63</v>
      </c>
      <c r="T296" s="483">
        <v>8</v>
      </c>
      <c r="U296" s="510" t="e">
        <f t="shared" si="37"/>
        <v>#VALUE!</v>
      </c>
      <c r="V296" s="510">
        <v>1</v>
      </c>
      <c r="W296" s="510">
        <v>0</v>
      </c>
      <c r="X296" s="510">
        <v>0</v>
      </c>
      <c r="Y296" s="483">
        <v>1</v>
      </c>
      <c r="Z296" s="483">
        <v>1</v>
      </c>
      <c r="AA296" s="1847" t="e">
        <f t="shared" si="38"/>
        <v>#VALUE!</v>
      </c>
      <c r="AB296" s="1847">
        <f t="shared" si="39"/>
        <v>0.72499999999999998</v>
      </c>
      <c r="AC296" s="1847">
        <f t="shared" si="40"/>
        <v>0.875</v>
      </c>
      <c r="AD296" s="1847" t="e">
        <f t="shared" si="41"/>
        <v>#VALUE!</v>
      </c>
      <c r="AE296" s="1847" t="e">
        <f t="shared" si="42"/>
        <v>#VALUE!</v>
      </c>
      <c r="AF296" s="1823" t="e">
        <f t="shared" si="43"/>
        <v>#VALUE!</v>
      </c>
      <c r="AG296" s="1769" t="e">
        <f t="shared" si="44"/>
        <v>#VALUE!</v>
      </c>
      <c r="AI296" t="s">
        <v>4029</v>
      </c>
    </row>
    <row r="297" spans="3:35" ht="24.95" customHeight="1">
      <c r="C297" s="491">
        <v>290</v>
      </c>
      <c r="D297" s="1847"/>
      <c r="E297" s="1847"/>
      <c r="F297" s="1847" t="s">
        <v>4030</v>
      </c>
      <c r="G297" s="1847" t="s">
        <v>4030</v>
      </c>
      <c r="H297" s="1847" t="s">
        <v>3863</v>
      </c>
      <c r="I297" s="1847"/>
      <c r="J297" s="1847" t="s">
        <v>2774</v>
      </c>
      <c r="K297" s="1847" t="s">
        <v>3928</v>
      </c>
      <c r="L297" s="1847" t="s">
        <v>2799</v>
      </c>
      <c r="M297" s="1847" t="s">
        <v>4114</v>
      </c>
      <c r="N297" s="1847"/>
      <c r="O297" s="1847"/>
      <c r="P297" s="1852">
        <v>6</v>
      </c>
      <c r="Q297" s="1852">
        <v>8.5</v>
      </c>
      <c r="R297" s="483" t="e">
        <f>IF(H297="","",SUMIFS('[1]1_group_totals'!$J$8:$J$10000,'[1]1_group_totals'!$C$8:$C$10000,C297))</f>
        <v>#VALUE!</v>
      </c>
      <c r="S297" s="483">
        <f t="shared" si="36"/>
        <v>29</v>
      </c>
      <c r="T297" s="483">
        <v>4</v>
      </c>
      <c r="U297" s="510" t="e">
        <f t="shared" si="37"/>
        <v>#VALUE!</v>
      </c>
      <c r="V297" s="510">
        <v>1</v>
      </c>
      <c r="W297" s="510">
        <v>0</v>
      </c>
      <c r="X297" s="510">
        <v>0</v>
      </c>
      <c r="Y297" s="483">
        <v>1</v>
      </c>
      <c r="Z297" s="483">
        <v>1</v>
      </c>
      <c r="AA297" s="1847" t="e">
        <f t="shared" si="38"/>
        <v>#VALUE!</v>
      </c>
      <c r="AB297" s="1847">
        <f t="shared" si="39"/>
        <v>1.5</v>
      </c>
      <c r="AC297" s="1847">
        <f t="shared" si="40"/>
        <v>2.125</v>
      </c>
      <c r="AD297" s="1847" t="e">
        <f t="shared" si="41"/>
        <v>#VALUE!</v>
      </c>
      <c r="AE297" s="1847" t="e">
        <f t="shared" si="42"/>
        <v>#VALUE!</v>
      </c>
      <c r="AF297" s="1823" t="e">
        <f t="shared" si="43"/>
        <v>#VALUE!</v>
      </c>
      <c r="AG297" s="1769" t="e">
        <f t="shared" si="44"/>
        <v>#VALUE!</v>
      </c>
      <c r="AI297" t="s">
        <v>4030</v>
      </c>
    </row>
    <row r="298" spans="3:35" ht="24.95" customHeight="1">
      <c r="C298" s="491">
        <v>291</v>
      </c>
      <c r="D298" s="1847"/>
      <c r="E298" s="1847"/>
      <c r="F298" s="1847" t="s">
        <v>4031</v>
      </c>
      <c r="G298" s="1847" t="s">
        <v>4031</v>
      </c>
      <c r="H298" s="1847" t="s">
        <v>3864</v>
      </c>
      <c r="I298" s="1847"/>
      <c r="J298" s="1847" t="s">
        <v>2759</v>
      </c>
      <c r="K298" s="1847" t="s">
        <v>3928</v>
      </c>
      <c r="L298" s="1847" t="s">
        <v>2799</v>
      </c>
      <c r="M298" s="1847" t="s">
        <v>4078</v>
      </c>
      <c r="N298" s="1847"/>
      <c r="O298" s="1847"/>
      <c r="P298" s="1852">
        <v>31</v>
      </c>
      <c r="Q298" s="1852">
        <v>35</v>
      </c>
      <c r="R298" s="483" t="e">
        <f>IF(H298="","",SUMIFS('[1]1_group_totals'!$J$8:$J$10000,'[1]1_group_totals'!$C$8:$C$10000,C298))</f>
        <v>#VALUE!</v>
      </c>
      <c r="S298" s="483">
        <f t="shared" si="36"/>
        <v>32</v>
      </c>
      <c r="T298" s="483">
        <v>24</v>
      </c>
      <c r="U298" s="510" t="e">
        <f t="shared" si="37"/>
        <v>#VALUE!</v>
      </c>
      <c r="V298" s="510">
        <v>1</v>
      </c>
      <c r="W298" s="510">
        <v>0</v>
      </c>
      <c r="X298" s="510">
        <v>0</v>
      </c>
      <c r="Y298" s="483">
        <v>1</v>
      </c>
      <c r="Z298" s="483">
        <v>1</v>
      </c>
      <c r="AA298" s="1847" t="e">
        <f t="shared" si="38"/>
        <v>#VALUE!</v>
      </c>
      <c r="AB298" s="1847">
        <f t="shared" si="39"/>
        <v>1.2916666666666667</v>
      </c>
      <c r="AC298" s="1847">
        <f t="shared" si="40"/>
        <v>1.4583333333333333</v>
      </c>
      <c r="AD298" s="1847" t="e">
        <f t="shared" si="41"/>
        <v>#VALUE!</v>
      </c>
      <c r="AE298" s="1847" t="e">
        <f t="shared" si="42"/>
        <v>#VALUE!</v>
      </c>
      <c r="AF298" s="1823" t="e">
        <f t="shared" si="43"/>
        <v>#VALUE!</v>
      </c>
      <c r="AG298" s="1769" t="e">
        <f t="shared" si="44"/>
        <v>#VALUE!</v>
      </c>
      <c r="AI298" t="s">
        <v>4031</v>
      </c>
    </row>
    <row r="299" spans="3:35" ht="24.95" customHeight="1">
      <c r="C299" s="491">
        <v>292</v>
      </c>
      <c r="D299" s="1847"/>
      <c r="E299" s="1847"/>
      <c r="F299" s="1847" t="s">
        <v>4032</v>
      </c>
      <c r="G299" s="1847" t="s">
        <v>4032</v>
      </c>
      <c r="H299" s="1847" t="s">
        <v>3865</v>
      </c>
      <c r="I299" s="1847"/>
      <c r="J299" s="1847" t="s">
        <v>2759</v>
      </c>
      <c r="K299" s="1847" t="s">
        <v>3928</v>
      </c>
      <c r="L299" s="1847" t="s">
        <v>2799</v>
      </c>
      <c r="M299" s="1847" t="s">
        <v>4078</v>
      </c>
      <c r="N299" s="1847"/>
      <c r="O299" s="1847"/>
      <c r="P299" s="1852">
        <v>31</v>
      </c>
      <c r="Q299" s="1852">
        <v>35</v>
      </c>
      <c r="R299" s="483" t="e">
        <f>IF(H299="","",SUMIFS('[1]1_group_totals'!$J$8:$J$10000,'[1]1_group_totals'!$C$8:$C$10000,C299))</f>
        <v>#VALUE!</v>
      </c>
      <c r="S299" s="483">
        <f t="shared" si="36"/>
        <v>32</v>
      </c>
      <c r="T299" s="483">
        <v>24</v>
      </c>
      <c r="U299" s="510" t="e">
        <f t="shared" si="37"/>
        <v>#VALUE!</v>
      </c>
      <c r="V299" s="510">
        <v>1</v>
      </c>
      <c r="W299" s="510">
        <v>0</v>
      </c>
      <c r="X299" s="510">
        <v>0</v>
      </c>
      <c r="Y299" s="483">
        <v>1</v>
      </c>
      <c r="Z299" s="483">
        <v>1</v>
      </c>
      <c r="AA299" s="1847" t="e">
        <f t="shared" si="38"/>
        <v>#VALUE!</v>
      </c>
      <c r="AB299" s="1847">
        <f t="shared" si="39"/>
        <v>1.2916666666666667</v>
      </c>
      <c r="AC299" s="1847">
        <f t="shared" si="40"/>
        <v>1.4583333333333333</v>
      </c>
      <c r="AD299" s="1847" t="e">
        <f t="shared" si="41"/>
        <v>#VALUE!</v>
      </c>
      <c r="AE299" s="1847" t="e">
        <f t="shared" si="42"/>
        <v>#VALUE!</v>
      </c>
      <c r="AF299" s="1823" t="e">
        <f t="shared" si="43"/>
        <v>#VALUE!</v>
      </c>
      <c r="AG299" s="1769" t="e">
        <f t="shared" si="44"/>
        <v>#VALUE!</v>
      </c>
      <c r="AI299" t="s">
        <v>4032</v>
      </c>
    </row>
    <row r="300" spans="3:35" ht="24.95" customHeight="1">
      <c r="C300" s="491">
        <v>293</v>
      </c>
      <c r="D300" s="1847"/>
      <c r="E300" s="1847"/>
      <c r="F300" s="1847" t="s">
        <v>4033</v>
      </c>
      <c r="G300" s="1847" t="s">
        <v>4033</v>
      </c>
      <c r="H300" s="1847" t="s">
        <v>3866</v>
      </c>
      <c r="I300" s="1847"/>
      <c r="J300" s="1847" t="s">
        <v>4131</v>
      </c>
      <c r="K300" s="1847" t="s">
        <v>3928</v>
      </c>
      <c r="L300" s="1847" t="s">
        <v>3935</v>
      </c>
      <c r="M300" s="1847" t="s">
        <v>4127</v>
      </c>
      <c r="N300" s="1847"/>
      <c r="O300" s="1847"/>
      <c r="P300" s="1852">
        <v>12</v>
      </c>
      <c r="Q300" s="1852">
        <v>15</v>
      </c>
      <c r="R300" s="483" t="e">
        <f>IF(H300="","",SUMIFS('[1]1_group_totals'!$J$8:$J$10000,'[1]1_group_totals'!$C$8:$C$10000,C300))</f>
        <v>#VALUE!</v>
      </c>
      <c r="S300" s="483">
        <f t="shared" si="36"/>
        <v>72</v>
      </c>
      <c r="T300" s="483">
        <v>35</v>
      </c>
      <c r="U300" s="510" t="e">
        <f t="shared" si="37"/>
        <v>#VALUE!</v>
      </c>
      <c r="V300" s="510">
        <v>1</v>
      </c>
      <c r="W300" s="510">
        <v>0</v>
      </c>
      <c r="X300" s="510">
        <v>0</v>
      </c>
      <c r="Y300" s="483">
        <v>1</v>
      </c>
      <c r="Z300" s="483">
        <v>1</v>
      </c>
      <c r="AA300" s="1847" t="e">
        <f t="shared" si="38"/>
        <v>#VALUE!</v>
      </c>
      <c r="AB300" s="1847">
        <f t="shared" si="39"/>
        <v>0.34285714285714286</v>
      </c>
      <c r="AC300" s="1847">
        <f t="shared" si="40"/>
        <v>0.42857142857142855</v>
      </c>
      <c r="AD300" s="1847" t="e">
        <f t="shared" si="41"/>
        <v>#VALUE!</v>
      </c>
      <c r="AE300" s="1847" t="e">
        <f t="shared" si="42"/>
        <v>#VALUE!</v>
      </c>
      <c r="AF300" s="1823" t="e">
        <f t="shared" si="43"/>
        <v>#VALUE!</v>
      </c>
      <c r="AG300" s="1769" t="e">
        <f t="shared" si="44"/>
        <v>#VALUE!</v>
      </c>
      <c r="AI300" t="s">
        <v>4033</v>
      </c>
    </row>
    <row r="301" spans="3:35" ht="24.95" customHeight="1">
      <c r="C301" s="491">
        <v>294</v>
      </c>
      <c r="D301" s="1847"/>
      <c r="E301" s="1847"/>
      <c r="F301" s="1847" t="s">
        <v>4034</v>
      </c>
      <c r="G301" s="1847" t="s">
        <v>4034</v>
      </c>
      <c r="H301" s="1847" t="s">
        <v>3867</v>
      </c>
      <c r="I301" s="1847"/>
      <c r="J301" s="1847" t="s">
        <v>4131</v>
      </c>
      <c r="K301" s="1847" t="s">
        <v>3928</v>
      </c>
      <c r="L301" s="1847" t="s">
        <v>3935</v>
      </c>
      <c r="M301" s="1847" t="s">
        <v>4127</v>
      </c>
      <c r="N301" s="1847"/>
      <c r="O301" s="1847"/>
      <c r="P301" s="1852">
        <v>17</v>
      </c>
      <c r="Q301" s="1852">
        <v>20</v>
      </c>
      <c r="R301" s="483" t="e">
        <f>IF(H301="","",SUMIFS('[1]1_group_totals'!$J$8:$J$10000,'[1]1_group_totals'!$C$8:$C$10000,C301))</f>
        <v>#VALUE!</v>
      </c>
      <c r="S301" s="483">
        <f t="shared" si="36"/>
        <v>72</v>
      </c>
      <c r="T301" s="483">
        <v>35</v>
      </c>
      <c r="U301" s="510" t="e">
        <f t="shared" si="37"/>
        <v>#VALUE!</v>
      </c>
      <c r="V301" s="510">
        <v>1</v>
      </c>
      <c r="W301" s="510">
        <v>0</v>
      </c>
      <c r="X301" s="510">
        <v>0</v>
      </c>
      <c r="Y301" s="483">
        <v>1</v>
      </c>
      <c r="Z301" s="483">
        <v>1</v>
      </c>
      <c r="AA301" s="1847" t="e">
        <f t="shared" si="38"/>
        <v>#VALUE!</v>
      </c>
      <c r="AB301" s="1847">
        <f t="shared" si="39"/>
        <v>0.48571428571428571</v>
      </c>
      <c r="AC301" s="1847">
        <f t="shared" si="40"/>
        <v>0.5714285714285714</v>
      </c>
      <c r="AD301" s="1847" t="e">
        <f t="shared" si="41"/>
        <v>#VALUE!</v>
      </c>
      <c r="AE301" s="1847" t="e">
        <f t="shared" si="42"/>
        <v>#VALUE!</v>
      </c>
      <c r="AF301" s="1823" t="e">
        <f t="shared" si="43"/>
        <v>#VALUE!</v>
      </c>
      <c r="AG301" s="1769" t="e">
        <f t="shared" si="44"/>
        <v>#VALUE!</v>
      </c>
      <c r="AI301" t="s">
        <v>4034</v>
      </c>
    </row>
    <row r="302" spans="3:35" ht="24.95" customHeight="1">
      <c r="C302" s="491">
        <v>295</v>
      </c>
      <c r="D302" s="1847"/>
      <c r="E302" s="1847"/>
      <c r="F302" s="1847" t="s">
        <v>4035</v>
      </c>
      <c r="G302" s="1847" t="s">
        <v>4035</v>
      </c>
      <c r="H302" s="1847" t="s">
        <v>3868</v>
      </c>
      <c r="I302" s="1847"/>
      <c r="J302" s="1847" t="s">
        <v>3917</v>
      </c>
      <c r="K302" s="1847" t="s">
        <v>3928</v>
      </c>
      <c r="L302" s="1847" t="s">
        <v>3935</v>
      </c>
      <c r="M302" s="1847" t="s">
        <v>3939</v>
      </c>
      <c r="N302" s="1847"/>
      <c r="O302" s="1847"/>
      <c r="P302" s="1852">
        <v>16</v>
      </c>
      <c r="Q302" s="1852">
        <v>19</v>
      </c>
      <c r="R302" s="483" t="e">
        <f>IF(H302="","",SUMIFS('[1]1_group_totals'!$J$8:$J$10000,'[1]1_group_totals'!$C$8:$C$10000,C302))</f>
        <v>#VALUE!</v>
      </c>
      <c r="S302" s="483">
        <f t="shared" si="36"/>
        <v>20</v>
      </c>
      <c r="T302" s="483">
        <v>1</v>
      </c>
      <c r="U302" s="510" t="e">
        <f t="shared" si="37"/>
        <v>#VALUE!</v>
      </c>
      <c r="V302" s="510">
        <v>1</v>
      </c>
      <c r="W302" s="510">
        <v>0</v>
      </c>
      <c r="X302" s="510">
        <v>0</v>
      </c>
      <c r="Y302" s="483">
        <v>1</v>
      </c>
      <c r="Z302" s="483">
        <v>1</v>
      </c>
      <c r="AA302" s="1847" t="e">
        <f t="shared" si="38"/>
        <v>#VALUE!</v>
      </c>
      <c r="AB302" s="1847">
        <f t="shared" si="39"/>
        <v>16</v>
      </c>
      <c r="AC302" s="1847">
        <f t="shared" si="40"/>
        <v>19</v>
      </c>
      <c r="AD302" s="1847" t="e">
        <f t="shared" si="41"/>
        <v>#VALUE!</v>
      </c>
      <c r="AE302" s="1847" t="e">
        <f t="shared" si="42"/>
        <v>#VALUE!</v>
      </c>
      <c r="AF302" s="1823" t="e">
        <f t="shared" si="43"/>
        <v>#VALUE!</v>
      </c>
      <c r="AG302" s="1769" t="e">
        <f t="shared" si="44"/>
        <v>#VALUE!</v>
      </c>
      <c r="AI302" t="s">
        <v>4035</v>
      </c>
    </row>
    <row r="303" spans="3:35" ht="24.95" customHeight="1">
      <c r="C303" s="491">
        <v>296</v>
      </c>
      <c r="D303" s="1847"/>
      <c r="E303" s="1847"/>
      <c r="F303" s="1847" t="s">
        <v>4036</v>
      </c>
      <c r="G303" s="1847" t="s">
        <v>4036</v>
      </c>
      <c r="H303" s="1847" t="s">
        <v>3869</v>
      </c>
      <c r="I303" s="1847"/>
      <c r="J303" s="1847" t="s">
        <v>2783</v>
      </c>
      <c r="K303" s="1847" t="s">
        <v>3928</v>
      </c>
      <c r="L303" s="1847" t="s">
        <v>3935</v>
      </c>
      <c r="M303" s="1847" t="s">
        <v>4115</v>
      </c>
      <c r="N303" s="1847"/>
      <c r="O303" s="1847"/>
      <c r="P303" s="1852">
        <v>2.5</v>
      </c>
      <c r="Q303" s="1852">
        <v>3</v>
      </c>
      <c r="R303" s="483" t="e">
        <f>IF(H303="","",SUMIFS('[1]1_group_totals'!$J$8:$J$10000,'[1]1_group_totals'!$C$8:$C$10000,C303))</f>
        <v>#VALUE!</v>
      </c>
      <c r="S303" s="483">
        <f t="shared" si="36"/>
        <v>2</v>
      </c>
      <c r="T303" s="483">
        <v>1</v>
      </c>
      <c r="U303" s="510" t="e">
        <f t="shared" si="37"/>
        <v>#VALUE!</v>
      </c>
      <c r="V303" s="510">
        <v>1</v>
      </c>
      <c r="W303" s="510">
        <v>0</v>
      </c>
      <c r="X303" s="510">
        <v>0</v>
      </c>
      <c r="Y303" s="483">
        <v>1</v>
      </c>
      <c r="Z303" s="483">
        <v>1</v>
      </c>
      <c r="AA303" s="1847" t="e">
        <f t="shared" si="38"/>
        <v>#VALUE!</v>
      </c>
      <c r="AB303" s="1847">
        <f t="shared" si="39"/>
        <v>2.5</v>
      </c>
      <c r="AC303" s="1847">
        <f t="shared" si="40"/>
        <v>3</v>
      </c>
      <c r="AD303" s="1847" t="e">
        <f t="shared" si="41"/>
        <v>#VALUE!</v>
      </c>
      <c r="AE303" s="1847" t="e">
        <f t="shared" si="42"/>
        <v>#VALUE!</v>
      </c>
      <c r="AF303" s="1823" t="e">
        <f t="shared" si="43"/>
        <v>#VALUE!</v>
      </c>
      <c r="AG303" s="1769" t="e">
        <f t="shared" si="44"/>
        <v>#VALUE!</v>
      </c>
      <c r="AI303" t="s">
        <v>4036</v>
      </c>
    </row>
    <row r="304" spans="3:35" ht="24.95" customHeight="1">
      <c r="C304" s="491">
        <v>297</v>
      </c>
      <c r="D304" s="1847"/>
      <c r="E304" s="1847"/>
      <c r="F304" s="1847" t="s">
        <v>4037</v>
      </c>
      <c r="G304" s="1847" t="s">
        <v>4037</v>
      </c>
      <c r="H304" s="1847" t="s">
        <v>3870</v>
      </c>
      <c r="I304" s="1847"/>
      <c r="J304" s="1847" t="s">
        <v>2783</v>
      </c>
      <c r="K304" s="1847" t="s">
        <v>3928</v>
      </c>
      <c r="L304" s="1847" t="s">
        <v>3935</v>
      </c>
      <c r="M304" s="1847" t="s">
        <v>3940</v>
      </c>
      <c r="N304" s="1847"/>
      <c r="O304" s="1847"/>
      <c r="P304" s="1852">
        <v>8.5</v>
      </c>
      <c r="Q304" s="1852">
        <v>10</v>
      </c>
      <c r="R304" s="483" t="e">
        <f>IF(H304="","",SUMIFS('[1]1_group_totals'!$J$8:$J$10000,'[1]1_group_totals'!$C$8:$C$10000,C304))</f>
        <v>#VALUE!</v>
      </c>
      <c r="S304" s="483">
        <f t="shared" si="36"/>
        <v>2</v>
      </c>
      <c r="T304" s="483">
        <v>1</v>
      </c>
      <c r="U304" s="510" t="e">
        <f t="shared" si="37"/>
        <v>#VALUE!</v>
      </c>
      <c r="V304" s="510">
        <v>1</v>
      </c>
      <c r="W304" s="510">
        <v>0</v>
      </c>
      <c r="X304" s="510">
        <v>0</v>
      </c>
      <c r="Y304" s="483">
        <v>1</v>
      </c>
      <c r="Z304" s="483">
        <v>1</v>
      </c>
      <c r="AA304" s="1847" t="e">
        <f t="shared" si="38"/>
        <v>#VALUE!</v>
      </c>
      <c r="AB304" s="1847">
        <f t="shared" si="39"/>
        <v>8.5</v>
      </c>
      <c r="AC304" s="1847">
        <f t="shared" si="40"/>
        <v>10</v>
      </c>
      <c r="AD304" s="1847" t="e">
        <f t="shared" si="41"/>
        <v>#VALUE!</v>
      </c>
      <c r="AE304" s="1847" t="e">
        <f t="shared" si="42"/>
        <v>#VALUE!</v>
      </c>
      <c r="AF304" s="1823" t="e">
        <f t="shared" si="43"/>
        <v>#VALUE!</v>
      </c>
      <c r="AG304" s="1769" t="e">
        <f t="shared" si="44"/>
        <v>#VALUE!</v>
      </c>
      <c r="AI304" t="s">
        <v>4037</v>
      </c>
    </row>
    <row r="305" spans="3:35" ht="24.95" customHeight="1">
      <c r="C305" s="491">
        <v>298</v>
      </c>
      <c r="D305" s="1847"/>
      <c r="E305" s="1847"/>
      <c r="F305" s="1847" t="s">
        <v>4038</v>
      </c>
      <c r="G305" s="1847" t="s">
        <v>4038</v>
      </c>
      <c r="H305" s="1847" t="s">
        <v>3871</v>
      </c>
      <c r="I305" s="1847"/>
      <c r="J305" s="1847" t="s">
        <v>3918</v>
      </c>
      <c r="K305" s="1847" t="s">
        <v>3928</v>
      </c>
      <c r="L305" s="1847" t="s">
        <v>3935</v>
      </c>
      <c r="M305" s="1847" t="s">
        <v>4116</v>
      </c>
      <c r="N305" s="1847"/>
      <c r="O305" s="1847"/>
      <c r="P305" s="1852">
        <v>3.8</v>
      </c>
      <c r="Q305" s="1852">
        <v>5</v>
      </c>
      <c r="R305" s="483" t="e">
        <f>IF(H305="","",SUMIFS('[1]1_group_totals'!$J$8:$J$10000,'[1]1_group_totals'!$C$8:$C$10000,C305))</f>
        <v>#VALUE!</v>
      </c>
      <c r="S305" s="483">
        <f t="shared" si="36"/>
        <v>56</v>
      </c>
      <c r="T305" s="483">
        <v>20</v>
      </c>
      <c r="U305" s="510" t="e">
        <f t="shared" si="37"/>
        <v>#VALUE!</v>
      </c>
      <c r="V305" s="510">
        <v>1</v>
      </c>
      <c r="W305" s="510">
        <v>0</v>
      </c>
      <c r="X305" s="510">
        <v>0</v>
      </c>
      <c r="Y305" s="483">
        <v>1</v>
      </c>
      <c r="Z305" s="483">
        <v>1</v>
      </c>
      <c r="AA305" s="1847" t="e">
        <f t="shared" si="38"/>
        <v>#VALUE!</v>
      </c>
      <c r="AB305" s="1847">
        <f t="shared" si="39"/>
        <v>0.19</v>
      </c>
      <c r="AC305" s="1847">
        <f t="shared" si="40"/>
        <v>0.25</v>
      </c>
      <c r="AD305" s="1847" t="e">
        <f t="shared" si="41"/>
        <v>#VALUE!</v>
      </c>
      <c r="AE305" s="1847" t="e">
        <f t="shared" si="42"/>
        <v>#VALUE!</v>
      </c>
      <c r="AF305" s="1823" t="e">
        <f t="shared" si="43"/>
        <v>#VALUE!</v>
      </c>
      <c r="AG305" s="1769" t="e">
        <f t="shared" si="44"/>
        <v>#VALUE!</v>
      </c>
      <c r="AI305" t="s">
        <v>4038</v>
      </c>
    </row>
    <row r="306" spans="3:35" ht="24.95" customHeight="1">
      <c r="C306" s="491">
        <v>299</v>
      </c>
      <c r="D306" s="1847"/>
      <c r="E306" s="1847"/>
      <c r="F306" s="1847" t="s">
        <v>4039</v>
      </c>
      <c r="G306" s="1847" t="s">
        <v>4039</v>
      </c>
      <c r="H306" s="1847" t="s">
        <v>3872</v>
      </c>
      <c r="I306" s="1847"/>
      <c r="J306" s="1847" t="s">
        <v>2783</v>
      </c>
      <c r="K306" s="1847" t="s">
        <v>3928</v>
      </c>
      <c r="L306" s="1847" t="s">
        <v>3935</v>
      </c>
      <c r="M306" s="1847" t="s">
        <v>3940</v>
      </c>
      <c r="N306" s="1847"/>
      <c r="O306" s="1847"/>
      <c r="P306" s="1852">
        <v>5.4</v>
      </c>
      <c r="Q306" s="1852">
        <v>6.9</v>
      </c>
      <c r="R306" s="483" t="e">
        <f>IF(H306="","",SUMIFS('[1]1_group_totals'!$J$8:$J$10000,'[1]1_group_totals'!$C$8:$C$10000,C306))</f>
        <v>#VALUE!</v>
      </c>
      <c r="S306" s="483">
        <f t="shared" si="36"/>
        <v>2</v>
      </c>
      <c r="T306" s="483">
        <v>1</v>
      </c>
      <c r="U306" s="510" t="e">
        <f t="shared" si="37"/>
        <v>#VALUE!</v>
      </c>
      <c r="V306" s="510">
        <v>1</v>
      </c>
      <c r="W306" s="510">
        <v>0</v>
      </c>
      <c r="X306" s="510">
        <v>0</v>
      </c>
      <c r="Y306" s="483">
        <v>1</v>
      </c>
      <c r="Z306" s="483">
        <v>1</v>
      </c>
      <c r="AA306" s="1847" t="e">
        <f t="shared" si="38"/>
        <v>#VALUE!</v>
      </c>
      <c r="AB306" s="1847">
        <f t="shared" si="39"/>
        <v>5.4</v>
      </c>
      <c r="AC306" s="1847">
        <f t="shared" si="40"/>
        <v>6.9</v>
      </c>
      <c r="AD306" s="1847" t="e">
        <f t="shared" si="41"/>
        <v>#VALUE!</v>
      </c>
      <c r="AE306" s="1847" t="e">
        <f t="shared" si="42"/>
        <v>#VALUE!</v>
      </c>
      <c r="AF306" s="1823" t="e">
        <f t="shared" si="43"/>
        <v>#VALUE!</v>
      </c>
      <c r="AG306" s="1769" t="e">
        <f t="shared" si="44"/>
        <v>#VALUE!</v>
      </c>
      <c r="AI306" t="s">
        <v>4039</v>
      </c>
    </row>
    <row r="307" spans="3:35" ht="24.95" customHeight="1">
      <c r="C307" s="491">
        <v>300</v>
      </c>
      <c r="D307" s="1847"/>
      <c r="E307" s="1847"/>
      <c r="F307" s="1847" t="s">
        <v>4040</v>
      </c>
      <c r="G307" s="1847" t="s">
        <v>4040</v>
      </c>
      <c r="H307" s="1847" t="s">
        <v>3873</v>
      </c>
      <c r="I307" s="1847"/>
      <c r="J307" s="1847" t="s">
        <v>2783</v>
      </c>
      <c r="K307" s="1847" t="s">
        <v>3928</v>
      </c>
      <c r="L307" s="1847" t="s">
        <v>3935</v>
      </c>
      <c r="M307" s="1847" t="s">
        <v>3940</v>
      </c>
      <c r="N307" s="1847"/>
      <c r="O307" s="1847"/>
      <c r="P307" s="1852">
        <v>7.5</v>
      </c>
      <c r="Q307" s="1852">
        <v>8.5</v>
      </c>
      <c r="R307" s="483" t="e">
        <f>IF(H307="","",SUMIFS('[1]1_group_totals'!$J$8:$J$10000,'[1]1_group_totals'!$C$8:$C$10000,C307))</f>
        <v>#VALUE!</v>
      </c>
      <c r="S307" s="483">
        <f t="shared" si="36"/>
        <v>2</v>
      </c>
      <c r="T307" s="483">
        <v>1</v>
      </c>
      <c r="U307" s="510" t="e">
        <f t="shared" si="37"/>
        <v>#VALUE!</v>
      </c>
      <c r="V307" s="510">
        <v>1</v>
      </c>
      <c r="W307" s="510">
        <v>0</v>
      </c>
      <c r="X307" s="510">
        <v>0</v>
      </c>
      <c r="Y307" s="483">
        <v>1</v>
      </c>
      <c r="Z307" s="483">
        <v>1</v>
      </c>
      <c r="AA307" s="1847" t="e">
        <f t="shared" si="38"/>
        <v>#VALUE!</v>
      </c>
      <c r="AB307" s="1847">
        <f t="shared" si="39"/>
        <v>7.5</v>
      </c>
      <c r="AC307" s="1847">
        <f t="shared" si="40"/>
        <v>8.5</v>
      </c>
      <c r="AD307" s="1847" t="e">
        <f t="shared" si="41"/>
        <v>#VALUE!</v>
      </c>
      <c r="AE307" s="1847" t="e">
        <f t="shared" si="42"/>
        <v>#VALUE!</v>
      </c>
      <c r="AF307" s="1823" t="e">
        <f t="shared" si="43"/>
        <v>#VALUE!</v>
      </c>
      <c r="AG307" s="1769" t="e">
        <f t="shared" si="44"/>
        <v>#VALUE!</v>
      </c>
      <c r="AI307" t="s">
        <v>4040</v>
      </c>
    </row>
    <row r="308" spans="3:35" ht="24.95" customHeight="1">
      <c r="C308" s="491">
        <v>301</v>
      </c>
      <c r="D308" s="1847"/>
      <c r="E308" s="1847"/>
      <c r="F308" s="1847" t="s">
        <v>4041</v>
      </c>
      <c r="G308" s="1847" t="s">
        <v>4041</v>
      </c>
      <c r="H308" s="1847" t="s">
        <v>3874</v>
      </c>
      <c r="I308" s="1847"/>
      <c r="J308" s="1847" t="s">
        <v>2783</v>
      </c>
      <c r="K308" s="1847" t="s">
        <v>3928</v>
      </c>
      <c r="L308" s="1847" t="s">
        <v>3935</v>
      </c>
      <c r="M308" s="1847" t="s">
        <v>4117</v>
      </c>
      <c r="N308" s="1847"/>
      <c r="O308" s="1847"/>
      <c r="P308" s="1852">
        <v>1.55</v>
      </c>
      <c r="Q308" s="1852">
        <v>2</v>
      </c>
      <c r="R308" s="483" t="e">
        <f>IF(H308="","",SUMIFS('[1]1_group_totals'!$J$8:$J$10000,'[1]1_group_totals'!$C$8:$C$10000,C308))</f>
        <v>#VALUE!</v>
      </c>
      <c r="S308" s="483">
        <f t="shared" si="36"/>
        <v>2</v>
      </c>
      <c r="T308" s="483">
        <v>1</v>
      </c>
      <c r="U308" s="510" t="e">
        <f t="shared" si="37"/>
        <v>#VALUE!</v>
      </c>
      <c r="V308" s="510">
        <v>1</v>
      </c>
      <c r="W308" s="510">
        <v>0</v>
      </c>
      <c r="X308" s="510">
        <v>0</v>
      </c>
      <c r="Y308" s="483">
        <v>1</v>
      </c>
      <c r="Z308" s="483">
        <v>1</v>
      </c>
      <c r="AA308" s="1847" t="e">
        <f t="shared" si="38"/>
        <v>#VALUE!</v>
      </c>
      <c r="AB308" s="1847">
        <f t="shared" si="39"/>
        <v>1.55</v>
      </c>
      <c r="AC308" s="1847">
        <f t="shared" si="40"/>
        <v>2</v>
      </c>
      <c r="AD308" s="1847" t="e">
        <f t="shared" si="41"/>
        <v>#VALUE!</v>
      </c>
      <c r="AE308" s="1847" t="e">
        <f t="shared" si="42"/>
        <v>#VALUE!</v>
      </c>
      <c r="AF308" s="1823" t="e">
        <f t="shared" si="43"/>
        <v>#VALUE!</v>
      </c>
      <c r="AG308" s="1769" t="e">
        <f t="shared" si="44"/>
        <v>#VALUE!</v>
      </c>
      <c r="AI308" t="s">
        <v>4041</v>
      </c>
    </row>
    <row r="309" spans="3:35" ht="24.95" customHeight="1">
      <c r="C309" s="491">
        <v>302</v>
      </c>
      <c r="D309" s="1847"/>
      <c r="E309" s="1847"/>
      <c r="F309" s="1847" t="s">
        <v>4042</v>
      </c>
      <c r="G309" s="1847" t="s">
        <v>4042</v>
      </c>
      <c r="H309" s="1847" t="s">
        <v>3875</v>
      </c>
      <c r="I309" s="1847"/>
      <c r="J309" s="1847" t="s">
        <v>2783</v>
      </c>
      <c r="K309" s="1847" t="s">
        <v>3928</v>
      </c>
      <c r="L309" s="1847" t="s">
        <v>3935</v>
      </c>
      <c r="M309" s="1847" t="s">
        <v>4118</v>
      </c>
      <c r="N309" s="1847"/>
      <c r="O309" s="1847"/>
      <c r="P309" s="1852">
        <v>2.4</v>
      </c>
      <c r="Q309" s="1852">
        <v>3.25</v>
      </c>
      <c r="R309" s="483" t="e">
        <f>IF(H309="","",SUMIFS('[1]1_group_totals'!$J$8:$J$10000,'[1]1_group_totals'!$C$8:$C$10000,C309))</f>
        <v>#VALUE!</v>
      </c>
      <c r="S309" s="483">
        <f t="shared" si="36"/>
        <v>2</v>
      </c>
      <c r="T309" s="483">
        <v>1</v>
      </c>
      <c r="U309" s="510" t="e">
        <f t="shared" si="37"/>
        <v>#VALUE!</v>
      </c>
      <c r="V309" s="510">
        <v>1</v>
      </c>
      <c r="W309" s="510">
        <v>0</v>
      </c>
      <c r="X309" s="510">
        <v>0</v>
      </c>
      <c r="Y309" s="483">
        <v>1</v>
      </c>
      <c r="Z309" s="483">
        <v>1</v>
      </c>
      <c r="AA309" s="1847" t="e">
        <f t="shared" si="38"/>
        <v>#VALUE!</v>
      </c>
      <c r="AB309" s="1847">
        <f t="shared" si="39"/>
        <v>2.4</v>
      </c>
      <c r="AC309" s="1847">
        <f t="shared" si="40"/>
        <v>3.25</v>
      </c>
      <c r="AD309" s="1847" t="e">
        <f t="shared" si="41"/>
        <v>#VALUE!</v>
      </c>
      <c r="AE309" s="1847" t="e">
        <f t="shared" si="42"/>
        <v>#VALUE!</v>
      </c>
      <c r="AF309" s="1823" t="e">
        <f t="shared" si="43"/>
        <v>#VALUE!</v>
      </c>
      <c r="AG309" s="1769" t="e">
        <f t="shared" si="44"/>
        <v>#VALUE!</v>
      </c>
      <c r="AI309" t="s">
        <v>4042</v>
      </c>
    </row>
    <row r="310" spans="3:35" ht="24.95" customHeight="1">
      <c r="C310" s="491">
        <v>303</v>
      </c>
      <c r="D310" s="1847"/>
      <c r="E310" s="1847"/>
      <c r="F310" s="1847" t="s">
        <v>4043</v>
      </c>
      <c r="G310" s="1847" t="s">
        <v>4043</v>
      </c>
      <c r="H310" s="1847" t="s">
        <v>3876</v>
      </c>
      <c r="I310" s="1847"/>
      <c r="J310" s="1847" t="s">
        <v>4166</v>
      </c>
      <c r="K310" s="1847" t="s">
        <v>3928</v>
      </c>
      <c r="L310" s="1847" t="s">
        <v>3935</v>
      </c>
      <c r="M310" s="1847" t="s">
        <v>4167</v>
      </c>
      <c r="N310" s="1847"/>
      <c r="O310" s="1847"/>
      <c r="P310" s="1852">
        <v>2.5</v>
      </c>
      <c r="Q310" s="1852">
        <v>3</v>
      </c>
      <c r="R310" s="483" t="e">
        <f>IF(H310="","",SUMIFS('[1]1_group_totals'!$J$8:$J$10000,'[1]1_group_totals'!$C$8:$C$10000,C310))</f>
        <v>#VALUE!</v>
      </c>
      <c r="S310" s="483">
        <f t="shared" si="36"/>
        <v>76</v>
      </c>
      <c r="T310" s="483">
        <v>100</v>
      </c>
      <c r="U310" s="510" t="e">
        <f t="shared" si="37"/>
        <v>#VALUE!</v>
      </c>
      <c r="V310" s="510">
        <v>1</v>
      </c>
      <c r="W310" s="510">
        <v>0</v>
      </c>
      <c r="X310" s="510">
        <v>0</v>
      </c>
      <c r="Y310" s="483">
        <v>1</v>
      </c>
      <c r="Z310" s="483">
        <v>1</v>
      </c>
      <c r="AA310" s="1847" t="e">
        <f t="shared" si="38"/>
        <v>#VALUE!</v>
      </c>
      <c r="AB310" s="1847">
        <f t="shared" si="39"/>
        <v>2.5000000000000001E-2</v>
      </c>
      <c r="AC310" s="1847">
        <f t="shared" si="40"/>
        <v>0.03</v>
      </c>
      <c r="AD310" s="1847" t="e">
        <f t="shared" si="41"/>
        <v>#VALUE!</v>
      </c>
      <c r="AE310" s="1847" t="e">
        <f t="shared" si="42"/>
        <v>#VALUE!</v>
      </c>
      <c r="AF310" s="1823" t="e">
        <f t="shared" si="43"/>
        <v>#VALUE!</v>
      </c>
      <c r="AG310" s="1769" t="e">
        <f t="shared" si="44"/>
        <v>#VALUE!</v>
      </c>
      <c r="AI310" t="s">
        <v>4043</v>
      </c>
    </row>
    <row r="311" spans="3:35" ht="24.95" customHeight="1">
      <c r="C311" s="491">
        <v>304</v>
      </c>
      <c r="D311" s="1847"/>
      <c r="E311" s="1847"/>
      <c r="F311" s="1847" t="s">
        <v>4044</v>
      </c>
      <c r="G311" s="1847" t="s">
        <v>4044</v>
      </c>
      <c r="H311" s="1847" t="s">
        <v>3877</v>
      </c>
      <c r="I311" s="1847"/>
      <c r="J311" s="1847" t="s">
        <v>3919</v>
      </c>
      <c r="K311" s="1847" t="s">
        <v>3928</v>
      </c>
      <c r="L311" s="1847" t="s">
        <v>3935</v>
      </c>
      <c r="M311" s="1847" t="s">
        <v>4119</v>
      </c>
      <c r="N311" s="1847"/>
      <c r="O311" s="1847"/>
      <c r="P311" s="1852">
        <v>3.6</v>
      </c>
      <c r="Q311" s="1852">
        <v>4.5</v>
      </c>
      <c r="R311" s="483" t="e">
        <f>IF(H311="","",SUMIFS('[1]1_group_totals'!$J$8:$J$10000,'[1]1_group_totals'!$C$8:$C$10000,C311))</f>
        <v>#VALUE!</v>
      </c>
      <c r="S311" s="483">
        <f t="shared" si="36"/>
        <v>61</v>
      </c>
      <c r="T311" s="483">
        <v>6</v>
      </c>
      <c r="U311" s="510" t="e">
        <f t="shared" si="37"/>
        <v>#VALUE!</v>
      </c>
      <c r="V311" s="510">
        <v>1</v>
      </c>
      <c r="W311" s="510">
        <v>0</v>
      </c>
      <c r="X311" s="510">
        <v>0</v>
      </c>
      <c r="Y311" s="483">
        <v>1</v>
      </c>
      <c r="Z311" s="483">
        <v>1</v>
      </c>
      <c r="AA311" s="1847" t="e">
        <f t="shared" si="38"/>
        <v>#VALUE!</v>
      </c>
      <c r="AB311" s="1847">
        <f t="shared" si="39"/>
        <v>0.6</v>
      </c>
      <c r="AC311" s="1847">
        <f t="shared" si="40"/>
        <v>0.75</v>
      </c>
      <c r="AD311" s="1847" t="e">
        <f t="shared" si="41"/>
        <v>#VALUE!</v>
      </c>
      <c r="AE311" s="1847" t="e">
        <f t="shared" si="42"/>
        <v>#VALUE!</v>
      </c>
      <c r="AF311" s="1823" t="e">
        <f t="shared" si="43"/>
        <v>#VALUE!</v>
      </c>
      <c r="AG311" s="1769" t="e">
        <f t="shared" si="44"/>
        <v>#VALUE!</v>
      </c>
      <c r="AI311" t="s">
        <v>4044</v>
      </c>
    </row>
    <row r="312" spans="3:35" ht="24.95" customHeight="1">
      <c r="C312" s="491">
        <v>305</v>
      </c>
      <c r="D312" s="1847"/>
      <c r="E312" s="1847"/>
      <c r="F312" s="1847" t="s">
        <v>4045</v>
      </c>
      <c r="G312" s="1847" t="s">
        <v>4045</v>
      </c>
      <c r="H312" s="1847" t="s">
        <v>3878</v>
      </c>
      <c r="I312" s="1847"/>
      <c r="J312" s="1847" t="s">
        <v>3920</v>
      </c>
      <c r="K312" s="1847" t="s">
        <v>3928</v>
      </c>
      <c r="L312" s="1847" t="s">
        <v>3935</v>
      </c>
      <c r="M312" s="1847" t="s">
        <v>4120</v>
      </c>
      <c r="N312" s="1847"/>
      <c r="O312" s="1847"/>
      <c r="P312" s="1852">
        <v>4.25</v>
      </c>
      <c r="Q312" s="1852">
        <v>4.5</v>
      </c>
      <c r="R312" s="483" t="e">
        <f>IF(H312="","",SUMIFS('[1]1_group_totals'!$J$8:$J$10000,'[1]1_group_totals'!$C$8:$C$10000,C312))</f>
        <v>#VALUE!</v>
      </c>
      <c r="S312" s="483">
        <f t="shared" si="36"/>
        <v>67</v>
      </c>
      <c r="T312" s="483">
        <v>100</v>
      </c>
      <c r="U312" s="510" t="e">
        <f t="shared" si="37"/>
        <v>#VALUE!</v>
      </c>
      <c r="V312" s="510">
        <v>1</v>
      </c>
      <c r="W312" s="510">
        <v>0</v>
      </c>
      <c r="X312" s="510">
        <v>0</v>
      </c>
      <c r="Y312" s="483">
        <v>1</v>
      </c>
      <c r="Z312" s="483">
        <v>1</v>
      </c>
      <c r="AA312" s="1847" t="e">
        <f t="shared" si="38"/>
        <v>#VALUE!</v>
      </c>
      <c r="AB312" s="1847">
        <f t="shared" si="39"/>
        <v>4.2500000000000003E-2</v>
      </c>
      <c r="AC312" s="1847">
        <f t="shared" si="40"/>
        <v>4.4999999999999998E-2</v>
      </c>
      <c r="AD312" s="1847" t="e">
        <f t="shared" si="41"/>
        <v>#VALUE!</v>
      </c>
      <c r="AE312" s="1847" t="e">
        <f t="shared" si="42"/>
        <v>#VALUE!</v>
      </c>
      <c r="AF312" s="1823" t="e">
        <f t="shared" si="43"/>
        <v>#VALUE!</v>
      </c>
      <c r="AG312" s="1769" t="e">
        <f t="shared" si="44"/>
        <v>#VALUE!</v>
      </c>
      <c r="AI312" t="s">
        <v>4045</v>
      </c>
    </row>
    <row r="313" spans="3:35" ht="24.95" customHeight="1">
      <c r="C313" s="491">
        <v>306</v>
      </c>
      <c r="D313" s="1847"/>
      <c r="E313" s="1847"/>
      <c r="F313" s="1847" t="s">
        <v>4046</v>
      </c>
      <c r="G313" s="1847" t="s">
        <v>4046</v>
      </c>
      <c r="H313" s="1847" t="s">
        <v>3879</v>
      </c>
      <c r="I313" s="1847"/>
      <c r="J313" s="1847" t="s">
        <v>2774</v>
      </c>
      <c r="K313" s="1847" t="s">
        <v>3928</v>
      </c>
      <c r="L313" s="1847" t="s">
        <v>3935</v>
      </c>
      <c r="M313" s="1847" t="s">
        <v>4114</v>
      </c>
      <c r="N313" s="1847"/>
      <c r="O313" s="1847"/>
      <c r="P313" s="1852">
        <v>3.5</v>
      </c>
      <c r="Q313" s="1852">
        <v>4.5</v>
      </c>
      <c r="R313" s="483" t="e">
        <f>IF(H313="","",SUMIFS('[1]1_group_totals'!$J$8:$J$10000,'[1]1_group_totals'!$C$8:$C$10000,C313))</f>
        <v>#VALUE!</v>
      </c>
      <c r="S313" s="483">
        <f t="shared" si="36"/>
        <v>29</v>
      </c>
      <c r="T313" s="483">
        <v>4</v>
      </c>
      <c r="U313" s="510" t="e">
        <f t="shared" si="37"/>
        <v>#VALUE!</v>
      </c>
      <c r="V313" s="510">
        <v>1</v>
      </c>
      <c r="W313" s="510">
        <v>0</v>
      </c>
      <c r="X313" s="510">
        <v>0</v>
      </c>
      <c r="Y313" s="483">
        <v>1</v>
      </c>
      <c r="Z313" s="483">
        <v>1</v>
      </c>
      <c r="AA313" s="1847" t="e">
        <f t="shared" si="38"/>
        <v>#VALUE!</v>
      </c>
      <c r="AB313" s="1847">
        <f t="shared" si="39"/>
        <v>0.875</v>
      </c>
      <c r="AC313" s="1847">
        <f t="shared" si="40"/>
        <v>1.125</v>
      </c>
      <c r="AD313" s="1847" t="e">
        <f t="shared" si="41"/>
        <v>#VALUE!</v>
      </c>
      <c r="AE313" s="1847" t="e">
        <f t="shared" si="42"/>
        <v>#VALUE!</v>
      </c>
      <c r="AF313" s="1823" t="e">
        <f t="shared" si="43"/>
        <v>#VALUE!</v>
      </c>
      <c r="AG313" s="1769" t="e">
        <f t="shared" si="44"/>
        <v>#VALUE!</v>
      </c>
      <c r="AI313" t="s">
        <v>4046</v>
      </c>
    </row>
    <row r="314" spans="3:35" ht="24.95" customHeight="1">
      <c r="C314" s="491">
        <v>307</v>
      </c>
      <c r="D314" s="1847"/>
      <c r="E314" s="1847"/>
      <c r="F314" s="1847" t="s">
        <v>4047</v>
      </c>
      <c r="G314" s="1847" t="s">
        <v>4047</v>
      </c>
      <c r="H314" s="1847" t="s">
        <v>3880</v>
      </c>
      <c r="I314" s="1847"/>
      <c r="J314" s="1847" t="s">
        <v>2783</v>
      </c>
      <c r="K314" s="1847" t="s">
        <v>4428</v>
      </c>
      <c r="L314" s="1847" t="s">
        <v>2800</v>
      </c>
      <c r="M314" s="1847" t="s">
        <v>3937</v>
      </c>
      <c r="N314" s="1847"/>
      <c r="O314" s="1847"/>
      <c r="P314" s="1852">
        <v>0.12</v>
      </c>
      <c r="Q314" s="1852">
        <v>0.25</v>
      </c>
      <c r="R314" s="483" t="e">
        <f>IF(H314="","",SUMIFS('[1]1_group_totals'!$J$8:$J$10000,'[1]1_group_totals'!$C$8:$C$10000,C314))</f>
        <v>#VALUE!</v>
      </c>
      <c r="S314" s="483">
        <f t="shared" si="36"/>
        <v>2</v>
      </c>
      <c r="T314" s="483">
        <v>1</v>
      </c>
      <c r="U314" s="510" t="e">
        <f t="shared" si="37"/>
        <v>#VALUE!</v>
      </c>
      <c r="V314" s="510">
        <v>1</v>
      </c>
      <c r="W314" s="510">
        <v>0</v>
      </c>
      <c r="X314" s="510">
        <v>0</v>
      </c>
      <c r="Y314" s="483">
        <v>1</v>
      </c>
      <c r="Z314" s="483">
        <v>1</v>
      </c>
      <c r="AA314" s="1847" t="e">
        <f t="shared" si="38"/>
        <v>#VALUE!</v>
      </c>
      <c r="AB314" s="1847">
        <f t="shared" si="39"/>
        <v>0.12</v>
      </c>
      <c r="AC314" s="1847">
        <f t="shared" si="40"/>
        <v>0.25</v>
      </c>
      <c r="AD314" s="1847" t="e">
        <f t="shared" si="41"/>
        <v>#VALUE!</v>
      </c>
      <c r="AE314" s="1847" t="e">
        <f t="shared" si="42"/>
        <v>#VALUE!</v>
      </c>
      <c r="AF314" s="1823" t="e">
        <f t="shared" si="43"/>
        <v>#VALUE!</v>
      </c>
      <c r="AG314" s="1769" t="e">
        <f t="shared" si="44"/>
        <v>#VALUE!</v>
      </c>
      <c r="AI314" t="s">
        <v>4047</v>
      </c>
    </row>
    <row r="315" spans="3:35" ht="24.95" customHeight="1">
      <c r="C315" s="491">
        <v>308</v>
      </c>
      <c r="D315" s="1847"/>
      <c r="E315" s="1847"/>
      <c r="F315" s="1847" t="s">
        <v>4048</v>
      </c>
      <c r="G315" s="1847" t="s">
        <v>4048</v>
      </c>
      <c r="H315" s="1847" t="s">
        <v>3881</v>
      </c>
      <c r="I315" s="1847"/>
      <c r="J315" s="1847" t="s">
        <v>2778</v>
      </c>
      <c r="K315" s="1847" t="s">
        <v>4428</v>
      </c>
      <c r="L315" s="1847" t="s">
        <v>3936</v>
      </c>
      <c r="M315" s="1847" t="s">
        <v>4095</v>
      </c>
      <c r="N315" s="1847"/>
      <c r="O315" s="1847"/>
      <c r="P315" s="1852">
        <v>15.5</v>
      </c>
      <c r="Q315" s="1852">
        <v>17</v>
      </c>
      <c r="R315" s="483" t="e">
        <f>IF(H315="","",SUMIFS('[1]1_group_totals'!$J$8:$J$10000,'[1]1_group_totals'!$C$8:$C$10000,C315))</f>
        <v>#VALUE!</v>
      </c>
      <c r="S315" s="483">
        <f t="shared" si="36"/>
        <v>43</v>
      </c>
      <c r="T315" s="483">
        <v>12</v>
      </c>
      <c r="U315" s="510" t="e">
        <f t="shared" si="37"/>
        <v>#VALUE!</v>
      </c>
      <c r="V315" s="510">
        <v>1</v>
      </c>
      <c r="W315" s="510">
        <v>0</v>
      </c>
      <c r="X315" s="510">
        <v>0</v>
      </c>
      <c r="Y315" s="483">
        <v>1</v>
      </c>
      <c r="Z315" s="483">
        <v>1</v>
      </c>
      <c r="AA315" s="1847" t="e">
        <f t="shared" si="38"/>
        <v>#VALUE!</v>
      </c>
      <c r="AB315" s="1847">
        <f t="shared" si="39"/>
        <v>1.2916666666666667</v>
      </c>
      <c r="AC315" s="1847">
        <f t="shared" si="40"/>
        <v>1.4166666666666667</v>
      </c>
      <c r="AD315" s="1847" t="e">
        <f t="shared" si="41"/>
        <v>#VALUE!</v>
      </c>
      <c r="AE315" s="1847" t="e">
        <f t="shared" si="42"/>
        <v>#VALUE!</v>
      </c>
      <c r="AF315" s="1823" t="e">
        <f t="shared" si="43"/>
        <v>#VALUE!</v>
      </c>
      <c r="AG315" s="1769" t="e">
        <f t="shared" si="44"/>
        <v>#VALUE!</v>
      </c>
      <c r="AI315" t="s">
        <v>4048</v>
      </c>
    </row>
    <row r="316" spans="3:35" ht="24.95" customHeight="1">
      <c r="C316" s="491">
        <v>309</v>
      </c>
      <c r="D316" s="1847"/>
      <c r="E316" s="1847"/>
      <c r="F316" s="1847" t="s">
        <v>4049</v>
      </c>
      <c r="G316" s="1847" t="s">
        <v>4049</v>
      </c>
      <c r="H316" s="1847" t="s">
        <v>3882</v>
      </c>
      <c r="I316" s="1847"/>
      <c r="J316" s="1847" t="s">
        <v>3921</v>
      </c>
      <c r="K316" s="1847" t="s">
        <v>4428</v>
      </c>
      <c r="L316" s="1847" t="s">
        <v>3936</v>
      </c>
      <c r="M316" s="1847" t="s">
        <v>4121</v>
      </c>
      <c r="N316" s="1847"/>
      <c r="O316" s="1847"/>
      <c r="P316" s="1852">
        <v>12</v>
      </c>
      <c r="Q316" s="1852">
        <v>13</v>
      </c>
      <c r="R316" s="483" t="e">
        <f>IF(H316="","",SUMIFS('[1]1_group_totals'!$J$8:$J$10000,'[1]1_group_totals'!$C$8:$C$10000,C316))</f>
        <v>#VALUE!</v>
      </c>
      <c r="S316" s="483">
        <f t="shared" si="36"/>
        <v>58</v>
      </c>
      <c r="T316" s="483">
        <v>1</v>
      </c>
      <c r="U316" s="510" t="e">
        <f t="shared" si="37"/>
        <v>#VALUE!</v>
      </c>
      <c r="V316" s="510">
        <v>1</v>
      </c>
      <c r="W316" s="510">
        <v>0</v>
      </c>
      <c r="X316" s="510">
        <v>0</v>
      </c>
      <c r="Y316" s="483">
        <v>1</v>
      </c>
      <c r="Z316" s="483">
        <v>1</v>
      </c>
      <c r="AA316" s="1847" t="e">
        <f t="shared" si="38"/>
        <v>#VALUE!</v>
      </c>
      <c r="AB316" s="1847">
        <f t="shared" si="39"/>
        <v>12</v>
      </c>
      <c r="AC316" s="1847">
        <f t="shared" si="40"/>
        <v>13</v>
      </c>
      <c r="AD316" s="1847" t="e">
        <f t="shared" si="41"/>
        <v>#VALUE!</v>
      </c>
      <c r="AE316" s="1847" t="e">
        <f t="shared" si="42"/>
        <v>#VALUE!</v>
      </c>
      <c r="AF316" s="1823" t="e">
        <f t="shared" si="43"/>
        <v>#VALUE!</v>
      </c>
      <c r="AG316" s="1769" t="e">
        <f t="shared" si="44"/>
        <v>#VALUE!</v>
      </c>
      <c r="AI316" t="s">
        <v>4049</v>
      </c>
    </row>
    <row r="317" spans="3:35" ht="24.95" customHeight="1">
      <c r="C317" s="491">
        <v>310</v>
      </c>
      <c r="D317" s="1847"/>
      <c r="E317" s="1847"/>
      <c r="F317" s="1847" t="s">
        <v>4050</v>
      </c>
      <c r="G317" s="1847" t="s">
        <v>4050</v>
      </c>
      <c r="H317" s="1847" t="s">
        <v>3883</v>
      </c>
      <c r="I317" s="1847"/>
      <c r="J317" s="1847" t="s">
        <v>3922</v>
      </c>
      <c r="K317" s="1847" t="s">
        <v>4428</v>
      </c>
      <c r="L317" s="1847" t="s">
        <v>3936</v>
      </c>
      <c r="M317" s="1847" t="s">
        <v>4122</v>
      </c>
      <c r="N317" s="1847"/>
      <c r="O317" s="1847"/>
      <c r="P317" s="1852">
        <v>12</v>
      </c>
      <c r="Q317" s="1852">
        <v>15</v>
      </c>
      <c r="R317" s="483" t="e">
        <f>IF(H317="","",SUMIFS('[1]1_group_totals'!$J$8:$J$10000,'[1]1_group_totals'!$C$8:$C$10000,C317))</f>
        <v>#VALUE!</v>
      </c>
      <c r="S317" s="483">
        <f t="shared" si="36"/>
        <v>59</v>
      </c>
      <c r="T317" s="483">
        <v>1</v>
      </c>
      <c r="U317" s="510" t="e">
        <f t="shared" si="37"/>
        <v>#VALUE!</v>
      </c>
      <c r="V317" s="510">
        <v>1</v>
      </c>
      <c r="W317" s="510">
        <v>0</v>
      </c>
      <c r="X317" s="510">
        <v>0</v>
      </c>
      <c r="Y317" s="483">
        <v>1</v>
      </c>
      <c r="Z317" s="483">
        <v>1</v>
      </c>
      <c r="AA317" s="1847" t="e">
        <f t="shared" si="38"/>
        <v>#VALUE!</v>
      </c>
      <c r="AB317" s="1847">
        <f t="shared" si="39"/>
        <v>12</v>
      </c>
      <c r="AC317" s="1847">
        <f t="shared" si="40"/>
        <v>15</v>
      </c>
      <c r="AD317" s="1847" t="e">
        <f t="shared" si="41"/>
        <v>#VALUE!</v>
      </c>
      <c r="AE317" s="1847" t="e">
        <f t="shared" si="42"/>
        <v>#VALUE!</v>
      </c>
      <c r="AF317" s="1823" t="e">
        <f t="shared" si="43"/>
        <v>#VALUE!</v>
      </c>
      <c r="AG317" s="1769" t="e">
        <f t="shared" si="44"/>
        <v>#VALUE!</v>
      </c>
      <c r="AI317" t="s">
        <v>4050</v>
      </c>
    </row>
    <row r="318" spans="3:35" ht="24.95" customHeight="1">
      <c r="C318" s="491">
        <v>311</v>
      </c>
      <c r="D318" s="1847"/>
      <c r="E318" s="1847"/>
      <c r="F318" s="1847" t="s">
        <v>4051</v>
      </c>
      <c r="G318" s="1847" t="s">
        <v>4051</v>
      </c>
      <c r="H318" s="1847" t="s">
        <v>3884</v>
      </c>
      <c r="I318" s="1847"/>
      <c r="J318" s="1847" t="s">
        <v>3922</v>
      </c>
      <c r="K318" s="1847" t="s">
        <v>4428</v>
      </c>
      <c r="L318" s="1847" t="s">
        <v>3936</v>
      </c>
      <c r="M318" s="1847" t="s">
        <v>4122</v>
      </c>
      <c r="N318" s="1847"/>
      <c r="O318" s="1847"/>
      <c r="P318" s="1852">
        <v>8.5</v>
      </c>
      <c r="Q318" s="1852">
        <v>10</v>
      </c>
      <c r="R318" s="483" t="e">
        <f>IF(H318="","",SUMIFS('[1]1_group_totals'!$J$8:$J$10000,'[1]1_group_totals'!$C$8:$C$10000,C318))</f>
        <v>#VALUE!</v>
      </c>
      <c r="S318" s="483">
        <f t="shared" si="36"/>
        <v>59</v>
      </c>
      <c r="T318" s="483">
        <v>1</v>
      </c>
      <c r="U318" s="510" t="e">
        <f t="shared" si="37"/>
        <v>#VALUE!</v>
      </c>
      <c r="V318" s="510">
        <v>1</v>
      </c>
      <c r="W318" s="510">
        <v>0</v>
      </c>
      <c r="X318" s="510">
        <v>0</v>
      </c>
      <c r="Y318" s="483">
        <v>1</v>
      </c>
      <c r="Z318" s="483">
        <v>1</v>
      </c>
      <c r="AA318" s="1847" t="e">
        <f t="shared" si="38"/>
        <v>#VALUE!</v>
      </c>
      <c r="AB318" s="1847">
        <f t="shared" si="39"/>
        <v>8.5</v>
      </c>
      <c r="AC318" s="1847">
        <f t="shared" si="40"/>
        <v>10</v>
      </c>
      <c r="AD318" s="1847" t="e">
        <f t="shared" si="41"/>
        <v>#VALUE!</v>
      </c>
      <c r="AE318" s="1847" t="e">
        <f t="shared" si="42"/>
        <v>#VALUE!</v>
      </c>
      <c r="AF318" s="1823" t="e">
        <f t="shared" si="43"/>
        <v>#VALUE!</v>
      </c>
      <c r="AG318" s="1769" t="e">
        <f t="shared" si="44"/>
        <v>#VALUE!</v>
      </c>
      <c r="AI318" t="s">
        <v>4051</v>
      </c>
    </row>
    <row r="319" spans="3:35" ht="24.95" customHeight="1">
      <c r="C319" s="491">
        <v>312</v>
      </c>
      <c r="D319" s="1847"/>
      <c r="E319" s="1847"/>
      <c r="F319" s="1847" t="s">
        <v>4052</v>
      </c>
      <c r="G319" s="1847" t="s">
        <v>4052</v>
      </c>
      <c r="H319" s="1847" t="s">
        <v>3885</v>
      </c>
      <c r="I319" s="1847"/>
      <c r="J319" s="1847" t="s">
        <v>3922</v>
      </c>
      <c r="K319" s="1847" t="s">
        <v>4428</v>
      </c>
      <c r="L319" s="1847" t="s">
        <v>3936</v>
      </c>
      <c r="M319" s="1847" t="s">
        <v>4122</v>
      </c>
      <c r="N319" s="1847"/>
      <c r="O319" s="1847"/>
      <c r="P319" s="1852">
        <v>30</v>
      </c>
      <c r="Q319" s="1852">
        <v>35</v>
      </c>
      <c r="R319" s="483" t="e">
        <f>IF(H319="","",SUMIFS('[1]1_group_totals'!$J$8:$J$10000,'[1]1_group_totals'!$C$8:$C$10000,C319))</f>
        <v>#VALUE!</v>
      </c>
      <c r="S319" s="483">
        <f t="shared" si="36"/>
        <v>59</v>
      </c>
      <c r="T319" s="483">
        <v>1</v>
      </c>
      <c r="U319" s="510" t="e">
        <f t="shared" si="37"/>
        <v>#VALUE!</v>
      </c>
      <c r="V319" s="510">
        <v>1</v>
      </c>
      <c r="W319" s="510">
        <v>0</v>
      </c>
      <c r="X319" s="510">
        <v>0</v>
      </c>
      <c r="Y319" s="483">
        <v>1</v>
      </c>
      <c r="Z319" s="483">
        <v>1</v>
      </c>
      <c r="AA319" s="1847" t="e">
        <f t="shared" si="38"/>
        <v>#VALUE!</v>
      </c>
      <c r="AB319" s="1847">
        <f t="shared" si="39"/>
        <v>30</v>
      </c>
      <c r="AC319" s="1847">
        <f t="shared" si="40"/>
        <v>35</v>
      </c>
      <c r="AD319" s="1847" t="e">
        <f t="shared" si="41"/>
        <v>#VALUE!</v>
      </c>
      <c r="AE319" s="1847" t="e">
        <f t="shared" si="42"/>
        <v>#VALUE!</v>
      </c>
      <c r="AF319" s="1823" t="e">
        <f t="shared" si="43"/>
        <v>#VALUE!</v>
      </c>
      <c r="AG319" s="1769" t="e">
        <f t="shared" si="44"/>
        <v>#VALUE!</v>
      </c>
      <c r="AI319" t="s">
        <v>4052</v>
      </c>
    </row>
    <row r="320" spans="3:35" ht="24.95" customHeight="1">
      <c r="C320" s="491">
        <v>313</v>
      </c>
      <c r="D320" s="1847"/>
      <c r="E320" s="1847"/>
      <c r="F320" s="1847" t="s">
        <v>4053</v>
      </c>
      <c r="G320" s="1847" t="s">
        <v>4053</v>
      </c>
      <c r="H320" s="1847" t="s">
        <v>3886</v>
      </c>
      <c r="I320" s="1847"/>
      <c r="J320" s="1847" t="s">
        <v>3922</v>
      </c>
      <c r="K320" s="1847" t="s">
        <v>4428</v>
      </c>
      <c r="L320" s="1847" t="s">
        <v>3936</v>
      </c>
      <c r="M320" s="1847" t="s">
        <v>4122</v>
      </c>
      <c r="N320" s="1847"/>
      <c r="O320" s="1847"/>
      <c r="P320" s="1852">
        <v>12</v>
      </c>
      <c r="Q320" s="1852">
        <v>15</v>
      </c>
      <c r="R320" s="483" t="e">
        <f>IF(H320="","",SUMIFS('[1]1_group_totals'!$J$8:$J$10000,'[1]1_group_totals'!$C$8:$C$10000,C320))</f>
        <v>#VALUE!</v>
      </c>
      <c r="S320" s="483">
        <f t="shared" si="36"/>
        <v>59</v>
      </c>
      <c r="T320" s="483">
        <v>1</v>
      </c>
      <c r="U320" s="510" t="e">
        <f t="shared" si="37"/>
        <v>#VALUE!</v>
      </c>
      <c r="V320" s="510">
        <v>1</v>
      </c>
      <c r="W320" s="510">
        <v>0</v>
      </c>
      <c r="X320" s="510">
        <v>0</v>
      </c>
      <c r="Y320" s="483">
        <v>1</v>
      </c>
      <c r="Z320" s="483">
        <v>1</v>
      </c>
      <c r="AA320" s="1847" t="e">
        <f t="shared" si="38"/>
        <v>#VALUE!</v>
      </c>
      <c r="AB320" s="1847">
        <f t="shared" si="39"/>
        <v>12</v>
      </c>
      <c r="AC320" s="1847">
        <f t="shared" si="40"/>
        <v>15</v>
      </c>
      <c r="AD320" s="1847" t="e">
        <f t="shared" si="41"/>
        <v>#VALUE!</v>
      </c>
      <c r="AE320" s="1847" t="e">
        <f t="shared" si="42"/>
        <v>#VALUE!</v>
      </c>
      <c r="AF320" s="1823" t="e">
        <f t="shared" si="43"/>
        <v>#VALUE!</v>
      </c>
      <c r="AG320" s="1769" t="e">
        <f t="shared" si="44"/>
        <v>#VALUE!</v>
      </c>
      <c r="AI320" t="s">
        <v>4053</v>
      </c>
    </row>
    <row r="321" spans="3:35" ht="24.95" customHeight="1">
      <c r="C321" s="491">
        <v>314</v>
      </c>
      <c r="D321" s="1847"/>
      <c r="E321" s="1847"/>
      <c r="F321" s="1847" t="s">
        <v>4054</v>
      </c>
      <c r="G321" s="1847" t="s">
        <v>4054</v>
      </c>
      <c r="H321" s="1847" t="s">
        <v>3887</v>
      </c>
      <c r="I321" s="1847"/>
      <c r="J321" s="1847" t="s">
        <v>3922</v>
      </c>
      <c r="K321" s="1847" t="s">
        <v>4428</v>
      </c>
      <c r="L321" s="1847" t="s">
        <v>3936</v>
      </c>
      <c r="M321" s="1847" t="s">
        <v>4122</v>
      </c>
      <c r="N321" s="1847"/>
      <c r="O321" s="1847"/>
      <c r="P321" s="1852">
        <v>23</v>
      </c>
      <c r="Q321" s="1852">
        <v>26</v>
      </c>
      <c r="R321" s="483" t="e">
        <f>IF(H321="","",SUMIFS('[1]1_group_totals'!$J$8:$J$10000,'[1]1_group_totals'!$C$8:$C$10000,C321))</f>
        <v>#VALUE!</v>
      </c>
      <c r="S321" s="483">
        <f t="shared" si="36"/>
        <v>59</v>
      </c>
      <c r="T321" s="483">
        <v>1</v>
      </c>
      <c r="U321" s="510" t="e">
        <f t="shared" si="37"/>
        <v>#VALUE!</v>
      </c>
      <c r="V321" s="510">
        <v>1</v>
      </c>
      <c r="W321" s="510">
        <v>0</v>
      </c>
      <c r="X321" s="510">
        <v>0</v>
      </c>
      <c r="Y321" s="483">
        <v>1</v>
      </c>
      <c r="Z321" s="483">
        <v>1</v>
      </c>
      <c r="AA321" s="1847" t="e">
        <f t="shared" si="38"/>
        <v>#VALUE!</v>
      </c>
      <c r="AB321" s="1847">
        <f t="shared" si="39"/>
        <v>23</v>
      </c>
      <c r="AC321" s="1847">
        <f t="shared" si="40"/>
        <v>26</v>
      </c>
      <c r="AD321" s="1847" t="e">
        <f t="shared" si="41"/>
        <v>#VALUE!</v>
      </c>
      <c r="AE321" s="1847" t="e">
        <f t="shared" si="42"/>
        <v>#VALUE!</v>
      </c>
      <c r="AF321" s="1823" t="e">
        <f t="shared" si="43"/>
        <v>#VALUE!</v>
      </c>
      <c r="AG321" s="1769" t="e">
        <f t="shared" si="44"/>
        <v>#VALUE!</v>
      </c>
      <c r="AI321" t="s">
        <v>4054</v>
      </c>
    </row>
    <row r="322" spans="3:35" ht="24.95" customHeight="1">
      <c r="C322" s="491">
        <v>315</v>
      </c>
      <c r="D322" s="1847"/>
      <c r="E322" s="1847"/>
      <c r="F322" s="1847" t="s">
        <v>4055</v>
      </c>
      <c r="G322" s="1847" t="s">
        <v>4055</v>
      </c>
      <c r="H322" s="1847" t="s">
        <v>3888</v>
      </c>
      <c r="I322" s="1847"/>
      <c r="J322" s="1847" t="s">
        <v>3918</v>
      </c>
      <c r="K322" s="1847" t="s">
        <v>4428</v>
      </c>
      <c r="L322" s="1847" t="s">
        <v>3935</v>
      </c>
      <c r="M322" s="1847" t="s">
        <v>4116</v>
      </c>
      <c r="N322" s="1847"/>
      <c r="O322" s="1847"/>
      <c r="P322" s="1852">
        <v>8.5</v>
      </c>
      <c r="Q322" s="1852">
        <v>9</v>
      </c>
      <c r="R322" s="483" t="e">
        <f>IF(H322="","",SUMIFS('[1]1_group_totals'!$J$8:$J$10000,'[1]1_group_totals'!$C$8:$C$10000,C322))</f>
        <v>#VALUE!</v>
      </c>
      <c r="S322" s="483">
        <f t="shared" si="36"/>
        <v>56</v>
      </c>
      <c r="T322" s="483">
        <v>20</v>
      </c>
      <c r="U322" s="510" t="e">
        <f t="shared" si="37"/>
        <v>#VALUE!</v>
      </c>
      <c r="V322" s="510">
        <v>1</v>
      </c>
      <c r="W322" s="510">
        <v>0</v>
      </c>
      <c r="X322" s="510">
        <v>0</v>
      </c>
      <c r="Y322" s="483">
        <v>1</v>
      </c>
      <c r="Z322" s="483">
        <v>1</v>
      </c>
      <c r="AA322" s="1847" t="e">
        <f t="shared" si="38"/>
        <v>#VALUE!</v>
      </c>
      <c r="AB322" s="1847">
        <f t="shared" si="39"/>
        <v>0.42499999999999999</v>
      </c>
      <c r="AC322" s="1847">
        <f t="shared" si="40"/>
        <v>0.45</v>
      </c>
      <c r="AD322" s="1847" t="e">
        <f t="shared" si="41"/>
        <v>#VALUE!</v>
      </c>
      <c r="AE322" s="1847" t="e">
        <f t="shared" si="42"/>
        <v>#VALUE!</v>
      </c>
      <c r="AF322" s="1823" t="e">
        <f t="shared" si="43"/>
        <v>#VALUE!</v>
      </c>
      <c r="AG322" s="1769" t="e">
        <f t="shared" si="44"/>
        <v>#VALUE!</v>
      </c>
      <c r="AI322" t="s">
        <v>4055</v>
      </c>
    </row>
    <row r="323" spans="3:35" ht="24.95" customHeight="1">
      <c r="C323" s="491">
        <v>316</v>
      </c>
      <c r="D323" s="1847"/>
      <c r="E323" s="1847"/>
      <c r="F323" s="1847" t="s">
        <v>4056</v>
      </c>
      <c r="G323" s="1847" t="s">
        <v>4056</v>
      </c>
      <c r="H323" s="1847" t="s">
        <v>3889</v>
      </c>
      <c r="I323" s="1847"/>
      <c r="J323" s="1847" t="s">
        <v>3918</v>
      </c>
      <c r="K323" s="1847" t="s">
        <v>4428</v>
      </c>
      <c r="L323" s="1847" t="s">
        <v>3936</v>
      </c>
      <c r="M323" s="1847" t="s">
        <v>4116</v>
      </c>
      <c r="N323" s="1847"/>
      <c r="O323" s="1847"/>
      <c r="P323" s="1852">
        <v>6.5</v>
      </c>
      <c r="Q323" s="1852">
        <v>7</v>
      </c>
      <c r="R323" s="483" t="e">
        <f>IF(H323="","",SUMIFS('[1]1_group_totals'!$J$8:$J$10000,'[1]1_group_totals'!$C$8:$C$10000,C323))</f>
        <v>#VALUE!</v>
      </c>
      <c r="S323" s="483">
        <f t="shared" si="36"/>
        <v>56</v>
      </c>
      <c r="T323" s="483">
        <v>20</v>
      </c>
      <c r="U323" s="510" t="e">
        <f t="shared" si="37"/>
        <v>#VALUE!</v>
      </c>
      <c r="V323" s="510">
        <v>1</v>
      </c>
      <c r="W323" s="510">
        <v>0</v>
      </c>
      <c r="X323" s="510">
        <v>0</v>
      </c>
      <c r="Y323" s="483">
        <v>1</v>
      </c>
      <c r="Z323" s="483">
        <v>1</v>
      </c>
      <c r="AA323" s="1847" t="e">
        <f t="shared" si="38"/>
        <v>#VALUE!</v>
      </c>
      <c r="AB323" s="1847">
        <f t="shared" si="39"/>
        <v>0.32500000000000001</v>
      </c>
      <c r="AC323" s="1847">
        <f t="shared" si="40"/>
        <v>0.35</v>
      </c>
      <c r="AD323" s="1847" t="e">
        <f t="shared" si="41"/>
        <v>#VALUE!</v>
      </c>
      <c r="AE323" s="1847" t="e">
        <f t="shared" si="42"/>
        <v>#VALUE!</v>
      </c>
      <c r="AF323" s="1823" t="e">
        <f t="shared" si="43"/>
        <v>#VALUE!</v>
      </c>
      <c r="AG323" s="1769" t="e">
        <f t="shared" si="44"/>
        <v>#VALUE!</v>
      </c>
      <c r="AI323" t="s">
        <v>4056</v>
      </c>
    </row>
    <row r="324" spans="3:35" ht="24.95" customHeight="1">
      <c r="C324" s="491">
        <v>317</v>
      </c>
      <c r="D324" s="1847"/>
      <c r="E324" s="1847"/>
      <c r="F324" s="1847" t="s">
        <v>4057</v>
      </c>
      <c r="G324" s="1847" t="s">
        <v>4057</v>
      </c>
      <c r="H324" s="1847" t="s">
        <v>3890</v>
      </c>
      <c r="I324" s="1847"/>
      <c r="J324" s="1847" t="s">
        <v>2783</v>
      </c>
      <c r="K324" s="1847" t="s">
        <v>4428</v>
      </c>
      <c r="L324" s="1847" t="s">
        <v>3936</v>
      </c>
      <c r="M324" s="1847" t="s">
        <v>4101</v>
      </c>
      <c r="N324" s="1847"/>
      <c r="O324" s="1847"/>
      <c r="P324" s="1852">
        <v>1.2</v>
      </c>
      <c r="Q324" s="1852">
        <v>1.5</v>
      </c>
      <c r="R324" s="483" t="e">
        <f>IF(H324="","",SUMIFS('[1]1_group_totals'!$J$8:$J$10000,'[1]1_group_totals'!$C$8:$C$10000,C324))</f>
        <v>#VALUE!</v>
      </c>
      <c r="S324" s="483">
        <f t="shared" si="36"/>
        <v>2</v>
      </c>
      <c r="T324" s="483">
        <v>1</v>
      </c>
      <c r="U324" s="510" t="e">
        <f t="shared" si="37"/>
        <v>#VALUE!</v>
      </c>
      <c r="V324" s="510">
        <v>1</v>
      </c>
      <c r="W324" s="510">
        <v>0</v>
      </c>
      <c r="X324" s="510">
        <v>0</v>
      </c>
      <c r="Y324" s="483">
        <v>1</v>
      </c>
      <c r="Z324" s="483">
        <v>1</v>
      </c>
      <c r="AA324" s="1847" t="e">
        <f t="shared" si="38"/>
        <v>#VALUE!</v>
      </c>
      <c r="AB324" s="1847">
        <f t="shared" si="39"/>
        <v>1.2</v>
      </c>
      <c r="AC324" s="1847">
        <f t="shared" si="40"/>
        <v>1.5</v>
      </c>
      <c r="AD324" s="1847" t="e">
        <f t="shared" si="41"/>
        <v>#VALUE!</v>
      </c>
      <c r="AE324" s="1847" t="e">
        <f t="shared" si="42"/>
        <v>#VALUE!</v>
      </c>
      <c r="AF324" s="1823" t="e">
        <f t="shared" si="43"/>
        <v>#VALUE!</v>
      </c>
      <c r="AG324" s="1769" t="e">
        <f t="shared" si="44"/>
        <v>#VALUE!</v>
      </c>
      <c r="AI324" t="s">
        <v>4057</v>
      </c>
    </row>
    <row r="325" spans="3:35" ht="24.95" customHeight="1">
      <c r="C325" s="491">
        <v>318</v>
      </c>
      <c r="D325" s="1847"/>
      <c r="E325" s="1847"/>
      <c r="F325" s="1847" t="s">
        <v>4058</v>
      </c>
      <c r="G325" s="1847" t="s">
        <v>4058</v>
      </c>
      <c r="H325" s="1847" t="s">
        <v>3891</v>
      </c>
      <c r="I325" s="1847"/>
      <c r="J325" s="1847" t="s">
        <v>2783</v>
      </c>
      <c r="K325" s="1847" t="s">
        <v>4428</v>
      </c>
      <c r="L325" s="1847" t="s">
        <v>3936</v>
      </c>
      <c r="M325" s="1847" t="s">
        <v>4101</v>
      </c>
      <c r="N325" s="1847"/>
      <c r="O325" s="1847"/>
      <c r="P325" s="1852">
        <v>0.38</v>
      </c>
      <c r="Q325" s="1852">
        <v>0.75</v>
      </c>
      <c r="R325" s="483" t="e">
        <f>IF(H325="","",SUMIFS('[1]1_group_totals'!$J$8:$J$10000,'[1]1_group_totals'!$C$8:$C$10000,C325))</f>
        <v>#VALUE!</v>
      </c>
      <c r="S325" s="483">
        <f t="shared" si="36"/>
        <v>2</v>
      </c>
      <c r="T325" s="483">
        <v>1</v>
      </c>
      <c r="U325" s="510" t="e">
        <f t="shared" si="37"/>
        <v>#VALUE!</v>
      </c>
      <c r="V325" s="510">
        <v>1</v>
      </c>
      <c r="W325" s="510">
        <v>0</v>
      </c>
      <c r="X325" s="510">
        <v>0</v>
      </c>
      <c r="Y325" s="483">
        <v>1</v>
      </c>
      <c r="Z325" s="483">
        <v>1</v>
      </c>
      <c r="AA325" s="1847" t="e">
        <f t="shared" si="38"/>
        <v>#VALUE!</v>
      </c>
      <c r="AB325" s="1847">
        <f t="shared" si="39"/>
        <v>0.38</v>
      </c>
      <c r="AC325" s="1847">
        <f t="shared" si="40"/>
        <v>0.75</v>
      </c>
      <c r="AD325" s="1847" t="e">
        <f t="shared" si="41"/>
        <v>#VALUE!</v>
      </c>
      <c r="AE325" s="1847" t="e">
        <f t="shared" si="42"/>
        <v>#VALUE!</v>
      </c>
      <c r="AF325" s="1823" t="e">
        <f t="shared" si="43"/>
        <v>#VALUE!</v>
      </c>
      <c r="AG325" s="1769" t="e">
        <f t="shared" si="44"/>
        <v>#VALUE!</v>
      </c>
      <c r="AI325" t="s">
        <v>4058</v>
      </c>
    </row>
    <row r="326" spans="3:35" ht="24.95" customHeight="1">
      <c r="C326" s="491">
        <v>319</v>
      </c>
      <c r="D326" s="1847"/>
      <c r="E326" s="1847"/>
      <c r="F326" s="1847" t="s">
        <v>4059</v>
      </c>
      <c r="G326" s="1847" t="s">
        <v>4059</v>
      </c>
      <c r="H326" s="1847" t="s">
        <v>3892</v>
      </c>
      <c r="I326" s="1847"/>
      <c r="J326" s="1847" t="s">
        <v>2783</v>
      </c>
      <c r="K326" s="1847" t="s">
        <v>4428</v>
      </c>
      <c r="L326" s="1847" t="s">
        <v>3936</v>
      </c>
      <c r="M326" s="1847" t="s">
        <v>4101</v>
      </c>
      <c r="N326" s="1847"/>
      <c r="O326" s="1847"/>
      <c r="P326" s="1852">
        <v>0.38</v>
      </c>
      <c r="Q326" s="1852">
        <v>0.75</v>
      </c>
      <c r="R326" s="483" t="e">
        <f>IF(H326="","",SUMIFS('[1]1_group_totals'!$J$8:$J$10000,'[1]1_group_totals'!$C$8:$C$10000,C326))</f>
        <v>#VALUE!</v>
      </c>
      <c r="S326" s="483">
        <f t="shared" si="36"/>
        <v>2</v>
      </c>
      <c r="T326" s="483">
        <v>1</v>
      </c>
      <c r="U326" s="510" t="e">
        <f t="shared" si="37"/>
        <v>#VALUE!</v>
      </c>
      <c r="V326" s="510">
        <v>1</v>
      </c>
      <c r="W326" s="510">
        <v>0</v>
      </c>
      <c r="X326" s="510">
        <v>0</v>
      </c>
      <c r="Y326" s="483">
        <v>1</v>
      </c>
      <c r="Z326" s="483">
        <v>1</v>
      </c>
      <c r="AA326" s="1847" t="e">
        <f t="shared" si="38"/>
        <v>#VALUE!</v>
      </c>
      <c r="AB326" s="1847">
        <f t="shared" si="39"/>
        <v>0.38</v>
      </c>
      <c r="AC326" s="1847">
        <f t="shared" si="40"/>
        <v>0.75</v>
      </c>
      <c r="AD326" s="1847" t="e">
        <f t="shared" si="41"/>
        <v>#VALUE!</v>
      </c>
      <c r="AE326" s="1847" t="e">
        <f t="shared" si="42"/>
        <v>#VALUE!</v>
      </c>
      <c r="AF326" s="1823" t="e">
        <f t="shared" si="43"/>
        <v>#VALUE!</v>
      </c>
      <c r="AG326" s="1769" t="e">
        <f t="shared" si="44"/>
        <v>#VALUE!</v>
      </c>
      <c r="AI326" t="s">
        <v>4059</v>
      </c>
    </row>
    <row r="327" spans="3:35" ht="24.95" customHeight="1">
      <c r="C327" s="491">
        <v>320</v>
      </c>
      <c r="D327" s="1847"/>
      <c r="E327" s="1847"/>
      <c r="F327" s="1847" t="s">
        <v>4060</v>
      </c>
      <c r="G327" s="1847" t="s">
        <v>4060</v>
      </c>
      <c r="H327" s="1847" t="s">
        <v>3893</v>
      </c>
      <c r="I327" s="1847"/>
      <c r="J327" s="1847" t="s">
        <v>2783</v>
      </c>
      <c r="K327" s="1847" t="s">
        <v>4428</v>
      </c>
      <c r="L327" s="1847" t="s">
        <v>3936</v>
      </c>
      <c r="M327" s="1847" t="s">
        <v>3937</v>
      </c>
      <c r="N327" s="1847"/>
      <c r="O327" s="1847"/>
      <c r="P327" s="1852">
        <v>1.5</v>
      </c>
      <c r="Q327" s="1852">
        <v>1.75</v>
      </c>
      <c r="R327" s="483" t="e">
        <f>IF(H327="","",SUMIFS('[1]1_group_totals'!$J$8:$J$10000,'[1]1_group_totals'!$C$8:$C$10000,C327))</f>
        <v>#VALUE!</v>
      </c>
      <c r="S327" s="483">
        <f t="shared" si="36"/>
        <v>2</v>
      </c>
      <c r="T327" s="483">
        <v>1</v>
      </c>
      <c r="U327" s="510" t="e">
        <f t="shared" si="37"/>
        <v>#VALUE!</v>
      </c>
      <c r="V327" s="510">
        <v>1</v>
      </c>
      <c r="W327" s="510">
        <v>0</v>
      </c>
      <c r="X327" s="510">
        <v>0</v>
      </c>
      <c r="Y327" s="483">
        <v>1</v>
      </c>
      <c r="Z327" s="483">
        <v>1</v>
      </c>
      <c r="AA327" s="1847" t="e">
        <f t="shared" si="38"/>
        <v>#VALUE!</v>
      </c>
      <c r="AB327" s="1847">
        <f t="shared" si="39"/>
        <v>1.5</v>
      </c>
      <c r="AC327" s="1847">
        <f t="shared" si="40"/>
        <v>1.75</v>
      </c>
      <c r="AD327" s="1847" t="e">
        <f t="shared" si="41"/>
        <v>#VALUE!</v>
      </c>
      <c r="AE327" s="1847" t="e">
        <f t="shared" si="42"/>
        <v>#VALUE!</v>
      </c>
      <c r="AF327" s="1823" t="e">
        <f t="shared" si="43"/>
        <v>#VALUE!</v>
      </c>
      <c r="AG327" s="1769" t="e">
        <f t="shared" si="44"/>
        <v>#VALUE!</v>
      </c>
      <c r="AI327" t="s">
        <v>4060</v>
      </c>
    </row>
    <row r="328" spans="3:35" ht="24.95" customHeight="1">
      <c r="C328" s="491">
        <v>321</v>
      </c>
      <c r="D328" s="1847"/>
      <c r="E328" s="1847"/>
      <c r="F328" s="1847" t="s">
        <v>4061</v>
      </c>
      <c r="G328" s="1847" t="s">
        <v>4061</v>
      </c>
      <c r="H328" s="1847" t="s">
        <v>3894</v>
      </c>
      <c r="I328" s="1847"/>
      <c r="J328" s="1847" t="s">
        <v>2783</v>
      </c>
      <c r="K328" s="1847" t="s">
        <v>3929</v>
      </c>
      <c r="L328" s="1847" t="s">
        <v>2799</v>
      </c>
      <c r="M328" s="1847" t="s">
        <v>3937</v>
      </c>
      <c r="N328" s="1847"/>
      <c r="O328" s="1847"/>
      <c r="P328" s="1852">
        <v>9</v>
      </c>
      <c r="Q328" s="1852">
        <v>12</v>
      </c>
      <c r="R328" s="483" t="e">
        <f>IF(H328="","",SUMIFS('[1]1_group_totals'!$J$8:$J$10000,'[1]1_group_totals'!$C$8:$C$10000,C328))</f>
        <v>#VALUE!</v>
      </c>
      <c r="S328" s="483">
        <f t="shared" ref="S328:S391" si="45">IF(J328="","",MID(J328,1,3)*1)</f>
        <v>2</v>
      </c>
      <c r="T328" s="483">
        <v>1</v>
      </c>
      <c r="U328" s="510" t="e">
        <f t="shared" ref="U328:U391" si="46">getStockAvariableByUom(C328,R328,T328,Z328,S328)</f>
        <v>#VALUE!</v>
      </c>
      <c r="V328" s="510">
        <v>1</v>
      </c>
      <c r="W328" s="510">
        <v>0</v>
      </c>
      <c r="X328" s="510">
        <v>0</v>
      </c>
      <c r="Y328" s="483">
        <v>1</v>
      </c>
      <c r="Z328" s="483">
        <v>1</v>
      </c>
      <c r="AA328" s="1847" t="e">
        <f t="shared" ref="AA328:AA391" si="47">IF(AND(C328&lt;&gt;"",H328&lt;&gt;"",R328&gt;0),TEXT(C328,"00000")&amp;"."&amp;H328&amp;" | "&amp;F328&amp;" | Cost : "&amp;P328&amp;" "&amp;product_currency&amp;" | Price : "&amp;Q328&amp;" "&amp;product_currency&amp;" | Stock Ending : "&amp;U328,"")</f>
        <v>#VALUE!</v>
      </c>
      <c r="AB328" s="1847">
        <f t="shared" ref="AB328:AB391" si="48">P328/T328</f>
        <v>9</v>
      </c>
      <c r="AC328" s="1847">
        <f t="shared" ref="AC328:AC391" si="49">Q328/T328</f>
        <v>12</v>
      </c>
      <c r="AD328" s="1847" t="e">
        <f t="shared" ref="AD328:AD391" si="50">IF(R328&gt;0,R328*AB328,"")</f>
        <v>#VALUE!</v>
      </c>
      <c r="AE328" s="1847" t="e">
        <f t="shared" ref="AE328:AE391" si="51">IF(R328&gt;0,R328*AC328,"")</f>
        <v>#VALUE!</v>
      </c>
      <c r="AF328" s="1823" t="e">
        <f t="shared" ref="AF328:AF391" si="52">IF(R328&lt;0,R328*AB328,"")</f>
        <v>#VALUE!</v>
      </c>
      <c r="AG328" s="1769" t="e">
        <f t="shared" ref="AG328:AG391" si="53">IF(R328&lt;0,R328*AC328,"")</f>
        <v>#VALUE!</v>
      </c>
      <c r="AI328" t="s">
        <v>4061</v>
      </c>
    </row>
    <row r="329" spans="3:35" ht="24.95" customHeight="1">
      <c r="C329" s="491">
        <v>322</v>
      </c>
      <c r="D329" s="1847"/>
      <c r="E329" s="1847"/>
      <c r="F329" s="1847" t="s">
        <v>4062</v>
      </c>
      <c r="G329" s="1847" t="s">
        <v>4062</v>
      </c>
      <c r="H329" s="1847" t="s">
        <v>3895</v>
      </c>
      <c r="I329" s="1847"/>
      <c r="J329" s="1847" t="s">
        <v>2783</v>
      </c>
      <c r="K329" s="1847" t="s">
        <v>3929</v>
      </c>
      <c r="L329" s="1847" t="s">
        <v>3934</v>
      </c>
      <c r="M329" s="1847" t="s">
        <v>3937</v>
      </c>
      <c r="N329" s="1847"/>
      <c r="O329" s="1847"/>
      <c r="P329" s="1852">
        <v>3.5</v>
      </c>
      <c r="Q329" s="1852">
        <v>5</v>
      </c>
      <c r="R329" s="483" t="e">
        <f>IF(H329="","",SUMIFS('[1]1_group_totals'!$J$8:$J$10000,'[1]1_group_totals'!$C$8:$C$10000,C329))</f>
        <v>#VALUE!</v>
      </c>
      <c r="S329" s="483">
        <f t="shared" si="45"/>
        <v>2</v>
      </c>
      <c r="T329" s="483">
        <v>1</v>
      </c>
      <c r="U329" s="510" t="e">
        <f t="shared" si="46"/>
        <v>#VALUE!</v>
      </c>
      <c r="V329" s="510">
        <v>1</v>
      </c>
      <c r="W329" s="510">
        <v>0</v>
      </c>
      <c r="X329" s="510">
        <v>0</v>
      </c>
      <c r="Y329" s="483">
        <v>1</v>
      </c>
      <c r="Z329" s="483">
        <v>1</v>
      </c>
      <c r="AA329" s="1847" t="e">
        <f t="shared" si="47"/>
        <v>#VALUE!</v>
      </c>
      <c r="AB329" s="1847">
        <f t="shared" si="48"/>
        <v>3.5</v>
      </c>
      <c r="AC329" s="1847">
        <f t="shared" si="49"/>
        <v>5</v>
      </c>
      <c r="AD329" s="1847" t="e">
        <f t="shared" si="50"/>
        <v>#VALUE!</v>
      </c>
      <c r="AE329" s="1847" t="e">
        <f t="shared" si="51"/>
        <v>#VALUE!</v>
      </c>
      <c r="AF329" s="1823" t="e">
        <f t="shared" si="52"/>
        <v>#VALUE!</v>
      </c>
      <c r="AG329" s="1769" t="e">
        <f t="shared" si="53"/>
        <v>#VALUE!</v>
      </c>
      <c r="AI329" t="s">
        <v>4062</v>
      </c>
    </row>
    <row r="330" spans="3:35" ht="24.95" customHeight="1">
      <c r="C330" s="491">
        <v>323</v>
      </c>
      <c r="D330" s="1847"/>
      <c r="E330" s="1847"/>
      <c r="F330" s="1847" t="s">
        <v>4063</v>
      </c>
      <c r="G330" s="1847" t="s">
        <v>4063</v>
      </c>
      <c r="H330" s="1847" t="s">
        <v>3896</v>
      </c>
      <c r="I330" s="1847"/>
      <c r="J330" s="1847" t="s">
        <v>3919</v>
      </c>
      <c r="K330" s="1847" t="s">
        <v>3929</v>
      </c>
      <c r="L330" s="1847" t="s">
        <v>3935</v>
      </c>
      <c r="M330" s="1847" t="s">
        <v>4119</v>
      </c>
      <c r="N330" s="1847"/>
      <c r="O330" s="1847"/>
      <c r="P330" s="1852">
        <v>8.8000000000000007</v>
      </c>
      <c r="Q330" s="1852">
        <v>10</v>
      </c>
      <c r="R330" s="483" t="e">
        <f>IF(H330="","",SUMIFS('[1]1_group_totals'!$J$8:$J$10000,'[1]1_group_totals'!$C$8:$C$10000,C330))</f>
        <v>#VALUE!</v>
      </c>
      <c r="S330" s="483">
        <f t="shared" si="45"/>
        <v>61</v>
      </c>
      <c r="T330" s="483">
        <v>6</v>
      </c>
      <c r="U330" s="510" t="e">
        <f t="shared" si="46"/>
        <v>#VALUE!</v>
      </c>
      <c r="V330" s="510">
        <v>1</v>
      </c>
      <c r="W330" s="510">
        <v>0</v>
      </c>
      <c r="X330" s="510">
        <v>0</v>
      </c>
      <c r="Y330" s="483">
        <v>1</v>
      </c>
      <c r="Z330" s="483">
        <v>1</v>
      </c>
      <c r="AA330" s="1847" t="e">
        <f t="shared" si="47"/>
        <v>#VALUE!</v>
      </c>
      <c r="AB330" s="1847">
        <f t="shared" si="48"/>
        <v>1.4666666666666668</v>
      </c>
      <c r="AC330" s="1847">
        <f t="shared" si="49"/>
        <v>1.6666666666666667</v>
      </c>
      <c r="AD330" s="1847" t="e">
        <f t="shared" si="50"/>
        <v>#VALUE!</v>
      </c>
      <c r="AE330" s="1847" t="e">
        <f t="shared" si="51"/>
        <v>#VALUE!</v>
      </c>
      <c r="AF330" s="1823" t="e">
        <f t="shared" si="52"/>
        <v>#VALUE!</v>
      </c>
      <c r="AG330" s="1769" t="e">
        <f t="shared" si="53"/>
        <v>#VALUE!</v>
      </c>
      <c r="AI330" t="s">
        <v>4063</v>
      </c>
    </row>
    <row r="331" spans="3:35" ht="24.95" customHeight="1">
      <c r="C331" s="491">
        <v>324</v>
      </c>
      <c r="D331" s="1847"/>
      <c r="E331" s="1847"/>
      <c r="F331" s="1847" t="s">
        <v>4064</v>
      </c>
      <c r="G331" s="1847" t="s">
        <v>4064</v>
      </c>
      <c r="H331" s="1847" t="s">
        <v>3897</v>
      </c>
      <c r="I331" s="1847"/>
      <c r="J331" s="1847" t="s">
        <v>2783</v>
      </c>
      <c r="K331" s="1847" t="s">
        <v>3929</v>
      </c>
      <c r="L331" s="1847" t="s">
        <v>2799</v>
      </c>
      <c r="M331" s="1847" t="s">
        <v>3937</v>
      </c>
      <c r="N331" s="1847"/>
      <c r="O331" s="1847"/>
      <c r="P331" s="1852">
        <v>8</v>
      </c>
      <c r="Q331" s="1852">
        <v>10</v>
      </c>
      <c r="R331" s="483" t="e">
        <f>IF(H331="","",SUMIFS('[1]1_group_totals'!$J$8:$J$10000,'[1]1_group_totals'!$C$8:$C$10000,C331))</f>
        <v>#VALUE!</v>
      </c>
      <c r="S331" s="483">
        <f t="shared" si="45"/>
        <v>2</v>
      </c>
      <c r="T331" s="483">
        <v>1</v>
      </c>
      <c r="U331" s="510" t="e">
        <f t="shared" si="46"/>
        <v>#VALUE!</v>
      </c>
      <c r="V331" s="510">
        <v>1</v>
      </c>
      <c r="W331" s="510">
        <v>0</v>
      </c>
      <c r="X331" s="510">
        <v>0</v>
      </c>
      <c r="Y331" s="483">
        <v>1</v>
      </c>
      <c r="Z331" s="483">
        <v>1</v>
      </c>
      <c r="AA331" s="1847" t="e">
        <f t="shared" si="47"/>
        <v>#VALUE!</v>
      </c>
      <c r="AB331" s="1847">
        <f t="shared" si="48"/>
        <v>8</v>
      </c>
      <c r="AC331" s="1847">
        <f t="shared" si="49"/>
        <v>10</v>
      </c>
      <c r="AD331" s="1847" t="e">
        <f t="shared" si="50"/>
        <v>#VALUE!</v>
      </c>
      <c r="AE331" s="1847" t="e">
        <f t="shared" si="51"/>
        <v>#VALUE!</v>
      </c>
      <c r="AF331" s="1823" t="e">
        <f t="shared" si="52"/>
        <v>#VALUE!</v>
      </c>
      <c r="AG331" s="1769" t="e">
        <f t="shared" si="53"/>
        <v>#VALUE!</v>
      </c>
      <c r="AI331" t="s">
        <v>4064</v>
      </c>
    </row>
    <row r="332" spans="3:35" ht="24.95" customHeight="1">
      <c r="C332" s="491">
        <v>325</v>
      </c>
      <c r="D332" s="1847"/>
      <c r="E332" s="1847"/>
      <c r="F332" s="1847" t="s">
        <v>4065</v>
      </c>
      <c r="G332" s="1847" t="s">
        <v>4065</v>
      </c>
      <c r="H332" s="1847" t="s">
        <v>3898</v>
      </c>
      <c r="I332" s="1847"/>
      <c r="J332" s="1847" t="s">
        <v>2783</v>
      </c>
      <c r="K332" s="1847" t="s">
        <v>3929</v>
      </c>
      <c r="L332" s="1847" t="s">
        <v>3934</v>
      </c>
      <c r="M332" s="1847" t="s">
        <v>3937</v>
      </c>
      <c r="N332" s="1847"/>
      <c r="O332" s="1847"/>
      <c r="P332" s="1852">
        <v>1.5</v>
      </c>
      <c r="Q332" s="1852">
        <v>2</v>
      </c>
      <c r="R332" s="483" t="e">
        <f>IF(H332="","",SUMIFS('[1]1_group_totals'!$J$8:$J$10000,'[1]1_group_totals'!$C$8:$C$10000,C332))</f>
        <v>#VALUE!</v>
      </c>
      <c r="S332" s="483">
        <f t="shared" si="45"/>
        <v>2</v>
      </c>
      <c r="T332" s="483">
        <v>1</v>
      </c>
      <c r="U332" s="510" t="e">
        <f t="shared" si="46"/>
        <v>#VALUE!</v>
      </c>
      <c r="V332" s="510">
        <v>1</v>
      </c>
      <c r="W332" s="510">
        <v>0</v>
      </c>
      <c r="X332" s="510">
        <v>0</v>
      </c>
      <c r="Y332" s="483">
        <v>1</v>
      </c>
      <c r="Z332" s="483">
        <v>1</v>
      </c>
      <c r="AA332" s="1847" t="e">
        <f t="shared" si="47"/>
        <v>#VALUE!</v>
      </c>
      <c r="AB332" s="1847">
        <f t="shared" si="48"/>
        <v>1.5</v>
      </c>
      <c r="AC332" s="1847">
        <f t="shared" si="49"/>
        <v>2</v>
      </c>
      <c r="AD332" s="1847" t="e">
        <f t="shared" si="50"/>
        <v>#VALUE!</v>
      </c>
      <c r="AE332" s="1847" t="e">
        <f t="shared" si="51"/>
        <v>#VALUE!</v>
      </c>
      <c r="AF332" s="1823" t="e">
        <f t="shared" si="52"/>
        <v>#VALUE!</v>
      </c>
      <c r="AG332" s="1769" t="e">
        <f t="shared" si="53"/>
        <v>#VALUE!</v>
      </c>
      <c r="AI332" t="s">
        <v>4065</v>
      </c>
    </row>
    <row r="333" spans="3:35" ht="24.95" customHeight="1">
      <c r="C333" s="491">
        <v>326</v>
      </c>
      <c r="D333" s="1847"/>
      <c r="E333" s="1847"/>
      <c r="F333" s="1847" t="s">
        <v>4066</v>
      </c>
      <c r="G333" s="1847" t="s">
        <v>4066</v>
      </c>
      <c r="H333" s="1847" t="s">
        <v>3899</v>
      </c>
      <c r="I333" s="1847"/>
      <c r="J333" s="1847" t="s">
        <v>2783</v>
      </c>
      <c r="K333" s="1847" t="s">
        <v>3929</v>
      </c>
      <c r="L333" s="1847" t="s">
        <v>3935</v>
      </c>
      <c r="M333" s="1847" t="s">
        <v>3937</v>
      </c>
      <c r="N333" s="1847"/>
      <c r="O333" s="1847"/>
      <c r="P333" s="1852">
        <v>15</v>
      </c>
      <c r="Q333" s="1852">
        <v>19</v>
      </c>
      <c r="R333" s="483" t="e">
        <f>IF(H333="","",SUMIFS('[1]1_group_totals'!$J$8:$J$10000,'[1]1_group_totals'!$C$8:$C$10000,C333))</f>
        <v>#VALUE!</v>
      </c>
      <c r="S333" s="483">
        <f t="shared" si="45"/>
        <v>2</v>
      </c>
      <c r="T333" s="483">
        <v>1</v>
      </c>
      <c r="U333" s="510" t="e">
        <f t="shared" si="46"/>
        <v>#VALUE!</v>
      </c>
      <c r="V333" s="510">
        <v>1</v>
      </c>
      <c r="W333" s="510">
        <v>0</v>
      </c>
      <c r="X333" s="510">
        <v>0</v>
      </c>
      <c r="Y333" s="483">
        <v>1</v>
      </c>
      <c r="Z333" s="483">
        <v>1</v>
      </c>
      <c r="AA333" s="1847" t="e">
        <f t="shared" si="47"/>
        <v>#VALUE!</v>
      </c>
      <c r="AB333" s="1847">
        <f t="shared" si="48"/>
        <v>15</v>
      </c>
      <c r="AC333" s="1847">
        <f t="shared" si="49"/>
        <v>19</v>
      </c>
      <c r="AD333" s="1847" t="e">
        <f t="shared" si="50"/>
        <v>#VALUE!</v>
      </c>
      <c r="AE333" s="1847" t="e">
        <f t="shared" si="51"/>
        <v>#VALUE!</v>
      </c>
      <c r="AF333" s="1823" t="e">
        <f t="shared" si="52"/>
        <v>#VALUE!</v>
      </c>
      <c r="AG333" s="1769" t="e">
        <f t="shared" si="53"/>
        <v>#VALUE!</v>
      </c>
      <c r="AI333" t="s">
        <v>4066</v>
      </c>
    </row>
    <row r="334" spans="3:35" ht="24.95" customHeight="1">
      <c r="C334" s="491">
        <v>327</v>
      </c>
      <c r="D334" s="1847"/>
      <c r="E334" s="1847"/>
      <c r="F334" s="1847" t="s">
        <v>4067</v>
      </c>
      <c r="G334" s="1847" t="s">
        <v>4067</v>
      </c>
      <c r="H334" s="1847" t="s">
        <v>3900</v>
      </c>
      <c r="I334" s="1847"/>
      <c r="J334" s="1847" t="s">
        <v>2783</v>
      </c>
      <c r="K334" s="1847" t="s">
        <v>3929</v>
      </c>
      <c r="L334" s="1847" t="s">
        <v>3935</v>
      </c>
      <c r="M334" s="1847" t="s">
        <v>3937</v>
      </c>
      <c r="N334" s="1847"/>
      <c r="O334" s="1847"/>
      <c r="P334" s="1852">
        <v>24</v>
      </c>
      <c r="Q334" s="1852">
        <v>35</v>
      </c>
      <c r="R334" s="483" t="e">
        <f>IF(H334="","",SUMIFS('[1]1_group_totals'!$J$8:$J$10000,'[1]1_group_totals'!$C$8:$C$10000,C334))</f>
        <v>#VALUE!</v>
      </c>
      <c r="S334" s="483">
        <f t="shared" si="45"/>
        <v>2</v>
      </c>
      <c r="T334" s="483">
        <v>1</v>
      </c>
      <c r="U334" s="510" t="e">
        <f t="shared" si="46"/>
        <v>#VALUE!</v>
      </c>
      <c r="V334" s="510">
        <v>1</v>
      </c>
      <c r="W334" s="510">
        <v>0</v>
      </c>
      <c r="X334" s="510">
        <v>0</v>
      </c>
      <c r="Y334" s="483">
        <v>1</v>
      </c>
      <c r="Z334" s="483">
        <v>1</v>
      </c>
      <c r="AA334" s="1847" t="e">
        <f t="shared" si="47"/>
        <v>#VALUE!</v>
      </c>
      <c r="AB334" s="1847">
        <f t="shared" si="48"/>
        <v>24</v>
      </c>
      <c r="AC334" s="1847">
        <f t="shared" si="49"/>
        <v>35</v>
      </c>
      <c r="AD334" s="1847" t="e">
        <f t="shared" si="50"/>
        <v>#VALUE!</v>
      </c>
      <c r="AE334" s="1847" t="e">
        <f t="shared" si="51"/>
        <v>#VALUE!</v>
      </c>
      <c r="AF334" s="1823" t="e">
        <f t="shared" si="52"/>
        <v>#VALUE!</v>
      </c>
      <c r="AG334" s="1769" t="e">
        <f t="shared" si="53"/>
        <v>#VALUE!</v>
      </c>
      <c r="AI334" t="s">
        <v>4067</v>
      </c>
    </row>
    <row r="335" spans="3:35" ht="24.95" customHeight="1">
      <c r="C335" s="491">
        <v>328</v>
      </c>
      <c r="D335" s="1847"/>
      <c r="E335" s="1847"/>
      <c r="F335" s="1847" t="s">
        <v>4068</v>
      </c>
      <c r="G335" s="1847" t="s">
        <v>4068</v>
      </c>
      <c r="H335" s="1847" t="s">
        <v>3901</v>
      </c>
      <c r="I335" s="1847"/>
      <c r="J335" s="1847" t="s">
        <v>2783</v>
      </c>
      <c r="K335" s="1847" t="s">
        <v>3929</v>
      </c>
      <c r="L335" s="1847" t="s">
        <v>3935</v>
      </c>
      <c r="M335" s="1847" t="s">
        <v>3937</v>
      </c>
      <c r="N335" s="1847"/>
      <c r="O335" s="1847"/>
      <c r="P335" s="1852">
        <v>2.5</v>
      </c>
      <c r="Q335" s="1852">
        <v>3.75</v>
      </c>
      <c r="R335" s="483" t="e">
        <f>IF(H335="","",SUMIFS('[1]1_group_totals'!$J$8:$J$10000,'[1]1_group_totals'!$C$8:$C$10000,C335))</f>
        <v>#VALUE!</v>
      </c>
      <c r="S335" s="483">
        <f t="shared" si="45"/>
        <v>2</v>
      </c>
      <c r="T335" s="483">
        <v>1</v>
      </c>
      <c r="U335" s="510" t="e">
        <f t="shared" si="46"/>
        <v>#VALUE!</v>
      </c>
      <c r="V335" s="510">
        <v>1</v>
      </c>
      <c r="W335" s="510">
        <v>0</v>
      </c>
      <c r="X335" s="510">
        <v>0</v>
      </c>
      <c r="Y335" s="483">
        <v>1</v>
      </c>
      <c r="Z335" s="483">
        <v>1</v>
      </c>
      <c r="AA335" s="1847" t="e">
        <f t="shared" si="47"/>
        <v>#VALUE!</v>
      </c>
      <c r="AB335" s="1847">
        <f t="shared" si="48"/>
        <v>2.5</v>
      </c>
      <c r="AC335" s="1847">
        <f t="shared" si="49"/>
        <v>3.75</v>
      </c>
      <c r="AD335" s="1847" t="e">
        <f t="shared" si="50"/>
        <v>#VALUE!</v>
      </c>
      <c r="AE335" s="1847" t="e">
        <f t="shared" si="51"/>
        <v>#VALUE!</v>
      </c>
      <c r="AF335" s="1823" t="e">
        <f t="shared" si="52"/>
        <v>#VALUE!</v>
      </c>
      <c r="AG335" s="1769" t="e">
        <f t="shared" si="53"/>
        <v>#VALUE!</v>
      </c>
      <c r="AI335" t="s">
        <v>4068</v>
      </c>
    </row>
    <row r="336" spans="3:35" ht="24.95" customHeight="1">
      <c r="C336" s="491">
        <v>329</v>
      </c>
      <c r="D336" s="1847"/>
      <c r="E336" s="1847"/>
      <c r="F336" s="1847" t="s">
        <v>4069</v>
      </c>
      <c r="G336" s="1847" t="s">
        <v>4069</v>
      </c>
      <c r="H336" s="1847" t="s">
        <v>3902</v>
      </c>
      <c r="I336" s="1847"/>
      <c r="J336" s="1847" t="s">
        <v>2783</v>
      </c>
      <c r="K336" s="1847" t="s">
        <v>3929</v>
      </c>
      <c r="L336" s="1847" t="s">
        <v>3935</v>
      </c>
      <c r="M336" s="1847" t="s">
        <v>3937</v>
      </c>
      <c r="N336" s="1847"/>
      <c r="O336" s="1847"/>
      <c r="P336" s="1852">
        <v>22</v>
      </c>
      <c r="Q336" s="1852">
        <v>25</v>
      </c>
      <c r="R336" s="483" t="e">
        <f>IF(H336="","",SUMIFS('[1]1_group_totals'!$J$8:$J$10000,'[1]1_group_totals'!$C$8:$C$10000,C336))</f>
        <v>#VALUE!</v>
      </c>
      <c r="S336" s="483">
        <f t="shared" si="45"/>
        <v>2</v>
      </c>
      <c r="T336" s="483">
        <v>1</v>
      </c>
      <c r="U336" s="510" t="e">
        <f t="shared" si="46"/>
        <v>#VALUE!</v>
      </c>
      <c r="V336" s="510">
        <v>1</v>
      </c>
      <c r="W336" s="510">
        <v>0</v>
      </c>
      <c r="X336" s="510">
        <v>0</v>
      </c>
      <c r="Y336" s="483">
        <v>1</v>
      </c>
      <c r="Z336" s="483">
        <v>1</v>
      </c>
      <c r="AA336" s="1847" t="e">
        <f t="shared" si="47"/>
        <v>#VALUE!</v>
      </c>
      <c r="AB336" s="1847">
        <f t="shared" si="48"/>
        <v>22</v>
      </c>
      <c r="AC336" s="1847">
        <f t="shared" si="49"/>
        <v>25</v>
      </c>
      <c r="AD336" s="1847" t="e">
        <f t="shared" si="50"/>
        <v>#VALUE!</v>
      </c>
      <c r="AE336" s="1847" t="e">
        <f t="shared" si="51"/>
        <v>#VALUE!</v>
      </c>
      <c r="AF336" s="1823" t="e">
        <f t="shared" si="52"/>
        <v>#VALUE!</v>
      </c>
      <c r="AG336" s="1769" t="e">
        <f t="shared" si="53"/>
        <v>#VALUE!</v>
      </c>
      <c r="AI336" t="s">
        <v>4069</v>
      </c>
    </row>
    <row r="337" spans="3:35" ht="24.95" customHeight="1">
      <c r="C337" s="491">
        <v>330</v>
      </c>
      <c r="D337" s="1847"/>
      <c r="E337" s="1847"/>
      <c r="F337" s="1847" t="s">
        <v>4070</v>
      </c>
      <c r="G337" s="1847" t="s">
        <v>4070</v>
      </c>
      <c r="H337" s="1847" t="s">
        <v>3903</v>
      </c>
      <c r="I337" s="1847"/>
      <c r="J337" s="1847" t="s">
        <v>2783</v>
      </c>
      <c r="K337" s="1847" t="s">
        <v>3929</v>
      </c>
      <c r="L337" s="1847" t="s">
        <v>3933</v>
      </c>
      <c r="M337" s="1847" t="s">
        <v>3937</v>
      </c>
      <c r="N337" s="1847"/>
      <c r="O337" s="1847"/>
      <c r="P337" s="1852">
        <v>2</v>
      </c>
      <c r="Q337" s="1852">
        <v>2.5</v>
      </c>
      <c r="R337" s="483" t="e">
        <f>IF(H337="","",SUMIFS('[1]1_group_totals'!$J$8:$J$10000,'[1]1_group_totals'!$C$8:$C$10000,C337))</f>
        <v>#VALUE!</v>
      </c>
      <c r="S337" s="483">
        <f t="shared" si="45"/>
        <v>2</v>
      </c>
      <c r="T337" s="483">
        <v>1</v>
      </c>
      <c r="U337" s="510" t="e">
        <f t="shared" si="46"/>
        <v>#VALUE!</v>
      </c>
      <c r="V337" s="510">
        <v>1</v>
      </c>
      <c r="W337" s="510">
        <v>0</v>
      </c>
      <c r="X337" s="510">
        <v>0</v>
      </c>
      <c r="Y337" s="483">
        <v>1</v>
      </c>
      <c r="Z337" s="483">
        <v>1</v>
      </c>
      <c r="AA337" s="1847" t="e">
        <f t="shared" si="47"/>
        <v>#VALUE!</v>
      </c>
      <c r="AB337" s="1847">
        <f t="shared" si="48"/>
        <v>2</v>
      </c>
      <c r="AC337" s="1847">
        <f t="shared" si="49"/>
        <v>2.5</v>
      </c>
      <c r="AD337" s="1847" t="e">
        <f t="shared" si="50"/>
        <v>#VALUE!</v>
      </c>
      <c r="AE337" s="1847" t="e">
        <f t="shared" si="51"/>
        <v>#VALUE!</v>
      </c>
      <c r="AF337" s="1823" t="e">
        <f t="shared" si="52"/>
        <v>#VALUE!</v>
      </c>
      <c r="AG337" s="1769" t="e">
        <f t="shared" si="53"/>
        <v>#VALUE!</v>
      </c>
      <c r="AI337" t="s">
        <v>4070</v>
      </c>
    </row>
    <row r="338" spans="3:35" ht="24.95" customHeight="1">
      <c r="C338" s="491">
        <v>331</v>
      </c>
      <c r="D338" s="1847"/>
      <c r="E338" s="1847"/>
      <c r="F338" s="1847" t="s">
        <v>4071</v>
      </c>
      <c r="G338" s="1847" t="s">
        <v>4071</v>
      </c>
      <c r="H338" s="1847" t="s">
        <v>3904</v>
      </c>
      <c r="I338" s="1847"/>
      <c r="J338" s="1847" t="s">
        <v>2771</v>
      </c>
      <c r="K338" s="1847" t="s">
        <v>3929</v>
      </c>
      <c r="L338" s="1847" t="s">
        <v>3933</v>
      </c>
      <c r="M338" s="1847" t="s">
        <v>4091</v>
      </c>
      <c r="N338" s="1847"/>
      <c r="O338" s="1847"/>
      <c r="P338" s="1852">
        <v>3.2</v>
      </c>
      <c r="Q338" s="1852">
        <v>3.5</v>
      </c>
      <c r="R338" s="483" t="e">
        <f>IF(H338="","",SUMIFS('[1]1_group_totals'!$J$8:$J$10000,'[1]1_group_totals'!$C$8:$C$10000,C338))</f>
        <v>#VALUE!</v>
      </c>
      <c r="S338" s="483">
        <f t="shared" si="45"/>
        <v>47</v>
      </c>
      <c r="T338" s="483">
        <v>6</v>
      </c>
      <c r="U338" s="510" t="e">
        <f t="shared" si="46"/>
        <v>#VALUE!</v>
      </c>
      <c r="V338" s="510">
        <v>1</v>
      </c>
      <c r="W338" s="510">
        <v>0</v>
      </c>
      <c r="X338" s="510">
        <v>0</v>
      </c>
      <c r="Y338" s="483">
        <v>1</v>
      </c>
      <c r="Z338" s="483">
        <v>1</v>
      </c>
      <c r="AA338" s="1847" t="e">
        <f t="shared" si="47"/>
        <v>#VALUE!</v>
      </c>
      <c r="AB338" s="1847">
        <f t="shared" si="48"/>
        <v>0.53333333333333333</v>
      </c>
      <c r="AC338" s="1847">
        <f t="shared" si="49"/>
        <v>0.58333333333333337</v>
      </c>
      <c r="AD338" s="1847" t="e">
        <f t="shared" si="50"/>
        <v>#VALUE!</v>
      </c>
      <c r="AE338" s="1847" t="e">
        <f t="shared" si="51"/>
        <v>#VALUE!</v>
      </c>
      <c r="AF338" s="1823" t="e">
        <f t="shared" si="52"/>
        <v>#VALUE!</v>
      </c>
      <c r="AG338" s="1769" t="e">
        <f t="shared" si="53"/>
        <v>#VALUE!</v>
      </c>
      <c r="AI338" t="s">
        <v>4071</v>
      </c>
    </row>
    <row r="339" spans="3:35" ht="24.95" customHeight="1">
      <c r="C339" s="491">
        <v>332</v>
      </c>
      <c r="D339" s="1847"/>
      <c r="E339" s="1847"/>
      <c r="F339" s="1847" t="s">
        <v>4072</v>
      </c>
      <c r="G339" s="1847" t="s">
        <v>4072</v>
      </c>
      <c r="H339" s="1847" t="s">
        <v>3905</v>
      </c>
      <c r="I339" s="1847"/>
      <c r="J339" s="1847" t="s">
        <v>3923</v>
      </c>
      <c r="K339" s="1847" t="s">
        <v>3929</v>
      </c>
      <c r="L339" s="1847" t="s">
        <v>3935</v>
      </c>
      <c r="M339" s="1847" t="s">
        <v>4123</v>
      </c>
      <c r="N339" s="1847"/>
      <c r="O339" s="1847"/>
      <c r="P339" s="1852">
        <v>27.5</v>
      </c>
      <c r="Q339" s="1852">
        <v>42</v>
      </c>
      <c r="R339" s="483" t="e">
        <f>IF(H339="","",SUMIFS('[1]1_group_totals'!$J$8:$J$10000,'[1]1_group_totals'!$C$8:$C$10000,C339))</f>
        <v>#VALUE!</v>
      </c>
      <c r="S339" s="483">
        <f t="shared" si="45"/>
        <v>64</v>
      </c>
      <c r="T339" s="483">
        <v>1000</v>
      </c>
      <c r="U339" s="510" t="e">
        <f t="shared" si="46"/>
        <v>#VALUE!</v>
      </c>
      <c r="V339" s="510">
        <v>1</v>
      </c>
      <c r="W339" s="510">
        <v>0</v>
      </c>
      <c r="X339" s="510">
        <v>0</v>
      </c>
      <c r="Y339" s="483">
        <v>1</v>
      </c>
      <c r="Z339" s="483">
        <v>1</v>
      </c>
      <c r="AA339" s="1847" t="e">
        <f t="shared" si="47"/>
        <v>#VALUE!</v>
      </c>
      <c r="AB339" s="1847">
        <f t="shared" si="48"/>
        <v>2.75E-2</v>
      </c>
      <c r="AC339" s="1847">
        <f t="shared" si="49"/>
        <v>4.2000000000000003E-2</v>
      </c>
      <c r="AD339" s="1847" t="e">
        <f t="shared" si="50"/>
        <v>#VALUE!</v>
      </c>
      <c r="AE339" s="1847" t="e">
        <f t="shared" si="51"/>
        <v>#VALUE!</v>
      </c>
      <c r="AF339" s="1823" t="e">
        <f t="shared" si="52"/>
        <v>#VALUE!</v>
      </c>
      <c r="AG339" s="1769" t="e">
        <f t="shared" si="53"/>
        <v>#VALUE!</v>
      </c>
      <c r="AI339" t="s">
        <v>4072</v>
      </c>
    </row>
    <row r="340" spans="3:35" ht="24.95" customHeight="1">
      <c r="C340" s="491">
        <v>333</v>
      </c>
      <c r="D340" s="1847"/>
      <c r="E340" s="1847"/>
      <c r="F340" s="1847" t="s">
        <v>4073</v>
      </c>
      <c r="G340" s="1847" t="s">
        <v>4073</v>
      </c>
      <c r="H340" s="1847" t="s">
        <v>3906</v>
      </c>
      <c r="I340" s="1847"/>
      <c r="J340" s="1847" t="s">
        <v>2632</v>
      </c>
      <c r="K340" s="1847" t="s">
        <v>3929</v>
      </c>
      <c r="L340" s="1847" t="s">
        <v>3934</v>
      </c>
      <c r="M340" s="1847" t="s">
        <v>4077</v>
      </c>
      <c r="N340" s="1847"/>
      <c r="O340" s="1847"/>
      <c r="P340" s="1852">
        <v>2</v>
      </c>
      <c r="Q340" s="1852">
        <v>3</v>
      </c>
      <c r="R340" s="483" t="e">
        <f>IF(H340="","",SUMIFS('[1]1_group_totals'!$J$8:$J$10000,'[1]1_group_totals'!$C$8:$C$10000,C340))</f>
        <v>#VALUE!</v>
      </c>
      <c r="S340" s="483">
        <f t="shared" si="45"/>
        <v>26</v>
      </c>
      <c r="T340" s="483">
        <v>12</v>
      </c>
      <c r="U340" s="510" t="e">
        <f t="shared" si="46"/>
        <v>#VALUE!</v>
      </c>
      <c r="V340" s="510">
        <v>1</v>
      </c>
      <c r="W340" s="510">
        <v>0</v>
      </c>
      <c r="X340" s="510">
        <v>0</v>
      </c>
      <c r="Y340" s="483">
        <v>1</v>
      </c>
      <c r="Z340" s="483">
        <v>1</v>
      </c>
      <c r="AA340" s="1847" t="e">
        <f t="shared" si="47"/>
        <v>#VALUE!</v>
      </c>
      <c r="AB340" s="1847">
        <f t="shared" si="48"/>
        <v>0.16666666666666666</v>
      </c>
      <c r="AC340" s="1847">
        <f t="shared" si="49"/>
        <v>0.25</v>
      </c>
      <c r="AD340" s="1847" t="e">
        <f t="shared" si="50"/>
        <v>#VALUE!</v>
      </c>
      <c r="AE340" s="1847" t="e">
        <f t="shared" si="51"/>
        <v>#VALUE!</v>
      </c>
      <c r="AF340" s="1823" t="e">
        <f t="shared" si="52"/>
        <v>#VALUE!</v>
      </c>
      <c r="AG340" s="1769" t="e">
        <f t="shared" si="53"/>
        <v>#VALUE!</v>
      </c>
      <c r="AI340" t="s">
        <v>4073</v>
      </c>
    </row>
    <row r="341" spans="3:35" ht="24.95" customHeight="1">
      <c r="C341" s="491">
        <v>334</v>
      </c>
      <c r="D341" s="1847"/>
      <c r="E341" s="1847"/>
      <c r="F341" s="1847" t="s">
        <v>4142</v>
      </c>
      <c r="G341" s="1847" t="s">
        <v>4142</v>
      </c>
      <c r="H341" s="1847" t="s">
        <v>4151</v>
      </c>
      <c r="I341" s="1847"/>
      <c r="J341" s="1847" t="s">
        <v>4149</v>
      </c>
      <c r="K341" s="1847" t="s">
        <v>3929</v>
      </c>
      <c r="L341" s="1847" t="s">
        <v>3935</v>
      </c>
      <c r="M341" s="1847" t="s">
        <v>4157</v>
      </c>
      <c r="N341" s="1847"/>
      <c r="O341" s="1847"/>
      <c r="P341" s="1852">
        <v>5</v>
      </c>
      <c r="Q341" s="1852">
        <v>10</v>
      </c>
      <c r="R341" s="483" t="e">
        <f>IF(H341="","",SUMIFS('[1]1_group_totals'!$J$8:$J$10000,'[1]1_group_totals'!$C$8:$C$10000,C341))</f>
        <v>#VALUE!</v>
      </c>
      <c r="S341" s="483">
        <f t="shared" si="45"/>
        <v>75</v>
      </c>
      <c r="T341" s="483">
        <v>40</v>
      </c>
      <c r="U341" s="510" t="e">
        <f t="shared" si="46"/>
        <v>#VALUE!</v>
      </c>
      <c r="V341" s="510">
        <v>1</v>
      </c>
      <c r="W341" s="510">
        <v>0</v>
      </c>
      <c r="X341" s="510">
        <v>0</v>
      </c>
      <c r="Y341" s="483">
        <v>1</v>
      </c>
      <c r="Z341" s="483">
        <v>1</v>
      </c>
      <c r="AA341" s="1847" t="e">
        <f t="shared" si="47"/>
        <v>#VALUE!</v>
      </c>
      <c r="AB341" s="1847">
        <f t="shared" si="48"/>
        <v>0.125</v>
      </c>
      <c r="AC341" s="1847">
        <f t="shared" si="49"/>
        <v>0.25</v>
      </c>
      <c r="AD341" s="1847" t="e">
        <f t="shared" si="50"/>
        <v>#VALUE!</v>
      </c>
      <c r="AE341" s="1847" t="e">
        <f t="shared" si="51"/>
        <v>#VALUE!</v>
      </c>
      <c r="AF341" s="1823" t="e">
        <f t="shared" si="52"/>
        <v>#VALUE!</v>
      </c>
      <c r="AG341" s="1769" t="e">
        <f t="shared" si="53"/>
        <v>#VALUE!</v>
      </c>
      <c r="AI341" t="s">
        <v>4142</v>
      </c>
    </row>
    <row r="342" spans="3:35" ht="24.95" customHeight="1">
      <c r="C342" s="491">
        <v>335</v>
      </c>
      <c r="D342" s="1847"/>
      <c r="E342" s="1847"/>
      <c r="F342" s="1847" t="s">
        <v>4154</v>
      </c>
      <c r="G342" s="1847" t="s">
        <v>4154</v>
      </c>
      <c r="H342" s="1847" t="s">
        <v>4155</v>
      </c>
      <c r="I342" s="1847"/>
      <c r="J342" s="1847" t="s">
        <v>2782</v>
      </c>
      <c r="K342" s="1847" t="s">
        <v>3924</v>
      </c>
      <c r="L342" s="1847" t="s">
        <v>2797</v>
      </c>
      <c r="M342" s="1847" t="s">
        <v>4156</v>
      </c>
      <c r="N342" s="1847"/>
      <c r="O342" s="1847"/>
      <c r="P342" s="1852">
        <v>10</v>
      </c>
      <c r="Q342" s="1852">
        <v>11</v>
      </c>
      <c r="R342" s="483" t="e">
        <f>IF(H342="","",SUMIFS('[1]1_group_totals'!$J$8:$J$10000,'[1]1_group_totals'!$C$8:$C$10000,C342))</f>
        <v>#VALUE!</v>
      </c>
      <c r="S342" s="483">
        <f t="shared" si="45"/>
        <v>53</v>
      </c>
      <c r="T342" s="483">
        <v>1</v>
      </c>
      <c r="U342" s="510" t="e">
        <f t="shared" si="46"/>
        <v>#VALUE!</v>
      </c>
      <c r="V342" s="510">
        <v>1</v>
      </c>
      <c r="W342" s="510">
        <v>0</v>
      </c>
      <c r="X342" s="510">
        <v>0</v>
      </c>
      <c r="Y342" s="483">
        <v>1</v>
      </c>
      <c r="Z342" s="483">
        <v>1</v>
      </c>
      <c r="AA342" s="1847" t="e">
        <f t="shared" si="47"/>
        <v>#VALUE!</v>
      </c>
      <c r="AB342" s="1847">
        <f t="shared" si="48"/>
        <v>10</v>
      </c>
      <c r="AC342" s="1847">
        <f t="shared" si="49"/>
        <v>11</v>
      </c>
      <c r="AD342" s="1847" t="e">
        <f t="shared" si="50"/>
        <v>#VALUE!</v>
      </c>
      <c r="AE342" s="1847" t="e">
        <f t="shared" si="51"/>
        <v>#VALUE!</v>
      </c>
      <c r="AF342" s="1823" t="e">
        <f t="shared" si="52"/>
        <v>#VALUE!</v>
      </c>
      <c r="AG342" s="1769" t="e">
        <f t="shared" si="53"/>
        <v>#VALUE!</v>
      </c>
      <c r="AI342" t="s">
        <v>4154</v>
      </c>
    </row>
    <row r="343" spans="3:35" ht="24.95" customHeight="1">
      <c r="C343" s="491">
        <v>336</v>
      </c>
      <c r="D343" s="1847"/>
      <c r="E343" s="1847"/>
      <c r="F343" s="1847" t="s">
        <v>4159</v>
      </c>
      <c r="G343" s="1847" t="s">
        <v>4159</v>
      </c>
      <c r="H343" s="1847" t="s">
        <v>4160</v>
      </c>
      <c r="I343" s="1847"/>
      <c r="J343" s="1847" t="s">
        <v>2783</v>
      </c>
      <c r="K343" s="1847" t="s">
        <v>3925</v>
      </c>
      <c r="L343" s="1847" t="s">
        <v>2797</v>
      </c>
      <c r="M343" s="1847" t="s">
        <v>3937</v>
      </c>
      <c r="N343" s="1847"/>
      <c r="O343" s="1847"/>
      <c r="P343" s="1852">
        <v>0.8</v>
      </c>
      <c r="Q343" s="1852">
        <v>1.25</v>
      </c>
      <c r="R343" s="483" t="e">
        <f>IF(H343="","",SUMIFS('[1]1_group_totals'!$J$8:$J$10000,'[1]1_group_totals'!$C$8:$C$10000,C343))</f>
        <v>#VALUE!</v>
      </c>
      <c r="S343" s="483">
        <f t="shared" si="45"/>
        <v>2</v>
      </c>
      <c r="T343" s="483">
        <v>1</v>
      </c>
      <c r="U343" s="510" t="e">
        <f t="shared" si="46"/>
        <v>#VALUE!</v>
      </c>
      <c r="V343" s="510">
        <v>1</v>
      </c>
      <c r="W343" s="510">
        <v>0</v>
      </c>
      <c r="X343" s="510">
        <v>0</v>
      </c>
      <c r="Y343" s="483">
        <v>1</v>
      </c>
      <c r="Z343" s="483">
        <v>1</v>
      </c>
      <c r="AA343" s="1847" t="e">
        <f t="shared" si="47"/>
        <v>#VALUE!</v>
      </c>
      <c r="AB343" s="1847">
        <f t="shared" si="48"/>
        <v>0.8</v>
      </c>
      <c r="AC343" s="1847">
        <f t="shared" si="49"/>
        <v>1.25</v>
      </c>
      <c r="AD343" s="1847" t="e">
        <f t="shared" si="50"/>
        <v>#VALUE!</v>
      </c>
      <c r="AE343" s="1847" t="e">
        <f t="shared" si="51"/>
        <v>#VALUE!</v>
      </c>
      <c r="AF343" s="1823" t="e">
        <f t="shared" si="52"/>
        <v>#VALUE!</v>
      </c>
      <c r="AG343" s="1769" t="e">
        <f t="shared" si="53"/>
        <v>#VALUE!</v>
      </c>
      <c r="AI343" t="s">
        <v>4159</v>
      </c>
    </row>
    <row r="344" spans="3:35" ht="24.95" customHeight="1">
      <c r="C344" s="491">
        <v>337</v>
      </c>
      <c r="D344" s="1847"/>
      <c r="E344" s="1847"/>
      <c r="F344" s="1847" t="s">
        <v>4162</v>
      </c>
      <c r="G344" s="1847" t="s">
        <v>4162</v>
      </c>
      <c r="H344" s="1847" t="s">
        <v>4193</v>
      </c>
      <c r="I344" s="1847"/>
      <c r="J344" s="1847" t="s">
        <v>4484</v>
      </c>
      <c r="K344" s="1847" t="s">
        <v>2795</v>
      </c>
      <c r="L344" s="1847" t="s">
        <v>3934</v>
      </c>
      <c r="M344" s="1847" t="s">
        <v>4192</v>
      </c>
      <c r="N344" s="1847"/>
      <c r="O344" s="1847"/>
      <c r="P344" s="1852">
        <v>5</v>
      </c>
      <c r="Q344" s="1852">
        <v>5.5</v>
      </c>
      <c r="R344" s="483" t="e">
        <f>IF(H344="","",SUMIFS('[1]1_group_totals'!$J$8:$J$10000,'[1]1_group_totals'!$C$8:$C$10000,C344))</f>
        <v>#VALUE!</v>
      </c>
      <c r="S344" s="483">
        <f t="shared" si="45"/>
        <v>77</v>
      </c>
      <c r="T344" s="483">
        <v>60</v>
      </c>
      <c r="U344" s="510" t="e">
        <f t="shared" si="46"/>
        <v>#VALUE!</v>
      </c>
      <c r="V344" s="510">
        <v>1</v>
      </c>
      <c r="W344" s="510">
        <v>0</v>
      </c>
      <c r="X344" s="510">
        <v>0</v>
      </c>
      <c r="Y344" s="483">
        <v>1</v>
      </c>
      <c r="Z344" s="483">
        <v>1</v>
      </c>
      <c r="AA344" s="1847" t="e">
        <f t="shared" si="47"/>
        <v>#VALUE!</v>
      </c>
      <c r="AB344" s="1847">
        <f t="shared" si="48"/>
        <v>8.3333333333333329E-2</v>
      </c>
      <c r="AC344" s="1847">
        <f t="shared" si="49"/>
        <v>9.166666666666666E-2</v>
      </c>
      <c r="AD344" s="1847" t="e">
        <f t="shared" si="50"/>
        <v>#VALUE!</v>
      </c>
      <c r="AE344" s="1847" t="e">
        <f t="shared" si="51"/>
        <v>#VALUE!</v>
      </c>
      <c r="AF344" s="1823" t="e">
        <f t="shared" si="52"/>
        <v>#VALUE!</v>
      </c>
      <c r="AG344" s="1769" t="e">
        <f t="shared" si="53"/>
        <v>#VALUE!</v>
      </c>
      <c r="AI344" t="s">
        <v>4162</v>
      </c>
    </row>
    <row r="345" spans="3:35" ht="24.95" customHeight="1">
      <c r="C345" s="491">
        <v>338</v>
      </c>
      <c r="D345" s="1847"/>
      <c r="E345" s="1847"/>
      <c r="F345" s="1847" t="s">
        <v>4173</v>
      </c>
      <c r="G345" s="1847" t="s">
        <v>4173</v>
      </c>
      <c r="H345" s="1847" t="s">
        <v>4169</v>
      </c>
      <c r="I345" s="1847"/>
      <c r="J345" s="1847" t="s">
        <v>4180</v>
      </c>
      <c r="K345" s="1847" t="s">
        <v>2795</v>
      </c>
      <c r="L345" s="1847" t="s">
        <v>3934</v>
      </c>
      <c r="M345" s="1847" t="s">
        <v>4187</v>
      </c>
      <c r="N345" s="1847"/>
      <c r="O345" s="1847"/>
      <c r="P345" s="1852">
        <v>33.75</v>
      </c>
      <c r="Q345" s="1852">
        <v>34</v>
      </c>
      <c r="R345" s="483" t="e">
        <f>IF(H345="","",SUMIFS('[1]1_group_totals'!$J$8:$J$10000,'[1]1_group_totals'!$C$8:$C$10000,C345))</f>
        <v>#VALUE!</v>
      </c>
      <c r="S345" s="483">
        <f t="shared" si="45"/>
        <v>78</v>
      </c>
      <c r="T345" s="483">
        <v>450</v>
      </c>
      <c r="U345" s="510" t="e">
        <f t="shared" si="46"/>
        <v>#VALUE!</v>
      </c>
      <c r="V345" s="510">
        <v>1</v>
      </c>
      <c r="W345" s="510">
        <v>0</v>
      </c>
      <c r="X345" s="510">
        <v>0</v>
      </c>
      <c r="Y345" s="483">
        <v>1</v>
      </c>
      <c r="Z345" s="483">
        <v>1</v>
      </c>
      <c r="AA345" s="1847" t="e">
        <f t="shared" si="47"/>
        <v>#VALUE!</v>
      </c>
      <c r="AB345" s="1847">
        <f t="shared" si="48"/>
        <v>7.4999999999999997E-2</v>
      </c>
      <c r="AC345" s="1847">
        <f t="shared" si="49"/>
        <v>7.5555555555555556E-2</v>
      </c>
      <c r="AD345" s="1847" t="e">
        <f t="shared" si="50"/>
        <v>#VALUE!</v>
      </c>
      <c r="AE345" s="1847" t="e">
        <f t="shared" si="51"/>
        <v>#VALUE!</v>
      </c>
      <c r="AF345" s="1823" t="e">
        <f t="shared" si="52"/>
        <v>#VALUE!</v>
      </c>
      <c r="AG345" s="1769" t="e">
        <f t="shared" si="53"/>
        <v>#VALUE!</v>
      </c>
      <c r="AI345" t="s">
        <v>4173</v>
      </c>
    </row>
    <row r="346" spans="3:35" ht="24.95" customHeight="1">
      <c r="C346" s="491">
        <v>339</v>
      </c>
      <c r="D346" s="1847"/>
      <c r="E346" s="1847"/>
      <c r="F346" s="1847" t="s">
        <v>4174</v>
      </c>
      <c r="G346" s="1847" t="s">
        <v>4174</v>
      </c>
      <c r="H346" s="1847" t="s">
        <v>4170</v>
      </c>
      <c r="I346" s="1847"/>
      <c r="J346" s="1847" t="s">
        <v>4180</v>
      </c>
      <c r="K346" s="1847" t="s">
        <v>2795</v>
      </c>
      <c r="L346" s="1847" t="s">
        <v>3934</v>
      </c>
      <c r="M346" s="1847" t="s">
        <v>4187</v>
      </c>
      <c r="N346" s="1847"/>
      <c r="O346" s="1847"/>
      <c r="P346" s="1852">
        <v>78.75</v>
      </c>
      <c r="Q346" s="1852">
        <v>80</v>
      </c>
      <c r="R346" s="483" t="e">
        <f>IF(H346="","",SUMIFS('[1]1_group_totals'!$J$8:$J$10000,'[1]1_group_totals'!$C$8:$C$10000,C346))</f>
        <v>#VALUE!</v>
      </c>
      <c r="S346" s="483">
        <f t="shared" si="45"/>
        <v>78</v>
      </c>
      <c r="T346" s="483">
        <v>450</v>
      </c>
      <c r="U346" s="510" t="e">
        <f t="shared" si="46"/>
        <v>#VALUE!</v>
      </c>
      <c r="V346" s="510">
        <v>1</v>
      </c>
      <c r="W346" s="510">
        <v>0</v>
      </c>
      <c r="X346" s="510">
        <v>0</v>
      </c>
      <c r="Y346" s="483">
        <v>1</v>
      </c>
      <c r="Z346" s="483">
        <v>1</v>
      </c>
      <c r="AA346" s="1847" t="e">
        <f t="shared" si="47"/>
        <v>#VALUE!</v>
      </c>
      <c r="AB346" s="1847">
        <f t="shared" si="48"/>
        <v>0.17499999999999999</v>
      </c>
      <c r="AC346" s="1847">
        <f t="shared" si="49"/>
        <v>0.17777777777777778</v>
      </c>
      <c r="AD346" s="1847" t="e">
        <f t="shared" si="50"/>
        <v>#VALUE!</v>
      </c>
      <c r="AE346" s="1847" t="e">
        <f t="shared" si="51"/>
        <v>#VALUE!</v>
      </c>
      <c r="AF346" s="1823" t="e">
        <f t="shared" si="52"/>
        <v>#VALUE!</v>
      </c>
      <c r="AG346" s="1769" t="e">
        <f t="shared" si="53"/>
        <v>#VALUE!</v>
      </c>
      <c r="AI346" t="s">
        <v>4174</v>
      </c>
    </row>
    <row r="347" spans="3:35" ht="24.95" customHeight="1">
      <c r="C347" s="491">
        <v>340</v>
      </c>
      <c r="D347" s="1847"/>
      <c r="E347" s="1847"/>
      <c r="F347" s="1847" t="s">
        <v>4175</v>
      </c>
      <c r="G347" s="1847" t="s">
        <v>4175</v>
      </c>
      <c r="H347" s="1847" t="s">
        <v>4171</v>
      </c>
      <c r="I347" s="1847"/>
      <c r="J347" s="1847" t="s">
        <v>4180</v>
      </c>
      <c r="K347" s="1847" t="s">
        <v>2795</v>
      </c>
      <c r="L347" s="1847" t="s">
        <v>3934</v>
      </c>
      <c r="M347" s="1847" t="s">
        <v>4187</v>
      </c>
      <c r="N347" s="1847"/>
      <c r="O347" s="1847"/>
      <c r="P347" s="1852">
        <v>180</v>
      </c>
      <c r="Q347" s="1852">
        <v>190</v>
      </c>
      <c r="R347" s="483" t="e">
        <f>IF(H347="","",SUMIFS('[1]1_group_totals'!$J$8:$J$10000,'[1]1_group_totals'!$C$8:$C$10000,C347))</f>
        <v>#VALUE!</v>
      </c>
      <c r="S347" s="483">
        <f t="shared" si="45"/>
        <v>78</v>
      </c>
      <c r="T347" s="483">
        <v>450</v>
      </c>
      <c r="U347" s="510" t="e">
        <f t="shared" si="46"/>
        <v>#VALUE!</v>
      </c>
      <c r="V347" s="510">
        <v>1</v>
      </c>
      <c r="W347" s="510">
        <v>0</v>
      </c>
      <c r="X347" s="510">
        <v>0</v>
      </c>
      <c r="Y347" s="483">
        <v>1</v>
      </c>
      <c r="Z347" s="483">
        <v>1</v>
      </c>
      <c r="AA347" s="1847" t="e">
        <f t="shared" si="47"/>
        <v>#VALUE!</v>
      </c>
      <c r="AB347" s="1847">
        <f t="shared" si="48"/>
        <v>0.4</v>
      </c>
      <c r="AC347" s="1847">
        <f t="shared" si="49"/>
        <v>0.42222222222222222</v>
      </c>
      <c r="AD347" s="1847" t="e">
        <f t="shared" si="50"/>
        <v>#VALUE!</v>
      </c>
      <c r="AE347" s="1847" t="e">
        <f t="shared" si="51"/>
        <v>#VALUE!</v>
      </c>
      <c r="AF347" s="1823" t="e">
        <f t="shared" si="52"/>
        <v>#VALUE!</v>
      </c>
      <c r="AG347" s="1769" t="e">
        <f t="shared" si="53"/>
        <v>#VALUE!</v>
      </c>
      <c r="AI347" t="s">
        <v>4175</v>
      </c>
    </row>
    <row r="348" spans="3:35" ht="24.95" customHeight="1">
      <c r="C348" s="491">
        <v>341</v>
      </c>
      <c r="D348" s="1847"/>
      <c r="E348" s="1847"/>
      <c r="F348" s="1847" t="s">
        <v>4176</v>
      </c>
      <c r="G348" s="1847" t="s">
        <v>4176</v>
      </c>
      <c r="H348" s="1847" t="s">
        <v>4172</v>
      </c>
      <c r="I348" s="1847"/>
      <c r="J348" s="1847" t="s">
        <v>4180</v>
      </c>
      <c r="K348" s="1847" t="s">
        <v>2795</v>
      </c>
      <c r="L348" s="1847" t="s">
        <v>3934</v>
      </c>
      <c r="M348" s="1847" t="s">
        <v>4187</v>
      </c>
      <c r="N348" s="1847"/>
      <c r="O348" s="1847"/>
      <c r="P348" s="1852">
        <v>225</v>
      </c>
      <c r="Q348" s="1852">
        <v>235</v>
      </c>
      <c r="R348" s="483" t="e">
        <f>IF(H348="","",SUMIFS('[1]1_group_totals'!$J$8:$J$10000,'[1]1_group_totals'!$C$8:$C$10000,C348))</f>
        <v>#VALUE!</v>
      </c>
      <c r="S348" s="483">
        <f t="shared" si="45"/>
        <v>78</v>
      </c>
      <c r="T348" s="483">
        <v>450</v>
      </c>
      <c r="U348" s="510" t="e">
        <f t="shared" si="46"/>
        <v>#VALUE!</v>
      </c>
      <c r="V348" s="510">
        <v>1</v>
      </c>
      <c r="W348" s="510">
        <v>0</v>
      </c>
      <c r="X348" s="510">
        <v>0</v>
      </c>
      <c r="Y348" s="483">
        <v>1</v>
      </c>
      <c r="Z348" s="483">
        <v>1</v>
      </c>
      <c r="AA348" s="1847" t="e">
        <f t="shared" si="47"/>
        <v>#VALUE!</v>
      </c>
      <c r="AB348" s="1847">
        <f t="shared" si="48"/>
        <v>0.5</v>
      </c>
      <c r="AC348" s="1847">
        <f t="shared" si="49"/>
        <v>0.52222222222222225</v>
      </c>
      <c r="AD348" s="1847" t="e">
        <f t="shared" si="50"/>
        <v>#VALUE!</v>
      </c>
      <c r="AE348" s="1847" t="e">
        <f t="shared" si="51"/>
        <v>#VALUE!</v>
      </c>
      <c r="AF348" s="1823" t="e">
        <f t="shared" si="52"/>
        <v>#VALUE!</v>
      </c>
      <c r="AG348" s="1769" t="e">
        <f t="shared" si="53"/>
        <v>#VALUE!</v>
      </c>
      <c r="AI348" t="s">
        <v>4176</v>
      </c>
    </row>
    <row r="349" spans="3:35" ht="24.95" customHeight="1">
      <c r="C349" s="491">
        <v>342</v>
      </c>
      <c r="D349" s="1847"/>
      <c r="E349" s="1847"/>
      <c r="F349" s="1847" t="s">
        <v>4195</v>
      </c>
      <c r="G349" s="1847" t="s">
        <v>4195</v>
      </c>
      <c r="H349" s="1847" t="s">
        <v>4197</v>
      </c>
      <c r="I349" s="1847"/>
      <c r="J349" s="1847" t="s">
        <v>2783</v>
      </c>
      <c r="K349" s="1847" t="s">
        <v>3925</v>
      </c>
      <c r="L349" s="1847" t="s">
        <v>2797</v>
      </c>
      <c r="M349" s="1847" t="s">
        <v>3937</v>
      </c>
      <c r="N349" s="1847"/>
      <c r="O349" s="1847"/>
      <c r="P349" s="1852">
        <v>0.375</v>
      </c>
      <c r="Q349" s="1852">
        <v>0.63</v>
      </c>
      <c r="R349" s="483" t="e">
        <f>IF(H349="","",SUMIFS('[1]1_group_totals'!$J$8:$J$10000,'[1]1_group_totals'!$C$8:$C$10000,C349))</f>
        <v>#VALUE!</v>
      </c>
      <c r="S349" s="483">
        <f t="shared" si="45"/>
        <v>2</v>
      </c>
      <c r="T349" s="483">
        <v>1</v>
      </c>
      <c r="U349" s="510" t="e">
        <f t="shared" si="46"/>
        <v>#VALUE!</v>
      </c>
      <c r="V349" s="510">
        <v>1</v>
      </c>
      <c r="W349" s="510">
        <v>0</v>
      </c>
      <c r="X349" s="510">
        <v>0</v>
      </c>
      <c r="Y349" s="483">
        <v>1</v>
      </c>
      <c r="Z349" s="483">
        <v>1</v>
      </c>
      <c r="AA349" s="1847" t="e">
        <f t="shared" si="47"/>
        <v>#VALUE!</v>
      </c>
      <c r="AB349" s="1847">
        <f t="shared" si="48"/>
        <v>0.375</v>
      </c>
      <c r="AC349" s="1847">
        <f t="shared" si="49"/>
        <v>0.63</v>
      </c>
      <c r="AD349" s="1847" t="e">
        <f t="shared" si="50"/>
        <v>#VALUE!</v>
      </c>
      <c r="AE349" s="1847" t="e">
        <f t="shared" si="51"/>
        <v>#VALUE!</v>
      </c>
      <c r="AF349" s="1823" t="e">
        <f t="shared" si="52"/>
        <v>#VALUE!</v>
      </c>
      <c r="AG349" s="1769" t="e">
        <f t="shared" si="53"/>
        <v>#VALUE!</v>
      </c>
      <c r="AI349" t="s">
        <v>4195</v>
      </c>
    </row>
    <row r="350" spans="3:35" ht="24.95" customHeight="1">
      <c r="C350" s="491">
        <v>343</v>
      </c>
      <c r="D350" s="1847"/>
      <c r="E350" s="1847"/>
      <c r="F350" s="1847" t="s">
        <v>4196</v>
      </c>
      <c r="G350" s="1847" t="s">
        <v>4196</v>
      </c>
      <c r="H350" s="1847" t="s">
        <v>4198</v>
      </c>
      <c r="I350" s="1847"/>
      <c r="J350" s="1847" t="s">
        <v>2783</v>
      </c>
      <c r="K350" s="1847" t="s">
        <v>3925</v>
      </c>
      <c r="L350" s="1847" t="s">
        <v>2797</v>
      </c>
      <c r="M350" s="1847" t="s">
        <v>3937</v>
      </c>
      <c r="N350" s="1847"/>
      <c r="O350" s="1847"/>
      <c r="P350" s="1852">
        <v>0.375</v>
      </c>
      <c r="Q350" s="1852">
        <v>0.63</v>
      </c>
      <c r="R350" s="483" t="e">
        <f>IF(H350="","",SUMIFS('[1]1_group_totals'!$J$8:$J$10000,'[1]1_group_totals'!$C$8:$C$10000,C350))</f>
        <v>#VALUE!</v>
      </c>
      <c r="S350" s="483">
        <f t="shared" si="45"/>
        <v>2</v>
      </c>
      <c r="T350" s="483">
        <v>1</v>
      </c>
      <c r="U350" s="510" t="e">
        <f t="shared" si="46"/>
        <v>#VALUE!</v>
      </c>
      <c r="V350" s="510">
        <v>1</v>
      </c>
      <c r="W350" s="510">
        <v>0</v>
      </c>
      <c r="X350" s="510">
        <v>0</v>
      </c>
      <c r="Y350" s="483">
        <v>1</v>
      </c>
      <c r="Z350" s="483">
        <v>1</v>
      </c>
      <c r="AA350" s="1847" t="e">
        <f t="shared" si="47"/>
        <v>#VALUE!</v>
      </c>
      <c r="AB350" s="1847">
        <f t="shared" si="48"/>
        <v>0.375</v>
      </c>
      <c r="AC350" s="1847">
        <f t="shared" si="49"/>
        <v>0.63</v>
      </c>
      <c r="AD350" s="1847" t="e">
        <f t="shared" si="50"/>
        <v>#VALUE!</v>
      </c>
      <c r="AE350" s="1847" t="e">
        <f t="shared" si="51"/>
        <v>#VALUE!</v>
      </c>
      <c r="AF350" s="1823" t="e">
        <f t="shared" si="52"/>
        <v>#VALUE!</v>
      </c>
      <c r="AG350" s="1769" t="e">
        <f t="shared" si="53"/>
        <v>#VALUE!</v>
      </c>
      <c r="AI350" t="s">
        <v>4196</v>
      </c>
    </row>
    <row r="351" spans="3:35" ht="24.95" customHeight="1">
      <c r="C351" s="491">
        <v>344</v>
      </c>
      <c r="D351" s="1847"/>
      <c r="E351" s="1847"/>
      <c r="F351" s="1847" t="s">
        <v>4201</v>
      </c>
      <c r="G351" s="1847" t="s">
        <v>4201</v>
      </c>
      <c r="H351" s="1847" t="s">
        <v>4202</v>
      </c>
      <c r="I351" s="1847"/>
      <c r="J351" s="1847" t="s">
        <v>2783</v>
      </c>
      <c r="K351" s="1847" t="s">
        <v>3928</v>
      </c>
      <c r="L351" s="1847" t="s">
        <v>2797</v>
      </c>
      <c r="M351" s="1847" t="s">
        <v>4236</v>
      </c>
      <c r="N351" s="1847"/>
      <c r="O351" s="1847"/>
      <c r="P351" s="1852">
        <v>7.2</v>
      </c>
      <c r="Q351" s="1852">
        <v>8.5</v>
      </c>
      <c r="R351" s="483" t="e">
        <f>IF(H351="","",SUMIFS('[1]1_group_totals'!$J$8:$J$10000,'[1]1_group_totals'!$C$8:$C$10000,C351))</f>
        <v>#VALUE!</v>
      </c>
      <c r="S351" s="483">
        <f t="shared" si="45"/>
        <v>2</v>
      </c>
      <c r="T351" s="483">
        <v>1</v>
      </c>
      <c r="U351" s="510" t="e">
        <f t="shared" si="46"/>
        <v>#VALUE!</v>
      </c>
      <c r="V351" s="510">
        <v>1</v>
      </c>
      <c r="W351" s="510">
        <v>0</v>
      </c>
      <c r="X351" s="510">
        <v>0</v>
      </c>
      <c r="Y351" s="483">
        <v>1</v>
      </c>
      <c r="Z351" s="483">
        <v>1</v>
      </c>
      <c r="AA351" s="1847" t="e">
        <f t="shared" si="47"/>
        <v>#VALUE!</v>
      </c>
      <c r="AB351" s="1847">
        <f t="shared" si="48"/>
        <v>7.2</v>
      </c>
      <c r="AC351" s="1847">
        <f t="shared" si="49"/>
        <v>8.5</v>
      </c>
      <c r="AD351" s="1847" t="e">
        <f t="shared" si="50"/>
        <v>#VALUE!</v>
      </c>
      <c r="AE351" s="1847" t="e">
        <f t="shared" si="51"/>
        <v>#VALUE!</v>
      </c>
      <c r="AF351" s="1823" t="e">
        <f t="shared" si="52"/>
        <v>#VALUE!</v>
      </c>
      <c r="AG351" s="1769" t="e">
        <f t="shared" si="53"/>
        <v>#VALUE!</v>
      </c>
      <c r="AI351" t="s">
        <v>4201</v>
      </c>
    </row>
    <row r="352" spans="3:35" ht="24.95" customHeight="1">
      <c r="C352" s="491">
        <v>345</v>
      </c>
      <c r="D352" s="1847"/>
      <c r="E352" s="1847"/>
      <c r="F352" s="1847" t="s">
        <v>4203</v>
      </c>
      <c r="G352" s="1847" t="s">
        <v>4203</v>
      </c>
      <c r="H352" s="1847" t="s">
        <v>4206</v>
      </c>
      <c r="I352" s="1847"/>
      <c r="J352" s="1847" t="s">
        <v>2783</v>
      </c>
      <c r="K352" s="1847" t="s">
        <v>3925</v>
      </c>
      <c r="L352" s="1847" t="s">
        <v>2797</v>
      </c>
      <c r="M352" s="1847" t="s">
        <v>3937</v>
      </c>
      <c r="N352" s="1847"/>
      <c r="O352" s="1847"/>
      <c r="P352" s="1852">
        <v>3</v>
      </c>
      <c r="Q352" s="1852">
        <v>3.75</v>
      </c>
      <c r="R352" s="483" t="e">
        <f>IF(H352="","",SUMIFS('[1]1_group_totals'!$J$8:$J$10000,'[1]1_group_totals'!$C$8:$C$10000,C352))</f>
        <v>#VALUE!</v>
      </c>
      <c r="S352" s="483">
        <f t="shared" si="45"/>
        <v>2</v>
      </c>
      <c r="T352" s="483">
        <v>1</v>
      </c>
      <c r="U352" s="510" t="e">
        <f t="shared" si="46"/>
        <v>#VALUE!</v>
      </c>
      <c r="V352" s="510">
        <v>1</v>
      </c>
      <c r="W352" s="510">
        <v>0</v>
      </c>
      <c r="X352" s="510">
        <v>0</v>
      </c>
      <c r="Y352" s="483">
        <v>1</v>
      </c>
      <c r="Z352" s="483">
        <v>1</v>
      </c>
      <c r="AA352" s="1847" t="e">
        <f t="shared" si="47"/>
        <v>#VALUE!</v>
      </c>
      <c r="AB352" s="1847">
        <f t="shared" si="48"/>
        <v>3</v>
      </c>
      <c r="AC352" s="1847">
        <f t="shared" si="49"/>
        <v>3.75</v>
      </c>
      <c r="AD352" s="1847" t="e">
        <f t="shared" si="50"/>
        <v>#VALUE!</v>
      </c>
      <c r="AE352" s="1847" t="e">
        <f t="shared" si="51"/>
        <v>#VALUE!</v>
      </c>
      <c r="AF352" s="1823" t="e">
        <f t="shared" si="52"/>
        <v>#VALUE!</v>
      </c>
      <c r="AG352" s="1769" t="e">
        <f t="shared" si="53"/>
        <v>#VALUE!</v>
      </c>
      <c r="AI352" t="s">
        <v>4203</v>
      </c>
    </row>
    <row r="353" spans="3:35 16372:16381" ht="24.95" customHeight="1">
      <c r="C353" s="491">
        <v>346</v>
      </c>
      <c r="D353" s="1847"/>
      <c r="E353" s="1847"/>
      <c r="F353" s="1847" t="s">
        <v>4205</v>
      </c>
      <c r="G353" s="1847" t="s">
        <v>4205</v>
      </c>
      <c r="H353" s="1847" t="s">
        <v>4216</v>
      </c>
      <c r="I353" s="1847"/>
      <c r="J353" s="1847" t="s">
        <v>2783</v>
      </c>
      <c r="K353" s="1847" t="s">
        <v>3925</v>
      </c>
      <c r="L353" s="1847" t="s">
        <v>3935</v>
      </c>
      <c r="M353" s="1847" t="s">
        <v>4237</v>
      </c>
      <c r="N353" s="1847"/>
      <c r="O353" s="1847"/>
      <c r="P353" s="1852">
        <v>0.25</v>
      </c>
      <c r="Q353" s="1852">
        <v>0.5</v>
      </c>
      <c r="R353" s="483" t="e">
        <f>IF(H353="","",SUMIFS('[1]1_group_totals'!$J$8:$J$10000,'[1]1_group_totals'!$C$8:$C$10000,C353))</f>
        <v>#VALUE!</v>
      </c>
      <c r="S353" s="483">
        <f t="shared" si="45"/>
        <v>2</v>
      </c>
      <c r="T353" s="483">
        <v>1</v>
      </c>
      <c r="U353" s="510" t="e">
        <f t="shared" si="46"/>
        <v>#VALUE!</v>
      </c>
      <c r="V353" s="510">
        <v>1</v>
      </c>
      <c r="W353" s="510">
        <v>0</v>
      </c>
      <c r="X353" s="510">
        <v>0</v>
      </c>
      <c r="Y353" s="483">
        <v>1</v>
      </c>
      <c r="Z353" s="483">
        <v>1</v>
      </c>
      <c r="AA353" s="1847" t="e">
        <f t="shared" si="47"/>
        <v>#VALUE!</v>
      </c>
      <c r="AB353" s="1847">
        <f t="shared" si="48"/>
        <v>0.25</v>
      </c>
      <c r="AC353" s="1847">
        <f t="shared" si="49"/>
        <v>0.5</v>
      </c>
      <c r="AD353" s="1847" t="e">
        <f t="shared" si="50"/>
        <v>#VALUE!</v>
      </c>
      <c r="AE353" s="1847" t="e">
        <f t="shared" si="51"/>
        <v>#VALUE!</v>
      </c>
      <c r="AF353" s="1823" t="e">
        <f t="shared" si="52"/>
        <v>#VALUE!</v>
      </c>
      <c r="AG353" s="1769" t="e">
        <f t="shared" si="53"/>
        <v>#VALUE!</v>
      </c>
      <c r="AI353" t="s">
        <v>4205</v>
      </c>
    </row>
    <row r="354" spans="3:35 16372:16381" ht="24.95" customHeight="1">
      <c r="C354" s="491">
        <v>347</v>
      </c>
      <c r="D354" s="1847"/>
      <c r="E354" s="1847"/>
      <c r="F354" s="1847" t="s">
        <v>4208</v>
      </c>
      <c r="G354" s="1847" t="s">
        <v>4208</v>
      </c>
      <c r="H354" s="1847" t="s">
        <v>4214</v>
      </c>
      <c r="I354" s="1847"/>
      <c r="J354" s="1847" t="s">
        <v>2783</v>
      </c>
      <c r="K354" s="1847" t="s">
        <v>3925</v>
      </c>
      <c r="L354" s="1847" t="s">
        <v>3935</v>
      </c>
      <c r="M354" s="1847" t="s">
        <v>4238</v>
      </c>
      <c r="N354" s="1847"/>
      <c r="O354" s="1847"/>
      <c r="P354" s="1852">
        <v>0.125</v>
      </c>
      <c r="Q354" s="1852">
        <v>0.25</v>
      </c>
      <c r="R354" s="483" t="e">
        <f>IF(H354="","",SUMIFS('[1]1_group_totals'!$J$8:$J$10000,'[1]1_group_totals'!$C$8:$C$10000,C354))</f>
        <v>#VALUE!</v>
      </c>
      <c r="S354" s="483">
        <f t="shared" si="45"/>
        <v>2</v>
      </c>
      <c r="T354" s="483">
        <v>1</v>
      </c>
      <c r="U354" s="510" t="e">
        <f t="shared" si="46"/>
        <v>#VALUE!</v>
      </c>
      <c r="V354" s="510">
        <v>1</v>
      </c>
      <c r="W354" s="510">
        <v>0</v>
      </c>
      <c r="X354" s="510">
        <v>0</v>
      </c>
      <c r="Y354" s="483">
        <v>1</v>
      </c>
      <c r="Z354" s="483">
        <v>1</v>
      </c>
      <c r="AA354" s="1847" t="e">
        <f t="shared" si="47"/>
        <v>#VALUE!</v>
      </c>
      <c r="AB354" s="1847">
        <f t="shared" si="48"/>
        <v>0.125</v>
      </c>
      <c r="AC354" s="1847">
        <f t="shared" si="49"/>
        <v>0.25</v>
      </c>
      <c r="AD354" s="1847" t="e">
        <f t="shared" si="50"/>
        <v>#VALUE!</v>
      </c>
      <c r="AE354" s="1847" t="e">
        <f t="shared" si="51"/>
        <v>#VALUE!</v>
      </c>
      <c r="AF354" s="1823" t="e">
        <f t="shared" si="52"/>
        <v>#VALUE!</v>
      </c>
      <c r="AG354" s="1769" t="e">
        <f t="shared" si="53"/>
        <v>#VALUE!</v>
      </c>
      <c r="AI354" t="s">
        <v>4208</v>
      </c>
    </row>
    <row r="355" spans="3:35 16372:16381" ht="24.95" customHeight="1">
      <c r="C355" s="491">
        <v>348</v>
      </c>
      <c r="D355" s="1847"/>
      <c r="E355" s="1847"/>
      <c r="F355" s="1847" t="s">
        <v>4209</v>
      </c>
      <c r="G355" s="1847" t="s">
        <v>4209</v>
      </c>
      <c r="H355" s="1847" t="s">
        <v>4215</v>
      </c>
      <c r="I355" s="1847"/>
      <c r="J355" s="1847" t="s">
        <v>2783</v>
      </c>
      <c r="K355" s="1847" t="s">
        <v>3925</v>
      </c>
      <c r="L355" s="1847" t="s">
        <v>3935</v>
      </c>
      <c r="M355" s="1847" t="s">
        <v>4239</v>
      </c>
      <c r="N355" s="1847"/>
      <c r="O355" s="1847"/>
      <c r="P355" s="1852">
        <v>0.2</v>
      </c>
      <c r="Q355" s="1852">
        <v>0.38</v>
      </c>
      <c r="R355" s="483" t="e">
        <f>IF(H355="","",SUMIFS('[1]1_group_totals'!$J$8:$J$10000,'[1]1_group_totals'!$C$8:$C$10000,C355))</f>
        <v>#VALUE!</v>
      </c>
      <c r="S355" s="483">
        <f t="shared" si="45"/>
        <v>2</v>
      </c>
      <c r="T355" s="483">
        <v>1</v>
      </c>
      <c r="U355" s="510" t="e">
        <f t="shared" si="46"/>
        <v>#VALUE!</v>
      </c>
      <c r="V355" s="510">
        <v>1</v>
      </c>
      <c r="W355" s="510">
        <v>0</v>
      </c>
      <c r="X355" s="510">
        <v>0</v>
      </c>
      <c r="Y355" s="483">
        <v>1</v>
      </c>
      <c r="Z355" s="483">
        <v>1</v>
      </c>
      <c r="AA355" s="1847" t="e">
        <f t="shared" si="47"/>
        <v>#VALUE!</v>
      </c>
      <c r="AB355" s="1847">
        <f t="shared" si="48"/>
        <v>0.2</v>
      </c>
      <c r="AC355" s="1847">
        <f t="shared" si="49"/>
        <v>0.38</v>
      </c>
      <c r="AD355" s="1847" t="e">
        <f t="shared" si="50"/>
        <v>#VALUE!</v>
      </c>
      <c r="AE355" s="1847" t="e">
        <f t="shared" si="51"/>
        <v>#VALUE!</v>
      </c>
      <c r="AF355" s="1823" t="e">
        <f t="shared" si="52"/>
        <v>#VALUE!</v>
      </c>
      <c r="AG355" s="1769" t="e">
        <f t="shared" si="53"/>
        <v>#VALUE!</v>
      </c>
      <c r="AI355" t="s">
        <v>4209</v>
      </c>
    </row>
    <row r="356" spans="3:35 16372:16381" ht="24.95" customHeight="1">
      <c r="C356" s="491">
        <v>349</v>
      </c>
      <c r="D356" s="1847"/>
      <c r="E356" s="1847"/>
      <c r="F356" s="1847" t="s">
        <v>4210</v>
      </c>
      <c r="G356" s="1847" t="s">
        <v>4210</v>
      </c>
      <c r="H356" s="1847" t="s">
        <v>4217</v>
      </c>
      <c r="I356" s="1847"/>
      <c r="J356" s="1847" t="s">
        <v>2783</v>
      </c>
      <c r="K356" s="1847" t="s">
        <v>3925</v>
      </c>
      <c r="L356" s="1847" t="s">
        <v>3935</v>
      </c>
      <c r="M356" s="1847" t="s">
        <v>4240</v>
      </c>
      <c r="N356" s="1847"/>
      <c r="O356" s="1847"/>
      <c r="P356" s="1852">
        <v>1</v>
      </c>
      <c r="Q356" s="1852">
        <v>1.5</v>
      </c>
      <c r="R356" s="483" t="e">
        <f>IF(H356="","",SUMIFS('[1]1_group_totals'!$J$8:$J$10000,'[1]1_group_totals'!$C$8:$C$10000,C356))</f>
        <v>#VALUE!</v>
      </c>
      <c r="S356" s="483">
        <f t="shared" si="45"/>
        <v>2</v>
      </c>
      <c r="T356" s="483">
        <v>1</v>
      </c>
      <c r="U356" s="510" t="e">
        <f t="shared" si="46"/>
        <v>#VALUE!</v>
      </c>
      <c r="V356" s="510">
        <v>1</v>
      </c>
      <c r="W356" s="510">
        <v>0</v>
      </c>
      <c r="X356" s="510">
        <v>0</v>
      </c>
      <c r="Y356" s="483">
        <v>1</v>
      </c>
      <c r="Z356" s="483">
        <v>1</v>
      </c>
      <c r="AA356" s="1847" t="e">
        <f t="shared" si="47"/>
        <v>#VALUE!</v>
      </c>
      <c r="AB356" s="1847">
        <f t="shared" si="48"/>
        <v>1</v>
      </c>
      <c r="AC356" s="1847">
        <f t="shared" si="49"/>
        <v>1.5</v>
      </c>
      <c r="AD356" s="1847" t="e">
        <f t="shared" si="50"/>
        <v>#VALUE!</v>
      </c>
      <c r="AE356" s="1847" t="e">
        <f t="shared" si="51"/>
        <v>#VALUE!</v>
      </c>
      <c r="AF356" s="1823" t="e">
        <f t="shared" si="52"/>
        <v>#VALUE!</v>
      </c>
      <c r="AG356" s="1769" t="e">
        <f t="shared" si="53"/>
        <v>#VALUE!</v>
      </c>
      <c r="AI356" t="s">
        <v>4210</v>
      </c>
    </row>
    <row r="357" spans="3:35 16372:16381" ht="24.95" customHeight="1">
      <c r="C357" s="491">
        <v>350</v>
      </c>
      <c r="D357" s="1847"/>
      <c r="E357" s="1847"/>
      <c r="F357" s="1847" t="s">
        <v>4211</v>
      </c>
      <c r="G357" s="1847" t="s">
        <v>4211</v>
      </c>
      <c r="H357" s="1847" t="s">
        <v>4220</v>
      </c>
      <c r="I357" s="1847"/>
      <c r="J357" s="1847" t="s">
        <v>2783</v>
      </c>
      <c r="K357" s="1847" t="s">
        <v>3925</v>
      </c>
      <c r="L357" s="1847" t="s">
        <v>3935</v>
      </c>
      <c r="M357" s="1847" t="s">
        <v>4241</v>
      </c>
      <c r="N357" s="1847"/>
      <c r="O357" s="1847"/>
      <c r="P357" s="1852">
        <v>6</v>
      </c>
      <c r="Q357" s="1852">
        <v>7</v>
      </c>
      <c r="R357" s="483" t="e">
        <f>IF(H357="","",SUMIFS('[1]1_group_totals'!$J$8:$J$10000,'[1]1_group_totals'!$C$8:$C$10000,C357))</f>
        <v>#VALUE!</v>
      </c>
      <c r="S357" s="483">
        <f t="shared" si="45"/>
        <v>2</v>
      </c>
      <c r="T357" s="483">
        <v>1</v>
      </c>
      <c r="U357" s="510" t="e">
        <f t="shared" si="46"/>
        <v>#VALUE!</v>
      </c>
      <c r="V357" s="510">
        <v>1</v>
      </c>
      <c r="W357" s="510">
        <v>0</v>
      </c>
      <c r="X357" s="510">
        <v>0</v>
      </c>
      <c r="Y357" s="483">
        <v>1</v>
      </c>
      <c r="Z357" s="483">
        <v>1</v>
      </c>
      <c r="AA357" s="1847" t="e">
        <f t="shared" si="47"/>
        <v>#VALUE!</v>
      </c>
      <c r="AB357" s="1847">
        <f t="shared" si="48"/>
        <v>6</v>
      </c>
      <c r="AC357" s="1847">
        <f t="shared" si="49"/>
        <v>7</v>
      </c>
      <c r="AD357" s="1847" t="e">
        <f t="shared" si="50"/>
        <v>#VALUE!</v>
      </c>
      <c r="AE357" s="1847" t="e">
        <f t="shared" si="51"/>
        <v>#VALUE!</v>
      </c>
      <c r="AF357" s="1823" t="e">
        <f t="shared" si="52"/>
        <v>#VALUE!</v>
      </c>
      <c r="AG357" s="1769" t="e">
        <f t="shared" si="53"/>
        <v>#VALUE!</v>
      </c>
      <c r="AI357" t="s">
        <v>4211</v>
      </c>
    </row>
    <row r="358" spans="3:35 16372:16381" ht="24.95" customHeight="1">
      <c r="C358" s="491">
        <v>351</v>
      </c>
      <c r="D358" s="1847"/>
      <c r="E358" s="1847"/>
      <c r="F358" s="1847" t="s">
        <v>4212</v>
      </c>
      <c r="G358" s="1847" t="s">
        <v>4212</v>
      </c>
      <c r="H358" s="1847" t="s">
        <v>4221</v>
      </c>
      <c r="I358" s="1847"/>
      <c r="J358" s="1847" t="s">
        <v>2783</v>
      </c>
      <c r="K358" s="1847" t="s">
        <v>3928</v>
      </c>
      <c r="L358" s="1847" t="s">
        <v>3935</v>
      </c>
      <c r="M358" s="1847" t="s">
        <v>4236</v>
      </c>
      <c r="N358" s="1847"/>
      <c r="O358" s="1847"/>
      <c r="P358" s="1852">
        <v>6.2</v>
      </c>
      <c r="Q358" s="1852">
        <v>7.5</v>
      </c>
      <c r="R358" s="483" t="e">
        <f>IF(H358="","",SUMIFS('[1]1_group_totals'!$J$8:$J$10000,'[1]1_group_totals'!$C$8:$C$10000,C358))</f>
        <v>#VALUE!</v>
      </c>
      <c r="S358" s="483">
        <f t="shared" si="45"/>
        <v>2</v>
      </c>
      <c r="T358" s="483">
        <v>1</v>
      </c>
      <c r="U358" s="510" t="e">
        <f t="shared" si="46"/>
        <v>#VALUE!</v>
      </c>
      <c r="V358" s="510">
        <v>1</v>
      </c>
      <c r="W358" s="510">
        <v>0</v>
      </c>
      <c r="X358" s="510">
        <v>0</v>
      </c>
      <c r="Y358" s="483">
        <v>1</v>
      </c>
      <c r="Z358" s="483">
        <v>1</v>
      </c>
      <c r="AA358" s="1847" t="e">
        <f t="shared" si="47"/>
        <v>#VALUE!</v>
      </c>
      <c r="AB358" s="1847">
        <f t="shared" si="48"/>
        <v>6.2</v>
      </c>
      <c r="AC358" s="1847">
        <f t="shared" si="49"/>
        <v>7.5</v>
      </c>
      <c r="AD358" s="1847" t="e">
        <f t="shared" si="50"/>
        <v>#VALUE!</v>
      </c>
      <c r="AE358" s="1847" t="e">
        <f t="shared" si="51"/>
        <v>#VALUE!</v>
      </c>
      <c r="AF358" s="1837" t="e">
        <f t="shared" si="52"/>
        <v>#VALUE!</v>
      </c>
      <c r="AG358" s="1777" t="e">
        <f t="shared" si="53"/>
        <v>#VALUE!</v>
      </c>
      <c r="AI358" t="s">
        <v>4212</v>
      </c>
    </row>
    <row r="359" spans="3:35 16372:16381" ht="24.95" customHeight="1">
      <c r="C359" s="491">
        <v>352</v>
      </c>
      <c r="D359" s="1847"/>
      <c r="E359" s="1847"/>
      <c r="F359" s="1847" t="s">
        <v>4213</v>
      </c>
      <c r="G359" s="1847" t="s">
        <v>4213</v>
      </c>
      <c r="H359" s="1847" t="s">
        <v>4230</v>
      </c>
      <c r="I359" s="1847"/>
      <c r="J359" s="1847" t="s">
        <v>2783</v>
      </c>
      <c r="K359" s="1847" t="s">
        <v>3928</v>
      </c>
      <c r="L359" s="1847" t="s">
        <v>3935</v>
      </c>
      <c r="M359" s="1847" t="s">
        <v>4236</v>
      </c>
      <c r="N359" s="1847"/>
      <c r="O359" s="1847"/>
      <c r="P359" s="1852">
        <v>8.8000000000000007</v>
      </c>
      <c r="Q359" s="1852">
        <v>10.5</v>
      </c>
      <c r="R359" s="483" t="e">
        <f>IF(H359="","",SUMIFS('[1]1_group_totals'!$J$8:$J$10000,'[1]1_group_totals'!$C$8:$C$10000,C359))</f>
        <v>#VALUE!</v>
      </c>
      <c r="S359" s="483">
        <f t="shared" si="45"/>
        <v>2</v>
      </c>
      <c r="T359" s="483">
        <v>1</v>
      </c>
      <c r="U359" s="510" t="e">
        <f t="shared" si="46"/>
        <v>#VALUE!</v>
      </c>
      <c r="V359" s="510">
        <v>1</v>
      </c>
      <c r="W359" s="510">
        <v>0</v>
      </c>
      <c r="X359" s="510">
        <v>0</v>
      </c>
      <c r="Y359" s="483">
        <v>1</v>
      </c>
      <c r="Z359" s="483">
        <v>1</v>
      </c>
      <c r="AA359" s="1847" t="e">
        <f t="shared" si="47"/>
        <v>#VALUE!</v>
      </c>
      <c r="AB359" s="1847">
        <f t="shared" si="48"/>
        <v>8.8000000000000007</v>
      </c>
      <c r="AC359" s="1847">
        <f t="shared" si="49"/>
        <v>10.5</v>
      </c>
      <c r="AD359" s="1847" t="e">
        <f t="shared" si="50"/>
        <v>#VALUE!</v>
      </c>
      <c r="AE359" s="1847" t="e">
        <f t="shared" si="51"/>
        <v>#VALUE!</v>
      </c>
      <c r="AF359" s="1823" t="e">
        <f t="shared" si="52"/>
        <v>#VALUE!</v>
      </c>
      <c r="AG359" s="1769" t="e">
        <f t="shared" si="53"/>
        <v>#VALUE!</v>
      </c>
      <c r="AI359" t="s">
        <v>4213</v>
      </c>
      <c r="XER359" s="1579"/>
      <c r="XES359" s="1577"/>
      <c r="XET359" s="1577"/>
      <c r="XEU359" s="1577"/>
      <c r="XEV359" s="1577"/>
      <c r="XEW359" s="1577"/>
      <c r="XEX359" s="1582"/>
      <c r="XEY359" s="1582"/>
      <c r="XEZ359" s="1579"/>
      <c r="XFA359" s="1577"/>
    </row>
    <row r="360" spans="3:35 16372:16381" ht="24.95" customHeight="1">
      <c r="C360" s="491">
        <v>353</v>
      </c>
      <c r="D360" s="1847"/>
      <c r="E360" s="1847"/>
      <c r="F360" s="1847" t="s">
        <v>4222</v>
      </c>
      <c r="G360" s="1847" t="s">
        <v>4222</v>
      </c>
      <c r="H360" s="1847" t="s">
        <v>4231</v>
      </c>
      <c r="I360" s="1847"/>
      <c r="J360" s="1847" t="s">
        <v>2783</v>
      </c>
      <c r="K360" s="1847" t="s">
        <v>3928</v>
      </c>
      <c r="L360" s="1847" t="s">
        <v>3935</v>
      </c>
      <c r="M360" s="1847" t="s">
        <v>4236</v>
      </c>
      <c r="N360" s="1847"/>
      <c r="O360" s="1847"/>
      <c r="P360" s="1852">
        <v>10.5</v>
      </c>
      <c r="Q360" s="1852">
        <v>12</v>
      </c>
      <c r="R360" s="483" t="e">
        <f>IF(H360="","",SUMIFS('[1]1_group_totals'!$J$8:$J$10000,'[1]1_group_totals'!$C$8:$C$10000,C360))</f>
        <v>#VALUE!</v>
      </c>
      <c r="S360" s="483">
        <f t="shared" si="45"/>
        <v>2</v>
      </c>
      <c r="T360" s="483">
        <v>1</v>
      </c>
      <c r="U360" s="510" t="e">
        <f t="shared" si="46"/>
        <v>#VALUE!</v>
      </c>
      <c r="V360" s="510">
        <v>1</v>
      </c>
      <c r="W360" s="510">
        <v>0</v>
      </c>
      <c r="X360" s="510">
        <v>0</v>
      </c>
      <c r="Y360" s="483">
        <v>1</v>
      </c>
      <c r="Z360" s="483">
        <v>1</v>
      </c>
      <c r="AA360" s="1847" t="e">
        <f t="shared" si="47"/>
        <v>#VALUE!</v>
      </c>
      <c r="AB360" s="1847">
        <f t="shared" si="48"/>
        <v>10.5</v>
      </c>
      <c r="AC360" s="1847">
        <f t="shared" si="49"/>
        <v>12</v>
      </c>
      <c r="AD360" s="1847" t="e">
        <f t="shared" si="50"/>
        <v>#VALUE!</v>
      </c>
      <c r="AE360" s="1847" t="e">
        <f t="shared" si="51"/>
        <v>#VALUE!</v>
      </c>
      <c r="AF360" s="1823" t="e">
        <f t="shared" si="52"/>
        <v>#VALUE!</v>
      </c>
      <c r="AG360" s="1769" t="e">
        <f t="shared" si="53"/>
        <v>#VALUE!</v>
      </c>
      <c r="AI360" t="s">
        <v>4222</v>
      </c>
    </row>
    <row r="361" spans="3:35 16372:16381" ht="24.95" customHeight="1">
      <c r="C361" s="491">
        <v>354</v>
      </c>
      <c r="D361" s="1847"/>
      <c r="E361" s="1847"/>
      <c r="F361" s="1847" t="s">
        <v>4223</v>
      </c>
      <c r="G361" s="1847" t="s">
        <v>4223</v>
      </c>
      <c r="H361" s="1847" t="s">
        <v>4232</v>
      </c>
      <c r="I361" s="1847"/>
      <c r="J361" s="1847" t="s">
        <v>2783</v>
      </c>
      <c r="K361" s="1847" t="s">
        <v>3928</v>
      </c>
      <c r="L361" s="1847" t="s">
        <v>3935</v>
      </c>
      <c r="M361" s="1847" t="s">
        <v>4236</v>
      </c>
      <c r="N361" s="1847"/>
      <c r="O361" s="1847"/>
      <c r="P361" s="1852">
        <v>11.8</v>
      </c>
      <c r="Q361" s="1852">
        <v>13.5</v>
      </c>
      <c r="R361" s="483" t="e">
        <f>IF(H361="","",SUMIFS('[1]1_group_totals'!$J$8:$J$10000,'[1]1_group_totals'!$C$8:$C$10000,C361))</f>
        <v>#VALUE!</v>
      </c>
      <c r="S361" s="483">
        <f t="shared" si="45"/>
        <v>2</v>
      </c>
      <c r="T361" s="483">
        <v>1</v>
      </c>
      <c r="U361" s="510" t="e">
        <f t="shared" si="46"/>
        <v>#VALUE!</v>
      </c>
      <c r="V361" s="510">
        <v>1</v>
      </c>
      <c r="W361" s="510">
        <v>0</v>
      </c>
      <c r="X361" s="510">
        <v>0</v>
      </c>
      <c r="Y361" s="483">
        <v>1</v>
      </c>
      <c r="Z361" s="483">
        <v>1</v>
      </c>
      <c r="AA361" s="1847" t="e">
        <f t="shared" si="47"/>
        <v>#VALUE!</v>
      </c>
      <c r="AB361" s="1847">
        <f t="shared" si="48"/>
        <v>11.8</v>
      </c>
      <c r="AC361" s="1847">
        <f t="shared" si="49"/>
        <v>13.5</v>
      </c>
      <c r="AD361" s="1847" t="e">
        <f t="shared" si="50"/>
        <v>#VALUE!</v>
      </c>
      <c r="AE361" s="1847" t="e">
        <f t="shared" si="51"/>
        <v>#VALUE!</v>
      </c>
      <c r="AF361" s="1838" t="e">
        <f t="shared" si="52"/>
        <v>#VALUE!</v>
      </c>
      <c r="AG361" s="1778" t="e">
        <f t="shared" si="53"/>
        <v>#VALUE!</v>
      </c>
      <c r="AI361" t="s">
        <v>4223</v>
      </c>
    </row>
    <row r="362" spans="3:35 16372:16381" ht="24.95" customHeight="1">
      <c r="C362" s="491">
        <v>355</v>
      </c>
      <c r="D362" s="1847"/>
      <c r="E362" s="1847"/>
      <c r="F362" s="1847" t="s">
        <v>4224</v>
      </c>
      <c r="G362" s="1847" t="s">
        <v>4224</v>
      </c>
      <c r="H362" s="1847" t="s">
        <v>4233</v>
      </c>
      <c r="I362" s="1847"/>
      <c r="J362" s="1847" t="s">
        <v>2783</v>
      </c>
      <c r="K362" s="1847" t="s">
        <v>3928</v>
      </c>
      <c r="L362" s="1847" t="s">
        <v>3935</v>
      </c>
      <c r="M362" s="1847" t="s">
        <v>4236</v>
      </c>
      <c r="N362" s="1847"/>
      <c r="O362" s="1847"/>
      <c r="P362" s="1852">
        <v>13.3</v>
      </c>
      <c r="Q362" s="1852">
        <v>15.5</v>
      </c>
      <c r="R362" s="483" t="e">
        <f>IF(H362="","",SUMIFS('[1]1_group_totals'!$J$8:$J$10000,'[1]1_group_totals'!$C$8:$C$10000,C362))</f>
        <v>#VALUE!</v>
      </c>
      <c r="S362" s="483">
        <f t="shared" si="45"/>
        <v>2</v>
      </c>
      <c r="T362" s="483">
        <v>1</v>
      </c>
      <c r="U362" s="510" t="e">
        <f t="shared" si="46"/>
        <v>#VALUE!</v>
      </c>
      <c r="V362" s="510">
        <v>1</v>
      </c>
      <c r="W362" s="510">
        <v>0</v>
      </c>
      <c r="X362" s="510">
        <v>0</v>
      </c>
      <c r="Y362" s="483">
        <v>1</v>
      </c>
      <c r="Z362" s="483">
        <v>1</v>
      </c>
      <c r="AA362" s="1847" t="e">
        <f t="shared" si="47"/>
        <v>#VALUE!</v>
      </c>
      <c r="AB362" s="1847">
        <f t="shared" si="48"/>
        <v>13.3</v>
      </c>
      <c r="AC362" s="1847">
        <f t="shared" si="49"/>
        <v>15.5</v>
      </c>
      <c r="AD362" s="1847" t="e">
        <f t="shared" si="50"/>
        <v>#VALUE!</v>
      </c>
      <c r="AE362" s="1847" t="e">
        <f t="shared" si="51"/>
        <v>#VALUE!</v>
      </c>
      <c r="AF362" s="1823" t="e">
        <f t="shared" si="52"/>
        <v>#VALUE!</v>
      </c>
      <c r="AG362" s="1769" t="e">
        <f t="shared" si="53"/>
        <v>#VALUE!</v>
      </c>
      <c r="AI362" t="s">
        <v>4224</v>
      </c>
    </row>
    <row r="363" spans="3:35 16372:16381" ht="24.95" customHeight="1">
      <c r="C363" s="491">
        <v>356</v>
      </c>
      <c r="D363" s="1847"/>
      <c r="E363" s="1847"/>
      <c r="F363" s="1847" t="s">
        <v>4225</v>
      </c>
      <c r="G363" s="1847" t="s">
        <v>4225</v>
      </c>
      <c r="H363" s="1847" t="s">
        <v>4234</v>
      </c>
      <c r="I363" s="1847"/>
      <c r="J363" s="1847" t="s">
        <v>2783</v>
      </c>
      <c r="K363" s="1847" t="s">
        <v>3928</v>
      </c>
      <c r="L363" s="1847" t="s">
        <v>3935</v>
      </c>
      <c r="M363" s="1847" t="s">
        <v>4236</v>
      </c>
      <c r="N363" s="1847"/>
      <c r="O363" s="1847"/>
      <c r="P363" s="1852">
        <v>15.3</v>
      </c>
      <c r="Q363" s="1852">
        <v>17.5</v>
      </c>
      <c r="R363" s="483" t="e">
        <f>IF(H363="","",SUMIFS('[1]1_group_totals'!$J$8:$J$10000,'[1]1_group_totals'!$C$8:$C$10000,C363))</f>
        <v>#VALUE!</v>
      </c>
      <c r="S363" s="483">
        <f t="shared" si="45"/>
        <v>2</v>
      </c>
      <c r="T363" s="483">
        <v>1</v>
      </c>
      <c r="U363" s="510" t="e">
        <f t="shared" si="46"/>
        <v>#VALUE!</v>
      </c>
      <c r="V363" s="510">
        <v>1</v>
      </c>
      <c r="W363" s="510">
        <v>0</v>
      </c>
      <c r="X363" s="510">
        <v>0</v>
      </c>
      <c r="Y363" s="483">
        <v>1</v>
      </c>
      <c r="Z363" s="483">
        <v>1</v>
      </c>
      <c r="AA363" s="1847" t="e">
        <f t="shared" si="47"/>
        <v>#VALUE!</v>
      </c>
      <c r="AB363" s="1847">
        <f t="shared" si="48"/>
        <v>15.3</v>
      </c>
      <c r="AC363" s="1847">
        <f t="shared" si="49"/>
        <v>17.5</v>
      </c>
      <c r="AD363" s="1847" t="e">
        <f t="shared" si="50"/>
        <v>#VALUE!</v>
      </c>
      <c r="AE363" s="1847" t="e">
        <f t="shared" si="51"/>
        <v>#VALUE!</v>
      </c>
      <c r="AF363" s="1823" t="e">
        <f t="shared" si="52"/>
        <v>#VALUE!</v>
      </c>
      <c r="AG363" s="1769" t="e">
        <f t="shared" si="53"/>
        <v>#VALUE!</v>
      </c>
      <c r="AI363" t="s">
        <v>4225</v>
      </c>
    </row>
    <row r="364" spans="3:35 16372:16381" ht="24.95" customHeight="1">
      <c r="C364" s="491">
        <v>357</v>
      </c>
      <c r="D364" s="1847"/>
      <c r="E364" s="1847"/>
      <c r="F364" s="1847" t="s">
        <v>4226</v>
      </c>
      <c r="G364" s="1847" t="s">
        <v>4226</v>
      </c>
      <c r="H364" s="1847" t="s">
        <v>4235</v>
      </c>
      <c r="I364" s="1847"/>
      <c r="J364" s="1847" t="s">
        <v>2783</v>
      </c>
      <c r="K364" s="1847" t="s">
        <v>3928</v>
      </c>
      <c r="L364" s="1847" t="s">
        <v>3935</v>
      </c>
      <c r="M364" s="1847" t="s">
        <v>4236</v>
      </c>
      <c r="N364" s="1847"/>
      <c r="O364" s="1847"/>
      <c r="P364" s="1852">
        <v>17.899999999999999</v>
      </c>
      <c r="Q364" s="1852">
        <v>20</v>
      </c>
      <c r="R364" s="483" t="e">
        <f>IF(H364="","",SUMIFS('[1]1_group_totals'!$J$8:$J$10000,'[1]1_group_totals'!$C$8:$C$10000,C364))</f>
        <v>#VALUE!</v>
      </c>
      <c r="S364" s="483">
        <f t="shared" si="45"/>
        <v>2</v>
      </c>
      <c r="T364" s="483">
        <v>1</v>
      </c>
      <c r="U364" s="510" t="e">
        <f t="shared" si="46"/>
        <v>#VALUE!</v>
      </c>
      <c r="V364" s="510">
        <v>1</v>
      </c>
      <c r="W364" s="510">
        <v>0</v>
      </c>
      <c r="X364" s="510">
        <v>0</v>
      </c>
      <c r="Y364" s="483">
        <v>1</v>
      </c>
      <c r="Z364" s="483">
        <v>1</v>
      </c>
      <c r="AA364" s="1847" t="e">
        <f t="shared" si="47"/>
        <v>#VALUE!</v>
      </c>
      <c r="AB364" s="1847">
        <f t="shared" si="48"/>
        <v>17.899999999999999</v>
      </c>
      <c r="AC364" s="1847">
        <f t="shared" si="49"/>
        <v>20</v>
      </c>
      <c r="AD364" s="1847" t="e">
        <f t="shared" si="50"/>
        <v>#VALUE!</v>
      </c>
      <c r="AE364" s="1847" t="e">
        <f t="shared" si="51"/>
        <v>#VALUE!</v>
      </c>
      <c r="AF364" s="1823" t="e">
        <f t="shared" si="52"/>
        <v>#VALUE!</v>
      </c>
      <c r="AG364" s="1769" t="e">
        <f t="shared" si="53"/>
        <v>#VALUE!</v>
      </c>
      <c r="AI364" t="s">
        <v>4226</v>
      </c>
    </row>
    <row r="365" spans="3:35 16372:16381" ht="24.95" customHeight="1">
      <c r="C365" s="491">
        <v>358</v>
      </c>
      <c r="D365" s="1847"/>
      <c r="E365" s="1847"/>
      <c r="F365" s="1847" t="s">
        <v>4227</v>
      </c>
      <c r="G365" s="1847" t="s">
        <v>4227</v>
      </c>
      <c r="H365" s="1847" t="s">
        <v>4259</v>
      </c>
      <c r="I365" s="1847"/>
      <c r="J365" s="1847" t="s">
        <v>4488</v>
      </c>
      <c r="K365" s="1847" t="s">
        <v>3928</v>
      </c>
      <c r="L365" s="1847" t="s">
        <v>3935</v>
      </c>
      <c r="M365" s="1847" t="s">
        <v>4264</v>
      </c>
      <c r="N365" s="1847"/>
      <c r="O365" s="1847"/>
      <c r="P365" s="1852">
        <v>16</v>
      </c>
      <c r="Q365" s="1852">
        <v>19</v>
      </c>
      <c r="R365" s="483" t="e">
        <f>IF(H365="","",SUMIFS('[1]1_group_totals'!$J$8:$J$10000,'[1]1_group_totals'!$C$8:$C$10000,C365))</f>
        <v>#VALUE!</v>
      </c>
      <c r="S365" s="483">
        <f t="shared" si="45"/>
        <v>81</v>
      </c>
      <c r="T365" s="483">
        <v>2</v>
      </c>
      <c r="U365" s="510" t="e">
        <f t="shared" si="46"/>
        <v>#VALUE!</v>
      </c>
      <c r="V365" s="510">
        <v>1</v>
      </c>
      <c r="W365" s="510">
        <v>0</v>
      </c>
      <c r="X365" s="510">
        <v>0</v>
      </c>
      <c r="Y365" s="483">
        <v>1</v>
      </c>
      <c r="Z365" s="483">
        <v>1</v>
      </c>
      <c r="AA365" s="1847" t="e">
        <f t="shared" si="47"/>
        <v>#VALUE!</v>
      </c>
      <c r="AB365" s="1847">
        <f t="shared" si="48"/>
        <v>8</v>
      </c>
      <c r="AC365" s="1847">
        <f t="shared" si="49"/>
        <v>9.5</v>
      </c>
      <c r="AD365" s="1847" t="e">
        <f t="shared" si="50"/>
        <v>#VALUE!</v>
      </c>
      <c r="AE365" s="1847" t="e">
        <f t="shared" si="51"/>
        <v>#VALUE!</v>
      </c>
      <c r="AF365" s="1823" t="e">
        <f t="shared" si="52"/>
        <v>#VALUE!</v>
      </c>
      <c r="AG365" s="1769" t="e">
        <f t="shared" si="53"/>
        <v>#VALUE!</v>
      </c>
      <c r="AI365" t="s">
        <v>4227</v>
      </c>
    </row>
    <row r="366" spans="3:35 16372:16381" ht="24.95" customHeight="1">
      <c r="C366" s="491">
        <v>359</v>
      </c>
      <c r="D366" s="1847"/>
      <c r="E366" s="1847"/>
      <c r="F366" s="1847" t="s">
        <v>4228</v>
      </c>
      <c r="G366" s="1847" t="s">
        <v>4228</v>
      </c>
      <c r="H366" s="1847" t="s">
        <v>4261</v>
      </c>
      <c r="I366" s="1847"/>
      <c r="J366" s="1847" t="s">
        <v>2783</v>
      </c>
      <c r="K366" s="1847" t="s">
        <v>3928</v>
      </c>
      <c r="L366" s="1847" t="s">
        <v>2797</v>
      </c>
      <c r="M366" s="1847" t="s">
        <v>3937</v>
      </c>
      <c r="N366" s="1847"/>
      <c r="O366" s="1847"/>
      <c r="P366" s="1852">
        <v>3.8</v>
      </c>
      <c r="Q366" s="1852">
        <v>4.8</v>
      </c>
      <c r="R366" s="483" t="e">
        <f>IF(H366="","",SUMIFS('[1]1_group_totals'!$J$8:$J$10000,'[1]1_group_totals'!$C$8:$C$10000,C366))</f>
        <v>#VALUE!</v>
      </c>
      <c r="S366" s="483">
        <f t="shared" si="45"/>
        <v>2</v>
      </c>
      <c r="T366" s="483">
        <v>1</v>
      </c>
      <c r="U366" s="510" t="e">
        <f t="shared" si="46"/>
        <v>#VALUE!</v>
      </c>
      <c r="V366" s="510">
        <v>1</v>
      </c>
      <c r="W366" s="510">
        <v>0</v>
      </c>
      <c r="X366" s="510">
        <v>0</v>
      </c>
      <c r="Y366" s="483">
        <v>1</v>
      </c>
      <c r="Z366" s="483">
        <v>1</v>
      </c>
      <c r="AA366" s="1847" t="e">
        <f t="shared" si="47"/>
        <v>#VALUE!</v>
      </c>
      <c r="AB366" s="1847">
        <f t="shared" si="48"/>
        <v>3.8</v>
      </c>
      <c r="AC366" s="1847">
        <f t="shared" si="49"/>
        <v>4.8</v>
      </c>
      <c r="AD366" s="1847" t="e">
        <f t="shared" si="50"/>
        <v>#VALUE!</v>
      </c>
      <c r="AE366" s="1847" t="e">
        <f t="shared" si="51"/>
        <v>#VALUE!</v>
      </c>
      <c r="AF366" s="1823" t="e">
        <f t="shared" si="52"/>
        <v>#VALUE!</v>
      </c>
      <c r="AG366" s="1769" t="e">
        <f t="shared" si="53"/>
        <v>#VALUE!</v>
      </c>
      <c r="AI366" t="s">
        <v>4228</v>
      </c>
    </row>
    <row r="367" spans="3:35 16372:16381" ht="24.95" customHeight="1">
      <c r="C367" s="491">
        <v>360</v>
      </c>
      <c r="D367" s="1847"/>
      <c r="E367" s="1847"/>
      <c r="F367" s="1847" t="s">
        <v>4229</v>
      </c>
      <c r="G367" s="1847" t="s">
        <v>4229</v>
      </c>
      <c r="H367" s="1847" t="s">
        <v>4263</v>
      </c>
      <c r="I367" s="1847"/>
      <c r="J367" s="1847" t="s">
        <v>2782</v>
      </c>
      <c r="K367" s="1847" t="s">
        <v>3928</v>
      </c>
      <c r="L367" s="1847" t="s">
        <v>2797</v>
      </c>
      <c r="M367" s="1847" t="s">
        <v>4100</v>
      </c>
      <c r="N367" s="1847"/>
      <c r="O367" s="1847"/>
      <c r="P367" s="1852">
        <v>2</v>
      </c>
      <c r="Q367" s="1852">
        <v>3</v>
      </c>
      <c r="R367" s="483" t="e">
        <f>IF(H367="","",SUMIFS('[1]1_group_totals'!$J$8:$J$10000,'[1]1_group_totals'!$C$8:$C$10000,C367))</f>
        <v>#VALUE!</v>
      </c>
      <c r="S367" s="483">
        <f t="shared" si="45"/>
        <v>53</v>
      </c>
      <c r="T367" s="483">
        <v>4</v>
      </c>
      <c r="U367" s="510" t="e">
        <f t="shared" si="46"/>
        <v>#VALUE!</v>
      </c>
      <c r="V367" s="510">
        <v>1</v>
      </c>
      <c r="W367" s="510">
        <v>0</v>
      </c>
      <c r="X367" s="510">
        <v>0</v>
      </c>
      <c r="Y367" s="483">
        <v>1</v>
      </c>
      <c r="Z367" s="483">
        <v>1</v>
      </c>
      <c r="AA367" s="1847" t="e">
        <f t="shared" si="47"/>
        <v>#VALUE!</v>
      </c>
      <c r="AB367" s="1847">
        <f t="shared" si="48"/>
        <v>0.5</v>
      </c>
      <c r="AC367" s="1847">
        <f t="shared" si="49"/>
        <v>0.75</v>
      </c>
      <c r="AD367" s="1847" t="e">
        <f t="shared" si="50"/>
        <v>#VALUE!</v>
      </c>
      <c r="AE367" s="1847" t="e">
        <f t="shared" si="51"/>
        <v>#VALUE!</v>
      </c>
      <c r="AF367" s="1823" t="e">
        <f t="shared" si="52"/>
        <v>#VALUE!</v>
      </c>
      <c r="AG367" s="1769" t="e">
        <f t="shared" si="53"/>
        <v>#VALUE!</v>
      </c>
      <c r="AI367" t="s">
        <v>4229</v>
      </c>
    </row>
    <row r="368" spans="3:35 16372:16381" ht="24.95" customHeight="1">
      <c r="C368" s="491">
        <v>361</v>
      </c>
      <c r="D368" s="1847"/>
      <c r="E368" s="1847"/>
      <c r="F368" s="1847" t="s">
        <v>4266</v>
      </c>
      <c r="G368" s="1847" t="s">
        <v>4266</v>
      </c>
      <c r="H368" s="1847" t="s">
        <v>4272</v>
      </c>
      <c r="I368" s="1847"/>
      <c r="J368" s="1847" t="s">
        <v>4270</v>
      </c>
      <c r="K368" s="1847" t="s">
        <v>3924</v>
      </c>
      <c r="L368" s="1847" t="s">
        <v>2800</v>
      </c>
      <c r="M368" s="1847" t="s">
        <v>4271</v>
      </c>
      <c r="N368" s="1847"/>
      <c r="O368" s="1847"/>
      <c r="P368" s="1852">
        <v>5</v>
      </c>
      <c r="Q368" s="1852">
        <v>5.5</v>
      </c>
      <c r="R368" s="483" t="e">
        <f>IF(H368="","",SUMIFS('[1]1_group_totals'!$J$8:$J$10000,'[1]1_group_totals'!$C$8:$C$10000,C368))</f>
        <v>#VALUE!</v>
      </c>
      <c r="S368" s="483">
        <f t="shared" si="45"/>
        <v>82</v>
      </c>
      <c r="T368" s="483">
        <v>45</v>
      </c>
      <c r="U368" s="510" t="e">
        <f t="shared" si="46"/>
        <v>#VALUE!</v>
      </c>
      <c r="V368" s="510">
        <v>1</v>
      </c>
      <c r="W368" s="510">
        <v>0</v>
      </c>
      <c r="X368" s="510">
        <v>0</v>
      </c>
      <c r="Y368" s="483">
        <v>1</v>
      </c>
      <c r="Z368" s="483">
        <v>1</v>
      </c>
      <c r="AA368" s="1847" t="e">
        <f t="shared" si="47"/>
        <v>#VALUE!</v>
      </c>
      <c r="AB368" s="1847">
        <f t="shared" si="48"/>
        <v>0.1111111111111111</v>
      </c>
      <c r="AC368" s="1847">
        <f t="shared" si="49"/>
        <v>0.12222222222222222</v>
      </c>
      <c r="AD368" s="1847" t="e">
        <f t="shared" si="50"/>
        <v>#VALUE!</v>
      </c>
      <c r="AE368" s="1847" t="e">
        <f t="shared" si="51"/>
        <v>#VALUE!</v>
      </c>
      <c r="AF368" s="1823" t="e">
        <f t="shared" si="52"/>
        <v>#VALUE!</v>
      </c>
      <c r="AG368" s="1769" t="e">
        <f t="shared" si="53"/>
        <v>#VALUE!</v>
      </c>
      <c r="AI368" t="s">
        <v>4266</v>
      </c>
    </row>
    <row r="369" spans="3:35" ht="24.95" customHeight="1">
      <c r="C369" s="491">
        <v>362</v>
      </c>
      <c r="D369" s="1847"/>
      <c r="E369" s="1847"/>
      <c r="F369" s="1847" t="s">
        <v>4275</v>
      </c>
      <c r="G369" s="1847" t="s">
        <v>4275</v>
      </c>
      <c r="H369" s="1847" t="s">
        <v>4276</v>
      </c>
      <c r="I369" s="1847"/>
      <c r="J369" s="1847" t="s">
        <v>2783</v>
      </c>
      <c r="K369" s="1847" t="s">
        <v>3928</v>
      </c>
      <c r="L369" s="1847" t="s">
        <v>3935</v>
      </c>
      <c r="M369" s="1847" t="s">
        <v>3937</v>
      </c>
      <c r="N369" s="1847"/>
      <c r="O369" s="1847"/>
      <c r="P369" s="1852">
        <v>0.5</v>
      </c>
      <c r="Q369" s="1852">
        <v>1</v>
      </c>
      <c r="R369" s="483" t="e">
        <f>IF(H369="","",SUMIFS('[1]1_group_totals'!$J$8:$J$10000,'[1]1_group_totals'!$C$8:$C$10000,C369))</f>
        <v>#VALUE!</v>
      </c>
      <c r="S369" s="483">
        <f t="shared" si="45"/>
        <v>2</v>
      </c>
      <c r="T369" s="483">
        <v>1</v>
      </c>
      <c r="U369" s="510" t="e">
        <f t="shared" si="46"/>
        <v>#VALUE!</v>
      </c>
      <c r="V369" s="510">
        <v>1</v>
      </c>
      <c r="W369" s="510">
        <v>0</v>
      </c>
      <c r="X369" s="510">
        <v>0</v>
      </c>
      <c r="Y369" s="483">
        <v>1</v>
      </c>
      <c r="Z369" s="483">
        <v>1</v>
      </c>
      <c r="AA369" s="1847" t="e">
        <f t="shared" si="47"/>
        <v>#VALUE!</v>
      </c>
      <c r="AB369" s="1847">
        <f t="shared" si="48"/>
        <v>0.5</v>
      </c>
      <c r="AC369" s="1847">
        <f t="shared" si="49"/>
        <v>1</v>
      </c>
      <c r="AD369" s="1847" t="e">
        <f t="shared" si="50"/>
        <v>#VALUE!</v>
      </c>
      <c r="AE369" s="1847" t="e">
        <f t="shared" si="51"/>
        <v>#VALUE!</v>
      </c>
      <c r="AF369" s="1823" t="e">
        <f t="shared" si="52"/>
        <v>#VALUE!</v>
      </c>
      <c r="AG369" s="1769" t="e">
        <f t="shared" si="53"/>
        <v>#VALUE!</v>
      </c>
      <c r="AI369" t="s">
        <v>4275</v>
      </c>
    </row>
    <row r="370" spans="3:35" ht="24.95" customHeight="1">
      <c r="C370" s="491">
        <v>363</v>
      </c>
      <c r="D370" s="1847"/>
      <c r="E370" s="1847"/>
      <c r="F370" s="1847" t="s">
        <v>4294</v>
      </c>
      <c r="G370" s="1847" t="s">
        <v>4294</v>
      </c>
      <c r="H370" s="1847" t="s">
        <v>4322</v>
      </c>
      <c r="I370" s="1847"/>
      <c r="J370" s="1847" t="s">
        <v>4362</v>
      </c>
      <c r="K370" s="1847" t="s">
        <v>2795</v>
      </c>
      <c r="L370" s="1847" t="s">
        <v>3935</v>
      </c>
      <c r="M370" s="1847" t="s">
        <v>4365</v>
      </c>
      <c r="N370" s="1847"/>
      <c r="O370" s="1847"/>
      <c r="P370" s="1852">
        <v>2.8</v>
      </c>
      <c r="Q370" s="1852">
        <v>4</v>
      </c>
      <c r="R370" s="483" t="e">
        <f>IF(H370="","",SUMIFS('[1]1_group_totals'!$J$8:$J$10000,'[1]1_group_totals'!$C$8:$C$10000,C370))</f>
        <v>#VALUE!</v>
      </c>
      <c r="S370" s="483">
        <f t="shared" si="45"/>
        <v>1</v>
      </c>
      <c r="T370" s="483">
        <v>1</v>
      </c>
      <c r="U370" s="510" t="e">
        <f t="shared" si="46"/>
        <v>#VALUE!</v>
      </c>
      <c r="V370" s="510">
        <v>1</v>
      </c>
      <c r="W370" s="510">
        <v>0</v>
      </c>
      <c r="X370" s="510">
        <v>0</v>
      </c>
      <c r="Y370" s="483">
        <v>1</v>
      </c>
      <c r="Z370" s="483">
        <v>1</v>
      </c>
      <c r="AA370" s="1847" t="e">
        <f t="shared" si="47"/>
        <v>#VALUE!</v>
      </c>
      <c r="AB370" s="1847">
        <f t="shared" si="48"/>
        <v>2.8</v>
      </c>
      <c r="AC370" s="1847">
        <f t="shared" si="49"/>
        <v>4</v>
      </c>
      <c r="AD370" s="1847" t="e">
        <f t="shared" si="50"/>
        <v>#VALUE!</v>
      </c>
      <c r="AE370" s="1847" t="e">
        <f t="shared" si="51"/>
        <v>#VALUE!</v>
      </c>
      <c r="AF370" s="1823" t="e">
        <f t="shared" si="52"/>
        <v>#VALUE!</v>
      </c>
      <c r="AG370" s="1769" t="e">
        <f t="shared" si="53"/>
        <v>#VALUE!</v>
      </c>
      <c r="AI370" t="s">
        <v>4294</v>
      </c>
    </row>
    <row r="371" spans="3:35" ht="24.95" customHeight="1">
      <c r="C371" s="491">
        <v>364</v>
      </c>
      <c r="D371" s="1847"/>
      <c r="E371" s="1847"/>
      <c r="F371" s="1847" t="s">
        <v>4295</v>
      </c>
      <c r="G371" s="1847" t="s">
        <v>4295</v>
      </c>
      <c r="H371" s="1847" t="s">
        <v>4320</v>
      </c>
      <c r="I371" s="1847"/>
      <c r="J371" s="1847" t="s">
        <v>4362</v>
      </c>
      <c r="K371" s="1847" t="s">
        <v>2795</v>
      </c>
      <c r="L371" s="1847" t="s">
        <v>3935</v>
      </c>
      <c r="M371" s="1847" t="s">
        <v>4365</v>
      </c>
      <c r="N371" s="1847"/>
      <c r="O371" s="1847"/>
      <c r="P371" s="1852">
        <v>1.7</v>
      </c>
      <c r="Q371" s="1852">
        <v>3</v>
      </c>
      <c r="R371" s="483" t="e">
        <f>IF(H371="","",SUMIFS('[1]1_group_totals'!$J$8:$J$10000,'[1]1_group_totals'!$C$8:$C$10000,C371))</f>
        <v>#VALUE!</v>
      </c>
      <c r="S371" s="483">
        <f t="shared" si="45"/>
        <v>1</v>
      </c>
      <c r="T371" s="483">
        <v>1</v>
      </c>
      <c r="U371" s="510" t="e">
        <f t="shared" si="46"/>
        <v>#VALUE!</v>
      </c>
      <c r="V371" s="510">
        <v>1</v>
      </c>
      <c r="W371" s="510">
        <v>0</v>
      </c>
      <c r="X371" s="510">
        <v>0</v>
      </c>
      <c r="Y371" s="483">
        <v>1</v>
      </c>
      <c r="Z371" s="483">
        <v>1</v>
      </c>
      <c r="AA371" s="1847" t="e">
        <f t="shared" si="47"/>
        <v>#VALUE!</v>
      </c>
      <c r="AB371" s="1847">
        <f t="shared" si="48"/>
        <v>1.7</v>
      </c>
      <c r="AC371" s="1847">
        <f t="shared" si="49"/>
        <v>3</v>
      </c>
      <c r="AD371" s="1847" t="e">
        <f t="shared" si="50"/>
        <v>#VALUE!</v>
      </c>
      <c r="AE371" s="1847" t="e">
        <f t="shared" si="51"/>
        <v>#VALUE!</v>
      </c>
      <c r="AF371" s="1823" t="e">
        <f t="shared" si="52"/>
        <v>#VALUE!</v>
      </c>
      <c r="AG371" s="1769" t="e">
        <f t="shared" si="53"/>
        <v>#VALUE!</v>
      </c>
      <c r="AI371" t="s">
        <v>4295</v>
      </c>
    </row>
    <row r="372" spans="3:35" ht="24.95" customHeight="1">
      <c r="C372" s="491">
        <v>365</v>
      </c>
      <c r="D372" s="1847"/>
      <c r="E372" s="1847"/>
      <c r="F372" s="1847" t="s">
        <v>4296</v>
      </c>
      <c r="G372" s="1847" t="s">
        <v>4296</v>
      </c>
      <c r="H372" s="1847" t="s">
        <v>4346</v>
      </c>
      <c r="I372" s="1847"/>
      <c r="J372" s="1847" t="s">
        <v>2783</v>
      </c>
      <c r="K372" s="1847" t="s">
        <v>2795</v>
      </c>
      <c r="L372" s="1847" t="s">
        <v>3935</v>
      </c>
      <c r="M372" s="1847" t="s">
        <v>3937</v>
      </c>
      <c r="N372" s="1847"/>
      <c r="O372" s="1847"/>
      <c r="P372" s="1852">
        <v>4.2</v>
      </c>
      <c r="Q372" s="1852">
        <v>5</v>
      </c>
      <c r="R372" s="483" t="e">
        <f>IF(H372="","",SUMIFS('[1]1_group_totals'!$J$8:$J$10000,'[1]1_group_totals'!$C$8:$C$10000,C372))</f>
        <v>#VALUE!</v>
      </c>
      <c r="S372" s="483">
        <f t="shared" si="45"/>
        <v>2</v>
      </c>
      <c r="T372" s="483">
        <v>1</v>
      </c>
      <c r="U372" s="510" t="e">
        <f t="shared" si="46"/>
        <v>#VALUE!</v>
      </c>
      <c r="V372" s="510">
        <v>1</v>
      </c>
      <c r="W372" s="510">
        <v>0</v>
      </c>
      <c r="X372" s="510">
        <v>0</v>
      </c>
      <c r="Y372" s="483">
        <v>1</v>
      </c>
      <c r="Z372" s="483">
        <v>1</v>
      </c>
      <c r="AA372" s="1847" t="e">
        <f t="shared" si="47"/>
        <v>#VALUE!</v>
      </c>
      <c r="AB372" s="1847">
        <f t="shared" si="48"/>
        <v>4.2</v>
      </c>
      <c r="AC372" s="1847">
        <f t="shared" si="49"/>
        <v>5</v>
      </c>
      <c r="AD372" s="1847" t="e">
        <f t="shared" si="50"/>
        <v>#VALUE!</v>
      </c>
      <c r="AE372" s="1847" t="e">
        <f t="shared" si="51"/>
        <v>#VALUE!</v>
      </c>
      <c r="AF372" s="1823" t="e">
        <f t="shared" si="52"/>
        <v>#VALUE!</v>
      </c>
      <c r="AG372" s="1769" t="e">
        <f t="shared" si="53"/>
        <v>#VALUE!</v>
      </c>
      <c r="AI372" t="s">
        <v>4296</v>
      </c>
    </row>
    <row r="373" spans="3:35" ht="24.95" customHeight="1">
      <c r="C373" s="491">
        <v>366</v>
      </c>
      <c r="D373" s="1847"/>
      <c r="E373" s="1847"/>
      <c r="F373" s="1847" t="s">
        <v>4297</v>
      </c>
      <c r="G373" s="1847" t="s">
        <v>4297</v>
      </c>
      <c r="H373" s="1847" t="s">
        <v>4324</v>
      </c>
      <c r="I373" s="1847"/>
      <c r="J373" s="1847" t="s">
        <v>2783</v>
      </c>
      <c r="K373" s="1847" t="s">
        <v>2795</v>
      </c>
      <c r="L373" s="1847" t="s">
        <v>3935</v>
      </c>
      <c r="M373" s="1847" t="s">
        <v>3937</v>
      </c>
      <c r="N373" s="1847"/>
      <c r="O373" s="1847"/>
      <c r="P373" s="1852">
        <v>1.1000000000000001</v>
      </c>
      <c r="Q373" s="1852">
        <v>1.5</v>
      </c>
      <c r="R373" s="483" t="e">
        <f>IF(H373="","",SUMIFS('[1]1_group_totals'!$J$8:$J$10000,'[1]1_group_totals'!$C$8:$C$10000,C373))</f>
        <v>#VALUE!</v>
      </c>
      <c r="S373" s="483">
        <f t="shared" si="45"/>
        <v>2</v>
      </c>
      <c r="T373" s="483">
        <v>1</v>
      </c>
      <c r="U373" s="510" t="e">
        <f t="shared" si="46"/>
        <v>#VALUE!</v>
      </c>
      <c r="V373" s="510">
        <v>1</v>
      </c>
      <c r="W373" s="510">
        <v>0</v>
      </c>
      <c r="X373" s="510">
        <v>0</v>
      </c>
      <c r="Y373" s="483">
        <v>1</v>
      </c>
      <c r="Z373" s="483">
        <v>1</v>
      </c>
      <c r="AA373" s="1847" t="e">
        <f t="shared" si="47"/>
        <v>#VALUE!</v>
      </c>
      <c r="AB373" s="1847">
        <f t="shared" si="48"/>
        <v>1.1000000000000001</v>
      </c>
      <c r="AC373" s="1847">
        <f t="shared" si="49"/>
        <v>1.5</v>
      </c>
      <c r="AD373" s="1847" t="e">
        <f t="shared" si="50"/>
        <v>#VALUE!</v>
      </c>
      <c r="AE373" s="1847" t="e">
        <f t="shared" si="51"/>
        <v>#VALUE!</v>
      </c>
      <c r="AF373" s="1823" t="e">
        <f t="shared" si="52"/>
        <v>#VALUE!</v>
      </c>
      <c r="AG373" s="1769" t="e">
        <f t="shared" si="53"/>
        <v>#VALUE!</v>
      </c>
      <c r="AI373" t="s">
        <v>4297</v>
      </c>
    </row>
    <row r="374" spans="3:35" ht="24.95" customHeight="1">
      <c r="C374" s="491">
        <v>367</v>
      </c>
      <c r="D374" s="1847"/>
      <c r="E374" s="1847"/>
      <c r="F374" s="1847" t="s">
        <v>4298</v>
      </c>
      <c r="G374" s="1847" t="s">
        <v>4298</v>
      </c>
      <c r="H374" s="1847" t="s">
        <v>4321</v>
      </c>
      <c r="I374" s="1847"/>
      <c r="J374" s="1847" t="s">
        <v>2783</v>
      </c>
      <c r="K374" s="1847" t="s">
        <v>2795</v>
      </c>
      <c r="L374" s="1847" t="s">
        <v>3935</v>
      </c>
      <c r="M374" s="1847" t="s">
        <v>3937</v>
      </c>
      <c r="N374" s="1847"/>
      <c r="O374" s="1847"/>
      <c r="P374" s="1852">
        <v>1.3</v>
      </c>
      <c r="Q374" s="1852">
        <v>2</v>
      </c>
      <c r="R374" s="483" t="e">
        <f>IF(H374="","",SUMIFS('[1]1_group_totals'!$J$8:$J$10000,'[1]1_group_totals'!$C$8:$C$10000,C374))</f>
        <v>#VALUE!</v>
      </c>
      <c r="S374" s="483">
        <f t="shared" si="45"/>
        <v>2</v>
      </c>
      <c r="T374" s="483">
        <v>1</v>
      </c>
      <c r="U374" s="510" t="e">
        <f t="shared" si="46"/>
        <v>#VALUE!</v>
      </c>
      <c r="V374" s="510">
        <v>1</v>
      </c>
      <c r="W374" s="510">
        <v>0</v>
      </c>
      <c r="X374" s="510">
        <v>0</v>
      </c>
      <c r="Y374" s="483">
        <v>1</v>
      </c>
      <c r="Z374" s="483">
        <v>1</v>
      </c>
      <c r="AA374" s="1847" t="e">
        <f t="shared" si="47"/>
        <v>#VALUE!</v>
      </c>
      <c r="AB374" s="1847">
        <f t="shared" si="48"/>
        <v>1.3</v>
      </c>
      <c r="AC374" s="1847">
        <f t="shared" si="49"/>
        <v>2</v>
      </c>
      <c r="AD374" s="1847" t="e">
        <f t="shared" si="50"/>
        <v>#VALUE!</v>
      </c>
      <c r="AE374" s="1847" t="e">
        <f t="shared" si="51"/>
        <v>#VALUE!</v>
      </c>
      <c r="AF374" s="1823" t="e">
        <f t="shared" si="52"/>
        <v>#VALUE!</v>
      </c>
      <c r="AG374" s="1769" t="e">
        <f t="shared" si="53"/>
        <v>#VALUE!</v>
      </c>
      <c r="AI374" t="s">
        <v>4298</v>
      </c>
    </row>
    <row r="375" spans="3:35" ht="24.95" customHeight="1">
      <c r="C375" s="491">
        <v>368</v>
      </c>
      <c r="D375" s="1847"/>
      <c r="E375" s="1847"/>
      <c r="F375" s="1847" t="s">
        <v>4299</v>
      </c>
      <c r="G375" s="1847" t="s">
        <v>4299</v>
      </c>
      <c r="H375" s="1847" t="s">
        <v>4344</v>
      </c>
      <c r="I375" s="1847"/>
      <c r="J375" s="1847" t="s">
        <v>4137</v>
      </c>
      <c r="K375" s="1847" t="s">
        <v>2795</v>
      </c>
      <c r="L375" s="1847" t="s">
        <v>3935</v>
      </c>
      <c r="M375" s="1847" t="s">
        <v>4101</v>
      </c>
      <c r="N375" s="1847"/>
      <c r="O375" s="1847"/>
      <c r="P375" s="1852">
        <v>2.9</v>
      </c>
      <c r="Q375" s="1852">
        <v>3.5</v>
      </c>
      <c r="R375" s="483" t="e">
        <f>IF(H375="","",SUMIFS('[1]1_group_totals'!$J$8:$J$10000,'[1]1_group_totals'!$C$8:$C$10000,C375))</f>
        <v>#VALUE!</v>
      </c>
      <c r="S375" s="483">
        <f t="shared" si="45"/>
        <v>73</v>
      </c>
      <c r="T375" s="483">
        <v>10</v>
      </c>
      <c r="U375" s="510" t="e">
        <f t="shared" si="46"/>
        <v>#VALUE!</v>
      </c>
      <c r="V375" s="510">
        <v>1</v>
      </c>
      <c r="W375" s="510">
        <v>0</v>
      </c>
      <c r="X375" s="510">
        <v>0</v>
      </c>
      <c r="Y375" s="483">
        <v>1</v>
      </c>
      <c r="Z375" s="483">
        <v>1</v>
      </c>
      <c r="AA375" s="1847" t="e">
        <f t="shared" si="47"/>
        <v>#VALUE!</v>
      </c>
      <c r="AB375" s="1847">
        <f t="shared" si="48"/>
        <v>0.28999999999999998</v>
      </c>
      <c r="AC375" s="1847">
        <f t="shared" si="49"/>
        <v>0.35</v>
      </c>
      <c r="AD375" s="1847" t="e">
        <f t="shared" si="50"/>
        <v>#VALUE!</v>
      </c>
      <c r="AE375" s="1847" t="e">
        <f t="shared" si="51"/>
        <v>#VALUE!</v>
      </c>
      <c r="AF375" s="1823" t="e">
        <f t="shared" si="52"/>
        <v>#VALUE!</v>
      </c>
      <c r="AG375" s="1769" t="e">
        <f t="shared" si="53"/>
        <v>#VALUE!</v>
      </c>
      <c r="AI375" t="s">
        <v>4299</v>
      </c>
    </row>
    <row r="376" spans="3:35" ht="24.95" customHeight="1">
      <c r="C376" s="491">
        <v>369</v>
      </c>
      <c r="D376" s="1847"/>
      <c r="E376" s="1847"/>
      <c r="F376" s="1847" t="s">
        <v>4300</v>
      </c>
      <c r="G376" s="1847" t="s">
        <v>4300</v>
      </c>
      <c r="H376" s="1847" t="s">
        <v>4308</v>
      </c>
      <c r="I376" s="1847"/>
      <c r="J376" s="1847" t="s">
        <v>2783</v>
      </c>
      <c r="K376" s="1847" t="s">
        <v>3924</v>
      </c>
      <c r="L376" s="1847" t="s">
        <v>3935</v>
      </c>
      <c r="M376" s="1847" t="s">
        <v>3937</v>
      </c>
      <c r="N376" s="1847"/>
      <c r="O376" s="1847"/>
      <c r="P376" s="1852">
        <v>0.27</v>
      </c>
      <c r="Q376" s="1852">
        <v>0.35</v>
      </c>
      <c r="R376" s="483" t="e">
        <f>IF(H376="","",SUMIFS('[1]1_group_totals'!$J$8:$J$10000,'[1]1_group_totals'!$C$8:$C$10000,C376))</f>
        <v>#VALUE!</v>
      </c>
      <c r="S376" s="483">
        <f t="shared" si="45"/>
        <v>2</v>
      </c>
      <c r="T376" s="483">
        <v>1</v>
      </c>
      <c r="U376" s="510" t="e">
        <f t="shared" si="46"/>
        <v>#VALUE!</v>
      </c>
      <c r="V376" s="510">
        <v>1</v>
      </c>
      <c r="W376" s="510">
        <v>0</v>
      </c>
      <c r="X376" s="510">
        <v>0</v>
      </c>
      <c r="Y376" s="483">
        <v>1</v>
      </c>
      <c r="Z376" s="483">
        <v>1</v>
      </c>
      <c r="AA376" s="1847" t="e">
        <f t="shared" si="47"/>
        <v>#VALUE!</v>
      </c>
      <c r="AB376" s="1847">
        <f t="shared" si="48"/>
        <v>0.27</v>
      </c>
      <c r="AC376" s="1847">
        <f t="shared" si="49"/>
        <v>0.35</v>
      </c>
      <c r="AD376" s="1847" t="e">
        <f t="shared" si="50"/>
        <v>#VALUE!</v>
      </c>
      <c r="AE376" s="1847" t="e">
        <f t="shared" si="51"/>
        <v>#VALUE!</v>
      </c>
      <c r="AF376" s="1823" t="e">
        <f t="shared" si="52"/>
        <v>#VALUE!</v>
      </c>
      <c r="AG376" s="1769" t="e">
        <f t="shared" si="53"/>
        <v>#VALUE!</v>
      </c>
      <c r="AI376" t="s">
        <v>4300</v>
      </c>
    </row>
    <row r="377" spans="3:35" ht="24.95" customHeight="1">
      <c r="C377" s="491">
        <v>370</v>
      </c>
      <c r="D377" s="1847"/>
      <c r="E377" s="1847"/>
      <c r="F377" s="1847" t="s">
        <v>4301</v>
      </c>
      <c r="G377" s="1847" t="s">
        <v>4301</v>
      </c>
      <c r="H377" s="1847" t="s">
        <v>4317</v>
      </c>
      <c r="I377" s="1847"/>
      <c r="J377" s="1847" t="s">
        <v>2783</v>
      </c>
      <c r="K377" s="1847" t="s">
        <v>3924</v>
      </c>
      <c r="L377" s="1847" t="s">
        <v>3935</v>
      </c>
      <c r="M377" s="1847" t="s">
        <v>3937</v>
      </c>
      <c r="N377" s="1847"/>
      <c r="O377" s="1847"/>
      <c r="P377" s="1852">
        <v>0.3</v>
      </c>
      <c r="Q377" s="1852">
        <v>0.5</v>
      </c>
      <c r="R377" s="483" t="e">
        <f>IF(H377="","",SUMIFS('[1]1_group_totals'!$J$8:$J$10000,'[1]1_group_totals'!$C$8:$C$10000,C377))</f>
        <v>#VALUE!</v>
      </c>
      <c r="S377" s="483">
        <f t="shared" si="45"/>
        <v>2</v>
      </c>
      <c r="T377" s="483">
        <v>1</v>
      </c>
      <c r="U377" s="510" t="e">
        <f t="shared" si="46"/>
        <v>#VALUE!</v>
      </c>
      <c r="V377" s="510">
        <v>1</v>
      </c>
      <c r="W377" s="510">
        <v>0</v>
      </c>
      <c r="X377" s="510">
        <v>0</v>
      </c>
      <c r="Y377" s="483">
        <v>1</v>
      </c>
      <c r="Z377" s="483">
        <v>1</v>
      </c>
      <c r="AA377" s="1847" t="e">
        <f t="shared" si="47"/>
        <v>#VALUE!</v>
      </c>
      <c r="AB377" s="1847">
        <f t="shared" si="48"/>
        <v>0.3</v>
      </c>
      <c r="AC377" s="1847">
        <f t="shared" si="49"/>
        <v>0.5</v>
      </c>
      <c r="AD377" s="1847" t="e">
        <f t="shared" si="50"/>
        <v>#VALUE!</v>
      </c>
      <c r="AE377" s="1847" t="e">
        <f t="shared" si="51"/>
        <v>#VALUE!</v>
      </c>
      <c r="AF377" s="1823" t="e">
        <f t="shared" si="52"/>
        <v>#VALUE!</v>
      </c>
      <c r="AG377" s="1769" t="e">
        <f t="shared" si="53"/>
        <v>#VALUE!</v>
      </c>
      <c r="AI377" t="s">
        <v>4301</v>
      </c>
    </row>
    <row r="378" spans="3:35" ht="24.95" customHeight="1">
      <c r="C378" s="491">
        <v>371</v>
      </c>
      <c r="D378" s="1847"/>
      <c r="E378" s="1847"/>
      <c r="F378" s="1847" t="s">
        <v>4309</v>
      </c>
      <c r="G378" s="1847" t="s">
        <v>4309</v>
      </c>
      <c r="H378" s="1847" t="s">
        <v>4343</v>
      </c>
      <c r="I378" s="1847"/>
      <c r="J378" s="1847" t="s">
        <v>4362</v>
      </c>
      <c r="K378" s="1847" t="s">
        <v>3925</v>
      </c>
      <c r="L378" s="1847" t="s">
        <v>3935</v>
      </c>
      <c r="M378" s="1847" t="s">
        <v>4350</v>
      </c>
      <c r="N378" s="1847"/>
      <c r="O378" s="1847"/>
      <c r="P378" s="1852">
        <v>1.5</v>
      </c>
      <c r="Q378" s="1852">
        <v>2</v>
      </c>
      <c r="R378" s="483" t="e">
        <f>IF(H378="","",SUMIFS('[1]1_group_totals'!$J$8:$J$10000,'[1]1_group_totals'!$C$8:$C$10000,C378))</f>
        <v>#VALUE!</v>
      </c>
      <c r="S378" s="483">
        <f t="shared" si="45"/>
        <v>1</v>
      </c>
      <c r="T378" s="483">
        <v>1</v>
      </c>
      <c r="U378" s="510" t="e">
        <f t="shared" si="46"/>
        <v>#VALUE!</v>
      </c>
      <c r="V378" s="510">
        <v>1</v>
      </c>
      <c r="W378" s="510">
        <v>0</v>
      </c>
      <c r="X378" s="510">
        <v>0</v>
      </c>
      <c r="Y378" s="483">
        <v>1</v>
      </c>
      <c r="Z378" s="483">
        <v>1</v>
      </c>
      <c r="AA378" s="1847" t="e">
        <f t="shared" si="47"/>
        <v>#VALUE!</v>
      </c>
      <c r="AB378" s="1847">
        <f t="shared" si="48"/>
        <v>1.5</v>
      </c>
      <c r="AC378" s="1847">
        <f t="shared" si="49"/>
        <v>2</v>
      </c>
      <c r="AD378" s="1847" t="e">
        <f t="shared" si="50"/>
        <v>#VALUE!</v>
      </c>
      <c r="AE378" s="1847" t="e">
        <f t="shared" si="51"/>
        <v>#VALUE!</v>
      </c>
      <c r="AF378" s="1823" t="e">
        <f t="shared" si="52"/>
        <v>#VALUE!</v>
      </c>
      <c r="AG378" s="1769" t="e">
        <f t="shared" si="53"/>
        <v>#VALUE!</v>
      </c>
      <c r="AI378" t="s">
        <v>4309</v>
      </c>
    </row>
    <row r="379" spans="3:35" ht="24.95" customHeight="1">
      <c r="C379" s="491">
        <v>372</v>
      </c>
      <c r="D379" s="1847"/>
      <c r="E379" s="1847"/>
      <c r="F379" s="1847" t="s">
        <v>4310</v>
      </c>
      <c r="G379" s="1847" t="s">
        <v>4310</v>
      </c>
      <c r="H379" s="1847" t="s">
        <v>4335</v>
      </c>
      <c r="I379" s="1847"/>
      <c r="J379" s="1847" t="s">
        <v>2783</v>
      </c>
      <c r="K379" s="1847" t="s">
        <v>3925</v>
      </c>
      <c r="L379" s="1847" t="s">
        <v>3935</v>
      </c>
      <c r="M379" s="1847" t="s">
        <v>3937</v>
      </c>
      <c r="N379" s="1847"/>
      <c r="O379" s="1847"/>
      <c r="P379" s="1852">
        <v>2</v>
      </c>
      <c r="Q379" s="1852">
        <v>2.5</v>
      </c>
      <c r="R379" s="483" t="e">
        <f>IF(H379="","",SUMIFS('[1]1_group_totals'!$J$8:$J$10000,'[1]1_group_totals'!$C$8:$C$10000,C379))</f>
        <v>#VALUE!</v>
      </c>
      <c r="S379" s="483">
        <f t="shared" si="45"/>
        <v>2</v>
      </c>
      <c r="T379" s="483">
        <v>1</v>
      </c>
      <c r="U379" s="510" t="e">
        <f t="shared" si="46"/>
        <v>#VALUE!</v>
      </c>
      <c r="V379" s="510">
        <v>1</v>
      </c>
      <c r="W379" s="510">
        <v>0</v>
      </c>
      <c r="X379" s="510">
        <v>0</v>
      </c>
      <c r="Y379" s="483">
        <v>1</v>
      </c>
      <c r="Z379" s="483">
        <v>1</v>
      </c>
      <c r="AA379" s="1847" t="e">
        <f t="shared" si="47"/>
        <v>#VALUE!</v>
      </c>
      <c r="AB379" s="1847">
        <f t="shared" si="48"/>
        <v>2</v>
      </c>
      <c r="AC379" s="1847">
        <f t="shared" si="49"/>
        <v>2.5</v>
      </c>
      <c r="AD379" s="1847" t="e">
        <f t="shared" si="50"/>
        <v>#VALUE!</v>
      </c>
      <c r="AE379" s="1847" t="e">
        <f t="shared" si="51"/>
        <v>#VALUE!</v>
      </c>
      <c r="AF379" s="1823" t="e">
        <f t="shared" si="52"/>
        <v>#VALUE!</v>
      </c>
      <c r="AG379" s="1769" t="e">
        <f t="shared" si="53"/>
        <v>#VALUE!</v>
      </c>
      <c r="AI379" t="s">
        <v>4310</v>
      </c>
    </row>
    <row r="380" spans="3:35" ht="24.95" customHeight="1">
      <c r="C380" s="491">
        <v>373</v>
      </c>
      <c r="D380" s="1847"/>
      <c r="E380" s="1847"/>
      <c r="F380" s="1847" t="s">
        <v>4311</v>
      </c>
      <c r="G380" s="1847" t="s">
        <v>4311</v>
      </c>
      <c r="H380" s="1847" t="s">
        <v>4338</v>
      </c>
      <c r="I380" s="1847"/>
      <c r="J380" s="1847" t="s">
        <v>2782</v>
      </c>
      <c r="K380" s="1847" t="s">
        <v>3925</v>
      </c>
      <c r="L380" s="1847" t="s">
        <v>3935</v>
      </c>
      <c r="M380" s="1847" t="s">
        <v>4100</v>
      </c>
      <c r="N380" s="1847"/>
      <c r="O380" s="1847"/>
      <c r="P380" s="1852">
        <v>11</v>
      </c>
      <c r="Q380" s="1852">
        <v>12.5</v>
      </c>
      <c r="R380" s="483" t="e">
        <f>IF(H380="","",SUMIFS('[1]1_group_totals'!$J$8:$J$10000,'[1]1_group_totals'!$C$8:$C$10000,C380))</f>
        <v>#VALUE!</v>
      </c>
      <c r="S380" s="483">
        <f t="shared" si="45"/>
        <v>53</v>
      </c>
      <c r="T380" s="483">
        <v>4</v>
      </c>
      <c r="U380" s="510" t="e">
        <f t="shared" si="46"/>
        <v>#VALUE!</v>
      </c>
      <c r="V380" s="510">
        <v>1</v>
      </c>
      <c r="W380" s="510">
        <v>0</v>
      </c>
      <c r="X380" s="510">
        <v>0</v>
      </c>
      <c r="Y380" s="483">
        <v>1</v>
      </c>
      <c r="Z380" s="483">
        <v>1</v>
      </c>
      <c r="AA380" s="1847" t="e">
        <f t="shared" si="47"/>
        <v>#VALUE!</v>
      </c>
      <c r="AB380" s="1847">
        <f t="shared" si="48"/>
        <v>2.75</v>
      </c>
      <c r="AC380" s="1847">
        <f t="shared" si="49"/>
        <v>3.125</v>
      </c>
      <c r="AD380" s="1847" t="e">
        <f t="shared" si="50"/>
        <v>#VALUE!</v>
      </c>
      <c r="AE380" s="1847" t="e">
        <f t="shared" si="51"/>
        <v>#VALUE!</v>
      </c>
      <c r="AF380" s="1823" t="e">
        <f t="shared" si="52"/>
        <v>#VALUE!</v>
      </c>
      <c r="AG380" s="1769" t="e">
        <f t="shared" si="53"/>
        <v>#VALUE!</v>
      </c>
      <c r="AI380" t="s">
        <v>4311</v>
      </c>
    </row>
    <row r="381" spans="3:35" ht="24.95" customHeight="1">
      <c r="C381" s="491">
        <v>374</v>
      </c>
      <c r="D381" s="1847"/>
      <c r="E381" s="1847"/>
      <c r="F381" s="1847" t="s">
        <v>4312</v>
      </c>
      <c r="G381" s="1847" t="s">
        <v>4312</v>
      </c>
      <c r="H381" s="1847" t="s">
        <v>4318</v>
      </c>
      <c r="I381" s="1847"/>
      <c r="J381" s="1847" t="s">
        <v>2783</v>
      </c>
      <c r="K381" s="1847" t="s">
        <v>3925</v>
      </c>
      <c r="L381" s="1847" t="s">
        <v>3935</v>
      </c>
      <c r="M381" s="1847" t="s">
        <v>3937</v>
      </c>
      <c r="N381" s="1847"/>
      <c r="O381" s="1847"/>
      <c r="P381" s="1852">
        <v>5.0999999999999996</v>
      </c>
      <c r="Q381" s="1852">
        <v>7</v>
      </c>
      <c r="R381" s="483" t="e">
        <f>IF(H381="","",SUMIFS('[1]1_group_totals'!$J$8:$J$10000,'[1]1_group_totals'!$C$8:$C$10000,C381))</f>
        <v>#VALUE!</v>
      </c>
      <c r="S381" s="483">
        <f t="shared" si="45"/>
        <v>2</v>
      </c>
      <c r="T381" s="483">
        <v>1</v>
      </c>
      <c r="U381" s="510" t="e">
        <f t="shared" si="46"/>
        <v>#VALUE!</v>
      </c>
      <c r="V381" s="510">
        <v>1</v>
      </c>
      <c r="W381" s="510">
        <v>0</v>
      </c>
      <c r="X381" s="510">
        <v>0</v>
      </c>
      <c r="Y381" s="483">
        <v>1</v>
      </c>
      <c r="Z381" s="483">
        <v>1</v>
      </c>
      <c r="AA381" s="1847" t="e">
        <f t="shared" si="47"/>
        <v>#VALUE!</v>
      </c>
      <c r="AB381" s="1847">
        <f t="shared" si="48"/>
        <v>5.0999999999999996</v>
      </c>
      <c r="AC381" s="1847">
        <f t="shared" si="49"/>
        <v>7</v>
      </c>
      <c r="AD381" s="1847" t="e">
        <f t="shared" si="50"/>
        <v>#VALUE!</v>
      </c>
      <c r="AE381" s="1847" t="e">
        <f t="shared" si="51"/>
        <v>#VALUE!</v>
      </c>
      <c r="AF381" s="1823" t="e">
        <f t="shared" si="52"/>
        <v>#VALUE!</v>
      </c>
      <c r="AG381" s="1769" t="e">
        <f t="shared" si="53"/>
        <v>#VALUE!</v>
      </c>
      <c r="AI381" t="s">
        <v>4312</v>
      </c>
    </row>
    <row r="382" spans="3:35" ht="24.95" customHeight="1">
      <c r="C382" s="491">
        <v>375</v>
      </c>
      <c r="D382" s="1847"/>
      <c r="E382" s="1847"/>
      <c r="F382" s="1847" t="s">
        <v>4313</v>
      </c>
      <c r="G382" s="1847" t="s">
        <v>4313</v>
      </c>
      <c r="H382" s="1847" t="s">
        <v>4345</v>
      </c>
      <c r="I382" s="1847"/>
      <c r="J382" s="1847" t="s">
        <v>2783</v>
      </c>
      <c r="K382" s="1847" t="s">
        <v>3925</v>
      </c>
      <c r="L382" s="1847" t="s">
        <v>3935</v>
      </c>
      <c r="M382" s="1847" t="s">
        <v>3937</v>
      </c>
      <c r="N382" s="1847"/>
      <c r="O382" s="1847"/>
      <c r="P382" s="1852">
        <v>2.6</v>
      </c>
      <c r="Q382" s="1852">
        <v>3</v>
      </c>
      <c r="R382" s="483" t="e">
        <f>IF(H382="","",SUMIFS('[1]1_group_totals'!$J$8:$J$10000,'[1]1_group_totals'!$C$8:$C$10000,C382))</f>
        <v>#VALUE!</v>
      </c>
      <c r="S382" s="483">
        <f t="shared" si="45"/>
        <v>2</v>
      </c>
      <c r="T382" s="483">
        <v>1</v>
      </c>
      <c r="U382" s="510" t="e">
        <f t="shared" si="46"/>
        <v>#VALUE!</v>
      </c>
      <c r="V382" s="510">
        <v>1</v>
      </c>
      <c r="W382" s="510">
        <v>0</v>
      </c>
      <c r="X382" s="510">
        <v>0</v>
      </c>
      <c r="Y382" s="483">
        <v>1</v>
      </c>
      <c r="Z382" s="483">
        <v>1</v>
      </c>
      <c r="AA382" s="1847" t="e">
        <f t="shared" si="47"/>
        <v>#VALUE!</v>
      </c>
      <c r="AB382" s="1847">
        <f t="shared" si="48"/>
        <v>2.6</v>
      </c>
      <c r="AC382" s="1847">
        <f t="shared" si="49"/>
        <v>3</v>
      </c>
      <c r="AD382" s="1847" t="e">
        <f t="shared" si="50"/>
        <v>#VALUE!</v>
      </c>
      <c r="AE382" s="1847" t="e">
        <f t="shared" si="51"/>
        <v>#VALUE!</v>
      </c>
      <c r="AF382" s="1823" t="e">
        <f t="shared" si="52"/>
        <v>#VALUE!</v>
      </c>
      <c r="AG382" s="1769" t="e">
        <f t="shared" si="53"/>
        <v>#VALUE!</v>
      </c>
      <c r="AI382" t="s">
        <v>4313</v>
      </c>
    </row>
    <row r="383" spans="3:35" ht="24.95" customHeight="1">
      <c r="C383" s="491">
        <v>376</v>
      </c>
      <c r="D383" s="1847"/>
      <c r="E383" s="1847"/>
      <c r="F383" s="1847" t="s">
        <v>4314</v>
      </c>
      <c r="G383" s="1847" t="s">
        <v>4314</v>
      </c>
      <c r="H383" s="1847" t="s">
        <v>4337</v>
      </c>
      <c r="I383" s="1847"/>
      <c r="J383" s="1847" t="s">
        <v>4360</v>
      </c>
      <c r="K383" s="1847" t="s">
        <v>3926</v>
      </c>
      <c r="L383" s="1847" t="s">
        <v>3935</v>
      </c>
      <c r="M383" s="1847" t="s">
        <v>4351</v>
      </c>
      <c r="N383" s="1847"/>
      <c r="O383" s="1847"/>
      <c r="P383" s="1852">
        <v>12</v>
      </c>
      <c r="Q383" s="1852">
        <v>13</v>
      </c>
      <c r="R383" s="483" t="e">
        <f>IF(H383="","",SUMIFS('[1]1_group_totals'!$J$8:$J$10000,'[1]1_group_totals'!$C$8:$C$10000,C383))</f>
        <v>#VALUE!</v>
      </c>
      <c r="S383" s="483">
        <f t="shared" si="45"/>
        <v>87</v>
      </c>
      <c r="T383" s="483">
        <v>10</v>
      </c>
      <c r="U383" s="510" t="e">
        <f t="shared" si="46"/>
        <v>#VALUE!</v>
      </c>
      <c r="V383" s="510">
        <v>1</v>
      </c>
      <c r="W383" s="510">
        <v>0</v>
      </c>
      <c r="X383" s="510">
        <v>0</v>
      </c>
      <c r="Y383" s="483">
        <v>1</v>
      </c>
      <c r="Z383" s="483">
        <v>1</v>
      </c>
      <c r="AA383" s="1847" t="e">
        <f t="shared" si="47"/>
        <v>#VALUE!</v>
      </c>
      <c r="AB383" s="1847">
        <f t="shared" si="48"/>
        <v>1.2</v>
      </c>
      <c r="AC383" s="1847">
        <f t="shared" si="49"/>
        <v>1.3</v>
      </c>
      <c r="AD383" s="1847" t="e">
        <f t="shared" si="50"/>
        <v>#VALUE!</v>
      </c>
      <c r="AE383" s="1847" t="e">
        <f t="shared" si="51"/>
        <v>#VALUE!</v>
      </c>
      <c r="AF383" s="1823" t="e">
        <f t="shared" si="52"/>
        <v>#VALUE!</v>
      </c>
      <c r="AG383" s="1769" t="e">
        <f t="shared" si="53"/>
        <v>#VALUE!</v>
      </c>
      <c r="AI383" t="s">
        <v>4314</v>
      </c>
    </row>
    <row r="384" spans="3:35" ht="24.95" customHeight="1">
      <c r="C384" s="491">
        <v>377</v>
      </c>
      <c r="D384" s="1847"/>
      <c r="E384" s="1847"/>
      <c r="F384" s="1847" t="s">
        <v>4315</v>
      </c>
      <c r="G384" s="1847" t="s">
        <v>4315</v>
      </c>
      <c r="H384" s="1847" t="s">
        <v>4332</v>
      </c>
      <c r="I384" s="1847"/>
      <c r="J384" s="1847" t="s">
        <v>3915</v>
      </c>
      <c r="K384" s="1847" t="s">
        <v>3926</v>
      </c>
      <c r="L384" s="1847" t="s">
        <v>3935</v>
      </c>
      <c r="M384" s="1847" t="s">
        <v>4110</v>
      </c>
      <c r="N384" s="1847"/>
      <c r="O384" s="1847"/>
      <c r="P384" s="1852">
        <v>34.5</v>
      </c>
      <c r="Q384" s="1852">
        <v>36</v>
      </c>
      <c r="R384" s="483" t="e">
        <f>IF(H384="","",SUMIFS('[1]1_group_totals'!$J$8:$J$10000,'[1]1_group_totals'!$C$8:$C$10000,C384))</f>
        <v>#VALUE!</v>
      </c>
      <c r="S384" s="483">
        <f t="shared" si="45"/>
        <v>66</v>
      </c>
      <c r="T384" s="483">
        <v>80</v>
      </c>
      <c r="U384" s="510" t="e">
        <f t="shared" si="46"/>
        <v>#VALUE!</v>
      </c>
      <c r="V384" s="510">
        <v>1</v>
      </c>
      <c r="W384" s="510">
        <v>0</v>
      </c>
      <c r="X384" s="510">
        <v>0</v>
      </c>
      <c r="Y384" s="483">
        <v>1</v>
      </c>
      <c r="Z384" s="483">
        <v>1</v>
      </c>
      <c r="AA384" s="1847" t="e">
        <f t="shared" si="47"/>
        <v>#VALUE!</v>
      </c>
      <c r="AB384" s="1847">
        <f t="shared" si="48"/>
        <v>0.43125000000000002</v>
      </c>
      <c r="AC384" s="1847">
        <f t="shared" si="49"/>
        <v>0.45</v>
      </c>
      <c r="AD384" s="1847" t="e">
        <f t="shared" si="50"/>
        <v>#VALUE!</v>
      </c>
      <c r="AE384" s="1847" t="e">
        <f t="shared" si="51"/>
        <v>#VALUE!</v>
      </c>
      <c r="AF384" s="1823" t="e">
        <f t="shared" si="52"/>
        <v>#VALUE!</v>
      </c>
      <c r="AG384" s="1769" t="e">
        <f t="shared" si="53"/>
        <v>#VALUE!</v>
      </c>
      <c r="AI384" t="s">
        <v>4315</v>
      </c>
    </row>
    <row r="385" spans="3:35" ht="24.95" customHeight="1">
      <c r="C385" s="491">
        <v>378</v>
      </c>
      <c r="D385" s="1847"/>
      <c r="E385" s="1847"/>
      <c r="F385" s="1847" t="s">
        <v>4316</v>
      </c>
      <c r="G385" s="1847" t="s">
        <v>4316</v>
      </c>
      <c r="H385" s="1847" t="s">
        <v>4336</v>
      </c>
      <c r="I385" s="1847"/>
      <c r="J385" s="1847" t="s">
        <v>2783</v>
      </c>
      <c r="K385" s="1847" t="s">
        <v>3926</v>
      </c>
      <c r="L385" s="1847" t="s">
        <v>3935</v>
      </c>
      <c r="M385" s="1847" t="s">
        <v>3937</v>
      </c>
      <c r="N385" s="1847"/>
      <c r="O385" s="1847"/>
      <c r="P385" s="1852">
        <v>0.75</v>
      </c>
      <c r="Q385" s="1852">
        <v>1</v>
      </c>
      <c r="R385" s="483" t="e">
        <f>IF(H385="","",SUMIFS('[1]1_group_totals'!$J$8:$J$10000,'[1]1_group_totals'!$C$8:$C$10000,C385))</f>
        <v>#VALUE!</v>
      </c>
      <c r="S385" s="483">
        <f t="shared" si="45"/>
        <v>2</v>
      </c>
      <c r="T385" s="483">
        <v>1</v>
      </c>
      <c r="U385" s="510" t="e">
        <f t="shared" si="46"/>
        <v>#VALUE!</v>
      </c>
      <c r="V385" s="510">
        <v>1</v>
      </c>
      <c r="W385" s="510">
        <v>0</v>
      </c>
      <c r="X385" s="510">
        <v>0</v>
      </c>
      <c r="Y385" s="483">
        <v>1</v>
      </c>
      <c r="Z385" s="483">
        <v>1</v>
      </c>
      <c r="AA385" s="1847" t="e">
        <f t="shared" si="47"/>
        <v>#VALUE!</v>
      </c>
      <c r="AB385" s="1847">
        <f t="shared" si="48"/>
        <v>0.75</v>
      </c>
      <c r="AC385" s="1847">
        <f t="shared" si="49"/>
        <v>1</v>
      </c>
      <c r="AD385" s="1847" t="e">
        <f t="shared" si="50"/>
        <v>#VALUE!</v>
      </c>
      <c r="AE385" s="1847" t="e">
        <f t="shared" si="51"/>
        <v>#VALUE!</v>
      </c>
      <c r="AF385" s="1823" t="e">
        <f t="shared" si="52"/>
        <v>#VALUE!</v>
      </c>
      <c r="AG385" s="1769" t="e">
        <f t="shared" si="53"/>
        <v>#VALUE!</v>
      </c>
      <c r="AI385" t="s">
        <v>4316</v>
      </c>
    </row>
    <row r="386" spans="3:35" ht="24.95" customHeight="1">
      <c r="C386" s="491">
        <v>379</v>
      </c>
      <c r="D386" s="1847"/>
      <c r="E386" s="1847"/>
      <c r="F386" s="1847" t="s">
        <v>4325</v>
      </c>
      <c r="G386" s="1847" t="s">
        <v>4325</v>
      </c>
      <c r="H386" s="1847" t="s">
        <v>4307</v>
      </c>
      <c r="I386" s="1847"/>
      <c r="J386" s="1847" t="s">
        <v>2783</v>
      </c>
      <c r="K386" s="1847" t="s">
        <v>3926</v>
      </c>
      <c r="L386" s="1847" t="s">
        <v>3935</v>
      </c>
      <c r="M386" s="1847" t="s">
        <v>4363</v>
      </c>
      <c r="N386" s="1847"/>
      <c r="O386" s="1847"/>
      <c r="P386" s="1852">
        <v>6.2</v>
      </c>
      <c r="Q386" s="1852">
        <v>7.5</v>
      </c>
      <c r="R386" s="483" t="e">
        <f>IF(H386="","",SUMIFS('[1]1_group_totals'!$J$8:$J$10000,'[1]1_group_totals'!$C$8:$C$10000,C386))</f>
        <v>#VALUE!</v>
      </c>
      <c r="S386" s="483">
        <f t="shared" si="45"/>
        <v>2</v>
      </c>
      <c r="T386" s="483">
        <v>1</v>
      </c>
      <c r="U386" s="510" t="e">
        <f t="shared" si="46"/>
        <v>#VALUE!</v>
      </c>
      <c r="V386" s="510">
        <v>1</v>
      </c>
      <c r="W386" s="510">
        <v>0</v>
      </c>
      <c r="X386" s="510">
        <v>0</v>
      </c>
      <c r="Y386" s="483">
        <v>1</v>
      </c>
      <c r="Z386" s="483">
        <v>1</v>
      </c>
      <c r="AA386" s="1847" t="e">
        <f t="shared" si="47"/>
        <v>#VALUE!</v>
      </c>
      <c r="AB386" s="1847">
        <f t="shared" si="48"/>
        <v>6.2</v>
      </c>
      <c r="AC386" s="1847">
        <f t="shared" si="49"/>
        <v>7.5</v>
      </c>
      <c r="AD386" s="1847" t="e">
        <f t="shared" si="50"/>
        <v>#VALUE!</v>
      </c>
      <c r="AE386" s="1847" t="e">
        <f t="shared" si="51"/>
        <v>#VALUE!</v>
      </c>
      <c r="AF386" s="1823" t="e">
        <f t="shared" si="52"/>
        <v>#VALUE!</v>
      </c>
      <c r="AG386" s="1769" t="e">
        <f t="shared" si="53"/>
        <v>#VALUE!</v>
      </c>
      <c r="AI386" t="s">
        <v>4325</v>
      </c>
    </row>
    <row r="387" spans="3:35" ht="24.95" customHeight="1">
      <c r="C387" s="491">
        <v>380</v>
      </c>
      <c r="D387" s="1847"/>
      <c r="E387" s="1847"/>
      <c r="F387" s="1847" t="s">
        <v>4326</v>
      </c>
      <c r="G387" s="1847" t="s">
        <v>4326</v>
      </c>
      <c r="H387" s="1847" t="s">
        <v>4306</v>
      </c>
      <c r="I387" s="1847"/>
      <c r="J387" s="1847" t="s">
        <v>4361</v>
      </c>
      <c r="K387" s="1847" t="s">
        <v>3928</v>
      </c>
      <c r="L387" s="1847" t="s">
        <v>3935</v>
      </c>
      <c r="M387" s="1847" t="s">
        <v>4352</v>
      </c>
      <c r="N387" s="1847"/>
      <c r="O387" s="1847"/>
      <c r="P387" s="1852">
        <v>16</v>
      </c>
      <c r="Q387" s="1852">
        <v>17</v>
      </c>
      <c r="R387" s="483" t="e">
        <f>IF(H387="","",SUMIFS('[1]1_group_totals'!$J$8:$J$10000,'[1]1_group_totals'!$C$8:$C$10000,C387))</f>
        <v>#VALUE!</v>
      </c>
      <c r="S387" s="483">
        <f t="shared" si="45"/>
        <v>88</v>
      </c>
      <c r="T387" s="483">
        <v>24</v>
      </c>
      <c r="U387" s="510" t="e">
        <f t="shared" si="46"/>
        <v>#VALUE!</v>
      </c>
      <c r="V387" s="510">
        <v>1</v>
      </c>
      <c r="W387" s="510">
        <v>0</v>
      </c>
      <c r="X387" s="510">
        <v>0</v>
      </c>
      <c r="Y387" s="483">
        <v>1</v>
      </c>
      <c r="Z387" s="483">
        <v>1</v>
      </c>
      <c r="AA387" s="1847" t="e">
        <f t="shared" si="47"/>
        <v>#VALUE!</v>
      </c>
      <c r="AB387" s="1847">
        <f t="shared" si="48"/>
        <v>0.66666666666666663</v>
      </c>
      <c r="AC387" s="1847">
        <f t="shared" si="49"/>
        <v>0.70833333333333337</v>
      </c>
      <c r="AD387" s="1847" t="e">
        <f t="shared" si="50"/>
        <v>#VALUE!</v>
      </c>
      <c r="AE387" s="1847" t="e">
        <f t="shared" si="51"/>
        <v>#VALUE!</v>
      </c>
      <c r="AF387" s="1823" t="e">
        <f t="shared" si="52"/>
        <v>#VALUE!</v>
      </c>
      <c r="AG387" s="1769" t="e">
        <f t="shared" si="53"/>
        <v>#VALUE!</v>
      </c>
      <c r="AI387" t="s">
        <v>4326</v>
      </c>
    </row>
    <row r="388" spans="3:35" ht="24.95" customHeight="1">
      <c r="C388" s="491">
        <v>381</v>
      </c>
      <c r="D388" s="1847"/>
      <c r="E388" s="1847"/>
      <c r="F388" s="1847" t="s">
        <v>4327</v>
      </c>
      <c r="G388" s="1847" t="s">
        <v>4327</v>
      </c>
      <c r="H388" s="1847" t="s">
        <v>4305</v>
      </c>
      <c r="I388" s="1847"/>
      <c r="J388" s="1847" t="s">
        <v>4353</v>
      </c>
      <c r="K388" s="1847" t="s">
        <v>3928</v>
      </c>
      <c r="L388" s="1847" t="s">
        <v>3935</v>
      </c>
      <c r="M388" s="1847" t="s">
        <v>4364</v>
      </c>
      <c r="N388" s="1847"/>
      <c r="O388" s="1847"/>
      <c r="P388" s="1852">
        <v>6</v>
      </c>
      <c r="Q388" s="1852">
        <v>7</v>
      </c>
      <c r="R388" s="483" t="e">
        <f>IF(H388="","",SUMIFS('[1]1_group_totals'!$J$8:$J$10000,'[1]1_group_totals'!$C$8:$C$10000,C388))</f>
        <v>#VALUE!</v>
      </c>
      <c r="S388" s="483">
        <f t="shared" si="45"/>
        <v>3</v>
      </c>
      <c r="T388" s="483">
        <v>1</v>
      </c>
      <c r="U388" s="510" t="e">
        <f t="shared" si="46"/>
        <v>#VALUE!</v>
      </c>
      <c r="V388" s="510">
        <v>1</v>
      </c>
      <c r="W388" s="510">
        <v>0</v>
      </c>
      <c r="X388" s="510">
        <v>0</v>
      </c>
      <c r="Y388" s="483">
        <v>1</v>
      </c>
      <c r="Z388" s="483">
        <v>1</v>
      </c>
      <c r="AA388" s="1847" t="e">
        <f t="shared" si="47"/>
        <v>#VALUE!</v>
      </c>
      <c r="AB388" s="1847">
        <f t="shared" si="48"/>
        <v>6</v>
      </c>
      <c r="AC388" s="1847">
        <f t="shared" si="49"/>
        <v>7</v>
      </c>
      <c r="AD388" s="1847" t="e">
        <f t="shared" si="50"/>
        <v>#VALUE!</v>
      </c>
      <c r="AE388" s="1847" t="e">
        <f t="shared" si="51"/>
        <v>#VALUE!</v>
      </c>
      <c r="AF388" s="1823" t="e">
        <f t="shared" si="52"/>
        <v>#VALUE!</v>
      </c>
      <c r="AG388" s="1769" t="e">
        <f t="shared" si="53"/>
        <v>#VALUE!</v>
      </c>
      <c r="AI388" t="s">
        <v>4327</v>
      </c>
    </row>
    <row r="389" spans="3:35" ht="24.95" customHeight="1">
      <c r="C389" s="491">
        <v>382</v>
      </c>
      <c r="D389" s="1847"/>
      <c r="E389" s="1847"/>
      <c r="F389" s="1847" t="s">
        <v>4328</v>
      </c>
      <c r="G389" s="1847" t="s">
        <v>4328</v>
      </c>
      <c r="H389" s="1847" t="s">
        <v>4347</v>
      </c>
      <c r="I389" s="1847"/>
      <c r="J389" s="1847" t="s">
        <v>4362</v>
      </c>
      <c r="K389" s="1847" t="s">
        <v>3928</v>
      </c>
      <c r="L389" s="1847" t="s">
        <v>3935</v>
      </c>
      <c r="M389" s="1847" t="s">
        <v>4111</v>
      </c>
      <c r="N389" s="1847"/>
      <c r="O389" s="1847"/>
      <c r="P389" s="1852">
        <v>4</v>
      </c>
      <c r="Q389" s="1852">
        <v>4.5</v>
      </c>
      <c r="R389" s="483" t="e">
        <f>IF(H389="","",SUMIFS('[1]1_group_totals'!$J$8:$J$10000,'[1]1_group_totals'!$C$8:$C$10000,C389))</f>
        <v>#VALUE!</v>
      </c>
      <c r="S389" s="483">
        <f t="shared" si="45"/>
        <v>1</v>
      </c>
      <c r="T389" s="483">
        <v>1</v>
      </c>
      <c r="U389" s="510" t="e">
        <f t="shared" si="46"/>
        <v>#VALUE!</v>
      </c>
      <c r="V389" s="510">
        <v>1</v>
      </c>
      <c r="W389" s="510">
        <v>0</v>
      </c>
      <c r="X389" s="510">
        <v>0</v>
      </c>
      <c r="Y389" s="483">
        <v>1</v>
      </c>
      <c r="Z389" s="483">
        <v>1</v>
      </c>
      <c r="AA389" s="1847" t="e">
        <f t="shared" si="47"/>
        <v>#VALUE!</v>
      </c>
      <c r="AB389" s="1847">
        <f t="shared" si="48"/>
        <v>4</v>
      </c>
      <c r="AC389" s="1847">
        <f t="shared" si="49"/>
        <v>4.5</v>
      </c>
      <c r="AD389" s="1847" t="e">
        <f t="shared" si="50"/>
        <v>#VALUE!</v>
      </c>
      <c r="AE389" s="1847" t="e">
        <f t="shared" si="51"/>
        <v>#VALUE!</v>
      </c>
      <c r="AF389" s="1823" t="e">
        <f t="shared" si="52"/>
        <v>#VALUE!</v>
      </c>
      <c r="AG389" s="1769" t="e">
        <f t="shared" si="53"/>
        <v>#VALUE!</v>
      </c>
      <c r="AI389" t="s">
        <v>4328</v>
      </c>
    </row>
    <row r="390" spans="3:35" ht="24.95" customHeight="1">
      <c r="C390" s="491">
        <v>383</v>
      </c>
      <c r="D390" s="1847"/>
      <c r="E390" s="1847"/>
      <c r="F390" s="1847" t="s">
        <v>4329</v>
      </c>
      <c r="G390" s="1847" t="s">
        <v>4329</v>
      </c>
      <c r="H390" s="1847" t="s">
        <v>4348</v>
      </c>
      <c r="I390" s="1847"/>
      <c r="J390" s="1847" t="s">
        <v>4362</v>
      </c>
      <c r="K390" s="1847" t="s">
        <v>3928</v>
      </c>
      <c r="L390" s="1847" t="s">
        <v>3935</v>
      </c>
      <c r="M390" s="1847" t="s">
        <v>4111</v>
      </c>
      <c r="N390" s="1847"/>
      <c r="O390" s="1847"/>
      <c r="P390" s="1852">
        <v>4</v>
      </c>
      <c r="Q390" s="1852">
        <v>4.5</v>
      </c>
      <c r="R390" s="483" t="e">
        <f>IF(H390="","",SUMIFS('[1]1_group_totals'!$J$8:$J$10000,'[1]1_group_totals'!$C$8:$C$10000,C390))</f>
        <v>#VALUE!</v>
      </c>
      <c r="S390" s="483">
        <f t="shared" si="45"/>
        <v>1</v>
      </c>
      <c r="T390" s="483">
        <v>1</v>
      </c>
      <c r="U390" s="510" t="e">
        <f t="shared" si="46"/>
        <v>#VALUE!</v>
      </c>
      <c r="V390" s="510">
        <v>1</v>
      </c>
      <c r="W390" s="510">
        <v>0</v>
      </c>
      <c r="X390" s="510">
        <v>0</v>
      </c>
      <c r="Y390" s="483">
        <v>1</v>
      </c>
      <c r="Z390" s="483">
        <v>1</v>
      </c>
      <c r="AA390" s="1847" t="e">
        <f t="shared" si="47"/>
        <v>#VALUE!</v>
      </c>
      <c r="AB390" s="1847">
        <f t="shared" si="48"/>
        <v>4</v>
      </c>
      <c r="AC390" s="1847">
        <f t="shared" si="49"/>
        <v>4.5</v>
      </c>
      <c r="AD390" s="1847" t="e">
        <f t="shared" si="50"/>
        <v>#VALUE!</v>
      </c>
      <c r="AE390" s="1847" t="e">
        <f t="shared" si="51"/>
        <v>#VALUE!</v>
      </c>
      <c r="AF390" s="1823" t="e">
        <f t="shared" si="52"/>
        <v>#VALUE!</v>
      </c>
      <c r="AG390" s="1769" t="e">
        <f t="shared" si="53"/>
        <v>#VALUE!</v>
      </c>
      <c r="AI390" t="s">
        <v>4329</v>
      </c>
    </row>
    <row r="391" spans="3:35" ht="24.95" customHeight="1">
      <c r="C391" s="491">
        <v>384</v>
      </c>
      <c r="D391" s="1847"/>
      <c r="E391" s="1847"/>
      <c r="F391" s="1847" t="s">
        <v>4330</v>
      </c>
      <c r="G391" s="1847" t="s">
        <v>4330</v>
      </c>
      <c r="H391" s="1847" t="s">
        <v>4302</v>
      </c>
      <c r="I391" s="1847"/>
      <c r="J391" s="1847" t="s">
        <v>4362</v>
      </c>
      <c r="K391" s="1847" t="s">
        <v>3928</v>
      </c>
      <c r="L391" s="1847" t="s">
        <v>3935</v>
      </c>
      <c r="M391" s="1847" t="s">
        <v>4111</v>
      </c>
      <c r="N391" s="1847"/>
      <c r="O391" s="1847"/>
      <c r="P391" s="1852">
        <v>6.5</v>
      </c>
      <c r="Q391" s="1852">
        <v>7.5</v>
      </c>
      <c r="R391" s="483" t="e">
        <f>IF(H391="","",SUMIFS('[1]1_group_totals'!$J$8:$J$10000,'[1]1_group_totals'!$C$8:$C$10000,C391))</f>
        <v>#VALUE!</v>
      </c>
      <c r="S391" s="483">
        <f t="shared" si="45"/>
        <v>1</v>
      </c>
      <c r="T391" s="483">
        <v>1</v>
      </c>
      <c r="U391" s="510" t="e">
        <f t="shared" si="46"/>
        <v>#VALUE!</v>
      </c>
      <c r="V391" s="510">
        <v>1</v>
      </c>
      <c r="W391" s="510">
        <v>0</v>
      </c>
      <c r="X391" s="510">
        <v>0</v>
      </c>
      <c r="Y391" s="483">
        <v>1</v>
      </c>
      <c r="Z391" s="483">
        <v>1</v>
      </c>
      <c r="AA391" s="1847" t="e">
        <f t="shared" si="47"/>
        <v>#VALUE!</v>
      </c>
      <c r="AB391" s="1847">
        <f t="shared" si="48"/>
        <v>6.5</v>
      </c>
      <c r="AC391" s="1847">
        <f t="shared" si="49"/>
        <v>7.5</v>
      </c>
      <c r="AD391" s="1847" t="e">
        <f t="shared" si="50"/>
        <v>#VALUE!</v>
      </c>
      <c r="AE391" s="1847" t="e">
        <f t="shared" si="51"/>
        <v>#VALUE!</v>
      </c>
      <c r="AF391" s="1823" t="e">
        <f t="shared" si="52"/>
        <v>#VALUE!</v>
      </c>
      <c r="AG391" s="1769" t="e">
        <f t="shared" si="53"/>
        <v>#VALUE!</v>
      </c>
      <c r="AI391" t="s">
        <v>4330</v>
      </c>
    </row>
    <row r="392" spans="3:35" ht="24.95" customHeight="1">
      <c r="C392" s="491">
        <v>385</v>
      </c>
      <c r="D392" s="1847"/>
      <c r="E392" s="1847"/>
      <c r="F392" s="1847" t="s">
        <v>4331</v>
      </c>
      <c r="G392" s="1847" t="s">
        <v>4331</v>
      </c>
      <c r="H392" s="1847" t="s">
        <v>4303</v>
      </c>
      <c r="I392" s="1847"/>
      <c r="J392" s="1847" t="s">
        <v>4362</v>
      </c>
      <c r="K392" s="1847" t="s">
        <v>3928</v>
      </c>
      <c r="L392" s="1847" t="s">
        <v>3935</v>
      </c>
      <c r="M392" s="1847" t="s">
        <v>4111</v>
      </c>
      <c r="N392" s="1847"/>
      <c r="O392" s="1847"/>
      <c r="P392" s="1852">
        <v>6.5</v>
      </c>
      <c r="Q392" s="1852">
        <v>7.5</v>
      </c>
      <c r="R392" s="483" t="e">
        <f>IF(H392="","",SUMIFS('[1]1_group_totals'!$J$8:$J$10000,'[1]1_group_totals'!$C$8:$C$10000,C392))</f>
        <v>#VALUE!</v>
      </c>
      <c r="S392" s="483">
        <f t="shared" ref="S392:S455" si="54">IF(J392="","",MID(J392,1,3)*1)</f>
        <v>1</v>
      </c>
      <c r="T392" s="483">
        <v>1</v>
      </c>
      <c r="U392" s="510" t="e">
        <f t="shared" ref="U392:U455" si="55">getStockAvariableByUom(C392,R392,T392,Z392,S392)</f>
        <v>#VALUE!</v>
      </c>
      <c r="V392" s="510">
        <v>1</v>
      </c>
      <c r="W392" s="510">
        <v>0</v>
      </c>
      <c r="X392" s="510">
        <v>0</v>
      </c>
      <c r="Y392" s="483">
        <v>1</v>
      </c>
      <c r="Z392" s="483">
        <v>1</v>
      </c>
      <c r="AA392" s="1847" t="e">
        <f t="shared" ref="AA392:AA455" si="56">IF(AND(C392&lt;&gt;"",H392&lt;&gt;"",R392&gt;0),TEXT(C392,"00000")&amp;"."&amp;H392&amp;" | "&amp;F392&amp;" | Cost : "&amp;P392&amp;" "&amp;product_currency&amp;" | Price : "&amp;Q392&amp;" "&amp;product_currency&amp;" | Stock Ending : "&amp;U392,"")</f>
        <v>#VALUE!</v>
      </c>
      <c r="AB392" s="1847">
        <f t="shared" ref="AB392:AB455" si="57">P392/T392</f>
        <v>6.5</v>
      </c>
      <c r="AC392" s="1847">
        <f t="shared" ref="AC392:AC455" si="58">Q392/T392</f>
        <v>7.5</v>
      </c>
      <c r="AD392" s="1847" t="e">
        <f t="shared" ref="AD392:AD455" si="59">IF(R392&gt;0,R392*AB392,"")</f>
        <v>#VALUE!</v>
      </c>
      <c r="AE392" s="1847" t="e">
        <f t="shared" ref="AE392:AE455" si="60">IF(R392&gt;0,R392*AC392,"")</f>
        <v>#VALUE!</v>
      </c>
      <c r="AF392" s="1823" t="e">
        <f t="shared" ref="AF392:AF441" si="61">IF(R392&lt;0,R392*AB392,"")</f>
        <v>#VALUE!</v>
      </c>
      <c r="AG392" s="1769" t="e">
        <f t="shared" ref="AG392:AG441" si="62">IF(R392&lt;0,R392*AC392,"")</f>
        <v>#VALUE!</v>
      </c>
      <c r="AI392" t="s">
        <v>4331</v>
      </c>
    </row>
    <row r="393" spans="3:35" ht="24.95" customHeight="1">
      <c r="C393" s="491">
        <v>386</v>
      </c>
      <c r="D393" s="1847"/>
      <c r="E393" s="1847"/>
      <c r="F393" s="1847" t="s">
        <v>4339</v>
      </c>
      <c r="G393" s="1847" t="s">
        <v>4339</v>
      </c>
      <c r="H393" s="1847" t="s">
        <v>4304</v>
      </c>
      <c r="I393" s="1847"/>
      <c r="J393" s="1847" t="s">
        <v>4362</v>
      </c>
      <c r="K393" s="1847" t="s">
        <v>3928</v>
      </c>
      <c r="L393" s="1847" t="s">
        <v>3935</v>
      </c>
      <c r="M393" s="1847" t="s">
        <v>4111</v>
      </c>
      <c r="N393" s="1847"/>
      <c r="O393" s="1847"/>
      <c r="P393" s="1852">
        <v>6.5</v>
      </c>
      <c r="Q393" s="1852">
        <v>7</v>
      </c>
      <c r="R393" s="483" t="e">
        <f>IF(H393="","",SUMIFS('[1]1_group_totals'!$J$8:$J$10000,'[1]1_group_totals'!$C$8:$C$10000,C393))</f>
        <v>#VALUE!</v>
      </c>
      <c r="S393" s="483">
        <f t="shared" si="54"/>
        <v>1</v>
      </c>
      <c r="T393" s="483">
        <v>1</v>
      </c>
      <c r="U393" s="510" t="e">
        <f t="shared" si="55"/>
        <v>#VALUE!</v>
      </c>
      <c r="V393" s="510">
        <v>1</v>
      </c>
      <c r="W393" s="510">
        <v>0</v>
      </c>
      <c r="X393" s="510">
        <v>0</v>
      </c>
      <c r="Y393" s="483">
        <v>1</v>
      </c>
      <c r="Z393" s="483">
        <v>1</v>
      </c>
      <c r="AA393" s="1847" t="e">
        <f t="shared" si="56"/>
        <v>#VALUE!</v>
      </c>
      <c r="AB393" s="1847">
        <f t="shared" si="57"/>
        <v>6.5</v>
      </c>
      <c r="AC393" s="1847">
        <f t="shared" si="58"/>
        <v>7</v>
      </c>
      <c r="AD393" s="1847" t="e">
        <f t="shared" si="59"/>
        <v>#VALUE!</v>
      </c>
      <c r="AE393" s="1847" t="e">
        <f t="shared" si="60"/>
        <v>#VALUE!</v>
      </c>
      <c r="AF393" s="1823" t="e">
        <f t="shared" si="61"/>
        <v>#VALUE!</v>
      </c>
      <c r="AG393" s="1769" t="e">
        <f t="shared" si="62"/>
        <v>#VALUE!</v>
      </c>
      <c r="AI393" t="s">
        <v>4339</v>
      </c>
    </row>
    <row r="394" spans="3:35" ht="24.95" customHeight="1">
      <c r="C394" s="491">
        <v>387</v>
      </c>
      <c r="D394" s="1847"/>
      <c r="E394" s="1847"/>
      <c r="F394" s="1847" t="s">
        <v>4340</v>
      </c>
      <c r="G394" s="1847" t="s">
        <v>4340</v>
      </c>
      <c r="H394" s="1847" t="s">
        <v>4319</v>
      </c>
      <c r="I394" s="1847"/>
      <c r="J394" s="1847" t="s">
        <v>2783</v>
      </c>
      <c r="K394" s="1847" t="s">
        <v>3929</v>
      </c>
      <c r="L394" s="1847" t="s">
        <v>3935</v>
      </c>
      <c r="M394" s="1847" t="s">
        <v>3937</v>
      </c>
      <c r="N394" s="1847"/>
      <c r="O394" s="1847"/>
      <c r="P394" s="1852">
        <v>1</v>
      </c>
      <c r="Q394" s="1852">
        <v>1.25</v>
      </c>
      <c r="R394" s="483" t="e">
        <f>IF(H394="","",SUMIFS('[1]1_group_totals'!$J$8:$J$10000,'[1]1_group_totals'!$C$8:$C$10000,C394))</f>
        <v>#VALUE!</v>
      </c>
      <c r="S394" s="483">
        <f t="shared" si="54"/>
        <v>2</v>
      </c>
      <c r="T394" s="483">
        <v>1</v>
      </c>
      <c r="U394" s="510" t="e">
        <f t="shared" si="55"/>
        <v>#VALUE!</v>
      </c>
      <c r="V394" s="510">
        <v>1</v>
      </c>
      <c r="W394" s="510">
        <v>0</v>
      </c>
      <c r="X394" s="510">
        <v>0</v>
      </c>
      <c r="Y394" s="483">
        <v>1</v>
      </c>
      <c r="Z394" s="483">
        <v>1</v>
      </c>
      <c r="AA394" s="1847" t="e">
        <f t="shared" si="56"/>
        <v>#VALUE!</v>
      </c>
      <c r="AB394" s="1847">
        <f t="shared" si="57"/>
        <v>1</v>
      </c>
      <c r="AC394" s="1847">
        <f t="shared" si="58"/>
        <v>1.25</v>
      </c>
      <c r="AD394" s="1847" t="e">
        <f t="shared" si="59"/>
        <v>#VALUE!</v>
      </c>
      <c r="AE394" s="1847" t="e">
        <f t="shared" si="60"/>
        <v>#VALUE!</v>
      </c>
      <c r="AF394" s="1823" t="e">
        <f t="shared" si="61"/>
        <v>#VALUE!</v>
      </c>
      <c r="AG394" s="1769" t="e">
        <f t="shared" si="62"/>
        <v>#VALUE!</v>
      </c>
      <c r="AI394" t="s">
        <v>4340</v>
      </c>
    </row>
    <row r="395" spans="3:35" ht="24.95" customHeight="1">
      <c r="C395" s="491">
        <v>388</v>
      </c>
      <c r="D395" s="1847"/>
      <c r="E395" s="1847"/>
      <c r="F395" s="1847" t="s">
        <v>4341</v>
      </c>
      <c r="G395" s="1847" t="s">
        <v>4341</v>
      </c>
      <c r="H395" s="1847" t="s">
        <v>4349</v>
      </c>
      <c r="I395" s="1847"/>
      <c r="J395" s="1847" t="s">
        <v>2783</v>
      </c>
      <c r="K395" s="1847" t="s">
        <v>3929</v>
      </c>
      <c r="L395" s="1847" t="s">
        <v>3935</v>
      </c>
      <c r="M395" s="1847" t="s">
        <v>3937</v>
      </c>
      <c r="N395" s="1847"/>
      <c r="O395" s="1847"/>
      <c r="P395" s="1852">
        <v>2.5</v>
      </c>
      <c r="Q395" s="1852">
        <v>3</v>
      </c>
      <c r="R395" s="483" t="e">
        <f>IF(H395="","",SUMIFS('[1]1_group_totals'!$J$8:$J$10000,'[1]1_group_totals'!$C$8:$C$10000,C395))</f>
        <v>#VALUE!</v>
      </c>
      <c r="S395" s="483">
        <f t="shared" si="54"/>
        <v>2</v>
      </c>
      <c r="T395" s="483">
        <v>1</v>
      </c>
      <c r="U395" s="510" t="e">
        <f t="shared" si="55"/>
        <v>#VALUE!</v>
      </c>
      <c r="V395" s="510">
        <v>1</v>
      </c>
      <c r="W395" s="510">
        <v>0</v>
      </c>
      <c r="X395" s="510">
        <v>0</v>
      </c>
      <c r="Y395" s="483">
        <v>1</v>
      </c>
      <c r="Z395" s="483">
        <v>1</v>
      </c>
      <c r="AA395" s="1847" t="e">
        <f t="shared" si="56"/>
        <v>#VALUE!</v>
      </c>
      <c r="AB395" s="1847">
        <f t="shared" si="57"/>
        <v>2.5</v>
      </c>
      <c r="AC395" s="1847">
        <f t="shared" si="58"/>
        <v>3</v>
      </c>
      <c r="AD395" s="1847" t="e">
        <f t="shared" si="59"/>
        <v>#VALUE!</v>
      </c>
      <c r="AE395" s="1847" t="e">
        <f t="shared" si="60"/>
        <v>#VALUE!</v>
      </c>
      <c r="AF395" s="1823" t="e">
        <f t="shared" si="61"/>
        <v>#VALUE!</v>
      </c>
      <c r="AG395" s="1769" t="e">
        <f t="shared" si="62"/>
        <v>#VALUE!</v>
      </c>
      <c r="AI395" t="s">
        <v>4341</v>
      </c>
    </row>
    <row r="396" spans="3:35" ht="24" customHeight="1">
      <c r="C396" s="491">
        <v>389</v>
      </c>
      <c r="D396" s="1847"/>
      <c r="E396" s="1847"/>
      <c r="F396" s="1847" t="s">
        <v>4342</v>
      </c>
      <c r="G396" s="1847" t="s">
        <v>4342</v>
      </c>
      <c r="H396" s="1847" t="s">
        <v>4323</v>
      </c>
      <c r="I396" s="1847"/>
      <c r="J396" s="1847" t="s">
        <v>2771</v>
      </c>
      <c r="K396" s="1847" t="s">
        <v>3929</v>
      </c>
      <c r="L396" s="1847" t="s">
        <v>3935</v>
      </c>
      <c r="M396" s="1847" t="s">
        <v>4091</v>
      </c>
      <c r="N396" s="1847"/>
      <c r="O396" s="1847"/>
      <c r="P396" s="1852">
        <v>3.1</v>
      </c>
      <c r="Q396" s="1852">
        <v>3.5</v>
      </c>
      <c r="R396" s="483" t="e">
        <f>IF(H396="","",SUMIFS('[1]1_group_totals'!$J$8:$J$10000,'[1]1_group_totals'!$C$8:$C$10000,C396))</f>
        <v>#VALUE!</v>
      </c>
      <c r="S396" s="483">
        <f t="shared" si="54"/>
        <v>47</v>
      </c>
      <c r="T396" s="483">
        <v>6</v>
      </c>
      <c r="U396" s="510" t="e">
        <f t="shared" si="55"/>
        <v>#VALUE!</v>
      </c>
      <c r="V396" s="510">
        <v>1</v>
      </c>
      <c r="W396" s="510">
        <v>0</v>
      </c>
      <c r="X396" s="510">
        <v>0</v>
      </c>
      <c r="Y396" s="483">
        <v>1</v>
      </c>
      <c r="Z396" s="483">
        <v>1</v>
      </c>
      <c r="AA396" s="1847" t="e">
        <f t="shared" si="56"/>
        <v>#VALUE!</v>
      </c>
      <c r="AB396" s="1847">
        <f t="shared" si="57"/>
        <v>0.51666666666666672</v>
      </c>
      <c r="AC396" s="1847">
        <f t="shared" si="58"/>
        <v>0.58333333333333337</v>
      </c>
      <c r="AD396" s="1847" t="e">
        <f t="shared" si="59"/>
        <v>#VALUE!</v>
      </c>
      <c r="AE396" s="1847" t="e">
        <f t="shared" si="60"/>
        <v>#VALUE!</v>
      </c>
      <c r="AF396" s="1823" t="e">
        <f t="shared" si="61"/>
        <v>#VALUE!</v>
      </c>
      <c r="AG396" s="1769" t="e">
        <f t="shared" si="62"/>
        <v>#VALUE!</v>
      </c>
      <c r="AI396" t="s">
        <v>4342</v>
      </c>
    </row>
    <row r="397" spans="3:35" ht="24.95" customHeight="1">
      <c r="C397" s="491">
        <v>390</v>
      </c>
      <c r="D397" s="1847"/>
      <c r="E397" s="1847"/>
      <c r="F397" s="1847" t="s">
        <v>4430</v>
      </c>
      <c r="G397" s="1847" t="s">
        <v>4430</v>
      </c>
      <c r="H397" s="1847" t="s">
        <v>4394</v>
      </c>
      <c r="I397" s="1847"/>
      <c r="J397" s="1847" t="s">
        <v>2783</v>
      </c>
      <c r="K397" s="1847" t="s">
        <v>2795</v>
      </c>
      <c r="L397" s="1847" t="s">
        <v>3934</v>
      </c>
      <c r="M397" s="1847" t="s">
        <v>3937</v>
      </c>
      <c r="N397" s="1847"/>
      <c r="O397" s="1847"/>
      <c r="P397" s="1852">
        <v>0.35</v>
      </c>
      <c r="Q397" s="1852">
        <v>0.625</v>
      </c>
      <c r="R397" s="483" t="e">
        <f>IF(H397="","",SUMIFS('[1]1_group_totals'!$J$8:$J$10000,'[1]1_group_totals'!$C$8:$C$10000,C397))</f>
        <v>#VALUE!</v>
      </c>
      <c r="S397" s="483">
        <f t="shared" si="54"/>
        <v>2</v>
      </c>
      <c r="T397" s="483">
        <v>1</v>
      </c>
      <c r="U397" s="510" t="e">
        <f t="shared" si="55"/>
        <v>#VALUE!</v>
      </c>
      <c r="V397" s="510"/>
      <c r="W397" s="510"/>
      <c r="X397" s="510"/>
      <c r="Y397" s="483">
        <v>1</v>
      </c>
      <c r="Z397" s="483">
        <v>1</v>
      </c>
      <c r="AA397" s="1847" t="e">
        <f t="shared" si="56"/>
        <v>#VALUE!</v>
      </c>
      <c r="AB397" s="1847">
        <f t="shared" si="57"/>
        <v>0.35</v>
      </c>
      <c r="AC397" s="1847">
        <f t="shared" si="58"/>
        <v>0.625</v>
      </c>
      <c r="AD397" s="1847" t="e">
        <f t="shared" si="59"/>
        <v>#VALUE!</v>
      </c>
      <c r="AE397" s="1847" t="e">
        <f t="shared" si="60"/>
        <v>#VALUE!</v>
      </c>
      <c r="AF397" s="1823" t="e">
        <f t="shared" si="61"/>
        <v>#VALUE!</v>
      </c>
      <c r="AG397" s="1769" t="e">
        <f t="shared" si="62"/>
        <v>#VALUE!</v>
      </c>
      <c r="AI397" t="s">
        <v>4430</v>
      </c>
    </row>
    <row r="398" spans="3:35" ht="24.95" customHeight="1">
      <c r="C398" s="491">
        <v>391</v>
      </c>
      <c r="D398" s="1847"/>
      <c r="E398" s="1847"/>
      <c r="F398" s="1847" t="s">
        <v>4431</v>
      </c>
      <c r="G398" s="1847" t="s">
        <v>4431</v>
      </c>
      <c r="H398" s="1847" t="s">
        <v>4400</v>
      </c>
      <c r="I398" s="1847"/>
      <c r="J398" s="1847" t="s">
        <v>2783</v>
      </c>
      <c r="K398" s="1847" t="s">
        <v>2795</v>
      </c>
      <c r="L398" s="1847" t="s">
        <v>2799</v>
      </c>
      <c r="M398" s="1847" t="s">
        <v>3937</v>
      </c>
      <c r="N398" s="1847"/>
      <c r="O398" s="1847"/>
      <c r="P398" s="1852">
        <v>3</v>
      </c>
      <c r="Q398" s="1852">
        <v>4</v>
      </c>
      <c r="R398" s="483" t="e">
        <f>IF(H398="","",SUMIFS('[1]1_group_totals'!$J$8:$J$10000,'[1]1_group_totals'!$C$8:$C$10000,C398))</f>
        <v>#VALUE!</v>
      </c>
      <c r="S398" s="483">
        <f t="shared" si="54"/>
        <v>2</v>
      </c>
      <c r="T398" s="483">
        <v>1</v>
      </c>
      <c r="U398" s="510" t="e">
        <f t="shared" si="55"/>
        <v>#VALUE!</v>
      </c>
      <c r="V398" s="510"/>
      <c r="W398" s="510"/>
      <c r="X398" s="510"/>
      <c r="Y398" s="483">
        <v>1</v>
      </c>
      <c r="Z398" s="483">
        <v>1</v>
      </c>
      <c r="AA398" s="1847" t="e">
        <f t="shared" si="56"/>
        <v>#VALUE!</v>
      </c>
      <c r="AB398" s="1847">
        <f t="shared" si="57"/>
        <v>3</v>
      </c>
      <c r="AC398" s="1847">
        <f t="shared" si="58"/>
        <v>4</v>
      </c>
      <c r="AD398" s="1847" t="e">
        <f t="shared" si="59"/>
        <v>#VALUE!</v>
      </c>
      <c r="AE398" s="1847" t="e">
        <f t="shared" si="60"/>
        <v>#VALUE!</v>
      </c>
      <c r="AF398" s="1823" t="e">
        <f t="shared" si="61"/>
        <v>#VALUE!</v>
      </c>
      <c r="AG398" s="1769" t="e">
        <f t="shared" si="62"/>
        <v>#VALUE!</v>
      </c>
      <c r="AI398" t="s">
        <v>4431</v>
      </c>
    </row>
    <row r="399" spans="3:35" ht="24.95" customHeight="1">
      <c r="C399" s="491">
        <v>392</v>
      </c>
      <c r="D399" s="1847"/>
      <c r="E399" s="1847"/>
      <c r="F399" s="1847" t="s">
        <v>4432</v>
      </c>
      <c r="G399" s="1847" t="s">
        <v>4432</v>
      </c>
      <c r="H399" s="1847" t="s">
        <v>4401</v>
      </c>
      <c r="I399" s="1847"/>
      <c r="J399" s="1847" t="s">
        <v>2783</v>
      </c>
      <c r="K399" s="1847" t="s">
        <v>2795</v>
      </c>
      <c r="L399" s="1847" t="s">
        <v>2799</v>
      </c>
      <c r="M399" s="1847" t="s">
        <v>3937</v>
      </c>
      <c r="N399" s="1847"/>
      <c r="O399" s="1847"/>
      <c r="P399" s="1852">
        <v>2.8</v>
      </c>
      <c r="Q399" s="1852">
        <v>3.5</v>
      </c>
      <c r="R399" s="483" t="e">
        <f>IF(H399="","",SUMIFS('[1]1_group_totals'!$J$8:$J$10000,'[1]1_group_totals'!$C$8:$C$10000,C399))</f>
        <v>#VALUE!</v>
      </c>
      <c r="S399" s="483">
        <f t="shared" si="54"/>
        <v>2</v>
      </c>
      <c r="T399" s="483">
        <v>1</v>
      </c>
      <c r="U399" s="510" t="e">
        <f t="shared" si="55"/>
        <v>#VALUE!</v>
      </c>
      <c r="V399" s="510"/>
      <c r="W399" s="510"/>
      <c r="X399" s="510"/>
      <c r="Y399" s="483">
        <v>1</v>
      </c>
      <c r="Z399" s="483">
        <v>1</v>
      </c>
      <c r="AA399" s="1847" t="e">
        <f t="shared" si="56"/>
        <v>#VALUE!</v>
      </c>
      <c r="AB399" s="1847">
        <f t="shared" si="57"/>
        <v>2.8</v>
      </c>
      <c r="AC399" s="1847">
        <f t="shared" si="58"/>
        <v>3.5</v>
      </c>
      <c r="AD399" s="1847" t="e">
        <f t="shared" si="59"/>
        <v>#VALUE!</v>
      </c>
      <c r="AE399" s="1847" t="e">
        <f t="shared" si="60"/>
        <v>#VALUE!</v>
      </c>
      <c r="AF399" s="1823" t="e">
        <f t="shared" si="61"/>
        <v>#VALUE!</v>
      </c>
      <c r="AG399" s="1769" t="e">
        <f t="shared" si="62"/>
        <v>#VALUE!</v>
      </c>
      <c r="AI399" t="s">
        <v>4432</v>
      </c>
    </row>
    <row r="400" spans="3:35" ht="24.95" customHeight="1">
      <c r="C400" s="491">
        <v>393</v>
      </c>
      <c r="D400" s="1847"/>
      <c r="E400" s="1847"/>
      <c r="F400" s="1847" t="s">
        <v>4433</v>
      </c>
      <c r="G400" s="1847" t="s">
        <v>4433</v>
      </c>
      <c r="H400" s="1847" t="s">
        <v>4399</v>
      </c>
      <c r="I400" s="1847"/>
      <c r="J400" s="1847" t="s">
        <v>2783</v>
      </c>
      <c r="K400" s="1847" t="s">
        <v>2795</v>
      </c>
      <c r="L400" s="1847" t="s">
        <v>2799</v>
      </c>
      <c r="M400" s="1847" t="s">
        <v>3937</v>
      </c>
      <c r="N400" s="1847"/>
      <c r="O400" s="1847"/>
      <c r="P400" s="1852">
        <v>2.6</v>
      </c>
      <c r="Q400" s="1852">
        <v>3.5</v>
      </c>
      <c r="R400" s="483" t="e">
        <f>IF(H400="","",SUMIFS('[1]1_group_totals'!$J$8:$J$10000,'[1]1_group_totals'!$C$8:$C$10000,C400))</f>
        <v>#VALUE!</v>
      </c>
      <c r="S400" s="483">
        <f t="shared" si="54"/>
        <v>2</v>
      </c>
      <c r="T400" s="483">
        <v>1</v>
      </c>
      <c r="U400" s="510" t="e">
        <f t="shared" si="55"/>
        <v>#VALUE!</v>
      </c>
      <c r="V400" s="510"/>
      <c r="W400" s="510"/>
      <c r="X400" s="510"/>
      <c r="Y400" s="483">
        <v>1</v>
      </c>
      <c r="Z400" s="483">
        <v>1</v>
      </c>
      <c r="AA400" s="1847" t="e">
        <f t="shared" si="56"/>
        <v>#VALUE!</v>
      </c>
      <c r="AB400" s="1847">
        <f t="shared" si="57"/>
        <v>2.6</v>
      </c>
      <c r="AC400" s="1847">
        <f t="shared" si="58"/>
        <v>3.5</v>
      </c>
      <c r="AD400" s="1847" t="e">
        <f t="shared" si="59"/>
        <v>#VALUE!</v>
      </c>
      <c r="AE400" s="1847" t="e">
        <f t="shared" si="60"/>
        <v>#VALUE!</v>
      </c>
      <c r="AF400" s="1823" t="e">
        <f t="shared" si="61"/>
        <v>#VALUE!</v>
      </c>
      <c r="AG400" s="1769" t="e">
        <f t="shared" si="62"/>
        <v>#VALUE!</v>
      </c>
      <c r="AI400" t="s">
        <v>4433</v>
      </c>
    </row>
    <row r="401" spans="3:35" ht="24.95" customHeight="1">
      <c r="C401" s="491">
        <v>394</v>
      </c>
      <c r="D401" s="1847"/>
      <c r="E401" s="1847"/>
      <c r="F401" s="1847" t="s">
        <v>4434</v>
      </c>
      <c r="G401" s="1847" t="s">
        <v>4434</v>
      </c>
      <c r="H401" s="1847" t="s">
        <v>4389</v>
      </c>
      <c r="I401" s="1847"/>
      <c r="J401" s="1847" t="s">
        <v>4362</v>
      </c>
      <c r="K401" s="1847" t="s">
        <v>2795</v>
      </c>
      <c r="L401" s="1847" t="s">
        <v>3934</v>
      </c>
      <c r="M401" s="1847" t="s">
        <v>4365</v>
      </c>
      <c r="N401" s="1847"/>
      <c r="O401" s="1847"/>
      <c r="P401" s="1852">
        <v>4.0999999999999996</v>
      </c>
      <c r="Q401" s="1852">
        <v>4.5</v>
      </c>
      <c r="R401" s="483" t="e">
        <f>IF(H401="","",SUMIFS('[1]1_group_totals'!$J$8:$J$10000,'[1]1_group_totals'!$C$8:$C$10000,C401))</f>
        <v>#VALUE!</v>
      </c>
      <c r="S401" s="483">
        <f t="shared" si="54"/>
        <v>1</v>
      </c>
      <c r="T401" s="483">
        <v>1</v>
      </c>
      <c r="U401" s="510" t="e">
        <f t="shared" si="55"/>
        <v>#VALUE!</v>
      </c>
      <c r="V401" s="510"/>
      <c r="W401" s="510"/>
      <c r="X401" s="510"/>
      <c r="Y401" s="483">
        <v>1</v>
      </c>
      <c r="Z401" s="483">
        <v>1</v>
      </c>
      <c r="AA401" s="1847" t="e">
        <f t="shared" si="56"/>
        <v>#VALUE!</v>
      </c>
      <c r="AB401" s="1847">
        <f t="shared" si="57"/>
        <v>4.0999999999999996</v>
      </c>
      <c r="AC401" s="1847">
        <f t="shared" si="58"/>
        <v>4.5</v>
      </c>
      <c r="AD401" s="1847" t="e">
        <f t="shared" si="59"/>
        <v>#VALUE!</v>
      </c>
      <c r="AE401" s="1847" t="e">
        <f t="shared" si="60"/>
        <v>#VALUE!</v>
      </c>
      <c r="AF401" s="1823" t="e">
        <f t="shared" si="61"/>
        <v>#VALUE!</v>
      </c>
      <c r="AG401" s="1769" t="e">
        <f t="shared" si="62"/>
        <v>#VALUE!</v>
      </c>
      <c r="AI401" t="s">
        <v>4434</v>
      </c>
    </row>
    <row r="402" spans="3:35" ht="24.95" customHeight="1">
      <c r="C402" s="491">
        <v>395</v>
      </c>
      <c r="D402" s="1847"/>
      <c r="E402" s="1847"/>
      <c r="F402" s="1847" t="s">
        <v>4435</v>
      </c>
      <c r="G402" s="1847" t="s">
        <v>4435</v>
      </c>
      <c r="H402" s="1847" t="s">
        <v>4415</v>
      </c>
      <c r="I402" s="1847"/>
      <c r="J402" s="1847" t="s">
        <v>2783</v>
      </c>
      <c r="K402" s="1847" t="s">
        <v>2795</v>
      </c>
      <c r="L402" s="1847" t="s">
        <v>4419</v>
      </c>
      <c r="M402" s="1847" t="s">
        <v>3937</v>
      </c>
      <c r="N402" s="1847"/>
      <c r="O402" s="1847"/>
      <c r="P402" s="1852">
        <v>3.5</v>
      </c>
      <c r="Q402" s="1852">
        <v>4.5</v>
      </c>
      <c r="R402" s="483" t="e">
        <f>IF(H402="","",SUMIFS('[1]1_group_totals'!$J$8:$J$10000,'[1]1_group_totals'!$C$8:$C$10000,C402))</f>
        <v>#VALUE!</v>
      </c>
      <c r="S402" s="483">
        <f t="shared" si="54"/>
        <v>2</v>
      </c>
      <c r="T402" s="483">
        <v>1</v>
      </c>
      <c r="U402" s="510" t="e">
        <f t="shared" si="55"/>
        <v>#VALUE!</v>
      </c>
      <c r="V402" s="510"/>
      <c r="W402" s="510"/>
      <c r="X402" s="510"/>
      <c r="Y402" s="483">
        <v>1</v>
      </c>
      <c r="Z402" s="483">
        <v>1</v>
      </c>
      <c r="AA402" s="1847" t="e">
        <f t="shared" si="56"/>
        <v>#VALUE!</v>
      </c>
      <c r="AB402" s="1847">
        <f t="shared" si="57"/>
        <v>3.5</v>
      </c>
      <c r="AC402" s="1847">
        <f t="shared" si="58"/>
        <v>4.5</v>
      </c>
      <c r="AD402" s="1847" t="e">
        <f t="shared" si="59"/>
        <v>#VALUE!</v>
      </c>
      <c r="AE402" s="1847" t="e">
        <f t="shared" si="60"/>
        <v>#VALUE!</v>
      </c>
      <c r="AF402" s="1823" t="e">
        <f t="shared" si="61"/>
        <v>#VALUE!</v>
      </c>
      <c r="AG402" s="1769" t="e">
        <f t="shared" si="62"/>
        <v>#VALUE!</v>
      </c>
      <c r="AI402" t="s">
        <v>4435</v>
      </c>
    </row>
    <row r="403" spans="3:35" ht="24.95" customHeight="1">
      <c r="C403" s="491">
        <v>396</v>
      </c>
      <c r="D403" s="1847"/>
      <c r="E403" s="1847"/>
      <c r="F403" s="1847" t="s">
        <v>4436</v>
      </c>
      <c r="G403" s="1847" t="s">
        <v>4436</v>
      </c>
      <c r="H403" s="1847" t="s">
        <v>4402</v>
      </c>
      <c r="I403" s="1847"/>
      <c r="J403" s="1847" t="s">
        <v>4472</v>
      </c>
      <c r="K403" s="1847" t="s">
        <v>2795</v>
      </c>
      <c r="L403" s="1847" t="s">
        <v>3935</v>
      </c>
      <c r="M403" s="1847" t="s">
        <v>4408</v>
      </c>
      <c r="N403" s="1847"/>
      <c r="O403" s="1847"/>
      <c r="P403" s="1852">
        <v>48</v>
      </c>
      <c r="Q403" s="1852">
        <v>53</v>
      </c>
      <c r="R403" s="483" t="e">
        <f>IF(H403="","",SUMIFS('[1]1_group_totals'!$J$8:$J$10000,'[1]1_group_totals'!$C$8:$C$10000,C403))</f>
        <v>#VALUE!</v>
      </c>
      <c r="S403" s="483">
        <f t="shared" si="54"/>
        <v>90</v>
      </c>
      <c r="T403" s="483">
        <v>20</v>
      </c>
      <c r="U403" s="510" t="e">
        <f t="shared" si="55"/>
        <v>#VALUE!</v>
      </c>
      <c r="V403" s="510"/>
      <c r="W403" s="510"/>
      <c r="X403" s="510"/>
      <c r="Y403" s="483">
        <v>1</v>
      </c>
      <c r="Z403" s="483">
        <v>1</v>
      </c>
      <c r="AA403" s="1847" t="e">
        <f t="shared" si="56"/>
        <v>#VALUE!</v>
      </c>
      <c r="AB403" s="1847">
        <f t="shared" si="57"/>
        <v>2.4</v>
      </c>
      <c r="AC403" s="1847">
        <f t="shared" si="58"/>
        <v>2.65</v>
      </c>
      <c r="AD403" s="1847" t="e">
        <f t="shared" si="59"/>
        <v>#VALUE!</v>
      </c>
      <c r="AE403" s="1847" t="e">
        <f t="shared" si="60"/>
        <v>#VALUE!</v>
      </c>
      <c r="AF403" s="1823" t="e">
        <f t="shared" si="61"/>
        <v>#VALUE!</v>
      </c>
      <c r="AG403" s="1769" t="e">
        <f t="shared" si="62"/>
        <v>#VALUE!</v>
      </c>
      <c r="AI403" t="s">
        <v>4436</v>
      </c>
    </row>
    <row r="404" spans="3:35" ht="24.95" customHeight="1">
      <c r="C404" s="491">
        <v>397</v>
      </c>
      <c r="D404" s="1847"/>
      <c r="E404" s="1847"/>
      <c r="F404" s="1847" t="s">
        <v>4437</v>
      </c>
      <c r="G404" s="1847" t="s">
        <v>4437</v>
      </c>
      <c r="H404" s="1847" t="s">
        <v>4407</v>
      </c>
      <c r="I404" s="1847"/>
      <c r="J404" s="1847" t="s">
        <v>4474</v>
      </c>
      <c r="K404" s="1847" t="s">
        <v>2795</v>
      </c>
      <c r="L404" s="1847" t="s">
        <v>3935</v>
      </c>
      <c r="M404" s="1847" t="s">
        <v>4409</v>
      </c>
      <c r="N404" s="1847"/>
      <c r="O404" s="1847"/>
      <c r="P404" s="1852">
        <v>90</v>
      </c>
      <c r="Q404" s="1852">
        <v>95</v>
      </c>
      <c r="R404" s="483" t="e">
        <f>IF(H404="","",SUMIFS('[1]1_group_totals'!$J$8:$J$10000,'[1]1_group_totals'!$C$8:$C$10000,C404))</f>
        <v>#VALUE!</v>
      </c>
      <c r="S404" s="483">
        <f t="shared" si="54"/>
        <v>92</v>
      </c>
      <c r="T404" s="483">
        <v>800</v>
      </c>
      <c r="U404" s="510" t="e">
        <f t="shared" si="55"/>
        <v>#VALUE!</v>
      </c>
      <c r="V404" s="510"/>
      <c r="W404" s="510"/>
      <c r="X404" s="510"/>
      <c r="Y404" s="483">
        <v>1</v>
      </c>
      <c r="Z404" s="483">
        <v>1</v>
      </c>
      <c r="AA404" s="1847" t="e">
        <f t="shared" si="56"/>
        <v>#VALUE!</v>
      </c>
      <c r="AB404" s="1847">
        <f t="shared" si="57"/>
        <v>0.1125</v>
      </c>
      <c r="AC404" s="1847">
        <f t="shared" si="58"/>
        <v>0.11874999999999999</v>
      </c>
      <c r="AD404" s="1847" t="e">
        <f t="shared" si="59"/>
        <v>#VALUE!</v>
      </c>
      <c r="AE404" s="1847" t="e">
        <f t="shared" si="60"/>
        <v>#VALUE!</v>
      </c>
      <c r="AF404" s="1823" t="e">
        <f t="shared" si="61"/>
        <v>#VALUE!</v>
      </c>
      <c r="AG404" s="1769" t="e">
        <f t="shared" si="62"/>
        <v>#VALUE!</v>
      </c>
      <c r="AI404" t="s">
        <v>4437</v>
      </c>
    </row>
    <row r="405" spans="3:35" ht="24.95" customHeight="1">
      <c r="C405" s="491">
        <v>398</v>
      </c>
      <c r="D405" s="1847"/>
      <c r="E405" s="1847"/>
      <c r="F405" s="1847" t="s">
        <v>4438</v>
      </c>
      <c r="G405" s="1847" t="s">
        <v>4438</v>
      </c>
      <c r="H405" s="1847" t="s">
        <v>4406</v>
      </c>
      <c r="I405" s="1847"/>
      <c r="J405" s="1847" t="s">
        <v>4473</v>
      </c>
      <c r="K405" s="1847" t="s">
        <v>2795</v>
      </c>
      <c r="L405" s="1847" t="s">
        <v>3935</v>
      </c>
      <c r="M405" s="1847" t="s">
        <v>4089</v>
      </c>
      <c r="N405" s="1847"/>
      <c r="O405" s="1847"/>
      <c r="P405" s="1852">
        <v>44</v>
      </c>
      <c r="Q405" s="1852">
        <v>48</v>
      </c>
      <c r="R405" s="483" t="e">
        <f>IF(H405="","",SUMIFS('[1]1_group_totals'!$J$8:$J$10000,'[1]1_group_totals'!$C$8:$C$10000,C405))</f>
        <v>#VALUE!</v>
      </c>
      <c r="S405" s="483">
        <f t="shared" si="54"/>
        <v>91</v>
      </c>
      <c r="T405" s="483">
        <v>25</v>
      </c>
      <c r="U405" s="510" t="e">
        <f t="shared" si="55"/>
        <v>#VALUE!</v>
      </c>
      <c r="V405" s="510"/>
      <c r="W405" s="510"/>
      <c r="X405" s="510"/>
      <c r="Y405" s="483">
        <v>1</v>
      </c>
      <c r="Z405" s="483">
        <v>1</v>
      </c>
      <c r="AA405" s="1847" t="e">
        <f t="shared" si="56"/>
        <v>#VALUE!</v>
      </c>
      <c r="AB405" s="1847">
        <f t="shared" si="57"/>
        <v>1.76</v>
      </c>
      <c r="AC405" s="1847">
        <f t="shared" si="58"/>
        <v>1.92</v>
      </c>
      <c r="AD405" s="1847" t="e">
        <f t="shared" si="59"/>
        <v>#VALUE!</v>
      </c>
      <c r="AE405" s="1847" t="e">
        <f t="shared" si="60"/>
        <v>#VALUE!</v>
      </c>
      <c r="AF405" s="1823" t="e">
        <f t="shared" si="61"/>
        <v>#VALUE!</v>
      </c>
      <c r="AG405" s="1769" t="e">
        <f t="shared" si="62"/>
        <v>#VALUE!</v>
      </c>
      <c r="AI405" t="s">
        <v>4438</v>
      </c>
    </row>
    <row r="406" spans="3:35" ht="24.95" customHeight="1">
      <c r="C406" s="491">
        <v>399</v>
      </c>
      <c r="D406" s="1847"/>
      <c r="E406" s="1847"/>
      <c r="F406" s="1847" t="s">
        <v>4439</v>
      </c>
      <c r="G406" s="1847" t="s">
        <v>4439</v>
      </c>
      <c r="H406" s="1847" t="s">
        <v>4414</v>
      </c>
      <c r="I406" s="1847"/>
      <c r="J406" s="1847" t="s">
        <v>2783</v>
      </c>
      <c r="K406" s="1847" t="s">
        <v>2795</v>
      </c>
      <c r="L406" s="1847" t="s">
        <v>4420</v>
      </c>
      <c r="M406" s="1847" t="s">
        <v>3937</v>
      </c>
      <c r="N406" s="1847"/>
      <c r="O406" s="1847"/>
      <c r="P406" s="1852">
        <v>1.2</v>
      </c>
      <c r="Q406" s="1852">
        <v>2.5</v>
      </c>
      <c r="R406" s="483" t="e">
        <f>IF(H406="","",SUMIFS('[1]1_group_totals'!$J$8:$J$10000,'[1]1_group_totals'!$C$8:$C$10000,C406))</f>
        <v>#VALUE!</v>
      </c>
      <c r="S406" s="483">
        <f t="shared" si="54"/>
        <v>2</v>
      </c>
      <c r="T406" s="483">
        <v>1</v>
      </c>
      <c r="U406" s="510" t="e">
        <f t="shared" si="55"/>
        <v>#VALUE!</v>
      </c>
      <c r="V406" s="510"/>
      <c r="W406" s="510"/>
      <c r="X406" s="510"/>
      <c r="Y406" s="483">
        <v>1</v>
      </c>
      <c r="Z406" s="483">
        <v>1</v>
      </c>
      <c r="AA406" s="1847" t="e">
        <f t="shared" si="56"/>
        <v>#VALUE!</v>
      </c>
      <c r="AB406" s="1847">
        <f t="shared" si="57"/>
        <v>1.2</v>
      </c>
      <c r="AC406" s="1847">
        <f t="shared" si="58"/>
        <v>2.5</v>
      </c>
      <c r="AD406" s="1847" t="e">
        <f t="shared" si="59"/>
        <v>#VALUE!</v>
      </c>
      <c r="AE406" s="1847" t="e">
        <f t="shared" si="60"/>
        <v>#VALUE!</v>
      </c>
      <c r="AF406" s="1823" t="e">
        <f t="shared" si="61"/>
        <v>#VALUE!</v>
      </c>
      <c r="AG406" s="1769" t="e">
        <f t="shared" si="62"/>
        <v>#VALUE!</v>
      </c>
      <c r="AI406" t="s">
        <v>4439</v>
      </c>
    </row>
    <row r="407" spans="3:35" ht="24.95" customHeight="1">
      <c r="C407" s="491">
        <v>400</v>
      </c>
      <c r="D407" s="1847"/>
      <c r="E407" s="1847"/>
      <c r="F407" s="1847" t="s">
        <v>4440</v>
      </c>
      <c r="G407" s="1847" t="s">
        <v>4440</v>
      </c>
      <c r="H407" s="1847" t="s">
        <v>4429</v>
      </c>
      <c r="I407" s="1847"/>
      <c r="J407" s="1847" t="s">
        <v>4474</v>
      </c>
      <c r="K407" s="1847" t="s">
        <v>2795</v>
      </c>
      <c r="L407" s="1847" t="s">
        <v>3935</v>
      </c>
      <c r="M407" s="1847" t="s">
        <v>4409</v>
      </c>
      <c r="N407" s="1847"/>
      <c r="O407" s="1847"/>
      <c r="P407" s="1852">
        <v>90</v>
      </c>
      <c r="Q407" s="1852">
        <v>95</v>
      </c>
      <c r="R407" s="483" t="e">
        <f>IF(H407="","",SUMIFS('[1]1_group_totals'!$J$8:$J$10000,'[1]1_group_totals'!$C$8:$C$10000,C407))</f>
        <v>#VALUE!</v>
      </c>
      <c r="S407" s="483">
        <f t="shared" si="54"/>
        <v>92</v>
      </c>
      <c r="T407" s="483">
        <v>800</v>
      </c>
      <c r="U407" s="510" t="e">
        <f t="shared" si="55"/>
        <v>#VALUE!</v>
      </c>
      <c r="V407" s="510"/>
      <c r="W407" s="510"/>
      <c r="X407" s="510"/>
      <c r="Y407" s="483">
        <v>1</v>
      </c>
      <c r="Z407" s="483">
        <v>1</v>
      </c>
      <c r="AA407" s="1847" t="e">
        <f t="shared" si="56"/>
        <v>#VALUE!</v>
      </c>
      <c r="AB407" s="1847">
        <f t="shared" si="57"/>
        <v>0.1125</v>
      </c>
      <c r="AC407" s="1847">
        <f t="shared" si="58"/>
        <v>0.11874999999999999</v>
      </c>
      <c r="AD407" s="1847" t="e">
        <f t="shared" si="59"/>
        <v>#VALUE!</v>
      </c>
      <c r="AE407" s="1847" t="e">
        <f t="shared" si="60"/>
        <v>#VALUE!</v>
      </c>
      <c r="AF407" s="1823" t="e">
        <f t="shared" si="61"/>
        <v>#VALUE!</v>
      </c>
      <c r="AG407" s="1769" t="e">
        <f t="shared" si="62"/>
        <v>#VALUE!</v>
      </c>
      <c r="AI407" t="s">
        <v>4440</v>
      </c>
    </row>
    <row r="408" spans="3:35" ht="24.95" customHeight="1">
      <c r="C408" s="491">
        <v>401</v>
      </c>
      <c r="D408" s="1847"/>
      <c r="E408" s="1847"/>
      <c r="F408" s="1847" t="s">
        <v>4441</v>
      </c>
      <c r="G408" s="1847" t="s">
        <v>4441</v>
      </c>
      <c r="H408" s="1847" t="s">
        <v>4391</v>
      </c>
      <c r="I408" s="1847"/>
      <c r="J408" s="1847" t="s">
        <v>4362</v>
      </c>
      <c r="K408" s="1847" t="s">
        <v>2795</v>
      </c>
      <c r="L408" s="1847" t="s">
        <v>3934</v>
      </c>
      <c r="M408" s="1847" t="s">
        <v>4365</v>
      </c>
      <c r="N408" s="1847"/>
      <c r="O408" s="1847"/>
      <c r="P408" s="1852">
        <v>2.1</v>
      </c>
      <c r="Q408" s="1852">
        <v>2</v>
      </c>
      <c r="R408" s="483" t="e">
        <f>IF(H408="","",SUMIFS('[1]1_group_totals'!$J$8:$J$10000,'[1]1_group_totals'!$C$8:$C$10000,C408))</f>
        <v>#VALUE!</v>
      </c>
      <c r="S408" s="483">
        <f t="shared" si="54"/>
        <v>1</v>
      </c>
      <c r="T408" s="483">
        <v>1</v>
      </c>
      <c r="U408" s="510" t="e">
        <f t="shared" si="55"/>
        <v>#VALUE!</v>
      </c>
      <c r="V408" s="510"/>
      <c r="W408" s="510"/>
      <c r="X408" s="510"/>
      <c r="Y408" s="483">
        <v>1</v>
      </c>
      <c r="Z408" s="483">
        <v>1</v>
      </c>
      <c r="AA408" s="1847" t="e">
        <f t="shared" si="56"/>
        <v>#VALUE!</v>
      </c>
      <c r="AB408" s="1847">
        <f t="shared" si="57"/>
        <v>2.1</v>
      </c>
      <c r="AC408" s="1847">
        <f t="shared" si="58"/>
        <v>2</v>
      </c>
      <c r="AD408" s="1847" t="e">
        <f t="shared" si="59"/>
        <v>#VALUE!</v>
      </c>
      <c r="AE408" s="1847" t="e">
        <f t="shared" si="60"/>
        <v>#VALUE!</v>
      </c>
      <c r="AF408" s="1823" t="e">
        <f t="shared" si="61"/>
        <v>#VALUE!</v>
      </c>
      <c r="AG408" s="1769" t="e">
        <f t="shared" si="62"/>
        <v>#VALUE!</v>
      </c>
      <c r="AI408" t="s">
        <v>4441</v>
      </c>
    </row>
    <row r="409" spans="3:35" ht="24.95" customHeight="1">
      <c r="C409" s="491">
        <v>402</v>
      </c>
      <c r="D409" s="1847"/>
      <c r="E409" s="1847"/>
      <c r="F409" s="1847" t="s">
        <v>4442</v>
      </c>
      <c r="G409" s="1847" t="s">
        <v>4442</v>
      </c>
      <c r="H409" s="1847" t="s">
        <v>4392</v>
      </c>
      <c r="I409" s="1847"/>
      <c r="J409" s="1847" t="s">
        <v>2779</v>
      </c>
      <c r="K409" s="1847" t="s">
        <v>2795</v>
      </c>
      <c r="L409" s="1847" t="s">
        <v>3934</v>
      </c>
      <c r="M409" s="1847" t="s">
        <v>4097</v>
      </c>
      <c r="N409" s="1847"/>
      <c r="O409" s="1847"/>
      <c r="P409" s="1852">
        <v>8.8000000000000007</v>
      </c>
      <c r="Q409" s="1852">
        <v>9.5</v>
      </c>
      <c r="R409" s="483" t="e">
        <f>IF(H409="","",SUMIFS('[1]1_group_totals'!$J$8:$J$10000,'[1]1_group_totals'!$C$8:$C$10000,C409))</f>
        <v>#VALUE!</v>
      </c>
      <c r="S409" s="483">
        <f t="shared" si="54"/>
        <v>49</v>
      </c>
      <c r="T409" s="483">
        <v>12</v>
      </c>
      <c r="U409" s="510" t="e">
        <f t="shared" si="55"/>
        <v>#VALUE!</v>
      </c>
      <c r="V409" s="510"/>
      <c r="W409" s="510"/>
      <c r="X409" s="510"/>
      <c r="Y409" s="483">
        <v>1</v>
      </c>
      <c r="Z409" s="483">
        <v>1</v>
      </c>
      <c r="AA409" s="1847" t="e">
        <f t="shared" si="56"/>
        <v>#VALUE!</v>
      </c>
      <c r="AB409" s="1847">
        <f t="shared" si="57"/>
        <v>0.73333333333333339</v>
      </c>
      <c r="AC409" s="1847">
        <f t="shared" si="58"/>
        <v>0.79166666666666663</v>
      </c>
      <c r="AD409" s="1847" t="e">
        <f t="shared" si="59"/>
        <v>#VALUE!</v>
      </c>
      <c r="AE409" s="1847" t="e">
        <f t="shared" si="60"/>
        <v>#VALUE!</v>
      </c>
      <c r="AF409" s="1823" t="e">
        <f t="shared" si="61"/>
        <v>#VALUE!</v>
      </c>
      <c r="AG409" s="1769" t="e">
        <f t="shared" si="62"/>
        <v>#VALUE!</v>
      </c>
      <c r="AI409" t="s">
        <v>4442</v>
      </c>
    </row>
    <row r="410" spans="3:35" ht="24.95" customHeight="1">
      <c r="C410" s="491">
        <v>403</v>
      </c>
      <c r="D410" s="1847"/>
      <c r="E410" s="1847"/>
      <c r="F410" s="1847" t="s">
        <v>4443</v>
      </c>
      <c r="G410" s="1847" t="s">
        <v>4443</v>
      </c>
      <c r="H410" s="1847" t="s">
        <v>4393</v>
      </c>
      <c r="I410" s="1847"/>
      <c r="J410" s="1847" t="s">
        <v>2779</v>
      </c>
      <c r="K410" s="1847" t="s">
        <v>2795</v>
      </c>
      <c r="L410" s="1847" t="s">
        <v>3934</v>
      </c>
      <c r="M410" s="1847" t="s">
        <v>4097</v>
      </c>
      <c r="N410" s="1847"/>
      <c r="O410" s="1847"/>
      <c r="P410" s="1852">
        <v>9.8000000000000007</v>
      </c>
      <c r="Q410" s="1852">
        <v>11</v>
      </c>
      <c r="R410" s="483" t="e">
        <f>IF(H410="","",SUMIFS('[1]1_group_totals'!$J$8:$J$10000,'[1]1_group_totals'!$C$8:$C$10000,C410))</f>
        <v>#VALUE!</v>
      </c>
      <c r="S410" s="483">
        <f t="shared" si="54"/>
        <v>49</v>
      </c>
      <c r="T410" s="483">
        <v>12</v>
      </c>
      <c r="U410" s="510" t="e">
        <f t="shared" si="55"/>
        <v>#VALUE!</v>
      </c>
      <c r="V410" s="510"/>
      <c r="W410" s="510"/>
      <c r="X410" s="510"/>
      <c r="Y410" s="483">
        <v>1</v>
      </c>
      <c r="Z410" s="483">
        <v>1</v>
      </c>
      <c r="AA410" s="1847" t="e">
        <f t="shared" si="56"/>
        <v>#VALUE!</v>
      </c>
      <c r="AB410" s="1847">
        <f t="shared" si="57"/>
        <v>0.81666666666666676</v>
      </c>
      <c r="AC410" s="1847">
        <f t="shared" si="58"/>
        <v>0.91666666666666663</v>
      </c>
      <c r="AD410" s="1847" t="e">
        <f t="shared" si="59"/>
        <v>#VALUE!</v>
      </c>
      <c r="AE410" s="1847" t="e">
        <f t="shared" si="60"/>
        <v>#VALUE!</v>
      </c>
      <c r="AF410" s="1823" t="e">
        <f t="shared" si="61"/>
        <v>#VALUE!</v>
      </c>
      <c r="AG410" s="1769" t="e">
        <f t="shared" si="62"/>
        <v>#VALUE!</v>
      </c>
      <c r="AI410" t="s">
        <v>4443</v>
      </c>
    </row>
    <row r="411" spans="3:35" ht="24.95" customHeight="1">
      <c r="C411" s="491">
        <v>404</v>
      </c>
      <c r="D411" s="1847"/>
      <c r="E411" s="1847"/>
      <c r="F411" s="1847" t="s">
        <v>4444</v>
      </c>
      <c r="G411" s="1847" t="s">
        <v>4444</v>
      </c>
      <c r="H411" s="1847" t="s">
        <v>4390</v>
      </c>
      <c r="I411" s="1847"/>
      <c r="J411" s="1847" t="s">
        <v>4362</v>
      </c>
      <c r="K411" s="1847" t="s">
        <v>2795</v>
      </c>
      <c r="L411" s="1847" t="s">
        <v>3934</v>
      </c>
      <c r="M411" s="1847" t="s">
        <v>4365</v>
      </c>
      <c r="N411" s="1847"/>
      <c r="O411" s="1847"/>
      <c r="P411" s="1852">
        <v>1.8</v>
      </c>
      <c r="Q411" s="1852">
        <v>2</v>
      </c>
      <c r="R411" s="483" t="e">
        <f>IF(H411="","",SUMIFS('[1]1_group_totals'!$J$8:$J$10000,'[1]1_group_totals'!$C$8:$C$10000,C411))</f>
        <v>#VALUE!</v>
      </c>
      <c r="S411" s="483">
        <f t="shared" si="54"/>
        <v>1</v>
      </c>
      <c r="T411" s="483">
        <v>1</v>
      </c>
      <c r="U411" s="510" t="e">
        <f t="shared" si="55"/>
        <v>#VALUE!</v>
      </c>
      <c r="V411" s="510"/>
      <c r="W411" s="510"/>
      <c r="X411" s="510"/>
      <c r="Y411" s="483">
        <v>1</v>
      </c>
      <c r="Z411" s="483">
        <v>1</v>
      </c>
      <c r="AA411" s="1847" t="e">
        <f t="shared" si="56"/>
        <v>#VALUE!</v>
      </c>
      <c r="AB411" s="1847">
        <f t="shared" si="57"/>
        <v>1.8</v>
      </c>
      <c r="AC411" s="1847">
        <f t="shared" si="58"/>
        <v>2</v>
      </c>
      <c r="AD411" s="1847" t="e">
        <f t="shared" si="59"/>
        <v>#VALUE!</v>
      </c>
      <c r="AE411" s="1847" t="e">
        <f t="shared" si="60"/>
        <v>#VALUE!</v>
      </c>
      <c r="AF411" s="1823" t="e">
        <f t="shared" si="61"/>
        <v>#VALUE!</v>
      </c>
      <c r="AG411" s="1769" t="e">
        <f t="shared" si="62"/>
        <v>#VALUE!</v>
      </c>
      <c r="AI411" t="s">
        <v>4444</v>
      </c>
    </row>
    <row r="412" spans="3:35" ht="24.95" customHeight="1">
      <c r="C412" s="491">
        <v>405</v>
      </c>
      <c r="D412" s="1847"/>
      <c r="E412" s="1847"/>
      <c r="F412" s="1847" t="s">
        <v>4445</v>
      </c>
      <c r="G412" s="1847" t="s">
        <v>4445</v>
      </c>
      <c r="H412" s="1847" t="s">
        <v>4421</v>
      </c>
      <c r="I412" s="1847"/>
      <c r="J412" s="1847" t="s">
        <v>2783</v>
      </c>
      <c r="K412" s="1847" t="s">
        <v>3925</v>
      </c>
      <c r="L412" s="1847" t="s">
        <v>2798</v>
      </c>
      <c r="M412" s="1847" t="s">
        <v>3937</v>
      </c>
      <c r="N412" s="1847"/>
      <c r="O412" s="1847"/>
      <c r="P412" s="1852">
        <v>0.82</v>
      </c>
      <c r="Q412" s="1852">
        <v>1.25</v>
      </c>
      <c r="R412" s="483" t="e">
        <f>IF(H412="","",SUMIFS('[1]1_group_totals'!$J$8:$J$10000,'[1]1_group_totals'!$C$8:$C$10000,C412))</f>
        <v>#VALUE!</v>
      </c>
      <c r="S412" s="483">
        <f t="shared" si="54"/>
        <v>2</v>
      </c>
      <c r="T412" s="483">
        <v>1</v>
      </c>
      <c r="U412" s="510" t="e">
        <f t="shared" si="55"/>
        <v>#VALUE!</v>
      </c>
      <c r="V412" s="510"/>
      <c r="W412" s="510"/>
      <c r="X412" s="510"/>
      <c r="Y412" s="483">
        <v>1</v>
      </c>
      <c r="Z412" s="483">
        <v>1</v>
      </c>
      <c r="AA412" s="1847" t="e">
        <f t="shared" si="56"/>
        <v>#VALUE!</v>
      </c>
      <c r="AB412" s="1847">
        <f t="shared" si="57"/>
        <v>0.82</v>
      </c>
      <c r="AC412" s="1847">
        <f t="shared" si="58"/>
        <v>1.25</v>
      </c>
      <c r="AD412" s="1847" t="e">
        <f t="shared" si="59"/>
        <v>#VALUE!</v>
      </c>
      <c r="AE412" s="1847" t="e">
        <f t="shared" si="60"/>
        <v>#VALUE!</v>
      </c>
      <c r="AF412" s="1823" t="e">
        <f t="shared" si="61"/>
        <v>#VALUE!</v>
      </c>
      <c r="AG412" s="1769" t="e">
        <f t="shared" si="62"/>
        <v>#VALUE!</v>
      </c>
      <c r="AI412" t="s">
        <v>4445</v>
      </c>
    </row>
    <row r="413" spans="3:35" ht="24.95" customHeight="1">
      <c r="C413" s="491">
        <v>406</v>
      </c>
      <c r="D413" s="1847"/>
      <c r="E413" s="1847"/>
      <c r="F413" s="1847" t="s">
        <v>4446</v>
      </c>
      <c r="G413" s="1847" t="s">
        <v>4446</v>
      </c>
      <c r="H413" s="1847" t="s">
        <v>4422</v>
      </c>
      <c r="I413" s="1847"/>
      <c r="J413" s="1847" t="s">
        <v>2783</v>
      </c>
      <c r="K413" s="1847" t="s">
        <v>3925</v>
      </c>
      <c r="L413" s="1847" t="s">
        <v>2797</v>
      </c>
      <c r="M413" s="1847" t="s">
        <v>3937</v>
      </c>
      <c r="N413" s="1847"/>
      <c r="O413" s="1847"/>
      <c r="P413" s="1852">
        <v>0.2</v>
      </c>
      <c r="Q413" s="1852">
        <v>0.3</v>
      </c>
      <c r="R413" s="483" t="e">
        <f>IF(H413="","",SUMIFS('[1]1_group_totals'!$J$8:$J$10000,'[1]1_group_totals'!$C$8:$C$10000,C413))</f>
        <v>#VALUE!</v>
      </c>
      <c r="S413" s="483">
        <f t="shared" si="54"/>
        <v>2</v>
      </c>
      <c r="T413" s="483">
        <v>1</v>
      </c>
      <c r="U413" s="510" t="e">
        <f t="shared" si="55"/>
        <v>#VALUE!</v>
      </c>
      <c r="V413" s="510"/>
      <c r="W413" s="510"/>
      <c r="X413" s="510"/>
      <c r="Y413" s="483">
        <v>1</v>
      </c>
      <c r="Z413" s="483">
        <v>1</v>
      </c>
      <c r="AA413" s="1847" t="e">
        <f t="shared" si="56"/>
        <v>#VALUE!</v>
      </c>
      <c r="AB413" s="1847">
        <f t="shared" si="57"/>
        <v>0.2</v>
      </c>
      <c r="AC413" s="1847">
        <f t="shared" si="58"/>
        <v>0.3</v>
      </c>
      <c r="AD413" s="1847" t="e">
        <f t="shared" si="59"/>
        <v>#VALUE!</v>
      </c>
      <c r="AE413" s="1847" t="e">
        <f t="shared" si="60"/>
        <v>#VALUE!</v>
      </c>
      <c r="AF413" s="1823" t="e">
        <f t="shared" si="61"/>
        <v>#VALUE!</v>
      </c>
      <c r="AG413" s="1769" t="e">
        <f t="shared" si="62"/>
        <v>#VALUE!</v>
      </c>
      <c r="AI413" t="s">
        <v>4446</v>
      </c>
    </row>
    <row r="414" spans="3:35" ht="24.95" customHeight="1">
      <c r="C414" s="491">
        <v>407</v>
      </c>
      <c r="D414" s="1847"/>
      <c r="E414" s="1847"/>
      <c r="F414" s="1847" t="s">
        <v>4447</v>
      </c>
      <c r="G414" s="1847" t="s">
        <v>4447</v>
      </c>
      <c r="H414" s="1847" t="s">
        <v>4423</v>
      </c>
      <c r="I414" s="1847"/>
      <c r="J414" s="1847" t="s">
        <v>2783</v>
      </c>
      <c r="K414" s="1847" t="s">
        <v>3925</v>
      </c>
      <c r="L414" s="1847" t="s">
        <v>2797</v>
      </c>
      <c r="M414" s="1847" t="s">
        <v>3937</v>
      </c>
      <c r="N414" s="1847"/>
      <c r="O414" s="1847"/>
      <c r="P414" s="1852">
        <v>0.25</v>
      </c>
      <c r="Q414" s="1852">
        <v>3.7499999999999999E-2</v>
      </c>
      <c r="R414" s="483" t="e">
        <f>IF(H414="","",SUMIFS('[1]1_group_totals'!$J$8:$J$10000,'[1]1_group_totals'!$C$8:$C$10000,C414))</f>
        <v>#VALUE!</v>
      </c>
      <c r="S414" s="483">
        <f t="shared" si="54"/>
        <v>2</v>
      </c>
      <c r="T414" s="483">
        <v>1</v>
      </c>
      <c r="U414" s="510" t="e">
        <f t="shared" si="55"/>
        <v>#VALUE!</v>
      </c>
      <c r="V414" s="510"/>
      <c r="W414" s="510"/>
      <c r="X414" s="510"/>
      <c r="Y414" s="483">
        <v>1</v>
      </c>
      <c r="Z414" s="483">
        <v>1</v>
      </c>
      <c r="AA414" s="1847" t="e">
        <f t="shared" si="56"/>
        <v>#VALUE!</v>
      </c>
      <c r="AB414" s="1847">
        <f t="shared" si="57"/>
        <v>0.25</v>
      </c>
      <c r="AC414" s="1847">
        <f t="shared" si="58"/>
        <v>3.7499999999999999E-2</v>
      </c>
      <c r="AD414" s="1847" t="e">
        <f t="shared" si="59"/>
        <v>#VALUE!</v>
      </c>
      <c r="AE414" s="1847" t="e">
        <f t="shared" si="60"/>
        <v>#VALUE!</v>
      </c>
      <c r="AF414" s="1823" t="e">
        <f t="shared" si="61"/>
        <v>#VALUE!</v>
      </c>
      <c r="AG414" s="1769" t="e">
        <f t="shared" si="62"/>
        <v>#VALUE!</v>
      </c>
      <c r="AI414" t="s">
        <v>4447</v>
      </c>
    </row>
    <row r="415" spans="3:35" ht="24.95" customHeight="1">
      <c r="C415" s="491">
        <v>408</v>
      </c>
      <c r="D415" s="1847"/>
      <c r="E415" s="1847"/>
      <c r="F415" s="1847" t="s">
        <v>4448</v>
      </c>
      <c r="G415" s="1847" t="s">
        <v>4448</v>
      </c>
      <c r="H415" s="1847" t="s">
        <v>4398</v>
      </c>
      <c r="I415" s="1847"/>
      <c r="J415" s="1847" t="s">
        <v>2783</v>
      </c>
      <c r="K415" s="1847" t="s">
        <v>3925</v>
      </c>
      <c r="L415" s="1847" t="s">
        <v>3935</v>
      </c>
      <c r="M415" s="1847" t="s">
        <v>3937</v>
      </c>
      <c r="N415" s="1847"/>
      <c r="O415" s="1847"/>
      <c r="P415" s="1852">
        <v>0.8</v>
      </c>
      <c r="Q415" s="1852">
        <v>1.25</v>
      </c>
      <c r="R415" s="483" t="e">
        <f>IF(H415="","",SUMIFS('[1]1_group_totals'!$J$8:$J$10000,'[1]1_group_totals'!$C$8:$C$10000,C415))</f>
        <v>#VALUE!</v>
      </c>
      <c r="S415" s="483">
        <f t="shared" si="54"/>
        <v>2</v>
      </c>
      <c r="T415" s="483">
        <v>1</v>
      </c>
      <c r="U415" s="510" t="e">
        <f t="shared" si="55"/>
        <v>#VALUE!</v>
      </c>
      <c r="V415" s="510"/>
      <c r="W415" s="510"/>
      <c r="X415" s="510"/>
      <c r="Y415" s="483">
        <v>1</v>
      </c>
      <c r="Z415" s="483">
        <v>1</v>
      </c>
      <c r="AA415" s="1847" t="e">
        <f t="shared" si="56"/>
        <v>#VALUE!</v>
      </c>
      <c r="AB415" s="1847">
        <f t="shared" si="57"/>
        <v>0.8</v>
      </c>
      <c r="AC415" s="1847">
        <f t="shared" si="58"/>
        <v>1.25</v>
      </c>
      <c r="AD415" s="1847" t="e">
        <f t="shared" si="59"/>
        <v>#VALUE!</v>
      </c>
      <c r="AE415" s="1847" t="e">
        <f t="shared" si="60"/>
        <v>#VALUE!</v>
      </c>
      <c r="AF415" s="1823" t="e">
        <f t="shared" si="61"/>
        <v>#VALUE!</v>
      </c>
      <c r="AG415" s="1769" t="e">
        <f t="shared" si="62"/>
        <v>#VALUE!</v>
      </c>
      <c r="AI415" t="s">
        <v>4448</v>
      </c>
    </row>
    <row r="416" spans="3:35" ht="24.95" customHeight="1">
      <c r="C416" s="491">
        <v>409</v>
      </c>
      <c r="D416" s="1847"/>
      <c r="E416" s="1847"/>
      <c r="F416" s="1847" t="s">
        <v>4449</v>
      </c>
      <c r="G416" s="1847" t="s">
        <v>4449</v>
      </c>
      <c r="H416" s="1847" t="s">
        <v>4397</v>
      </c>
      <c r="I416" s="1847"/>
      <c r="J416" s="1847" t="s">
        <v>2783</v>
      </c>
      <c r="K416" s="1847" t="s">
        <v>3925</v>
      </c>
      <c r="L416" s="1847" t="s">
        <v>3935</v>
      </c>
      <c r="M416" s="1847" t="s">
        <v>3937</v>
      </c>
      <c r="N416" s="1847"/>
      <c r="O416" s="1847"/>
      <c r="P416" s="1852">
        <v>1</v>
      </c>
      <c r="Q416" s="1852">
        <v>1.5</v>
      </c>
      <c r="R416" s="483" t="e">
        <f>IF(H416="","",SUMIFS('[1]1_group_totals'!$J$8:$J$10000,'[1]1_group_totals'!$C$8:$C$10000,C416))</f>
        <v>#VALUE!</v>
      </c>
      <c r="S416" s="483">
        <f t="shared" si="54"/>
        <v>2</v>
      </c>
      <c r="T416" s="483">
        <v>1</v>
      </c>
      <c r="U416" s="510" t="e">
        <f t="shared" si="55"/>
        <v>#VALUE!</v>
      </c>
      <c r="V416" s="510"/>
      <c r="W416" s="510"/>
      <c r="X416" s="510"/>
      <c r="Y416" s="483">
        <v>1</v>
      </c>
      <c r="Z416" s="483">
        <v>1</v>
      </c>
      <c r="AA416" s="1847" t="e">
        <f t="shared" si="56"/>
        <v>#VALUE!</v>
      </c>
      <c r="AB416" s="1847">
        <f t="shared" si="57"/>
        <v>1</v>
      </c>
      <c r="AC416" s="1847">
        <f t="shared" si="58"/>
        <v>1.5</v>
      </c>
      <c r="AD416" s="1847" t="e">
        <f t="shared" si="59"/>
        <v>#VALUE!</v>
      </c>
      <c r="AE416" s="1847" t="e">
        <f t="shared" si="60"/>
        <v>#VALUE!</v>
      </c>
      <c r="AF416" s="1823" t="e">
        <f t="shared" si="61"/>
        <v>#VALUE!</v>
      </c>
      <c r="AG416" s="1769" t="e">
        <f t="shared" si="62"/>
        <v>#VALUE!</v>
      </c>
      <c r="AI416" t="s">
        <v>4449</v>
      </c>
    </row>
    <row r="417" spans="3:35" ht="24.95" customHeight="1">
      <c r="C417" s="491">
        <v>410</v>
      </c>
      <c r="D417" s="1847"/>
      <c r="E417" s="1847"/>
      <c r="F417" s="1847" t="s">
        <v>4450</v>
      </c>
      <c r="G417" s="1847" t="s">
        <v>4450</v>
      </c>
      <c r="H417" s="1847" t="s">
        <v>4396</v>
      </c>
      <c r="I417" s="1847"/>
      <c r="J417" s="1847" t="s">
        <v>2783</v>
      </c>
      <c r="K417" s="1847" t="s">
        <v>3925</v>
      </c>
      <c r="L417" s="1847" t="s">
        <v>3935</v>
      </c>
      <c r="M417" s="1847" t="s">
        <v>3937</v>
      </c>
      <c r="N417" s="1847"/>
      <c r="O417" s="1847"/>
      <c r="P417" s="1852">
        <v>1.1000000000000001</v>
      </c>
      <c r="Q417" s="1852">
        <v>1.5</v>
      </c>
      <c r="R417" s="483" t="e">
        <f>IF(H417="","",SUMIFS('[1]1_group_totals'!$J$8:$J$10000,'[1]1_group_totals'!$C$8:$C$10000,C417))</f>
        <v>#VALUE!</v>
      </c>
      <c r="S417" s="483">
        <f t="shared" si="54"/>
        <v>2</v>
      </c>
      <c r="T417" s="483">
        <v>1</v>
      </c>
      <c r="U417" s="510" t="e">
        <f t="shared" si="55"/>
        <v>#VALUE!</v>
      </c>
      <c r="V417" s="510"/>
      <c r="W417" s="510"/>
      <c r="X417" s="510"/>
      <c r="Y417" s="483">
        <v>1</v>
      </c>
      <c r="Z417" s="483">
        <v>1</v>
      </c>
      <c r="AA417" s="1847" t="e">
        <f t="shared" si="56"/>
        <v>#VALUE!</v>
      </c>
      <c r="AB417" s="1847">
        <f t="shared" si="57"/>
        <v>1.1000000000000001</v>
      </c>
      <c r="AC417" s="1847">
        <f t="shared" si="58"/>
        <v>1.5</v>
      </c>
      <c r="AD417" s="1847" t="e">
        <f t="shared" si="59"/>
        <v>#VALUE!</v>
      </c>
      <c r="AE417" s="1847" t="e">
        <f t="shared" si="60"/>
        <v>#VALUE!</v>
      </c>
      <c r="AF417" s="1823" t="e">
        <f t="shared" si="61"/>
        <v>#VALUE!</v>
      </c>
      <c r="AG417" s="1769" t="e">
        <f t="shared" si="62"/>
        <v>#VALUE!</v>
      </c>
      <c r="AI417" t="s">
        <v>4450</v>
      </c>
    </row>
    <row r="418" spans="3:35" ht="24.95" customHeight="1">
      <c r="C418" s="491">
        <v>411</v>
      </c>
      <c r="D418" s="1847"/>
      <c r="E418" s="1847"/>
      <c r="F418" s="1847" t="s">
        <v>4451</v>
      </c>
      <c r="G418" s="1847" t="s">
        <v>4451</v>
      </c>
      <c r="H418" s="1847" t="s">
        <v>4410</v>
      </c>
      <c r="I418" s="1847"/>
      <c r="J418" s="1847" t="s">
        <v>2783</v>
      </c>
      <c r="K418" s="1847" t="s">
        <v>3925</v>
      </c>
      <c r="L418" s="1847" t="s">
        <v>3935</v>
      </c>
      <c r="M418" s="1847" t="s">
        <v>3937</v>
      </c>
      <c r="N418" s="1847"/>
      <c r="O418" s="1847"/>
      <c r="P418" s="1852">
        <v>1.8</v>
      </c>
      <c r="Q418" s="1852">
        <v>2.5</v>
      </c>
      <c r="R418" s="483" t="e">
        <f>IF(H418="","",SUMIFS('[1]1_group_totals'!$J$8:$J$10000,'[1]1_group_totals'!$C$8:$C$10000,C418))</f>
        <v>#VALUE!</v>
      </c>
      <c r="S418" s="483">
        <f t="shared" si="54"/>
        <v>2</v>
      </c>
      <c r="T418" s="483">
        <v>1</v>
      </c>
      <c r="U418" s="510" t="e">
        <f t="shared" si="55"/>
        <v>#VALUE!</v>
      </c>
      <c r="V418" s="510"/>
      <c r="W418" s="510"/>
      <c r="X418" s="510"/>
      <c r="Y418" s="483">
        <v>1</v>
      </c>
      <c r="Z418" s="483">
        <v>1</v>
      </c>
      <c r="AA418" s="1847" t="e">
        <f t="shared" si="56"/>
        <v>#VALUE!</v>
      </c>
      <c r="AB418" s="1847">
        <f t="shared" si="57"/>
        <v>1.8</v>
      </c>
      <c r="AC418" s="1847">
        <f t="shared" si="58"/>
        <v>2.5</v>
      </c>
      <c r="AD418" s="1847" t="e">
        <f t="shared" si="59"/>
        <v>#VALUE!</v>
      </c>
      <c r="AE418" s="1847" t="e">
        <f t="shared" si="60"/>
        <v>#VALUE!</v>
      </c>
      <c r="AF418" s="1823" t="e">
        <f t="shared" si="61"/>
        <v>#VALUE!</v>
      </c>
      <c r="AG418" s="1769" t="e">
        <f t="shared" si="62"/>
        <v>#VALUE!</v>
      </c>
      <c r="AI418" t="s">
        <v>4451</v>
      </c>
    </row>
    <row r="419" spans="3:35" ht="24.95" customHeight="1">
      <c r="C419" s="491">
        <v>412</v>
      </c>
      <c r="D419" s="1847"/>
      <c r="E419" s="1847"/>
      <c r="F419" s="1847" t="s">
        <v>4452</v>
      </c>
      <c r="G419" s="1847" t="s">
        <v>4452</v>
      </c>
      <c r="H419" s="1847" t="s">
        <v>4395</v>
      </c>
      <c r="I419" s="1847"/>
      <c r="J419" s="1847" t="s">
        <v>2783</v>
      </c>
      <c r="K419" s="1847" t="s">
        <v>3925</v>
      </c>
      <c r="L419" s="1847" t="s">
        <v>3935</v>
      </c>
      <c r="M419" s="1847" t="s">
        <v>3937</v>
      </c>
      <c r="N419" s="1847"/>
      <c r="O419" s="1847"/>
      <c r="P419" s="1852">
        <v>3.4</v>
      </c>
      <c r="Q419" s="1852">
        <v>6</v>
      </c>
      <c r="R419" s="483" t="e">
        <f>IF(H419="","",SUMIFS('[1]1_group_totals'!$J$8:$J$10000,'[1]1_group_totals'!$C$8:$C$10000,C419))</f>
        <v>#VALUE!</v>
      </c>
      <c r="S419" s="483">
        <f t="shared" si="54"/>
        <v>2</v>
      </c>
      <c r="T419" s="483">
        <v>1</v>
      </c>
      <c r="U419" s="510" t="e">
        <f t="shared" si="55"/>
        <v>#VALUE!</v>
      </c>
      <c r="V419" s="510"/>
      <c r="W419" s="510"/>
      <c r="X419" s="510"/>
      <c r="Y419" s="483">
        <v>1</v>
      </c>
      <c r="Z419" s="483">
        <v>1</v>
      </c>
      <c r="AA419" s="1847" t="e">
        <f t="shared" si="56"/>
        <v>#VALUE!</v>
      </c>
      <c r="AB419" s="1847">
        <f t="shared" si="57"/>
        <v>3.4</v>
      </c>
      <c r="AC419" s="1847">
        <f t="shared" si="58"/>
        <v>6</v>
      </c>
      <c r="AD419" s="1847" t="e">
        <f t="shared" si="59"/>
        <v>#VALUE!</v>
      </c>
      <c r="AE419" s="1847" t="e">
        <f t="shared" si="60"/>
        <v>#VALUE!</v>
      </c>
      <c r="AF419" s="1823" t="e">
        <f t="shared" si="61"/>
        <v>#VALUE!</v>
      </c>
      <c r="AG419" s="1769" t="e">
        <f t="shared" si="62"/>
        <v>#VALUE!</v>
      </c>
      <c r="AI419" t="s">
        <v>4452</v>
      </c>
    </row>
    <row r="420" spans="3:35" ht="24.95" customHeight="1">
      <c r="C420" s="491">
        <v>413</v>
      </c>
      <c r="D420" s="1847"/>
      <c r="E420" s="1847"/>
      <c r="F420" s="1847" t="s">
        <v>4453</v>
      </c>
      <c r="G420" s="1847" t="s">
        <v>4453</v>
      </c>
      <c r="H420" s="1847" t="s">
        <v>4413</v>
      </c>
      <c r="I420" s="1847"/>
      <c r="J420" s="1847" t="s">
        <v>2783</v>
      </c>
      <c r="K420" s="1847" t="s">
        <v>3925</v>
      </c>
      <c r="L420" s="1847" t="s">
        <v>3935</v>
      </c>
      <c r="M420" s="1847" t="s">
        <v>3937</v>
      </c>
      <c r="N420" s="1847"/>
      <c r="O420" s="1847"/>
      <c r="P420" s="1852">
        <v>2.5</v>
      </c>
      <c r="Q420" s="1852">
        <v>3.5</v>
      </c>
      <c r="R420" s="483" t="e">
        <f>IF(H420="","",SUMIFS('[1]1_group_totals'!$J$8:$J$10000,'[1]1_group_totals'!$C$8:$C$10000,C420))</f>
        <v>#VALUE!</v>
      </c>
      <c r="S420" s="483">
        <f t="shared" si="54"/>
        <v>2</v>
      </c>
      <c r="T420" s="483">
        <v>1</v>
      </c>
      <c r="U420" s="510" t="e">
        <f t="shared" si="55"/>
        <v>#VALUE!</v>
      </c>
      <c r="V420" s="510"/>
      <c r="W420" s="510"/>
      <c r="X420" s="510"/>
      <c r="Y420" s="483">
        <v>1</v>
      </c>
      <c r="Z420" s="483">
        <v>1</v>
      </c>
      <c r="AA420" s="1847" t="e">
        <f t="shared" si="56"/>
        <v>#VALUE!</v>
      </c>
      <c r="AB420" s="1847">
        <f t="shared" si="57"/>
        <v>2.5</v>
      </c>
      <c r="AC420" s="1847">
        <f t="shared" si="58"/>
        <v>3.5</v>
      </c>
      <c r="AD420" s="1847" t="e">
        <f t="shared" si="59"/>
        <v>#VALUE!</v>
      </c>
      <c r="AE420" s="1847" t="e">
        <f t="shared" si="60"/>
        <v>#VALUE!</v>
      </c>
      <c r="AF420" s="1823" t="e">
        <f t="shared" si="61"/>
        <v>#VALUE!</v>
      </c>
      <c r="AG420" s="1769" t="e">
        <f t="shared" si="62"/>
        <v>#VALUE!</v>
      </c>
      <c r="AI420" t="s">
        <v>4453</v>
      </c>
    </row>
    <row r="421" spans="3:35" ht="24.95" customHeight="1">
      <c r="C421" s="491">
        <v>414</v>
      </c>
      <c r="D421" s="1847"/>
      <c r="E421" s="1847"/>
      <c r="F421" s="1847" t="s">
        <v>4454</v>
      </c>
      <c r="G421" s="1847" t="s">
        <v>4454</v>
      </c>
      <c r="H421" s="1847" t="s">
        <v>4411</v>
      </c>
      <c r="I421" s="1847"/>
      <c r="J421" s="1847" t="s">
        <v>2783</v>
      </c>
      <c r="K421" s="1847" t="s">
        <v>3925</v>
      </c>
      <c r="L421" s="1847" t="s">
        <v>3935</v>
      </c>
      <c r="M421" s="1847" t="s">
        <v>3937</v>
      </c>
      <c r="N421" s="1847"/>
      <c r="O421" s="1847"/>
      <c r="P421" s="1852">
        <v>1.8</v>
      </c>
      <c r="Q421" s="1852">
        <v>2.5</v>
      </c>
      <c r="R421" s="483" t="e">
        <f>IF(H421="","",SUMIFS('[1]1_group_totals'!$J$8:$J$10000,'[1]1_group_totals'!$C$8:$C$10000,C421))</f>
        <v>#VALUE!</v>
      </c>
      <c r="S421" s="483">
        <f t="shared" si="54"/>
        <v>2</v>
      </c>
      <c r="T421" s="483">
        <v>1</v>
      </c>
      <c r="U421" s="510" t="e">
        <f t="shared" si="55"/>
        <v>#VALUE!</v>
      </c>
      <c r="V421" s="510"/>
      <c r="W421" s="510"/>
      <c r="X421" s="510"/>
      <c r="Y421" s="483">
        <v>1</v>
      </c>
      <c r="Z421" s="483">
        <v>1</v>
      </c>
      <c r="AA421" s="1847" t="e">
        <f t="shared" si="56"/>
        <v>#VALUE!</v>
      </c>
      <c r="AB421" s="1847">
        <f t="shared" si="57"/>
        <v>1.8</v>
      </c>
      <c r="AC421" s="1847">
        <f t="shared" si="58"/>
        <v>2.5</v>
      </c>
      <c r="AD421" s="1847" t="e">
        <f t="shared" si="59"/>
        <v>#VALUE!</v>
      </c>
      <c r="AE421" s="1847" t="e">
        <f t="shared" si="60"/>
        <v>#VALUE!</v>
      </c>
      <c r="AF421" s="1823" t="e">
        <f t="shared" si="61"/>
        <v>#VALUE!</v>
      </c>
      <c r="AG421" s="1769" t="e">
        <f t="shared" si="62"/>
        <v>#VALUE!</v>
      </c>
      <c r="AI421" t="s">
        <v>4454</v>
      </c>
    </row>
    <row r="422" spans="3:35" ht="24.95" customHeight="1">
      <c r="C422" s="491">
        <v>415</v>
      </c>
      <c r="D422" s="1847"/>
      <c r="E422" s="1847"/>
      <c r="F422" s="1847" t="s">
        <v>4455</v>
      </c>
      <c r="G422" s="1847" t="s">
        <v>4455</v>
      </c>
      <c r="H422" s="1847" t="s">
        <v>4412</v>
      </c>
      <c r="I422" s="1847"/>
      <c r="J422" s="1847" t="s">
        <v>2783</v>
      </c>
      <c r="K422" s="1847" t="s">
        <v>3925</v>
      </c>
      <c r="L422" s="1847" t="s">
        <v>3935</v>
      </c>
      <c r="M422" s="1847" t="s">
        <v>3937</v>
      </c>
      <c r="N422" s="1847"/>
      <c r="O422" s="1847"/>
      <c r="P422" s="1852">
        <v>1.7</v>
      </c>
      <c r="Q422" s="1852">
        <v>2.5</v>
      </c>
      <c r="R422" s="483" t="e">
        <f>IF(H422="","",SUMIFS('[1]1_group_totals'!$J$8:$J$10000,'[1]1_group_totals'!$C$8:$C$10000,C422))</f>
        <v>#VALUE!</v>
      </c>
      <c r="S422" s="483">
        <f t="shared" si="54"/>
        <v>2</v>
      </c>
      <c r="T422" s="483">
        <v>1</v>
      </c>
      <c r="U422" s="510" t="e">
        <f t="shared" si="55"/>
        <v>#VALUE!</v>
      </c>
      <c r="V422" s="510"/>
      <c r="W422" s="510"/>
      <c r="X422" s="510"/>
      <c r="Y422" s="483">
        <v>1</v>
      </c>
      <c r="Z422" s="483">
        <v>1</v>
      </c>
      <c r="AA422" s="1847" t="e">
        <f t="shared" si="56"/>
        <v>#VALUE!</v>
      </c>
      <c r="AB422" s="1847">
        <f t="shared" si="57"/>
        <v>1.7</v>
      </c>
      <c r="AC422" s="1847">
        <f t="shared" si="58"/>
        <v>2.5</v>
      </c>
      <c r="AD422" s="1847" t="e">
        <f t="shared" si="59"/>
        <v>#VALUE!</v>
      </c>
      <c r="AE422" s="1847" t="e">
        <f t="shared" si="60"/>
        <v>#VALUE!</v>
      </c>
      <c r="AF422" s="1823" t="e">
        <f t="shared" si="61"/>
        <v>#VALUE!</v>
      </c>
      <c r="AG422" s="1769" t="e">
        <f t="shared" si="62"/>
        <v>#VALUE!</v>
      </c>
      <c r="AI422" t="s">
        <v>4455</v>
      </c>
    </row>
    <row r="423" spans="3:35" ht="24.95" customHeight="1">
      <c r="C423" s="491">
        <v>416</v>
      </c>
      <c r="D423" s="1847"/>
      <c r="E423" s="1847"/>
      <c r="F423" s="1847" t="s">
        <v>4456</v>
      </c>
      <c r="G423" s="1847" t="s">
        <v>4456</v>
      </c>
      <c r="H423" s="1847" t="s">
        <v>4424</v>
      </c>
      <c r="I423" s="1847"/>
      <c r="J423" s="1847" t="s">
        <v>2783</v>
      </c>
      <c r="K423" s="1847" t="s">
        <v>3925</v>
      </c>
      <c r="L423" s="1847" t="s">
        <v>2799</v>
      </c>
      <c r="M423" s="1847" t="s">
        <v>3937</v>
      </c>
      <c r="N423" s="1847"/>
      <c r="O423" s="1847"/>
      <c r="P423" s="1852">
        <v>3.5</v>
      </c>
      <c r="Q423" s="1852">
        <v>4.5</v>
      </c>
      <c r="R423" s="483" t="e">
        <f>IF(H423="","",SUMIFS('[1]1_group_totals'!$J$8:$J$10000,'[1]1_group_totals'!$C$8:$C$10000,C423))</f>
        <v>#VALUE!</v>
      </c>
      <c r="S423" s="483">
        <f t="shared" si="54"/>
        <v>2</v>
      </c>
      <c r="T423" s="483">
        <v>1</v>
      </c>
      <c r="U423" s="510" t="e">
        <f t="shared" si="55"/>
        <v>#VALUE!</v>
      </c>
      <c r="V423" s="510"/>
      <c r="W423" s="510"/>
      <c r="X423" s="510"/>
      <c r="Y423" s="483">
        <v>1</v>
      </c>
      <c r="Z423" s="483">
        <v>1</v>
      </c>
      <c r="AA423" s="1847" t="e">
        <f t="shared" si="56"/>
        <v>#VALUE!</v>
      </c>
      <c r="AB423" s="1847">
        <f t="shared" si="57"/>
        <v>3.5</v>
      </c>
      <c r="AC423" s="1847">
        <f t="shared" si="58"/>
        <v>4.5</v>
      </c>
      <c r="AD423" s="1847" t="e">
        <f t="shared" si="59"/>
        <v>#VALUE!</v>
      </c>
      <c r="AE423" s="1847" t="e">
        <f t="shared" si="60"/>
        <v>#VALUE!</v>
      </c>
      <c r="AF423" s="1823" t="e">
        <f t="shared" si="61"/>
        <v>#VALUE!</v>
      </c>
      <c r="AG423" s="1769" t="e">
        <f t="shared" si="62"/>
        <v>#VALUE!</v>
      </c>
      <c r="AI423" t="s">
        <v>4456</v>
      </c>
    </row>
    <row r="424" spans="3:35" ht="24.95" customHeight="1">
      <c r="C424" s="491">
        <v>417</v>
      </c>
      <c r="D424" s="1847"/>
      <c r="E424" s="1847"/>
      <c r="F424" s="1847" t="s">
        <v>4457</v>
      </c>
      <c r="G424" s="1847" t="s">
        <v>4457</v>
      </c>
      <c r="H424" s="1847" t="s">
        <v>4425</v>
      </c>
      <c r="I424" s="1847"/>
      <c r="J424" s="1847" t="s">
        <v>4361</v>
      </c>
      <c r="K424" s="1847" t="s">
        <v>3926</v>
      </c>
      <c r="L424" s="1847" t="s">
        <v>3935</v>
      </c>
      <c r="M424" s="1847" t="s">
        <v>4352</v>
      </c>
      <c r="N424" s="1847"/>
      <c r="O424" s="1847"/>
      <c r="P424" s="1852">
        <v>5.5</v>
      </c>
      <c r="Q424" s="1852">
        <v>12</v>
      </c>
      <c r="R424" s="483" t="e">
        <f>IF(H424="","",SUMIFS('[1]1_group_totals'!$J$8:$J$10000,'[1]1_group_totals'!$C$8:$C$10000,C424))</f>
        <v>#VALUE!</v>
      </c>
      <c r="S424" s="483">
        <f t="shared" si="54"/>
        <v>88</v>
      </c>
      <c r="T424" s="483">
        <v>24</v>
      </c>
      <c r="U424" s="510" t="e">
        <f t="shared" si="55"/>
        <v>#VALUE!</v>
      </c>
      <c r="V424" s="510"/>
      <c r="W424" s="510"/>
      <c r="X424" s="510"/>
      <c r="Y424" s="483">
        <v>1</v>
      </c>
      <c r="Z424" s="483">
        <v>1</v>
      </c>
      <c r="AA424" s="1847" t="e">
        <f t="shared" si="56"/>
        <v>#VALUE!</v>
      </c>
      <c r="AB424" s="1847">
        <f t="shared" si="57"/>
        <v>0.22916666666666666</v>
      </c>
      <c r="AC424" s="1847">
        <f t="shared" si="58"/>
        <v>0.5</v>
      </c>
      <c r="AD424" s="1847" t="e">
        <f t="shared" si="59"/>
        <v>#VALUE!</v>
      </c>
      <c r="AE424" s="1847" t="e">
        <f t="shared" si="60"/>
        <v>#VALUE!</v>
      </c>
      <c r="AF424" s="1823" t="e">
        <f t="shared" si="61"/>
        <v>#VALUE!</v>
      </c>
      <c r="AG424" s="1769" t="e">
        <f t="shared" si="62"/>
        <v>#VALUE!</v>
      </c>
      <c r="AI424" t="s">
        <v>4457</v>
      </c>
    </row>
    <row r="425" spans="3:35" ht="24.95" customHeight="1">
      <c r="C425" s="491">
        <v>418</v>
      </c>
      <c r="D425" s="1847"/>
      <c r="E425" s="1847"/>
      <c r="F425" s="1847" t="s">
        <v>4458</v>
      </c>
      <c r="G425" s="1847" t="s">
        <v>4458</v>
      </c>
      <c r="H425" s="1847" t="s">
        <v>4404</v>
      </c>
      <c r="I425" s="1847"/>
      <c r="J425" s="1847" t="s">
        <v>4588</v>
      </c>
      <c r="K425" s="1847" t="s">
        <v>4428</v>
      </c>
      <c r="L425" s="1847" t="s">
        <v>3935</v>
      </c>
      <c r="M425" s="1847" t="s">
        <v>4475</v>
      </c>
      <c r="N425" s="1847"/>
      <c r="O425" s="1847"/>
      <c r="P425" s="1852">
        <v>79.5</v>
      </c>
      <c r="Q425" s="1852">
        <v>85</v>
      </c>
      <c r="R425" s="483" t="e">
        <f>IF(H425="","",SUMIFS('[1]1_group_totals'!$J$8:$J$10000,'[1]1_group_totals'!$C$8:$C$10000,C425))</f>
        <v>#VALUE!</v>
      </c>
      <c r="S425" s="483">
        <f t="shared" si="54"/>
        <v>89</v>
      </c>
      <c r="T425" s="483">
        <v>1</v>
      </c>
      <c r="U425" s="510" t="e">
        <f t="shared" si="55"/>
        <v>#VALUE!</v>
      </c>
      <c r="V425" s="510"/>
      <c r="W425" s="510"/>
      <c r="X425" s="510"/>
      <c r="Y425" s="483">
        <v>1</v>
      </c>
      <c r="Z425" s="483">
        <v>1</v>
      </c>
      <c r="AA425" s="1847" t="e">
        <f t="shared" si="56"/>
        <v>#VALUE!</v>
      </c>
      <c r="AB425" s="1847">
        <f t="shared" si="57"/>
        <v>79.5</v>
      </c>
      <c r="AC425" s="1847">
        <f t="shared" si="58"/>
        <v>85</v>
      </c>
      <c r="AD425" s="1847" t="e">
        <f t="shared" si="59"/>
        <v>#VALUE!</v>
      </c>
      <c r="AE425" s="1847" t="e">
        <f t="shared" si="60"/>
        <v>#VALUE!</v>
      </c>
      <c r="AF425" s="1823" t="e">
        <f t="shared" si="61"/>
        <v>#VALUE!</v>
      </c>
      <c r="AG425" s="1769" t="e">
        <f t="shared" si="62"/>
        <v>#VALUE!</v>
      </c>
      <c r="AI425" t="s">
        <v>4458</v>
      </c>
    </row>
    <row r="426" spans="3:35" ht="24.95" customHeight="1">
      <c r="C426" s="491">
        <v>419</v>
      </c>
      <c r="D426" s="1847"/>
      <c r="E426" s="1847"/>
      <c r="F426" s="1847" t="s">
        <v>4459</v>
      </c>
      <c r="G426" s="1847" t="s">
        <v>4459</v>
      </c>
      <c r="H426" s="1847" t="s">
        <v>4405</v>
      </c>
      <c r="I426" s="1847"/>
      <c r="J426" s="1847" t="s">
        <v>4588</v>
      </c>
      <c r="K426" s="1847" t="s">
        <v>4428</v>
      </c>
      <c r="L426" s="1847" t="s">
        <v>3935</v>
      </c>
      <c r="M426" s="1847" t="s">
        <v>4475</v>
      </c>
      <c r="N426" s="1847"/>
      <c r="O426" s="1847"/>
      <c r="P426" s="1852">
        <v>79.5</v>
      </c>
      <c r="Q426" s="1852">
        <v>85</v>
      </c>
      <c r="R426" s="483" t="e">
        <f>IF(H426="","",SUMIFS('[1]1_group_totals'!$J$8:$J$10000,'[1]1_group_totals'!$C$8:$C$10000,C426))</f>
        <v>#VALUE!</v>
      </c>
      <c r="S426" s="483">
        <f t="shared" si="54"/>
        <v>89</v>
      </c>
      <c r="T426" s="483">
        <v>1</v>
      </c>
      <c r="U426" s="510" t="e">
        <f t="shared" si="55"/>
        <v>#VALUE!</v>
      </c>
      <c r="V426" s="510"/>
      <c r="W426" s="510"/>
      <c r="X426" s="510"/>
      <c r="Y426" s="483">
        <v>1</v>
      </c>
      <c r="Z426" s="483">
        <v>1</v>
      </c>
      <c r="AA426" s="1847" t="e">
        <f t="shared" si="56"/>
        <v>#VALUE!</v>
      </c>
      <c r="AB426" s="1847">
        <f t="shared" si="57"/>
        <v>79.5</v>
      </c>
      <c r="AC426" s="1847">
        <f t="shared" si="58"/>
        <v>85</v>
      </c>
      <c r="AD426" s="1847" t="e">
        <f t="shared" si="59"/>
        <v>#VALUE!</v>
      </c>
      <c r="AE426" s="1847" t="e">
        <f t="shared" si="60"/>
        <v>#VALUE!</v>
      </c>
      <c r="AF426" s="1823" t="e">
        <f t="shared" si="61"/>
        <v>#VALUE!</v>
      </c>
      <c r="AG426" s="1769" t="e">
        <f t="shared" si="62"/>
        <v>#VALUE!</v>
      </c>
      <c r="AI426" t="s">
        <v>4459</v>
      </c>
    </row>
    <row r="427" spans="3:35" ht="24.95" customHeight="1">
      <c r="C427" s="491">
        <v>420</v>
      </c>
      <c r="D427" s="1847"/>
      <c r="E427" s="1847"/>
      <c r="F427" s="1847" t="s">
        <v>4460</v>
      </c>
      <c r="G427" s="1847" t="s">
        <v>4460</v>
      </c>
      <c r="H427" s="1847" t="s">
        <v>4381</v>
      </c>
      <c r="I427" s="1847"/>
      <c r="J427" s="1847" t="s">
        <v>4362</v>
      </c>
      <c r="K427" s="1847" t="s">
        <v>3929</v>
      </c>
      <c r="L427" s="1847" t="s">
        <v>3934</v>
      </c>
      <c r="M427" s="1847" t="s">
        <v>4365</v>
      </c>
      <c r="N427" s="1847"/>
      <c r="O427" s="1847"/>
      <c r="P427" s="1852">
        <v>1.65</v>
      </c>
      <c r="Q427" s="1852">
        <v>2.5</v>
      </c>
      <c r="R427" s="483" t="e">
        <f>IF(H427="","",SUMIFS('[1]1_group_totals'!$J$8:$J$10000,'[1]1_group_totals'!$C$8:$C$10000,C427))</f>
        <v>#VALUE!</v>
      </c>
      <c r="S427" s="483">
        <f t="shared" si="54"/>
        <v>1</v>
      </c>
      <c r="T427" s="483">
        <v>1</v>
      </c>
      <c r="U427" s="510" t="e">
        <f t="shared" si="55"/>
        <v>#VALUE!</v>
      </c>
      <c r="V427" s="510"/>
      <c r="W427" s="510"/>
      <c r="X427" s="510"/>
      <c r="Y427" s="483">
        <v>1</v>
      </c>
      <c r="Z427" s="483">
        <v>1</v>
      </c>
      <c r="AA427" s="1847" t="e">
        <f t="shared" si="56"/>
        <v>#VALUE!</v>
      </c>
      <c r="AB427" s="1847">
        <f t="shared" si="57"/>
        <v>1.65</v>
      </c>
      <c r="AC427" s="1847">
        <f t="shared" si="58"/>
        <v>2.5</v>
      </c>
      <c r="AD427" s="1847" t="e">
        <f t="shared" si="59"/>
        <v>#VALUE!</v>
      </c>
      <c r="AE427" s="1847" t="e">
        <f t="shared" si="60"/>
        <v>#VALUE!</v>
      </c>
      <c r="AF427" s="1823" t="e">
        <f t="shared" si="61"/>
        <v>#VALUE!</v>
      </c>
      <c r="AG427" s="1769" t="e">
        <f t="shared" si="62"/>
        <v>#VALUE!</v>
      </c>
      <c r="AI427" t="s">
        <v>4460</v>
      </c>
    </row>
    <row r="428" spans="3:35" ht="24.95" customHeight="1">
      <c r="C428" s="491">
        <v>421</v>
      </c>
      <c r="D428" s="1847"/>
      <c r="E428" s="1847"/>
      <c r="F428" s="1847" t="s">
        <v>4461</v>
      </c>
      <c r="G428" s="1847" t="s">
        <v>4461</v>
      </c>
      <c r="H428" s="1847" t="s">
        <v>4387</v>
      </c>
      <c r="I428" s="1847"/>
      <c r="J428" s="1847" t="s">
        <v>4353</v>
      </c>
      <c r="K428" s="1847" t="s">
        <v>3929</v>
      </c>
      <c r="L428" s="1847" t="s">
        <v>3934</v>
      </c>
      <c r="M428" s="1847" t="s">
        <v>4364</v>
      </c>
      <c r="N428" s="1847"/>
      <c r="O428" s="1847"/>
      <c r="P428" s="1852">
        <v>1.1000000000000001</v>
      </c>
      <c r="Q428" s="1852">
        <v>1.5</v>
      </c>
      <c r="R428" s="483" t="e">
        <f>IF(H428="","",SUMIFS('[1]1_group_totals'!$J$8:$J$10000,'[1]1_group_totals'!$C$8:$C$10000,C428))</f>
        <v>#VALUE!</v>
      </c>
      <c r="S428" s="483">
        <f t="shared" si="54"/>
        <v>3</v>
      </c>
      <c r="T428" s="483">
        <v>1</v>
      </c>
      <c r="U428" s="510" t="e">
        <f t="shared" si="55"/>
        <v>#VALUE!</v>
      </c>
      <c r="V428" s="510"/>
      <c r="W428" s="510"/>
      <c r="X428" s="510"/>
      <c r="Y428" s="483">
        <v>1</v>
      </c>
      <c r="Z428" s="483">
        <v>1</v>
      </c>
      <c r="AA428" s="1847" t="e">
        <f t="shared" si="56"/>
        <v>#VALUE!</v>
      </c>
      <c r="AB428" s="1847">
        <f t="shared" si="57"/>
        <v>1.1000000000000001</v>
      </c>
      <c r="AC428" s="1847">
        <f t="shared" si="58"/>
        <v>1.5</v>
      </c>
      <c r="AD428" s="1847" t="e">
        <f t="shared" si="59"/>
        <v>#VALUE!</v>
      </c>
      <c r="AE428" s="1847" t="e">
        <f t="shared" si="60"/>
        <v>#VALUE!</v>
      </c>
      <c r="AF428" s="1823" t="e">
        <f t="shared" si="61"/>
        <v>#VALUE!</v>
      </c>
      <c r="AG428" s="1769" t="e">
        <f t="shared" si="62"/>
        <v>#VALUE!</v>
      </c>
      <c r="AI428" t="s">
        <v>4461</v>
      </c>
    </row>
    <row r="429" spans="3:35" ht="24.95" customHeight="1">
      <c r="C429" s="491">
        <v>422</v>
      </c>
      <c r="D429" s="1847"/>
      <c r="E429" s="1847"/>
      <c r="F429" s="1847" t="s">
        <v>4462</v>
      </c>
      <c r="G429" s="1847" t="s">
        <v>4462</v>
      </c>
      <c r="H429" s="1847" t="s">
        <v>4384</v>
      </c>
      <c r="I429" s="1847"/>
      <c r="J429" s="1847" t="s">
        <v>4353</v>
      </c>
      <c r="K429" s="1847" t="s">
        <v>3929</v>
      </c>
      <c r="L429" s="1847" t="s">
        <v>3934</v>
      </c>
      <c r="M429" s="1847" t="s">
        <v>4364</v>
      </c>
      <c r="N429" s="1847"/>
      <c r="O429" s="1847"/>
      <c r="P429" s="1852">
        <v>1.05</v>
      </c>
      <c r="Q429" s="1852">
        <v>1.5</v>
      </c>
      <c r="R429" s="483" t="e">
        <f>IF(H429="","",SUMIFS('[1]1_group_totals'!$J$8:$J$10000,'[1]1_group_totals'!$C$8:$C$10000,C429))</f>
        <v>#VALUE!</v>
      </c>
      <c r="S429" s="483">
        <f t="shared" si="54"/>
        <v>3</v>
      </c>
      <c r="T429" s="483">
        <v>1</v>
      </c>
      <c r="U429" s="510" t="e">
        <f t="shared" si="55"/>
        <v>#VALUE!</v>
      </c>
      <c r="V429" s="510"/>
      <c r="W429" s="510"/>
      <c r="X429" s="510"/>
      <c r="Y429" s="483">
        <v>1</v>
      </c>
      <c r="Z429" s="483">
        <v>1</v>
      </c>
      <c r="AA429" s="1847" t="e">
        <f t="shared" si="56"/>
        <v>#VALUE!</v>
      </c>
      <c r="AB429" s="1847">
        <f t="shared" si="57"/>
        <v>1.05</v>
      </c>
      <c r="AC429" s="1847">
        <f t="shared" si="58"/>
        <v>1.5</v>
      </c>
      <c r="AD429" s="1847" t="e">
        <f t="shared" si="59"/>
        <v>#VALUE!</v>
      </c>
      <c r="AE429" s="1847" t="e">
        <f t="shared" si="60"/>
        <v>#VALUE!</v>
      </c>
      <c r="AF429" s="1823" t="e">
        <f t="shared" si="61"/>
        <v>#VALUE!</v>
      </c>
      <c r="AG429" s="1769" t="e">
        <f t="shared" si="62"/>
        <v>#VALUE!</v>
      </c>
      <c r="AI429" t="s">
        <v>4462</v>
      </c>
    </row>
    <row r="430" spans="3:35" ht="24.95" customHeight="1">
      <c r="C430" s="491">
        <v>423</v>
      </c>
      <c r="D430" s="1847"/>
      <c r="E430" s="1847"/>
      <c r="F430" s="1847" t="s">
        <v>4463</v>
      </c>
      <c r="G430" s="1847" t="s">
        <v>4463</v>
      </c>
      <c r="H430" s="1847" t="s">
        <v>4388</v>
      </c>
      <c r="I430" s="1847"/>
      <c r="J430" s="1847" t="s">
        <v>4353</v>
      </c>
      <c r="K430" s="1847" t="s">
        <v>3929</v>
      </c>
      <c r="L430" s="1847" t="s">
        <v>3934</v>
      </c>
      <c r="M430" s="1847" t="s">
        <v>4364</v>
      </c>
      <c r="N430" s="1847"/>
      <c r="O430" s="1847"/>
      <c r="P430" s="1852">
        <v>0.8</v>
      </c>
      <c r="Q430" s="1852">
        <v>1.25</v>
      </c>
      <c r="R430" s="483" t="e">
        <f>IF(H430="","",SUMIFS('[1]1_group_totals'!$J$8:$J$10000,'[1]1_group_totals'!$C$8:$C$10000,C430))</f>
        <v>#VALUE!</v>
      </c>
      <c r="S430" s="483">
        <f t="shared" si="54"/>
        <v>3</v>
      </c>
      <c r="T430" s="483">
        <v>1</v>
      </c>
      <c r="U430" s="510" t="e">
        <f t="shared" si="55"/>
        <v>#VALUE!</v>
      </c>
      <c r="V430" s="510"/>
      <c r="W430" s="510"/>
      <c r="X430" s="510"/>
      <c r="Y430" s="483">
        <v>1</v>
      </c>
      <c r="Z430" s="483">
        <v>1</v>
      </c>
      <c r="AA430" s="1847" t="e">
        <f t="shared" si="56"/>
        <v>#VALUE!</v>
      </c>
      <c r="AB430" s="1847">
        <f t="shared" si="57"/>
        <v>0.8</v>
      </c>
      <c r="AC430" s="1847">
        <f t="shared" si="58"/>
        <v>1.25</v>
      </c>
      <c r="AD430" s="1847" t="e">
        <f t="shared" si="59"/>
        <v>#VALUE!</v>
      </c>
      <c r="AE430" s="1847" t="e">
        <f t="shared" si="60"/>
        <v>#VALUE!</v>
      </c>
      <c r="AF430" s="1823" t="e">
        <f t="shared" si="61"/>
        <v>#VALUE!</v>
      </c>
      <c r="AG430" s="1769" t="e">
        <f t="shared" si="62"/>
        <v>#VALUE!</v>
      </c>
      <c r="AI430" t="s">
        <v>4463</v>
      </c>
    </row>
    <row r="431" spans="3:35" ht="24.95" customHeight="1">
      <c r="C431" s="491">
        <v>424</v>
      </c>
      <c r="D431" s="1847"/>
      <c r="E431" s="1847"/>
      <c r="F431" s="1847" t="s">
        <v>4464</v>
      </c>
      <c r="G431" s="1847" t="s">
        <v>4464</v>
      </c>
      <c r="H431" s="1847" t="s">
        <v>4382</v>
      </c>
      <c r="I431" s="1847"/>
      <c r="J431" s="1847" t="s">
        <v>4353</v>
      </c>
      <c r="K431" s="1847" t="s">
        <v>3929</v>
      </c>
      <c r="L431" s="1847" t="s">
        <v>3934</v>
      </c>
      <c r="M431" s="1847" t="s">
        <v>4364</v>
      </c>
      <c r="N431" s="1847"/>
      <c r="O431" s="1847"/>
      <c r="P431" s="1852">
        <v>1</v>
      </c>
      <c r="Q431" s="1852">
        <v>1.5</v>
      </c>
      <c r="R431" s="483" t="e">
        <f>IF(H431="","",SUMIFS('[1]1_group_totals'!$J$8:$J$10000,'[1]1_group_totals'!$C$8:$C$10000,C431))</f>
        <v>#VALUE!</v>
      </c>
      <c r="S431" s="483">
        <f t="shared" si="54"/>
        <v>3</v>
      </c>
      <c r="T431" s="483">
        <v>1</v>
      </c>
      <c r="U431" s="510" t="e">
        <f t="shared" si="55"/>
        <v>#VALUE!</v>
      </c>
      <c r="V431" s="510"/>
      <c r="W431" s="510"/>
      <c r="X431" s="510"/>
      <c r="Y431" s="483">
        <v>1</v>
      </c>
      <c r="Z431" s="483">
        <v>1</v>
      </c>
      <c r="AA431" s="1847" t="e">
        <f t="shared" si="56"/>
        <v>#VALUE!</v>
      </c>
      <c r="AB431" s="1847">
        <f t="shared" si="57"/>
        <v>1</v>
      </c>
      <c r="AC431" s="1847">
        <f t="shared" si="58"/>
        <v>1.5</v>
      </c>
      <c r="AD431" s="1847" t="e">
        <f t="shared" si="59"/>
        <v>#VALUE!</v>
      </c>
      <c r="AE431" s="1847" t="e">
        <f t="shared" si="60"/>
        <v>#VALUE!</v>
      </c>
      <c r="AF431" s="1823" t="e">
        <f t="shared" si="61"/>
        <v>#VALUE!</v>
      </c>
      <c r="AG431" s="1769" t="e">
        <f t="shared" si="62"/>
        <v>#VALUE!</v>
      </c>
      <c r="AI431" t="s">
        <v>4464</v>
      </c>
    </row>
    <row r="432" spans="3:35" ht="24.95" customHeight="1">
      <c r="C432" s="491">
        <v>425</v>
      </c>
      <c r="D432" s="1847"/>
      <c r="E432" s="1847"/>
      <c r="F432" s="1847" t="s">
        <v>4465</v>
      </c>
      <c r="G432" s="1847" t="s">
        <v>4465</v>
      </c>
      <c r="H432" s="1847" t="s">
        <v>4383</v>
      </c>
      <c r="I432" s="1847"/>
      <c r="J432" s="1847" t="s">
        <v>4353</v>
      </c>
      <c r="K432" s="1847" t="s">
        <v>3929</v>
      </c>
      <c r="L432" s="1847" t="s">
        <v>3934</v>
      </c>
      <c r="M432" s="1847" t="s">
        <v>4364</v>
      </c>
      <c r="N432" s="1847"/>
      <c r="O432" s="1847"/>
      <c r="P432" s="1852">
        <v>3.5</v>
      </c>
      <c r="Q432" s="1852">
        <v>4.5</v>
      </c>
      <c r="R432" s="483" t="e">
        <f>IF(H432="","",SUMIFS('[1]1_group_totals'!$J$8:$J$10000,'[1]1_group_totals'!$C$8:$C$10000,C432))</f>
        <v>#VALUE!</v>
      </c>
      <c r="S432" s="483">
        <f t="shared" si="54"/>
        <v>3</v>
      </c>
      <c r="T432" s="483">
        <v>1</v>
      </c>
      <c r="U432" s="510" t="e">
        <f t="shared" si="55"/>
        <v>#VALUE!</v>
      </c>
      <c r="V432" s="510"/>
      <c r="W432" s="510"/>
      <c r="X432" s="510"/>
      <c r="Y432" s="483">
        <v>1</v>
      </c>
      <c r="Z432" s="483">
        <v>1</v>
      </c>
      <c r="AA432" s="1847" t="e">
        <f t="shared" si="56"/>
        <v>#VALUE!</v>
      </c>
      <c r="AB432" s="1847">
        <f t="shared" si="57"/>
        <v>3.5</v>
      </c>
      <c r="AC432" s="1847">
        <f t="shared" si="58"/>
        <v>4.5</v>
      </c>
      <c r="AD432" s="1847" t="e">
        <f t="shared" si="59"/>
        <v>#VALUE!</v>
      </c>
      <c r="AE432" s="1847" t="e">
        <f t="shared" si="60"/>
        <v>#VALUE!</v>
      </c>
      <c r="AF432" s="1823" t="e">
        <f t="shared" si="61"/>
        <v>#VALUE!</v>
      </c>
      <c r="AG432" s="1769" t="e">
        <f t="shared" si="62"/>
        <v>#VALUE!</v>
      </c>
      <c r="AI432" t="s">
        <v>4465</v>
      </c>
    </row>
    <row r="433" spans="3:35 16372:16381" ht="24.95" customHeight="1">
      <c r="C433" s="491">
        <v>426</v>
      </c>
      <c r="D433" s="1847"/>
      <c r="E433" s="1847"/>
      <c r="F433" s="1847" t="s">
        <v>4494</v>
      </c>
      <c r="G433" s="1847" t="s">
        <v>4494</v>
      </c>
      <c r="H433" s="1847" t="s">
        <v>4566</v>
      </c>
      <c r="I433" s="1847"/>
      <c r="J433" s="1847" t="s">
        <v>4360</v>
      </c>
      <c r="K433" s="1847" t="s">
        <v>2795</v>
      </c>
      <c r="L433" s="1847" t="s">
        <v>3935</v>
      </c>
      <c r="M433" s="1847" t="s">
        <v>4493</v>
      </c>
      <c r="N433" s="1847"/>
      <c r="O433" s="1847"/>
      <c r="P433" s="1852">
        <v>6.5</v>
      </c>
      <c r="Q433" s="1852">
        <v>8.8000000000000007</v>
      </c>
      <c r="R433" s="483" t="e">
        <f>IF(H433="","",SUMIFS('[1]1_group_totals'!$J$8:$J$10000,'[1]1_group_totals'!$C$8:$C$10000,C433))</f>
        <v>#VALUE!</v>
      </c>
      <c r="S433" s="483">
        <f t="shared" si="54"/>
        <v>87</v>
      </c>
      <c r="T433" s="483">
        <v>10</v>
      </c>
      <c r="U433" s="510" t="e">
        <f t="shared" si="55"/>
        <v>#VALUE!</v>
      </c>
      <c r="V433" s="510"/>
      <c r="W433" s="510"/>
      <c r="X433" s="510"/>
      <c r="Y433" s="483">
        <v>1</v>
      </c>
      <c r="Z433" s="483">
        <v>1</v>
      </c>
      <c r="AA433" s="1847" t="e">
        <f t="shared" si="56"/>
        <v>#VALUE!</v>
      </c>
      <c r="AB433" s="1847">
        <f t="shared" si="57"/>
        <v>0.65</v>
      </c>
      <c r="AC433" s="1847">
        <f t="shared" si="58"/>
        <v>0.88000000000000012</v>
      </c>
      <c r="AD433" s="1847" t="e">
        <f t="shared" si="59"/>
        <v>#VALUE!</v>
      </c>
      <c r="AE433" s="1847" t="e">
        <f t="shared" si="60"/>
        <v>#VALUE!</v>
      </c>
      <c r="AF433" s="1823" t="e">
        <f t="shared" si="61"/>
        <v>#VALUE!</v>
      </c>
      <c r="AG433" s="1769" t="e">
        <f t="shared" si="62"/>
        <v>#VALUE!</v>
      </c>
      <c r="AI433" t="s">
        <v>4494</v>
      </c>
    </row>
    <row r="434" spans="3:35 16372:16381" ht="24.95" customHeight="1">
      <c r="C434" s="491">
        <v>427</v>
      </c>
      <c r="D434" s="1847"/>
      <c r="E434" s="1847"/>
      <c r="F434" s="1847" t="s">
        <v>4495</v>
      </c>
      <c r="G434" s="1847" t="s">
        <v>4495</v>
      </c>
      <c r="H434" s="1847" t="s">
        <v>4567</v>
      </c>
      <c r="I434" s="1847"/>
      <c r="J434" s="1847" t="s">
        <v>4360</v>
      </c>
      <c r="K434" s="1847" t="s">
        <v>2795</v>
      </c>
      <c r="L434" s="1847" t="s">
        <v>3935</v>
      </c>
      <c r="M434" s="1847" t="s">
        <v>4493</v>
      </c>
      <c r="N434" s="1847"/>
      <c r="O434" s="1847"/>
      <c r="P434" s="1852">
        <v>6.9</v>
      </c>
      <c r="Q434" s="1852">
        <v>10</v>
      </c>
      <c r="R434" s="483" t="e">
        <f>IF(H434="","",SUMIFS('[1]1_group_totals'!$J$8:$J$10000,'[1]1_group_totals'!$C$8:$C$10000,C434))</f>
        <v>#VALUE!</v>
      </c>
      <c r="S434" s="483">
        <f t="shared" si="54"/>
        <v>87</v>
      </c>
      <c r="T434" s="483">
        <v>10</v>
      </c>
      <c r="U434" s="510" t="e">
        <f t="shared" si="55"/>
        <v>#VALUE!</v>
      </c>
      <c r="V434" s="510"/>
      <c r="W434" s="510"/>
      <c r="X434" s="510"/>
      <c r="Y434" s="483">
        <v>1</v>
      </c>
      <c r="Z434" s="483">
        <v>1</v>
      </c>
      <c r="AA434" s="1847" t="e">
        <f t="shared" si="56"/>
        <v>#VALUE!</v>
      </c>
      <c r="AB434" s="1847">
        <f t="shared" si="57"/>
        <v>0.69000000000000006</v>
      </c>
      <c r="AC434" s="1847">
        <f t="shared" si="58"/>
        <v>1</v>
      </c>
      <c r="AD434" s="1847" t="e">
        <f t="shared" si="59"/>
        <v>#VALUE!</v>
      </c>
      <c r="AE434" s="1847" t="e">
        <f t="shared" si="60"/>
        <v>#VALUE!</v>
      </c>
      <c r="AF434" s="1823" t="e">
        <f t="shared" si="61"/>
        <v>#VALUE!</v>
      </c>
      <c r="AG434" s="1769" t="e">
        <f t="shared" si="62"/>
        <v>#VALUE!</v>
      </c>
      <c r="AI434" t="s">
        <v>4495</v>
      </c>
    </row>
    <row r="435" spans="3:35 16372:16381" ht="24.95" customHeight="1">
      <c r="C435" s="491">
        <v>428</v>
      </c>
      <c r="D435" s="1847"/>
      <c r="E435" s="1847"/>
      <c r="F435" s="1847" t="s">
        <v>4496</v>
      </c>
      <c r="G435" s="1847" t="s">
        <v>4496</v>
      </c>
      <c r="H435" s="1847" t="s">
        <v>4568</v>
      </c>
      <c r="I435" s="1847"/>
      <c r="J435" s="1847" t="s">
        <v>4360</v>
      </c>
      <c r="K435" s="1847" t="s">
        <v>2795</v>
      </c>
      <c r="L435" s="1847" t="s">
        <v>3935</v>
      </c>
      <c r="M435" s="1847" t="s">
        <v>4493</v>
      </c>
      <c r="N435" s="1847"/>
      <c r="O435" s="1847"/>
      <c r="P435" s="1852">
        <v>7.2</v>
      </c>
      <c r="Q435" s="1852">
        <v>12.5</v>
      </c>
      <c r="R435" s="483" t="e">
        <f>IF(H435="","",SUMIFS('[1]1_group_totals'!$J$8:$J$10000,'[1]1_group_totals'!$C$8:$C$10000,C435))</f>
        <v>#VALUE!</v>
      </c>
      <c r="S435" s="483">
        <f t="shared" si="54"/>
        <v>87</v>
      </c>
      <c r="T435" s="483">
        <v>10</v>
      </c>
      <c r="U435" s="510" t="e">
        <f t="shared" si="55"/>
        <v>#VALUE!</v>
      </c>
      <c r="V435" s="510"/>
      <c r="W435" s="510"/>
      <c r="X435" s="510"/>
      <c r="Y435" s="483">
        <v>1</v>
      </c>
      <c r="Z435" s="483">
        <v>1</v>
      </c>
      <c r="AA435" s="1847" t="e">
        <f t="shared" si="56"/>
        <v>#VALUE!</v>
      </c>
      <c r="AB435" s="1847">
        <f t="shared" si="57"/>
        <v>0.72</v>
      </c>
      <c r="AC435" s="1847">
        <f t="shared" si="58"/>
        <v>1.25</v>
      </c>
      <c r="AD435" s="1847" t="e">
        <f t="shared" si="59"/>
        <v>#VALUE!</v>
      </c>
      <c r="AE435" s="1847" t="e">
        <f t="shared" si="60"/>
        <v>#VALUE!</v>
      </c>
      <c r="AF435" s="1823" t="e">
        <f t="shared" si="61"/>
        <v>#VALUE!</v>
      </c>
      <c r="AG435" s="1769" t="e">
        <f t="shared" si="62"/>
        <v>#VALUE!</v>
      </c>
      <c r="AI435" t="s">
        <v>4496</v>
      </c>
    </row>
    <row r="436" spans="3:35 16372:16381" ht="24.95" customHeight="1">
      <c r="C436" s="491">
        <v>429</v>
      </c>
      <c r="D436" s="1847"/>
      <c r="E436" s="1847"/>
      <c r="F436" s="1847" t="s">
        <v>4497</v>
      </c>
      <c r="G436" s="1847" t="s">
        <v>4497</v>
      </c>
      <c r="H436" s="1847" t="s">
        <v>4492</v>
      </c>
      <c r="I436" s="1847"/>
      <c r="J436" s="1847" t="s">
        <v>2783</v>
      </c>
      <c r="K436" s="1847" t="s">
        <v>2795</v>
      </c>
      <c r="L436" s="1847" t="s">
        <v>3935</v>
      </c>
      <c r="M436" s="1847" t="s">
        <v>3937</v>
      </c>
      <c r="N436" s="1847"/>
      <c r="O436" s="1847"/>
      <c r="P436" s="1852">
        <v>2.2999999999999998</v>
      </c>
      <c r="Q436" s="1852">
        <v>3.25</v>
      </c>
      <c r="R436" s="483" t="e">
        <f>IF(H436="","",SUMIFS('[1]1_group_totals'!$J$8:$J$10000,'[1]1_group_totals'!$C$8:$C$10000,C436))</f>
        <v>#VALUE!</v>
      </c>
      <c r="S436" s="483">
        <f t="shared" si="54"/>
        <v>2</v>
      </c>
      <c r="T436" s="483">
        <v>1</v>
      </c>
      <c r="U436" s="510" t="e">
        <f t="shared" si="55"/>
        <v>#VALUE!</v>
      </c>
      <c r="V436" s="510"/>
      <c r="W436" s="510"/>
      <c r="X436" s="510"/>
      <c r="Y436" s="483">
        <v>1</v>
      </c>
      <c r="Z436" s="483">
        <v>1</v>
      </c>
      <c r="AA436" s="1847" t="e">
        <f t="shared" si="56"/>
        <v>#VALUE!</v>
      </c>
      <c r="AB436" s="1847">
        <f t="shared" si="57"/>
        <v>2.2999999999999998</v>
      </c>
      <c r="AC436" s="1847">
        <f t="shared" si="58"/>
        <v>3.25</v>
      </c>
      <c r="AD436" s="1847" t="e">
        <f t="shared" si="59"/>
        <v>#VALUE!</v>
      </c>
      <c r="AE436" s="1847" t="e">
        <f t="shared" si="60"/>
        <v>#VALUE!</v>
      </c>
      <c r="AF436" s="1823" t="e">
        <f t="shared" si="61"/>
        <v>#VALUE!</v>
      </c>
      <c r="AG436" s="1769" t="e">
        <f t="shared" si="62"/>
        <v>#VALUE!</v>
      </c>
      <c r="AI436" t="s">
        <v>4497</v>
      </c>
    </row>
    <row r="437" spans="3:35 16372:16381" ht="24.95" customHeight="1">
      <c r="C437" s="491">
        <v>430</v>
      </c>
      <c r="D437" s="1847"/>
      <c r="E437" s="1847"/>
      <c r="F437" s="1847" t="s">
        <v>4501</v>
      </c>
      <c r="G437" s="1847" t="s">
        <v>4501</v>
      </c>
      <c r="H437" s="1847" t="s">
        <v>4498</v>
      </c>
      <c r="I437" s="1847"/>
      <c r="J437" s="1847" t="s">
        <v>2783</v>
      </c>
      <c r="K437" s="1847" t="s">
        <v>3928</v>
      </c>
      <c r="L437" s="1847" t="s">
        <v>3935</v>
      </c>
      <c r="M437" s="1847" t="s">
        <v>3937</v>
      </c>
      <c r="N437" s="1847"/>
      <c r="O437" s="1847"/>
      <c r="P437" s="1852">
        <v>6.5</v>
      </c>
      <c r="Q437" s="1852">
        <v>7.5</v>
      </c>
      <c r="R437" s="483" t="e">
        <f>IF(H437="","",SUMIFS('[1]1_group_totals'!$J$8:$J$10000,'[1]1_group_totals'!$C$8:$C$10000,C437))</f>
        <v>#VALUE!</v>
      </c>
      <c r="S437" s="483">
        <f t="shared" si="54"/>
        <v>2</v>
      </c>
      <c r="T437" s="483">
        <v>1</v>
      </c>
      <c r="U437" s="510" t="e">
        <f t="shared" si="55"/>
        <v>#VALUE!</v>
      </c>
      <c r="V437" s="510"/>
      <c r="W437" s="510"/>
      <c r="X437" s="510"/>
      <c r="Y437" s="483">
        <v>1</v>
      </c>
      <c r="Z437" s="483">
        <v>1</v>
      </c>
      <c r="AA437" s="1847" t="e">
        <f t="shared" si="56"/>
        <v>#VALUE!</v>
      </c>
      <c r="AB437" s="1847">
        <f t="shared" si="57"/>
        <v>6.5</v>
      </c>
      <c r="AC437" s="1847">
        <f t="shared" si="58"/>
        <v>7.5</v>
      </c>
      <c r="AD437" s="1847" t="e">
        <f t="shared" si="59"/>
        <v>#VALUE!</v>
      </c>
      <c r="AE437" s="1847" t="e">
        <f t="shared" si="60"/>
        <v>#VALUE!</v>
      </c>
      <c r="AF437" s="1823" t="e">
        <f t="shared" si="61"/>
        <v>#VALUE!</v>
      </c>
      <c r="AG437" s="1769" t="e">
        <f t="shared" si="62"/>
        <v>#VALUE!</v>
      </c>
      <c r="AI437" t="s">
        <v>4501</v>
      </c>
    </row>
    <row r="438" spans="3:35 16372:16381" ht="24.95" customHeight="1">
      <c r="C438" s="491">
        <v>431</v>
      </c>
      <c r="D438" s="1847"/>
      <c r="E438" s="1847"/>
      <c r="F438" s="1847" t="s">
        <v>4502</v>
      </c>
      <c r="G438" s="1847" t="s">
        <v>4502</v>
      </c>
      <c r="H438" s="1847" t="s">
        <v>4499</v>
      </c>
      <c r="I438" s="1847"/>
      <c r="J438" s="1847" t="s">
        <v>2783</v>
      </c>
      <c r="K438" s="1847" t="s">
        <v>3928</v>
      </c>
      <c r="L438" s="1847" t="s">
        <v>3935</v>
      </c>
      <c r="M438" s="1847" t="s">
        <v>3937</v>
      </c>
      <c r="N438" s="1847"/>
      <c r="O438" s="1847"/>
      <c r="P438" s="1852">
        <v>6.5</v>
      </c>
      <c r="Q438" s="1852">
        <v>7.5</v>
      </c>
      <c r="R438" s="483" t="e">
        <f>IF(H438="","",SUMIFS('[1]1_group_totals'!$J$8:$J$10000,'[1]1_group_totals'!$C$8:$C$10000,C438))</f>
        <v>#VALUE!</v>
      </c>
      <c r="S438" s="483">
        <f t="shared" si="54"/>
        <v>2</v>
      </c>
      <c r="T438" s="483">
        <v>1</v>
      </c>
      <c r="U438" s="510" t="e">
        <f t="shared" si="55"/>
        <v>#VALUE!</v>
      </c>
      <c r="V438" s="510"/>
      <c r="W438" s="510"/>
      <c r="X438" s="510"/>
      <c r="Y438" s="483">
        <v>1</v>
      </c>
      <c r="Z438" s="483">
        <v>1</v>
      </c>
      <c r="AA438" s="1847" t="e">
        <f t="shared" si="56"/>
        <v>#VALUE!</v>
      </c>
      <c r="AB438" s="1847">
        <f t="shared" si="57"/>
        <v>6.5</v>
      </c>
      <c r="AC438" s="1847">
        <f t="shared" si="58"/>
        <v>7.5</v>
      </c>
      <c r="AD438" s="1847" t="e">
        <f t="shared" si="59"/>
        <v>#VALUE!</v>
      </c>
      <c r="AE438" s="1847" t="e">
        <f t="shared" si="60"/>
        <v>#VALUE!</v>
      </c>
      <c r="AF438" s="1823" t="e">
        <f t="shared" si="61"/>
        <v>#VALUE!</v>
      </c>
      <c r="AG438" s="1769" t="e">
        <f t="shared" si="62"/>
        <v>#VALUE!</v>
      </c>
      <c r="AI438" t="s">
        <v>4502</v>
      </c>
    </row>
    <row r="439" spans="3:35 16372:16381" ht="24.95" customHeight="1">
      <c r="C439" s="491">
        <v>432</v>
      </c>
      <c r="D439" s="1847"/>
      <c r="E439" s="1847"/>
      <c r="F439" s="1847" t="s">
        <v>4503</v>
      </c>
      <c r="G439" s="1847" t="s">
        <v>4503</v>
      </c>
      <c r="H439" s="1847" t="s">
        <v>4500</v>
      </c>
      <c r="I439" s="1847"/>
      <c r="J439" s="1847" t="s">
        <v>2783</v>
      </c>
      <c r="K439" s="1847" t="s">
        <v>3928</v>
      </c>
      <c r="L439" s="1847" t="s">
        <v>3935</v>
      </c>
      <c r="M439" s="1847" t="s">
        <v>3937</v>
      </c>
      <c r="N439" s="1847"/>
      <c r="O439" s="1847"/>
      <c r="P439" s="1852">
        <v>6.5</v>
      </c>
      <c r="Q439" s="1852">
        <v>7.5</v>
      </c>
      <c r="R439" s="483" t="e">
        <f>IF(H439="","",SUMIFS('[1]1_group_totals'!$J$8:$J$10000,'[1]1_group_totals'!$C$8:$C$10000,C439))</f>
        <v>#VALUE!</v>
      </c>
      <c r="S439" s="483">
        <f t="shared" si="54"/>
        <v>2</v>
      </c>
      <c r="T439" s="483">
        <v>1</v>
      </c>
      <c r="U439" s="510" t="e">
        <f t="shared" si="55"/>
        <v>#VALUE!</v>
      </c>
      <c r="V439" s="510"/>
      <c r="W439" s="510"/>
      <c r="X439" s="510"/>
      <c r="Y439" s="483">
        <v>1</v>
      </c>
      <c r="Z439" s="483">
        <v>1</v>
      </c>
      <c r="AA439" s="1847" t="e">
        <f t="shared" si="56"/>
        <v>#VALUE!</v>
      </c>
      <c r="AB439" s="1847">
        <f t="shared" si="57"/>
        <v>6.5</v>
      </c>
      <c r="AC439" s="1847">
        <f t="shared" si="58"/>
        <v>7.5</v>
      </c>
      <c r="AD439" s="1847" t="e">
        <f t="shared" si="59"/>
        <v>#VALUE!</v>
      </c>
      <c r="AE439" s="1847" t="e">
        <f t="shared" si="60"/>
        <v>#VALUE!</v>
      </c>
      <c r="AF439" s="1837" t="e">
        <f t="shared" si="61"/>
        <v>#VALUE!</v>
      </c>
      <c r="AG439" s="1777" t="e">
        <f t="shared" si="62"/>
        <v>#VALUE!</v>
      </c>
      <c r="AI439" t="s">
        <v>4503</v>
      </c>
    </row>
    <row r="440" spans="3:35 16372:16381" ht="24.95" customHeight="1">
      <c r="C440" s="491">
        <v>433</v>
      </c>
      <c r="D440" s="1847"/>
      <c r="E440" s="1847"/>
      <c r="F440" s="1847" t="s">
        <v>4545</v>
      </c>
      <c r="G440" s="1847" t="s">
        <v>4545</v>
      </c>
      <c r="H440" s="1847" t="s">
        <v>4546</v>
      </c>
      <c r="I440" s="1847"/>
      <c r="J440" s="1847" t="s">
        <v>4474</v>
      </c>
      <c r="K440" s="1847" t="s">
        <v>2795</v>
      </c>
      <c r="L440" s="1847" t="s">
        <v>3935</v>
      </c>
      <c r="M440" s="1847" t="s">
        <v>4409</v>
      </c>
      <c r="N440" s="1847"/>
      <c r="O440" s="1847"/>
      <c r="P440" s="1852">
        <v>90</v>
      </c>
      <c r="Q440" s="1852">
        <v>95</v>
      </c>
      <c r="R440" s="483" t="e">
        <f>IF(H440="","",SUMIFS('[1]1_group_totals'!$J$8:$J$10000,'[1]1_group_totals'!$C$8:$C$10000,C440))</f>
        <v>#VALUE!</v>
      </c>
      <c r="S440" s="483">
        <f t="shared" si="54"/>
        <v>92</v>
      </c>
      <c r="T440" s="483">
        <v>800</v>
      </c>
      <c r="U440" s="510" t="e">
        <f t="shared" si="55"/>
        <v>#VALUE!</v>
      </c>
      <c r="V440" s="510"/>
      <c r="W440" s="510"/>
      <c r="X440" s="510"/>
      <c r="Y440" s="483">
        <v>1</v>
      </c>
      <c r="Z440" s="483">
        <v>1</v>
      </c>
      <c r="AA440" s="1847" t="e">
        <f t="shared" si="56"/>
        <v>#VALUE!</v>
      </c>
      <c r="AB440" s="1847">
        <f t="shared" si="57"/>
        <v>0.1125</v>
      </c>
      <c r="AC440" s="1847">
        <f t="shared" si="58"/>
        <v>0.11874999999999999</v>
      </c>
      <c r="AD440" s="1847" t="e">
        <f t="shared" si="59"/>
        <v>#VALUE!</v>
      </c>
      <c r="AE440" s="1847" t="e">
        <f t="shared" si="60"/>
        <v>#VALUE!</v>
      </c>
      <c r="AF440" s="1837" t="e">
        <f t="shared" si="61"/>
        <v>#VALUE!</v>
      </c>
      <c r="AG440" s="1777" t="e">
        <f t="shared" si="62"/>
        <v>#VALUE!</v>
      </c>
      <c r="AI440" t="s">
        <v>4545</v>
      </c>
      <c r="XER440" s="1579"/>
      <c r="XES440" s="1577"/>
      <c r="XET440" s="1577"/>
      <c r="XEU440" s="1577"/>
      <c r="XEV440" s="1577"/>
      <c r="XEW440" s="1577"/>
      <c r="XEX440" s="1582"/>
      <c r="XEY440" s="1582"/>
      <c r="XEZ440" s="1579"/>
      <c r="XFA440" s="1577"/>
    </row>
    <row r="441" spans="3:35 16372:16381" ht="24.95" customHeight="1">
      <c r="C441" s="491">
        <v>434</v>
      </c>
      <c r="D441" s="1847"/>
      <c r="E441" s="1847"/>
      <c r="F441" s="1847" t="s">
        <v>4603</v>
      </c>
      <c r="G441" s="1847" t="s">
        <v>4603</v>
      </c>
      <c r="H441" s="1847" t="s">
        <v>4715</v>
      </c>
      <c r="I441" s="1847"/>
      <c r="J441" s="1847" t="s">
        <v>4270</v>
      </c>
      <c r="K441" s="1847" t="s">
        <v>2795</v>
      </c>
      <c r="L441" s="1847" t="s">
        <v>3935</v>
      </c>
      <c r="M441" s="1847" t="s">
        <v>4271</v>
      </c>
      <c r="N441" s="1847"/>
      <c r="O441" s="1847"/>
      <c r="P441" s="1852">
        <v>5</v>
      </c>
      <c r="Q441" s="1852">
        <v>5.5</v>
      </c>
      <c r="R441" s="483" t="e">
        <f>IF(H441="","",SUMIFS('[1]1_group_totals'!$J$8:$J$10000,'[1]1_group_totals'!$C$8:$C$10000,C441))</f>
        <v>#VALUE!</v>
      </c>
      <c r="S441" s="483">
        <f t="shared" si="54"/>
        <v>82</v>
      </c>
      <c r="T441" s="483">
        <v>45</v>
      </c>
      <c r="U441" s="510" t="e">
        <f t="shared" si="55"/>
        <v>#VALUE!</v>
      </c>
      <c r="V441" s="510"/>
      <c r="W441" s="510"/>
      <c r="X441" s="510"/>
      <c r="Y441" s="483">
        <v>1</v>
      </c>
      <c r="Z441" s="483">
        <v>1</v>
      </c>
      <c r="AA441" s="1847" t="e">
        <f t="shared" si="56"/>
        <v>#VALUE!</v>
      </c>
      <c r="AB441" s="1847">
        <f t="shared" si="57"/>
        <v>0.1111111111111111</v>
      </c>
      <c r="AC441" s="1847">
        <f t="shared" si="58"/>
        <v>0.12222222222222222</v>
      </c>
      <c r="AD441" s="1847" t="e">
        <f t="shared" si="59"/>
        <v>#VALUE!</v>
      </c>
      <c r="AE441" s="1847" t="e">
        <f t="shared" si="60"/>
        <v>#VALUE!</v>
      </c>
      <c r="AF441" s="1837" t="e">
        <f t="shared" si="61"/>
        <v>#VALUE!</v>
      </c>
      <c r="AG441" s="1777" t="e">
        <f t="shared" si="62"/>
        <v>#VALUE!</v>
      </c>
      <c r="AI441" t="s">
        <v>4603</v>
      </c>
    </row>
    <row r="442" spans="3:35 16372:16381" ht="24.95" customHeight="1">
      <c r="C442" s="491">
        <v>435</v>
      </c>
      <c r="D442" s="1847"/>
      <c r="E442" s="1847"/>
      <c r="F442" s="1847" t="s">
        <v>4642</v>
      </c>
      <c r="G442" s="1847" t="s">
        <v>4642</v>
      </c>
      <c r="H442" s="1847" t="s">
        <v>4674</v>
      </c>
      <c r="I442" s="1847"/>
      <c r="J442" s="1847" t="s">
        <v>4360</v>
      </c>
      <c r="K442" s="1847" t="s">
        <v>2795</v>
      </c>
      <c r="L442" s="1847" t="s">
        <v>2799</v>
      </c>
      <c r="M442" s="1847" t="s">
        <v>4351</v>
      </c>
      <c r="N442" s="1847"/>
      <c r="O442" s="1847"/>
      <c r="P442" s="1852">
        <v>3</v>
      </c>
      <c r="Q442" s="1852">
        <v>4</v>
      </c>
      <c r="R442" s="483" t="e">
        <f>IF(H442="","",SUMIFS('[1]1_group_totals'!$J$8:$J$10000,'[1]1_group_totals'!$C$8:$C$10000,C442))</f>
        <v>#VALUE!</v>
      </c>
      <c r="S442" s="483">
        <f t="shared" si="54"/>
        <v>87</v>
      </c>
      <c r="T442" s="483">
        <v>10</v>
      </c>
      <c r="U442" s="510" t="e">
        <f t="shared" si="55"/>
        <v>#VALUE!</v>
      </c>
      <c r="V442" s="510"/>
      <c r="W442" s="510"/>
      <c r="X442" s="510"/>
      <c r="Y442" s="483">
        <v>1</v>
      </c>
      <c r="Z442" s="483">
        <v>1</v>
      </c>
      <c r="AA442" s="1847" t="e">
        <f t="shared" si="56"/>
        <v>#VALUE!</v>
      </c>
      <c r="AB442" s="1847">
        <f t="shared" si="57"/>
        <v>0.3</v>
      </c>
      <c r="AC442" s="1847">
        <f t="shared" si="58"/>
        <v>0.4</v>
      </c>
      <c r="AD442" s="1847" t="e">
        <f t="shared" si="59"/>
        <v>#VALUE!</v>
      </c>
      <c r="AE442" s="1847" t="e">
        <f t="shared" si="60"/>
        <v>#VALUE!</v>
      </c>
      <c r="AF442" s="1839"/>
      <c r="AG442" s="1779"/>
      <c r="AI442" t="s">
        <v>4642</v>
      </c>
    </row>
    <row r="443" spans="3:35 16372:16381" ht="24.95" customHeight="1">
      <c r="C443" s="491">
        <v>436</v>
      </c>
      <c r="D443" s="1847"/>
      <c r="E443" s="1847"/>
      <c r="F443" s="1847" t="s">
        <v>4643</v>
      </c>
      <c r="G443" s="1847" t="s">
        <v>4643</v>
      </c>
      <c r="H443" s="1847" t="s">
        <v>4675</v>
      </c>
      <c r="I443" s="1847"/>
      <c r="J443" s="1847" t="s">
        <v>4360</v>
      </c>
      <c r="K443" s="1847" t="s">
        <v>2795</v>
      </c>
      <c r="L443" s="1847" t="s">
        <v>2799</v>
      </c>
      <c r="M443" s="1847" t="s">
        <v>4351</v>
      </c>
      <c r="N443" s="1847"/>
      <c r="O443" s="1847"/>
      <c r="P443" s="1852">
        <v>2</v>
      </c>
      <c r="Q443" s="1852">
        <v>3</v>
      </c>
      <c r="R443" s="483" t="e">
        <f>IF(H443="","",SUMIFS('[1]1_group_totals'!$J$8:$J$10000,'[1]1_group_totals'!$C$8:$C$10000,C443))</f>
        <v>#VALUE!</v>
      </c>
      <c r="S443" s="483">
        <f t="shared" si="54"/>
        <v>87</v>
      </c>
      <c r="T443" s="483">
        <v>10</v>
      </c>
      <c r="U443" s="510" t="e">
        <f t="shared" si="55"/>
        <v>#VALUE!</v>
      </c>
      <c r="V443" s="510"/>
      <c r="W443" s="510"/>
      <c r="X443" s="510"/>
      <c r="Y443" s="483">
        <v>1</v>
      </c>
      <c r="Z443" s="483">
        <v>1</v>
      </c>
      <c r="AA443" s="1847" t="e">
        <f t="shared" si="56"/>
        <v>#VALUE!</v>
      </c>
      <c r="AB443" s="1847">
        <f t="shared" si="57"/>
        <v>0.2</v>
      </c>
      <c r="AC443" s="1847">
        <f t="shared" si="58"/>
        <v>0.3</v>
      </c>
      <c r="AD443" s="1847" t="e">
        <f t="shared" si="59"/>
        <v>#VALUE!</v>
      </c>
      <c r="AE443" s="1847" t="e">
        <f t="shared" si="60"/>
        <v>#VALUE!</v>
      </c>
      <c r="AF443" s="1839"/>
      <c r="AG443" s="1779"/>
      <c r="AI443" t="s">
        <v>4643</v>
      </c>
    </row>
    <row r="444" spans="3:35 16372:16381" ht="24.95" customHeight="1">
      <c r="C444" s="491">
        <v>437</v>
      </c>
      <c r="D444" s="1847"/>
      <c r="E444" s="1847"/>
      <c r="F444" s="1847" t="s">
        <v>4644</v>
      </c>
      <c r="G444" s="1847" t="s">
        <v>4644</v>
      </c>
      <c r="H444" s="1847" t="s">
        <v>4676</v>
      </c>
      <c r="I444" s="1847"/>
      <c r="J444" s="1847" t="s">
        <v>2783</v>
      </c>
      <c r="K444" s="1847" t="s">
        <v>2795</v>
      </c>
      <c r="L444" s="1847" t="s">
        <v>2799</v>
      </c>
      <c r="M444" s="1847" t="s">
        <v>3937</v>
      </c>
      <c r="N444" s="1847"/>
      <c r="O444" s="1847"/>
      <c r="P444" s="1852">
        <v>3</v>
      </c>
      <c r="Q444" s="1852">
        <v>4</v>
      </c>
      <c r="R444" s="483" t="e">
        <f>IF(H444="","",SUMIFS('[1]1_group_totals'!$J$8:$J$10000,'[1]1_group_totals'!$C$8:$C$10000,C444))</f>
        <v>#VALUE!</v>
      </c>
      <c r="S444" s="483">
        <f t="shared" si="54"/>
        <v>2</v>
      </c>
      <c r="T444" s="483">
        <v>1</v>
      </c>
      <c r="U444" s="510" t="e">
        <f t="shared" si="55"/>
        <v>#VALUE!</v>
      </c>
      <c r="V444" s="510"/>
      <c r="W444" s="510"/>
      <c r="X444" s="510"/>
      <c r="Y444" s="483">
        <v>1</v>
      </c>
      <c r="Z444" s="483">
        <v>1</v>
      </c>
      <c r="AA444" s="1847" t="e">
        <f t="shared" si="56"/>
        <v>#VALUE!</v>
      </c>
      <c r="AB444" s="1847">
        <f t="shared" si="57"/>
        <v>3</v>
      </c>
      <c r="AC444" s="1847">
        <f t="shared" si="58"/>
        <v>4</v>
      </c>
      <c r="AD444" s="1847" t="e">
        <f t="shared" si="59"/>
        <v>#VALUE!</v>
      </c>
      <c r="AE444" s="1847" t="e">
        <f t="shared" si="60"/>
        <v>#VALUE!</v>
      </c>
      <c r="AF444" s="1839"/>
      <c r="AG444" s="1779"/>
      <c r="AI444" t="s">
        <v>4644</v>
      </c>
    </row>
    <row r="445" spans="3:35 16372:16381" ht="24.95" customHeight="1">
      <c r="C445" s="491">
        <v>438</v>
      </c>
      <c r="D445" s="1847"/>
      <c r="E445" s="1847"/>
      <c r="F445" s="1847" t="s">
        <v>4645</v>
      </c>
      <c r="G445" s="1847" t="s">
        <v>4645</v>
      </c>
      <c r="H445" s="1847" t="s">
        <v>4677</v>
      </c>
      <c r="I445" s="1847"/>
      <c r="J445" s="1847" t="s">
        <v>2783</v>
      </c>
      <c r="K445" s="1847" t="s">
        <v>2795</v>
      </c>
      <c r="L445" s="1847" t="s">
        <v>2799</v>
      </c>
      <c r="M445" s="1847" t="s">
        <v>3937</v>
      </c>
      <c r="N445" s="1847"/>
      <c r="O445" s="1847"/>
      <c r="P445" s="1852">
        <v>0.9</v>
      </c>
      <c r="Q445" s="1852">
        <v>2</v>
      </c>
      <c r="R445" s="483" t="e">
        <f>IF(H445="","",SUMIFS('[1]1_group_totals'!$J$8:$J$10000,'[1]1_group_totals'!$C$8:$C$10000,C445))</f>
        <v>#VALUE!</v>
      </c>
      <c r="S445" s="483">
        <f t="shared" si="54"/>
        <v>2</v>
      </c>
      <c r="T445" s="483">
        <v>1</v>
      </c>
      <c r="U445" s="510" t="e">
        <f t="shared" si="55"/>
        <v>#VALUE!</v>
      </c>
      <c r="V445" s="510"/>
      <c r="W445" s="510"/>
      <c r="X445" s="510"/>
      <c r="Y445" s="483">
        <v>1</v>
      </c>
      <c r="Z445" s="483">
        <v>1</v>
      </c>
      <c r="AA445" s="1847" t="e">
        <f t="shared" si="56"/>
        <v>#VALUE!</v>
      </c>
      <c r="AB445" s="1847">
        <f t="shared" si="57"/>
        <v>0.9</v>
      </c>
      <c r="AC445" s="1847">
        <f t="shared" si="58"/>
        <v>2</v>
      </c>
      <c r="AD445" s="1847" t="e">
        <f t="shared" si="59"/>
        <v>#VALUE!</v>
      </c>
      <c r="AE445" s="1847" t="e">
        <f t="shared" si="60"/>
        <v>#VALUE!</v>
      </c>
      <c r="AF445" s="1839"/>
      <c r="AG445" s="1779"/>
      <c r="AI445" t="s">
        <v>4645</v>
      </c>
    </row>
    <row r="446" spans="3:35 16372:16381" ht="24.95" customHeight="1">
      <c r="C446" s="491">
        <v>439</v>
      </c>
      <c r="D446" s="1847"/>
      <c r="E446" s="1847"/>
      <c r="F446" s="1847" t="s">
        <v>4646</v>
      </c>
      <c r="G446" s="1847" t="s">
        <v>4646</v>
      </c>
      <c r="H446" s="1847" t="s">
        <v>4678</v>
      </c>
      <c r="I446" s="1847"/>
      <c r="J446" s="1847" t="s">
        <v>2783</v>
      </c>
      <c r="K446" s="1847" t="s">
        <v>2795</v>
      </c>
      <c r="L446" s="1847" t="s">
        <v>3934</v>
      </c>
      <c r="M446" s="1847" t="s">
        <v>3937</v>
      </c>
      <c r="N446" s="1847"/>
      <c r="O446" s="1847"/>
      <c r="P446" s="1852">
        <v>2.5</v>
      </c>
      <c r="Q446" s="1852">
        <v>3.5</v>
      </c>
      <c r="R446" s="483" t="e">
        <f>IF(H446="","",SUMIFS('[1]1_group_totals'!$J$8:$J$10000,'[1]1_group_totals'!$C$8:$C$10000,C446))</f>
        <v>#VALUE!</v>
      </c>
      <c r="S446" s="483">
        <f t="shared" si="54"/>
        <v>2</v>
      </c>
      <c r="T446" s="483">
        <v>1</v>
      </c>
      <c r="U446" s="510" t="e">
        <f t="shared" si="55"/>
        <v>#VALUE!</v>
      </c>
      <c r="V446" s="510"/>
      <c r="W446" s="510"/>
      <c r="X446" s="510"/>
      <c r="Y446" s="483">
        <v>1</v>
      </c>
      <c r="Z446" s="483">
        <v>1</v>
      </c>
      <c r="AA446" s="1847" t="e">
        <f t="shared" si="56"/>
        <v>#VALUE!</v>
      </c>
      <c r="AB446" s="1847">
        <f t="shared" si="57"/>
        <v>2.5</v>
      </c>
      <c r="AC446" s="1847">
        <f t="shared" si="58"/>
        <v>3.5</v>
      </c>
      <c r="AD446" s="1847" t="e">
        <f t="shared" si="59"/>
        <v>#VALUE!</v>
      </c>
      <c r="AE446" s="1847" t="e">
        <f t="shared" si="60"/>
        <v>#VALUE!</v>
      </c>
      <c r="AF446" s="1839"/>
      <c r="AG446" s="1779"/>
      <c r="AI446" t="s">
        <v>4646</v>
      </c>
    </row>
    <row r="447" spans="3:35 16372:16381" ht="24.95" customHeight="1">
      <c r="C447" s="491">
        <v>440</v>
      </c>
      <c r="D447" s="1847"/>
      <c r="E447" s="1847"/>
      <c r="F447" s="1847" t="s">
        <v>4647</v>
      </c>
      <c r="G447" s="1847" t="s">
        <v>4647</v>
      </c>
      <c r="H447" s="1847" t="s">
        <v>4679</v>
      </c>
      <c r="I447" s="1847"/>
      <c r="J447" s="1847" t="s">
        <v>4137</v>
      </c>
      <c r="K447" s="1847" t="s">
        <v>2795</v>
      </c>
      <c r="L447" s="1847" t="s">
        <v>3935</v>
      </c>
      <c r="M447" s="1847" t="s">
        <v>4138</v>
      </c>
      <c r="N447" s="1847"/>
      <c r="O447" s="1847"/>
      <c r="P447" s="1852">
        <v>1</v>
      </c>
      <c r="Q447" s="1852">
        <v>1.25</v>
      </c>
      <c r="R447" s="483" t="e">
        <f>IF(H447="","",SUMIFS('[1]1_group_totals'!$J$8:$J$10000,'[1]1_group_totals'!$C$8:$C$10000,C447))</f>
        <v>#VALUE!</v>
      </c>
      <c r="S447" s="483">
        <f t="shared" si="54"/>
        <v>73</v>
      </c>
      <c r="T447" s="483">
        <v>10</v>
      </c>
      <c r="U447" s="510" t="e">
        <f t="shared" si="55"/>
        <v>#VALUE!</v>
      </c>
      <c r="V447" s="510"/>
      <c r="W447" s="510"/>
      <c r="X447" s="510"/>
      <c r="Y447" s="483">
        <v>1</v>
      </c>
      <c r="Z447" s="483">
        <v>1</v>
      </c>
      <c r="AA447" s="1847" t="e">
        <f t="shared" si="56"/>
        <v>#VALUE!</v>
      </c>
      <c r="AB447" s="1847">
        <f t="shared" si="57"/>
        <v>0.1</v>
      </c>
      <c r="AC447" s="1847">
        <f t="shared" si="58"/>
        <v>0.125</v>
      </c>
      <c r="AD447" s="1847" t="e">
        <f t="shared" si="59"/>
        <v>#VALUE!</v>
      </c>
      <c r="AE447" s="1847" t="e">
        <f t="shared" si="60"/>
        <v>#VALUE!</v>
      </c>
      <c r="AF447" s="1839"/>
      <c r="AG447" s="1779"/>
      <c r="AI447" t="s">
        <v>4647</v>
      </c>
    </row>
    <row r="448" spans="3:35 16372:16381" ht="24.95" customHeight="1">
      <c r="C448" s="491">
        <v>441</v>
      </c>
      <c r="D448" s="1847"/>
      <c r="E448" s="1847"/>
      <c r="F448" s="1847" t="s">
        <v>4648</v>
      </c>
      <c r="G448" s="1847" t="s">
        <v>4648</v>
      </c>
      <c r="H448" s="1847" t="s">
        <v>4680</v>
      </c>
      <c r="I448" s="1847"/>
      <c r="J448" s="1847" t="s">
        <v>2783</v>
      </c>
      <c r="K448" s="1847" t="s">
        <v>2795</v>
      </c>
      <c r="L448" s="1847" t="s">
        <v>3934</v>
      </c>
      <c r="M448" s="1847" t="s">
        <v>3937</v>
      </c>
      <c r="N448" s="1847"/>
      <c r="O448" s="1847"/>
      <c r="P448" s="1852">
        <v>1.4</v>
      </c>
      <c r="Q448" s="1852">
        <v>2</v>
      </c>
      <c r="R448" s="483" t="e">
        <f>IF(H448="","",SUMIFS('[1]1_group_totals'!$J$8:$J$10000,'[1]1_group_totals'!$C$8:$C$10000,C448))</f>
        <v>#VALUE!</v>
      </c>
      <c r="S448" s="483">
        <f t="shared" si="54"/>
        <v>2</v>
      </c>
      <c r="T448" s="483">
        <v>1</v>
      </c>
      <c r="U448" s="510" t="e">
        <f t="shared" si="55"/>
        <v>#VALUE!</v>
      </c>
      <c r="V448" s="510"/>
      <c r="W448" s="510"/>
      <c r="X448" s="510"/>
      <c r="Y448" s="483">
        <v>1</v>
      </c>
      <c r="Z448" s="483">
        <v>1</v>
      </c>
      <c r="AA448" s="1847" t="e">
        <f t="shared" si="56"/>
        <v>#VALUE!</v>
      </c>
      <c r="AB448" s="1847">
        <f t="shared" si="57"/>
        <v>1.4</v>
      </c>
      <c r="AC448" s="1847">
        <f t="shared" si="58"/>
        <v>2</v>
      </c>
      <c r="AD448" s="1847" t="e">
        <f t="shared" si="59"/>
        <v>#VALUE!</v>
      </c>
      <c r="AE448" s="1847" t="e">
        <f t="shared" si="60"/>
        <v>#VALUE!</v>
      </c>
      <c r="AF448" s="1839"/>
      <c r="AG448" s="1779"/>
      <c r="AI448" t="s">
        <v>4648</v>
      </c>
    </row>
    <row r="449" spans="3:35" ht="24.95" customHeight="1">
      <c r="C449" s="491">
        <v>442</v>
      </c>
      <c r="D449" s="1847"/>
      <c r="E449" s="1847"/>
      <c r="F449" s="1847" t="s">
        <v>4649</v>
      </c>
      <c r="G449" s="1847" t="s">
        <v>4649</v>
      </c>
      <c r="H449" s="1847" t="s">
        <v>4681</v>
      </c>
      <c r="I449" s="1847"/>
      <c r="J449" s="1847" t="s">
        <v>2783</v>
      </c>
      <c r="K449" s="1847" t="s">
        <v>2795</v>
      </c>
      <c r="L449" s="1847" t="s">
        <v>3934</v>
      </c>
      <c r="M449" s="1847" t="s">
        <v>3937</v>
      </c>
      <c r="N449" s="1847"/>
      <c r="O449" s="1847"/>
      <c r="P449" s="1852">
        <v>1</v>
      </c>
      <c r="Q449" s="1852">
        <v>1.5</v>
      </c>
      <c r="R449" s="483" t="e">
        <f>IF(H449="","",SUMIFS('[1]1_group_totals'!$J$8:$J$10000,'[1]1_group_totals'!$C$8:$C$10000,C449))</f>
        <v>#VALUE!</v>
      </c>
      <c r="S449" s="483">
        <f t="shared" si="54"/>
        <v>2</v>
      </c>
      <c r="T449" s="483">
        <v>1</v>
      </c>
      <c r="U449" s="510" t="e">
        <f t="shared" si="55"/>
        <v>#VALUE!</v>
      </c>
      <c r="V449" s="510"/>
      <c r="W449" s="510"/>
      <c r="X449" s="510"/>
      <c r="Y449" s="483">
        <v>1</v>
      </c>
      <c r="Z449" s="483">
        <v>1</v>
      </c>
      <c r="AA449" s="1847" t="e">
        <f t="shared" si="56"/>
        <v>#VALUE!</v>
      </c>
      <c r="AB449" s="1847">
        <f t="shared" si="57"/>
        <v>1</v>
      </c>
      <c r="AC449" s="1847">
        <f t="shared" si="58"/>
        <v>1.5</v>
      </c>
      <c r="AD449" s="1847" t="e">
        <f t="shared" si="59"/>
        <v>#VALUE!</v>
      </c>
      <c r="AE449" s="1847" t="e">
        <f t="shared" si="60"/>
        <v>#VALUE!</v>
      </c>
      <c r="AF449" s="1839"/>
      <c r="AG449" s="1779"/>
      <c r="AI449" t="s">
        <v>4649</v>
      </c>
    </row>
    <row r="450" spans="3:35" ht="24.95" customHeight="1">
      <c r="C450" s="491">
        <v>443</v>
      </c>
      <c r="D450" s="1847"/>
      <c r="E450" s="1847"/>
      <c r="F450" s="1847" t="s">
        <v>4650</v>
      </c>
      <c r="G450" s="1847" t="s">
        <v>4650</v>
      </c>
      <c r="H450" s="1847" t="s">
        <v>4682</v>
      </c>
      <c r="I450" s="1847"/>
      <c r="J450" s="1847" t="s">
        <v>2771</v>
      </c>
      <c r="K450" s="1847" t="s">
        <v>2795</v>
      </c>
      <c r="L450" s="1847" t="s">
        <v>3934</v>
      </c>
      <c r="M450" s="1847" t="s">
        <v>4091</v>
      </c>
      <c r="N450" s="1847"/>
      <c r="O450" s="1847"/>
      <c r="P450" s="1852">
        <v>2.9</v>
      </c>
      <c r="Q450" s="1852">
        <v>3.5</v>
      </c>
      <c r="R450" s="483" t="e">
        <f>IF(H450="","",SUMIFS('[1]1_group_totals'!$J$8:$J$10000,'[1]1_group_totals'!$C$8:$C$10000,C450))</f>
        <v>#VALUE!</v>
      </c>
      <c r="S450" s="483">
        <f t="shared" si="54"/>
        <v>47</v>
      </c>
      <c r="T450" s="483">
        <v>6</v>
      </c>
      <c r="U450" s="510" t="e">
        <f t="shared" si="55"/>
        <v>#VALUE!</v>
      </c>
      <c r="V450" s="510"/>
      <c r="W450" s="510"/>
      <c r="X450" s="510"/>
      <c r="Y450" s="483">
        <v>1</v>
      </c>
      <c r="Z450" s="483">
        <v>1</v>
      </c>
      <c r="AA450" s="1847" t="e">
        <f t="shared" si="56"/>
        <v>#VALUE!</v>
      </c>
      <c r="AB450" s="1847">
        <f t="shared" si="57"/>
        <v>0.48333333333333334</v>
      </c>
      <c r="AC450" s="1847">
        <f t="shared" si="58"/>
        <v>0.58333333333333337</v>
      </c>
      <c r="AD450" s="1847" t="e">
        <f t="shared" si="59"/>
        <v>#VALUE!</v>
      </c>
      <c r="AE450" s="1847" t="e">
        <f t="shared" si="60"/>
        <v>#VALUE!</v>
      </c>
      <c r="AF450" s="1839"/>
      <c r="AG450" s="1779"/>
      <c r="AI450" t="s">
        <v>4650</v>
      </c>
    </row>
    <row r="451" spans="3:35" ht="24.95" customHeight="1">
      <c r="C451" s="491">
        <v>444</v>
      </c>
      <c r="D451" s="1847"/>
      <c r="E451" s="1847"/>
      <c r="F451" s="1847" t="s">
        <v>4651</v>
      </c>
      <c r="G451" s="1847" t="s">
        <v>4651</v>
      </c>
      <c r="H451" s="1847" t="s">
        <v>4683</v>
      </c>
      <c r="I451" s="1847"/>
      <c r="J451" s="1847" t="s">
        <v>2771</v>
      </c>
      <c r="K451" s="1847" t="s">
        <v>2795</v>
      </c>
      <c r="L451" s="1847" t="s">
        <v>3934</v>
      </c>
      <c r="M451" s="1847" t="s">
        <v>4091</v>
      </c>
      <c r="N451" s="1847"/>
      <c r="O451" s="1847"/>
      <c r="P451" s="1852">
        <v>4.0999999999999996</v>
      </c>
      <c r="Q451" s="1852">
        <v>4.5</v>
      </c>
      <c r="R451" s="483" t="e">
        <f>IF(H451="","",SUMIFS('[1]1_group_totals'!$J$8:$J$10000,'[1]1_group_totals'!$C$8:$C$10000,C451))</f>
        <v>#VALUE!</v>
      </c>
      <c r="S451" s="483">
        <f t="shared" si="54"/>
        <v>47</v>
      </c>
      <c r="T451" s="483">
        <v>6</v>
      </c>
      <c r="U451" s="510" t="e">
        <f t="shared" si="55"/>
        <v>#VALUE!</v>
      </c>
      <c r="V451" s="510"/>
      <c r="W451" s="510"/>
      <c r="X451" s="510"/>
      <c r="Y451" s="483">
        <v>1</v>
      </c>
      <c r="Z451" s="483">
        <v>1</v>
      </c>
      <c r="AA451" s="1847" t="e">
        <f t="shared" si="56"/>
        <v>#VALUE!</v>
      </c>
      <c r="AB451" s="1847">
        <f t="shared" si="57"/>
        <v>0.68333333333333324</v>
      </c>
      <c r="AC451" s="1847">
        <f t="shared" si="58"/>
        <v>0.75</v>
      </c>
      <c r="AD451" s="1847" t="e">
        <f t="shared" si="59"/>
        <v>#VALUE!</v>
      </c>
      <c r="AE451" s="1847" t="e">
        <f t="shared" si="60"/>
        <v>#VALUE!</v>
      </c>
      <c r="AF451" s="1839"/>
      <c r="AG451" s="1779"/>
      <c r="AI451" t="s">
        <v>4651</v>
      </c>
    </row>
    <row r="452" spans="3:35" ht="24.95" customHeight="1">
      <c r="C452" s="491">
        <v>445</v>
      </c>
      <c r="D452" s="1847"/>
      <c r="E452" s="1847"/>
      <c r="F452" s="1847" t="s">
        <v>4652</v>
      </c>
      <c r="G452" s="1847" t="s">
        <v>4652</v>
      </c>
      <c r="H452" s="1847" t="s">
        <v>4684</v>
      </c>
      <c r="I452" s="1847"/>
      <c r="J452" s="1847" t="s">
        <v>4709</v>
      </c>
      <c r="K452" s="1847" t="s">
        <v>2795</v>
      </c>
      <c r="L452" s="1847" t="s">
        <v>3934</v>
      </c>
      <c r="M452" s="1847" t="s">
        <v>4641</v>
      </c>
      <c r="N452" s="1847"/>
      <c r="O452" s="1847"/>
      <c r="P452" s="1852">
        <v>0.9</v>
      </c>
      <c r="Q452" s="1852">
        <v>1.5</v>
      </c>
      <c r="R452" s="483" t="e">
        <f>IF(H452="","",SUMIFS('[1]1_group_totals'!$J$8:$J$10000,'[1]1_group_totals'!$C$8:$C$10000,C452))</f>
        <v>#VALUE!</v>
      </c>
      <c r="S452" s="483">
        <f t="shared" si="54"/>
        <v>5</v>
      </c>
      <c r="T452" s="483">
        <v>1</v>
      </c>
      <c r="U452" s="510" t="e">
        <f t="shared" si="55"/>
        <v>#VALUE!</v>
      </c>
      <c r="V452" s="510"/>
      <c r="W452" s="510"/>
      <c r="X452" s="510"/>
      <c r="Y452" s="483">
        <v>1</v>
      </c>
      <c r="Z452" s="483">
        <v>1</v>
      </c>
      <c r="AA452" s="1847" t="e">
        <f t="shared" si="56"/>
        <v>#VALUE!</v>
      </c>
      <c r="AB452" s="1847">
        <f t="shared" si="57"/>
        <v>0.9</v>
      </c>
      <c r="AC452" s="1847">
        <f t="shared" si="58"/>
        <v>1.5</v>
      </c>
      <c r="AD452" s="1847" t="e">
        <f t="shared" si="59"/>
        <v>#VALUE!</v>
      </c>
      <c r="AE452" s="1847" t="e">
        <f t="shared" si="60"/>
        <v>#VALUE!</v>
      </c>
      <c r="AF452" s="1839"/>
      <c r="AG452" s="1779"/>
      <c r="AI452" t="s">
        <v>4652</v>
      </c>
    </row>
    <row r="453" spans="3:35" ht="24.95" customHeight="1">
      <c r="C453" s="491">
        <v>446</v>
      </c>
      <c r="D453" s="1847"/>
      <c r="E453" s="1847"/>
      <c r="F453" s="1847" t="s">
        <v>4653</v>
      </c>
      <c r="G453" s="1847" t="s">
        <v>4653</v>
      </c>
      <c r="H453" s="1847" t="s">
        <v>4685</v>
      </c>
      <c r="I453" s="1847"/>
      <c r="J453" s="1847" t="s">
        <v>2783</v>
      </c>
      <c r="K453" s="1847" t="s">
        <v>3925</v>
      </c>
      <c r="L453" s="1847" t="s">
        <v>3935</v>
      </c>
      <c r="M453" s="1847" t="s">
        <v>3937</v>
      </c>
      <c r="N453" s="1847"/>
      <c r="O453" s="1847"/>
      <c r="P453" s="1852">
        <v>0.2</v>
      </c>
      <c r="Q453" s="1852">
        <v>0.38</v>
      </c>
      <c r="R453" s="483" t="e">
        <f>IF(H453="","",SUMIFS('[1]1_group_totals'!$J$8:$J$10000,'[1]1_group_totals'!$C$8:$C$10000,C453))</f>
        <v>#VALUE!</v>
      </c>
      <c r="S453" s="483">
        <f t="shared" si="54"/>
        <v>2</v>
      </c>
      <c r="T453" s="483">
        <v>1</v>
      </c>
      <c r="U453" s="510" t="e">
        <f t="shared" si="55"/>
        <v>#VALUE!</v>
      </c>
      <c r="V453" s="510"/>
      <c r="W453" s="510"/>
      <c r="X453" s="510"/>
      <c r="Y453" s="483">
        <v>1</v>
      </c>
      <c r="Z453" s="483">
        <v>1</v>
      </c>
      <c r="AA453" s="1847" t="e">
        <f t="shared" si="56"/>
        <v>#VALUE!</v>
      </c>
      <c r="AB453" s="1847">
        <f t="shared" si="57"/>
        <v>0.2</v>
      </c>
      <c r="AC453" s="1847">
        <f t="shared" si="58"/>
        <v>0.38</v>
      </c>
      <c r="AD453" s="1847" t="e">
        <f t="shared" si="59"/>
        <v>#VALUE!</v>
      </c>
      <c r="AE453" s="1847" t="e">
        <f t="shared" si="60"/>
        <v>#VALUE!</v>
      </c>
      <c r="AF453" s="1839"/>
      <c r="AG453" s="1779"/>
      <c r="AI453" t="s">
        <v>4653</v>
      </c>
    </row>
    <row r="454" spans="3:35" ht="24.95" customHeight="1">
      <c r="C454" s="491">
        <v>447</v>
      </c>
      <c r="D454" s="1847"/>
      <c r="E454" s="1847"/>
      <c r="F454" s="1847" t="s">
        <v>4654</v>
      </c>
      <c r="G454" s="1847" t="s">
        <v>4654</v>
      </c>
      <c r="H454" s="1847" t="s">
        <v>4686</v>
      </c>
      <c r="I454" s="1847"/>
      <c r="J454" s="1847" t="s">
        <v>2783</v>
      </c>
      <c r="K454" s="1847" t="s">
        <v>3925</v>
      </c>
      <c r="L454" s="1847" t="s">
        <v>3935</v>
      </c>
      <c r="M454" s="1847" t="s">
        <v>3937</v>
      </c>
      <c r="N454" s="1847"/>
      <c r="O454" s="1847"/>
      <c r="P454" s="1852">
        <v>0.2</v>
      </c>
      <c r="Q454" s="1852">
        <v>0.38</v>
      </c>
      <c r="R454" s="483" t="e">
        <f>IF(H454="","",SUMIFS('[1]1_group_totals'!$J$8:$J$10000,'[1]1_group_totals'!$C$8:$C$10000,C454))</f>
        <v>#VALUE!</v>
      </c>
      <c r="S454" s="483">
        <f t="shared" si="54"/>
        <v>2</v>
      </c>
      <c r="T454" s="483">
        <v>1</v>
      </c>
      <c r="U454" s="510" t="e">
        <f t="shared" si="55"/>
        <v>#VALUE!</v>
      </c>
      <c r="V454" s="510"/>
      <c r="W454" s="510"/>
      <c r="X454" s="510"/>
      <c r="Y454" s="483">
        <v>1</v>
      </c>
      <c r="Z454" s="483">
        <v>1</v>
      </c>
      <c r="AA454" s="1847" t="e">
        <f t="shared" si="56"/>
        <v>#VALUE!</v>
      </c>
      <c r="AB454" s="1847">
        <f t="shared" si="57"/>
        <v>0.2</v>
      </c>
      <c r="AC454" s="1847">
        <f t="shared" si="58"/>
        <v>0.38</v>
      </c>
      <c r="AD454" s="1847" t="e">
        <f t="shared" si="59"/>
        <v>#VALUE!</v>
      </c>
      <c r="AE454" s="1847" t="e">
        <f t="shared" si="60"/>
        <v>#VALUE!</v>
      </c>
      <c r="AF454" s="1839"/>
      <c r="AG454" s="1779"/>
      <c r="AI454" t="s">
        <v>4654</v>
      </c>
    </row>
    <row r="455" spans="3:35" ht="24.95" customHeight="1">
      <c r="C455" s="491">
        <v>448</v>
      </c>
      <c r="D455" s="1847"/>
      <c r="E455" s="1847"/>
      <c r="F455" s="1847" t="s">
        <v>4655</v>
      </c>
      <c r="G455" s="1847" t="s">
        <v>4655</v>
      </c>
      <c r="H455" s="1847" t="s">
        <v>4687</v>
      </c>
      <c r="I455" s="1847"/>
      <c r="J455" s="1847" t="s">
        <v>2783</v>
      </c>
      <c r="K455" s="1847" t="s">
        <v>3925</v>
      </c>
      <c r="L455" s="1847" t="s">
        <v>2799</v>
      </c>
      <c r="M455" s="1847" t="s">
        <v>3937</v>
      </c>
      <c r="N455" s="1847"/>
      <c r="O455" s="1847"/>
      <c r="P455" s="1852">
        <v>3.8</v>
      </c>
      <c r="Q455" s="1852">
        <v>5</v>
      </c>
      <c r="R455" s="483" t="e">
        <f>IF(H455="","",SUMIFS('[1]1_group_totals'!$J$8:$J$10000,'[1]1_group_totals'!$C$8:$C$10000,C455))</f>
        <v>#VALUE!</v>
      </c>
      <c r="S455" s="483">
        <f t="shared" si="54"/>
        <v>2</v>
      </c>
      <c r="T455" s="483">
        <v>1</v>
      </c>
      <c r="U455" s="510" t="e">
        <f t="shared" si="55"/>
        <v>#VALUE!</v>
      </c>
      <c r="V455" s="510"/>
      <c r="W455" s="510"/>
      <c r="X455" s="510"/>
      <c r="Y455" s="483">
        <v>1</v>
      </c>
      <c r="Z455" s="483">
        <v>1</v>
      </c>
      <c r="AA455" s="1847" t="e">
        <f t="shared" si="56"/>
        <v>#VALUE!</v>
      </c>
      <c r="AB455" s="1847">
        <f t="shared" si="57"/>
        <v>3.8</v>
      </c>
      <c r="AC455" s="1847">
        <f t="shared" si="58"/>
        <v>5</v>
      </c>
      <c r="AD455" s="1847" t="e">
        <f t="shared" si="59"/>
        <v>#VALUE!</v>
      </c>
      <c r="AE455" s="1847" t="e">
        <f t="shared" si="60"/>
        <v>#VALUE!</v>
      </c>
      <c r="AF455" s="1839"/>
      <c r="AG455" s="1779"/>
      <c r="AI455" t="s">
        <v>4655</v>
      </c>
    </row>
    <row r="456" spans="3:35" ht="24.95" customHeight="1">
      <c r="C456" s="491">
        <v>449</v>
      </c>
      <c r="D456" s="1847"/>
      <c r="E456" s="1847"/>
      <c r="F456" s="1847" t="s">
        <v>4656</v>
      </c>
      <c r="G456" s="1847" t="s">
        <v>4656</v>
      </c>
      <c r="H456" s="1847" t="s">
        <v>4688</v>
      </c>
      <c r="I456" s="1847"/>
      <c r="J456" s="1847" t="s">
        <v>2782</v>
      </c>
      <c r="K456" s="1847" t="s">
        <v>3925</v>
      </c>
      <c r="L456" s="1847" t="s">
        <v>3935</v>
      </c>
      <c r="M456" s="1847" t="s">
        <v>4100</v>
      </c>
      <c r="N456" s="1847"/>
      <c r="O456" s="1847"/>
      <c r="P456" s="1852">
        <v>4.3499999999999996</v>
      </c>
      <c r="Q456" s="1852">
        <v>4.8499999999999996</v>
      </c>
      <c r="R456" s="483" t="e">
        <f>IF(H456="","",SUMIFS('[1]1_group_totals'!$J$8:$J$10000,'[1]1_group_totals'!$C$8:$C$10000,C456))</f>
        <v>#VALUE!</v>
      </c>
      <c r="S456" s="483">
        <f t="shared" ref="S456:S473" si="63">IF(J456="","",MID(J456,1,3)*1)</f>
        <v>53</v>
      </c>
      <c r="T456" s="483">
        <v>4</v>
      </c>
      <c r="U456" s="510" t="e">
        <f t="shared" ref="U456:U473" si="64">getStockAvariableByUom(C456,R456,T456,Z456,S456)</f>
        <v>#VALUE!</v>
      </c>
      <c r="V456" s="510"/>
      <c r="W456" s="510"/>
      <c r="X456" s="510"/>
      <c r="Y456" s="483">
        <v>1</v>
      </c>
      <c r="Z456" s="483">
        <v>1</v>
      </c>
      <c r="AA456" s="1847" t="e">
        <f t="shared" ref="AA456:AA473" si="65">IF(AND(C456&lt;&gt;"",H456&lt;&gt;"",R456&gt;0),TEXT(C456,"00000")&amp;"."&amp;H456&amp;" | "&amp;F456&amp;" | Cost : "&amp;P456&amp;" "&amp;product_currency&amp;" | Price : "&amp;Q456&amp;" "&amp;product_currency&amp;" | Stock Ending : "&amp;U456,"")</f>
        <v>#VALUE!</v>
      </c>
      <c r="AB456" s="1847">
        <f t="shared" ref="AB456:AB473" si="66">P456/T456</f>
        <v>1.0874999999999999</v>
      </c>
      <c r="AC456" s="1847">
        <f t="shared" ref="AC456:AC473" si="67">Q456/T456</f>
        <v>1.2124999999999999</v>
      </c>
      <c r="AD456" s="1847" t="e">
        <f t="shared" ref="AD456:AD473" si="68">IF(R456&gt;0,R456*AB456,"")</f>
        <v>#VALUE!</v>
      </c>
      <c r="AE456" s="1847" t="e">
        <f t="shared" ref="AE456:AE473" si="69">IF(R456&gt;0,R456*AC456,"")</f>
        <v>#VALUE!</v>
      </c>
      <c r="AF456" s="1839"/>
      <c r="AG456" s="1779"/>
      <c r="AI456" t="s">
        <v>4656</v>
      </c>
    </row>
    <row r="457" spans="3:35" ht="24.95" customHeight="1">
      <c r="C457" s="491">
        <v>450</v>
      </c>
      <c r="D457" s="1847"/>
      <c r="E457" s="1847"/>
      <c r="F457" s="1847" t="s">
        <v>4657</v>
      </c>
      <c r="G457" s="1847" t="s">
        <v>4657</v>
      </c>
      <c r="H457" s="1847" t="s">
        <v>4689</v>
      </c>
      <c r="I457" s="1847"/>
      <c r="J457" s="1847" t="s">
        <v>2783</v>
      </c>
      <c r="K457" s="1847" t="s">
        <v>3925</v>
      </c>
      <c r="L457" s="1847" t="s">
        <v>2799</v>
      </c>
      <c r="M457" s="1847" t="s">
        <v>3937</v>
      </c>
      <c r="N457" s="1847"/>
      <c r="O457" s="1847"/>
      <c r="P457" s="1852">
        <v>6.8</v>
      </c>
      <c r="Q457" s="1852">
        <v>10</v>
      </c>
      <c r="R457" s="483" t="e">
        <f>IF(H457="","",SUMIFS('[1]1_group_totals'!$J$8:$J$10000,'[1]1_group_totals'!$C$8:$C$10000,C457))</f>
        <v>#VALUE!</v>
      </c>
      <c r="S457" s="483">
        <f t="shared" si="63"/>
        <v>2</v>
      </c>
      <c r="T457" s="483">
        <v>1</v>
      </c>
      <c r="U457" s="510" t="e">
        <f t="shared" si="64"/>
        <v>#VALUE!</v>
      </c>
      <c r="V457" s="510"/>
      <c r="W457" s="510"/>
      <c r="X457" s="510"/>
      <c r="Y457" s="483">
        <v>1</v>
      </c>
      <c r="Z457" s="483">
        <v>1</v>
      </c>
      <c r="AA457" s="1847" t="e">
        <f t="shared" si="65"/>
        <v>#VALUE!</v>
      </c>
      <c r="AB457" s="1847">
        <f t="shared" si="66"/>
        <v>6.8</v>
      </c>
      <c r="AC457" s="1847">
        <f t="shared" si="67"/>
        <v>10</v>
      </c>
      <c r="AD457" s="1847" t="e">
        <f t="shared" si="68"/>
        <v>#VALUE!</v>
      </c>
      <c r="AE457" s="1847" t="e">
        <f t="shared" si="69"/>
        <v>#VALUE!</v>
      </c>
      <c r="AF457" s="1839"/>
      <c r="AG457" s="1779"/>
      <c r="AI457" t="s">
        <v>4657</v>
      </c>
    </row>
    <row r="458" spans="3:35" ht="24.95" customHeight="1">
      <c r="C458" s="491">
        <v>451</v>
      </c>
      <c r="D458" s="1847"/>
      <c r="E458" s="1847"/>
      <c r="F458" s="1847" t="s">
        <v>4658</v>
      </c>
      <c r="G458" s="1847" t="s">
        <v>4658</v>
      </c>
      <c r="H458" s="1847" t="s">
        <v>4690</v>
      </c>
      <c r="I458" s="1847"/>
      <c r="J458" s="1847" t="s">
        <v>2783</v>
      </c>
      <c r="K458" s="1847" t="s">
        <v>3925</v>
      </c>
      <c r="L458" s="1847" t="s">
        <v>2799</v>
      </c>
      <c r="M458" s="1847" t="s">
        <v>3937</v>
      </c>
      <c r="N458" s="1847"/>
      <c r="O458" s="1847"/>
      <c r="P458" s="1852">
        <v>3.6</v>
      </c>
      <c r="Q458" s="1852">
        <v>5.5</v>
      </c>
      <c r="R458" s="483" t="e">
        <f>IF(H458="","",SUMIFS('[1]1_group_totals'!$J$8:$J$10000,'[1]1_group_totals'!$C$8:$C$10000,C458))</f>
        <v>#VALUE!</v>
      </c>
      <c r="S458" s="483">
        <f t="shared" si="63"/>
        <v>2</v>
      </c>
      <c r="T458" s="483">
        <v>1</v>
      </c>
      <c r="U458" s="510" t="e">
        <f t="shared" si="64"/>
        <v>#VALUE!</v>
      </c>
      <c r="V458" s="510"/>
      <c r="W458" s="510"/>
      <c r="X458" s="510"/>
      <c r="Y458" s="483">
        <v>1</v>
      </c>
      <c r="Z458" s="483">
        <v>1</v>
      </c>
      <c r="AA458" s="1847" t="e">
        <f t="shared" si="65"/>
        <v>#VALUE!</v>
      </c>
      <c r="AB458" s="1847">
        <f t="shared" si="66"/>
        <v>3.6</v>
      </c>
      <c r="AC458" s="1847">
        <f t="shared" si="67"/>
        <v>5.5</v>
      </c>
      <c r="AD458" s="1847" t="e">
        <f t="shared" si="68"/>
        <v>#VALUE!</v>
      </c>
      <c r="AE458" s="1847" t="e">
        <f t="shared" si="69"/>
        <v>#VALUE!</v>
      </c>
      <c r="AF458" s="1839"/>
      <c r="AG458" s="1779"/>
      <c r="AI458" t="s">
        <v>4658</v>
      </c>
    </row>
    <row r="459" spans="3:35" ht="24.95" customHeight="1">
      <c r="C459" s="491">
        <v>452</v>
      </c>
      <c r="D459" s="1847"/>
      <c r="E459" s="1847"/>
      <c r="F459" s="1847" t="s">
        <v>4659</v>
      </c>
      <c r="G459" s="1847" t="s">
        <v>4659</v>
      </c>
      <c r="H459" s="1847" t="s">
        <v>4691</v>
      </c>
      <c r="I459" s="1847"/>
      <c r="J459" s="1847" t="s">
        <v>2783</v>
      </c>
      <c r="K459" s="1847" t="s">
        <v>3925</v>
      </c>
      <c r="L459" s="1847" t="s">
        <v>2799</v>
      </c>
      <c r="M459" s="1847" t="s">
        <v>3937</v>
      </c>
      <c r="N459" s="1847"/>
      <c r="O459" s="1847"/>
      <c r="P459" s="1852">
        <v>6</v>
      </c>
      <c r="Q459" s="1852">
        <v>8</v>
      </c>
      <c r="R459" s="483" t="e">
        <f>IF(H459="","",SUMIFS('[1]1_group_totals'!$J$8:$J$10000,'[1]1_group_totals'!$C$8:$C$10000,C459))</f>
        <v>#VALUE!</v>
      </c>
      <c r="S459" s="483">
        <f t="shared" si="63"/>
        <v>2</v>
      </c>
      <c r="T459" s="483">
        <v>1</v>
      </c>
      <c r="U459" s="510" t="e">
        <f t="shared" si="64"/>
        <v>#VALUE!</v>
      </c>
      <c r="V459" s="510"/>
      <c r="W459" s="510"/>
      <c r="X459" s="510"/>
      <c r="Y459" s="483">
        <v>1</v>
      </c>
      <c r="Z459" s="483">
        <v>1</v>
      </c>
      <c r="AA459" s="1847" t="e">
        <f t="shared" si="65"/>
        <v>#VALUE!</v>
      </c>
      <c r="AB459" s="1847">
        <f t="shared" si="66"/>
        <v>6</v>
      </c>
      <c r="AC459" s="1847">
        <f t="shared" si="67"/>
        <v>8</v>
      </c>
      <c r="AD459" s="1847" t="e">
        <f t="shared" si="68"/>
        <v>#VALUE!</v>
      </c>
      <c r="AE459" s="1847" t="e">
        <f t="shared" si="69"/>
        <v>#VALUE!</v>
      </c>
      <c r="AF459" s="1839"/>
      <c r="AG459" s="1779"/>
      <c r="AI459" t="s">
        <v>4659</v>
      </c>
    </row>
    <row r="460" spans="3:35" ht="24.95" customHeight="1">
      <c r="C460" s="491">
        <v>453</v>
      </c>
      <c r="D460" s="1847"/>
      <c r="E460" s="1847"/>
      <c r="F460" s="1847" t="s">
        <v>4660</v>
      </c>
      <c r="G460" s="1847" t="s">
        <v>4660</v>
      </c>
      <c r="H460" s="1847" t="s">
        <v>4692</v>
      </c>
      <c r="I460" s="1847"/>
      <c r="J460" s="1847" t="s">
        <v>2783</v>
      </c>
      <c r="K460" s="1847" t="s">
        <v>3925</v>
      </c>
      <c r="L460" s="1847" t="s">
        <v>2799</v>
      </c>
      <c r="M460" s="1847" t="s">
        <v>3937</v>
      </c>
      <c r="N460" s="1847"/>
      <c r="O460" s="1847"/>
      <c r="P460" s="1852">
        <v>6.8</v>
      </c>
      <c r="Q460" s="1852">
        <v>10</v>
      </c>
      <c r="R460" s="483" t="e">
        <f>IF(H460="","",SUMIFS('[1]1_group_totals'!$J$8:$J$10000,'[1]1_group_totals'!$C$8:$C$10000,C460))</f>
        <v>#VALUE!</v>
      </c>
      <c r="S460" s="483">
        <f t="shared" si="63"/>
        <v>2</v>
      </c>
      <c r="T460" s="483">
        <v>1</v>
      </c>
      <c r="U460" s="510" t="e">
        <f t="shared" si="64"/>
        <v>#VALUE!</v>
      </c>
      <c r="V460" s="510"/>
      <c r="W460" s="510"/>
      <c r="X460" s="510"/>
      <c r="Y460" s="483">
        <v>1</v>
      </c>
      <c r="Z460" s="483">
        <v>1</v>
      </c>
      <c r="AA460" s="1847" t="e">
        <f t="shared" si="65"/>
        <v>#VALUE!</v>
      </c>
      <c r="AB460" s="1847">
        <f t="shared" si="66"/>
        <v>6.8</v>
      </c>
      <c r="AC460" s="1847">
        <f t="shared" si="67"/>
        <v>10</v>
      </c>
      <c r="AD460" s="1847" t="e">
        <f t="shared" si="68"/>
        <v>#VALUE!</v>
      </c>
      <c r="AE460" s="1847" t="e">
        <f t="shared" si="69"/>
        <v>#VALUE!</v>
      </c>
      <c r="AF460" s="1839"/>
      <c r="AG460" s="1779"/>
      <c r="AI460" t="s">
        <v>4660</v>
      </c>
    </row>
    <row r="461" spans="3:35" ht="24.95" customHeight="1">
      <c r="C461" s="491">
        <v>454</v>
      </c>
      <c r="D461" s="1847"/>
      <c r="E461" s="1847"/>
      <c r="F461" s="1847" t="s">
        <v>4661</v>
      </c>
      <c r="G461" s="1847" t="s">
        <v>4661</v>
      </c>
      <c r="H461" s="1847" t="s">
        <v>4693</v>
      </c>
      <c r="I461" s="1847"/>
      <c r="J461" s="1847" t="s">
        <v>2783</v>
      </c>
      <c r="K461" s="1847" t="s">
        <v>3925</v>
      </c>
      <c r="L461" s="1847" t="s">
        <v>3934</v>
      </c>
      <c r="M461" s="1847" t="s">
        <v>3937</v>
      </c>
      <c r="N461" s="1847"/>
      <c r="O461" s="1847"/>
      <c r="P461" s="1852">
        <v>4.9000000000000004</v>
      </c>
      <c r="Q461" s="1852">
        <v>7.5</v>
      </c>
      <c r="R461" s="483" t="e">
        <f>IF(H461="","",SUMIFS('[1]1_group_totals'!$J$8:$J$10000,'[1]1_group_totals'!$C$8:$C$10000,C461))</f>
        <v>#VALUE!</v>
      </c>
      <c r="S461" s="483">
        <f t="shared" si="63"/>
        <v>2</v>
      </c>
      <c r="T461" s="483">
        <v>1</v>
      </c>
      <c r="U461" s="510" t="e">
        <f t="shared" si="64"/>
        <v>#VALUE!</v>
      </c>
      <c r="V461" s="510"/>
      <c r="W461" s="510"/>
      <c r="X461" s="510"/>
      <c r="Y461" s="483">
        <v>1</v>
      </c>
      <c r="Z461" s="483">
        <v>1</v>
      </c>
      <c r="AA461" s="1847" t="e">
        <f t="shared" si="65"/>
        <v>#VALUE!</v>
      </c>
      <c r="AB461" s="1847">
        <f t="shared" si="66"/>
        <v>4.9000000000000004</v>
      </c>
      <c r="AC461" s="1847">
        <f t="shared" si="67"/>
        <v>7.5</v>
      </c>
      <c r="AD461" s="1847" t="e">
        <f t="shared" si="68"/>
        <v>#VALUE!</v>
      </c>
      <c r="AE461" s="1847" t="e">
        <f t="shared" si="69"/>
        <v>#VALUE!</v>
      </c>
      <c r="AF461" s="1839"/>
      <c r="AG461" s="1779"/>
      <c r="AI461" t="s">
        <v>4661</v>
      </c>
    </row>
    <row r="462" spans="3:35" ht="24.95" customHeight="1">
      <c r="C462" s="491">
        <v>455</v>
      </c>
      <c r="D462" s="1847"/>
      <c r="E462" s="1847"/>
      <c r="F462" s="1847" t="s">
        <v>4662</v>
      </c>
      <c r="G462" s="1847" t="s">
        <v>4662</v>
      </c>
      <c r="H462" s="1847" t="s">
        <v>4694</v>
      </c>
      <c r="I462" s="1847"/>
      <c r="J462" s="1847" t="s">
        <v>2783</v>
      </c>
      <c r="K462" s="1847" t="s">
        <v>3925</v>
      </c>
      <c r="L462" s="1847" t="s">
        <v>3934</v>
      </c>
      <c r="M462" s="1847" t="s">
        <v>3937</v>
      </c>
      <c r="N462" s="1847"/>
      <c r="O462" s="1847"/>
      <c r="P462" s="1852">
        <v>3.6</v>
      </c>
      <c r="Q462" s="1852">
        <v>6.5</v>
      </c>
      <c r="R462" s="483" t="e">
        <f>IF(H462="","",SUMIFS('[1]1_group_totals'!$J$8:$J$10000,'[1]1_group_totals'!$C$8:$C$10000,C462))</f>
        <v>#VALUE!</v>
      </c>
      <c r="S462" s="483">
        <f t="shared" si="63"/>
        <v>2</v>
      </c>
      <c r="T462" s="483">
        <v>1</v>
      </c>
      <c r="U462" s="510" t="e">
        <f t="shared" si="64"/>
        <v>#VALUE!</v>
      </c>
      <c r="V462" s="510"/>
      <c r="W462" s="510"/>
      <c r="X462" s="510"/>
      <c r="Y462" s="483">
        <v>1</v>
      </c>
      <c r="Z462" s="483">
        <v>1</v>
      </c>
      <c r="AA462" s="1847" t="e">
        <f t="shared" si="65"/>
        <v>#VALUE!</v>
      </c>
      <c r="AB462" s="1847">
        <f t="shared" si="66"/>
        <v>3.6</v>
      </c>
      <c r="AC462" s="1847">
        <f t="shared" si="67"/>
        <v>6.5</v>
      </c>
      <c r="AD462" s="1847" t="e">
        <f t="shared" si="68"/>
        <v>#VALUE!</v>
      </c>
      <c r="AE462" s="1847" t="e">
        <f t="shared" si="69"/>
        <v>#VALUE!</v>
      </c>
      <c r="AF462" s="1839"/>
      <c r="AG462" s="1779"/>
      <c r="AI462" t="s">
        <v>4662</v>
      </c>
    </row>
    <row r="463" spans="3:35" ht="24.95" customHeight="1">
      <c r="C463" s="491">
        <v>456</v>
      </c>
      <c r="D463" s="1847"/>
      <c r="E463" s="1847"/>
      <c r="F463" s="1847" t="s">
        <v>4663</v>
      </c>
      <c r="G463" s="1847" t="s">
        <v>4663</v>
      </c>
      <c r="H463" s="1847" t="s">
        <v>4695</v>
      </c>
      <c r="I463" s="1847"/>
      <c r="J463" s="1847" t="s">
        <v>4713</v>
      </c>
      <c r="K463" s="1847" t="s">
        <v>3926</v>
      </c>
      <c r="L463" s="1847" t="s">
        <v>3935</v>
      </c>
      <c r="M463" s="1847" t="s">
        <v>4708</v>
      </c>
      <c r="N463" s="1847"/>
      <c r="O463" s="1847"/>
      <c r="P463" s="1852">
        <v>147.5</v>
      </c>
      <c r="Q463" s="1852">
        <v>175</v>
      </c>
      <c r="R463" s="483" t="e">
        <f>IF(H463="","",SUMIFS('[1]1_group_totals'!$J$8:$J$10000,'[1]1_group_totals'!$C$8:$C$10000,C463))</f>
        <v>#VALUE!</v>
      </c>
      <c r="S463" s="483">
        <f t="shared" si="63"/>
        <v>93</v>
      </c>
      <c r="T463" s="483">
        <v>250</v>
      </c>
      <c r="U463" s="510" t="e">
        <f t="shared" si="64"/>
        <v>#VALUE!</v>
      </c>
      <c r="V463" s="510"/>
      <c r="W463" s="510"/>
      <c r="X463" s="510"/>
      <c r="Y463" s="483">
        <v>1</v>
      </c>
      <c r="Z463" s="483">
        <v>1</v>
      </c>
      <c r="AA463" s="1847" t="e">
        <f t="shared" si="65"/>
        <v>#VALUE!</v>
      </c>
      <c r="AB463" s="1847">
        <f t="shared" si="66"/>
        <v>0.59</v>
      </c>
      <c r="AC463" s="1847">
        <f t="shared" si="67"/>
        <v>0.7</v>
      </c>
      <c r="AD463" s="1847" t="e">
        <f t="shared" si="68"/>
        <v>#VALUE!</v>
      </c>
      <c r="AE463" s="1847" t="e">
        <f t="shared" si="69"/>
        <v>#VALUE!</v>
      </c>
      <c r="AF463" s="1839"/>
      <c r="AG463" s="1779"/>
      <c r="AI463" t="s">
        <v>4663</v>
      </c>
    </row>
    <row r="464" spans="3:35" ht="24.95" customHeight="1">
      <c r="C464" s="491">
        <v>457</v>
      </c>
      <c r="D464" s="1847"/>
      <c r="E464" s="1847"/>
      <c r="F464" s="1847" t="s">
        <v>4664</v>
      </c>
      <c r="G464" s="1847" t="s">
        <v>4664</v>
      </c>
      <c r="H464" s="1847" t="s">
        <v>4696</v>
      </c>
      <c r="I464" s="1847"/>
      <c r="J464" s="1847" t="s">
        <v>2783</v>
      </c>
      <c r="K464" s="1847" t="s">
        <v>3926</v>
      </c>
      <c r="L464" s="1847" t="s">
        <v>3935</v>
      </c>
      <c r="M464" s="1847" t="s">
        <v>3937</v>
      </c>
      <c r="N464" s="1847"/>
      <c r="O464" s="1847"/>
      <c r="P464" s="1852">
        <v>0.9</v>
      </c>
      <c r="Q464" s="1852">
        <v>1.25</v>
      </c>
      <c r="R464" s="483" t="e">
        <f>IF(H464="","",SUMIFS('[1]1_group_totals'!$J$8:$J$10000,'[1]1_group_totals'!$C$8:$C$10000,C464))</f>
        <v>#VALUE!</v>
      </c>
      <c r="S464" s="483">
        <f t="shared" si="63"/>
        <v>2</v>
      </c>
      <c r="T464" s="483">
        <v>1</v>
      </c>
      <c r="U464" s="510" t="e">
        <f t="shared" si="64"/>
        <v>#VALUE!</v>
      </c>
      <c r="V464" s="510"/>
      <c r="W464" s="510"/>
      <c r="X464" s="510"/>
      <c r="Y464" s="483">
        <v>1</v>
      </c>
      <c r="Z464" s="483">
        <v>1</v>
      </c>
      <c r="AA464" s="1847" t="e">
        <f t="shared" si="65"/>
        <v>#VALUE!</v>
      </c>
      <c r="AB464" s="1847">
        <f t="shared" si="66"/>
        <v>0.9</v>
      </c>
      <c r="AC464" s="1847">
        <f t="shared" si="67"/>
        <v>1.25</v>
      </c>
      <c r="AD464" s="1847" t="e">
        <f t="shared" si="68"/>
        <v>#VALUE!</v>
      </c>
      <c r="AE464" s="1847" t="e">
        <f t="shared" si="69"/>
        <v>#VALUE!</v>
      </c>
      <c r="AF464" s="1839"/>
      <c r="AG464" s="1779"/>
      <c r="AI464" t="s">
        <v>4664</v>
      </c>
    </row>
    <row r="465" spans="3:35" ht="24.95" customHeight="1">
      <c r="C465" s="491">
        <v>458</v>
      </c>
      <c r="D465" s="1847"/>
      <c r="E465" s="1847"/>
      <c r="F465" s="1847" t="s">
        <v>4665</v>
      </c>
      <c r="G465" s="1847" t="s">
        <v>4665</v>
      </c>
      <c r="H465" s="1847" t="s">
        <v>4697</v>
      </c>
      <c r="I465" s="1847"/>
      <c r="J465" s="1847" t="s">
        <v>2779</v>
      </c>
      <c r="K465" s="1847" t="s">
        <v>4706</v>
      </c>
      <c r="L465" s="1847" t="s">
        <v>3934</v>
      </c>
      <c r="M465" s="1847" t="s">
        <v>4097</v>
      </c>
      <c r="N465" s="1847"/>
      <c r="O465" s="1847"/>
      <c r="P465" s="1852">
        <v>4.0999999999999996</v>
      </c>
      <c r="Q465" s="1852">
        <v>6</v>
      </c>
      <c r="R465" s="483" t="e">
        <f>IF(H465="","",SUMIFS('[1]1_group_totals'!$J$8:$J$10000,'[1]1_group_totals'!$C$8:$C$10000,C465))</f>
        <v>#VALUE!</v>
      </c>
      <c r="S465" s="483">
        <f t="shared" si="63"/>
        <v>49</v>
      </c>
      <c r="T465" s="483">
        <v>12</v>
      </c>
      <c r="U465" s="510" t="e">
        <f t="shared" si="64"/>
        <v>#VALUE!</v>
      </c>
      <c r="V465" s="510"/>
      <c r="W465" s="510"/>
      <c r="X465" s="510"/>
      <c r="Y465" s="483">
        <v>1</v>
      </c>
      <c r="Z465" s="483">
        <v>1</v>
      </c>
      <c r="AA465" s="1847" t="e">
        <f t="shared" si="65"/>
        <v>#VALUE!</v>
      </c>
      <c r="AB465" s="1847">
        <f t="shared" si="66"/>
        <v>0.34166666666666662</v>
      </c>
      <c r="AC465" s="1847">
        <f t="shared" si="67"/>
        <v>0.5</v>
      </c>
      <c r="AD465" s="1847" t="e">
        <f t="shared" si="68"/>
        <v>#VALUE!</v>
      </c>
      <c r="AE465" s="1847" t="e">
        <f t="shared" si="69"/>
        <v>#VALUE!</v>
      </c>
      <c r="AF465" s="1839"/>
      <c r="AG465" s="1779"/>
      <c r="AI465" t="s">
        <v>4665</v>
      </c>
    </row>
    <row r="466" spans="3:35" ht="24.95" customHeight="1">
      <c r="C466" s="491">
        <v>459</v>
      </c>
      <c r="D466" s="1847"/>
      <c r="E466" s="1847"/>
      <c r="F466" s="1847" t="s">
        <v>4666</v>
      </c>
      <c r="G466" s="1847" t="s">
        <v>4666</v>
      </c>
      <c r="H466" s="1847" t="s">
        <v>4698</v>
      </c>
      <c r="I466" s="1847"/>
      <c r="J466" s="1847" t="s">
        <v>2779</v>
      </c>
      <c r="K466" s="1847" t="s">
        <v>4706</v>
      </c>
      <c r="L466" s="1847" t="s">
        <v>3934</v>
      </c>
      <c r="M466" s="1847" t="s">
        <v>4097</v>
      </c>
      <c r="N466" s="1847"/>
      <c r="O466" s="1847"/>
      <c r="P466" s="1852">
        <v>5.6</v>
      </c>
      <c r="Q466" s="1852">
        <v>7.5</v>
      </c>
      <c r="R466" s="483" t="e">
        <f>IF(H466="","",SUMIFS('[1]1_group_totals'!$J$8:$J$10000,'[1]1_group_totals'!$C$8:$C$10000,C466))</f>
        <v>#VALUE!</v>
      </c>
      <c r="S466" s="483">
        <f t="shared" si="63"/>
        <v>49</v>
      </c>
      <c r="T466" s="483">
        <v>12</v>
      </c>
      <c r="U466" s="510" t="e">
        <f t="shared" si="64"/>
        <v>#VALUE!</v>
      </c>
      <c r="V466" s="510"/>
      <c r="W466" s="510"/>
      <c r="X466" s="510"/>
      <c r="Y466" s="483">
        <v>1</v>
      </c>
      <c r="Z466" s="483">
        <v>1</v>
      </c>
      <c r="AA466" s="1847" t="e">
        <f t="shared" si="65"/>
        <v>#VALUE!</v>
      </c>
      <c r="AB466" s="1847">
        <f t="shared" si="66"/>
        <v>0.46666666666666662</v>
      </c>
      <c r="AC466" s="1847">
        <f t="shared" si="67"/>
        <v>0.625</v>
      </c>
      <c r="AD466" s="1847" t="e">
        <f t="shared" si="68"/>
        <v>#VALUE!</v>
      </c>
      <c r="AE466" s="1847" t="e">
        <f t="shared" si="69"/>
        <v>#VALUE!</v>
      </c>
      <c r="AF466" s="1839"/>
      <c r="AG466" s="1779"/>
      <c r="AI466" t="s">
        <v>4666</v>
      </c>
    </row>
    <row r="467" spans="3:35" ht="24.95" customHeight="1">
      <c r="C467" s="491">
        <v>460</v>
      </c>
      <c r="D467" s="1847"/>
      <c r="E467" s="1847"/>
      <c r="F467" s="1847" t="s">
        <v>4667</v>
      </c>
      <c r="G467" s="1847" t="s">
        <v>4667</v>
      </c>
      <c r="H467" s="1847" t="s">
        <v>4699</v>
      </c>
      <c r="I467" s="1847"/>
      <c r="J467" s="1847" t="s">
        <v>4588</v>
      </c>
      <c r="K467" s="1847" t="s">
        <v>4706</v>
      </c>
      <c r="L467" s="1847" t="s">
        <v>4638</v>
      </c>
      <c r="M467" s="1847" t="s">
        <v>4475</v>
      </c>
      <c r="N467" s="1847"/>
      <c r="O467" s="1847"/>
      <c r="P467" s="1852">
        <v>17</v>
      </c>
      <c r="Q467" s="1852">
        <v>22</v>
      </c>
      <c r="R467" s="483" t="e">
        <f>IF(H467="","",SUMIFS('[1]1_group_totals'!$J$8:$J$10000,'[1]1_group_totals'!$C$8:$C$10000,C467))</f>
        <v>#VALUE!</v>
      </c>
      <c r="S467" s="483">
        <f t="shared" si="63"/>
        <v>89</v>
      </c>
      <c r="T467" s="483">
        <v>1</v>
      </c>
      <c r="U467" s="510" t="e">
        <f t="shared" si="64"/>
        <v>#VALUE!</v>
      </c>
      <c r="V467" s="510"/>
      <c r="W467" s="510"/>
      <c r="X467" s="510"/>
      <c r="Y467" s="483">
        <v>1</v>
      </c>
      <c r="Z467" s="483">
        <v>1</v>
      </c>
      <c r="AA467" s="1847" t="e">
        <f t="shared" si="65"/>
        <v>#VALUE!</v>
      </c>
      <c r="AB467" s="1847">
        <f t="shared" si="66"/>
        <v>17</v>
      </c>
      <c r="AC467" s="1847">
        <f t="shared" si="67"/>
        <v>22</v>
      </c>
      <c r="AD467" s="1847" t="e">
        <f t="shared" si="68"/>
        <v>#VALUE!</v>
      </c>
      <c r="AE467" s="1847" t="e">
        <f t="shared" si="69"/>
        <v>#VALUE!</v>
      </c>
      <c r="AF467" s="1839"/>
      <c r="AG467" s="1779"/>
      <c r="AI467" t="s">
        <v>4667</v>
      </c>
    </row>
    <row r="468" spans="3:35" ht="24.95" customHeight="1">
      <c r="C468" s="491">
        <v>461</v>
      </c>
      <c r="D468" s="1847"/>
      <c r="E468" s="1847"/>
      <c r="F468" s="1847" t="s">
        <v>4668</v>
      </c>
      <c r="G468" s="1847" t="s">
        <v>4668</v>
      </c>
      <c r="H468" s="1847" t="s">
        <v>4700</v>
      </c>
      <c r="I468" s="1847"/>
      <c r="J468" s="1847" t="s">
        <v>2783</v>
      </c>
      <c r="K468" s="1847" t="s">
        <v>3929</v>
      </c>
      <c r="L468" s="1847" t="s">
        <v>3935</v>
      </c>
      <c r="M468" s="1847" t="s">
        <v>3937</v>
      </c>
      <c r="N468" s="1847"/>
      <c r="O468" s="1847"/>
      <c r="P468" s="1852">
        <v>9.8000000000000007</v>
      </c>
      <c r="Q468" s="1852">
        <v>12</v>
      </c>
      <c r="R468" s="483" t="e">
        <f>IF(H468="","",SUMIFS('[1]1_group_totals'!$J$8:$J$10000,'[1]1_group_totals'!$C$8:$C$10000,C468))</f>
        <v>#VALUE!</v>
      </c>
      <c r="S468" s="483">
        <f t="shared" si="63"/>
        <v>2</v>
      </c>
      <c r="T468" s="483">
        <v>1</v>
      </c>
      <c r="U468" s="510" t="e">
        <f t="shared" si="64"/>
        <v>#VALUE!</v>
      </c>
      <c r="V468" s="510"/>
      <c r="W468" s="510"/>
      <c r="X468" s="510"/>
      <c r="Y468" s="483">
        <v>1</v>
      </c>
      <c r="Z468" s="483">
        <v>1</v>
      </c>
      <c r="AA468" s="1847" t="e">
        <f t="shared" si="65"/>
        <v>#VALUE!</v>
      </c>
      <c r="AB468" s="1847">
        <f t="shared" si="66"/>
        <v>9.8000000000000007</v>
      </c>
      <c r="AC468" s="1847">
        <f t="shared" si="67"/>
        <v>12</v>
      </c>
      <c r="AD468" s="1847" t="e">
        <f t="shared" si="68"/>
        <v>#VALUE!</v>
      </c>
      <c r="AE468" s="1847" t="e">
        <f t="shared" si="69"/>
        <v>#VALUE!</v>
      </c>
      <c r="AF468" s="1839"/>
      <c r="AG468" s="1779"/>
      <c r="AI468" t="s">
        <v>4668</v>
      </c>
    </row>
    <row r="469" spans="3:35" ht="24.95" customHeight="1">
      <c r="C469" s="491">
        <v>462</v>
      </c>
      <c r="D469" s="1847"/>
      <c r="E469" s="1847"/>
      <c r="F469" s="1847" t="s">
        <v>4669</v>
      </c>
      <c r="G469" s="1847" t="s">
        <v>4669</v>
      </c>
      <c r="H469" s="1847" t="s">
        <v>4701</v>
      </c>
      <c r="I469" s="1847"/>
      <c r="J469" s="1847" t="s">
        <v>2783</v>
      </c>
      <c r="K469" s="1847" t="s">
        <v>3929</v>
      </c>
      <c r="L469" s="1847" t="s">
        <v>2799</v>
      </c>
      <c r="M469" s="1847" t="s">
        <v>3937</v>
      </c>
      <c r="N469" s="1847"/>
      <c r="O469" s="1847"/>
      <c r="P469" s="1852">
        <v>3.5</v>
      </c>
      <c r="Q469" s="1852">
        <v>4.5</v>
      </c>
      <c r="R469" s="483" t="e">
        <f>IF(H469="","",SUMIFS('[1]1_group_totals'!$J$8:$J$10000,'[1]1_group_totals'!$C$8:$C$10000,C469))</f>
        <v>#VALUE!</v>
      </c>
      <c r="S469" s="483">
        <f t="shared" si="63"/>
        <v>2</v>
      </c>
      <c r="T469" s="483">
        <v>1</v>
      </c>
      <c r="U469" s="510" t="e">
        <f t="shared" si="64"/>
        <v>#VALUE!</v>
      </c>
      <c r="V469" s="510"/>
      <c r="W469" s="510"/>
      <c r="X469" s="510"/>
      <c r="Y469" s="483">
        <v>1</v>
      </c>
      <c r="Z469" s="483">
        <v>1</v>
      </c>
      <c r="AA469" s="1847" t="e">
        <f t="shared" si="65"/>
        <v>#VALUE!</v>
      </c>
      <c r="AB469" s="1847">
        <f t="shared" si="66"/>
        <v>3.5</v>
      </c>
      <c r="AC469" s="1847">
        <f t="shared" si="67"/>
        <v>4.5</v>
      </c>
      <c r="AD469" s="1847" t="e">
        <f t="shared" si="68"/>
        <v>#VALUE!</v>
      </c>
      <c r="AE469" s="1847" t="e">
        <f t="shared" si="69"/>
        <v>#VALUE!</v>
      </c>
      <c r="AF469" s="1839"/>
      <c r="AG469" s="1779"/>
      <c r="AI469" t="s">
        <v>4669</v>
      </c>
    </row>
    <row r="470" spans="3:35" ht="24.95" customHeight="1">
      <c r="C470" s="491">
        <v>463</v>
      </c>
      <c r="D470" s="1847"/>
      <c r="E470" s="1847"/>
      <c r="F470" s="1847" t="s">
        <v>4670</v>
      </c>
      <c r="G470" s="1847" t="s">
        <v>4670</v>
      </c>
      <c r="H470" s="1847" t="s">
        <v>4702</v>
      </c>
      <c r="I470" s="1847"/>
      <c r="J470" s="1847" t="s">
        <v>2783</v>
      </c>
      <c r="K470" s="1847" t="s">
        <v>3929</v>
      </c>
      <c r="L470" s="1847" t="s">
        <v>3935</v>
      </c>
      <c r="M470" s="1847" t="s">
        <v>3937</v>
      </c>
      <c r="N470" s="1847"/>
      <c r="O470" s="1847"/>
      <c r="P470" s="1852">
        <v>16.7</v>
      </c>
      <c r="Q470" s="1852">
        <v>20</v>
      </c>
      <c r="R470" s="483" t="e">
        <f>IF(H470="","",SUMIFS('[1]1_group_totals'!$J$8:$J$10000,'[1]1_group_totals'!$C$8:$C$10000,C470))</f>
        <v>#VALUE!</v>
      </c>
      <c r="S470" s="483">
        <f t="shared" si="63"/>
        <v>2</v>
      </c>
      <c r="T470" s="483">
        <v>1</v>
      </c>
      <c r="U470" s="510" t="e">
        <f t="shared" si="64"/>
        <v>#VALUE!</v>
      </c>
      <c r="V470" s="510"/>
      <c r="W470" s="510"/>
      <c r="X470" s="510"/>
      <c r="Y470" s="483">
        <v>1</v>
      </c>
      <c r="Z470" s="483">
        <v>1</v>
      </c>
      <c r="AA470" s="1847" t="e">
        <f t="shared" si="65"/>
        <v>#VALUE!</v>
      </c>
      <c r="AB470" s="1847">
        <f t="shared" si="66"/>
        <v>16.7</v>
      </c>
      <c r="AC470" s="1847">
        <f t="shared" si="67"/>
        <v>20</v>
      </c>
      <c r="AD470" s="1847" t="e">
        <f t="shared" si="68"/>
        <v>#VALUE!</v>
      </c>
      <c r="AE470" s="1847" t="e">
        <f t="shared" si="69"/>
        <v>#VALUE!</v>
      </c>
      <c r="AF470" s="1839"/>
      <c r="AG470" s="1779"/>
      <c r="AI470" t="s">
        <v>4670</v>
      </c>
    </row>
    <row r="471" spans="3:35" ht="24.95" customHeight="1">
      <c r="C471" s="491">
        <v>464</v>
      </c>
      <c r="D471" s="1847"/>
      <c r="E471" s="1847"/>
      <c r="F471" s="1847" t="s">
        <v>4671</v>
      </c>
      <c r="G471" s="1847" t="s">
        <v>4671</v>
      </c>
      <c r="H471" s="1847" t="s">
        <v>4703</v>
      </c>
      <c r="I471" s="1847"/>
      <c r="J471" s="1847" t="s">
        <v>2783</v>
      </c>
      <c r="K471" s="1847" t="s">
        <v>3929</v>
      </c>
      <c r="L471" s="1847" t="s">
        <v>3935</v>
      </c>
      <c r="M471" s="1847" t="s">
        <v>3937</v>
      </c>
      <c r="N471" s="1847"/>
      <c r="O471" s="1847"/>
      <c r="P471" s="1852">
        <v>8.5</v>
      </c>
      <c r="Q471" s="1852">
        <v>11.5</v>
      </c>
      <c r="R471" s="483" t="e">
        <f>IF(H471="","",SUMIFS('[1]1_group_totals'!$J$8:$J$10000,'[1]1_group_totals'!$C$8:$C$10000,C471))</f>
        <v>#VALUE!</v>
      </c>
      <c r="S471" s="483">
        <f t="shared" si="63"/>
        <v>2</v>
      </c>
      <c r="T471" s="483">
        <v>1</v>
      </c>
      <c r="U471" s="510" t="e">
        <f t="shared" si="64"/>
        <v>#VALUE!</v>
      </c>
      <c r="V471" s="510"/>
      <c r="W471" s="510"/>
      <c r="X471" s="510"/>
      <c r="Y471" s="483">
        <v>1</v>
      </c>
      <c r="Z471" s="483">
        <v>1</v>
      </c>
      <c r="AA471" s="1847" t="e">
        <f t="shared" si="65"/>
        <v>#VALUE!</v>
      </c>
      <c r="AB471" s="1847">
        <f t="shared" si="66"/>
        <v>8.5</v>
      </c>
      <c r="AC471" s="1847">
        <f t="shared" si="67"/>
        <v>11.5</v>
      </c>
      <c r="AD471" s="1847" t="e">
        <f t="shared" si="68"/>
        <v>#VALUE!</v>
      </c>
      <c r="AE471" s="1847" t="e">
        <f t="shared" si="69"/>
        <v>#VALUE!</v>
      </c>
      <c r="AF471" s="1839"/>
      <c r="AG471" s="1779"/>
      <c r="AI471" t="s">
        <v>4671</v>
      </c>
    </row>
    <row r="472" spans="3:35" ht="24.95" customHeight="1">
      <c r="C472" s="491">
        <v>465</v>
      </c>
      <c r="D472" s="1847"/>
      <c r="E472" s="1847"/>
      <c r="F472" s="1847" t="s">
        <v>4672</v>
      </c>
      <c r="G472" s="1847" t="s">
        <v>4672</v>
      </c>
      <c r="H472" s="1847" t="s">
        <v>4704</v>
      </c>
      <c r="I472" s="1847"/>
      <c r="J472" s="1847" t="s">
        <v>4137</v>
      </c>
      <c r="K472" s="1847" t="s">
        <v>3929</v>
      </c>
      <c r="L472" s="1847" t="s">
        <v>3935</v>
      </c>
      <c r="M472" s="1847" t="s">
        <v>4138</v>
      </c>
      <c r="N472" s="1847"/>
      <c r="O472" s="1847"/>
      <c r="P472" s="1852">
        <v>1.62</v>
      </c>
      <c r="Q472" s="1852">
        <v>2.25</v>
      </c>
      <c r="R472" s="483" t="e">
        <f>IF(H472="","",SUMIFS('[1]1_group_totals'!$J$8:$J$10000,'[1]1_group_totals'!$C$8:$C$10000,C472))</f>
        <v>#VALUE!</v>
      </c>
      <c r="S472" s="483">
        <f t="shared" si="63"/>
        <v>73</v>
      </c>
      <c r="T472" s="483">
        <v>10</v>
      </c>
      <c r="U472" s="510" t="e">
        <f t="shared" si="64"/>
        <v>#VALUE!</v>
      </c>
      <c r="V472" s="510"/>
      <c r="W472" s="510"/>
      <c r="X472" s="510"/>
      <c r="Y472" s="483">
        <v>1</v>
      </c>
      <c r="Z472" s="483">
        <v>1</v>
      </c>
      <c r="AA472" s="1847" t="e">
        <f t="shared" si="65"/>
        <v>#VALUE!</v>
      </c>
      <c r="AB472" s="1847">
        <f t="shared" si="66"/>
        <v>0.16200000000000001</v>
      </c>
      <c r="AC472" s="1847">
        <f t="shared" si="67"/>
        <v>0.22500000000000001</v>
      </c>
      <c r="AD472" s="1847" t="e">
        <f t="shared" si="68"/>
        <v>#VALUE!</v>
      </c>
      <c r="AE472" s="1847" t="e">
        <f t="shared" si="69"/>
        <v>#VALUE!</v>
      </c>
      <c r="AF472" s="1839"/>
      <c r="AG472" s="1779"/>
      <c r="AI472" t="s">
        <v>4672</v>
      </c>
    </row>
    <row r="473" spans="3:35" ht="24.95" customHeight="1">
      <c r="C473" s="491">
        <v>466</v>
      </c>
      <c r="D473" s="1847"/>
      <c r="E473" s="1847"/>
      <c r="F473" s="1847" t="s">
        <v>4673</v>
      </c>
      <c r="G473" s="1847" t="s">
        <v>4673</v>
      </c>
      <c r="H473" s="1847" t="s">
        <v>4705</v>
      </c>
      <c r="I473" s="1847"/>
      <c r="J473" s="1847" t="s">
        <v>2783</v>
      </c>
      <c r="K473" s="1847" t="s">
        <v>3929</v>
      </c>
      <c r="L473" s="1847" t="s">
        <v>4707</v>
      </c>
      <c r="M473" s="1847" t="s">
        <v>3937</v>
      </c>
      <c r="N473" s="1847"/>
      <c r="O473" s="1847"/>
      <c r="P473" s="1852">
        <v>92.7</v>
      </c>
      <c r="Q473" s="1852">
        <v>115</v>
      </c>
      <c r="R473" s="483" t="e">
        <f>IF(H473="","",SUMIFS('[1]1_group_totals'!$J$8:$J$10000,'[1]1_group_totals'!$C$8:$C$10000,C473))</f>
        <v>#VALUE!</v>
      </c>
      <c r="S473" s="483">
        <f t="shared" si="63"/>
        <v>2</v>
      </c>
      <c r="T473" s="483">
        <v>1</v>
      </c>
      <c r="U473" s="510" t="e">
        <f t="shared" si="64"/>
        <v>#VALUE!</v>
      </c>
      <c r="V473" s="510"/>
      <c r="W473" s="510"/>
      <c r="X473" s="510"/>
      <c r="Y473" s="483">
        <v>1</v>
      </c>
      <c r="Z473" s="483">
        <v>1</v>
      </c>
      <c r="AA473" s="1847" t="e">
        <f t="shared" si="65"/>
        <v>#VALUE!</v>
      </c>
      <c r="AB473" s="1847">
        <f t="shared" si="66"/>
        <v>92.7</v>
      </c>
      <c r="AC473" s="1847">
        <f t="shared" si="67"/>
        <v>115</v>
      </c>
      <c r="AD473" s="1847" t="e">
        <f t="shared" si="68"/>
        <v>#VALUE!</v>
      </c>
      <c r="AE473" s="1847" t="e">
        <f t="shared" si="69"/>
        <v>#VALUE!</v>
      </c>
      <c r="AF473" s="1839"/>
      <c r="AG473" s="1779"/>
      <c r="AI473" t="s">
        <v>4673</v>
      </c>
    </row>
    <row r="474" spans="3:35" ht="24.95" customHeight="1">
      <c r="C474" s="1581"/>
      <c r="D474" s="1580"/>
      <c r="E474" s="1580"/>
      <c r="F474" s="1580"/>
      <c r="G474" s="1580"/>
      <c r="H474" s="1580"/>
      <c r="I474" s="1842"/>
      <c r="J474" s="1580"/>
      <c r="K474" s="1843"/>
      <c r="L474" s="1580"/>
      <c r="M474" s="1580"/>
      <c r="N474" s="1844"/>
      <c r="O474" s="1845"/>
      <c r="P474" s="1851"/>
      <c r="Q474" s="1851"/>
      <c r="R474" s="1853"/>
      <c r="S474" s="1854"/>
      <c r="T474" s="1856"/>
      <c r="U474" s="1858"/>
      <c r="V474" s="1859"/>
      <c r="W474" s="1858"/>
      <c r="X474" s="1858"/>
      <c r="Y474" s="1854"/>
      <c r="Z474" s="1854"/>
      <c r="AA474" s="1845"/>
      <c r="AB474" s="1846"/>
      <c r="AC474" s="1846"/>
      <c r="AD474" s="1846"/>
      <c r="AE474" s="1846"/>
      <c r="AF474" s="1779"/>
      <c r="AG474" s="1779"/>
    </row>
    <row r="475" spans="3:35" ht="24.95" customHeight="1">
      <c r="C475" s="1579"/>
      <c r="D475" s="1577"/>
      <c r="E475" s="1577"/>
      <c r="F475" s="1577"/>
      <c r="G475" s="1577"/>
      <c r="H475" s="1577"/>
      <c r="I475" s="1774"/>
      <c r="J475" s="1577"/>
      <c r="K475" s="1776"/>
      <c r="L475" s="1577"/>
      <c r="M475" s="1577"/>
      <c r="N475" s="1773"/>
      <c r="O475" s="1768"/>
      <c r="Q475" s="1849"/>
      <c r="R475" s="1855"/>
      <c r="S475" s="270"/>
      <c r="T475" s="1857"/>
      <c r="U475" s="277"/>
      <c r="V475" s="1860"/>
      <c r="W475" s="277"/>
      <c r="X475" s="277"/>
      <c r="Y475" s="270"/>
      <c r="Z475" s="270"/>
      <c r="AA475" s="1768"/>
      <c r="AB475" s="1779"/>
      <c r="AC475" s="1779"/>
      <c r="AD475" s="1779"/>
      <c r="AE475" s="1779"/>
      <c r="AF475" s="1779"/>
      <c r="AG475" s="1779"/>
    </row>
    <row r="476" spans="3:35" ht="24.95" customHeight="1">
      <c r="C476" s="1775"/>
      <c r="D476" s="1577"/>
      <c r="E476" s="1577"/>
      <c r="F476" s="1776"/>
      <c r="G476" s="1577"/>
      <c r="H476" s="1577"/>
      <c r="I476" s="1774"/>
      <c r="J476" s="1577"/>
      <c r="K476" s="1776"/>
      <c r="L476" s="1577"/>
      <c r="M476" s="1577"/>
      <c r="N476" s="1773"/>
      <c r="O476" s="1768"/>
      <c r="Q476" s="1849"/>
      <c r="R476" s="1855"/>
      <c r="S476" s="270"/>
      <c r="T476" s="1857"/>
      <c r="U476" s="277"/>
      <c r="V476" s="1860"/>
      <c r="W476" s="277"/>
      <c r="X476" s="277"/>
      <c r="Y476" s="270"/>
      <c r="Z476" s="270"/>
      <c r="AA476" s="1768"/>
      <c r="AB476" s="1779"/>
      <c r="AC476" s="1779"/>
      <c r="AD476" s="1779"/>
      <c r="AE476" s="1779"/>
      <c r="AF476" s="1779"/>
      <c r="AG476" s="1779"/>
    </row>
    <row r="477" spans="3:35" ht="24.95" customHeight="1">
      <c r="C477" s="1775"/>
      <c r="D477" s="1577"/>
      <c r="E477" s="1577"/>
      <c r="F477" s="1776"/>
      <c r="G477" s="1577"/>
      <c r="H477" s="1577"/>
      <c r="I477" s="1774"/>
      <c r="J477" s="1577"/>
      <c r="K477" s="1776"/>
      <c r="L477" s="1577"/>
      <c r="M477" s="1577"/>
      <c r="N477" s="1773"/>
      <c r="O477" s="1768"/>
      <c r="Q477" s="1849"/>
      <c r="R477" s="1855"/>
      <c r="S477" s="270"/>
      <c r="T477" s="1857"/>
      <c r="U477" s="277"/>
      <c r="V477" s="1860"/>
      <c r="W477" s="277"/>
      <c r="X477" s="277"/>
      <c r="Y477" s="270"/>
      <c r="Z477" s="270"/>
      <c r="AA477" s="1768"/>
      <c r="AB477" s="1779"/>
      <c r="AC477" s="1779"/>
      <c r="AD477" s="1779"/>
      <c r="AE477" s="1779"/>
      <c r="AF477" s="1779"/>
      <c r="AG477" s="1779"/>
    </row>
    <row r="478" spans="3:35" ht="24.95" customHeight="1">
      <c r="C478" s="1775"/>
      <c r="D478" s="1577"/>
      <c r="E478" s="1577"/>
      <c r="F478" s="1776"/>
      <c r="G478" s="1577"/>
      <c r="H478" s="1577"/>
      <c r="I478" s="1774"/>
      <c r="J478" s="1577"/>
      <c r="K478" s="1776"/>
      <c r="L478" s="1577"/>
      <c r="M478" s="1577"/>
      <c r="N478" s="1773"/>
      <c r="O478" s="1768"/>
      <c r="Q478" s="1849"/>
      <c r="R478" s="1855"/>
      <c r="S478" s="270"/>
      <c r="T478" s="1857"/>
      <c r="U478" s="277"/>
      <c r="V478" s="1860"/>
      <c r="W478" s="277"/>
      <c r="X478" s="277"/>
      <c r="Y478" s="270"/>
      <c r="Z478" s="270"/>
      <c r="AA478" s="1768"/>
      <c r="AB478" s="1779"/>
      <c r="AC478" s="1779"/>
      <c r="AD478" s="1779"/>
      <c r="AE478" s="1779"/>
      <c r="AF478" s="1779"/>
      <c r="AG478" s="1779"/>
    </row>
    <row r="479" spans="3:35" ht="24.95" customHeight="1">
      <c r="C479" s="1775"/>
      <c r="D479" s="1577"/>
      <c r="E479" s="1577"/>
      <c r="F479" s="1776"/>
      <c r="G479" s="1577"/>
      <c r="H479" s="1577"/>
      <c r="I479" s="1774"/>
      <c r="J479" s="1577"/>
      <c r="K479" s="1776"/>
      <c r="L479" s="1577"/>
      <c r="M479" s="1577"/>
      <c r="N479" s="1773"/>
      <c r="O479" s="1768"/>
      <c r="Q479" s="1849"/>
      <c r="R479" s="1855"/>
      <c r="S479" s="270"/>
      <c r="T479" s="1857"/>
      <c r="U479" s="277"/>
      <c r="V479" s="1860"/>
      <c r="W479" s="277"/>
      <c r="X479" s="277"/>
      <c r="Y479" s="270"/>
      <c r="Z479" s="270"/>
      <c r="AA479" s="1768"/>
      <c r="AB479" s="1779"/>
      <c r="AC479" s="1779"/>
      <c r="AD479" s="1779"/>
      <c r="AE479" s="1779"/>
      <c r="AF479" s="1779"/>
      <c r="AG479" s="1779"/>
    </row>
    <row r="480" spans="3:35" ht="24.95" customHeight="1">
      <c r="C480" s="1775"/>
      <c r="D480" s="1577"/>
      <c r="E480" s="1577"/>
      <c r="F480" s="1776"/>
      <c r="G480" s="1577"/>
      <c r="H480" s="1577"/>
      <c r="I480" s="1774"/>
      <c r="J480" s="1577"/>
      <c r="K480" s="1776"/>
      <c r="L480" s="1577"/>
      <c r="M480" s="1577"/>
      <c r="N480" s="1773"/>
      <c r="O480" s="1768"/>
      <c r="Q480" s="1849"/>
      <c r="R480" s="1855"/>
      <c r="S480" s="270"/>
      <c r="T480" s="1857"/>
      <c r="U480" s="277"/>
      <c r="V480" s="1860"/>
      <c r="W480" s="277"/>
      <c r="X480" s="277"/>
      <c r="Y480" s="270"/>
      <c r="Z480" s="270"/>
      <c r="AA480" s="1768"/>
      <c r="AB480" s="1779"/>
      <c r="AC480" s="1779"/>
      <c r="AD480" s="1779"/>
      <c r="AE480" s="1779"/>
      <c r="AF480" s="1779"/>
      <c r="AG480" s="1779"/>
    </row>
    <row r="481" spans="3:33" ht="24.95" customHeight="1">
      <c r="C481" s="1775"/>
      <c r="D481" s="1577"/>
      <c r="E481" s="1577"/>
      <c r="F481" s="1776"/>
      <c r="G481" s="1577"/>
      <c r="H481" s="1577"/>
      <c r="I481" s="1774"/>
      <c r="J481" s="1577"/>
      <c r="K481" s="1776"/>
      <c r="L481" s="1577"/>
      <c r="M481" s="1577"/>
      <c r="N481" s="1773"/>
      <c r="O481" s="1768"/>
      <c r="Q481" s="1849"/>
      <c r="R481" s="1855"/>
      <c r="S481" s="270"/>
      <c r="T481" s="1857"/>
      <c r="U481" s="277"/>
      <c r="V481" s="1860"/>
      <c r="W481" s="277"/>
      <c r="X481" s="277"/>
      <c r="Y481" s="270"/>
      <c r="Z481" s="270"/>
      <c r="AA481" s="1768"/>
      <c r="AB481" s="1779"/>
      <c r="AC481" s="1779"/>
      <c r="AD481" s="1779"/>
      <c r="AE481" s="1779"/>
      <c r="AF481" s="1779"/>
      <c r="AG481" s="1779"/>
    </row>
    <row r="482" spans="3:33" ht="24.95" customHeight="1">
      <c r="C482" s="1775"/>
      <c r="D482" s="1577"/>
      <c r="E482" s="1577"/>
      <c r="F482" s="1776"/>
      <c r="G482" s="1577"/>
      <c r="H482" s="1577"/>
      <c r="I482" s="1774"/>
      <c r="J482" s="1577"/>
      <c r="K482" s="1776"/>
      <c r="L482" s="1577"/>
      <c r="M482" s="1577"/>
      <c r="N482" s="1773"/>
      <c r="O482" s="1768"/>
      <c r="Q482" s="1849"/>
      <c r="R482" s="1855"/>
      <c r="S482" s="270"/>
      <c r="T482" s="1857"/>
      <c r="U482" s="277"/>
      <c r="V482" s="1860"/>
      <c r="W482" s="277"/>
      <c r="X482" s="277"/>
      <c r="Y482" s="270"/>
      <c r="Z482" s="270"/>
      <c r="AA482" s="1768"/>
      <c r="AB482" s="1779"/>
      <c r="AC482" s="1779"/>
      <c r="AD482" s="1779"/>
      <c r="AE482" s="1779"/>
      <c r="AF482" s="1779"/>
      <c r="AG482" s="1779"/>
    </row>
    <row r="483" spans="3:33" ht="24.95" customHeight="1">
      <c r="C483" s="1775"/>
      <c r="D483" s="1577"/>
      <c r="E483" s="1577"/>
      <c r="F483" s="1776"/>
      <c r="G483" s="1577"/>
      <c r="H483" s="1577"/>
      <c r="I483" s="1774"/>
      <c r="J483" s="1577"/>
      <c r="K483" s="1776"/>
      <c r="L483" s="1577"/>
      <c r="M483" s="1577"/>
      <c r="N483" s="1773"/>
      <c r="O483" s="1768"/>
      <c r="Q483" s="1849"/>
      <c r="R483" s="1855"/>
      <c r="S483" s="270"/>
      <c r="T483" s="1857"/>
      <c r="U483" s="277"/>
      <c r="V483" s="1860"/>
      <c r="W483" s="277"/>
      <c r="X483" s="277"/>
      <c r="Y483" s="270"/>
      <c r="Z483" s="270"/>
      <c r="AA483" s="1768"/>
      <c r="AB483" s="1779"/>
      <c r="AC483" s="1779"/>
      <c r="AD483" s="1779"/>
      <c r="AE483" s="1779"/>
      <c r="AF483" s="1779"/>
      <c r="AG483" s="1779"/>
    </row>
    <row r="484" spans="3:33" ht="24.95" customHeight="1">
      <c r="C484" s="1775"/>
      <c r="D484" s="1577"/>
      <c r="E484" s="1577"/>
      <c r="F484" s="1776"/>
      <c r="G484" s="1577"/>
      <c r="H484" s="1577"/>
      <c r="I484" s="1774"/>
      <c r="J484" s="1577"/>
      <c r="K484" s="1776"/>
      <c r="L484" s="1577"/>
      <c r="M484" s="1577"/>
      <c r="N484" s="1773"/>
      <c r="O484" s="1768"/>
      <c r="Q484" s="1849"/>
      <c r="R484" s="1855"/>
      <c r="S484" s="270"/>
      <c r="T484" s="1857"/>
      <c r="U484" s="277"/>
      <c r="V484" s="1860"/>
      <c r="W484" s="277"/>
      <c r="X484" s="277"/>
      <c r="Y484" s="270"/>
      <c r="Z484" s="270"/>
      <c r="AA484" s="1768"/>
      <c r="AB484" s="1779"/>
      <c r="AC484" s="1779"/>
      <c r="AD484" s="1779"/>
      <c r="AE484" s="1779"/>
      <c r="AF484" s="1779"/>
      <c r="AG484" s="1779"/>
    </row>
    <row r="485" spans="3:33" ht="24.95" customHeight="1">
      <c r="C485" s="1775"/>
      <c r="D485" s="1577"/>
      <c r="E485" s="1577"/>
      <c r="F485" s="1776"/>
      <c r="G485" s="1577"/>
      <c r="H485" s="1577"/>
      <c r="I485" s="1774"/>
      <c r="J485" s="1577"/>
      <c r="K485" s="1776"/>
      <c r="L485" s="1577"/>
      <c r="M485" s="1577"/>
      <c r="N485" s="1773"/>
      <c r="O485" s="1768"/>
      <c r="Q485" s="1849"/>
      <c r="R485" s="1855"/>
      <c r="S485" s="270"/>
      <c r="T485" s="1857"/>
      <c r="U485" s="277"/>
      <c r="V485" s="1860"/>
      <c r="W485" s="277"/>
      <c r="X485" s="277"/>
      <c r="Y485" s="270"/>
      <c r="Z485" s="270"/>
      <c r="AA485" s="1768"/>
      <c r="AB485" s="1779"/>
      <c r="AC485" s="1779"/>
      <c r="AD485" s="1779"/>
      <c r="AE485" s="1779"/>
      <c r="AF485" s="1779"/>
      <c r="AG485" s="1779"/>
    </row>
    <row r="486" spans="3:33" ht="24.95" customHeight="1">
      <c r="C486" s="1775"/>
      <c r="D486" s="1577"/>
      <c r="E486" s="1577"/>
      <c r="F486" s="1776"/>
      <c r="G486" s="1577"/>
      <c r="H486" s="1577"/>
      <c r="I486" s="1774"/>
      <c r="J486" s="1577"/>
      <c r="K486" s="1776"/>
      <c r="L486" s="1577"/>
      <c r="M486" s="1577"/>
      <c r="N486" s="1773"/>
      <c r="O486" s="1768"/>
      <c r="Q486" s="1849"/>
      <c r="R486" s="1855"/>
      <c r="S486" s="270"/>
      <c r="T486" s="1857"/>
      <c r="U486" s="277"/>
      <c r="V486" s="1860"/>
      <c r="W486" s="277"/>
      <c r="X486" s="277"/>
      <c r="Y486" s="270"/>
      <c r="Z486" s="270"/>
      <c r="AA486" s="1768"/>
      <c r="AB486" s="1779"/>
      <c r="AC486" s="1779"/>
      <c r="AD486" s="1779"/>
      <c r="AE486" s="1779"/>
      <c r="AF486" s="1779"/>
      <c r="AG486" s="1779"/>
    </row>
    <row r="487" spans="3:33" ht="24.95" customHeight="1">
      <c r="C487" s="1775"/>
      <c r="D487" s="1577"/>
      <c r="E487" s="1577"/>
      <c r="F487" s="1776"/>
      <c r="G487" s="1577"/>
      <c r="H487" s="1577"/>
      <c r="I487" s="1774"/>
      <c r="J487" s="1577"/>
      <c r="K487" s="1776"/>
      <c r="L487" s="1577"/>
      <c r="M487" s="1577"/>
      <c r="N487" s="1773"/>
      <c r="O487" s="1768"/>
      <c r="Q487" s="1849"/>
      <c r="R487" s="1855"/>
      <c r="S487" s="270"/>
      <c r="T487" s="1857"/>
      <c r="U487" s="277"/>
      <c r="V487" s="1860"/>
      <c r="W487" s="277"/>
      <c r="X487" s="277"/>
      <c r="Y487" s="270"/>
      <c r="Z487" s="270"/>
      <c r="AA487" s="1768"/>
      <c r="AB487" s="1779"/>
      <c r="AC487" s="1779"/>
      <c r="AD487" s="1779"/>
      <c r="AE487" s="1779"/>
      <c r="AF487" s="1779"/>
      <c r="AG487" s="1779"/>
    </row>
    <row r="488" spans="3:33" ht="24.95" customHeight="1">
      <c r="C488" s="1775"/>
      <c r="D488" s="1577"/>
      <c r="E488" s="1577"/>
      <c r="F488" s="1776"/>
      <c r="G488" s="1577"/>
      <c r="H488" s="1577"/>
      <c r="I488" s="1774"/>
      <c r="J488" s="1577"/>
      <c r="K488" s="1776"/>
      <c r="L488" s="1577"/>
      <c r="M488" s="1577"/>
      <c r="N488" s="1773"/>
      <c r="O488" s="1768"/>
      <c r="Q488" s="1849"/>
      <c r="R488" s="1855"/>
      <c r="S488" s="270"/>
      <c r="T488" s="1857"/>
      <c r="U488" s="277"/>
      <c r="V488" s="1860"/>
      <c r="W488" s="277"/>
      <c r="X488" s="277"/>
      <c r="Y488" s="270"/>
      <c r="Z488" s="270"/>
      <c r="AA488" s="1768"/>
      <c r="AB488" s="1779"/>
      <c r="AC488" s="1779"/>
      <c r="AD488" s="1779"/>
      <c r="AE488" s="1779"/>
      <c r="AF488" s="1779"/>
      <c r="AG488" s="1779"/>
    </row>
    <row r="489" spans="3:33" ht="24.95" customHeight="1">
      <c r="C489" s="1775"/>
      <c r="D489" s="1577"/>
      <c r="E489" s="1577"/>
      <c r="F489" s="1776"/>
      <c r="G489" s="1577"/>
      <c r="H489" s="1577"/>
      <c r="I489" s="1774"/>
      <c r="J489" s="1577"/>
      <c r="K489" s="1776"/>
      <c r="L489" s="1577"/>
      <c r="M489" s="1577"/>
      <c r="N489" s="1773"/>
      <c r="O489" s="1768"/>
      <c r="Q489" s="1849"/>
      <c r="R489" s="1855"/>
      <c r="S489" s="270"/>
      <c r="T489" s="1857"/>
      <c r="U489" s="277"/>
      <c r="V489" s="1860"/>
      <c r="W489" s="277"/>
      <c r="X489" s="277"/>
      <c r="Y489" s="270"/>
      <c r="Z489" s="270"/>
      <c r="AA489" s="1768"/>
      <c r="AB489" s="1779"/>
      <c r="AC489" s="1779"/>
      <c r="AD489" s="1779"/>
      <c r="AE489" s="1779"/>
      <c r="AF489" s="1779"/>
      <c r="AG489" s="1779"/>
    </row>
    <row r="490" spans="3:33" ht="24.95" customHeight="1">
      <c r="C490" s="1775"/>
      <c r="D490" s="1577"/>
      <c r="E490" s="1577"/>
      <c r="F490" s="1776"/>
      <c r="G490" s="1577"/>
      <c r="H490" s="1577"/>
      <c r="I490" s="1774"/>
      <c r="J490" s="1577"/>
      <c r="K490" s="1776"/>
      <c r="L490" s="1577"/>
      <c r="M490" s="1577"/>
      <c r="N490" s="1773"/>
      <c r="O490" s="1768"/>
      <c r="Q490" s="1849"/>
      <c r="R490" s="1855"/>
      <c r="S490" s="270"/>
      <c r="T490" s="1857"/>
      <c r="U490" s="277"/>
      <c r="V490" s="1860"/>
      <c r="W490" s="277"/>
      <c r="X490" s="277"/>
      <c r="Y490" s="270"/>
      <c r="Z490" s="270"/>
      <c r="AA490" s="1768"/>
      <c r="AB490" s="1779"/>
      <c r="AC490" s="1779"/>
      <c r="AD490" s="1779"/>
      <c r="AE490" s="1779"/>
      <c r="AF490" s="1779"/>
      <c r="AG490" s="1779"/>
    </row>
    <row r="491" spans="3:33" ht="24.95" customHeight="1">
      <c r="C491" s="1775"/>
      <c r="D491" s="1577"/>
      <c r="E491" s="1577"/>
      <c r="F491" s="1776"/>
      <c r="G491" s="1577"/>
      <c r="H491" s="1577"/>
      <c r="I491" s="1774"/>
      <c r="J491" s="1577"/>
      <c r="K491" s="1776"/>
      <c r="L491" s="1577"/>
      <c r="M491" s="1577"/>
      <c r="N491" s="1773"/>
      <c r="O491" s="1768"/>
      <c r="Q491" s="1849"/>
      <c r="R491" s="1855"/>
      <c r="S491" s="270"/>
      <c r="T491" s="1857"/>
      <c r="U491" s="277"/>
      <c r="V491" s="1860"/>
      <c r="W491" s="277"/>
      <c r="X491" s="277"/>
      <c r="Y491" s="270"/>
      <c r="Z491" s="270"/>
      <c r="AA491" s="1768"/>
      <c r="AB491" s="1779"/>
      <c r="AC491" s="1779"/>
      <c r="AD491" s="1779"/>
      <c r="AE491" s="1779"/>
      <c r="AF491" s="1779"/>
      <c r="AG491" s="1779"/>
    </row>
    <row r="492" spans="3:33" ht="24.95" customHeight="1">
      <c r="C492" s="1775"/>
      <c r="D492" s="1577"/>
      <c r="E492" s="1577"/>
      <c r="F492" s="1776"/>
      <c r="G492" s="1577"/>
      <c r="H492" s="1577"/>
      <c r="I492" s="1774"/>
      <c r="J492" s="1577"/>
      <c r="K492" s="1776"/>
      <c r="L492" s="1577"/>
      <c r="M492" s="1577"/>
      <c r="N492" s="1773"/>
      <c r="O492" s="1768"/>
      <c r="Q492" s="1849"/>
      <c r="R492" s="1855"/>
      <c r="S492" s="270"/>
      <c r="T492" s="1857"/>
      <c r="U492" s="277"/>
      <c r="V492" s="1860"/>
      <c r="W492" s="277"/>
      <c r="X492" s="277"/>
      <c r="Y492" s="270"/>
      <c r="Z492" s="270"/>
      <c r="AA492" s="1768"/>
      <c r="AB492" s="1779"/>
      <c r="AC492" s="1779"/>
      <c r="AD492" s="1779"/>
      <c r="AE492" s="1779"/>
      <c r="AF492" s="1779"/>
      <c r="AG492" s="1779"/>
    </row>
    <row r="493" spans="3:33" ht="24.95" customHeight="1">
      <c r="C493" s="1775"/>
      <c r="D493" s="1577"/>
      <c r="E493" s="1577"/>
      <c r="F493" s="1776"/>
      <c r="G493" s="1577"/>
      <c r="H493" s="1577"/>
      <c r="I493" s="1774"/>
      <c r="J493" s="1577"/>
      <c r="K493" s="1776"/>
      <c r="L493" s="1577"/>
      <c r="M493" s="1577"/>
      <c r="N493" s="1773"/>
      <c r="O493" s="1768"/>
      <c r="Q493" s="1849"/>
      <c r="R493" s="1855"/>
      <c r="S493" s="270"/>
      <c r="T493" s="1857"/>
      <c r="U493" s="277"/>
      <c r="V493" s="1860"/>
      <c r="W493" s="277"/>
      <c r="X493" s="277"/>
      <c r="Y493" s="270"/>
      <c r="Z493" s="270"/>
      <c r="AA493" s="1768"/>
      <c r="AB493" s="1779"/>
      <c r="AC493" s="1779"/>
      <c r="AD493" s="1779"/>
      <c r="AE493" s="1779"/>
      <c r="AF493" s="1779"/>
      <c r="AG493" s="1779"/>
    </row>
    <row r="494" spans="3:33" ht="24.95" customHeight="1">
      <c r="C494" s="1775"/>
      <c r="D494" s="1577"/>
      <c r="E494" s="1577"/>
      <c r="F494" s="1776"/>
      <c r="G494" s="1577"/>
      <c r="H494" s="1577"/>
      <c r="I494" s="1774"/>
      <c r="J494" s="1577"/>
      <c r="K494" s="1776"/>
      <c r="L494" s="1577"/>
      <c r="M494" s="1577"/>
      <c r="N494" s="1773"/>
      <c r="O494" s="1768"/>
      <c r="Q494" s="1849"/>
      <c r="R494" s="1855"/>
      <c r="S494" s="270"/>
      <c r="T494" s="1857"/>
      <c r="U494" s="277"/>
      <c r="V494" s="1860"/>
      <c r="W494" s="277"/>
      <c r="X494" s="277"/>
      <c r="Y494" s="270"/>
      <c r="Z494" s="270"/>
      <c r="AA494" s="1768"/>
      <c r="AB494" s="1779"/>
      <c r="AC494" s="1779"/>
      <c r="AD494" s="1779"/>
      <c r="AE494" s="1779"/>
      <c r="AF494" s="1779"/>
      <c r="AG494" s="1779"/>
    </row>
    <row r="495" spans="3:33" ht="24.95" customHeight="1">
      <c r="C495" s="1775"/>
      <c r="D495" s="1577"/>
      <c r="E495" s="1577"/>
      <c r="F495" s="1776"/>
      <c r="G495" s="1577"/>
      <c r="H495" s="1577"/>
      <c r="I495" s="1774"/>
      <c r="J495" s="1577"/>
      <c r="K495" s="1776"/>
      <c r="L495" s="1577"/>
      <c r="M495" s="1577"/>
      <c r="N495" s="1773"/>
      <c r="O495" s="1768"/>
      <c r="Q495" s="1849"/>
      <c r="R495" s="1855"/>
      <c r="S495" s="270"/>
      <c r="T495" s="1857"/>
      <c r="U495" s="277"/>
      <c r="V495" s="1860"/>
      <c r="W495" s="277"/>
      <c r="X495" s="277"/>
      <c r="Y495" s="270"/>
      <c r="Z495" s="270"/>
      <c r="AA495" s="1768"/>
      <c r="AB495" s="1779"/>
      <c r="AC495" s="1779"/>
      <c r="AD495" s="1779"/>
      <c r="AE495" s="1779"/>
      <c r="AF495" s="1779"/>
      <c r="AG495" s="1779"/>
    </row>
    <row r="496" spans="3:33" ht="24.95" customHeight="1">
      <c r="C496" s="1775"/>
      <c r="D496" s="1577"/>
      <c r="E496" s="1577"/>
      <c r="F496" s="1776"/>
      <c r="G496" s="1577"/>
      <c r="H496" s="1577"/>
      <c r="I496" s="1774"/>
      <c r="J496" s="1577"/>
      <c r="K496" s="1776"/>
      <c r="L496" s="1577"/>
      <c r="M496" s="1577"/>
      <c r="N496" s="1773"/>
      <c r="O496" s="1768"/>
      <c r="Q496" s="1849"/>
      <c r="R496" s="1855"/>
      <c r="S496" s="270"/>
      <c r="T496" s="1857"/>
      <c r="U496" s="277"/>
      <c r="V496" s="1860"/>
      <c r="W496" s="277"/>
      <c r="X496" s="277"/>
      <c r="Y496" s="270"/>
      <c r="Z496" s="270"/>
      <c r="AA496" s="1768"/>
      <c r="AB496" s="1779"/>
      <c r="AC496" s="1779"/>
      <c r="AD496" s="1779"/>
      <c r="AE496" s="1779"/>
      <c r="AF496" s="1779"/>
      <c r="AG496" s="1779"/>
    </row>
    <row r="497" spans="3:33" ht="24.95" customHeight="1">
      <c r="C497" s="1775"/>
      <c r="D497" s="1577"/>
      <c r="E497" s="1577"/>
      <c r="F497" s="1776"/>
      <c r="G497" s="1577"/>
      <c r="H497" s="1577"/>
      <c r="I497" s="1774"/>
      <c r="J497" s="1577"/>
      <c r="K497" s="1776"/>
      <c r="L497" s="1577"/>
      <c r="M497" s="1577"/>
      <c r="N497" s="1773"/>
      <c r="O497" s="1768"/>
      <c r="Q497" s="1849"/>
      <c r="R497" s="1855"/>
      <c r="S497" s="270"/>
      <c r="T497" s="1857"/>
      <c r="U497" s="277"/>
      <c r="V497" s="1860"/>
      <c r="W497" s="277"/>
      <c r="X497" s="277"/>
      <c r="Y497" s="270"/>
      <c r="Z497" s="270"/>
      <c r="AA497" s="1768"/>
      <c r="AB497" s="1779"/>
      <c r="AC497" s="1779"/>
      <c r="AD497" s="1779"/>
      <c r="AE497" s="1779"/>
      <c r="AF497" s="1779"/>
      <c r="AG497" s="1779"/>
    </row>
    <row r="498" spans="3:33" ht="24.95" customHeight="1">
      <c r="C498" s="1775"/>
      <c r="D498" s="1577"/>
      <c r="E498" s="1577"/>
      <c r="F498" s="1776"/>
      <c r="G498" s="1577"/>
      <c r="H498" s="1577"/>
      <c r="I498" s="1774"/>
      <c r="J498" s="1577"/>
      <c r="K498" s="1776"/>
      <c r="L498" s="1577"/>
      <c r="M498" s="1577"/>
      <c r="N498" s="1773"/>
      <c r="O498" s="1768"/>
      <c r="Q498" s="1849"/>
      <c r="R498" s="1855"/>
      <c r="S498" s="270"/>
      <c r="T498" s="1857"/>
      <c r="U498" s="277"/>
      <c r="V498" s="1860"/>
      <c r="W498" s="277"/>
      <c r="X498" s="277"/>
      <c r="Y498" s="270"/>
      <c r="Z498" s="270"/>
      <c r="AA498" s="1768"/>
      <c r="AB498" s="1779"/>
      <c r="AC498" s="1779"/>
      <c r="AD498" s="1779"/>
      <c r="AE498" s="1779"/>
      <c r="AF498" s="1779"/>
      <c r="AG498" s="1779"/>
    </row>
    <row r="499" spans="3:33" ht="24.95" customHeight="1">
      <c r="C499" s="1775"/>
      <c r="D499" s="1577"/>
      <c r="E499" s="1577"/>
      <c r="F499" s="1776"/>
      <c r="G499" s="1577"/>
      <c r="H499" s="1577"/>
      <c r="I499" s="1774"/>
      <c r="J499" s="1577"/>
      <c r="K499" s="1776"/>
      <c r="L499" s="1577"/>
      <c r="M499" s="1577"/>
      <c r="N499" s="1773"/>
      <c r="O499" s="1768"/>
      <c r="Q499" s="1849"/>
      <c r="R499" s="1855"/>
      <c r="S499" s="270"/>
      <c r="T499" s="1857"/>
      <c r="U499" s="277"/>
      <c r="V499" s="1860"/>
      <c r="W499" s="277"/>
      <c r="X499" s="277"/>
      <c r="Y499" s="270"/>
      <c r="Z499" s="270"/>
      <c r="AA499" s="1768"/>
      <c r="AB499" s="1779"/>
      <c r="AC499" s="1779"/>
      <c r="AD499" s="1779"/>
      <c r="AE499" s="1779"/>
      <c r="AF499" s="1779"/>
      <c r="AG499" s="1779"/>
    </row>
    <row r="500" spans="3:33" ht="24.95" customHeight="1">
      <c r="C500" s="1775"/>
      <c r="D500" s="1577"/>
      <c r="E500" s="1577"/>
      <c r="F500" s="1776"/>
      <c r="G500" s="1577"/>
      <c r="H500" s="1577"/>
      <c r="I500" s="1774"/>
      <c r="J500" s="1577"/>
      <c r="K500" s="1776"/>
      <c r="L500" s="1577"/>
      <c r="M500" s="1577"/>
      <c r="N500" s="1773"/>
      <c r="O500" s="1768"/>
      <c r="Q500" s="1849"/>
      <c r="R500" s="1855"/>
      <c r="S500" s="270"/>
      <c r="T500" s="1857"/>
      <c r="U500" s="277"/>
      <c r="V500" s="1860"/>
      <c r="W500" s="277"/>
      <c r="X500" s="277"/>
      <c r="Y500" s="270"/>
      <c r="Z500" s="270"/>
      <c r="AA500" s="1768"/>
      <c r="AB500" s="1779"/>
      <c r="AC500" s="1779"/>
      <c r="AD500" s="1779"/>
      <c r="AE500" s="1779"/>
      <c r="AF500" s="1779"/>
      <c r="AG500" s="1779"/>
    </row>
  </sheetData>
  <phoneticPr fontId="36" type="noConversion"/>
  <dataValidations count="3">
    <dataValidation type="list" allowBlank="1" showInputMessage="1" showErrorMessage="1" sqref="J8:J801" xr:uid="{00000000-0002-0000-0200-000000000000}">
      <formula1>uom_option</formula1>
    </dataValidation>
    <dataValidation type="list" allowBlank="1" showInputMessage="1" showErrorMessage="1" sqref="K8:K498" xr:uid="{AC94AB0B-E430-40D2-A9D6-AE2DF1311A17}">
      <formula1>product_group_option</formula1>
    </dataValidation>
    <dataValidation type="list" allowBlank="1" showInputMessage="1" showErrorMessage="1" sqref="L8:L469" xr:uid="{1F8635DE-637B-4BC2-9773-012F134362FA}">
      <formula1>product_brand_option</formula1>
    </dataValidation>
  </dataValidations>
  <printOptions horizontalCentered="1"/>
  <pageMargins left="3.937007874015748E-2" right="3.937007874015748E-2" top="0.5868503937007874" bottom="0.19685039370078741" header="0" footer="0.11811023622047245"/>
  <pageSetup scale="58" fitToHeight="3" orientation="landscape" r:id="rId1"/>
  <headerFooter>
    <oddFooter>&amp;CPage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589" r:id="rId4" name="Button 13">
              <controlPr defaultSize="0" print="0" autoFill="0" autoPict="0" macro="[0]!getItemInvoice">
                <anchor moveWithCells="1" sizeWithCells="1">
                  <from>
                    <xdr:col>35</xdr:col>
                    <xdr:colOff>200025</xdr:colOff>
                    <xdr:row>3</xdr:row>
                    <xdr:rowOff>638175</xdr:rowOff>
                  </from>
                  <to>
                    <xdr:col>39</xdr:col>
                    <xdr:colOff>9525</xdr:colOff>
                    <xdr:row>6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E7599A-1902-4E0A-A46A-28615151ABD7}">
  <sheetPr codeName="Sheet10"/>
  <dimension ref="B1:BG813"/>
  <sheetViews>
    <sheetView showGridLines="0" zoomScale="80" zoomScaleNormal="80" zoomScaleSheetLayoutView="90" workbookViewId="0">
      <pane ySplit="19" topLeftCell="A20" activePane="bottomLeft" state="frozen"/>
      <selection pane="bottomLeft" activeCell="G20" sqref="G20"/>
    </sheetView>
  </sheetViews>
  <sheetFormatPr defaultColWidth="8.7109375" defaultRowHeight="24.95" customHeight="1"/>
  <cols>
    <col min="1" max="1" width="2.140625" style="656" customWidth="1"/>
    <col min="2" max="2" width="2.28515625" style="281" customWidth="1"/>
    <col min="3" max="3" width="12" style="168" customWidth="1"/>
    <col min="4" max="4" width="16" style="168" hidden="1" customWidth="1"/>
    <col min="5" max="5" width="15.5703125" style="168" hidden="1" customWidth="1"/>
    <col min="6" max="6" width="16.5703125" style="227" customWidth="1"/>
    <col min="7" max="7" width="23.42578125" style="660" customWidth="1"/>
    <col min="8" max="8" width="28" style="253" customWidth="1"/>
    <col min="9" max="9" width="30.5703125" style="212" customWidth="1"/>
    <col min="10" max="10" width="32.85546875" style="188" customWidth="1"/>
    <col min="11" max="11" width="23.5703125" style="188" customWidth="1"/>
    <col min="12" max="12" width="25" style="188" customWidth="1"/>
    <col min="13" max="13" width="26.42578125" style="188" hidden="1" customWidth="1"/>
    <col min="14" max="14" width="22.7109375" style="212" hidden="1" customWidth="1"/>
    <col min="15" max="15" width="15.28515625" style="1557" bestFit="1" customWidth="1"/>
    <col min="16" max="16" width="15.85546875" style="1558" customWidth="1"/>
    <col min="17" max="17" width="21.5703125" style="661" customWidth="1"/>
    <col min="18" max="18" width="15.85546875" style="655" customWidth="1"/>
    <col min="19" max="19" width="17.140625" style="655" hidden="1" customWidth="1"/>
    <col min="20" max="20" width="18" style="655" hidden="1" customWidth="1"/>
    <col min="21" max="22" width="18.140625" style="655" hidden="1" customWidth="1"/>
    <col min="23" max="23" width="14.85546875" style="655" customWidth="1"/>
    <col min="24" max="24" width="19.5703125" style="212" bestFit="1" customWidth="1"/>
    <col min="25" max="25" width="20.85546875" style="1827" customWidth="1"/>
    <col min="26" max="26" width="17.42578125" style="1828" hidden="1" customWidth="1"/>
    <col min="27" max="28" width="17" style="1829" customWidth="1"/>
    <col min="29" max="29" width="20.42578125" style="1829" customWidth="1"/>
    <col min="30" max="30" width="17.85546875" style="1564" customWidth="1"/>
    <col min="31" max="31" width="20" style="701" hidden="1" customWidth="1"/>
    <col min="32" max="32" width="23.5703125" style="684" hidden="1" customWidth="1"/>
    <col min="33" max="33" width="25.7109375" style="684" hidden="1" customWidth="1"/>
    <col min="34" max="34" width="21.28515625" style="684" hidden="1" customWidth="1"/>
    <col min="35" max="46" width="5.7109375" style="684" hidden="1" customWidth="1"/>
    <col min="47" max="47" width="19.85546875" style="1829" customWidth="1"/>
    <col min="48" max="48" width="23.28515625" style="1835" hidden="1" customWidth="1"/>
    <col min="49" max="51" width="10.7109375" style="1836" customWidth="1"/>
    <col min="52" max="52" width="13.140625" style="1825" customWidth="1"/>
    <col min="53" max="53" width="13.7109375" style="1825" customWidth="1"/>
    <col min="54" max="54" width="27.42578125" style="656" customWidth="1"/>
    <col min="55" max="55" width="22.85546875" style="656" customWidth="1"/>
    <col min="56" max="56" width="22" style="656" customWidth="1"/>
    <col min="57" max="58" width="8.7109375" style="656"/>
    <col min="59" max="59" width="33.85546875" style="656" customWidth="1"/>
    <col min="60" max="16384" width="8.7109375" style="656"/>
  </cols>
  <sheetData>
    <row r="1" spans="2:53" ht="58.5" customHeight="1">
      <c r="C1" s="685" t="s">
        <v>3007</v>
      </c>
      <c r="D1" s="686"/>
      <c r="E1" s="686"/>
      <c r="F1" s="687"/>
      <c r="G1" s="688"/>
      <c r="H1" s="689"/>
      <c r="I1" s="690"/>
      <c r="J1" s="689"/>
      <c r="K1" s="689"/>
      <c r="L1" s="689"/>
      <c r="M1" s="689"/>
      <c r="N1" s="690"/>
      <c r="O1" s="1553"/>
      <c r="P1" s="1553"/>
      <c r="Q1" s="691"/>
      <c r="R1" s="692"/>
      <c r="S1" s="692"/>
      <c r="T1" s="692"/>
      <c r="U1" s="692"/>
      <c r="V1" s="692"/>
      <c r="W1" s="692"/>
      <c r="X1" s="690"/>
      <c r="Y1" s="689"/>
      <c r="Z1" s="692"/>
      <c r="AA1" s="692"/>
      <c r="AB1" s="692"/>
      <c r="AC1" s="692"/>
      <c r="AU1" s="692"/>
      <c r="AV1" s="693"/>
      <c r="AW1" s="300"/>
      <c r="AX1" s="300"/>
      <c r="AY1" s="300"/>
      <c r="AZ1" s="700"/>
      <c r="BA1" s="700"/>
    </row>
    <row r="2" spans="2:53" ht="39.75" customHeight="1">
      <c r="C2" s="694" t="s">
        <v>1972</v>
      </c>
      <c r="D2" s="695"/>
      <c r="E2" s="695"/>
      <c r="F2" s="2168" t="s">
        <v>1858</v>
      </c>
      <c r="G2" s="2169"/>
      <c r="H2" s="2170"/>
      <c r="I2" s="696" t="s">
        <v>2008</v>
      </c>
      <c r="J2" s="731" t="s">
        <v>22</v>
      </c>
      <c r="K2" s="731"/>
      <c r="L2" s="731"/>
      <c r="M2" s="731"/>
      <c r="N2" s="731"/>
      <c r="O2" s="1554"/>
      <c r="P2" s="1554"/>
      <c r="Q2" s="731"/>
      <c r="R2" s="731"/>
      <c r="S2" s="731"/>
      <c r="T2" s="731"/>
      <c r="U2" s="731"/>
      <c r="V2" s="731"/>
      <c r="W2" s="731"/>
      <c r="X2" s="731"/>
      <c r="Y2" s="731"/>
      <c r="Z2" s="731"/>
      <c r="AA2" s="655"/>
      <c r="AB2" s="655"/>
      <c r="AC2" s="655"/>
      <c r="AU2" s="655"/>
      <c r="AV2" s="281"/>
      <c r="AW2" s="300"/>
      <c r="AX2" s="300"/>
      <c r="AY2" s="300"/>
      <c r="AZ2" s="700"/>
      <c r="BA2" s="700"/>
    </row>
    <row r="3" spans="2:53" ht="27" customHeight="1">
      <c r="F3" s="719">
        <f>MID(F2,1,2)*1</f>
        <v>1</v>
      </c>
      <c r="G3" s="674"/>
      <c r="H3" s="720">
        <f>COUNT(J3:Z3)</f>
        <v>1</v>
      </c>
      <c r="I3" s="721">
        <f>IF(import_pro_number_of_price_type&gt;1,_xlfn.TEXTJOIN(",",TRUE,J3:Z3),J3)</f>
        <v>2</v>
      </c>
      <c r="J3" s="719">
        <f>IF(J2="","",MID(J2,1,2)*1)</f>
        <v>2</v>
      </c>
      <c r="K3" s="719" t="str">
        <f>IF(K2="","",MID(K2,1,2)*1)</f>
        <v/>
      </c>
      <c r="L3" s="719" t="str">
        <f>IF(L2="","",MID(L2,1,2)*1)</f>
        <v/>
      </c>
      <c r="M3" s="719" t="str">
        <f t="shared" ref="M3:Z3" si="0">IF(M2="","",MID(M2,1,2)*1)</f>
        <v/>
      </c>
      <c r="N3" s="719" t="str">
        <f t="shared" si="0"/>
        <v/>
      </c>
      <c r="O3" s="1555" t="str">
        <f t="shared" si="0"/>
        <v/>
      </c>
      <c r="P3" s="1555" t="str">
        <f t="shared" si="0"/>
        <v/>
      </c>
      <c r="Q3" s="719" t="str">
        <f t="shared" si="0"/>
        <v/>
      </c>
      <c r="R3" s="719" t="str">
        <f t="shared" si="0"/>
        <v/>
      </c>
      <c r="S3" s="719" t="str">
        <f t="shared" si="0"/>
        <v/>
      </c>
      <c r="T3" s="719" t="str">
        <f t="shared" si="0"/>
        <v/>
      </c>
      <c r="U3" s="719" t="str">
        <f t="shared" si="0"/>
        <v/>
      </c>
      <c r="V3" s="719" t="str">
        <f t="shared" si="0"/>
        <v/>
      </c>
      <c r="W3" s="719" t="str">
        <f t="shared" si="0"/>
        <v/>
      </c>
      <c r="X3" s="719" t="str">
        <f t="shared" si="0"/>
        <v/>
      </c>
      <c r="Y3" s="719" t="str">
        <f t="shared" si="0"/>
        <v/>
      </c>
      <c r="Z3" s="719" t="str">
        <f t="shared" si="0"/>
        <v/>
      </c>
      <c r="AA3" s="655"/>
      <c r="AB3" s="655"/>
      <c r="AC3" s="655"/>
      <c r="AD3" s="1565" t="s">
        <v>3006</v>
      </c>
      <c r="AU3" s="655"/>
      <c r="AV3" s="281"/>
      <c r="AW3" s="300"/>
      <c r="AX3" s="300"/>
      <c r="AY3" s="300"/>
      <c r="AZ3" s="700"/>
      <c r="BA3" s="700"/>
    </row>
    <row r="4" spans="2:53" s="655" customFormat="1" ht="21.95" hidden="1" customHeight="1">
      <c r="B4" s="722"/>
      <c r="C4" s="168"/>
      <c r="D4" s="168"/>
      <c r="E4" s="168"/>
      <c r="F4" s="168"/>
      <c r="H4" s="414"/>
      <c r="J4" s="414"/>
      <c r="K4" s="414"/>
      <c r="L4" s="414"/>
      <c r="M4" s="414"/>
      <c r="N4" s="414"/>
      <c r="O4" s="1556"/>
      <c r="P4" s="1556"/>
      <c r="Q4" s="414"/>
      <c r="R4" s="414"/>
      <c r="S4" s="414"/>
      <c r="T4" s="414"/>
      <c r="U4" s="414"/>
      <c r="V4" s="414"/>
      <c r="W4" s="414"/>
      <c r="X4" s="414"/>
      <c r="Y4" s="414"/>
      <c r="Z4" s="414"/>
      <c r="AD4" s="1566"/>
      <c r="AE4" s="723"/>
      <c r="AV4" s="722"/>
      <c r="AW4" s="300"/>
      <c r="AX4" s="300"/>
      <c r="AY4" s="300"/>
      <c r="AZ4" s="700"/>
      <c r="BA4" s="700"/>
    </row>
    <row r="5" spans="2:53" ht="21.95" hidden="1" customHeight="1">
      <c r="J5" s="253"/>
      <c r="K5" s="414" t="str">
        <f t="shared" ref="K5:K13" si="1">IF(J5="","",MID(J5,1,2)*1)</f>
        <v/>
      </c>
      <c r="Y5" s="188"/>
      <c r="Z5" s="667"/>
      <c r="AA5" s="655"/>
      <c r="AB5" s="655"/>
      <c r="AC5" s="655"/>
      <c r="AE5" s="724"/>
      <c r="AU5" s="655"/>
      <c r="AV5" s="281"/>
      <c r="AW5" s="300"/>
      <c r="AX5" s="300"/>
      <c r="AY5" s="300"/>
      <c r="AZ5" s="700"/>
      <c r="BA5" s="700"/>
    </row>
    <row r="6" spans="2:53" ht="21.95" hidden="1" customHeight="1">
      <c r="J6" s="253"/>
      <c r="K6" s="414" t="str">
        <f t="shared" si="1"/>
        <v/>
      </c>
      <c r="Y6" s="188"/>
      <c r="Z6" s="667"/>
      <c r="AA6" s="655"/>
      <c r="AB6" s="655"/>
      <c r="AC6" s="655"/>
      <c r="AE6" s="724"/>
      <c r="AU6" s="655"/>
      <c r="AV6" s="281"/>
      <c r="AW6" s="300"/>
      <c r="AX6" s="300"/>
      <c r="AY6" s="300"/>
      <c r="AZ6" s="700"/>
      <c r="BA6" s="700"/>
    </row>
    <row r="7" spans="2:53" ht="21.95" hidden="1" customHeight="1">
      <c r="J7" s="253"/>
      <c r="K7" s="414" t="str">
        <f t="shared" si="1"/>
        <v/>
      </c>
      <c r="Y7" s="188"/>
      <c r="Z7" s="667"/>
      <c r="AA7" s="655"/>
      <c r="AB7" s="655"/>
      <c r="AC7" s="655"/>
      <c r="AE7" s="724"/>
      <c r="AU7" s="655"/>
      <c r="AV7" s="281"/>
      <c r="AW7" s="300"/>
      <c r="AX7" s="300"/>
      <c r="AY7" s="300"/>
      <c r="AZ7" s="700"/>
      <c r="BA7" s="700"/>
    </row>
    <row r="8" spans="2:53" ht="21.95" hidden="1" customHeight="1">
      <c r="J8" s="253"/>
      <c r="K8" s="414" t="str">
        <f t="shared" si="1"/>
        <v/>
      </c>
      <c r="Y8" s="188"/>
      <c r="Z8" s="667"/>
      <c r="AA8" s="655"/>
      <c r="AB8" s="655"/>
      <c r="AC8" s="655"/>
      <c r="AE8" s="724"/>
      <c r="AU8" s="655"/>
      <c r="AV8" s="281"/>
      <c r="AW8" s="300"/>
      <c r="AX8" s="300"/>
      <c r="AY8" s="300"/>
      <c r="AZ8" s="700"/>
      <c r="BA8" s="700"/>
    </row>
    <row r="9" spans="2:53" ht="21.95" hidden="1" customHeight="1">
      <c r="J9" s="253"/>
      <c r="K9" s="414" t="str">
        <f t="shared" si="1"/>
        <v/>
      </c>
      <c r="Y9" s="188"/>
      <c r="Z9" s="667"/>
      <c r="AA9" s="655"/>
      <c r="AB9" s="655"/>
      <c r="AC9" s="655"/>
      <c r="AE9" s="724"/>
      <c r="AU9" s="655"/>
      <c r="AV9" s="281"/>
      <c r="AW9" s="300"/>
      <c r="AX9" s="300"/>
      <c r="AY9" s="300"/>
      <c r="AZ9" s="700"/>
      <c r="BA9" s="700"/>
    </row>
    <row r="10" spans="2:53" ht="21.95" hidden="1" customHeight="1">
      <c r="J10" s="253"/>
      <c r="K10" s="414" t="str">
        <f t="shared" si="1"/>
        <v/>
      </c>
      <c r="Y10" s="188"/>
      <c r="Z10" s="667"/>
      <c r="AA10" s="655"/>
      <c r="AB10" s="655"/>
      <c r="AC10" s="655"/>
      <c r="AE10" s="724"/>
      <c r="AU10" s="655"/>
      <c r="AV10" s="281"/>
      <c r="AW10" s="300"/>
      <c r="AX10" s="300"/>
      <c r="AY10" s="300"/>
      <c r="AZ10" s="700"/>
      <c r="BA10" s="700"/>
    </row>
    <row r="11" spans="2:53" ht="21.95" hidden="1" customHeight="1">
      <c r="J11" s="253"/>
      <c r="K11" s="414" t="str">
        <f t="shared" si="1"/>
        <v/>
      </c>
      <c r="Y11" s="188"/>
      <c r="Z11" s="667"/>
      <c r="AA11" s="655"/>
      <c r="AB11" s="655"/>
      <c r="AC11" s="655"/>
      <c r="AE11" s="724"/>
      <c r="AU11" s="655"/>
      <c r="AV11" s="281"/>
      <c r="AW11" s="300"/>
      <c r="AX11" s="300"/>
      <c r="AY11" s="300"/>
      <c r="AZ11" s="700"/>
      <c r="BA11" s="700"/>
    </row>
    <row r="12" spans="2:53" ht="21.95" hidden="1" customHeight="1">
      <c r="J12" s="253"/>
      <c r="K12" s="414" t="str">
        <f t="shared" si="1"/>
        <v/>
      </c>
      <c r="Y12" s="188"/>
      <c r="Z12" s="667"/>
      <c r="AA12" s="655"/>
      <c r="AB12" s="655"/>
      <c r="AC12" s="655"/>
      <c r="AE12" s="724"/>
      <c r="AU12" s="655"/>
      <c r="AV12" s="281"/>
      <c r="AW12" s="300"/>
      <c r="AX12" s="300"/>
      <c r="AY12" s="300"/>
      <c r="AZ12" s="700"/>
      <c r="BA12" s="700"/>
    </row>
    <row r="13" spans="2:53" s="145" customFormat="1" ht="21.95" hidden="1" customHeight="1">
      <c r="B13"/>
      <c r="C13" s="126"/>
      <c r="D13" s="126"/>
      <c r="E13" s="126"/>
      <c r="F13" s="181"/>
      <c r="G13" s="151"/>
      <c r="H13" s="155"/>
      <c r="I13" s="155"/>
      <c r="J13" s="253"/>
      <c r="K13" s="414" t="str">
        <f t="shared" si="1"/>
        <v/>
      </c>
      <c r="L13" s="155"/>
      <c r="M13" s="155"/>
      <c r="N13" s="155"/>
      <c r="O13" s="1559"/>
      <c r="P13" s="1449"/>
      <c r="Q13" s="516"/>
      <c r="R13" s="144"/>
      <c r="S13" s="144"/>
      <c r="T13" s="144"/>
      <c r="U13" s="144"/>
      <c r="V13" s="144"/>
      <c r="W13" s="144"/>
      <c r="X13" s="155"/>
      <c r="Y13" s="188"/>
      <c r="Z13" s="216"/>
      <c r="AA13" s="144"/>
      <c r="AB13" s="144"/>
      <c r="AC13" s="144"/>
      <c r="AD13" s="1567"/>
      <c r="AE13" s="725"/>
      <c r="AF13" s="726"/>
      <c r="AG13" s="726"/>
      <c r="AH13" s="726"/>
      <c r="AI13" s="726"/>
      <c r="AJ13" s="726"/>
      <c r="AK13" s="726"/>
      <c r="AL13" s="726"/>
      <c r="AM13" s="726"/>
      <c r="AN13" s="726"/>
      <c r="AO13" s="726"/>
      <c r="AP13" s="726"/>
      <c r="AQ13" s="726"/>
      <c r="AR13" s="726"/>
      <c r="AS13" s="726"/>
      <c r="AT13" s="726"/>
      <c r="AU13" s="144"/>
      <c r="AV13"/>
      <c r="AW13" s="13"/>
      <c r="AX13" s="13"/>
      <c r="AY13" s="13"/>
      <c r="AZ13" s="700"/>
      <c r="BA13" s="700"/>
    </row>
    <row r="14" spans="2:53" s="145" customFormat="1" ht="14.25" hidden="1" customHeight="1">
      <c r="B14"/>
      <c r="C14" s="126"/>
      <c r="D14" s="126"/>
      <c r="E14" s="126"/>
      <c r="F14" s="181"/>
      <c r="G14" s="151"/>
      <c r="H14" s="155"/>
      <c r="I14" s="155"/>
      <c r="J14" s="155"/>
      <c r="K14" s="155"/>
      <c r="L14" s="155"/>
      <c r="M14" s="155"/>
      <c r="N14" s="155"/>
      <c r="O14" s="1559"/>
      <c r="P14" s="1449"/>
      <c r="Q14" s="516"/>
      <c r="R14" s="144"/>
      <c r="S14" s="144"/>
      <c r="T14" s="144"/>
      <c r="U14" s="144"/>
      <c r="V14" s="144"/>
      <c r="W14" s="144"/>
      <c r="X14" s="155"/>
      <c r="Y14" s="188"/>
      <c r="Z14" s="216"/>
      <c r="AA14" s="144"/>
      <c r="AB14" s="144"/>
      <c r="AC14" s="144"/>
      <c r="AD14" s="1567"/>
      <c r="AE14" s="725"/>
      <c r="AF14" s="726"/>
      <c r="AG14" s="726"/>
      <c r="AH14" s="726"/>
      <c r="AI14" s="726"/>
      <c r="AJ14" s="726"/>
      <c r="AK14" s="726"/>
      <c r="AL14" s="726"/>
      <c r="AM14" s="726"/>
      <c r="AN14" s="726"/>
      <c r="AO14" s="726"/>
      <c r="AP14" s="726"/>
      <c r="AQ14" s="726"/>
      <c r="AR14" s="726"/>
      <c r="AS14" s="726"/>
      <c r="AT14" s="726"/>
      <c r="AU14" s="144"/>
      <c r="AV14"/>
      <c r="AW14" s="13"/>
      <c r="AX14" s="13"/>
      <c r="AY14" s="13"/>
      <c r="AZ14" s="700"/>
      <c r="BA14" s="700"/>
    </row>
    <row r="15" spans="2:53" s="145" customFormat="1" ht="37.5" hidden="1" customHeight="1">
      <c r="B15"/>
      <c r="C15" s="126"/>
      <c r="D15" s="126"/>
      <c r="E15" s="126"/>
      <c r="F15" s="181"/>
      <c r="G15" s="151"/>
      <c r="H15" s="155"/>
      <c r="I15" s="155"/>
      <c r="J15" s="155"/>
      <c r="K15" s="155"/>
      <c r="L15" s="155"/>
      <c r="M15" s="155"/>
      <c r="N15" s="155"/>
      <c r="O15" s="1559"/>
      <c r="P15" s="1449"/>
      <c r="Q15" s="516"/>
      <c r="R15" s="144"/>
      <c r="S15" s="144"/>
      <c r="T15" s="144"/>
      <c r="U15" s="144"/>
      <c r="V15" s="144"/>
      <c r="W15" s="144"/>
      <c r="X15" s="155"/>
      <c r="Y15" s="188"/>
      <c r="Z15" s="216"/>
      <c r="AA15" s="144"/>
      <c r="AB15" s="144"/>
      <c r="AC15" s="144"/>
      <c r="AD15" s="1567"/>
      <c r="AE15" s="725"/>
      <c r="AF15" s="726"/>
      <c r="AG15" s="726"/>
      <c r="AH15" s="726"/>
      <c r="AI15" s="726"/>
      <c r="AJ15" s="726"/>
      <c r="AK15" s="726"/>
      <c r="AL15" s="726"/>
      <c r="AM15" s="726"/>
      <c r="AN15" s="726"/>
      <c r="AO15" s="726"/>
      <c r="AP15" s="726"/>
      <c r="AQ15" s="726"/>
      <c r="AR15" s="726"/>
      <c r="AS15" s="726"/>
      <c r="AT15" s="726"/>
      <c r="AU15" s="144"/>
      <c r="AV15"/>
      <c r="AW15" s="13"/>
      <c r="AX15" s="13"/>
      <c r="AY15" s="13"/>
      <c r="AZ15" s="700"/>
      <c r="BA15" s="700"/>
    </row>
    <row r="16" spans="2:53" s="145" customFormat="1" ht="46.5" hidden="1" customHeight="1">
      <c r="B16"/>
      <c r="C16" s="727"/>
      <c r="D16" s="513"/>
      <c r="E16" s="513"/>
      <c r="F16" s="514"/>
      <c r="H16" s="253"/>
      <c r="I16" s="514"/>
      <c r="J16" s="514"/>
      <c r="K16" s="514"/>
      <c r="L16" s="514"/>
      <c r="M16" s="514"/>
      <c r="N16" s="514"/>
      <c r="O16" s="1450"/>
      <c r="P16" s="1450"/>
      <c r="Q16" s="517"/>
      <c r="R16" s="513"/>
      <c r="S16" s="513"/>
      <c r="T16" s="513"/>
      <c r="U16" s="513"/>
      <c r="V16" s="513"/>
      <c r="W16" s="513"/>
      <c r="X16" s="514"/>
      <c r="Y16" s="188"/>
      <c r="Z16" s="216"/>
      <c r="AA16" s="144"/>
      <c r="AB16" s="144"/>
      <c r="AC16" s="144"/>
      <c r="AD16" s="1568"/>
      <c r="AE16" s="728"/>
      <c r="AF16" s="729"/>
      <c r="AG16" s="729"/>
      <c r="AH16" s="729"/>
      <c r="AI16" s="729"/>
      <c r="AJ16" s="729"/>
      <c r="AK16" s="729"/>
      <c r="AL16" s="729"/>
      <c r="AM16" s="729"/>
      <c r="AN16" s="729"/>
      <c r="AO16" s="729"/>
      <c r="AP16" s="729"/>
      <c r="AQ16" s="729"/>
      <c r="AR16" s="729"/>
      <c r="AS16" s="729"/>
      <c r="AT16" s="729"/>
      <c r="AU16" s="144"/>
      <c r="AV16"/>
      <c r="AW16" s="168"/>
      <c r="AX16" s="13"/>
      <c r="AY16" s="13"/>
      <c r="AZ16" s="700"/>
      <c r="BA16" s="700"/>
    </row>
    <row r="17" spans="2:59" s="140" customFormat="1" ht="26.25" hidden="1" customHeight="1">
      <c r="B17" s="133"/>
      <c r="C17" s="126"/>
      <c r="D17" s="126"/>
      <c r="E17" s="126"/>
      <c r="F17" s="126"/>
      <c r="G17" s="126"/>
      <c r="H17" s="126"/>
      <c r="I17" s="126"/>
      <c r="J17" s="126"/>
      <c r="K17" s="126"/>
      <c r="L17" s="126"/>
      <c r="M17" s="126"/>
      <c r="N17" s="126"/>
      <c r="O17" s="1451"/>
      <c r="P17" s="1451"/>
      <c r="Q17" s="126"/>
      <c r="R17" s="126"/>
      <c r="S17" s="126"/>
      <c r="T17" s="126"/>
      <c r="U17" s="126"/>
      <c r="V17" s="126"/>
      <c r="W17" s="126"/>
      <c r="X17" s="126"/>
      <c r="Y17" s="126"/>
      <c r="Z17" s="126"/>
      <c r="AA17" s="126"/>
      <c r="AB17" s="126"/>
      <c r="AC17" s="126"/>
      <c r="AD17" s="1569"/>
      <c r="AE17" s="730"/>
      <c r="AF17" s="126"/>
      <c r="AG17" s="126"/>
      <c r="AH17" s="126"/>
      <c r="AI17" s="126"/>
      <c r="AJ17" s="126"/>
      <c r="AK17" s="126"/>
      <c r="AL17" s="126"/>
      <c r="AM17" s="126"/>
      <c r="AN17" s="126"/>
      <c r="AO17" s="126"/>
      <c r="AP17" s="126"/>
      <c r="AQ17" s="126"/>
      <c r="AR17" s="126"/>
      <c r="AS17" s="126"/>
      <c r="AT17" s="126"/>
      <c r="AU17" s="126"/>
      <c r="AV17" s="133"/>
      <c r="AW17" s="168"/>
      <c r="AX17" s="126"/>
      <c r="AY17" s="126"/>
      <c r="AZ17" s="700"/>
      <c r="BA17" s="700"/>
    </row>
    <row r="18" spans="2:59" s="145" customFormat="1" ht="24.95" customHeight="1">
      <c r="B18"/>
      <c r="C18" s="697" t="s">
        <v>47</v>
      </c>
      <c r="D18" s="697" t="s">
        <v>2639</v>
      </c>
      <c r="E18" s="697" t="s">
        <v>2641</v>
      </c>
      <c r="F18" s="697" t="s">
        <v>1977</v>
      </c>
      <c r="G18" s="697" t="s">
        <v>2171</v>
      </c>
      <c r="H18" s="697" t="s">
        <v>60</v>
      </c>
      <c r="I18" s="697" t="s">
        <v>2794</v>
      </c>
      <c r="J18" s="697" t="s">
        <v>1554</v>
      </c>
      <c r="K18" s="697" t="s">
        <v>1555</v>
      </c>
      <c r="L18" s="697" t="s">
        <v>1559</v>
      </c>
      <c r="M18" s="697" t="s">
        <v>74</v>
      </c>
      <c r="N18" s="697" t="s">
        <v>1574</v>
      </c>
      <c r="O18" s="1560" t="s">
        <v>62</v>
      </c>
      <c r="P18" s="1560" t="s">
        <v>226</v>
      </c>
      <c r="Q18" s="697" t="s">
        <v>213</v>
      </c>
      <c r="R18" s="697" t="s">
        <v>237</v>
      </c>
      <c r="S18" s="697" t="s">
        <v>2637</v>
      </c>
      <c r="T18" s="697" t="s">
        <v>2640</v>
      </c>
      <c r="U18" s="697" t="s">
        <v>2603</v>
      </c>
      <c r="V18" s="697" t="s">
        <v>2635</v>
      </c>
      <c r="W18" s="697" t="s">
        <v>224</v>
      </c>
      <c r="X18" s="697" t="s">
        <v>61</v>
      </c>
      <c r="Y18" s="697" t="s">
        <v>2990</v>
      </c>
      <c r="Z18" s="697" t="s">
        <v>2991</v>
      </c>
      <c r="AA18" s="697" t="s">
        <v>2995</v>
      </c>
      <c r="AB18" s="697" t="s">
        <v>3008</v>
      </c>
      <c r="AC18" s="697" t="s">
        <v>3001</v>
      </c>
      <c r="AD18" s="1570" t="str">
        <f t="shared" ref="AD18" si="2">IF(J2="","","តម្លៃ"&amp;MID(J2,4,100))</f>
        <v>តម្លៃលក់រាយ ទូទៅ</v>
      </c>
      <c r="AE18" s="1570" t="str">
        <f t="shared" ref="AE18" si="3">IF(K2="","","តម្លៃ"&amp;MID(K2,4,100))</f>
        <v/>
      </c>
      <c r="AF18" s="1570" t="str">
        <f t="shared" ref="AF18" si="4">IF(L2="","","តម្លៃ"&amp;MID(L2,4,100))</f>
        <v/>
      </c>
      <c r="AG18" s="1570" t="str">
        <f t="shared" ref="AG18" si="5">IF(M2="","","តម្លៃ"&amp;MID(M2,4,100))</f>
        <v/>
      </c>
      <c r="AH18" s="1570" t="str">
        <f t="shared" ref="AH18" si="6">IF(N2="","","តម្លៃ"&amp;MID(N2,4,100))</f>
        <v/>
      </c>
      <c r="AI18" s="1570" t="str">
        <f t="shared" ref="AI18" si="7">IF(O2="","","តម្លៃ"&amp;MID(O2,4,100))</f>
        <v/>
      </c>
      <c r="AJ18" s="1570" t="str">
        <f t="shared" ref="AJ18" si="8">IF(P2="","","តម្លៃ"&amp;MID(P2,4,100))</f>
        <v/>
      </c>
      <c r="AK18" s="1570" t="str">
        <f t="shared" ref="AK18" si="9">IF(Q2="","","តម្លៃ"&amp;MID(Q2,4,100))</f>
        <v/>
      </c>
      <c r="AL18" s="1570" t="str">
        <f t="shared" ref="AL18" si="10">IF(R2="","","តម្លៃ"&amp;MID(R2,4,100))</f>
        <v/>
      </c>
      <c r="AM18" s="1570" t="str">
        <f t="shared" ref="AM18" si="11">IF(S2="","","តម្លៃ"&amp;MID(S2,4,100))</f>
        <v/>
      </c>
      <c r="AN18" s="1570" t="str">
        <f t="shared" ref="AN18" si="12">IF(T2="","","តម្លៃ"&amp;MID(T2,4,100))</f>
        <v/>
      </c>
      <c r="AO18" s="1570" t="str">
        <f t="shared" ref="AO18" si="13">IF(U2="","","តម្លៃ"&amp;MID(U2,4,100))</f>
        <v/>
      </c>
      <c r="AP18" s="1570" t="str">
        <f t="shared" ref="AP18" si="14">IF(V2="","","តម្លៃ"&amp;MID(V2,4,100))</f>
        <v/>
      </c>
      <c r="AQ18" s="1570" t="str">
        <f t="shared" ref="AQ18" si="15">IF(W2="","","តម្លៃ"&amp;MID(W2,4,100))</f>
        <v/>
      </c>
      <c r="AR18" s="1570" t="str">
        <f t="shared" ref="AR18" si="16">IF(X2="","","តម្លៃ"&amp;MID(X2,4,100))</f>
        <v/>
      </c>
      <c r="AS18" s="1570" t="str">
        <f t="shared" ref="AS18" si="17">IF(Y2="","","តម្លៃ"&amp;MID(Y2,4,100))</f>
        <v/>
      </c>
      <c r="AT18" s="1570" t="str">
        <f t="shared" ref="AT18" si="18">IF(Z2="","","តម្លៃ"&amp;MID(Z2,4,100))</f>
        <v/>
      </c>
      <c r="AU18" s="697" t="s">
        <v>1815</v>
      </c>
      <c r="AV18" s="697" t="s">
        <v>3002</v>
      </c>
      <c r="AW18" s="697" t="s">
        <v>3003</v>
      </c>
      <c r="AX18" s="697" t="s">
        <v>3004</v>
      </c>
      <c r="AY18" s="697" t="s">
        <v>3005</v>
      </c>
      <c r="AZ18" s="1472" t="s">
        <v>3011</v>
      </c>
      <c r="BA18" s="1472" t="s">
        <v>3012</v>
      </c>
    </row>
    <row r="19" spans="2:59" s="306" customFormat="1" ht="21">
      <c r="C19" s="616" t="s">
        <v>1801</v>
      </c>
      <c r="D19" s="616" t="s">
        <v>1915</v>
      </c>
      <c r="E19" s="616" t="s">
        <v>2638</v>
      </c>
      <c r="F19" s="616" t="s">
        <v>359</v>
      </c>
      <c r="G19" s="616" t="s">
        <v>94</v>
      </c>
      <c r="H19" s="616" t="s">
        <v>66</v>
      </c>
      <c r="I19" s="616" t="s">
        <v>2793</v>
      </c>
      <c r="J19" s="616" t="s">
        <v>1556</v>
      </c>
      <c r="K19" s="616" t="s">
        <v>1557</v>
      </c>
      <c r="L19" s="616" t="s">
        <v>1558</v>
      </c>
      <c r="M19" s="616" t="s">
        <v>76</v>
      </c>
      <c r="N19" s="616" t="s">
        <v>360</v>
      </c>
      <c r="O19" s="1452" t="s">
        <v>68</v>
      </c>
      <c r="P19" s="1452" t="s">
        <v>29</v>
      </c>
      <c r="Q19" s="616" t="s">
        <v>2633</v>
      </c>
      <c r="R19" s="616" t="s">
        <v>1803</v>
      </c>
      <c r="S19" s="616" t="s">
        <v>2636</v>
      </c>
      <c r="T19" s="616" t="s">
        <v>2601</v>
      </c>
      <c r="U19" s="616" t="s">
        <v>2602</v>
      </c>
      <c r="V19" s="616" t="s">
        <v>2634</v>
      </c>
      <c r="W19" s="616" t="s">
        <v>219</v>
      </c>
      <c r="X19" s="616" t="s">
        <v>14</v>
      </c>
      <c r="Y19" s="616" t="s">
        <v>2992</v>
      </c>
      <c r="Z19" s="616" t="s">
        <v>2993</v>
      </c>
      <c r="AA19" s="616" t="s">
        <v>2994</v>
      </c>
      <c r="AB19" s="616" t="s">
        <v>1994</v>
      </c>
      <c r="AC19" s="616" t="s">
        <v>3000</v>
      </c>
      <c r="AD19" s="1572">
        <f t="shared" ref="AD19" si="19">IF(J2="","",MID(J2,1,2)*1)</f>
        <v>2</v>
      </c>
      <c r="AE19" s="1572" t="str">
        <f t="shared" ref="AE19" si="20">IF(K2="","",MID(K2,1,2)*1)</f>
        <v/>
      </c>
      <c r="AF19" s="1572" t="str">
        <f t="shared" ref="AF19" si="21">IF(L2="","",MID(L2,1,2)*1)</f>
        <v/>
      </c>
      <c r="AG19" s="1572" t="str">
        <f t="shared" ref="AG19" si="22">IF(M2="","",MID(M2,1,2)*1)</f>
        <v/>
      </c>
      <c r="AH19" s="1572" t="str">
        <f t="shared" ref="AH19" si="23">IF(N2="","",MID(N2,1,2)*1)</f>
        <v/>
      </c>
      <c r="AI19" s="1572" t="str">
        <f t="shared" ref="AI19" si="24">IF(O2="","",MID(O2,1,2)*1)</f>
        <v/>
      </c>
      <c r="AJ19" s="1572" t="str">
        <f t="shared" ref="AJ19" si="25">IF(P2="","",MID(P2,1,2)*1)</f>
        <v/>
      </c>
      <c r="AK19" s="1572" t="str">
        <f t="shared" ref="AK19" si="26">IF(Q2="","",MID(Q2,1,2)*1)</f>
        <v/>
      </c>
      <c r="AL19" s="1572" t="str">
        <f t="shared" ref="AL19" si="27">IF(R2="","",MID(R2,1,2)*1)</f>
        <v/>
      </c>
      <c r="AM19" s="1572" t="str">
        <f t="shared" ref="AM19" si="28">IF(S2="","",MID(S2,1,2)*1)</f>
        <v/>
      </c>
      <c r="AN19" s="1572" t="str">
        <f t="shared" ref="AN19" si="29">IF(T2="","",MID(T2,1,2)*1)</f>
        <v/>
      </c>
      <c r="AO19" s="1572" t="str">
        <f t="shared" ref="AO19" si="30">IF(U2="","",MID(U2,1,2)*1)</f>
        <v/>
      </c>
      <c r="AP19" s="1572" t="str">
        <f t="shared" ref="AP19" si="31">IF(V2="","",MID(V2,1,2)*1)</f>
        <v/>
      </c>
      <c r="AQ19" s="1572" t="str">
        <f t="shared" ref="AQ19" si="32">IF(W2="","",MID(W2,1,2)*1)</f>
        <v/>
      </c>
      <c r="AR19" s="1572" t="str">
        <f t="shared" ref="AR19" si="33">IF(X2="","",MID(X2,1,2)*1)</f>
        <v/>
      </c>
      <c r="AS19" s="1572" t="str">
        <f t="shared" ref="AS19" si="34">IF(Y2="","",MID(Y2,1,2)*1)</f>
        <v/>
      </c>
      <c r="AT19" s="1572" t="str">
        <f t="shared" ref="AT19" si="35">IF(Z2="","",MID(Z2,1,2)*1)</f>
        <v/>
      </c>
      <c r="AU19" s="616" t="s">
        <v>1989</v>
      </c>
      <c r="AV19" s="616" t="s">
        <v>2996</v>
      </c>
      <c r="AW19" s="616" t="s">
        <v>2997</v>
      </c>
      <c r="AX19" s="616" t="s">
        <v>2998</v>
      </c>
      <c r="AY19" s="616" t="s">
        <v>2999</v>
      </c>
      <c r="AZ19" s="1472"/>
      <c r="BA19" s="1472"/>
    </row>
    <row r="20" spans="2:59" ht="24.95" customHeight="1">
      <c r="C20" s="483">
        <v>435</v>
      </c>
      <c r="D20" s="483"/>
      <c r="E20" s="483"/>
      <c r="F20" s="652" t="s">
        <v>4642</v>
      </c>
      <c r="G20" s="653" t="s">
        <v>4642</v>
      </c>
      <c r="H20" s="505" t="s">
        <v>4674</v>
      </c>
      <c r="I20" s="505" t="s">
        <v>4674</v>
      </c>
      <c r="J20" s="662" t="s">
        <v>2795</v>
      </c>
      <c r="K20" s="662" t="s">
        <v>2799</v>
      </c>
      <c r="L20" s="507" t="s">
        <v>4351</v>
      </c>
      <c r="M20" s="505"/>
      <c r="N20" s="654"/>
      <c r="O20" s="1561">
        <v>3</v>
      </c>
      <c r="P20" s="1453">
        <v>4</v>
      </c>
      <c r="Q20" s="520"/>
      <c r="R20" s="483">
        <v>10</v>
      </c>
      <c r="S20" s="483">
        <v>0</v>
      </c>
      <c r="T20" s="483">
        <v>1</v>
      </c>
      <c r="U20" s="483">
        <v>0</v>
      </c>
      <c r="V20" s="483">
        <v>0</v>
      </c>
      <c r="W20" s="483">
        <v>1</v>
      </c>
      <c r="X20" s="507" t="s">
        <v>4360</v>
      </c>
      <c r="Y20" s="1824" t="str">
        <f>IF(OR(ISNA(MATCH(MID(X20,1,3)*1,UomConversion!$D$8:$D$500,0)),H20=""),"",IF(AV20="","",AV20))</f>
        <v>002.pcs</v>
      </c>
      <c r="Z20" s="1824" t="str">
        <f>IF(AND(AU20&gt;0,COUNTIFS(UomConversion!$D$8:$D$500,MID(X20,1,3)*1,UomConversion!$J$8:$J$500,1)&gt;1),TEXT(AU20,"000")&amp;"."&amp;VLOOKUP(AU20,uom_list,5,FALSE),"")</f>
        <v/>
      </c>
      <c r="AA20" s="1824">
        <f t="shared" ref="AA20" si="36">COUNT(AW20:AY20)</f>
        <v>2</v>
      </c>
      <c r="AB20" s="1824" t="str">
        <f t="shared" ref="AB20" si="37">_xlfn.TEXTJOIN(",",TRUE,AW20:AY20)</f>
        <v>87,2</v>
      </c>
      <c r="AC20" s="1824">
        <f t="shared" ref="AC20:AC51" si="38">import_pro_number_of_price_type</f>
        <v>1</v>
      </c>
      <c r="AD20" s="1571">
        <v>0.5</v>
      </c>
      <c r="AE20" s="702"/>
      <c r="AF20" s="703"/>
      <c r="AG20" s="703"/>
      <c r="AH20" s="703"/>
      <c r="AI20" s="703"/>
      <c r="AJ20" s="704"/>
      <c r="AK20" s="704"/>
      <c r="AL20" s="704"/>
      <c r="AM20" s="704"/>
      <c r="AN20" s="704"/>
      <c r="AO20" s="704"/>
      <c r="AP20" s="704"/>
      <c r="AQ20" s="704"/>
      <c r="AR20" s="704"/>
      <c r="AS20" s="704"/>
      <c r="AT20" s="1471"/>
      <c r="AU20" s="1830" cm="1">
        <f t="array" ref="AU20">IF(H20="","",Slookup(MID(X20,1,3)*1,UomConversion!$D$8:$J$500,2,UomConversion!$I$8:$I$500,1,UomConversion!$J$8:$J$500,1))</f>
        <v>2</v>
      </c>
      <c r="AV20" s="1831" t="str">
        <f t="shared" ref="AV20" si="39">IF(OR(ISNA(VLOOKUP(MID(X20,1,3)*1,uom_converion_list,2,FALSE)),H20=""),"",TEXT(VLOOKUP(MID(X20,1,3)*1,uom_converion_list,2,FALSE),"000")&amp;"."&amp;VLOOKUP(VLOOKUP(MID(X20,1,3)*1,uom_converion_list,2,FALSE),uom_list,5,FALSE))</f>
        <v>002.pcs</v>
      </c>
      <c r="AW20" s="1832">
        <f t="shared" ref="AW20" si="40">IF(X20="","",MID(X20,1,3)*1)</f>
        <v>87</v>
      </c>
      <c r="AX20" s="1832">
        <f>IF(Y20="","",MID(Y20,1,3)*1)</f>
        <v>2</v>
      </c>
      <c r="AY20" s="1832" t="str">
        <f t="shared" ref="AY20" si="41">IF(Z20="","",MID(Z20,1,3)*1)</f>
        <v/>
      </c>
      <c r="AZ20" s="1824" cm="1">
        <f t="array" ref="AZ20">IF(Y20="",1,Slookup(MID(X20,1,3)*1,UomConversion!$D$8:$J$500,5,UomConversion!$E$8:$E$500,MID(Y20,1,3)*1,UomConversion!$I$8:$I$500,1))</f>
        <v>10</v>
      </c>
      <c r="BA20" s="1824" cm="1">
        <f t="array" ref="BA20">IF(Z20="",1,Slookup(MID(X20,1,3)*1,UomConversion!$D$8:$J$500,5,UomConversion!$E$8:$E$500,MID(Z20,1,3)*1,UomConversion!$I$8:$I$500,1))</f>
        <v>1</v>
      </c>
      <c r="BB20" s="705"/>
      <c r="BC20" s="705"/>
      <c r="BD20" s="705"/>
    </row>
    <row r="21" spans="2:59" ht="24.95" customHeight="1">
      <c r="C21" s="483">
        <v>436</v>
      </c>
      <c r="D21" s="483"/>
      <c r="E21" s="483"/>
      <c r="F21" s="652" t="s">
        <v>4643</v>
      </c>
      <c r="G21" s="653" t="s">
        <v>4643</v>
      </c>
      <c r="H21" s="505" t="s">
        <v>4675</v>
      </c>
      <c r="I21" s="505" t="s">
        <v>4675</v>
      </c>
      <c r="J21" s="662" t="s">
        <v>2795</v>
      </c>
      <c r="K21" s="662" t="s">
        <v>2799</v>
      </c>
      <c r="L21" s="507" t="s">
        <v>4351</v>
      </c>
      <c r="M21" s="505"/>
      <c r="N21" s="654"/>
      <c r="O21" s="1561">
        <v>2</v>
      </c>
      <c r="P21" s="1453">
        <v>3</v>
      </c>
      <c r="Q21" s="520"/>
      <c r="R21" s="483">
        <v>10</v>
      </c>
      <c r="S21" s="483">
        <v>0</v>
      </c>
      <c r="T21" s="483">
        <v>1</v>
      </c>
      <c r="U21" s="483">
        <v>0</v>
      </c>
      <c r="V21" s="483">
        <v>0</v>
      </c>
      <c r="W21" s="483">
        <v>1</v>
      </c>
      <c r="X21" s="507" t="s">
        <v>4360</v>
      </c>
      <c r="Y21" s="1824" t="str">
        <f>IF(OR(ISNA(MATCH(MID(X21,1,3)*1,UomConversion!$D$8:$D$500,0)),H21=""),"",IF(AV21="","",AV21))</f>
        <v>002.pcs</v>
      </c>
      <c r="Z21" s="1824" t="str">
        <f>IF(AND(AU21&gt;0,COUNTIFS(UomConversion!$D$8:$D$500,MID(X21,1,3)*1,UomConversion!$J$8:$J$500,1)&gt;1),TEXT(AU21,"000")&amp;"."&amp;VLOOKUP(AU21,uom_list,5,FALSE),"")</f>
        <v/>
      </c>
      <c r="AA21" s="1824">
        <f t="shared" ref="AA21:AA51" si="42">COUNT(AW21:AY21)</f>
        <v>2</v>
      </c>
      <c r="AB21" s="1824" t="str">
        <f t="shared" ref="AB21:AB51" si="43">_xlfn.TEXTJOIN(",",TRUE,AW21:AY21)</f>
        <v>87,2</v>
      </c>
      <c r="AC21" s="1824">
        <f t="shared" si="38"/>
        <v>1</v>
      </c>
      <c r="AD21" s="1571">
        <v>0.38</v>
      </c>
      <c r="AE21" s="702"/>
      <c r="AF21" s="703"/>
      <c r="AG21" s="703"/>
      <c r="AH21" s="703"/>
      <c r="AI21" s="703"/>
      <c r="AJ21" s="704"/>
      <c r="AK21" s="704"/>
      <c r="AL21" s="704"/>
      <c r="AM21" s="704"/>
      <c r="AN21" s="704"/>
      <c r="AO21" s="704"/>
      <c r="AP21" s="704"/>
      <c r="AQ21" s="704"/>
      <c r="AR21" s="704"/>
      <c r="AS21" s="704"/>
      <c r="AT21" s="1471"/>
      <c r="AU21" s="1830" cm="1">
        <f t="array" ref="AU21">IF(H21="","",Slookup(MID(X21,1,3)*1,UomConversion!$D$8:$J$500,2,UomConversion!$I$8:$I$500,1,UomConversion!$J$8:$J$500,1))</f>
        <v>2</v>
      </c>
      <c r="AV21" s="1831" t="str">
        <f t="shared" ref="AV21:AV51" si="44">IF(OR(ISNA(VLOOKUP(MID(X21,1,3)*1,uom_converion_list,2,FALSE)),H21=""),"",TEXT(VLOOKUP(MID(X21,1,3)*1,uom_converion_list,2,FALSE),"000")&amp;"."&amp;VLOOKUP(VLOOKUP(MID(X21,1,3)*1,uom_converion_list,2,FALSE),uom_list,5,FALSE))</f>
        <v>002.pcs</v>
      </c>
      <c r="AW21" s="1832">
        <f t="shared" ref="AW21:AW51" si="45">IF(X21="","",MID(X21,1,3)*1)</f>
        <v>87</v>
      </c>
      <c r="AX21" s="1832">
        <f>IF(Y21="","",MID(Y21,1,3)*1)</f>
        <v>2</v>
      </c>
      <c r="AY21" s="1832" t="str">
        <f t="shared" ref="AY21:AY51" si="46">IF(Z21="","",MID(Z21,1,3)*1)</f>
        <v/>
      </c>
      <c r="AZ21" s="1824" cm="1">
        <f t="array" ref="AZ21">IF(Y21="",1,Slookup(MID(X21,1,3)*1,UomConversion!$D$8:$J$500,5,UomConversion!$E$8:$E$500,MID(Y21,1,3)*1,UomConversion!$I$8:$I$500,1))</f>
        <v>10</v>
      </c>
      <c r="BA21" s="1824" cm="1">
        <f t="array" ref="BA21">IF(Z21="",1,Slookup(MID(X21,1,3)*1,UomConversion!$D$8:$J$500,5,UomConversion!$E$8:$E$500,MID(Z21,1,3)*1,UomConversion!$I$8:$I$500,1))</f>
        <v>1</v>
      </c>
      <c r="BB21" s="705"/>
      <c r="BC21" s="705"/>
      <c r="BD21" s="705"/>
      <c r="BE21" s="316"/>
    </row>
    <row r="22" spans="2:59" ht="24.95" customHeight="1">
      <c r="C22" s="483">
        <v>437</v>
      </c>
      <c r="D22" s="483"/>
      <c r="E22" s="483"/>
      <c r="F22" s="652" t="s">
        <v>4644</v>
      </c>
      <c r="G22" s="653" t="s">
        <v>4644</v>
      </c>
      <c r="H22" s="505" t="s">
        <v>4676</v>
      </c>
      <c r="I22" s="505" t="s">
        <v>4676</v>
      </c>
      <c r="J22" s="662" t="s">
        <v>2795</v>
      </c>
      <c r="K22" s="662" t="s">
        <v>2799</v>
      </c>
      <c r="L22" s="507" t="s">
        <v>3937</v>
      </c>
      <c r="M22" s="505"/>
      <c r="N22" s="654"/>
      <c r="O22" s="1561">
        <v>3</v>
      </c>
      <c r="P22" s="1453">
        <v>4</v>
      </c>
      <c r="Q22" s="520"/>
      <c r="R22" s="483">
        <v>1</v>
      </c>
      <c r="S22" s="483">
        <v>0</v>
      </c>
      <c r="T22" s="483">
        <v>1</v>
      </c>
      <c r="U22" s="483">
        <v>0</v>
      </c>
      <c r="V22" s="483">
        <v>0</v>
      </c>
      <c r="W22" s="483">
        <v>1</v>
      </c>
      <c r="X22" s="507" t="s">
        <v>2783</v>
      </c>
      <c r="Y22" s="1824" t="str">
        <f>IF(OR(ISNA(MATCH(MID(X22,1,3)*1,UomConversion!$D$8:$D$500,0)),H22=""),"",IF(AV22="","",AV22))</f>
        <v/>
      </c>
      <c r="Z22" s="1824" t="str">
        <f>IF(AND(AU22&gt;0,COUNTIFS(UomConversion!$D$8:$D$500,MID(X22,1,3)*1,UomConversion!$J$8:$J$500,1)&gt;1),TEXT(AU22,"000")&amp;"."&amp;VLOOKUP(AU22,uom_list,5,FALSE),"")</f>
        <v/>
      </c>
      <c r="AA22" s="1824">
        <f t="shared" si="42"/>
        <v>1</v>
      </c>
      <c r="AB22" s="1824" t="str">
        <f t="shared" si="43"/>
        <v>2</v>
      </c>
      <c r="AC22" s="1824">
        <f t="shared" si="38"/>
        <v>1</v>
      </c>
      <c r="AD22" s="1571">
        <v>5</v>
      </c>
      <c r="AE22" s="702"/>
      <c r="AF22" s="703"/>
      <c r="AG22" s="703"/>
      <c r="AH22" s="703"/>
      <c r="AI22" s="703"/>
      <c r="AJ22" s="704"/>
      <c r="AK22" s="704"/>
      <c r="AL22" s="704"/>
      <c r="AM22" s="704"/>
      <c r="AN22" s="704"/>
      <c r="AO22" s="704"/>
      <c r="AP22" s="704"/>
      <c r="AQ22" s="704"/>
      <c r="AR22" s="704"/>
      <c r="AS22" s="704"/>
      <c r="AT22" s="1471"/>
      <c r="AU22" s="1830" cm="1">
        <f t="array" ref="AU22">IF(H22="","",Slookup(MID(X22,1,3)*1,UomConversion!$D$8:$J$500,2,UomConversion!$I$8:$I$500,1,UomConversion!$J$8:$J$500,1))</f>
        <v>0</v>
      </c>
      <c r="AV22" s="1831" t="str">
        <f t="shared" si="44"/>
        <v/>
      </c>
      <c r="AW22" s="1832">
        <f t="shared" si="45"/>
        <v>2</v>
      </c>
      <c r="AX22" s="1832" t="str">
        <f t="shared" ref="AX22:AX51" si="47">IF(Y22="","",MID(Y22,1,3)*1)</f>
        <v/>
      </c>
      <c r="AY22" s="1832" t="str">
        <f t="shared" si="46"/>
        <v/>
      </c>
      <c r="AZ22" s="1824" cm="1">
        <f t="array" ref="AZ22">IF(Y22="",1,Slookup(MID(X22,1,3)*1,UomConversion!$D$8:$J$500,5,UomConversion!$E$8:$E$500,MID(Y22,1,3)*1,UomConversion!$I$8:$I$500,1))</f>
        <v>1</v>
      </c>
      <c r="BA22" s="1824" cm="1">
        <f t="array" ref="BA22">IF(Z22="",1,Slookup(MID(X22,1,3)*1,UomConversion!$D$8:$J$500,5,UomConversion!$E$8:$E$500,MID(Z22,1,3)*1,UomConversion!$I$8:$I$500,1))</f>
        <v>1</v>
      </c>
      <c r="BB22" s="705"/>
      <c r="BC22" s="705"/>
      <c r="BD22" s="705"/>
      <c r="BE22" s="316"/>
    </row>
    <row r="23" spans="2:59" ht="24.95" customHeight="1">
      <c r="C23" s="483">
        <v>438</v>
      </c>
      <c r="D23" s="483"/>
      <c r="E23" s="483"/>
      <c r="F23" s="652" t="s">
        <v>4645</v>
      </c>
      <c r="G23" s="653" t="s">
        <v>4645</v>
      </c>
      <c r="H23" s="505" t="s">
        <v>4677</v>
      </c>
      <c r="I23" s="505" t="s">
        <v>4677</v>
      </c>
      <c r="J23" s="662" t="s">
        <v>2795</v>
      </c>
      <c r="K23" s="662" t="s">
        <v>2799</v>
      </c>
      <c r="L23" s="507" t="s">
        <v>3937</v>
      </c>
      <c r="M23" s="505"/>
      <c r="N23" s="654"/>
      <c r="O23" s="1561">
        <v>0.9</v>
      </c>
      <c r="P23" s="1453">
        <v>2</v>
      </c>
      <c r="Q23" s="520"/>
      <c r="R23" s="483">
        <v>1</v>
      </c>
      <c r="S23" s="483">
        <v>0</v>
      </c>
      <c r="T23" s="483">
        <v>1</v>
      </c>
      <c r="U23" s="483">
        <v>0</v>
      </c>
      <c r="V23" s="483">
        <v>0</v>
      </c>
      <c r="W23" s="483">
        <v>1</v>
      </c>
      <c r="X23" s="507" t="s">
        <v>2783</v>
      </c>
      <c r="Y23" s="1824" t="str">
        <f>IF(OR(ISNA(MATCH(MID(X23,1,3)*1,UomConversion!$D$8:$D$500,0)),H23=""),"",IF(AV23="","",AV23))</f>
        <v/>
      </c>
      <c r="Z23" s="1824" t="str">
        <f>IF(AND(AU23&gt;0,COUNTIFS(UomConversion!$D$8:$D$500,MID(X23,1,3)*1,UomConversion!$J$8:$J$500,1)&gt;1),TEXT(AU23,"000")&amp;"."&amp;VLOOKUP(AU23,uom_list,5,FALSE),"")</f>
        <v/>
      </c>
      <c r="AA23" s="1824">
        <f t="shared" si="42"/>
        <v>1</v>
      </c>
      <c r="AB23" s="1824" t="str">
        <f t="shared" si="43"/>
        <v>2</v>
      </c>
      <c r="AC23" s="1824">
        <f t="shared" si="38"/>
        <v>1</v>
      </c>
      <c r="AD23" s="1571">
        <v>2.5</v>
      </c>
      <c r="AE23" s="702"/>
      <c r="AF23" s="703"/>
      <c r="AG23" s="703"/>
      <c r="AH23" s="703"/>
      <c r="AI23" s="703"/>
      <c r="AJ23" s="704"/>
      <c r="AK23" s="704"/>
      <c r="AL23" s="704"/>
      <c r="AM23" s="704"/>
      <c r="AN23" s="704"/>
      <c r="AO23" s="704"/>
      <c r="AP23" s="704"/>
      <c r="AQ23" s="704"/>
      <c r="AR23" s="704"/>
      <c r="AS23" s="704"/>
      <c r="AT23" s="1471"/>
      <c r="AU23" s="1830" cm="1">
        <f t="array" ref="AU23">IF(H23="","",Slookup(MID(X23,1,3)*1,UomConversion!$D$8:$J$500,2,UomConversion!$I$8:$I$500,1,UomConversion!$J$8:$J$500,1))</f>
        <v>0</v>
      </c>
      <c r="AV23" s="1831" t="str">
        <f t="shared" si="44"/>
        <v/>
      </c>
      <c r="AW23" s="1832">
        <f t="shared" si="45"/>
        <v>2</v>
      </c>
      <c r="AX23" s="1832" t="str">
        <f t="shared" si="47"/>
        <v/>
      </c>
      <c r="AY23" s="1832" t="str">
        <f t="shared" si="46"/>
        <v/>
      </c>
      <c r="AZ23" s="1824" cm="1">
        <f t="array" ref="AZ23">IF(Y23="",1,Slookup(MID(X23,1,3)*1,UomConversion!$D$8:$J$500,5,UomConversion!$E$8:$E$500,MID(Y23,1,3)*1,UomConversion!$I$8:$I$500,1))</f>
        <v>1</v>
      </c>
      <c r="BA23" s="1824" cm="1">
        <f t="array" ref="BA23">IF(Z23="",1,Slookup(MID(X23,1,3)*1,UomConversion!$D$8:$J$500,5,UomConversion!$E$8:$E$500,MID(Z23,1,3)*1,UomConversion!$I$8:$I$500,1))</f>
        <v>1</v>
      </c>
      <c r="BB23" s="705"/>
      <c r="BC23" s="705"/>
      <c r="BD23" s="705"/>
      <c r="BE23" s="316"/>
    </row>
    <row r="24" spans="2:59" ht="24.95" customHeight="1">
      <c r="C24" s="483">
        <v>439</v>
      </c>
      <c r="D24" s="483"/>
      <c r="E24" s="483"/>
      <c r="F24" s="652" t="s">
        <v>4646</v>
      </c>
      <c r="G24" s="653" t="s">
        <v>4646</v>
      </c>
      <c r="H24" s="505" t="s">
        <v>4678</v>
      </c>
      <c r="I24" s="505" t="s">
        <v>4678</v>
      </c>
      <c r="J24" s="662" t="s">
        <v>2795</v>
      </c>
      <c r="K24" s="662" t="s">
        <v>3934</v>
      </c>
      <c r="L24" s="507" t="s">
        <v>3937</v>
      </c>
      <c r="M24" s="505"/>
      <c r="N24" s="654"/>
      <c r="O24" s="1561">
        <v>2.5</v>
      </c>
      <c r="P24" s="1453">
        <v>3.5</v>
      </c>
      <c r="Q24" s="520"/>
      <c r="R24" s="483">
        <v>1</v>
      </c>
      <c r="S24" s="483">
        <v>0</v>
      </c>
      <c r="T24" s="483">
        <v>1</v>
      </c>
      <c r="U24" s="483">
        <v>0</v>
      </c>
      <c r="V24" s="483">
        <v>0</v>
      </c>
      <c r="W24" s="483">
        <v>1</v>
      </c>
      <c r="X24" s="507" t="s">
        <v>2783</v>
      </c>
      <c r="Y24" s="1824" t="str">
        <f>IF(OR(ISNA(MATCH(MID(X24,1,3)*1,UomConversion!$D$8:$D$500,0)),H24=""),"",IF(AV24="","",AV24))</f>
        <v/>
      </c>
      <c r="Z24" s="1824" t="str">
        <f>IF(AND(AU24&gt;0,COUNTIFS(UomConversion!$D$8:$D$500,MID(X24,1,3)*1,UomConversion!$J$8:$J$500,1)&gt;1),TEXT(AU24,"000")&amp;"."&amp;VLOOKUP(AU24,uom_list,5,FALSE),"")</f>
        <v/>
      </c>
      <c r="AA24" s="1824">
        <f t="shared" si="42"/>
        <v>1</v>
      </c>
      <c r="AB24" s="1824" t="str">
        <f t="shared" si="43"/>
        <v>2</v>
      </c>
      <c r="AC24" s="1824">
        <f t="shared" si="38"/>
        <v>1</v>
      </c>
      <c r="AD24" s="1571">
        <v>4</v>
      </c>
      <c r="AE24" s="702"/>
      <c r="AF24" s="703"/>
      <c r="AG24" s="703"/>
      <c r="AH24" s="703"/>
      <c r="AI24" s="703"/>
      <c r="AJ24" s="704"/>
      <c r="AK24" s="704"/>
      <c r="AL24" s="704"/>
      <c r="AM24" s="704"/>
      <c r="AN24" s="704"/>
      <c r="AO24" s="704"/>
      <c r="AP24" s="704"/>
      <c r="AQ24" s="704"/>
      <c r="AR24" s="704"/>
      <c r="AS24" s="704"/>
      <c r="AT24" s="1471"/>
      <c r="AU24" s="1830" cm="1">
        <f t="array" ref="AU24">IF(H24="","",Slookup(MID(X24,1,3)*1,UomConversion!$D$8:$J$500,2,UomConversion!$I$8:$I$500,1,UomConversion!$J$8:$J$500,1))</f>
        <v>0</v>
      </c>
      <c r="AV24" s="1831" t="str">
        <f t="shared" si="44"/>
        <v/>
      </c>
      <c r="AW24" s="1832">
        <f t="shared" si="45"/>
        <v>2</v>
      </c>
      <c r="AX24" s="1832" t="str">
        <f t="shared" si="47"/>
        <v/>
      </c>
      <c r="AY24" s="1832" t="str">
        <f t="shared" si="46"/>
        <v/>
      </c>
      <c r="AZ24" s="1824" cm="1">
        <f t="array" ref="AZ24">IF(Y24="",1,Slookup(MID(X24,1,3)*1,UomConversion!$D$8:$J$500,5,UomConversion!$E$8:$E$500,MID(Y24,1,3)*1,UomConversion!$I$8:$I$500,1))</f>
        <v>1</v>
      </c>
      <c r="BA24" s="1824" cm="1">
        <f t="array" ref="BA24">IF(Z24="",1,Slookup(MID(X24,1,3)*1,UomConversion!$D$8:$J$500,5,UomConversion!$E$8:$E$500,MID(Z24,1,3)*1,UomConversion!$I$8:$I$500,1))</f>
        <v>1</v>
      </c>
      <c r="BB24" s="705"/>
      <c r="BC24" s="705"/>
      <c r="BD24" s="705"/>
      <c r="BE24" s="316"/>
    </row>
    <row r="25" spans="2:59" ht="24.95" customHeight="1">
      <c r="C25" s="483">
        <v>440</v>
      </c>
      <c r="D25" s="483"/>
      <c r="E25" s="483"/>
      <c r="F25" s="652" t="s">
        <v>4647</v>
      </c>
      <c r="G25" s="653" t="s">
        <v>4647</v>
      </c>
      <c r="H25" s="505" t="s">
        <v>4679</v>
      </c>
      <c r="I25" s="505" t="s">
        <v>4679</v>
      </c>
      <c r="J25" s="662" t="s">
        <v>2795</v>
      </c>
      <c r="K25" s="662" t="s">
        <v>3935</v>
      </c>
      <c r="L25" s="507" t="s">
        <v>4138</v>
      </c>
      <c r="M25" s="505"/>
      <c r="N25" s="654"/>
      <c r="O25" s="1561">
        <v>1</v>
      </c>
      <c r="P25" s="1453">
        <v>1.25</v>
      </c>
      <c r="Q25" s="520"/>
      <c r="R25" s="483">
        <v>10</v>
      </c>
      <c r="S25" s="483"/>
      <c r="T25" s="483"/>
      <c r="U25" s="483"/>
      <c r="V25" s="483"/>
      <c r="W25" s="483">
        <v>1</v>
      </c>
      <c r="X25" s="507" t="s">
        <v>4137</v>
      </c>
      <c r="Y25" s="1824" t="str">
        <f>IF(OR(ISNA(MATCH(MID(X25,1,3)*1,UomConversion!$D$8:$D$500,0)),H25=""),"",IF(AV25="","",AV25))</f>
        <v>055.kham</v>
      </c>
      <c r="Z25" s="1824" t="str">
        <f>IF(AND(AU25&gt;0,COUNTIFS(UomConversion!$D$8:$D$500,MID(X25,1,3)*1,UomConversion!$J$8:$J$500,1)&gt;1),TEXT(AU25,"000")&amp;"."&amp;VLOOKUP(AU25,uom_list,5,FALSE),"")</f>
        <v/>
      </c>
      <c r="AA25" s="1824">
        <f t="shared" si="42"/>
        <v>2</v>
      </c>
      <c r="AB25" s="1824" t="str">
        <f t="shared" si="43"/>
        <v>73,55</v>
      </c>
      <c r="AC25" s="1824">
        <f t="shared" si="38"/>
        <v>1</v>
      </c>
      <c r="AD25" s="1571">
        <v>0.13</v>
      </c>
      <c r="AE25" s="702"/>
      <c r="AF25" s="703"/>
      <c r="AG25" s="703"/>
      <c r="AH25" s="703"/>
      <c r="AI25" s="703"/>
      <c r="AJ25" s="704"/>
      <c r="AK25" s="704"/>
      <c r="AL25" s="704"/>
      <c r="AM25" s="704"/>
      <c r="AN25" s="704"/>
      <c r="AO25" s="704"/>
      <c r="AP25" s="704"/>
      <c r="AQ25" s="704"/>
      <c r="AR25" s="704"/>
      <c r="AS25" s="704"/>
      <c r="AT25" s="1471"/>
      <c r="AU25" s="1830" cm="1">
        <f t="array" ref="AU25">IF(H25="","",Slookup(MID(X25,1,3)*1,UomConversion!$D$8:$J$500,2,UomConversion!$I$8:$I$500,1,UomConversion!$J$8:$J$500,1))</f>
        <v>55</v>
      </c>
      <c r="AV25" s="1831" t="str">
        <f t="shared" si="44"/>
        <v>055.kham</v>
      </c>
      <c r="AW25" s="1832">
        <f t="shared" si="45"/>
        <v>73</v>
      </c>
      <c r="AX25" s="1832">
        <f t="shared" si="47"/>
        <v>55</v>
      </c>
      <c r="AY25" s="1832" t="str">
        <f t="shared" si="46"/>
        <v/>
      </c>
      <c r="AZ25" s="1824" cm="1">
        <f t="array" ref="AZ25">IF(Y25="",1,Slookup(MID(X25,1,3)*1,UomConversion!$D$8:$J$500,5,UomConversion!$E$8:$E$500,MID(Y25,1,3)*1,UomConversion!$I$8:$I$500,1))</f>
        <v>10</v>
      </c>
      <c r="BA25" s="1824" cm="1">
        <f t="array" ref="BA25">IF(Z25="",1,Slookup(MID(X25,1,3)*1,UomConversion!$D$8:$J$500,5,UomConversion!$E$8:$E$500,MID(Z25,1,3)*1,UomConversion!$I$8:$I$500,1))</f>
        <v>1</v>
      </c>
      <c r="BB25" s="705"/>
      <c r="BC25" s="705"/>
      <c r="BD25" s="705"/>
      <c r="BE25" s="316"/>
    </row>
    <row r="26" spans="2:59" ht="24.95" customHeight="1">
      <c r="C26" s="483">
        <v>441</v>
      </c>
      <c r="D26" s="483"/>
      <c r="E26" s="483"/>
      <c r="F26" s="652" t="s">
        <v>4648</v>
      </c>
      <c r="G26" s="653" t="s">
        <v>4648</v>
      </c>
      <c r="H26" s="505" t="s">
        <v>4680</v>
      </c>
      <c r="I26" s="505" t="s">
        <v>4680</v>
      </c>
      <c r="J26" s="662" t="s">
        <v>2795</v>
      </c>
      <c r="K26" s="662" t="s">
        <v>3934</v>
      </c>
      <c r="L26" s="507" t="s">
        <v>3937</v>
      </c>
      <c r="M26" s="505"/>
      <c r="N26" s="654"/>
      <c r="O26" s="1561">
        <v>1.4</v>
      </c>
      <c r="P26" s="1453">
        <v>2</v>
      </c>
      <c r="Q26" s="520"/>
      <c r="R26" s="483">
        <v>1</v>
      </c>
      <c r="S26" s="483">
        <v>0</v>
      </c>
      <c r="T26" s="483">
        <v>1</v>
      </c>
      <c r="U26" s="483">
        <v>0</v>
      </c>
      <c r="V26" s="483">
        <v>0</v>
      </c>
      <c r="W26" s="483">
        <v>1</v>
      </c>
      <c r="X26" s="507" t="s">
        <v>2783</v>
      </c>
      <c r="Y26" s="1824" t="str">
        <f>IF(OR(ISNA(MATCH(MID(X26,1,3)*1,UomConversion!$D$8:$D$500,0)),H26=""),"",IF(AV26="","",AV26))</f>
        <v/>
      </c>
      <c r="Z26" s="1824" t="str">
        <f>IF(AND(AU26&gt;0,COUNTIFS(UomConversion!$D$8:$D$500,MID(X26,1,3)*1,UomConversion!$J$8:$J$500,1)&gt;1),TEXT(AU26,"000")&amp;"."&amp;VLOOKUP(AU26,uom_list,5,FALSE),"")</f>
        <v/>
      </c>
      <c r="AA26" s="1824">
        <f t="shared" si="42"/>
        <v>1</v>
      </c>
      <c r="AB26" s="1824" t="str">
        <f t="shared" si="43"/>
        <v>2</v>
      </c>
      <c r="AC26" s="1824">
        <f t="shared" si="38"/>
        <v>1</v>
      </c>
      <c r="AD26" s="1571">
        <v>2.5</v>
      </c>
      <c r="AE26" s="702"/>
      <c r="AF26" s="703"/>
      <c r="AG26" s="703"/>
      <c r="AH26" s="703"/>
      <c r="AI26" s="703"/>
      <c r="AJ26" s="704"/>
      <c r="AK26" s="704"/>
      <c r="AL26" s="704"/>
      <c r="AM26" s="704"/>
      <c r="AN26" s="704"/>
      <c r="AO26" s="704"/>
      <c r="AP26" s="704"/>
      <c r="AQ26" s="704"/>
      <c r="AR26" s="704"/>
      <c r="AS26" s="704"/>
      <c r="AT26" s="1471"/>
      <c r="AU26" s="1830" cm="1">
        <f t="array" ref="AU26">IF(H26="","",Slookup(MID(X26,1,3)*1,UomConversion!$D$8:$J$500,2,UomConversion!$I$8:$I$500,1,UomConversion!$J$8:$J$500,1))</f>
        <v>0</v>
      </c>
      <c r="AV26" s="1831" t="str">
        <f t="shared" si="44"/>
        <v/>
      </c>
      <c r="AW26" s="1832">
        <f t="shared" si="45"/>
        <v>2</v>
      </c>
      <c r="AX26" s="1832" t="str">
        <f t="shared" si="47"/>
        <v/>
      </c>
      <c r="AY26" s="1832" t="str">
        <f t="shared" si="46"/>
        <v/>
      </c>
      <c r="AZ26" s="1824" cm="1">
        <f t="array" ref="AZ26">IF(Y26="",1,Slookup(MID(X26,1,3)*1,UomConversion!$D$8:$J$500,5,UomConversion!$E$8:$E$500,MID(Y26,1,3)*1,UomConversion!$I$8:$I$500,1))</f>
        <v>1</v>
      </c>
      <c r="BA26" s="1824" cm="1">
        <f t="array" ref="BA26">IF(Z26="",1,Slookup(MID(X26,1,3)*1,UomConversion!$D$8:$J$500,5,UomConversion!$E$8:$E$500,MID(Z26,1,3)*1,UomConversion!$I$8:$I$500,1))</f>
        <v>1</v>
      </c>
      <c r="BB26" s="705"/>
      <c r="BC26" s="705"/>
      <c r="BD26" s="705"/>
      <c r="BE26" s="316"/>
    </row>
    <row r="27" spans="2:59" ht="24.95" customHeight="1">
      <c r="C27" s="483">
        <v>442</v>
      </c>
      <c r="D27" s="483"/>
      <c r="E27" s="483"/>
      <c r="F27" s="652" t="s">
        <v>4649</v>
      </c>
      <c r="G27" s="653" t="s">
        <v>4649</v>
      </c>
      <c r="H27" s="505" t="s">
        <v>4681</v>
      </c>
      <c r="I27" s="505" t="s">
        <v>4681</v>
      </c>
      <c r="J27" s="662" t="s">
        <v>2795</v>
      </c>
      <c r="K27" s="662" t="s">
        <v>3934</v>
      </c>
      <c r="L27" s="507" t="s">
        <v>3937</v>
      </c>
      <c r="M27" s="505"/>
      <c r="N27" s="654"/>
      <c r="O27" s="1561">
        <v>1</v>
      </c>
      <c r="P27" s="1453">
        <v>1.5</v>
      </c>
      <c r="Q27" s="520"/>
      <c r="R27" s="483">
        <v>1</v>
      </c>
      <c r="S27" s="483">
        <v>0</v>
      </c>
      <c r="T27" s="483">
        <v>1</v>
      </c>
      <c r="U27" s="483">
        <v>0</v>
      </c>
      <c r="V27" s="483">
        <v>0</v>
      </c>
      <c r="W27" s="483">
        <v>1</v>
      </c>
      <c r="X27" s="507" t="s">
        <v>2783</v>
      </c>
      <c r="Y27" s="1824" t="str">
        <f>IF(OR(ISNA(MATCH(MID(X27,1,3)*1,UomConversion!$D$8:$D$500,0)),H27=""),"",IF(AV27="","",AV27))</f>
        <v/>
      </c>
      <c r="Z27" s="1824" t="str">
        <f>IF(AND(AU27&gt;0,COUNTIFS(UomConversion!$D$8:$D$500,MID(X27,1,3)*1,UomConversion!$J$8:$J$500,1)&gt;1),TEXT(AU27,"000")&amp;"."&amp;VLOOKUP(AU27,uom_list,5,FALSE),"")</f>
        <v/>
      </c>
      <c r="AA27" s="1824">
        <f t="shared" si="42"/>
        <v>1</v>
      </c>
      <c r="AB27" s="1824" t="str">
        <f t="shared" si="43"/>
        <v>2</v>
      </c>
      <c r="AC27" s="1824">
        <f t="shared" si="38"/>
        <v>1</v>
      </c>
      <c r="AD27" s="1571">
        <v>2</v>
      </c>
      <c r="AE27" s="702"/>
      <c r="AF27" s="703"/>
      <c r="AG27" s="703"/>
      <c r="AH27" s="703"/>
      <c r="AI27" s="703"/>
      <c r="AJ27" s="704"/>
      <c r="AK27" s="704"/>
      <c r="AL27" s="704"/>
      <c r="AM27" s="704"/>
      <c r="AN27" s="704"/>
      <c r="AO27" s="704"/>
      <c r="AP27" s="704"/>
      <c r="AQ27" s="704"/>
      <c r="AR27" s="704"/>
      <c r="AS27" s="704"/>
      <c r="AT27" s="1471"/>
      <c r="AU27" s="1830" cm="1">
        <f t="array" ref="AU27">IF(H27="","",Slookup(MID(X27,1,3)*1,UomConversion!$D$8:$J$500,2,UomConversion!$I$8:$I$500,1,UomConversion!$J$8:$J$500,1))</f>
        <v>0</v>
      </c>
      <c r="AV27" s="1831" t="str">
        <f t="shared" si="44"/>
        <v/>
      </c>
      <c r="AW27" s="1832">
        <f t="shared" si="45"/>
        <v>2</v>
      </c>
      <c r="AX27" s="1832" t="str">
        <f t="shared" si="47"/>
        <v/>
      </c>
      <c r="AY27" s="1832" t="str">
        <f t="shared" si="46"/>
        <v/>
      </c>
      <c r="AZ27" s="1824" cm="1">
        <f t="array" ref="AZ27">IF(Y27="",1,Slookup(MID(X27,1,3)*1,UomConversion!$D$8:$J$500,5,UomConversion!$E$8:$E$500,MID(Y27,1,3)*1,UomConversion!$I$8:$I$500,1))</f>
        <v>1</v>
      </c>
      <c r="BA27" s="1824" cm="1">
        <f t="array" ref="BA27">IF(Z27="",1,Slookup(MID(X27,1,3)*1,UomConversion!$D$8:$J$500,5,UomConversion!$E$8:$E$500,MID(Z27,1,3)*1,UomConversion!$I$8:$I$500,1))</f>
        <v>1</v>
      </c>
      <c r="BB27" s="705"/>
      <c r="BC27" s="705"/>
      <c r="BD27" s="705"/>
      <c r="BE27" s="316"/>
    </row>
    <row r="28" spans="2:59" ht="24.95" customHeight="1">
      <c r="C28" s="483">
        <v>443</v>
      </c>
      <c r="D28" s="483"/>
      <c r="E28" s="483"/>
      <c r="F28" s="652" t="s">
        <v>4650</v>
      </c>
      <c r="G28" s="653" t="s">
        <v>4650</v>
      </c>
      <c r="H28" s="505" t="s">
        <v>4682</v>
      </c>
      <c r="I28" s="505" t="s">
        <v>4682</v>
      </c>
      <c r="J28" s="662" t="s">
        <v>2795</v>
      </c>
      <c r="K28" s="662" t="s">
        <v>3934</v>
      </c>
      <c r="L28" s="507" t="s">
        <v>4091</v>
      </c>
      <c r="M28" s="505"/>
      <c r="N28" s="654"/>
      <c r="O28" s="1561">
        <v>2.9</v>
      </c>
      <c r="P28" s="1453">
        <v>3.5</v>
      </c>
      <c r="Q28" s="520"/>
      <c r="R28" s="483">
        <v>6</v>
      </c>
      <c r="S28" s="483">
        <v>0</v>
      </c>
      <c r="T28" s="483">
        <v>1</v>
      </c>
      <c r="U28" s="483">
        <v>0</v>
      </c>
      <c r="V28" s="483">
        <v>0</v>
      </c>
      <c r="W28" s="483">
        <v>1</v>
      </c>
      <c r="X28" s="507" t="s">
        <v>2771</v>
      </c>
      <c r="Y28" s="1824" t="str">
        <f>IF(OR(ISNA(MATCH(MID(X28,1,3)*1,UomConversion!$D$8:$D$500,0)),H28=""),"",IF(AV28="","",AV28))</f>
        <v>002.pcs</v>
      </c>
      <c r="Z28" s="1824" t="str">
        <f>IF(AND(AU28&gt;0,COUNTIFS(UomConversion!$D$8:$D$500,MID(X28,1,3)*1,UomConversion!$J$8:$J$500,1)&gt;1),TEXT(AU28,"000")&amp;"."&amp;VLOOKUP(AU28,uom_list,5,FALSE),"")</f>
        <v/>
      </c>
      <c r="AA28" s="1824">
        <f t="shared" si="42"/>
        <v>2</v>
      </c>
      <c r="AB28" s="1824" t="str">
        <f t="shared" si="43"/>
        <v>47,2</v>
      </c>
      <c r="AC28" s="1824">
        <f t="shared" si="38"/>
        <v>1</v>
      </c>
      <c r="AD28" s="1571">
        <v>0.625</v>
      </c>
      <c r="AE28" s="702"/>
      <c r="AF28" s="703"/>
      <c r="AG28" s="703"/>
      <c r="AH28" s="703"/>
      <c r="AI28" s="703"/>
      <c r="AJ28" s="704"/>
      <c r="AK28" s="704"/>
      <c r="AL28" s="704"/>
      <c r="AM28" s="704"/>
      <c r="AN28" s="704"/>
      <c r="AO28" s="704"/>
      <c r="AP28" s="704"/>
      <c r="AQ28" s="704"/>
      <c r="AR28" s="704"/>
      <c r="AS28" s="704"/>
      <c r="AT28" s="1471"/>
      <c r="AU28" s="1830" cm="1">
        <f t="array" ref="AU28">IF(H28="","",Slookup(MID(X28,1,3)*1,UomConversion!$D$8:$J$500,2,UomConversion!$I$8:$I$500,1,UomConversion!$J$8:$J$500,1))</f>
        <v>2</v>
      </c>
      <c r="AV28" s="1831" t="str">
        <f t="shared" si="44"/>
        <v>002.pcs</v>
      </c>
      <c r="AW28" s="1832">
        <f t="shared" si="45"/>
        <v>47</v>
      </c>
      <c r="AX28" s="1832">
        <f t="shared" si="47"/>
        <v>2</v>
      </c>
      <c r="AY28" s="1832" t="str">
        <f t="shared" si="46"/>
        <v/>
      </c>
      <c r="AZ28" s="1824" cm="1">
        <f t="array" ref="AZ28">IF(Y28="",1,Slookup(MID(X28,1,3)*1,UomConversion!$D$8:$J$500,5,UomConversion!$E$8:$E$500,MID(Y28,1,3)*1,UomConversion!$I$8:$I$500,1))</f>
        <v>6</v>
      </c>
      <c r="BA28" s="1824" cm="1">
        <f t="array" ref="BA28">IF(Z28="",1,Slookup(MID(X28,1,3)*1,UomConversion!$D$8:$J$500,5,UomConversion!$E$8:$E$500,MID(Z28,1,3)*1,UomConversion!$I$8:$I$500,1))</f>
        <v>1</v>
      </c>
      <c r="BB28" s="705"/>
      <c r="BC28" s="705"/>
      <c r="BD28" s="705"/>
      <c r="BE28" s="316"/>
    </row>
    <row r="29" spans="2:59" s="281" customFormat="1" ht="24.95" customHeight="1">
      <c r="C29" s="483">
        <v>444</v>
      </c>
      <c r="D29" s="483"/>
      <c r="E29" s="483"/>
      <c r="F29" s="652" t="s">
        <v>4651</v>
      </c>
      <c r="G29" s="653" t="s">
        <v>4651</v>
      </c>
      <c r="H29" s="505" t="s">
        <v>4683</v>
      </c>
      <c r="I29" s="505" t="s">
        <v>4683</v>
      </c>
      <c r="J29" s="662" t="s">
        <v>2795</v>
      </c>
      <c r="K29" s="662" t="s">
        <v>3934</v>
      </c>
      <c r="L29" s="507" t="s">
        <v>4091</v>
      </c>
      <c r="M29" s="505"/>
      <c r="N29" s="654"/>
      <c r="O29" s="1561">
        <v>4.0999999999999996</v>
      </c>
      <c r="P29" s="1453">
        <v>4.5</v>
      </c>
      <c r="Q29" s="520"/>
      <c r="R29" s="483">
        <v>6</v>
      </c>
      <c r="S29" s="483">
        <v>0</v>
      </c>
      <c r="T29" s="483">
        <v>1</v>
      </c>
      <c r="U29" s="483">
        <v>0</v>
      </c>
      <c r="V29" s="483">
        <v>0</v>
      </c>
      <c r="W29" s="483">
        <v>1</v>
      </c>
      <c r="X29" s="507" t="s">
        <v>2771</v>
      </c>
      <c r="Y29" s="1824" t="str">
        <f>IF(OR(ISNA(MATCH(MID(X29,1,3)*1,UomConversion!$D$8:$D$500,0)),H29=""),"",IF(AV29="","",AV29))</f>
        <v>002.pcs</v>
      </c>
      <c r="Z29" s="1824" t="str">
        <f>IF(AND(AU29&gt;0,COUNTIFS(UomConversion!$D$8:$D$500,MID(X29,1,3)*1,UomConversion!$J$8:$J$500,1)&gt;1),TEXT(AU29,"000")&amp;"."&amp;VLOOKUP(AU29,uom_list,5,FALSE),"")</f>
        <v/>
      </c>
      <c r="AA29" s="1824">
        <f t="shared" si="42"/>
        <v>2</v>
      </c>
      <c r="AB29" s="1824" t="str">
        <f t="shared" si="43"/>
        <v>47,2</v>
      </c>
      <c r="AC29" s="1824">
        <f t="shared" si="38"/>
        <v>1</v>
      </c>
      <c r="AD29" s="1571">
        <v>0.88</v>
      </c>
      <c r="AE29" s="702"/>
      <c r="AF29" s="703"/>
      <c r="AG29" s="703"/>
      <c r="AH29" s="703"/>
      <c r="AI29" s="703"/>
      <c r="AJ29" s="704"/>
      <c r="AK29" s="704"/>
      <c r="AL29" s="704"/>
      <c r="AM29" s="704"/>
      <c r="AN29" s="704"/>
      <c r="AO29" s="704"/>
      <c r="AP29" s="704"/>
      <c r="AQ29" s="704"/>
      <c r="AR29" s="704"/>
      <c r="AS29" s="704"/>
      <c r="AT29" s="1471"/>
      <c r="AU29" s="1830" cm="1">
        <f t="array" ref="AU29">IF(H29="","",Slookup(MID(X29,1,3)*1,UomConversion!$D$8:$J$500,2,UomConversion!$I$8:$I$500,1,UomConversion!$J$8:$J$500,1))</f>
        <v>2</v>
      </c>
      <c r="AV29" s="1831" t="str">
        <f t="shared" si="44"/>
        <v>002.pcs</v>
      </c>
      <c r="AW29" s="1832">
        <f t="shared" si="45"/>
        <v>47</v>
      </c>
      <c r="AX29" s="1832">
        <f t="shared" si="47"/>
        <v>2</v>
      </c>
      <c r="AY29" s="1832" t="str">
        <f t="shared" si="46"/>
        <v/>
      </c>
      <c r="AZ29" s="1824" cm="1">
        <f t="array" ref="AZ29">IF(Y29="",1,Slookup(MID(X29,1,3)*1,UomConversion!$D$8:$J$500,5,UomConversion!$E$8:$E$500,MID(Y29,1,3)*1,UomConversion!$I$8:$I$500,1))</f>
        <v>6</v>
      </c>
      <c r="BA29" s="1824" cm="1">
        <f t="array" ref="BA29">IF(Z29="",1,Slookup(MID(X29,1,3)*1,UomConversion!$D$8:$J$500,5,UomConversion!$E$8:$E$500,MID(Z29,1,3)*1,UomConversion!$I$8:$I$500,1))</f>
        <v>1</v>
      </c>
      <c r="BB29" s="705"/>
      <c r="BC29" s="705"/>
      <c r="BD29" s="705"/>
      <c r="BE29" s="316"/>
      <c r="BG29" s="656"/>
    </row>
    <row r="30" spans="2:59" s="281" customFormat="1" ht="24.95" customHeight="1">
      <c r="C30" s="483">
        <v>445</v>
      </c>
      <c r="D30" s="483"/>
      <c r="E30" s="483"/>
      <c r="F30" s="652" t="s">
        <v>4652</v>
      </c>
      <c r="G30" s="653" t="s">
        <v>4652</v>
      </c>
      <c r="H30" s="505" t="s">
        <v>4684</v>
      </c>
      <c r="I30" s="505" t="s">
        <v>4684</v>
      </c>
      <c r="J30" s="662" t="s">
        <v>2795</v>
      </c>
      <c r="K30" s="662" t="s">
        <v>3934</v>
      </c>
      <c r="L30" s="507" t="s">
        <v>4641</v>
      </c>
      <c r="M30" s="505"/>
      <c r="N30" s="654"/>
      <c r="O30" s="1561">
        <v>0.9</v>
      </c>
      <c r="P30" s="1453">
        <v>1.5</v>
      </c>
      <c r="Q30" s="520"/>
      <c r="R30" s="483">
        <v>1</v>
      </c>
      <c r="S30" s="483">
        <v>0</v>
      </c>
      <c r="T30" s="483">
        <v>1</v>
      </c>
      <c r="U30" s="483">
        <v>0</v>
      </c>
      <c r="V30" s="483">
        <v>0</v>
      </c>
      <c r="W30" s="483">
        <v>1</v>
      </c>
      <c r="X30" s="507" t="s">
        <v>4709</v>
      </c>
      <c r="Y30" s="1824" t="str">
        <f>IF(OR(ISNA(MATCH(MID(X30,1,3)*1,UomConversion!$D$8:$D$500,0)),H30=""),"",IF(AV30="","",AV30))</f>
        <v/>
      </c>
      <c r="Z30" s="1824" t="str">
        <f>IF(AND(AU30&gt;0,COUNTIFS(UomConversion!$D$8:$D$500,MID(X30,1,3)*1,UomConversion!$J$8:$J$500,1)&gt;1),TEXT(AU30,"000")&amp;"."&amp;VLOOKUP(AU30,uom_list,5,FALSE),"")</f>
        <v/>
      </c>
      <c r="AA30" s="1824">
        <f t="shared" si="42"/>
        <v>1</v>
      </c>
      <c r="AB30" s="1824" t="str">
        <f t="shared" si="43"/>
        <v>5</v>
      </c>
      <c r="AC30" s="1824">
        <f t="shared" si="38"/>
        <v>1</v>
      </c>
      <c r="AD30" s="1571">
        <v>1.5</v>
      </c>
      <c r="AE30" s="702"/>
      <c r="AF30" s="703"/>
      <c r="AG30" s="703"/>
      <c r="AH30" s="703"/>
      <c r="AI30" s="703"/>
      <c r="AJ30" s="704"/>
      <c r="AK30" s="704"/>
      <c r="AL30" s="704"/>
      <c r="AM30" s="704"/>
      <c r="AN30" s="704"/>
      <c r="AO30" s="704"/>
      <c r="AP30" s="704"/>
      <c r="AQ30" s="704"/>
      <c r="AR30" s="704"/>
      <c r="AS30" s="704"/>
      <c r="AT30" s="1471"/>
      <c r="AU30" s="1830" cm="1">
        <f t="array" ref="AU30">IF(H30="","",Slookup(MID(X30,1,3)*1,UomConversion!$D$8:$J$500,2,UomConversion!$I$8:$I$500,1,UomConversion!$J$8:$J$500,1))</f>
        <v>0</v>
      </c>
      <c r="AV30" s="1831" t="str">
        <f t="shared" si="44"/>
        <v/>
      </c>
      <c r="AW30" s="1832">
        <f t="shared" si="45"/>
        <v>5</v>
      </c>
      <c r="AX30" s="1832" t="str">
        <f t="shared" si="47"/>
        <v/>
      </c>
      <c r="AY30" s="1832" t="str">
        <f t="shared" si="46"/>
        <v/>
      </c>
      <c r="AZ30" s="1824" cm="1">
        <f t="array" ref="AZ30">IF(Y30="",1,Slookup(MID(X30,1,3)*1,UomConversion!$D$8:$J$500,5,UomConversion!$E$8:$E$500,MID(Y30,1,3)*1,UomConversion!$I$8:$I$500,1))</f>
        <v>1</v>
      </c>
      <c r="BA30" s="1824" cm="1">
        <f t="array" ref="BA30">IF(Z30="",1,Slookup(MID(X30,1,3)*1,UomConversion!$D$8:$J$500,5,UomConversion!$E$8:$E$500,MID(Z30,1,3)*1,UomConversion!$I$8:$I$500,1))</f>
        <v>1</v>
      </c>
      <c r="BB30" s="705"/>
      <c r="BC30" s="705"/>
      <c r="BD30" s="705"/>
      <c r="BE30" s="316"/>
      <c r="BG30" s="656"/>
    </row>
    <row r="31" spans="2:59" s="281" customFormat="1" ht="24.95" customHeight="1">
      <c r="C31" s="483">
        <v>446</v>
      </c>
      <c r="D31" s="483"/>
      <c r="E31" s="483"/>
      <c r="F31" s="652" t="s">
        <v>4653</v>
      </c>
      <c r="G31" s="653" t="s">
        <v>4653</v>
      </c>
      <c r="H31" s="505" t="s">
        <v>4685</v>
      </c>
      <c r="I31" s="505" t="s">
        <v>4685</v>
      </c>
      <c r="J31" s="662" t="s">
        <v>3925</v>
      </c>
      <c r="K31" s="662" t="s">
        <v>3935</v>
      </c>
      <c r="L31" s="507" t="s">
        <v>3937</v>
      </c>
      <c r="M31" s="505"/>
      <c r="N31" s="654"/>
      <c r="O31" s="1561">
        <v>0.2</v>
      </c>
      <c r="P31" s="1453">
        <v>0.38</v>
      </c>
      <c r="Q31" s="520"/>
      <c r="R31" s="483">
        <v>1</v>
      </c>
      <c r="S31" s="483">
        <v>0</v>
      </c>
      <c r="T31" s="483">
        <v>1</v>
      </c>
      <c r="U31" s="483">
        <v>0</v>
      </c>
      <c r="V31" s="483">
        <v>0</v>
      </c>
      <c r="W31" s="483">
        <v>1</v>
      </c>
      <c r="X31" s="507" t="s">
        <v>2783</v>
      </c>
      <c r="Y31" s="1824" t="str">
        <f>IF(OR(ISNA(MATCH(MID(X31,1,3)*1,UomConversion!$D$8:$D$500,0)),H31=""),"",IF(AV31="","",AV31))</f>
        <v/>
      </c>
      <c r="Z31" s="1824" t="str">
        <f>IF(AND(AU31&gt;0,COUNTIFS(UomConversion!$D$8:$D$500,MID(X31,1,3)*1,UomConversion!$J$8:$J$500,1)&gt;1),TEXT(AU31,"000")&amp;"."&amp;VLOOKUP(AU31,uom_list,5,FALSE),"")</f>
        <v/>
      </c>
      <c r="AA31" s="1824">
        <f t="shared" si="42"/>
        <v>1</v>
      </c>
      <c r="AB31" s="1824" t="str">
        <f t="shared" si="43"/>
        <v>2</v>
      </c>
      <c r="AC31" s="1824">
        <f t="shared" si="38"/>
        <v>1</v>
      </c>
      <c r="AD31" s="1571">
        <v>0.38</v>
      </c>
      <c r="AE31" s="702"/>
      <c r="AF31" s="703"/>
      <c r="AG31" s="703"/>
      <c r="AH31" s="703"/>
      <c r="AI31" s="703"/>
      <c r="AJ31" s="704"/>
      <c r="AK31" s="704"/>
      <c r="AL31" s="704"/>
      <c r="AM31" s="704"/>
      <c r="AN31" s="704"/>
      <c r="AO31" s="704"/>
      <c r="AP31" s="704"/>
      <c r="AQ31" s="704"/>
      <c r="AR31" s="704"/>
      <c r="AS31" s="704"/>
      <c r="AT31" s="1471"/>
      <c r="AU31" s="1830" cm="1">
        <f t="array" ref="AU31">IF(H31="","",Slookup(MID(X31,1,3)*1,UomConversion!$D$8:$J$500,2,UomConversion!$I$8:$I$500,1,UomConversion!$J$8:$J$500,1))</f>
        <v>0</v>
      </c>
      <c r="AV31" s="1831" t="str">
        <f t="shared" si="44"/>
        <v/>
      </c>
      <c r="AW31" s="1832">
        <f t="shared" si="45"/>
        <v>2</v>
      </c>
      <c r="AX31" s="1832" t="str">
        <f t="shared" si="47"/>
        <v/>
      </c>
      <c r="AY31" s="1832" t="str">
        <f t="shared" si="46"/>
        <v/>
      </c>
      <c r="AZ31" s="1824" cm="1">
        <f t="array" ref="AZ31">IF(Y31="",1,Slookup(MID(X31,1,3)*1,UomConversion!$D$8:$J$500,5,UomConversion!$E$8:$E$500,MID(Y31,1,3)*1,UomConversion!$I$8:$I$500,1))</f>
        <v>1</v>
      </c>
      <c r="BA31" s="1824" cm="1">
        <f t="array" ref="BA31">IF(Z31="",1,Slookup(MID(X31,1,3)*1,UomConversion!$D$8:$J$500,5,UomConversion!$E$8:$E$500,MID(Z31,1,3)*1,UomConversion!$I$8:$I$500,1))</f>
        <v>1</v>
      </c>
      <c r="BB31" s="705"/>
      <c r="BC31" s="705"/>
      <c r="BD31" s="705"/>
      <c r="BE31" s="316"/>
      <c r="BG31" s="656"/>
    </row>
    <row r="32" spans="2:59" s="281" customFormat="1" ht="24.95" customHeight="1">
      <c r="C32" s="483">
        <v>447</v>
      </c>
      <c r="D32" s="483"/>
      <c r="E32" s="483"/>
      <c r="F32" s="652" t="s">
        <v>4654</v>
      </c>
      <c r="G32" s="653" t="s">
        <v>4654</v>
      </c>
      <c r="H32" s="505" t="s">
        <v>4686</v>
      </c>
      <c r="I32" s="505" t="s">
        <v>4686</v>
      </c>
      <c r="J32" s="662" t="s">
        <v>3925</v>
      </c>
      <c r="K32" s="662" t="s">
        <v>3935</v>
      </c>
      <c r="L32" s="507" t="s">
        <v>3937</v>
      </c>
      <c r="M32" s="505"/>
      <c r="N32" s="654"/>
      <c r="O32" s="1561">
        <v>0.2</v>
      </c>
      <c r="P32" s="1453">
        <v>0.38</v>
      </c>
      <c r="Q32" s="520"/>
      <c r="R32" s="483">
        <v>1</v>
      </c>
      <c r="S32" s="483">
        <v>0</v>
      </c>
      <c r="T32" s="483">
        <v>1</v>
      </c>
      <c r="U32" s="483">
        <v>0</v>
      </c>
      <c r="V32" s="483">
        <v>0</v>
      </c>
      <c r="W32" s="483">
        <v>1</v>
      </c>
      <c r="X32" s="507" t="s">
        <v>2783</v>
      </c>
      <c r="Y32" s="1824" t="str">
        <f>IF(OR(ISNA(MATCH(MID(X32,1,3)*1,UomConversion!$D$8:$D$500,0)),H32=""),"",IF(AV32="","",AV32))</f>
        <v/>
      </c>
      <c r="Z32" s="1824" t="str">
        <f>IF(AND(AU32&gt;0,COUNTIFS(UomConversion!$D$8:$D$500,MID(X32,1,3)*1,UomConversion!$J$8:$J$500,1)&gt;1),TEXT(AU32,"000")&amp;"."&amp;VLOOKUP(AU32,uom_list,5,FALSE),"")</f>
        <v/>
      </c>
      <c r="AA32" s="1824">
        <f t="shared" si="42"/>
        <v>1</v>
      </c>
      <c r="AB32" s="1824" t="str">
        <f t="shared" si="43"/>
        <v>2</v>
      </c>
      <c r="AC32" s="1824">
        <f t="shared" si="38"/>
        <v>1</v>
      </c>
      <c r="AD32" s="1571">
        <v>0.38</v>
      </c>
      <c r="AE32" s="702"/>
      <c r="AF32" s="703"/>
      <c r="AG32" s="703"/>
      <c r="AH32" s="703"/>
      <c r="AI32" s="703"/>
      <c r="AJ32" s="704"/>
      <c r="AK32" s="704"/>
      <c r="AL32" s="704"/>
      <c r="AM32" s="704"/>
      <c r="AN32" s="704"/>
      <c r="AO32" s="704"/>
      <c r="AP32" s="704"/>
      <c r="AQ32" s="704"/>
      <c r="AR32" s="704"/>
      <c r="AS32" s="704"/>
      <c r="AT32" s="1471"/>
      <c r="AU32" s="1830" cm="1">
        <f t="array" ref="AU32">IF(H32="","",Slookup(MID(X32,1,3)*1,UomConversion!$D$8:$J$500,2,UomConversion!$I$8:$I$500,1,UomConversion!$J$8:$J$500,1))</f>
        <v>0</v>
      </c>
      <c r="AV32" s="1831" t="str">
        <f t="shared" si="44"/>
        <v/>
      </c>
      <c r="AW32" s="1832">
        <f t="shared" si="45"/>
        <v>2</v>
      </c>
      <c r="AX32" s="1832" t="str">
        <f t="shared" si="47"/>
        <v/>
      </c>
      <c r="AY32" s="1832" t="str">
        <f t="shared" si="46"/>
        <v/>
      </c>
      <c r="AZ32" s="1824" cm="1">
        <f t="array" ref="AZ32">IF(Y32="",1,Slookup(MID(X32,1,3)*1,UomConversion!$D$8:$J$500,5,UomConversion!$E$8:$E$500,MID(Y32,1,3)*1,UomConversion!$I$8:$I$500,1))</f>
        <v>1</v>
      </c>
      <c r="BA32" s="1824" cm="1">
        <f t="array" ref="BA32">IF(Z32="",1,Slookup(MID(X32,1,3)*1,UomConversion!$D$8:$J$500,5,UomConversion!$E$8:$E$500,MID(Z32,1,3)*1,UomConversion!$I$8:$I$500,1))</f>
        <v>1</v>
      </c>
      <c r="BB32" s="705"/>
      <c r="BC32" s="705"/>
      <c r="BD32" s="705"/>
      <c r="BE32" s="316"/>
      <c r="BG32" s="656"/>
    </row>
    <row r="33" spans="2:59" s="281" customFormat="1" ht="24.95" customHeight="1">
      <c r="C33" s="483">
        <v>448</v>
      </c>
      <c r="D33" s="483"/>
      <c r="E33" s="483"/>
      <c r="F33" s="652" t="s">
        <v>4655</v>
      </c>
      <c r="G33" s="653" t="s">
        <v>4655</v>
      </c>
      <c r="H33" s="505" t="s">
        <v>4687</v>
      </c>
      <c r="I33" s="505" t="s">
        <v>4687</v>
      </c>
      <c r="J33" s="662" t="s">
        <v>3925</v>
      </c>
      <c r="K33" s="662" t="s">
        <v>2799</v>
      </c>
      <c r="L33" s="507" t="s">
        <v>3937</v>
      </c>
      <c r="M33" s="505"/>
      <c r="N33" s="654"/>
      <c r="O33" s="1561">
        <v>3.8</v>
      </c>
      <c r="P33" s="1453">
        <v>5</v>
      </c>
      <c r="Q33" s="520"/>
      <c r="R33" s="483">
        <v>1</v>
      </c>
      <c r="S33" s="483">
        <v>0</v>
      </c>
      <c r="T33" s="483">
        <v>1</v>
      </c>
      <c r="U33" s="483">
        <v>0</v>
      </c>
      <c r="V33" s="483">
        <v>0</v>
      </c>
      <c r="W33" s="483">
        <v>1</v>
      </c>
      <c r="X33" s="507" t="s">
        <v>2783</v>
      </c>
      <c r="Y33" s="1824" t="str">
        <f>IF(OR(ISNA(MATCH(MID(X33,1,3)*1,UomConversion!$D$8:$D$500,0)),H33=""),"",IF(AV33="","",AV33))</f>
        <v/>
      </c>
      <c r="Z33" s="1824" t="str">
        <f>IF(AND(AU33&gt;0,COUNTIFS(UomConversion!$D$8:$D$500,MID(X33,1,3)*1,UomConversion!$J$8:$J$500,1)&gt;1),TEXT(AU33,"000")&amp;"."&amp;VLOOKUP(AU33,uom_list,5,FALSE),"")</f>
        <v/>
      </c>
      <c r="AA33" s="1824">
        <f t="shared" si="42"/>
        <v>1</v>
      </c>
      <c r="AB33" s="1824" t="str">
        <f t="shared" si="43"/>
        <v>2</v>
      </c>
      <c r="AC33" s="1824">
        <f t="shared" si="38"/>
        <v>1</v>
      </c>
      <c r="AD33" s="1571">
        <v>5</v>
      </c>
      <c r="AE33" s="702"/>
      <c r="AF33" s="703"/>
      <c r="AG33" s="703"/>
      <c r="AH33" s="703"/>
      <c r="AI33" s="703"/>
      <c r="AJ33" s="704"/>
      <c r="AK33" s="704"/>
      <c r="AL33" s="704"/>
      <c r="AM33" s="704"/>
      <c r="AN33" s="704"/>
      <c r="AO33" s="704"/>
      <c r="AP33" s="704"/>
      <c r="AQ33" s="704"/>
      <c r="AR33" s="704"/>
      <c r="AS33" s="704"/>
      <c r="AT33" s="1471"/>
      <c r="AU33" s="1830" cm="1">
        <f t="array" ref="AU33">IF(H33="","",Slookup(MID(X33,1,3)*1,UomConversion!$D$8:$J$500,2,UomConversion!$I$8:$I$500,1,UomConversion!$J$8:$J$500,1))</f>
        <v>0</v>
      </c>
      <c r="AV33" s="1831" t="str">
        <f t="shared" si="44"/>
        <v/>
      </c>
      <c r="AW33" s="1832">
        <f t="shared" si="45"/>
        <v>2</v>
      </c>
      <c r="AX33" s="1832" t="str">
        <f t="shared" si="47"/>
        <v/>
      </c>
      <c r="AY33" s="1832" t="str">
        <f t="shared" si="46"/>
        <v/>
      </c>
      <c r="AZ33" s="1824" cm="1">
        <f t="array" ref="AZ33">IF(Y33="",1,Slookup(MID(X33,1,3)*1,UomConversion!$D$8:$J$500,5,UomConversion!$E$8:$E$500,MID(Y33,1,3)*1,UomConversion!$I$8:$I$500,1))</f>
        <v>1</v>
      </c>
      <c r="BA33" s="1824" cm="1">
        <f t="array" ref="BA33">IF(Z33="",1,Slookup(MID(X33,1,3)*1,UomConversion!$D$8:$J$500,5,UomConversion!$E$8:$E$500,MID(Z33,1,3)*1,UomConversion!$I$8:$I$500,1))</f>
        <v>1</v>
      </c>
      <c r="BB33" s="705"/>
      <c r="BC33" s="705"/>
      <c r="BD33" s="705"/>
      <c r="BE33" s="316"/>
      <c r="BG33" s="656"/>
    </row>
    <row r="34" spans="2:59" s="281" customFormat="1" ht="24.95" customHeight="1">
      <c r="C34" s="483">
        <v>449</v>
      </c>
      <c r="D34" s="483"/>
      <c r="E34" s="483"/>
      <c r="F34" s="652" t="s">
        <v>4656</v>
      </c>
      <c r="G34" s="653" t="s">
        <v>4656</v>
      </c>
      <c r="H34" s="505" t="s">
        <v>4688</v>
      </c>
      <c r="I34" s="505" t="s">
        <v>4688</v>
      </c>
      <c r="J34" s="662" t="s">
        <v>3925</v>
      </c>
      <c r="K34" s="662" t="s">
        <v>3935</v>
      </c>
      <c r="L34" s="507" t="s">
        <v>4100</v>
      </c>
      <c r="M34" s="505"/>
      <c r="N34" s="654"/>
      <c r="O34" s="1561">
        <v>4.3499999999999996</v>
      </c>
      <c r="P34" s="1453">
        <v>4.8499999999999996</v>
      </c>
      <c r="Q34" s="520"/>
      <c r="R34" s="483">
        <v>4</v>
      </c>
      <c r="S34" s="483">
        <v>0</v>
      </c>
      <c r="T34" s="483">
        <v>1</v>
      </c>
      <c r="U34" s="483">
        <v>0</v>
      </c>
      <c r="V34" s="483">
        <v>0</v>
      </c>
      <c r="W34" s="483">
        <v>1</v>
      </c>
      <c r="X34" s="507" t="s">
        <v>2782</v>
      </c>
      <c r="Y34" s="1824" t="str">
        <f>IF(OR(ISNA(MATCH(MID(X34,1,3)*1,UomConversion!$D$8:$D$500,0)),H34=""),"",IF(AV34="","",AV34))</f>
        <v>016.m</v>
      </c>
      <c r="Z34" s="1824" t="str">
        <f>IF(AND(AU34&gt;0,COUNTIFS(UomConversion!$D$8:$D$500,MID(X34,1,3)*1,UomConversion!$J$8:$J$500,1)&gt;1),TEXT(AU34,"000")&amp;"."&amp;VLOOKUP(AU34,uom_list,5,FALSE),"")</f>
        <v/>
      </c>
      <c r="AA34" s="1824">
        <f t="shared" si="42"/>
        <v>2</v>
      </c>
      <c r="AB34" s="1824" t="str">
        <f t="shared" si="43"/>
        <v>53,16</v>
      </c>
      <c r="AC34" s="1824">
        <f t="shared" si="38"/>
        <v>1</v>
      </c>
      <c r="AD34" s="1571">
        <v>1.22</v>
      </c>
      <c r="AE34" s="702"/>
      <c r="AF34" s="703"/>
      <c r="AG34" s="703"/>
      <c r="AH34" s="703"/>
      <c r="AI34" s="703"/>
      <c r="AJ34" s="704"/>
      <c r="AK34" s="704"/>
      <c r="AL34" s="704"/>
      <c r="AM34" s="704"/>
      <c r="AN34" s="704"/>
      <c r="AO34" s="704"/>
      <c r="AP34" s="704"/>
      <c r="AQ34" s="704"/>
      <c r="AR34" s="704"/>
      <c r="AS34" s="704"/>
      <c r="AT34" s="1471"/>
      <c r="AU34" s="1830" cm="1">
        <f t="array" ref="AU34">IF(H34="","",Slookup(MID(X34,1,3)*1,UomConversion!$D$8:$J$500,2,UomConversion!$I$8:$I$500,1,UomConversion!$J$8:$J$500,1))</f>
        <v>16</v>
      </c>
      <c r="AV34" s="1831" t="str">
        <f t="shared" si="44"/>
        <v>016.m</v>
      </c>
      <c r="AW34" s="1832">
        <f t="shared" si="45"/>
        <v>53</v>
      </c>
      <c r="AX34" s="1832">
        <f t="shared" si="47"/>
        <v>16</v>
      </c>
      <c r="AY34" s="1832" t="str">
        <f t="shared" si="46"/>
        <v/>
      </c>
      <c r="AZ34" s="1824" cm="1">
        <f t="array" ref="AZ34">IF(Y34="",1,Slookup(MID(X34,1,3)*1,UomConversion!$D$8:$J$500,5,UomConversion!$E$8:$E$500,MID(Y34,1,3)*1,UomConversion!$I$8:$I$500,1))</f>
        <v>4</v>
      </c>
      <c r="BA34" s="1824" cm="1">
        <f t="array" ref="BA34">IF(Z34="",1,Slookup(MID(X34,1,3)*1,UomConversion!$D$8:$J$500,5,UomConversion!$E$8:$E$500,MID(Z34,1,3)*1,UomConversion!$I$8:$I$500,1))</f>
        <v>1</v>
      </c>
      <c r="BB34" s="705"/>
      <c r="BC34" s="705"/>
      <c r="BD34" s="705"/>
      <c r="BE34" s="316"/>
      <c r="BG34" s="656"/>
    </row>
    <row r="35" spans="2:59" s="281" customFormat="1" ht="24.95" customHeight="1">
      <c r="C35" s="483">
        <v>450</v>
      </c>
      <c r="D35" s="483"/>
      <c r="E35" s="483"/>
      <c r="F35" s="652" t="s">
        <v>4657</v>
      </c>
      <c r="G35" s="653" t="s">
        <v>4657</v>
      </c>
      <c r="H35" s="505" t="s">
        <v>4689</v>
      </c>
      <c r="I35" s="505" t="s">
        <v>4689</v>
      </c>
      <c r="J35" s="662" t="s">
        <v>3925</v>
      </c>
      <c r="K35" s="662" t="s">
        <v>2799</v>
      </c>
      <c r="L35" s="507" t="s">
        <v>3937</v>
      </c>
      <c r="M35" s="505"/>
      <c r="N35" s="654"/>
      <c r="O35" s="1561">
        <v>6.8</v>
      </c>
      <c r="P35" s="1453">
        <v>10</v>
      </c>
      <c r="Q35" s="520"/>
      <c r="R35" s="483">
        <v>1</v>
      </c>
      <c r="S35" s="483">
        <v>0</v>
      </c>
      <c r="T35" s="483">
        <v>1</v>
      </c>
      <c r="U35" s="483">
        <v>0</v>
      </c>
      <c r="V35" s="483">
        <v>0</v>
      </c>
      <c r="W35" s="483">
        <v>1</v>
      </c>
      <c r="X35" s="507" t="s">
        <v>2783</v>
      </c>
      <c r="Y35" s="1824" t="str">
        <f>IF(OR(ISNA(MATCH(MID(X35,1,3)*1,UomConversion!$D$8:$D$500,0)),H35=""),"",IF(AV35="","",AV35))</f>
        <v/>
      </c>
      <c r="Z35" s="1824" t="str">
        <f>IF(AND(AU35&gt;0,COUNTIFS(UomConversion!$D$8:$D$500,MID(X35,1,3)*1,UomConversion!$J$8:$J$500,1)&gt;1),TEXT(AU35,"000")&amp;"."&amp;VLOOKUP(AU35,uom_list,5,FALSE),"")</f>
        <v/>
      </c>
      <c r="AA35" s="1824">
        <f t="shared" si="42"/>
        <v>1</v>
      </c>
      <c r="AB35" s="1824" t="str">
        <f t="shared" si="43"/>
        <v>2</v>
      </c>
      <c r="AC35" s="1824">
        <f t="shared" si="38"/>
        <v>1</v>
      </c>
      <c r="AD35" s="1571">
        <v>10</v>
      </c>
      <c r="AE35" s="702"/>
      <c r="AF35" s="703"/>
      <c r="AG35" s="703"/>
      <c r="AH35" s="703"/>
      <c r="AI35" s="703"/>
      <c r="AJ35" s="704"/>
      <c r="AK35" s="704"/>
      <c r="AL35" s="704"/>
      <c r="AM35" s="704"/>
      <c r="AN35" s="704"/>
      <c r="AO35" s="704"/>
      <c r="AP35" s="704"/>
      <c r="AQ35" s="704"/>
      <c r="AR35" s="704"/>
      <c r="AS35" s="704"/>
      <c r="AT35" s="1471"/>
      <c r="AU35" s="1830" cm="1">
        <f t="array" ref="AU35">IF(H35="","",Slookup(MID(X35,1,3)*1,UomConversion!$D$8:$J$500,2,UomConversion!$I$8:$I$500,1,UomConversion!$J$8:$J$500,1))</f>
        <v>0</v>
      </c>
      <c r="AV35" s="1831" t="str">
        <f t="shared" si="44"/>
        <v/>
      </c>
      <c r="AW35" s="1832">
        <f t="shared" si="45"/>
        <v>2</v>
      </c>
      <c r="AX35" s="1832" t="str">
        <f t="shared" si="47"/>
        <v/>
      </c>
      <c r="AY35" s="1832" t="str">
        <f t="shared" si="46"/>
        <v/>
      </c>
      <c r="AZ35" s="1824" cm="1">
        <f t="array" ref="AZ35">IF(Y35="",1,Slookup(MID(X35,1,3)*1,UomConversion!$D$8:$J$500,5,UomConversion!$E$8:$E$500,MID(Y35,1,3)*1,UomConversion!$I$8:$I$500,1))</f>
        <v>1</v>
      </c>
      <c r="BA35" s="1824" cm="1">
        <f t="array" ref="BA35">IF(Z35="",1,Slookup(MID(X35,1,3)*1,UomConversion!$D$8:$J$500,5,UomConversion!$E$8:$E$500,MID(Z35,1,3)*1,UomConversion!$I$8:$I$500,1))</f>
        <v>1</v>
      </c>
      <c r="BB35" s="705"/>
      <c r="BC35" s="705"/>
      <c r="BD35" s="705"/>
      <c r="BE35" s="316"/>
      <c r="BG35" s="656"/>
    </row>
    <row r="36" spans="2:59" s="281" customFormat="1" ht="24.95" customHeight="1">
      <c r="C36" s="483">
        <v>451</v>
      </c>
      <c r="D36" s="483"/>
      <c r="E36" s="483"/>
      <c r="F36" s="652" t="s">
        <v>4658</v>
      </c>
      <c r="G36" s="653" t="s">
        <v>4658</v>
      </c>
      <c r="H36" s="505" t="s">
        <v>4690</v>
      </c>
      <c r="I36" s="505" t="s">
        <v>4690</v>
      </c>
      <c r="J36" s="662" t="s">
        <v>3925</v>
      </c>
      <c r="K36" s="662" t="s">
        <v>2799</v>
      </c>
      <c r="L36" s="507" t="s">
        <v>3937</v>
      </c>
      <c r="M36" s="505"/>
      <c r="N36" s="654"/>
      <c r="O36" s="1561">
        <v>3.6</v>
      </c>
      <c r="P36" s="1453">
        <v>5.5</v>
      </c>
      <c r="Q36" s="520"/>
      <c r="R36" s="483">
        <v>1</v>
      </c>
      <c r="S36" s="483">
        <v>0</v>
      </c>
      <c r="T36" s="483">
        <v>1</v>
      </c>
      <c r="U36" s="483">
        <v>0</v>
      </c>
      <c r="V36" s="483">
        <v>0</v>
      </c>
      <c r="W36" s="483">
        <v>1</v>
      </c>
      <c r="X36" s="507" t="s">
        <v>2783</v>
      </c>
      <c r="Y36" s="1824" t="str">
        <f>IF(OR(ISNA(MATCH(MID(X36,1,3)*1,UomConversion!$D$8:$D$500,0)),H36=""),"",IF(AV36="","",AV36))</f>
        <v/>
      </c>
      <c r="Z36" s="1824" t="str">
        <f>IF(AND(AU36&gt;0,COUNTIFS(UomConversion!$D$8:$D$500,MID(X36,1,3)*1,UomConversion!$J$8:$J$500,1)&gt;1),TEXT(AU36,"000")&amp;"."&amp;VLOOKUP(AU36,uom_list,5,FALSE),"")</f>
        <v/>
      </c>
      <c r="AA36" s="1824">
        <f t="shared" si="42"/>
        <v>1</v>
      </c>
      <c r="AB36" s="1824" t="str">
        <f t="shared" si="43"/>
        <v>2</v>
      </c>
      <c r="AC36" s="1824">
        <f t="shared" si="38"/>
        <v>1</v>
      </c>
      <c r="AD36" s="1571">
        <v>5.5</v>
      </c>
      <c r="AE36" s="702"/>
      <c r="AF36" s="703"/>
      <c r="AG36" s="703"/>
      <c r="AH36" s="703"/>
      <c r="AI36" s="703"/>
      <c r="AJ36" s="704"/>
      <c r="AK36" s="704"/>
      <c r="AL36" s="704"/>
      <c r="AM36" s="704"/>
      <c r="AN36" s="704"/>
      <c r="AO36" s="704"/>
      <c r="AP36" s="704"/>
      <c r="AQ36" s="704"/>
      <c r="AR36" s="704"/>
      <c r="AS36" s="704"/>
      <c r="AT36" s="1471"/>
      <c r="AU36" s="1830" cm="1">
        <f t="array" ref="AU36">IF(H36="","",Slookup(MID(X36,1,3)*1,UomConversion!$D$8:$J$500,2,UomConversion!$I$8:$I$500,1,UomConversion!$J$8:$J$500,1))</f>
        <v>0</v>
      </c>
      <c r="AV36" s="1831" t="str">
        <f t="shared" si="44"/>
        <v/>
      </c>
      <c r="AW36" s="1832">
        <f t="shared" si="45"/>
        <v>2</v>
      </c>
      <c r="AX36" s="1832" t="str">
        <f t="shared" si="47"/>
        <v/>
      </c>
      <c r="AY36" s="1832" t="str">
        <f t="shared" si="46"/>
        <v/>
      </c>
      <c r="AZ36" s="1824" cm="1">
        <f t="array" ref="AZ36">IF(Y36="",1,Slookup(MID(X36,1,3)*1,UomConversion!$D$8:$J$500,5,UomConversion!$E$8:$E$500,MID(Y36,1,3)*1,UomConversion!$I$8:$I$500,1))</f>
        <v>1</v>
      </c>
      <c r="BA36" s="1824" cm="1">
        <f t="array" ref="BA36">IF(Z36="",1,Slookup(MID(X36,1,3)*1,UomConversion!$D$8:$J$500,5,UomConversion!$E$8:$E$500,MID(Z36,1,3)*1,UomConversion!$I$8:$I$500,1))</f>
        <v>1</v>
      </c>
      <c r="BB36" s="705"/>
      <c r="BC36" s="705"/>
      <c r="BD36" s="705"/>
      <c r="BE36" s="316"/>
      <c r="BG36" s="656"/>
    </row>
    <row r="37" spans="2:59" s="281" customFormat="1" ht="24.95" customHeight="1">
      <c r="C37" s="483">
        <v>452</v>
      </c>
      <c r="D37" s="483"/>
      <c r="E37" s="483"/>
      <c r="F37" s="652" t="s">
        <v>4659</v>
      </c>
      <c r="G37" s="653" t="s">
        <v>4659</v>
      </c>
      <c r="H37" s="505" t="s">
        <v>4691</v>
      </c>
      <c r="I37" s="505" t="s">
        <v>4691</v>
      </c>
      <c r="J37" s="662" t="s">
        <v>3925</v>
      </c>
      <c r="K37" s="662" t="s">
        <v>2799</v>
      </c>
      <c r="L37" s="507" t="s">
        <v>3937</v>
      </c>
      <c r="M37" s="505"/>
      <c r="N37" s="654"/>
      <c r="O37" s="1561">
        <v>6</v>
      </c>
      <c r="P37" s="1453">
        <v>8</v>
      </c>
      <c r="Q37" s="520"/>
      <c r="R37" s="483">
        <v>1</v>
      </c>
      <c r="S37" s="483">
        <v>0</v>
      </c>
      <c r="T37" s="483">
        <v>1</v>
      </c>
      <c r="U37" s="483">
        <v>0</v>
      </c>
      <c r="V37" s="483">
        <v>0</v>
      </c>
      <c r="W37" s="483">
        <v>1</v>
      </c>
      <c r="X37" s="507" t="s">
        <v>2783</v>
      </c>
      <c r="Y37" s="1824" t="str">
        <f>IF(OR(ISNA(MATCH(MID(X37,1,3)*1,UomConversion!$D$8:$D$500,0)),H37=""),"",IF(AV37="","",AV37))</f>
        <v/>
      </c>
      <c r="Z37" s="1824" t="str">
        <f>IF(AND(AU37&gt;0,COUNTIFS(UomConversion!$D$8:$D$500,MID(X37,1,3)*1,UomConversion!$J$8:$J$500,1)&gt;1),TEXT(AU37,"000")&amp;"."&amp;VLOOKUP(AU37,uom_list,5,FALSE),"")</f>
        <v/>
      </c>
      <c r="AA37" s="1824">
        <f t="shared" si="42"/>
        <v>1</v>
      </c>
      <c r="AB37" s="1824" t="str">
        <f t="shared" si="43"/>
        <v>2</v>
      </c>
      <c r="AC37" s="1824">
        <f t="shared" si="38"/>
        <v>1</v>
      </c>
      <c r="AD37" s="1571">
        <v>8</v>
      </c>
      <c r="AE37" s="702"/>
      <c r="AF37" s="703"/>
      <c r="AG37" s="703"/>
      <c r="AH37" s="703"/>
      <c r="AI37" s="703"/>
      <c r="AJ37" s="704"/>
      <c r="AK37" s="704"/>
      <c r="AL37" s="704"/>
      <c r="AM37" s="704"/>
      <c r="AN37" s="704"/>
      <c r="AO37" s="704"/>
      <c r="AP37" s="704"/>
      <c r="AQ37" s="704"/>
      <c r="AR37" s="704"/>
      <c r="AS37" s="704"/>
      <c r="AT37" s="1471"/>
      <c r="AU37" s="1830" cm="1">
        <f t="array" ref="AU37">IF(H37="","",Slookup(MID(X37,1,3)*1,UomConversion!$D$8:$J$500,2,UomConversion!$I$8:$I$500,1,UomConversion!$J$8:$J$500,1))</f>
        <v>0</v>
      </c>
      <c r="AV37" s="1831" t="str">
        <f t="shared" si="44"/>
        <v/>
      </c>
      <c r="AW37" s="1832">
        <f t="shared" si="45"/>
        <v>2</v>
      </c>
      <c r="AX37" s="1832" t="str">
        <f t="shared" si="47"/>
        <v/>
      </c>
      <c r="AY37" s="1832" t="str">
        <f t="shared" si="46"/>
        <v/>
      </c>
      <c r="AZ37" s="1824" cm="1">
        <f t="array" ref="AZ37">IF(Y37="",1,Slookup(MID(X37,1,3)*1,UomConversion!$D$8:$J$500,5,UomConversion!$E$8:$E$500,MID(Y37,1,3)*1,UomConversion!$I$8:$I$500,1))</f>
        <v>1</v>
      </c>
      <c r="BA37" s="1824" cm="1">
        <f t="array" ref="BA37">IF(Z37="",1,Slookup(MID(X37,1,3)*1,UomConversion!$D$8:$J$500,5,UomConversion!$E$8:$E$500,MID(Z37,1,3)*1,UomConversion!$I$8:$I$500,1))</f>
        <v>1</v>
      </c>
      <c r="BB37" s="705"/>
      <c r="BC37" s="705"/>
      <c r="BD37" s="705"/>
      <c r="BE37" s="316"/>
      <c r="BG37" s="656"/>
    </row>
    <row r="38" spans="2:59" s="281" customFormat="1" ht="24.95" customHeight="1">
      <c r="C38" s="483">
        <v>453</v>
      </c>
      <c r="D38" s="483"/>
      <c r="E38" s="483"/>
      <c r="F38" s="652" t="s">
        <v>4660</v>
      </c>
      <c r="G38" s="653" t="s">
        <v>4660</v>
      </c>
      <c r="H38" s="505" t="s">
        <v>4692</v>
      </c>
      <c r="I38" s="505" t="s">
        <v>4692</v>
      </c>
      <c r="J38" s="662" t="s">
        <v>3925</v>
      </c>
      <c r="K38" s="662" t="s">
        <v>2799</v>
      </c>
      <c r="L38" s="507" t="s">
        <v>3937</v>
      </c>
      <c r="M38" s="505"/>
      <c r="N38" s="654"/>
      <c r="O38" s="1561">
        <v>6.8</v>
      </c>
      <c r="P38" s="1453">
        <v>10</v>
      </c>
      <c r="Q38" s="520"/>
      <c r="R38" s="483">
        <v>1</v>
      </c>
      <c r="S38" s="483"/>
      <c r="T38" s="483"/>
      <c r="U38" s="483"/>
      <c r="V38" s="483"/>
      <c r="W38" s="483">
        <v>1</v>
      </c>
      <c r="X38" s="507" t="s">
        <v>2783</v>
      </c>
      <c r="Y38" s="1824" t="str">
        <f>IF(OR(ISNA(MATCH(MID(X38,1,3)*1,UomConversion!$D$8:$D$500,0)),H38=""),"",IF(AV38="","",AV38))</f>
        <v/>
      </c>
      <c r="Z38" s="1824" t="str">
        <f>IF(AND(AU38&gt;0,COUNTIFS(UomConversion!$D$8:$D$500,MID(X38,1,3)*1,UomConversion!$J$8:$J$500,1)&gt;1),TEXT(AU38,"000")&amp;"."&amp;VLOOKUP(AU38,uom_list,5,FALSE),"")</f>
        <v/>
      </c>
      <c r="AA38" s="1824">
        <f t="shared" si="42"/>
        <v>1</v>
      </c>
      <c r="AB38" s="1824" t="str">
        <f t="shared" si="43"/>
        <v>2</v>
      </c>
      <c r="AC38" s="1824">
        <f t="shared" si="38"/>
        <v>1</v>
      </c>
      <c r="AD38" s="1571">
        <v>10</v>
      </c>
      <c r="AE38" s="702"/>
      <c r="AF38" s="703"/>
      <c r="AG38" s="703"/>
      <c r="AH38" s="703"/>
      <c r="AI38" s="703"/>
      <c r="AJ38" s="704"/>
      <c r="AK38" s="704"/>
      <c r="AL38" s="704"/>
      <c r="AM38" s="704"/>
      <c r="AN38" s="704"/>
      <c r="AO38" s="704"/>
      <c r="AP38" s="704"/>
      <c r="AQ38" s="704"/>
      <c r="AR38" s="704"/>
      <c r="AS38" s="704"/>
      <c r="AT38" s="1471"/>
      <c r="AU38" s="1830" cm="1">
        <f t="array" ref="AU38">IF(H38="","",Slookup(MID(X38,1,3)*1,UomConversion!$D$8:$J$500,2,UomConversion!$I$8:$I$500,1,UomConversion!$J$8:$J$500,1))</f>
        <v>0</v>
      </c>
      <c r="AV38" s="1831" t="str">
        <f t="shared" si="44"/>
        <v/>
      </c>
      <c r="AW38" s="1832">
        <f t="shared" si="45"/>
        <v>2</v>
      </c>
      <c r="AX38" s="1832" t="str">
        <f t="shared" si="47"/>
        <v/>
      </c>
      <c r="AY38" s="1832" t="str">
        <f t="shared" si="46"/>
        <v/>
      </c>
      <c r="AZ38" s="1824" cm="1">
        <f t="array" ref="AZ38">IF(Y38="",1,Slookup(MID(X38,1,3)*1,UomConversion!$D$8:$J$500,5,UomConversion!$E$8:$E$500,MID(Y38,1,3)*1,UomConversion!$I$8:$I$500,1))</f>
        <v>1</v>
      </c>
      <c r="BA38" s="1824" cm="1">
        <f t="array" ref="BA38">IF(Z38="",1,Slookup(MID(X38,1,3)*1,UomConversion!$D$8:$J$500,5,UomConversion!$E$8:$E$500,MID(Z38,1,3)*1,UomConversion!$I$8:$I$500,1))</f>
        <v>1</v>
      </c>
      <c r="BB38" s="705"/>
      <c r="BC38" s="705"/>
      <c r="BD38" s="705"/>
      <c r="BE38" s="316"/>
      <c r="BG38" s="656"/>
    </row>
    <row r="39" spans="2:59" s="281" customFormat="1" ht="24.95" customHeight="1">
      <c r="C39" s="483">
        <v>454</v>
      </c>
      <c r="D39" s="483"/>
      <c r="E39" s="483"/>
      <c r="F39" s="652" t="s">
        <v>4661</v>
      </c>
      <c r="G39" s="653" t="s">
        <v>4661</v>
      </c>
      <c r="H39" s="505" t="s">
        <v>4693</v>
      </c>
      <c r="I39" s="505" t="s">
        <v>4693</v>
      </c>
      <c r="J39" s="662" t="s">
        <v>3925</v>
      </c>
      <c r="K39" s="662" t="s">
        <v>3934</v>
      </c>
      <c r="L39" s="507" t="s">
        <v>3937</v>
      </c>
      <c r="M39" s="505"/>
      <c r="N39" s="654"/>
      <c r="O39" s="1561">
        <v>4.9000000000000004</v>
      </c>
      <c r="P39" s="1453">
        <v>7.5</v>
      </c>
      <c r="Q39" s="520"/>
      <c r="R39" s="483">
        <v>1</v>
      </c>
      <c r="S39" s="483">
        <v>0</v>
      </c>
      <c r="T39" s="483">
        <v>1</v>
      </c>
      <c r="U39" s="483">
        <v>0</v>
      </c>
      <c r="V39" s="483">
        <v>0</v>
      </c>
      <c r="W39" s="483">
        <v>1</v>
      </c>
      <c r="X39" s="507" t="s">
        <v>2783</v>
      </c>
      <c r="Y39" s="1824" t="str">
        <f>IF(OR(ISNA(MATCH(MID(X39,1,3)*1,UomConversion!$D$8:$D$500,0)),H39=""),"",IF(AV39="","",AV39))</f>
        <v/>
      </c>
      <c r="Z39" s="1824" t="str">
        <f>IF(AND(AU39&gt;0,COUNTIFS(UomConversion!$D$8:$D$500,MID(X39,1,3)*1,UomConversion!$J$8:$J$500,1)&gt;1),TEXT(AU39,"000")&amp;"."&amp;VLOOKUP(AU39,uom_list,5,FALSE),"")</f>
        <v/>
      </c>
      <c r="AA39" s="1824">
        <f t="shared" si="42"/>
        <v>1</v>
      </c>
      <c r="AB39" s="1824" t="str">
        <f t="shared" si="43"/>
        <v>2</v>
      </c>
      <c r="AC39" s="1824">
        <f t="shared" si="38"/>
        <v>1</v>
      </c>
      <c r="AD39" s="1571">
        <v>7.5</v>
      </c>
      <c r="AE39" s="702"/>
      <c r="AF39" s="703"/>
      <c r="AG39" s="703"/>
      <c r="AH39" s="703"/>
      <c r="AI39" s="703"/>
      <c r="AJ39" s="704"/>
      <c r="AK39" s="704"/>
      <c r="AL39" s="704"/>
      <c r="AM39" s="704"/>
      <c r="AN39" s="704"/>
      <c r="AO39" s="704"/>
      <c r="AP39" s="704"/>
      <c r="AQ39" s="704"/>
      <c r="AR39" s="704"/>
      <c r="AS39" s="704"/>
      <c r="AT39" s="1471"/>
      <c r="AU39" s="1830" cm="1">
        <f t="array" ref="AU39">IF(H39="","",Slookup(MID(X39,1,3)*1,UomConversion!$D$8:$J$500,2,UomConversion!$I$8:$I$500,1,UomConversion!$J$8:$J$500,1))</f>
        <v>0</v>
      </c>
      <c r="AV39" s="1831" t="str">
        <f t="shared" si="44"/>
        <v/>
      </c>
      <c r="AW39" s="1832">
        <f t="shared" si="45"/>
        <v>2</v>
      </c>
      <c r="AX39" s="1832" t="str">
        <f t="shared" si="47"/>
        <v/>
      </c>
      <c r="AY39" s="1832" t="str">
        <f t="shared" si="46"/>
        <v/>
      </c>
      <c r="AZ39" s="1824" cm="1">
        <f t="array" ref="AZ39">IF(Y39="",1,Slookup(MID(X39,1,3)*1,UomConversion!$D$8:$J$500,5,UomConversion!$E$8:$E$500,MID(Y39,1,3)*1,UomConversion!$I$8:$I$500,1))</f>
        <v>1</v>
      </c>
      <c r="BA39" s="1824" cm="1">
        <f t="array" ref="BA39">IF(Z39="",1,Slookup(MID(X39,1,3)*1,UomConversion!$D$8:$J$500,5,UomConversion!$E$8:$E$500,MID(Z39,1,3)*1,UomConversion!$I$8:$I$500,1))</f>
        <v>1</v>
      </c>
      <c r="BB39" s="705"/>
      <c r="BC39" s="705"/>
      <c r="BD39" s="705"/>
      <c r="BE39" s="316"/>
      <c r="BG39" s="656"/>
    </row>
    <row r="40" spans="2:59" s="281" customFormat="1" ht="24.95" customHeight="1">
      <c r="C40" s="483">
        <v>455</v>
      </c>
      <c r="D40" s="483"/>
      <c r="E40" s="483"/>
      <c r="F40" s="652" t="s">
        <v>4662</v>
      </c>
      <c r="G40" s="653" t="s">
        <v>4662</v>
      </c>
      <c r="H40" s="505" t="s">
        <v>4694</v>
      </c>
      <c r="I40" s="505" t="s">
        <v>4694</v>
      </c>
      <c r="J40" s="662" t="s">
        <v>3925</v>
      </c>
      <c r="K40" s="662" t="s">
        <v>3934</v>
      </c>
      <c r="L40" s="507" t="s">
        <v>3937</v>
      </c>
      <c r="M40" s="505"/>
      <c r="N40" s="654"/>
      <c r="O40" s="1561">
        <v>3.6</v>
      </c>
      <c r="P40" s="1453">
        <v>6.5</v>
      </c>
      <c r="Q40" s="520"/>
      <c r="R40" s="483">
        <v>1</v>
      </c>
      <c r="S40" s="483">
        <v>0</v>
      </c>
      <c r="T40" s="483">
        <v>1</v>
      </c>
      <c r="U40" s="483">
        <v>0</v>
      </c>
      <c r="V40" s="483">
        <v>0</v>
      </c>
      <c r="W40" s="483">
        <v>1</v>
      </c>
      <c r="X40" s="507" t="s">
        <v>2783</v>
      </c>
      <c r="Y40" s="1824" t="str">
        <f>IF(OR(ISNA(MATCH(MID(X40,1,3)*1,UomConversion!$D$8:$D$500,0)),H40=""),"",IF(AV40="","",AV40))</f>
        <v/>
      </c>
      <c r="Z40" s="1824" t="str">
        <f>IF(AND(AU40&gt;0,COUNTIFS(UomConversion!$D$8:$D$500,MID(X40,1,3)*1,UomConversion!$J$8:$J$500,1)&gt;1),TEXT(AU40,"000")&amp;"."&amp;VLOOKUP(AU40,uom_list,5,FALSE),"")</f>
        <v/>
      </c>
      <c r="AA40" s="1824">
        <f t="shared" si="42"/>
        <v>1</v>
      </c>
      <c r="AB40" s="1824" t="str">
        <f t="shared" si="43"/>
        <v>2</v>
      </c>
      <c r="AC40" s="1824">
        <f t="shared" si="38"/>
        <v>1</v>
      </c>
      <c r="AD40" s="1571">
        <v>6.5</v>
      </c>
      <c r="AE40" s="702"/>
      <c r="AF40" s="703"/>
      <c r="AG40" s="703"/>
      <c r="AH40" s="703"/>
      <c r="AI40" s="703"/>
      <c r="AJ40" s="704"/>
      <c r="AK40" s="704"/>
      <c r="AL40" s="704"/>
      <c r="AM40" s="704"/>
      <c r="AN40" s="704"/>
      <c r="AO40" s="704"/>
      <c r="AP40" s="704"/>
      <c r="AQ40" s="704"/>
      <c r="AR40" s="704"/>
      <c r="AS40" s="704"/>
      <c r="AT40" s="1471"/>
      <c r="AU40" s="1830" cm="1">
        <f t="array" ref="AU40">IF(H40="","",Slookup(MID(X40,1,3)*1,UomConversion!$D$8:$J$500,2,UomConversion!$I$8:$I$500,1,UomConversion!$J$8:$J$500,1))</f>
        <v>0</v>
      </c>
      <c r="AV40" s="1831" t="str">
        <f t="shared" si="44"/>
        <v/>
      </c>
      <c r="AW40" s="1832">
        <f t="shared" si="45"/>
        <v>2</v>
      </c>
      <c r="AX40" s="1832" t="str">
        <f t="shared" si="47"/>
        <v/>
      </c>
      <c r="AY40" s="1832" t="str">
        <f t="shared" si="46"/>
        <v/>
      </c>
      <c r="AZ40" s="1824" cm="1">
        <f t="array" ref="AZ40">IF(Y40="",1,Slookup(MID(X40,1,3)*1,UomConversion!$D$8:$J$500,5,UomConversion!$E$8:$E$500,MID(Y40,1,3)*1,UomConversion!$I$8:$I$500,1))</f>
        <v>1</v>
      </c>
      <c r="BA40" s="1824" cm="1">
        <f t="array" ref="BA40">IF(Z40="",1,Slookup(MID(X40,1,3)*1,UomConversion!$D$8:$J$500,5,UomConversion!$E$8:$E$500,MID(Z40,1,3)*1,UomConversion!$I$8:$I$500,1))</f>
        <v>1</v>
      </c>
      <c r="BB40" s="705"/>
      <c r="BC40" s="705"/>
      <c r="BD40" s="705"/>
      <c r="BE40" s="316"/>
      <c r="BG40" s="656"/>
    </row>
    <row r="41" spans="2:59" s="281" customFormat="1" ht="24.95" customHeight="1">
      <c r="C41" s="483">
        <v>456</v>
      </c>
      <c r="D41" s="483"/>
      <c r="E41" s="483"/>
      <c r="F41" s="652" t="s">
        <v>4663</v>
      </c>
      <c r="G41" s="653" t="s">
        <v>4663</v>
      </c>
      <c r="H41" s="505" t="s">
        <v>4695</v>
      </c>
      <c r="I41" s="505" t="s">
        <v>4695</v>
      </c>
      <c r="J41" s="662" t="s">
        <v>3926</v>
      </c>
      <c r="K41" s="662" t="s">
        <v>3935</v>
      </c>
      <c r="L41" s="507" t="s">
        <v>4708</v>
      </c>
      <c r="M41" s="505"/>
      <c r="N41" s="654"/>
      <c r="O41" s="1561">
        <v>147.5</v>
      </c>
      <c r="P41" s="1453">
        <v>175</v>
      </c>
      <c r="Q41" s="520"/>
      <c r="R41" s="483">
        <v>250</v>
      </c>
      <c r="S41" s="483">
        <v>0</v>
      </c>
      <c r="T41" s="483">
        <v>1</v>
      </c>
      <c r="U41" s="483">
        <v>0</v>
      </c>
      <c r="V41" s="483">
        <v>0</v>
      </c>
      <c r="W41" s="483">
        <v>1</v>
      </c>
      <c r="X41" s="507" t="s">
        <v>4713</v>
      </c>
      <c r="Y41" s="1824" t="str">
        <f>IF(OR(ISNA(MATCH(MID(X41,1,3)*1,UomConversion!$D$8:$D$500,0)),H41=""),"",IF(AV41="","",AV41))</f>
        <v>016.m</v>
      </c>
      <c r="Z41" s="1824" t="str">
        <f>IF(AND(AU41&gt;0,COUNTIFS(UomConversion!$D$8:$D$500,MID(X41,1,3)*1,UomConversion!$J$8:$J$500,1)&gt;1),TEXT(AU41,"000")&amp;"."&amp;VLOOKUP(AU41,uom_list,5,FALSE),"")</f>
        <v/>
      </c>
      <c r="AA41" s="1824">
        <f t="shared" si="42"/>
        <v>2</v>
      </c>
      <c r="AB41" s="1824" t="str">
        <f t="shared" si="43"/>
        <v>93,16</v>
      </c>
      <c r="AC41" s="1824">
        <f t="shared" si="38"/>
        <v>1</v>
      </c>
      <c r="AD41" s="1571">
        <v>0.7</v>
      </c>
      <c r="AE41" s="702"/>
      <c r="AF41" s="703"/>
      <c r="AG41" s="703"/>
      <c r="AH41" s="703"/>
      <c r="AI41" s="703"/>
      <c r="AJ41" s="704"/>
      <c r="AK41" s="704"/>
      <c r="AL41" s="704"/>
      <c r="AM41" s="704"/>
      <c r="AN41" s="704"/>
      <c r="AO41" s="704"/>
      <c r="AP41" s="704"/>
      <c r="AQ41" s="704"/>
      <c r="AR41" s="704"/>
      <c r="AS41" s="704"/>
      <c r="AT41" s="1471"/>
      <c r="AU41" s="1830" cm="1">
        <f t="array" ref="AU41">IF(H41="","",Slookup(MID(X41,1,3)*1,UomConversion!$D$8:$J$500,2,UomConversion!$I$8:$I$500,1,UomConversion!$J$8:$J$500,1))</f>
        <v>16</v>
      </c>
      <c r="AV41" s="1831" t="str">
        <f t="shared" si="44"/>
        <v>016.m</v>
      </c>
      <c r="AW41" s="1832">
        <f t="shared" si="45"/>
        <v>93</v>
      </c>
      <c r="AX41" s="1832">
        <f t="shared" si="47"/>
        <v>16</v>
      </c>
      <c r="AY41" s="1832" t="str">
        <f t="shared" si="46"/>
        <v/>
      </c>
      <c r="AZ41" s="1824" cm="1">
        <f t="array" ref="AZ41">IF(Y41="",1,Slookup(MID(X41,1,3)*1,UomConversion!$D$8:$J$500,5,UomConversion!$E$8:$E$500,MID(Y41,1,3)*1,UomConversion!$I$8:$I$500,1))</f>
        <v>250</v>
      </c>
      <c r="BA41" s="1824" cm="1">
        <f t="array" ref="BA41">IF(Z41="",1,Slookup(MID(X41,1,3)*1,UomConversion!$D$8:$J$500,5,UomConversion!$E$8:$E$500,MID(Z41,1,3)*1,UomConversion!$I$8:$I$500,1))</f>
        <v>1</v>
      </c>
      <c r="BB41" s="705"/>
      <c r="BC41" s="705"/>
      <c r="BD41" s="705"/>
      <c r="BE41" s="316"/>
      <c r="BG41" s="656"/>
    </row>
    <row r="42" spans="2:59" s="281" customFormat="1" ht="24.95" customHeight="1">
      <c r="C42" s="483">
        <v>457</v>
      </c>
      <c r="D42" s="483"/>
      <c r="E42" s="483"/>
      <c r="F42" s="652" t="s">
        <v>4664</v>
      </c>
      <c r="G42" s="653" t="s">
        <v>4664</v>
      </c>
      <c r="H42" s="505" t="s">
        <v>4696</v>
      </c>
      <c r="I42" s="505" t="s">
        <v>4696</v>
      </c>
      <c r="J42" s="662" t="s">
        <v>3926</v>
      </c>
      <c r="K42" s="662" t="s">
        <v>3935</v>
      </c>
      <c r="L42" s="507" t="s">
        <v>3937</v>
      </c>
      <c r="M42" s="505"/>
      <c r="N42" s="654"/>
      <c r="O42" s="1561">
        <v>0.9</v>
      </c>
      <c r="P42" s="1453">
        <v>1.25</v>
      </c>
      <c r="Q42" s="520"/>
      <c r="R42" s="483">
        <v>1</v>
      </c>
      <c r="S42" s="483">
        <v>0</v>
      </c>
      <c r="T42" s="483">
        <v>1</v>
      </c>
      <c r="U42" s="483">
        <v>0</v>
      </c>
      <c r="V42" s="483">
        <v>0</v>
      </c>
      <c r="W42" s="483">
        <v>1</v>
      </c>
      <c r="X42" s="507" t="s">
        <v>2783</v>
      </c>
      <c r="Y42" s="1824" t="str">
        <f>IF(OR(ISNA(MATCH(MID(X42,1,3)*1,UomConversion!$D$8:$D$500,0)),H42=""),"",IF(AV42="","",AV42))</f>
        <v/>
      </c>
      <c r="Z42" s="1824" t="str">
        <f>IF(AND(AU42&gt;0,COUNTIFS(UomConversion!$D$8:$D$500,MID(X42,1,3)*1,UomConversion!$J$8:$J$500,1)&gt;1),TEXT(AU42,"000")&amp;"."&amp;VLOOKUP(AU42,uom_list,5,FALSE),"")</f>
        <v/>
      </c>
      <c r="AA42" s="1824">
        <f t="shared" si="42"/>
        <v>1</v>
      </c>
      <c r="AB42" s="1824" t="str">
        <f t="shared" si="43"/>
        <v>2</v>
      </c>
      <c r="AC42" s="1824">
        <f t="shared" si="38"/>
        <v>1</v>
      </c>
      <c r="AD42" s="1571">
        <v>1.25</v>
      </c>
      <c r="AE42" s="702"/>
      <c r="AF42" s="703"/>
      <c r="AG42" s="703"/>
      <c r="AH42" s="703"/>
      <c r="AI42" s="703"/>
      <c r="AJ42" s="704"/>
      <c r="AK42" s="704"/>
      <c r="AL42" s="704"/>
      <c r="AM42" s="704"/>
      <c r="AN42" s="704"/>
      <c r="AO42" s="704"/>
      <c r="AP42" s="704"/>
      <c r="AQ42" s="704"/>
      <c r="AR42" s="704"/>
      <c r="AS42" s="704"/>
      <c r="AT42" s="1471"/>
      <c r="AU42" s="1830" cm="1">
        <f t="array" ref="AU42">IF(H42="","",Slookup(MID(X42,1,3)*1,UomConversion!$D$8:$J$500,2,UomConversion!$I$8:$I$500,1,UomConversion!$J$8:$J$500,1))</f>
        <v>0</v>
      </c>
      <c r="AV42" s="1831" t="str">
        <f t="shared" si="44"/>
        <v/>
      </c>
      <c r="AW42" s="1832">
        <f t="shared" si="45"/>
        <v>2</v>
      </c>
      <c r="AX42" s="1832" t="str">
        <f t="shared" si="47"/>
        <v/>
      </c>
      <c r="AY42" s="1832" t="str">
        <f t="shared" si="46"/>
        <v/>
      </c>
      <c r="AZ42" s="1824" cm="1">
        <f t="array" ref="AZ42">IF(Y42="",1,Slookup(MID(X42,1,3)*1,UomConversion!$D$8:$J$500,5,UomConversion!$E$8:$E$500,MID(Y42,1,3)*1,UomConversion!$I$8:$I$500,1))</f>
        <v>1</v>
      </c>
      <c r="BA42" s="1824" cm="1">
        <f t="array" ref="BA42">IF(Z42="",1,Slookup(MID(X42,1,3)*1,UomConversion!$D$8:$J$500,5,UomConversion!$E$8:$E$500,MID(Z42,1,3)*1,UomConversion!$I$8:$I$500,1))</f>
        <v>1</v>
      </c>
      <c r="BB42" s="705"/>
      <c r="BC42" s="705"/>
      <c r="BD42" s="705"/>
      <c r="BE42" s="316"/>
      <c r="BG42" s="656"/>
    </row>
    <row r="43" spans="2:59" s="281" customFormat="1" ht="24.95" customHeight="1">
      <c r="C43" s="483">
        <v>458</v>
      </c>
      <c r="D43" s="483"/>
      <c r="E43" s="483"/>
      <c r="F43" s="652" t="s">
        <v>4665</v>
      </c>
      <c r="G43" s="653" t="s">
        <v>4665</v>
      </c>
      <c r="H43" s="505" t="s">
        <v>4697</v>
      </c>
      <c r="I43" s="505" t="s">
        <v>4697</v>
      </c>
      <c r="J43" s="662" t="s">
        <v>4706</v>
      </c>
      <c r="K43" s="662" t="s">
        <v>3934</v>
      </c>
      <c r="L43" s="507" t="s">
        <v>4097</v>
      </c>
      <c r="M43" s="505"/>
      <c r="N43" s="654"/>
      <c r="O43" s="1561">
        <v>4.0999999999999996</v>
      </c>
      <c r="P43" s="1453">
        <v>6</v>
      </c>
      <c r="Q43" s="520"/>
      <c r="R43" s="483">
        <v>12</v>
      </c>
      <c r="S43" s="483">
        <v>0</v>
      </c>
      <c r="T43" s="483">
        <v>1</v>
      </c>
      <c r="U43" s="483">
        <v>0</v>
      </c>
      <c r="V43" s="483">
        <v>0</v>
      </c>
      <c r="W43" s="483">
        <v>1</v>
      </c>
      <c r="X43" s="507" t="s">
        <v>2779</v>
      </c>
      <c r="Y43" s="1824" t="str">
        <f>IF(OR(ISNA(MATCH(MID(X43,1,3)*1,UomConversion!$D$8:$D$500,0)),H43=""),"",IF(AV43="","",AV43))</f>
        <v>002.pcs</v>
      </c>
      <c r="Z43" s="1824" t="str">
        <f>IF(AND(AU43&gt;0,COUNTIFS(UomConversion!$D$8:$D$500,MID(X43,1,3)*1,UomConversion!$J$8:$J$500,1)&gt;1),TEXT(AU43,"000")&amp;"."&amp;VLOOKUP(AU43,uom_list,5,FALSE),"")</f>
        <v/>
      </c>
      <c r="AA43" s="1824">
        <f t="shared" si="42"/>
        <v>2</v>
      </c>
      <c r="AB43" s="1824" t="str">
        <f t="shared" si="43"/>
        <v>49,2</v>
      </c>
      <c r="AC43" s="1824">
        <f t="shared" si="38"/>
        <v>1</v>
      </c>
      <c r="AD43" s="1571">
        <v>0.5</v>
      </c>
      <c r="AE43" s="702"/>
      <c r="AF43" s="703"/>
      <c r="AG43" s="703"/>
      <c r="AH43" s="703"/>
      <c r="AI43" s="703"/>
      <c r="AJ43" s="704"/>
      <c r="AK43" s="704"/>
      <c r="AL43" s="704"/>
      <c r="AM43" s="704"/>
      <c r="AN43" s="704"/>
      <c r="AO43" s="704"/>
      <c r="AP43" s="704"/>
      <c r="AQ43" s="704"/>
      <c r="AR43" s="704"/>
      <c r="AS43" s="704"/>
      <c r="AT43" s="1471"/>
      <c r="AU43" s="1830" cm="1">
        <f t="array" ref="AU43">IF(H43="","",Slookup(MID(X43,1,3)*1,UomConversion!$D$8:$J$500,2,UomConversion!$I$8:$I$500,1,UomConversion!$J$8:$J$500,1))</f>
        <v>2</v>
      </c>
      <c r="AV43" s="1831" t="str">
        <f t="shared" si="44"/>
        <v>002.pcs</v>
      </c>
      <c r="AW43" s="1832">
        <f t="shared" si="45"/>
        <v>49</v>
      </c>
      <c r="AX43" s="1832">
        <f t="shared" si="47"/>
        <v>2</v>
      </c>
      <c r="AY43" s="1832" t="str">
        <f t="shared" si="46"/>
        <v/>
      </c>
      <c r="AZ43" s="1824" cm="1">
        <f t="array" ref="AZ43">IF(Y43="",1,Slookup(MID(X43,1,3)*1,UomConversion!$D$8:$J$500,5,UomConversion!$E$8:$E$500,MID(Y43,1,3)*1,UomConversion!$I$8:$I$500,1))</f>
        <v>12</v>
      </c>
      <c r="BA43" s="1824" cm="1">
        <f t="array" ref="BA43">IF(Z43="",1,Slookup(MID(X43,1,3)*1,UomConversion!$D$8:$J$500,5,UomConversion!$E$8:$E$500,MID(Z43,1,3)*1,UomConversion!$I$8:$I$500,1))</f>
        <v>1</v>
      </c>
      <c r="BB43" s="705"/>
      <c r="BC43" s="705"/>
      <c r="BD43" s="705"/>
      <c r="BE43" s="316"/>
      <c r="BG43" s="656"/>
    </row>
    <row r="44" spans="2:59" s="281" customFormat="1" ht="24.95" customHeight="1">
      <c r="C44" s="483">
        <v>459</v>
      </c>
      <c r="D44" s="483"/>
      <c r="E44" s="483"/>
      <c r="F44" s="652" t="s">
        <v>4666</v>
      </c>
      <c r="G44" s="653" t="s">
        <v>4666</v>
      </c>
      <c r="H44" s="505" t="s">
        <v>4698</v>
      </c>
      <c r="I44" s="505" t="s">
        <v>4698</v>
      </c>
      <c r="J44" s="662" t="s">
        <v>4706</v>
      </c>
      <c r="K44" s="662" t="s">
        <v>3934</v>
      </c>
      <c r="L44" s="507" t="s">
        <v>4097</v>
      </c>
      <c r="M44" s="505"/>
      <c r="N44" s="654"/>
      <c r="O44" s="1561">
        <v>5.6</v>
      </c>
      <c r="P44" s="1453">
        <v>7.5</v>
      </c>
      <c r="Q44" s="520"/>
      <c r="R44" s="483">
        <v>12</v>
      </c>
      <c r="S44" s="483">
        <v>0</v>
      </c>
      <c r="T44" s="483">
        <v>1</v>
      </c>
      <c r="U44" s="483">
        <v>0</v>
      </c>
      <c r="V44" s="483">
        <v>0</v>
      </c>
      <c r="W44" s="483">
        <v>1</v>
      </c>
      <c r="X44" s="507" t="s">
        <v>2779</v>
      </c>
      <c r="Y44" s="1824" t="str">
        <f>IF(OR(ISNA(MATCH(MID(X44,1,3)*1,UomConversion!$D$8:$D$500,0)),H44=""),"",IF(AV44="","",AV44))</f>
        <v>002.pcs</v>
      </c>
      <c r="Z44" s="1824" t="str">
        <f>IF(AND(AU44&gt;0,COUNTIFS(UomConversion!$D$8:$D$500,MID(X44,1,3)*1,UomConversion!$J$8:$J$500,1)&gt;1),TEXT(AU44,"000")&amp;"."&amp;VLOOKUP(AU44,uom_list,5,FALSE),"")</f>
        <v/>
      </c>
      <c r="AA44" s="1824">
        <f t="shared" si="42"/>
        <v>2</v>
      </c>
      <c r="AB44" s="1824" t="str">
        <f t="shared" si="43"/>
        <v>49,2</v>
      </c>
      <c r="AC44" s="1824">
        <f t="shared" si="38"/>
        <v>1</v>
      </c>
      <c r="AD44" s="1571">
        <v>0.625</v>
      </c>
      <c r="AE44" s="702"/>
      <c r="AF44" s="703"/>
      <c r="AG44" s="703"/>
      <c r="AH44" s="703"/>
      <c r="AI44" s="703"/>
      <c r="AJ44" s="704"/>
      <c r="AK44" s="704"/>
      <c r="AL44" s="704"/>
      <c r="AM44" s="704"/>
      <c r="AN44" s="704"/>
      <c r="AO44" s="704"/>
      <c r="AP44" s="704"/>
      <c r="AQ44" s="704"/>
      <c r="AR44" s="704"/>
      <c r="AS44" s="704"/>
      <c r="AT44" s="1471"/>
      <c r="AU44" s="1830" cm="1">
        <f t="array" ref="AU44">IF(H44="","",Slookup(MID(X44,1,3)*1,UomConversion!$D$8:$J$500,2,UomConversion!$I$8:$I$500,1,UomConversion!$J$8:$J$500,1))</f>
        <v>2</v>
      </c>
      <c r="AV44" s="1831" t="str">
        <f t="shared" si="44"/>
        <v>002.pcs</v>
      </c>
      <c r="AW44" s="1832">
        <f t="shared" si="45"/>
        <v>49</v>
      </c>
      <c r="AX44" s="1832">
        <f t="shared" si="47"/>
        <v>2</v>
      </c>
      <c r="AY44" s="1832" t="str">
        <f t="shared" si="46"/>
        <v/>
      </c>
      <c r="AZ44" s="1824" cm="1">
        <f t="array" ref="AZ44">IF(Y44="",1,Slookup(MID(X44,1,3)*1,UomConversion!$D$8:$J$500,5,UomConversion!$E$8:$E$500,MID(Y44,1,3)*1,UomConversion!$I$8:$I$500,1))</f>
        <v>12</v>
      </c>
      <c r="BA44" s="1824" cm="1">
        <f t="array" ref="BA44">IF(Z44="",1,Slookup(MID(X44,1,3)*1,UomConversion!$D$8:$J$500,5,UomConversion!$E$8:$E$500,MID(Z44,1,3)*1,UomConversion!$I$8:$I$500,1))</f>
        <v>1</v>
      </c>
      <c r="BB44" s="705"/>
      <c r="BC44" s="705"/>
      <c r="BD44" s="705"/>
      <c r="BE44" s="316"/>
      <c r="BG44" s="656"/>
    </row>
    <row r="45" spans="2:59" s="655" customFormat="1" ht="24.95" customHeight="1">
      <c r="B45" s="281"/>
      <c r="C45" s="483">
        <v>460</v>
      </c>
      <c r="D45" s="483"/>
      <c r="E45" s="483"/>
      <c r="F45" s="652" t="s">
        <v>4667</v>
      </c>
      <c r="G45" s="653" t="s">
        <v>4667</v>
      </c>
      <c r="H45" s="505" t="s">
        <v>4699</v>
      </c>
      <c r="I45" s="505" t="s">
        <v>4699</v>
      </c>
      <c r="J45" s="662" t="s">
        <v>4706</v>
      </c>
      <c r="K45" s="662" t="s">
        <v>4638</v>
      </c>
      <c r="L45" s="507" t="s">
        <v>4475</v>
      </c>
      <c r="M45" s="505"/>
      <c r="N45" s="654"/>
      <c r="O45" s="1561">
        <v>17</v>
      </c>
      <c r="P45" s="1453">
        <v>22</v>
      </c>
      <c r="Q45" s="520"/>
      <c r="R45" s="483">
        <v>1</v>
      </c>
      <c r="S45" s="483">
        <v>0</v>
      </c>
      <c r="T45" s="483">
        <v>1</v>
      </c>
      <c r="U45" s="483">
        <v>0</v>
      </c>
      <c r="V45" s="483">
        <v>0</v>
      </c>
      <c r="W45" s="483">
        <v>1</v>
      </c>
      <c r="X45" s="507" t="s">
        <v>4588</v>
      </c>
      <c r="Y45" s="1824" t="str">
        <f>IF(OR(ISNA(MATCH(MID(X45,1,3)*1,UomConversion!$D$8:$D$500,0)),H45=""),"",IF(AV45="","",AV45))</f>
        <v/>
      </c>
      <c r="Z45" s="1824" t="str">
        <f>IF(AND(AU45&gt;0,COUNTIFS(UomConversion!$D$8:$D$500,MID(X45,1,3)*1,UomConversion!$J$8:$J$500,1)&gt;1),TEXT(AU45,"000")&amp;"."&amp;VLOOKUP(AU45,uom_list,5,FALSE),"")</f>
        <v/>
      </c>
      <c r="AA45" s="1824">
        <f t="shared" si="42"/>
        <v>1</v>
      </c>
      <c r="AB45" s="1824" t="str">
        <f t="shared" si="43"/>
        <v>89</v>
      </c>
      <c r="AC45" s="1824">
        <f t="shared" si="38"/>
        <v>1</v>
      </c>
      <c r="AD45" s="1571">
        <v>22</v>
      </c>
      <c r="AE45" s="702"/>
      <c r="AF45" s="703"/>
      <c r="AG45" s="703"/>
      <c r="AH45" s="703"/>
      <c r="AI45" s="703"/>
      <c r="AJ45" s="704"/>
      <c r="AK45" s="704"/>
      <c r="AL45" s="704"/>
      <c r="AM45" s="704"/>
      <c r="AN45" s="704"/>
      <c r="AO45" s="704"/>
      <c r="AP45" s="704"/>
      <c r="AQ45" s="704"/>
      <c r="AR45" s="704"/>
      <c r="AS45" s="704"/>
      <c r="AT45" s="1471"/>
      <c r="AU45" s="1830" cm="1">
        <f t="array" ref="AU45">IF(H45="","",Slookup(MID(X45,1,3)*1,UomConversion!$D$8:$J$500,2,UomConversion!$I$8:$I$500,1,UomConversion!$J$8:$J$500,1))</f>
        <v>0</v>
      </c>
      <c r="AV45" s="1831" t="str">
        <f t="shared" si="44"/>
        <v/>
      </c>
      <c r="AW45" s="1832">
        <f t="shared" si="45"/>
        <v>89</v>
      </c>
      <c r="AX45" s="1832" t="str">
        <f t="shared" si="47"/>
        <v/>
      </c>
      <c r="AY45" s="1832" t="str">
        <f t="shared" si="46"/>
        <v/>
      </c>
      <c r="AZ45" s="1824" cm="1">
        <f t="array" ref="AZ45">IF(Y45="",1,Slookup(MID(X45,1,3)*1,UomConversion!$D$8:$J$500,5,UomConversion!$E$8:$E$500,MID(Y45,1,3)*1,UomConversion!$I$8:$I$500,1))</f>
        <v>1</v>
      </c>
      <c r="BA45" s="1824" cm="1">
        <f t="array" ref="BA45">IF(Z45="",1,Slookup(MID(X45,1,3)*1,UomConversion!$D$8:$J$500,5,UomConversion!$E$8:$E$500,MID(Z45,1,3)*1,UomConversion!$I$8:$I$500,1))</f>
        <v>1</v>
      </c>
      <c r="BB45" s="705"/>
      <c r="BC45" s="705"/>
      <c r="BD45" s="705"/>
      <c r="BE45" s="316"/>
      <c r="BG45" s="656"/>
    </row>
    <row r="46" spans="2:59" s="655" customFormat="1" ht="24.95" customHeight="1">
      <c r="B46" s="281"/>
      <c r="C46" s="483">
        <v>461</v>
      </c>
      <c r="D46" s="483"/>
      <c r="E46" s="483"/>
      <c r="F46" s="652" t="s">
        <v>4668</v>
      </c>
      <c r="G46" s="653" t="s">
        <v>4668</v>
      </c>
      <c r="H46" s="505" t="s">
        <v>4700</v>
      </c>
      <c r="I46" s="505" t="s">
        <v>4700</v>
      </c>
      <c r="J46" s="662" t="s">
        <v>3929</v>
      </c>
      <c r="K46" s="662" t="s">
        <v>3935</v>
      </c>
      <c r="L46" s="507" t="s">
        <v>3937</v>
      </c>
      <c r="M46" s="505"/>
      <c r="N46" s="654"/>
      <c r="O46" s="1561">
        <v>9.8000000000000007</v>
      </c>
      <c r="P46" s="1453">
        <v>12</v>
      </c>
      <c r="Q46" s="520"/>
      <c r="R46" s="483">
        <v>1</v>
      </c>
      <c r="S46" s="483">
        <v>0</v>
      </c>
      <c r="T46" s="483">
        <v>1</v>
      </c>
      <c r="U46" s="483">
        <v>0</v>
      </c>
      <c r="V46" s="483">
        <v>0</v>
      </c>
      <c r="W46" s="483">
        <v>1</v>
      </c>
      <c r="X46" s="507" t="s">
        <v>2783</v>
      </c>
      <c r="Y46" s="1824" t="str">
        <f>IF(OR(ISNA(MATCH(MID(X46,1,3)*1,UomConversion!$D$8:$D$500,0)),H46=""),"",IF(AV46="","",AV46))</f>
        <v/>
      </c>
      <c r="Z46" s="1824" t="str">
        <f>IF(AND(AU46&gt;0,COUNTIFS(UomConversion!$D$8:$D$500,MID(X46,1,3)*1,UomConversion!$J$8:$J$500,1)&gt;1),TEXT(AU46,"000")&amp;"."&amp;VLOOKUP(AU46,uom_list,5,FALSE),"")</f>
        <v/>
      </c>
      <c r="AA46" s="1824">
        <f t="shared" si="42"/>
        <v>1</v>
      </c>
      <c r="AB46" s="1824" t="str">
        <f t="shared" si="43"/>
        <v>2</v>
      </c>
      <c r="AC46" s="1824">
        <f t="shared" si="38"/>
        <v>1</v>
      </c>
      <c r="AD46" s="1571">
        <v>12</v>
      </c>
      <c r="AE46" s="702"/>
      <c r="AF46" s="703"/>
      <c r="AG46" s="703"/>
      <c r="AH46" s="703"/>
      <c r="AI46" s="703"/>
      <c r="AJ46" s="704"/>
      <c r="AK46" s="704"/>
      <c r="AL46" s="704"/>
      <c r="AM46" s="704"/>
      <c r="AN46" s="704"/>
      <c r="AO46" s="704"/>
      <c r="AP46" s="704"/>
      <c r="AQ46" s="704"/>
      <c r="AR46" s="704"/>
      <c r="AS46" s="704"/>
      <c r="AT46" s="1471"/>
      <c r="AU46" s="1830" cm="1">
        <f t="array" ref="AU46">IF(H46="","",Slookup(MID(X46,1,3)*1,UomConversion!$D$8:$J$500,2,UomConversion!$I$8:$I$500,1,UomConversion!$J$8:$J$500,1))</f>
        <v>0</v>
      </c>
      <c r="AV46" s="1831" t="str">
        <f t="shared" si="44"/>
        <v/>
      </c>
      <c r="AW46" s="1832">
        <f t="shared" si="45"/>
        <v>2</v>
      </c>
      <c r="AX46" s="1832" t="str">
        <f t="shared" si="47"/>
        <v/>
      </c>
      <c r="AY46" s="1832" t="str">
        <f t="shared" si="46"/>
        <v/>
      </c>
      <c r="AZ46" s="1824" cm="1">
        <f t="array" ref="AZ46">IF(Y46="",1,Slookup(MID(X46,1,3)*1,UomConversion!$D$8:$J$500,5,UomConversion!$E$8:$E$500,MID(Y46,1,3)*1,UomConversion!$I$8:$I$500,1))</f>
        <v>1</v>
      </c>
      <c r="BA46" s="1824" cm="1">
        <f t="array" ref="BA46">IF(Z46="",1,Slookup(MID(X46,1,3)*1,UomConversion!$D$8:$J$500,5,UomConversion!$E$8:$E$500,MID(Z46,1,3)*1,UomConversion!$I$8:$I$500,1))</f>
        <v>1</v>
      </c>
      <c r="BB46" s="705"/>
      <c r="BC46" s="705"/>
      <c r="BD46" s="705"/>
      <c r="BG46" s="656"/>
    </row>
    <row r="47" spans="2:59" s="655" customFormat="1" ht="24.95" customHeight="1">
      <c r="B47" s="281"/>
      <c r="C47" s="483">
        <v>462</v>
      </c>
      <c r="D47" s="483"/>
      <c r="E47" s="483"/>
      <c r="F47" s="652" t="s">
        <v>4669</v>
      </c>
      <c r="G47" s="653" t="s">
        <v>4669</v>
      </c>
      <c r="H47" s="505" t="s">
        <v>4701</v>
      </c>
      <c r="I47" s="505" t="s">
        <v>4701</v>
      </c>
      <c r="J47" s="662" t="s">
        <v>3929</v>
      </c>
      <c r="K47" s="662" t="s">
        <v>2799</v>
      </c>
      <c r="L47" s="507" t="s">
        <v>3937</v>
      </c>
      <c r="M47" s="505"/>
      <c r="N47" s="654"/>
      <c r="O47" s="1561">
        <v>3.5</v>
      </c>
      <c r="P47" s="1453">
        <v>4.5</v>
      </c>
      <c r="Q47" s="520"/>
      <c r="R47" s="483">
        <v>1</v>
      </c>
      <c r="S47" s="483"/>
      <c r="T47" s="483"/>
      <c r="U47" s="483"/>
      <c r="V47" s="483"/>
      <c r="W47" s="483">
        <v>1</v>
      </c>
      <c r="X47" s="507" t="s">
        <v>2783</v>
      </c>
      <c r="Y47" s="1824" t="str">
        <f>IF(OR(ISNA(MATCH(MID(X47,1,3)*1,UomConversion!$D$8:$D$500,0)),H47=""),"",IF(AV47="","",AV47))</f>
        <v/>
      </c>
      <c r="Z47" s="1824"/>
      <c r="AA47" s="1824">
        <f t="shared" si="42"/>
        <v>1</v>
      </c>
      <c r="AB47" s="1824" t="str">
        <f t="shared" si="43"/>
        <v>2</v>
      </c>
      <c r="AC47" s="1824">
        <f t="shared" si="38"/>
        <v>1</v>
      </c>
      <c r="AD47" s="1571">
        <v>4.5</v>
      </c>
      <c r="AE47" s="702"/>
      <c r="AF47" s="703"/>
      <c r="AG47" s="703"/>
      <c r="AH47" s="703"/>
      <c r="AI47" s="703"/>
      <c r="AJ47" s="704"/>
      <c r="AK47" s="704"/>
      <c r="AL47" s="704"/>
      <c r="AM47" s="704"/>
      <c r="AN47" s="704"/>
      <c r="AO47" s="704"/>
      <c r="AP47" s="704"/>
      <c r="AQ47" s="704"/>
      <c r="AR47" s="704"/>
      <c r="AS47" s="704"/>
      <c r="AT47" s="1471"/>
      <c r="AU47" s="1830" cm="1">
        <f t="array" ref="AU47">IF(H47="","",Slookup(MID(X47,1,3)*1,UomConversion!$D$8:$J$500,2,UomConversion!$I$8:$I$500,1,UomConversion!$J$8:$J$500,1))</f>
        <v>0</v>
      </c>
      <c r="AV47" s="1831" t="str">
        <f t="shared" si="44"/>
        <v/>
      </c>
      <c r="AW47" s="1832">
        <f t="shared" si="45"/>
        <v>2</v>
      </c>
      <c r="AX47" s="1832" t="str">
        <f t="shared" si="47"/>
        <v/>
      </c>
      <c r="AY47" s="1832" t="str">
        <f t="shared" si="46"/>
        <v/>
      </c>
      <c r="AZ47" s="1824" cm="1">
        <f t="array" ref="AZ47">IF(Y47="",1,Slookup(MID(X47,1,3)*1,UomConversion!$D$8:$J$500,5,UomConversion!$E$8:$E$500,MID(Y47,1,3)*1,UomConversion!$I$8:$I$500,1))</f>
        <v>1</v>
      </c>
      <c r="BA47" s="1824" cm="1">
        <f t="array" ref="BA47">IF(Z47="",1,Slookup(MID(X47,1,3)*1,UomConversion!$D$8:$J$500,5,UomConversion!$E$8:$E$500,MID(Z47,1,3)*1,UomConversion!$I$8:$I$500,1))</f>
        <v>1</v>
      </c>
      <c r="BB47" s="705"/>
      <c r="BC47" s="705"/>
      <c r="BD47" s="705"/>
      <c r="BE47" s="316"/>
      <c r="BG47" s="656"/>
    </row>
    <row r="48" spans="2:59" s="655" customFormat="1" ht="24.95" customHeight="1">
      <c r="B48" s="281"/>
      <c r="C48" s="483">
        <v>463</v>
      </c>
      <c r="D48" s="483"/>
      <c r="E48" s="483"/>
      <c r="F48" s="652" t="s">
        <v>4670</v>
      </c>
      <c r="G48" s="653" t="s">
        <v>4670</v>
      </c>
      <c r="H48" s="505" t="s">
        <v>4702</v>
      </c>
      <c r="I48" s="505" t="s">
        <v>4702</v>
      </c>
      <c r="J48" s="662" t="s">
        <v>3929</v>
      </c>
      <c r="K48" s="662" t="s">
        <v>3935</v>
      </c>
      <c r="L48" s="507" t="s">
        <v>3937</v>
      </c>
      <c r="M48" s="505"/>
      <c r="N48" s="654"/>
      <c r="O48" s="1561">
        <v>16.7</v>
      </c>
      <c r="P48" s="1453">
        <v>20</v>
      </c>
      <c r="Q48" s="520"/>
      <c r="R48" s="483">
        <v>1</v>
      </c>
      <c r="S48" s="483"/>
      <c r="T48" s="483"/>
      <c r="U48" s="483"/>
      <c r="V48" s="483"/>
      <c r="W48" s="483">
        <v>1</v>
      </c>
      <c r="X48" s="507" t="s">
        <v>2783</v>
      </c>
      <c r="Y48" s="1824" t="str">
        <f>IF(OR(ISNA(MATCH(MID(X48,1,3)*1,UomConversion!$D$8:$D$500,0)),H48=""),"",IF(AV48="","",AV48))</f>
        <v/>
      </c>
      <c r="Z48" s="1824"/>
      <c r="AA48" s="1824">
        <f t="shared" si="42"/>
        <v>1</v>
      </c>
      <c r="AB48" s="1824" t="str">
        <f t="shared" si="43"/>
        <v>2</v>
      </c>
      <c r="AC48" s="1824">
        <f t="shared" si="38"/>
        <v>1</v>
      </c>
      <c r="AD48" s="1571">
        <v>20</v>
      </c>
      <c r="AE48" s="702"/>
      <c r="AF48" s="703"/>
      <c r="AG48" s="703"/>
      <c r="AH48" s="703"/>
      <c r="AI48" s="703"/>
      <c r="AJ48" s="704"/>
      <c r="AK48" s="704"/>
      <c r="AL48" s="704"/>
      <c r="AM48" s="704"/>
      <c r="AN48" s="704"/>
      <c r="AO48" s="704"/>
      <c r="AP48" s="704"/>
      <c r="AQ48" s="704"/>
      <c r="AR48" s="704"/>
      <c r="AS48" s="704"/>
      <c r="AT48" s="1471"/>
      <c r="AU48" s="1830" cm="1">
        <f t="array" ref="AU48">IF(H48="","",Slookup(MID(X48,1,3)*1,UomConversion!$D$8:$J$500,2,UomConversion!$I$8:$I$500,1,UomConversion!$J$8:$J$500,1))</f>
        <v>0</v>
      </c>
      <c r="AV48" s="1831" t="str">
        <f t="shared" si="44"/>
        <v/>
      </c>
      <c r="AW48" s="1832">
        <f t="shared" si="45"/>
        <v>2</v>
      </c>
      <c r="AX48" s="1832" t="str">
        <f>IF(Y48="","",MID(Y48,1,3)*1)</f>
        <v/>
      </c>
      <c r="AY48" s="1832" t="str">
        <f t="shared" si="46"/>
        <v/>
      </c>
      <c r="AZ48" s="1824" cm="1">
        <f t="array" ref="AZ48">IF(Y48="",1,Slookup(MID(X48,1,3)*1,UomConversion!$D$8:$J$500,5,UomConversion!$E$8:$E$500,MID(Y48,1,3)*1,UomConversion!$I$8:$I$500,1))</f>
        <v>1</v>
      </c>
      <c r="BA48" s="1824" cm="1">
        <f t="array" ref="BA48">IF(Z48="",1,Slookup(MID(X48,1,3)*1,UomConversion!$D$8:$J$500,5,UomConversion!$E$8:$E$500,MID(Z48,1,3)*1,UomConversion!$I$8:$I$500,1))</f>
        <v>1</v>
      </c>
      <c r="BB48" s="705"/>
      <c r="BC48" s="705"/>
      <c r="BD48" s="705"/>
      <c r="BE48" s="706"/>
      <c r="BG48" s="656"/>
    </row>
    <row r="49" spans="2:59" s="655" customFormat="1" ht="24.95" customHeight="1">
      <c r="B49" s="281"/>
      <c r="C49" s="483">
        <v>464</v>
      </c>
      <c r="D49" s="483"/>
      <c r="E49" s="483"/>
      <c r="F49" s="652" t="s">
        <v>4671</v>
      </c>
      <c r="G49" s="653" t="s">
        <v>4671</v>
      </c>
      <c r="H49" s="505" t="s">
        <v>4703</v>
      </c>
      <c r="I49" s="505" t="s">
        <v>4703</v>
      </c>
      <c r="J49" s="662" t="s">
        <v>3929</v>
      </c>
      <c r="K49" s="662" t="s">
        <v>3935</v>
      </c>
      <c r="L49" s="507" t="s">
        <v>3937</v>
      </c>
      <c r="M49" s="505"/>
      <c r="N49" s="654"/>
      <c r="O49" s="1561">
        <v>8.5</v>
      </c>
      <c r="P49" s="1453">
        <v>11.5</v>
      </c>
      <c r="Q49" s="520"/>
      <c r="R49" s="483">
        <v>1</v>
      </c>
      <c r="S49" s="483"/>
      <c r="T49" s="483"/>
      <c r="U49" s="483"/>
      <c r="V49" s="483"/>
      <c r="W49" s="483">
        <v>1</v>
      </c>
      <c r="X49" s="507" t="s">
        <v>2783</v>
      </c>
      <c r="Y49" s="1824" t="str">
        <f>IF(OR(ISNA(MATCH(MID(X49,1,3)*1,UomConversion!$D$8:$D$500,0)),H49=""),"",IF(AV49="","",AV49))</f>
        <v/>
      </c>
      <c r="Z49" s="1824"/>
      <c r="AA49" s="1824">
        <f t="shared" si="42"/>
        <v>1</v>
      </c>
      <c r="AB49" s="1824" t="str">
        <f t="shared" si="43"/>
        <v>2</v>
      </c>
      <c r="AC49" s="1824">
        <f t="shared" si="38"/>
        <v>1</v>
      </c>
      <c r="AD49" s="1571">
        <v>11.5</v>
      </c>
      <c r="AE49" s="702"/>
      <c r="AF49" s="703"/>
      <c r="AG49" s="703"/>
      <c r="AH49" s="703"/>
      <c r="AI49" s="703"/>
      <c r="AJ49" s="704"/>
      <c r="AK49" s="704"/>
      <c r="AL49" s="704"/>
      <c r="AM49" s="704"/>
      <c r="AN49" s="704"/>
      <c r="AO49" s="704"/>
      <c r="AP49" s="704"/>
      <c r="AQ49" s="704"/>
      <c r="AR49" s="704"/>
      <c r="AS49" s="704"/>
      <c r="AT49" s="1471"/>
      <c r="AU49" s="1830" cm="1">
        <f t="array" ref="AU49">IF(H49="","",Slookup(MID(X49,1,3)*1,UomConversion!$D$8:$J$500,2,UomConversion!$I$8:$I$500,1,UomConversion!$J$8:$J$500,1))</f>
        <v>0</v>
      </c>
      <c r="AV49" s="1831" t="str">
        <f t="shared" si="44"/>
        <v/>
      </c>
      <c r="AW49" s="1832">
        <f t="shared" si="45"/>
        <v>2</v>
      </c>
      <c r="AX49" s="1832" t="str">
        <f t="shared" si="47"/>
        <v/>
      </c>
      <c r="AY49" s="1832" t="str">
        <f t="shared" si="46"/>
        <v/>
      </c>
      <c r="AZ49" s="1824" cm="1">
        <f t="array" ref="AZ49">IF(Y49="",1,Slookup(MID(X49,1,3)*1,UomConversion!$D$8:$J$500,5,UomConversion!$E$8:$E$500,MID(Y49,1,3)*1,UomConversion!$I$8:$I$500,1))</f>
        <v>1</v>
      </c>
      <c r="BA49" s="1824" cm="1">
        <f t="array" ref="BA49">IF(Z49="",1,Slookup(MID(X49,1,3)*1,UomConversion!$D$8:$J$500,5,UomConversion!$E$8:$E$500,MID(Z49,1,3)*1,UomConversion!$I$8:$I$500,1))</f>
        <v>1</v>
      </c>
      <c r="BB49" s="705"/>
      <c r="BC49" s="705"/>
      <c r="BD49" s="705"/>
      <c r="BE49" s="706"/>
      <c r="BG49" s="656"/>
    </row>
    <row r="50" spans="2:59" s="655" customFormat="1" ht="24.95" customHeight="1">
      <c r="B50" s="281"/>
      <c r="C50" s="483">
        <v>465</v>
      </c>
      <c r="D50" s="483"/>
      <c r="E50" s="483"/>
      <c r="F50" s="652" t="s">
        <v>4672</v>
      </c>
      <c r="G50" s="653" t="s">
        <v>4672</v>
      </c>
      <c r="H50" s="505" t="s">
        <v>4704</v>
      </c>
      <c r="I50" s="505" t="s">
        <v>4704</v>
      </c>
      <c r="J50" s="662" t="s">
        <v>3929</v>
      </c>
      <c r="K50" s="662" t="s">
        <v>3935</v>
      </c>
      <c r="L50" s="507" t="s">
        <v>4138</v>
      </c>
      <c r="M50" s="505"/>
      <c r="N50" s="654"/>
      <c r="O50" s="1561">
        <v>1.62</v>
      </c>
      <c r="P50" s="1453">
        <v>2.25</v>
      </c>
      <c r="Q50" s="520"/>
      <c r="R50" s="483">
        <v>10</v>
      </c>
      <c r="S50" s="483"/>
      <c r="T50" s="483"/>
      <c r="U50" s="483"/>
      <c r="V50" s="483"/>
      <c r="W50" s="483">
        <v>1</v>
      </c>
      <c r="X50" s="507" t="s">
        <v>4137</v>
      </c>
      <c r="Y50" s="1824" t="str">
        <f>IF(OR(ISNA(MATCH(MID(X50,1,3)*1,UomConversion!$D$8:$D$500,0)),H50=""),"",IF(AV50="","",AV50))</f>
        <v>055.kham</v>
      </c>
      <c r="Z50" s="1824"/>
      <c r="AA50" s="1824">
        <f t="shared" si="42"/>
        <v>2</v>
      </c>
      <c r="AB50" s="1824" t="str">
        <f t="shared" si="43"/>
        <v>73,55</v>
      </c>
      <c r="AC50" s="1824">
        <f t="shared" si="38"/>
        <v>1</v>
      </c>
      <c r="AD50" s="1571">
        <v>2.3E-2</v>
      </c>
      <c r="AE50" s="702"/>
      <c r="AF50" s="703"/>
      <c r="AG50" s="703"/>
      <c r="AH50" s="703"/>
      <c r="AI50" s="703"/>
      <c r="AJ50" s="704"/>
      <c r="AK50" s="704"/>
      <c r="AL50" s="704"/>
      <c r="AM50" s="704"/>
      <c r="AN50" s="704"/>
      <c r="AO50" s="704"/>
      <c r="AP50" s="704"/>
      <c r="AQ50" s="704"/>
      <c r="AR50" s="704"/>
      <c r="AS50" s="704"/>
      <c r="AT50" s="1471"/>
      <c r="AU50" s="1830" cm="1">
        <f t="array" ref="AU50">IF(H50="","",Slookup(MID(X50,1,3)*1,UomConversion!$D$8:$J$500,2,UomConversion!$I$8:$I$500,1,UomConversion!$J$8:$J$500,1))</f>
        <v>55</v>
      </c>
      <c r="AV50" s="1831" t="str">
        <f t="shared" si="44"/>
        <v>055.kham</v>
      </c>
      <c r="AW50" s="1832">
        <f t="shared" si="45"/>
        <v>73</v>
      </c>
      <c r="AX50" s="1832">
        <f t="shared" si="47"/>
        <v>55</v>
      </c>
      <c r="AY50" s="1832" t="str">
        <f t="shared" si="46"/>
        <v/>
      </c>
      <c r="AZ50" s="1824" cm="1">
        <f t="array" ref="AZ50">IF(Y50="",1,Slookup(MID(X50,1,3)*1,UomConversion!$D$8:$J$500,5,UomConversion!$E$8:$E$500,MID(Y50,1,3)*1,UomConversion!$I$8:$I$500,1))</f>
        <v>10</v>
      </c>
      <c r="BA50" s="1824" cm="1">
        <f t="array" ref="BA50">IF(Z50="",1,Slookup(MID(X50,1,3)*1,UomConversion!$D$8:$J$500,5,UomConversion!$E$8:$E$500,MID(Z50,1,3)*1,UomConversion!$I$8:$I$500,1))</f>
        <v>1</v>
      </c>
      <c r="BB50" s="705"/>
      <c r="BC50" s="705"/>
      <c r="BD50" s="705"/>
      <c r="BG50" s="656"/>
    </row>
    <row r="51" spans="2:59" s="655" customFormat="1" ht="24.95" customHeight="1">
      <c r="B51" s="281"/>
      <c r="C51" s="483">
        <v>466</v>
      </c>
      <c r="D51" s="483"/>
      <c r="E51" s="483"/>
      <c r="F51" s="652" t="s">
        <v>4673</v>
      </c>
      <c r="G51" s="653" t="s">
        <v>4673</v>
      </c>
      <c r="H51" s="505" t="s">
        <v>4705</v>
      </c>
      <c r="I51" s="505" t="s">
        <v>4705</v>
      </c>
      <c r="J51" s="662" t="s">
        <v>3929</v>
      </c>
      <c r="K51" s="662" t="s">
        <v>4707</v>
      </c>
      <c r="L51" s="507" t="s">
        <v>3937</v>
      </c>
      <c r="M51" s="505"/>
      <c r="N51" s="654"/>
      <c r="O51" s="1561">
        <v>92.7</v>
      </c>
      <c r="P51" s="1453">
        <v>115</v>
      </c>
      <c r="Q51" s="520"/>
      <c r="R51" s="483">
        <v>1</v>
      </c>
      <c r="S51" s="483"/>
      <c r="T51" s="483"/>
      <c r="U51" s="483"/>
      <c r="V51" s="483"/>
      <c r="W51" s="483">
        <v>1</v>
      </c>
      <c r="X51" s="507" t="s">
        <v>2783</v>
      </c>
      <c r="Y51" s="1824" t="str">
        <f>IF(OR(ISNA(MATCH(MID(X51,1,3)*1,UomConversion!$D$8:$D$500,0)),H51=""),"",IF(AV51="","",AV51))</f>
        <v/>
      </c>
      <c r="Z51" s="1824"/>
      <c r="AA51" s="1824">
        <f t="shared" si="42"/>
        <v>1</v>
      </c>
      <c r="AB51" s="1824" t="str">
        <f t="shared" si="43"/>
        <v>2</v>
      </c>
      <c r="AC51" s="1824">
        <f t="shared" si="38"/>
        <v>1</v>
      </c>
      <c r="AD51" s="1571">
        <v>115</v>
      </c>
      <c r="AE51" s="702"/>
      <c r="AF51" s="703"/>
      <c r="AG51" s="703"/>
      <c r="AH51" s="703"/>
      <c r="AI51" s="703"/>
      <c r="AJ51" s="704"/>
      <c r="AK51" s="704"/>
      <c r="AL51" s="704"/>
      <c r="AM51" s="704"/>
      <c r="AN51" s="704"/>
      <c r="AO51" s="704"/>
      <c r="AP51" s="704"/>
      <c r="AQ51" s="704"/>
      <c r="AR51" s="704"/>
      <c r="AS51" s="704"/>
      <c r="AT51" s="1471"/>
      <c r="AU51" s="1830" cm="1">
        <f t="array" ref="AU51">IF(H51="","",Slookup(MID(X51,1,3)*1,UomConversion!$D$8:$J$500,2,UomConversion!$I$8:$I$500,1,UomConversion!$J$8:$J$500,1))</f>
        <v>0</v>
      </c>
      <c r="AV51" s="1831" t="str">
        <f t="shared" si="44"/>
        <v/>
      </c>
      <c r="AW51" s="1832">
        <f t="shared" si="45"/>
        <v>2</v>
      </c>
      <c r="AX51" s="1832" t="str">
        <f t="shared" si="47"/>
        <v/>
      </c>
      <c r="AY51" s="1832" t="str">
        <f t="shared" si="46"/>
        <v/>
      </c>
      <c r="AZ51" s="1824" cm="1">
        <f t="array" ref="AZ51">IF(Y51="",1,Slookup(MID(X51,1,3)*1,UomConversion!$D$8:$J$500,5,UomConversion!$E$8:$E$500,MID(Y51,1,3)*1,UomConversion!$I$8:$I$500,1))</f>
        <v>1</v>
      </c>
      <c r="BA51" s="1824" cm="1">
        <f t="array" ref="BA51">IF(Z51="",1,Slookup(MID(X51,1,3)*1,UomConversion!$D$8:$J$500,5,UomConversion!$E$8:$E$500,MID(Z51,1,3)*1,UomConversion!$I$8:$I$500,1))</f>
        <v>1</v>
      </c>
      <c r="BB51" s="705"/>
      <c r="BC51" s="705"/>
      <c r="BD51" s="705"/>
      <c r="BG51" s="656"/>
    </row>
    <row r="52" spans="2:59" s="655" customFormat="1" ht="24.95" customHeight="1">
      <c r="B52" s="281"/>
      <c r="C52" s="483"/>
      <c r="D52" s="483"/>
      <c r="E52" s="483"/>
      <c r="F52" s="652"/>
      <c r="G52" s="653"/>
      <c r="H52" s="505"/>
      <c r="I52" s="654"/>
      <c r="J52" s="662"/>
      <c r="K52" s="662"/>
      <c r="L52" s="507"/>
      <c r="M52" s="505"/>
      <c r="N52" s="654"/>
      <c r="O52" s="1561"/>
      <c r="P52" s="1453"/>
      <c r="Q52" s="520"/>
      <c r="R52" s="483"/>
      <c r="S52" s="483"/>
      <c r="T52" s="483"/>
      <c r="U52" s="483"/>
      <c r="V52" s="483"/>
      <c r="W52" s="483"/>
      <c r="X52" s="507"/>
      <c r="Y52" s="1824"/>
      <c r="Z52" s="1824"/>
      <c r="AA52" s="1824"/>
      <c r="AB52" s="1824"/>
      <c r="AC52" s="1824"/>
      <c r="AD52" s="1571"/>
      <c r="AE52" s="702"/>
      <c r="AF52" s="703"/>
      <c r="AG52" s="703"/>
      <c r="AH52" s="703"/>
      <c r="AI52" s="703"/>
      <c r="AJ52" s="704"/>
      <c r="AK52" s="704"/>
      <c r="AL52" s="704"/>
      <c r="AM52" s="704"/>
      <c r="AN52" s="704"/>
      <c r="AO52" s="704"/>
      <c r="AP52" s="704"/>
      <c r="AQ52" s="704"/>
      <c r="AR52" s="704"/>
      <c r="AS52" s="704"/>
      <c r="AT52" s="1471"/>
      <c r="AU52" s="1830"/>
      <c r="AV52" s="1831"/>
      <c r="AW52" s="1832"/>
      <c r="AX52" s="1832"/>
      <c r="AY52" s="1832"/>
      <c r="AZ52" s="1824"/>
      <c r="BA52" s="1824"/>
      <c r="BB52" s="705"/>
      <c r="BC52" s="705"/>
      <c r="BD52" s="705"/>
    </row>
    <row r="53" spans="2:59" s="655" customFormat="1" ht="24.95" customHeight="1">
      <c r="B53" s="281"/>
      <c r="C53" s="483"/>
      <c r="D53" s="483"/>
      <c r="E53" s="483"/>
      <c r="F53" s="652"/>
      <c r="G53" s="653"/>
      <c r="H53" s="505"/>
      <c r="I53" s="654"/>
      <c r="J53" s="662"/>
      <c r="K53" s="662"/>
      <c r="L53" s="507"/>
      <c r="M53" s="505"/>
      <c r="N53" s="654"/>
      <c r="O53" s="1561"/>
      <c r="P53" s="1453"/>
      <c r="Q53" s="520"/>
      <c r="R53" s="483"/>
      <c r="S53" s="483"/>
      <c r="T53" s="483"/>
      <c r="U53" s="483"/>
      <c r="V53" s="483"/>
      <c r="W53" s="483"/>
      <c r="X53" s="507"/>
      <c r="Y53" s="1824"/>
      <c r="Z53" s="1824"/>
      <c r="AA53" s="1824"/>
      <c r="AB53" s="1824"/>
      <c r="AC53" s="1824"/>
      <c r="AD53" s="1571"/>
      <c r="AE53" s="702"/>
      <c r="AF53" s="703"/>
      <c r="AG53" s="703"/>
      <c r="AH53" s="703"/>
      <c r="AI53" s="703"/>
      <c r="AJ53" s="704"/>
      <c r="AK53" s="704"/>
      <c r="AL53" s="704"/>
      <c r="AM53" s="704"/>
      <c r="AN53" s="704"/>
      <c r="AO53" s="704"/>
      <c r="AP53" s="704"/>
      <c r="AQ53" s="704"/>
      <c r="AR53" s="704"/>
      <c r="AS53" s="704"/>
      <c r="AT53" s="1471"/>
      <c r="AU53" s="1830"/>
      <c r="AV53" s="1831"/>
      <c r="AW53" s="1832"/>
      <c r="AX53" s="1832"/>
      <c r="AY53" s="1832"/>
      <c r="AZ53" s="1824"/>
      <c r="BA53" s="1824"/>
      <c r="BB53" s="705"/>
      <c r="BC53" s="705"/>
      <c r="BD53" s="705"/>
    </row>
    <row r="54" spans="2:59" s="655" customFormat="1" ht="24.95" customHeight="1">
      <c r="B54" s="281"/>
      <c r="C54" s="483"/>
      <c r="D54" s="483"/>
      <c r="E54" s="483"/>
      <c r="F54" s="652"/>
      <c r="G54" s="653"/>
      <c r="H54" s="505"/>
      <c r="I54" s="654"/>
      <c r="J54" s="662"/>
      <c r="K54" s="662"/>
      <c r="L54" s="507"/>
      <c r="M54" s="505"/>
      <c r="N54" s="654"/>
      <c r="O54" s="1561"/>
      <c r="P54" s="1453"/>
      <c r="Q54" s="520"/>
      <c r="R54" s="483"/>
      <c r="S54" s="483"/>
      <c r="T54" s="483"/>
      <c r="U54" s="483"/>
      <c r="V54" s="483"/>
      <c r="W54" s="483"/>
      <c r="X54" s="507"/>
      <c r="Y54" s="1824"/>
      <c r="Z54" s="1824"/>
      <c r="AA54" s="1824"/>
      <c r="AB54" s="1824"/>
      <c r="AC54" s="1824"/>
      <c r="AD54" s="1571"/>
      <c r="AE54" s="702"/>
      <c r="AF54" s="703"/>
      <c r="AG54" s="703"/>
      <c r="AH54" s="703"/>
      <c r="AI54" s="703"/>
      <c r="AJ54" s="704"/>
      <c r="AK54" s="704"/>
      <c r="AL54" s="704"/>
      <c r="AM54" s="704"/>
      <c r="AN54" s="704"/>
      <c r="AO54" s="704"/>
      <c r="AP54" s="704"/>
      <c r="AQ54" s="704"/>
      <c r="AR54" s="704"/>
      <c r="AS54" s="704"/>
      <c r="AT54" s="1471"/>
      <c r="AU54" s="1830"/>
      <c r="AV54" s="1831"/>
      <c r="AW54" s="1832"/>
      <c r="AX54" s="1832"/>
      <c r="AY54" s="1832"/>
      <c r="AZ54" s="1824"/>
      <c r="BA54" s="1824"/>
      <c r="BB54" s="705"/>
      <c r="BC54" s="705"/>
      <c r="BD54" s="705"/>
    </row>
    <row r="55" spans="2:59" s="655" customFormat="1" ht="24.95" customHeight="1">
      <c r="B55" s="281"/>
      <c r="C55" s="483"/>
      <c r="D55" s="483"/>
      <c r="E55" s="483"/>
      <c r="F55" s="652"/>
      <c r="G55" s="653"/>
      <c r="H55" s="505"/>
      <c r="I55" s="654"/>
      <c r="J55" s="662"/>
      <c r="K55" s="662"/>
      <c r="L55" s="507"/>
      <c r="M55" s="505"/>
      <c r="N55" s="654"/>
      <c r="O55" s="1561"/>
      <c r="P55" s="1453"/>
      <c r="Q55" s="520"/>
      <c r="R55" s="483"/>
      <c r="S55" s="483"/>
      <c r="T55" s="483"/>
      <c r="U55" s="483"/>
      <c r="V55" s="483"/>
      <c r="W55" s="483"/>
      <c r="X55" s="507"/>
      <c r="Y55" s="1824"/>
      <c r="Z55" s="1824"/>
      <c r="AA55" s="1824"/>
      <c r="AB55" s="1824"/>
      <c r="AC55" s="1824"/>
      <c r="AD55" s="1571"/>
      <c r="AE55" s="702"/>
      <c r="AF55" s="703"/>
      <c r="AG55" s="703"/>
      <c r="AH55" s="703"/>
      <c r="AI55" s="703"/>
      <c r="AJ55" s="704"/>
      <c r="AK55" s="704"/>
      <c r="AL55" s="704"/>
      <c r="AM55" s="704"/>
      <c r="AN55" s="704"/>
      <c r="AO55" s="704"/>
      <c r="AP55" s="704"/>
      <c r="AQ55" s="704"/>
      <c r="AR55" s="704"/>
      <c r="AS55" s="704"/>
      <c r="AT55" s="1471"/>
      <c r="AU55" s="1830"/>
      <c r="AV55" s="1831"/>
      <c r="AW55" s="1832"/>
      <c r="AX55" s="1832"/>
      <c r="AY55" s="1832"/>
      <c r="AZ55" s="1824"/>
      <c r="BA55" s="1824"/>
      <c r="BB55" s="705"/>
      <c r="BC55" s="705"/>
      <c r="BD55" s="705"/>
    </row>
    <row r="56" spans="2:59" s="655" customFormat="1" ht="24.95" customHeight="1">
      <c r="B56" s="281"/>
      <c r="C56" s="483"/>
      <c r="D56" s="483"/>
      <c r="E56" s="483"/>
      <c r="F56" s="652"/>
      <c r="G56" s="653"/>
      <c r="H56" s="505"/>
      <c r="I56" s="654"/>
      <c r="J56" s="662"/>
      <c r="K56" s="662"/>
      <c r="L56" s="507"/>
      <c r="M56" s="505"/>
      <c r="N56" s="654"/>
      <c r="O56" s="1561"/>
      <c r="P56" s="1453"/>
      <c r="Q56" s="520"/>
      <c r="R56" s="483"/>
      <c r="S56" s="483"/>
      <c r="T56" s="483"/>
      <c r="U56" s="483"/>
      <c r="V56" s="483"/>
      <c r="W56" s="483"/>
      <c r="X56" s="507"/>
      <c r="Y56" s="1824"/>
      <c r="Z56" s="1824"/>
      <c r="AA56" s="1824"/>
      <c r="AB56" s="1824"/>
      <c r="AC56" s="1824"/>
      <c r="AD56" s="1571"/>
      <c r="AE56" s="702"/>
      <c r="AF56" s="703"/>
      <c r="AG56" s="703"/>
      <c r="AH56" s="703"/>
      <c r="AI56" s="703"/>
      <c r="AJ56" s="704"/>
      <c r="AK56" s="704"/>
      <c r="AL56" s="704"/>
      <c r="AM56" s="704"/>
      <c r="AN56" s="704"/>
      <c r="AO56" s="704"/>
      <c r="AP56" s="704"/>
      <c r="AQ56" s="704"/>
      <c r="AR56" s="704"/>
      <c r="AS56" s="704"/>
      <c r="AT56" s="704"/>
      <c r="AU56" s="1830"/>
      <c r="AV56" s="1831"/>
      <c r="AW56" s="1832"/>
      <c r="AX56" s="1832"/>
      <c r="AY56" s="1832"/>
      <c r="AZ56" s="1824"/>
      <c r="BA56" s="1824"/>
      <c r="BB56" s="705"/>
      <c r="BC56" s="705"/>
      <c r="BD56" s="705"/>
    </row>
    <row r="57" spans="2:59" s="655" customFormat="1" ht="24.95" customHeight="1">
      <c r="B57" s="281"/>
      <c r="C57" s="483"/>
      <c r="D57" s="483"/>
      <c r="E57" s="483"/>
      <c r="F57" s="652"/>
      <c r="G57" s="653"/>
      <c r="H57" s="505"/>
      <c r="I57" s="654"/>
      <c r="J57" s="662"/>
      <c r="K57" s="662"/>
      <c r="L57" s="507"/>
      <c r="M57" s="505"/>
      <c r="N57" s="654"/>
      <c r="O57" s="1561"/>
      <c r="P57" s="1453"/>
      <c r="Q57" s="520"/>
      <c r="R57" s="483"/>
      <c r="S57" s="483"/>
      <c r="T57" s="483"/>
      <c r="U57" s="483"/>
      <c r="V57" s="483"/>
      <c r="W57" s="483"/>
      <c r="X57" s="507"/>
      <c r="Y57" s="1824"/>
      <c r="Z57" s="1824"/>
      <c r="AA57" s="1824"/>
      <c r="AB57" s="1824"/>
      <c r="AC57" s="1824"/>
      <c r="AD57" s="1571"/>
      <c r="AE57" s="702"/>
      <c r="AF57" s="703"/>
      <c r="AG57" s="703"/>
      <c r="AH57" s="703"/>
      <c r="AI57" s="703"/>
      <c r="AJ57" s="704"/>
      <c r="AK57" s="704"/>
      <c r="AL57" s="704"/>
      <c r="AM57" s="704"/>
      <c r="AN57" s="704"/>
      <c r="AO57" s="704"/>
      <c r="AP57" s="704"/>
      <c r="AQ57" s="704"/>
      <c r="AR57" s="704"/>
      <c r="AS57" s="704"/>
      <c r="AT57" s="704"/>
      <c r="AU57" s="1830"/>
      <c r="AV57" s="1831"/>
      <c r="AW57" s="1832"/>
      <c r="AX57" s="1832"/>
      <c r="AY57" s="1832"/>
      <c r="AZ57" s="1824"/>
      <c r="BA57" s="1824"/>
      <c r="BB57" s="705"/>
      <c r="BC57" s="705"/>
      <c r="BD57" s="705"/>
    </row>
    <row r="58" spans="2:59" s="655" customFormat="1" ht="24.95" customHeight="1">
      <c r="B58" s="281"/>
      <c r="C58" s="483"/>
      <c r="D58" s="483"/>
      <c r="E58" s="483"/>
      <c r="F58" s="652"/>
      <c r="G58" s="653"/>
      <c r="H58" s="505"/>
      <c r="I58" s="654"/>
      <c r="J58" s="662"/>
      <c r="K58" s="662"/>
      <c r="L58" s="507"/>
      <c r="M58" s="505"/>
      <c r="N58" s="654"/>
      <c r="O58" s="1561"/>
      <c r="P58" s="1453"/>
      <c r="Q58" s="520"/>
      <c r="R58" s="483"/>
      <c r="S58" s="483"/>
      <c r="T58" s="483"/>
      <c r="U58" s="483"/>
      <c r="V58" s="483"/>
      <c r="W58" s="483"/>
      <c r="X58" s="507"/>
      <c r="Y58" s="1824"/>
      <c r="Z58" s="1824"/>
      <c r="AA58" s="1824"/>
      <c r="AB58" s="1824"/>
      <c r="AC58" s="1824"/>
      <c r="AD58" s="1571"/>
      <c r="AE58" s="702"/>
      <c r="AF58" s="703"/>
      <c r="AG58" s="703"/>
      <c r="AH58" s="703"/>
      <c r="AI58" s="703"/>
      <c r="AJ58" s="704"/>
      <c r="AK58" s="704"/>
      <c r="AL58" s="704"/>
      <c r="AM58" s="704"/>
      <c r="AN58" s="704"/>
      <c r="AO58" s="704"/>
      <c r="AP58" s="704"/>
      <c r="AQ58" s="704"/>
      <c r="AR58" s="704"/>
      <c r="AS58" s="704"/>
      <c r="AT58" s="704"/>
      <c r="AU58" s="1830"/>
      <c r="AV58" s="1831"/>
      <c r="AW58" s="1832"/>
      <c r="AX58" s="1832"/>
      <c r="AY58" s="1832"/>
      <c r="AZ58" s="1824"/>
      <c r="BA58" s="1824"/>
      <c r="BB58" s="705"/>
      <c r="BC58" s="705"/>
      <c r="BD58" s="705"/>
    </row>
    <row r="59" spans="2:59" s="655" customFormat="1" ht="24.95" customHeight="1">
      <c r="B59" s="281"/>
      <c r="C59" s="483"/>
      <c r="D59" s="483"/>
      <c r="E59" s="483"/>
      <c r="F59" s="652"/>
      <c r="G59" s="653"/>
      <c r="H59" s="505"/>
      <c r="I59" s="654"/>
      <c r="J59" s="662"/>
      <c r="K59" s="662"/>
      <c r="L59" s="507"/>
      <c r="M59" s="505"/>
      <c r="N59" s="654"/>
      <c r="O59" s="1561"/>
      <c r="P59" s="1453"/>
      <c r="Q59" s="520"/>
      <c r="R59" s="483"/>
      <c r="S59" s="483"/>
      <c r="T59" s="483"/>
      <c r="U59" s="483"/>
      <c r="V59" s="483"/>
      <c r="W59" s="483"/>
      <c r="X59" s="507"/>
      <c r="Y59" s="1824"/>
      <c r="Z59" s="1824"/>
      <c r="AA59" s="1824"/>
      <c r="AB59" s="1824"/>
      <c r="AC59" s="1824"/>
      <c r="AD59" s="1571"/>
      <c r="AE59" s="702"/>
      <c r="AF59" s="703"/>
      <c r="AG59" s="703"/>
      <c r="AH59" s="703"/>
      <c r="AI59" s="703"/>
      <c r="AJ59" s="704"/>
      <c r="AK59" s="704"/>
      <c r="AL59" s="704"/>
      <c r="AM59" s="704"/>
      <c r="AN59" s="704"/>
      <c r="AO59" s="704"/>
      <c r="AP59" s="704"/>
      <c r="AQ59" s="704"/>
      <c r="AR59" s="704"/>
      <c r="AS59" s="704"/>
      <c r="AT59" s="704"/>
      <c r="AU59" s="1830"/>
      <c r="AV59" s="1831"/>
      <c r="AW59" s="1832"/>
      <c r="AX59" s="1832"/>
      <c r="AY59" s="1832"/>
      <c r="AZ59" s="1824"/>
      <c r="BA59" s="1824"/>
      <c r="BB59" s="705"/>
      <c r="BC59" s="705"/>
      <c r="BD59" s="705"/>
    </row>
    <row r="60" spans="2:59" s="655" customFormat="1" ht="24.95" customHeight="1">
      <c r="B60" s="281"/>
      <c r="C60" s="483"/>
      <c r="D60" s="483"/>
      <c r="E60" s="483"/>
      <c r="F60" s="652"/>
      <c r="G60" s="653"/>
      <c r="H60" s="505"/>
      <c r="I60" s="654"/>
      <c r="J60" s="662"/>
      <c r="K60" s="662"/>
      <c r="L60" s="507"/>
      <c r="M60" s="505"/>
      <c r="N60" s="654"/>
      <c r="O60" s="1561"/>
      <c r="P60" s="1453"/>
      <c r="Q60" s="520"/>
      <c r="R60" s="483"/>
      <c r="S60" s="483"/>
      <c r="T60" s="483"/>
      <c r="U60" s="483"/>
      <c r="V60" s="483"/>
      <c r="W60" s="483"/>
      <c r="X60" s="507"/>
      <c r="Y60" s="1824"/>
      <c r="Z60" s="1824"/>
      <c r="AA60" s="1824"/>
      <c r="AB60" s="1824"/>
      <c r="AC60" s="1824"/>
      <c r="AD60" s="1571"/>
      <c r="AE60" s="702"/>
      <c r="AF60" s="703"/>
      <c r="AG60" s="703"/>
      <c r="AH60" s="703"/>
      <c r="AI60" s="703"/>
      <c r="AJ60" s="704"/>
      <c r="AK60" s="704"/>
      <c r="AL60" s="704"/>
      <c r="AM60" s="704"/>
      <c r="AN60" s="704"/>
      <c r="AO60" s="704"/>
      <c r="AP60" s="704"/>
      <c r="AQ60" s="704"/>
      <c r="AR60" s="704"/>
      <c r="AS60" s="704"/>
      <c r="AT60" s="704"/>
      <c r="AU60" s="1830"/>
      <c r="AV60" s="1831"/>
      <c r="AW60" s="1832"/>
      <c r="AX60" s="1832"/>
      <c r="AY60" s="1832"/>
      <c r="AZ60" s="1824"/>
      <c r="BA60" s="1824"/>
      <c r="BB60" s="705"/>
      <c r="BC60" s="705"/>
      <c r="BD60" s="705"/>
    </row>
    <row r="61" spans="2:59" s="655" customFormat="1" ht="24.95" customHeight="1">
      <c r="B61" s="281"/>
      <c r="C61" s="483"/>
      <c r="D61" s="483"/>
      <c r="E61" s="483"/>
      <c r="F61" s="652"/>
      <c r="G61" s="653"/>
      <c r="H61" s="505"/>
      <c r="I61" s="654"/>
      <c r="J61" s="662"/>
      <c r="K61" s="662"/>
      <c r="L61" s="507"/>
      <c r="M61" s="505"/>
      <c r="N61" s="654"/>
      <c r="O61" s="1561"/>
      <c r="P61" s="1453"/>
      <c r="Q61" s="520"/>
      <c r="R61" s="483"/>
      <c r="S61" s="483"/>
      <c r="T61" s="483"/>
      <c r="U61" s="483"/>
      <c r="V61" s="483"/>
      <c r="W61" s="483"/>
      <c r="X61" s="507"/>
      <c r="Y61" s="1824"/>
      <c r="Z61" s="1824"/>
      <c r="AA61" s="1824"/>
      <c r="AB61" s="1824"/>
      <c r="AC61" s="1824"/>
      <c r="AD61" s="1571"/>
      <c r="AE61" s="702"/>
      <c r="AF61" s="703"/>
      <c r="AG61" s="703"/>
      <c r="AH61" s="703"/>
      <c r="AI61" s="703"/>
      <c r="AJ61" s="704"/>
      <c r="AK61" s="704"/>
      <c r="AL61" s="704"/>
      <c r="AM61" s="704"/>
      <c r="AN61" s="704"/>
      <c r="AO61" s="704"/>
      <c r="AP61" s="704"/>
      <c r="AQ61" s="704"/>
      <c r="AR61" s="704"/>
      <c r="AS61" s="704"/>
      <c r="AT61" s="704"/>
      <c r="AU61" s="1830"/>
      <c r="AV61" s="1831"/>
      <c r="AW61" s="1832"/>
      <c r="AX61" s="1832"/>
      <c r="AY61" s="1832"/>
      <c r="AZ61" s="1824"/>
      <c r="BA61" s="1824"/>
      <c r="BB61" s="705"/>
      <c r="BC61" s="705"/>
      <c r="BD61" s="705"/>
    </row>
    <row r="62" spans="2:59" s="655" customFormat="1" ht="24.95" customHeight="1">
      <c r="B62" s="281"/>
      <c r="C62" s="483"/>
      <c r="D62" s="483"/>
      <c r="E62" s="483"/>
      <c r="F62" s="652"/>
      <c r="G62" s="653"/>
      <c r="H62" s="505"/>
      <c r="I62" s="654"/>
      <c r="J62" s="662"/>
      <c r="K62" s="662"/>
      <c r="L62" s="507"/>
      <c r="M62" s="505"/>
      <c r="N62" s="654"/>
      <c r="O62" s="1561"/>
      <c r="P62" s="1453"/>
      <c r="Q62" s="520"/>
      <c r="R62" s="483"/>
      <c r="S62" s="483"/>
      <c r="T62" s="483"/>
      <c r="U62" s="483"/>
      <c r="V62" s="483"/>
      <c r="W62" s="483"/>
      <c r="X62" s="507"/>
      <c r="Y62" s="1824"/>
      <c r="Z62" s="1824"/>
      <c r="AA62" s="1824"/>
      <c r="AB62" s="1824"/>
      <c r="AC62" s="1824"/>
      <c r="AD62" s="1571"/>
      <c r="AE62" s="702"/>
      <c r="AF62" s="703"/>
      <c r="AG62" s="703"/>
      <c r="AH62" s="703"/>
      <c r="AI62" s="703"/>
      <c r="AJ62" s="704"/>
      <c r="AK62" s="704"/>
      <c r="AL62" s="704"/>
      <c r="AM62" s="704"/>
      <c r="AN62" s="704"/>
      <c r="AO62" s="704"/>
      <c r="AP62" s="704"/>
      <c r="AQ62" s="704"/>
      <c r="AR62" s="704"/>
      <c r="AS62" s="704"/>
      <c r="AT62" s="704"/>
      <c r="AU62" s="1830"/>
      <c r="AV62" s="1831"/>
      <c r="AW62" s="1832"/>
      <c r="AX62" s="1832"/>
      <c r="AY62" s="1832"/>
      <c r="AZ62" s="1824"/>
      <c r="BA62" s="1824"/>
      <c r="BB62" s="705"/>
      <c r="BC62" s="705"/>
      <c r="BD62" s="705"/>
    </row>
    <row r="63" spans="2:59" s="655" customFormat="1" ht="24.95" customHeight="1">
      <c r="B63" s="281"/>
      <c r="C63" s="483"/>
      <c r="D63" s="483"/>
      <c r="E63" s="483"/>
      <c r="F63" s="652"/>
      <c r="G63" s="653"/>
      <c r="H63" s="505"/>
      <c r="I63" s="654"/>
      <c r="J63" s="662"/>
      <c r="K63" s="662"/>
      <c r="L63" s="507"/>
      <c r="M63" s="505"/>
      <c r="N63" s="654"/>
      <c r="O63" s="1561"/>
      <c r="P63" s="1453"/>
      <c r="Q63" s="520"/>
      <c r="R63" s="483"/>
      <c r="S63" s="483"/>
      <c r="T63" s="483"/>
      <c r="U63" s="483"/>
      <c r="V63" s="483"/>
      <c r="W63" s="483"/>
      <c r="X63" s="507"/>
      <c r="Y63" s="1824"/>
      <c r="Z63" s="1824"/>
      <c r="AA63" s="1824"/>
      <c r="AB63" s="1824"/>
      <c r="AC63" s="1824"/>
      <c r="AD63" s="1571"/>
      <c r="AE63" s="702"/>
      <c r="AF63" s="703"/>
      <c r="AG63" s="703"/>
      <c r="AH63" s="703"/>
      <c r="AI63" s="703"/>
      <c r="AJ63" s="704"/>
      <c r="AK63" s="704"/>
      <c r="AL63" s="704"/>
      <c r="AM63" s="704"/>
      <c r="AN63" s="704"/>
      <c r="AO63" s="704"/>
      <c r="AP63" s="704"/>
      <c r="AQ63" s="704"/>
      <c r="AR63" s="704"/>
      <c r="AS63" s="704"/>
      <c r="AT63" s="704"/>
      <c r="AU63" s="1830"/>
      <c r="AV63" s="1831"/>
      <c r="AW63" s="1832"/>
      <c r="AX63" s="1832"/>
      <c r="AY63" s="1832"/>
      <c r="AZ63" s="1824"/>
      <c r="BA63" s="1824"/>
      <c r="BB63" s="705"/>
      <c r="BC63" s="705"/>
      <c r="BD63" s="705"/>
    </row>
    <row r="64" spans="2:59" s="655" customFormat="1" ht="24.95" customHeight="1">
      <c r="B64" s="281"/>
      <c r="C64" s="483"/>
      <c r="D64" s="483"/>
      <c r="E64" s="483"/>
      <c r="F64" s="652"/>
      <c r="G64" s="653"/>
      <c r="H64" s="505"/>
      <c r="I64" s="654"/>
      <c r="J64" s="662"/>
      <c r="K64" s="662"/>
      <c r="L64" s="507"/>
      <c r="M64" s="505"/>
      <c r="N64" s="654"/>
      <c r="O64" s="1561"/>
      <c r="P64" s="1453"/>
      <c r="Q64" s="520"/>
      <c r="R64" s="483"/>
      <c r="S64" s="483"/>
      <c r="T64" s="483"/>
      <c r="U64" s="483"/>
      <c r="V64" s="483"/>
      <c r="W64" s="483"/>
      <c r="X64" s="507"/>
      <c r="Y64" s="1824"/>
      <c r="Z64" s="1824"/>
      <c r="AA64" s="1824"/>
      <c r="AB64" s="1824"/>
      <c r="AC64" s="1824"/>
      <c r="AD64" s="1571"/>
      <c r="AE64" s="702"/>
      <c r="AF64" s="703"/>
      <c r="AG64" s="703"/>
      <c r="AH64" s="703"/>
      <c r="AI64" s="703"/>
      <c r="AJ64" s="704"/>
      <c r="AK64" s="704"/>
      <c r="AL64" s="704"/>
      <c r="AM64" s="704"/>
      <c r="AN64" s="704"/>
      <c r="AO64" s="704"/>
      <c r="AP64" s="704"/>
      <c r="AQ64" s="704"/>
      <c r="AR64" s="704"/>
      <c r="AS64" s="704"/>
      <c r="AT64" s="704"/>
      <c r="AU64" s="1830"/>
      <c r="AV64" s="1831"/>
      <c r="AW64" s="1832"/>
      <c r="AX64" s="1832"/>
      <c r="AY64" s="1832"/>
      <c r="AZ64" s="1824"/>
      <c r="BA64" s="1824"/>
      <c r="BB64" s="705"/>
      <c r="BC64" s="705"/>
      <c r="BD64" s="705"/>
    </row>
    <row r="65" spans="2:56" s="655" customFormat="1" ht="24.95" customHeight="1">
      <c r="B65" s="281"/>
      <c r="C65" s="483"/>
      <c r="D65" s="483"/>
      <c r="E65" s="483"/>
      <c r="F65" s="652"/>
      <c r="G65" s="653"/>
      <c r="H65" s="505"/>
      <c r="I65" s="654"/>
      <c r="J65" s="662"/>
      <c r="K65" s="662"/>
      <c r="L65" s="507"/>
      <c r="M65" s="505"/>
      <c r="N65" s="654"/>
      <c r="O65" s="1561"/>
      <c r="P65" s="1453"/>
      <c r="Q65" s="520"/>
      <c r="R65" s="483"/>
      <c r="S65" s="483"/>
      <c r="T65" s="483"/>
      <c r="U65" s="483"/>
      <c r="V65" s="483"/>
      <c r="W65" s="483"/>
      <c r="X65" s="507"/>
      <c r="Y65" s="1824"/>
      <c r="Z65" s="1824"/>
      <c r="AA65" s="1824"/>
      <c r="AB65" s="1824"/>
      <c r="AC65" s="1824"/>
      <c r="AD65" s="1571"/>
      <c r="AE65" s="702"/>
      <c r="AF65" s="703"/>
      <c r="AG65" s="703"/>
      <c r="AH65" s="703"/>
      <c r="AI65" s="703"/>
      <c r="AJ65" s="704"/>
      <c r="AK65" s="704"/>
      <c r="AL65" s="704"/>
      <c r="AM65" s="704"/>
      <c r="AN65" s="704"/>
      <c r="AO65" s="704"/>
      <c r="AP65" s="704"/>
      <c r="AQ65" s="704"/>
      <c r="AR65" s="704"/>
      <c r="AS65" s="704"/>
      <c r="AT65" s="704"/>
      <c r="AU65" s="1830"/>
      <c r="AV65" s="1831"/>
      <c r="AW65" s="1832"/>
      <c r="AX65" s="1832"/>
      <c r="AY65" s="1832"/>
      <c r="AZ65" s="1824"/>
      <c r="BA65" s="1824"/>
      <c r="BB65" s="705"/>
      <c r="BC65" s="705"/>
      <c r="BD65" s="705"/>
    </row>
    <row r="66" spans="2:56" s="655" customFormat="1" ht="24.95" customHeight="1">
      <c r="B66" s="281"/>
      <c r="C66" s="483"/>
      <c r="D66" s="483"/>
      <c r="E66" s="483"/>
      <c r="F66" s="652"/>
      <c r="G66" s="653"/>
      <c r="H66" s="505"/>
      <c r="I66" s="654"/>
      <c r="J66" s="662"/>
      <c r="K66" s="662"/>
      <c r="L66" s="507"/>
      <c r="M66" s="505"/>
      <c r="N66" s="654"/>
      <c r="O66" s="1561"/>
      <c r="P66" s="1453"/>
      <c r="Q66" s="520"/>
      <c r="R66" s="483"/>
      <c r="S66" s="483"/>
      <c r="T66" s="483"/>
      <c r="U66" s="483"/>
      <c r="V66" s="483"/>
      <c r="W66" s="483"/>
      <c r="X66" s="507"/>
      <c r="Y66" s="1824"/>
      <c r="Z66" s="1824"/>
      <c r="AA66" s="1824"/>
      <c r="AB66" s="1824"/>
      <c r="AC66" s="1824"/>
      <c r="AD66" s="1571"/>
      <c r="AE66" s="702"/>
      <c r="AF66" s="703"/>
      <c r="AG66" s="703"/>
      <c r="AH66" s="703"/>
      <c r="AI66" s="703"/>
      <c r="AJ66" s="704"/>
      <c r="AK66" s="704"/>
      <c r="AL66" s="704"/>
      <c r="AM66" s="704"/>
      <c r="AN66" s="704"/>
      <c r="AO66" s="704"/>
      <c r="AP66" s="704"/>
      <c r="AQ66" s="704"/>
      <c r="AR66" s="704"/>
      <c r="AS66" s="704"/>
      <c r="AT66" s="704"/>
      <c r="AU66" s="1830"/>
      <c r="AV66" s="1831"/>
      <c r="AW66" s="1832"/>
      <c r="AX66" s="1832"/>
      <c r="AY66" s="1832"/>
      <c r="AZ66" s="1824"/>
      <c r="BA66" s="1824"/>
      <c r="BB66" s="705"/>
      <c r="BC66" s="705"/>
      <c r="BD66" s="705"/>
    </row>
    <row r="67" spans="2:56" s="655" customFormat="1" ht="24.95" customHeight="1">
      <c r="B67" s="281"/>
      <c r="C67" s="483"/>
      <c r="D67" s="483"/>
      <c r="E67" s="483"/>
      <c r="F67" s="652"/>
      <c r="G67" s="653"/>
      <c r="H67" s="505"/>
      <c r="I67" s="654"/>
      <c r="J67" s="662"/>
      <c r="K67" s="662"/>
      <c r="L67" s="507"/>
      <c r="M67" s="505"/>
      <c r="N67" s="654"/>
      <c r="O67" s="1561"/>
      <c r="P67" s="1453"/>
      <c r="Q67" s="520"/>
      <c r="R67" s="483"/>
      <c r="S67" s="483"/>
      <c r="T67" s="483"/>
      <c r="U67" s="483"/>
      <c r="V67" s="483"/>
      <c r="W67" s="483"/>
      <c r="X67" s="507"/>
      <c r="Y67" s="1824"/>
      <c r="Z67" s="1824"/>
      <c r="AA67" s="1824"/>
      <c r="AB67" s="1824"/>
      <c r="AC67" s="1824"/>
      <c r="AD67" s="1571"/>
      <c r="AE67" s="702"/>
      <c r="AF67" s="703"/>
      <c r="AG67" s="703"/>
      <c r="AH67" s="703"/>
      <c r="AI67" s="703"/>
      <c r="AJ67" s="704"/>
      <c r="AK67" s="704"/>
      <c r="AL67" s="704"/>
      <c r="AM67" s="704"/>
      <c r="AN67" s="704"/>
      <c r="AO67" s="704"/>
      <c r="AP67" s="704"/>
      <c r="AQ67" s="704"/>
      <c r="AR67" s="704"/>
      <c r="AS67" s="704"/>
      <c r="AT67" s="704"/>
      <c r="AU67" s="1830"/>
      <c r="AV67" s="1831"/>
      <c r="AW67" s="1832"/>
      <c r="AX67" s="1832"/>
      <c r="AY67" s="1832"/>
      <c r="AZ67" s="1824"/>
      <c r="BA67" s="1824"/>
      <c r="BB67" s="705"/>
      <c r="BC67" s="705"/>
      <c r="BD67" s="705"/>
    </row>
    <row r="68" spans="2:56" s="655" customFormat="1" ht="24.95" customHeight="1">
      <c r="B68" s="281"/>
      <c r="C68" s="483"/>
      <c r="D68" s="483"/>
      <c r="E68" s="483"/>
      <c r="F68" s="652"/>
      <c r="G68" s="653"/>
      <c r="H68" s="505"/>
      <c r="I68" s="654"/>
      <c r="J68" s="662"/>
      <c r="K68" s="662"/>
      <c r="L68" s="507"/>
      <c r="M68" s="505"/>
      <c r="N68" s="654"/>
      <c r="O68" s="1561"/>
      <c r="P68" s="1453"/>
      <c r="Q68" s="520"/>
      <c r="R68" s="483"/>
      <c r="S68" s="483"/>
      <c r="T68" s="483"/>
      <c r="U68" s="483"/>
      <c r="V68" s="483"/>
      <c r="W68" s="483"/>
      <c r="X68" s="507"/>
      <c r="Y68" s="1824"/>
      <c r="Z68" s="1824"/>
      <c r="AA68" s="1824"/>
      <c r="AB68" s="1824"/>
      <c r="AC68" s="1824"/>
      <c r="AD68" s="1571"/>
      <c r="AE68" s="702"/>
      <c r="AF68" s="703"/>
      <c r="AG68" s="703"/>
      <c r="AH68" s="703"/>
      <c r="AI68" s="703"/>
      <c r="AJ68" s="704"/>
      <c r="AK68" s="704"/>
      <c r="AL68" s="704"/>
      <c r="AM68" s="704"/>
      <c r="AN68" s="704"/>
      <c r="AO68" s="704"/>
      <c r="AP68" s="704"/>
      <c r="AQ68" s="704"/>
      <c r="AR68" s="704"/>
      <c r="AS68" s="704"/>
      <c r="AT68" s="704"/>
      <c r="AU68" s="1830"/>
      <c r="AV68" s="1831"/>
      <c r="AW68" s="1832"/>
      <c r="AX68" s="1832"/>
      <c r="AY68" s="1832"/>
      <c r="AZ68" s="1824"/>
      <c r="BA68" s="1824"/>
      <c r="BB68" s="705"/>
      <c r="BC68" s="705"/>
      <c r="BD68" s="705"/>
    </row>
    <row r="69" spans="2:56" s="655" customFormat="1" ht="24.95" customHeight="1">
      <c r="B69" s="281"/>
      <c r="C69" s="483"/>
      <c r="D69" s="483"/>
      <c r="E69" s="483"/>
      <c r="F69" s="652"/>
      <c r="G69" s="653"/>
      <c r="H69" s="505"/>
      <c r="I69" s="654"/>
      <c r="J69" s="662"/>
      <c r="K69" s="662"/>
      <c r="L69" s="507"/>
      <c r="M69" s="505"/>
      <c r="N69" s="654"/>
      <c r="O69" s="1561"/>
      <c r="P69" s="1453"/>
      <c r="Q69" s="520"/>
      <c r="R69" s="483"/>
      <c r="S69" s="483"/>
      <c r="T69" s="483"/>
      <c r="U69" s="483"/>
      <c r="V69" s="483"/>
      <c r="W69" s="483"/>
      <c r="X69" s="507"/>
      <c r="Y69" s="1824"/>
      <c r="Z69" s="1824"/>
      <c r="AA69" s="1824"/>
      <c r="AB69" s="1824"/>
      <c r="AC69" s="1824"/>
      <c r="AD69" s="1571"/>
      <c r="AE69" s="702"/>
      <c r="AF69" s="703"/>
      <c r="AG69" s="703"/>
      <c r="AH69" s="703"/>
      <c r="AI69" s="703"/>
      <c r="AJ69" s="704"/>
      <c r="AK69" s="704"/>
      <c r="AL69" s="704"/>
      <c r="AM69" s="704"/>
      <c r="AN69" s="704"/>
      <c r="AO69" s="704"/>
      <c r="AP69" s="704"/>
      <c r="AQ69" s="704"/>
      <c r="AR69" s="704"/>
      <c r="AS69" s="704"/>
      <c r="AT69" s="704"/>
      <c r="AU69" s="1830"/>
      <c r="AV69" s="1831"/>
      <c r="AW69" s="1832"/>
      <c r="AX69" s="1832"/>
      <c r="AY69" s="1832"/>
      <c r="AZ69" s="1824"/>
      <c r="BA69" s="1824"/>
      <c r="BB69" s="705"/>
      <c r="BC69" s="705"/>
      <c r="BD69" s="705"/>
    </row>
    <row r="70" spans="2:56" s="655" customFormat="1" ht="24.95" customHeight="1">
      <c r="B70" s="281"/>
      <c r="C70" s="483"/>
      <c r="D70" s="483"/>
      <c r="E70" s="483"/>
      <c r="F70" s="652"/>
      <c r="G70" s="653"/>
      <c r="H70" s="505"/>
      <c r="I70" s="654"/>
      <c r="J70" s="662"/>
      <c r="K70" s="662"/>
      <c r="L70" s="507"/>
      <c r="M70" s="505"/>
      <c r="N70" s="654"/>
      <c r="O70" s="1561"/>
      <c r="P70" s="1453"/>
      <c r="Q70" s="520"/>
      <c r="R70" s="483"/>
      <c r="S70" s="483"/>
      <c r="T70" s="483"/>
      <c r="U70" s="483"/>
      <c r="V70" s="483"/>
      <c r="W70" s="483"/>
      <c r="X70" s="507"/>
      <c r="Y70" s="1824"/>
      <c r="Z70" s="1824"/>
      <c r="AA70" s="1824"/>
      <c r="AB70" s="1824"/>
      <c r="AC70" s="1824"/>
      <c r="AD70" s="1571"/>
      <c r="AE70" s="702"/>
      <c r="AF70" s="703"/>
      <c r="AG70" s="703"/>
      <c r="AH70" s="703"/>
      <c r="AI70" s="703"/>
      <c r="AJ70" s="704"/>
      <c r="AK70" s="704"/>
      <c r="AL70" s="704"/>
      <c r="AM70" s="704"/>
      <c r="AN70" s="704"/>
      <c r="AO70" s="704"/>
      <c r="AP70" s="704"/>
      <c r="AQ70" s="704"/>
      <c r="AR70" s="704"/>
      <c r="AS70" s="704"/>
      <c r="AT70" s="704"/>
      <c r="AU70" s="1830"/>
      <c r="AV70" s="1831"/>
      <c r="AW70" s="1832"/>
      <c r="AX70" s="1832"/>
      <c r="AY70" s="1832"/>
      <c r="AZ70" s="1824"/>
      <c r="BA70" s="1824"/>
      <c r="BB70" s="705"/>
      <c r="BC70" s="705"/>
      <c r="BD70" s="705"/>
    </row>
    <row r="71" spans="2:56" s="655" customFormat="1" ht="24.95" customHeight="1">
      <c r="B71" s="281"/>
      <c r="C71" s="483"/>
      <c r="D71" s="483"/>
      <c r="E71" s="483"/>
      <c r="F71" s="652"/>
      <c r="G71" s="653"/>
      <c r="H71" s="505"/>
      <c r="I71" s="654"/>
      <c r="J71" s="662"/>
      <c r="K71" s="662"/>
      <c r="L71" s="507"/>
      <c r="M71" s="505"/>
      <c r="N71" s="654"/>
      <c r="O71" s="1561"/>
      <c r="P71" s="1453"/>
      <c r="Q71" s="520"/>
      <c r="R71" s="483"/>
      <c r="S71" s="483"/>
      <c r="T71" s="483"/>
      <c r="U71" s="483"/>
      <c r="V71" s="483"/>
      <c r="W71" s="483"/>
      <c r="X71" s="507"/>
      <c r="Y71" s="1824"/>
      <c r="Z71" s="1824"/>
      <c r="AA71" s="1824"/>
      <c r="AB71" s="1824"/>
      <c r="AC71" s="1824"/>
      <c r="AD71" s="1571"/>
      <c r="AE71" s="702"/>
      <c r="AF71" s="703"/>
      <c r="AG71" s="703"/>
      <c r="AH71" s="703"/>
      <c r="AI71" s="703"/>
      <c r="AJ71" s="704"/>
      <c r="AK71" s="704"/>
      <c r="AL71" s="704"/>
      <c r="AM71" s="704"/>
      <c r="AN71" s="704"/>
      <c r="AO71" s="704"/>
      <c r="AP71" s="704"/>
      <c r="AQ71" s="704"/>
      <c r="AR71" s="704"/>
      <c r="AS71" s="704"/>
      <c r="AT71" s="704"/>
      <c r="AU71" s="1830"/>
      <c r="AV71" s="1831"/>
      <c r="AW71" s="1832"/>
      <c r="AX71" s="1832"/>
      <c r="AY71" s="1832"/>
      <c r="AZ71" s="1824"/>
      <c r="BA71" s="1824"/>
      <c r="BB71" s="705"/>
      <c r="BC71" s="705"/>
      <c r="BD71" s="705"/>
    </row>
    <row r="72" spans="2:56" s="655" customFormat="1" ht="24.95" customHeight="1">
      <c r="B72" s="281"/>
      <c r="C72" s="483"/>
      <c r="D72" s="483"/>
      <c r="E72" s="483"/>
      <c r="F72" s="652"/>
      <c r="G72" s="653"/>
      <c r="H72" s="505"/>
      <c r="I72" s="654"/>
      <c r="J72" s="662"/>
      <c r="K72" s="662"/>
      <c r="L72" s="507"/>
      <c r="M72" s="505"/>
      <c r="N72" s="654"/>
      <c r="O72" s="1561"/>
      <c r="P72" s="1453"/>
      <c r="Q72" s="520"/>
      <c r="R72" s="483"/>
      <c r="S72" s="483"/>
      <c r="T72" s="483"/>
      <c r="U72" s="483"/>
      <c r="V72" s="483"/>
      <c r="W72" s="483"/>
      <c r="X72" s="507"/>
      <c r="Y72" s="1824"/>
      <c r="Z72" s="1824"/>
      <c r="AA72" s="1824"/>
      <c r="AB72" s="1824"/>
      <c r="AC72" s="1824"/>
      <c r="AD72" s="1571"/>
      <c r="AE72" s="702"/>
      <c r="AF72" s="703"/>
      <c r="AG72" s="703"/>
      <c r="AH72" s="703"/>
      <c r="AI72" s="703"/>
      <c r="AJ72" s="704"/>
      <c r="AK72" s="704"/>
      <c r="AL72" s="704"/>
      <c r="AM72" s="704"/>
      <c r="AN72" s="704"/>
      <c r="AO72" s="704"/>
      <c r="AP72" s="704"/>
      <c r="AQ72" s="704"/>
      <c r="AR72" s="704"/>
      <c r="AS72" s="704"/>
      <c r="AT72" s="704"/>
      <c r="AU72" s="1830"/>
      <c r="AV72" s="1831"/>
      <c r="AW72" s="1832"/>
      <c r="AX72" s="1832"/>
      <c r="AY72" s="1832"/>
      <c r="AZ72" s="1824"/>
      <c r="BA72" s="1824"/>
      <c r="BB72" s="705"/>
      <c r="BC72" s="705"/>
      <c r="BD72" s="705"/>
    </row>
    <row r="73" spans="2:56" s="655" customFormat="1" ht="24.95" customHeight="1">
      <c r="B73" s="281"/>
      <c r="C73" s="483"/>
      <c r="D73" s="483"/>
      <c r="E73" s="483"/>
      <c r="F73" s="652"/>
      <c r="G73" s="653"/>
      <c r="H73" s="505"/>
      <c r="I73" s="654"/>
      <c r="J73" s="662"/>
      <c r="K73" s="662"/>
      <c r="L73" s="507"/>
      <c r="M73" s="505"/>
      <c r="N73" s="654"/>
      <c r="O73" s="1561"/>
      <c r="P73" s="1453"/>
      <c r="Q73" s="520"/>
      <c r="R73" s="483"/>
      <c r="S73" s="483"/>
      <c r="T73" s="483"/>
      <c r="U73" s="483"/>
      <c r="V73" s="483"/>
      <c r="W73" s="483"/>
      <c r="X73" s="507"/>
      <c r="Y73" s="1824"/>
      <c r="Z73" s="1824"/>
      <c r="AA73" s="1824"/>
      <c r="AB73" s="1824"/>
      <c r="AC73" s="1824"/>
      <c r="AD73" s="1571"/>
      <c r="AE73" s="702"/>
      <c r="AF73" s="703"/>
      <c r="AG73" s="703"/>
      <c r="AH73" s="703"/>
      <c r="AI73" s="703"/>
      <c r="AJ73" s="704"/>
      <c r="AK73" s="704"/>
      <c r="AL73" s="704"/>
      <c r="AM73" s="704"/>
      <c r="AN73" s="704"/>
      <c r="AO73" s="704"/>
      <c r="AP73" s="704"/>
      <c r="AQ73" s="704"/>
      <c r="AR73" s="704"/>
      <c r="AS73" s="704"/>
      <c r="AT73" s="704"/>
      <c r="AU73" s="1830"/>
      <c r="AV73" s="1831"/>
      <c r="AW73" s="1832"/>
      <c r="AX73" s="1832"/>
      <c r="AY73" s="1832"/>
      <c r="AZ73" s="1824"/>
      <c r="BA73" s="1824"/>
      <c r="BB73" s="705"/>
      <c r="BC73" s="705"/>
      <c r="BD73" s="705"/>
    </row>
    <row r="74" spans="2:56" s="655" customFormat="1" ht="24.95" customHeight="1">
      <c r="B74" s="281"/>
      <c r="C74" s="483"/>
      <c r="D74" s="483"/>
      <c r="E74" s="483"/>
      <c r="F74" s="652"/>
      <c r="G74" s="653"/>
      <c r="H74" s="505"/>
      <c r="I74" s="654"/>
      <c r="J74" s="662"/>
      <c r="K74" s="662"/>
      <c r="L74" s="507"/>
      <c r="M74" s="505"/>
      <c r="N74" s="654"/>
      <c r="O74" s="1561"/>
      <c r="P74" s="1453"/>
      <c r="Q74" s="520"/>
      <c r="R74" s="483"/>
      <c r="S74" s="483"/>
      <c r="T74" s="483"/>
      <c r="U74" s="483"/>
      <c r="V74" s="483"/>
      <c r="W74" s="483"/>
      <c r="X74" s="507"/>
      <c r="Y74" s="1824"/>
      <c r="Z74" s="1824"/>
      <c r="AA74" s="1824"/>
      <c r="AB74" s="1824"/>
      <c r="AC74" s="1824"/>
      <c r="AD74" s="1571"/>
      <c r="AE74" s="702"/>
      <c r="AF74" s="703"/>
      <c r="AG74" s="703"/>
      <c r="AH74" s="703"/>
      <c r="AI74" s="703"/>
      <c r="AJ74" s="704"/>
      <c r="AK74" s="704"/>
      <c r="AL74" s="704"/>
      <c r="AM74" s="704"/>
      <c r="AN74" s="704"/>
      <c r="AO74" s="704"/>
      <c r="AP74" s="704"/>
      <c r="AQ74" s="704"/>
      <c r="AR74" s="704"/>
      <c r="AS74" s="704"/>
      <c r="AT74" s="704"/>
      <c r="AU74" s="1830"/>
      <c r="AV74" s="1831"/>
      <c r="AW74" s="1832"/>
      <c r="AX74" s="1832"/>
      <c r="AY74" s="1832"/>
      <c r="AZ74" s="1824"/>
      <c r="BA74" s="1824"/>
      <c r="BB74" s="705"/>
      <c r="BC74" s="705"/>
      <c r="BD74" s="705"/>
    </row>
    <row r="75" spans="2:56" s="655" customFormat="1" ht="24.95" customHeight="1">
      <c r="B75" s="281"/>
      <c r="C75" s="483"/>
      <c r="D75" s="483"/>
      <c r="E75" s="483"/>
      <c r="F75" s="652"/>
      <c r="G75" s="653"/>
      <c r="H75" s="505"/>
      <c r="I75" s="654"/>
      <c r="J75" s="662"/>
      <c r="K75" s="662"/>
      <c r="L75" s="507"/>
      <c r="M75" s="505"/>
      <c r="N75" s="654"/>
      <c r="O75" s="1561"/>
      <c r="P75" s="1453"/>
      <c r="Q75" s="520"/>
      <c r="R75" s="483"/>
      <c r="S75" s="483"/>
      <c r="T75" s="483"/>
      <c r="U75" s="483"/>
      <c r="V75" s="483"/>
      <c r="W75" s="483"/>
      <c r="X75" s="507"/>
      <c r="Y75" s="1824"/>
      <c r="Z75" s="1824"/>
      <c r="AA75" s="1824"/>
      <c r="AB75" s="1824"/>
      <c r="AC75" s="1824"/>
      <c r="AD75" s="1571"/>
      <c r="AE75" s="702"/>
      <c r="AF75" s="703"/>
      <c r="AG75" s="703"/>
      <c r="AH75" s="703"/>
      <c r="AI75" s="703"/>
      <c r="AJ75" s="704"/>
      <c r="AK75" s="704"/>
      <c r="AL75" s="704"/>
      <c r="AM75" s="704"/>
      <c r="AN75" s="704"/>
      <c r="AO75" s="704"/>
      <c r="AP75" s="704"/>
      <c r="AQ75" s="704"/>
      <c r="AR75" s="704"/>
      <c r="AS75" s="704"/>
      <c r="AT75" s="704"/>
      <c r="AU75" s="1830"/>
      <c r="AV75" s="1831"/>
      <c r="AW75" s="1832"/>
      <c r="AX75" s="1832"/>
      <c r="AY75" s="1832"/>
      <c r="AZ75" s="1824"/>
      <c r="BA75" s="1824"/>
      <c r="BB75" s="705"/>
      <c r="BC75" s="705"/>
      <c r="BD75" s="705"/>
    </row>
    <row r="76" spans="2:56" s="655" customFormat="1" ht="24.95" customHeight="1">
      <c r="B76" s="281"/>
      <c r="C76" s="483"/>
      <c r="D76" s="483"/>
      <c r="E76" s="483"/>
      <c r="F76" s="652"/>
      <c r="G76" s="653"/>
      <c r="H76" s="505"/>
      <c r="I76" s="654"/>
      <c r="J76" s="662"/>
      <c r="K76" s="662"/>
      <c r="L76" s="507"/>
      <c r="M76" s="505"/>
      <c r="N76" s="654"/>
      <c r="O76" s="1561"/>
      <c r="P76" s="1453"/>
      <c r="Q76" s="520"/>
      <c r="R76" s="483"/>
      <c r="S76" s="483"/>
      <c r="T76" s="483"/>
      <c r="U76" s="483"/>
      <c r="V76" s="483"/>
      <c r="W76" s="483"/>
      <c r="X76" s="507"/>
      <c r="Y76" s="1824"/>
      <c r="Z76" s="1824"/>
      <c r="AA76" s="1824"/>
      <c r="AB76" s="1824"/>
      <c r="AC76" s="1824"/>
      <c r="AD76" s="1571"/>
      <c r="AE76" s="702"/>
      <c r="AF76" s="703"/>
      <c r="AG76" s="703"/>
      <c r="AH76" s="703"/>
      <c r="AI76" s="703"/>
      <c r="AJ76" s="704"/>
      <c r="AK76" s="704"/>
      <c r="AL76" s="704"/>
      <c r="AM76" s="704"/>
      <c r="AN76" s="704"/>
      <c r="AO76" s="704"/>
      <c r="AP76" s="704"/>
      <c r="AQ76" s="704"/>
      <c r="AR76" s="704"/>
      <c r="AS76" s="704"/>
      <c r="AT76" s="704"/>
      <c r="AU76" s="1830"/>
      <c r="AV76" s="1831"/>
      <c r="AW76" s="1832"/>
      <c r="AX76" s="1832"/>
      <c r="AY76" s="1832"/>
      <c r="AZ76" s="1824"/>
      <c r="BA76" s="1824"/>
      <c r="BB76" s="705"/>
      <c r="BC76" s="705"/>
      <c r="BD76" s="705"/>
    </row>
    <row r="77" spans="2:56" s="655" customFormat="1" ht="24.95" customHeight="1">
      <c r="B77" s="281"/>
      <c r="C77" s="483"/>
      <c r="D77" s="483"/>
      <c r="E77" s="483"/>
      <c r="F77" s="652"/>
      <c r="G77" s="653"/>
      <c r="H77" s="505"/>
      <c r="I77" s="654"/>
      <c r="J77" s="662"/>
      <c r="K77" s="662"/>
      <c r="L77" s="507"/>
      <c r="M77" s="505"/>
      <c r="N77" s="654"/>
      <c r="O77" s="1561"/>
      <c r="P77" s="1453"/>
      <c r="Q77" s="520"/>
      <c r="R77" s="483"/>
      <c r="S77" s="483"/>
      <c r="T77" s="483"/>
      <c r="U77" s="483"/>
      <c r="V77" s="483"/>
      <c r="W77" s="483"/>
      <c r="X77" s="507"/>
      <c r="Y77" s="1824"/>
      <c r="Z77" s="1824"/>
      <c r="AA77" s="1824"/>
      <c r="AB77" s="1824"/>
      <c r="AC77" s="1824"/>
      <c r="AD77" s="1571"/>
      <c r="AE77" s="702"/>
      <c r="AF77" s="703"/>
      <c r="AG77" s="703"/>
      <c r="AH77" s="703"/>
      <c r="AI77" s="703"/>
      <c r="AJ77" s="704"/>
      <c r="AK77" s="704"/>
      <c r="AL77" s="704"/>
      <c r="AM77" s="704"/>
      <c r="AN77" s="704"/>
      <c r="AO77" s="704"/>
      <c r="AP77" s="704"/>
      <c r="AQ77" s="704"/>
      <c r="AR77" s="704"/>
      <c r="AS77" s="704"/>
      <c r="AT77" s="704"/>
      <c r="AU77" s="1830"/>
      <c r="AV77" s="1831"/>
      <c r="AW77" s="1832"/>
      <c r="AX77" s="1832"/>
      <c r="AY77" s="1832"/>
      <c r="AZ77" s="1824"/>
      <c r="BA77" s="1824"/>
      <c r="BB77" s="705"/>
      <c r="BC77" s="705"/>
      <c r="BD77" s="705"/>
    </row>
    <row r="78" spans="2:56" s="655" customFormat="1" ht="24.95" customHeight="1">
      <c r="B78" s="281"/>
      <c r="C78" s="483"/>
      <c r="D78" s="483"/>
      <c r="E78" s="483"/>
      <c r="F78" s="652"/>
      <c r="G78" s="653"/>
      <c r="H78" s="505"/>
      <c r="I78" s="654"/>
      <c r="J78" s="662"/>
      <c r="K78" s="662"/>
      <c r="L78" s="507"/>
      <c r="M78" s="505"/>
      <c r="N78" s="654"/>
      <c r="O78" s="1561"/>
      <c r="P78" s="1453"/>
      <c r="Q78" s="520"/>
      <c r="R78" s="483"/>
      <c r="S78" s="483"/>
      <c r="T78" s="483"/>
      <c r="U78" s="483"/>
      <c r="V78" s="483"/>
      <c r="W78" s="483"/>
      <c r="X78" s="507"/>
      <c r="Y78" s="1824"/>
      <c r="Z78" s="1824"/>
      <c r="AA78" s="1824"/>
      <c r="AB78" s="1824"/>
      <c r="AC78" s="1824"/>
      <c r="AD78" s="1571"/>
      <c r="AE78" s="702"/>
      <c r="AF78" s="703"/>
      <c r="AG78" s="703"/>
      <c r="AH78" s="703"/>
      <c r="AI78" s="703"/>
      <c r="AJ78" s="704"/>
      <c r="AK78" s="704"/>
      <c r="AL78" s="704"/>
      <c r="AM78" s="704"/>
      <c r="AN78" s="704"/>
      <c r="AO78" s="704"/>
      <c r="AP78" s="704"/>
      <c r="AQ78" s="704"/>
      <c r="AR78" s="704"/>
      <c r="AS78" s="704"/>
      <c r="AT78" s="704"/>
      <c r="AU78" s="1830"/>
      <c r="AV78" s="1831"/>
      <c r="AW78" s="1832"/>
      <c r="AX78" s="1832"/>
      <c r="AY78" s="1832"/>
      <c r="AZ78" s="1824"/>
      <c r="BA78" s="1824"/>
      <c r="BB78" s="705"/>
      <c r="BC78" s="705"/>
      <c r="BD78" s="705"/>
    </row>
    <row r="79" spans="2:56" s="655" customFormat="1" ht="24.95" customHeight="1">
      <c r="B79" s="281"/>
      <c r="C79" s="483"/>
      <c r="D79" s="483"/>
      <c r="E79" s="483"/>
      <c r="F79" s="652"/>
      <c r="G79" s="653"/>
      <c r="H79" s="505"/>
      <c r="I79" s="654"/>
      <c r="J79" s="662"/>
      <c r="K79" s="662"/>
      <c r="L79" s="507"/>
      <c r="M79" s="505"/>
      <c r="N79" s="654"/>
      <c r="O79" s="1561"/>
      <c r="P79" s="1453"/>
      <c r="Q79" s="520"/>
      <c r="R79" s="483"/>
      <c r="S79" s="483"/>
      <c r="T79" s="483"/>
      <c r="U79" s="483"/>
      <c r="V79" s="483"/>
      <c r="W79" s="483"/>
      <c r="X79" s="507"/>
      <c r="Y79" s="1824"/>
      <c r="Z79" s="1824"/>
      <c r="AA79" s="1824"/>
      <c r="AB79" s="1824"/>
      <c r="AC79" s="1824"/>
      <c r="AD79" s="1571"/>
      <c r="AE79" s="702"/>
      <c r="AF79" s="703"/>
      <c r="AG79" s="703"/>
      <c r="AH79" s="703"/>
      <c r="AI79" s="703"/>
      <c r="AJ79" s="704"/>
      <c r="AK79" s="704"/>
      <c r="AL79" s="704"/>
      <c r="AM79" s="704"/>
      <c r="AN79" s="704"/>
      <c r="AO79" s="704"/>
      <c r="AP79" s="704"/>
      <c r="AQ79" s="704"/>
      <c r="AR79" s="704"/>
      <c r="AS79" s="704"/>
      <c r="AT79" s="704"/>
      <c r="AU79" s="1830"/>
      <c r="AV79" s="1831"/>
      <c r="AW79" s="1832"/>
      <c r="AX79" s="1832"/>
      <c r="AY79" s="1832"/>
      <c r="AZ79" s="1824"/>
      <c r="BA79" s="1824"/>
      <c r="BB79" s="705"/>
      <c r="BC79" s="705"/>
      <c r="BD79" s="705"/>
    </row>
    <row r="80" spans="2:56" s="655" customFormat="1" ht="24.95" customHeight="1">
      <c r="B80" s="281"/>
      <c r="C80" s="483"/>
      <c r="D80" s="483"/>
      <c r="E80" s="483"/>
      <c r="F80" s="652"/>
      <c r="G80" s="653"/>
      <c r="H80" s="505"/>
      <c r="I80" s="654"/>
      <c r="J80" s="662"/>
      <c r="K80" s="662"/>
      <c r="L80" s="507"/>
      <c r="M80" s="505"/>
      <c r="N80" s="654"/>
      <c r="O80" s="1561"/>
      <c r="P80" s="1453"/>
      <c r="Q80" s="520"/>
      <c r="R80" s="483"/>
      <c r="S80" s="483"/>
      <c r="T80" s="483"/>
      <c r="U80" s="483"/>
      <c r="V80" s="483"/>
      <c r="W80" s="483"/>
      <c r="X80" s="507"/>
      <c r="Y80" s="1824"/>
      <c r="Z80" s="1824"/>
      <c r="AA80" s="1824"/>
      <c r="AB80" s="1824"/>
      <c r="AC80" s="1824"/>
      <c r="AD80" s="1571"/>
      <c r="AE80" s="702"/>
      <c r="AF80" s="703"/>
      <c r="AG80" s="703"/>
      <c r="AH80" s="703"/>
      <c r="AI80" s="703"/>
      <c r="AJ80" s="704"/>
      <c r="AK80" s="704"/>
      <c r="AL80" s="704"/>
      <c r="AM80" s="704"/>
      <c r="AN80" s="704"/>
      <c r="AO80" s="704"/>
      <c r="AP80" s="704"/>
      <c r="AQ80" s="704"/>
      <c r="AR80" s="704"/>
      <c r="AS80" s="704"/>
      <c r="AT80" s="704"/>
      <c r="AU80" s="1830"/>
      <c r="AV80" s="1831"/>
      <c r="AW80" s="1832"/>
      <c r="AX80" s="1832"/>
      <c r="AY80" s="1832"/>
      <c r="AZ80" s="1824"/>
      <c r="BA80" s="1824"/>
      <c r="BB80" s="705"/>
      <c r="BC80" s="705"/>
      <c r="BD80" s="705"/>
    </row>
    <row r="81" spans="2:57" s="655" customFormat="1" ht="24.95" customHeight="1">
      <c r="B81" s="281"/>
      <c r="C81" s="483"/>
      <c r="D81" s="483"/>
      <c r="E81" s="483"/>
      <c r="F81" s="652"/>
      <c r="G81" s="653"/>
      <c r="H81" s="505"/>
      <c r="I81" s="654"/>
      <c r="J81" s="662"/>
      <c r="K81" s="662"/>
      <c r="L81" s="507"/>
      <c r="M81" s="505"/>
      <c r="N81" s="654"/>
      <c r="O81" s="1561"/>
      <c r="P81" s="1453"/>
      <c r="Q81" s="520"/>
      <c r="R81" s="483"/>
      <c r="S81" s="483"/>
      <c r="T81" s="483"/>
      <c r="U81" s="483"/>
      <c r="V81" s="483"/>
      <c r="W81" s="483"/>
      <c r="X81" s="507"/>
      <c r="Y81" s="1824"/>
      <c r="Z81" s="1824"/>
      <c r="AA81" s="1824"/>
      <c r="AB81" s="1824"/>
      <c r="AC81" s="1824"/>
      <c r="AD81" s="1571"/>
      <c r="AE81" s="702"/>
      <c r="AF81" s="703"/>
      <c r="AG81" s="703"/>
      <c r="AH81" s="703"/>
      <c r="AI81" s="703"/>
      <c r="AJ81" s="704"/>
      <c r="AK81" s="704"/>
      <c r="AL81" s="704"/>
      <c r="AM81" s="704"/>
      <c r="AN81" s="704"/>
      <c r="AO81" s="704"/>
      <c r="AP81" s="704"/>
      <c r="AQ81" s="704"/>
      <c r="AR81" s="704"/>
      <c r="AS81" s="704"/>
      <c r="AT81" s="704"/>
      <c r="AU81" s="1830"/>
      <c r="AV81" s="1831"/>
      <c r="AW81" s="1832"/>
      <c r="AX81" s="1832"/>
      <c r="AY81" s="1832"/>
      <c r="AZ81" s="1824"/>
      <c r="BA81" s="1824"/>
      <c r="BB81" s="705"/>
      <c r="BC81" s="705"/>
      <c r="BD81" s="705"/>
    </row>
    <row r="82" spans="2:57" s="655" customFormat="1" ht="24.95" customHeight="1">
      <c r="B82" s="281"/>
      <c r="C82" s="483"/>
      <c r="D82" s="483"/>
      <c r="E82" s="483"/>
      <c r="F82" s="652"/>
      <c r="G82" s="653"/>
      <c r="H82" s="505"/>
      <c r="I82" s="654"/>
      <c r="J82" s="662"/>
      <c r="K82" s="662"/>
      <c r="L82" s="507"/>
      <c r="M82" s="505"/>
      <c r="N82" s="654"/>
      <c r="O82" s="1561"/>
      <c r="P82" s="1453"/>
      <c r="Q82" s="520"/>
      <c r="R82" s="483"/>
      <c r="S82" s="483"/>
      <c r="T82" s="483"/>
      <c r="U82" s="483"/>
      <c r="V82" s="483"/>
      <c r="W82" s="483"/>
      <c r="X82" s="507"/>
      <c r="Y82" s="1824"/>
      <c r="Z82" s="1824"/>
      <c r="AA82" s="1824"/>
      <c r="AB82" s="1824"/>
      <c r="AC82" s="1824"/>
      <c r="AD82" s="1571"/>
      <c r="AE82" s="702"/>
      <c r="AF82" s="703"/>
      <c r="AG82" s="703"/>
      <c r="AH82" s="703"/>
      <c r="AI82" s="703"/>
      <c r="AJ82" s="704"/>
      <c r="AK82" s="704"/>
      <c r="AL82" s="704"/>
      <c r="AM82" s="704"/>
      <c r="AN82" s="704"/>
      <c r="AO82" s="704"/>
      <c r="AP82" s="704"/>
      <c r="AQ82" s="704"/>
      <c r="AR82" s="704"/>
      <c r="AS82" s="704"/>
      <c r="AT82" s="704"/>
      <c r="AU82" s="1830"/>
      <c r="AV82" s="1831"/>
      <c r="AW82" s="1832"/>
      <c r="AX82" s="1832"/>
      <c r="AY82" s="1832"/>
      <c r="AZ82" s="1824"/>
      <c r="BA82" s="1824"/>
      <c r="BB82" s="705"/>
      <c r="BC82" s="705"/>
      <c r="BD82" s="705"/>
    </row>
    <row r="83" spans="2:57" s="655" customFormat="1" ht="24.95" customHeight="1">
      <c r="B83" s="281"/>
      <c r="C83" s="483"/>
      <c r="D83" s="483"/>
      <c r="E83" s="483"/>
      <c r="F83" s="652"/>
      <c r="G83" s="653"/>
      <c r="H83" s="505"/>
      <c r="I83" s="654"/>
      <c r="J83" s="662"/>
      <c r="K83" s="662"/>
      <c r="L83" s="507"/>
      <c r="M83" s="505"/>
      <c r="N83" s="654"/>
      <c r="O83" s="1561"/>
      <c r="P83" s="1453"/>
      <c r="Q83" s="520"/>
      <c r="R83" s="483"/>
      <c r="S83" s="483"/>
      <c r="T83" s="483"/>
      <c r="U83" s="483"/>
      <c r="V83" s="483"/>
      <c r="W83" s="483"/>
      <c r="X83" s="507"/>
      <c r="Y83" s="1824"/>
      <c r="Z83" s="1824"/>
      <c r="AA83" s="1824"/>
      <c r="AB83" s="1824"/>
      <c r="AC83" s="1824"/>
      <c r="AD83" s="1571"/>
      <c r="AE83" s="702"/>
      <c r="AF83" s="703"/>
      <c r="AG83" s="703"/>
      <c r="AH83" s="703"/>
      <c r="AI83" s="703"/>
      <c r="AJ83" s="704"/>
      <c r="AK83" s="704"/>
      <c r="AL83" s="704"/>
      <c r="AM83" s="704"/>
      <c r="AN83" s="704"/>
      <c r="AO83" s="704"/>
      <c r="AP83" s="704"/>
      <c r="AQ83" s="704"/>
      <c r="AR83" s="704"/>
      <c r="AS83" s="704"/>
      <c r="AT83" s="704"/>
      <c r="AU83" s="1830"/>
      <c r="AV83" s="1831"/>
      <c r="AW83" s="1832"/>
      <c r="AX83" s="1832"/>
      <c r="AY83" s="1832"/>
      <c r="AZ83" s="1824"/>
      <c r="BA83" s="1824"/>
      <c r="BB83" s="705"/>
      <c r="BC83" s="705"/>
      <c r="BD83" s="705"/>
    </row>
    <row r="84" spans="2:57" s="655" customFormat="1" ht="24.95" customHeight="1">
      <c r="B84" s="281"/>
      <c r="C84" s="483"/>
      <c r="D84" s="483"/>
      <c r="E84" s="483"/>
      <c r="F84" s="652"/>
      <c r="G84" s="653"/>
      <c r="H84" s="505"/>
      <c r="I84" s="654"/>
      <c r="J84" s="662"/>
      <c r="K84" s="662"/>
      <c r="L84" s="507"/>
      <c r="M84" s="505"/>
      <c r="N84" s="654"/>
      <c r="O84" s="1561"/>
      <c r="P84" s="1453"/>
      <c r="Q84" s="520"/>
      <c r="R84" s="483"/>
      <c r="S84" s="483"/>
      <c r="T84" s="483"/>
      <c r="U84" s="483"/>
      <c r="V84" s="483"/>
      <c r="W84" s="483"/>
      <c r="X84" s="507"/>
      <c r="Y84" s="1824"/>
      <c r="Z84" s="1824"/>
      <c r="AA84" s="1824"/>
      <c r="AB84" s="1824"/>
      <c r="AC84" s="1824"/>
      <c r="AD84" s="1571"/>
      <c r="AE84" s="702"/>
      <c r="AF84" s="703"/>
      <c r="AG84" s="703"/>
      <c r="AH84" s="703"/>
      <c r="AI84" s="703"/>
      <c r="AJ84" s="704"/>
      <c r="AK84" s="704"/>
      <c r="AL84" s="704"/>
      <c r="AM84" s="704"/>
      <c r="AN84" s="704"/>
      <c r="AO84" s="704"/>
      <c r="AP84" s="704"/>
      <c r="AQ84" s="704"/>
      <c r="AR84" s="704"/>
      <c r="AS84" s="704"/>
      <c r="AT84" s="704"/>
      <c r="AU84" s="1830"/>
      <c r="AV84" s="1831"/>
      <c r="AW84" s="1832"/>
      <c r="AX84" s="1832"/>
      <c r="AY84" s="1832"/>
      <c r="AZ84" s="1824"/>
      <c r="BA84" s="1824"/>
      <c r="BB84" s="705"/>
      <c r="BC84" s="705"/>
      <c r="BD84" s="705"/>
    </row>
    <row r="85" spans="2:57" s="655" customFormat="1" ht="24.95" customHeight="1">
      <c r="B85" s="281"/>
      <c r="C85" s="483"/>
      <c r="D85" s="483"/>
      <c r="E85" s="483"/>
      <c r="F85" s="652"/>
      <c r="G85" s="653"/>
      <c r="H85" s="505"/>
      <c r="I85" s="654"/>
      <c r="J85" s="662"/>
      <c r="K85" s="662"/>
      <c r="L85" s="507"/>
      <c r="M85" s="505"/>
      <c r="N85" s="654"/>
      <c r="O85" s="1561"/>
      <c r="P85" s="1453"/>
      <c r="Q85" s="520"/>
      <c r="R85" s="483"/>
      <c r="S85" s="483"/>
      <c r="T85" s="483"/>
      <c r="U85" s="483"/>
      <c r="V85" s="483"/>
      <c r="W85" s="483"/>
      <c r="X85" s="507"/>
      <c r="Y85" s="1824"/>
      <c r="Z85" s="1824"/>
      <c r="AA85" s="1824"/>
      <c r="AB85" s="1824"/>
      <c r="AC85" s="1824"/>
      <c r="AD85" s="1571"/>
      <c r="AE85" s="702"/>
      <c r="AF85" s="703"/>
      <c r="AG85" s="703"/>
      <c r="AH85" s="703"/>
      <c r="AI85" s="703"/>
      <c r="AJ85" s="704"/>
      <c r="AK85" s="704"/>
      <c r="AL85" s="704"/>
      <c r="AM85" s="704"/>
      <c r="AN85" s="704"/>
      <c r="AO85" s="704"/>
      <c r="AP85" s="704"/>
      <c r="AQ85" s="704"/>
      <c r="AR85" s="704"/>
      <c r="AS85" s="704"/>
      <c r="AT85" s="704"/>
      <c r="AU85" s="1830"/>
      <c r="AV85" s="1831"/>
      <c r="AW85" s="1832"/>
      <c r="AX85" s="1832"/>
      <c r="AY85" s="1832"/>
      <c r="AZ85" s="1824"/>
      <c r="BA85" s="1824"/>
      <c r="BB85" s="705"/>
      <c r="BC85" s="705"/>
      <c r="BD85" s="705"/>
    </row>
    <row r="86" spans="2:57" s="655" customFormat="1" ht="24.95" customHeight="1">
      <c r="B86" s="281"/>
      <c r="C86" s="483"/>
      <c r="D86" s="483"/>
      <c r="E86" s="483"/>
      <c r="F86" s="652"/>
      <c r="G86" s="653"/>
      <c r="H86" s="505"/>
      <c r="I86" s="654"/>
      <c r="J86" s="662"/>
      <c r="K86" s="662"/>
      <c r="L86" s="507"/>
      <c r="M86" s="505"/>
      <c r="N86" s="654"/>
      <c r="O86" s="1561"/>
      <c r="P86" s="1453"/>
      <c r="Q86" s="520"/>
      <c r="R86" s="483"/>
      <c r="S86" s="483"/>
      <c r="T86" s="483"/>
      <c r="U86" s="483"/>
      <c r="V86" s="483"/>
      <c r="W86" s="483"/>
      <c r="X86" s="507"/>
      <c r="Y86" s="1824"/>
      <c r="Z86" s="1824"/>
      <c r="AA86" s="1824"/>
      <c r="AB86" s="1824"/>
      <c r="AC86" s="1824"/>
      <c r="AD86" s="1571"/>
      <c r="AE86" s="702"/>
      <c r="AF86" s="703"/>
      <c r="AG86" s="703"/>
      <c r="AH86" s="703"/>
      <c r="AI86" s="703"/>
      <c r="AJ86" s="704"/>
      <c r="AK86" s="704"/>
      <c r="AL86" s="704"/>
      <c r="AM86" s="704"/>
      <c r="AN86" s="704"/>
      <c r="AO86" s="704"/>
      <c r="AP86" s="704"/>
      <c r="AQ86" s="704"/>
      <c r="AR86" s="704"/>
      <c r="AS86" s="704"/>
      <c r="AT86" s="704"/>
      <c r="AU86" s="1830"/>
      <c r="AV86" s="1831"/>
      <c r="AW86" s="1832"/>
      <c r="AX86" s="1832"/>
      <c r="AY86" s="1832"/>
      <c r="AZ86" s="1824"/>
      <c r="BA86" s="1824"/>
      <c r="BB86" s="705"/>
      <c r="BC86" s="705"/>
      <c r="BD86" s="705"/>
    </row>
    <row r="87" spans="2:57" s="655" customFormat="1" ht="24.95" customHeight="1">
      <c r="B87" s="281"/>
      <c r="C87" s="483"/>
      <c r="D87" s="483"/>
      <c r="E87" s="483"/>
      <c r="F87" s="652"/>
      <c r="G87" s="653"/>
      <c r="H87" s="505"/>
      <c r="I87" s="654"/>
      <c r="J87" s="662"/>
      <c r="K87" s="662"/>
      <c r="L87" s="507"/>
      <c r="M87" s="505"/>
      <c r="N87" s="654"/>
      <c r="O87" s="1561"/>
      <c r="P87" s="1453"/>
      <c r="Q87" s="520"/>
      <c r="R87" s="483"/>
      <c r="S87" s="483"/>
      <c r="T87" s="483"/>
      <c r="U87" s="483"/>
      <c r="V87" s="483"/>
      <c r="W87" s="483"/>
      <c r="X87" s="507"/>
      <c r="Y87" s="1824"/>
      <c r="Z87" s="1824"/>
      <c r="AA87" s="1824"/>
      <c r="AB87" s="1824"/>
      <c r="AC87" s="1824"/>
      <c r="AD87" s="1571"/>
      <c r="AE87" s="702"/>
      <c r="AF87" s="703"/>
      <c r="AG87" s="703"/>
      <c r="AH87" s="703"/>
      <c r="AI87" s="703"/>
      <c r="AJ87" s="704"/>
      <c r="AK87" s="704"/>
      <c r="AL87" s="704"/>
      <c r="AM87" s="704"/>
      <c r="AN87" s="704"/>
      <c r="AO87" s="704"/>
      <c r="AP87" s="704"/>
      <c r="AQ87" s="704"/>
      <c r="AR87" s="704"/>
      <c r="AS87" s="704"/>
      <c r="AT87" s="704"/>
      <c r="AU87" s="1830"/>
      <c r="AV87" s="1831"/>
      <c r="AW87" s="1832"/>
      <c r="AX87" s="1832"/>
      <c r="AY87" s="1832"/>
      <c r="AZ87" s="1824"/>
      <c r="BA87" s="1824"/>
      <c r="BB87" s="705"/>
      <c r="BC87" s="705"/>
      <c r="BD87" s="705"/>
    </row>
    <row r="88" spans="2:57" s="655" customFormat="1" ht="24.95" customHeight="1">
      <c r="B88" s="281"/>
      <c r="C88" s="483"/>
      <c r="D88" s="483"/>
      <c r="E88" s="483"/>
      <c r="F88" s="652"/>
      <c r="G88" s="653"/>
      <c r="H88" s="505"/>
      <c r="I88" s="654"/>
      <c r="J88" s="662"/>
      <c r="K88" s="662"/>
      <c r="L88" s="507"/>
      <c r="M88" s="505"/>
      <c r="N88" s="654"/>
      <c r="O88" s="1561"/>
      <c r="P88" s="1453"/>
      <c r="Q88" s="520"/>
      <c r="R88" s="483"/>
      <c r="S88" s="483"/>
      <c r="T88" s="483"/>
      <c r="U88" s="483"/>
      <c r="V88" s="483"/>
      <c r="W88" s="483"/>
      <c r="X88" s="507"/>
      <c r="Y88" s="1824"/>
      <c r="Z88" s="1824"/>
      <c r="AA88" s="1824"/>
      <c r="AB88" s="1824"/>
      <c r="AC88" s="1824"/>
      <c r="AD88" s="1571"/>
      <c r="AE88" s="702"/>
      <c r="AF88" s="703"/>
      <c r="AG88" s="703"/>
      <c r="AH88" s="703"/>
      <c r="AI88" s="703"/>
      <c r="AJ88" s="704"/>
      <c r="AK88" s="704"/>
      <c r="AL88" s="704"/>
      <c r="AM88" s="704"/>
      <c r="AN88" s="704"/>
      <c r="AO88" s="704"/>
      <c r="AP88" s="704"/>
      <c r="AQ88" s="704"/>
      <c r="AR88" s="704"/>
      <c r="AS88" s="704"/>
      <c r="AT88" s="704"/>
      <c r="AU88" s="1830"/>
      <c r="AV88" s="1831"/>
      <c r="AW88" s="1832"/>
      <c r="AX88" s="1832"/>
      <c r="AY88" s="1832"/>
      <c r="AZ88" s="1824"/>
      <c r="BA88" s="1824"/>
      <c r="BB88" s="705"/>
      <c r="BC88" s="705"/>
      <c r="BD88" s="705"/>
    </row>
    <row r="89" spans="2:57" s="655" customFormat="1" ht="24.95" customHeight="1">
      <c r="B89" s="281"/>
      <c r="C89" s="483"/>
      <c r="D89" s="483"/>
      <c r="E89" s="483"/>
      <c r="F89" s="652"/>
      <c r="G89" s="653"/>
      <c r="H89" s="505"/>
      <c r="I89" s="654"/>
      <c r="J89" s="662"/>
      <c r="K89" s="662"/>
      <c r="L89" s="507"/>
      <c r="M89" s="505"/>
      <c r="N89" s="654"/>
      <c r="O89" s="1561"/>
      <c r="P89" s="1453"/>
      <c r="Q89" s="520"/>
      <c r="R89" s="483"/>
      <c r="S89" s="483"/>
      <c r="T89" s="483"/>
      <c r="U89" s="483"/>
      <c r="V89" s="483"/>
      <c r="W89" s="483"/>
      <c r="X89" s="507"/>
      <c r="Y89" s="1824"/>
      <c r="Z89" s="1824"/>
      <c r="AA89" s="1824"/>
      <c r="AB89" s="1824"/>
      <c r="AC89" s="1824"/>
      <c r="AD89" s="1571"/>
      <c r="AE89" s="702"/>
      <c r="AF89" s="703"/>
      <c r="AG89" s="703"/>
      <c r="AH89" s="703"/>
      <c r="AI89" s="703"/>
      <c r="AJ89" s="704"/>
      <c r="AK89" s="704"/>
      <c r="AL89" s="704"/>
      <c r="AM89" s="704"/>
      <c r="AN89" s="704"/>
      <c r="AO89" s="704"/>
      <c r="AP89" s="704"/>
      <c r="AQ89" s="704"/>
      <c r="AR89" s="704"/>
      <c r="AS89" s="704"/>
      <c r="AT89" s="704"/>
      <c r="AU89" s="1830"/>
      <c r="AV89" s="1831"/>
      <c r="AW89" s="1832"/>
      <c r="AX89" s="1832"/>
      <c r="AY89" s="1832"/>
      <c r="AZ89" s="1824"/>
      <c r="BA89" s="1824"/>
      <c r="BB89" s="705"/>
      <c r="BC89" s="705"/>
      <c r="BD89" s="705"/>
    </row>
    <row r="90" spans="2:57" s="655" customFormat="1" ht="24.95" customHeight="1">
      <c r="B90" s="281"/>
      <c r="C90" s="483"/>
      <c r="D90" s="483"/>
      <c r="E90" s="483"/>
      <c r="F90" s="652"/>
      <c r="G90" s="653"/>
      <c r="H90" s="505"/>
      <c r="I90" s="654"/>
      <c r="J90" s="662"/>
      <c r="K90" s="662"/>
      <c r="L90" s="507"/>
      <c r="M90" s="505"/>
      <c r="N90" s="654"/>
      <c r="O90" s="1561"/>
      <c r="P90" s="1453"/>
      <c r="Q90" s="520"/>
      <c r="R90" s="483"/>
      <c r="S90" s="483"/>
      <c r="T90" s="483"/>
      <c r="U90" s="483"/>
      <c r="V90" s="483"/>
      <c r="W90" s="483"/>
      <c r="X90" s="507"/>
      <c r="Y90" s="1824"/>
      <c r="Z90" s="1824"/>
      <c r="AA90" s="1824"/>
      <c r="AB90" s="1824"/>
      <c r="AC90" s="1824"/>
      <c r="AD90" s="1571"/>
      <c r="AE90" s="702"/>
      <c r="AF90" s="703"/>
      <c r="AG90" s="703"/>
      <c r="AH90" s="703"/>
      <c r="AI90" s="703"/>
      <c r="AJ90" s="704"/>
      <c r="AK90" s="704"/>
      <c r="AL90" s="704"/>
      <c r="AM90" s="704"/>
      <c r="AN90" s="704"/>
      <c r="AO90" s="704"/>
      <c r="AP90" s="704"/>
      <c r="AQ90" s="704"/>
      <c r="AR90" s="704"/>
      <c r="AS90" s="704"/>
      <c r="AT90" s="704"/>
      <c r="AU90" s="1830"/>
      <c r="AV90" s="1831"/>
      <c r="AW90" s="1832"/>
      <c r="AX90" s="1832"/>
      <c r="AY90" s="1832"/>
      <c r="AZ90" s="1824"/>
      <c r="BA90" s="1824"/>
      <c r="BB90" s="705"/>
      <c r="BC90" s="705"/>
      <c r="BD90" s="705"/>
    </row>
    <row r="91" spans="2:57" s="655" customFormat="1" ht="24.95" customHeight="1">
      <c r="B91" s="281"/>
      <c r="C91" s="483"/>
      <c r="D91" s="483"/>
      <c r="E91" s="483"/>
      <c r="F91" s="652"/>
      <c r="G91" s="653"/>
      <c r="H91" s="505"/>
      <c r="I91" s="654"/>
      <c r="J91" s="662"/>
      <c r="K91" s="662"/>
      <c r="L91" s="507"/>
      <c r="M91" s="505"/>
      <c r="N91" s="654"/>
      <c r="O91" s="1561"/>
      <c r="P91" s="1453"/>
      <c r="Q91" s="520"/>
      <c r="R91" s="483"/>
      <c r="S91" s="483"/>
      <c r="T91" s="483"/>
      <c r="U91" s="483"/>
      <c r="V91" s="483"/>
      <c r="W91" s="483"/>
      <c r="X91" s="507"/>
      <c r="Y91" s="1824"/>
      <c r="Z91" s="1824"/>
      <c r="AA91" s="1824"/>
      <c r="AB91" s="1824"/>
      <c r="AC91" s="1824"/>
      <c r="AD91" s="1571"/>
      <c r="AE91" s="702"/>
      <c r="AF91" s="703"/>
      <c r="AG91" s="703"/>
      <c r="AH91" s="703"/>
      <c r="AI91" s="703"/>
      <c r="AJ91" s="704"/>
      <c r="AK91" s="704"/>
      <c r="AL91" s="704"/>
      <c r="AM91" s="704"/>
      <c r="AN91" s="704"/>
      <c r="AO91" s="704"/>
      <c r="AP91" s="704"/>
      <c r="AQ91" s="704"/>
      <c r="AR91" s="704"/>
      <c r="AS91" s="704"/>
      <c r="AT91" s="704"/>
      <c r="AU91" s="1830"/>
      <c r="AV91" s="1831"/>
      <c r="AW91" s="1832"/>
      <c r="AX91" s="1832"/>
      <c r="AY91" s="1832"/>
      <c r="AZ91" s="1824"/>
      <c r="BA91" s="1824"/>
      <c r="BB91" s="705"/>
      <c r="BC91" s="705"/>
      <c r="BD91" s="705"/>
    </row>
    <row r="92" spans="2:57" s="655" customFormat="1" ht="24.95" customHeight="1">
      <c r="B92" s="281"/>
      <c r="C92" s="483"/>
      <c r="D92" s="483"/>
      <c r="E92" s="483"/>
      <c r="F92" s="652"/>
      <c r="G92" s="653"/>
      <c r="H92" s="505"/>
      <c r="I92" s="654"/>
      <c r="J92" s="662"/>
      <c r="K92" s="662"/>
      <c r="L92" s="507"/>
      <c r="M92" s="505"/>
      <c r="N92" s="654"/>
      <c r="O92" s="1561"/>
      <c r="P92" s="1453"/>
      <c r="Q92" s="520"/>
      <c r="R92" s="483"/>
      <c r="S92" s="483"/>
      <c r="T92" s="483"/>
      <c r="U92" s="483"/>
      <c r="V92" s="483"/>
      <c r="W92" s="483"/>
      <c r="X92" s="507"/>
      <c r="Y92" s="1824"/>
      <c r="Z92" s="1824"/>
      <c r="AA92" s="1824"/>
      <c r="AB92" s="1824"/>
      <c r="AC92" s="1824"/>
      <c r="AD92" s="1571"/>
      <c r="AE92" s="702"/>
      <c r="AF92" s="703"/>
      <c r="AG92" s="703"/>
      <c r="AH92" s="703"/>
      <c r="AI92" s="703"/>
      <c r="AJ92" s="704"/>
      <c r="AK92" s="704"/>
      <c r="AL92" s="704"/>
      <c r="AM92" s="704"/>
      <c r="AN92" s="704"/>
      <c r="AO92" s="704"/>
      <c r="AP92" s="704"/>
      <c r="AQ92" s="704"/>
      <c r="AR92" s="704"/>
      <c r="AS92" s="704"/>
      <c r="AT92" s="704"/>
      <c r="AU92" s="1830"/>
      <c r="AV92" s="1831"/>
      <c r="AW92" s="1832"/>
      <c r="AX92" s="1832"/>
      <c r="AY92" s="1832"/>
      <c r="AZ92" s="1824"/>
      <c r="BA92" s="1824"/>
      <c r="BB92" s="705"/>
      <c r="BC92" s="705"/>
      <c r="BD92" s="705"/>
    </row>
    <row r="93" spans="2:57" s="655" customFormat="1" ht="24.95" customHeight="1">
      <c r="B93" s="281"/>
      <c r="C93" s="483"/>
      <c r="D93" s="483"/>
      <c r="E93" s="483"/>
      <c r="F93" s="652"/>
      <c r="G93" s="653"/>
      <c r="H93" s="505"/>
      <c r="I93" s="654"/>
      <c r="J93" s="662"/>
      <c r="K93" s="662"/>
      <c r="L93" s="507"/>
      <c r="M93" s="505"/>
      <c r="N93" s="654"/>
      <c r="O93" s="1561"/>
      <c r="P93" s="1453"/>
      <c r="Q93" s="520"/>
      <c r="R93" s="483"/>
      <c r="S93" s="483"/>
      <c r="T93" s="483"/>
      <c r="U93" s="483"/>
      <c r="V93" s="483"/>
      <c r="W93" s="483"/>
      <c r="X93" s="507"/>
      <c r="Y93" s="1824"/>
      <c r="Z93" s="1824"/>
      <c r="AA93" s="1824"/>
      <c r="AB93" s="1824"/>
      <c r="AC93" s="1824"/>
      <c r="AD93" s="1571"/>
      <c r="AE93" s="702"/>
      <c r="AF93" s="703"/>
      <c r="AG93" s="703"/>
      <c r="AH93" s="703"/>
      <c r="AI93" s="703"/>
      <c r="AJ93" s="704"/>
      <c r="AK93" s="704"/>
      <c r="AL93" s="704"/>
      <c r="AM93" s="704"/>
      <c r="AN93" s="704"/>
      <c r="AO93" s="704"/>
      <c r="AP93" s="704"/>
      <c r="AQ93" s="704"/>
      <c r="AR93" s="704"/>
      <c r="AS93" s="704"/>
      <c r="AT93" s="704"/>
      <c r="AU93" s="1830"/>
      <c r="AV93" s="1831"/>
      <c r="AW93" s="1832"/>
      <c r="AX93" s="1832"/>
      <c r="AY93" s="1832"/>
      <c r="AZ93" s="1824"/>
      <c r="BA93" s="1824"/>
      <c r="BB93" s="705"/>
      <c r="BC93" s="705"/>
      <c r="BD93" s="705"/>
    </row>
    <row r="94" spans="2:57" s="655" customFormat="1" ht="24.95" customHeight="1">
      <c r="B94" s="281"/>
      <c r="C94" s="483"/>
      <c r="D94" s="483"/>
      <c r="E94" s="483"/>
      <c r="F94" s="652"/>
      <c r="G94" s="653"/>
      <c r="H94" s="505"/>
      <c r="I94" s="654"/>
      <c r="J94" s="662"/>
      <c r="K94" s="662"/>
      <c r="L94" s="507"/>
      <c r="M94" s="505"/>
      <c r="N94" s="654"/>
      <c r="O94" s="1561"/>
      <c r="P94" s="1453"/>
      <c r="Q94" s="520"/>
      <c r="R94" s="483"/>
      <c r="S94" s="483"/>
      <c r="T94" s="483"/>
      <c r="U94" s="483"/>
      <c r="V94" s="483"/>
      <c r="W94" s="483"/>
      <c r="X94" s="507"/>
      <c r="Y94" s="1824"/>
      <c r="Z94" s="1824"/>
      <c r="AA94" s="1824"/>
      <c r="AB94" s="1824"/>
      <c r="AC94" s="1824"/>
      <c r="AD94" s="1571"/>
      <c r="AE94" s="702"/>
      <c r="AF94" s="703"/>
      <c r="AG94" s="703"/>
      <c r="AH94" s="703"/>
      <c r="AI94" s="703"/>
      <c r="AJ94" s="704"/>
      <c r="AK94" s="704"/>
      <c r="AL94" s="704"/>
      <c r="AM94" s="704"/>
      <c r="AN94" s="704"/>
      <c r="AO94" s="704"/>
      <c r="AP94" s="704"/>
      <c r="AQ94" s="704"/>
      <c r="AR94" s="704"/>
      <c r="AS94" s="704"/>
      <c r="AT94" s="704"/>
      <c r="AU94" s="1830"/>
      <c r="AV94" s="1831"/>
      <c r="AW94" s="1832"/>
      <c r="AX94" s="1832"/>
      <c r="AY94" s="1832"/>
      <c r="AZ94" s="1824"/>
      <c r="BA94" s="1824"/>
      <c r="BB94" s="705"/>
      <c r="BC94" s="705"/>
      <c r="BD94" s="705"/>
    </row>
    <row r="95" spans="2:57" s="655" customFormat="1" ht="24.95" customHeight="1">
      <c r="B95" s="281"/>
      <c r="C95" s="483"/>
      <c r="D95" s="483"/>
      <c r="E95" s="483"/>
      <c r="F95" s="652"/>
      <c r="G95" s="653"/>
      <c r="H95" s="505"/>
      <c r="I95" s="654"/>
      <c r="J95" s="662"/>
      <c r="K95" s="662"/>
      <c r="L95" s="507"/>
      <c r="M95" s="505"/>
      <c r="N95" s="654"/>
      <c r="O95" s="1561"/>
      <c r="P95" s="1453"/>
      <c r="Q95" s="520"/>
      <c r="R95" s="483"/>
      <c r="S95" s="483"/>
      <c r="T95" s="483"/>
      <c r="U95" s="483"/>
      <c r="V95" s="483"/>
      <c r="W95" s="483"/>
      <c r="X95" s="507"/>
      <c r="Y95" s="1824"/>
      <c r="Z95" s="1824"/>
      <c r="AA95" s="1824"/>
      <c r="AB95" s="1824"/>
      <c r="AC95" s="1824"/>
      <c r="AD95" s="1571"/>
      <c r="AE95" s="702"/>
      <c r="AF95" s="703"/>
      <c r="AG95" s="703"/>
      <c r="AH95" s="703"/>
      <c r="AI95" s="703"/>
      <c r="AJ95" s="704"/>
      <c r="AK95" s="704"/>
      <c r="AL95" s="704"/>
      <c r="AM95" s="704"/>
      <c r="AN95" s="704"/>
      <c r="AO95" s="704"/>
      <c r="AP95" s="704"/>
      <c r="AQ95" s="704"/>
      <c r="AR95" s="704"/>
      <c r="AS95" s="704"/>
      <c r="AT95" s="704"/>
      <c r="AU95" s="1830"/>
      <c r="AV95" s="1831"/>
      <c r="AW95" s="1832"/>
      <c r="AX95" s="1832"/>
      <c r="AY95" s="1832"/>
      <c r="AZ95" s="1824"/>
      <c r="BA95" s="1824"/>
      <c r="BB95" s="705"/>
      <c r="BC95" s="705"/>
      <c r="BD95" s="705"/>
    </row>
    <row r="96" spans="2:57" s="655" customFormat="1" ht="24.95" customHeight="1">
      <c r="B96" s="281"/>
      <c r="C96" s="483"/>
      <c r="D96" s="483"/>
      <c r="E96" s="483"/>
      <c r="F96" s="652"/>
      <c r="G96" s="653"/>
      <c r="H96" s="505"/>
      <c r="I96" s="654"/>
      <c r="J96" s="662"/>
      <c r="K96" s="662"/>
      <c r="L96" s="507"/>
      <c r="M96" s="505"/>
      <c r="N96" s="654"/>
      <c r="O96" s="1561"/>
      <c r="P96" s="1453"/>
      <c r="Q96" s="520"/>
      <c r="R96" s="483"/>
      <c r="S96" s="483"/>
      <c r="T96" s="483"/>
      <c r="U96" s="483"/>
      <c r="V96" s="483"/>
      <c r="W96" s="483"/>
      <c r="X96" s="507"/>
      <c r="Y96" s="1824"/>
      <c r="Z96" s="1824"/>
      <c r="AA96" s="1824"/>
      <c r="AB96" s="1824"/>
      <c r="AC96" s="1824"/>
      <c r="AD96" s="1571"/>
      <c r="AE96" s="707"/>
      <c r="AF96" s="703"/>
      <c r="AG96" s="703"/>
      <c r="AH96" s="703"/>
      <c r="AI96" s="703"/>
      <c r="AJ96" s="704"/>
      <c r="AK96" s="704"/>
      <c r="AL96" s="704"/>
      <c r="AM96" s="704"/>
      <c r="AN96" s="704"/>
      <c r="AO96" s="704"/>
      <c r="AP96" s="704"/>
      <c r="AQ96" s="704"/>
      <c r="AR96" s="704"/>
      <c r="AS96" s="704"/>
      <c r="AT96" s="704"/>
      <c r="AU96" s="1830"/>
      <c r="AV96" s="1831"/>
      <c r="AW96" s="1832"/>
      <c r="AX96" s="1832"/>
      <c r="AY96" s="1832"/>
      <c r="AZ96" s="1824"/>
      <c r="BA96" s="1824"/>
      <c r="BB96" s="705"/>
      <c r="BC96" s="705"/>
      <c r="BD96" s="705"/>
      <c r="BE96" s="708"/>
    </row>
    <row r="97" spans="2:56" s="655" customFormat="1" ht="24.95" customHeight="1">
      <c r="B97" s="281"/>
      <c r="C97" s="483"/>
      <c r="D97" s="483"/>
      <c r="E97" s="483"/>
      <c r="F97" s="652"/>
      <c r="G97" s="653"/>
      <c r="H97" s="505"/>
      <c r="I97" s="654"/>
      <c r="J97" s="662"/>
      <c r="K97" s="662"/>
      <c r="L97" s="507"/>
      <c r="M97" s="505"/>
      <c r="N97" s="654"/>
      <c r="O97" s="1561"/>
      <c r="P97" s="1453"/>
      <c r="Q97" s="520"/>
      <c r="R97" s="483"/>
      <c r="S97" s="483"/>
      <c r="T97" s="483"/>
      <c r="U97" s="483"/>
      <c r="V97" s="483"/>
      <c r="W97" s="483"/>
      <c r="X97" s="507"/>
      <c r="Y97" s="1824"/>
      <c r="Z97" s="1824"/>
      <c r="AA97" s="1824"/>
      <c r="AB97" s="1824"/>
      <c r="AC97" s="1824"/>
      <c r="AD97" s="1571"/>
      <c r="AE97" s="707"/>
      <c r="AF97" s="703"/>
      <c r="AG97" s="703"/>
      <c r="AH97" s="703"/>
      <c r="AI97" s="703"/>
      <c r="AJ97" s="704"/>
      <c r="AK97" s="704"/>
      <c r="AL97" s="704"/>
      <c r="AM97" s="704"/>
      <c r="AN97" s="704"/>
      <c r="AO97" s="704"/>
      <c r="AP97" s="704"/>
      <c r="AQ97" s="704"/>
      <c r="AR97" s="704"/>
      <c r="AS97" s="704"/>
      <c r="AT97" s="704"/>
      <c r="AU97" s="1830"/>
      <c r="AV97" s="1831"/>
      <c r="AW97" s="1832"/>
      <c r="AX97" s="1832"/>
      <c r="AY97" s="1832"/>
      <c r="AZ97" s="1824"/>
      <c r="BA97" s="1824"/>
      <c r="BB97" s="705"/>
      <c r="BC97" s="705"/>
      <c r="BD97" s="705"/>
    </row>
    <row r="98" spans="2:56" s="655" customFormat="1" ht="24.95" customHeight="1">
      <c r="B98" s="281"/>
      <c r="C98" s="483"/>
      <c r="D98" s="483"/>
      <c r="E98" s="483"/>
      <c r="F98" s="652"/>
      <c r="G98" s="653"/>
      <c r="H98" s="505"/>
      <c r="I98" s="654"/>
      <c r="J98" s="662"/>
      <c r="K98" s="662"/>
      <c r="L98" s="507"/>
      <c r="M98" s="505"/>
      <c r="N98" s="654"/>
      <c r="O98" s="1561"/>
      <c r="P98" s="1453"/>
      <c r="Q98" s="520"/>
      <c r="R98" s="483"/>
      <c r="S98" s="483"/>
      <c r="T98" s="483"/>
      <c r="U98" s="483"/>
      <c r="V98" s="483"/>
      <c r="W98" s="483"/>
      <c r="X98" s="507"/>
      <c r="Y98" s="1824"/>
      <c r="Z98" s="1824"/>
      <c r="AA98" s="1824"/>
      <c r="AB98" s="1824"/>
      <c r="AC98" s="1824"/>
      <c r="AD98" s="1571"/>
      <c r="AE98" s="707"/>
      <c r="AF98" s="703"/>
      <c r="AG98" s="703"/>
      <c r="AH98" s="703"/>
      <c r="AI98" s="703"/>
      <c r="AJ98" s="704"/>
      <c r="AK98" s="704"/>
      <c r="AL98" s="704"/>
      <c r="AM98" s="704"/>
      <c r="AN98" s="704"/>
      <c r="AO98" s="704"/>
      <c r="AP98" s="704"/>
      <c r="AQ98" s="704"/>
      <c r="AR98" s="704"/>
      <c r="AS98" s="704"/>
      <c r="AT98" s="704"/>
      <c r="AU98" s="1830"/>
      <c r="AV98" s="1831"/>
      <c r="AW98" s="1832"/>
      <c r="AX98" s="1832"/>
      <c r="AY98" s="1832"/>
      <c r="AZ98" s="1824"/>
      <c r="BA98" s="1824"/>
      <c r="BB98" s="705"/>
      <c r="BC98" s="705"/>
      <c r="BD98" s="705"/>
    </row>
    <row r="99" spans="2:56" s="655" customFormat="1" ht="24.95" customHeight="1">
      <c r="B99" s="281"/>
      <c r="C99" s="483"/>
      <c r="D99" s="483"/>
      <c r="E99" s="483"/>
      <c r="F99" s="652"/>
      <c r="G99" s="653"/>
      <c r="H99" s="505"/>
      <c r="I99" s="654"/>
      <c r="J99" s="662"/>
      <c r="K99" s="662"/>
      <c r="L99" s="507"/>
      <c r="M99" s="505"/>
      <c r="N99" s="654"/>
      <c r="O99" s="1561"/>
      <c r="P99" s="1453"/>
      <c r="Q99" s="520"/>
      <c r="R99" s="483"/>
      <c r="S99" s="483"/>
      <c r="T99" s="483"/>
      <c r="U99" s="483"/>
      <c r="V99" s="483"/>
      <c r="W99" s="483"/>
      <c r="X99" s="507"/>
      <c r="Y99" s="1824"/>
      <c r="Z99" s="1824"/>
      <c r="AA99" s="1824"/>
      <c r="AB99" s="1824"/>
      <c r="AC99" s="1824"/>
      <c r="AD99" s="1571"/>
      <c r="AE99" s="702"/>
      <c r="AF99" s="703"/>
      <c r="AG99" s="703"/>
      <c r="AH99" s="703"/>
      <c r="AI99" s="703"/>
      <c r="AJ99" s="704"/>
      <c r="AK99" s="704"/>
      <c r="AL99" s="704"/>
      <c r="AM99" s="704"/>
      <c r="AN99" s="704"/>
      <c r="AO99" s="704"/>
      <c r="AP99" s="704"/>
      <c r="AQ99" s="704"/>
      <c r="AR99" s="704"/>
      <c r="AS99" s="704"/>
      <c r="AT99" s="704"/>
      <c r="AU99" s="1830"/>
      <c r="AV99" s="1831"/>
      <c r="AW99" s="1832"/>
      <c r="AX99" s="1832"/>
      <c r="AY99" s="1832"/>
      <c r="AZ99" s="1824"/>
      <c r="BA99" s="1824"/>
      <c r="BB99" s="705"/>
      <c r="BC99" s="705"/>
      <c r="BD99" s="705"/>
    </row>
    <row r="100" spans="2:56" s="655" customFormat="1" ht="24.95" customHeight="1">
      <c r="B100" s="281"/>
      <c r="C100" s="483"/>
      <c r="D100" s="483"/>
      <c r="E100" s="483"/>
      <c r="F100" s="652"/>
      <c r="G100" s="653"/>
      <c r="H100" s="505"/>
      <c r="I100" s="654"/>
      <c r="J100" s="662"/>
      <c r="K100" s="662"/>
      <c r="L100" s="507"/>
      <c r="M100" s="505"/>
      <c r="N100" s="654"/>
      <c r="O100" s="1561"/>
      <c r="P100" s="1453"/>
      <c r="Q100" s="520"/>
      <c r="R100" s="483"/>
      <c r="S100" s="483"/>
      <c r="T100" s="483"/>
      <c r="U100" s="483"/>
      <c r="V100" s="483"/>
      <c r="W100" s="483"/>
      <c r="X100" s="507"/>
      <c r="Y100" s="1824"/>
      <c r="Z100" s="1824"/>
      <c r="AA100" s="1824"/>
      <c r="AB100" s="1824"/>
      <c r="AC100" s="1824"/>
      <c r="AD100" s="1571"/>
      <c r="AE100" s="702"/>
      <c r="AF100" s="703"/>
      <c r="AG100" s="703"/>
      <c r="AH100" s="703"/>
      <c r="AI100" s="703"/>
      <c r="AJ100" s="704"/>
      <c r="AK100" s="704"/>
      <c r="AL100" s="704"/>
      <c r="AM100" s="704"/>
      <c r="AN100" s="704"/>
      <c r="AO100" s="704"/>
      <c r="AP100" s="704"/>
      <c r="AQ100" s="704"/>
      <c r="AR100" s="704"/>
      <c r="AS100" s="704"/>
      <c r="AT100" s="704"/>
      <c r="AU100" s="1830"/>
      <c r="AV100" s="1831"/>
      <c r="AW100" s="1832"/>
      <c r="AX100" s="1832"/>
      <c r="AY100" s="1832"/>
      <c r="AZ100" s="1824"/>
      <c r="BA100" s="1824"/>
      <c r="BB100" s="705"/>
      <c r="BC100" s="705"/>
      <c r="BD100" s="705"/>
    </row>
    <row r="101" spans="2:56" s="655" customFormat="1" ht="24.95" customHeight="1">
      <c r="B101" s="281"/>
      <c r="C101" s="483"/>
      <c r="D101" s="483"/>
      <c r="E101" s="483"/>
      <c r="F101" s="652"/>
      <c r="G101" s="653"/>
      <c r="H101" s="505"/>
      <c r="I101" s="654"/>
      <c r="J101" s="662"/>
      <c r="K101" s="662"/>
      <c r="L101" s="507"/>
      <c r="M101" s="505"/>
      <c r="N101" s="654"/>
      <c r="O101" s="1561"/>
      <c r="P101" s="1453"/>
      <c r="Q101" s="520"/>
      <c r="R101" s="483"/>
      <c r="S101" s="483"/>
      <c r="T101" s="483"/>
      <c r="U101" s="483"/>
      <c r="V101" s="483"/>
      <c r="W101" s="483"/>
      <c r="X101" s="507"/>
      <c r="Y101" s="1824"/>
      <c r="Z101" s="1824"/>
      <c r="AA101" s="1824"/>
      <c r="AB101" s="1824"/>
      <c r="AC101" s="1824"/>
      <c r="AD101" s="1571"/>
      <c r="AE101" s="702"/>
      <c r="AF101" s="703"/>
      <c r="AG101" s="703"/>
      <c r="AH101" s="703"/>
      <c r="AI101" s="703"/>
      <c r="AJ101" s="704"/>
      <c r="AK101" s="704"/>
      <c r="AL101" s="704"/>
      <c r="AM101" s="704"/>
      <c r="AN101" s="704"/>
      <c r="AO101" s="704"/>
      <c r="AP101" s="704"/>
      <c r="AQ101" s="704"/>
      <c r="AR101" s="704"/>
      <c r="AS101" s="704"/>
      <c r="AT101" s="704"/>
      <c r="AU101" s="1830"/>
      <c r="AV101" s="1831"/>
      <c r="AW101" s="1832"/>
      <c r="AX101" s="1832"/>
      <c r="AY101" s="1832"/>
      <c r="AZ101" s="1824"/>
      <c r="BA101" s="1824"/>
      <c r="BB101" s="705"/>
      <c r="BC101" s="705"/>
      <c r="BD101" s="705"/>
    </row>
    <row r="102" spans="2:56" s="655" customFormat="1" ht="24.95" customHeight="1">
      <c r="B102" s="281"/>
      <c r="C102" s="483"/>
      <c r="D102" s="483"/>
      <c r="E102" s="483"/>
      <c r="F102" s="652"/>
      <c r="G102" s="653"/>
      <c r="H102" s="505"/>
      <c r="I102" s="654"/>
      <c r="J102" s="662"/>
      <c r="K102" s="662"/>
      <c r="L102" s="507"/>
      <c r="M102" s="505"/>
      <c r="N102" s="654"/>
      <c r="O102" s="1561"/>
      <c r="P102" s="1453"/>
      <c r="Q102" s="520"/>
      <c r="R102" s="483"/>
      <c r="S102" s="483"/>
      <c r="T102" s="483"/>
      <c r="U102" s="483"/>
      <c r="V102" s="483"/>
      <c r="W102" s="483"/>
      <c r="X102" s="507"/>
      <c r="Y102" s="1824"/>
      <c r="Z102" s="1824"/>
      <c r="AA102" s="1824"/>
      <c r="AB102" s="1824"/>
      <c r="AC102" s="1824"/>
      <c r="AD102" s="1571"/>
      <c r="AE102" s="702"/>
      <c r="AF102" s="703"/>
      <c r="AG102" s="703"/>
      <c r="AH102" s="703"/>
      <c r="AI102" s="703"/>
      <c r="AJ102" s="704"/>
      <c r="AK102" s="704"/>
      <c r="AL102" s="704"/>
      <c r="AM102" s="704"/>
      <c r="AN102" s="704"/>
      <c r="AO102" s="704"/>
      <c r="AP102" s="704"/>
      <c r="AQ102" s="704"/>
      <c r="AR102" s="704"/>
      <c r="AS102" s="704"/>
      <c r="AT102" s="704"/>
      <c r="AU102" s="1830"/>
      <c r="AV102" s="1831"/>
      <c r="AW102" s="1832"/>
      <c r="AX102" s="1832"/>
      <c r="AY102" s="1832"/>
      <c r="AZ102" s="1824"/>
      <c r="BA102" s="1824"/>
      <c r="BB102" s="705"/>
      <c r="BC102" s="705"/>
      <c r="BD102" s="705"/>
    </row>
    <row r="103" spans="2:56" s="655" customFormat="1" ht="24.95" customHeight="1">
      <c r="B103" s="281"/>
      <c r="C103" s="483"/>
      <c r="D103" s="483"/>
      <c r="E103" s="483"/>
      <c r="F103" s="652"/>
      <c r="G103" s="653"/>
      <c r="H103" s="505"/>
      <c r="I103" s="654"/>
      <c r="J103" s="662"/>
      <c r="K103" s="662"/>
      <c r="L103" s="507"/>
      <c r="M103" s="505"/>
      <c r="N103" s="654"/>
      <c r="O103" s="1561"/>
      <c r="P103" s="1453"/>
      <c r="Q103" s="520"/>
      <c r="R103" s="483"/>
      <c r="S103" s="483"/>
      <c r="T103" s="483"/>
      <c r="U103" s="483"/>
      <c r="V103" s="483"/>
      <c r="W103" s="483"/>
      <c r="X103" s="507"/>
      <c r="Y103" s="1824"/>
      <c r="Z103" s="1824"/>
      <c r="AA103" s="1824"/>
      <c r="AB103" s="1824"/>
      <c r="AC103" s="1824"/>
      <c r="AD103" s="1571"/>
      <c r="AE103" s="702"/>
      <c r="AF103" s="703"/>
      <c r="AG103" s="703"/>
      <c r="AH103" s="703"/>
      <c r="AI103" s="703"/>
      <c r="AJ103" s="704"/>
      <c r="AK103" s="704"/>
      <c r="AL103" s="704"/>
      <c r="AM103" s="704"/>
      <c r="AN103" s="704"/>
      <c r="AO103" s="704"/>
      <c r="AP103" s="704"/>
      <c r="AQ103" s="704"/>
      <c r="AR103" s="704"/>
      <c r="AS103" s="704"/>
      <c r="AT103" s="704"/>
      <c r="AU103" s="1830"/>
      <c r="AV103" s="1831"/>
      <c r="AW103" s="1832"/>
      <c r="AX103" s="1832"/>
      <c r="AY103" s="1832"/>
      <c r="AZ103" s="1824"/>
      <c r="BA103" s="1824"/>
      <c r="BB103" s="705"/>
      <c r="BC103" s="705"/>
      <c r="BD103" s="705"/>
    </row>
    <row r="104" spans="2:56" s="655" customFormat="1" ht="24.95" customHeight="1">
      <c r="B104" s="281"/>
      <c r="C104" s="483"/>
      <c r="D104" s="483"/>
      <c r="E104" s="483"/>
      <c r="F104" s="652"/>
      <c r="G104" s="653"/>
      <c r="H104" s="505"/>
      <c r="I104" s="654"/>
      <c r="J104" s="662"/>
      <c r="K104" s="662"/>
      <c r="L104" s="507"/>
      <c r="M104" s="505"/>
      <c r="N104" s="654"/>
      <c r="O104" s="1561"/>
      <c r="P104" s="1453"/>
      <c r="Q104" s="520"/>
      <c r="R104" s="483"/>
      <c r="S104" s="483"/>
      <c r="T104" s="483"/>
      <c r="U104" s="483"/>
      <c r="V104" s="483"/>
      <c r="W104" s="483"/>
      <c r="X104" s="507"/>
      <c r="Y104" s="1824"/>
      <c r="Z104" s="1824"/>
      <c r="AA104" s="1824"/>
      <c r="AB104" s="1824"/>
      <c r="AC104" s="1824"/>
      <c r="AD104" s="1571"/>
      <c r="AE104" s="702"/>
      <c r="AF104" s="703"/>
      <c r="AG104" s="703"/>
      <c r="AH104" s="703"/>
      <c r="AI104" s="703"/>
      <c r="AJ104" s="704"/>
      <c r="AK104" s="704"/>
      <c r="AL104" s="704"/>
      <c r="AM104" s="704"/>
      <c r="AN104" s="704"/>
      <c r="AO104" s="704"/>
      <c r="AP104" s="704"/>
      <c r="AQ104" s="704"/>
      <c r="AR104" s="704"/>
      <c r="AS104" s="704"/>
      <c r="AT104" s="704"/>
      <c r="AU104" s="1830"/>
      <c r="AV104" s="1831"/>
      <c r="AW104" s="1832"/>
      <c r="AX104" s="1832"/>
      <c r="AY104" s="1832"/>
      <c r="AZ104" s="1824"/>
      <c r="BA104" s="1824"/>
      <c r="BB104" s="705"/>
      <c r="BC104" s="705"/>
      <c r="BD104" s="705"/>
    </row>
    <row r="105" spans="2:56" s="655" customFormat="1" ht="24.95" customHeight="1">
      <c r="B105" s="281"/>
      <c r="C105" s="483"/>
      <c r="D105" s="483"/>
      <c r="E105" s="483"/>
      <c r="F105" s="652"/>
      <c r="G105" s="653"/>
      <c r="H105" s="505"/>
      <c r="I105" s="654"/>
      <c r="J105" s="662"/>
      <c r="K105" s="662"/>
      <c r="L105" s="507"/>
      <c r="M105" s="505"/>
      <c r="N105" s="654"/>
      <c r="O105" s="1561"/>
      <c r="P105" s="1453"/>
      <c r="Q105" s="520"/>
      <c r="R105" s="483"/>
      <c r="S105" s="483"/>
      <c r="T105" s="483"/>
      <c r="U105" s="483"/>
      <c r="V105" s="483"/>
      <c r="W105" s="483"/>
      <c r="X105" s="507"/>
      <c r="Y105" s="1824"/>
      <c r="Z105" s="1824"/>
      <c r="AA105" s="1824"/>
      <c r="AB105" s="1824"/>
      <c r="AC105" s="1824"/>
      <c r="AD105" s="1571"/>
      <c r="AE105" s="702"/>
      <c r="AF105" s="703"/>
      <c r="AG105" s="703"/>
      <c r="AH105" s="703"/>
      <c r="AI105" s="703"/>
      <c r="AJ105" s="704"/>
      <c r="AK105" s="704"/>
      <c r="AL105" s="704"/>
      <c r="AM105" s="704"/>
      <c r="AN105" s="704"/>
      <c r="AO105" s="704"/>
      <c r="AP105" s="704"/>
      <c r="AQ105" s="704"/>
      <c r="AR105" s="704"/>
      <c r="AS105" s="704"/>
      <c r="AT105" s="704"/>
      <c r="AU105" s="1830"/>
      <c r="AV105" s="1831"/>
      <c r="AW105" s="1832"/>
      <c r="AX105" s="1832"/>
      <c r="AY105" s="1832"/>
      <c r="AZ105" s="1824"/>
      <c r="BA105" s="1824"/>
      <c r="BB105" s="705"/>
      <c r="BC105" s="705"/>
      <c r="BD105" s="705"/>
    </row>
    <row r="106" spans="2:56" s="655" customFormat="1" ht="24.95" customHeight="1">
      <c r="B106" s="281"/>
      <c r="C106" s="483"/>
      <c r="D106" s="483"/>
      <c r="E106" s="483"/>
      <c r="F106" s="652"/>
      <c r="G106" s="653"/>
      <c r="H106" s="505"/>
      <c r="I106" s="654"/>
      <c r="J106" s="662"/>
      <c r="K106" s="662"/>
      <c r="L106" s="507"/>
      <c r="M106" s="505"/>
      <c r="N106" s="654"/>
      <c r="O106" s="1561"/>
      <c r="P106" s="1453"/>
      <c r="Q106" s="520"/>
      <c r="R106" s="483"/>
      <c r="S106" s="483"/>
      <c r="T106" s="483"/>
      <c r="U106" s="483"/>
      <c r="V106" s="483"/>
      <c r="W106" s="483"/>
      <c r="X106" s="507"/>
      <c r="Y106" s="1824"/>
      <c r="Z106" s="1824"/>
      <c r="AA106" s="1824"/>
      <c r="AB106" s="1824"/>
      <c r="AC106" s="1824"/>
      <c r="AD106" s="1571"/>
      <c r="AE106" s="702"/>
      <c r="AF106" s="703"/>
      <c r="AG106" s="703"/>
      <c r="AH106" s="703"/>
      <c r="AI106" s="703"/>
      <c r="AJ106" s="704"/>
      <c r="AK106" s="704"/>
      <c r="AL106" s="704"/>
      <c r="AM106" s="704"/>
      <c r="AN106" s="704"/>
      <c r="AO106" s="704"/>
      <c r="AP106" s="704"/>
      <c r="AQ106" s="704"/>
      <c r="AR106" s="704"/>
      <c r="AS106" s="704"/>
      <c r="AT106" s="704"/>
      <c r="AU106" s="1830"/>
      <c r="AV106" s="1831"/>
      <c r="AW106" s="1832"/>
      <c r="AX106" s="1832"/>
      <c r="AY106" s="1832"/>
      <c r="AZ106" s="1824"/>
      <c r="BA106" s="1824"/>
      <c r="BB106" s="705"/>
      <c r="BC106" s="705"/>
      <c r="BD106" s="705"/>
    </row>
    <row r="107" spans="2:56" s="655" customFormat="1" ht="24.95" customHeight="1">
      <c r="B107" s="281"/>
      <c r="C107" s="483"/>
      <c r="D107" s="483"/>
      <c r="E107" s="483"/>
      <c r="F107" s="652"/>
      <c r="G107" s="653"/>
      <c r="H107" s="505"/>
      <c r="I107" s="654"/>
      <c r="J107" s="662"/>
      <c r="K107" s="662"/>
      <c r="L107" s="507"/>
      <c r="M107" s="505"/>
      <c r="N107" s="654"/>
      <c r="O107" s="1561"/>
      <c r="P107" s="1453"/>
      <c r="Q107" s="520"/>
      <c r="R107" s="483"/>
      <c r="S107" s="483"/>
      <c r="T107" s="483"/>
      <c r="U107" s="483"/>
      <c r="V107" s="483"/>
      <c r="W107" s="483"/>
      <c r="X107" s="507"/>
      <c r="Y107" s="1824"/>
      <c r="Z107" s="1824"/>
      <c r="AA107" s="1824"/>
      <c r="AB107" s="1824"/>
      <c r="AC107" s="1824"/>
      <c r="AD107" s="1571"/>
      <c r="AE107" s="702"/>
      <c r="AF107" s="703"/>
      <c r="AG107" s="703"/>
      <c r="AH107" s="703"/>
      <c r="AI107" s="703"/>
      <c r="AJ107" s="704"/>
      <c r="AK107" s="704"/>
      <c r="AL107" s="704"/>
      <c r="AM107" s="704"/>
      <c r="AN107" s="704"/>
      <c r="AO107" s="704"/>
      <c r="AP107" s="704"/>
      <c r="AQ107" s="704"/>
      <c r="AR107" s="704"/>
      <c r="AS107" s="704"/>
      <c r="AT107" s="704"/>
      <c r="AU107" s="1830"/>
      <c r="AV107" s="1831"/>
      <c r="AW107" s="1832"/>
      <c r="AX107" s="1832"/>
      <c r="AY107" s="1832"/>
      <c r="AZ107" s="1824"/>
      <c r="BA107" s="1824"/>
      <c r="BB107" s="705"/>
      <c r="BC107" s="705"/>
      <c r="BD107" s="705"/>
    </row>
    <row r="108" spans="2:56" s="655" customFormat="1" ht="24.95" customHeight="1">
      <c r="B108" s="281"/>
      <c r="C108" s="483"/>
      <c r="D108" s="483"/>
      <c r="E108" s="483"/>
      <c r="F108" s="652"/>
      <c r="G108" s="653"/>
      <c r="H108" s="505"/>
      <c r="I108" s="654"/>
      <c r="J108" s="662"/>
      <c r="K108" s="662"/>
      <c r="L108" s="507"/>
      <c r="M108" s="505"/>
      <c r="N108" s="654"/>
      <c r="O108" s="1561"/>
      <c r="P108" s="1453"/>
      <c r="Q108" s="520"/>
      <c r="R108" s="483"/>
      <c r="S108" s="483"/>
      <c r="T108" s="483"/>
      <c r="U108" s="483"/>
      <c r="V108" s="483"/>
      <c r="W108" s="483"/>
      <c r="X108" s="507"/>
      <c r="Y108" s="1824"/>
      <c r="Z108" s="1824"/>
      <c r="AA108" s="1824"/>
      <c r="AB108" s="1824"/>
      <c r="AC108" s="1824"/>
      <c r="AD108" s="1571"/>
      <c r="AE108" s="702"/>
      <c r="AF108" s="703"/>
      <c r="AG108" s="703"/>
      <c r="AH108" s="703"/>
      <c r="AI108" s="703"/>
      <c r="AJ108" s="704"/>
      <c r="AK108" s="704"/>
      <c r="AL108" s="704"/>
      <c r="AM108" s="704"/>
      <c r="AN108" s="704"/>
      <c r="AO108" s="704"/>
      <c r="AP108" s="704"/>
      <c r="AQ108" s="704"/>
      <c r="AR108" s="704"/>
      <c r="AS108" s="704"/>
      <c r="AT108" s="704"/>
      <c r="AU108" s="1830"/>
      <c r="AV108" s="1831"/>
      <c r="AW108" s="1832"/>
      <c r="AX108" s="1832"/>
      <c r="AY108" s="1832"/>
      <c r="AZ108" s="1824"/>
      <c r="BA108" s="1824"/>
      <c r="BB108" s="705"/>
      <c r="BC108" s="705"/>
      <c r="BD108" s="705"/>
    </row>
    <row r="109" spans="2:56" s="655" customFormat="1" ht="24.95" customHeight="1">
      <c r="B109" s="281"/>
      <c r="C109" s="483"/>
      <c r="D109" s="483"/>
      <c r="E109" s="483"/>
      <c r="F109" s="652"/>
      <c r="G109" s="653"/>
      <c r="H109" s="505"/>
      <c r="I109" s="654"/>
      <c r="J109" s="662"/>
      <c r="K109" s="662"/>
      <c r="L109" s="507"/>
      <c r="M109" s="505"/>
      <c r="N109" s="654"/>
      <c r="O109" s="1561"/>
      <c r="P109" s="1453"/>
      <c r="Q109" s="520"/>
      <c r="R109" s="483"/>
      <c r="S109" s="483"/>
      <c r="T109" s="483"/>
      <c r="U109" s="483"/>
      <c r="V109" s="483"/>
      <c r="W109" s="483"/>
      <c r="X109" s="507"/>
      <c r="Y109" s="1824"/>
      <c r="Z109" s="1824"/>
      <c r="AA109" s="1824"/>
      <c r="AB109" s="1824"/>
      <c r="AC109" s="1824"/>
      <c r="AD109" s="1571"/>
      <c r="AE109" s="702"/>
      <c r="AF109" s="703"/>
      <c r="AG109" s="703"/>
      <c r="AH109" s="703"/>
      <c r="AI109" s="703"/>
      <c r="AJ109" s="704"/>
      <c r="AK109" s="704"/>
      <c r="AL109" s="704"/>
      <c r="AM109" s="704"/>
      <c r="AN109" s="704"/>
      <c r="AO109" s="704"/>
      <c r="AP109" s="704"/>
      <c r="AQ109" s="704"/>
      <c r="AR109" s="704"/>
      <c r="AS109" s="704"/>
      <c r="AT109" s="704"/>
      <c r="AU109" s="1830"/>
      <c r="AV109" s="1831"/>
      <c r="AW109" s="1832"/>
      <c r="AX109" s="1832"/>
      <c r="AY109" s="1832"/>
      <c r="AZ109" s="1824"/>
      <c r="BA109" s="1824"/>
      <c r="BB109" s="705"/>
      <c r="BC109" s="705"/>
      <c r="BD109" s="705"/>
    </row>
    <row r="110" spans="2:56" s="655" customFormat="1" ht="24.95" customHeight="1">
      <c r="B110" s="281"/>
      <c r="C110" s="483"/>
      <c r="D110" s="483"/>
      <c r="E110" s="483"/>
      <c r="F110" s="652"/>
      <c r="G110" s="653"/>
      <c r="H110" s="505"/>
      <c r="I110" s="654"/>
      <c r="J110" s="662"/>
      <c r="K110" s="662"/>
      <c r="L110" s="507"/>
      <c r="M110" s="505"/>
      <c r="N110" s="654"/>
      <c r="O110" s="1561"/>
      <c r="P110" s="1453"/>
      <c r="Q110" s="520"/>
      <c r="R110" s="483"/>
      <c r="S110" s="483"/>
      <c r="T110" s="483"/>
      <c r="U110" s="483"/>
      <c r="V110" s="483"/>
      <c r="W110" s="483"/>
      <c r="X110" s="507"/>
      <c r="Y110" s="1824"/>
      <c r="Z110" s="1824"/>
      <c r="AA110" s="1824"/>
      <c r="AB110" s="1824"/>
      <c r="AC110" s="1824"/>
      <c r="AD110" s="1571"/>
      <c r="AE110" s="702"/>
      <c r="AF110" s="703"/>
      <c r="AG110" s="703"/>
      <c r="AH110" s="703"/>
      <c r="AI110" s="703"/>
      <c r="AJ110" s="704"/>
      <c r="AK110" s="704"/>
      <c r="AL110" s="704"/>
      <c r="AM110" s="704"/>
      <c r="AN110" s="704"/>
      <c r="AO110" s="704"/>
      <c r="AP110" s="704"/>
      <c r="AQ110" s="704"/>
      <c r="AR110" s="704"/>
      <c r="AS110" s="704"/>
      <c r="AT110" s="704"/>
      <c r="AU110" s="1830"/>
      <c r="AV110" s="1831"/>
      <c r="AW110" s="1832"/>
      <c r="AX110" s="1832"/>
      <c r="AY110" s="1832"/>
      <c r="AZ110" s="1824"/>
      <c r="BA110" s="1824"/>
      <c r="BB110" s="705"/>
      <c r="BC110" s="705"/>
      <c r="BD110" s="705"/>
    </row>
    <row r="111" spans="2:56" s="655" customFormat="1" ht="24.95" customHeight="1">
      <c r="B111" s="281"/>
      <c r="C111" s="483"/>
      <c r="D111" s="483"/>
      <c r="E111" s="483"/>
      <c r="F111" s="652"/>
      <c r="G111" s="653"/>
      <c r="H111" s="505"/>
      <c r="I111" s="654"/>
      <c r="J111" s="662"/>
      <c r="K111" s="662"/>
      <c r="L111" s="507"/>
      <c r="M111" s="505"/>
      <c r="N111" s="654"/>
      <c r="O111" s="1561"/>
      <c r="P111" s="1453"/>
      <c r="Q111" s="520"/>
      <c r="R111" s="483"/>
      <c r="S111" s="483"/>
      <c r="T111" s="483"/>
      <c r="U111" s="483"/>
      <c r="V111" s="483"/>
      <c r="W111" s="483"/>
      <c r="X111" s="507"/>
      <c r="Y111" s="1824"/>
      <c r="Z111" s="1824"/>
      <c r="AA111" s="1824"/>
      <c r="AB111" s="1824"/>
      <c r="AC111" s="1824"/>
      <c r="AD111" s="1571"/>
      <c r="AE111" s="702"/>
      <c r="AF111" s="703"/>
      <c r="AG111" s="703"/>
      <c r="AH111" s="703"/>
      <c r="AI111" s="703"/>
      <c r="AJ111" s="704"/>
      <c r="AK111" s="704"/>
      <c r="AL111" s="704"/>
      <c r="AM111" s="704"/>
      <c r="AN111" s="704"/>
      <c r="AO111" s="704"/>
      <c r="AP111" s="704"/>
      <c r="AQ111" s="704"/>
      <c r="AR111" s="704"/>
      <c r="AS111" s="704"/>
      <c r="AT111" s="704"/>
      <c r="AU111" s="1830"/>
      <c r="AV111" s="1831"/>
      <c r="AW111" s="1832"/>
      <c r="AX111" s="1832"/>
      <c r="AY111" s="1832"/>
      <c r="AZ111" s="1824"/>
      <c r="BA111" s="1824"/>
      <c r="BB111" s="705"/>
      <c r="BC111" s="705"/>
      <c r="BD111" s="705"/>
    </row>
    <row r="112" spans="2:56" s="655" customFormat="1" ht="24.95" customHeight="1">
      <c r="B112" s="281"/>
      <c r="C112" s="483"/>
      <c r="D112" s="483"/>
      <c r="E112" s="483"/>
      <c r="F112" s="652"/>
      <c r="G112" s="653"/>
      <c r="H112" s="505"/>
      <c r="I112" s="654"/>
      <c r="J112" s="662"/>
      <c r="K112" s="662"/>
      <c r="L112" s="505"/>
      <c r="M112" s="505"/>
      <c r="N112" s="654"/>
      <c r="O112" s="1561"/>
      <c r="P112" s="1453"/>
      <c r="Q112" s="520"/>
      <c r="R112" s="483"/>
      <c r="S112" s="483"/>
      <c r="T112" s="483"/>
      <c r="U112" s="483"/>
      <c r="V112" s="483"/>
      <c r="W112" s="483"/>
      <c r="X112" s="507"/>
      <c r="Y112" s="1824"/>
      <c r="Z112" s="1824"/>
      <c r="AA112" s="1824"/>
      <c r="AB112" s="1824"/>
      <c r="AC112" s="1824"/>
      <c r="AD112" s="1571"/>
      <c r="AE112" s="702"/>
      <c r="AF112" s="703"/>
      <c r="AG112" s="703"/>
      <c r="AH112" s="703"/>
      <c r="AI112" s="703"/>
      <c r="AJ112" s="704"/>
      <c r="AK112" s="704"/>
      <c r="AL112" s="704"/>
      <c r="AM112" s="704"/>
      <c r="AN112" s="704"/>
      <c r="AO112" s="704"/>
      <c r="AP112" s="704"/>
      <c r="AQ112" s="704"/>
      <c r="AR112" s="704"/>
      <c r="AS112" s="704"/>
      <c r="AT112" s="704"/>
      <c r="AU112" s="1830"/>
      <c r="AV112" s="1831"/>
      <c r="AW112" s="1832"/>
      <c r="AX112" s="1832"/>
      <c r="AY112" s="1832"/>
      <c r="AZ112" s="1824"/>
      <c r="BA112" s="1824"/>
      <c r="BB112" s="705"/>
      <c r="BC112" s="705"/>
      <c r="BD112" s="705"/>
    </row>
    <row r="113" spans="2:56" s="655" customFormat="1" ht="24.95" customHeight="1">
      <c r="B113" s="281"/>
      <c r="C113" s="483"/>
      <c r="D113" s="483"/>
      <c r="E113" s="483"/>
      <c r="F113" s="652"/>
      <c r="G113" s="653"/>
      <c r="H113" s="505"/>
      <c r="I113" s="654"/>
      <c r="J113" s="662"/>
      <c r="K113" s="662"/>
      <c r="L113" s="507"/>
      <c r="M113" s="505"/>
      <c r="N113" s="654"/>
      <c r="O113" s="1561"/>
      <c r="P113" s="1453"/>
      <c r="Q113" s="520"/>
      <c r="R113" s="483"/>
      <c r="S113" s="483"/>
      <c r="T113" s="483"/>
      <c r="U113" s="483"/>
      <c r="V113" s="483"/>
      <c r="W113" s="483"/>
      <c r="X113" s="507"/>
      <c r="Y113" s="1824"/>
      <c r="Z113" s="1824"/>
      <c r="AA113" s="1824"/>
      <c r="AB113" s="1824"/>
      <c r="AC113" s="1824"/>
      <c r="AD113" s="1571"/>
      <c r="AE113" s="702"/>
      <c r="AF113" s="703"/>
      <c r="AG113" s="703"/>
      <c r="AH113" s="703"/>
      <c r="AI113" s="703"/>
      <c r="AJ113" s="704"/>
      <c r="AK113" s="704"/>
      <c r="AL113" s="704"/>
      <c r="AM113" s="704"/>
      <c r="AN113" s="704"/>
      <c r="AO113" s="704"/>
      <c r="AP113" s="704"/>
      <c r="AQ113" s="704"/>
      <c r="AR113" s="704"/>
      <c r="AS113" s="704"/>
      <c r="AT113" s="704"/>
      <c r="AU113" s="1830"/>
      <c r="AV113" s="1831"/>
      <c r="AW113" s="1832"/>
      <c r="AX113" s="1832"/>
      <c r="AY113" s="1832"/>
      <c r="AZ113" s="1824"/>
      <c r="BA113" s="1824"/>
      <c r="BB113" s="705"/>
      <c r="BC113" s="705"/>
      <c r="BD113" s="705"/>
    </row>
    <row r="114" spans="2:56" s="655" customFormat="1" ht="24.95" customHeight="1">
      <c r="B114" s="281"/>
      <c r="C114" s="483"/>
      <c r="D114" s="483"/>
      <c r="E114" s="483"/>
      <c r="F114" s="652"/>
      <c r="G114" s="653"/>
      <c r="H114" s="505"/>
      <c r="I114" s="654"/>
      <c r="J114" s="662"/>
      <c r="K114" s="662"/>
      <c r="L114" s="507"/>
      <c r="M114" s="505"/>
      <c r="N114" s="654"/>
      <c r="O114" s="1561"/>
      <c r="P114" s="1453"/>
      <c r="Q114" s="520"/>
      <c r="R114" s="483"/>
      <c r="S114" s="483"/>
      <c r="T114" s="483"/>
      <c r="U114" s="483"/>
      <c r="V114" s="483"/>
      <c r="W114" s="483"/>
      <c r="X114" s="507"/>
      <c r="Y114" s="1824"/>
      <c r="Z114" s="1824"/>
      <c r="AA114" s="1824"/>
      <c r="AB114" s="1824"/>
      <c r="AC114" s="1824"/>
      <c r="AD114" s="1571"/>
      <c r="AE114" s="702"/>
      <c r="AF114" s="703"/>
      <c r="AG114" s="703"/>
      <c r="AH114" s="703"/>
      <c r="AI114" s="703"/>
      <c r="AJ114" s="704"/>
      <c r="AK114" s="704"/>
      <c r="AL114" s="704"/>
      <c r="AM114" s="704"/>
      <c r="AN114" s="704"/>
      <c r="AO114" s="704"/>
      <c r="AP114" s="704"/>
      <c r="AQ114" s="704"/>
      <c r="AR114" s="704"/>
      <c r="AS114" s="704"/>
      <c r="AT114" s="704"/>
      <c r="AU114" s="1830"/>
      <c r="AV114" s="1831"/>
      <c r="AW114" s="1832"/>
      <c r="AX114" s="1832"/>
      <c r="AY114" s="1832"/>
      <c r="AZ114" s="1824"/>
      <c r="BA114" s="1824"/>
      <c r="BB114" s="705"/>
      <c r="BC114" s="705"/>
      <c r="BD114" s="705"/>
    </row>
    <row r="115" spans="2:56" s="655" customFormat="1" ht="24.95" customHeight="1">
      <c r="B115" s="281"/>
      <c r="C115" s="483"/>
      <c r="D115" s="483"/>
      <c r="E115" s="483"/>
      <c r="F115" s="652"/>
      <c r="G115" s="653"/>
      <c r="H115" s="505"/>
      <c r="I115" s="654"/>
      <c r="J115" s="662"/>
      <c r="K115" s="662"/>
      <c r="L115" s="507"/>
      <c r="M115" s="505"/>
      <c r="N115" s="654"/>
      <c r="O115" s="1561"/>
      <c r="P115" s="1453"/>
      <c r="Q115" s="520"/>
      <c r="R115" s="483"/>
      <c r="S115" s="483"/>
      <c r="T115" s="483"/>
      <c r="U115" s="483"/>
      <c r="V115" s="483"/>
      <c r="W115" s="483"/>
      <c r="X115" s="507"/>
      <c r="Y115" s="1824"/>
      <c r="Z115" s="1824"/>
      <c r="AA115" s="1824"/>
      <c r="AB115" s="1824"/>
      <c r="AC115" s="1824"/>
      <c r="AD115" s="1571"/>
      <c r="AE115" s="702"/>
      <c r="AF115" s="703"/>
      <c r="AG115" s="703"/>
      <c r="AH115" s="703"/>
      <c r="AI115" s="703"/>
      <c r="AJ115" s="704"/>
      <c r="AK115" s="704"/>
      <c r="AL115" s="704"/>
      <c r="AM115" s="704"/>
      <c r="AN115" s="704"/>
      <c r="AO115" s="704"/>
      <c r="AP115" s="704"/>
      <c r="AQ115" s="704"/>
      <c r="AR115" s="704"/>
      <c r="AS115" s="704"/>
      <c r="AT115" s="704"/>
      <c r="AU115" s="1830"/>
      <c r="AV115" s="1831"/>
      <c r="AW115" s="1832"/>
      <c r="AX115" s="1832"/>
      <c r="AY115" s="1832"/>
      <c r="AZ115" s="1824"/>
      <c r="BA115" s="1824"/>
      <c r="BB115" s="705"/>
      <c r="BC115" s="705"/>
      <c r="BD115" s="705"/>
    </row>
    <row r="116" spans="2:56" s="655" customFormat="1" ht="24.95" customHeight="1">
      <c r="B116" s="281"/>
      <c r="C116" s="483"/>
      <c r="D116" s="483"/>
      <c r="E116" s="483"/>
      <c r="F116" s="652"/>
      <c r="G116" s="653"/>
      <c r="H116" s="505"/>
      <c r="I116" s="654"/>
      <c r="J116" s="662"/>
      <c r="K116" s="662"/>
      <c r="L116" s="507"/>
      <c r="M116" s="505"/>
      <c r="N116" s="654"/>
      <c r="O116" s="1561"/>
      <c r="P116" s="1453"/>
      <c r="Q116" s="520"/>
      <c r="R116" s="483"/>
      <c r="S116" s="483"/>
      <c r="T116" s="483"/>
      <c r="U116" s="483"/>
      <c r="V116" s="483"/>
      <c r="W116" s="483"/>
      <c r="X116" s="507"/>
      <c r="Y116" s="1824"/>
      <c r="Z116" s="1824"/>
      <c r="AA116" s="1824"/>
      <c r="AB116" s="1824"/>
      <c r="AC116" s="1824"/>
      <c r="AD116" s="1571"/>
      <c r="AE116" s="702"/>
      <c r="AF116" s="703"/>
      <c r="AG116" s="703"/>
      <c r="AH116" s="703"/>
      <c r="AI116" s="703"/>
      <c r="AJ116" s="704"/>
      <c r="AK116" s="704"/>
      <c r="AL116" s="704"/>
      <c r="AM116" s="704"/>
      <c r="AN116" s="704"/>
      <c r="AO116" s="704"/>
      <c r="AP116" s="704"/>
      <c r="AQ116" s="704"/>
      <c r="AR116" s="704"/>
      <c r="AS116" s="704"/>
      <c r="AT116" s="704"/>
      <c r="AU116" s="1830"/>
      <c r="AV116" s="1831"/>
      <c r="AW116" s="1832"/>
      <c r="AX116" s="1832"/>
      <c r="AY116" s="1832"/>
      <c r="AZ116" s="1824"/>
      <c r="BA116" s="1824"/>
      <c r="BB116" s="705"/>
      <c r="BC116" s="705"/>
      <c r="BD116" s="705"/>
    </row>
    <row r="117" spans="2:56" s="655" customFormat="1" ht="24.95" customHeight="1">
      <c r="B117" s="281"/>
      <c r="C117" s="483"/>
      <c r="D117" s="483"/>
      <c r="E117" s="483"/>
      <c r="F117" s="652"/>
      <c r="G117" s="653"/>
      <c r="H117" s="505"/>
      <c r="I117" s="654"/>
      <c r="J117" s="662"/>
      <c r="K117" s="662"/>
      <c r="L117" s="507"/>
      <c r="M117" s="505"/>
      <c r="N117" s="654"/>
      <c r="O117" s="1561"/>
      <c r="P117" s="1453"/>
      <c r="Q117" s="520"/>
      <c r="R117" s="483"/>
      <c r="S117" s="483"/>
      <c r="T117" s="483"/>
      <c r="U117" s="483"/>
      <c r="V117" s="483"/>
      <c r="W117" s="483"/>
      <c r="X117" s="507"/>
      <c r="Y117" s="1824"/>
      <c r="Z117" s="1824"/>
      <c r="AA117" s="1824"/>
      <c r="AB117" s="1824"/>
      <c r="AC117" s="1824"/>
      <c r="AD117" s="1571"/>
      <c r="AE117" s="702"/>
      <c r="AF117" s="703"/>
      <c r="AG117" s="703"/>
      <c r="AH117" s="703"/>
      <c r="AI117" s="703"/>
      <c r="AJ117" s="704"/>
      <c r="AK117" s="704"/>
      <c r="AL117" s="704"/>
      <c r="AM117" s="704"/>
      <c r="AN117" s="704"/>
      <c r="AO117" s="704"/>
      <c r="AP117" s="704"/>
      <c r="AQ117" s="704"/>
      <c r="AR117" s="704"/>
      <c r="AS117" s="704"/>
      <c r="AT117" s="704"/>
      <c r="AU117" s="1830"/>
      <c r="AV117" s="1831"/>
      <c r="AW117" s="1832"/>
      <c r="AX117" s="1832"/>
      <c r="AY117" s="1832"/>
      <c r="AZ117" s="1824"/>
      <c r="BA117" s="1824"/>
      <c r="BB117" s="705"/>
      <c r="BC117" s="705"/>
      <c r="BD117" s="705"/>
    </row>
    <row r="118" spans="2:56" s="655" customFormat="1" ht="24.95" customHeight="1">
      <c r="B118" s="281"/>
      <c r="C118" s="483"/>
      <c r="D118" s="483"/>
      <c r="E118" s="483"/>
      <c r="F118" s="652"/>
      <c r="G118" s="653"/>
      <c r="H118" s="505"/>
      <c r="I118" s="654"/>
      <c r="J118" s="662"/>
      <c r="K118" s="662"/>
      <c r="L118" s="507"/>
      <c r="M118" s="505"/>
      <c r="N118" s="654"/>
      <c r="O118" s="1561"/>
      <c r="P118" s="1453"/>
      <c r="Q118" s="520"/>
      <c r="R118" s="483"/>
      <c r="S118" s="483"/>
      <c r="T118" s="483"/>
      <c r="U118" s="483"/>
      <c r="V118" s="483"/>
      <c r="W118" s="483"/>
      <c r="X118" s="507"/>
      <c r="Y118" s="1824"/>
      <c r="Z118" s="1824"/>
      <c r="AA118" s="1824"/>
      <c r="AB118" s="1824"/>
      <c r="AC118" s="1824"/>
      <c r="AD118" s="1571"/>
      <c r="AE118" s="702"/>
      <c r="AF118" s="703"/>
      <c r="AG118" s="703"/>
      <c r="AH118" s="703"/>
      <c r="AI118" s="703"/>
      <c r="AJ118" s="704"/>
      <c r="AK118" s="704"/>
      <c r="AL118" s="704"/>
      <c r="AM118" s="704"/>
      <c r="AN118" s="704"/>
      <c r="AO118" s="704"/>
      <c r="AP118" s="704"/>
      <c r="AQ118" s="704"/>
      <c r="AR118" s="704"/>
      <c r="AS118" s="704"/>
      <c r="AT118" s="704"/>
      <c r="AU118" s="1830"/>
      <c r="AV118" s="1831"/>
      <c r="AW118" s="1832"/>
      <c r="AX118" s="1832"/>
      <c r="AY118" s="1832"/>
      <c r="AZ118" s="1824"/>
      <c r="BA118" s="1824"/>
      <c r="BB118" s="705"/>
      <c r="BC118" s="705"/>
      <c r="BD118" s="705"/>
    </row>
    <row r="119" spans="2:56" s="655" customFormat="1" ht="24.95" customHeight="1">
      <c r="B119" s="281"/>
      <c r="C119" s="483"/>
      <c r="D119" s="483"/>
      <c r="E119" s="483"/>
      <c r="F119" s="652"/>
      <c r="G119" s="653"/>
      <c r="H119" s="505"/>
      <c r="I119" s="654"/>
      <c r="J119" s="662"/>
      <c r="K119" s="662"/>
      <c r="L119" s="507"/>
      <c r="M119" s="505"/>
      <c r="N119" s="654"/>
      <c r="O119" s="1561"/>
      <c r="P119" s="1453"/>
      <c r="Q119" s="520"/>
      <c r="R119" s="483"/>
      <c r="S119" s="483"/>
      <c r="T119" s="483"/>
      <c r="U119" s="483"/>
      <c r="V119" s="483"/>
      <c r="W119" s="483"/>
      <c r="X119" s="507"/>
      <c r="Y119" s="1824"/>
      <c r="Z119" s="1824"/>
      <c r="AA119" s="1824"/>
      <c r="AB119" s="1824"/>
      <c r="AC119" s="1824"/>
      <c r="AD119" s="1571"/>
      <c r="AE119" s="702"/>
      <c r="AF119" s="703"/>
      <c r="AG119" s="703"/>
      <c r="AH119" s="703"/>
      <c r="AI119" s="703"/>
      <c r="AJ119" s="704"/>
      <c r="AK119" s="704"/>
      <c r="AL119" s="704"/>
      <c r="AM119" s="704"/>
      <c r="AN119" s="704"/>
      <c r="AO119" s="704"/>
      <c r="AP119" s="704"/>
      <c r="AQ119" s="704"/>
      <c r="AR119" s="704"/>
      <c r="AS119" s="704"/>
      <c r="AT119" s="704"/>
      <c r="AU119" s="1830"/>
      <c r="AV119" s="1831"/>
      <c r="AW119" s="1832"/>
      <c r="AX119" s="1832"/>
      <c r="AY119" s="1832"/>
      <c r="AZ119" s="1824"/>
      <c r="BA119" s="1824"/>
      <c r="BB119" s="705"/>
      <c r="BC119" s="705"/>
      <c r="BD119" s="705"/>
    </row>
    <row r="120" spans="2:56" s="655" customFormat="1" ht="24.95" customHeight="1">
      <c r="B120" s="281"/>
      <c r="C120" s="483"/>
      <c r="D120" s="483"/>
      <c r="E120" s="483"/>
      <c r="F120" s="652"/>
      <c r="G120" s="653"/>
      <c r="H120" s="505"/>
      <c r="I120" s="654"/>
      <c r="J120" s="662"/>
      <c r="K120" s="662"/>
      <c r="L120" s="507"/>
      <c r="M120" s="505"/>
      <c r="N120" s="654"/>
      <c r="O120" s="1561"/>
      <c r="P120" s="1453"/>
      <c r="Q120" s="520"/>
      <c r="R120" s="483"/>
      <c r="S120" s="483"/>
      <c r="T120" s="483"/>
      <c r="U120" s="483"/>
      <c r="V120" s="483"/>
      <c r="W120" s="483"/>
      <c r="X120" s="507"/>
      <c r="Y120" s="1824"/>
      <c r="Z120" s="1824"/>
      <c r="AA120" s="1824"/>
      <c r="AB120" s="1824"/>
      <c r="AC120" s="1824"/>
      <c r="AD120" s="1571"/>
      <c r="AE120" s="702"/>
      <c r="AF120" s="703"/>
      <c r="AG120" s="703"/>
      <c r="AH120" s="703"/>
      <c r="AI120" s="703"/>
      <c r="AJ120" s="704"/>
      <c r="AK120" s="704"/>
      <c r="AL120" s="704"/>
      <c r="AM120" s="704"/>
      <c r="AN120" s="704"/>
      <c r="AO120" s="704"/>
      <c r="AP120" s="704"/>
      <c r="AQ120" s="704"/>
      <c r="AR120" s="704"/>
      <c r="AS120" s="704"/>
      <c r="AT120" s="704"/>
      <c r="AU120" s="1830"/>
      <c r="AV120" s="1831"/>
      <c r="AW120" s="1832"/>
      <c r="AX120" s="1832"/>
      <c r="AY120" s="1832"/>
      <c r="AZ120" s="1824"/>
      <c r="BA120" s="1824"/>
      <c r="BB120" s="705"/>
      <c r="BC120" s="705"/>
      <c r="BD120" s="709"/>
    </row>
    <row r="121" spans="2:56" s="655" customFormat="1" ht="24.95" customHeight="1">
      <c r="B121" s="281"/>
      <c r="C121" s="483"/>
      <c r="D121" s="483"/>
      <c r="E121" s="483"/>
      <c r="F121" s="652"/>
      <c r="G121" s="653"/>
      <c r="H121" s="505"/>
      <c r="I121" s="654"/>
      <c r="J121" s="662"/>
      <c r="K121" s="662"/>
      <c r="L121" s="507"/>
      <c r="M121" s="505"/>
      <c r="N121" s="654"/>
      <c r="O121" s="1561"/>
      <c r="P121" s="1453"/>
      <c r="Q121" s="520"/>
      <c r="R121" s="483"/>
      <c r="S121" s="483"/>
      <c r="T121" s="483"/>
      <c r="U121" s="483"/>
      <c r="V121" s="483"/>
      <c r="W121" s="483"/>
      <c r="X121" s="507"/>
      <c r="Y121" s="1824"/>
      <c r="Z121" s="1824"/>
      <c r="AA121" s="1824"/>
      <c r="AB121" s="1824"/>
      <c r="AC121" s="1824"/>
      <c r="AD121" s="1571"/>
      <c r="AE121" s="702"/>
      <c r="AF121" s="703"/>
      <c r="AG121" s="703"/>
      <c r="AH121" s="703"/>
      <c r="AI121" s="703"/>
      <c r="AJ121" s="704"/>
      <c r="AK121" s="704"/>
      <c r="AL121" s="704"/>
      <c r="AM121" s="704"/>
      <c r="AN121" s="704"/>
      <c r="AO121" s="704"/>
      <c r="AP121" s="704"/>
      <c r="AQ121" s="704"/>
      <c r="AR121" s="704"/>
      <c r="AS121" s="704"/>
      <c r="AT121" s="704"/>
      <c r="AU121" s="1830"/>
      <c r="AV121" s="1831"/>
      <c r="AW121" s="1832"/>
      <c r="AX121" s="1832"/>
      <c r="AY121" s="1832"/>
      <c r="AZ121" s="1824"/>
      <c r="BA121" s="1824"/>
      <c r="BB121" s="705"/>
      <c r="BC121" s="705"/>
      <c r="BD121" s="705"/>
    </row>
    <row r="122" spans="2:56" s="655" customFormat="1" ht="24.95" customHeight="1">
      <c r="B122" s="281"/>
      <c r="C122" s="483"/>
      <c r="D122" s="483"/>
      <c r="E122" s="483"/>
      <c r="F122" s="652"/>
      <c r="G122" s="653"/>
      <c r="H122" s="505"/>
      <c r="I122" s="654"/>
      <c r="J122" s="662"/>
      <c r="K122" s="662"/>
      <c r="L122" s="507"/>
      <c r="M122" s="505"/>
      <c r="N122" s="654"/>
      <c r="O122" s="1561"/>
      <c r="P122" s="1453"/>
      <c r="Q122" s="520"/>
      <c r="R122" s="483"/>
      <c r="S122" s="483"/>
      <c r="T122" s="483"/>
      <c r="U122" s="483"/>
      <c r="V122" s="483"/>
      <c r="W122" s="483"/>
      <c r="X122" s="507"/>
      <c r="Y122" s="1824"/>
      <c r="Z122" s="1824"/>
      <c r="AA122" s="1824"/>
      <c r="AB122" s="1824"/>
      <c r="AC122" s="1824"/>
      <c r="AD122" s="1571"/>
      <c r="AE122" s="702"/>
      <c r="AF122" s="703"/>
      <c r="AG122" s="703"/>
      <c r="AH122" s="703"/>
      <c r="AI122" s="703"/>
      <c r="AJ122" s="704"/>
      <c r="AK122" s="704"/>
      <c r="AL122" s="704"/>
      <c r="AM122" s="704"/>
      <c r="AN122" s="704"/>
      <c r="AO122" s="704"/>
      <c r="AP122" s="704"/>
      <c r="AQ122" s="704"/>
      <c r="AR122" s="704"/>
      <c r="AS122" s="704"/>
      <c r="AT122" s="704"/>
      <c r="AU122" s="1830"/>
      <c r="AV122" s="1831"/>
      <c r="AW122" s="1832"/>
      <c r="AX122" s="1832"/>
      <c r="AY122" s="1832"/>
      <c r="AZ122" s="1824"/>
      <c r="BA122" s="1824"/>
      <c r="BB122" s="705"/>
      <c r="BC122" s="705"/>
      <c r="BD122" s="705"/>
    </row>
    <row r="123" spans="2:56" s="655" customFormat="1" ht="24.95" customHeight="1">
      <c r="B123" s="281"/>
      <c r="C123" s="483"/>
      <c r="D123" s="483"/>
      <c r="E123" s="483"/>
      <c r="F123" s="652"/>
      <c r="G123" s="653"/>
      <c r="H123" s="505"/>
      <c r="I123" s="654"/>
      <c r="J123" s="662"/>
      <c r="K123" s="662"/>
      <c r="L123" s="507"/>
      <c r="M123" s="505"/>
      <c r="N123" s="654"/>
      <c r="O123" s="1561"/>
      <c r="P123" s="1453"/>
      <c r="Q123" s="520"/>
      <c r="R123" s="483"/>
      <c r="S123" s="483"/>
      <c r="T123" s="483"/>
      <c r="U123" s="483"/>
      <c r="V123" s="483"/>
      <c r="W123" s="483"/>
      <c r="X123" s="507"/>
      <c r="Y123" s="1824"/>
      <c r="Z123" s="1824"/>
      <c r="AA123" s="1824"/>
      <c r="AB123" s="1824"/>
      <c r="AC123" s="1824"/>
      <c r="AD123" s="1571"/>
      <c r="AE123" s="702"/>
      <c r="AF123" s="703"/>
      <c r="AG123" s="703"/>
      <c r="AH123" s="703"/>
      <c r="AI123" s="703"/>
      <c r="AJ123" s="704"/>
      <c r="AK123" s="704"/>
      <c r="AL123" s="704"/>
      <c r="AM123" s="704"/>
      <c r="AN123" s="704"/>
      <c r="AO123" s="704"/>
      <c r="AP123" s="704"/>
      <c r="AQ123" s="704"/>
      <c r="AR123" s="704"/>
      <c r="AS123" s="704"/>
      <c r="AT123" s="704"/>
      <c r="AU123" s="1830"/>
      <c r="AV123" s="1831"/>
      <c r="AW123" s="1832"/>
      <c r="AX123" s="1832"/>
      <c r="AY123" s="1832"/>
      <c r="AZ123" s="1824"/>
      <c r="BA123" s="1824"/>
      <c r="BB123" s="705"/>
      <c r="BC123" s="705"/>
      <c r="BD123" s="705"/>
    </row>
    <row r="124" spans="2:56" s="655" customFormat="1" ht="24.95" customHeight="1">
      <c r="B124" s="281"/>
      <c r="C124" s="483"/>
      <c r="D124" s="483"/>
      <c r="E124" s="483"/>
      <c r="F124" s="652"/>
      <c r="G124" s="653"/>
      <c r="H124" s="505"/>
      <c r="I124" s="654"/>
      <c r="J124" s="662"/>
      <c r="K124" s="662"/>
      <c r="L124" s="507"/>
      <c r="M124" s="505"/>
      <c r="N124" s="654"/>
      <c r="O124" s="1561"/>
      <c r="P124" s="1453"/>
      <c r="Q124" s="520"/>
      <c r="R124" s="483"/>
      <c r="S124" s="483"/>
      <c r="T124" s="483"/>
      <c r="U124" s="483"/>
      <c r="V124" s="483"/>
      <c r="W124" s="483"/>
      <c r="X124" s="507"/>
      <c r="Y124" s="1824"/>
      <c r="Z124" s="1824"/>
      <c r="AA124" s="1824"/>
      <c r="AB124" s="1824"/>
      <c r="AC124" s="1824"/>
      <c r="AD124" s="1571"/>
      <c r="AE124" s="702"/>
      <c r="AF124" s="703"/>
      <c r="AG124" s="703"/>
      <c r="AH124" s="703"/>
      <c r="AI124" s="703"/>
      <c r="AJ124" s="704"/>
      <c r="AK124" s="704"/>
      <c r="AL124" s="704"/>
      <c r="AM124" s="704"/>
      <c r="AN124" s="704"/>
      <c r="AO124" s="704"/>
      <c r="AP124" s="704"/>
      <c r="AQ124" s="704"/>
      <c r="AR124" s="704"/>
      <c r="AS124" s="704"/>
      <c r="AT124" s="704"/>
      <c r="AU124" s="1830"/>
      <c r="AV124" s="1831"/>
      <c r="AW124" s="1832"/>
      <c r="AX124" s="1832"/>
      <c r="AY124" s="1832"/>
      <c r="AZ124" s="1824"/>
      <c r="BA124" s="1824"/>
      <c r="BB124" s="705"/>
      <c r="BC124" s="705"/>
      <c r="BD124" s="705"/>
    </row>
    <row r="125" spans="2:56" s="655" customFormat="1" ht="24.95" customHeight="1">
      <c r="B125" s="281"/>
      <c r="C125" s="483"/>
      <c r="D125" s="483"/>
      <c r="E125" s="483"/>
      <c r="F125" s="652"/>
      <c r="G125" s="653"/>
      <c r="H125" s="505"/>
      <c r="I125" s="654"/>
      <c r="J125" s="662"/>
      <c r="K125" s="662"/>
      <c r="L125" s="507"/>
      <c r="M125" s="505"/>
      <c r="N125" s="654"/>
      <c r="O125" s="1561"/>
      <c r="P125" s="1453"/>
      <c r="Q125" s="520"/>
      <c r="R125" s="483"/>
      <c r="S125" s="483"/>
      <c r="T125" s="483"/>
      <c r="U125" s="483"/>
      <c r="V125" s="483"/>
      <c r="W125" s="483"/>
      <c r="X125" s="507"/>
      <c r="Y125" s="1824"/>
      <c r="Z125" s="1824"/>
      <c r="AA125" s="1824"/>
      <c r="AB125" s="1824"/>
      <c r="AC125" s="1824"/>
      <c r="AD125" s="1571"/>
      <c r="AE125" s="702"/>
      <c r="AF125" s="703"/>
      <c r="AG125" s="703"/>
      <c r="AH125" s="703"/>
      <c r="AI125" s="703"/>
      <c r="AJ125" s="704"/>
      <c r="AK125" s="704"/>
      <c r="AL125" s="704"/>
      <c r="AM125" s="704"/>
      <c r="AN125" s="704"/>
      <c r="AO125" s="704"/>
      <c r="AP125" s="704"/>
      <c r="AQ125" s="704"/>
      <c r="AR125" s="704"/>
      <c r="AS125" s="704"/>
      <c r="AT125" s="704"/>
      <c r="AU125" s="1830"/>
      <c r="AV125" s="1831"/>
      <c r="AW125" s="1832"/>
      <c r="AX125" s="1832"/>
      <c r="AY125" s="1832"/>
      <c r="AZ125" s="1824"/>
      <c r="BA125" s="1824"/>
      <c r="BB125" s="705"/>
      <c r="BC125" s="705"/>
      <c r="BD125" s="705"/>
    </row>
    <row r="126" spans="2:56" s="655" customFormat="1" ht="24.95" customHeight="1">
      <c r="B126" s="281"/>
      <c r="C126" s="483"/>
      <c r="D126" s="483"/>
      <c r="E126" s="483"/>
      <c r="F126" s="652"/>
      <c r="G126" s="653"/>
      <c r="H126" s="505"/>
      <c r="I126" s="654"/>
      <c r="J126" s="662"/>
      <c r="K126" s="662"/>
      <c r="L126" s="507"/>
      <c r="M126" s="505"/>
      <c r="N126" s="654"/>
      <c r="O126" s="1561"/>
      <c r="P126" s="1453"/>
      <c r="Q126" s="520"/>
      <c r="R126" s="483"/>
      <c r="S126" s="483"/>
      <c r="T126" s="483"/>
      <c r="U126" s="483"/>
      <c r="V126" s="483"/>
      <c r="W126" s="483"/>
      <c r="X126" s="507"/>
      <c r="Y126" s="1824"/>
      <c r="Z126" s="1824"/>
      <c r="AA126" s="1824"/>
      <c r="AB126" s="1824"/>
      <c r="AC126" s="1824"/>
      <c r="AD126" s="1571"/>
      <c r="AE126" s="702"/>
      <c r="AF126" s="703"/>
      <c r="AG126" s="703"/>
      <c r="AH126" s="703"/>
      <c r="AI126" s="703"/>
      <c r="AJ126" s="704"/>
      <c r="AK126" s="704"/>
      <c r="AL126" s="704"/>
      <c r="AM126" s="704"/>
      <c r="AN126" s="704"/>
      <c r="AO126" s="704"/>
      <c r="AP126" s="704"/>
      <c r="AQ126" s="704"/>
      <c r="AR126" s="704"/>
      <c r="AS126" s="704"/>
      <c r="AT126" s="704"/>
      <c r="AU126" s="1830"/>
      <c r="AV126" s="1831"/>
      <c r="AW126" s="1832"/>
      <c r="AX126" s="1832"/>
      <c r="AY126" s="1832"/>
      <c r="AZ126" s="1824"/>
      <c r="BA126" s="1824"/>
      <c r="BB126" s="705"/>
      <c r="BC126" s="705"/>
      <c r="BD126" s="705"/>
    </row>
    <row r="127" spans="2:56" s="655" customFormat="1" ht="24.95" customHeight="1">
      <c r="B127" s="281"/>
      <c r="C127" s="483"/>
      <c r="D127" s="483"/>
      <c r="E127" s="483"/>
      <c r="F127" s="652"/>
      <c r="G127" s="653"/>
      <c r="H127" s="505"/>
      <c r="I127" s="654"/>
      <c r="J127" s="662"/>
      <c r="K127" s="662"/>
      <c r="L127" s="507"/>
      <c r="M127" s="505"/>
      <c r="N127" s="654"/>
      <c r="O127" s="1561"/>
      <c r="P127" s="1453"/>
      <c r="Q127" s="520"/>
      <c r="R127" s="483"/>
      <c r="S127" s="483"/>
      <c r="T127" s="483"/>
      <c r="U127" s="483"/>
      <c r="V127" s="483"/>
      <c r="W127" s="483"/>
      <c r="X127" s="507"/>
      <c r="Y127" s="1824"/>
      <c r="Z127" s="1824"/>
      <c r="AA127" s="1824"/>
      <c r="AB127" s="1824"/>
      <c r="AC127" s="1824"/>
      <c r="AD127" s="1571"/>
      <c r="AE127" s="702"/>
      <c r="AF127" s="703"/>
      <c r="AG127" s="703"/>
      <c r="AH127" s="703"/>
      <c r="AI127" s="703"/>
      <c r="AJ127" s="704"/>
      <c r="AK127" s="704"/>
      <c r="AL127" s="704"/>
      <c r="AM127" s="704"/>
      <c r="AN127" s="704"/>
      <c r="AO127" s="704"/>
      <c r="AP127" s="704"/>
      <c r="AQ127" s="704"/>
      <c r="AR127" s="704"/>
      <c r="AS127" s="704"/>
      <c r="AT127" s="704"/>
      <c r="AU127" s="1830"/>
      <c r="AV127" s="1831"/>
      <c r="AW127" s="1832"/>
      <c r="AX127" s="1832"/>
      <c r="AY127" s="1832"/>
      <c r="AZ127" s="1824"/>
      <c r="BA127" s="1824"/>
      <c r="BB127" s="705"/>
      <c r="BC127" s="705"/>
      <c r="BD127" s="705"/>
    </row>
    <row r="128" spans="2:56" s="655" customFormat="1" ht="24.95" customHeight="1">
      <c r="B128" s="281"/>
      <c r="C128" s="483"/>
      <c r="D128" s="483"/>
      <c r="E128" s="483"/>
      <c r="F128" s="652"/>
      <c r="G128" s="653"/>
      <c r="H128" s="505"/>
      <c r="I128" s="654"/>
      <c r="J128" s="662"/>
      <c r="K128" s="662"/>
      <c r="L128" s="507"/>
      <c r="M128" s="505"/>
      <c r="N128" s="654"/>
      <c r="O128" s="1561"/>
      <c r="P128" s="1453"/>
      <c r="Q128" s="520"/>
      <c r="R128" s="483"/>
      <c r="S128" s="483"/>
      <c r="T128" s="483"/>
      <c r="U128" s="483"/>
      <c r="V128" s="483"/>
      <c r="W128" s="483"/>
      <c r="X128" s="507"/>
      <c r="Y128" s="1824"/>
      <c r="Z128" s="1824"/>
      <c r="AA128" s="1824"/>
      <c r="AB128" s="1824"/>
      <c r="AC128" s="1824"/>
      <c r="AD128" s="1571"/>
      <c r="AE128" s="702"/>
      <c r="AF128" s="703"/>
      <c r="AG128" s="703"/>
      <c r="AH128" s="703"/>
      <c r="AI128" s="703"/>
      <c r="AJ128" s="704"/>
      <c r="AK128" s="704"/>
      <c r="AL128" s="704"/>
      <c r="AM128" s="704"/>
      <c r="AN128" s="704"/>
      <c r="AO128" s="704"/>
      <c r="AP128" s="704"/>
      <c r="AQ128" s="704"/>
      <c r="AR128" s="704"/>
      <c r="AS128" s="704"/>
      <c r="AT128" s="704"/>
      <c r="AU128" s="1830"/>
      <c r="AV128" s="1831"/>
      <c r="AW128" s="1832"/>
      <c r="AX128" s="1832"/>
      <c r="AY128" s="1832"/>
      <c r="AZ128" s="1824"/>
      <c r="BA128" s="1824"/>
      <c r="BB128" s="705"/>
      <c r="BC128" s="705"/>
      <c r="BD128" s="705"/>
    </row>
    <row r="129" spans="2:56" s="655" customFormat="1" ht="24.95" customHeight="1">
      <c r="B129" s="281"/>
      <c r="C129" s="483"/>
      <c r="D129" s="483"/>
      <c r="E129" s="483"/>
      <c r="F129" s="652"/>
      <c r="G129" s="653"/>
      <c r="H129" s="505"/>
      <c r="I129" s="654"/>
      <c r="J129" s="662"/>
      <c r="K129" s="662"/>
      <c r="L129" s="507"/>
      <c r="M129" s="505"/>
      <c r="N129" s="654"/>
      <c r="O129" s="1561"/>
      <c r="P129" s="1453"/>
      <c r="Q129" s="520"/>
      <c r="R129" s="483"/>
      <c r="S129" s="483"/>
      <c r="T129" s="483"/>
      <c r="U129" s="483"/>
      <c r="V129" s="483"/>
      <c r="W129" s="483"/>
      <c r="X129" s="507"/>
      <c r="Y129" s="1824"/>
      <c r="Z129" s="1824"/>
      <c r="AA129" s="1824"/>
      <c r="AB129" s="1824"/>
      <c r="AC129" s="1824"/>
      <c r="AD129" s="1571"/>
      <c r="AE129" s="702"/>
      <c r="AF129" s="703"/>
      <c r="AG129" s="703"/>
      <c r="AH129" s="703"/>
      <c r="AI129" s="703"/>
      <c r="AJ129" s="704"/>
      <c r="AK129" s="704"/>
      <c r="AL129" s="704"/>
      <c r="AM129" s="704"/>
      <c r="AN129" s="704"/>
      <c r="AO129" s="704"/>
      <c r="AP129" s="704"/>
      <c r="AQ129" s="704"/>
      <c r="AR129" s="704"/>
      <c r="AS129" s="704"/>
      <c r="AT129" s="704"/>
      <c r="AU129" s="1830"/>
      <c r="AV129" s="1831"/>
      <c r="AW129" s="1832"/>
      <c r="AX129" s="1832"/>
      <c r="AY129" s="1832"/>
      <c r="AZ129" s="1824"/>
      <c r="BA129" s="1824"/>
      <c r="BB129" s="705"/>
      <c r="BC129" s="705"/>
      <c r="BD129" s="705"/>
    </row>
    <row r="130" spans="2:56" s="655" customFormat="1" ht="24.95" customHeight="1">
      <c r="B130" s="281"/>
      <c r="C130" s="483"/>
      <c r="D130" s="483"/>
      <c r="E130" s="483"/>
      <c r="F130" s="652"/>
      <c r="G130" s="653"/>
      <c r="H130" s="505"/>
      <c r="I130" s="654"/>
      <c r="J130" s="662"/>
      <c r="K130" s="662"/>
      <c r="L130" s="507"/>
      <c r="M130" s="505"/>
      <c r="N130" s="654"/>
      <c r="O130" s="1561"/>
      <c r="P130" s="1453"/>
      <c r="Q130" s="520"/>
      <c r="R130" s="483"/>
      <c r="S130" s="483"/>
      <c r="T130" s="483"/>
      <c r="U130" s="483"/>
      <c r="V130" s="483"/>
      <c r="W130" s="483"/>
      <c r="X130" s="507"/>
      <c r="Y130" s="1824"/>
      <c r="Z130" s="1824"/>
      <c r="AA130" s="1824"/>
      <c r="AB130" s="1824"/>
      <c r="AC130" s="1824"/>
      <c r="AD130" s="1571"/>
      <c r="AE130" s="702"/>
      <c r="AF130" s="703"/>
      <c r="AG130" s="703"/>
      <c r="AH130" s="703"/>
      <c r="AI130" s="703"/>
      <c r="AJ130" s="704"/>
      <c r="AK130" s="704"/>
      <c r="AL130" s="704"/>
      <c r="AM130" s="704"/>
      <c r="AN130" s="704"/>
      <c r="AO130" s="704"/>
      <c r="AP130" s="704"/>
      <c r="AQ130" s="704"/>
      <c r="AR130" s="704"/>
      <c r="AS130" s="704"/>
      <c r="AT130" s="704"/>
      <c r="AU130" s="1830"/>
      <c r="AV130" s="1831"/>
      <c r="AW130" s="1832"/>
      <c r="AX130" s="1832"/>
      <c r="AY130" s="1832"/>
      <c r="AZ130" s="1824"/>
      <c r="BA130" s="1824"/>
      <c r="BB130" s="705"/>
      <c r="BC130" s="705"/>
      <c r="BD130" s="705"/>
    </row>
    <row r="131" spans="2:56" s="655" customFormat="1" ht="24.95" customHeight="1">
      <c r="B131" s="281"/>
      <c r="C131" s="483"/>
      <c r="D131" s="483"/>
      <c r="E131" s="483"/>
      <c r="F131" s="652"/>
      <c r="G131" s="653"/>
      <c r="H131" s="505"/>
      <c r="I131" s="654"/>
      <c r="J131" s="662"/>
      <c r="K131" s="662"/>
      <c r="L131" s="507"/>
      <c r="M131" s="505"/>
      <c r="N131" s="654"/>
      <c r="O131" s="1561"/>
      <c r="P131" s="1453"/>
      <c r="Q131" s="520"/>
      <c r="R131" s="483"/>
      <c r="S131" s="483"/>
      <c r="T131" s="483"/>
      <c r="U131" s="483"/>
      <c r="V131" s="483"/>
      <c r="W131" s="483"/>
      <c r="X131" s="507"/>
      <c r="Y131" s="1824"/>
      <c r="Z131" s="1824"/>
      <c r="AA131" s="1824"/>
      <c r="AB131" s="1824"/>
      <c r="AC131" s="1824"/>
      <c r="AD131" s="1571"/>
      <c r="AE131" s="702"/>
      <c r="AF131" s="703"/>
      <c r="AG131" s="703"/>
      <c r="AH131" s="703"/>
      <c r="AI131" s="703"/>
      <c r="AJ131" s="704"/>
      <c r="AK131" s="704"/>
      <c r="AL131" s="704"/>
      <c r="AM131" s="704"/>
      <c r="AN131" s="704"/>
      <c r="AO131" s="704"/>
      <c r="AP131" s="704"/>
      <c r="AQ131" s="704"/>
      <c r="AR131" s="704"/>
      <c r="AS131" s="704"/>
      <c r="AT131" s="704"/>
      <c r="AU131" s="1830"/>
      <c r="AV131" s="1831"/>
      <c r="AW131" s="1832"/>
      <c r="AX131" s="1832"/>
      <c r="AY131" s="1832"/>
      <c r="AZ131" s="1824"/>
      <c r="BA131" s="1824"/>
      <c r="BB131" s="705"/>
      <c r="BC131" s="705"/>
      <c r="BD131" s="705"/>
    </row>
    <row r="132" spans="2:56" s="655" customFormat="1" ht="24.95" customHeight="1">
      <c r="B132" s="281"/>
      <c r="C132" s="483"/>
      <c r="D132" s="483"/>
      <c r="E132" s="483"/>
      <c r="F132" s="652"/>
      <c r="G132" s="653"/>
      <c r="H132" s="505"/>
      <c r="I132" s="654"/>
      <c r="J132" s="662"/>
      <c r="K132" s="662"/>
      <c r="L132" s="507"/>
      <c r="M132" s="505"/>
      <c r="N132" s="654"/>
      <c r="O132" s="1561"/>
      <c r="P132" s="1453"/>
      <c r="Q132" s="520"/>
      <c r="R132" s="483"/>
      <c r="S132" s="483"/>
      <c r="T132" s="483"/>
      <c r="U132" s="483"/>
      <c r="V132" s="483"/>
      <c r="W132" s="483"/>
      <c r="X132" s="507"/>
      <c r="Y132" s="1824"/>
      <c r="Z132" s="1824"/>
      <c r="AA132" s="1824"/>
      <c r="AB132" s="1824"/>
      <c r="AC132" s="1824"/>
      <c r="AD132" s="1571"/>
      <c r="AE132" s="702"/>
      <c r="AF132" s="703"/>
      <c r="AG132" s="703"/>
      <c r="AH132" s="703"/>
      <c r="AI132" s="703"/>
      <c r="AJ132" s="704"/>
      <c r="AK132" s="704"/>
      <c r="AL132" s="704"/>
      <c r="AM132" s="704"/>
      <c r="AN132" s="704"/>
      <c r="AO132" s="704"/>
      <c r="AP132" s="704"/>
      <c r="AQ132" s="704"/>
      <c r="AR132" s="704"/>
      <c r="AS132" s="704"/>
      <c r="AT132" s="704"/>
      <c r="AU132" s="1830"/>
      <c r="AV132" s="1831"/>
      <c r="AW132" s="1832"/>
      <c r="AX132" s="1832"/>
      <c r="AY132" s="1832"/>
      <c r="AZ132" s="1824"/>
      <c r="BA132" s="1824"/>
      <c r="BB132" s="705"/>
      <c r="BC132" s="705"/>
      <c r="BD132" s="705"/>
    </row>
    <row r="133" spans="2:56" s="655" customFormat="1" ht="24.95" customHeight="1">
      <c r="B133" s="281"/>
      <c r="C133" s="483"/>
      <c r="D133" s="483"/>
      <c r="E133" s="483"/>
      <c r="F133" s="652"/>
      <c r="G133" s="653"/>
      <c r="H133" s="505"/>
      <c r="I133" s="654"/>
      <c r="J133" s="662"/>
      <c r="K133" s="662"/>
      <c r="L133" s="507"/>
      <c r="M133" s="505"/>
      <c r="N133" s="654"/>
      <c r="O133" s="1561"/>
      <c r="P133" s="1453"/>
      <c r="Q133" s="520"/>
      <c r="R133" s="483"/>
      <c r="S133" s="483"/>
      <c r="T133" s="483"/>
      <c r="U133" s="483"/>
      <c r="V133" s="483"/>
      <c r="W133" s="483"/>
      <c r="X133" s="507"/>
      <c r="Y133" s="1824"/>
      <c r="Z133" s="1824"/>
      <c r="AA133" s="1824"/>
      <c r="AB133" s="1824"/>
      <c r="AC133" s="1824"/>
      <c r="AD133" s="1571"/>
      <c r="AE133" s="702"/>
      <c r="AF133" s="703"/>
      <c r="AG133" s="703"/>
      <c r="AH133" s="703"/>
      <c r="AI133" s="703"/>
      <c r="AJ133" s="704"/>
      <c r="AK133" s="704"/>
      <c r="AL133" s="704"/>
      <c r="AM133" s="704"/>
      <c r="AN133" s="704"/>
      <c r="AO133" s="704"/>
      <c r="AP133" s="704"/>
      <c r="AQ133" s="704"/>
      <c r="AR133" s="704"/>
      <c r="AS133" s="704"/>
      <c r="AT133" s="704"/>
      <c r="AU133" s="1830"/>
      <c r="AV133" s="1831"/>
      <c r="AW133" s="1832"/>
      <c r="AX133" s="1832"/>
      <c r="AY133" s="1832"/>
      <c r="AZ133" s="1824"/>
      <c r="BA133" s="1824"/>
      <c r="BB133" s="705"/>
      <c r="BC133" s="705"/>
      <c r="BD133" s="705"/>
    </row>
    <row r="134" spans="2:56" s="655" customFormat="1" ht="24.95" customHeight="1">
      <c r="B134" s="281"/>
      <c r="C134" s="483"/>
      <c r="D134" s="483"/>
      <c r="E134" s="483"/>
      <c r="F134" s="652"/>
      <c r="G134" s="653"/>
      <c r="H134" s="505"/>
      <c r="I134" s="654"/>
      <c r="J134" s="662"/>
      <c r="K134" s="662"/>
      <c r="L134" s="507"/>
      <c r="M134" s="505"/>
      <c r="N134" s="654"/>
      <c r="O134" s="1561"/>
      <c r="P134" s="1453"/>
      <c r="Q134" s="520"/>
      <c r="R134" s="483"/>
      <c r="S134" s="483"/>
      <c r="T134" s="483"/>
      <c r="U134" s="483"/>
      <c r="V134" s="483"/>
      <c r="W134" s="483"/>
      <c r="X134" s="507"/>
      <c r="Y134" s="1824"/>
      <c r="Z134" s="1824"/>
      <c r="AA134" s="1824"/>
      <c r="AB134" s="1824"/>
      <c r="AC134" s="1824"/>
      <c r="AD134" s="1571"/>
      <c r="AE134" s="702"/>
      <c r="AF134" s="703"/>
      <c r="AG134" s="703"/>
      <c r="AH134" s="703"/>
      <c r="AI134" s="703"/>
      <c r="AJ134" s="704"/>
      <c r="AK134" s="704"/>
      <c r="AL134" s="704"/>
      <c r="AM134" s="704"/>
      <c r="AN134" s="704"/>
      <c r="AO134" s="704"/>
      <c r="AP134" s="704"/>
      <c r="AQ134" s="704"/>
      <c r="AR134" s="704"/>
      <c r="AS134" s="704"/>
      <c r="AT134" s="704"/>
      <c r="AU134" s="1830"/>
      <c r="AV134" s="1831"/>
      <c r="AW134" s="1832"/>
      <c r="AX134" s="1832"/>
      <c r="AY134" s="1832"/>
      <c r="AZ134" s="1824"/>
      <c r="BA134" s="1824"/>
      <c r="BB134" s="705"/>
      <c r="BC134" s="705"/>
      <c r="BD134" s="705"/>
    </row>
    <row r="135" spans="2:56" s="655" customFormat="1" ht="24.95" customHeight="1">
      <c r="B135" s="281"/>
      <c r="C135" s="483"/>
      <c r="D135" s="483"/>
      <c r="E135" s="483"/>
      <c r="F135" s="652"/>
      <c r="G135" s="653"/>
      <c r="H135" s="505"/>
      <c r="I135" s="654"/>
      <c r="J135" s="662"/>
      <c r="K135" s="662"/>
      <c r="L135" s="507"/>
      <c r="M135" s="505"/>
      <c r="N135" s="654"/>
      <c r="O135" s="1561"/>
      <c r="P135" s="1453"/>
      <c r="Q135" s="520"/>
      <c r="R135" s="483"/>
      <c r="S135" s="483"/>
      <c r="T135" s="483"/>
      <c r="U135" s="483"/>
      <c r="V135" s="483"/>
      <c r="W135" s="483"/>
      <c r="X135" s="507"/>
      <c r="Y135" s="1824"/>
      <c r="Z135" s="1824"/>
      <c r="AA135" s="1824"/>
      <c r="AB135" s="1824"/>
      <c r="AC135" s="1824"/>
      <c r="AD135" s="1571"/>
      <c r="AE135" s="702"/>
      <c r="AF135" s="703"/>
      <c r="AG135" s="703"/>
      <c r="AH135" s="703"/>
      <c r="AI135" s="703"/>
      <c r="AJ135" s="704"/>
      <c r="AK135" s="704"/>
      <c r="AL135" s="704"/>
      <c r="AM135" s="704"/>
      <c r="AN135" s="704"/>
      <c r="AO135" s="704"/>
      <c r="AP135" s="704"/>
      <c r="AQ135" s="704"/>
      <c r="AR135" s="704"/>
      <c r="AS135" s="704"/>
      <c r="AT135" s="704"/>
      <c r="AU135" s="1830"/>
      <c r="AV135" s="1831"/>
      <c r="AW135" s="1832"/>
      <c r="AX135" s="1832"/>
      <c r="AY135" s="1832"/>
      <c r="AZ135" s="1824"/>
      <c r="BA135" s="1824"/>
      <c r="BB135" s="705"/>
      <c r="BC135" s="705"/>
      <c r="BD135" s="705"/>
    </row>
    <row r="136" spans="2:56" s="655" customFormat="1" ht="24.95" customHeight="1">
      <c r="B136" s="281"/>
      <c r="C136" s="483"/>
      <c r="D136" s="483"/>
      <c r="E136" s="483"/>
      <c r="F136" s="652"/>
      <c r="G136" s="653"/>
      <c r="H136" s="505"/>
      <c r="I136" s="654"/>
      <c r="J136" s="662"/>
      <c r="K136" s="662"/>
      <c r="L136" s="507"/>
      <c r="M136" s="505"/>
      <c r="N136" s="654"/>
      <c r="O136" s="1561"/>
      <c r="P136" s="1453"/>
      <c r="Q136" s="520"/>
      <c r="R136" s="483"/>
      <c r="S136" s="483"/>
      <c r="T136" s="483"/>
      <c r="U136" s="483"/>
      <c r="V136" s="483"/>
      <c r="W136" s="483"/>
      <c r="X136" s="507"/>
      <c r="Y136" s="1824"/>
      <c r="Z136" s="1824"/>
      <c r="AA136" s="1824"/>
      <c r="AB136" s="1824"/>
      <c r="AC136" s="1824"/>
      <c r="AD136" s="1571"/>
      <c r="AE136" s="702"/>
      <c r="AF136" s="703"/>
      <c r="AG136" s="703"/>
      <c r="AH136" s="703"/>
      <c r="AI136" s="703"/>
      <c r="AJ136" s="704"/>
      <c r="AK136" s="704"/>
      <c r="AL136" s="704"/>
      <c r="AM136" s="704"/>
      <c r="AN136" s="704"/>
      <c r="AO136" s="704"/>
      <c r="AP136" s="704"/>
      <c r="AQ136" s="704"/>
      <c r="AR136" s="704"/>
      <c r="AS136" s="704"/>
      <c r="AT136" s="704"/>
      <c r="AU136" s="1830"/>
      <c r="AV136" s="1831"/>
      <c r="AW136" s="1832"/>
      <c r="AX136" s="1832"/>
      <c r="AY136" s="1832"/>
      <c r="AZ136" s="1824"/>
      <c r="BA136" s="1824"/>
      <c r="BB136" s="705"/>
      <c r="BC136" s="705"/>
      <c r="BD136" s="705"/>
    </row>
    <row r="137" spans="2:56" s="655" customFormat="1" ht="24.95" customHeight="1">
      <c r="B137" s="281"/>
      <c r="C137" s="483"/>
      <c r="D137" s="483"/>
      <c r="E137" s="483"/>
      <c r="F137" s="652"/>
      <c r="G137" s="653"/>
      <c r="H137" s="505"/>
      <c r="I137" s="654"/>
      <c r="J137" s="662"/>
      <c r="K137" s="662"/>
      <c r="L137" s="507"/>
      <c r="M137" s="505"/>
      <c r="N137" s="654"/>
      <c r="O137" s="1561"/>
      <c r="P137" s="1453"/>
      <c r="Q137" s="520"/>
      <c r="R137" s="483"/>
      <c r="S137" s="483"/>
      <c r="T137" s="483"/>
      <c r="U137" s="483"/>
      <c r="V137" s="483"/>
      <c r="W137" s="483"/>
      <c r="X137" s="507"/>
      <c r="Y137" s="1824"/>
      <c r="Z137" s="1824"/>
      <c r="AA137" s="1824"/>
      <c r="AB137" s="1824"/>
      <c r="AC137" s="1824"/>
      <c r="AD137" s="1571"/>
      <c r="AE137" s="702"/>
      <c r="AF137" s="703"/>
      <c r="AG137" s="703"/>
      <c r="AH137" s="703"/>
      <c r="AI137" s="703"/>
      <c r="AJ137" s="704"/>
      <c r="AK137" s="704"/>
      <c r="AL137" s="704"/>
      <c r="AM137" s="704"/>
      <c r="AN137" s="704"/>
      <c r="AO137" s="704"/>
      <c r="AP137" s="704"/>
      <c r="AQ137" s="704"/>
      <c r="AR137" s="704"/>
      <c r="AS137" s="704"/>
      <c r="AT137" s="704"/>
      <c r="AU137" s="1830"/>
      <c r="AV137" s="1831"/>
      <c r="AW137" s="1832"/>
      <c r="AX137" s="1832"/>
      <c r="AY137" s="1832"/>
      <c r="AZ137" s="1824"/>
      <c r="BA137" s="1824"/>
      <c r="BB137" s="705"/>
      <c r="BC137" s="705"/>
      <c r="BD137" s="705"/>
    </row>
    <row r="138" spans="2:56" s="655" customFormat="1" ht="24.95" customHeight="1">
      <c r="B138" s="281"/>
      <c r="C138" s="483"/>
      <c r="D138" s="483"/>
      <c r="E138" s="483"/>
      <c r="F138" s="652"/>
      <c r="G138" s="653"/>
      <c r="H138" s="505"/>
      <c r="I138" s="654"/>
      <c r="J138" s="662"/>
      <c r="K138" s="662"/>
      <c r="L138" s="507"/>
      <c r="M138" s="505"/>
      <c r="N138" s="654"/>
      <c r="O138" s="1561"/>
      <c r="P138" s="1453"/>
      <c r="Q138" s="520"/>
      <c r="R138" s="483"/>
      <c r="S138" s="483"/>
      <c r="T138" s="483"/>
      <c r="U138" s="483"/>
      <c r="V138" s="483"/>
      <c r="W138" s="483"/>
      <c r="X138" s="507"/>
      <c r="Y138" s="1824"/>
      <c r="Z138" s="1824"/>
      <c r="AA138" s="1824"/>
      <c r="AB138" s="1824"/>
      <c r="AC138" s="1824"/>
      <c r="AD138" s="1571"/>
      <c r="AE138" s="702"/>
      <c r="AF138" s="703"/>
      <c r="AG138" s="703"/>
      <c r="AH138" s="703"/>
      <c r="AI138" s="703"/>
      <c r="AJ138" s="704"/>
      <c r="AK138" s="704"/>
      <c r="AL138" s="704"/>
      <c r="AM138" s="704"/>
      <c r="AN138" s="704"/>
      <c r="AO138" s="704"/>
      <c r="AP138" s="704"/>
      <c r="AQ138" s="704"/>
      <c r="AR138" s="704"/>
      <c r="AS138" s="704"/>
      <c r="AT138" s="704"/>
      <c r="AU138" s="1830"/>
      <c r="AV138" s="1831"/>
      <c r="AW138" s="1832"/>
      <c r="AX138" s="1832"/>
      <c r="AY138" s="1832"/>
      <c r="AZ138" s="1824"/>
      <c r="BA138" s="1824"/>
      <c r="BB138" s="705"/>
      <c r="BC138" s="705"/>
      <c r="BD138" s="705"/>
    </row>
    <row r="139" spans="2:56" s="655" customFormat="1" ht="24.95" customHeight="1">
      <c r="B139" s="281"/>
      <c r="C139" s="483"/>
      <c r="D139" s="483"/>
      <c r="E139" s="483"/>
      <c r="F139" s="652"/>
      <c r="G139" s="653"/>
      <c r="H139" s="505"/>
      <c r="I139" s="654"/>
      <c r="J139" s="662"/>
      <c r="K139" s="662"/>
      <c r="L139" s="507"/>
      <c r="M139" s="505"/>
      <c r="N139" s="654"/>
      <c r="O139" s="1561"/>
      <c r="P139" s="1453"/>
      <c r="Q139" s="520"/>
      <c r="R139" s="483"/>
      <c r="S139" s="483"/>
      <c r="T139" s="483"/>
      <c r="U139" s="483"/>
      <c r="V139" s="483"/>
      <c r="W139" s="483"/>
      <c r="X139" s="507"/>
      <c r="Y139" s="1824"/>
      <c r="Z139" s="1824"/>
      <c r="AA139" s="1824"/>
      <c r="AB139" s="1824"/>
      <c r="AC139" s="1824"/>
      <c r="AD139" s="1571"/>
      <c r="AE139" s="702"/>
      <c r="AF139" s="703"/>
      <c r="AG139" s="703"/>
      <c r="AH139" s="703"/>
      <c r="AI139" s="703"/>
      <c r="AJ139" s="704"/>
      <c r="AK139" s="704"/>
      <c r="AL139" s="704"/>
      <c r="AM139" s="704"/>
      <c r="AN139" s="704"/>
      <c r="AO139" s="704"/>
      <c r="AP139" s="704"/>
      <c r="AQ139" s="704"/>
      <c r="AR139" s="704"/>
      <c r="AS139" s="704"/>
      <c r="AT139" s="704"/>
      <c r="AU139" s="1830"/>
      <c r="AV139" s="1831"/>
      <c r="AW139" s="1832"/>
      <c r="AX139" s="1832"/>
      <c r="AY139" s="1832"/>
      <c r="AZ139" s="1824"/>
      <c r="BA139" s="1824"/>
      <c r="BB139" s="705"/>
      <c r="BC139" s="705"/>
      <c r="BD139" s="705"/>
    </row>
    <row r="140" spans="2:56" s="655" customFormat="1" ht="24.95" customHeight="1">
      <c r="B140" s="281"/>
      <c r="C140" s="483"/>
      <c r="D140" s="483"/>
      <c r="E140" s="483"/>
      <c r="F140" s="652"/>
      <c r="G140" s="653"/>
      <c r="H140" s="505"/>
      <c r="I140" s="654"/>
      <c r="J140" s="662"/>
      <c r="K140" s="662"/>
      <c r="L140" s="507"/>
      <c r="M140" s="505"/>
      <c r="N140" s="654"/>
      <c r="O140" s="1561"/>
      <c r="P140" s="1453"/>
      <c r="Q140" s="520"/>
      <c r="R140" s="483"/>
      <c r="S140" s="483"/>
      <c r="T140" s="483"/>
      <c r="U140" s="483"/>
      <c r="V140" s="483"/>
      <c r="W140" s="483"/>
      <c r="X140" s="507"/>
      <c r="Y140" s="1824"/>
      <c r="Z140" s="1824"/>
      <c r="AA140" s="1824"/>
      <c r="AB140" s="1824"/>
      <c r="AC140" s="1824"/>
      <c r="AD140" s="1571"/>
      <c r="AE140" s="702"/>
      <c r="AF140" s="703"/>
      <c r="AG140" s="703"/>
      <c r="AH140" s="703"/>
      <c r="AI140" s="703"/>
      <c r="AJ140" s="704"/>
      <c r="AK140" s="704"/>
      <c r="AL140" s="704"/>
      <c r="AM140" s="704"/>
      <c r="AN140" s="704"/>
      <c r="AO140" s="704"/>
      <c r="AP140" s="704"/>
      <c r="AQ140" s="704"/>
      <c r="AR140" s="704"/>
      <c r="AS140" s="704"/>
      <c r="AT140" s="704"/>
      <c r="AU140" s="1830"/>
      <c r="AV140" s="1831"/>
      <c r="AW140" s="1832"/>
      <c r="AX140" s="1832"/>
      <c r="AY140" s="1832"/>
      <c r="AZ140" s="1824"/>
      <c r="BA140" s="1824"/>
      <c r="BB140" s="705"/>
      <c r="BC140" s="705"/>
      <c r="BD140" s="705"/>
    </row>
    <row r="141" spans="2:56" s="655" customFormat="1" ht="24.95" customHeight="1">
      <c r="B141" s="281"/>
      <c r="C141" s="483"/>
      <c r="D141" s="483"/>
      <c r="E141" s="483"/>
      <c r="F141" s="652"/>
      <c r="G141" s="653"/>
      <c r="H141" s="505"/>
      <c r="I141" s="654"/>
      <c r="J141" s="662"/>
      <c r="K141" s="662"/>
      <c r="L141" s="507"/>
      <c r="M141" s="505"/>
      <c r="N141" s="654"/>
      <c r="O141" s="1561"/>
      <c r="P141" s="1453"/>
      <c r="Q141" s="520"/>
      <c r="R141" s="483"/>
      <c r="S141" s="483"/>
      <c r="T141" s="483"/>
      <c r="U141" s="483"/>
      <c r="V141" s="483"/>
      <c r="W141" s="483"/>
      <c r="X141" s="507"/>
      <c r="Y141" s="1824"/>
      <c r="Z141" s="1824"/>
      <c r="AA141" s="1824"/>
      <c r="AB141" s="1824"/>
      <c r="AC141" s="1824"/>
      <c r="AD141" s="1571"/>
      <c r="AE141" s="707"/>
      <c r="AF141" s="703"/>
      <c r="AG141" s="703"/>
      <c r="AH141" s="703"/>
      <c r="AI141" s="703"/>
      <c r="AJ141" s="704"/>
      <c r="AK141" s="704"/>
      <c r="AL141" s="704"/>
      <c r="AM141" s="704"/>
      <c r="AN141" s="704"/>
      <c r="AO141" s="704"/>
      <c r="AP141" s="704"/>
      <c r="AQ141" s="704"/>
      <c r="AR141" s="704"/>
      <c r="AS141" s="704"/>
      <c r="AT141" s="704"/>
      <c r="AU141" s="1830"/>
      <c r="AV141" s="1831"/>
      <c r="AW141" s="1832"/>
      <c r="AX141" s="1832"/>
      <c r="AY141" s="1832"/>
      <c r="AZ141" s="1824"/>
      <c r="BA141" s="1824"/>
      <c r="BB141" s="705"/>
      <c r="BC141" s="705"/>
      <c r="BD141" s="705"/>
    </row>
    <row r="142" spans="2:56" s="655" customFormat="1" ht="24.95" customHeight="1">
      <c r="B142" s="281"/>
      <c r="C142" s="483"/>
      <c r="D142" s="483"/>
      <c r="E142" s="483"/>
      <c r="F142" s="652"/>
      <c r="G142" s="653"/>
      <c r="H142" s="505"/>
      <c r="I142" s="654"/>
      <c r="J142" s="662"/>
      <c r="K142" s="662"/>
      <c r="L142" s="507"/>
      <c r="M142" s="505"/>
      <c r="N142" s="654"/>
      <c r="O142" s="1561"/>
      <c r="P142" s="1453"/>
      <c r="Q142" s="520"/>
      <c r="R142" s="483"/>
      <c r="S142" s="483"/>
      <c r="T142" s="483"/>
      <c r="U142" s="483"/>
      <c r="V142" s="483"/>
      <c r="W142" s="483"/>
      <c r="X142" s="507"/>
      <c r="Y142" s="1824"/>
      <c r="Z142" s="1824"/>
      <c r="AA142" s="1824"/>
      <c r="AB142" s="1824"/>
      <c r="AC142" s="1824"/>
      <c r="AD142" s="1571"/>
      <c r="AE142" s="702"/>
      <c r="AF142" s="703"/>
      <c r="AG142" s="703"/>
      <c r="AH142" s="703"/>
      <c r="AI142" s="703"/>
      <c r="AJ142" s="704"/>
      <c r="AK142" s="704"/>
      <c r="AL142" s="704"/>
      <c r="AM142" s="704"/>
      <c r="AN142" s="704"/>
      <c r="AO142" s="704"/>
      <c r="AP142" s="704"/>
      <c r="AQ142" s="704"/>
      <c r="AR142" s="704"/>
      <c r="AS142" s="704"/>
      <c r="AT142" s="704"/>
      <c r="AU142" s="1830"/>
      <c r="AV142" s="1831"/>
      <c r="AW142" s="1832"/>
      <c r="AX142" s="1832"/>
      <c r="AY142" s="1832"/>
      <c r="AZ142" s="1824"/>
      <c r="BA142" s="1824"/>
      <c r="BB142" s="705"/>
      <c r="BC142" s="705"/>
      <c r="BD142" s="705"/>
    </row>
    <row r="143" spans="2:56" s="655" customFormat="1" ht="24.95" customHeight="1">
      <c r="B143" s="281"/>
      <c r="C143" s="483"/>
      <c r="D143" s="483"/>
      <c r="E143" s="483"/>
      <c r="F143" s="652"/>
      <c r="G143" s="653"/>
      <c r="H143" s="505"/>
      <c r="I143" s="654"/>
      <c r="J143" s="662"/>
      <c r="K143" s="662"/>
      <c r="L143" s="507"/>
      <c r="M143" s="505"/>
      <c r="N143" s="654"/>
      <c r="O143" s="1561"/>
      <c r="P143" s="1453"/>
      <c r="Q143" s="520"/>
      <c r="R143" s="483"/>
      <c r="S143" s="483"/>
      <c r="T143" s="483"/>
      <c r="U143" s="483"/>
      <c r="V143" s="483"/>
      <c r="W143" s="483"/>
      <c r="X143" s="507"/>
      <c r="Y143" s="1824"/>
      <c r="Z143" s="1824"/>
      <c r="AA143" s="1824"/>
      <c r="AB143" s="1824"/>
      <c r="AC143" s="1824"/>
      <c r="AD143" s="1571"/>
      <c r="AE143" s="702"/>
      <c r="AF143" s="703"/>
      <c r="AG143" s="703"/>
      <c r="AH143" s="703"/>
      <c r="AI143" s="703"/>
      <c r="AJ143" s="704"/>
      <c r="AK143" s="704"/>
      <c r="AL143" s="704"/>
      <c r="AM143" s="704"/>
      <c r="AN143" s="704"/>
      <c r="AO143" s="704"/>
      <c r="AP143" s="704"/>
      <c r="AQ143" s="704"/>
      <c r="AR143" s="704"/>
      <c r="AS143" s="704"/>
      <c r="AT143" s="704"/>
      <c r="AU143" s="1830"/>
      <c r="AV143" s="1831"/>
      <c r="AW143" s="1832"/>
      <c r="AX143" s="1832"/>
      <c r="AY143" s="1832"/>
      <c r="AZ143" s="1824"/>
      <c r="BA143" s="1824"/>
      <c r="BB143" s="705"/>
      <c r="BC143" s="705"/>
      <c r="BD143" s="705"/>
    </row>
    <row r="144" spans="2:56" s="655" customFormat="1" ht="24.95" customHeight="1">
      <c r="B144" s="281"/>
      <c r="C144" s="483"/>
      <c r="D144" s="483"/>
      <c r="E144" s="483"/>
      <c r="F144" s="652"/>
      <c r="G144" s="653"/>
      <c r="H144" s="505"/>
      <c r="I144" s="654"/>
      <c r="J144" s="662"/>
      <c r="K144" s="662"/>
      <c r="L144" s="507"/>
      <c r="M144" s="505"/>
      <c r="N144" s="654"/>
      <c r="O144" s="1561"/>
      <c r="P144" s="1453"/>
      <c r="Q144" s="520"/>
      <c r="R144" s="483"/>
      <c r="S144" s="483"/>
      <c r="T144" s="483"/>
      <c r="U144" s="483"/>
      <c r="V144" s="483"/>
      <c r="W144" s="483"/>
      <c r="X144" s="507"/>
      <c r="Y144" s="1824"/>
      <c r="Z144" s="1824"/>
      <c r="AA144" s="1824"/>
      <c r="AB144" s="1824"/>
      <c r="AC144" s="1824"/>
      <c r="AD144" s="1571"/>
      <c r="AE144" s="702"/>
      <c r="AF144" s="703"/>
      <c r="AG144" s="703"/>
      <c r="AH144" s="703"/>
      <c r="AI144" s="703"/>
      <c r="AJ144" s="704"/>
      <c r="AK144" s="704"/>
      <c r="AL144" s="704"/>
      <c r="AM144" s="704"/>
      <c r="AN144" s="704"/>
      <c r="AO144" s="704"/>
      <c r="AP144" s="704"/>
      <c r="AQ144" s="704"/>
      <c r="AR144" s="704"/>
      <c r="AS144" s="704"/>
      <c r="AT144" s="704"/>
      <c r="AU144" s="1830"/>
      <c r="AV144" s="1831"/>
      <c r="AW144" s="1832"/>
      <c r="AX144" s="1832"/>
      <c r="AY144" s="1832"/>
      <c r="AZ144" s="1824"/>
      <c r="BA144" s="1824"/>
      <c r="BB144" s="705"/>
      <c r="BC144" s="705"/>
      <c r="BD144" s="705"/>
    </row>
    <row r="145" spans="2:56" s="655" customFormat="1" ht="24.95" customHeight="1">
      <c r="B145" s="281"/>
      <c r="C145" s="483"/>
      <c r="D145" s="483"/>
      <c r="E145" s="483"/>
      <c r="F145" s="652"/>
      <c r="G145" s="653"/>
      <c r="H145" s="505"/>
      <c r="I145" s="654"/>
      <c r="J145" s="662"/>
      <c r="K145" s="662"/>
      <c r="L145" s="507"/>
      <c r="M145" s="505"/>
      <c r="N145" s="654"/>
      <c r="O145" s="1561"/>
      <c r="P145" s="1453"/>
      <c r="Q145" s="520"/>
      <c r="R145" s="483"/>
      <c r="S145" s="483"/>
      <c r="T145" s="483"/>
      <c r="U145" s="483"/>
      <c r="V145" s="483"/>
      <c r="W145" s="483"/>
      <c r="X145" s="507"/>
      <c r="Y145" s="1824"/>
      <c r="Z145" s="1824"/>
      <c r="AA145" s="1824"/>
      <c r="AB145" s="1824"/>
      <c r="AC145" s="1824"/>
      <c r="AD145" s="1571"/>
      <c r="AE145" s="702"/>
      <c r="AF145" s="703"/>
      <c r="AG145" s="703"/>
      <c r="AH145" s="703"/>
      <c r="AI145" s="703"/>
      <c r="AJ145" s="704"/>
      <c r="AK145" s="704"/>
      <c r="AL145" s="704"/>
      <c r="AM145" s="704"/>
      <c r="AN145" s="704"/>
      <c r="AO145" s="704"/>
      <c r="AP145" s="704"/>
      <c r="AQ145" s="704"/>
      <c r="AR145" s="704"/>
      <c r="AS145" s="704"/>
      <c r="AT145" s="704"/>
      <c r="AU145" s="1830"/>
      <c r="AV145" s="1831"/>
      <c r="AW145" s="1832"/>
      <c r="AX145" s="1832"/>
      <c r="AY145" s="1832"/>
      <c r="AZ145" s="1824"/>
      <c r="BA145" s="1824"/>
      <c r="BB145" s="705"/>
      <c r="BC145" s="705"/>
      <c r="BD145" s="705"/>
    </row>
    <row r="146" spans="2:56" s="655" customFormat="1" ht="24.95" customHeight="1">
      <c r="B146" s="281"/>
      <c r="C146" s="483"/>
      <c r="D146" s="483"/>
      <c r="E146" s="483"/>
      <c r="F146" s="652"/>
      <c r="G146" s="653"/>
      <c r="H146" s="505"/>
      <c r="I146" s="654"/>
      <c r="J146" s="662"/>
      <c r="K146" s="662"/>
      <c r="L146" s="507"/>
      <c r="M146" s="505"/>
      <c r="N146" s="654"/>
      <c r="O146" s="1561"/>
      <c r="P146" s="1453"/>
      <c r="Q146" s="520"/>
      <c r="R146" s="483"/>
      <c r="S146" s="483"/>
      <c r="T146" s="483"/>
      <c r="U146" s="483"/>
      <c r="V146" s="483"/>
      <c r="W146" s="483"/>
      <c r="X146" s="507"/>
      <c r="Y146" s="1824"/>
      <c r="Z146" s="1824"/>
      <c r="AA146" s="1824"/>
      <c r="AB146" s="1824"/>
      <c r="AC146" s="1824"/>
      <c r="AD146" s="1571"/>
      <c r="AE146" s="702"/>
      <c r="AF146" s="703"/>
      <c r="AG146" s="703"/>
      <c r="AH146" s="703"/>
      <c r="AI146" s="703"/>
      <c r="AJ146" s="704"/>
      <c r="AK146" s="704"/>
      <c r="AL146" s="704"/>
      <c r="AM146" s="704"/>
      <c r="AN146" s="704"/>
      <c r="AO146" s="704"/>
      <c r="AP146" s="704"/>
      <c r="AQ146" s="704"/>
      <c r="AR146" s="704"/>
      <c r="AS146" s="704"/>
      <c r="AT146" s="704"/>
      <c r="AU146" s="1830"/>
      <c r="AV146" s="1831"/>
      <c r="AW146" s="1832"/>
      <c r="AX146" s="1832"/>
      <c r="AY146" s="1832"/>
      <c r="AZ146" s="1824"/>
      <c r="BA146" s="1824"/>
      <c r="BB146" s="705"/>
      <c r="BC146" s="705"/>
      <c r="BD146" s="705"/>
    </row>
    <row r="147" spans="2:56" s="655" customFormat="1" ht="24.95" customHeight="1">
      <c r="B147" s="281"/>
      <c r="C147" s="483"/>
      <c r="D147" s="483"/>
      <c r="E147" s="483"/>
      <c r="F147" s="652"/>
      <c r="G147" s="653"/>
      <c r="H147" s="505"/>
      <c r="I147" s="654"/>
      <c r="J147" s="662"/>
      <c r="K147" s="662"/>
      <c r="L147" s="507"/>
      <c r="M147" s="505"/>
      <c r="N147" s="654"/>
      <c r="O147" s="1561"/>
      <c r="P147" s="1453"/>
      <c r="Q147" s="520"/>
      <c r="R147" s="483"/>
      <c r="S147" s="483"/>
      <c r="T147" s="483"/>
      <c r="U147" s="483"/>
      <c r="V147" s="483"/>
      <c r="W147" s="483"/>
      <c r="X147" s="507"/>
      <c r="Y147" s="1824"/>
      <c r="Z147" s="1824"/>
      <c r="AA147" s="1824"/>
      <c r="AB147" s="1824"/>
      <c r="AC147" s="1824"/>
      <c r="AD147" s="1571"/>
      <c r="AE147" s="702"/>
      <c r="AF147" s="703"/>
      <c r="AG147" s="703"/>
      <c r="AH147" s="703"/>
      <c r="AI147" s="703"/>
      <c r="AJ147" s="704"/>
      <c r="AK147" s="704"/>
      <c r="AL147" s="704"/>
      <c r="AM147" s="704"/>
      <c r="AN147" s="704"/>
      <c r="AO147" s="704"/>
      <c r="AP147" s="704"/>
      <c r="AQ147" s="704"/>
      <c r="AR147" s="704"/>
      <c r="AS147" s="704"/>
      <c r="AT147" s="704"/>
      <c r="AU147" s="1830"/>
      <c r="AV147" s="1831"/>
      <c r="AW147" s="1832"/>
      <c r="AX147" s="1832"/>
      <c r="AY147" s="1832"/>
      <c r="AZ147" s="1824"/>
      <c r="BA147" s="1824"/>
      <c r="BB147" s="705"/>
      <c r="BC147" s="705"/>
      <c r="BD147" s="705"/>
    </row>
    <row r="148" spans="2:56" s="655" customFormat="1" ht="24.95" customHeight="1">
      <c r="B148" s="281"/>
      <c r="C148" s="483"/>
      <c r="D148" s="483"/>
      <c r="E148" s="483"/>
      <c r="F148" s="652"/>
      <c r="G148" s="653"/>
      <c r="H148" s="505"/>
      <c r="I148" s="654"/>
      <c r="J148" s="662"/>
      <c r="K148" s="662"/>
      <c r="L148" s="507"/>
      <c r="M148" s="505"/>
      <c r="N148" s="654"/>
      <c r="O148" s="1561"/>
      <c r="P148" s="1453"/>
      <c r="Q148" s="520"/>
      <c r="R148" s="483"/>
      <c r="S148" s="483"/>
      <c r="T148" s="483"/>
      <c r="U148" s="483"/>
      <c r="V148" s="483"/>
      <c r="W148" s="483"/>
      <c r="X148" s="507"/>
      <c r="Y148" s="1824"/>
      <c r="Z148" s="1824"/>
      <c r="AA148" s="1824"/>
      <c r="AB148" s="1824"/>
      <c r="AC148" s="1824"/>
      <c r="AD148" s="1571"/>
      <c r="AE148" s="702"/>
      <c r="AF148" s="703"/>
      <c r="AG148" s="703"/>
      <c r="AH148" s="703"/>
      <c r="AI148" s="703"/>
      <c r="AJ148" s="704"/>
      <c r="AK148" s="704"/>
      <c r="AL148" s="704"/>
      <c r="AM148" s="704"/>
      <c r="AN148" s="704"/>
      <c r="AO148" s="704"/>
      <c r="AP148" s="704"/>
      <c r="AQ148" s="704"/>
      <c r="AR148" s="704"/>
      <c r="AS148" s="704"/>
      <c r="AT148" s="704"/>
      <c r="AU148" s="1830"/>
      <c r="AV148" s="1831"/>
      <c r="AW148" s="1832"/>
      <c r="AX148" s="1832"/>
      <c r="AY148" s="1832"/>
      <c r="AZ148" s="1824"/>
      <c r="BA148" s="1824"/>
      <c r="BB148" s="705"/>
      <c r="BC148" s="705"/>
      <c r="BD148" s="705"/>
    </row>
    <row r="149" spans="2:56" s="655" customFormat="1" ht="24.95" customHeight="1">
      <c r="B149" s="281"/>
      <c r="C149" s="483"/>
      <c r="D149" s="483"/>
      <c r="E149" s="483"/>
      <c r="F149" s="652"/>
      <c r="G149" s="653"/>
      <c r="H149" s="505"/>
      <c r="I149" s="654"/>
      <c r="J149" s="662"/>
      <c r="K149" s="662"/>
      <c r="L149" s="507"/>
      <c r="M149" s="505"/>
      <c r="N149" s="654"/>
      <c r="O149" s="1561"/>
      <c r="P149" s="1453"/>
      <c r="Q149" s="520"/>
      <c r="R149" s="483"/>
      <c r="S149" s="483"/>
      <c r="T149" s="483"/>
      <c r="U149" s="483"/>
      <c r="V149" s="483"/>
      <c r="W149" s="483"/>
      <c r="X149" s="507"/>
      <c r="Y149" s="1824"/>
      <c r="Z149" s="1824"/>
      <c r="AA149" s="1824"/>
      <c r="AB149" s="1824"/>
      <c r="AC149" s="1824"/>
      <c r="AD149" s="1571"/>
      <c r="AE149" s="702"/>
      <c r="AF149" s="703"/>
      <c r="AG149" s="703"/>
      <c r="AH149" s="703"/>
      <c r="AI149" s="703"/>
      <c r="AJ149" s="704"/>
      <c r="AK149" s="704"/>
      <c r="AL149" s="704"/>
      <c r="AM149" s="704"/>
      <c r="AN149" s="704"/>
      <c r="AO149" s="704"/>
      <c r="AP149" s="704"/>
      <c r="AQ149" s="704"/>
      <c r="AR149" s="704"/>
      <c r="AS149" s="704"/>
      <c r="AT149" s="704"/>
      <c r="AU149" s="1830"/>
      <c r="AV149" s="1831"/>
      <c r="AW149" s="1832"/>
      <c r="AX149" s="1832"/>
      <c r="AY149" s="1832"/>
      <c r="AZ149" s="1824"/>
      <c r="BA149" s="1824"/>
      <c r="BB149" s="705"/>
      <c r="BC149" s="705"/>
      <c r="BD149" s="705"/>
    </row>
    <row r="150" spans="2:56" s="655" customFormat="1" ht="24.95" customHeight="1">
      <c r="B150" s="281"/>
      <c r="C150" s="483"/>
      <c r="D150" s="483"/>
      <c r="E150" s="483"/>
      <c r="F150" s="652"/>
      <c r="G150" s="653"/>
      <c r="H150" s="505"/>
      <c r="I150" s="654"/>
      <c r="J150" s="662"/>
      <c r="K150" s="662"/>
      <c r="L150" s="507"/>
      <c r="M150" s="505"/>
      <c r="N150" s="654"/>
      <c r="O150" s="1561"/>
      <c r="P150" s="1453"/>
      <c r="Q150" s="520"/>
      <c r="R150" s="483"/>
      <c r="S150" s="483"/>
      <c r="T150" s="483"/>
      <c r="U150" s="483"/>
      <c r="V150" s="483"/>
      <c r="W150" s="483"/>
      <c r="X150" s="507"/>
      <c r="Y150" s="1824"/>
      <c r="Z150" s="1824"/>
      <c r="AA150" s="1824"/>
      <c r="AB150" s="1824"/>
      <c r="AC150" s="1824"/>
      <c r="AD150" s="1571"/>
      <c r="AE150" s="702"/>
      <c r="AF150" s="703"/>
      <c r="AG150" s="703"/>
      <c r="AH150" s="703"/>
      <c r="AI150" s="703"/>
      <c r="AJ150" s="704"/>
      <c r="AK150" s="704"/>
      <c r="AL150" s="704"/>
      <c r="AM150" s="704"/>
      <c r="AN150" s="704"/>
      <c r="AO150" s="704"/>
      <c r="AP150" s="704"/>
      <c r="AQ150" s="704"/>
      <c r="AR150" s="704"/>
      <c r="AS150" s="704"/>
      <c r="AT150" s="704"/>
      <c r="AU150" s="1830"/>
      <c r="AV150" s="1831"/>
      <c r="AW150" s="1832"/>
      <c r="AX150" s="1832"/>
      <c r="AY150" s="1832"/>
      <c r="AZ150" s="1824"/>
      <c r="BA150" s="1824"/>
      <c r="BB150" s="705"/>
      <c r="BC150" s="705"/>
      <c r="BD150" s="705"/>
    </row>
    <row r="151" spans="2:56" s="655" customFormat="1" ht="24.95" customHeight="1">
      <c r="B151" s="281"/>
      <c r="C151" s="483"/>
      <c r="D151" s="483"/>
      <c r="E151" s="483"/>
      <c r="F151" s="652"/>
      <c r="G151" s="653"/>
      <c r="H151" s="505"/>
      <c r="I151" s="654"/>
      <c r="J151" s="662"/>
      <c r="K151" s="662"/>
      <c r="L151" s="507"/>
      <c r="M151" s="505"/>
      <c r="N151" s="654"/>
      <c r="O151" s="1561"/>
      <c r="P151" s="1453"/>
      <c r="Q151" s="520"/>
      <c r="R151" s="483"/>
      <c r="S151" s="483"/>
      <c r="T151" s="483"/>
      <c r="U151" s="483"/>
      <c r="V151" s="483"/>
      <c r="W151" s="483"/>
      <c r="X151" s="507"/>
      <c r="Y151" s="1824"/>
      <c r="Z151" s="1824"/>
      <c r="AA151" s="1824"/>
      <c r="AB151" s="1824"/>
      <c r="AC151" s="1824"/>
      <c r="AD151" s="1571"/>
      <c r="AE151" s="702"/>
      <c r="AF151" s="703"/>
      <c r="AG151" s="703"/>
      <c r="AH151" s="703"/>
      <c r="AI151" s="703"/>
      <c r="AJ151" s="704"/>
      <c r="AK151" s="704"/>
      <c r="AL151" s="704"/>
      <c r="AM151" s="704"/>
      <c r="AN151" s="704"/>
      <c r="AO151" s="704"/>
      <c r="AP151" s="704"/>
      <c r="AQ151" s="704"/>
      <c r="AR151" s="704"/>
      <c r="AS151" s="704"/>
      <c r="AT151" s="704"/>
      <c r="AU151" s="1830"/>
      <c r="AV151" s="1831"/>
      <c r="AW151" s="1832"/>
      <c r="AX151" s="1832"/>
      <c r="AY151" s="1832"/>
      <c r="AZ151" s="1824"/>
      <c r="BA151" s="1824"/>
      <c r="BB151" s="705"/>
      <c r="BC151" s="705"/>
      <c r="BD151" s="705"/>
    </row>
    <row r="152" spans="2:56" s="655" customFormat="1" ht="24.95" customHeight="1">
      <c r="B152" s="281"/>
      <c r="C152" s="483"/>
      <c r="D152" s="483"/>
      <c r="E152" s="483"/>
      <c r="F152" s="652"/>
      <c r="G152" s="653"/>
      <c r="H152" s="505"/>
      <c r="I152" s="654"/>
      <c r="J152" s="662"/>
      <c r="K152" s="662"/>
      <c r="L152" s="507"/>
      <c r="M152" s="505"/>
      <c r="N152" s="654"/>
      <c r="O152" s="1561"/>
      <c r="P152" s="1453"/>
      <c r="Q152" s="520"/>
      <c r="R152" s="483"/>
      <c r="S152" s="483"/>
      <c r="T152" s="483"/>
      <c r="U152" s="483"/>
      <c r="V152" s="483"/>
      <c r="W152" s="483"/>
      <c r="X152" s="507"/>
      <c r="Y152" s="1824"/>
      <c r="Z152" s="1824"/>
      <c r="AA152" s="1824"/>
      <c r="AB152" s="1824"/>
      <c r="AC152" s="1824"/>
      <c r="AD152" s="1571"/>
      <c r="AE152" s="702"/>
      <c r="AF152" s="703"/>
      <c r="AG152" s="703"/>
      <c r="AH152" s="703"/>
      <c r="AI152" s="703"/>
      <c r="AJ152" s="704"/>
      <c r="AK152" s="704"/>
      <c r="AL152" s="704"/>
      <c r="AM152" s="704"/>
      <c r="AN152" s="704"/>
      <c r="AO152" s="704"/>
      <c r="AP152" s="704"/>
      <c r="AQ152" s="704"/>
      <c r="AR152" s="704"/>
      <c r="AS152" s="704"/>
      <c r="AT152" s="704"/>
      <c r="AU152" s="1830"/>
      <c r="AV152" s="1831"/>
      <c r="AW152" s="1832"/>
      <c r="AX152" s="1832"/>
      <c r="AY152" s="1832"/>
      <c r="AZ152" s="1824"/>
      <c r="BA152" s="1824"/>
      <c r="BB152" s="705"/>
      <c r="BC152" s="705"/>
      <c r="BD152" s="705"/>
    </row>
    <row r="153" spans="2:56" s="655" customFormat="1" ht="24.95" customHeight="1">
      <c r="B153" s="281"/>
      <c r="C153" s="483"/>
      <c r="D153" s="483"/>
      <c r="E153" s="483"/>
      <c r="F153" s="652"/>
      <c r="G153" s="653"/>
      <c r="H153" s="505"/>
      <c r="I153" s="654"/>
      <c r="J153" s="662"/>
      <c r="K153" s="662"/>
      <c r="L153" s="507"/>
      <c r="M153" s="505"/>
      <c r="N153" s="654"/>
      <c r="O153" s="1561"/>
      <c r="P153" s="1453"/>
      <c r="Q153" s="520"/>
      <c r="R153" s="483"/>
      <c r="S153" s="483"/>
      <c r="T153" s="483"/>
      <c r="U153" s="483"/>
      <c r="V153" s="483"/>
      <c r="W153" s="483"/>
      <c r="X153" s="507"/>
      <c r="Y153" s="1824"/>
      <c r="Z153" s="1824"/>
      <c r="AA153" s="1824"/>
      <c r="AB153" s="1824"/>
      <c r="AC153" s="1824"/>
      <c r="AD153" s="1571"/>
      <c r="AE153" s="702"/>
      <c r="AF153" s="703"/>
      <c r="AG153" s="703"/>
      <c r="AH153" s="703"/>
      <c r="AI153" s="703"/>
      <c r="AJ153" s="704"/>
      <c r="AK153" s="704"/>
      <c r="AL153" s="704"/>
      <c r="AM153" s="704"/>
      <c r="AN153" s="704"/>
      <c r="AO153" s="704"/>
      <c r="AP153" s="704"/>
      <c r="AQ153" s="704"/>
      <c r="AR153" s="704"/>
      <c r="AS153" s="704"/>
      <c r="AT153" s="704"/>
      <c r="AU153" s="1829"/>
      <c r="AV153" s="1833"/>
      <c r="AW153" s="1834"/>
      <c r="AX153" s="1834"/>
      <c r="AY153" s="1834"/>
      <c r="AZ153" s="1825"/>
      <c r="BA153" s="1825"/>
      <c r="BB153" s="705"/>
      <c r="BC153" s="705"/>
      <c r="BD153" s="705"/>
    </row>
    <row r="154" spans="2:56" s="655" customFormat="1" ht="24.95" customHeight="1">
      <c r="B154" s="281"/>
      <c r="C154" s="483"/>
      <c r="D154" s="483"/>
      <c r="E154" s="483"/>
      <c r="F154" s="652"/>
      <c r="G154" s="653"/>
      <c r="H154" s="505"/>
      <c r="I154" s="654"/>
      <c r="J154" s="662"/>
      <c r="K154" s="662"/>
      <c r="L154" s="507"/>
      <c r="M154" s="505"/>
      <c r="N154" s="654"/>
      <c r="O154" s="1561"/>
      <c r="P154" s="1453"/>
      <c r="Q154" s="520"/>
      <c r="R154" s="483"/>
      <c r="S154" s="483"/>
      <c r="T154" s="483"/>
      <c r="U154" s="483"/>
      <c r="V154" s="483"/>
      <c r="W154" s="483"/>
      <c r="X154" s="507"/>
      <c r="Y154" s="1824"/>
      <c r="Z154" s="1824"/>
      <c r="AA154" s="1824"/>
      <c r="AB154" s="1824"/>
      <c r="AC154" s="1824"/>
      <c r="AD154" s="1571"/>
      <c r="AE154" s="702"/>
      <c r="AF154" s="703"/>
      <c r="AG154" s="703"/>
      <c r="AH154" s="703"/>
      <c r="AI154" s="703"/>
      <c r="AJ154" s="704"/>
      <c r="AK154" s="704"/>
      <c r="AL154" s="704"/>
      <c r="AM154" s="704"/>
      <c r="AN154" s="704"/>
      <c r="AO154" s="704"/>
      <c r="AP154" s="704"/>
      <c r="AQ154" s="704"/>
      <c r="AR154" s="704"/>
      <c r="AS154" s="704"/>
      <c r="AT154" s="704"/>
      <c r="AU154" s="1829"/>
      <c r="AV154" s="1833"/>
      <c r="AW154" s="1834"/>
      <c r="AX154" s="1834"/>
      <c r="AY154" s="1834"/>
      <c r="AZ154" s="1825"/>
      <c r="BA154" s="1825"/>
      <c r="BB154" s="705"/>
      <c r="BC154" s="705"/>
      <c r="BD154" s="705"/>
    </row>
    <row r="155" spans="2:56" s="655" customFormat="1" ht="24.95" customHeight="1">
      <c r="B155" s="281"/>
      <c r="C155" s="483"/>
      <c r="D155" s="483"/>
      <c r="E155" s="483"/>
      <c r="F155" s="652"/>
      <c r="G155" s="653"/>
      <c r="H155" s="505"/>
      <c r="I155" s="654"/>
      <c r="J155" s="662"/>
      <c r="K155" s="662"/>
      <c r="L155" s="507"/>
      <c r="M155" s="505"/>
      <c r="N155" s="654"/>
      <c r="O155" s="1561"/>
      <c r="P155" s="1453"/>
      <c r="Q155" s="520"/>
      <c r="R155" s="483"/>
      <c r="S155" s="483"/>
      <c r="T155" s="483"/>
      <c r="U155" s="483"/>
      <c r="V155" s="483"/>
      <c r="W155" s="483"/>
      <c r="X155" s="507"/>
      <c r="Y155" s="1824"/>
      <c r="Z155" s="1824"/>
      <c r="AA155" s="1824"/>
      <c r="AB155" s="1824"/>
      <c r="AC155" s="1824"/>
      <c r="AD155" s="1571"/>
      <c r="AE155" s="702"/>
      <c r="AF155" s="703"/>
      <c r="AG155" s="703"/>
      <c r="AH155" s="703"/>
      <c r="AI155" s="703"/>
      <c r="AJ155" s="704"/>
      <c r="AK155" s="704"/>
      <c r="AL155" s="704"/>
      <c r="AM155" s="704"/>
      <c r="AN155" s="704"/>
      <c r="AO155" s="704"/>
      <c r="AP155" s="704"/>
      <c r="AQ155" s="704"/>
      <c r="AR155" s="704"/>
      <c r="AS155" s="704"/>
      <c r="AT155" s="704"/>
      <c r="AU155" s="1829"/>
      <c r="AV155" s="1833"/>
      <c r="AW155" s="1834"/>
      <c r="AX155" s="1834"/>
      <c r="AY155" s="1834"/>
      <c r="AZ155" s="1825"/>
      <c r="BA155" s="1825"/>
      <c r="BB155" s="705"/>
      <c r="BC155" s="705"/>
      <c r="BD155" s="705"/>
    </row>
    <row r="156" spans="2:56" s="655" customFormat="1" ht="24.95" customHeight="1">
      <c r="B156" s="281"/>
      <c r="C156" s="483"/>
      <c r="D156" s="483"/>
      <c r="E156" s="483"/>
      <c r="F156" s="652"/>
      <c r="G156" s="653"/>
      <c r="H156" s="505"/>
      <c r="I156" s="654"/>
      <c r="J156" s="662"/>
      <c r="K156" s="662"/>
      <c r="L156" s="507"/>
      <c r="M156" s="505"/>
      <c r="N156" s="654"/>
      <c r="O156" s="1561"/>
      <c r="P156" s="1453"/>
      <c r="Q156" s="520"/>
      <c r="R156" s="483"/>
      <c r="S156" s="483"/>
      <c r="T156" s="483"/>
      <c r="U156" s="483"/>
      <c r="V156" s="483"/>
      <c r="W156" s="483"/>
      <c r="X156" s="507"/>
      <c r="Y156" s="1824"/>
      <c r="Z156" s="1824"/>
      <c r="AA156" s="1824"/>
      <c r="AB156" s="1824"/>
      <c r="AC156" s="1824"/>
      <c r="AD156" s="1571"/>
      <c r="AE156" s="702"/>
      <c r="AF156" s="703"/>
      <c r="AG156" s="703"/>
      <c r="AH156" s="703"/>
      <c r="AI156" s="703"/>
      <c r="AJ156" s="704"/>
      <c r="AK156" s="704"/>
      <c r="AL156" s="704"/>
      <c r="AM156" s="704"/>
      <c r="AN156" s="704"/>
      <c r="AO156" s="704"/>
      <c r="AP156" s="704"/>
      <c r="AQ156" s="704"/>
      <c r="AR156" s="704"/>
      <c r="AS156" s="704"/>
      <c r="AT156" s="704"/>
      <c r="AU156" s="1829"/>
      <c r="AV156" s="1833"/>
      <c r="AW156" s="1834"/>
      <c r="AX156" s="1834"/>
      <c r="AY156" s="1834"/>
      <c r="AZ156" s="1825"/>
      <c r="BA156" s="1825"/>
      <c r="BB156" s="705"/>
      <c r="BC156" s="705"/>
      <c r="BD156" s="705"/>
    </row>
    <row r="157" spans="2:56" s="655" customFormat="1" ht="24.95" customHeight="1">
      <c r="B157" s="281"/>
      <c r="C157" s="483"/>
      <c r="D157" s="483"/>
      <c r="E157" s="483"/>
      <c r="F157" s="652"/>
      <c r="G157" s="653"/>
      <c r="H157" s="505"/>
      <c r="I157" s="654"/>
      <c r="J157" s="662"/>
      <c r="K157" s="662"/>
      <c r="L157" s="507"/>
      <c r="M157" s="505"/>
      <c r="N157" s="654"/>
      <c r="O157" s="1561"/>
      <c r="P157" s="1453"/>
      <c r="Q157" s="520"/>
      <c r="R157" s="483"/>
      <c r="S157" s="483"/>
      <c r="T157" s="483"/>
      <c r="U157" s="483"/>
      <c r="V157" s="483"/>
      <c r="W157" s="483"/>
      <c r="X157" s="507"/>
      <c r="Y157" s="1824"/>
      <c r="Z157" s="1824"/>
      <c r="AA157" s="1824"/>
      <c r="AB157" s="1824"/>
      <c r="AC157" s="1824"/>
      <c r="AD157" s="1571"/>
      <c r="AE157" s="702"/>
      <c r="AF157" s="703"/>
      <c r="AG157" s="703"/>
      <c r="AH157" s="703"/>
      <c r="AI157" s="703"/>
      <c r="AJ157" s="704"/>
      <c r="AK157" s="704"/>
      <c r="AL157" s="704"/>
      <c r="AM157" s="704"/>
      <c r="AN157" s="704"/>
      <c r="AO157" s="704"/>
      <c r="AP157" s="704"/>
      <c r="AQ157" s="704"/>
      <c r="AR157" s="704"/>
      <c r="AS157" s="704"/>
      <c r="AT157" s="704"/>
      <c r="AU157" s="1829"/>
      <c r="AV157" s="1833"/>
      <c r="AW157" s="1834"/>
      <c r="AX157" s="1834"/>
      <c r="AY157" s="1834"/>
      <c r="AZ157" s="1825"/>
      <c r="BA157" s="1825"/>
      <c r="BB157" s="705"/>
      <c r="BC157" s="705"/>
      <c r="BD157" s="705"/>
    </row>
    <row r="158" spans="2:56" s="655" customFormat="1" ht="24.95" customHeight="1">
      <c r="B158" s="281"/>
      <c r="C158" s="483"/>
      <c r="D158" s="483"/>
      <c r="E158" s="483"/>
      <c r="F158" s="652"/>
      <c r="G158" s="653"/>
      <c r="H158" s="505"/>
      <c r="I158" s="654"/>
      <c r="J158" s="662"/>
      <c r="K158" s="662"/>
      <c r="L158" s="507"/>
      <c r="M158" s="505"/>
      <c r="N158" s="654"/>
      <c r="O158" s="1561"/>
      <c r="P158" s="1453"/>
      <c r="Q158" s="520"/>
      <c r="R158" s="483"/>
      <c r="S158" s="483"/>
      <c r="T158" s="483"/>
      <c r="U158" s="483"/>
      <c r="V158" s="483"/>
      <c r="W158" s="483"/>
      <c r="X158" s="507"/>
      <c r="Y158" s="1824"/>
      <c r="Z158" s="1824"/>
      <c r="AA158" s="1824"/>
      <c r="AB158" s="1824"/>
      <c r="AC158" s="1824"/>
      <c r="AD158" s="1571"/>
      <c r="AE158" s="702"/>
      <c r="AF158" s="703"/>
      <c r="AG158" s="703"/>
      <c r="AH158" s="703"/>
      <c r="AI158" s="703"/>
      <c r="AJ158" s="704"/>
      <c r="AK158" s="704"/>
      <c r="AL158" s="704"/>
      <c r="AM158" s="704"/>
      <c r="AN158" s="704"/>
      <c r="AO158" s="704"/>
      <c r="AP158" s="704"/>
      <c r="AQ158" s="704"/>
      <c r="AR158" s="704"/>
      <c r="AS158" s="704"/>
      <c r="AT158" s="704"/>
      <c r="AU158" s="1829"/>
      <c r="AV158" s="1833"/>
      <c r="AW158" s="1834"/>
      <c r="AX158" s="1834"/>
      <c r="AY158" s="1834"/>
      <c r="AZ158" s="1825"/>
      <c r="BA158" s="1825"/>
      <c r="BB158" s="705"/>
      <c r="BC158" s="705"/>
      <c r="BD158" s="705"/>
    </row>
    <row r="159" spans="2:56" s="655" customFormat="1" ht="24.95" customHeight="1">
      <c r="B159" s="281"/>
      <c r="C159" s="483"/>
      <c r="D159" s="483"/>
      <c r="E159" s="483"/>
      <c r="F159" s="652"/>
      <c r="G159" s="653"/>
      <c r="H159" s="505"/>
      <c r="I159" s="654"/>
      <c r="J159" s="662"/>
      <c r="K159" s="662"/>
      <c r="L159" s="507"/>
      <c r="M159" s="505"/>
      <c r="N159" s="654"/>
      <c r="O159" s="1561"/>
      <c r="P159" s="1453"/>
      <c r="Q159" s="520"/>
      <c r="R159" s="483"/>
      <c r="S159" s="483"/>
      <c r="T159" s="483"/>
      <c r="U159" s="483"/>
      <c r="V159" s="483"/>
      <c r="W159" s="483"/>
      <c r="X159" s="507"/>
      <c r="Y159" s="1824"/>
      <c r="Z159" s="1824"/>
      <c r="AA159" s="1824"/>
      <c r="AB159" s="1824"/>
      <c r="AC159" s="1824"/>
      <c r="AD159" s="1571"/>
      <c r="AE159" s="702"/>
      <c r="AF159" s="703"/>
      <c r="AG159" s="703"/>
      <c r="AH159" s="703"/>
      <c r="AI159" s="703"/>
      <c r="AJ159" s="704"/>
      <c r="AK159" s="704"/>
      <c r="AL159" s="704"/>
      <c r="AM159" s="704"/>
      <c r="AN159" s="704"/>
      <c r="AO159" s="704"/>
      <c r="AP159" s="704"/>
      <c r="AQ159" s="704"/>
      <c r="AR159" s="704"/>
      <c r="AS159" s="704"/>
      <c r="AT159" s="704"/>
      <c r="AU159" s="1829"/>
      <c r="AV159" s="1833"/>
      <c r="AW159" s="1834"/>
      <c r="AX159" s="1834"/>
      <c r="AY159" s="1834"/>
      <c r="AZ159" s="1825"/>
      <c r="BA159" s="1825"/>
      <c r="BB159" s="705"/>
      <c r="BC159" s="705"/>
      <c r="BD159" s="705"/>
    </row>
    <row r="160" spans="2:56" s="655" customFormat="1" ht="24.95" customHeight="1">
      <c r="B160" s="281"/>
      <c r="C160" s="483"/>
      <c r="D160" s="483"/>
      <c r="E160" s="483"/>
      <c r="F160" s="652"/>
      <c r="G160" s="653"/>
      <c r="H160" s="505"/>
      <c r="I160" s="654"/>
      <c r="J160" s="662"/>
      <c r="K160" s="662"/>
      <c r="L160" s="507"/>
      <c r="M160" s="505"/>
      <c r="N160" s="654"/>
      <c r="O160" s="1561"/>
      <c r="P160" s="1453"/>
      <c r="Q160" s="520"/>
      <c r="R160" s="483"/>
      <c r="S160" s="483"/>
      <c r="T160" s="483"/>
      <c r="U160" s="483"/>
      <c r="V160" s="483"/>
      <c r="W160" s="483"/>
      <c r="X160" s="507"/>
      <c r="Y160" s="1824"/>
      <c r="Z160" s="1824"/>
      <c r="AA160" s="1824"/>
      <c r="AB160" s="1824"/>
      <c r="AC160" s="1824"/>
      <c r="AD160" s="1571"/>
      <c r="AE160" s="702"/>
      <c r="AF160" s="703"/>
      <c r="AG160" s="703"/>
      <c r="AH160" s="703"/>
      <c r="AI160" s="703"/>
      <c r="AJ160" s="704"/>
      <c r="AK160" s="704"/>
      <c r="AL160" s="704"/>
      <c r="AM160" s="704"/>
      <c r="AN160" s="704"/>
      <c r="AO160" s="704"/>
      <c r="AP160" s="704"/>
      <c r="AQ160" s="704"/>
      <c r="AR160" s="704"/>
      <c r="AS160" s="704"/>
      <c r="AT160" s="704"/>
      <c r="AU160" s="1829"/>
      <c r="AV160" s="1833"/>
      <c r="AW160" s="1834"/>
      <c r="AX160" s="1834"/>
      <c r="AY160" s="1834"/>
      <c r="AZ160" s="1825"/>
      <c r="BA160" s="1825"/>
      <c r="BB160" s="705"/>
      <c r="BC160" s="705"/>
      <c r="BD160" s="705"/>
    </row>
    <row r="161" spans="2:56" s="655" customFormat="1" ht="24.95" customHeight="1">
      <c r="B161" s="281"/>
      <c r="C161" s="483"/>
      <c r="D161" s="483"/>
      <c r="E161" s="483"/>
      <c r="F161" s="652"/>
      <c r="G161" s="653"/>
      <c r="H161" s="505"/>
      <c r="I161" s="654"/>
      <c r="J161" s="662"/>
      <c r="K161" s="662"/>
      <c r="L161" s="507"/>
      <c r="M161" s="505"/>
      <c r="N161" s="654"/>
      <c r="O161" s="1561"/>
      <c r="P161" s="1453"/>
      <c r="Q161" s="520"/>
      <c r="R161" s="483"/>
      <c r="S161" s="483"/>
      <c r="T161" s="483"/>
      <c r="U161" s="483"/>
      <c r="V161" s="483"/>
      <c r="W161" s="483"/>
      <c r="X161" s="507"/>
      <c r="Y161" s="1824"/>
      <c r="Z161" s="1824"/>
      <c r="AA161" s="1824"/>
      <c r="AB161" s="1824"/>
      <c r="AC161" s="1824"/>
      <c r="AD161" s="1571"/>
      <c r="AE161" s="702"/>
      <c r="AF161" s="703"/>
      <c r="AG161" s="703"/>
      <c r="AH161" s="703"/>
      <c r="AI161" s="703"/>
      <c r="AJ161" s="704"/>
      <c r="AK161" s="704"/>
      <c r="AL161" s="704"/>
      <c r="AM161" s="704"/>
      <c r="AN161" s="704"/>
      <c r="AO161" s="704"/>
      <c r="AP161" s="704"/>
      <c r="AQ161" s="704"/>
      <c r="AR161" s="704"/>
      <c r="AS161" s="704"/>
      <c r="AT161" s="704"/>
      <c r="AU161" s="1829"/>
      <c r="AV161" s="1833"/>
      <c r="AW161" s="1834"/>
      <c r="AX161" s="1834"/>
      <c r="AY161" s="1834"/>
      <c r="AZ161" s="1825"/>
      <c r="BA161" s="1825"/>
      <c r="BB161" s="705"/>
      <c r="BC161" s="705"/>
      <c r="BD161" s="705"/>
    </row>
    <row r="162" spans="2:56" s="655" customFormat="1" ht="24.95" customHeight="1">
      <c r="B162" s="281"/>
      <c r="C162" s="483"/>
      <c r="D162" s="483"/>
      <c r="E162" s="483"/>
      <c r="F162" s="652"/>
      <c r="G162" s="653"/>
      <c r="H162" s="505"/>
      <c r="I162" s="654"/>
      <c r="J162" s="662"/>
      <c r="K162" s="662"/>
      <c r="L162" s="507"/>
      <c r="M162" s="505"/>
      <c r="N162" s="654"/>
      <c r="O162" s="1561"/>
      <c r="P162" s="1453"/>
      <c r="Q162" s="520"/>
      <c r="R162" s="483"/>
      <c r="S162" s="483"/>
      <c r="T162" s="483"/>
      <c r="U162" s="483"/>
      <c r="V162" s="483"/>
      <c r="W162" s="483"/>
      <c r="X162" s="507"/>
      <c r="Y162" s="1824"/>
      <c r="Z162" s="1824"/>
      <c r="AA162" s="1824"/>
      <c r="AB162" s="1824"/>
      <c r="AC162" s="1824"/>
      <c r="AD162" s="1571"/>
      <c r="AE162" s="702"/>
      <c r="AF162" s="703"/>
      <c r="AG162" s="703"/>
      <c r="AH162" s="703"/>
      <c r="AI162" s="703"/>
      <c r="AJ162" s="704"/>
      <c r="AK162" s="704"/>
      <c r="AL162" s="704"/>
      <c r="AM162" s="704"/>
      <c r="AN162" s="704"/>
      <c r="AO162" s="704"/>
      <c r="AP162" s="704"/>
      <c r="AQ162" s="704"/>
      <c r="AR162" s="704"/>
      <c r="AS162" s="704"/>
      <c r="AT162" s="704"/>
      <c r="AU162" s="1829"/>
      <c r="AV162" s="1833"/>
      <c r="AW162" s="1834"/>
      <c r="AX162" s="1834"/>
      <c r="AY162" s="1834"/>
      <c r="AZ162" s="1825"/>
      <c r="BA162" s="1825"/>
      <c r="BB162" s="705"/>
      <c r="BC162" s="705"/>
      <c r="BD162" s="705"/>
    </row>
    <row r="163" spans="2:56" s="655" customFormat="1" ht="24.95" customHeight="1">
      <c r="B163" s="281"/>
      <c r="C163" s="483"/>
      <c r="D163" s="483"/>
      <c r="E163" s="483"/>
      <c r="F163" s="652"/>
      <c r="G163" s="653"/>
      <c r="H163" s="505"/>
      <c r="I163" s="654"/>
      <c r="J163" s="662"/>
      <c r="K163" s="662"/>
      <c r="L163" s="507"/>
      <c r="M163" s="505"/>
      <c r="N163" s="654"/>
      <c r="O163" s="1561"/>
      <c r="P163" s="1453"/>
      <c r="Q163" s="520"/>
      <c r="R163" s="483"/>
      <c r="S163" s="483"/>
      <c r="T163" s="483"/>
      <c r="U163" s="483"/>
      <c r="V163" s="483"/>
      <c r="W163" s="483"/>
      <c r="X163" s="507"/>
      <c r="Y163" s="1824"/>
      <c r="Z163" s="1824"/>
      <c r="AA163" s="1824"/>
      <c r="AB163" s="1824"/>
      <c r="AC163" s="1824"/>
      <c r="AD163" s="1571"/>
      <c r="AE163" s="702"/>
      <c r="AF163" s="703"/>
      <c r="AG163" s="703"/>
      <c r="AH163" s="703"/>
      <c r="AI163" s="703"/>
      <c r="AJ163" s="704"/>
      <c r="AK163" s="704"/>
      <c r="AL163" s="704"/>
      <c r="AM163" s="704"/>
      <c r="AN163" s="704"/>
      <c r="AO163" s="704"/>
      <c r="AP163" s="704"/>
      <c r="AQ163" s="704"/>
      <c r="AR163" s="704"/>
      <c r="AS163" s="704"/>
      <c r="AT163" s="704"/>
      <c r="AU163" s="1829"/>
      <c r="AV163" s="1833"/>
      <c r="AW163" s="1834"/>
      <c r="AX163" s="1834"/>
      <c r="AY163" s="1834"/>
      <c r="AZ163" s="1825"/>
      <c r="BA163" s="1825"/>
      <c r="BB163" s="705"/>
      <c r="BC163" s="705"/>
      <c r="BD163" s="705"/>
    </row>
    <row r="164" spans="2:56" s="655" customFormat="1" ht="24.95" customHeight="1">
      <c r="B164" s="281"/>
      <c r="C164" s="483"/>
      <c r="D164" s="483"/>
      <c r="E164" s="483"/>
      <c r="F164" s="652"/>
      <c r="G164" s="653"/>
      <c r="H164" s="505"/>
      <c r="I164" s="654"/>
      <c r="J164" s="662"/>
      <c r="K164" s="662"/>
      <c r="L164" s="507"/>
      <c r="M164" s="505"/>
      <c r="N164" s="654"/>
      <c r="O164" s="1561"/>
      <c r="P164" s="1453"/>
      <c r="Q164" s="520"/>
      <c r="R164" s="483"/>
      <c r="S164" s="483"/>
      <c r="T164" s="483"/>
      <c r="U164" s="483"/>
      <c r="V164" s="483"/>
      <c r="W164" s="483"/>
      <c r="X164" s="507"/>
      <c r="Y164" s="1824"/>
      <c r="Z164" s="1824"/>
      <c r="AA164" s="1824"/>
      <c r="AB164" s="1824"/>
      <c r="AC164" s="1824"/>
      <c r="AD164" s="1571"/>
      <c r="AE164" s="702"/>
      <c r="AF164" s="703"/>
      <c r="AG164" s="703"/>
      <c r="AH164" s="703"/>
      <c r="AI164" s="703"/>
      <c r="AJ164" s="704"/>
      <c r="AK164" s="704"/>
      <c r="AL164" s="704"/>
      <c r="AM164" s="704"/>
      <c r="AN164" s="704"/>
      <c r="AO164" s="704"/>
      <c r="AP164" s="704"/>
      <c r="AQ164" s="704"/>
      <c r="AR164" s="704"/>
      <c r="AS164" s="704"/>
      <c r="AT164" s="704"/>
      <c r="AU164" s="1829"/>
      <c r="AV164" s="1833"/>
      <c r="AW164" s="1834"/>
      <c r="AX164" s="1834"/>
      <c r="AY164" s="1834"/>
      <c r="AZ164" s="1825"/>
      <c r="BA164" s="1825"/>
      <c r="BB164" s="705"/>
      <c r="BC164" s="705"/>
      <c r="BD164" s="705"/>
    </row>
    <row r="165" spans="2:56" s="655" customFormat="1" ht="24.95" customHeight="1">
      <c r="B165" s="281"/>
      <c r="C165" s="483"/>
      <c r="D165" s="483"/>
      <c r="E165" s="483"/>
      <c r="F165" s="652"/>
      <c r="G165" s="653"/>
      <c r="H165" s="505"/>
      <c r="I165" s="654"/>
      <c r="J165" s="662"/>
      <c r="K165" s="662"/>
      <c r="L165" s="507"/>
      <c r="M165" s="505"/>
      <c r="N165" s="654"/>
      <c r="O165" s="1561"/>
      <c r="P165" s="1453"/>
      <c r="Q165" s="520"/>
      <c r="R165" s="483"/>
      <c r="S165" s="483"/>
      <c r="T165" s="483"/>
      <c r="U165" s="483"/>
      <c r="V165" s="483"/>
      <c r="W165" s="483"/>
      <c r="X165" s="507"/>
      <c r="Y165" s="1824"/>
      <c r="Z165" s="1824"/>
      <c r="AA165" s="1824"/>
      <c r="AB165" s="1824"/>
      <c r="AC165" s="1824"/>
      <c r="AD165" s="1571"/>
      <c r="AE165" s="702"/>
      <c r="AF165" s="703"/>
      <c r="AG165" s="703"/>
      <c r="AH165" s="703"/>
      <c r="AI165" s="703"/>
      <c r="AJ165" s="704"/>
      <c r="AK165" s="704"/>
      <c r="AL165" s="704"/>
      <c r="AM165" s="704"/>
      <c r="AN165" s="704"/>
      <c r="AO165" s="704"/>
      <c r="AP165" s="704"/>
      <c r="AQ165" s="704"/>
      <c r="AR165" s="704"/>
      <c r="AS165" s="704"/>
      <c r="AT165" s="704"/>
      <c r="AU165" s="1829"/>
      <c r="AV165" s="1833"/>
      <c r="AW165" s="1834"/>
      <c r="AX165" s="1834"/>
      <c r="AY165" s="1834"/>
      <c r="AZ165" s="1825"/>
      <c r="BA165" s="1825"/>
      <c r="BB165" s="705"/>
      <c r="BC165" s="705"/>
      <c r="BD165" s="705"/>
    </row>
    <row r="166" spans="2:56" s="655" customFormat="1" ht="24.95" customHeight="1">
      <c r="B166" s="281"/>
      <c r="C166" s="483"/>
      <c r="D166" s="483"/>
      <c r="E166" s="483"/>
      <c r="F166" s="652"/>
      <c r="G166" s="653"/>
      <c r="H166" s="505"/>
      <c r="I166" s="654"/>
      <c r="J166" s="662"/>
      <c r="K166" s="662"/>
      <c r="L166" s="507"/>
      <c r="M166" s="505"/>
      <c r="N166" s="654"/>
      <c r="O166" s="1561"/>
      <c r="P166" s="1453"/>
      <c r="Q166" s="520"/>
      <c r="R166" s="483"/>
      <c r="S166" s="483"/>
      <c r="T166" s="483"/>
      <c r="U166" s="483"/>
      <c r="V166" s="483"/>
      <c r="W166" s="483"/>
      <c r="X166" s="507"/>
      <c r="Y166" s="1824"/>
      <c r="Z166" s="1824"/>
      <c r="AA166" s="1824"/>
      <c r="AB166" s="1824"/>
      <c r="AC166" s="1824"/>
      <c r="AD166" s="1571"/>
      <c r="AE166" s="702"/>
      <c r="AF166" s="703"/>
      <c r="AG166" s="703"/>
      <c r="AH166" s="703"/>
      <c r="AI166" s="703"/>
      <c r="AJ166" s="704"/>
      <c r="AK166" s="704"/>
      <c r="AL166" s="704"/>
      <c r="AM166" s="704"/>
      <c r="AN166" s="704"/>
      <c r="AO166" s="704"/>
      <c r="AP166" s="704"/>
      <c r="AQ166" s="704"/>
      <c r="AR166" s="704"/>
      <c r="AS166" s="704"/>
      <c r="AT166" s="704"/>
      <c r="AU166" s="1829"/>
      <c r="AV166" s="1833"/>
      <c r="AW166" s="1834"/>
      <c r="AX166" s="1834"/>
      <c r="AY166" s="1834"/>
      <c r="AZ166" s="1825"/>
      <c r="BA166" s="1825"/>
      <c r="BB166" s="705"/>
      <c r="BC166" s="705"/>
      <c r="BD166" s="705"/>
    </row>
    <row r="167" spans="2:56" s="655" customFormat="1" ht="24.95" customHeight="1">
      <c r="B167" s="281"/>
      <c r="C167" s="483"/>
      <c r="D167" s="483"/>
      <c r="E167" s="483"/>
      <c r="F167" s="652"/>
      <c r="G167" s="653"/>
      <c r="H167" s="505"/>
      <c r="I167" s="654"/>
      <c r="J167" s="662"/>
      <c r="K167" s="662"/>
      <c r="L167" s="507"/>
      <c r="M167" s="505"/>
      <c r="N167" s="654"/>
      <c r="O167" s="1561"/>
      <c r="P167" s="1453"/>
      <c r="Q167" s="520"/>
      <c r="R167" s="483"/>
      <c r="S167" s="483"/>
      <c r="T167" s="483"/>
      <c r="U167" s="483"/>
      <c r="V167" s="483"/>
      <c r="W167" s="483"/>
      <c r="X167" s="507"/>
      <c r="Y167" s="1824"/>
      <c r="Z167" s="1824"/>
      <c r="AA167" s="1824"/>
      <c r="AB167" s="1824"/>
      <c r="AC167" s="1824"/>
      <c r="AD167" s="1571"/>
      <c r="AE167" s="702"/>
      <c r="AF167" s="703"/>
      <c r="AG167" s="703"/>
      <c r="AH167" s="703"/>
      <c r="AI167" s="703"/>
      <c r="AJ167" s="704"/>
      <c r="AK167" s="704"/>
      <c r="AL167" s="704"/>
      <c r="AM167" s="704"/>
      <c r="AN167" s="704"/>
      <c r="AO167" s="704"/>
      <c r="AP167" s="704"/>
      <c r="AQ167" s="704"/>
      <c r="AR167" s="704"/>
      <c r="AS167" s="704"/>
      <c r="AT167" s="704"/>
      <c r="AU167" s="1829"/>
      <c r="AV167" s="1833"/>
      <c r="AW167" s="1834"/>
      <c r="AX167" s="1834"/>
      <c r="AY167" s="1834"/>
      <c r="AZ167" s="1825"/>
      <c r="BA167" s="1825"/>
      <c r="BB167" s="705"/>
      <c r="BC167" s="705"/>
      <c r="BD167" s="705"/>
    </row>
    <row r="168" spans="2:56" s="655" customFormat="1" ht="24.95" customHeight="1">
      <c r="B168" s="281"/>
      <c r="C168" s="483"/>
      <c r="D168" s="483"/>
      <c r="E168" s="483"/>
      <c r="F168" s="652"/>
      <c r="G168" s="653"/>
      <c r="H168" s="505"/>
      <c r="I168" s="654"/>
      <c r="J168" s="662"/>
      <c r="K168" s="662"/>
      <c r="L168" s="507"/>
      <c r="M168" s="505"/>
      <c r="N168" s="654"/>
      <c r="O168" s="1561"/>
      <c r="P168" s="1453"/>
      <c r="Q168" s="520"/>
      <c r="R168" s="483"/>
      <c r="S168" s="483"/>
      <c r="T168" s="483"/>
      <c r="U168" s="483"/>
      <c r="V168" s="483"/>
      <c r="W168" s="483"/>
      <c r="X168" s="507"/>
      <c r="Y168" s="1824"/>
      <c r="Z168" s="1824"/>
      <c r="AA168" s="1824"/>
      <c r="AB168" s="1824"/>
      <c r="AC168" s="1824"/>
      <c r="AD168" s="1571"/>
      <c r="AE168" s="702"/>
      <c r="AF168" s="703"/>
      <c r="AG168" s="703"/>
      <c r="AH168" s="703"/>
      <c r="AI168" s="703"/>
      <c r="AJ168" s="704"/>
      <c r="AK168" s="704"/>
      <c r="AL168" s="704"/>
      <c r="AM168" s="704"/>
      <c r="AN168" s="704"/>
      <c r="AO168" s="704"/>
      <c r="AP168" s="704"/>
      <c r="AQ168" s="704"/>
      <c r="AR168" s="704"/>
      <c r="AS168" s="704"/>
      <c r="AT168" s="704"/>
      <c r="AU168" s="1829"/>
      <c r="AV168" s="1833"/>
      <c r="AW168" s="1834"/>
      <c r="AX168" s="1834"/>
      <c r="AY168" s="1834"/>
      <c r="AZ168" s="1825"/>
      <c r="BA168" s="1825"/>
      <c r="BB168" s="705"/>
      <c r="BC168" s="705"/>
      <c r="BD168" s="705"/>
    </row>
    <row r="169" spans="2:56" s="655" customFormat="1" ht="24.95" customHeight="1">
      <c r="B169" s="281"/>
      <c r="C169" s="483"/>
      <c r="D169" s="483"/>
      <c r="E169" s="483"/>
      <c r="F169" s="652"/>
      <c r="G169" s="653"/>
      <c r="H169" s="505"/>
      <c r="I169" s="654"/>
      <c r="J169" s="662"/>
      <c r="K169" s="662"/>
      <c r="L169" s="507"/>
      <c r="M169" s="505"/>
      <c r="N169" s="654"/>
      <c r="O169" s="1561"/>
      <c r="P169" s="1453"/>
      <c r="Q169" s="520"/>
      <c r="R169" s="483"/>
      <c r="S169" s="483"/>
      <c r="T169" s="483"/>
      <c r="U169" s="483"/>
      <c r="V169" s="483"/>
      <c r="W169" s="483"/>
      <c r="X169" s="507"/>
      <c r="Y169" s="1824"/>
      <c r="Z169" s="1824"/>
      <c r="AA169" s="1824"/>
      <c r="AB169" s="1824"/>
      <c r="AC169" s="1824"/>
      <c r="AD169" s="1571"/>
      <c r="AE169" s="702"/>
      <c r="AF169" s="703"/>
      <c r="AG169" s="703"/>
      <c r="AH169" s="703"/>
      <c r="AI169" s="703"/>
      <c r="AJ169" s="704"/>
      <c r="AK169" s="704"/>
      <c r="AL169" s="704"/>
      <c r="AM169" s="704"/>
      <c r="AN169" s="704"/>
      <c r="AO169" s="704"/>
      <c r="AP169" s="704"/>
      <c r="AQ169" s="704"/>
      <c r="AR169" s="704"/>
      <c r="AS169" s="704"/>
      <c r="AT169" s="704"/>
      <c r="AU169" s="1829"/>
      <c r="AV169" s="1833"/>
      <c r="AW169" s="1834"/>
      <c r="AX169" s="1834"/>
      <c r="AY169" s="1834"/>
      <c r="AZ169" s="1825"/>
      <c r="BA169" s="1825"/>
      <c r="BB169" s="705"/>
      <c r="BC169" s="705"/>
      <c r="BD169" s="705"/>
    </row>
    <row r="170" spans="2:56" s="655" customFormat="1" ht="24.95" customHeight="1">
      <c r="B170" s="281"/>
      <c r="C170" s="483"/>
      <c r="D170" s="483"/>
      <c r="E170" s="483"/>
      <c r="F170" s="652"/>
      <c r="G170" s="653"/>
      <c r="H170" s="505"/>
      <c r="I170" s="654"/>
      <c r="J170" s="662"/>
      <c r="K170" s="662"/>
      <c r="L170" s="507"/>
      <c r="M170" s="505"/>
      <c r="N170" s="654"/>
      <c r="O170" s="1561"/>
      <c r="P170" s="1453"/>
      <c r="Q170" s="520"/>
      <c r="R170" s="483"/>
      <c r="S170" s="483"/>
      <c r="T170" s="483"/>
      <c r="U170" s="483"/>
      <c r="V170" s="483"/>
      <c r="W170" s="483"/>
      <c r="X170" s="507"/>
      <c r="Y170" s="1824"/>
      <c r="Z170" s="1824"/>
      <c r="AA170" s="1824"/>
      <c r="AB170" s="1824"/>
      <c r="AC170" s="1824"/>
      <c r="AD170" s="1571"/>
      <c r="AE170" s="702"/>
      <c r="AF170" s="703"/>
      <c r="AG170" s="703"/>
      <c r="AH170" s="703"/>
      <c r="AI170" s="703"/>
      <c r="AJ170" s="704"/>
      <c r="AK170" s="704"/>
      <c r="AL170" s="704"/>
      <c r="AM170" s="704"/>
      <c r="AN170" s="704"/>
      <c r="AO170" s="704"/>
      <c r="AP170" s="704"/>
      <c r="AQ170" s="704"/>
      <c r="AR170" s="704"/>
      <c r="AS170" s="704"/>
      <c r="AT170" s="704"/>
      <c r="AU170" s="1829"/>
      <c r="AV170" s="1833"/>
      <c r="AW170" s="1834"/>
      <c r="AX170" s="1834"/>
      <c r="AY170" s="1834"/>
      <c r="AZ170" s="1825"/>
      <c r="BA170" s="1825"/>
      <c r="BB170" s="705"/>
      <c r="BC170" s="705"/>
      <c r="BD170" s="705"/>
    </row>
    <row r="171" spans="2:56" s="655" customFormat="1" ht="24.95" customHeight="1">
      <c r="B171" s="281"/>
      <c r="C171" s="483"/>
      <c r="D171" s="483"/>
      <c r="E171" s="483"/>
      <c r="F171" s="652"/>
      <c r="G171" s="653"/>
      <c r="H171" s="505"/>
      <c r="I171" s="654"/>
      <c r="J171" s="662"/>
      <c r="K171" s="662"/>
      <c r="L171" s="507"/>
      <c r="M171" s="505"/>
      <c r="N171" s="654"/>
      <c r="O171" s="1561"/>
      <c r="P171" s="1453"/>
      <c r="Q171" s="520"/>
      <c r="R171" s="483"/>
      <c r="S171" s="483"/>
      <c r="T171" s="483"/>
      <c r="U171" s="483"/>
      <c r="V171" s="483"/>
      <c r="W171" s="483"/>
      <c r="X171" s="507"/>
      <c r="Y171" s="1824"/>
      <c r="Z171" s="1824"/>
      <c r="AA171" s="1824"/>
      <c r="AB171" s="1824"/>
      <c r="AC171" s="1824"/>
      <c r="AD171" s="1571"/>
      <c r="AE171" s="702"/>
      <c r="AF171" s="703"/>
      <c r="AG171" s="703"/>
      <c r="AH171" s="703"/>
      <c r="AI171" s="703"/>
      <c r="AJ171" s="704"/>
      <c r="AK171" s="704"/>
      <c r="AL171" s="704"/>
      <c r="AM171" s="704"/>
      <c r="AN171" s="704"/>
      <c r="AO171" s="704"/>
      <c r="AP171" s="704"/>
      <c r="AQ171" s="704"/>
      <c r="AR171" s="704"/>
      <c r="AS171" s="704"/>
      <c r="AT171" s="704"/>
      <c r="AU171" s="1829"/>
      <c r="AV171" s="1833"/>
      <c r="AW171" s="1834"/>
      <c r="AX171" s="1834"/>
      <c r="AY171" s="1834"/>
      <c r="AZ171" s="1825"/>
      <c r="BA171" s="1825"/>
      <c r="BB171" s="705"/>
      <c r="BC171" s="705"/>
      <c r="BD171" s="705"/>
    </row>
    <row r="172" spans="2:56" s="655" customFormat="1" ht="24.95" customHeight="1">
      <c r="B172" s="281"/>
      <c r="C172" s="483"/>
      <c r="D172" s="483"/>
      <c r="E172" s="483"/>
      <c r="F172" s="652"/>
      <c r="G172" s="653"/>
      <c r="H172" s="505"/>
      <c r="I172" s="654"/>
      <c r="J172" s="662"/>
      <c r="K172" s="662"/>
      <c r="L172" s="507"/>
      <c r="M172" s="505"/>
      <c r="N172" s="654"/>
      <c r="O172" s="1561"/>
      <c r="P172" s="1453"/>
      <c r="Q172" s="520"/>
      <c r="R172" s="483"/>
      <c r="S172" s="483"/>
      <c r="T172" s="483"/>
      <c r="U172" s="483"/>
      <c r="V172" s="483"/>
      <c r="W172" s="483"/>
      <c r="X172" s="507"/>
      <c r="Y172" s="1824"/>
      <c r="Z172" s="1824"/>
      <c r="AA172" s="1824"/>
      <c r="AB172" s="1824"/>
      <c r="AC172" s="1824"/>
      <c r="AD172" s="1571"/>
      <c r="AE172" s="702"/>
      <c r="AF172" s="703"/>
      <c r="AG172" s="703"/>
      <c r="AH172" s="703"/>
      <c r="AI172" s="703"/>
      <c r="AJ172" s="704"/>
      <c r="AK172" s="704"/>
      <c r="AL172" s="704"/>
      <c r="AM172" s="704"/>
      <c r="AN172" s="704"/>
      <c r="AO172" s="704"/>
      <c r="AP172" s="704"/>
      <c r="AQ172" s="704"/>
      <c r="AR172" s="704"/>
      <c r="AS172" s="704"/>
      <c r="AT172" s="704"/>
      <c r="AU172" s="1829"/>
      <c r="AV172" s="1833"/>
      <c r="AW172" s="1834"/>
      <c r="AX172" s="1834"/>
      <c r="AY172" s="1834"/>
      <c r="AZ172" s="1825"/>
      <c r="BA172" s="1825"/>
      <c r="BB172" s="705"/>
      <c r="BC172" s="705"/>
      <c r="BD172" s="705"/>
    </row>
    <row r="173" spans="2:56" s="655" customFormat="1" ht="24.95" customHeight="1">
      <c r="B173" s="281"/>
      <c r="C173" s="483"/>
      <c r="D173" s="483"/>
      <c r="E173" s="483"/>
      <c r="F173" s="652"/>
      <c r="G173" s="653"/>
      <c r="H173" s="505"/>
      <c r="I173" s="654"/>
      <c r="J173" s="662"/>
      <c r="K173" s="662"/>
      <c r="L173" s="507"/>
      <c r="M173" s="505"/>
      <c r="N173" s="654"/>
      <c r="O173" s="1561"/>
      <c r="P173" s="1453"/>
      <c r="Q173" s="520"/>
      <c r="R173" s="483"/>
      <c r="S173" s="483"/>
      <c r="T173" s="483"/>
      <c r="U173" s="483"/>
      <c r="V173" s="483"/>
      <c r="W173" s="483"/>
      <c r="X173" s="507"/>
      <c r="Y173" s="1824"/>
      <c r="Z173" s="1824"/>
      <c r="AA173" s="1824"/>
      <c r="AB173" s="1824"/>
      <c r="AC173" s="1824"/>
      <c r="AD173" s="1571"/>
      <c r="AE173" s="702"/>
      <c r="AF173" s="703"/>
      <c r="AG173" s="703"/>
      <c r="AH173" s="703"/>
      <c r="AI173" s="703"/>
      <c r="AJ173" s="704"/>
      <c r="AK173" s="704"/>
      <c r="AL173" s="704"/>
      <c r="AM173" s="704"/>
      <c r="AN173" s="704"/>
      <c r="AO173" s="704"/>
      <c r="AP173" s="704"/>
      <c r="AQ173" s="704"/>
      <c r="AR173" s="704"/>
      <c r="AS173" s="704"/>
      <c r="AT173" s="704"/>
      <c r="AU173" s="1829"/>
      <c r="AV173" s="1833"/>
      <c r="AW173" s="1834"/>
      <c r="AX173" s="1834"/>
      <c r="AY173" s="1834"/>
      <c r="AZ173" s="1825"/>
      <c r="BA173" s="1825"/>
      <c r="BB173" s="705"/>
      <c r="BC173" s="705"/>
      <c r="BD173" s="705"/>
    </row>
    <row r="174" spans="2:56" s="655" customFormat="1" ht="24.95" customHeight="1">
      <c r="B174" s="281"/>
      <c r="C174" s="483"/>
      <c r="D174" s="483"/>
      <c r="E174" s="483"/>
      <c r="F174" s="652"/>
      <c r="G174" s="653"/>
      <c r="H174" s="505"/>
      <c r="I174" s="654"/>
      <c r="J174" s="662"/>
      <c r="K174" s="662"/>
      <c r="L174" s="507"/>
      <c r="M174" s="505"/>
      <c r="N174" s="654"/>
      <c r="O174" s="1561"/>
      <c r="P174" s="1453"/>
      <c r="Q174" s="520"/>
      <c r="R174" s="483"/>
      <c r="S174" s="483"/>
      <c r="T174" s="483"/>
      <c r="U174" s="483"/>
      <c r="V174" s="483"/>
      <c r="W174" s="483"/>
      <c r="X174" s="507"/>
      <c r="Y174" s="1824"/>
      <c r="Z174" s="1824"/>
      <c r="AA174" s="1824"/>
      <c r="AB174" s="1824"/>
      <c r="AC174" s="1824"/>
      <c r="AD174" s="1571"/>
      <c r="AE174" s="702"/>
      <c r="AF174" s="703"/>
      <c r="AG174" s="703"/>
      <c r="AH174" s="703"/>
      <c r="AI174" s="703"/>
      <c r="AJ174" s="704"/>
      <c r="AK174" s="704"/>
      <c r="AL174" s="704"/>
      <c r="AM174" s="704"/>
      <c r="AN174" s="704"/>
      <c r="AO174" s="704"/>
      <c r="AP174" s="704"/>
      <c r="AQ174" s="704"/>
      <c r="AR174" s="704"/>
      <c r="AS174" s="704"/>
      <c r="AT174" s="704"/>
      <c r="AU174" s="1829"/>
      <c r="AV174" s="1833"/>
      <c r="AW174" s="1834"/>
      <c r="AX174" s="1834"/>
      <c r="AY174" s="1834"/>
      <c r="AZ174" s="1825"/>
      <c r="BA174" s="1825"/>
      <c r="BB174" s="705"/>
      <c r="BC174" s="705"/>
      <c r="BD174" s="705"/>
    </row>
    <row r="175" spans="2:56" s="655" customFormat="1" ht="24.95" customHeight="1">
      <c r="B175" s="281"/>
      <c r="C175" s="483"/>
      <c r="D175" s="483"/>
      <c r="E175" s="483"/>
      <c r="F175" s="652"/>
      <c r="G175" s="653"/>
      <c r="H175" s="505"/>
      <c r="I175" s="654"/>
      <c r="J175" s="662"/>
      <c r="K175" s="662"/>
      <c r="L175" s="507"/>
      <c r="M175" s="505"/>
      <c r="N175" s="654"/>
      <c r="O175" s="1561"/>
      <c r="P175" s="1453"/>
      <c r="Q175" s="520"/>
      <c r="R175" s="483"/>
      <c r="S175" s="483"/>
      <c r="T175" s="483"/>
      <c r="U175" s="483"/>
      <c r="V175" s="483"/>
      <c r="W175" s="483"/>
      <c r="X175" s="507"/>
      <c r="Y175" s="1824"/>
      <c r="Z175" s="1824"/>
      <c r="AA175" s="1824"/>
      <c r="AB175" s="1824"/>
      <c r="AC175" s="1824"/>
      <c r="AD175" s="1571"/>
      <c r="AE175" s="702"/>
      <c r="AF175" s="703"/>
      <c r="AG175" s="703"/>
      <c r="AH175" s="703"/>
      <c r="AI175" s="703"/>
      <c r="AJ175" s="704"/>
      <c r="AK175" s="704"/>
      <c r="AL175" s="704"/>
      <c r="AM175" s="704"/>
      <c r="AN175" s="704"/>
      <c r="AO175" s="704"/>
      <c r="AP175" s="704"/>
      <c r="AQ175" s="704"/>
      <c r="AR175" s="704"/>
      <c r="AS175" s="704"/>
      <c r="AT175" s="704"/>
      <c r="AU175" s="1829"/>
      <c r="AV175" s="1833"/>
      <c r="AW175" s="1834"/>
      <c r="AX175" s="1834"/>
      <c r="AY175" s="1834"/>
      <c r="AZ175" s="1825"/>
      <c r="BA175" s="1825"/>
      <c r="BB175" s="705"/>
      <c r="BC175" s="705"/>
      <c r="BD175" s="705"/>
    </row>
    <row r="176" spans="2:56" s="655" customFormat="1" ht="24.95" customHeight="1">
      <c r="B176" s="281"/>
      <c r="C176" s="483"/>
      <c r="D176" s="483"/>
      <c r="E176" s="483"/>
      <c r="F176" s="652"/>
      <c r="G176" s="653"/>
      <c r="H176" s="505"/>
      <c r="I176" s="654"/>
      <c r="J176" s="662"/>
      <c r="K176" s="662"/>
      <c r="L176" s="507"/>
      <c r="M176" s="505"/>
      <c r="N176" s="654"/>
      <c r="O176" s="1561"/>
      <c r="P176" s="1453"/>
      <c r="Q176" s="520"/>
      <c r="R176" s="483"/>
      <c r="S176" s="483"/>
      <c r="T176" s="483"/>
      <c r="U176" s="483"/>
      <c r="V176" s="483"/>
      <c r="W176" s="483"/>
      <c r="X176" s="507"/>
      <c r="Y176" s="1824"/>
      <c r="Z176" s="1824"/>
      <c r="AA176" s="1824"/>
      <c r="AB176" s="1824"/>
      <c r="AC176" s="1824"/>
      <c r="AD176" s="1571"/>
      <c r="AE176" s="702"/>
      <c r="AF176" s="703"/>
      <c r="AG176" s="703"/>
      <c r="AH176" s="703"/>
      <c r="AI176" s="703"/>
      <c r="AJ176" s="704"/>
      <c r="AK176" s="704"/>
      <c r="AL176" s="704"/>
      <c r="AM176" s="704"/>
      <c r="AN176" s="704"/>
      <c r="AO176" s="704"/>
      <c r="AP176" s="704"/>
      <c r="AQ176" s="704"/>
      <c r="AR176" s="704"/>
      <c r="AS176" s="704"/>
      <c r="AT176" s="704"/>
      <c r="AU176" s="1829"/>
      <c r="AV176" s="1833"/>
      <c r="AW176" s="1834"/>
      <c r="AX176" s="1834"/>
      <c r="AY176" s="1834"/>
      <c r="AZ176" s="1825"/>
      <c r="BA176" s="1825"/>
      <c r="BB176" s="705"/>
      <c r="BC176" s="705"/>
      <c r="BD176" s="705"/>
    </row>
    <row r="177" spans="2:56" s="655" customFormat="1" ht="24.95" customHeight="1">
      <c r="B177" s="281"/>
      <c r="C177" s="483"/>
      <c r="D177" s="483"/>
      <c r="E177" s="483"/>
      <c r="F177" s="652"/>
      <c r="G177" s="653"/>
      <c r="H177" s="505"/>
      <c r="I177" s="654"/>
      <c r="J177" s="662"/>
      <c r="K177" s="662"/>
      <c r="L177" s="507"/>
      <c r="M177" s="505"/>
      <c r="N177" s="654"/>
      <c r="O177" s="1561"/>
      <c r="P177" s="1453"/>
      <c r="Q177" s="520"/>
      <c r="R177" s="483"/>
      <c r="S177" s="483"/>
      <c r="T177" s="483"/>
      <c r="U177" s="483"/>
      <c r="V177" s="483"/>
      <c r="W177" s="483"/>
      <c r="X177" s="507"/>
      <c r="Y177" s="1824"/>
      <c r="Z177" s="1824"/>
      <c r="AA177" s="1824"/>
      <c r="AB177" s="1824"/>
      <c r="AC177" s="1824"/>
      <c r="AD177" s="1571"/>
      <c r="AE177" s="702"/>
      <c r="AF177" s="703"/>
      <c r="AG177" s="703"/>
      <c r="AH177" s="703"/>
      <c r="AI177" s="703"/>
      <c r="AJ177" s="704"/>
      <c r="AK177" s="704"/>
      <c r="AL177" s="704"/>
      <c r="AM177" s="704"/>
      <c r="AN177" s="704"/>
      <c r="AO177" s="704"/>
      <c r="AP177" s="704"/>
      <c r="AQ177" s="704"/>
      <c r="AR177" s="704"/>
      <c r="AS177" s="704"/>
      <c r="AT177" s="704"/>
      <c r="AU177" s="1829"/>
      <c r="AV177" s="1833"/>
      <c r="AW177" s="1834"/>
      <c r="AX177" s="1834"/>
      <c r="AY177" s="1834"/>
      <c r="AZ177" s="1825"/>
      <c r="BA177" s="1825"/>
      <c r="BB177" s="705"/>
      <c r="BC177" s="705"/>
      <c r="BD177" s="705"/>
    </row>
    <row r="178" spans="2:56" s="655" customFormat="1" ht="24.95" customHeight="1">
      <c r="B178" s="281"/>
      <c r="C178" s="483"/>
      <c r="D178" s="483"/>
      <c r="E178" s="483"/>
      <c r="F178" s="652"/>
      <c r="G178" s="653"/>
      <c r="H178" s="505"/>
      <c r="I178" s="654"/>
      <c r="J178" s="662"/>
      <c r="K178" s="662"/>
      <c r="L178" s="507"/>
      <c r="M178" s="505"/>
      <c r="N178" s="654"/>
      <c r="O178" s="1561"/>
      <c r="P178" s="1453"/>
      <c r="Q178" s="520"/>
      <c r="R178" s="483"/>
      <c r="S178" s="483"/>
      <c r="T178" s="483"/>
      <c r="U178" s="483"/>
      <c r="V178" s="483"/>
      <c r="W178" s="483"/>
      <c r="X178" s="507"/>
      <c r="Y178" s="1824"/>
      <c r="Z178" s="1824"/>
      <c r="AA178" s="1824"/>
      <c r="AB178" s="1824"/>
      <c r="AC178" s="1824"/>
      <c r="AD178" s="1571"/>
      <c r="AE178" s="702"/>
      <c r="AF178" s="703"/>
      <c r="AG178" s="703"/>
      <c r="AH178" s="703"/>
      <c r="AI178" s="703"/>
      <c r="AJ178" s="704"/>
      <c r="AK178" s="704"/>
      <c r="AL178" s="704"/>
      <c r="AM178" s="704"/>
      <c r="AN178" s="704"/>
      <c r="AO178" s="704"/>
      <c r="AP178" s="704"/>
      <c r="AQ178" s="704"/>
      <c r="AR178" s="704"/>
      <c r="AS178" s="704"/>
      <c r="AT178" s="704"/>
      <c r="AU178" s="1829"/>
      <c r="AV178" s="1833"/>
      <c r="AW178" s="1834"/>
      <c r="AX178" s="1834"/>
      <c r="AY178" s="1834"/>
      <c r="AZ178" s="1825"/>
      <c r="BA178" s="1825"/>
      <c r="BB178" s="705"/>
      <c r="BC178" s="705"/>
      <c r="BD178" s="705"/>
    </row>
    <row r="179" spans="2:56" s="655" customFormat="1" ht="24.95" customHeight="1">
      <c r="B179" s="281"/>
      <c r="C179" s="483"/>
      <c r="D179" s="483"/>
      <c r="E179" s="483"/>
      <c r="F179" s="652"/>
      <c r="G179" s="653"/>
      <c r="H179" s="505"/>
      <c r="I179" s="654"/>
      <c r="J179" s="662"/>
      <c r="K179" s="662"/>
      <c r="L179" s="507"/>
      <c r="M179" s="505"/>
      <c r="N179" s="654"/>
      <c r="O179" s="1561"/>
      <c r="P179" s="1453"/>
      <c r="Q179" s="520"/>
      <c r="R179" s="483"/>
      <c r="S179" s="483"/>
      <c r="T179" s="483"/>
      <c r="U179" s="483"/>
      <c r="V179" s="483"/>
      <c r="W179" s="483"/>
      <c r="X179" s="507"/>
      <c r="Y179" s="1824"/>
      <c r="Z179" s="1824"/>
      <c r="AA179" s="1824"/>
      <c r="AB179" s="1824"/>
      <c r="AC179" s="1824"/>
      <c r="AD179" s="1571"/>
      <c r="AE179" s="702"/>
      <c r="AF179" s="703"/>
      <c r="AG179" s="703"/>
      <c r="AH179" s="703"/>
      <c r="AI179" s="703"/>
      <c r="AJ179" s="704"/>
      <c r="AK179" s="704"/>
      <c r="AL179" s="704"/>
      <c r="AM179" s="704"/>
      <c r="AN179" s="704"/>
      <c r="AO179" s="704"/>
      <c r="AP179" s="704"/>
      <c r="AQ179" s="704"/>
      <c r="AR179" s="704"/>
      <c r="AS179" s="704"/>
      <c r="AT179" s="704"/>
      <c r="AU179" s="1829"/>
      <c r="AV179" s="1833"/>
      <c r="AW179" s="1834"/>
      <c r="AX179" s="1834"/>
      <c r="AY179" s="1834"/>
      <c r="AZ179" s="1825"/>
      <c r="BA179" s="1825"/>
      <c r="BB179" s="705"/>
      <c r="BC179" s="705"/>
      <c r="BD179" s="705"/>
    </row>
    <row r="180" spans="2:56" s="655" customFormat="1" ht="24.95" customHeight="1">
      <c r="B180" s="281"/>
      <c r="C180" s="483"/>
      <c r="D180" s="483"/>
      <c r="E180" s="483"/>
      <c r="F180" s="652"/>
      <c r="G180" s="653"/>
      <c r="H180" s="505"/>
      <c r="I180" s="654"/>
      <c r="J180" s="662"/>
      <c r="K180" s="662"/>
      <c r="L180" s="507"/>
      <c r="M180" s="505"/>
      <c r="N180" s="654"/>
      <c r="O180" s="1561"/>
      <c r="P180" s="1453"/>
      <c r="Q180" s="520"/>
      <c r="R180" s="483"/>
      <c r="S180" s="483"/>
      <c r="T180" s="483"/>
      <c r="U180" s="483"/>
      <c r="V180" s="483"/>
      <c r="W180" s="483"/>
      <c r="X180" s="507"/>
      <c r="Y180" s="1824"/>
      <c r="Z180" s="1824"/>
      <c r="AA180" s="1824"/>
      <c r="AB180" s="1824"/>
      <c r="AC180" s="1824"/>
      <c r="AD180" s="1571"/>
      <c r="AE180" s="702"/>
      <c r="AF180" s="703"/>
      <c r="AG180" s="703"/>
      <c r="AH180" s="703"/>
      <c r="AI180" s="703"/>
      <c r="AJ180" s="704"/>
      <c r="AK180" s="704"/>
      <c r="AL180" s="704"/>
      <c r="AM180" s="704"/>
      <c r="AN180" s="704"/>
      <c r="AO180" s="704"/>
      <c r="AP180" s="704"/>
      <c r="AQ180" s="704"/>
      <c r="AR180" s="704"/>
      <c r="AS180" s="704"/>
      <c r="AT180" s="704"/>
      <c r="AU180" s="1829"/>
      <c r="AV180" s="1833"/>
      <c r="AW180" s="1834"/>
      <c r="AX180" s="1834"/>
      <c r="AY180" s="1834"/>
      <c r="AZ180" s="1825"/>
      <c r="BA180" s="1825"/>
      <c r="BB180" s="705"/>
      <c r="BC180" s="705"/>
      <c r="BD180" s="705"/>
    </row>
    <row r="181" spans="2:56" s="655" customFormat="1" ht="24.95" customHeight="1">
      <c r="B181" s="281"/>
      <c r="C181" s="483"/>
      <c r="D181" s="483"/>
      <c r="E181" s="483"/>
      <c r="F181" s="652"/>
      <c r="G181" s="653"/>
      <c r="H181" s="505"/>
      <c r="I181" s="654"/>
      <c r="J181" s="662"/>
      <c r="K181" s="662"/>
      <c r="L181" s="507"/>
      <c r="M181" s="505"/>
      <c r="N181" s="654"/>
      <c r="O181" s="1561"/>
      <c r="P181" s="1453"/>
      <c r="Q181" s="520"/>
      <c r="R181" s="483"/>
      <c r="S181" s="483"/>
      <c r="T181" s="483"/>
      <c r="U181" s="483"/>
      <c r="V181" s="483"/>
      <c r="W181" s="483"/>
      <c r="X181" s="507"/>
      <c r="Y181" s="1824"/>
      <c r="Z181" s="1824"/>
      <c r="AA181" s="1824"/>
      <c r="AB181" s="1824"/>
      <c r="AC181" s="1824"/>
      <c r="AD181" s="1571"/>
      <c r="AE181" s="702"/>
      <c r="AF181" s="703"/>
      <c r="AG181" s="703"/>
      <c r="AH181" s="703"/>
      <c r="AI181" s="703"/>
      <c r="AJ181" s="704"/>
      <c r="AK181" s="704"/>
      <c r="AL181" s="704"/>
      <c r="AM181" s="704"/>
      <c r="AN181" s="704"/>
      <c r="AO181" s="704"/>
      <c r="AP181" s="704"/>
      <c r="AQ181" s="704"/>
      <c r="AR181" s="704"/>
      <c r="AS181" s="704"/>
      <c r="AT181" s="704"/>
      <c r="AU181" s="1829"/>
      <c r="AV181" s="1833"/>
      <c r="AW181" s="1834"/>
      <c r="AX181" s="1834"/>
      <c r="AY181" s="1834"/>
      <c r="AZ181" s="1825"/>
      <c r="BA181" s="1825"/>
      <c r="BB181" s="705"/>
      <c r="BC181" s="705"/>
      <c r="BD181" s="705"/>
    </row>
    <row r="182" spans="2:56" s="655" customFormat="1" ht="24.95" customHeight="1">
      <c r="B182" s="281"/>
      <c r="C182" s="483"/>
      <c r="D182" s="483"/>
      <c r="E182" s="483"/>
      <c r="F182" s="652"/>
      <c r="G182" s="653"/>
      <c r="H182" s="505"/>
      <c r="I182" s="654"/>
      <c r="J182" s="662"/>
      <c r="K182" s="662"/>
      <c r="L182" s="507"/>
      <c r="M182" s="505"/>
      <c r="N182" s="654"/>
      <c r="O182" s="1561"/>
      <c r="P182" s="1453"/>
      <c r="Q182" s="520"/>
      <c r="R182" s="483"/>
      <c r="S182" s="483"/>
      <c r="T182" s="483"/>
      <c r="U182" s="483"/>
      <c r="V182" s="483"/>
      <c r="W182" s="483"/>
      <c r="X182" s="507"/>
      <c r="Y182" s="1824"/>
      <c r="Z182" s="1824"/>
      <c r="AA182" s="1824"/>
      <c r="AB182" s="1824"/>
      <c r="AC182" s="1824"/>
      <c r="AD182" s="1571"/>
      <c r="AE182" s="702"/>
      <c r="AF182" s="703"/>
      <c r="AG182" s="703"/>
      <c r="AH182" s="703"/>
      <c r="AI182" s="703"/>
      <c r="AJ182" s="704"/>
      <c r="AK182" s="704"/>
      <c r="AL182" s="704"/>
      <c r="AM182" s="704"/>
      <c r="AN182" s="704"/>
      <c r="AO182" s="704"/>
      <c r="AP182" s="704"/>
      <c r="AQ182" s="704"/>
      <c r="AR182" s="704"/>
      <c r="AS182" s="704"/>
      <c r="AT182" s="704"/>
      <c r="AU182" s="1829"/>
      <c r="AV182" s="1833"/>
      <c r="AW182" s="1834"/>
      <c r="AX182" s="1834"/>
      <c r="AY182" s="1834"/>
      <c r="AZ182" s="1825"/>
      <c r="BA182" s="1825"/>
      <c r="BB182" s="705"/>
      <c r="BC182" s="705"/>
      <c r="BD182" s="705"/>
    </row>
    <row r="183" spans="2:56" s="655" customFormat="1" ht="24.95" customHeight="1">
      <c r="B183" s="281"/>
      <c r="C183" s="483"/>
      <c r="D183" s="483"/>
      <c r="E183" s="483"/>
      <c r="F183" s="652"/>
      <c r="G183" s="653"/>
      <c r="H183" s="505"/>
      <c r="I183" s="654"/>
      <c r="J183" s="662"/>
      <c r="K183" s="662"/>
      <c r="L183" s="507"/>
      <c r="M183" s="505"/>
      <c r="N183" s="654"/>
      <c r="O183" s="1561"/>
      <c r="P183" s="1453"/>
      <c r="Q183" s="520"/>
      <c r="R183" s="483"/>
      <c r="S183" s="483"/>
      <c r="T183" s="483"/>
      <c r="U183" s="483"/>
      <c r="V183" s="483"/>
      <c r="W183" s="483"/>
      <c r="X183" s="507"/>
      <c r="Y183" s="1824"/>
      <c r="Z183" s="1824"/>
      <c r="AA183" s="1824"/>
      <c r="AB183" s="1824"/>
      <c r="AC183" s="1824"/>
      <c r="AD183" s="1571"/>
      <c r="AE183" s="702"/>
      <c r="AF183" s="703"/>
      <c r="AG183" s="703"/>
      <c r="AH183" s="703"/>
      <c r="AI183" s="703"/>
      <c r="AJ183" s="704"/>
      <c r="AK183" s="704"/>
      <c r="AL183" s="704"/>
      <c r="AM183" s="704"/>
      <c r="AN183" s="704"/>
      <c r="AO183" s="704"/>
      <c r="AP183" s="704"/>
      <c r="AQ183" s="704"/>
      <c r="AR183" s="704"/>
      <c r="AS183" s="704"/>
      <c r="AT183" s="704"/>
      <c r="AU183" s="1829"/>
      <c r="AV183" s="1833"/>
      <c r="AW183" s="1834"/>
      <c r="AX183" s="1834"/>
      <c r="AY183" s="1834"/>
      <c r="AZ183" s="1825"/>
      <c r="BA183" s="1825"/>
      <c r="BB183" s="705"/>
      <c r="BC183" s="705"/>
      <c r="BD183" s="705"/>
    </row>
    <row r="184" spans="2:56" s="655" customFormat="1" ht="24.95" customHeight="1">
      <c r="B184" s="281"/>
      <c r="C184" s="483"/>
      <c r="D184" s="483"/>
      <c r="E184" s="483"/>
      <c r="F184" s="652"/>
      <c r="G184" s="653"/>
      <c r="H184" s="505"/>
      <c r="I184" s="654"/>
      <c r="J184" s="662"/>
      <c r="K184" s="662"/>
      <c r="L184" s="507"/>
      <c r="M184" s="505"/>
      <c r="N184" s="654"/>
      <c r="O184" s="1561"/>
      <c r="P184" s="1453"/>
      <c r="Q184" s="520"/>
      <c r="R184" s="483"/>
      <c r="S184" s="483"/>
      <c r="T184" s="483"/>
      <c r="U184" s="483"/>
      <c r="V184" s="483"/>
      <c r="W184" s="483"/>
      <c r="X184" s="507"/>
      <c r="Y184" s="1824"/>
      <c r="Z184" s="1824"/>
      <c r="AA184" s="1824"/>
      <c r="AB184" s="1824"/>
      <c r="AC184" s="1824"/>
      <c r="AD184" s="1571"/>
      <c r="AE184" s="702"/>
      <c r="AF184" s="703"/>
      <c r="AG184" s="703"/>
      <c r="AH184" s="703"/>
      <c r="AI184" s="703"/>
      <c r="AJ184" s="704"/>
      <c r="AK184" s="704"/>
      <c r="AL184" s="704"/>
      <c r="AM184" s="704"/>
      <c r="AN184" s="704"/>
      <c r="AO184" s="704"/>
      <c r="AP184" s="704"/>
      <c r="AQ184" s="704"/>
      <c r="AR184" s="704"/>
      <c r="AS184" s="704"/>
      <c r="AT184" s="704"/>
      <c r="AU184" s="1829"/>
      <c r="AV184" s="1833"/>
      <c r="AW184" s="1834"/>
      <c r="AX184" s="1834"/>
      <c r="AY184" s="1834"/>
      <c r="AZ184" s="1825"/>
      <c r="BA184" s="1825"/>
      <c r="BB184" s="705"/>
      <c r="BC184" s="705"/>
      <c r="BD184" s="705"/>
    </row>
    <row r="185" spans="2:56" s="655" customFormat="1" ht="24.95" customHeight="1">
      <c r="B185" s="281"/>
      <c r="C185" s="483"/>
      <c r="D185" s="483"/>
      <c r="E185" s="483"/>
      <c r="F185" s="652"/>
      <c r="G185" s="653"/>
      <c r="H185" s="505"/>
      <c r="I185" s="654"/>
      <c r="J185" s="662"/>
      <c r="K185" s="662"/>
      <c r="L185" s="507"/>
      <c r="M185" s="505"/>
      <c r="N185" s="654"/>
      <c r="O185" s="1561"/>
      <c r="P185" s="1453"/>
      <c r="Q185" s="520"/>
      <c r="R185" s="483"/>
      <c r="S185" s="483"/>
      <c r="T185" s="483"/>
      <c r="U185" s="483"/>
      <c r="V185" s="483"/>
      <c r="W185" s="483"/>
      <c r="X185" s="507"/>
      <c r="Y185" s="1824"/>
      <c r="Z185" s="1824"/>
      <c r="AA185" s="1824"/>
      <c r="AB185" s="1824"/>
      <c r="AC185" s="1824"/>
      <c r="AD185" s="1571"/>
      <c r="AE185" s="702"/>
      <c r="AF185" s="703"/>
      <c r="AG185" s="703"/>
      <c r="AH185" s="703"/>
      <c r="AI185" s="703"/>
      <c r="AJ185" s="704"/>
      <c r="AK185" s="704"/>
      <c r="AL185" s="704"/>
      <c r="AM185" s="704"/>
      <c r="AN185" s="704"/>
      <c r="AO185" s="704"/>
      <c r="AP185" s="704"/>
      <c r="AQ185" s="704"/>
      <c r="AR185" s="704"/>
      <c r="AS185" s="704"/>
      <c r="AT185" s="704"/>
      <c r="AU185" s="1829"/>
      <c r="AV185" s="1833"/>
      <c r="AW185" s="1834"/>
      <c r="AX185" s="1834"/>
      <c r="AY185" s="1834"/>
      <c r="AZ185" s="1825"/>
      <c r="BA185" s="1825"/>
      <c r="BB185" s="705"/>
      <c r="BC185" s="705"/>
      <c r="BD185" s="705"/>
    </row>
    <row r="186" spans="2:56" s="655" customFormat="1" ht="24.95" customHeight="1">
      <c r="B186" s="281"/>
      <c r="C186" s="483"/>
      <c r="D186" s="483"/>
      <c r="E186" s="483"/>
      <c r="F186" s="652"/>
      <c r="G186" s="653"/>
      <c r="H186" s="505"/>
      <c r="I186" s="654"/>
      <c r="J186" s="662"/>
      <c r="K186" s="662"/>
      <c r="L186" s="507"/>
      <c r="M186" s="505"/>
      <c r="N186" s="654"/>
      <c r="O186" s="1561"/>
      <c r="P186" s="1453"/>
      <c r="Q186" s="520"/>
      <c r="R186" s="483"/>
      <c r="S186" s="483"/>
      <c r="T186" s="483"/>
      <c r="U186" s="483"/>
      <c r="V186" s="483"/>
      <c r="W186" s="483"/>
      <c r="X186" s="507"/>
      <c r="Y186" s="1824"/>
      <c r="Z186" s="1824"/>
      <c r="AA186" s="1824"/>
      <c r="AB186" s="1824"/>
      <c r="AC186" s="1824"/>
      <c r="AD186" s="1571"/>
      <c r="AE186" s="702"/>
      <c r="AF186" s="703"/>
      <c r="AG186" s="703"/>
      <c r="AH186" s="703"/>
      <c r="AI186" s="703"/>
      <c r="AJ186" s="704"/>
      <c r="AK186" s="704"/>
      <c r="AL186" s="704"/>
      <c r="AM186" s="704"/>
      <c r="AN186" s="704"/>
      <c r="AO186" s="704"/>
      <c r="AP186" s="704"/>
      <c r="AQ186" s="704"/>
      <c r="AR186" s="704"/>
      <c r="AS186" s="704"/>
      <c r="AT186" s="704"/>
      <c r="AU186" s="1829"/>
      <c r="AV186" s="1833"/>
      <c r="AW186" s="1834"/>
      <c r="AX186" s="1834"/>
      <c r="AY186" s="1834"/>
      <c r="AZ186" s="1825"/>
      <c r="BA186" s="1825"/>
      <c r="BB186" s="705"/>
      <c r="BC186" s="705"/>
      <c r="BD186" s="705"/>
    </row>
    <row r="187" spans="2:56" s="655" customFormat="1" ht="24.95" customHeight="1">
      <c r="B187" s="281"/>
      <c r="C187" s="483"/>
      <c r="D187" s="483"/>
      <c r="E187" s="483"/>
      <c r="F187" s="652"/>
      <c r="G187" s="653"/>
      <c r="H187" s="505"/>
      <c r="I187" s="654"/>
      <c r="J187" s="662"/>
      <c r="K187" s="662"/>
      <c r="L187" s="507"/>
      <c r="M187" s="505"/>
      <c r="N187" s="654"/>
      <c r="O187" s="1561"/>
      <c r="P187" s="1453"/>
      <c r="Q187" s="520"/>
      <c r="R187" s="483"/>
      <c r="S187" s="483"/>
      <c r="T187" s="483"/>
      <c r="U187" s="483"/>
      <c r="V187" s="483"/>
      <c r="W187" s="483"/>
      <c r="X187" s="507"/>
      <c r="Y187" s="1824"/>
      <c r="Z187" s="1824"/>
      <c r="AA187" s="1824"/>
      <c r="AB187" s="1824"/>
      <c r="AC187" s="1824"/>
      <c r="AD187" s="1571"/>
      <c r="AE187" s="702"/>
      <c r="AF187" s="703"/>
      <c r="AG187" s="703"/>
      <c r="AH187" s="703"/>
      <c r="AI187" s="703"/>
      <c r="AJ187" s="704"/>
      <c r="AK187" s="704"/>
      <c r="AL187" s="704"/>
      <c r="AM187" s="704"/>
      <c r="AN187" s="704"/>
      <c r="AO187" s="704"/>
      <c r="AP187" s="704"/>
      <c r="AQ187" s="704"/>
      <c r="AR187" s="704"/>
      <c r="AS187" s="704"/>
      <c r="AT187" s="704"/>
      <c r="AU187" s="1829"/>
      <c r="AV187" s="1833"/>
      <c r="AW187" s="1834"/>
      <c r="AX187" s="1834"/>
      <c r="AY187" s="1834"/>
      <c r="AZ187" s="1825"/>
      <c r="BA187" s="1825"/>
      <c r="BB187" s="705"/>
      <c r="BC187" s="705"/>
      <c r="BD187" s="705"/>
    </row>
    <row r="188" spans="2:56" s="655" customFormat="1" ht="24.95" customHeight="1">
      <c r="B188" s="281"/>
      <c r="C188" s="483"/>
      <c r="D188" s="483"/>
      <c r="E188" s="483"/>
      <c r="F188" s="652"/>
      <c r="G188" s="653"/>
      <c r="H188" s="505"/>
      <c r="I188" s="654"/>
      <c r="J188" s="662"/>
      <c r="K188" s="662"/>
      <c r="L188" s="507"/>
      <c r="M188" s="505"/>
      <c r="N188" s="654"/>
      <c r="O188" s="1561"/>
      <c r="P188" s="1453"/>
      <c r="Q188" s="520"/>
      <c r="R188" s="483"/>
      <c r="S188" s="483"/>
      <c r="T188" s="483"/>
      <c r="U188" s="483"/>
      <c r="V188" s="483"/>
      <c r="W188" s="483"/>
      <c r="X188" s="507"/>
      <c r="Y188" s="1824"/>
      <c r="Z188" s="1824"/>
      <c r="AA188" s="1824"/>
      <c r="AB188" s="1824"/>
      <c r="AC188" s="1824"/>
      <c r="AD188" s="1571"/>
      <c r="AE188" s="702"/>
      <c r="AF188" s="703"/>
      <c r="AG188" s="703"/>
      <c r="AH188" s="703"/>
      <c r="AI188" s="703"/>
      <c r="AJ188" s="704"/>
      <c r="AK188" s="704"/>
      <c r="AL188" s="704"/>
      <c r="AM188" s="704"/>
      <c r="AN188" s="704"/>
      <c r="AO188" s="704"/>
      <c r="AP188" s="704"/>
      <c r="AQ188" s="704"/>
      <c r="AR188" s="704"/>
      <c r="AS188" s="704"/>
      <c r="AT188" s="704"/>
      <c r="AU188" s="1829"/>
      <c r="AV188" s="1833"/>
      <c r="AW188" s="1834"/>
      <c r="AX188" s="1834"/>
      <c r="AY188" s="1834"/>
      <c r="AZ188" s="1825"/>
      <c r="BA188" s="1825"/>
      <c r="BB188" s="705"/>
      <c r="BC188" s="705"/>
      <c r="BD188" s="705"/>
    </row>
    <row r="189" spans="2:56" s="655" customFormat="1" ht="24.95" customHeight="1">
      <c r="B189" s="281"/>
      <c r="C189" s="483"/>
      <c r="D189" s="483"/>
      <c r="E189" s="483"/>
      <c r="F189" s="652"/>
      <c r="G189" s="653"/>
      <c r="H189" s="505"/>
      <c r="I189" s="654"/>
      <c r="J189" s="662"/>
      <c r="K189" s="662"/>
      <c r="L189" s="507"/>
      <c r="M189" s="505"/>
      <c r="N189" s="654"/>
      <c r="O189" s="1561"/>
      <c r="P189" s="1453"/>
      <c r="Q189" s="520"/>
      <c r="R189" s="483"/>
      <c r="S189" s="483"/>
      <c r="T189" s="483"/>
      <c r="U189" s="483"/>
      <c r="V189" s="483"/>
      <c r="W189" s="483"/>
      <c r="X189" s="507"/>
      <c r="Y189" s="1824"/>
      <c r="Z189" s="1824"/>
      <c r="AA189" s="1824"/>
      <c r="AB189" s="1824"/>
      <c r="AC189" s="1824"/>
      <c r="AD189" s="1571"/>
      <c r="AE189" s="702"/>
      <c r="AF189" s="703"/>
      <c r="AG189" s="703"/>
      <c r="AH189" s="703"/>
      <c r="AI189" s="703"/>
      <c r="AJ189" s="704"/>
      <c r="AK189" s="704"/>
      <c r="AL189" s="704"/>
      <c r="AM189" s="704"/>
      <c r="AN189" s="704"/>
      <c r="AO189" s="704"/>
      <c r="AP189" s="704"/>
      <c r="AQ189" s="704"/>
      <c r="AR189" s="704"/>
      <c r="AS189" s="704"/>
      <c r="AT189" s="704"/>
      <c r="AU189" s="1829"/>
      <c r="AV189" s="1833"/>
      <c r="AW189" s="1834"/>
      <c r="AX189" s="1834"/>
      <c r="AY189" s="1834"/>
      <c r="AZ189" s="1825"/>
      <c r="BA189" s="1825"/>
      <c r="BB189" s="705"/>
      <c r="BC189" s="705"/>
      <c r="BD189" s="705"/>
    </row>
    <row r="190" spans="2:56" s="655" customFormat="1" ht="24.95" customHeight="1">
      <c r="B190" s="281"/>
      <c r="C190" s="483"/>
      <c r="D190" s="483"/>
      <c r="E190" s="483"/>
      <c r="F190" s="652"/>
      <c r="G190" s="653"/>
      <c r="H190" s="505"/>
      <c r="I190" s="654"/>
      <c r="J190" s="662"/>
      <c r="K190" s="662"/>
      <c r="L190" s="507"/>
      <c r="M190" s="505"/>
      <c r="N190" s="654"/>
      <c r="O190" s="1561"/>
      <c r="P190" s="1453"/>
      <c r="Q190" s="520"/>
      <c r="R190" s="483"/>
      <c r="S190" s="483"/>
      <c r="T190" s="483"/>
      <c r="U190" s="483"/>
      <c r="V190" s="483"/>
      <c r="W190" s="483"/>
      <c r="X190" s="507"/>
      <c r="Y190" s="1824"/>
      <c r="Z190" s="1824"/>
      <c r="AA190" s="1824"/>
      <c r="AB190" s="1824"/>
      <c r="AC190" s="1824"/>
      <c r="AD190" s="1571"/>
      <c r="AE190" s="707"/>
      <c r="AF190" s="703"/>
      <c r="AG190" s="703"/>
      <c r="AH190" s="703"/>
      <c r="AI190" s="703"/>
      <c r="AJ190" s="704"/>
      <c r="AK190" s="704"/>
      <c r="AL190" s="704"/>
      <c r="AM190" s="704"/>
      <c r="AN190" s="704"/>
      <c r="AO190" s="704"/>
      <c r="AP190" s="704"/>
      <c r="AQ190" s="704"/>
      <c r="AR190" s="704"/>
      <c r="AS190" s="704"/>
      <c r="AT190" s="704"/>
      <c r="AU190" s="1829"/>
      <c r="AV190" s="1833"/>
      <c r="AW190" s="1834"/>
      <c r="AX190" s="1834"/>
      <c r="AY190" s="1834"/>
      <c r="AZ190" s="1825"/>
      <c r="BA190" s="1825"/>
      <c r="BB190" s="705"/>
      <c r="BC190" s="705"/>
      <c r="BD190" s="705"/>
    </row>
    <row r="191" spans="2:56" s="655" customFormat="1" ht="24.95" customHeight="1">
      <c r="B191" s="281"/>
      <c r="C191" s="483"/>
      <c r="D191" s="483"/>
      <c r="E191" s="483"/>
      <c r="F191" s="652"/>
      <c r="G191" s="653"/>
      <c r="H191" s="505"/>
      <c r="I191" s="654"/>
      <c r="J191" s="662"/>
      <c r="K191" s="662"/>
      <c r="L191" s="507"/>
      <c r="M191" s="505"/>
      <c r="N191" s="654"/>
      <c r="O191" s="1561"/>
      <c r="P191" s="1453"/>
      <c r="Q191" s="520"/>
      <c r="R191" s="483"/>
      <c r="S191" s="483"/>
      <c r="T191" s="483"/>
      <c r="U191" s="483"/>
      <c r="V191" s="483"/>
      <c r="W191" s="483"/>
      <c r="X191" s="507"/>
      <c r="Y191" s="1824"/>
      <c r="Z191" s="1824"/>
      <c r="AA191" s="1824"/>
      <c r="AB191" s="1824"/>
      <c r="AC191" s="1824"/>
      <c r="AD191" s="1571"/>
      <c r="AE191" s="707"/>
      <c r="AF191" s="703"/>
      <c r="AG191" s="703"/>
      <c r="AH191" s="703"/>
      <c r="AI191" s="703"/>
      <c r="AJ191" s="704"/>
      <c r="AK191" s="704"/>
      <c r="AL191" s="704"/>
      <c r="AM191" s="704"/>
      <c r="AN191" s="704"/>
      <c r="AO191" s="704"/>
      <c r="AP191" s="704"/>
      <c r="AQ191" s="704"/>
      <c r="AR191" s="704"/>
      <c r="AS191" s="704"/>
      <c r="AT191" s="704"/>
      <c r="AU191" s="1829"/>
      <c r="AV191" s="1833"/>
      <c r="AW191" s="1834"/>
      <c r="AX191" s="1834"/>
      <c r="AY191" s="1834"/>
      <c r="AZ191" s="1825"/>
      <c r="BA191" s="1825"/>
      <c r="BB191" s="705"/>
      <c r="BC191" s="705"/>
      <c r="BD191" s="705"/>
    </row>
    <row r="192" spans="2:56" s="655" customFormat="1" ht="24.95" customHeight="1">
      <c r="B192" s="281"/>
      <c r="C192" s="483"/>
      <c r="D192" s="483"/>
      <c r="E192" s="483"/>
      <c r="F192" s="652"/>
      <c r="G192" s="653"/>
      <c r="H192" s="505"/>
      <c r="I192" s="654"/>
      <c r="J192" s="662"/>
      <c r="K192" s="662"/>
      <c r="L192" s="507"/>
      <c r="M192" s="505"/>
      <c r="N192" s="654"/>
      <c r="O192" s="1561"/>
      <c r="P192" s="1453"/>
      <c r="Q192" s="520"/>
      <c r="R192" s="483"/>
      <c r="S192" s="483"/>
      <c r="T192" s="483"/>
      <c r="U192" s="483"/>
      <c r="V192" s="483"/>
      <c r="W192" s="483"/>
      <c r="X192" s="507"/>
      <c r="Y192" s="1824"/>
      <c r="Z192" s="1824"/>
      <c r="AA192" s="1824"/>
      <c r="AB192" s="1824"/>
      <c r="AC192" s="1824"/>
      <c r="AD192" s="1571"/>
      <c r="AE192" s="707"/>
      <c r="AF192" s="703"/>
      <c r="AG192" s="703"/>
      <c r="AH192" s="703"/>
      <c r="AI192" s="703"/>
      <c r="AJ192" s="704"/>
      <c r="AK192" s="704"/>
      <c r="AL192" s="704"/>
      <c r="AM192" s="704"/>
      <c r="AN192" s="704"/>
      <c r="AO192" s="704"/>
      <c r="AP192" s="704"/>
      <c r="AQ192" s="704"/>
      <c r="AR192" s="704"/>
      <c r="AS192" s="704"/>
      <c r="AT192" s="704"/>
      <c r="AU192" s="1829"/>
      <c r="AV192" s="1833"/>
      <c r="AW192" s="1834"/>
      <c r="AX192" s="1834"/>
      <c r="AY192" s="1834"/>
      <c r="AZ192" s="1825"/>
      <c r="BA192" s="1825"/>
      <c r="BB192" s="705"/>
      <c r="BC192" s="705"/>
      <c r="BD192" s="705"/>
    </row>
    <row r="193" spans="2:56" s="655" customFormat="1" ht="24.95" customHeight="1">
      <c r="B193" s="281"/>
      <c r="C193" s="483"/>
      <c r="D193" s="483"/>
      <c r="E193" s="483"/>
      <c r="F193" s="652"/>
      <c r="G193" s="653"/>
      <c r="H193" s="505"/>
      <c r="I193" s="654"/>
      <c r="J193" s="662"/>
      <c r="K193" s="662"/>
      <c r="L193" s="507"/>
      <c r="M193" s="505"/>
      <c r="N193" s="654"/>
      <c r="O193" s="1561"/>
      <c r="P193" s="1453"/>
      <c r="Q193" s="520"/>
      <c r="R193" s="483"/>
      <c r="S193" s="483"/>
      <c r="T193" s="483"/>
      <c r="U193" s="483"/>
      <c r="V193" s="483"/>
      <c r="W193" s="483"/>
      <c r="X193" s="507"/>
      <c r="Y193" s="1824"/>
      <c r="Z193" s="1824"/>
      <c r="AA193" s="1824"/>
      <c r="AB193" s="1824"/>
      <c r="AC193" s="1824"/>
      <c r="AD193" s="1571"/>
      <c r="AE193" s="707"/>
      <c r="AF193" s="703"/>
      <c r="AG193" s="703"/>
      <c r="AH193" s="703"/>
      <c r="AI193" s="703"/>
      <c r="AJ193" s="704"/>
      <c r="AK193" s="704"/>
      <c r="AL193" s="704"/>
      <c r="AM193" s="704"/>
      <c r="AN193" s="704"/>
      <c r="AO193" s="704"/>
      <c r="AP193" s="704"/>
      <c r="AQ193" s="704"/>
      <c r="AR193" s="704"/>
      <c r="AS193" s="704"/>
      <c r="AT193" s="704"/>
      <c r="AU193" s="1829"/>
      <c r="AV193" s="1833"/>
      <c r="AW193" s="1834"/>
      <c r="AX193" s="1834"/>
      <c r="AY193" s="1834"/>
      <c r="AZ193" s="1825"/>
      <c r="BA193" s="1825"/>
      <c r="BB193" s="705"/>
      <c r="BC193" s="705"/>
      <c r="BD193" s="705"/>
    </row>
    <row r="194" spans="2:56" s="655" customFormat="1" ht="24.95" customHeight="1">
      <c r="B194" s="281"/>
      <c r="C194" s="483"/>
      <c r="D194" s="483"/>
      <c r="E194" s="483"/>
      <c r="F194" s="652"/>
      <c r="G194" s="653"/>
      <c r="H194" s="505"/>
      <c r="I194" s="654"/>
      <c r="J194" s="662"/>
      <c r="K194" s="662"/>
      <c r="L194" s="507"/>
      <c r="M194" s="505"/>
      <c r="N194" s="654"/>
      <c r="O194" s="1561"/>
      <c r="P194" s="1453"/>
      <c r="Q194" s="520"/>
      <c r="R194" s="483"/>
      <c r="S194" s="483"/>
      <c r="T194" s="483"/>
      <c r="U194" s="483"/>
      <c r="V194" s="483"/>
      <c r="W194" s="483"/>
      <c r="X194" s="507"/>
      <c r="Y194" s="1824"/>
      <c r="Z194" s="1824"/>
      <c r="AA194" s="1824"/>
      <c r="AB194" s="1824"/>
      <c r="AC194" s="1824"/>
      <c r="AD194" s="1571"/>
      <c r="AE194" s="707"/>
      <c r="AF194" s="703"/>
      <c r="AG194" s="703"/>
      <c r="AH194" s="703"/>
      <c r="AI194" s="703"/>
      <c r="AJ194" s="704"/>
      <c r="AK194" s="704"/>
      <c r="AL194" s="704"/>
      <c r="AM194" s="704"/>
      <c r="AN194" s="704"/>
      <c r="AO194" s="704"/>
      <c r="AP194" s="704"/>
      <c r="AQ194" s="704"/>
      <c r="AR194" s="704"/>
      <c r="AS194" s="704"/>
      <c r="AT194" s="704"/>
      <c r="AU194" s="1829"/>
      <c r="AV194" s="1833"/>
      <c r="AW194" s="1834"/>
      <c r="AX194" s="1834"/>
      <c r="AY194" s="1834"/>
      <c r="AZ194" s="1825"/>
      <c r="BA194" s="1825"/>
      <c r="BB194" s="705"/>
      <c r="BC194" s="705"/>
      <c r="BD194" s="705"/>
    </row>
    <row r="195" spans="2:56" s="655" customFormat="1" ht="24.95" customHeight="1">
      <c r="B195" s="281"/>
      <c r="C195" s="483"/>
      <c r="D195" s="483"/>
      <c r="E195" s="483"/>
      <c r="F195" s="652"/>
      <c r="G195" s="653"/>
      <c r="H195" s="505"/>
      <c r="I195" s="654"/>
      <c r="J195" s="662"/>
      <c r="K195" s="662"/>
      <c r="L195" s="507"/>
      <c r="M195" s="505"/>
      <c r="N195" s="654"/>
      <c r="O195" s="1561"/>
      <c r="P195" s="1453"/>
      <c r="Q195" s="520"/>
      <c r="R195" s="483"/>
      <c r="S195" s="483"/>
      <c r="T195" s="483"/>
      <c r="U195" s="483"/>
      <c r="V195" s="483"/>
      <c r="W195" s="483"/>
      <c r="X195" s="507"/>
      <c r="Y195" s="1824"/>
      <c r="Z195" s="1824"/>
      <c r="AA195" s="1824"/>
      <c r="AB195" s="1824"/>
      <c r="AC195" s="1824"/>
      <c r="AD195" s="1571"/>
      <c r="AE195" s="707"/>
      <c r="AF195" s="703"/>
      <c r="AG195" s="703"/>
      <c r="AH195" s="703"/>
      <c r="AI195" s="703"/>
      <c r="AJ195" s="704"/>
      <c r="AK195" s="704"/>
      <c r="AL195" s="704"/>
      <c r="AM195" s="704"/>
      <c r="AN195" s="704"/>
      <c r="AO195" s="704"/>
      <c r="AP195" s="704"/>
      <c r="AQ195" s="704"/>
      <c r="AR195" s="704"/>
      <c r="AS195" s="704"/>
      <c r="AT195" s="704"/>
      <c r="AU195" s="1829"/>
      <c r="AV195" s="1833"/>
      <c r="AW195" s="1834"/>
      <c r="AX195" s="1834"/>
      <c r="AY195" s="1834"/>
      <c r="AZ195" s="1825"/>
      <c r="BA195" s="1825"/>
      <c r="BB195" s="705"/>
      <c r="BC195" s="705"/>
      <c r="BD195" s="705"/>
    </row>
    <row r="196" spans="2:56" s="655" customFormat="1" ht="24.95" customHeight="1">
      <c r="B196" s="281"/>
      <c r="C196" s="483"/>
      <c r="D196" s="483"/>
      <c r="E196" s="483"/>
      <c r="F196" s="652"/>
      <c r="G196" s="653"/>
      <c r="H196" s="505"/>
      <c r="I196" s="654"/>
      <c r="J196" s="662"/>
      <c r="K196" s="662"/>
      <c r="L196" s="507"/>
      <c r="M196" s="505"/>
      <c r="N196" s="654"/>
      <c r="O196" s="1561"/>
      <c r="P196" s="1453"/>
      <c r="Q196" s="520"/>
      <c r="R196" s="483"/>
      <c r="S196" s="483"/>
      <c r="T196" s="483"/>
      <c r="U196" s="483"/>
      <c r="V196" s="483"/>
      <c r="W196" s="483"/>
      <c r="X196" s="507"/>
      <c r="Y196" s="1824"/>
      <c r="Z196" s="1824"/>
      <c r="AA196" s="1824"/>
      <c r="AB196" s="1824"/>
      <c r="AC196" s="1824"/>
      <c r="AD196" s="1571"/>
      <c r="AE196" s="707"/>
      <c r="AF196" s="703"/>
      <c r="AG196" s="703"/>
      <c r="AH196" s="703"/>
      <c r="AI196" s="703"/>
      <c r="AJ196" s="704"/>
      <c r="AK196" s="704"/>
      <c r="AL196" s="704"/>
      <c r="AM196" s="704"/>
      <c r="AN196" s="704"/>
      <c r="AO196" s="704"/>
      <c r="AP196" s="704"/>
      <c r="AQ196" s="704"/>
      <c r="AR196" s="704"/>
      <c r="AS196" s="704"/>
      <c r="AT196" s="704"/>
      <c r="AU196" s="1829"/>
      <c r="AV196" s="1833"/>
      <c r="AW196" s="1834"/>
      <c r="AX196" s="1834"/>
      <c r="AY196" s="1834"/>
      <c r="AZ196" s="1825"/>
      <c r="BA196" s="1825"/>
      <c r="BB196" s="705"/>
      <c r="BC196" s="705"/>
      <c r="BD196" s="705"/>
    </row>
    <row r="197" spans="2:56" s="655" customFormat="1" ht="24.95" customHeight="1">
      <c r="B197" s="281"/>
      <c r="C197" s="483"/>
      <c r="D197" s="483"/>
      <c r="E197" s="483"/>
      <c r="F197" s="652"/>
      <c r="G197" s="653"/>
      <c r="H197" s="505"/>
      <c r="I197" s="654"/>
      <c r="J197" s="662"/>
      <c r="K197" s="662"/>
      <c r="L197" s="507"/>
      <c r="M197" s="505"/>
      <c r="N197" s="654"/>
      <c r="O197" s="1561"/>
      <c r="P197" s="1453"/>
      <c r="Q197" s="520"/>
      <c r="R197" s="483"/>
      <c r="S197" s="483"/>
      <c r="T197" s="483"/>
      <c r="U197" s="483"/>
      <c r="V197" s="483"/>
      <c r="W197" s="483"/>
      <c r="X197" s="507"/>
      <c r="Y197" s="1824"/>
      <c r="Z197" s="1824"/>
      <c r="AA197" s="1824"/>
      <c r="AB197" s="1824"/>
      <c r="AC197" s="1824"/>
      <c r="AD197" s="1571"/>
      <c r="AE197" s="707"/>
      <c r="AF197" s="703"/>
      <c r="AG197" s="703"/>
      <c r="AH197" s="703"/>
      <c r="AI197" s="703"/>
      <c r="AJ197" s="704"/>
      <c r="AK197" s="704"/>
      <c r="AL197" s="704"/>
      <c r="AM197" s="704"/>
      <c r="AN197" s="704"/>
      <c r="AO197" s="704"/>
      <c r="AP197" s="704"/>
      <c r="AQ197" s="704"/>
      <c r="AR197" s="704"/>
      <c r="AS197" s="704"/>
      <c r="AT197" s="704"/>
      <c r="AU197" s="1829"/>
      <c r="AV197" s="1833"/>
      <c r="AW197" s="1834"/>
      <c r="AX197" s="1834"/>
      <c r="AY197" s="1834"/>
      <c r="AZ197" s="1825"/>
      <c r="BA197" s="1825"/>
      <c r="BB197" s="705"/>
      <c r="BC197" s="705"/>
      <c r="BD197" s="705"/>
    </row>
    <row r="198" spans="2:56" s="655" customFormat="1" ht="24.95" customHeight="1">
      <c r="B198" s="281"/>
      <c r="C198" s="483"/>
      <c r="D198" s="483"/>
      <c r="E198" s="483"/>
      <c r="F198" s="652"/>
      <c r="G198" s="653"/>
      <c r="H198" s="505"/>
      <c r="I198" s="654"/>
      <c r="J198" s="662"/>
      <c r="K198" s="662"/>
      <c r="L198" s="507"/>
      <c r="M198" s="505"/>
      <c r="N198" s="654"/>
      <c r="O198" s="1561"/>
      <c r="P198" s="1453"/>
      <c r="Q198" s="520"/>
      <c r="R198" s="483"/>
      <c r="S198" s="483"/>
      <c r="T198" s="483"/>
      <c r="U198" s="483"/>
      <c r="V198" s="483"/>
      <c r="W198" s="483"/>
      <c r="X198" s="507"/>
      <c r="Y198" s="1824"/>
      <c r="Z198" s="1824"/>
      <c r="AA198" s="1824"/>
      <c r="AB198" s="1824"/>
      <c r="AC198" s="1824"/>
      <c r="AD198" s="1571"/>
      <c r="AE198" s="707"/>
      <c r="AF198" s="703"/>
      <c r="AG198" s="703"/>
      <c r="AH198" s="703"/>
      <c r="AI198" s="703"/>
      <c r="AJ198" s="704"/>
      <c r="AK198" s="704"/>
      <c r="AL198" s="704"/>
      <c r="AM198" s="704"/>
      <c r="AN198" s="704"/>
      <c r="AO198" s="704"/>
      <c r="AP198" s="704"/>
      <c r="AQ198" s="704"/>
      <c r="AR198" s="704"/>
      <c r="AS198" s="704"/>
      <c r="AT198" s="704"/>
      <c r="AU198" s="1829"/>
      <c r="AV198" s="1833"/>
      <c r="AW198" s="1834"/>
      <c r="AX198" s="1834"/>
      <c r="AY198" s="1834"/>
      <c r="AZ198" s="1825"/>
      <c r="BA198" s="1825"/>
      <c r="BB198" s="705"/>
      <c r="BC198" s="705"/>
      <c r="BD198" s="705"/>
    </row>
    <row r="199" spans="2:56" s="655" customFormat="1" ht="24.95" customHeight="1">
      <c r="B199" s="281"/>
      <c r="C199" s="483"/>
      <c r="D199" s="483"/>
      <c r="E199" s="483"/>
      <c r="F199" s="652"/>
      <c r="G199" s="653"/>
      <c r="H199" s="505"/>
      <c r="I199" s="654"/>
      <c r="J199" s="662"/>
      <c r="K199" s="662"/>
      <c r="L199" s="507"/>
      <c r="M199" s="505"/>
      <c r="N199" s="654"/>
      <c r="O199" s="1561"/>
      <c r="P199" s="1453"/>
      <c r="Q199" s="520"/>
      <c r="R199" s="483"/>
      <c r="S199" s="483"/>
      <c r="T199" s="483"/>
      <c r="U199" s="483"/>
      <c r="V199" s="483"/>
      <c r="W199" s="483"/>
      <c r="X199" s="507"/>
      <c r="Y199" s="1824"/>
      <c r="Z199" s="1824"/>
      <c r="AA199" s="1824"/>
      <c r="AB199" s="1824"/>
      <c r="AC199" s="1824"/>
      <c r="AD199" s="1571"/>
      <c r="AE199" s="707"/>
      <c r="AF199" s="703"/>
      <c r="AG199" s="703"/>
      <c r="AH199" s="703"/>
      <c r="AI199" s="703"/>
      <c r="AJ199" s="704"/>
      <c r="AK199" s="704"/>
      <c r="AL199" s="704"/>
      <c r="AM199" s="704"/>
      <c r="AN199" s="704"/>
      <c r="AO199" s="704"/>
      <c r="AP199" s="704"/>
      <c r="AQ199" s="704"/>
      <c r="AR199" s="704"/>
      <c r="AS199" s="704"/>
      <c r="AT199" s="704"/>
      <c r="AU199" s="1829"/>
      <c r="AV199" s="1833"/>
      <c r="AW199" s="1834"/>
      <c r="AX199" s="1834"/>
      <c r="AY199" s="1834"/>
      <c r="AZ199" s="1825"/>
      <c r="BA199" s="1825"/>
      <c r="BB199" s="705"/>
      <c r="BC199" s="705"/>
      <c r="BD199" s="705"/>
    </row>
    <row r="200" spans="2:56" s="655" customFormat="1" ht="24.95" customHeight="1">
      <c r="B200" s="281"/>
      <c r="C200" s="483"/>
      <c r="D200" s="483"/>
      <c r="E200" s="483"/>
      <c r="F200" s="652"/>
      <c r="G200" s="653"/>
      <c r="H200" s="505"/>
      <c r="I200" s="654"/>
      <c r="J200" s="662"/>
      <c r="K200" s="662"/>
      <c r="L200" s="507"/>
      <c r="M200" s="505"/>
      <c r="N200" s="654"/>
      <c r="O200" s="1561"/>
      <c r="P200" s="1453"/>
      <c r="Q200" s="520"/>
      <c r="R200" s="483"/>
      <c r="S200" s="483"/>
      <c r="T200" s="483"/>
      <c r="U200" s="483"/>
      <c r="V200" s="483"/>
      <c r="W200" s="483"/>
      <c r="X200" s="507"/>
      <c r="Y200" s="1824"/>
      <c r="Z200" s="1824"/>
      <c r="AA200" s="1824"/>
      <c r="AB200" s="1824"/>
      <c r="AC200" s="1824"/>
      <c r="AD200" s="1571"/>
      <c r="AE200" s="707"/>
      <c r="AF200" s="703"/>
      <c r="AG200" s="703"/>
      <c r="AH200" s="703"/>
      <c r="AI200" s="703"/>
      <c r="AJ200" s="704"/>
      <c r="AK200" s="704"/>
      <c r="AL200" s="704"/>
      <c r="AM200" s="704"/>
      <c r="AN200" s="704"/>
      <c r="AO200" s="704"/>
      <c r="AP200" s="704"/>
      <c r="AQ200" s="704"/>
      <c r="AR200" s="704"/>
      <c r="AS200" s="704"/>
      <c r="AT200" s="704"/>
      <c r="AU200" s="1829"/>
      <c r="AV200" s="1833"/>
      <c r="AW200" s="1834"/>
      <c r="AX200" s="1834"/>
      <c r="AY200" s="1834"/>
      <c r="AZ200" s="1825"/>
      <c r="BA200" s="1825"/>
      <c r="BB200" s="705"/>
      <c r="BC200" s="705"/>
      <c r="BD200" s="705"/>
    </row>
    <row r="201" spans="2:56" s="655" customFormat="1" ht="24.95" customHeight="1">
      <c r="B201" s="281"/>
      <c r="C201" s="483"/>
      <c r="D201" s="483"/>
      <c r="E201" s="483"/>
      <c r="F201" s="652"/>
      <c r="G201" s="653"/>
      <c r="H201" s="505"/>
      <c r="I201" s="654"/>
      <c r="J201" s="662"/>
      <c r="K201" s="662"/>
      <c r="L201" s="507"/>
      <c r="M201" s="505"/>
      <c r="N201" s="654"/>
      <c r="O201" s="1561"/>
      <c r="P201" s="1453"/>
      <c r="Q201" s="520"/>
      <c r="R201" s="483"/>
      <c r="S201" s="483"/>
      <c r="T201" s="483"/>
      <c r="U201" s="483"/>
      <c r="V201" s="483"/>
      <c r="W201" s="483"/>
      <c r="X201" s="507"/>
      <c r="Y201" s="1824"/>
      <c r="Z201" s="1824"/>
      <c r="AA201" s="1824"/>
      <c r="AB201" s="1824"/>
      <c r="AC201" s="1824"/>
      <c r="AD201" s="1571"/>
      <c r="AE201" s="707"/>
      <c r="AF201" s="703"/>
      <c r="AG201" s="703"/>
      <c r="AH201" s="703"/>
      <c r="AI201" s="703"/>
      <c r="AJ201" s="704"/>
      <c r="AK201" s="704"/>
      <c r="AL201" s="704"/>
      <c r="AM201" s="704"/>
      <c r="AN201" s="704"/>
      <c r="AO201" s="704"/>
      <c r="AP201" s="704"/>
      <c r="AQ201" s="704"/>
      <c r="AR201" s="704"/>
      <c r="AS201" s="704"/>
      <c r="AT201" s="704"/>
      <c r="AU201" s="1829"/>
      <c r="AV201" s="1833"/>
      <c r="AW201" s="1834"/>
      <c r="AX201" s="1834"/>
      <c r="AY201" s="1834"/>
      <c r="AZ201" s="1825"/>
      <c r="BA201" s="1825"/>
      <c r="BB201" s="705"/>
      <c r="BC201" s="705"/>
      <c r="BD201" s="705"/>
    </row>
    <row r="202" spans="2:56" s="655" customFormat="1" ht="24.95" customHeight="1">
      <c r="B202" s="281"/>
      <c r="C202" s="483"/>
      <c r="D202" s="483"/>
      <c r="E202" s="483"/>
      <c r="F202" s="652"/>
      <c r="G202" s="653"/>
      <c r="H202" s="505"/>
      <c r="I202" s="654"/>
      <c r="J202" s="662"/>
      <c r="K202" s="662"/>
      <c r="L202" s="507"/>
      <c r="M202" s="505"/>
      <c r="N202" s="654"/>
      <c r="O202" s="1561"/>
      <c r="P202" s="1453"/>
      <c r="Q202" s="520"/>
      <c r="R202" s="483"/>
      <c r="S202" s="483"/>
      <c r="T202" s="483"/>
      <c r="U202" s="483"/>
      <c r="V202" s="483"/>
      <c r="W202" s="483"/>
      <c r="X202" s="507"/>
      <c r="Y202" s="1824"/>
      <c r="Z202" s="1824"/>
      <c r="AA202" s="1824"/>
      <c r="AB202" s="1824"/>
      <c r="AC202" s="1824"/>
      <c r="AD202" s="1571"/>
      <c r="AE202" s="707"/>
      <c r="AF202" s="703"/>
      <c r="AG202" s="703"/>
      <c r="AH202" s="703"/>
      <c r="AI202" s="703"/>
      <c r="AJ202" s="704"/>
      <c r="AK202" s="704"/>
      <c r="AL202" s="704"/>
      <c r="AM202" s="704"/>
      <c r="AN202" s="704"/>
      <c r="AO202" s="704"/>
      <c r="AP202" s="704"/>
      <c r="AQ202" s="704"/>
      <c r="AR202" s="704"/>
      <c r="AS202" s="704"/>
      <c r="AT202" s="704"/>
      <c r="AU202" s="1829"/>
      <c r="AV202" s="1833"/>
      <c r="AW202" s="1834"/>
      <c r="AX202" s="1834"/>
      <c r="AY202" s="1834"/>
      <c r="AZ202" s="1825"/>
      <c r="BA202" s="1825"/>
      <c r="BB202" s="705"/>
      <c r="BC202" s="705"/>
      <c r="BD202" s="705"/>
    </row>
    <row r="203" spans="2:56" s="655" customFormat="1" ht="24.95" customHeight="1">
      <c r="B203" s="281"/>
      <c r="C203" s="483"/>
      <c r="D203" s="483"/>
      <c r="E203" s="483"/>
      <c r="F203" s="652"/>
      <c r="G203" s="653"/>
      <c r="H203" s="505"/>
      <c r="I203" s="654"/>
      <c r="J203" s="662"/>
      <c r="K203" s="662"/>
      <c r="L203" s="507"/>
      <c r="M203" s="505"/>
      <c r="N203" s="654"/>
      <c r="O203" s="1561"/>
      <c r="P203" s="1453"/>
      <c r="Q203" s="520"/>
      <c r="R203" s="483"/>
      <c r="S203" s="483"/>
      <c r="T203" s="483"/>
      <c r="U203" s="483"/>
      <c r="V203" s="483"/>
      <c r="W203" s="483"/>
      <c r="X203" s="507"/>
      <c r="Y203" s="1824"/>
      <c r="Z203" s="1824"/>
      <c r="AA203" s="1824"/>
      <c r="AB203" s="1824"/>
      <c r="AC203" s="1824"/>
      <c r="AD203" s="1571"/>
      <c r="AE203" s="707"/>
      <c r="AF203" s="703"/>
      <c r="AG203" s="703"/>
      <c r="AH203" s="703"/>
      <c r="AI203" s="703"/>
      <c r="AJ203" s="704"/>
      <c r="AK203" s="704"/>
      <c r="AL203" s="704"/>
      <c r="AM203" s="704"/>
      <c r="AN203" s="704"/>
      <c r="AO203" s="704"/>
      <c r="AP203" s="704"/>
      <c r="AQ203" s="704"/>
      <c r="AR203" s="704"/>
      <c r="AS203" s="704"/>
      <c r="AT203" s="704"/>
      <c r="AU203" s="1829"/>
      <c r="AV203" s="1833"/>
      <c r="AW203" s="1834"/>
      <c r="AX203" s="1834"/>
      <c r="AY203" s="1834"/>
      <c r="AZ203" s="1825"/>
      <c r="BA203" s="1825"/>
      <c r="BB203" s="705"/>
      <c r="BC203" s="705"/>
      <c r="BD203" s="705"/>
    </row>
    <row r="204" spans="2:56" s="655" customFormat="1" ht="24.95" customHeight="1">
      <c r="B204" s="281"/>
      <c r="C204" s="483"/>
      <c r="D204" s="483"/>
      <c r="E204" s="483"/>
      <c r="F204" s="652"/>
      <c r="G204" s="653"/>
      <c r="H204" s="505"/>
      <c r="I204" s="654"/>
      <c r="J204" s="662"/>
      <c r="K204" s="662"/>
      <c r="L204" s="507"/>
      <c r="M204" s="505"/>
      <c r="N204" s="654"/>
      <c r="O204" s="1561"/>
      <c r="P204" s="1453"/>
      <c r="Q204" s="520"/>
      <c r="R204" s="483"/>
      <c r="S204" s="483"/>
      <c r="T204" s="483"/>
      <c r="U204" s="483"/>
      <c r="V204" s="483"/>
      <c r="W204" s="483"/>
      <c r="X204" s="507"/>
      <c r="Y204" s="1824"/>
      <c r="Z204" s="1824"/>
      <c r="AA204" s="1824"/>
      <c r="AB204" s="1824"/>
      <c r="AC204" s="1824"/>
      <c r="AD204" s="1571"/>
      <c r="AE204" s="707"/>
      <c r="AF204" s="703"/>
      <c r="AG204" s="703"/>
      <c r="AH204" s="703"/>
      <c r="AI204" s="703"/>
      <c r="AJ204" s="704"/>
      <c r="AK204" s="704"/>
      <c r="AL204" s="704"/>
      <c r="AM204" s="704"/>
      <c r="AN204" s="704"/>
      <c r="AO204" s="704"/>
      <c r="AP204" s="704"/>
      <c r="AQ204" s="704"/>
      <c r="AR204" s="704"/>
      <c r="AS204" s="704"/>
      <c r="AT204" s="704"/>
      <c r="AU204" s="1829"/>
      <c r="AV204" s="1833"/>
      <c r="AW204" s="1834"/>
      <c r="AX204" s="1834"/>
      <c r="AY204" s="1834"/>
      <c r="AZ204" s="1825"/>
      <c r="BA204" s="1825"/>
      <c r="BB204" s="705"/>
      <c r="BC204" s="705"/>
      <c r="BD204" s="705"/>
    </row>
    <row r="205" spans="2:56" s="655" customFormat="1" ht="24.95" customHeight="1">
      <c r="B205" s="281"/>
      <c r="C205" s="483"/>
      <c r="D205" s="483"/>
      <c r="E205" s="483"/>
      <c r="F205" s="652"/>
      <c r="G205" s="653"/>
      <c r="H205" s="505"/>
      <c r="I205" s="654"/>
      <c r="J205" s="662"/>
      <c r="K205" s="662"/>
      <c r="L205" s="507"/>
      <c r="M205" s="505"/>
      <c r="N205" s="654"/>
      <c r="O205" s="1561"/>
      <c r="P205" s="1453"/>
      <c r="Q205" s="520"/>
      <c r="R205" s="483"/>
      <c r="S205" s="483"/>
      <c r="T205" s="483"/>
      <c r="U205" s="483"/>
      <c r="V205" s="483"/>
      <c r="W205" s="483"/>
      <c r="X205" s="507"/>
      <c r="Y205" s="1824"/>
      <c r="Z205" s="1824"/>
      <c r="AA205" s="1824"/>
      <c r="AB205" s="1824"/>
      <c r="AC205" s="1824"/>
      <c r="AD205" s="1571"/>
      <c r="AE205" s="707"/>
      <c r="AF205" s="703"/>
      <c r="AG205" s="703"/>
      <c r="AH205" s="703"/>
      <c r="AI205" s="703"/>
      <c r="AJ205" s="704"/>
      <c r="AK205" s="704"/>
      <c r="AL205" s="704"/>
      <c r="AM205" s="704"/>
      <c r="AN205" s="704"/>
      <c r="AO205" s="704"/>
      <c r="AP205" s="704"/>
      <c r="AQ205" s="704"/>
      <c r="AR205" s="704"/>
      <c r="AS205" s="704"/>
      <c r="AT205" s="704"/>
      <c r="AU205" s="1829"/>
      <c r="AV205" s="1833"/>
      <c r="AW205" s="1834"/>
      <c r="AX205" s="1834"/>
      <c r="AY205" s="1834"/>
      <c r="AZ205" s="1825"/>
      <c r="BA205" s="1825"/>
      <c r="BB205" s="705"/>
      <c r="BC205" s="705"/>
      <c r="BD205" s="705"/>
    </row>
    <row r="206" spans="2:56" s="655" customFormat="1" ht="24.95" customHeight="1">
      <c r="B206" s="281"/>
      <c r="C206" s="483"/>
      <c r="D206" s="483"/>
      <c r="E206" s="483"/>
      <c r="F206" s="652"/>
      <c r="G206" s="653"/>
      <c r="H206" s="505"/>
      <c r="I206" s="654"/>
      <c r="J206" s="662"/>
      <c r="K206" s="662"/>
      <c r="L206" s="507"/>
      <c r="M206" s="505"/>
      <c r="N206" s="654"/>
      <c r="O206" s="1561"/>
      <c r="P206" s="1453"/>
      <c r="Q206" s="520"/>
      <c r="R206" s="483"/>
      <c r="S206" s="483"/>
      <c r="T206" s="483"/>
      <c r="U206" s="483"/>
      <c r="V206" s="483"/>
      <c r="W206" s="483"/>
      <c r="X206" s="507"/>
      <c r="Y206" s="1824"/>
      <c r="Z206" s="1824"/>
      <c r="AA206" s="1824"/>
      <c r="AB206" s="1824"/>
      <c r="AC206" s="1824"/>
      <c r="AD206" s="1571"/>
      <c r="AE206" s="707"/>
      <c r="AF206" s="703"/>
      <c r="AG206" s="703"/>
      <c r="AH206" s="703"/>
      <c r="AI206" s="703"/>
      <c r="AJ206" s="704"/>
      <c r="AK206" s="704"/>
      <c r="AL206" s="704"/>
      <c r="AM206" s="704"/>
      <c r="AN206" s="704"/>
      <c r="AO206" s="704"/>
      <c r="AP206" s="704"/>
      <c r="AQ206" s="704"/>
      <c r="AR206" s="704"/>
      <c r="AS206" s="704"/>
      <c r="AT206" s="704"/>
      <c r="AU206" s="1829"/>
      <c r="AV206" s="1833"/>
      <c r="AW206" s="1834"/>
      <c r="AX206" s="1834"/>
      <c r="AY206" s="1834"/>
      <c r="AZ206" s="1825"/>
      <c r="BA206" s="1825"/>
      <c r="BB206" s="705"/>
      <c r="BC206" s="705"/>
      <c r="BD206" s="705"/>
    </row>
    <row r="207" spans="2:56" s="655" customFormat="1" ht="24.95" customHeight="1">
      <c r="B207" s="281"/>
      <c r="C207" s="483"/>
      <c r="D207" s="483"/>
      <c r="E207" s="483"/>
      <c r="F207" s="652"/>
      <c r="G207" s="653"/>
      <c r="H207" s="505"/>
      <c r="I207" s="654"/>
      <c r="J207" s="662"/>
      <c r="K207" s="662"/>
      <c r="L207" s="507"/>
      <c r="M207" s="505"/>
      <c r="N207" s="654"/>
      <c r="O207" s="1561"/>
      <c r="P207" s="1453"/>
      <c r="Q207" s="520"/>
      <c r="R207" s="483"/>
      <c r="S207" s="483"/>
      <c r="T207" s="483"/>
      <c r="U207" s="483"/>
      <c r="V207" s="483"/>
      <c r="W207" s="483"/>
      <c r="X207" s="507"/>
      <c r="Y207" s="1824"/>
      <c r="Z207" s="1824"/>
      <c r="AA207" s="1824"/>
      <c r="AB207" s="1824"/>
      <c r="AC207" s="1824"/>
      <c r="AD207" s="1571"/>
      <c r="AE207" s="707"/>
      <c r="AF207" s="703"/>
      <c r="AG207" s="703"/>
      <c r="AH207" s="703"/>
      <c r="AI207" s="703"/>
      <c r="AJ207" s="704"/>
      <c r="AK207" s="704"/>
      <c r="AL207" s="704"/>
      <c r="AM207" s="704"/>
      <c r="AN207" s="704"/>
      <c r="AO207" s="704"/>
      <c r="AP207" s="704"/>
      <c r="AQ207" s="704"/>
      <c r="AR207" s="704"/>
      <c r="AS207" s="704"/>
      <c r="AT207" s="704"/>
      <c r="AU207" s="1829"/>
      <c r="AV207" s="1833"/>
      <c r="AW207" s="1834"/>
      <c r="AX207" s="1834"/>
      <c r="AY207" s="1834"/>
      <c r="AZ207" s="1825"/>
      <c r="BA207" s="1825"/>
      <c r="BB207" s="705"/>
      <c r="BC207" s="705"/>
      <c r="BD207" s="705"/>
    </row>
    <row r="208" spans="2:56" s="655" customFormat="1" ht="24.95" customHeight="1">
      <c r="B208" s="281"/>
      <c r="C208" s="483"/>
      <c r="D208" s="483"/>
      <c r="E208" s="483"/>
      <c r="F208" s="652"/>
      <c r="G208" s="653"/>
      <c r="H208" s="505"/>
      <c r="I208" s="654"/>
      <c r="J208" s="662"/>
      <c r="K208" s="662"/>
      <c r="L208" s="507"/>
      <c r="M208" s="505"/>
      <c r="N208" s="654"/>
      <c r="O208" s="1561"/>
      <c r="P208" s="1453"/>
      <c r="Q208" s="520"/>
      <c r="R208" s="483"/>
      <c r="S208" s="483"/>
      <c r="T208" s="483"/>
      <c r="U208" s="483"/>
      <c r="V208" s="483"/>
      <c r="W208" s="483"/>
      <c r="X208" s="507"/>
      <c r="Y208" s="1824"/>
      <c r="Z208" s="1824"/>
      <c r="AA208" s="1824"/>
      <c r="AB208" s="1824"/>
      <c r="AC208" s="1824"/>
      <c r="AD208" s="1571"/>
      <c r="AE208" s="707"/>
      <c r="AF208" s="703"/>
      <c r="AG208" s="703"/>
      <c r="AH208" s="703"/>
      <c r="AI208" s="703"/>
      <c r="AJ208" s="704"/>
      <c r="AK208" s="704"/>
      <c r="AL208" s="704"/>
      <c r="AM208" s="704"/>
      <c r="AN208" s="704"/>
      <c r="AO208" s="704"/>
      <c r="AP208" s="704"/>
      <c r="AQ208" s="704"/>
      <c r="AR208" s="704"/>
      <c r="AS208" s="704"/>
      <c r="AT208" s="704"/>
      <c r="AU208" s="1829"/>
      <c r="AV208" s="1833"/>
      <c r="AW208" s="1834"/>
      <c r="AX208" s="1834"/>
      <c r="AY208" s="1834"/>
      <c r="AZ208" s="1825"/>
      <c r="BA208" s="1825"/>
      <c r="BB208" s="705"/>
      <c r="BC208" s="705"/>
      <c r="BD208" s="705"/>
    </row>
    <row r="209" spans="2:56" s="655" customFormat="1" ht="24.95" customHeight="1">
      <c r="B209" s="281"/>
      <c r="C209" s="483"/>
      <c r="D209" s="483"/>
      <c r="E209" s="483"/>
      <c r="F209" s="652"/>
      <c r="G209" s="653"/>
      <c r="H209" s="505"/>
      <c r="I209" s="654"/>
      <c r="J209" s="662"/>
      <c r="K209" s="662"/>
      <c r="L209" s="507"/>
      <c r="M209" s="505"/>
      <c r="N209" s="654"/>
      <c r="O209" s="1561"/>
      <c r="P209" s="1453"/>
      <c r="Q209" s="520"/>
      <c r="R209" s="483"/>
      <c r="S209" s="483"/>
      <c r="T209" s="483"/>
      <c r="U209" s="483"/>
      <c r="V209" s="483"/>
      <c r="W209" s="483"/>
      <c r="X209" s="507"/>
      <c r="Y209" s="1824"/>
      <c r="Z209" s="1824"/>
      <c r="AA209" s="1824"/>
      <c r="AB209" s="1824"/>
      <c r="AC209" s="1824"/>
      <c r="AD209" s="1571"/>
      <c r="AE209" s="707"/>
      <c r="AF209" s="703"/>
      <c r="AG209" s="703"/>
      <c r="AH209" s="703"/>
      <c r="AI209" s="703"/>
      <c r="AJ209" s="704"/>
      <c r="AK209" s="704"/>
      <c r="AL209" s="704"/>
      <c r="AM209" s="704"/>
      <c r="AN209" s="704"/>
      <c r="AO209" s="704"/>
      <c r="AP209" s="704"/>
      <c r="AQ209" s="704"/>
      <c r="AR209" s="704"/>
      <c r="AS209" s="704"/>
      <c r="AT209" s="704"/>
      <c r="AU209" s="1829"/>
      <c r="AV209" s="1833"/>
      <c r="AW209" s="1834"/>
      <c r="AX209" s="1834"/>
      <c r="AY209" s="1834"/>
      <c r="AZ209" s="1825"/>
      <c r="BA209" s="1825"/>
      <c r="BB209" s="705"/>
      <c r="BC209" s="705"/>
      <c r="BD209" s="705"/>
    </row>
    <row r="210" spans="2:56" s="655" customFormat="1" ht="24.95" customHeight="1">
      <c r="B210" s="281"/>
      <c r="C210" s="483"/>
      <c r="D210" s="483"/>
      <c r="E210" s="483"/>
      <c r="F210" s="652"/>
      <c r="G210" s="653"/>
      <c r="H210" s="505"/>
      <c r="I210" s="654"/>
      <c r="J210" s="662"/>
      <c r="K210" s="662"/>
      <c r="L210" s="507"/>
      <c r="M210" s="505"/>
      <c r="N210" s="654"/>
      <c r="O210" s="1561"/>
      <c r="P210" s="1453"/>
      <c r="Q210" s="520"/>
      <c r="R210" s="483"/>
      <c r="S210" s="483"/>
      <c r="T210" s="483"/>
      <c r="U210" s="483"/>
      <c r="V210" s="483"/>
      <c r="W210" s="483"/>
      <c r="X210" s="507"/>
      <c r="Y210" s="1824"/>
      <c r="Z210" s="1824"/>
      <c r="AA210" s="1824"/>
      <c r="AB210" s="1824"/>
      <c r="AC210" s="1824"/>
      <c r="AD210" s="1571"/>
      <c r="AE210" s="707"/>
      <c r="AF210" s="703"/>
      <c r="AG210" s="703"/>
      <c r="AH210" s="703"/>
      <c r="AI210" s="703"/>
      <c r="AJ210" s="704"/>
      <c r="AK210" s="704"/>
      <c r="AL210" s="704"/>
      <c r="AM210" s="704"/>
      <c r="AN210" s="704"/>
      <c r="AO210" s="704"/>
      <c r="AP210" s="704"/>
      <c r="AQ210" s="704"/>
      <c r="AR210" s="704"/>
      <c r="AS210" s="704"/>
      <c r="AT210" s="704"/>
      <c r="AU210" s="1829"/>
      <c r="AV210" s="1833"/>
      <c r="AW210" s="1834"/>
      <c r="AX210" s="1834"/>
      <c r="AY210" s="1834"/>
      <c r="AZ210" s="1825"/>
      <c r="BA210" s="1825"/>
      <c r="BB210" s="705"/>
      <c r="BC210" s="705"/>
      <c r="BD210" s="705"/>
    </row>
    <row r="211" spans="2:56" s="655" customFormat="1" ht="24.95" customHeight="1">
      <c r="B211" s="281"/>
      <c r="C211" s="483"/>
      <c r="D211" s="483"/>
      <c r="E211" s="483"/>
      <c r="F211" s="652"/>
      <c r="G211" s="653"/>
      <c r="H211" s="505"/>
      <c r="I211" s="654"/>
      <c r="J211" s="662"/>
      <c r="K211" s="662"/>
      <c r="L211" s="507"/>
      <c r="M211" s="505"/>
      <c r="N211" s="654"/>
      <c r="O211" s="1561"/>
      <c r="P211" s="1453"/>
      <c r="Q211" s="520"/>
      <c r="R211" s="483"/>
      <c r="S211" s="483"/>
      <c r="T211" s="483"/>
      <c r="U211" s="483"/>
      <c r="V211" s="483"/>
      <c r="W211" s="483"/>
      <c r="X211" s="507"/>
      <c r="Y211" s="1824"/>
      <c r="Z211" s="1824"/>
      <c r="AA211" s="1824"/>
      <c r="AB211" s="1824"/>
      <c r="AC211" s="1824"/>
      <c r="AD211" s="1571"/>
      <c r="AE211" s="707"/>
      <c r="AF211" s="703"/>
      <c r="AG211" s="703"/>
      <c r="AH211" s="703"/>
      <c r="AI211" s="703"/>
      <c r="AJ211" s="704"/>
      <c r="AK211" s="704"/>
      <c r="AL211" s="704"/>
      <c r="AM211" s="704"/>
      <c r="AN211" s="704"/>
      <c r="AO211" s="704"/>
      <c r="AP211" s="704"/>
      <c r="AQ211" s="704"/>
      <c r="AR211" s="704"/>
      <c r="AS211" s="704"/>
      <c r="AT211" s="704"/>
      <c r="AU211" s="1829"/>
      <c r="AV211" s="1833"/>
      <c r="AW211" s="1834"/>
      <c r="AX211" s="1834"/>
      <c r="AY211" s="1834"/>
      <c r="AZ211" s="1825"/>
      <c r="BA211" s="1825"/>
      <c r="BB211" s="705"/>
      <c r="BC211" s="705"/>
      <c r="BD211" s="705"/>
    </row>
    <row r="212" spans="2:56" s="655" customFormat="1" ht="24.95" customHeight="1">
      <c r="B212" s="281"/>
      <c r="C212" s="483"/>
      <c r="D212" s="483"/>
      <c r="E212" s="483"/>
      <c r="F212" s="652"/>
      <c r="G212" s="653"/>
      <c r="H212" s="505"/>
      <c r="I212" s="654"/>
      <c r="J212" s="662"/>
      <c r="K212" s="662"/>
      <c r="L212" s="507"/>
      <c r="M212" s="505"/>
      <c r="N212" s="654"/>
      <c r="O212" s="1561"/>
      <c r="P212" s="1453"/>
      <c r="Q212" s="520"/>
      <c r="R212" s="483"/>
      <c r="S212" s="483"/>
      <c r="T212" s="483"/>
      <c r="U212" s="483"/>
      <c r="V212" s="483"/>
      <c r="W212" s="483"/>
      <c r="X212" s="507"/>
      <c r="Y212" s="1824"/>
      <c r="Z212" s="1824"/>
      <c r="AA212" s="1824"/>
      <c r="AB212" s="1824"/>
      <c r="AC212" s="1824"/>
      <c r="AD212" s="1571"/>
      <c r="AE212" s="707"/>
      <c r="AF212" s="703"/>
      <c r="AG212" s="703"/>
      <c r="AH212" s="703"/>
      <c r="AI212" s="703"/>
      <c r="AJ212" s="704"/>
      <c r="AK212" s="704"/>
      <c r="AL212" s="704"/>
      <c r="AM212" s="704"/>
      <c r="AN212" s="704"/>
      <c r="AO212" s="704"/>
      <c r="AP212" s="704"/>
      <c r="AQ212" s="704"/>
      <c r="AR212" s="704"/>
      <c r="AS212" s="704"/>
      <c r="AT212" s="704"/>
      <c r="AU212" s="1829"/>
      <c r="AV212" s="1833"/>
      <c r="AW212" s="1834"/>
      <c r="AX212" s="1834"/>
      <c r="AY212" s="1834"/>
      <c r="AZ212" s="1825"/>
      <c r="BA212" s="1825"/>
      <c r="BB212" s="705"/>
      <c r="BC212" s="705"/>
      <c r="BD212" s="705"/>
    </row>
    <row r="213" spans="2:56" s="655" customFormat="1" ht="24.95" customHeight="1">
      <c r="B213" s="281"/>
      <c r="C213" s="483"/>
      <c r="D213" s="483"/>
      <c r="E213" s="483"/>
      <c r="F213" s="652"/>
      <c r="G213" s="653"/>
      <c r="H213" s="505"/>
      <c r="I213" s="654"/>
      <c r="J213" s="662"/>
      <c r="K213" s="662"/>
      <c r="L213" s="507"/>
      <c r="M213" s="505"/>
      <c r="N213" s="654"/>
      <c r="O213" s="1561"/>
      <c r="P213" s="1453"/>
      <c r="Q213" s="520"/>
      <c r="R213" s="483"/>
      <c r="S213" s="483"/>
      <c r="T213" s="483"/>
      <c r="U213" s="483"/>
      <c r="V213" s="483"/>
      <c r="W213" s="483"/>
      <c r="X213" s="507"/>
      <c r="Y213" s="1824"/>
      <c r="Z213" s="1824"/>
      <c r="AA213" s="1824"/>
      <c r="AB213" s="1824"/>
      <c r="AC213" s="1824"/>
      <c r="AD213" s="1571"/>
      <c r="AE213" s="707"/>
      <c r="AF213" s="703"/>
      <c r="AG213" s="703"/>
      <c r="AH213" s="703"/>
      <c r="AI213" s="703"/>
      <c r="AJ213" s="704"/>
      <c r="AK213" s="704"/>
      <c r="AL213" s="704"/>
      <c r="AM213" s="704"/>
      <c r="AN213" s="704"/>
      <c r="AO213" s="704"/>
      <c r="AP213" s="704"/>
      <c r="AQ213" s="704"/>
      <c r="AR213" s="704"/>
      <c r="AS213" s="704"/>
      <c r="AT213" s="704"/>
      <c r="AU213" s="1829"/>
      <c r="AV213" s="1833"/>
      <c r="AW213" s="1834"/>
      <c r="AX213" s="1834"/>
      <c r="AY213" s="1834"/>
      <c r="AZ213" s="1825"/>
      <c r="BA213" s="1825"/>
      <c r="BB213" s="705"/>
      <c r="BC213" s="705"/>
      <c r="BD213" s="705"/>
    </row>
    <row r="214" spans="2:56" s="655" customFormat="1" ht="24.95" customHeight="1">
      <c r="B214" s="281"/>
      <c r="C214" s="483"/>
      <c r="D214" s="483"/>
      <c r="E214" s="483"/>
      <c r="F214" s="652"/>
      <c r="G214" s="653"/>
      <c r="H214" s="505"/>
      <c r="I214" s="654"/>
      <c r="J214" s="662"/>
      <c r="K214" s="662"/>
      <c r="L214" s="507"/>
      <c r="M214" s="505"/>
      <c r="N214" s="654"/>
      <c r="O214" s="1561"/>
      <c r="P214" s="1453"/>
      <c r="Q214" s="520"/>
      <c r="R214" s="483"/>
      <c r="S214" s="483"/>
      <c r="T214" s="483"/>
      <c r="U214" s="483"/>
      <c r="V214" s="483"/>
      <c r="W214" s="483"/>
      <c r="X214" s="507"/>
      <c r="Y214" s="1824"/>
      <c r="Z214" s="1824"/>
      <c r="AA214" s="1824"/>
      <c r="AB214" s="1824"/>
      <c r="AC214" s="1824"/>
      <c r="AD214" s="1571"/>
      <c r="AE214" s="707"/>
      <c r="AF214" s="703"/>
      <c r="AG214" s="703"/>
      <c r="AH214" s="703"/>
      <c r="AI214" s="703"/>
      <c r="AJ214" s="704"/>
      <c r="AK214" s="704"/>
      <c r="AL214" s="704"/>
      <c r="AM214" s="704"/>
      <c r="AN214" s="704"/>
      <c r="AO214" s="704"/>
      <c r="AP214" s="704"/>
      <c r="AQ214" s="704"/>
      <c r="AR214" s="704"/>
      <c r="AS214" s="704"/>
      <c r="AT214" s="704"/>
      <c r="AU214" s="1829"/>
      <c r="AV214" s="1833"/>
      <c r="AW214" s="1834"/>
      <c r="AX214" s="1834"/>
      <c r="AY214" s="1834"/>
      <c r="AZ214" s="1825"/>
      <c r="BA214" s="1825"/>
      <c r="BB214" s="705"/>
      <c r="BC214" s="705"/>
      <c r="BD214" s="705"/>
    </row>
    <row r="215" spans="2:56" s="655" customFormat="1" ht="24.95" customHeight="1">
      <c r="B215" s="281"/>
      <c r="C215" s="483"/>
      <c r="D215" s="483"/>
      <c r="E215" s="483"/>
      <c r="F215" s="652"/>
      <c r="G215" s="653"/>
      <c r="H215" s="505"/>
      <c r="I215" s="654"/>
      <c r="J215" s="662"/>
      <c r="K215" s="662"/>
      <c r="L215" s="507"/>
      <c r="M215" s="505"/>
      <c r="N215" s="654"/>
      <c r="O215" s="1561"/>
      <c r="P215" s="1453"/>
      <c r="Q215" s="520"/>
      <c r="R215" s="483"/>
      <c r="S215" s="483"/>
      <c r="T215" s="483"/>
      <c r="U215" s="483"/>
      <c r="V215" s="483"/>
      <c r="W215" s="483"/>
      <c r="X215" s="507"/>
      <c r="Y215" s="1824"/>
      <c r="Z215" s="1824"/>
      <c r="AA215" s="1824"/>
      <c r="AB215" s="1824"/>
      <c r="AC215" s="1824"/>
      <c r="AD215" s="1571"/>
      <c r="AE215" s="707"/>
      <c r="AF215" s="703"/>
      <c r="AG215" s="703"/>
      <c r="AH215" s="703"/>
      <c r="AI215" s="703"/>
      <c r="AJ215" s="704"/>
      <c r="AK215" s="704"/>
      <c r="AL215" s="704"/>
      <c r="AM215" s="704"/>
      <c r="AN215" s="704"/>
      <c r="AO215" s="704"/>
      <c r="AP215" s="704"/>
      <c r="AQ215" s="704"/>
      <c r="AR215" s="704"/>
      <c r="AS215" s="704"/>
      <c r="AT215" s="704"/>
      <c r="AU215" s="1829"/>
      <c r="AV215" s="1833"/>
      <c r="AW215" s="1834"/>
      <c r="AX215" s="1834"/>
      <c r="AY215" s="1834"/>
      <c r="AZ215" s="1825"/>
      <c r="BA215" s="1825"/>
      <c r="BB215" s="705"/>
      <c r="BC215" s="705"/>
      <c r="BD215" s="705"/>
    </row>
    <row r="216" spans="2:56" s="655" customFormat="1" ht="24.95" customHeight="1">
      <c r="B216" s="281"/>
      <c r="C216" s="483"/>
      <c r="D216" s="483"/>
      <c r="E216" s="483"/>
      <c r="F216" s="652"/>
      <c r="G216" s="653"/>
      <c r="H216" s="505"/>
      <c r="I216" s="654"/>
      <c r="J216" s="662"/>
      <c r="K216" s="662"/>
      <c r="L216" s="507"/>
      <c r="M216" s="505"/>
      <c r="N216" s="654"/>
      <c r="O216" s="1561"/>
      <c r="P216" s="1453"/>
      <c r="Q216" s="520"/>
      <c r="R216" s="483"/>
      <c r="S216" s="483"/>
      <c r="T216" s="483"/>
      <c r="U216" s="483"/>
      <c r="V216" s="483"/>
      <c r="W216" s="483"/>
      <c r="X216" s="507"/>
      <c r="Y216" s="1824"/>
      <c r="Z216" s="1824"/>
      <c r="AA216" s="1824"/>
      <c r="AB216" s="1824"/>
      <c r="AC216" s="1824"/>
      <c r="AD216" s="1571"/>
      <c r="AE216" s="707"/>
      <c r="AF216" s="703"/>
      <c r="AG216" s="703"/>
      <c r="AH216" s="703"/>
      <c r="AI216" s="703"/>
      <c r="AJ216" s="704"/>
      <c r="AK216" s="704"/>
      <c r="AL216" s="704"/>
      <c r="AM216" s="704"/>
      <c r="AN216" s="704"/>
      <c r="AO216" s="704"/>
      <c r="AP216" s="704"/>
      <c r="AQ216" s="704"/>
      <c r="AR216" s="704"/>
      <c r="AS216" s="704"/>
      <c r="AT216" s="704"/>
      <c r="AU216" s="1829"/>
      <c r="AV216" s="1833"/>
      <c r="AW216" s="1834"/>
      <c r="AX216" s="1834"/>
      <c r="AY216" s="1834"/>
      <c r="AZ216" s="1825"/>
      <c r="BA216" s="1825"/>
      <c r="BB216" s="705"/>
      <c r="BC216" s="705"/>
      <c r="BD216" s="705"/>
    </row>
    <row r="217" spans="2:56" s="655" customFormat="1" ht="24.95" customHeight="1">
      <c r="B217" s="281"/>
      <c r="C217" s="483"/>
      <c r="D217" s="483"/>
      <c r="E217" s="483"/>
      <c r="F217" s="652"/>
      <c r="G217" s="653"/>
      <c r="H217" s="505"/>
      <c r="I217" s="654"/>
      <c r="J217" s="662"/>
      <c r="K217" s="662"/>
      <c r="L217" s="507"/>
      <c r="M217" s="505"/>
      <c r="N217" s="654"/>
      <c r="O217" s="1561"/>
      <c r="P217" s="1453"/>
      <c r="Q217" s="520"/>
      <c r="R217" s="483"/>
      <c r="S217" s="483"/>
      <c r="T217" s="483"/>
      <c r="U217" s="483"/>
      <c r="V217" s="483"/>
      <c r="W217" s="483"/>
      <c r="X217" s="507"/>
      <c r="Y217" s="1824"/>
      <c r="Z217" s="1824"/>
      <c r="AA217" s="1824"/>
      <c r="AB217" s="1824"/>
      <c r="AC217" s="1824"/>
      <c r="AD217" s="1571"/>
      <c r="AE217" s="707"/>
      <c r="AF217" s="703"/>
      <c r="AG217" s="703"/>
      <c r="AH217" s="703"/>
      <c r="AI217" s="703"/>
      <c r="AJ217" s="704"/>
      <c r="AK217" s="704"/>
      <c r="AL217" s="704"/>
      <c r="AM217" s="704"/>
      <c r="AN217" s="704"/>
      <c r="AO217" s="704"/>
      <c r="AP217" s="704"/>
      <c r="AQ217" s="704"/>
      <c r="AR217" s="704"/>
      <c r="AS217" s="704"/>
      <c r="AT217" s="704"/>
      <c r="AU217" s="1829"/>
      <c r="AV217" s="1833"/>
      <c r="AW217" s="1834"/>
      <c r="AX217" s="1834"/>
      <c r="AY217" s="1834"/>
      <c r="AZ217" s="1825"/>
      <c r="BA217" s="1825"/>
      <c r="BB217" s="705"/>
      <c r="BC217" s="705"/>
      <c r="BD217" s="705"/>
    </row>
    <row r="218" spans="2:56" s="655" customFormat="1" ht="24.95" customHeight="1">
      <c r="B218" s="281"/>
      <c r="C218" s="483"/>
      <c r="D218" s="483"/>
      <c r="E218" s="483"/>
      <c r="F218" s="652"/>
      <c r="G218" s="653"/>
      <c r="H218" s="505"/>
      <c r="I218" s="654"/>
      <c r="J218" s="662"/>
      <c r="K218" s="662"/>
      <c r="L218" s="507"/>
      <c r="M218" s="505"/>
      <c r="N218" s="654"/>
      <c r="O218" s="1561"/>
      <c r="P218" s="1453"/>
      <c r="Q218" s="520"/>
      <c r="R218" s="483"/>
      <c r="S218" s="483"/>
      <c r="T218" s="483"/>
      <c r="U218" s="483"/>
      <c r="V218" s="483"/>
      <c r="W218" s="483"/>
      <c r="X218" s="507"/>
      <c r="Y218" s="1824"/>
      <c r="Z218" s="1824"/>
      <c r="AA218" s="1824"/>
      <c r="AB218" s="1824"/>
      <c r="AC218" s="1824"/>
      <c r="AD218" s="1571"/>
      <c r="AE218" s="707"/>
      <c r="AF218" s="703"/>
      <c r="AG218" s="703"/>
      <c r="AH218" s="703"/>
      <c r="AI218" s="703"/>
      <c r="AJ218" s="704"/>
      <c r="AK218" s="704"/>
      <c r="AL218" s="704"/>
      <c r="AM218" s="704"/>
      <c r="AN218" s="704"/>
      <c r="AO218" s="704"/>
      <c r="AP218" s="704"/>
      <c r="AQ218" s="704"/>
      <c r="AR218" s="704"/>
      <c r="AS218" s="704"/>
      <c r="AT218" s="704"/>
      <c r="AU218" s="1829"/>
      <c r="AV218" s="1833"/>
      <c r="AW218" s="1834"/>
      <c r="AX218" s="1834"/>
      <c r="AY218" s="1834"/>
      <c r="AZ218" s="1825"/>
      <c r="BA218" s="1825"/>
      <c r="BB218" s="705"/>
      <c r="BC218" s="705"/>
      <c r="BD218" s="705"/>
    </row>
    <row r="219" spans="2:56" s="655" customFormat="1" ht="24.95" customHeight="1">
      <c r="B219" s="281"/>
      <c r="C219" s="483"/>
      <c r="D219" s="483"/>
      <c r="E219" s="483"/>
      <c r="F219" s="652"/>
      <c r="G219" s="653"/>
      <c r="H219" s="505"/>
      <c r="I219" s="654"/>
      <c r="J219" s="662"/>
      <c r="K219" s="662"/>
      <c r="L219" s="507"/>
      <c r="M219" s="505"/>
      <c r="N219" s="654"/>
      <c r="O219" s="1561"/>
      <c r="P219" s="1453"/>
      <c r="Q219" s="520"/>
      <c r="R219" s="483"/>
      <c r="S219" s="483"/>
      <c r="T219" s="483"/>
      <c r="U219" s="483"/>
      <c r="V219" s="483"/>
      <c r="W219" s="483"/>
      <c r="X219" s="507"/>
      <c r="Y219" s="1824"/>
      <c r="Z219" s="1824"/>
      <c r="AA219" s="1824"/>
      <c r="AB219" s="1824"/>
      <c r="AC219" s="1824"/>
      <c r="AD219" s="1571"/>
      <c r="AE219" s="707"/>
      <c r="AF219" s="703"/>
      <c r="AG219" s="703"/>
      <c r="AH219" s="703"/>
      <c r="AI219" s="703"/>
      <c r="AJ219" s="704"/>
      <c r="AK219" s="704"/>
      <c r="AL219" s="704"/>
      <c r="AM219" s="704"/>
      <c r="AN219" s="704"/>
      <c r="AO219" s="704"/>
      <c r="AP219" s="704"/>
      <c r="AQ219" s="704"/>
      <c r="AR219" s="704"/>
      <c r="AS219" s="704"/>
      <c r="AT219" s="704"/>
      <c r="AU219" s="1829"/>
      <c r="AV219" s="1833"/>
      <c r="AW219" s="1834"/>
      <c r="AX219" s="1834"/>
      <c r="AY219" s="1834"/>
      <c r="AZ219" s="1825"/>
      <c r="BA219" s="1825"/>
      <c r="BB219" s="705"/>
      <c r="BC219" s="705"/>
      <c r="BD219" s="705"/>
    </row>
    <row r="220" spans="2:56" s="655" customFormat="1" ht="24.95" customHeight="1">
      <c r="B220" s="281"/>
      <c r="C220" s="483"/>
      <c r="D220" s="483"/>
      <c r="E220" s="483"/>
      <c r="F220" s="652"/>
      <c r="G220" s="653"/>
      <c r="H220" s="505"/>
      <c r="I220" s="654"/>
      <c r="J220" s="662"/>
      <c r="K220" s="662"/>
      <c r="L220" s="505"/>
      <c r="M220" s="505"/>
      <c r="N220" s="654"/>
      <c r="O220" s="1561"/>
      <c r="P220" s="1453"/>
      <c r="Q220" s="520"/>
      <c r="R220" s="483"/>
      <c r="S220" s="483"/>
      <c r="T220" s="483"/>
      <c r="U220" s="483"/>
      <c r="V220" s="483"/>
      <c r="W220" s="483"/>
      <c r="X220" s="507"/>
      <c r="Y220" s="1824"/>
      <c r="Z220" s="1824"/>
      <c r="AA220" s="1824"/>
      <c r="AB220" s="1825"/>
      <c r="AC220" s="1825"/>
      <c r="AD220" s="1564"/>
      <c r="AE220" s="701"/>
      <c r="AF220" s="684"/>
      <c r="AG220" s="684"/>
      <c r="AH220" s="661"/>
      <c r="AI220" s="661"/>
      <c r="AJ220" s="661"/>
      <c r="AK220" s="661"/>
      <c r="AL220" s="661"/>
      <c r="AM220" s="661"/>
      <c r="AN220" s="661"/>
      <c r="AO220" s="661"/>
      <c r="AP220" s="661"/>
      <c r="AQ220" s="661"/>
      <c r="AR220" s="661"/>
      <c r="AS220" s="661"/>
      <c r="AT220" s="661"/>
      <c r="AU220" s="1829"/>
      <c r="AV220" s="1835"/>
      <c r="AW220" s="1836"/>
      <c r="AX220" s="1836"/>
      <c r="AY220" s="1836"/>
      <c r="AZ220" s="1825"/>
      <c r="BA220" s="1825"/>
    </row>
    <row r="221" spans="2:56" s="188" customFormat="1" ht="24.95" customHeight="1">
      <c r="B221" s="281"/>
      <c r="C221" s="483"/>
      <c r="D221" s="483"/>
      <c r="E221" s="483"/>
      <c r="F221" s="652"/>
      <c r="G221" s="653"/>
      <c r="H221" s="505"/>
      <c r="I221" s="654"/>
      <c r="J221" s="662"/>
      <c r="K221" s="662"/>
      <c r="L221" s="505"/>
      <c r="M221" s="505"/>
      <c r="N221" s="654"/>
      <c r="O221" s="1561"/>
      <c r="P221" s="1453"/>
      <c r="Q221" s="520"/>
      <c r="R221" s="483"/>
      <c r="S221" s="483"/>
      <c r="T221" s="483"/>
      <c r="U221" s="483"/>
      <c r="V221" s="483"/>
      <c r="W221" s="483"/>
      <c r="X221" s="507"/>
      <c r="Y221" s="1824"/>
      <c r="Z221" s="1824"/>
      <c r="AA221" s="1824"/>
      <c r="AB221" s="1825"/>
      <c r="AC221" s="1825"/>
      <c r="AD221" s="1564"/>
      <c r="AE221" s="701"/>
      <c r="AF221" s="684"/>
      <c r="AG221" s="684"/>
      <c r="AH221" s="710"/>
      <c r="AI221" s="710"/>
      <c r="AJ221" s="710"/>
      <c r="AK221" s="710"/>
      <c r="AL221" s="710"/>
      <c r="AM221" s="710"/>
      <c r="AN221" s="710"/>
      <c r="AO221" s="710"/>
      <c r="AP221" s="710"/>
      <c r="AQ221" s="710"/>
      <c r="AR221" s="710"/>
      <c r="AS221" s="710"/>
      <c r="AT221" s="710"/>
      <c r="AU221" s="1829"/>
      <c r="AV221" s="1835"/>
      <c r="AW221" s="1836"/>
      <c r="AX221" s="1836"/>
      <c r="AY221" s="1836"/>
      <c r="AZ221" s="1825"/>
      <c r="BA221" s="1825"/>
    </row>
    <row r="222" spans="2:56" s="188" customFormat="1" ht="24.95" customHeight="1">
      <c r="B222" s="281"/>
      <c r="C222" s="483"/>
      <c r="D222" s="483"/>
      <c r="E222" s="483"/>
      <c r="F222" s="652"/>
      <c r="G222" s="653"/>
      <c r="H222" s="505"/>
      <c r="I222" s="654"/>
      <c r="J222" s="662"/>
      <c r="K222" s="662"/>
      <c r="L222" s="505"/>
      <c r="M222" s="505"/>
      <c r="N222" s="654"/>
      <c r="O222" s="1561"/>
      <c r="P222" s="1453"/>
      <c r="Q222" s="520"/>
      <c r="R222" s="483"/>
      <c r="S222" s="483"/>
      <c r="T222" s="483"/>
      <c r="U222" s="483"/>
      <c r="V222" s="483"/>
      <c r="W222" s="483"/>
      <c r="X222" s="507"/>
      <c r="Y222" s="1824"/>
      <c r="Z222" s="1824"/>
      <c r="AA222" s="1824"/>
      <c r="AB222" s="1825"/>
      <c r="AC222" s="1825"/>
      <c r="AD222" s="1564"/>
      <c r="AE222" s="701"/>
      <c r="AF222" s="684"/>
      <c r="AG222" s="684"/>
      <c r="AH222" s="710"/>
      <c r="AI222" s="710"/>
      <c r="AJ222" s="710"/>
      <c r="AK222" s="710"/>
      <c r="AL222" s="710"/>
      <c r="AM222" s="710"/>
      <c r="AN222" s="710"/>
      <c r="AO222" s="710"/>
      <c r="AP222" s="710"/>
      <c r="AQ222" s="710"/>
      <c r="AR222" s="710"/>
      <c r="AS222" s="710"/>
      <c r="AT222" s="710"/>
      <c r="AU222" s="1829"/>
      <c r="AV222" s="1835"/>
      <c r="AW222" s="1836"/>
      <c r="AX222" s="1836"/>
      <c r="AY222" s="1836"/>
      <c r="AZ222" s="1825"/>
      <c r="BA222" s="1825"/>
    </row>
    <row r="223" spans="2:56" s="188" customFormat="1" ht="24.95" customHeight="1">
      <c r="B223" s="281"/>
      <c r="C223" s="483"/>
      <c r="D223" s="483"/>
      <c r="E223" s="483"/>
      <c r="F223" s="652"/>
      <c r="G223" s="653"/>
      <c r="H223" s="505"/>
      <c r="I223" s="654"/>
      <c r="J223" s="662"/>
      <c r="K223" s="662"/>
      <c r="L223" s="505"/>
      <c r="M223" s="505"/>
      <c r="N223" s="654"/>
      <c r="O223" s="1561"/>
      <c r="P223" s="1453"/>
      <c r="Q223" s="520"/>
      <c r="R223" s="483"/>
      <c r="S223" s="483"/>
      <c r="T223" s="483"/>
      <c r="U223" s="483"/>
      <c r="V223" s="483"/>
      <c r="W223" s="483"/>
      <c r="X223" s="507"/>
      <c r="Y223" s="1824"/>
      <c r="Z223" s="1824"/>
      <c r="AA223" s="1824"/>
      <c r="AB223" s="1825"/>
      <c r="AC223" s="1825"/>
      <c r="AD223" s="1564"/>
      <c r="AE223" s="701"/>
      <c r="AF223" s="684"/>
      <c r="AG223" s="684"/>
      <c r="AH223" s="710"/>
      <c r="AI223" s="710"/>
      <c r="AJ223" s="710"/>
      <c r="AK223" s="710"/>
      <c r="AL223" s="710"/>
      <c r="AM223" s="710"/>
      <c r="AN223" s="710"/>
      <c r="AO223" s="710"/>
      <c r="AP223" s="710"/>
      <c r="AQ223" s="710"/>
      <c r="AR223" s="710"/>
      <c r="AS223" s="710"/>
      <c r="AT223" s="710"/>
      <c r="AU223" s="1829"/>
      <c r="AV223" s="1835"/>
      <c r="AW223" s="1836"/>
      <c r="AX223" s="1836"/>
      <c r="AY223" s="1836"/>
      <c r="AZ223" s="1825"/>
      <c r="BA223" s="1825"/>
    </row>
    <row r="224" spans="2:56" s="188" customFormat="1" ht="24.95" customHeight="1">
      <c r="B224" s="281"/>
      <c r="C224" s="483"/>
      <c r="D224" s="483"/>
      <c r="E224" s="483"/>
      <c r="F224" s="652"/>
      <c r="G224" s="653"/>
      <c r="H224" s="505"/>
      <c r="I224" s="654"/>
      <c r="J224" s="662"/>
      <c r="K224" s="662"/>
      <c r="L224" s="505"/>
      <c r="M224" s="505"/>
      <c r="N224" s="654"/>
      <c r="O224" s="1561"/>
      <c r="P224" s="1453"/>
      <c r="Q224" s="520"/>
      <c r="R224" s="483"/>
      <c r="S224" s="483"/>
      <c r="T224" s="483"/>
      <c r="U224" s="483"/>
      <c r="V224" s="483"/>
      <c r="W224" s="483"/>
      <c r="X224" s="507"/>
      <c r="Y224" s="1824"/>
      <c r="Z224" s="1824"/>
      <c r="AA224" s="1824"/>
      <c r="AB224" s="1825"/>
      <c r="AC224" s="1825"/>
      <c r="AD224" s="1564"/>
      <c r="AE224" s="701"/>
      <c r="AF224" s="684"/>
      <c r="AG224" s="684"/>
      <c r="AH224" s="710"/>
      <c r="AI224" s="710"/>
      <c r="AJ224" s="710"/>
      <c r="AK224" s="710"/>
      <c r="AL224" s="710"/>
      <c r="AM224" s="710"/>
      <c r="AN224" s="710"/>
      <c r="AO224" s="710"/>
      <c r="AP224" s="710"/>
      <c r="AQ224" s="710"/>
      <c r="AR224" s="710"/>
      <c r="AS224" s="710"/>
      <c r="AT224" s="710"/>
      <c r="AU224" s="1829"/>
      <c r="AV224" s="1835"/>
      <c r="AW224" s="1836"/>
      <c r="AX224" s="1836"/>
      <c r="AY224" s="1836"/>
      <c r="AZ224" s="1825"/>
      <c r="BA224" s="1825"/>
    </row>
    <row r="225" spans="2:53" s="188" customFormat="1" ht="24.95" customHeight="1">
      <c r="B225" s="281"/>
      <c r="C225" s="483"/>
      <c r="D225" s="483"/>
      <c r="E225" s="483"/>
      <c r="F225" s="652"/>
      <c r="G225" s="653"/>
      <c r="H225" s="505"/>
      <c r="I225" s="654"/>
      <c r="J225" s="662"/>
      <c r="K225" s="662"/>
      <c r="L225" s="505"/>
      <c r="M225" s="505"/>
      <c r="N225" s="654"/>
      <c r="O225" s="1561"/>
      <c r="P225" s="1453"/>
      <c r="Q225" s="520"/>
      <c r="R225" s="483"/>
      <c r="S225" s="483"/>
      <c r="T225" s="483"/>
      <c r="U225" s="483"/>
      <c r="V225" s="483"/>
      <c r="W225" s="483"/>
      <c r="X225" s="507"/>
      <c r="Y225" s="1824"/>
      <c r="Z225" s="1824"/>
      <c r="AA225" s="1824"/>
      <c r="AB225" s="1825"/>
      <c r="AC225" s="1825"/>
      <c r="AD225" s="1564"/>
      <c r="AE225" s="701"/>
      <c r="AF225" s="684"/>
      <c r="AG225" s="684"/>
      <c r="AH225" s="710"/>
      <c r="AI225" s="710"/>
      <c r="AJ225" s="710"/>
      <c r="AK225" s="710"/>
      <c r="AL225" s="710"/>
      <c r="AM225" s="710"/>
      <c r="AN225" s="710"/>
      <c r="AO225" s="710"/>
      <c r="AP225" s="710"/>
      <c r="AQ225" s="710"/>
      <c r="AR225" s="710"/>
      <c r="AS225" s="710"/>
      <c r="AT225" s="710"/>
      <c r="AU225" s="1829"/>
      <c r="AV225" s="1835"/>
      <c r="AW225" s="1836"/>
      <c r="AX225" s="1836"/>
      <c r="AY225" s="1836"/>
      <c r="AZ225" s="1825"/>
      <c r="BA225" s="1825"/>
    </row>
    <row r="226" spans="2:53" s="188" customFormat="1" ht="24.95" customHeight="1">
      <c r="B226" s="281"/>
      <c r="C226" s="483"/>
      <c r="D226" s="483"/>
      <c r="E226" s="483"/>
      <c r="F226" s="652"/>
      <c r="G226" s="653"/>
      <c r="H226" s="505"/>
      <c r="I226" s="654"/>
      <c r="J226" s="662"/>
      <c r="K226" s="662"/>
      <c r="L226" s="505"/>
      <c r="M226" s="505"/>
      <c r="N226" s="654"/>
      <c r="O226" s="1561"/>
      <c r="P226" s="1453"/>
      <c r="Q226" s="520"/>
      <c r="R226" s="483"/>
      <c r="S226" s="483"/>
      <c r="T226" s="483"/>
      <c r="U226" s="483"/>
      <c r="V226" s="483"/>
      <c r="W226" s="483"/>
      <c r="X226" s="507"/>
      <c r="Y226" s="1824"/>
      <c r="Z226" s="1824"/>
      <c r="AA226" s="1824"/>
      <c r="AB226" s="1825"/>
      <c r="AC226" s="1825"/>
      <c r="AD226" s="1564"/>
      <c r="AE226" s="701"/>
      <c r="AF226" s="684"/>
      <c r="AG226" s="684"/>
      <c r="AH226" s="710"/>
      <c r="AI226" s="710"/>
      <c r="AJ226" s="710"/>
      <c r="AK226" s="710"/>
      <c r="AL226" s="710"/>
      <c r="AM226" s="710"/>
      <c r="AN226" s="710"/>
      <c r="AO226" s="710"/>
      <c r="AP226" s="710"/>
      <c r="AQ226" s="710"/>
      <c r="AR226" s="710"/>
      <c r="AS226" s="710"/>
      <c r="AT226" s="710"/>
      <c r="AU226" s="1829"/>
      <c r="AV226" s="1835"/>
      <c r="AW226" s="1836"/>
      <c r="AX226" s="1836"/>
      <c r="AY226" s="1836"/>
      <c r="AZ226" s="1825"/>
      <c r="BA226" s="1825"/>
    </row>
    <row r="227" spans="2:53" s="188" customFormat="1" ht="24.95" customHeight="1">
      <c r="B227" s="281"/>
      <c r="C227" s="483"/>
      <c r="D227" s="483"/>
      <c r="E227" s="483"/>
      <c r="F227" s="652"/>
      <c r="G227" s="653"/>
      <c r="H227" s="505"/>
      <c r="I227" s="654"/>
      <c r="J227" s="662"/>
      <c r="K227" s="662"/>
      <c r="L227" s="505"/>
      <c r="M227" s="505"/>
      <c r="N227" s="654"/>
      <c r="O227" s="1561"/>
      <c r="P227" s="1453"/>
      <c r="Q227" s="520"/>
      <c r="R227" s="483"/>
      <c r="S227" s="483"/>
      <c r="T227" s="483"/>
      <c r="U227" s="483"/>
      <c r="V227" s="483"/>
      <c r="W227" s="483"/>
      <c r="X227" s="507"/>
      <c r="Y227" s="1824"/>
      <c r="Z227" s="1824"/>
      <c r="AA227" s="1824"/>
      <c r="AB227" s="1825"/>
      <c r="AC227" s="1825"/>
      <c r="AD227" s="1564"/>
      <c r="AE227" s="701"/>
      <c r="AF227" s="684"/>
      <c r="AG227" s="684"/>
      <c r="AH227" s="710"/>
      <c r="AI227" s="710"/>
      <c r="AJ227" s="710"/>
      <c r="AK227" s="710"/>
      <c r="AL227" s="710"/>
      <c r="AM227" s="710"/>
      <c r="AN227" s="710"/>
      <c r="AO227" s="710"/>
      <c r="AP227" s="710"/>
      <c r="AQ227" s="710"/>
      <c r="AR227" s="710"/>
      <c r="AS227" s="710"/>
      <c r="AT227" s="710"/>
      <c r="AU227" s="1829"/>
      <c r="AV227" s="1835"/>
      <c r="AW227" s="1836"/>
      <c r="AX227" s="1836"/>
      <c r="AY227" s="1836"/>
      <c r="AZ227" s="1825"/>
      <c r="BA227" s="1825"/>
    </row>
    <row r="228" spans="2:53" s="188" customFormat="1" ht="24.95" customHeight="1">
      <c r="B228" s="281"/>
      <c r="C228" s="483"/>
      <c r="D228" s="483"/>
      <c r="E228" s="483"/>
      <c r="F228" s="652"/>
      <c r="G228" s="653"/>
      <c r="H228" s="505"/>
      <c r="I228" s="654"/>
      <c r="J228" s="662"/>
      <c r="K228" s="662"/>
      <c r="L228" s="505"/>
      <c r="M228" s="505"/>
      <c r="N228" s="654"/>
      <c r="O228" s="1561"/>
      <c r="P228" s="1453"/>
      <c r="Q228" s="520"/>
      <c r="R228" s="483"/>
      <c r="S228" s="483"/>
      <c r="T228" s="483"/>
      <c r="U228" s="483"/>
      <c r="V228" s="483"/>
      <c r="W228" s="483"/>
      <c r="X228" s="507"/>
      <c r="Y228" s="1824"/>
      <c r="Z228" s="1824"/>
      <c r="AA228" s="1824"/>
      <c r="AB228" s="1825"/>
      <c r="AC228" s="1825"/>
      <c r="AD228" s="1564"/>
      <c r="AE228" s="701"/>
      <c r="AF228" s="684"/>
      <c r="AG228" s="684"/>
      <c r="AH228" s="710"/>
      <c r="AI228" s="710"/>
      <c r="AJ228" s="710"/>
      <c r="AK228" s="710"/>
      <c r="AL228" s="710"/>
      <c r="AM228" s="710"/>
      <c r="AN228" s="710"/>
      <c r="AO228" s="710"/>
      <c r="AP228" s="710"/>
      <c r="AQ228" s="710"/>
      <c r="AR228" s="710"/>
      <c r="AS228" s="710"/>
      <c r="AT228" s="710"/>
      <c r="AU228" s="1829"/>
      <c r="AV228" s="1835"/>
      <c r="AW228" s="1836"/>
      <c r="AX228" s="1836"/>
      <c r="AY228" s="1836"/>
      <c r="AZ228" s="1825"/>
      <c r="BA228" s="1825"/>
    </row>
    <row r="229" spans="2:53" s="188" customFormat="1" ht="24.95" customHeight="1">
      <c r="B229" s="281"/>
      <c r="C229" s="483"/>
      <c r="D229" s="483"/>
      <c r="E229" s="483"/>
      <c r="F229" s="652"/>
      <c r="G229" s="653"/>
      <c r="H229" s="505"/>
      <c r="I229" s="654"/>
      <c r="J229" s="662"/>
      <c r="K229" s="662"/>
      <c r="L229" s="505"/>
      <c r="M229" s="505"/>
      <c r="N229" s="654"/>
      <c r="O229" s="1561"/>
      <c r="P229" s="1453"/>
      <c r="Q229" s="520"/>
      <c r="R229" s="483"/>
      <c r="S229" s="483"/>
      <c r="T229" s="483"/>
      <c r="U229" s="483"/>
      <c r="V229" s="483"/>
      <c r="W229" s="483"/>
      <c r="X229" s="507"/>
      <c r="Y229" s="1824"/>
      <c r="Z229" s="1824"/>
      <c r="AA229" s="1824"/>
      <c r="AB229" s="1825"/>
      <c r="AC229" s="1825"/>
      <c r="AD229" s="1564"/>
      <c r="AE229" s="701"/>
      <c r="AF229" s="684"/>
      <c r="AG229" s="684"/>
      <c r="AH229" s="710"/>
      <c r="AI229" s="710"/>
      <c r="AJ229" s="710"/>
      <c r="AK229" s="710"/>
      <c r="AL229" s="710"/>
      <c r="AM229" s="710"/>
      <c r="AN229" s="710"/>
      <c r="AO229" s="710"/>
      <c r="AP229" s="710"/>
      <c r="AQ229" s="710"/>
      <c r="AR229" s="710"/>
      <c r="AS229" s="710"/>
      <c r="AT229" s="710"/>
      <c r="AU229" s="1829"/>
      <c r="AV229" s="1835"/>
      <c r="AW229" s="1836"/>
      <c r="AX229" s="1836"/>
      <c r="AY229" s="1836"/>
      <c r="AZ229" s="1825"/>
      <c r="BA229" s="1825"/>
    </row>
    <row r="230" spans="2:53" s="188" customFormat="1" ht="24.95" customHeight="1">
      <c r="B230" s="281"/>
      <c r="C230" s="483"/>
      <c r="D230" s="483"/>
      <c r="E230" s="483"/>
      <c r="F230" s="652"/>
      <c r="G230" s="653"/>
      <c r="H230" s="505"/>
      <c r="I230" s="654"/>
      <c r="J230" s="662"/>
      <c r="K230" s="662"/>
      <c r="L230" s="505"/>
      <c r="M230" s="505"/>
      <c r="N230" s="654"/>
      <c r="O230" s="1561"/>
      <c r="P230" s="1453"/>
      <c r="Q230" s="520"/>
      <c r="R230" s="483"/>
      <c r="S230" s="483"/>
      <c r="T230" s="483"/>
      <c r="U230" s="483"/>
      <c r="V230" s="483"/>
      <c r="W230" s="483"/>
      <c r="X230" s="507"/>
      <c r="Y230" s="1824"/>
      <c r="Z230" s="1824"/>
      <c r="AA230" s="1824"/>
      <c r="AB230" s="1825"/>
      <c r="AC230" s="1825"/>
      <c r="AD230" s="1564"/>
      <c r="AE230" s="701"/>
      <c r="AF230" s="684"/>
      <c r="AG230" s="684"/>
      <c r="AH230" s="710"/>
      <c r="AI230" s="710"/>
      <c r="AJ230" s="710"/>
      <c r="AK230" s="710"/>
      <c r="AL230" s="710"/>
      <c r="AM230" s="710"/>
      <c r="AN230" s="710"/>
      <c r="AO230" s="710"/>
      <c r="AP230" s="710"/>
      <c r="AQ230" s="710"/>
      <c r="AR230" s="710"/>
      <c r="AS230" s="710"/>
      <c r="AT230" s="710"/>
      <c r="AU230" s="1829"/>
      <c r="AV230" s="1835"/>
      <c r="AW230" s="1836"/>
      <c r="AX230" s="1836"/>
      <c r="AY230" s="1836"/>
      <c r="AZ230" s="1825"/>
      <c r="BA230" s="1825"/>
    </row>
    <row r="231" spans="2:53" s="188" customFormat="1" ht="24.95" customHeight="1">
      <c r="B231" s="281"/>
      <c r="C231" s="483"/>
      <c r="D231" s="483"/>
      <c r="E231" s="483"/>
      <c r="F231" s="652"/>
      <c r="G231" s="653"/>
      <c r="H231" s="505"/>
      <c r="I231" s="654"/>
      <c r="J231" s="662"/>
      <c r="K231" s="662"/>
      <c r="L231" s="505"/>
      <c r="M231" s="505"/>
      <c r="N231" s="654"/>
      <c r="O231" s="1561"/>
      <c r="P231" s="1453"/>
      <c r="Q231" s="520"/>
      <c r="R231" s="483"/>
      <c r="S231" s="483"/>
      <c r="T231" s="483"/>
      <c r="U231" s="483"/>
      <c r="V231" s="483"/>
      <c r="W231" s="483"/>
      <c r="X231" s="507"/>
      <c r="Y231" s="1824"/>
      <c r="Z231" s="1824"/>
      <c r="AA231" s="1824"/>
      <c r="AB231" s="1825"/>
      <c r="AC231" s="1825"/>
      <c r="AD231" s="1564"/>
      <c r="AE231" s="701"/>
      <c r="AF231" s="684"/>
      <c r="AG231" s="684"/>
      <c r="AH231" s="710"/>
      <c r="AI231" s="710"/>
      <c r="AJ231" s="710"/>
      <c r="AK231" s="710"/>
      <c r="AL231" s="710"/>
      <c r="AM231" s="710"/>
      <c r="AN231" s="710"/>
      <c r="AO231" s="710"/>
      <c r="AP231" s="710"/>
      <c r="AQ231" s="710"/>
      <c r="AR231" s="710"/>
      <c r="AS231" s="710"/>
      <c r="AT231" s="710"/>
      <c r="AU231" s="1829"/>
      <c r="AV231" s="1835"/>
      <c r="AW231" s="1836"/>
      <c r="AX231" s="1836"/>
      <c r="AY231" s="1836"/>
      <c r="AZ231" s="1825"/>
      <c r="BA231" s="1825"/>
    </row>
    <row r="232" spans="2:53" s="188" customFormat="1" ht="24.95" customHeight="1">
      <c r="B232" s="281"/>
      <c r="C232" s="483"/>
      <c r="D232" s="483"/>
      <c r="E232" s="483"/>
      <c r="F232" s="652"/>
      <c r="G232" s="653"/>
      <c r="H232" s="505"/>
      <c r="I232" s="654"/>
      <c r="J232" s="662"/>
      <c r="K232" s="662"/>
      <c r="L232" s="505"/>
      <c r="M232" s="505"/>
      <c r="N232" s="654"/>
      <c r="O232" s="1561"/>
      <c r="P232" s="1453"/>
      <c r="Q232" s="520"/>
      <c r="R232" s="483"/>
      <c r="S232" s="483"/>
      <c r="T232" s="483"/>
      <c r="U232" s="483"/>
      <c r="V232" s="483"/>
      <c r="W232" s="483"/>
      <c r="X232" s="507"/>
      <c r="Y232" s="1824"/>
      <c r="Z232" s="1824"/>
      <c r="AA232" s="1824"/>
      <c r="AB232" s="1825"/>
      <c r="AC232" s="1825"/>
      <c r="AD232" s="1564"/>
      <c r="AE232" s="701"/>
      <c r="AF232" s="684"/>
      <c r="AG232" s="684"/>
      <c r="AH232" s="710"/>
      <c r="AI232" s="710"/>
      <c r="AJ232" s="710"/>
      <c r="AK232" s="710"/>
      <c r="AL232" s="710"/>
      <c r="AM232" s="710"/>
      <c r="AN232" s="710"/>
      <c r="AO232" s="710"/>
      <c r="AP232" s="710"/>
      <c r="AQ232" s="710"/>
      <c r="AR232" s="710"/>
      <c r="AS232" s="710"/>
      <c r="AT232" s="710"/>
      <c r="AU232" s="1829"/>
      <c r="AV232" s="1835"/>
      <c r="AW232" s="1836"/>
      <c r="AX232" s="1836"/>
      <c r="AY232" s="1836"/>
      <c r="AZ232" s="1825"/>
      <c r="BA232" s="1825"/>
    </row>
    <row r="233" spans="2:53" s="188" customFormat="1" ht="24.95" customHeight="1">
      <c r="B233" s="281"/>
      <c r="C233" s="483"/>
      <c r="D233" s="483"/>
      <c r="E233" s="483"/>
      <c r="F233" s="652"/>
      <c r="G233" s="653"/>
      <c r="H233" s="505"/>
      <c r="I233" s="654"/>
      <c r="J233" s="662"/>
      <c r="K233" s="662"/>
      <c r="L233" s="505"/>
      <c r="M233" s="505"/>
      <c r="N233" s="654"/>
      <c r="O233" s="1561"/>
      <c r="P233" s="1453"/>
      <c r="Q233" s="520"/>
      <c r="R233" s="483"/>
      <c r="S233" s="483"/>
      <c r="T233" s="483"/>
      <c r="U233" s="483"/>
      <c r="V233" s="483"/>
      <c r="W233" s="483"/>
      <c r="X233" s="507"/>
      <c r="Y233" s="1824"/>
      <c r="Z233" s="1824"/>
      <c r="AA233" s="1824"/>
      <c r="AB233" s="1825"/>
      <c r="AC233" s="1825"/>
      <c r="AD233" s="1564"/>
      <c r="AE233" s="701"/>
      <c r="AF233" s="684"/>
      <c r="AG233" s="684"/>
      <c r="AH233" s="710"/>
      <c r="AI233" s="710"/>
      <c r="AJ233" s="710"/>
      <c r="AK233" s="710"/>
      <c r="AL233" s="710"/>
      <c r="AM233" s="710"/>
      <c r="AN233" s="710"/>
      <c r="AO233" s="710"/>
      <c r="AP233" s="710"/>
      <c r="AQ233" s="710"/>
      <c r="AR233" s="710"/>
      <c r="AS233" s="710"/>
      <c r="AT233" s="710"/>
      <c r="AU233" s="1829"/>
      <c r="AV233" s="1835"/>
      <c r="AW233" s="1836"/>
      <c r="AX233" s="1836"/>
      <c r="AY233" s="1836"/>
      <c r="AZ233" s="1825"/>
      <c r="BA233" s="1825"/>
    </row>
    <row r="234" spans="2:53" s="188" customFormat="1" ht="24.95" customHeight="1">
      <c r="B234" s="281"/>
      <c r="C234" s="483"/>
      <c r="D234" s="483"/>
      <c r="E234" s="483"/>
      <c r="F234" s="652"/>
      <c r="G234" s="653"/>
      <c r="H234" s="505"/>
      <c r="I234" s="654"/>
      <c r="J234" s="662"/>
      <c r="K234" s="662"/>
      <c r="L234" s="505"/>
      <c r="M234" s="505"/>
      <c r="N234" s="654"/>
      <c r="O234" s="1561"/>
      <c r="P234" s="1453"/>
      <c r="Q234" s="520"/>
      <c r="R234" s="483"/>
      <c r="S234" s="483"/>
      <c r="T234" s="483"/>
      <c r="U234" s="483"/>
      <c r="V234" s="483"/>
      <c r="W234" s="483"/>
      <c r="X234" s="507"/>
      <c r="Y234" s="1824"/>
      <c r="Z234" s="1824"/>
      <c r="AA234" s="1824"/>
      <c r="AB234" s="1825"/>
      <c r="AC234" s="1825"/>
      <c r="AD234" s="1564"/>
      <c r="AE234" s="701"/>
      <c r="AF234" s="684"/>
      <c r="AG234" s="684"/>
      <c r="AH234" s="710"/>
      <c r="AI234" s="710"/>
      <c r="AJ234" s="710"/>
      <c r="AK234" s="710"/>
      <c r="AL234" s="710"/>
      <c r="AM234" s="710"/>
      <c r="AN234" s="710"/>
      <c r="AO234" s="710"/>
      <c r="AP234" s="710"/>
      <c r="AQ234" s="710"/>
      <c r="AR234" s="710"/>
      <c r="AS234" s="710"/>
      <c r="AT234" s="710"/>
      <c r="AU234" s="1829"/>
      <c r="AV234" s="1835"/>
      <c r="AW234" s="1836"/>
      <c r="AX234" s="1836"/>
      <c r="AY234" s="1836"/>
      <c r="AZ234" s="1825"/>
      <c r="BA234" s="1825"/>
    </row>
    <row r="235" spans="2:53" s="188" customFormat="1" ht="24.95" customHeight="1">
      <c r="B235" s="281"/>
      <c r="C235" s="483"/>
      <c r="D235" s="483"/>
      <c r="E235" s="483"/>
      <c r="F235" s="652"/>
      <c r="G235" s="653"/>
      <c r="H235" s="505"/>
      <c r="I235" s="654"/>
      <c r="J235" s="662"/>
      <c r="K235" s="662"/>
      <c r="L235" s="505"/>
      <c r="M235" s="505"/>
      <c r="N235" s="654"/>
      <c r="O235" s="1561"/>
      <c r="P235" s="1453"/>
      <c r="Q235" s="520"/>
      <c r="R235" s="483"/>
      <c r="S235" s="483"/>
      <c r="T235" s="483"/>
      <c r="U235" s="483"/>
      <c r="V235" s="483"/>
      <c r="W235" s="483"/>
      <c r="X235" s="507"/>
      <c r="Y235" s="1824"/>
      <c r="Z235" s="1824"/>
      <c r="AA235" s="1824"/>
      <c r="AB235" s="1825"/>
      <c r="AC235" s="1825"/>
      <c r="AD235" s="1564"/>
      <c r="AE235" s="701"/>
      <c r="AF235" s="684"/>
      <c r="AG235" s="684"/>
      <c r="AH235" s="710"/>
      <c r="AI235" s="710"/>
      <c r="AJ235" s="710"/>
      <c r="AK235" s="710"/>
      <c r="AL235" s="710"/>
      <c r="AM235" s="710"/>
      <c r="AN235" s="710"/>
      <c r="AO235" s="710"/>
      <c r="AP235" s="710"/>
      <c r="AQ235" s="710"/>
      <c r="AR235" s="710"/>
      <c r="AS235" s="710"/>
      <c r="AT235" s="710"/>
      <c r="AU235" s="1829"/>
      <c r="AV235" s="1835"/>
      <c r="AW235" s="1836"/>
      <c r="AX235" s="1836"/>
      <c r="AY235" s="1836"/>
      <c r="AZ235" s="1825"/>
      <c r="BA235" s="1825"/>
    </row>
    <row r="236" spans="2:53" s="188" customFormat="1" ht="24.95" customHeight="1">
      <c r="B236" s="281"/>
      <c r="C236" s="483"/>
      <c r="D236" s="483"/>
      <c r="E236" s="483"/>
      <c r="F236" s="652"/>
      <c r="G236" s="653"/>
      <c r="H236" s="505"/>
      <c r="I236" s="654"/>
      <c r="J236" s="662"/>
      <c r="K236" s="662"/>
      <c r="L236" s="505"/>
      <c r="M236" s="505"/>
      <c r="N236" s="654"/>
      <c r="O236" s="1561"/>
      <c r="P236" s="1453"/>
      <c r="Q236" s="520"/>
      <c r="R236" s="483"/>
      <c r="S236" s="483"/>
      <c r="T236" s="483"/>
      <c r="U236" s="483"/>
      <c r="V236" s="483"/>
      <c r="W236" s="483"/>
      <c r="X236" s="507"/>
      <c r="Y236" s="1824"/>
      <c r="Z236" s="1824"/>
      <c r="AA236" s="1824"/>
      <c r="AB236" s="1825"/>
      <c r="AC236" s="1825"/>
      <c r="AD236" s="1564"/>
      <c r="AE236" s="701"/>
      <c r="AF236" s="684"/>
      <c r="AG236" s="684"/>
      <c r="AH236" s="710"/>
      <c r="AI236" s="710"/>
      <c r="AJ236" s="710"/>
      <c r="AK236" s="710"/>
      <c r="AL236" s="710"/>
      <c r="AM236" s="710"/>
      <c r="AN236" s="710"/>
      <c r="AO236" s="710"/>
      <c r="AP236" s="710"/>
      <c r="AQ236" s="710"/>
      <c r="AR236" s="710"/>
      <c r="AS236" s="710"/>
      <c r="AT236" s="710"/>
      <c r="AU236" s="1829"/>
      <c r="AV236" s="1835"/>
      <c r="AW236" s="1836"/>
      <c r="AX236" s="1836"/>
      <c r="AY236" s="1836"/>
      <c r="AZ236" s="1825"/>
      <c r="BA236" s="1825"/>
    </row>
    <row r="237" spans="2:53" s="188" customFormat="1" ht="24.95" customHeight="1">
      <c r="B237" s="281"/>
      <c r="C237" s="483"/>
      <c r="D237" s="483"/>
      <c r="E237" s="483"/>
      <c r="F237" s="652"/>
      <c r="G237" s="653"/>
      <c r="H237" s="505"/>
      <c r="I237" s="654"/>
      <c r="J237" s="662"/>
      <c r="K237" s="662"/>
      <c r="L237" s="505"/>
      <c r="M237" s="505"/>
      <c r="N237" s="654"/>
      <c r="O237" s="1561"/>
      <c r="P237" s="1453"/>
      <c r="Q237" s="520"/>
      <c r="R237" s="483"/>
      <c r="S237" s="483"/>
      <c r="T237" s="483"/>
      <c r="U237" s="483"/>
      <c r="V237" s="483"/>
      <c r="W237" s="483"/>
      <c r="X237" s="507"/>
      <c r="Y237" s="1824"/>
      <c r="Z237" s="1824"/>
      <c r="AA237" s="1824"/>
      <c r="AB237" s="1825"/>
      <c r="AC237" s="1825"/>
      <c r="AD237" s="1564"/>
      <c r="AE237" s="701"/>
      <c r="AF237" s="684"/>
      <c r="AG237" s="684"/>
      <c r="AH237" s="710"/>
      <c r="AI237" s="710"/>
      <c r="AJ237" s="710"/>
      <c r="AK237" s="710"/>
      <c r="AL237" s="710"/>
      <c r="AM237" s="710"/>
      <c r="AN237" s="710"/>
      <c r="AO237" s="710"/>
      <c r="AP237" s="710"/>
      <c r="AQ237" s="710"/>
      <c r="AR237" s="710"/>
      <c r="AS237" s="710"/>
      <c r="AT237" s="710"/>
      <c r="AU237" s="1829"/>
      <c r="AV237" s="1835"/>
      <c r="AW237" s="1836"/>
      <c r="AX237" s="1836"/>
      <c r="AY237" s="1836"/>
      <c r="AZ237" s="1825"/>
      <c r="BA237" s="1825"/>
    </row>
    <row r="238" spans="2:53" s="188" customFormat="1" ht="24.95" customHeight="1">
      <c r="B238" s="281"/>
      <c r="C238" s="483"/>
      <c r="D238" s="483"/>
      <c r="E238" s="483"/>
      <c r="F238" s="652"/>
      <c r="G238" s="653"/>
      <c r="H238" s="505"/>
      <c r="I238" s="654"/>
      <c r="J238" s="662"/>
      <c r="K238" s="662"/>
      <c r="L238" s="505"/>
      <c r="M238" s="505"/>
      <c r="N238" s="654"/>
      <c r="O238" s="1561"/>
      <c r="P238" s="1453"/>
      <c r="Q238" s="520"/>
      <c r="R238" s="483"/>
      <c r="S238" s="483"/>
      <c r="T238" s="483"/>
      <c r="U238" s="483"/>
      <c r="V238" s="483"/>
      <c r="W238" s="483"/>
      <c r="X238" s="507"/>
      <c r="Y238" s="1824"/>
      <c r="Z238" s="1824"/>
      <c r="AA238" s="1824"/>
      <c r="AB238" s="1825"/>
      <c r="AC238" s="1825"/>
      <c r="AD238" s="1564"/>
      <c r="AE238" s="701"/>
      <c r="AF238" s="684"/>
      <c r="AG238" s="684"/>
      <c r="AH238" s="710"/>
      <c r="AI238" s="710"/>
      <c r="AJ238" s="710"/>
      <c r="AK238" s="710"/>
      <c r="AL238" s="710"/>
      <c r="AM238" s="710"/>
      <c r="AN238" s="710"/>
      <c r="AO238" s="710"/>
      <c r="AP238" s="710"/>
      <c r="AQ238" s="710"/>
      <c r="AR238" s="710"/>
      <c r="AS238" s="710"/>
      <c r="AT238" s="710"/>
      <c r="AU238" s="1829"/>
      <c r="AV238" s="1835"/>
      <c r="AW238" s="1836"/>
      <c r="AX238" s="1836"/>
      <c r="AY238" s="1836"/>
      <c r="AZ238" s="1825"/>
      <c r="BA238" s="1825"/>
    </row>
    <row r="239" spans="2:53" s="188" customFormat="1" ht="24.95" customHeight="1">
      <c r="B239" s="281"/>
      <c r="C239" s="483"/>
      <c r="D239" s="483"/>
      <c r="E239" s="483"/>
      <c r="F239" s="652"/>
      <c r="G239" s="653"/>
      <c r="H239" s="505"/>
      <c r="I239" s="654"/>
      <c r="J239" s="662"/>
      <c r="K239" s="662"/>
      <c r="L239" s="505"/>
      <c r="M239" s="505"/>
      <c r="N239" s="654"/>
      <c r="O239" s="1561"/>
      <c r="P239" s="1453"/>
      <c r="Q239" s="520"/>
      <c r="R239" s="483"/>
      <c r="S239" s="483"/>
      <c r="T239" s="483"/>
      <c r="U239" s="483"/>
      <c r="V239" s="483"/>
      <c r="W239" s="483"/>
      <c r="X239" s="507"/>
      <c r="Y239" s="1824"/>
      <c r="Z239" s="1824"/>
      <c r="AA239" s="1824"/>
      <c r="AB239" s="1825"/>
      <c r="AC239" s="1825"/>
      <c r="AD239" s="1564"/>
      <c r="AE239" s="701"/>
      <c r="AF239" s="684"/>
      <c r="AG239" s="684"/>
      <c r="AH239" s="710"/>
      <c r="AI239" s="710"/>
      <c r="AJ239" s="710"/>
      <c r="AK239" s="710"/>
      <c r="AL239" s="710"/>
      <c r="AM239" s="710"/>
      <c r="AN239" s="710"/>
      <c r="AO239" s="710"/>
      <c r="AP239" s="710"/>
      <c r="AQ239" s="710"/>
      <c r="AR239" s="710"/>
      <c r="AS239" s="710"/>
      <c r="AT239" s="710"/>
      <c r="AU239" s="1829"/>
      <c r="AV239" s="1835"/>
      <c r="AW239" s="1836"/>
      <c r="AX239" s="1836"/>
      <c r="AY239" s="1836"/>
      <c r="AZ239" s="1825"/>
      <c r="BA239" s="1825"/>
    </row>
    <row r="240" spans="2:53" s="188" customFormat="1" ht="24.95" customHeight="1">
      <c r="B240" s="281"/>
      <c r="C240" s="483"/>
      <c r="D240" s="483"/>
      <c r="E240" s="483"/>
      <c r="F240" s="652"/>
      <c r="G240" s="653"/>
      <c r="H240" s="505"/>
      <c r="I240" s="654"/>
      <c r="J240" s="662"/>
      <c r="K240" s="662"/>
      <c r="L240" s="505"/>
      <c r="M240" s="505"/>
      <c r="N240" s="654"/>
      <c r="O240" s="1561"/>
      <c r="P240" s="1453"/>
      <c r="Q240" s="520"/>
      <c r="R240" s="483"/>
      <c r="S240" s="483"/>
      <c r="T240" s="483"/>
      <c r="U240" s="483"/>
      <c r="V240" s="483"/>
      <c r="W240" s="483"/>
      <c r="X240" s="507"/>
      <c r="Y240" s="1824"/>
      <c r="Z240" s="1824"/>
      <c r="AA240" s="1824"/>
      <c r="AB240" s="1825"/>
      <c r="AC240" s="1825"/>
      <c r="AD240" s="1564"/>
      <c r="AE240" s="701"/>
      <c r="AF240" s="684"/>
      <c r="AG240" s="684"/>
      <c r="AH240" s="710"/>
      <c r="AI240" s="710"/>
      <c r="AJ240" s="710"/>
      <c r="AK240" s="710"/>
      <c r="AL240" s="710"/>
      <c r="AM240" s="710"/>
      <c r="AN240" s="710"/>
      <c r="AO240" s="710"/>
      <c r="AP240" s="710"/>
      <c r="AQ240" s="710"/>
      <c r="AR240" s="710"/>
      <c r="AS240" s="710"/>
      <c r="AT240" s="710"/>
      <c r="AU240" s="1829"/>
      <c r="AV240" s="1835"/>
      <c r="AW240" s="1836"/>
      <c r="AX240" s="1836"/>
      <c r="AY240" s="1836"/>
      <c r="AZ240" s="1825"/>
      <c r="BA240" s="1825"/>
    </row>
    <row r="241" spans="2:53" s="188" customFormat="1" ht="24.95" customHeight="1">
      <c r="B241" s="281"/>
      <c r="C241" s="483"/>
      <c r="D241" s="483"/>
      <c r="E241" s="483"/>
      <c r="F241" s="652"/>
      <c r="G241" s="653"/>
      <c r="H241" s="505"/>
      <c r="I241" s="654"/>
      <c r="J241" s="662"/>
      <c r="K241" s="662"/>
      <c r="L241" s="505"/>
      <c r="M241" s="505"/>
      <c r="N241" s="654"/>
      <c r="O241" s="1561"/>
      <c r="P241" s="1453"/>
      <c r="Q241" s="520"/>
      <c r="R241" s="483"/>
      <c r="S241" s="483"/>
      <c r="T241" s="483"/>
      <c r="U241" s="483"/>
      <c r="V241" s="483"/>
      <c r="W241" s="483"/>
      <c r="X241" s="507"/>
      <c r="Y241" s="1824"/>
      <c r="Z241" s="1824"/>
      <c r="AA241" s="1824"/>
      <c r="AB241" s="1825"/>
      <c r="AC241" s="1825"/>
      <c r="AD241" s="1564"/>
      <c r="AE241" s="701"/>
      <c r="AF241" s="684"/>
      <c r="AG241" s="684"/>
      <c r="AH241" s="710"/>
      <c r="AI241" s="710"/>
      <c r="AJ241" s="710"/>
      <c r="AK241" s="710"/>
      <c r="AL241" s="710"/>
      <c r="AM241" s="710"/>
      <c r="AN241" s="710"/>
      <c r="AO241" s="710"/>
      <c r="AP241" s="710"/>
      <c r="AQ241" s="710"/>
      <c r="AR241" s="710"/>
      <c r="AS241" s="710"/>
      <c r="AT241" s="710"/>
      <c r="AU241" s="1829"/>
      <c r="AV241" s="1835"/>
      <c r="AW241" s="1836"/>
      <c r="AX241" s="1836"/>
      <c r="AY241" s="1836"/>
      <c r="AZ241" s="1825"/>
      <c r="BA241" s="1825"/>
    </row>
    <row r="242" spans="2:53" s="188" customFormat="1" ht="24.95" customHeight="1">
      <c r="B242" s="281"/>
      <c r="C242" s="483"/>
      <c r="D242" s="483"/>
      <c r="E242" s="483"/>
      <c r="F242" s="652"/>
      <c r="G242" s="653"/>
      <c r="H242" s="505"/>
      <c r="I242" s="654"/>
      <c r="J242" s="662"/>
      <c r="K242" s="662"/>
      <c r="L242" s="505"/>
      <c r="M242" s="505"/>
      <c r="N242" s="654"/>
      <c r="O242" s="1561"/>
      <c r="P242" s="1453"/>
      <c r="Q242" s="520"/>
      <c r="R242" s="483"/>
      <c r="S242" s="483"/>
      <c r="T242" s="483"/>
      <c r="U242" s="483"/>
      <c r="V242" s="483"/>
      <c r="W242" s="483"/>
      <c r="X242" s="507"/>
      <c r="Y242" s="1824"/>
      <c r="Z242" s="1824"/>
      <c r="AA242" s="1824"/>
      <c r="AB242" s="1825"/>
      <c r="AC242" s="1825"/>
      <c r="AD242" s="1564"/>
      <c r="AE242" s="701"/>
      <c r="AF242" s="684"/>
      <c r="AG242" s="684"/>
      <c r="AH242" s="710"/>
      <c r="AI242" s="710"/>
      <c r="AJ242" s="710"/>
      <c r="AK242" s="710"/>
      <c r="AL242" s="710"/>
      <c r="AM242" s="710"/>
      <c r="AN242" s="710"/>
      <c r="AO242" s="710"/>
      <c r="AP242" s="710"/>
      <c r="AQ242" s="710"/>
      <c r="AR242" s="710"/>
      <c r="AS242" s="710"/>
      <c r="AT242" s="710"/>
      <c r="AU242" s="1829"/>
      <c r="AV242" s="1835"/>
      <c r="AW242" s="1836"/>
      <c r="AX242" s="1836"/>
      <c r="AY242" s="1836"/>
      <c r="AZ242" s="1825"/>
      <c r="BA242" s="1825"/>
    </row>
    <row r="243" spans="2:53" s="188" customFormat="1" ht="24.95" customHeight="1">
      <c r="B243" s="281"/>
      <c r="C243" s="483"/>
      <c r="D243" s="483"/>
      <c r="E243" s="483"/>
      <c r="F243" s="652"/>
      <c r="G243" s="653"/>
      <c r="H243" s="505"/>
      <c r="I243" s="654"/>
      <c r="J243" s="662"/>
      <c r="K243" s="662"/>
      <c r="L243" s="505"/>
      <c r="M243" s="505"/>
      <c r="N243" s="654"/>
      <c r="O243" s="1561"/>
      <c r="P243" s="1453"/>
      <c r="Q243" s="520"/>
      <c r="R243" s="483"/>
      <c r="S243" s="483"/>
      <c r="T243" s="483"/>
      <c r="U243" s="483"/>
      <c r="V243" s="483"/>
      <c r="W243" s="483"/>
      <c r="X243" s="507"/>
      <c r="Y243" s="1824"/>
      <c r="Z243" s="1824"/>
      <c r="AA243" s="1824"/>
      <c r="AB243" s="1825"/>
      <c r="AC243" s="1825"/>
      <c r="AD243" s="1564"/>
      <c r="AE243" s="701"/>
      <c r="AF243" s="684"/>
      <c r="AG243" s="684"/>
      <c r="AH243" s="710"/>
      <c r="AI243" s="710"/>
      <c r="AJ243" s="710"/>
      <c r="AK243" s="710"/>
      <c r="AL243" s="710"/>
      <c r="AM243" s="710"/>
      <c r="AN243" s="710"/>
      <c r="AO243" s="710"/>
      <c r="AP243" s="710"/>
      <c r="AQ243" s="710"/>
      <c r="AR243" s="710"/>
      <c r="AS243" s="710"/>
      <c r="AT243" s="710"/>
      <c r="AU243" s="1829"/>
      <c r="AV243" s="1835"/>
      <c r="AW243" s="1836"/>
      <c r="AX243" s="1836"/>
      <c r="AY243" s="1836"/>
      <c r="AZ243" s="1825"/>
      <c r="BA243" s="1825"/>
    </row>
    <row r="244" spans="2:53" s="188" customFormat="1" ht="24.95" customHeight="1">
      <c r="B244" s="281"/>
      <c r="C244" s="483"/>
      <c r="D244" s="483"/>
      <c r="E244" s="483"/>
      <c r="F244" s="652"/>
      <c r="G244" s="653"/>
      <c r="H244" s="505"/>
      <c r="I244" s="654"/>
      <c r="J244" s="662"/>
      <c r="K244" s="662"/>
      <c r="L244" s="505"/>
      <c r="M244" s="505"/>
      <c r="N244" s="654"/>
      <c r="O244" s="1561"/>
      <c r="P244" s="1453"/>
      <c r="Q244" s="520"/>
      <c r="R244" s="483"/>
      <c r="S244" s="483"/>
      <c r="T244" s="483"/>
      <c r="U244" s="483"/>
      <c r="V244" s="483"/>
      <c r="W244" s="483"/>
      <c r="X244" s="507"/>
      <c r="Y244" s="1824"/>
      <c r="Z244" s="1824"/>
      <c r="AA244" s="1824"/>
      <c r="AB244" s="1825"/>
      <c r="AC244" s="1825"/>
      <c r="AD244" s="1564"/>
      <c r="AE244" s="701"/>
      <c r="AF244" s="684"/>
      <c r="AG244" s="684"/>
      <c r="AH244" s="710"/>
      <c r="AI244" s="710"/>
      <c r="AJ244" s="710"/>
      <c r="AK244" s="710"/>
      <c r="AL244" s="710"/>
      <c r="AM244" s="710"/>
      <c r="AN244" s="710"/>
      <c r="AO244" s="710"/>
      <c r="AP244" s="710"/>
      <c r="AQ244" s="710"/>
      <c r="AR244" s="710"/>
      <c r="AS244" s="710"/>
      <c r="AT244" s="710"/>
      <c r="AU244" s="1829"/>
      <c r="AV244" s="1835"/>
      <c r="AW244" s="1836"/>
      <c r="AX244" s="1836"/>
      <c r="AY244" s="1836"/>
      <c r="AZ244" s="1825"/>
      <c r="BA244" s="1825"/>
    </row>
    <row r="245" spans="2:53" s="188" customFormat="1" ht="24.95" customHeight="1">
      <c r="B245" s="281"/>
      <c r="C245" s="483"/>
      <c r="D245" s="483"/>
      <c r="E245" s="483"/>
      <c r="F245" s="652"/>
      <c r="G245" s="653"/>
      <c r="H245" s="505"/>
      <c r="I245" s="654"/>
      <c r="J245" s="662"/>
      <c r="K245" s="662"/>
      <c r="L245" s="505"/>
      <c r="M245" s="505"/>
      <c r="N245" s="654"/>
      <c r="O245" s="1561"/>
      <c r="P245" s="1453"/>
      <c r="Q245" s="520"/>
      <c r="R245" s="483"/>
      <c r="S245" s="483"/>
      <c r="T245" s="483"/>
      <c r="U245" s="483"/>
      <c r="V245" s="483"/>
      <c r="W245" s="483"/>
      <c r="X245" s="507"/>
      <c r="Y245" s="1824"/>
      <c r="Z245" s="1824"/>
      <c r="AA245" s="1824"/>
      <c r="AB245" s="1825"/>
      <c r="AC245" s="1825"/>
      <c r="AD245" s="1564"/>
      <c r="AE245" s="701"/>
      <c r="AF245" s="684"/>
      <c r="AG245" s="684"/>
      <c r="AH245" s="710"/>
      <c r="AI245" s="710"/>
      <c r="AJ245" s="710"/>
      <c r="AK245" s="710"/>
      <c r="AL245" s="710"/>
      <c r="AM245" s="710"/>
      <c r="AN245" s="710"/>
      <c r="AO245" s="710"/>
      <c r="AP245" s="710"/>
      <c r="AQ245" s="710"/>
      <c r="AR245" s="710"/>
      <c r="AS245" s="710"/>
      <c r="AT245" s="710"/>
      <c r="AU245" s="1829"/>
      <c r="AV245" s="1835"/>
      <c r="AW245" s="1836"/>
      <c r="AX245" s="1836"/>
      <c r="AY245" s="1836"/>
      <c r="AZ245" s="1825"/>
      <c r="BA245" s="1825"/>
    </row>
    <row r="246" spans="2:53" s="188" customFormat="1" ht="24.95" customHeight="1">
      <c r="B246" s="281"/>
      <c r="C246" s="483"/>
      <c r="D246" s="483"/>
      <c r="E246" s="483"/>
      <c r="F246" s="652"/>
      <c r="G246" s="653"/>
      <c r="H246" s="505"/>
      <c r="I246" s="654"/>
      <c r="J246" s="662"/>
      <c r="K246" s="662"/>
      <c r="L246" s="505"/>
      <c r="M246" s="505"/>
      <c r="N246" s="654"/>
      <c r="O246" s="1561"/>
      <c r="P246" s="1453"/>
      <c r="Q246" s="520"/>
      <c r="R246" s="483"/>
      <c r="S246" s="483"/>
      <c r="T246" s="483"/>
      <c r="U246" s="483"/>
      <c r="V246" s="483"/>
      <c r="W246" s="483"/>
      <c r="X246" s="507"/>
      <c r="Y246" s="1824"/>
      <c r="Z246" s="1824"/>
      <c r="AA246" s="1824"/>
      <c r="AB246" s="1825"/>
      <c r="AC246" s="1825"/>
      <c r="AD246" s="1564"/>
      <c r="AE246" s="701"/>
      <c r="AF246" s="684"/>
      <c r="AG246" s="684"/>
      <c r="AH246" s="710"/>
      <c r="AI246" s="710"/>
      <c r="AJ246" s="710"/>
      <c r="AK246" s="710"/>
      <c r="AL246" s="710"/>
      <c r="AM246" s="710"/>
      <c r="AN246" s="710"/>
      <c r="AO246" s="710"/>
      <c r="AP246" s="710"/>
      <c r="AQ246" s="710"/>
      <c r="AR246" s="710"/>
      <c r="AS246" s="710"/>
      <c r="AT246" s="710"/>
      <c r="AU246" s="1829"/>
      <c r="AV246" s="1835"/>
      <c r="AW246" s="1836"/>
      <c r="AX246" s="1836"/>
      <c r="AY246" s="1836"/>
      <c r="AZ246" s="1825"/>
      <c r="BA246" s="1825"/>
    </row>
    <row r="247" spans="2:53" s="188" customFormat="1" ht="24.95" customHeight="1">
      <c r="B247" s="281"/>
      <c r="C247" s="483"/>
      <c r="D247" s="483"/>
      <c r="E247" s="483"/>
      <c r="F247" s="652"/>
      <c r="G247" s="653"/>
      <c r="H247" s="505"/>
      <c r="I247" s="654"/>
      <c r="J247" s="662"/>
      <c r="K247" s="662"/>
      <c r="L247" s="505"/>
      <c r="M247" s="505"/>
      <c r="N247" s="654"/>
      <c r="O247" s="1561"/>
      <c r="P247" s="1453"/>
      <c r="Q247" s="520"/>
      <c r="R247" s="483"/>
      <c r="S247" s="483"/>
      <c r="T247" s="483"/>
      <c r="U247" s="483"/>
      <c r="V247" s="483"/>
      <c r="W247" s="483"/>
      <c r="X247" s="507"/>
      <c r="Y247" s="1824"/>
      <c r="Z247" s="1824"/>
      <c r="AA247" s="1824"/>
      <c r="AB247" s="1825"/>
      <c r="AC247" s="1825"/>
      <c r="AD247" s="1564"/>
      <c r="AE247" s="701"/>
      <c r="AF247" s="684"/>
      <c r="AG247" s="684"/>
      <c r="AH247" s="710"/>
      <c r="AI247" s="710"/>
      <c r="AJ247" s="710"/>
      <c r="AK247" s="710"/>
      <c r="AL247" s="710"/>
      <c r="AM247" s="710"/>
      <c r="AN247" s="710"/>
      <c r="AO247" s="710"/>
      <c r="AP247" s="710"/>
      <c r="AQ247" s="710"/>
      <c r="AR247" s="710"/>
      <c r="AS247" s="710"/>
      <c r="AT247" s="710"/>
      <c r="AU247" s="1829"/>
      <c r="AV247" s="1835"/>
      <c r="AW247" s="1836"/>
      <c r="AX247" s="1836"/>
      <c r="AY247" s="1836"/>
      <c r="AZ247" s="1825"/>
      <c r="BA247" s="1825"/>
    </row>
    <row r="248" spans="2:53" s="188" customFormat="1" ht="24.95" customHeight="1">
      <c r="B248" s="281"/>
      <c r="C248" s="483"/>
      <c r="D248" s="483"/>
      <c r="E248" s="483"/>
      <c r="F248" s="652"/>
      <c r="G248" s="653"/>
      <c r="H248" s="505"/>
      <c r="I248" s="654"/>
      <c r="J248" s="662"/>
      <c r="K248" s="662"/>
      <c r="L248" s="505"/>
      <c r="M248" s="505"/>
      <c r="N248" s="654"/>
      <c r="O248" s="1561"/>
      <c r="P248" s="1453"/>
      <c r="Q248" s="520"/>
      <c r="R248" s="483"/>
      <c r="S248" s="483"/>
      <c r="T248" s="483"/>
      <c r="U248" s="483"/>
      <c r="V248" s="483"/>
      <c r="W248" s="483"/>
      <c r="X248" s="507"/>
      <c r="Y248" s="1824"/>
      <c r="Z248" s="1824"/>
      <c r="AA248" s="1824"/>
      <c r="AB248" s="1825"/>
      <c r="AC248" s="1825"/>
      <c r="AD248" s="1564"/>
      <c r="AE248" s="701"/>
      <c r="AF248" s="684"/>
      <c r="AG248" s="684"/>
      <c r="AH248" s="710"/>
      <c r="AI248" s="710"/>
      <c r="AJ248" s="710"/>
      <c r="AK248" s="710"/>
      <c r="AL248" s="710"/>
      <c r="AM248" s="710"/>
      <c r="AN248" s="710"/>
      <c r="AO248" s="710"/>
      <c r="AP248" s="710"/>
      <c r="AQ248" s="710"/>
      <c r="AR248" s="710"/>
      <c r="AS248" s="710"/>
      <c r="AT248" s="710"/>
      <c r="AU248" s="1829"/>
      <c r="AV248" s="1835"/>
      <c r="AW248" s="1836"/>
      <c r="AX248" s="1836"/>
      <c r="AY248" s="1836"/>
      <c r="AZ248" s="1825"/>
      <c r="BA248" s="1825"/>
    </row>
    <row r="249" spans="2:53" s="188" customFormat="1" ht="24.95" customHeight="1">
      <c r="B249" s="281"/>
      <c r="C249" s="483"/>
      <c r="D249" s="483"/>
      <c r="E249" s="483"/>
      <c r="F249" s="652"/>
      <c r="G249" s="653"/>
      <c r="H249" s="505"/>
      <c r="I249" s="654"/>
      <c r="J249" s="662"/>
      <c r="K249" s="662"/>
      <c r="L249" s="505"/>
      <c r="M249" s="505"/>
      <c r="N249" s="654"/>
      <c r="O249" s="1561"/>
      <c r="P249" s="1453"/>
      <c r="Q249" s="520"/>
      <c r="R249" s="483"/>
      <c r="S249" s="483"/>
      <c r="T249" s="483"/>
      <c r="U249" s="483"/>
      <c r="V249" s="483"/>
      <c r="W249" s="483"/>
      <c r="X249" s="507"/>
      <c r="Y249" s="1824"/>
      <c r="Z249" s="1824"/>
      <c r="AA249" s="1824"/>
      <c r="AB249" s="1825"/>
      <c r="AC249" s="1825"/>
      <c r="AD249" s="1564"/>
      <c r="AE249" s="701"/>
      <c r="AF249" s="684"/>
      <c r="AG249" s="684"/>
      <c r="AH249" s="710"/>
      <c r="AI249" s="710"/>
      <c r="AJ249" s="710"/>
      <c r="AK249" s="710"/>
      <c r="AL249" s="710"/>
      <c r="AM249" s="710"/>
      <c r="AN249" s="710"/>
      <c r="AO249" s="710"/>
      <c r="AP249" s="710"/>
      <c r="AQ249" s="710"/>
      <c r="AR249" s="710"/>
      <c r="AS249" s="710"/>
      <c r="AT249" s="710"/>
      <c r="AU249" s="1829"/>
      <c r="AV249" s="1835"/>
      <c r="AW249" s="1836"/>
      <c r="AX249" s="1836"/>
      <c r="AY249" s="1836"/>
      <c r="AZ249" s="1825"/>
      <c r="BA249" s="1825"/>
    </row>
    <row r="250" spans="2:53" s="188" customFormat="1" ht="24.95" customHeight="1">
      <c r="B250" s="281"/>
      <c r="C250" s="483"/>
      <c r="D250" s="483"/>
      <c r="E250" s="483"/>
      <c r="F250" s="652"/>
      <c r="G250" s="653"/>
      <c r="H250" s="509"/>
      <c r="I250" s="658"/>
      <c r="J250" s="505"/>
      <c r="K250" s="505"/>
      <c r="L250" s="505"/>
      <c r="M250" s="505"/>
      <c r="N250" s="658"/>
      <c r="O250" s="1561"/>
      <c r="P250" s="1453"/>
      <c r="Q250" s="657"/>
      <c r="R250" s="659"/>
      <c r="S250" s="659"/>
      <c r="T250" s="659"/>
      <c r="U250" s="659"/>
      <c r="V250" s="659"/>
      <c r="W250" s="659"/>
      <c r="X250" s="505"/>
      <c r="Y250" s="1824"/>
      <c r="Z250" s="1824"/>
      <c r="AA250" s="1824"/>
      <c r="AB250" s="1825"/>
      <c r="AC250" s="1825"/>
      <c r="AD250" s="1564"/>
      <c r="AE250" s="701"/>
      <c r="AF250" s="684"/>
      <c r="AG250" s="684"/>
      <c r="AH250" s="710"/>
      <c r="AI250" s="710"/>
      <c r="AJ250" s="710"/>
      <c r="AK250" s="710"/>
      <c r="AL250" s="710"/>
      <c r="AM250" s="710"/>
      <c r="AN250" s="710"/>
      <c r="AO250" s="710"/>
      <c r="AP250" s="710"/>
      <c r="AQ250" s="710"/>
      <c r="AR250" s="710"/>
      <c r="AS250" s="710"/>
      <c r="AT250" s="710"/>
      <c r="AU250" s="1829"/>
      <c r="AV250" s="1835"/>
      <c r="AW250" s="1836"/>
      <c r="AX250" s="1836"/>
      <c r="AY250" s="1836"/>
      <c r="AZ250" s="1825"/>
      <c r="BA250" s="1825"/>
    </row>
    <row r="251" spans="2:53" s="188" customFormat="1" ht="24.95" customHeight="1">
      <c r="B251" s="281"/>
      <c r="C251" s="483"/>
      <c r="D251" s="483"/>
      <c r="E251" s="483"/>
      <c r="F251" s="652"/>
      <c r="G251" s="653"/>
      <c r="H251" s="509"/>
      <c r="I251" s="658"/>
      <c r="J251" s="505"/>
      <c r="K251" s="505"/>
      <c r="L251" s="505"/>
      <c r="M251" s="505"/>
      <c r="N251" s="658"/>
      <c r="O251" s="1561"/>
      <c r="P251" s="1453"/>
      <c r="Q251" s="657"/>
      <c r="R251" s="659"/>
      <c r="S251" s="659"/>
      <c r="T251" s="659"/>
      <c r="U251" s="659"/>
      <c r="V251" s="659"/>
      <c r="W251" s="659"/>
      <c r="X251" s="505"/>
      <c r="Y251" s="1824"/>
      <c r="Z251" s="1824"/>
      <c r="AA251" s="1824"/>
      <c r="AB251" s="1825"/>
      <c r="AC251" s="1825"/>
      <c r="AD251" s="1564"/>
      <c r="AE251" s="701"/>
      <c r="AF251" s="684"/>
      <c r="AG251" s="684"/>
      <c r="AH251" s="710"/>
      <c r="AI251" s="710"/>
      <c r="AJ251" s="710"/>
      <c r="AK251" s="710"/>
      <c r="AL251" s="710"/>
      <c r="AM251" s="710"/>
      <c r="AN251" s="710"/>
      <c r="AO251" s="710"/>
      <c r="AP251" s="710"/>
      <c r="AQ251" s="710"/>
      <c r="AR251" s="710"/>
      <c r="AS251" s="710"/>
      <c r="AT251" s="710"/>
      <c r="AU251" s="1829"/>
      <c r="AV251" s="1835"/>
      <c r="AW251" s="1836"/>
      <c r="AX251" s="1836"/>
      <c r="AY251" s="1836"/>
      <c r="AZ251" s="1825"/>
      <c r="BA251" s="1825"/>
    </row>
    <row r="252" spans="2:53" s="188" customFormat="1" ht="24.95" customHeight="1">
      <c r="B252" s="281"/>
      <c r="C252" s="483"/>
      <c r="D252" s="483"/>
      <c r="E252" s="483"/>
      <c r="F252" s="652"/>
      <c r="G252" s="653"/>
      <c r="H252" s="509"/>
      <c r="I252" s="658"/>
      <c r="J252" s="505"/>
      <c r="K252" s="505"/>
      <c r="L252" s="505"/>
      <c r="M252" s="505"/>
      <c r="N252" s="658"/>
      <c r="O252" s="1561"/>
      <c r="P252" s="1453"/>
      <c r="Q252" s="657"/>
      <c r="R252" s="659"/>
      <c r="S252" s="659"/>
      <c r="T252" s="659"/>
      <c r="U252" s="659"/>
      <c r="V252" s="659"/>
      <c r="W252" s="659"/>
      <c r="X252" s="505"/>
      <c r="Y252" s="1824"/>
      <c r="Z252" s="1824"/>
      <c r="AA252" s="1824"/>
      <c r="AB252" s="1825"/>
      <c r="AC252" s="1825"/>
      <c r="AD252" s="1564"/>
      <c r="AE252" s="701"/>
      <c r="AF252" s="684"/>
      <c r="AG252" s="684"/>
      <c r="AH252" s="710"/>
      <c r="AI252" s="710"/>
      <c r="AJ252" s="710"/>
      <c r="AK252" s="710"/>
      <c r="AL252" s="710"/>
      <c r="AM252" s="710"/>
      <c r="AN252" s="710"/>
      <c r="AO252" s="710"/>
      <c r="AP252" s="710"/>
      <c r="AQ252" s="710"/>
      <c r="AR252" s="710"/>
      <c r="AS252" s="710"/>
      <c r="AT252" s="710"/>
      <c r="AU252" s="1829"/>
      <c r="AV252" s="1835"/>
      <c r="AW252" s="1836"/>
      <c r="AX252" s="1836"/>
      <c r="AY252" s="1836"/>
      <c r="AZ252" s="1825"/>
      <c r="BA252" s="1825"/>
    </row>
    <row r="253" spans="2:53" s="188" customFormat="1" ht="24.95" customHeight="1">
      <c r="B253" s="281"/>
      <c r="C253" s="483"/>
      <c r="D253" s="483"/>
      <c r="E253" s="483"/>
      <c r="F253" s="652"/>
      <c r="G253" s="653"/>
      <c r="H253" s="509"/>
      <c r="I253" s="658"/>
      <c r="J253" s="505"/>
      <c r="K253" s="505"/>
      <c r="L253" s="505"/>
      <c r="M253" s="505"/>
      <c r="N253" s="658"/>
      <c r="O253" s="1561"/>
      <c r="P253" s="1453"/>
      <c r="Q253" s="657"/>
      <c r="R253" s="659"/>
      <c r="S253" s="659"/>
      <c r="T253" s="659"/>
      <c r="U253" s="659"/>
      <c r="V253" s="659"/>
      <c r="W253" s="659"/>
      <c r="X253" s="505"/>
      <c r="Y253" s="1824"/>
      <c r="Z253" s="1824"/>
      <c r="AA253" s="1824"/>
      <c r="AB253" s="1825"/>
      <c r="AC253" s="1825"/>
      <c r="AD253" s="1564"/>
      <c r="AE253" s="701"/>
      <c r="AF253" s="684"/>
      <c r="AG253" s="684"/>
      <c r="AH253" s="710"/>
      <c r="AI253" s="710"/>
      <c r="AJ253" s="710"/>
      <c r="AK253" s="710"/>
      <c r="AL253" s="710"/>
      <c r="AM253" s="710"/>
      <c r="AN253" s="710"/>
      <c r="AO253" s="710"/>
      <c r="AP253" s="710"/>
      <c r="AQ253" s="710"/>
      <c r="AR253" s="710"/>
      <c r="AS253" s="710"/>
      <c r="AT253" s="710"/>
      <c r="AU253" s="1829"/>
      <c r="AV253" s="1835"/>
      <c r="AW253" s="1836"/>
      <c r="AX253" s="1836"/>
      <c r="AY253" s="1836"/>
      <c r="AZ253" s="1825"/>
      <c r="BA253" s="1825"/>
    </row>
    <row r="254" spans="2:53" s="188" customFormat="1" ht="24.95" customHeight="1">
      <c r="B254" s="281"/>
      <c r="C254" s="483"/>
      <c r="D254" s="483"/>
      <c r="E254" s="483"/>
      <c r="F254" s="652"/>
      <c r="G254" s="653"/>
      <c r="H254" s="509"/>
      <c r="I254" s="658"/>
      <c r="J254" s="505"/>
      <c r="K254" s="505"/>
      <c r="L254" s="505"/>
      <c r="M254" s="505"/>
      <c r="N254" s="658"/>
      <c r="O254" s="1561"/>
      <c r="P254" s="1453"/>
      <c r="Q254" s="657"/>
      <c r="R254" s="659"/>
      <c r="S254" s="659"/>
      <c r="T254" s="659"/>
      <c r="U254" s="659"/>
      <c r="V254" s="659"/>
      <c r="W254" s="659"/>
      <c r="X254" s="505"/>
      <c r="Y254" s="1824"/>
      <c r="Z254" s="1824"/>
      <c r="AA254" s="1824"/>
      <c r="AB254" s="1825"/>
      <c r="AC254" s="1825"/>
      <c r="AD254" s="1564"/>
      <c r="AE254" s="701"/>
      <c r="AF254" s="684"/>
      <c r="AG254" s="684"/>
      <c r="AH254" s="710"/>
      <c r="AI254" s="710"/>
      <c r="AJ254" s="710"/>
      <c r="AK254" s="710"/>
      <c r="AL254" s="710"/>
      <c r="AM254" s="710"/>
      <c r="AN254" s="710"/>
      <c r="AO254" s="710"/>
      <c r="AP254" s="710"/>
      <c r="AQ254" s="710"/>
      <c r="AR254" s="710"/>
      <c r="AS254" s="710"/>
      <c r="AT254" s="710"/>
      <c r="AU254" s="1829"/>
      <c r="AV254" s="1835"/>
      <c r="AW254" s="1836"/>
      <c r="AX254" s="1836"/>
      <c r="AY254" s="1836"/>
      <c r="AZ254" s="1825"/>
      <c r="BA254" s="1825"/>
    </row>
    <row r="255" spans="2:53" s="188" customFormat="1" ht="24.95" customHeight="1">
      <c r="B255" s="281"/>
      <c r="C255" s="483"/>
      <c r="D255" s="483"/>
      <c r="E255" s="483"/>
      <c r="F255" s="652"/>
      <c r="G255" s="653"/>
      <c r="H255" s="509"/>
      <c r="I255" s="658"/>
      <c r="J255" s="505"/>
      <c r="K255" s="505"/>
      <c r="L255" s="505"/>
      <c r="M255" s="505"/>
      <c r="N255" s="658"/>
      <c r="O255" s="1561"/>
      <c r="P255" s="1453"/>
      <c r="Q255" s="657"/>
      <c r="R255" s="659"/>
      <c r="S255" s="659"/>
      <c r="T255" s="659"/>
      <c r="U255" s="659"/>
      <c r="V255" s="659"/>
      <c r="W255" s="659"/>
      <c r="X255" s="505"/>
      <c r="Y255" s="1824"/>
      <c r="Z255" s="1824"/>
      <c r="AA255" s="1824"/>
      <c r="AB255" s="1825"/>
      <c r="AC255" s="1825"/>
      <c r="AD255" s="1564"/>
      <c r="AE255" s="701"/>
      <c r="AF255" s="684"/>
      <c r="AG255" s="684"/>
      <c r="AH255" s="710"/>
      <c r="AI255" s="710"/>
      <c r="AJ255" s="710"/>
      <c r="AK255" s="710"/>
      <c r="AL255" s="710"/>
      <c r="AM255" s="710"/>
      <c r="AN255" s="710"/>
      <c r="AO255" s="710"/>
      <c r="AP255" s="710"/>
      <c r="AQ255" s="710"/>
      <c r="AR255" s="710"/>
      <c r="AS255" s="710"/>
      <c r="AT255" s="710"/>
      <c r="AU255" s="1829"/>
      <c r="AV255" s="1835"/>
      <c r="AW255" s="1836"/>
      <c r="AX255" s="1836"/>
      <c r="AY255" s="1836"/>
      <c r="AZ255" s="1825"/>
      <c r="BA255" s="1825"/>
    </row>
    <row r="256" spans="2:53" s="188" customFormat="1" ht="24.95" customHeight="1">
      <c r="B256" s="281"/>
      <c r="C256" s="483"/>
      <c r="D256" s="483"/>
      <c r="E256" s="483"/>
      <c r="F256" s="652"/>
      <c r="G256" s="653"/>
      <c r="H256" s="509"/>
      <c r="I256" s="658"/>
      <c r="J256" s="505"/>
      <c r="K256" s="505"/>
      <c r="L256" s="505"/>
      <c r="M256" s="505"/>
      <c r="N256" s="658"/>
      <c r="O256" s="1561"/>
      <c r="P256" s="1453"/>
      <c r="Q256" s="657"/>
      <c r="R256" s="659"/>
      <c r="S256" s="659"/>
      <c r="T256" s="659"/>
      <c r="U256" s="659"/>
      <c r="V256" s="659"/>
      <c r="W256" s="659"/>
      <c r="X256" s="505"/>
      <c r="Y256" s="1824"/>
      <c r="Z256" s="1824"/>
      <c r="AA256" s="1824"/>
      <c r="AB256" s="1825"/>
      <c r="AC256" s="1825"/>
      <c r="AD256" s="1564"/>
      <c r="AE256" s="701"/>
      <c r="AF256" s="684"/>
      <c r="AG256" s="684"/>
      <c r="AH256" s="710"/>
      <c r="AI256" s="710"/>
      <c r="AJ256" s="710"/>
      <c r="AK256" s="710"/>
      <c r="AL256" s="710"/>
      <c r="AM256" s="710"/>
      <c r="AN256" s="710"/>
      <c r="AO256" s="710"/>
      <c r="AP256" s="710"/>
      <c r="AQ256" s="710"/>
      <c r="AR256" s="710"/>
      <c r="AS256" s="710"/>
      <c r="AT256" s="710"/>
      <c r="AU256" s="1829"/>
      <c r="AV256" s="1835"/>
      <c r="AW256" s="1836"/>
      <c r="AX256" s="1836"/>
      <c r="AY256" s="1836"/>
      <c r="AZ256" s="1825"/>
      <c r="BA256" s="1825"/>
    </row>
    <row r="257" spans="2:53" s="188" customFormat="1" ht="24.95" customHeight="1">
      <c r="B257" s="281"/>
      <c r="C257" s="483"/>
      <c r="D257" s="483"/>
      <c r="E257" s="483"/>
      <c r="F257" s="652"/>
      <c r="G257" s="653"/>
      <c r="H257" s="509"/>
      <c r="I257" s="658"/>
      <c r="J257" s="505"/>
      <c r="K257" s="505"/>
      <c r="L257" s="505"/>
      <c r="M257" s="505"/>
      <c r="N257" s="658"/>
      <c r="O257" s="1561"/>
      <c r="P257" s="1453"/>
      <c r="Q257" s="657"/>
      <c r="R257" s="659"/>
      <c r="S257" s="659"/>
      <c r="T257" s="659"/>
      <c r="U257" s="659"/>
      <c r="V257" s="659"/>
      <c r="W257" s="659"/>
      <c r="X257" s="505"/>
      <c r="Y257" s="1824"/>
      <c r="Z257" s="1824"/>
      <c r="AA257" s="1824"/>
      <c r="AB257" s="1825"/>
      <c r="AC257" s="1825"/>
      <c r="AD257" s="1564"/>
      <c r="AE257" s="701"/>
      <c r="AF257" s="684"/>
      <c r="AG257" s="684"/>
      <c r="AH257" s="710"/>
      <c r="AI257" s="710"/>
      <c r="AJ257" s="710"/>
      <c r="AK257" s="710"/>
      <c r="AL257" s="710"/>
      <c r="AM257" s="710"/>
      <c r="AN257" s="710"/>
      <c r="AO257" s="710"/>
      <c r="AP257" s="710"/>
      <c r="AQ257" s="710"/>
      <c r="AR257" s="710"/>
      <c r="AS257" s="710"/>
      <c r="AT257" s="710"/>
      <c r="AU257" s="1829"/>
      <c r="AV257" s="1835"/>
      <c r="AW257" s="1836"/>
      <c r="AX257" s="1836"/>
      <c r="AY257" s="1836"/>
      <c r="AZ257" s="1825"/>
      <c r="BA257" s="1825"/>
    </row>
    <row r="258" spans="2:53" s="188" customFormat="1" ht="24.95" customHeight="1">
      <c r="B258" s="281"/>
      <c r="C258" s="483"/>
      <c r="D258" s="483"/>
      <c r="E258" s="483"/>
      <c r="F258" s="652"/>
      <c r="G258" s="653"/>
      <c r="H258" s="509"/>
      <c r="I258" s="658"/>
      <c r="J258" s="505"/>
      <c r="K258" s="505"/>
      <c r="L258" s="505"/>
      <c r="M258" s="505"/>
      <c r="N258" s="658"/>
      <c r="O258" s="1561"/>
      <c r="P258" s="1453"/>
      <c r="Q258" s="657"/>
      <c r="R258" s="659"/>
      <c r="S258" s="659"/>
      <c r="T258" s="659"/>
      <c r="U258" s="659"/>
      <c r="V258" s="659"/>
      <c r="W258" s="659"/>
      <c r="X258" s="505"/>
      <c r="Y258" s="1824"/>
      <c r="Z258" s="1824"/>
      <c r="AA258" s="1824"/>
      <c r="AB258" s="1825"/>
      <c r="AC258" s="1825"/>
      <c r="AD258" s="1564"/>
      <c r="AE258" s="701"/>
      <c r="AF258" s="684"/>
      <c r="AG258" s="684"/>
      <c r="AH258" s="710"/>
      <c r="AI258" s="710"/>
      <c r="AJ258" s="710"/>
      <c r="AK258" s="710"/>
      <c r="AL258" s="710"/>
      <c r="AM258" s="710"/>
      <c r="AN258" s="710"/>
      <c r="AO258" s="710"/>
      <c r="AP258" s="710"/>
      <c r="AQ258" s="710"/>
      <c r="AR258" s="710"/>
      <c r="AS258" s="710"/>
      <c r="AT258" s="710"/>
      <c r="AU258" s="1829"/>
      <c r="AV258" s="1835"/>
      <c r="AW258" s="1836"/>
      <c r="AX258" s="1836"/>
      <c r="AY258" s="1836"/>
      <c r="AZ258" s="1825"/>
      <c r="BA258" s="1825"/>
    </row>
    <row r="259" spans="2:53" s="188" customFormat="1" ht="24.95" customHeight="1">
      <c r="B259" s="281"/>
      <c r="C259" s="483"/>
      <c r="D259" s="483"/>
      <c r="E259" s="483"/>
      <c r="F259" s="652"/>
      <c r="G259" s="653"/>
      <c r="H259" s="509"/>
      <c r="I259" s="658"/>
      <c r="J259" s="505"/>
      <c r="K259" s="505"/>
      <c r="L259" s="505"/>
      <c r="M259" s="505"/>
      <c r="N259" s="658"/>
      <c r="O259" s="1561"/>
      <c r="P259" s="1453"/>
      <c r="Q259" s="657"/>
      <c r="R259" s="659"/>
      <c r="S259" s="659"/>
      <c r="T259" s="659"/>
      <c r="U259" s="659"/>
      <c r="V259" s="659"/>
      <c r="W259" s="659"/>
      <c r="X259" s="505"/>
      <c r="Y259" s="1824"/>
      <c r="Z259" s="1824"/>
      <c r="AA259" s="1824"/>
      <c r="AB259" s="1825"/>
      <c r="AC259" s="1825"/>
      <c r="AD259" s="1564"/>
      <c r="AE259" s="701"/>
      <c r="AF259" s="684"/>
      <c r="AG259" s="684"/>
      <c r="AH259" s="710"/>
      <c r="AI259" s="710"/>
      <c r="AJ259" s="710"/>
      <c r="AK259" s="710"/>
      <c r="AL259" s="710"/>
      <c r="AM259" s="710"/>
      <c r="AN259" s="710"/>
      <c r="AO259" s="710"/>
      <c r="AP259" s="710"/>
      <c r="AQ259" s="710"/>
      <c r="AR259" s="710"/>
      <c r="AS259" s="710"/>
      <c r="AT259" s="710"/>
      <c r="AU259" s="1829"/>
      <c r="AV259" s="1835"/>
      <c r="AW259" s="1836"/>
      <c r="AX259" s="1836"/>
      <c r="AY259" s="1836"/>
      <c r="AZ259" s="1825"/>
      <c r="BA259" s="1825"/>
    </row>
    <row r="260" spans="2:53" s="188" customFormat="1" ht="24.95" customHeight="1">
      <c r="B260" s="281"/>
      <c r="C260" s="483"/>
      <c r="D260" s="483"/>
      <c r="E260" s="483"/>
      <c r="F260" s="652"/>
      <c r="G260" s="653"/>
      <c r="H260" s="509"/>
      <c r="I260" s="658"/>
      <c r="J260" s="505"/>
      <c r="K260" s="505"/>
      <c r="L260" s="505"/>
      <c r="M260" s="505"/>
      <c r="N260" s="658"/>
      <c r="O260" s="1561"/>
      <c r="P260" s="1453"/>
      <c r="Q260" s="657"/>
      <c r="R260" s="659"/>
      <c r="S260" s="659"/>
      <c r="T260" s="659"/>
      <c r="U260" s="659"/>
      <c r="V260" s="659"/>
      <c r="W260" s="659"/>
      <c r="X260" s="505"/>
      <c r="Y260" s="1824"/>
      <c r="Z260" s="1824"/>
      <c r="AA260" s="1824"/>
      <c r="AB260" s="1825"/>
      <c r="AC260" s="1825"/>
      <c r="AD260" s="1564"/>
      <c r="AE260" s="701"/>
      <c r="AF260" s="684"/>
      <c r="AG260" s="684"/>
      <c r="AH260" s="710"/>
      <c r="AI260" s="710"/>
      <c r="AJ260" s="710"/>
      <c r="AK260" s="710"/>
      <c r="AL260" s="710"/>
      <c r="AM260" s="710"/>
      <c r="AN260" s="710"/>
      <c r="AO260" s="710"/>
      <c r="AP260" s="710"/>
      <c r="AQ260" s="710"/>
      <c r="AR260" s="710"/>
      <c r="AS260" s="710"/>
      <c r="AT260" s="710"/>
      <c r="AU260" s="1829"/>
      <c r="AV260" s="1835"/>
      <c r="AW260" s="1836"/>
      <c r="AX260" s="1836"/>
      <c r="AY260" s="1836"/>
      <c r="AZ260" s="1825"/>
      <c r="BA260" s="1825"/>
    </row>
    <row r="261" spans="2:53" s="188" customFormat="1" ht="24.95" customHeight="1">
      <c r="B261" s="281"/>
      <c r="C261" s="483"/>
      <c r="D261" s="483"/>
      <c r="E261" s="483"/>
      <c r="F261" s="652"/>
      <c r="G261" s="653"/>
      <c r="H261" s="509"/>
      <c r="I261" s="658"/>
      <c r="J261" s="505"/>
      <c r="K261" s="505"/>
      <c r="L261" s="505"/>
      <c r="M261" s="505"/>
      <c r="N261" s="658"/>
      <c r="O261" s="1561"/>
      <c r="P261" s="1453"/>
      <c r="Q261" s="657"/>
      <c r="R261" s="659"/>
      <c r="S261" s="659"/>
      <c r="T261" s="659"/>
      <c r="U261" s="659"/>
      <c r="V261" s="659"/>
      <c r="W261" s="659"/>
      <c r="X261" s="505"/>
      <c r="Y261" s="1824"/>
      <c r="Z261" s="1824"/>
      <c r="AA261" s="1824"/>
      <c r="AB261" s="1825"/>
      <c r="AC261" s="1825"/>
      <c r="AD261" s="1564"/>
      <c r="AE261" s="701"/>
      <c r="AF261" s="684"/>
      <c r="AG261" s="684"/>
      <c r="AH261" s="710"/>
      <c r="AI261" s="710"/>
      <c r="AJ261" s="710"/>
      <c r="AK261" s="710"/>
      <c r="AL261" s="710"/>
      <c r="AM261" s="710"/>
      <c r="AN261" s="710"/>
      <c r="AO261" s="710"/>
      <c r="AP261" s="710"/>
      <c r="AQ261" s="710"/>
      <c r="AR261" s="710"/>
      <c r="AS261" s="710"/>
      <c r="AT261" s="710"/>
      <c r="AU261" s="1829"/>
      <c r="AV261" s="1835"/>
      <c r="AW261" s="1836"/>
      <c r="AX261" s="1836"/>
      <c r="AY261" s="1836"/>
      <c r="AZ261" s="1825"/>
      <c r="BA261" s="1825"/>
    </row>
    <row r="262" spans="2:53" s="188" customFormat="1" ht="24.95" customHeight="1">
      <c r="B262" s="281"/>
      <c r="C262" s="483"/>
      <c r="D262" s="483"/>
      <c r="E262" s="483"/>
      <c r="F262" s="652"/>
      <c r="G262" s="653"/>
      <c r="H262" s="509"/>
      <c r="I262" s="658"/>
      <c r="J262" s="505"/>
      <c r="K262" s="505"/>
      <c r="L262" s="505"/>
      <c r="M262" s="505"/>
      <c r="N262" s="658"/>
      <c r="O262" s="1561"/>
      <c r="P262" s="1453"/>
      <c r="Q262" s="657"/>
      <c r="R262" s="659"/>
      <c r="S262" s="659"/>
      <c r="T262" s="659"/>
      <c r="U262" s="659"/>
      <c r="V262" s="659"/>
      <c r="W262" s="659"/>
      <c r="X262" s="505"/>
      <c r="Y262" s="1824"/>
      <c r="Z262" s="1824"/>
      <c r="AA262" s="1824"/>
      <c r="AB262" s="1825"/>
      <c r="AC262" s="1825"/>
      <c r="AD262" s="1564"/>
      <c r="AE262" s="701"/>
      <c r="AF262" s="684"/>
      <c r="AG262" s="684"/>
      <c r="AH262" s="710"/>
      <c r="AI262" s="710"/>
      <c r="AJ262" s="710"/>
      <c r="AK262" s="710"/>
      <c r="AL262" s="710"/>
      <c r="AM262" s="710"/>
      <c r="AN262" s="710"/>
      <c r="AO262" s="710"/>
      <c r="AP262" s="710"/>
      <c r="AQ262" s="710"/>
      <c r="AR262" s="710"/>
      <c r="AS262" s="710"/>
      <c r="AT262" s="710"/>
      <c r="AU262" s="1829"/>
      <c r="AV262" s="1835"/>
      <c r="AW262" s="1836"/>
      <c r="AX262" s="1836"/>
      <c r="AY262" s="1836"/>
      <c r="AZ262" s="1825"/>
      <c r="BA262" s="1825"/>
    </row>
    <row r="263" spans="2:53" s="188" customFormat="1" ht="24.95" customHeight="1">
      <c r="B263" s="281"/>
      <c r="C263" s="483"/>
      <c r="D263" s="483"/>
      <c r="E263" s="483"/>
      <c r="F263" s="652"/>
      <c r="G263" s="653"/>
      <c r="H263" s="509"/>
      <c r="I263" s="658"/>
      <c r="J263" s="505"/>
      <c r="K263" s="505"/>
      <c r="L263" s="505"/>
      <c r="M263" s="505"/>
      <c r="N263" s="658"/>
      <c r="O263" s="1561"/>
      <c r="P263" s="1453"/>
      <c r="Q263" s="657"/>
      <c r="R263" s="659"/>
      <c r="S263" s="659"/>
      <c r="T263" s="659"/>
      <c r="U263" s="659"/>
      <c r="V263" s="659"/>
      <c r="W263" s="659"/>
      <c r="X263" s="505"/>
      <c r="Y263" s="1824"/>
      <c r="Z263" s="1824"/>
      <c r="AA263" s="1824"/>
      <c r="AB263" s="1825"/>
      <c r="AC263" s="1825"/>
      <c r="AD263" s="1564"/>
      <c r="AE263" s="701"/>
      <c r="AF263" s="684"/>
      <c r="AG263" s="684"/>
      <c r="AH263" s="710"/>
      <c r="AI263" s="710"/>
      <c r="AJ263" s="710"/>
      <c r="AK263" s="710"/>
      <c r="AL263" s="710"/>
      <c r="AM263" s="710"/>
      <c r="AN263" s="710"/>
      <c r="AO263" s="710"/>
      <c r="AP263" s="710"/>
      <c r="AQ263" s="710"/>
      <c r="AR263" s="710"/>
      <c r="AS263" s="710"/>
      <c r="AT263" s="710"/>
      <c r="AU263" s="1829"/>
      <c r="AV263" s="1835"/>
      <c r="AW263" s="1836"/>
      <c r="AX263" s="1836"/>
      <c r="AY263" s="1836"/>
      <c r="AZ263" s="1825"/>
      <c r="BA263" s="1825"/>
    </row>
    <row r="264" spans="2:53" s="188" customFormat="1" ht="24.95" customHeight="1">
      <c r="B264" s="281"/>
      <c r="C264" s="483"/>
      <c r="D264" s="483"/>
      <c r="E264" s="483"/>
      <c r="F264" s="652"/>
      <c r="G264" s="653"/>
      <c r="H264" s="509"/>
      <c r="I264" s="658"/>
      <c r="J264" s="505"/>
      <c r="K264" s="505"/>
      <c r="L264" s="505"/>
      <c r="M264" s="505"/>
      <c r="N264" s="658"/>
      <c r="O264" s="1561"/>
      <c r="P264" s="1453"/>
      <c r="Q264" s="657"/>
      <c r="R264" s="659"/>
      <c r="S264" s="659"/>
      <c r="T264" s="659"/>
      <c r="U264" s="659"/>
      <c r="V264" s="659"/>
      <c r="W264" s="659"/>
      <c r="X264" s="505"/>
      <c r="Y264" s="1824"/>
      <c r="Z264" s="1824"/>
      <c r="AA264" s="1824"/>
      <c r="AB264" s="1825"/>
      <c r="AC264" s="1825"/>
      <c r="AD264" s="1564"/>
      <c r="AE264" s="701"/>
      <c r="AF264" s="684"/>
      <c r="AG264" s="684"/>
      <c r="AH264" s="710"/>
      <c r="AI264" s="710"/>
      <c r="AJ264" s="710"/>
      <c r="AK264" s="710"/>
      <c r="AL264" s="710"/>
      <c r="AM264" s="710"/>
      <c r="AN264" s="710"/>
      <c r="AO264" s="710"/>
      <c r="AP264" s="710"/>
      <c r="AQ264" s="710"/>
      <c r="AR264" s="710"/>
      <c r="AS264" s="710"/>
      <c r="AT264" s="710"/>
      <c r="AU264" s="1829"/>
      <c r="AV264" s="1835"/>
      <c r="AW264" s="1836"/>
      <c r="AX264" s="1836"/>
      <c r="AY264" s="1836"/>
      <c r="AZ264" s="1825"/>
      <c r="BA264" s="1825"/>
    </row>
    <row r="265" spans="2:53" s="188" customFormat="1" ht="24.95" customHeight="1">
      <c r="B265" s="281"/>
      <c r="C265" s="483"/>
      <c r="D265" s="483"/>
      <c r="E265" s="483"/>
      <c r="F265" s="652"/>
      <c r="G265" s="653"/>
      <c r="H265" s="509"/>
      <c r="I265" s="658"/>
      <c r="J265" s="505"/>
      <c r="K265" s="505"/>
      <c r="L265" s="505"/>
      <c r="M265" s="505"/>
      <c r="N265" s="658"/>
      <c r="O265" s="1561"/>
      <c r="P265" s="1453"/>
      <c r="Q265" s="657"/>
      <c r="R265" s="659"/>
      <c r="S265" s="659"/>
      <c r="T265" s="659"/>
      <c r="U265" s="659"/>
      <c r="V265" s="659"/>
      <c r="W265" s="659"/>
      <c r="X265" s="505"/>
      <c r="Y265" s="1824"/>
      <c r="Z265" s="1824"/>
      <c r="AA265" s="1824"/>
      <c r="AB265" s="1825"/>
      <c r="AC265" s="1825"/>
      <c r="AD265" s="1564"/>
      <c r="AE265" s="701"/>
      <c r="AF265" s="684"/>
      <c r="AG265" s="684"/>
      <c r="AH265" s="710"/>
      <c r="AI265" s="710"/>
      <c r="AJ265" s="710"/>
      <c r="AK265" s="710"/>
      <c r="AL265" s="710"/>
      <c r="AM265" s="710"/>
      <c r="AN265" s="710"/>
      <c r="AO265" s="710"/>
      <c r="AP265" s="710"/>
      <c r="AQ265" s="710"/>
      <c r="AR265" s="710"/>
      <c r="AS265" s="710"/>
      <c r="AT265" s="710"/>
      <c r="AU265" s="1829"/>
      <c r="AV265" s="1835"/>
      <c r="AW265" s="1836"/>
      <c r="AX265" s="1836"/>
      <c r="AY265" s="1836"/>
      <c r="AZ265" s="1825"/>
      <c r="BA265" s="1825"/>
    </row>
    <row r="266" spans="2:53" s="188" customFormat="1" ht="24.95" customHeight="1">
      <c r="B266" s="281"/>
      <c r="C266" s="483"/>
      <c r="D266" s="483"/>
      <c r="E266" s="483"/>
      <c r="F266" s="652"/>
      <c r="G266" s="653"/>
      <c r="H266" s="509"/>
      <c r="I266" s="658"/>
      <c r="J266" s="505"/>
      <c r="K266" s="505"/>
      <c r="L266" s="505"/>
      <c r="M266" s="505"/>
      <c r="N266" s="658"/>
      <c r="O266" s="1561"/>
      <c r="P266" s="1453"/>
      <c r="Q266" s="657"/>
      <c r="R266" s="659"/>
      <c r="S266" s="659"/>
      <c r="T266" s="659"/>
      <c r="U266" s="659"/>
      <c r="V266" s="659"/>
      <c r="W266" s="659"/>
      <c r="X266" s="505"/>
      <c r="Y266" s="1824"/>
      <c r="Z266" s="1824"/>
      <c r="AA266" s="1824"/>
      <c r="AB266" s="1825"/>
      <c r="AC266" s="1825"/>
      <c r="AD266" s="1564"/>
      <c r="AE266" s="701"/>
      <c r="AF266" s="684"/>
      <c r="AG266" s="684"/>
      <c r="AH266" s="710"/>
      <c r="AI266" s="710"/>
      <c r="AJ266" s="710"/>
      <c r="AK266" s="710"/>
      <c r="AL266" s="710"/>
      <c r="AM266" s="710"/>
      <c r="AN266" s="710"/>
      <c r="AO266" s="710"/>
      <c r="AP266" s="710"/>
      <c r="AQ266" s="710"/>
      <c r="AR266" s="710"/>
      <c r="AS266" s="710"/>
      <c r="AT266" s="710"/>
      <c r="AU266" s="1829"/>
      <c r="AV266" s="1835"/>
      <c r="AW266" s="1836"/>
      <c r="AX266" s="1836"/>
      <c r="AY266" s="1836"/>
      <c r="AZ266" s="1825"/>
      <c r="BA266" s="1825"/>
    </row>
    <row r="267" spans="2:53" s="188" customFormat="1" ht="24.95" customHeight="1">
      <c r="B267" s="281"/>
      <c r="C267" s="483"/>
      <c r="D267" s="483"/>
      <c r="E267" s="483"/>
      <c r="F267" s="652"/>
      <c r="G267" s="653"/>
      <c r="H267" s="509"/>
      <c r="I267" s="658"/>
      <c r="J267" s="505"/>
      <c r="K267" s="505"/>
      <c r="L267" s="505"/>
      <c r="M267" s="505"/>
      <c r="N267" s="658"/>
      <c r="O267" s="1561"/>
      <c r="P267" s="1453"/>
      <c r="Q267" s="657"/>
      <c r="R267" s="659"/>
      <c r="S267" s="659"/>
      <c r="T267" s="659"/>
      <c r="U267" s="659"/>
      <c r="V267" s="659"/>
      <c r="W267" s="659"/>
      <c r="X267" s="505"/>
      <c r="Y267" s="1824"/>
      <c r="Z267" s="1824"/>
      <c r="AA267" s="1824"/>
      <c r="AB267" s="1825"/>
      <c r="AC267" s="1825"/>
      <c r="AD267" s="1564"/>
      <c r="AE267" s="701"/>
      <c r="AF267" s="684"/>
      <c r="AG267" s="684"/>
      <c r="AH267" s="710"/>
      <c r="AI267" s="710"/>
      <c r="AJ267" s="710"/>
      <c r="AK267" s="710"/>
      <c r="AL267" s="710"/>
      <c r="AM267" s="710"/>
      <c r="AN267" s="710"/>
      <c r="AO267" s="710"/>
      <c r="AP267" s="710"/>
      <c r="AQ267" s="710"/>
      <c r="AR267" s="710"/>
      <c r="AS267" s="710"/>
      <c r="AT267" s="710"/>
      <c r="AU267" s="1829"/>
      <c r="AV267" s="1835"/>
      <c r="AW267" s="1836"/>
      <c r="AX267" s="1836"/>
      <c r="AY267" s="1836"/>
      <c r="AZ267" s="1825"/>
      <c r="BA267" s="1825"/>
    </row>
    <row r="268" spans="2:53" s="188" customFormat="1" ht="24.95" customHeight="1">
      <c r="B268" s="281"/>
      <c r="C268" s="483"/>
      <c r="D268" s="483"/>
      <c r="E268" s="483"/>
      <c r="F268" s="652"/>
      <c r="G268" s="653"/>
      <c r="H268" s="509"/>
      <c r="I268" s="658"/>
      <c r="J268" s="505"/>
      <c r="K268" s="505"/>
      <c r="L268" s="505"/>
      <c r="M268" s="505"/>
      <c r="N268" s="658"/>
      <c r="O268" s="1561"/>
      <c r="P268" s="1453"/>
      <c r="Q268" s="657"/>
      <c r="R268" s="659"/>
      <c r="S268" s="659"/>
      <c r="T268" s="659"/>
      <c r="U268" s="659"/>
      <c r="V268" s="659"/>
      <c r="W268" s="659"/>
      <c r="X268" s="505"/>
      <c r="Y268" s="1824"/>
      <c r="Z268" s="1824"/>
      <c r="AA268" s="1824"/>
      <c r="AB268" s="1825"/>
      <c r="AC268" s="1825"/>
      <c r="AD268" s="1564"/>
      <c r="AE268" s="701"/>
      <c r="AF268" s="684"/>
      <c r="AG268" s="684"/>
      <c r="AH268" s="710"/>
      <c r="AI268" s="710"/>
      <c r="AJ268" s="710"/>
      <c r="AK268" s="710"/>
      <c r="AL268" s="710"/>
      <c r="AM268" s="710"/>
      <c r="AN268" s="710"/>
      <c r="AO268" s="710"/>
      <c r="AP268" s="710"/>
      <c r="AQ268" s="710"/>
      <c r="AR268" s="710"/>
      <c r="AS268" s="710"/>
      <c r="AT268" s="710"/>
      <c r="AU268" s="1829"/>
      <c r="AV268" s="1835"/>
      <c r="AW268" s="1836"/>
      <c r="AX268" s="1836"/>
      <c r="AY268" s="1836"/>
      <c r="AZ268" s="1825"/>
      <c r="BA268" s="1825"/>
    </row>
    <row r="269" spans="2:53" s="188" customFormat="1" ht="24.95" customHeight="1">
      <c r="B269" s="281"/>
      <c r="C269" s="483"/>
      <c r="D269" s="483"/>
      <c r="E269" s="483"/>
      <c r="F269" s="652"/>
      <c r="G269" s="653"/>
      <c r="H269" s="509"/>
      <c r="I269" s="658"/>
      <c r="J269" s="505"/>
      <c r="K269" s="505"/>
      <c r="L269" s="505"/>
      <c r="M269" s="505"/>
      <c r="N269" s="658"/>
      <c r="O269" s="1561"/>
      <c r="P269" s="1453"/>
      <c r="Q269" s="657"/>
      <c r="R269" s="659"/>
      <c r="S269" s="659"/>
      <c r="T269" s="659"/>
      <c r="U269" s="659"/>
      <c r="V269" s="659"/>
      <c r="W269" s="659"/>
      <c r="X269" s="505"/>
      <c r="Y269" s="1824"/>
      <c r="Z269" s="1824"/>
      <c r="AA269" s="1824"/>
      <c r="AB269" s="1825"/>
      <c r="AC269" s="1825"/>
      <c r="AD269" s="1564"/>
      <c r="AE269" s="701"/>
      <c r="AF269" s="684"/>
      <c r="AG269" s="684"/>
      <c r="AH269" s="710"/>
      <c r="AI269" s="710"/>
      <c r="AJ269" s="710"/>
      <c r="AK269" s="710"/>
      <c r="AL269" s="710"/>
      <c r="AM269" s="710"/>
      <c r="AN269" s="710"/>
      <c r="AO269" s="710"/>
      <c r="AP269" s="710"/>
      <c r="AQ269" s="710"/>
      <c r="AR269" s="710"/>
      <c r="AS269" s="710"/>
      <c r="AT269" s="710"/>
      <c r="AU269" s="1829"/>
      <c r="AV269" s="1835"/>
      <c r="AW269" s="1836"/>
      <c r="AX269" s="1836"/>
      <c r="AY269" s="1836"/>
      <c r="AZ269" s="1825"/>
      <c r="BA269" s="1825"/>
    </row>
    <row r="270" spans="2:53" s="188" customFormat="1" ht="24.95" customHeight="1">
      <c r="B270" s="281"/>
      <c r="C270" s="483"/>
      <c r="D270" s="483"/>
      <c r="E270" s="483"/>
      <c r="F270" s="652"/>
      <c r="G270" s="653"/>
      <c r="H270" s="509"/>
      <c r="I270" s="658"/>
      <c r="J270" s="505"/>
      <c r="K270" s="505"/>
      <c r="L270" s="505"/>
      <c r="M270" s="505"/>
      <c r="N270" s="658"/>
      <c r="O270" s="1561"/>
      <c r="P270" s="1453"/>
      <c r="Q270" s="657"/>
      <c r="R270" s="659"/>
      <c r="S270" s="659"/>
      <c r="T270" s="659"/>
      <c r="U270" s="659"/>
      <c r="V270" s="659"/>
      <c r="W270" s="659"/>
      <c r="X270" s="505"/>
      <c r="Y270" s="1824"/>
      <c r="Z270" s="1824"/>
      <c r="AA270" s="1824"/>
      <c r="AB270" s="1825"/>
      <c r="AC270" s="1825"/>
      <c r="AD270" s="1564"/>
      <c r="AE270" s="701"/>
      <c r="AF270" s="684"/>
      <c r="AG270" s="684"/>
      <c r="AH270" s="710"/>
      <c r="AI270" s="710"/>
      <c r="AJ270" s="710"/>
      <c r="AK270" s="710"/>
      <c r="AL270" s="710"/>
      <c r="AM270" s="710"/>
      <c r="AN270" s="710"/>
      <c r="AO270" s="710"/>
      <c r="AP270" s="710"/>
      <c r="AQ270" s="710"/>
      <c r="AR270" s="710"/>
      <c r="AS270" s="710"/>
      <c r="AT270" s="710"/>
      <c r="AU270" s="1829"/>
      <c r="AV270" s="1835"/>
      <c r="AW270" s="1836"/>
      <c r="AX270" s="1836"/>
      <c r="AY270" s="1836"/>
      <c r="AZ270" s="1825"/>
      <c r="BA270" s="1825"/>
    </row>
    <row r="271" spans="2:53" s="188" customFormat="1" ht="24.95" customHeight="1">
      <c r="B271" s="281"/>
      <c r="C271" s="483"/>
      <c r="D271" s="483"/>
      <c r="E271" s="483"/>
      <c r="F271" s="652"/>
      <c r="G271" s="653"/>
      <c r="H271" s="509"/>
      <c r="I271" s="658"/>
      <c r="J271" s="505"/>
      <c r="K271" s="505"/>
      <c r="L271" s="505"/>
      <c r="M271" s="505"/>
      <c r="N271" s="658"/>
      <c r="O271" s="1561"/>
      <c r="P271" s="1453"/>
      <c r="Q271" s="657"/>
      <c r="R271" s="659"/>
      <c r="S271" s="659"/>
      <c r="T271" s="659"/>
      <c r="U271" s="659"/>
      <c r="V271" s="659"/>
      <c r="W271" s="659"/>
      <c r="X271" s="505"/>
      <c r="Y271" s="1824"/>
      <c r="Z271" s="1824"/>
      <c r="AA271" s="1824"/>
      <c r="AB271" s="1825"/>
      <c r="AC271" s="1825"/>
      <c r="AD271" s="1564"/>
      <c r="AE271" s="701"/>
      <c r="AF271" s="684"/>
      <c r="AG271" s="684"/>
      <c r="AH271" s="710"/>
      <c r="AI271" s="710"/>
      <c r="AJ271" s="710"/>
      <c r="AK271" s="710"/>
      <c r="AL271" s="710"/>
      <c r="AM271" s="710"/>
      <c r="AN271" s="710"/>
      <c r="AO271" s="710"/>
      <c r="AP271" s="710"/>
      <c r="AQ271" s="710"/>
      <c r="AR271" s="710"/>
      <c r="AS271" s="710"/>
      <c r="AT271" s="710"/>
      <c r="AU271" s="1829"/>
      <c r="AV271" s="1835"/>
      <c r="AW271" s="1836"/>
      <c r="AX271" s="1836"/>
      <c r="AY271" s="1836"/>
      <c r="AZ271" s="1825"/>
      <c r="BA271" s="1825"/>
    </row>
    <row r="272" spans="2:53" s="188" customFormat="1" ht="24.95" customHeight="1">
      <c r="B272" s="281"/>
      <c r="C272" s="483"/>
      <c r="D272" s="483"/>
      <c r="E272" s="483"/>
      <c r="F272" s="652"/>
      <c r="G272" s="653"/>
      <c r="H272" s="509"/>
      <c r="I272" s="658"/>
      <c r="J272" s="505"/>
      <c r="K272" s="505"/>
      <c r="L272" s="505"/>
      <c r="M272" s="505"/>
      <c r="N272" s="658"/>
      <c r="O272" s="1561"/>
      <c r="P272" s="1453"/>
      <c r="Q272" s="657"/>
      <c r="R272" s="659"/>
      <c r="S272" s="659"/>
      <c r="T272" s="659"/>
      <c r="U272" s="659"/>
      <c r="V272" s="659"/>
      <c r="W272" s="659"/>
      <c r="X272" s="505"/>
      <c r="Y272" s="1824"/>
      <c r="Z272" s="1824"/>
      <c r="AA272" s="1824"/>
      <c r="AB272" s="1825"/>
      <c r="AC272" s="1825"/>
      <c r="AD272" s="1564"/>
      <c r="AE272" s="701"/>
      <c r="AF272" s="684"/>
      <c r="AG272" s="684"/>
      <c r="AH272" s="710"/>
      <c r="AI272" s="710"/>
      <c r="AJ272" s="710"/>
      <c r="AK272" s="710"/>
      <c r="AL272" s="710"/>
      <c r="AM272" s="710"/>
      <c r="AN272" s="710"/>
      <c r="AO272" s="710"/>
      <c r="AP272" s="710"/>
      <c r="AQ272" s="710"/>
      <c r="AR272" s="710"/>
      <c r="AS272" s="710"/>
      <c r="AT272" s="710"/>
      <c r="AU272" s="1829"/>
      <c r="AV272" s="1835"/>
      <c r="AW272" s="1836"/>
      <c r="AX272" s="1836"/>
      <c r="AY272" s="1836"/>
      <c r="AZ272" s="1825"/>
      <c r="BA272" s="1825"/>
    </row>
    <row r="273" spans="2:53" s="188" customFormat="1" ht="24.95" customHeight="1">
      <c r="B273" s="281"/>
      <c r="C273" s="483"/>
      <c r="D273" s="483"/>
      <c r="E273" s="483"/>
      <c r="F273" s="652"/>
      <c r="G273" s="653"/>
      <c r="H273" s="509"/>
      <c r="I273" s="658"/>
      <c r="J273" s="505"/>
      <c r="K273" s="505"/>
      <c r="L273" s="505"/>
      <c r="M273" s="505"/>
      <c r="N273" s="658"/>
      <c r="O273" s="1561"/>
      <c r="P273" s="1453"/>
      <c r="Q273" s="657"/>
      <c r="R273" s="659"/>
      <c r="S273" s="659"/>
      <c r="T273" s="659"/>
      <c r="U273" s="659"/>
      <c r="V273" s="659"/>
      <c r="W273" s="659"/>
      <c r="X273" s="505"/>
      <c r="Y273" s="1824"/>
      <c r="Z273" s="1824"/>
      <c r="AA273" s="1824"/>
      <c r="AB273" s="1825"/>
      <c r="AC273" s="1825"/>
      <c r="AD273" s="1564"/>
      <c r="AE273" s="701"/>
      <c r="AF273" s="684"/>
      <c r="AG273" s="684"/>
      <c r="AH273" s="710"/>
      <c r="AI273" s="710"/>
      <c r="AJ273" s="710"/>
      <c r="AK273" s="710"/>
      <c r="AL273" s="710"/>
      <c r="AM273" s="710"/>
      <c r="AN273" s="710"/>
      <c r="AO273" s="710"/>
      <c r="AP273" s="710"/>
      <c r="AQ273" s="710"/>
      <c r="AR273" s="710"/>
      <c r="AS273" s="710"/>
      <c r="AT273" s="710"/>
      <c r="AU273" s="1829"/>
      <c r="AV273" s="1835"/>
      <c r="AW273" s="1836"/>
      <c r="AX273" s="1836"/>
      <c r="AY273" s="1836"/>
      <c r="AZ273" s="1825"/>
      <c r="BA273" s="1825"/>
    </row>
    <row r="274" spans="2:53" s="188" customFormat="1" ht="24.95" customHeight="1">
      <c r="B274" s="281"/>
      <c r="C274" s="483"/>
      <c r="D274" s="483"/>
      <c r="E274" s="483"/>
      <c r="F274" s="652"/>
      <c r="G274" s="653"/>
      <c r="H274" s="509"/>
      <c r="I274" s="658"/>
      <c r="J274" s="505"/>
      <c r="K274" s="505"/>
      <c r="L274" s="505"/>
      <c r="M274" s="505"/>
      <c r="N274" s="658"/>
      <c r="O274" s="1561"/>
      <c r="P274" s="1453"/>
      <c r="Q274" s="657"/>
      <c r="R274" s="659"/>
      <c r="S274" s="659"/>
      <c r="T274" s="659"/>
      <c r="U274" s="659"/>
      <c r="V274" s="659"/>
      <c r="W274" s="659"/>
      <c r="X274" s="505"/>
      <c r="Y274" s="1824"/>
      <c r="Z274" s="1824"/>
      <c r="AA274" s="1824"/>
      <c r="AB274" s="1825"/>
      <c r="AC274" s="1825"/>
      <c r="AD274" s="1564"/>
      <c r="AE274" s="701"/>
      <c r="AF274" s="684"/>
      <c r="AG274" s="684"/>
      <c r="AH274" s="710"/>
      <c r="AI274" s="710"/>
      <c r="AJ274" s="710"/>
      <c r="AK274" s="710"/>
      <c r="AL274" s="710"/>
      <c r="AM274" s="710"/>
      <c r="AN274" s="710"/>
      <c r="AO274" s="710"/>
      <c r="AP274" s="710"/>
      <c r="AQ274" s="710"/>
      <c r="AR274" s="710"/>
      <c r="AS274" s="710"/>
      <c r="AT274" s="710"/>
      <c r="AU274" s="1829"/>
      <c r="AV274" s="1835"/>
      <c r="AW274" s="1836"/>
      <c r="AX274" s="1836"/>
      <c r="AY274" s="1836"/>
      <c r="AZ274" s="1825"/>
      <c r="BA274" s="1825"/>
    </row>
    <row r="275" spans="2:53" s="188" customFormat="1" ht="24.95" customHeight="1">
      <c r="B275" s="281"/>
      <c r="C275" s="483"/>
      <c r="D275" s="483"/>
      <c r="E275" s="483"/>
      <c r="F275" s="652"/>
      <c r="G275" s="653"/>
      <c r="H275" s="509"/>
      <c r="I275" s="658"/>
      <c r="J275" s="505"/>
      <c r="K275" s="505"/>
      <c r="L275" s="505"/>
      <c r="M275" s="505"/>
      <c r="N275" s="658"/>
      <c r="O275" s="1561"/>
      <c r="P275" s="1453"/>
      <c r="Q275" s="657"/>
      <c r="R275" s="659"/>
      <c r="S275" s="659"/>
      <c r="T275" s="659"/>
      <c r="U275" s="659"/>
      <c r="V275" s="659"/>
      <c r="W275" s="659"/>
      <c r="X275" s="505"/>
      <c r="Y275" s="1824"/>
      <c r="Z275" s="1824"/>
      <c r="AA275" s="1824"/>
      <c r="AB275" s="1825"/>
      <c r="AC275" s="1825"/>
      <c r="AD275" s="1564"/>
      <c r="AE275" s="701"/>
      <c r="AF275" s="684"/>
      <c r="AG275" s="684"/>
      <c r="AH275" s="710"/>
      <c r="AI275" s="710"/>
      <c r="AJ275" s="710"/>
      <c r="AK275" s="710"/>
      <c r="AL275" s="710"/>
      <c r="AM275" s="710"/>
      <c r="AN275" s="710"/>
      <c r="AO275" s="710"/>
      <c r="AP275" s="710"/>
      <c r="AQ275" s="710"/>
      <c r="AR275" s="710"/>
      <c r="AS275" s="710"/>
      <c r="AT275" s="710"/>
      <c r="AU275" s="1829"/>
      <c r="AV275" s="1835"/>
      <c r="AW275" s="1836"/>
      <c r="AX275" s="1836"/>
      <c r="AY275" s="1836"/>
      <c r="AZ275" s="1825"/>
      <c r="BA275" s="1825"/>
    </row>
    <row r="276" spans="2:53" s="188" customFormat="1" ht="24.95" customHeight="1">
      <c r="B276" s="281"/>
      <c r="C276" s="483"/>
      <c r="D276" s="483"/>
      <c r="E276" s="483"/>
      <c r="F276" s="652"/>
      <c r="G276" s="653"/>
      <c r="H276" s="509"/>
      <c r="I276" s="658"/>
      <c r="J276" s="505"/>
      <c r="K276" s="505"/>
      <c r="L276" s="505"/>
      <c r="M276" s="505"/>
      <c r="N276" s="658"/>
      <c r="O276" s="1561"/>
      <c r="P276" s="1453"/>
      <c r="Q276" s="657"/>
      <c r="R276" s="659"/>
      <c r="S276" s="659"/>
      <c r="T276" s="659"/>
      <c r="U276" s="659"/>
      <c r="V276" s="659"/>
      <c r="W276" s="659"/>
      <c r="X276" s="505"/>
      <c r="Y276" s="1824"/>
      <c r="Z276" s="1824"/>
      <c r="AA276" s="1824"/>
      <c r="AB276" s="1825"/>
      <c r="AC276" s="1825"/>
      <c r="AD276" s="1564"/>
      <c r="AE276" s="701"/>
      <c r="AF276" s="684"/>
      <c r="AG276" s="684"/>
      <c r="AH276" s="710"/>
      <c r="AI276" s="710"/>
      <c r="AJ276" s="710"/>
      <c r="AK276" s="710"/>
      <c r="AL276" s="710"/>
      <c r="AM276" s="710"/>
      <c r="AN276" s="710"/>
      <c r="AO276" s="710"/>
      <c r="AP276" s="710"/>
      <c r="AQ276" s="710"/>
      <c r="AR276" s="710"/>
      <c r="AS276" s="710"/>
      <c r="AT276" s="710"/>
      <c r="AU276" s="1829"/>
      <c r="AV276" s="1835"/>
      <c r="AW276" s="1836"/>
      <c r="AX276" s="1836"/>
      <c r="AY276" s="1836"/>
      <c r="AZ276" s="1825"/>
      <c r="BA276" s="1825"/>
    </row>
    <row r="277" spans="2:53" s="188" customFormat="1" ht="24.95" customHeight="1">
      <c r="B277" s="281"/>
      <c r="C277" s="483"/>
      <c r="D277" s="483"/>
      <c r="E277" s="483"/>
      <c r="F277" s="652"/>
      <c r="G277" s="653"/>
      <c r="H277" s="509"/>
      <c r="I277" s="658"/>
      <c r="J277" s="505"/>
      <c r="K277" s="505"/>
      <c r="L277" s="505"/>
      <c r="M277" s="505"/>
      <c r="N277" s="658"/>
      <c r="O277" s="1561"/>
      <c r="P277" s="1453"/>
      <c r="Q277" s="657"/>
      <c r="R277" s="659"/>
      <c r="S277" s="659"/>
      <c r="T277" s="659"/>
      <c r="U277" s="659"/>
      <c r="V277" s="659"/>
      <c r="W277" s="659"/>
      <c r="X277" s="505"/>
      <c r="Y277" s="1824"/>
      <c r="Z277" s="1824"/>
      <c r="AA277" s="1824"/>
      <c r="AB277" s="1825"/>
      <c r="AC277" s="1825"/>
      <c r="AD277" s="1564"/>
      <c r="AE277" s="701"/>
      <c r="AF277" s="684"/>
      <c r="AG277" s="684"/>
      <c r="AH277" s="710"/>
      <c r="AI277" s="710"/>
      <c r="AJ277" s="710"/>
      <c r="AK277" s="710"/>
      <c r="AL277" s="710"/>
      <c r="AM277" s="710"/>
      <c r="AN277" s="710"/>
      <c r="AO277" s="710"/>
      <c r="AP277" s="710"/>
      <c r="AQ277" s="710"/>
      <c r="AR277" s="710"/>
      <c r="AS277" s="710"/>
      <c r="AT277" s="710"/>
      <c r="AU277" s="1829"/>
      <c r="AV277" s="1835"/>
      <c r="AW277" s="1836"/>
      <c r="AX277" s="1836"/>
      <c r="AY277" s="1836"/>
      <c r="AZ277" s="1825"/>
      <c r="BA277" s="1825"/>
    </row>
    <row r="278" spans="2:53" s="188" customFormat="1" ht="24.95" customHeight="1">
      <c r="B278" s="281"/>
      <c r="C278" s="483"/>
      <c r="D278" s="483"/>
      <c r="E278" s="483"/>
      <c r="F278" s="652"/>
      <c r="G278" s="653"/>
      <c r="H278" s="509"/>
      <c r="I278" s="658"/>
      <c r="J278" s="505"/>
      <c r="K278" s="505"/>
      <c r="L278" s="505"/>
      <c r="M278" s="505"/>
      <c r="N278" s="658"/>
      <c r="O278" s="1561"/>
      <c r="P278" s="1453"/>
      <c r="Q278" s="657"/>
      <c r="R278" s="659"/>
      <c r="S278" s="659"/>
      <c r="T278" s="659"/>
      <c r="U278" s="659"/>
      <c r="V278" s="659"/>
      <c r="W278" s="659"/>
      <c r="X278" s="505"/>
      <c r="Y278" s="1824"/>
      <c r="Z278" s="1824"/>
      <c r="AA278" s="1824"/>
      <c r="AB278" s="1825"/>
      <c r="AC278" s="1825"/>
      <c r="AD278" s="1564"/>
      <c r="AE278" s="701"/>
      <c r="AF278" s="684"/>
      <c r="AG278" s="684"/>
      <c r="AH278" s="710"/>
      <c r="AI278" s="710"/>
      <c r="AJ278" s="710"/>
      <c r="AK278" s="710"/>
      <c r="AL278" s="710"/>
      <c r="AM278" s="710"/>
      <c r="AN278" s="710"/>
      <c r="AO278" s="710"/>
      <c r="AP278" s="710"/>
      <c r="AQ278" s="710"/>
      <c r="AR278" s="710"/>
      <c r="AS278" s="710"/>
      <c r="AT278" s="710"/>
      <c r="AU278" s="1829"/>
      <c r="AV278" s="1835"/>
      <c r="AW278" s="1836"/>
      <c r="AX278" s="1836"/>
      <c r="AY278" s="1836"/>
      <c r="AZ278" s="1825"/>
      <c r="BA278" s="1825"/>
    </row>
    <row r="279" spans="2:53" s="188" customFormat="1" ht="24.95" customHeight="1">
      <c r="B279" s="281"/>
      <c r="C279" s="483"/>
      <c r="D279" s="483"/>
      <c r="E279" s="483"/>
      <c r="F279" s="652"/>
      <c r="G279" s="653"/>
      <c r="H279" s="509"/>
      <c r="I279" s="658"/>
      <c r="J279" s="505"/>
      <c r="K279" s="505"/>
      <c r="L279" s="505"/>
      <c r="M279" s="505"/>
      <c r="N279" s="658"/>
      <c r="O279" s="1561"/>
      <c r="P279" s="1453"/>
      <c r="Q279" s="657"/>
      <c r="R279" s="659"/>
      <c r="S279" s="659"/>
      <c r="T279" s="659"/>
      <c r="U279" s="659"/>
      <c r="V279" s="659"/>
      <c r="W279" s="659"/>
      <c r="X279" s="505"/>
      <c r="Y279" s="1824"/>
      <c r="Z279" s="1824"/>
      <c r="AA279" s="1824"/>
      <c r="AB279" s="1825"/>
      <c r="AC279" s="1825"/>
      <c r="AD279" s="1564"/>
      <c r="AE279" s="701"/>
      <c r="AF279" s="684"/>
      <c r="AG279" s="684"/>
      <c r="AH279" s="710"/>
      <c r="AI279" s="710"/>
      <c r="AJ279" s="710"/>
      <c r="AK279" s="710"/>
      <c r="AL279" s="710"/>
      <c r="AM279" s="710"/>
      <c r="AN279" s="710"/>
      <c r="AO279" s="710"/>
      <c r="AP279" s="710"/>
      <c r="AQ279" s="710"/>
      <c r="AR279" s="710"/>
      <c r="AS279" s="710"/>
      <c r="AT279" s="710"/>
      <c r="AU279" s="1829"/>
      <c r="AV279" s="1835"/>
      <c r="AW279" s="1836"/>
      <c r="AX279" s="1836"/>
      <c r="AY279" s="1836"/>
      <c r="AZ279" s="1825"/>
      <c r="BA279" s="1825"/>
    </row>
    <row r="280" spans="2:53" s="188" customFormat="1" ht="24.95" customHeight="1">
      <c r="B280" s="281"/>
      <c r="C280" s="483"/>
      <c r="D280" s="483"/>
      <c r="E280" s="483"/>
      <c r="F280" s="652"/>
      <c r="G280" s="653"/>
      <c r="H280" s="509"/>
      <c r="I280" s="658"/>
      <c r="J280" s="505"/>
      <c r="K280" s="505"/>
      <c r="L280" s="505"/>
      <c r="M280" s="505"/>
      <c r="N280" s="658"/>
      <c r="O280" s="1561"/>
      <c r="P280" s="1453"/>
      <c r="Q280" s="657"/>
      <c r="R280" s="659"/>
      <c r="S280" s="659"/>
      <c r="T280" s="659"/>
      <c r="U280" s="659"/>
      <c r="V280" s="659"/>
      <c r="W280" s="659"/>
      <c r="X280" s="505"/>
      <c r="Y280" s="1824"/>
      <c r="Z280" s="1824"/>
      <c r="AA280" s="1824"/>
      <c r="AB280" s="1825"/>
      <c r="AC280" s="1825"/>
      <c r="AD280" s="1564"/>
      <c r="AE280" s="701"/>
      <c r="AF280" s="684"/>
      <c r="AG280" s="684"/>
      <c r="AH280" s="710"/>
      <c r="AI280" s="710"/>
      <c r="AJ280" s="710"/>
      <c r="AK280" s="710"/>
      <c r="AL280" s="710"/>
      <c r="AM280" s="710"/>
      <c r="AN280" s="710"/>
      <c r="AO280" s="710"/>
      <c r="AP280" s="710"/>
      <c r="AQ280" s="710"/>
      <c r="AR280" s="710"/>
      <c r="AS280" s="710"/>
      <c r="AT280" s="710"/>
      <c r="AU280" s="1829"/>
      <c r="AV280" s="1835"/>
      <c r="AW280" s="1836"/>
      <c r="AX280" s="1836"/>
      <c r="AY280" s="1836"/>
      <c r="AZ280" s="1825"/>
      <c r="BA280" s="1825"/>
    </row>
    <row r="281" spans="2:53" s="188" customFormat="1" ht="24.95" customHeight="1">
      <c r="B281" s="281"/>
      <c r="C281" s="483"/>
      <c r="D281" s="483"/>
      <c r="E281" s="483"/>
      <c r="F281" s="652"/>
      <c r="G281" s="653"/>
      <c r="H281" s="509"/>
      <c r="I281" s="658"/>
      <c r="J281" s="505"/>
      <c r="K281" s="505"/>
      <c r="L281" s="505"/>
      <c r="M281" s="505"/>
      <c r="N281" s="658"/>
      <c r="O281" s="1561"/>
      <c r="P281" s="1453"/>
      <c r="Q281" s="657"/>
      <c r="R281" s="659"/>
      <c r="S281" s="659"/>
      <c r="T281" s="659"/>
      <c r="U281" s="659"/>
      <c r="V281" s="659"/>
      <c r="W281" s="659"/>
      <c r="X281" s="505"/>
      <c r="Y281" s="1824"/>
      <c r="Z281" s="1824"/>
      <c r="AA281" s="1824"/>
      <c r="AB281" s="1825"/>
      <c r="AC281" s="1825"/>
      <c r="AD281" s="1564"/>
      <c r="AE281" s="701"/>
      <c r="AF281" s="684"/>
      <c r="AG281" s="684"/>
      <c r="AH281" s="710"/>
      <c r="AI281" s="710"/>
      <c r="AJ281" s="710"/>
      <c r="AK281" s="710"/>
      <c r="AL281" s="710"/>
      <c r="AM281" s="710"/>
      <c r="AN281" s="710"/>
      <c r="AO281" s="710"/>
      <c r="AP281" s="710"/>
      <c r="AQ281" s="710"/>
      <c r="AR281" s="710"/>
      <c r="AS281" s="710"/>
      <c r="AT281" s="710"/>
      <c r="AU281" s="1829"/>
      <c r="AV281" s="1835"/>
      <c r="AW281" s="1836"/>
      <c r="AX281" s="1836"/>
      <c r="AY281" s="1836"/>
      <c r="AZ281" s="1825"/>
      <c r="BA281" s="1825"/>
    </row>
    <row r="282" spans="2:53" s="188" customFormat="1" ht="24.95" customHeight="1">
      <c r="B282" s="281"/>
      <c r="C282" s="483"/>
      <c r="D282" s="483"/>
      <c r="E282" s="483"/>
      <c r="F282" s="652"/>
      <c r="G282" s="653"/>
      <c r="H282" s="509"/>
      <c r="I282" s="658"/>
      <c r="J282" s="505"/>
      <c r="K282" s="505"/>
      <c r="L282" s="505"/>
      <c r="M282" s="505"/>
      <c r="N282" s="658"/>
      <c r="O282" s="1561"/>
      <c r="P282" s="1453"/>
      <c r="Q282" s="657"/>
      <c r="R282" s="659"/>
      <c r="S282" s="659"/>
      <c r="T282" s="659"/>
      <c r="U282" s="659"/>
      <c r="V282" s="659"/>
      <c r="W282" s="659"/>
      <c r="X282" s="505"/>
      <c r="Y282" s="1824"/>
      <c r="Z282" s="1824"/>
      <c r="AA282" s="1824"/>
      <c r="AB282" s="1825"/>
      <c r="AC282" s="1825"/>
      <c r="AD282" s="1564"/>
      <c r="AE282" s="701"/>
      <c r="AF282" s="684"/>
      <c r="AG282" s="684"/>
      <c r="AH282" s="710"/>
      <c r="AI282" s="710"/>
      <c r="AJ282" s="710"/>
      <c r="AK282" s="710"/>
      <c r="AL282" s="710"/>
      <c r="AM282" s="710"/>
      <c r="AN282" s="710"/>
      <c r="AO282" s="710"/>
      <c r="AP282" s="710"/>
      <c r="AQ282" s="710"/>
      <c r="AR282" s="710"/>
      <c r="AS282" s="710"/>
      <c r="AT282" s="710"/>
      <c r="AU282" s="1829"/>
      <c r="AV282" s="1835"/>
      <c r="AW282" s="1836"/>
      <c r="AX282" s="1836"/>
      <c r="AY282" s="1836"/>
      <c r="AZ282" s="1825"/>
      <c r="BA282" s="1825"/>
    </row>
    <row r="283" spans="2:53" s="188" customFormat="1" ht="24.95" customHeight="1">
      <c r="B283" s="281"/>
      <c r="C283" s="483"/>
      <c r="D283" s="483"/>
      <c r="E283" s="483"/>
      <c r="F283" s="652"/>
      <c r="G283" s="653"/>
      <c r="H283" s="509"/>
      <c r="I283" s="658"/>
      <c r="J283" s="505"/>
      <c r="K283" s="505"/>
      <c r="L283" s="505"/>
      <c r="M283" s="505"/>
      <c r="N283" s="658"/>
      <c r="O283" s="1561"/>
      <c r="P283" s="1453"/>
      <c r="Q283" s="657"/>
      <c r="R283" s="659"/>
      <c r="S283" s="659"/>
      <c r="T283" s="659"/>
      <c r="U283" s="659"/>
      <c r="V283" s="659"/>
      <c r="W283" s="659"/>
      <c r="X283" s="505"/>
      <c r="Y283" s="1824"/>
      <c r="Z283" s="1824"/>
      <c r="AA283" s="1824"/>
      <c r="AB283" s="1825"/>
      <c r="AC283" s="1825"/>
      <c r="AD283" s="1564"/>
      <c r="AE283" s="701"/>
      <c r="AF283" s="684"/>
      <c r="AG283" s="684"/>
      <c r="AH283" s="710"/>
      <c r="AI283" s="710"/>
      <c r="AJ283" s="710"/>
      <c r="AK283" s="710"/>
      <c r="AL283" s="710"/>
      <c r="AM283" s="710"/>
      <c r="AN283" s="710"/>
      <c r="AO283" s="710"/>
      <c r="AP283" s="710"/>
      <c r="AQ283" s="710"/>
      <c r="AR283" s="710"/>
      <c r="AS283" s="710"/>
      <c r="AT283" s="710"/>
      <c r="AU283" s="1829"/>
      <c r="AV283" s="1835"/>
      <c r="AW283" s="1836"/>
      <c r="AX283" s="1836"/>
      <c r="AY283" s="1836"/>
      <c r="AZ283" s="1825"/>
      <c r="BA283" s="1825"/>
    </row>
    <row r="284" spans="2:53" s="188" customFormat="1" ht="24.95" customHeight="1">
      <c r="B284" s="281"/>
      <c r="C284" s="483"/>
      <c r="D284" s="483"/>
      <c r="E284" s="483"/>
      <c r="F284" s="652"/>
      <c r="G284" s="653"/>
      <c r="H284" s="509"/>
      <c r="I284" s="658"/>
      <c r="J284" s="505"/>
      <c r="K284" s="505"/>
      <c r="L284" s="505"/>
      <c r="M284" s="505"/>
      <c r="N284" s="658"/>
      <c r="O284" s="1561"/>
      <c r="P284" s="1453"/>
      <c r="Q284" s="657"/>
      <c r="R284" s="659"/>
      <c r="S284" s="659"/>
      <c r="T284" s="659"/>
      <c r="U284" s="659"/>
      <c r="V284" s="659"/>
      <c r="W284" s="659"/>
      <c r="X284" s="505"/>
      <c r="Y284" s="1824"/>
      <c r="Z284" s="1824"/>
      <c r="AA284" s="1824"/>
      <c r="AB284" s="1825"/>
      <c r="AC284" s="1825"/>
      <c r="AD284" s="1564"/>
      <c r="AE284" s="701"/>
      <c r="AF284" s="684"/>
      <c r="AG284" s="684"/>
      <c r="AH284" s="710"/>
      <c r="AI284" s="710"/>
      <c r="AJ284" s="710"/>
      <c r="AK284" s="710"/>
      <c r="AL284" s="710"/>
      <c r="AM284" s="710"/>
      <c r="AN284" s="710"/>
      <c r="AO284" s="710"/>
      <c r="AP284" s="710"/>
      <c r="AQ284" s="710"/>
      <c r="AR284" s="710"/>
      <c r="AS284" s="710"/>
      <c r="AT284" s="710"/>
      <c r="AU284" s="1829"/>
      <c r="AV284" s="1835"/>
      <c r="AW284" s="1836"/>
      <c r="AX284" s="1836"/>
      <c r="AY284" s="1836"/>
      <c r="AZ284" s="1825"/>
      <c r="BA284" s="1825"/>
    </row>
    <row r="285" spans="2:53" s="188" customFormat="1" ht="24.95" customHeight="1">
      <c r="B285" s="281"/>
      <c r="C285" s="483"/>
      <c r="D285" s="483"/>
      <c r="E285" s="483"/>
      <c r="F285" s="652"/>
      <c r="G285" s="653"/>
      <c r="H285" s="509"/>
      <c r="I285" s="658"/>
      <c r="J285" s="505"/>
      <c r="K285" s="505"/>
      <c r="L285" s="505"/>
      <c r="M285" s="505"/>
      <c r="N285" s="658"/>
      <c r="O285" s="1561"/>
      <c r="P285" s="1453"/>
      <c r="Q285" s="657"/>
      <c r="R285" s="659"/>
      <c r="S285" s="659"/>
      <c r="T285" s="659"/>
      <c r="U285" s="659"/>
      <c r="V285" s="659"/>
      <c r="W285" s="659"/>
      <c r="X285" s="505"/>
      <c r="Y285" s="1824"/>
      <c r="Z285" s="1824"/>
      <c r="AA285" s="1824"/>
      <c r="AB285" s="1825"/>
      <c r="AC285" s="1825"/>
      <c r="AD285" s="1564"/>
      <c r="AE285" s="701"/>
      <c r="AF285" s="684"/>
      <c r="AG285" s="684"/>
      <c r="AH285" s="710"/>
      <c r="AI285" s="710"/>
      <c r="AJ285" s="710"/>
      <c r="AK285" s="710"/>
      <c r="AL285" s="710"/>
      <c r="AM285" s="710"/>
      <c r="AN285" s="710"/>
      <c r="AO285" s="710"/>
      <c r="AP285" s="710"/>
      <c r="AQ285" s="710"/>
      <c r="AR285" s="710"/>
      <c r="AS285" s="710"/>
      <c r="AT285" s="710"/>
      <c r="AU285" s="1829"/>
      <c r="AV285" s="1835"/>
      <c r="AW285" s="1836"/>
      <c r="AX285" s="1836"/>
      <c r="AY285" s="1836"/>
      <c r="AZ285" s="1825"/>
      <c r="BA285" s="1825"/>
    </row>
    <row r="286" spans="2:53" s="188" customFormat="1" ht="24.95" customHeight="1">
      <c r="B286" s="281"/>
      <c r="C286" s="483"/>
      <c r="D286" s="483"/>
      <c r="E286" s="483"/>
      <c r="F286" s="652"/>
      <c r="G286" s="653"/>
      <c r="H286" s="509"/>
      <c r="I286" s="658"/>
      <c r="J286" s="505"/>
      <c r="K286" s="505"/>
      <c r="L286" s="505"/>
      <c r="M286" s="505"/>
      <c r="N286" s="658"/>
      <c r="O286" s="1561"/>
      <c r="P286" s="1453"/>
      <c r="Q286" s="657"/>
      <c r="R286" s="659"/>
      <c r="S286" s="659"/>
      <c r="T286" s="659"/>
      <c r="U286" s="659"/>
      <c r="V286" s="659"/>
      <c r="W286" s="659"/>
      <c r="X286" s="505"/>
      <c r="Y286" s="1824"/>
      <c r="Z286" s="1824"/>
      <c r="AA286" s="1824"/>
      <c r="AB286" s="1825"/>
      <c r="AC286" s="1825"/>
      <c r="AD286" s="1564"/>
      <c r="AE286" s="701"/>
      <c r="AF286" s="684"/>
      <c r="AG286" s="684"/>
      <c r="AH286" s="710"/>
      <c r="AI286" s="710"/>
      <c r="AJ286" s="710"/>
      <c r="AK286" s="710"/>
      <c r="AL286" s="710"/>
      <c r="AM286" s="710"/>
      <c r="AN286" s="710"/>
      <c r="AO286" s="710"/>
      <c r="AP286" s="710"/>
      <c r="AQ286" s="710"/>
      <c r="AR286" s="710"/>
      <c r="AS286" s="710"/>
      <c r="AT286" s="710"/>
      <c r="AU286" s="1829"/>
      <c r="AV286" s="1835"/>
      <c r="AW286" s="1836"/>
      <c r="AX286" s="1836"/>
      <c r="AY286" s="1836"/>
      <c r="AZ286" s="1825"/>
      <c r="BA286" s="1825"/>
    </row>
    <row r="287" spans="2:53" s="188" customFormat="1" ht="24.95" customHeight="1">
      <c r="B287" s="281"/>
      <c r="C287" s="483"/>
      <c r="D287" s="483"/>
      <c r="E287" s="483"/>
      <c r="F287" s="652"/>
      <c r="G287" s="653"/>
      <c r="H287" s="509"/>
      <c r="I287" s="658"/>
      <c r="J287" s="505"/>
      <c r="K287" s="505"/>
      <c r="L287" s="505"/>
      <c r="M287" s="505"/>
      <c r="N287" s="658"/>
      <c r="O287" s="1561"/>
      <c r="P287" s="1453"/>
      <c r="Q287" s="657"/>
      <c r="R287" s="659"/>
      <c r="S287" s="659"/>
      <c r="T287" s="659"/>
      <c r="U287" s="659"/>
      <c r="V287" s="659"/>
      <c r="W287" s="659"/>
      <c r="X287" s="505"/>
      <c r="Y287" s="1824"/>
      <c r="Z287" s="1824"/>
      <c r="AA287" s="1824"/>
      <c r="AB287" s="1825"/>
      <c r="AC287" s="1825"/>
      <c r="AD287" s="1564"/>
      <c r="AE287" s="701"/>
      <c r="AF287" s="684"/>
      <c r="AG287" s="684"/>
      <c r="AH287" s="710"/>
      <c r="AI287" s="710"/>
      <c r="AJ287" s="710"/>
      <c r="AK287" s="710"/>
      <c r="AL287" s="710"/>
      <c r="AM287" s="710"/>
      <c r="AN287" s="710"/>
      <c r="AO287" s="710"/>
      <c r="AP287" s="710"/>
      <c r="AQ287" s="710"/>
      <c r="AR287" s="710"/>
      <c r="AS287" s="710"/>
      <c r="AT287" s="710"/>
      <c r="AU287" s="1829"/>
      <c r="AV287" s="1835"/>
      <c r="AW287" s="1836"/>
      <c r="AX287" s="1836"/>
      <c r="AY287" s="1836"/>
      <c r="AZ287" s="1825"/>
      <c r="BA287" s="1825"/>
    </row>
    <row r="288" spans="2:53" s="188" customFormat="1" ht="24.95" customHeight="1">
      <c r="B288" s="281"/>
      <c r="C288" s="483"/>
      <c r="D288" s="483"/>
      <c r="E288" s="483"/>
      <c r="F288" s="652"/>
      <c r="G288" s="653"/>
      <c r="H288" s="509"/>
      <c r="I288" s="658"/>
      <c r="J288" s="505"/>
      <c r="K288" s="505"/>
      <c r="L288" s="505"/>
      <c r="M288" s="505"/>
      <c r="N288" s="658"/>
      <c r="O288" s="1561"/>
      <c r="P288" s="1453"/>
      <c r="Q288" s="657"/>
      <c r="R288" s="659"/>
      <c r="S288" s="659"/>
      <c r="T288" s="659"/>
      <c r="U288" s="659"/>
      <c r="V288" s="659"/>
      <c r="W288" s="659"/>
      <c r="X288" s="505"/>
      <c r="Y288" s="1824"/>
      <c r="Z288" s="1824"/>
      <c r="AA288" s="1824"/>
      <c r="AB288" s="1825"/>
      <c r="AC288" s="1825"/>
      <c r="AD288" s="1564"/>
      <c r="AE288" s="701"/>
      <c r="AF288" s="684"/>
      <c r="AG288" s="684"/>
      <c r="AH288" s="710"/>
      <c r="AI288" s="710"/>
      <c r="AJ288" s="710"/>
      <c r="AK288" s="710"/>
      <c r="AL288" s="710"/>
      <c r="AM288" s="710"/>
      <c r="AN288" s="710"/>
      <c r="AO288" s="710"/>
      <c r="AP288" s="710"/>
      <c r="AQ288" s="710"/>
      <c r="AR288" s="710"/>
      <c r="AS288" s="710"/>
      <c r="AT288" s="710"/>
      <c r="AU288" s="1829"/>
      <c r="AV288" s="1835"/>
      <c r="AW288" s="1836"/>
      <c r="AX288" s="1836"/>
      <c r="AY288" s="1836"/>
      <c r="AZ288" s="1825"/>
      <c r="BA288" s="1825"/>
    </row>
    <row r="289" spans="2:53" s="188" customFormat="1" ht="24.95" customHeight="1">
      <c r="B289" s="281"/>
      <c r="C289" s="483"/>
      <c r="D289" s="483"/>
      <c r="E289" s="483"/>
      <c r="F289" s="652"/>
      <c r="G289" s="653"/>
      <c r="H289" s="509"/>
      <c r="I289" s="658"/>
      <c r="J289" s="505"/>
      <c r="K289" s="505"/>
      <c r="L289" s="505"/>
      <c r="M289" s="505"/>
      <c r="N289" s="658"/>
      <c r="O289" s="1561"/>
      <c r="P289" s="1453"/>
      <c r="Q289" s="657"/>
      <c r="R289" s="659"/>
      <c r="S289" s="659"/>
      <c r="T289" s="659"/>
      <c r="U289" s="659"/>
      <c r="V289" s="659"/>
      <c r="W289" s="659"/>
      <c r="X289" s="505"/>
      <c r="Y289" s="1824"/>
      <c r="Z289" s="1824"/>
      <c r="AA289" s="1824"/>
      <c r="AB289" s="1825"/>
      <c r="AC289" s="1825"/>
      <c r="AD289" s="1564"/>
      <c r="AE289" s="701"/>
      <c r="AF289" s="684"/>
      <c r="AG289" s="684"/>
      <c r="AH289" s="710"/>
      <c r="AI289" s="710"/>
      <c r="AJ289" s="710"/>
      <c r="AK289" s="710"/>
      <c r="AL289" s="710"/>
      <c r="AM289" s="710"/>
      <c r="AN289" s="710"/>
      <c r="AO289" s="710"/>
      <c r="AP289" s="710"/>
      <c r="AQ289" s="710"/>
      <c r="AR289" s="710"/>
      <c r="AS289" s="710"/>
      <c r="AT289" s="710"/>
      <c r="AU289" s="1829"/>
      <c r="AV289" s="1835"/>
      <c r="AW289" s="1836"/>
      <c r="AX289" s="1836"/>
      <c r="AY289" s="1836"/>
      <c r="AZ289" s="1825"/>
      <c r="BA289" s="1825"/>
    </row>
    <row r="290" spans="2:53" s="188" customFormat="1" ht="24.95" customHeight="1">
      <c r="B290" s="281"/>
      <c r="C290" s="483"/>
      <c r="D290" s="483"/>
      <c r="E290" s="483"/>
      <c r="F290" s="652"/>
      <c r="G290" s="653"/>
      <c r="H290" s="509"/>
      <c r="I290" s="658"/>
      <c r="J290" s="505"/>
      <c r="K290" s="505"/>
      <c r="L290" s="505"/>
      <c r="M290" s="505"/>
      <c r="N290" s="658"/>
      <c r="O290" s="1561"/>
      <c r="P290" s="1453"/>
      <c r="Q290" s="657"/>
      <c r="R290" s="659"/>
      <c r="S290" s="659"/>
      <c r="T290" s="659"/>
      <c r="U290" s="659"/>
      <c r="V290" s="659"/>
      <c r="W290" s="659"/>
      <c r="X290" s="505"/>
      <c r="Y290" s="1824"/>
      <c r="Z290" s="1824"/>
      <c r="AA290" s="1824"/>
      <c r="AB290" s="1825"/>
      <c r="AC290" s="1825"/>
      <c r="AD290" s="1564"/>
      <c r="AE290" s="701"/>
      <c r="AF290" s="684"/>
      <c r="AG290" s="684"/>
      <c r="AH290" s="710"/>
      <c r="AI290" s="710"/>
      <c r="AJ290" s="710"/>
      <c r="AK290" s="710"/>
      <c r="AL290" s="710"/>
      <c r="AM290" s="710"/>
      <c r="AN290" s="710"/>
      <c r="AO290" s="710"/>
      <c r="AP290" s="710"/>
      <c r="AQ290" s="710"/>
      <c r="AR290" s="710"/>
      <c r="AS290" s="710"/>
      <c r="AT290" s="710"/>
      <c r="AU290" s="1829"/>
      <c r="AV290" s="1835"/>
      <c r="AW290" s="1836"/>
      <c r="AX290" s="1836"/>
      <c r="AY290" s="1836"/>
      <c r="AZ290" s="1825"/>
      <c r="BA290" s="1825"/>
    </row>
    <row r="291" spans="2:53" s="188" customFormat="1" ht="24.95" customHeight="1">
      <c r="B291" s="281"/>
      <c r="C291" s="483"/>
      <c r="D291" s="483"/>
      <c r="E291" s="483"/>
      <c r="F291" s="652"/>
      <c r="G291" s="653"/>
      <c r="H291" s="509"/>
      <c r="I291" s="658"/>
      <c r="J291" s="505"/>
      <c r="K291" s="505"/>
      <c r="L291" s="505"/>
      <c r="M291" s="505"/>
      <c r="N291" s="658"/>
      <c r="O291" s="1561"/>
      <c r="P291" s="1453"/>
      <c r="Q291" s="657"/>
      <c r="R291" s="659"/>
      <c r="S291" s="659"/>
      <c r="T291" s="659"/>
      <c r="U291" s="659"/>
      <c r="V291" s="659"/>
      <c r="W291" s="659"/>
      <c r="X291" s="505"/>
      <c r="Y291" s="1824"/>
      <c r="Z291" s="1824"/>
      <c r="AA291" s="1824"/>
      <c r="AB291" s="1825"/>
      <c r="AC291" s="1825"/>
      <c r="AD291" s="1564"/>
      <c r="AE291" s="701"/>
      <c r="AF291" s="684"/>
      <c r="AG291" s="684"/>
      <c r="AH291" s="710"/>
      <c r="AI291" s="710"/>
      <c r="AJ291" s="710"/>
      <c r="AK291" s="710"/>
      <c r="AL291" s="710"/>
      <c r="AM291" s="710"/>
      <c r="AN291" s="710"/>
      <c r="AO291" s="710"/>
      <c r="AP291" s="710"/>
      <c r="AQ291" s="710"/>
      <c r="AR291" s="710"/>
      <c r="AS291" s="710"/>
      <c r="AT291" s="710"/>
      <c r="AU291" s="1829"/>
      <c r="AV291" s="1835"/>
      <c r="AW291" s="1836"/>
      <c r="AX291" s="1836"/>
      <c r="AY291" s="1836"/>
      <c r="AZ291" s="1825"/>
      <c r="BA291" s="1825"/>
    </row>
    <row r="292" spans="2:53" s="188" customFormat="1" ht="24.95" customHeight="1">
      <c r="B292" s="281"/>
      <c r="C292" s="483"/>
      <c r="D292" s="483"/>
      <c r="E292" s="483"/>
      <c r="F292" s="652"/>
      <c r="G292" s="653"/>
      <c r="H292" s="509"/>
      <c r="I292" s="658"/>
      <c r="J292" s="505"/>
      <c r="K292" s="505"/>
      <c r="L292" s="505"/>
      <c r="M292" s="505"/>
      <c r="N292" s="658"/>
      <c r="O292" s="1561"/>
      <c r="P292" s="1453"/>
      <c r="Q292" s="657"/>
      <c r="R292" s="659"/>
      <c r="S292" s="659"/>
      <c r="T292" s="659"/>
      <c r="U292" s="659"/>
      <c r="V292" s="659"/>
      <c r="W292" s="659"/>
      <c r="X292" s="505"/>
      <c r="Y292" s="1824"/>
      <c r="Z292" s="1824"/>
      <c r="AA292" s="1824"/>
      <c r="AB292" s="1825"/>
      <c r="AC292" s="1825"/>
      <c r="AD292" s="1564"/>
      <c r="AE292" s="701"/>
      <c r="AF292" s="684"/>
      <c r="AG292" s="684"/>
      <c r="AH292" s="710"/>
      <c r="AI292" s="710"/>
      <c r="AJ292" s="710"/>
      <c r="AK292" s="710"/>
      <c r="AL292" s="710"/>
      <c r="AM292" s="710"/>
      <c r="AN292" s="710"/>
      <c r="AO292" s="710"/>
      <c r="AP292" s="710"/>
      <c r="AQ292" s="710"/>
      <c r="AR292" s="710"/>
      <c r="AS292" s="710"/>
      <c r="AT292" s="710"/>
      <c r="AU292" s="1829"/>
      <c r="AV292" s="1835"/>
      <c r="AW292" s="1836"/>
      <c r="AX292" s="1836"/>
      <c r="AY292" s="1836"/>
      <c r="AZ292" s="1825"/>
      <c r="BA292" s="1825"/>
    </row>
    <row r="293" spans="2:53" s="188" customFormat="1" ht="24.95" customHeight="1">
      <c r="B293" s="281"/>
      <c r="C293" s="483"/>
      <c r="D293" s="483"/>
      <c r="E293" s="483"/>
      <c r="F293" s="652"/>
      <c r="G293" s="653"/>
      <c r="H293" s="509"/>
      <c r="I293" s="658"/>
      <c r="J293" s="505"/>
      <c r="K293" s="505"/>
      <c r="L293" s="505"/>
      <c r="M293" s="505"/>
      <c r="N293" s="658"/>
      <c r="O293" s="1561"/>
      <c r="P293" s="1453"/>
      <c r="Q293" s="657"/>
      <c r="R293" s="659"/>
      <c r="S293" s="659"/>
      <c r="T293" s="659"/>
      <c r="U293" s="659"/>
      <c r="V293" s="659"/>
      <c r="W293" s="659"/>
      <c r="X293" s="505"/>
      <c r="Y293" s="1824"/>
      <c r="Z293" s="1824"/>
      <c r="AA293" s="1824"/>
      <c r="AB293" s="1825"/>
      <c r="AC293" s="1825"/>
      <c r="AD293" s="1564"/>
      <c r="AE293" s="701"/>
      <c r="AF293" s="684"/>
      <c r="AG293" s="684"/>
      <c r="AH293" s="710"/>
      <c r="AI293" s="710"/>
      <c r="AJ293" s="710"/>
      <c r="AK293" s="710"/>
      <c r="AL293" s="710"/>
      <c r="AM293" s="710"/>
      <c r="AN293" s="710"/>
      <c r="AO293" s="710"/>
      <c r="AP293" s="710"/>
      <c r="AQ293" s="710"/>
      <c r="AR293" s="710"/>
      <c r="AS293" s="710"/>
      <c r="AT293" s="710"/>
      <c r="AU293" s="1829"/>
      <c r="AV293" s="1835"/>
      <c r="AW293" s="1836"/>
      <c r="AX293" s="1836"/>
      <c r="AY293" s="1836"/>
      <c r="AZ293" s="1825"/>
      <c r="BA293" s="1825"/>
    </row>
    <row r="294" spans="2:53" s="188" customFormat="1" ht="24.95" customHeight="1">
      <c r="B294" s="281"/>
      <c r="C294" s="483"/>
      <c r="D294" s="483"/>
      <c r="E294" s="483"/>
      <c r="F294" s="652"/>
      <c r="G294" s="653"/>
      <c r="H294" s="509"/>
      <c r="I294" s="658"/>
      <c r="J294" s="505"/>
      <c r="K294" s="505"/>
      <c r="L294" s="505"/>
      <c r="M294" s="505"/>
      <c r="N294" s="658"/>
      <c r="O294" s="1561"/>
      <c r="P294" s="1453"/>
      <c r="Q294" s="657"/>
      <c r="R294" s="659"/>
      <c r="S294" s="659"/>
      <c r="T294" s="659"/>
      <c r="U294" s="659"/>
      <c r="V294" s="659"/>
      <c r="W294" s="659"/>
      <c r="X294" s="505"/>
      <c r="Y294" s="1824"/>
      <c r="Z294" s="1824"/>
      <c r="AA294" s="1824"/>
      <c r="AB294" s="1825"/>
      <c r="AC294" s="1825"/>
      <c r="AD294" s="1564"/>
      <c r="AE294" s="701"/>
      <c r="AF294" s="684"/>
      <c r="AG294" s="684"/>
      <c r="AH294" s="710"/>
      <c r="AI294" s="710"/>
      <c r="AJ294" s="710"/>
      <c r="AK294" s="710"/>
      <c r="AL294" s="710"/>
      <c r="AM294" s="710"/>
      <c r="AN294" s="710"/>
      <c r="AO294" s="710"/>
      <c r="AP294" s="710"/>
      <c r="AQ294" s="710"/>
      <c r="AR294" s="710"/>
      <c r="AS294" s="710"/>
      <c r="AT294" s="710"/>
      <c r="AU294" s="1829"/>
      <c r="AV294" s="1835"/>
      <c r="AW294" s="1836"/>
      <c r="AX294" s="1836"/>
      <c r="AY294" s="1836"/>
      <c r="AZ294" s="1825"/>
      <c r="BA294" s="1825"/>
    </row>
    <row r="295" spans="2:53" s="188" customFormat="1" ht="24.95" customHeight="1">
      <c r="B295" s="281"/>
      <c r="C295" s="483"/>
      <c r="D295" s="483"/>
      <c r="E295" s="483"/>
      <c r="F295" s="652"/>
      <c r="G295" s="653"/>
      <c r="H295" s="509"/>
      <c r="I295" s="658"/>
      <c r="J295" s="505"/>
      <c r="K295" s="505"/>
      <c r="L295" s="505"/>
      <c r="M295" s="505"/>
      <c r="N295" s="658"/>
      <c r="O295" s="1561"/>
      <c r="P295" s="1453"/>
      <c r="Q295" s="657"/>
      <c r="R295" s="659"/>
      <c r="S295" s="659"/>
      <c r="T295" s="659"/>
      <c r="U295" s="659"/>
      <c r="V295" s="659"/>
      <c r="W295" s="659"/>
      <c r="X295" s="505"/>
      <c r="Y295" s="1824"/>
      <c r="Z295" s="1824"/>
      <c r="AA295" s="1824"/>
      <c r="AB295" s="1825"/>
      <c r="AC295" s="1825"/>
      <c r="AD295" s="1564"/>
      <c r="AE295" s="701"/>
      <c r="AF295" s="684"/>
      <c r="AG295" s="684"/>
      <c r="AH295" s="710"/>
      <c r="AI295" s="710"/>
      <c r="AJ295" s="710"/>
      <c r="AK295" s="710"/>
      <c r="AL295" s="710"/>
      <c r="AM295" s="710"/>
      <c r="AN295" s="710"/>
      <c r="AO295" s="710"/>
      <c r="AP295" s="710"/>
      <c r="AQ295" s="710"/>
      <c r="AR295" s="710"/>
      <c r="AS295" s="710"/>
      <c r="AT295" s="710"/>
      <c r="AU295" s="1829"/>
      <c r="AV295" s="1835"/>
      <c r="AW295" s="1836"/>
      <c r="AX295" s="1836"/>
      <c r="AY295" s="1836"/>
      <c r="AZ295" s="1825"/>
      <c r="BA295" s="1825"/>
    </row>
    <row r="296" spans="2:53" s="188" customFormat="1" ht="24.95" customHeight="1">
      <c r="B296" s="281"/>
      <c r="C296" s="483"/>
      <c r="D296" s="483"/>
      <c r="E296" s="483"/>
      <c r="F296" s="652"/>
      <c r="G296" s="653"/>
      <c r="H296" s="509"/>
      <c r="I296" s="658"/>
      <c r="J296" s="505"/>
      <c r="K296" s="505"/>
      <c r="L296" s="505"/>
      <c r="M296" s="505"/>
      <c r="N296" s="658"/>
      <c r="O296" s="1561"/>
      <c r="P296" s="1453"/>
      <c r="Q296" s="657"/>
      <c r="R296" s="659"/>
      <c r="S296" s="659"/>
      <c r="T296" s="659"/>
      <c r="U296" s="659"/>
      <c r="V296" s="659"/>
      <c r="W296" s="659"/>
      <c r="X296" s="505"/>
      <c r="Y296" s="1824"/>
      <c r="Z296" s="1824"/>
      <c r="AA296" s="1824"/>
      <c r="AB296" s="1825"/>
      <c r="AC296" s="1825"/>
      <c r="AD296" s="1564"/>
      <c r="AE296" s="701"/>
      <c r="AF296" s="684"/>
      <c r="AG296" s="684"/>
      <c r="AH296" s="710"/>
      <c r="AI296" s="710"/>
      <c r="AJ296" s="710"/>
      <c r="AK296" s="710"/>
      <c r="AL296" s="710"/>
      <c r="AM296" s="710"/>
      <c r="AN296" s="710"/>
      <c r="AO296" s="710"/>
      <c r="AP296" s="710"/>
      <c r="AQ296" s="710"/>
      <c r="AR296" s="710"/>
      <c r="AS296" s="710"/>
      <c r="AT296" s="710"/>
      <c r="AU296" s="1829"/>
      <c r="AV296" s="1835"/>
      <c r="AW296" s="1836"/>
      <c r="AX296" s="1836"/>
      <c r="AY296" s="1836"/>
      <c r="AZ296" s="1825"/>
      <c r="BA296" s="1825"/>
    </row>
    <row r="297" spans="2:53" s="188" customFormat="1" ht="24.95" customHeight="1">
      <c r="B297" s="281"/>
      <c r="C297" s="483"/>
      <c r="D297" s="483"/>
      <c r="E297" s="483"/>
      <c r="F297" s="652"/>
      <c r="G297" s="653"/>
      <c r="H297" s="509"/>
      <c r="I297" s="658"/>
      <c r="J297" s="505"/>
      <c r="K297" s="505"/>
      <c r="L297" s="505"/>
      <c r="M297" s="505"/>
      <c r="N297" s="658"/>
      <c r="O297" s="1561"/>
      <c r="P297" s="1453"/>
      <c r="Q297" s="657"/>
      <c r="R297" s="659"/>
      <c r="S297" s="659"/>
      <c r="T297" s="659"/>
      <c r="U297" s="659"/>
      <c r="V297" s="659"/>
      <c r="W297" s="659"/>
      <c r="X297" s="505"/>
      <c r="Y297" s="1824"/>
      <c r="Z297" s="1824"/>
      <c r="AA297" s="1824"/>
      <c r="AB297" s="1825"/>
      <c r="AC297" s="1825"/>
      <c r="AD297" s="1564"/>
      <c r="AE297" s="701"/>
      <c r="AF297" s="684"/>
      <c r="AG297" s="684"/>
      <c r="AH297" s="710"/>
      <c r="AI297" s="710"/>
      <c r="AJ297" s="710"/>
      <c r="AK297" s="710"/>
      <c r="AL297" s="710"/>
      <c r="AM297" s="710"/>
      <c r="AN297" s="710"/>
      <c r="AO297" s="710"/>
      <c r="AP297" s="710"/>
      <c r="AQ297" s="710"/>
      <c r="AR297" s="710"/>
      <c r="AS297" s="710"/>
      <c r="AT297" s="710"/>
      <c r="AU297" s="1829"/>
      <c r="AV297" s="1835"/>
      <c r="AW297" s="1836"/>
      <c r="AX297" s="1836"/>
      <c r="AY297" s="1836"/>
      <c r="AZ297" s="1825"/>
      <c r="BA297" s="1825"/>
    </row>
    <row r="298" spans="2:53" s="188" customFormat="1" ht="24.95" customHeight="1">
      <c r="B298" s="281"/>
      <c r="C298" s="483"/>
      <c r="D298" s="483"/>
      <c r="E298" s="483"/>
      <c r="F298" s="652"/>
      <c r="G298" s="653"/>
      <c r="H298" s="509"/>
      <c r="I298" s="658"/>
      <c r="J298" s="505"/>
      <c r="K298" s="505"/>
      <c r="L298" s="505"/>
      <c r="M298" s="505"/>
      <c r="N298" s="658"/>
      <c r="O298" s="1561"/>
      <c r="P298" s="1453"/>
      <c r="Q298" s="657"/>
      <c r="R298" s="659"/>
      <c r="S298" s="659"/>
      <c r="T298" s="659"/>
      <c r="U298" s="659"/>
      <c r="V298" s="659"/>
      <c r="W298" s="659"/>
      <c r="X298" s="505"/>
      <c r="Y298" s="1824"/>
      <c r="Z298" s="1824"/>
      <c r="AA298" s="1824"/>
      <c r="AB298" s="1825"/>
      <c r="AC298" s="1825"/>
      <c r="AD298" s="1564"/>
      <c r="AE298" s="701"/>
      <c r="AF298" s="684"/>
      <c r="AG298" s="684"/>
      <c r="AH298" s="710"/>
      <c r="AI298" s="710"/>
      <c r="AJ298" s="710"/>
      <c r="AK298" s="710"/>
      <c r="AL298" s="710"/>
      <c r="AM298" s="710"/>
      <c r="AN298" s="710"/>
      <c r="AO298" s="710"/>
      <c r="AP298" s="710"/>
      <c r="AQ298" s="710"/>
      <c r="AR298" s="710"/>
      <c r="AS298" s="710"/>
      <c r="AT298" s="710"/>
      <c r="AU298" s="1829"/>
      <c r="AV298" s="1835"/>
      <c r="AW298" s="1836"/>
      <c r="AX298" s="1836"/>
      <c r="AY298" s="1836"/>
      <c r="AZ298" s="1825"/>
      <c r="BA298" s="1825"/>
    </row>
    <row r="299" spans="2:53" s="188" customFormat="1" ht="24.95" customHeight="1">
      <c r="B299" s="281"/>
      <c r="C299" s="483"/>
      <c r="D299" s="483"/>
      <c r="E299" s="483"/>
      <c r="F299" s="652"/>
      <c r="G299" s="653"/>
      <c r="H299" s="509"/>
      <c r="I299" s="658"/>
      <c r="J299" s="505"/>
      <c r="K299" s="505"/>
      <c r="L299" s="505"/>
      <c r="M299" s="505"/>
      <c r="N299" s="658"/>
      <c r="O299" s="1561"/>
      <c r="P299" s="1453"/>
      <c r="Q299" s="657"/>
      <c r="R299" s="659"/>
      <c r="S299" s="659"/>
      <c r="T299" s="659"/>
      <c r="U299" s="659"/>
      <c r="V299" s="659"/>
      <c r="W299" s="659"/>
      <c r="X299" s="505"/>
      <c r="Y299" s="1824"/>
      <c r="Z299" s="1824"/>
      <c r="AA299" s="1824"/>
      <c r="AB299" s="1825"/>
      <c r="AC299" s="1825"/>
      <c r="AD299" s="1564"/>
      <c r="AE299" s="701"/>
      <c r="AF299" s="684"/>
      <c r="AG299" s="684"/>
      <c r="AH299" s="710"/>
      <c r="AI299" s="710"/>
      <c r="AJ299" s="710"/>
      <c r="AK299" s="710"/>
      <c r="AL299" s="710"/>
      <c r="AM299" s="710"/>
      <c r="AN299" s="710"/>
      <c r="AO299" s="710"/>
      <c r="AP299" s="710"/>
      <c r="AQ299" s="710"/>
      <c r="AR299" s="710"/>
      <c r="AS299" s="710"/>
      <c r="AT299" s="710"/>
      <c r="AU299" s="1829"/>
      <c r="AV299" s="1835"/>
      <c r="AW299" s="1836"/>
      <c r="AX299" s="1836"/>
      <c r="AY299" s="1836"/>
      <c r="AZ299" s="1825"/>
      <c r="BA299" s="1825"/>
    </row>
    <row r="300" spans="2:53" s="188" customFormat="1" ht="24.95" customHeight="1">
      <c r="B300" s="281"/>
      <c r="C300" s="483"/>
      <c r="D300" s="483"/>
      <c r="E300" s="483"/>
      <c r="F300" s="652"/>
      <c r="G300" s="653"/>
      <c r="H300" s="509"/>
      <c r="I300" s="658"/>
      <c r="J300" s="505"/>
      <c r="K300" s="505"/>
      <c r="L300" s="505"/>
      <c r="M300" s="505"/>
      <c r="N300" s="658"/>
      <c r="O300" s="1561"/>
      <c r="P300" s="1453"/>
      <c r="Q300" s="657"/>
      <c r="R300" s="659"/>
      <c r="S300" s="659"/>
      <c r="T300" s="659"/>
      <c r="U300" s="659"/>
      <c r="V300" s="659"/>
      <c r="W300" s="659"/>
      <c r="X300" s="505"/>
      <c r="Y300" s="1824"/>
      <c r="Z300" s="1824"/>
      <c r="AA300" s="1824"/>
      <c r="AB300" s="1825"/>
      <c r="AC300" s="1825"/>
      <c r="AD300" s="1564"/>
      <c r="AE300" s="701"/>
      <c r="AF300" s="684"/>
      <c r="AG300" s="684"/>
      <c r="AH300" s="710"/>
      <c r="AI300" s="710"/>
      <c r="AJ300" s="710"/>
      <c r="AK300" s="710"/>
      <c r="AL300" s="710"/>
      <c r="AM300" s="710"/>
      <c r="AN300" s="710"/>
      <c r="AO300" s="710"/>
      <c r="AP300" s="710"/>
      <c r="AQ300" s="710"/>
      <c r="AR300" s="710"/>
      <c r="AS300" s="710"/>
      <c r="AT300" s="710"/>
      <c r="AU300" s="1829"/>
      <c r="AV300" s="1835"/>
      <c r="AW300" s="1836"/>
      <c r="AX300" s="1836"/>
      <c r="AY300" s="1836"/>
      <c r="AZ300" s="1825"/>
      <c r="BA300" s="1825"/>
    </row>
    <row r="301" spans="2:53" s="188" customFormat="1" ht="24.95" customHeight="1">
      <c r="B301" s="281"/>
      <c r="C301" s="483"/>
      <c r="D301" s="483"/>
      <c r="E301" s="483"/>
      <c r="F301" s="652"/>
      <c r="G301" s="653"/>
      <c r="H301" s="509"/>
      <c r="I301" s="658"/>
      <c r="J301" s="505"/>
      <c r="K301" s="505"/>
      <c r="L301" s="505"/>
      <c r="M301" s="505"/>
      <c r="N301" s="658"/>
      <c r="O301" s="1561"/>
      <c r="P301" s="1453"/>
      <c r="Q301" s="657"/>
      <c r="R301" s="659"/>
      <c r="S301" s="659"/>
      <c r="T301" s="659"/>
      <c r="U301" s="659"/>
      <c r="V301" s="659"/>
      <c r="W301" s="659"/>
      <c r="X301" s="505"/>
      <c r="Y301" s="1824"/>
      <c r="Z301" s="1824"/>
      <c r="AA301" s="1824"/>
      <c r="AB301" s="1825"/>
      <c r="AC301" s="1825"/>
      <c r="AD301" s="1564"/>
      <c r="AE301" s="701"/>
      <c r="AF301" s="684"/>
      <c r="AG301" s="684"/>
      <c r="AH301" s="710"/>
      <c r="AI301" s="710"/>
      <c r="AJ301" s="710"/>
      <c r="AK301" s="710"/>
      <c r="AL301" s="710"/>
      <c r="AM301" s="710"/>
      <c r="AN301" s="710"/>
      <c r="AO301" s="710"/>
      <c r="AP301" s="710"/>
      <c r="AQ301" s="710"/>
      <c r="AR301" s="710"/>
      <c r="AS301" s="710"/>
      <c r="AT301" s="710"/>
      <c r="AU301" s="1829"/>
      <c r="AV301" s="1835"/>
      <c r="AW301" s="1836"/>
      <c r="AX301" s="1836"/>
      <c r="AY301" s="1836"/>
      <c r="AZ301" s="1825"/>
      <c r="BA301" s="1825"/>
    </row>
    <row r="302" spans="2:53" s="188" customFormat="1" ht="24.95" customHeight="1">
      <c r="B302" s="281"/>
      <c r="C302" s="483"/>
      <c r="D302" s="483"/>
      <c r="E302" s="483"/>
      <c r="F302" s="652"/>
      <c r="G302" s="653"/>
      <c r="H302" s="509"/>
      <c r="I302" s="658"/>
      <c r="J302" s="505"/>
      <c r="K302" s="505"/>
      <c r="L302" s="505"/>
      <c r="M302" s="505"/>
      <c r="N302" s="658"/>
      <c r="O302" s="1561"/>
      <c r="P302" s="1453"/>
      <c r="Q302" s="657"/>
      <c r="R302" s="659"/>
      <c r="S302" s="659"/>
      <c r="T302" s="659"/>
      <c r="U302" s="659"/>
      <c r="V302" s="659"/>
      <c r="W302" s="659"/>
      <c r="X302" s="505"/>
      <c r="Y302" s="1824"/>
      <c r="Z302" s="1824"/>
      <c r="AA302" s="1824"/>
      <c r="AB302" s="1825"/>
      <c r="AC302" s="1825"/>
      <c r="AD302" s="1564"/>
      <c r="AE302" s="701"/>
      <c r="AF302" s="684"/>
      <c r="AG302" s="684"/>
      <c r="AH302" s="710"/>
      <c r="AI302" s="710"/>
      <c r="AJ302" s="710"/>
      <c r="AK302" s="710"/>
      <c r="AL302" s="710"/>
      <c r="AM302" s="710"/>
      <c r="AN302" s="710"/>
      <c r="AO302" s="710"/>
      <c r="AP302" s="710"/>
      <c r="AQ302" s="710"/>
      <c r="AR302" s="710"/>
      <c r="AS302" s="710"/>
      <c r="AT302" s="710"/>
      <c r="AU302" s="1829"/>
      <c r="AV302" s="1835"/>
      <c r="AW302" s="1836"/>
      <c r="AX302" s="1836"/>
      <c r="AY302" s="1836"/>
      <c r="AZ302" s="1825"/>
      <c r="BA302" s="1825"/>
    </row>
    <row r="303" spans="2:53" s="188" customFormat="1" ht="24.95" customHeight="1">
      <c r="B303" s="281"/>
      <c r="C303" s="483"/>
      <c r="D303" s="483"/>
      <c r="E303" s="483"/>
      <c r="F303" s="652"/>
      <c r="G303" s="653"/>
      <c r="H303" s="509"/>
      <c r="I303" s="658"/>
      <c r="J303" s="505"/>
      <c r="K303" s="505"/>
      <c r="L303" s="505"/>
      <c r="M303" s="505"/>
      <c r="N303" s="658"/>
      <c r="O303" s="1561"/>
      <c r="P303" s="1453"/>
      <c r="Q303" s="657"/>
      <c r="R303" s="659"/>
      <c r="S303" s="659"/>
      <c r="T303" s="659"/>
      <c r="U303" s="659"/>
      <c r="V303" s="659"/>
      <c r="W303" s="659"/>
      <c r="X303" s="505"/>
      <c r="Y303" s="1824"/>
      <c r="Z303" s="1824"/>
      <c r="AA303" s="1824"/>
      <c r="AB303" s="1825"/>
      <c r="AC303" s="1825"/>
      <c r="AD303" s="1564"/>
      <c r="AE303" s="701"/>
      <c r="AF303" s="684"/>
      <c r="AG303" s="684"/>
      <c r="AH303" s="710"/>
      <c r="AI303" s="710"/>
      <c r="AJ303" s="710"/>
      <c r="AK303" s="710"/>
      <c r="AL303" s="710"/>
      <c r="AM303" s="710"/>
      <c r="AN303" s="710"/>
      <c r="AO303" s="710"/>
      <c r="AP303" s="710"/>
      <c r="AQ303" s="710"/>
      <c r="AR303" s="710"/>
      <c r="AS303" s="710"/>
      <c r="AT303" s="710"/>
      <c r="AU303" s="1829"/>
      <c r="AV303" s="1835"/>
      <c r="AW303" s="1836"/>
      <c r="AX303" s="1836"/>
      <c r="AY303" s="1836"/>
      <c r="AZ303" s="1825"/>
      <c r="BA303" s="1825"/>
    </row>
    <row r="304" spans="2:53" s="188" customFormat="1" ht="24.95" customHeight="1">
      <c r="B304" s="281"/>
      <c r="C304" s="483"/>
      <c r="D304" s="483"/>
      <c r="E304" s="483"/>
      <c r="F304" s="652"/>
      <c r="G304" s="653"/>
      <c r="H304" s="509"/>
      <c r="I304" s="658"/>
      <c r="J304" s="505"/>
      <c r="K304" s="505"/>
      <c r="L304" s="505"/>
      <c r="M304" s="505"/>
      <c r="N304" s="658"/>
      <c r="O304" s="1561"/>
      <c r="P304" s="1453"/>
      <c r="Q304" s="657"/>
      <c r="R304" s="659"/>
      <c r="S304" s="659"/>
      <c r="T304" s="659"/>
      <c r="U304" s="659"/>
      <c r="V304" s="659"/>
      <c r="W304" s="659"/>
      <c r="X304" s="505"/>
      <c r="Y304" s="1824"/>
      <c r="Z304" s="1824"/>
      <c r="AA304" s="1824"/>
      <c r="AB304" s="1825"/>
      <c r="AC304" s="1825"/>
      <c r="AD304" s="1564"/>
      <c r="AE304" s="701"/>
      <c r="AF304" s="684"/>
      <c r="AG304" s="684"/>
      <c r="AH304" s="710"/>
      <c r="AI304" s="710"/>
      <c r="AJ304" s="710"/>
      <c r="AK304" s="710"/>
      <c r="AL304" s="710"/>
      <c r="AM304" s="710"/>
      <c r="AN304" s="710"/>
      <c r="AO304" s="710"/>
      <c r="AP304" s="710"/>
      <c r="AQ304" s="710"/>
      <c r="AR304" s="710"/>
      <c r="AS304" s="710"/>
      <c r="AT304" s="710"/>
      <c r="AU304" s="1829"/>
      <c r="AV304" s="1835"/>
      <c r="AW304" s="1836"/>
      <c r="AX304" s="1836"/>
      <c r="AY304" s="1836"/>
      <c r="AZ304" s="1825"/>
      <c r="BA304" s="1825"/>
    </row>
    <row r="305" spans="2:53" s="188" customFormat="1" ht="24.95" customHeight="1">
      <c r="B305" s="281"/>
      <c r="C305" s="483"/>
      <c r="D305" s="483"/>
      <c r="E305" s="483"/>
      <c r="F305" s="652"/>
      <c r="G305" s="653"/>
      <c r="H305" s="509"/>
      <c r="I305" s="658"/>
      <c r="J305" s="505"/>
      <c r="K305" s="505"/>
      <c r="L305" s="505"/>
      <c r="M305" s="505"/>
      <c r="N305" s="658"/>
      <c r="O305" s="1561"/>
      <c r="P305" s="1453"/>
      <c r="Q305" s="657"/>
      <c r="R305" s="659"/>
      <c r="S305" s="659"/>
      <c r="T305" s="659"/>
      <c r="U305" s="659"/>
      <c r="V305" s="659"/>
      <c r="W305" s="659"/>
      <c r="X305" s="505"/>
      <c r="Y305" s="1824"/>
      <c r="Z305" s="1824"/>
      <c r="AA305" s="1824"/>
      <c r="AB305" s="1825"/>
      <c r="AC305" s="1825"/>
      <c r="AD305" s="1564"/>
      <c r="AE305" s="701"/>
      <c r="AF305" s="684"/>
      <c r="AG305" s="684"/>
      <c r="AH305" s="710"/>
      <c r="AI305" s="710"/>
      <c r="AJ305" s="710"/>
      <c r="AK305" s="710"/>
      <c r="AL305" s="710"/>
      <c r="AM305" s="710"/>
      <c r="AN305" s="710"/>
      <c r="AO305" s="710"/>
      <c r="AP305" s="710"/>
      <c r="AQ305" s="710"/>
      <c r="AR305" s="710"/>
      <c r="AS305" s="710"/>
      <c r="AT305" s="710"/>
      <c r="AU305" s="1829"/>
      <c r="AV305" s="1835"/>
      <c r="AW305" s="1836"/>
      <c r="AX305" s="1836"/>
      <c r="AY305" s="1836"/>
      <c r="AZ305" s="1825"/>
      <c r="BA305" s="1825"/>
    </row>
    <row r="306" spans="2:53" s="188" customFormat="1" ht="24.95" customHeight="1">
      <c r="B306" s="281"/>
      <c r="C306" s="483"/>
      <c r="D306" s="483"/>
      <c r="E306" s="483"/>
      <c r="F306" s="652"/>
      <c r="G306" s="653"/>
      <c r="H306" s="509"/>
      <c r="I306" s="658"/>
      <c r="J306" s="505"/>
      <c r="K306" s="505"/>
      <c r="L306" s="505"/>
      <c r="M306" s="505"/>
      <c r="N306" s="658"/>
      <c r="O306" s="1561"/>
      <c r="P306" s="1453"/>
      <c r="Q306" s="657"/>
      <c r="R306" s="659"/>
      <c r="S306" s="659"/>
      <c r="T306" s="659"/>
      <c r="U306" s="659"/>
      <c r="V306" s="659"/>
      <c r="W306" s="659"/>
      <c r="X306" s="505"/>
      <c r="Y306" s="1824"/>
      <c r="Z306" s="1824"/>
      <c r="AA306" s="1824"/>
      <c r="AB306" s="1825"/>
      <c r="AC306" s="1825"/>
      <c r="AD306" s="1564"/>
      <c r="AE306" s="701"/>
      <c r="AF306" s="684"/>
      <c r="AG306" s="684"/>
      <c r="AH306" s="710"/>
      <c r="AI306" s="710"/>
      <c r="AJ306" s="710"/>
      <c r="AK306" s="710"/>
      <c r="AL306" s="710"/>
      <c r="AM306" s="710"/>
      <c r="AN306" s="710"/>
      <c r="AO306" s="710"/>
      <c r="AP306" s="710"/>
      <c r="AQ306" s="710"/>
      <c r="AR306" s="710"/>
      <c r="AS306" s="710"/>
      <c r="AT306" s="710"/>
      <c r="AU306" s="1829"/>
      <c r="AV306" s="1835"/>
      <c r="AW306" s="1836"/>
      <c r="AX306" s="1836"/>
      <c r="AY306" s="1836"/>
      <c r="AZ306" s="1825"/>
      <c r="BA306" s="1825"/>
    </row>
    <row r="307" spans="2:53" s="188" customFormat="1" ht="24.95" customHeight="1">
      <c r="B307" s="281"/>
      <c r="C307" s="483"/>
      <c r="D307" s="483"/>
      <c r="E307" s="483"/>
      <c r="F307" s="652"/>
      <c r="G307" s="653"/>
      <c r="H307" s="509"/>
      <c r="I307" s="658"/>
      <c r="J307" s="505"/>
      <c r="K307" s="505"/>
      <c r="L307" s="505"/>
      <c r="M307" s="505"/>
      <c r="N307" s="658"/>
      <c r="O307" s="1561"/>
      <c r="P307" s="1453"/>
      <c r="Q307" s="657"/>
      <c r="R307" s="659"/>
      <c r="S307" s="659"/>
      <c r="T307" s="659"/>
      <c r="U307" s="659"/>
      <c r="V307" s="659"/>
      <c r="W307" s="659"/>
      <c r="X307" s="505"/>
      <c r="Y307" s="1824"/>
      <c r="Z307" s="1824"/>
      <c r="AA307" s="1824"/>
      <c r="AB307" s="1825"/>
      <c r="AC307" s="1825"/>
      <c r="AD307" s="1564"/>
      <c r="AE307" s="701"/>
      <c r="AF307" s="684"/>
      <c r="AG307" s="684"/>
      <c r="AH307" s="710"/>
      <c r="AI307" s="710"/>
      <c r="AJ307" s="710"/>
      <c r="AK307" s="710"/>
      <c r="AL307" s="710"/>
      <c r="AM307" s="710"/>
      <c r="AN307" s="710"/>
      <c r="AO307" s="710"/>
      <c r="AP307" s="710"/>
      <c r="AQ307" s="710"/>
      <c r="AR307" s="710"/>
      <c r="AS307" s="710"/>
      <c r="AT307" s="710"/>
      <c r="AU307" s="1829"/>
      <c r="AV307" s="1835"/>
      <c r="AW307" s="1836"/>
      <c r="AX307" s="1836"/>
      <c r="AY307" s="1836"/>
      <c r="AZ307" s="1825"/>
      <c r="BA307" s="1825"/>
    </row>
    <row r="308" spans="2:53" s="188" customFormat="1" ht="24.95" customHeight="1">
      <c r="B308" s="281"/>
      <c r="C308" s="483"/>
      <c r="D308" s="483"/>
      <c r="E308" s="483"/>
      <c r="F308" s="652"/>
      <c r="G308" s="653"/>
      <c r="H308" s="509"/>
      <c r="I308" s="658"/>
      <c r="J308" s="505"/>
      <c r="K308" s="505"/>
      <c r="L308" s="505"/>
      <c r="M308" s="505"/>
      <c r="N308" s="658"/>
      <c r="O308" s="1561"/>
      <c r="P308" s="1453"/>
      <c r="Q308" s="657"/>
      <c r="R308" s="659"/>
      <c r="S308" s="659"/>
      <c r="T308" s="659"/>
      <c r="U308" s="659"/>
      <c r="V308" s="659"/>
      <c r="W308" s="659"/>
      <c r="X308" s="505"/>
      <c r="Y308" s="1824"/>
      <c r="Z308" s="1824"/>
      <c r="AA308" s="1824"/>
      <c r="AB308" s="1825"/>
      <c r="AC308" s="1825"/>
      <c r="AD308" s="1564"/>
      <c r="AE308" s="701"/>
      <c r="AF308" s="684"/>
      <c r="AG308" s="684"/>
      <c r="AH308" s="710"/>
      <c r="AI308" s="710"/>
      <c r="AJ308" s="710"/>
      <c r="AK308" s="710"/>
      <c r="AL308" s="710"/>
      <c r="AM308" s="710"/>
      <c r="AN308" s="710"/>
      <c r="AO308" s="710"/>
      <c r="AP308" s="710"/>
      <c r="AQ308" s="710"/>
      <c r="AR308" s="710"/>
      <c r="AS308" s="710"/>
      <c r="AT308" s="710"/>
      <c r="AU308" s="1829"/>
      <c r="AV308" s="1835"/>
      <c r="AW308" s="1836"/>
      <c r="AX308" s="1836"/>
      <c r="AY308" s="1836"/>
      <c r="AZ308" s="1825"/>
      <c r="BA308" s="1825"/>
    </row>
    <row r="309" spans="2:53" s="188" customFormat="1" ht="24.95" customHeight="1">
      <c r="B309" s="281"/>
      <c r="C309" s="483"/>
      <c r="D309" s="483"/>
      <c r="E309" s="483"/>
      <c r="F309" s="652"/>
      <c r="G309" s="653"/>
      <c r="H309" s="509"/>
      <c r="I309" s="658"/>
      <c r="J309" s="505"/>
      <c r="K309" s="505"/>
      <c r="L309" s="505"/>
      <c r="M309" s="505"/>
      <c r="N309" s="658"/>
      <c r="O309" s="1561"/>
      <c r="P309" s="1453"/>
      <c r="Q309" s="657"/>
      <c r="R309" s="659"/>
      <c r="S309" s="659"/>
      <c r="T309" s="659"/>
      <c r="U309" s="659"/>
      <c r="V309" s="659"/>
      <c r="W309" s="659"/>
      <c r="X309" s="505"/>
      <c r="Y309" s="1824"/>
      <c r="Z309" s="1824"/>
      <c r="AA309" s="1824"/>
      <c r="AB309" s="1825"/>
      <c r="AC309" s="1825"/>
      <c r="AD309" s="1564"/>
      <c r="AE309" s="701"/>
      <c r="AF309" s="684"/>
      <c r="AG309" s="684"/>
      <c r="AH309" s="710"/>
      <c r="AI309" s="710"/>
      <c r="AJ309" s="710"/>
      <c r="AK309" s="710"/>
      <c r="AL309" s="710"/>
      <c r="AM309" s="710"/>
      <c r="AN309" s="710"/>
      <c r="AO309" s="710"/>
      <c r="AP309" s="710"/>
      <c r="AQ309" s="710"/>
      <c r="AR309" s="710"/>
      <c r="AS309" s="710"/>
      <c r="AT309" s="710"/>
      <c r="AU309" s="1829"/>
      <c r="AV309" s="1835"/>
      <c r="AW309" s="1836"/>
      <c r="AX309" s="1836"/>
      <c r="AY309" s="1836"/>
      <c r="AZ309" s="1825"/>
      <c r="BA309" s="1825"/>
    </row>
    <row r="310" spans="2:53" s="188" customFormat="1" ht="24.95" customHeight="1">
      <c r="B310" s="281"/>
      <c r="C310" s="483"/>
      <c r="D310" s="483"/>
      <c r="E310" s="483"/>
      <c r="F310" s="652"/>
      <c r="G310" s="653"/>
      <c r="H310" s="509"/>
      <c r="I310" s="658"/>
      <c r="J310" s="505"/>
      <c r="K310" s="505"/>
      <c r="L310" s="505"/>
      <c r="M310" s="505"/>
      <c r="N310" s="658"/>
      <c r="O310" s="1561"/>
      <c r="P310" s="1453"/>
      <c r="Q310" s="657"/>
      <c r="R310" s="659"/>
      <c r="S310" s="659"/>
      <c r="T310" s="659"/>
      <c r="U310" s="659"/>
      <c r="V310" s="659"/>
      <c r="W310" s="659"/>
      <c r="X310" s="505"/>
      <c r="Y310" s="1824"/>
      <c r="Z310" s="1824"/>
      <c r="AA310" s="1824"/>
      <c r="AB310" s="1825"/>
      <c r="AC310" s="1825"/>
      <c r="AD310" s="1564"/>
      <c r="AE310" s="701"/>
      <c r="AF310" s="684"/>
      <c r="AG310" s="684"/>
      <c r="AH310" s="710"/>
      <c r="AI310" s="710"/>
      <c r="AJ310" s="710"/>
      <c r="AK310" s="710"/>
      <c r="AL310" s="710"/>
      <c r="AM310" s="710"/>
      <c r="AN310" s="710"/>
      <c r="AO310" s="710"/>
      <c r="AP310" s="710"/>
      <c r="AQ310" s="710"/>
      <c r="AR310" s="710"/>
      <c r="AS310" s="710"/>
      <c r="AT310" s="710"/>
      <c r="AU310" s="1829"/>
      <c r="AV310" s="1835"/>
      <c r="AW310" s="1836"/>
      <c r="AX310" s="1836"/>
      <c r="AY310" s="1836"/>
      <c r="AZ310" s="1825"/>
      <c r="BA310" s="1825"/>
    </row>
    <row r="311" spans="2:53" s="188" customFormat="1" ht="24.95" customHeight="1">
      <c r="B311" s="281"/>
      <c r="C311" s="483"/>
      <c r="D311" s="483"/>
      <c r="E311" s="483"/>
      <c r="F311" s="652"/>
      <c r="G311" s="653"/>
      <c r="H311" s="509"/>
      <c r="I311" s="658"/>
      <c r="J311" s="505"/>
      <c r="K311" s="505"/>
      <c r="L311" s="505"/>
      <c r="M311" s="505"/>
      <c r="N311" s="658"/>
      <c r="O311" s="1561"/>
      <c r="P311" s="1453"/>
      <c r="Q311" s="657"/>
      <c r="R311" s="659"/>
      <c r="S311" s="659"/>
      <c r="T311" s="659"/>
      <c r="U311" s="659"/>
      <c r="V311" s="659"/>
      <c r="W311" s="659"/>
      <c r="X311" s="505"/>
      <c r="Y311" s="1824"/>
      <c r="Z311" s="1824"/>
      <c r="AA311" s="1824"/>
      <c r="AB311" s="1825"/>
      <c r="AC311" s="1825"/>
      <c r="AD311" s="1564"/>
      <c r="AE311" s="701"/>
      <c r="AF311" s="684"/>
      <c r="AG311" s="684"/>
      <c r="AH311" s="710"/>
      <c r="AI311" s="710"/>
      <c r="AJ311" s="710"/>
      <c r="AK311" s="710"/>
      <c r="AL311" s="710"/>
      <c r="AM311" s="710"/>
      <c r="AN311" s="710"/>
      <c r="AO311" s="710"/>
      <c r="AP311" s="710"/>
      <c r="AQ311" s="710"/>
      <c r="AR311" s="710"/>
      <c r="AS311" s="710"/>
      <c r="AT311" s="710"/>
      <c r="AU311" s="1829"/>
      <c r="AV311" s="1835"/>
      <c r="AW311" s="1836"/>
      <c r="AX311" s="1836"/>
      <c r="AY311" s="1836"/>
      <c r="AZ311" s="1825"/>
      <c r="BA311" s="1825"/>
    </row>
    <row r="312" spans="2:53" s="188" customFormat="1" ht="24.95" customHeight="1">
      <c r="B312" s="281"/>
      <c r="C312" s="711"/>
      <c r="D312" s="711"/>
      <c r="E312" s="711"/>
      <c r="F312" s="712"/>
      <c r="G312" s="713"/>
      <c r="H312" s="714"/>
      <c r="I312" s="715"/>
      <c r="J312" s="716"/>
      <c r="K312" s="716"/>
      <c r="L312" s="716"/>
      <c r="M312" s="716"/>
      <c r="N312" s="715"/>
      <c r="O312" s="1562"/>
      <c r="P312" s="1563"/>
      <c r="Q312" s="717"/>
      <c r="R312" s="718"/>
      <c r="S312" s="718"/>
      <c r="T312" s="718"/>
      <c r="U312" s="718"/>
      <c r="V312" s="718"/>
      <c r="W312" s="718"/>
      <c r="X312" s="716"/>
      <c r="Y312" s="1826"/>
      <c r="Z312" s="1826"/>
      <c r="AA312" s="1826"/>
      <c r="AB312" s="1825"/>
      <c r="AC312" s="1825"/>
      <c r="AD312" s="1564"/>
      <c r="AE312" s="701"/>
      <c r="AF312" s="684"/>
      <c r="AG312" s="684"/>
      <c r="AH312" s="710"/>
      <c r="AI312" s="710"/>
      <c r="AJ312" s="710"/>
      <c r="AK312" s="710"/>
      <c r="AL312" s="710"/>
      <c r="AM312" s="710"/>
      <c r="AN312" s="710"/>
      <c r="AO312" s="710"/>
      <c r="AP312" s="710"/>
      <c r="AQ312" s="710"/>
      <c r="AR312" s="710"/>
      <c r="AS312" s="710"/>
      <c r="AT312" s="710"/>
      <c r="AU312" s="1829"/>
      <c r="AV312" s="1835"/>
      <c r="AW312" s="1836"/>
      <c r="AX312" s="1836"/>
      <c r="AY312" s="1836"/>
      <c r="AZ312" s="1825"/>
      <c r="BA312" s="1825"/>
    </row>
    <row r="313" spans="2:53" s="188" customFormat="1" ht="24.95" customHeight="1">
      <c r="B313" s="281"/>
      <c r="C313" s="168"/>
      <c r="D313" s="168"/>
      <c r="E313" s="168"/>
      <c r="F313" s="227"/>
      <c r="G313" s="660"/>
      <c r="H313" s="253"/>
      <c r="I313" s="212"/>
      <c r="N313" s="212"/>
      <c r="O313" s="1557"/>
      <c r="P313" s="1558"/>
      <c r="Q313" s="661"/>
      <c r="R313" s="655"/>
      <c r="S313" s="655"/>
      <c r="T313" s="655"/>
      <c r="U313" s="655"/>
      <c r="V313" s="655"/>
      <c r="W313" s="655"/>
      <c r="Y313" s="1827"/>
      <c r="Z313" s="1828"/>
      <c r="AA313" s="1829"/>
      <c r="AB313" s="1829"/>
      <c r="AC313" s="1829"/>
      <c r="AD313" s="1564"/>
      <c r="AE313" s="701"/>
      <c r="AF313" s="684"/>
      <c r="AG313" s="684"/>
      <c r="AH313" s="710"/>
      <c r="AI313" s="710"/>
      <c r="AJ313" s="710"/>
      <c r="AK313" s="710"/>
      <c r="AL313" s="710"/>
      <c r="AM313" s="710"/>
      <c r="AN313" s="710"/>
      <c r="AO313" s="710"/>
      <c r="AP313" s="710"/>
      <c r="AQ313" s="710"/>
      <c r="AR313" s="710"/>
      <c r="AS313" s="710"/>
      <c r="AT313" s="710"/>
      <c r="AU313" s="1829"/>
      <c r="AV313" s="1835"/>
      <c r="AW313" s="1836"/>
      <c r="AX313" s="1836"/>
      <c r="AY313" s="1836"/>
      <c r="AZ313" s="1825"/>
      <c r="BA313" s="1825"/>
    </row>
    <row r="314" spans="2:53" s="188" customFormat="1" ht="24.95" customHeight="1">
      <c r="B314" s="281"/>
      <c r="C314" s="168"/>
      <c r="D314" s="168"/>
      <c r="E314" s="168"/>
      <c r="F314" s="227"/>
      <c r="G314" s="660"/>
      <c r="H314" s="253"/>
      <c r="I314" s="212"/>
      <c r="N314" s="212"/>
      <c r="O314" s="1557"/>
      <c r="P314" s="1558"/>
      <c r="Q314" s="661"/>
      <c r="R314" s="655"/>
      <c r="S314" s="655"/>
      <c r="T314" s="655"/>
      <c r="U314" s="655"/>
      <c r="V314" s="655"/>
      <c r="W314" s="655"/>
      <c r="Y314" s="1827"/>
      <c r="Z314" s="1828"/>
      <c r="AA314" s="1829"/>
      <c r="AB314" s="1829"/>
      <c r="AC314" s="1829"/>
      <c r="AD314" s="1564"/>
      <c r="AE314" s="701"/>
      <c r="AF314" s="684"/>
      <c r="AG314" s="684"/>
      <c r="AH314" s="710"/>
      <c r="AI314" s="710"/>
      <c r="AJ314" s="710"/>
      <c r="AK314" s="710"/>
      <c r="AL314" s="710"/>
      <c r="AM314" s="710"/>
      <c r="AN314" s="710"/>
      <c r="AO314" s="710"/>
      <c r="AP314" s="710"/>
      <c r="AQ314" s="710"/>
      <c r="AR314" s="710"/>
      <c r="AS314" s="710"/>
      <c r="AT314" s="710"/>
      <c r="AU314" s="1829"/>
      <c r="AV314" s="1835"/>
      <c r="AW314" s="1836"/>
      <c r="AX314" s="1836"/>
      <c r="AY314" s="1836"/>
      <c r="AZ314" s="1825"/>
      <c r="BA314" s="1825"/>
    </row>
    <row r="315" spans="2:53" s="188" customFormat="1" ht="24.95" customHeight="1">
      <c r="B315" s="281"/>
      <c r="C315" s="168"/>
      <c r="D315" s="168"/>
      <c r="E315" s="168"/>
      <c r="F315" s="227"/>
      <c r="G315" s="660"/>
      <c r="H315" s="253"/>
      <c r="I315" s="212"/>
      <c r="N315" s="212"/>
      <c r="O315" s="1557"/>
      <c r="P315" s="1558"/>
      <c r="Q315" s="661"/>
      <c r="R315" s="655"/>
      <c r="S315" s="655"/>
      <c r="T315" s="655"/>
      <c r="U315" s="655"/>
      <c r="V315" s="655"/>
      <c r="W315" s="655"/>
      <c r="Y315" s="1827"/>
      <c r="Z315" s="1828"/>
      <c r="AA315" s="1829"/>
      <c r="AB315" s="1829"/>
      <c r="AC315" s="1829"/>
      <c r="AD315" s="1564"/>
      <c r="AE315" s="701"/>
      <c r="AF315" s="684"/>
      <c r="AG315" s="684"/>
      <c r="AH315" s="710"/>
      <c r="AI315" s="710"/>
      <c r="AJ315" s="710"/>
      <c r="AK315" s="710"/>
      <c r="AL315" s="710"/>
      <c r="AM315" s="710"/>
      <c r="AN315" s="710"/>
      <c r="AO315" s="710"/>
      <c r="AP315" s="710"/>
      <c r="AQ315" s="710"/>
      <c r="AR315" s="710"/>
      <c r="AS315" s="710"/>
      <c r="AT315" s="710"/>
      <c r="AU315" s="1829"/>
      <c r="AV315" s="1835"/>
      <c r="AW315" s="1836"/>
      <c r="AX315" s="1836"/>
      <c r="AY315" s="1836"/>
      <c r="AZ315" s="1825"/>
      <c r="BA315" s="1825"/>
    </row>
    <row r="316" spans="2:53" s="188" customFormat="1" ht="24.95" customHeight="1">
      <c r="B316" s="281"/>
      <c r="C316" s="168"/>
      <c r="D316" s="168"/>
      <c r="E316" s="168"/>
      <c r="F316" s="227"/>
      <c r="G316" s="660"/>
      <c r="H316" s="253"/>
      <c r="I316" s="212"/>
      <c r="N316" s="212"/>
      <c r="O316" s="1557"/>
      <c r="P316" s="1558"/>
      <c r="Q316" s="661"/>
      <c r="R316" s="655"/>
      <c r="S316" s="655"/>
      <c r="T316" s="655"/>
      <c r="U316" s="655"/>
      <c r="V316" s="655"/>
      <c r="W316" s="655"/>
      <c r="Y316" s="1827"/>
      <c r="Z316" s="1828"/>
      <c r="AA316" s="1829"/>
      <c r="AB316" s="1829"/>
      <c r="AC316" s="1829"/>
      <c r="AD316" s="1564"/>
      <c r="AE316" s="701"/>
      <c r="AF316" s="684"/>
      <c r="AG316" s="684"/>
      <c r="AH316" s="710"/>
      <c r="AI316" s="710"/>
      <c r="AJ316" s="710"/>
      <c r="AK316" s="710"/>
      <c r="AL316" s="710"/>
      <c r="AM316" s="710"/>
      <c r="AN316" s="710"/>
      <c r="AO316" s="710"/>
      <c r="AP316" s="710"/>
      <c r="AQ316" s="710"/>
      <c r="AR316" s="710"/>
      <c r="AS316" s="710"/>
      <c r="AT316" s="710"/>
      <c r="AU316" s="1829"/>
      <c r="AV316" s="1835"/>
      <c r="AW316" s="1836"/>
      <c r="AX316" s="1836"/>
      <c r="AY316" s="1836"/>
      <c r="AZ316" s="1825"/>
      <c r="BA316" s="1825"/>
    </row>
    <row r="317" spans="2:53" s="188" customFormat="1" ht="24.95" customHeight="1">
      <c r="B317" s="281"/>
      <c r="C317" s="168"/>
      <c r="D317" s="168"/>
      <c r="E317" s="168"/>
      <c r="F317" s="227"/>
      <c r="G317" s="660"/>
      <c r="H317" s="253"/>
      <c r="I317" s="212"/>
      <c r="N317" s="212"/>
      <c r="O317" s="1557"/>
      <c r="P317" s="1558"/>
      <c r="Q317" s="661"/>
      <c r="R317" s="655"/>
      <c r="S317" s="655"/>
      <c r="T317" s="655"/>
      <c r="U317" s="655"/>
      <c r="V317" s="655"/>
      <c r="W317" s="655"/>
      <c r="Y317" s="1827"/>
      <c r="Z317" s="1828"/>
      <c r="AA317" s="1829"/>
      <c r="AB317" s="1829"/>
      <c r="AC317" s="1829"/>
      <c r="AD317" s="1564"/>
      <c r="AE317" s="701"/>
      <c r="AF317" s="684"/>
      <c r="AG317" s="684"/>
      <c r="AH317" s="710"/>
      <c r="AI317" s="710"/>
      <c r="AJ317" s="710"/>
      <c r="AK317" s="710"/>
      <c r="AL317" s="710"/>
      <c r="AM317" s="710"/>
      <c r="AN317" s="710"/>
      <c r="AO317" s="710"/>
      <c r="AP317" s="710"/>
      <c r="AQ317" s="710"/>
      <c r="AR317" s="710"/>
      <c r="AS317" s="710"/>
      <c r="AT317" s="710"/>
      <c r="AU317" s="1829"/>
      <c r="AV317" s="1835"/>
      <c r="AW317" s="1836"/>
      <c r="AX317" s="1836"/>
      <c r="AY317" s="1836"/>
      <c r="AZ317" s="1825"/>
      <c r="BA317" s="1825"/>
    </row>
    <row r="318" spans="2:53" s="188" customFormat="1" ht="24.95" customHeight="1">
      <c r="B318" s="281"/>
      <c r="C318" s="168"/>
      <c r="D318" s="168"/>
      <c r="E318" s="168"/>
      <c r="F318" s="227"/>
      <c r="G318" s="660"/>
      <c r="H318" s="253"/>
      <c r="I318" s="212"/>
      <c r="N318" s="212"/>
      <c r="O318" s="1557"/>
      <c r="P318" s="1558"/>
      <c r="Q318" s="661"/>
      <c r="R318" s="655"/>
      <c r="S318" s="655"/>
      <c r="T318" s="655"/>
      <c r="U318" s="655"/>
      <c r="V318" s="655"/>
      <c r="W318" s="655"/>
      <c r="Y318" s="1827"/>
      <c r="Z318" s="1828"/>
      <c r="AA318" s="1829"/>
      <c r="AB318" s="1829"/>
      <c r="AC318" s="1829"/>
      <c r="AD318" s="1564"/>
      <c r="AE318" s="701"/>
      <c r="AF318" s="684"/>
      <c r="AG318" s="684"/>
      <c r="AH318" s="710"/>
      <c r="AI318" s="710"/>
      <c r="AJ318" s="710"/>
      <c r="AK318" s="710"/>
      <c r="AL318" s="710"/>
      <c r="AM318" s="710"/>
      <c r="AN318" s="710"/>
      <c r="AO318" s="710"/>
      <c r="AP318" s="710"/>
      <c r="AQ318" s="710"/>
      <c r="AR318" s="710"/>
      <c r="AS318" s="710"/>
      <c r="AT318" s="710"/>
      <c r="AU318" s="1829"/>
      <c r="AV318" s="1835"/>
      <c r="AW318" s="1836"/>
      <c r="AX318" s="1836"/>
      <c r="AY318" s="1836"/>
      <c r="AZ318" s="1825"/>
      <c r="BA318" s="1825"/>
    </row>
    <row r="319" spans="2:53" s="188" customFormat="1" ht="24.95" customHeight="1">
      <c r="B319" s="281"/>
      <c r="C319" s="168"/>
      <c r="D319" s="168"/>
      <c r="E319" s="168"/>
      <c r="F319" s="227"/>
      <c r="G319" s="660"/>
      <c r="H319" s="253"/>
      <c r="I319" s="212"/>
      <c r="N319" s="212"/>
      <c r="O319" s="1557"/>
      <c r="P319" s="1558"/>
      <c r="Q319" s="661"/>
      <c r="R319" s="655"/>
      <c r="S319" s="655"/>
      <c r="T319" s="655"/>
      <c r="U319" s="655"/>
      <c r="V319" s="655"/>
      <c r="W319" s="655"/>
      <c r="Y319" s="1827"/>
      <c r="Z319" s="1828"/>
      <c r="AA319" s="1829"/>
      <c r="AB319" s="1829"/>
      <c r="AC319" s="1829"/>
      <c r="AD319" s="1564"/>
      <c r="AE319" s="701"/>
      <c r="AF319" s="684"/>
      <c r="AG319" s="684"/>
      <c r="AH319" s="710"/>
      <c r="AI319" s="710"/>
      <c r="AJ319" s="710"/>
      <c r="AK319" s="710"/>
      <c r="AL319" s="710"/>
      <c r="AM319" s="710"/>
      <c r="AN319" s="710"/>
      <c r="AO319" s="710"/>
      <c r="AP319" s="710"/>
      <c r="AQ319" s="710"/>
      <c r="AR319" s="710"/>
      <c r="AS319" s="710"/>
      <c r="AT319" s="710"/>
      <c r="AU319" s="1829"/>
      <c r="AV319" s="1835"/>
      <c r="AW319" s="1836"/>
      <c r="AX319" s="1836"/>
      <c r="AY319" s="1836"/>
      <c r="AZ319" s="1825"/>
      <c r="BA319" s="1825"/>
    </row>
    <row r="320" spans="2:53" s="188" customFormat="1" ht="24.95" customHeight="1">
      <c r="B320" s="281"/>
      <c r="C320" s="168"/>
      <c r="D320" s="168"/>
      <c r="E320" s="168"/>
      <c r="F320" s="227"/>
      <c r="G320" s="660"/>
      <c r="H320" s="253"/>
      <c r="I320" s="212"/>
      <c r="N320" s="212"/>
      <c r="O320" s="1557"/>
      <c r="P320" s="1558"/>
      <c r="Q320" s="661"/>
      <c r="R320" s="655"/>
      <c r="S320" s="655"/>
      <c r="T320" s="655"/>
      <c r="U320" s="655"/>
      <c r="V320" s="655"/>
      <c r="W320" s="655"/>
      <c r="Y320" s="1827"/>
      <c r="Z320" s="1828"/>
      <c r="AA320" s="1829"/>
      <c r="AB320" s="1829"/>
      <c r="AC320" s="1829"/>
      <c r="AD320" s="1564"/>
      <c r="AE320" s="701"/>
      <c r="AF320" s="684"/>
      <c r="AG320" s="684"/>
      <c r="AH320" s="710"/>
      <c r="AI320" s="710"/>
      <c r="AJ320" s="710"/>
      <c r="AK320" s="710"/>
      <c r="AL320" s="710"/>
      <c r="AM320" s="710"/>
      <c r="AN320" s="710"/>
      <c r="AO320" s="710"/>
      <c r="AP320" s="710"/>
      <c r="AQ320" s="710"/>
      <c r="AR320" s="710"/>
      <c r="AS320" s="710"/>
      <c r="AT320" s="710"/>
      <c r="AU320" s="1829"/>
      <c r="AV320" s="1835"/>
      <c r="AW320" s="1836"/>
      <c r="AX320" s="1836"/>
      <c r="AY320" s="1836"/>
      <c r="AZ320" s="1825"/>
      <c r="BA320" s="1825"/>
    </row>
    <row r="321" spans="2:53" s="188" customFormat="1" ht="24.95" customHeight="1">
      <c r="B321" s="281"/>
      <c r="C321" s="168"/>
      <c r="D321" s="168"/>
      <c r="E321" s="168"/>
      <c r="F321" s="227"/>
      <c r="G321" s="660"/>
      <c r="H321" s="253"/>
      <c r="I321" s="212"/>
      <c r="N321" s="212"/>
      <c r="O321" s="1557"/>
      <c r="P321" s="1558"/>
      <c r="Q321" s="661"/>
      <c r="R321" s="655"/>
      <c r="S321" s="655"/>
      <c r="T321" s="655"/>
      <c r="U321" s="655"/>
      <c r="V321" s="655"/>
      <c r="W321" s="655"/>
      <c r="Y321" s="1827"/>
      <c r="Z321" s="1828"/>
      <c r="AA321" s="1829"/>
      <c r="AB321" s="1829"/>
      <c r="AC321" s="1829"/>
      <c r="AD321" s="1564"/>
      <c r="AE321" s="701"/>
      <c r="AF321" s="684"/>
      <c r="AG321" s="684"/>
      <c r="AH321" s="710"/>
      <c r="AI321" s="710"/>
      <c r="AJ321" s="710"/>
      <c r="AK321" s="710"/>
      <c r="AL321" s="710"/>
      <c r="AM321" s="710"/>
      <c r="AN321" s="710"/>
      <c r="AO321" s="710"/>
      <c r="AP321" s="710"/>
      <c r="AQ321" s="710"/>
      <c r="AR321" s="710"/>
      <c r="AS321" s="710"/>
      <c r="AT321" s="710"/>
      <c r="AU321" s="1829"/>
      <c r="AV321" s="1835"/>
      <c r="AW321" s="1836"/>
      <c r="AX321" s="1836"/>
      <c r="AY321" s="1836"/>
      <c r="AZ321" s="1825"/>
      <c r="BA321" s="1825"/>
    </row>
    <row r="322" spans="2:53" s="188" customFormat="1" ht="24.95" customHeight="1">
      <c r="B322" s="281"/>
      <c r="C322" s="168"/>
      <c r="D322" s="168"/>
      <c r="E322" s="168"/>
      <c r="F322" s="227"/>
      <c r="G322" s="660"/>
      <c r="H322" s="253"/>
      <c r="I322" s="212"/>
      <c r="N322" s="212"/>
      <c r="O322" s="1557"/>
      <c r="P322" s="1558"/>
      <c r="Q322" s="661"/>
      <c r="R322" s="655"/>
      <c r="S322" s="655"/>
      <c r="T322" s="655"/>
      <c r="U322" s="655"/>
      <c r="V322" s="655"/>
      <c r="W322" s="655"/>
      <c r="Y322" s="1827"/>
      <c r="Z322" s="1828"/>
      <c r="AA322" s="1829"/>
      <c r="AB322" s="1829"/>
      <c r="AC322" s="1829"/>
      <c r="AD322" s="1564"/>
      <c r="AE322" s="701"/>
      <c r="AF322" s="684"/>
      <c r="AG322" s="684"/>
      <c r="AH322" s="710"/>
      <c r="AI322" s="710"/>
      <c r="AJ322" s="710"/>
      <c r="AK322" s="710"/>
      <c r="AL322" s="710"/>
      <c r="AM322" s="710"/>
      <c r="AN322" s="710"/>
      <c r="AO322" s="710"/>
      <c r="AP322" s="710"/>
      <c r="AQ322" s="710"/>
      <c r="AR322" s="710"/>
      <c r="AS322" s="710"/>
      <c r="AT322" s="710"/>
      <c r="AU322" s="1829"/>
      <c r="AV322" s="1835"/>
      <c r="AW322" s="1836"/>
      <c r="AX322" s="1836"/>
      <c r="AY322" s="1836"/>
      <c r="AZ322" s="1825"/>
      <c r="BA322" s="1825"/>
    </row>
    <row r="323" spans="2:53" s="188" customFormat="1" ht="24.95" customHeight="1">
      <c r="B323" s="281"/>
      <c r="C323" s="168"/>
      <c r="D323" s="168"/>
      <c r="E323" s="168"/>
      <c r="F323" s="227"/>
      <c r="G323" s="660"/>
      <c r="H323" s="253"/>
      <c r="I323" s="212"/>
      <c r="N323" s="212"/>
      <c r="O323" s="1557"/>
      <c r="P323" s="1558"/>
      <c r="Q323" s="661"/>
      <c r="R323" s="655"/>
      <c r="S323" s="655"/>
      <c r="T323" s="655"/>
      <c r="U323" s="655"/>
      <c r="V323" s="655"/>
      <c r="W323" s="655"/>
      <c r="Y323" s="1827"/>
      <c r="Z323" s="1828"/>
      <c r="AA323" s="1829"/>
      <c r="AB323" s="1829"/>
      <c r="AC323" s="1829"/>
      <c r="AD323" s="1564"/>
      <c r="AE323" s="701"/>
      <c r="AF323" s="684"/>
      <c r="AG323" s="684"/>
      <c r="AH323" s="710"/>
      <c r="AI323" s="710"/>
      <c r="AJ323" s="710"/>
      <c r="AK323" s="710"/>
      <c r="AL323" s="710"/>
      <c r="AM323" s="710"/>
      <c r="AN323" s="710"/>
      <c r="AO323" s="710"/>
      <c r="AP323" s="710"/>
      <c r="AQ323" s="710"/>
      <c r="AR323" s="710"/>
      <c r="AS323" s="710"/>
      <c r="AT323" s="710"/>
      <c r="AU323" s="1829"/>
      <c r="AV323" s="1835"/>
      <c r="AW323" s="1836"/>
      <c r="AX323" s="1836"/>
      <c r="AY323" s="1836"/>
      <c r="AZ323" s="1825"/>
      <c r="BA323" s="1825"/>
    </row>
    <row r="324" spans="2:53" s="188" customFormat="1" ht="24.95" customHeight="1">
      <c r="B324" s="281"/>
      <c r="C324" s="168"/>
      <c r="D324" s="168"/>
      <c r="E324" s="168"/>
      <c r="F324" s="227"/>
      <c r="G324" s="660"/>
      <c r="H324" s="253"/>
      <c r="I324" s="212"/>
      <c r="N324" s="212"/>
      <c r="O324" s="1557"/>
      <c r="P324" s="1558"/>
      <c r="Q324" s="661"/>
      <c r="R324" s="655"/>
      <c r="S324" s="655"/>
      <c r="T324" s="655"/>
      <c r="U324" s="655"/>
      <c r="V324" s="655"/>
      <c r="W324" s="655"/>
      <c r="Y324" s="1827"/>
      <c r="Z324" s="1828"/>
      <c r="AA324" s="1829"/>
      <c r="AB324" s="1829"/>
      <c r="AC324" s="1829"/>
      <c r="AD324" s="1564"/>
      <c r="AE324" s="701"/>
      <c r="AF324" s="684"/>
      <c r="AG324" s="684"/>
      <c r="AH324" s="710"/>
      <c r="AI324" s="710"/>
      <c r="AJ324" s="710"/>
      <c r="AK324" s="710"/>
      <c r="AL324" s="710"/>
      <c r="AM324" s="710"/>
      <c r="AN324" s="710"/>
      <c r="AO324" s="710"/>
      <c r="AP324" s="710"/>
      <c r="AQ324" s="710"/>
      <c r="AR324" s="710"/>
      <c r="AS324" s="710"/>
      <c r="AT324" s="710"/>
      <c r="AU324" s="1829"/>
      <c r="AV324" s="1835"/>
      <c r="AW324" s="1836"/>
      <c r="AX324" s="1836"/>
      <c r="AY324" s="1836"/>
      <c r="AZ324" s="1825"/>
      <c r="BA324" s="1825"/>
    </row>
    <row r="325" spans="2:53" s="188" customFormat="1" ht="24.95" customHeight="1">
      <c r="B325" s="281"/>
      <c r="C325" s="168"/>
      <c r="D325" s="168"/>
      <c r="E325" s="168"/>
      <c r="F325" s="227"/>
      <c r="G325" s="660"/>
      <c r="H325" s="253"/>
      <c r="I325" s="212"/>
      <c r="N325" s="212"/>
      <c r="O325" s="1557"/>
      <c r="P325" s="1558"/>
      <c r="Q325" s="661"/>
      <c r="R325" s="655"/>
      <c r="S325" s="655"/>
      <c r="T325" s="655"/>
      <c r="U325" s="655"/>
      <c r="V325" s="655"/>
      <c r="W325" s="655"/>
      <c r="Y325" s="1827"/>
      <c r="Z325" s="1828"/>
      <c r="AA325" s="1829"/>
      <c r="AB325" s="1829"/>
      <c r="AC325" s="1829"/>
      <c r="AD325" s="1564"/>
      <c r="AE325" s="701"/>
      <c r="AF325" s="684"/>
      <c r="AG325" s="684"/>
      <c r="AH325" s="710"/>
      <c r="AI325" s="710"/>
      <c r="AJ325" s="710"/>
      <c r="AK325" s="710"/>
      <c r="AL325" s="710"/>
      <c r="AM325" s="710"/>
      <c r="AN325" s="710"/>
      <c r="AO325" s="710"/>
      <c r="AP325" s="710"/>
      <c r="AQ325" s="710"/>
      <c r="AR325" s="710"/>
      <c r="AS325" s="710"/>
      <c r="AT325" s="710"/>
      <c r="AU325" s="1829"/>
      <c r="AV325" s="1835"/>
      <c r="AW325" s="1836"/>
      <c r="AX325" s="1836"/>
      <c r="AY325" s="1836"/>
      <c r="AZ325" s="1825"/>
      <c r="BA325" s="1825"/>
    </row>
    <row r="326" spans="2:53" s="188" customFormat="1" ht="24.95" customHeight="1">
      <c r="B326" s="281"/>
      <c r="C326" s="168"/>
      <c r="D326" s="168"/>
      <c r="E326" s="168"/>
      <c r="F326" s="227"/>
      <c r="G326" s="660"/>
      <c r="H326" s="253"/>
      <c r="I326" s="212"/>
      <c r="N326" s="212"/>
      <c r="O326" s="1557"/>
      <c r="P326" s="1558"/>
      <c r="Q326" s="661"/>
      <c r="R326" s="655"/>
      <c r="S326" s="655"/>
      <c r="T326" s="655"/>
      <c r="U326" s="655"/>
      <c r="V326" s="655"/>
      <c r="W326" s="655"/>
      <c r="Y326" s="1827"/>
      <c r="Z326" s="1828"/>
      <c r="AA326" s="1829"/>
      <c r="AB326" s="1829"/>
      <c r="AC326" s="1829"/>
      <c r="AD326" s="1564"/>
      <c r="AE326" s="701"/>
      <c r="AF326" s="684"/>
      <c r="AG326" s="684"/>
      <c r="AH326" s="710"/>
      <c r="AI326" s="710"/>
      <c r="AJ326" s="710"/>
      <c r="AK326" s="710"/>
      <c r="AL326" s="710"/>
      <c r="AM326" s="710"/>
      <c r="AN326" s="710"/>
      <c r="AO326" s="710"/>
      <c r="AP326" s="710"/>
      <c r="AQ326" s="710"/>
      <c r="AR326" s="710"/>
      <c r="AS326" s="710"/>
      <c r="AT326" s="710"/>
      <c r="AU326" s="1829"/>
      <c r="AV326" s="1835"/>
      <c r="AW326" s="1836"/>
      <c r="AX326" s="1836"/>
      <c r="AY326" s="1836"/>
      <c r="AZ326" s="1825"/>
      <c r="BA326" s="1825"/>
    </row>
    <row r="327" spans="2:53" s="188" customFormat="1" ht="24.95" customHeight="1">
      <c r="B327" s="281"/>
      <c r="C327" s="168"/>
      <c r="D327" s="168"/>
      <c r="E327" s="168"/>
      <c r="F327" s="227"/>
      <c r="G327" s="660"/>
      <c r="H327" s="253"/>
      <c r="I327" s="212"/>
      <c r="N327" s="212"/>
      <c r="O327" s="1557"/>
      <c r="P327" s="1558"/>
      <c r="Q327" s="661"/>
      <c r="R327" s="655"/>
      <c r="S327" s="655"/>
      <c r="T327" s="655"/>
      <c r="U327" s="655"/>
      <c r="V327" s="655"/>
      <c r="W327" s="655"/>
      <c r="Y327" s="1827"/>
      <c r="Z327" s="1828"/>
      <c r="AA327" s="1829"/>
      <c r="AB327" s="1829"/>
      <c r="AC327" s="1829"/>
      <c r="AD327" s="1564"/>
      <c r="AE327" s="701"/>
      <c r="AF327" s="684"/>
      <c r="AG327" s="684"/>
      <c r="AH327" s="710"/>
      <c r="AI327" s="710"/>
      <c r="AJ327" s="710"/>
      <c r="AK327" s="710"/>
      <c r="AL327" s="710"/>
      <c r="AM327" s="710"/>
      <c r="AN327" s="710"/>
      <c r="AO327" s="710"/>
      <c r="AP327" s="710"/>
      <c r="AQ327" s="710"/>
      <c r="AR327" s="710"/>
      <c r="AS327" s="710"/>
      <c r="AT327" s="710"/>
      <c r="AU327" s="1829"/>
      <c r="AV327" s="1835"/>
      <c r="AW327" s="1836"/>
      <c r="AX327" s="1836"/>
      <c r="AY327" s="1836"/>
      <c r="AZ327" s="1825"/>
      <c r="BA327" s="1825"/>
    </row>
    <row r="328" spans="2:53" s="188" customFormat="1" ht="24.95" customHeight="1">
      <c r="B328" s="281"/>
      <c r="C328" s="168"/>
      <c r="D328" s="168"/>
      <c r="E328" s="168"/>
      <c r="F328" s="227"/>
      <c r="G328" s="660"/>
      <c r="H328" s="253"/>
      <c r="I328" s="212"/>
      <c r="N328" s="212"/>
      <c r="O328" s="1557"/>
      <c r="P328" s="1558"/>
      <c r="Q328" s="661"/>
      <c r="R328" s="655"/>
      <c r="S328" s="655"/>
      <c r="T328" s="655"/>
      <c r="U328" s="655"/>
      <c r="V328" s="655"/>
      <c r="W328" s="655"/>
      <c r="Y328" s="1827"/>
      <c r="Z328" s="1828"/>
      <c r="AA328" s="1829"/>
      <c r="AB328" s="1829"/>
      <c r="AC328" s="1829"/>
      <c r="AD328" s="1564"/>
      <c r="AE328" s="701"/>
      <c r="AF328" s="684"/>
      <c r="AG328" s="684"/>
      <c r="AH328" s="710"/>
      <c r="AI328" s="710"/>
      <c r="AJ328" s="710"/>
      <c r="AK328" s="710"/>
      <c r="AL328" s="710"/>
      <c r="AM328" s="710"/>
      <c r="AN328" s="710"/>
      <c r="AO328" s="710"/>
      <c r="AP328" s="710"/>
      <c r="AQ328" s="710"/>
      <c r="AR328" s="710"/>
      <c r="AS328" s="710"/>
      <c r="AT328" s="710"/>
      <c r="AU328" s="1829"/>
      <c r="AV328" s="1835"/>
      <c r="AW328" s="1836"/>
      <c r="AX328" s="1836"/>
      <c r="AY328" s="1836"/>
      <c r="AZ328" s="1825"/>
      <c r="BA328" s="1825"/>
    </row>
    <row r="329" spans="2:53" s="188" customFormat="1" ht="24.95" customHeight="1">
      <c r="B329" s="281"/>
      <c r="C329" s="168"/>
      <c r="D329" s="168"/>
      <c r="E329" s="168"/>
      <c r="F329" s="227"/>
      <c r="G329" s="660"/>
      <c r="H329" s="253"/>
      <c r="I329" s="212"/>
      <c r="N329" s="212"/>
      <c r="O329" s="1557"/>
      <c r="P329" s="1558"/>
      <c r="Q329" s="661"/>
      <c r="R329" s="655"/>
      <c r="S329" s="655"/>
      <c r="T329" s="655"/>
      <c r="U329" s="655"/>
      <c r="V329" s="655"/>
      <c r="W329" s="655"/>
      <c r="Y329" s="1827"/>
      <c r="Z329" s="1828"/>
      <c r="AA329" s="1829"/>
      <c r="AB329" s="1829"/>
      <c r="AC329" s="1829"/>
      <c r="AD329" s="1564"/>
      <c r="AE329" s="701"/>
      <c r="AF329" s="684"/>
      <c r="AG329" s="684"/>
      <c r="AH329" s="710"/>
      <c r="AI329" s="710"/>
      <c r="AJ329" s="710"/>
      <c r="AK329" s="710"/>
      <c r="AL329" s="710"/>
      <c r="AM329" s="710"/>
      <c r="AN329" s="710"/>
      <c r="AO329" s="710"/>
      <c r="AP329" s="710"/>
      <c r="AQ329" s="710"/>
      <c r="AR329" s="710"/>
      <c r="AS329" s="710"/>
      <c r="AT329" s="710"/>
      <c r="AU329" s="1829"/>
      <c r="AV329" s="1835"/>
      <c r="AW329" s="1836"/>
      <c r="AX329" s="1836"/>
      <c r="AY329" s="1836"/>
      <c r="AZ329" s="1825"/>
      <c r="BA329" s="1825"/>
    </row>
    <row r="330" spans="2:53" s="188" customFormat="1" ht="24.95" customHeight="1">
      <c r="B330" s="281"/>
      <c r="C330" s="168"/>
      <c r="D330" s="168"/>
      <c r="E330" s="168"/>
      <c r="F330" s="227"/>
      <c r="G330" s="660"/>
      <c r="H330" s="253"/>
      <c r="I330" s="212"/>
      <c r="N330" s="212"/>
      <c r="O330" s="1557"/>
      <c r="P330" s="1558"/>
      <c r="Q330" s="661"/>
      <c r="R330" s="655"/>
      <c r="S330" s="655"/>
      <c r="T330" s="655"/>
      <c r="U330" s="655"/>
      <c r="V330" s="655"/>
      <c r="W330" s="655"/>
      <c r="Y330" s="1827"/>
      <c r="Z330" s="1828"/>
      <c r="AA330" s="1829"/>
      <c r="AB330" s="1829"/>
      <c r="AC330" s="1829"/>
      <c r="AD330" s="1564"/>
      <c r="AE330" s="701"/>
      <c r="AF330" s="684"/>
      <c r="AG330" s="684"/>
      <c r="AH330" s="710"/>
      <c r="AI330" s="710"/>
      <c r="AJ330" s="710"/>
      <c r="AK330" s="710"/>
      <c r="AL330" s="710"/>
      <c r="AM330" s="710"/>
      <c r="AN330" s="710"/>
      <c r="AO330" s="710"/>
      <c r="AP330" s="710"/>
      <c r="AQ330" s="710"/>
      <c r="AR330" s="710"/>
      <c r="AS330" s="710"/>
      <c r="AT330" s="710"/>
      <c r="AU330" s="1829"/>
      <c r="AV330" s="1835"/>
      <c r="AW330" s="1836"/>
      <c r="AX330" s="1836"/>
      <c r="AY330" s="1836"/>
      <c r="AZ330" s="1825"/>
      <c r="BA330" s="1825"/>
    </row>
    <row r="331" spans="2:53" s="188" customFormat="1" ht="24.95" customHeight="1">
      <c r="B331" s="281"/>
      <c r="C331" s="168"/>
      <c r="D331" s="168"/>
      <c r="E331" s="168"/>
      <c r="F331" s="227"/>
      <c r="G331" s="660"/>
      <c r="H331" s="253"/>
      <c r="I331" s="212"/>
      <c r="N331" s="212"/>
      <c r="O331" s="1557"/>
      <c r="P331" s="1558"/>
      <c r="Q331" s="661"/>
      <c r="R331" s="655"/>
      <c r="S331" s="655"/>
      <c r="T331" s="655"/>
      <c r="U331" s="655"/>
      <c r="V331" s="655"/>
      <c r="W331" s="655"/>
      <c r="Y331" s="1827"/>
      <c r="Z331" s="1828"/>
      <c r="AA331" s="1829"/>
      <c r="AB331" s="1829"/>
      <c r="AC331" s="1829"/>
      <c r="AD331" s="1564"/>
      <c r="AE331" s="701"/>
      <c r="AF331" s="684"/>
      <c r="AG331" s="684"/>
      <c r="AH331" s="710"/>
      <c r="AI331" s="710"/>
      <c r="AJ331" s="710"/>
      <c r="AK331" s="710"/>
      <c r="AL331" s="710"/>
      <c r="AM331" s="710"/>
      <c r="AN331" s="710"/>
      <c r="AO331" s="710"/>
      <c r="AP331" s="710"/>
      <c r="AQ331" s="710"/>
      <c r="AR331" s="710"/>
      <c r="AS331" s="710"/>
      <c r="AT331" s="710"/>
      <c r="AU331" s="1829"/>
      <c r="AV331" s="1835"/>
      <c r="AW331" s="1836"/>
      <c r="AX331" s="1836"/>
      <c r="AY331" s="1836"/>
      <c r="AZ331" s="1825"/>
      <c r="BA331" s="1825"/>
    </row>
    <row r="332" spans="2:53" s="188" customFormat="1" ht="24.95" customHeight="1">
      <c r="B332" s="281"/>
      <c r="C332" s="168"/>
      <c r="D332" s="168"/>
      <c r="E332" s="168"/>
      <c r="F332" s="227"/>
      <c r="G332" s="660"/>
      <c r="H332" s="253"/>
      <c r="I332" s="212"/>
      <c r="N332" s="212"/>
      <c r="O332" s="1557"/>
      <c r="P332" s="1558"/>
      <c r="Q332" s="661"/>
      <c r="R332" s="655"/>
      <c r="S332" s="655"/>
      <c r="T332" s="655"/>
      <c r="U332" s="655"/>
      <c r="V332" s="655"/>
      <c r="W332" s="655"/>
      <c r="Y332" s="1827"/>
      <c r="Z332" s="1828"/>
      <c r="AA332" s="1829"/>
      <c r="AB332" s="1829"/>
      <c r="AC332" s="1829"/>
      <c r="AD332" s="1564"/>
      <c r="AE332" s="701"/>
      <c r="AF332" s="684"/>
      <c r="AG332" s="684"/>
      <c r="AH332" s="710"/>
      <c r="AI332" s="710"/>
      <c r="AJ332" s="710"/>
      <c r="AK332" s="710"/>
      <c r="AL332" s="710"/>
      <c r="AM332" s="710"/>
      <c r="AN332" s="710"/>
      <c r="AO332" s="710"/>
      <c r="AP332" s="710"/>
      <c r="AQ332" s="710"/>
      <c r="AR332" s="710"/>
      <c r="AS332" s="710"/>
      <c r="AT332" s="710"/>
      <c r="AU332" s="1829"/>
      <c r="AV332" s="1835"/>
      <c r="AW332" s="1836"/>
      <c r="AX332" s="1836"/>
      <c r="AY332" s="1836"/>
      <c r="AZ332" s="1825"/>
      <c r="BA332" s="1825"/>
    </row>
    <row r="333" spans="2:53" s="188" customFormat="1" ht="24.95" customHeight="1">
      <c r="B333" s="281"/>
      <c r="C333" s="168"/>
      <c r="D333" s="168"/>
      <c r="E333" s="168"/>
      <c r="F333" s="227"/>
      <c r="G333" s="660"/>
      <c r="H333" s="253"/>
      <c r="I333" s="212"/>
      <c r="N333" s="212"/>
      <c r="O333" s="1557"/>
      <c r="P333" s="1558"/>
      <c r="Q333" s="661"/>
      <c r="R333" s="655"/>
      <c r="S333" s="655"/>
      <c r="T333" s="655"/>
      <c r="U333" s="655"/>
      <c r="V333" s="655"/>
      <c r="W333" s="655"/>
      <c r="Y333" s="1827"/>
      <c r="Z333" s="1828"/>
      <c r="AA333" s="1829"/>
      <c r="AB333" s="1829"/>
      <c r="AC333" s="1829"/>
      <c r="AD333" s="1564"/>
      <c r="AE333" s="701"/>
      <c r="AF333" s="684"/>
      <c r="AG333" s="684"/>
      <c r="AH333" s="710"/>
      <c r="AI333" s="710"/>
      <c r="AJ333" s="710"/>
      <c r="AK333" s="710"/>
      <c r="AL333" s="710"/>
      <c r="AM333" s="710"/>
      <c r="AN333" s="710"/>
      <c r="AO333" s="710"/>
      <c r="AP333" s="710"/>
      <c r="AQ333" s="710"/>
      <c r="AR333" s="710"/>
      <c r="AS333" s="710"/>
      <c r="AT333" s="710"/>
      <c r="AU333" s="1829"/>
      <c r="AV333" s="1835"/>
      <c r="AW333" s="1836"/>
      <c r="AX333" s="1836"/>
      <c r="AY333" s="1836"/>
      <c r="AZ333" s="1825"/>
      <c r="BA333" s="1825"/>
    </row>
    <row r="334" spans="2:53" s="188" customFormat="1" ht="24.95" customHeight="1">
      <c r="B334" s="281"/>
      <c r="C334" s="168"/>
      <c r="D334" s="168"/>
      <c r="E334" s="168"/>
      <c r="F334" s="227"/>
      <c r="G334" s="660"/>
      <c r="H334" s="253"/>
      <c r="I334" s="212"/>
      <c r="N334" s="212"/>
      <c r="O334" s="1557"/>
      <c r="P334" s="1558"/>
      <c r="Q334" s="661"/>
      <c r="R334" s="655"/>
      <c r="S334" s="655"/>
      <c r="T334" s="655"/>
      <c r="U334" s="655"/>
      <c r="V334" s="655"/>
      <c r="W334" s="655"/>
      <c r="Y334" s="1827"/>
      <c r="Z334" s="1828"/>
      <c r="AA334" s="1829"/>
      <c r="AB334" s="1829"/>
      <c r="AC334" s="1829"/>
      <c r="AD334" s="1564"/>
      <c r="AE334" s="701"/>
      <c r="AF334" s="684"/>
      <c r="AG334" s="684"/>
      <c r="AH334" s="710"/>
      <c r="AI334" s="710"/>
      <c r="AJ334" s="710"/>
      <c r="AK334" s="710"/>
      <c r="AL334" s="710"/>
      <c r="AM334" s="710"/>
      <c r="AN334" s="710"/>
      <c r="AO334" s="710"/>
      <c r="AP334" s="710"/>
      <c r="AQ334" s="710"/>
      <c r="AR334" s="710"/>
      <c r="AS334" s="710"/>
      <c r="AT334" s="710"/>
      <c r="AU334" s="1829"/>
      <c r="AV334" s="1835"/>
      <c r="AW334" s="1836"/>
      <c r="AX334" s="1836"/>
      <c r="AY334" s="1836"/>
      <c r="AZ334" s="1825"/>
      <c r="BA334" s="1825"/>
    </row>
    <row r="335" spans="2:53" s="188" customFormat="1" ht="24.95" customHeight="1">
      <c r="B335" s="281"/>
      <c r="C335" s="168"/>
      <c r="D335" s="168"/>
      <c r="E335" s="168"/>
      <c r="F335" s="227"/>
      <c r="G335" s="660"/>
      <c r="H335" s="253"/>
      <c r="I335" s="212"/>
      <c r="N335" s="212"/>
      <c r="O335" s="1557"/>
      <c r="P335" s="1558"/>
      <c r="Q335" s="661"/>
      <c r="R335" s="655"/>
      <c r="S335" s="655"/>
      <c r="T335" s="655"/>
      <c r="U335" s="655"/>
      <c r="V335" s="655"/>
      <c r="W335" s="655"/>
      <c r="Y335" s="1827"/>
      <c r="Z335" s="1828"/>
      <c r="AA335" s="1829"/>
      <c r="AB335" s="1829"/>
      <c r="AC335" s="1829"/>
      <c r="AD335" s="1564"/>
      <c r="AE335" s="701"/>
      <c r="AF335" s="684"/>
      <c r="AG335" s="684"/>
      <c r="AH335" s="710"/>
      <c r="AI335" s="710"/>
      <c r="AJ335" s="710"/>
      <c r="AK335" s="710"/>
      <c r="AL335" s="710"/>
      <c r="AM335" s="710"/>
      <c r="AN335" s="710"/>
      <c r="AO335" s="710"/>
      <c r="AP335" s="710"/>
      <c r="AQ335" s="710"/>
      <c r="AR335" s="710"/>
      <c r="AS335" s="710"/>
      <c r="AT335" s="710"/>
      <c r="AU335" s="1829"/>
      <c r="AV335" s="1835"/>
      <c r="AW335" s="1836"/>
      <c r="AX335" s="1836"/>
      <c r="AY335" s="1836"/>
      <c r="AZ335" s="1825"/>
      <c r="BA335" s="1825"/>
    </row>
    <row r="336" spans="2:53" s="188" customFormat="1" ht="24.95" customHeight="1">
      <c r="B336" s="281"/>
      <c r="C336" s="168"/>
      <c r="D336" s="168"/>
      <c r="E336" s="168"/>
      <c r="F336" s="227"/>
      <c r="G336" s="660"/>
      <c r="H336" s="253"/>
      <c r="I336" s="212"/>
      <c r="N336" s="212"/>
      <c r="O336" s="1557"/>
      <c r="P336" s="1558"/>
      <c r="Q336" s="661"/>
      <c r="R336" s="655"/>
      <c r="S336" s="655"/>
      <c r="T336" s="655"/>
      <c r="U336" s="655"/>
      <c r="V336" s="655"/>
      <c r="W336" s="655"/>
      <c r="Y336" s="1827"/>
      <c r="Z336" s="1828"/>
      <c r="AA336" s="1829"/>
      <c r="AB336" s="1829"/>
      <c r="AC336" s="1829"/>
      <c r="AD336" s="1564"/>
      <c r="AE336" s="701"/>
      <c r="AF336" s="684"/>
      <c r="AG336" s="684"/>
      <c r="AH336" s="710"/>
      <c r="AI336" s="710"/>
      <c r="AJ336" s="710"/>
      <c r="AK336" s="710"/>
      <c r="AL336" s="710"/>
      <c r="AM336" s="710"/>
      <c r="AN336" s="710"/>
      <c r="AO336" s="710"/>
      <c r="AP336" s="710"/>
      <c r="AQ336" s="710"/>
      <c r="AR336" s="710"/>
      <c r="AS336" s="710"/>
      <c r="AT336" s="710"/>
      <c r="AU336" s="1829"/>
      <c r="AV336" s="1835"/>
      <c r="AW336" s="1836"/>
      <c r="AX336" s="1836"/>
      <c r="AY336" s="1836"/>
      <c r="AZ336" s="1825"/>
      <c r="BA336" s="1825"/>
    </row>
    <row r="337" spans="2:53" s="188" customFormat="1" ht="24.95" customHeight="1">
      <c r="B337" s="281"/>
      <c r="C337" s="168"/>
      <c r="D337" s="168"/>
      <c r="E337" s="168"/>
      <c r="F337" s="227"/>
      <c r="G337" s="660"/>
      <c r="H337" s="253"/>
      <c r="I337" s="212"/>
      <c r="N337" s="212"/>
      <c r="O337" s="1557"/>
      <c r="P337" s="1558"/>
      <c r="Q337" s="661"/>
      <c r="R337" s="655"/>
      <c r="S337" s="655"/>
      <c r="T337" s="655"/>
      <c r="U337" s="655"/>
      <c r="V337" s="655"/>
      <c r="W337" s="655"/>
      <c r="Y337" s="1827"/>
      <c r="Z337" s="1828"/>
      <c r="AA337" s="1829"/>
      <c r="AB337" s="1829"/>
      <c r="AC337" s="1829"/>
      <c r="AD337" s="1564"/>
      <c r="AE337" s="701"/>
      <c r="AF337" s="684"/>
      <c r="AG337" s="684"/>
      <c r="AH337" s="710"/>
      <c r="AI337" s="710"/>
      <c r="AJ337" s="710"/>
      <c r="AK337" s="710"/>
      <c r="AL337" s="710"/>
      <c r="AM337" s="710"/>
      <c r="AN337" s="710"/>
      <c r="AO337" s="710"/>
      <c r="AP337" s="710"/>
      <c r="AQ337" s="710"/>
      <c r="AR337" s="710"/>
      <c r="AS337" s="710"/>
      <c r="AT337" s="710"/>
      <c r="AU337" s="1829"/>
      <c r="AV337" s="1835"/>
      <c r="AW337" s="1836"/>
      <c r="AX337" s="1836"/>
      <c r="AY337" s="1836"/>
      <c r="AZ337" s="1825"/>
      <c r="BA337" s="1825"/>
    </row>
    <row r="338" spans="2:53" s="188" customFormat="1" ht="24.95" customHeight="1">
      <c r="B338" s="281"/>
      <c r="C338" s="168"/>
      <c r="D338" s="168"/>
      <c r="E338" s="168"/>
      <c r="F338" s="227"/>
      <c r="G338" s="660"/>
      <c r="H338" s="253"/>
      <c r="I338" s="212"/>
      <c r="N338" s="212"/>
      <c r="O338" s="1557"/>
      <c r="P338" s="1558"/>
      <c r="Q338" s="661"/>
      <c r="R338" s="655"/>
      <c r="S338" s="655"/>
      <c r="T338" s="655"/>
      <c r="U338" s="655"/>
      <c r="V338" s="655"/>
      <c r="W338" s="655"/>
      <c r="Y338" s="1827"/>
      <c r="Z338" s="1828"/>
      <c r="AA338" s="1829"/>
      <c r="AB338" s="1829"/>
      <c r="AC338" s="1829"/>
      <c r="AD338" s="1564"/>
      <c r="AE338" s="701"/>
      <c r="AF338" s="684"/>
      <c r="AG338" s="684"/>
      <c r="AH338" s="710"/>
      <c r="AI338" s="710"/>
      <c r="AJ338" s="710"/>
      <c r="AK338" s="710"/>
      <c r="AL338" s="710"/>
      <c r="AM338" s="710"/>
      <c r="AN338" s="710"/>
      <c r="AO338" s="710"/>
      <c r="AP338" s="710"/>
      <c r="AQ338" s="710"/>
      <c r="AR338" s="710"/>
      <c r="AS338" s="710"/>
      <c r="AT338" s="710"/>
      <c r="AU338" s="1829"/>
      <c r="AV338" s="1835"/>
      <c r="AW338" s="1836"/>
      <c r="AX338" s="1836"/>
      <c r="AY338" s="1836"/>
      <c r="AZ338" s="1825"/>
      <c r="BA338" s="1825"/>
    </row>
    <row r="339" spans="2:53" s="188" customFormat="1" ht="24.95" customHeight="1">
      <c r="B339" s="281"/>
      <c r="C339" s="168"/>
      <c r="D339" s="168"/>
      <c r="E339" s="168"/>
      <c r="F339" s="227"/>
      <c r="G339" s="660"/>
      <c r="H339" s="253"/>
      <c r="I339" s="212"/>
      <c r="N339" s="212"/>
      <c r="O339" s="1557"/>
      <c r="P339" s="1558"/>
      <c r="Q339" s="661"/>
      <c r="R339" s="655"/>
      <c r="S339" s="655"/>
      <c r="T339" s="655"/>
      <c r="U339" s="655"/>
      <c r="V339" s="655"/>
      <c r="W339" s="655"/>
      <c r="Y339" s="1827"/>
      <c r="Z339" s="1828"/>
      <c r="AA339" s="1829"/>
      <c r="AB339" s="1829"/>
      <c r="AC339" s="1829"/>
      <c r="AD339" s="1564"/>
      <c r="AE339" s="701"/>
      <c r="AF339" s="684"/>
      <c r="AG339" s="684"/>
      <c r="AH339" s="710"/>
      <c r="AI339" s="710"/>
      <c r="AJ339" s="710"/>
      <c r="AK339" s="710"/>
      <c r="AL339" s="710"/>
      <c r="AM339" s="710"/>
      <c r="AN339" s="710"/>
      <c r="AO339" s="710"/>
      <c r="AP339" s="710"/>
      <c r="AQ339" s="710"/>
      <c r="AR339" s="710"/>
      <c r="AS339" s="710"/>
      <c r="AT339" s="710"/>
      <c r="AU339" s="1829"/>
      <c r="AV339" s="1835"/>
      <c r="AW339" s="1836"/>
      <c r="AX339" s="1836"/>
      <c r="AY339" s="1836"/>
      <c r="AZ339" s="1825"/>
      <c r="BA339" s="1825"/>
    </row>
    <row r="340" spans="2:53" s="188" customFormat="1" ht="24.95" customHeight="1">
      <c r="B340" s="281"/>
      <c r="C340" s="168"/>
      <c r="D340" s="168"/>
      <c r="E340" s="168"/>
      <c r="F340" s="227"/>
      <c r="G340" s="660"/>
      <c r="H340" s="253"/>
      <c r="I340" s="212"/>
      <c r="N340" s="212"/>
      <c r="O340" s="1557"/>
      <c r="P340" s="1558"/>
      <c r="Q340" s="661"/>
      <c r="R340" s="655"/>
      <c r="S340" s="655"/>
      <c r="T340" s="655"/>
      <c r="U340" s="655"/>
      <c r="V340" s="655"/>
      <c r="W340" s="655"/>
      <c r="Y340" s="1827"/>
      <c r="Z340" s="1828"/>
      <c r="AA340" s="1829"/>
      <c r="AB340" s="1829"/>
      <c r="AC340" s="1829"/>
      <c r="AD340" s="1564"/>
      <c r="AE340" s="701"/>
      <c r="AF340" s="684"/>
      <c r="AG340" s="684"/>
      <c r="AH340" s="710"/>
      <c r="AI340" s="710"/>
      <c r="AJ340" s="710"/>
      <c r="AK340" s="710"/>
      <c r="AL340" s="710"/>
      <c r="AM340" s="710"/>
      <c r="AN340" s="710"/>
      <c r="AO340" s="710"/>
      <c r="AP340" s="710"/>
      <c r="AQ340" s="710"/>
      <c r="AR340" s="710"/>
      <c r="AS340" s="710"/>
      <c r="AT340" s="710"/>
      <c r="AU340" s="1829"/>
      <c r="AV340" s="1835"/>
      <c r="AW340" s="1836"/>
      <c r="AX340" s="1836"/>
      <c r="AY340" s="1836"/>
      <c r="AZ340" s="1825"/>
      <c r="BA340" s="1825"/>
    </row>
    <row r="341" spans="2:53" s="188" customFormat="1" ht="24.95" customHeight="1">
      <c r="B341" s="281"/>
      <c r="C341" s="168"/>
      <c r="D341" s="168"/>
      <c r="E341" s="168"/>
      <c r="F341" s="227"/>
      <c r="G341" s="660"/>
      <c r="H341" s="253"/>
      <c r="I341" s="212"/>
      <c r="N341" s="212"/>
      <c r="O341" s="1557"/>
      <c r="P341" s="1558"/>
      <c r="Q341" s="661"/>
      <c r="R341" s="655"/>
      <c r="S341" s="655"/>
      <c r="T341" s="655"/>
      <c r="U341" s="655"/>
      <c r="V341" s="655"/>
      <c r="W341" s="655"/>
      <c r="Y341" s="1827"/>
      <c r="Z341" s="1828"/>
      <c r="AA341" s="1829"/>
      <c r="AB341" s="1829"/>
      <c r="AC341" s="1829"/>
      <c r="AD341" s="1564"/>
      <c r="AE341" s="701"/>
      <c r="AF341" s="684"/>
      <c r="AG341" s="684"/>
      <c r="AH341" s="710"/>
      <c r="AI341" s="710"/>
      <c r="AJ341" s="710"/>
      <c r="AK341" s="710"/>
      <c r="AL341" s="710"/>
      <c r="AM341" s="710"/>
      <c r="AN341" s="710"/>
      <c r="AO341" s="710"/>
      <c r="AP341" s="710"/>
      <c r="AQ341" s="710"/>
      <c r="AR341" s="710"/>
      <c r="AS341" s="710"/>
      <c r="AT341" s="710"/>
      <c r="AU341" s="1829"/>
      <c r="AV341" s="1835"/>
      <c r="AW341" s="1836"/>
      <c r="AX341" s="1836"/>
      <c r="AY341" s="1836"/>
      <c r="AZ341" s="1825"/>
      <c r="BA341" s="1825"/>
    </row>
    <row r="342" spans="2:53" s="188" customFormat="1" ht="24.95" customHeight="1">
      <c r="B342" s="281"/>
      <c r="C342" s="168"/>
      <c r="D342" s="168"/>
      <c r="E342" s="168"/>
      <c r="F342" s="227"/>
      <c r="G342" s="660"/>
      <c r="H342" s="253"/>
      <c r="I342" s="212"/>
      <c r="N342" s="212"/>
      <c r="O342" s="1557"/>
      <c r="P342" s="1558"/>
      <c r="Q342" s="661"/>
      <c r="R342" s="655"/>
      <c r="S342" s="655"/>
      <c r="T342" s="655"/>
      <c r="U342" s="655"/>
      <c r="V342" s="655"/>
      <c r="W342" s="655"/>
      <c r="Y342" s="1827"/>
      <c r="Z342" s="1828"/>
      <c r="AA342" s="1829"/>
      <c r="AB342" s="1829"/>
      <c r="AC342" s="1829"/>
      <c r="AD342" s="1564"/>
      <c r="AE342" s="701"/>
      <c r="AF342" s="684"/>
      <c r="AG342" s="684"/>
      <c r="AH342" s="710"/>
      <c r="AI342" s="710"/>
      <c r="AJ342" s="710"/>
      <c r="AK342" s="710"/>
      <c r="AL342" s="710"/>
      <c r="AM342" s="710"/>
      <c r="AN342" s="710"/>
      <c r="AO342" s="710"/>
      <c r="AP342" s="710"/>
      <c r="AQ342" s="710"/>
      <c r="AR342" s="710"/>
      <c r="AS342" s="710"/>
      <c r="AT342" s="710"/>
      <c r="AU342" s="1829"/>
      <c r="AV342" s="1835"/>
      <c r="AW342" s="1836"/>
      <c r="AX342" s="1836"/>
      <c r="AY342" s="1836"/>
      <c r="AZ342" s="1825"/>
      <c r="BA342" s="1825"/>
    </row>
    <row r="343" spans="2:53" s="188" customFormat="1" ht="24.95" customHeight="1">
      <c r="B343" s="281"/>
      <c r="C343" s="168"/>
      <c r="D343" s="168"/>
      <c r="E343" s="168"/>
      <c r="F343" s="227"/>
      <c r="G343" s="660"/>
      <c r="H343" s="253"/>
      <c r="I343" s="212"/>
      <c r="N343" s="212"/>
      <c r="O343" s="1557"/>
      <c r="P343" s="1558"/>
      <c r="Q343" s="661"/>
      <c r="R343" s="655"/>
      <c r="S343" s="655"/>
      <c r="T343" s="655"/>
      <c r="U343" s="655"/>
      <c r="V343" s="655"/>
      <c r="W343" s="655"/>
      <c r="Y343" s="1827"/>
      <c r="Z343" s="1828"/>
      <c r="AA343" s="1829"/>
      <c r="AB343" s="1829"/>
      <c r="AC343" s="1829"/>
      <c r="AD343" s="1564"/>
      <c r="AE343" s="701"/>
      <c r="AF343" s="684"/>
      <c r="AG343" s="684"/>
      <c r="AH343" s="710"/>
      <c r="AI343" s="710"/>
      <c r="AJ343" s="710"/>
      <c r="AK343" s="710"/>
      <c r="AL343" s="710"/>
      <c r="AM343" s="710"/>
      <c r="AN343" s="710"/>
      <c r="AO343" s="710"/>
      <c r="AP343" s="710"/>
      <c r="AQ343" s="710"/>
      <c r="AR343" s="710"/>
      <c r="AS343" s="710"/>
      <c r="AT343" s="710"/>
      <c r="AU343" s="1829"/>
      <c r="AV343" s="1835"/>
      <c r="AW343" s="1836"/>
      <c r="AX343" s="1836"/>
      <c r="AY343" s="1836"/>
      <c r="AZ343" s="1825"/>
      <c r="BA343" s="1825"/>
    </row>
    <row r="344" spans="2:53" s="188" customFormat="1" ht="24.95" customHeight="1">
      <c r="B344" s="281"/>
      <c r="C344" s="168"/>
      <c r="D344" s="168"/>
      <c r="E344" s="168"/>
      <c r="F344" s="227"/>
      <c r="G344" s="660"/>
      <c r="H344" s="253"/>
      <c r="I344" s="212"/>
      <c r="N344" s="212"/>
      <c r="O344" s="1557"/>
      <c r="P344" s="1558"/>
      <c r="Q344" s="661"/>
      <c r="R344" s="655"/>
      <c r="S344" s="655"/>
      <c r="T344" s="655"/>
      <c r="U344" s="655"/>
      <c r="V344" s="655"/>
      <c r="W344" s="655"/>
      <c r="Y344" s="1827"/>
      <c r="Z344" s="1828"/>
      <c r="AA344" s="1829"/>
      <c r="AB344" s="1829"/>
      <c r="AC344" s="1829"/>
      <c r="AD344" s="1564"/>
      <c r="AE344" s="701"/>
      <c r="AF344" s="684"/>
      <c r="AG344" s="684"/>
      <c r="AH344" s="710"/>
      <c r="AI344" s="710"/>
      <c r="AJ344" s="710"/>
      <c r="AK344" s="710"/>
      <c r="AL344" s="710"/>
      <c r="AM344" s="710"/>
      <c r="AN344" s="710"/>
      <c r="AO344" s="710"/>
      <c r="AP344" s="710"/>
      <c r="AQ344" s="710"/>
      <c r="AR344" s="710"/>
      <c r="AS344" s="710"/>
      <c r="AT344" s="710"/>
      <c r="AU344" s="1829"/>
      <c r="AV344" s="1835"/>
      <c r="AW344" s="1836"/>
      <c r="AX344" s="1836"/>
      <c r="AY344" s="1836"/>
      <c r="AZ344" s="1825"/>
      <c r="BA344" s="1825"/>
    </row>
    <row r="345" spans="2:53" s="188" customFormat="1" ht="24.95" customHeight="1">
      <c r="B345" s="281"/>
      <c r="C345" s="168"/>
      <c r="D345" s="168"/>
      <c r="E345" s="168"/>
      <c r="F345" s="227"/>
      <c r="G345" s="660"/>
      <c r="H345" s="253"/>
      <c r="I345" s="212"/>
      <c r="N345" s="212"/>
      <c r="O345" s="1557"/>
      <c r="P345" s="1558"/>
      <c r="Q345" s="661"/>
      <c r="R345" s="655"/>
      <c r="S345" s="655"/>
      <c r="T345" s="655"/>
      <c r="U345" s="655"/>
      <c r="V345" s="655"/>
      <c r="W345" s="655"/>
      <c r="Y345" s="1827"/>
      <c r="Z345" s="1828"/>
      <c r="AA345" s="1829"/>
      <c r="AB345" s="1829"/>
      <c r="AC345" s="1829"/>
      <c r="AD345" s="1564"/>
      <c r="AE345" s="701"/>
      <c r="AF345" s="684"/>
      <c r="AG345" s="684"/>
      <c r="AH345" s="710"/>
      <c r="AI345" s="710"/>
      <c r="AJ345" s="710"/>
      <c r="AK345" s="710"/>
      <c r="AL345" s="710"/>
      <c r="AM345" s="710"/>
      <c r="AN345" s="710"/>
      <c r="AO345" s="710"/>
      <c r="AP345" s="710"/>
      <c r="AQ345" s="710"/>
      <c r="AR345" s="710"/>
      <c r="AS345" s="710"/>
      <c r="AT345" s="710"/>
      <c r="AU345" s="1829"/>
      <c r="AV345" s="1835"/>
      <c r="AW345" s="1836"/>
      <c r="AX345" s="1836"/>
      <c r="AY345" s="1836"/>
      <c r="AZ345" s="1825"/>
      <c r="BA345" s="1825"/>
    </row>
    <row r="346" spans="2:53" s="188" customFormat="1" ht="24.95" customHeight="1">
      <c r="B346" s="281"/>
      <c r="C346" s="168"/>
      <c r="D346" s="168"/>
      <c r="E346" s="168"/>
      <c r="F346" s="227"/>
      <c r="G346" s="660"/>
      <c r="H346" s="253"/>
      <c r="I346" s="212"/>
      <c r="N346" s="212"/>
      <c r="O346" s="1557"/>
      <c r="P346" s="1558"/>
      <c r="Q346" s="661"/>
      <c r="R346" s="655"/>
      <c r="S346" s="655"/>
      <c r="T346" s="655"/>
      <c r="U346" s="655"/>
      <c r="V346" s="655"/>
      <c r="W346" s="655"/>
      <c r="Y346" s="1827"/>
      <c r="Z346" s="1828"/>
      <c r="AA346" s="1829"/>
      <c r="AB346" s="1829"/>
      <c r="AC346" s="1829"/>
      <c r="AD346" s="1564"/>
      <c r="AE346" s="701"/>
      <c r="AF346" s="684"/>
      <c r="AG346" s="684"/>
      <c r="AH346" s="710"/>
      <c r="AI346" s="710"/>
      <c r="AJ346" s="710"/>
      <c r="AK346" s="710"/>
      <c r="AL346" s="710"/>
      <c r="AM346" s="710"/>
      <c r="AN346" s="710"/>
      <c r="AO346" s="710"/>
      <c r="AP346" s="710"/>
      <c r="AQ346" s="710"/>
      <c r="AR346" s="710"/>
      <c r="AS346" s="710"/>
      <c r="AT346" s="710"/>
      <c r="AU346" s="1829"/>
      <c r="AV346" s="1835"/>
      <c r="AW346" s="1836"/>
      <c r="AX346" s="1836"/>
      <c r="AY346" s="1836"/>
      <c r="AZ346" s="1825"/>
      <c r="BA346" s="1825"/>
    </row>
    <row r="347" spans="2:53" s="188" customFormat="1" ht="24.95" customHeight="1">
      <c r="B347" s="281"/>
      <c r="C347" s="168"/>
      <c r="D347" s="168"/>
      <c r="E347" s="168"/>
      <c r="F347" s="227"/>
      <c r="G347" s="660"/>
      <c r="H347" s="253"/>
      <c r="I347" s="212"/>
      <c r="N347" s="212"/>
      <c r="O347" s="1557"/>
      <c r="P347" s="1558"/>
      <c r="Q347" s="661"/>
      <c r="R347" s="655"/>
      <c r="S347" s="655"/>
      <c r="T347" s="655"/>
      <c r="U347" s="655"/>
      <c r="V347" s="655"/>
      <c r="W347" s="655"/>
      <c r="Y347" s="1827"/>
      <c r="Z347" s="1828"/>
      <c r="AA347" s="1829"/>
      <c r="AB347" s="1829"/>
      <c r="AC347" s="1829"/>
      <c r="AD347" s="1564"/>
      <c r="AE347" s="701"/>
      <c r="AF347" s="684"/>
      <c r="AG347" s="684"/>
      <c r="AH347" s="710"/>
      <c r="AI347" s="710"/>
      <c r="AJ347" s="710"/>
      <c r="AK347" s="710"/>
      <c r="AL347" s="710"/>
      <c r="AM347" s="710"/>
      <c r="AN347" s="710"/>
      <c r="AO347" s="710"/>
      <c r="AP347" s="710"/>
      <c r="AQ347" s="710"/>
      <c r="AR347" s="710"/>
      <c r="AS347" s="710"/>
      <c r="AT347" s="710"/>
      <c r="AU347" s="1829"/>
      <c r="AV347" s="1835"/>
      <c r="AW347" s="1836"/>
      <c r="AX347" s="1836"/>
      <c r="AY347" s="1836"/>
      <c r="AZ347" s="1825"/>
      <c r="BA347" s="1825"/>
    </row>
    <row r="348" spans="2:53" s="188" customFormat="1" ht="24.95" customHeight="1">
      <c r="B348" s="281"/>
      <c r="C348" s="168"/>
      <c r="D348" s="168"/>
      <c r="E348" s="168"/>
      <c r="F348" s="227"/>
      <c r="G348" s="660"/>
      <c r="H348" s="253"/>
      <c r="I348" s="212"/>
      <c r="N348" s="212"/>
      <c r="O348" s="1557"/>
      <c r="P348" s="1558"/>
      <c r="Q348" s="661"/>
      <c r="R348" s="655"/>
      <c r="S348" s="655"/>
      <c r="T348" s="655"/>
      <c r="U348" s="655"/>
      <c r="V348" s="655"/>
      <c r="W348" s="655"/>
      <c r="Y348" s="1827"/>
      <c r="Z348" s="1828"/>
      <c r="AA348" s="1829"/>
      <c r="AB348" s="1829"/>
      <c r="AC348" s="1829"/>
      <c r="AD348" s="1564"/>
      <c r="AE348" s="701"/>
      <c r="AF348" s="684"/>
      <c r="AG348" s="684"/>
      <c r="AH348" s="710"/>
      <c r="AI348" s="710"/>
      <c r="AJ348" s="710"/>
      <c r="AK348" s="710"/>
      <c r="AL348" s="710"/>
      <c r="AM348" s="710"/>
      <c r="AN348" s="710"/>
      <c r="AO348" s="710"/>
      <c r="AP348" s="710"/>
      <c r="AQ348" s="710"/>
      <c r="AR348" s="710"/>
      <c r="AS348" s="710"/>
      <c r="AT348" s="710"/>
      <c r="AU348" s="1829"/>
      <c r="AV348" s="1835"/>
      <c r="AW348" s="1836"/>
      <c r="AX348" s="1836"/>
      <c r="AY348" s="1836"/>
      <c r="AZ348" s="1825"/>
      <c r="BA348" s="1825"/>
    </row>
    <row r="349" spans="2:53" s="188" customFormat="1" ht="24.95" customHeight="1">
      <c r="B349" s="281"/>
      <c r="C349" s="168"/>
      <c r="D349" s="168"/>
      <c r="E349" s="168"/>
      <c r="F349" s="227"/>
      <c r="G349" s="660"/>
      <c r="H349" s="253"/>
      <c r="I349" s="212"/>
      <c r="N349" s="212"/>
      <c r="O349" s="1557"/>
      <c r="P349" s="1558"/>
      <c r="Q349" s="661"/>
      <c r="R349" s="655"/>
      <c r="S349" s="655"/>
      <c r="T349" s="655"/>
      <c r="U349" s="655"/>
      <c r="V349" s="655"/>
      <c r="W349" s="655"/>
      <c r="Y349" s="1827"/>
      <c r="Z349" s="1828"/>
      <c r="AA349" s="1829"/>
      <c r="AB349" s="1829"/>
      <c r="AC349" s="1829"/>
      <c r="AD349" s="1564"/>
      <c r="AE349" s="701"/>
      <c r="AF349" s="684"/>
      <c r="AG349" s="684"/>
      <c r="AH349" s="710"/>
      <c r="AI349" s="710"/>
      <c r="AJ349" s="710"/>
      <c r="AK349" s="710"/>
      <c r="AL349" s="710"/>
      <c r="AM349" s="710"/>
      <c r="AN349" s="710"/>
      <c r="AO349" s="710"/>
      <c r="AP349" s="710"/>
      <c r="AQ349" s="710"/>
      <c r="AR349" s="710"/>
      <c r="AS349" s="710"/>
      <c r="AT349" s="710"/>
      <c r="AU349" s="1829"/>
      <c r="AV349" s="1835"/>
      <c r="AW349" s="1836"/>
      <c r="AX349" s="1836"/>
      <c r="AY349" s="1836"/>
      <c r="AZ349" s="1825"/>
      <c r="BA349" s="1825"/>
    </row>
    <row r="350" spans="2:53" s="188" customFormat="1" ht="24.95" customHeight="1">
      <c r="B350" s="281"/>
      <c r="C350" s="168"/>
      <c r="D350" s="168"/>
      <c r="E350" s="168"/>
      <c r="F350" s="227"/>
      <c r="G350" s="660"/>
      <c r="H350" s="253"/>
      <c r="I350" s="212"/>
      <c r="N350" s="212"/>
      <c r="O350" s="1557"/>
      <c r="P350" s="1558"/>
      <c r="Q350" s="661"/>
      <c r="R350" s="655"/>
      <c r="S350" s="655"/>
      <c r="T350" s="655"/>
      <c r="U350" s="655"/>
      <c r="V350" s="655"/>
      <c r="W350" s="655"/>
      <c r="Y350" s="1827"/>
      <c r="Z350" s="1828"/>
      <c r="AA350" s="1829"/>
      <c r="AB350" s="1829"/>
      <c r="AC350" s="1829"/>
      <c r="AD350" s="1564"/>
      <c r="AE350" s="701"/>
      <c r="AF350" s="684"/>
      <c r="AG350" s="684"/>
      <c r="AH350" s="710"/>
      <c r="AI350" s="710"/>
      <c r="AJ350" s="710"/>
      <c r="AK350" s="710"/>
      <c r="AL350" s="710"/>
      <c r="AM350" s="710"/>
      <c r="AN350" s="710"/>
      <c r="AO350" s="710"/>
      <c r="AP350" s="710"/>
      <c r="AQ350" s="710"/>
      <c r="AR350" s="710"/>
      <c r="AS350" s="710"/>
      <c r="AT350" s="710"/>
      <c r="AU350" s="1829"/>
      <c r="AV350" s="1835"/>
      <c r="AW350" s="1836"/>
      <c r="AX350" s="1836"/>
      <c r="AY350" s="1836"/>
      <c r="AZ350" s="1825"/>
      <c r="BA350" s="1825"/>
    </row>
    <row r="351" spans="2:53" s="188" customFormat="1" ht="24.95" customHeight="1">
      <c r="B351" s="281"/>
      <c r="C351" s="168"/>
      <c r="D351" s="168"/>
      <c r="E351" s="168"/>
      <c r="F351" s="227"/>
      <c r="G351" s="660"/>
      <c r="H351" s="253"/>
      <c r="I351" s="212"/>
      <c r="N351" s="212"/>
      <c r="O351" s="1557"/>
      <c r="P351" s="1558"/>
      <c r="Q351" s="661"/>
      <c r="R351" s="655"/>
      <c r="S351" s="655"/>
      <c r="T351" s="655"/>
      <c r="U351" s="655"/>
      <c r="V351" s="655"/>
      <c r="W351" s="655"/>
      <c r="Y351" s="1827"/>
      <c r="Z351" s="1828"/>
      <c r="AA351" s="1829"/>
      <c r="AB351" s="1829"/>
      <c r="AC351" s="1829"/>
      <c r="AD351" s="1564"/>
      <c r="AE351" s="701"/>
      <c r="AF351" s="684"/>
      <c r="AG351" s="684"/>
      <c r="AH351" s="710"/>
      <c r="AI351" s="710"/>
      <c r="AJ351" s="710"/>
      <c r="AK351" s="710"/>
      <c r="AL351" s="710"/>
      <c r="AM351" s="710"/>
      <c r="AN351" s="710"/>
      <c r="AO351" s="710"/>
      <c r="AP351" s="710"/>
      <c r="AQ351" s="710"/>
      <c r="AR351" s="710"/>
      <c r="AS351" s="710"/>
      <c r="AT351" s="710"/>
      <c r="AU351" s="1829"/>
      <c r="AV351" s="1835"/>
      <c r="AW351" s="1836"/>
      <c r="AX351" s="1836"/>
      <c r="AY351" s="1836"/>
      <c r="AZ351" s="1825"/>
      <c r="BA351" s="1825"/>
    </row>
    <row r="352" spans="2:53" s="188" customFormat="1" ht="24.95" customHeight="1">
      <c r="B352" s="281"/>
      <c r="C352" s="168"/>
      <c r="D352" s="168"/>
      <c r="E352" s="168"/>
      <c r="F352" s="227"/>
      <c r="G352" s="660"/>
      <c r="H352" s="253"/>
      <c r="I352" s="212"/>
      <c r="N352" s="212"/>
      <c r="O352" s="1557"/>
      <c r="P352" s="1558"/>
      <c r="Q352" s="661"/>
      <c r="R352" s="655"/>
      <c r="S352" s="655"/>
      <c r="T352" s="655"/>
      <c r="U352" s="655"/>
      <c r="V352" s="655"/>
      <c r="W352" s="655"/>
      <c r="Y352" s="1827"/>
      <c r="Z352" s="1828"/>
      <c r="AA352" s="1829"/>
      <c r="AB352" s="1829"/>
      <c r="AC352" s="1829"/>
      <c r="AD352" s="1564"/>
      <c r="AE352" s="701"/>
      <c r="AF352" s="684"/>
      <c r="AG352" s="684"/>
      <c r="AH352" s="710"/>
      <c r="AI352" s="710"/>
      <c r="AJ352" s="710"/>
      <c r="AK352" s="710"/>
      <c r="AL352" s="710"/>
      <c r="AM352" s="710"/>
      <c r="AN352" s="710"/>
      <c r="AO352" s="710"/>
      <c r="AP352" s="710"/>
      <c r="AQ352" s="710"/>
      <c r="AR352" s="710"/>
      <c r="AS352" s="710"/>
      <c r="AT352" s="710"/>
      <c r="AU352" s="1829"/>
      <c r="AV352" s="1835"/>
      <c r="AW352" s="1836"/>
      <c r="AX352" s="1836"/>
      <c r="AY352" s="1836"/>
      <c r="AZ352" s="1825"/>
      <c r="BA352" s="1825"/>
    </row>
    <row r="353" spans="2:53" s="188" customFormat="1" ht="24.95" customHeight="1">
      <c r="B353" s="281"/>
      <c r="C353" s="168"/>
      <c r="D353" s="168"/>
      <c r="E353" s="168"/>
      <c r="F353" s="227"/>
      <c r="G353" s="660"/>
      <c r="H353" s="253"/>
      <c r="I353" s="212"/>
      <c r="N353" s="212"/>
      <c r="O353" s="1557"/>
      <c r="P353" s="1558"/>
      <c r="Q353" s="661"/>
      <c r="R353" s="655"/>
      <c r="S353" s="655"/>
      <c r="T353" s="655"/>
      <c r="U353" s="655"/>
      <c r="V353" s="655"/>
      <c r="W353" s="655"/>
      <c r="Y353" s="1827"/>
      <c r="Z353" s="1828"/>
      <c r="AA353" s="1829"/>
      <c r="AB353" s="1829"/>
      <c r="AC353" s="1829"/>
      <c r="AD353" s="1564"/>
      <c r="AE353" s="701"/>
      <c r="AF353" s="684"/>
      <c r="AG353" s="684"/>
      <c r="AH353" s="710"/>
      <c r="AI353" s="710"/>
      <c r="AJ353" s="710"/>
      <c r="AK353" s="710"/>
      <c r="AL353" s="710"/>
      <c r="AM353" s="710"/>
      <c r="AN353" s="710"/>
      <c r="AO353" s="710"/>
      <c r="AP353" s="710"/>
      <c r="AQ353" s="710"/>
      <c r="AR353" s="710"/>
      <c r="AS353" s="710"/>
      <c r="AT353" s="710"/>
      <c r="AU353" s="1829"/>
      <c r="AV353" s="1835"/>
      <c r="AW353" s="1836"/>
      <c r="AX353" s="1836"/>
      <c r="AY353" s="1836"/>
      <c r="AZ353" s="1825"/>
      <c r="BA353" s="1825"/>
    </row>
    <row r="354" spans="2:53" s="188" customFormat="1" ht="24.95" customHeight="1">
      <c r="B354" s="281"/>
      <c r="C354" s="168"/>
      <c r="D354" s="168"/>
      <c r="E354" s="168"/>
      <c r="F354" s="227"/>
      <c r="G354" s="660"/>
      <c r="H354" s="253"/>
      <c r="I354" s="212"/>
      <c r="N354" s="212"/>
      <c r="O354" s="1557"/>
      <c r="P354" s="1558"/>
      <c r="Q354" s="661"/>
      <c r="R354" s="655"/>
      <c r="S354" s="655"/>
      <c r="T354" s="655"/>
      <c r="U354" s="655"/>
      <c r="V354" s="655"/>
      <c r="W354" s="655"/>
      <c r="Y354" s="1827"/>
      <c r="Z354" s="1828"/>
      <c r="AA354" s="1829"/>
      <c r="AB354" s="1829"/>
      <c r="AC354" s="1829"/>
      <c r="AD354" s="1564"/>
      <c r="AE354" s="701"/>
      <c r="AF354" s="684"/>
      <c r="AG354" s="684"/>
      <c r="AH354" s="710"/>
      <c r="AI354" s="710"/>
      <c r="AJ354" s="710"/>
      <c r="AK354" s="710"/>
      <c r="AL354" s="710"/>
      <c r="AM354" s="710"/>
      <c r="AN354" s="710"/>
      <c r="AO354" s="710"/>
      <c r="AP354" s="710"/>
      <c r="AQ354" s="710"/>
      <c r="AR354" s="710"/>
      <c r="AS354" s="710"/>
      <c r="AT354" s="710"/>
      <c r="AU354" s="1829"/>
      <c r="AV354" s="1835"/>
      <c r="AW354" s="1836"/>
      <c r="AX354" s="1836"/>
      <c r="AY354" s="1836"/>
      <c r="AZ354" s="1825"/>
      <c r="BA354" s="1825"/>
    </row>
    <row r="355" spans="2:53" s="188" customFormat="1" ht="24.95" customHeight="1">
      <c r="B355" s="281"/>
      <c r="C355" s="168"/>
      <c r="D355" s="168"/>
      <c r="E355" s="168"/>
      <c r="F355" s="227"/>
      <c r="G355" s="660"/>
      <c r="H355" s="253"/>
      <c r="I355" s="212"/>
      <c r="N355" s="212"/>
      <c r="O355" s="1557"/>
      <c r="P355" s="1558"/>
      <c r="Q355" s="661"/>
      <c r="R355" s="655"/>
      <c r="S355" s="655"/>
      <c r="T355" s="655"/>
      <c r="U355" s="655"/>
      <c r="V355" s="655"/>
      <c r="W355" s="655"/>
      <c r="Y355" s="1827"/>
      <c r="Z355" s="1828"/>
      <c r="AA355" s="1829"/>
      <c r="AB355" s="1829"/>
      <c r="AC355" s="1829"/>
      <c r="AD355" s="1564"/>
      <c r="AE355" s="701"/>
      <c r="AF355" s="684"/>
      <c r="AG355" s="684"/>
      <c r="AH355" s="710"/>
      <c r="AI355" s="710"/>
      <c r="AJ355" s="710"/>
      <c r="AK355" s="710"/>
      <c r="AL355" s="710"/>
      <c r="AM355" s="710"/>
      <c r="AN355" s="710"/>
      <c r="AO355" s="710"/>
      <c r="AP355" s="710"/>
      <c r="AQ355" s="710"/>
      <c r="AR355" s="710"/>
      <c r="AS355" s="710"/>
      <c r="AT355" s="710"/>
      <c r="AU355" s="1829"/>
      <c r="AV355" s="1835"/>
      <c r="AW355" s="1836"/>
      <c r="AX355" s="1836"/>
      <c r="AY355" s="1836"/>
      <c r="AZ355" s="1825"/>
      <c r="BA355" s="1825"/>
    </row>
    <row r="356" spans="2:53" s="188" customFormat="1" ht="24.95" customHeight="1">
      <c r="B356" s="281"/>
      <c r="C356" s="168"/>
      <c r="D356" s="168"/>
      <c r="E356" s="168"/>
      <c r="F356" s="227"/>
      <c r="G356" s="660"/>
      <c r="H356" s="253"/>
      <c r="I356" s="212"/>
      <c r="N356" s="212"/>
      <c r="O356" s="1557"/>
      <c r="P356" s="1558"/>
      <c r="Q356" s="661"/>
      <c r="R356" s="655"/>
      <c r="S356" s="655"/>
      <c r="T356" s="655"/>
      <c r="U356" s="655"/>
      <c r="V356" s="655"/>
      <c r="W356" s="655"/>
      <c r="Y356" s="1827"/>
      <c r="Z356" s="1828"/>
      <c r="AA356" s="1829"/>
      <c r="AB356" s="1829"/>
      <c r="AC356" s="1829"/>
      <c r="AD356" s="1564"/>
      <c r="AE356" s="701"/>
      <c r="AF356" s="684"/>
      <c r="AG356" s="684"/>
      <c r="AH356" s="710"/>
      <c r="AI356" s="710"/>
      <c r="AJ356" s="710"/>
      <c r="AK356" s="710"/>
      <c r="AL356" s="710"/>
      <c r="AM356" s="710"/>
      <c r="AN356" s="710"/>
      <c r="AO356" s="710"/>
      <c r="AP356" s="710"/>
      <c r="AQ356" s="710"/>
      <c r="AR356" s="710"/>
      <c r="AS356" s="710"/>
      <c r="AT356" s="710"/>
      <c r="AU356" s="1829"/>
      <c r="AV356" s="1835"/>
      <c r="AW356" s="1836"/>
      <c r="AX356" s="1836"/>
      <c r="AY356" s="1836"/>
      <c r="AZ356" s="1825"/>
      <c r="BA356" s="1825"/>
    </row>
    <row r="357" spans="2:53" s="188" customFormat="1" ht="24.95" customHeight="1">
      <c r="B357" s="281"/>
      <c r="C357" s="168"/>
      <c r="D357" s="168"/>
      <c r="E357" s="168"/>
      <c r="F357" s="227"/>
      <c r="G357" s="660"/>
      <c r="H357" s="253"/>
      <c r="I357" s="212"/>
      <c r="N357" s="212"/>
      <c r="O357" s="1557"/>
      <c r="P357" s="1558"/>
      <c r="Q357" s="661"/>
      <c r="R357" s="655"/>
      <c r="S357" s="655"/>
      <c r="T357" s="655"/>
      <c r="U357" s="655"/>
      <c r="V357" s="655"/>
      <c r="W357" s="655"/>
      <c r="Y357" s="1827"/>
      <c r="Z357" s="1828"/>
      <c r="AA357" s="1829"/>
      <c r="AB357" s="1829"/>
      <c r="AC357" s="1829"/>
      <c r="AD357" s="1564"/>
      <c r="AE357" s="701"/>
      <c r="AF357" s="684"/>
      <c r="AG357" s="684"/>
      <c r="AH357" s="710"/>
      <c r="AI357" s="710"/>
      <c r="AJ357" s="710"/>
      <c r="AK357" s="710"/>
      <c r="AL357" s="710"/>
      <c r="AM357" s="710"/>
      <c r="AN357" s="710"/>
      <c r="AO357" s="710"/>
      <c r="AP357" s="710"/>
      <c r="AQ357" s="710"/>
      <c r="AR357" s="710"/>
      <c r="AS357" s="710"/>
      <c r="AT357" s="710"/>
      <c r="AU357" s="1829"/>
      <c r="AV357" s="1835"/>
      <c r="AW357" s="1836"/>
      <c r="AX357" s="1836"/>
      <c r="AY357" s="1836"/>
      <c r="AZ357" s="1825"/>
      <c r="BA357" s="1825"/>
    </row>
    <row r="358" spans="2:53" s="188" customFormat="1" ht="24.95" customHeight="1">
      <c r="B358" s="281"/>
      <c r="C358" s="168"/>
      <c r="D358" s="168"/>
      <c r="E358" s="168"/>
      <c r="F358" s="227"/>
      <c r="G358" s="660"/>
      <c r="H358" s="253"/>
      <c r="I358" s="212"/>
      <c r="N358" s="212"/>
      <c r="O358" s="1557"/>
      <c r="P358" s="1558"/>
      <c r="Q358" s="661"/>
      <c r="R358" s="655"/>
      <c r="S358" s="655"/>
      <c r="T358" s="655"/>
      <c r="U358" s="655"/>
      <c r="V358" s="655"/>
      <c r="W358" s="655"/>
      <c r="Y358" s="1827"/>
      <c r="Z358" s="1828"/>
      <c r="AA358" s="1829"/>
      <c r="AB358" s="1829"/>
      <c r="AC358" s="1829"/>
      <c r="AD358" s="1564"/>
      <c r="AE358" s="701"/>
      <c r="AF358" s="684"/>
      <c r="AG358" s="684"/>
      <c r="AH358" s="710"/>
      <c r="AI358" s="710"/>
      <c r="AJ358" s="710"/>
      <c r="AK358" s="710"/>
      <c r="AL358" s="710"/>
      <c r="AM358" s="710"/>
      <c r="AN358" s="710"/>
      <c r="AO358" s="710"/>
      <c r="AP358" s="710"/>
      <c r="AQ358" s="710"/>
      <c r="AR358" s="710"/>
      <c r="AS358" s="710"/>
      <c r="AT358" s="710"/>
      <c r="AU358" s="1829"/>
      <c r="AV358" s="1835"/>
      <c r="AW358" s="1836"/>
      <c r="AX358" s="1836"/>
      <c r="AY358" s="1836"/>
      <c r="AZ358" s="1825"/>
      <c r="BA358" s="1825"/>
    </row>
    <row r="359" spans="2:53" s="188" customFormat="1" ht="24.95" customHeight="1">
      <c r="B359" s="281"/>
      <c r="C359" s="168"/>
      <c r="D359" s="168"/>
      <c r="E359" s="168"/>
      <c r="F359" s="227"/>
      <c r="G359" s="660"/>
      <c r="H359" s="253"/>
      <c r="I359" s="212"/>
      <c r="N359" s="212"/>
      <c r="O359" s="1557"/>
      <c r="P359" s="1558"/>
      <c r="Q359" s="661"/>
      <c r="R359" s="655"/>
      <c r="S359" s="655"/>
      <c r="T359" s="655"/>
      <c r="U359" s="655"/>
      <c r="V359" s="655"/>
      <c r="W359" s="655"/>
      <c r="Y359" s="1827"/>
      <c r="Z359" s="1828"/>
      <c r="AA359" s="1829"/>
      <c r="AB359" s="1829"/>
      <c r="AC359" s="1829"/>
      <c r="AD359" s="1564"/>
      <c r="AE359" s="701"/>
      <c r="AF359" s="684"/>
      <c r="AG359" s="684"/>
      <c r="AH359" s="710"/>
      <c r="AI359" s="710"/>
      <c r="AJ359" s="710"/>
      <c r="AK359" s="710"/>
      <c r="AL359" s="710"/>
      <c r="AM359" s="710"/>
      <c r="AN359" s="710"/>
      <c r="AO359" s="710"/>
      <c r="AP359" s="710"/>
      <c r="AQ359" s="710"/>
      <c r="AR359" s="710"/>
      <c r="AS359" s="710"/>
      <c r="AT359" s="710"/>
      <c r="AU359" s="1829"/>
      <c r="AV359" s="1835"/>
      <c r="AW359" s="1836"/>
      <c r="AX359" s="1836"/>
      <c r="AY359" s="1836"/>
      <c r="AZ359" s="1825"/>
      <c r="BA359" s="1825"/>
    </row>
    <row r="360" spans="2:53" s="188" customFormat="1" ht="24.95" customHeight="1">
      <c r="B360" s="281"/>
      <c r="C360" s="168"/>
      <c r="D360" s="168"/>
      <c r="E360" s="168"/>
      <c r="F360" s="227"/>
      <c r="G360" s="660"/>
      <c r="H360" s="253"/>
      <c r="I360" s="212"/>
      <c r="N360" s="212"/>
      <c r="O360" s="1557"/>
      <c r="P360" s="1558"/>
      <c r="Q360" s="661"/>
      <c r="R360" s="655"/>
      <c r="S360" s="655"/>
      <c r="T360" s="655"/>
      <c r="U360" s="655"/>
      <c r="V360" s="655"/>
      <c r="W360" s="655"/>
      <c r="Y360" s="1827"/>
      <c r="Z360" s="1828"/>
      <c r="AA360" s="1829"/>
      <c r="AB360" s="1829"/>
      <c r="AC360" s="1829"/>
      <c r="AD360" s="1564"/>
      <c r="AE360" s="701"/>
      <c r="AF360" s="684"/>
      <c r="AG360" s="684"/>
      <c r="AH360" s="710"/>
      <c r="AI360" s="710"/>
      <c r="AJ360" s="710"/>
      <c r="AK360" s="710"/>
      <c r="AL360" s="710"/>
      <c r="AM360" s="710"/>
      <c r="AN360" s="710"/>
      <c r="AO360" s="710"/>
      <c r="AP360" s="710"/>
      <c r="AQ360" s="710"/>
      <c r="AR360" s="710"/>
      <c r="AS360" s="710"/>
      <c r="AT360" s="710"/>
      <c r="AU360" s="1829"/>
      <c r="AV360" s="1835"/>
      <c r="AW360" s="1836"/>
      <c r="AX360" s="1836"/>
      <c r="AY360" s="1836"/>
      <c r="AZ360" s="1825"/>
      <c r="BA360" s="1825"/>
    </row>
    <row r="361" spans="2:53" s="188" customFormat="1" ht="24.95" customHeight="1">
      <c r="B361" s="281"/>
      <c r="C361" s="168"/>
      <c r="D361" s="168"/>
      <c r="E361" s="168"/>
      <c r="F361" s="227"/>
      <c r="G361" s="660"/>
      <c r="H361" s="253"/>
      <c r="I361" s="212"/>
      <c r="N361" s="212"/>
      <c r="O361" s="1557"/>
      <c r="P361" s="1558"/>
      <c r="Q361" s="661"/>
      <c r="R361" s="655"/>
      <c r="S361" s="655"/>
      <c r="T361" s="655"/>
      <c r="U361" s="655"/>
      <c r="V361" s="655"/>
      <c r="W361" s="655"/>
      <c r="Y361" s="1827"/>
      <c r="Z361" s="1828"/>
      <c r="AA361" s="1829"/>
      <c r="AB361" s="1829"/>
      <c r="AC361" s="1829"/>
      <c r="AD361" s="1564"/>
      <c r="AE361" s="701"/>
      <c r="AF361" s="684"/>
      <c r="AG361" s="684"/>
      <c r="AH361" s="710"/>
      <c r="AI361" s="710"/>
      <c r="AJ361" s="710"/>
      <c r="AK361" s="710"/>
      <c r="AL361" s="710"/>
      <c r="AM361" s="710"/>
      <c r="AN361" s="710"/>
      <c r="AO361" s="710"/>
      <c r="AP361" s="710"/>
      <c r="AQ361" s="710"/>
      <c r="AR361" s="710"/>
      <c r="AS361" s="710"/>
      <c r="AT361" s="710"/>
      <c r="AU361" s="1829"/>
      <c r="AV361" s="1835"/>
      <c r="AW361" s="1836"/>
      <c r="AX361" s="1836"/>
      <c r="AY361" s="1836"/>
      <c r="AZ361" s="1825"/>
      <c r="BA361" s="1825"/>
    </row>
    <row r="362" spans="2:53" s="188" customFormat="1" ht="24.95" customHeight="1">
      <c r="B362" s="281"/>
      <c r="C362" s="168"/>
      <c r="D362" s="168"/>
      <c r="E362" s="168"/>
      <c r="F362" s="227"/>
      <c r="G362" s="660"/>
      <c r="H362" s="253"/>
      <c r="I362" s="212"/>
      <c r="N362" s="212"/>
      <c r="O362" s="1557"/>
      <c r="P362" s="1558"/>
      <c r="Q362" s="661"/>
      <c r="R362" s="655"/>
      <c r="S362" s="655"/>
      <c r="T362" s="655"/>
      <c r="U362" s="655"/>
      <c r="V362" s="655"/>
      <c r="W362" s="655"/>
      <c r="Y362" s="1827"/>
      <c r="Z362" s="1828"/>
      <c r="AA362" s="1829"/>
      <c r="AB362" s="1829"/>
      <c r="AC362" s="1829"/>
      <c r="AD362" s="1564"/>
      <c r="AE362" s="701"/>
      <c r="AF362" s="684"/>
      <c r="AG362" s="684"/>
      <c r="AH362" s="710"/>
      <c r="AI362" s="710"/>
      <c r="AJ362" s="710"/>
      <c r="AK362" s="710"/>
      <c r="AL362" s="710"/>
      <c r="AM362" s="710"/>
      <c r="AN362" s="710"/>
      <c r="AO362" s="710"/>
      <c r="AP362" s="710"/>
      <c r="AQ362" s="710"/>
      <c r="AR362" s="710"/>
      <c r="AS362" s="710"/>
      <c r="AT362" s="710"/>
      <c r="AU362" s="1829"/>
      <c r="AV362" s="1835"/>
      <c r="AW362" s="1836"/>
      <c r="AX362" s="1836"/>
      <c r="AY362" s="1836"/>
      <c r="AZ362" s="1825"/>
      <c r="BA362" s="1825"/>
    </row>
    <row r="363" spans="2:53" s="188" customFormat="1" ht="24.95" customHeight="1">
      <c r="B363" s="281"/>
      <c r="C363" s="168"/>
      <c r="D363" s="168"/>
      <c r="E363" s="168"/>
      <c r="F363" s="227"/>
      <c r="G363" s="660"/>
      <c r="H363" s="253"/>
      <c r="I363" s="212"/>
      <c r="N363" s="212"/>
      <c r="O363" s="1557"/>
      <c r="P363" s="1558"/>
      <c r="Q363" s="661"/>
      <c r="R363" s="655"/>
      <c r="S363" s="655"/>
      <c r="T363" s="655"/>
      <c r="U363" s="655"/>
      <c r="V363" s="655"/>
      <c r="W363" s="655"/>
      <c r="Y363" s="1827"/>
      <c r="Z363" s="1828"/>
      <c r="AA363" s="1829"/>
      <c r="AB363" s="1829"/>
      <c r="AC363" s="1829"/>
      <c r="AD363" s="1564"/>
      <c r="AE363" s="701"/>
      <c r="AF363" s="684"/>
      <c r="AG363" s="684"/>
      <c r="AH363" s="710"/>
      <c r="AI363" s="710"/>
      <c r="AJ363" s="710"/>
      <c r="AK363" s="710"/>
      <c r="AL363" s="710"/>
      <c r="AM363" s="710"/>
      <c r="AN363" s="710"/>
      <c r="AO363" s="710"/>
      <c r="AP363" s="710"/>
      <c r="AQ363" s="710"/>
      <c r="AR363" s="710"/>
      <c r="AS363" s="710"/>
      <c r="AT363" s="710"/>
      <c r="AU363" s="1829"/>
      <c r="AV363" s="1835"/>
      <c r="AW363" s="1836"/>
      <c r="AX363" s="1836"/>
      <c r="AY363" s="1836"/>
      <c r="AZ363" s="1825"/>
      <c r="BA363" s="1825"/>
    </row>
    <row r="364" spans="2:53" s="188" customFormat="1" ht="24.95" customHeight="1">
      <c r="B364" s="281"/>
      <c r="C364" s="168"/>
      <c r="D364" s="168"/>
      <c r="E364" s="168"/>
      <c r="F364" s="227"/>
      <c r="G364" s="660"/>
      <c r="H364" s="253"/>
      <c r="I364" s="212"/>
      <c r="N364" s="212"/>
      <c r="O364" s="1557"/>
      <c r="P364" s="1558"/>
      <c r="Q364" s="661"/>
      <c r="R364" s="655"/>
      <c r="S364" s="655"/>
      <c r="T364" s="655"/>
      <c r="U364" s="655"/>
      <c r="V364" s="655"/>
      <c r="W364" s="655"/>
      <c r="Y364" s="1827"/>
      <c r="Z364" s="1828"/>
      <c r="AA364" s="1829"/>
      <c r="AB364" s="1829"/>
      <c r="AC364" s="1829"/>
      <c r="AD364" s="1564"/>
      <c r="AE364" s="701"/>
      <c r="AF364" s="684"/>
      <c r="AG364" s="684"/>
      <c r="AH364" s="710"/>
      <c r="AI364" s="710"/>
      <c r="AJ364" s="710"/>
      <c r="AK364" s="710"/>
      <c r="AL364" s="710"/>
      <c r="AM364" s="710"/>
      <c r="AN364" s="710"/>
      <c r="AO364" s="710"/>
      <c r="AP364" s="710"/>
      <c r="AQ364" s="710"/>
      <c r="AR364" s="710"/>
      <c r="AS364" s="710"/>
      <c r="AT364" s="710"/>
      <c r="AU364" s="1829"/>
      <c r="AV364" s="1835"/>
      <c r="AW364" s="1836"/>
      <c r="AX364" s="1836"/>
      <c r="AY364" s="1836"/>
      <c r="AZ364" s="1825"/>
      <c r="BA364" s="1825"/>
    </row>
    <row r="365" spans="2:53" s="188" customFormat="1" ht="24.95" customHeight="1">
      <c r="B365" s="281"/>
      <c r="C365" s="168"/>
      <c r="D365" s="168"/>
      <c r="E365" s="168"/>
      <c r="F365" s="227"/>
      <c r="G365" s="660"/>
      <c r="H365" s="253"/>
      <c r="I365" s="212"/>
      <c r="N365" s="212"/>
      <c r="O365" s="1557"/>
      <c r="P365" s="1558"/>
      <c r="Q365" s="661"/>
      <c r="R365" s="655"/>
      <c r="S365" s="655"/>
      <c r="T365" s="655"/>
      <c r="U365" s="655"/>
      <c r="V365" s="655"/>
      <c r="W365" s="655"/>
      <c r="Y365" s="1827"/>
      <c r="Z365" s="1828"/>
      <c r="AA365" s="1829"/>
      <c r="AB365" s="1829"/>
      <c r="AC365" s="1829"/>
      <c r="AD365" s="1564"/>
      <c r="AE365" s="701"/>
      <c r="AF365" s="684"/>
      <c r="AG365" s="684"/>
      <c r="AH365" s="710"/>
      <c r="AI365" s="710"/>
      <c r="AJ365" s="710"/>
      <c r="AK365" s="710"/>
      <c r="AL365" s="710"/>
      <c r="AM365" s="710"/>
      <c r="AN365" s="710"/>
      <c r="AO365" s="710"/>
      <c r="AP365" s="710"/>
      <c r="AQ365" s="710"/>
      <c r="AR365" s="710"/>
      <c r="AS365" s="710"/>
      <c r="AT365" s="710"/>
      <c r="AU365" s="1829"/>
      <c r="AV365" s="1835"/>
      <c r="AW365" s="1836"/>
      <c r="AX365" s="1836"/>
      <c r="AY365" s="1836"/>
      <c r="AZ365" s="1825"/>
      <c r="BA365" s="1825"/>
    </row>
    <row r="366" spans="2:53" s="188" customFormat="1" ht="24.95" customHeight="1">
      <c r="B366" s="281"/>
      <c r="C366" s="168"/>
      <c r="D366" s="168"/>
      <c r="E366" s="168"/>
      <c r="F366" s="227"/>
      <c r="G366" s="660"/>
      <c r="H366" s="253"/>
      <c r="I366" s="212"/>
      <c r="N366" s="212"/>
      <c r="O366" s="1557"/>
      <c r="P366" s="1558"/>
      <c r="Q366" s="661"/>
      <c r="R366" s="655"/>
      <c r="S366" s="655"/>
      <c r="T366" s="655"/>
      <c r="U366" s="655"/>
      <c r="V366" s="655"/>
      <c r="W366" s="655"/>
      <c r="Y366" s="1827"/>
      <c r="Z366" s="1828"/>
      <c r="AA366" s="1829"/>
      <c r="AB366" s="1829"/>
      <c r="AC366" s="1829"/>
      <c r="AD366" s="1564"/>
      <c r="AE366" s="701"/>
      <c r="AF366" s="684"/>
      <c r="AG366" s="684"/>
      <c r="AH366" s="710"/>
      <c r="AI366" s="710"/>
      <c r="AJ366" s="710"/>
      <c r="AK366" s="710"/>
      <c r="AL366" s="710"/>
      <c r="AM366" s="710"/>
      <c r="AN366" s="710"/>
      <c r="AO366" s="710"/>
      <c r="AP366" s="710"/>
      <c r="AQ366" s="710"/>
      <c r="AR366" s="710"/>
      <c r="AS366" s="710"/>
      <c r="AT366" s="710"/>
      <c r="AU366" s="1829"/>
      <c r="AV366" s="1835"/>
      <c r="AW366" s="1836"/>
      <c r="AX366" s="1836"/>
      <c r="AY366" s="1836"/>
      <c r="AZ366" s="1825"/>
      <c r="BA366" s="1825"/>
    </row>
    <row r="367" spans="2:53" s="188" customFormat="1" ht="24.95" customHeight="1">
      <c r="B367" s="281"/>
      <c r="C367" s="168"/>
      <c r="D367" s="168"/>
      <c r="E367" s="168"/>
      <c r="F367" s="227"/>
      <c r="G367" s="660"/>
      <c r="H367" s="253"/>
      <c r="I367" s="212"/>
      <c r="N367" s="212"/>
      <c r="O367" s="1557"/>
      <c r="P367" s="1558"/>
      <c r="Q367" s="661"/>
      <c r="R367" s="655"/>
      <c r="S367" s="655"/>
      <c r="T367" s="655"/>
      <c r="U367" s="655"/>
      <c r="V367" s="655"/>
      <c r="W367" s="655"/>
      <c r="Y367" s="1827"/>
      <c r="Z367" s="1828"/>
      <c r="AA367" s="1829"/>
      <c r="AB367" s="1829"/>
      <c r="AC367" s="1829"/>
      <c r="AD367" s="1564"/>
      <c r="AE367" s="701"/>
      <c r="AF367" s="684"/>
      <c r="AG367" s="684"/>
      <c r="AH367" s="710"/>
      <c r="AI367" s="710"/>
      <c r="AJ367" s="710"/>
      <c r="AK367" s="710"/>
      <c r="AL367" s="710"/>
      <c r="AM367" s="710"/>
      <c r="AN367" s="710"/>
      <c r="AO367" s="710"/>
      <c r="AP367" s="710"/>
      <c r="AQ367" s="710"/>
      <c r="AR367" s="710"/>
      <c r="AS367" s="710"/>
      <c r="AT367" s="710"/>
      <c r="AU367" s="1829"/>
      <c r="AV367" s="1835"/>
      <c r="AW367" s="1836"/>
      <c r="AX367" s="1836"/>
      <c r="AY367" s="1836"/>
      <c r="AZ367" s="1825"/>
      <c r="BA367" s="1825"/>
    </row>
    <row r="368" spans="2:53" s="188" customFormat="1" ht="24.95" customHeight="1">
      <c r="B368" s="281"/>
      <c r="C368" s="168"/>
      <c r="D368" s="168"/>
      <c r="E368" s="168"/>
      <c r="F368" s="227"/>
      <c r="G368" s="660"/>
      <c r="H368" s="253"/>
      <c r="I368" s="212"/>
      <c r="N368" s="212"/>
      <c r="O368" s="1557"/>
      <c r="P368" s="1558"/>
      <c r="Q368" s="661"/>
      <c r="R368" s="655"/>
      <c r="S368" s="655"/>
      <c r="T368" s="655"/>
      <c r="U368" s="655"/>
      <c r="V368" s="655"/>
      <c r="W368" s="655"/>
      <c r="Y368" s="1827"/>
      <c r="Z368" s="1828"/>
      <c r="AA368" s="1829"/>
      <c r="AB368" s="1829"/>
      <c r="AC368" s="1829"/>
      <c r="AD368" s="1564"/>
      <c r="AE368" s="701"/>
      <c r="AF368" s="684"/>
      <c r="AG368" s="684"/>
      <c r="AH368" s="710"/>
      <c r="AI368" s="710"/>
      <c r="AJ368" s="710"/>
      <c r="AK368" s="710"/>
      <c r="AL368" s="710"/>
      <c r="AM368" s="710"/>
      <c r="AN368" s="710"/>
      <c r="AO368" s="710"/>
      <c r="AP368" s="710"/>
      <c r="AQ368" s="710"/>
      <c r="AR368" s="710"/>
      <c r="AS368" s="710"/>
      <c r="AT368" s="710"/>
      <c r="AU368" s="1829"/>
      <c r="AV368" s="1835"/>
      <c r="AW368" s="1836"/>
      <c r="AX368" s="1836"/>
      <c r="AY368" s="1836"/>
      <c r="AZ368" s="1825"/>
      <c r="BA368" s="1825"/>
    </row>
    <row r="369" spans="2:53" s="188" customFormat="1" ht="24.95" customHeight="1">
      <c r="B369" s="281"/>
      <c r="C369" s="168"/>
      <c r="D369" s="168"/>
      <c r="E369" s="168"/>
      <c r="F369" s="227"/>
      <c r="G369" s="660"/>
      <c r="H369" s="253"/>
      <c r="I369" s="212"/>
      <c r="N369" s="212"/>
      <c r="O369" s="1557"/>
      <c r="P369" s="1558"/>
      <c r="Q369" s="661"/>
      <c r="R369" s="655"/>
      <c r="S369" s="655"/>
      <c r="T369" s="655"/>
      <c r="U369" s="655"/>
      <c r="V369" s="655"/>
      <c r="W369" s="655"/>
      <c r="Y369" s="1827"/>
      <c r="Z369" s="1828"/>
      <c r="AA369" s="1829"/>
      <c r="AB369" s="1829"/>
      <c r="AC369" s="1829"/>
      <c r="AD369" s="1564"/>
      <c r="AE369" s="701"/>
      <c r="AF369" s="684"/>
      <c r="AG369" s="684"/>
      <c r="AH369" s="710"/>
      <c r="AI369" s="710"/>
      <c r="AJ369" s="710"/>
      <c r="AK369" s="710"/>
      <c r="AL369" s="710"/>
      <c r="AM369" s="710"/>
      <c r="AN369" s="710"/>
      <c r="AO369" s="710"/>
      <c r="AP369" s="710"/>
      <c r="AQ369" s="710"/>
      <c r="AR369" s="710"/>
      <c r="AS369" s="710"/>
      <c r="AT369" s="710"/>
      <c r="AU369" s="1829"/>
      <c r="AV369" s="1835"/>
      <c r="AW369" s="1836"/>
      <c r="AX369" s="1836"/>
      <c r="AY369" s="1836"/>
      <c r="AZ369" s="1825"/>
      <c r="BA369" s="1825"/>
    </row>
    <row r="370" spans="2:53" s="188" customFormat="1" ht="24.95" customHeight="1">
      <c r="B370" s="281"/>
      <c r="C370" s="168"/>
      <c r="D370" s="168"/>
      <c r="E370" s="168"/>
      <c r="F370" s="227"/>
      <c r="G370" s="660"/>
      <c r="H370" s="253"/>
      <c r="I370" s="212"/>
      <c r="N370" s="212"/>
      <c r="O370" s="1557"/>
      <c r="P370" s="1558"/>
      <c r="Q370" s="661"/>
      <c r="R370" s="655"/>
      <c r="S370" s="655"/>
      <c r="T370" s="655"/>
      <c r="U370" s="655"/>
      <c r="V370" s="655"/>
      <c r="W370" s="655"/>
      <c r="Y370" s="1827"/>
      <c r="Z370" s="1828"/>
      <c r="AA370" s="1829"/>
      <c r="AB370" s="1829"/>
      <c r="AC370" s="1829"/>
      <c r="AD370" s="1564"/>
      <c r="AE370" s="701"/>
      <c r="AF370" s="684"/>
      <c r="AG370" s="684"/>
      <c r="AH370" s="710"/>
      <c r="AI370" s="710"/>
      <c r="AJ370" s="710"/>
      <c r="AK370" s="710"/>
      <c r="AL370" s="710"/>
      <c r="AM370" s="710"/>
      <c r="AN370" s="710"/>
      <c r="AO370" s="710"/>
      <c r="AP370" s="710"/>
      <c r="AQ370" s="710"/>
      <c r="AR370" s="710"/>
      <c r="AS370" s="710"/>
      <c r="AT370" s="710"/>
      <c r="AU370" s="1829"/>
      <c r="AV370" s="1835"/>
      <c r="AW370" s="1836"/>
      <c r="AX370" s="1836"/>
      <c r="AY370" s="1836"/>
      <c r="AZ370" s="1825"/>
      <c r="BA370" s="1825"/>
    </row>
    <row r="371" spans="2:53" s="188" customFormat="1" ht="24.95" customHeight="1">
      <c r="B371" s="281"/>
      <c r="C371" s="168"/>
      <c r="D371" s="168"/>
      <c r="E371" s="168"/>
      <c r="F371" s="227"/>
      <c r="G371" s="660"/>
      <c r="H371" s="253"/>
      <c r="I371" s="212"/>
      <c r="N371" s="212"/>
      <c r="O371" s="1557"/>
      <c r="P371" s="1558"/>
      <c r="Q371" s="661"/>
      <c r="R371" s="655"/>
      <c r="S371" s="655"/>
      <c r="T371" s="655"/>
      <c r="U371" s="655"/>
      <c r="V371" s="655"/>
      <c r="W371" s="655"/>
      <c r="Y371" s="1827"/>
      <c r="Z371" s="1828"/>
      <c r="AA371" s="1829"/>
      <c r="AB371" s="1829"/>
      <c r="AC371" s="1829"/>
      <c r="AD371" s="1564"/>
      <c r="AE371" s="701"/>
      <c r="AF371" s="684"/>
      <c r="AG371" s="684"/>
      <c r="AH371" s="710"/>
      <c r="AI371" s="710"/>
      <c r="AJ371" s="710"/>
      <c r="AK371" s="710"/>
      <c r="AL371" s="710"/>
      <c r="AM371" s="710"/>
      <c r="AN371" s="710"/>
      <c r="AO371" s="710"/>
      <c r="AP371" s="710"/>
      <c r="AQ371" s="710"/>
      <c r="AR371" s="710"/>
      <c r="AS371" s="710"/>
      <c r="AT371" s="710"/>
      <c r="AU371" s="1829"/>
      <c r="AV371" s="1835"/>
      <c r="AW371" s="1836"/>
      <c r="AX371" s="1836"/>
      <c r="AY371" s="1836"/>
      <c r="AZ371" s="1825"/>
      <c r="BA371" s="1825"/>
    </row>
    <row r="372" spans="2:53" s="188" customFormat="1" ht="24.95" customHeight="1">
      <c r="B372" s="281"/>
      <c r="C372" s="168"/>
      <c r="D372" s="168"/>
      <c r="E372" s="168"/>
      <c r="F372" s="227"/>
      <c r="G372" s="660"/>
      <c r="H372" s="253"/>
      <c r="I372" s="212"/>
      <c r="N372" s="212"/>
      <c r="O372" s="1557"/>
      <c r="P372" s="1558"/>
      <c r="Q372" s="661"/>
      <c r="R372" s="655"/>
      <c r="S372" s="655"/>
      <c r="T372" s="655"/>
      <c r="U372" s="655"/>
      <c r="V372" s="655"/>
      <c r="W372" s="655"/>
      <c r="Y372" s="1827"/>
      <c r="Z372" s="1828"/>
      <c r="AA372" s="1829"/>
      <c r="AB372" s="1829"/>
      <c r="AC372" s="1829"/>
      <c r="AD372" s="1564"/>
      <c r="AE372" s="701"/>
      <c r="AF372" s="684"/>
      <c r="AG372" s="684"/>
      <c r="AH372" s="710"/>
      <c r="AI372" s="710"/>
      <c r="AJ372" s="710"/>
      <c r="AK372" s="710"/>
      <c r="AL372" s="710"/>
      <c r="AM372" s="710"/>
      <c r="AN372" s="710"/>
      <c r="AO372" s="710"/>
      <c r="AP372" s="710"/>
      <c r="AQ372" s="710"/>
      <c r="AR372" s="710"/>
      <c r="AS372" s="710"/>
      <c r="AT372" s="710"/>
      <c r="AU372" s="1829"/>
      <c r="AV372" s="1835"/>
      <c r="AW372" s="1836"/>
      <c r="AX372" s="1836"/>
      <c r="AY372" s="1836"/>
      <c r="AZ372" s="1825"/>
      <c r="BA372" s="1825"/>
    </row>
    <row r="373" spans="2:53" s="188" customFormat="1" ht="24.95" customHeight="1">
      <c r="B373" s="281"/>
      <c r="C373" s="168"/>
      <c r="D373" s="168"/>
      <c r="E373" s="168"/>
      <c r="F373" s="227"/>
      <c r="G373" s="660"/>
      <c r="H373" s="253"/>
      <c r="I373" s="212"/>
      <c r="N373" s="212"/>
      <c r="O373" s="1557"/>
      <c r="P373" s="1558"/>
      <c r="Q373" s="661"/>
      <c r="R373" s="655"/>
      <c r="S373" s="655"/>
      <c r="T373" s="655"/>
      <c r="U373" s="655"/>
      <c r="V373" s="655"/>
      <c r="W373" s="655"/>
      <c r="Y373" s="1827"/>
      <c r="Z373" s="1828"/>
      <c r="AA373" s="1829"/>
      <c r="AB373" s="1829"/>
      <c r="AC373" s="1829"/>
      <c r="AD373" s="1564"/>
      <c r="AE373" s="701"/>
      <c r="AF373" s="684"/>
      <c r="AG373" s="684"/>
      <c r="AH373" s="710"/>
      <c r="AI373" s="710"/>
      <c r="AJ373" s="710"/>
      <c r="AK373" s="710"/>
      <c r="AL373" s="710"/>
      <c r="AM373" s="710"/>
      <c r="AN373" s="710"/>
      <c r="AO373" s="710"/>
      <c r="AP373" s="710"/>
      <c r="AQ373" s="710"/>
      <c r="AR373" s="710"/>
      <c r="AS373" s="710"/>
      <c r="AT373" s="710"/>
      <c r="AU373" s="1829"/>
      <c r="AV373" s="1835"/>
      <c r="AW373" s="1836"/>
      <c r="AX373" s="1836"/>
      <c r="AY373" s="1836"/>
      <c r="AZ373" s="1825"/>
      <c r="BA373" s="1825"/>
    </row>
    <row r="374" spans="2:53" s="188" customFormat="1" ht="24.95" customHeight="1">
      <c r="B374" s="281"/>
      <c r="C374" s="168"/>
      <c r="D374" s="168"/>
      <c r="E374" s="168"/>
      <c r="F374" s="227"/>
      <c r="G374" s="660"/>
      <c r="H374" s="253"/>
      <c r="I374" s="212"/>
      <c r="N374" s="212"/>
      <c r="O374" s="1557"/>
      <c r="P374" s="1558"/>
      <c r="Q374" s="661"/>
      <c r="R374" s="655"/>
      <c r="S374" s="655"/>
      <c r="T374" s="655"/>
      <c r="U374" s="655"/>
      <c r="V374" s="655"/>
      <c r="W374" s="655"/>
      <c r="Y374" s="1827"/>
      <c r="Z374" s="1828"/>
      <c r="AA374" s="1829"/>
      <c r="AB374" s="1829"/>
      <c r="AC374" s="1829"/>
      <c r="AD374" s="1564"/>
      <c r="AE374" s="701"/>
      <c r="AF374" s="684"/>
      <c r="AG374" s="684"/>
      <c r="AH374" s="710"/>
      <c r="AI374" s="710"/>
      <c r="AJ374" s="710"/>
      <c r="AK374" s="710"/>
      <c r="AL374" s="710"/>
      <c r="AM374" s="710"/>
      <c r="AN374" s="710"/>
      <c r="AO374" s="710"/>
      <c r="AP374" s="710"/>
      <c r="AQ374" s="710"/>
      <c r="AR374" s="710"/>
      <c r="AS374" s="710"/>
      <c r="AT374" s="710"/>
      <c r="AU374" s="1829"/>
      <c r="AV374" s="1835"/>
      <c r="AW374" s="1836"/>
      <c r="AX374" s="1836"/>
      <c r="AY374" s="1836"/>
      <c r="AZ374" s="1825"/>
      <c r="BA374" s="1825"/>
    </row>
    <row r="375" spans="2:53" s="188" customFormat="1" ht="24.95" customHeight="1">
      <c r="B375" s="281"/>
      <c r="C375" s="168"/>
      <c r="D375" s="168"/>
      <c r="E375" s="168"/>
      <c r="F375" s="227"/>
      <c r="G375" s="660"/>
      <c r="H375" s="253"/>
      <c r="I375" s="212"/>
      <c r="N375" s="212"/>
      <c r="O375" s="1557"/>
      <c r="P375" s="1558"/>
      <c r="Q375" s="661"/>
      <c r="R375" s="655"/>
      <c r="S375" s="655"/>
      <c r="T375" s="655"/>
      <c r="U375" s="655"/>
      <c r="V375" s="655"/>
      <c r="W375" s="655"/>
      <c r="Y375" s="1827"/>
      <c r="Z375" s="1828"/>
      <c r="AA375" s="1829"/>
      <c r="AB375" s="1829"/>
      <c r="AC375" s="1829"/>
      <c r="AD375" s="1564"/>
      <c r="AE375" s="701"/>
      <c r="AF375" s="684"/>
      <c r="AG375" s="684"/>
      <c r="AH375" s="710"/>
      <c r="AI375" s="710"/>
      <c r="AJ375" s="710"/>
      <c r="AK375" s="710"/>
      <c r="AL375" s="710"/>
      <c r="AM375" s="710"/>
      <c r="AN375" s="710"/>
      <c r="AO375" s="710"/>
      <c r="AP375" s="710"/>
      <c r="AQ375" s="710"/>
      <c r="AR375" s="710"/>
      <c r="AS375" s="710"/>
      <c r="AT375" s="710"/>
      <c r="AU375" s="1829"/>
      <c r="AV375" s="1835"/>
      <c r="AW375" s="1836"/>
      <c r="AX375" s="1836"/>
      <c r="AY375" s="1836"/>
      <c r="AZ375" s="1825"/>
      <c r="BA375" s="1825"/>
    </row>
    <row r="376" spans="2:53" s="188" customFormat="1" ht="24.95" customHeight="1">
      <c r="B376" s="281"/>
      <c r="C376" s="168"/>
      <c r="D376" s="168"/>
      <c r="E376" s="168"/>
      <c r="F376" s="227"/>
      <c r="G376" s="660"/>
      <c r="H376" s="253"/>
      <c r="I376" s="212"/>
      <c r="N376" s="212"/>
      <c r="O376" s="1557"/>
      <c r="P376" s="1558"/>
      <c r="Q376" s="661"/>
      <c r="R376" s="655"/>
      <c r="S376" s="655"/>
      <c r="T376" s="655"/>
      <c r="U376" s="655"/>
      <c r="V376" s="655"/>
      <c r="W376" s="655"/>
      <c r="Y376" s="1827"/>
      <c r="Z376" s="1828"/>
      <c r="AA376" s="1829"/>
      <c r="AB376" s="1829"/>
      <c r="AC376" s="1829"/>
      <c r="AD376" s="1564"/>
      <c r="AE376" s="701"/>
      <c r="AF376" s="684"/>
      <c r="AG376" s="684"/>
      <c r="AH376" s="710"/>
      <c r="AI376" s="710"/>
      <c r="AJ376" s="710"/>
      <c r="AK376" s="710"/>
      <c r="AL376" s="710"/>
      <c r="AM376" s="710"/>
      <c r="AN376" s="710"/>
      <c r="AO376" s="710"/>
      <c r="AP376" s="710"/>
      <c r="AQ376" s="710"/>
      <c r="AR376" s="710"/>
      <c r="AS376" s="710"/>
      <c r="AT376" s="710"/>
      <c r="AU376" s="1829"/>
      <c r="AV376" s="1835"/>
      <c r="AW376" s="1836"/>
      <c r="AX376" s="1836"/>
      <c r="AY376" s="1836"/>
      <c r="AZ376" s="1825"/>
      <c r="BA376" s="1825"/>
    </row>
    <row r="377" spans="2:53" s="188" customFormat="1" ht="24.95" customHeight="1">
      <c r="B377" s="281"/>
      <c r="C377" s="168"/>
      <c r="D377" s="168"/>
      <c r="E377" s="168"/>
      <c r="F377" s="227"/>
      <c r="G377" s="660"/>
      <c r="H377" s="253"/>
      <c r="I377" s="212"/>
      <c r="N377" s="212"/>
      <c r="O377" s="1557"/>
      <c r="P377" s="1558"/>
      <c r="Q377" s="661"/>
      <c r="R377" s="655"/>
      <c r="S377" s="655"/>
      <c r="T377" s="655"/>
      <c r="U377" s="655"/>
      <c r="V377" s="655"/>
      <c r="W377" s="655"/>
      <c r="Y377" s="1827"/>
      <c r="Z377" s="1828"/>
      <c r="AA377" s="1829"/>
      <c r="AB377" s="1829"/>
      <c r="AC377" s="1829"/>
      <c r="AD377" s="1564"/>
      <c r="AE377" s="701"/>
      <c r="AF377" s="684"/>
      <c r="AG377" s="684"/>
      <c r="AH377" s="710"/>
      <c r="AI377" s="710"/>
      <c r="AJ377" s="710"/>
      <c r="AK377" s="710"/>
      <c r="AL377" s="710"/>
      <c r="AM377" s="710"/>
      <c r="AN377" s="710"/>
      <c r="AO377" s="710"/>
      <c r="AP377" s="710"/>
      <c r="AQ377" s="710"/>
      <c r="AR377" s="710"/>
      <c r="AS377" s="710"/>
      <c r="AT377" s="710"/>
      <c r="AU377" s="1829"/>
      <c r="AV377" s="1835"/>
      <c r="AW377" s="1836"/>
      <c r="AX377" s="1836"/>
      <c r="AY377" s="1836"/>
      <c r="AZ377" s="1825"/>
      <c r="BA377" s="1825"/>
    </row>
    <row r="378" spans="2:53" s="188" customFormat="1" ht="24.95" customHeight="1">
      <c r="B378" s="281"/>
      <c r="C378" s="168"/>
      <c r="D378" s="168"/>
      <c r="E378" s="168"/>
      <c r="F378" s="227"/>
      <c r="G378" s="660"/>
      <c r="H378" s="253"/>
      <c r="I378" s="212"/>
      <c r="N378" s="212"/>
      <c r="O378" s="1557"/>
      <c r="P378" s="1558"/>
      <c r="Q378" s="661"/>
      <c r="R378" s="655"/>
      <c r="S378" s="655"/>
      <c r="T378" s="655"/>
      <c r="U378" s="655"/>
      <c r="V378" s="655"/>
      <c r="W378" s="655"/>
      <c r="Y378" s="1827"/>
      <c r="Z378" s="1828"/>
      <c r="AA378" s="1829"/>
      <c r="AB378" s="1829"/>
      <c r="AC378" s="1829"/>
      <c r="AD378" s="1564"/>
      <c r="AE378" s="701"/>
      <c r="AF378" s="684"/>
      <c r="AG378" s="684"/>
      <c r="AH378" s="710"/>
      <c r="AI378" s="710"/>
      <c r="AJ378" s="710"/>
      <c r="AK378" s="710"/>
      <c r="AL378" s="710"/>
      <c r="AM378" s="710"/>
      <c r="AN378" s="710"/>
      <c r="AO378" s="710"/>
      <c r="AP378" s="710"/>
      <c r="AQ378" s="710"/>
      <c r="AR378" s="710"/>
      <c r="AS378" s="710"/>
      <c r="AT378" s="710"/>
      <c r="AU378" s="1829"/>
      <c r="AV378" s="1835"/>
      <c r="AW378" s="1836"/>
      <c r="AX378" s="1836"/>
      <c r="AY378" s="1836"/>
      <c r="AZ378" s="1825"/>
      <c r="BA378" s="1825"/>
    </row>
    <row r="379" spans="2:53" s="188" customFormat="1" ht="24.95" customHeight="1">
      <c r="B379" s="281"/>
      <c r="C379" s="168"/>
      <c r="D379" s="168"/>
      <c r="E379" s="168"/>
      <c r="F379" s="227"/>
      <c r="G379" s="660"/>
      <c r="H379" s="253"/>
      <c r="I379" s="212"/>
      <c r="N379" s="212"/>
      <c r="O379" s="1557"/>
      <c r="P379" s="1558"/>
      <c r="Q379" s="661"/>
      <c r="R379" s="655"/>
      <c r="S379" s="655"/>
      <c r="T379" s="655"/>
      <c r="U379" s="655"/>
      <c r="V379" s="655"/>
      <c r="W379" s="655"/>
      <c r="Y379" s="1827"/>
      <c r="Z379" s="1828"/>
      <c r="AA379" s="1829"/>
      <c r="AB379" s="1829"/>
      <c r="AC379" s="1829"/>
      <c r="AD379" s="1564"/>
      <c r="AE379" s="701"/>
      <c r="AF379" s="684"/>
      <c r="AG379" s="684"/>
      <c r="AH379" s="710"/>
      <c r="AI379" s="710"/>
      <c r="AJ379" s="710"/>
      <c r="AK379" s="710"/>
      <c r="AL379" s="710"/>
      <c r="AM379" s="710"/>
      <c r="AN379" s="710"/>
      <c r="AO379" s="710"/>
      <c r="AP379" s="710"/>
      <c r="AQ379" s="710"/>
      <c r="AR379" s="710"/>
      <c r="AS379" s="710"/>
      <c r="AT379" s="710"/>
      <c r="AU379" s="1829"/>
      <c r="AV379" s="1835"/>
      <c r="AW379" s="1836"/>
      <c r="AX379" s="1836"/>
      <c r="AY379" s="1836"/>
      <c r="AZ379" s="1825"/>
      <c r="BA379" s="1825"/>
    </row>
    <row r="380" spans="2:53" s="188" customFormat="1" ht="24.95" customHeight="1">
      <c r="B380" s="281"/>
      <c r="C380" s="168"/>
      <c r="D380" s="168"/>
      <c r="E380" s="168"/>
      <c r="F380" s="227"/>
      <c r="G380" s="660"/>
      <c r="H380" s="253"/>
      <c r="I380" s="212"/>
      <c r="N380" s="212"/>
      <c r="O380" s="1557"/>
      <c r="P380" s="1558"/>
      <c r="Q380" s="661"/>
      <c r="R380" s="655"/>
      <c r="S380" s="655"/>
      <c r="T380" s="655"/>
      <c r="U380" s="655"/>
      <c r="V380" s="655"/>
      <c r="W380" s="655"/>
      <c r="Y380" s="1827"/>
      <c r="Z380" s="1828"/>
      <c r="AA380" s="1829"/>
      <c r="AB380" s="1829"/>
      <c r="AC380" s="1829"/>
      <c r="AD380" s="1564"/>
      <c r="AE380" s="701"/>
      <c r="AF380" s="684"/>
      <c r="AG380" s="684"/>
      <c r="AH380" s="710"/>
      <c r="AI380" s="710"/>
      <c r="AJ380" s="710"/>
      <c r="AK380" s="710"/>
      <c r="AL380" s="710"/>
      <c r="AM380" s="710"/>
      <c r="AN380" s="710"/>
      <c r="AO380" s="710"/>
      <c r="AP380" s="710"/>
      <c r="AQ380" s="710"/>
      <c r="AR380" s="710"/>
      <c r="AS380" s="710"/>
      <c r="AT380" s="710"/>
      <c r="AU380" s="1829"/>
      <c r="AV380" s="1835"/>
      <c r="AW380" s="1836"/>
      <c r="AX380" s="1836"/>
      <c r="AY380" s="1836"/>
      <c r="AZ380" s="1825"/>
      <c r="BA380" s="1825"/>
    </row>
    <row r="381" spans="2:53" s="188" customFormat="1" ht="24.95" customHeight="1">
      <c r="B381" s="281"/>
      <c r="C381" s="168"/>
      <c r="D381" s="168"/>
      <c r="E381" s="168"/>
      <c r="F381" s="227"/>
      <c r="G381" s="660"/>
      <c r="H381" s="253"/>
      <c r="I381" s="212"/>
      <c r="N381" s="212"/>
      <c r="O381" s="1557"/>
      <c r="P381" s="1558"/>
      <c r="Q381" s="661"/>
      <c r="R381" s="655"/>
      <c r="S381" s="655"/>
      <c r="T381" s="655"/>
      <c r="U381" s="655"/>
      <c r="V381" s="655"/>
      <c r="W381" s="655"/>
      <c r="Y381" s="1827"/>
      <c r="Z381" s="1828"/>
      <c r="AA381" s="1829"/>
      <c r="AB381" s="1829"/>
      <c r="AC381" s="1829"/>
      <c r="AD381" s="1564"/>
      <c r="AE381" s="701"/>
      <c r="AF381" s="684"/>
      <c r="AG381" s="684"/>
      <c r="AH381" s="710"/>
      <c r="AI381" s="710"/>
      <c r="AJ381" s="710"/>
      <c r="AK381" s="710"/>
      <c r="AL381" s="710"/>
      <c r="AM381" s="710"/>
      <c r="AN381" s="710"/>
      <c r="AO381" s="710"/>
      <c r="AP381" s="710"/>
      <c r="AQ381" s="710"/>
      <c r="AR381" s="710"/>
      <c r="AS381" s="710"/>
      <c r="AT381" s="710"/>
      <c r="AU381" s="1829"/>
      <c r="AV381" s="1835"/>
      <c r="AW381" s="1836"/>
      <c r="AX381" s="1836"/>
      <c r="AY381" s="1836"/>
      <c r="AZ381" s="1825"/>
      <c r="BA381" s="1825"/>
    </row>
    <row r="382" spans="2:53" s="188" customFormat="1" ht="24.95" customHeight="1">
      <c r="B382" s="281"/>
      <c r="C382" s="168"/>
      <c r="D382" s="168"/>
      <c r="E382" s="168"/>
      <c r="F382" s="227"/>
      <c r="G382" s="660"/>
      <c r="H382" s="253"/>
      <c r="I382" s="212"/>
      <c r="N382" s="212"/>
      <c r="O382" s="1557"/>
      <c r="P382" s="1558"/>
      <c r="Q382" s="661"/>
      <c r="R382" s="655"/>
      <c r="S382" s="655"/>
      <c r="T382" s="655"/>
      <c r="U382" s="655"/>
      <c r="V382" s="655"/>
      <c r="W382" s="655"/>
      <c r="Y382" s="1827"/>
      <c r="Z382" s="1828"/>
      <c r="AA382" s="1829"/>
      <c r="AB382" s="1829"/>
      <c r="AC382" s="1829"/>
      <c r="AD382" s="1564"/>
      <c r="AE382" s="701"/>
      <c r="AF382" s="684"/>
      <c r="AG382" s="684"/>
      <c r="AH382" s="710"/>
      <c r="AI382" s="710"/>
      <c r="AJ382" s="710"/>
      <c r="AK382" s="710"/>
      <c r="AL382" s="710"/>
      <c r="AM382" s="710"/>
      <c r="AN382" s="710"/>
      <c r="AO382" s="710"/>
      <c r="AP382" s="710"/>
      <c r="AQ382" s="710"/>
      <c r="AR382" s="710"/>
      <c r="AS382" s="710"/>
      <c r="AT382" s="710"/>
      <c r="AU382" s="1829"/>
      <c r="AV382" s="1835"/>
      <c r="AW382" s="1836"/>
      <c r="AX382" s="1836"/>
      <c r="AY382" s="1836"/>
      <c r="AZ382" s="1825"/>
      <c r="BA382" s="1825"/>
    </row>
    <row r="383" spans="2:53" s="188" customFormat="1" ht="24.95" customHeight="1">
      <c r="B383" s="281"/>
      <c r="C383" s="168"/>
      <c r="D383" s="168"/>
      <c r="E383" s="168"/>
      <c r="F383" s="227"/>
      <c r="G383" s="660"/>
      <c r="H383" s="253"/>
      <c r="I383" s="212"/>
      <c r="N383" s="212"/>
      <c r="O383" s="1557"/>
      <c r="P383" s="1558"/>
      <c r="Q383" s="661"/>
      <c r="R383" s="655"/>
      <c r="S383" s="655"/>
      <c r="T383" s="655"/>
      <c r="U383" s="655"/>
      <c r="V383" s="655"/>
      <c r="W383" s="655"/>
      <c r="Y383" s="1827"/>
      <c r="Z383" s="1828"/>
      <c r="AA383" s="1829"/>
      <c r="AB383" s="1829"/>
      <c r="AC383" s="1829"/>
      <c r="AD383" s="1564"/>
      <c r="AE383" s="701"/>
      <c r="AF383" s="684"/>
      <c r="AG383" s="684"/>
      <c r="AH383" s="710"/>
      <c r="AI383" s="710"/>
      <c r="AJ383" s="710"/>
      <c r="AK383" s="710"/>
      <c r="AL383" s="710"/>
      <c r="AM383" s="710"/>
      <c r="AN383" s="710"/>
      <c r="AO383" s="710"/>
      <c r="AP383" s="710"/>
      <c r="AQ383" s="710"/>
      <c r="AR383" s="710"/>
      <c r="AS383" s="710"/>
      <c r="AT383" s="710"/>
      <c r="AU383" s="1829"/>
      <c r="AV383" s="1835"/>
      <c r="AW383" s="1836"/>
      <c r="AX383" s="1836"/>
      <c r="AY383" s="1836"/>
      <c r="AZ383" s="1825"/>
      <c r="BA383" s="1825"/>
    </row>
    <row r="384" spans="2:53" s="188" customFormat="1" ht="24.95" customHeight="1">
      <c r="B384" s="281"/>
      <c r="C384" s="168"/>
      <c r="D384" s="168"/>
      <c r="E384" s="168"/>
      <c r="F384" s="227"/>
      <c r="G384" s="660"/>
      <c r="H384" s="253"/>
      <c r="I384" s="212"/>
      <c r="N384" s="212"/>
      <c r="O384" s="1557"/>
      <c r="P384" s="1558"/>
      <c r="Q384" s="661"/>
      <c r="R384" s="655"/>
      <c r="S384" s="655"/>
      <c r="T384" s="655"/>
      <c r="U384" s="655"/>
      <c r="V384" s="655"/>
      <c r="W384" s="655"/>
      <c r="Y384" s="1827"/>
      <c r="Z384" s="1828"/>
      <c r="AA384" s="1829"/>
      <c r="AB384" s="1829"/>
      <c r="AC384" s="1829"/>
      <c r="AD384" s="1564"/>
      <c r="AE384" s="701"/>
      <c r="AF384" s="684"/>
      <c r="AG384" s="684"/>
      <c r="AH384" s="710"/>
      <c r="AI384" s="710"/>
      <c r="AJ384" s="710"/>
      <c r="AK384" s="710"/>
      <c r="AL384" s="710"/>
      <c r="AM384" s="710"/>
      <c r="AN384" s="710"/>
      <c r="AO384" s="710"/>
      <c r="AP384" s="710"/>
      <c r="AQ384" s="710"/>
      <c r="AR384" s="710"/>
      <c r="AS384" s="710"/>
      <c r="AT384" s="710"/>
      <c r="AU384" s="1829"/>
      <c r="AV384" s="1835"/>
      <c r="AW384" s="1836"/>
      <c r="AX384" s="1836"/>
      <c r="AY384" s="1836"/>
      <c r="AZ384" s="1825"/>
      <c r="BA384" s="1825"/>
    </row>
    <row r="385" spans="2:53" s="188" customFormat="1" ht="24.95" customHeight="1">
      <c r="B385" s="281"/>
      <c r="C385" s="168"/>
      <c r="D385" s="168"/>
      <c r="E385" s="168"/>
      <c r="F385" s="227"/>
      <c r="G385" s="660"/>
      <c r="H385" s="253"/>
      <c r="I385" s="212"/>
      <c r="N385" s="212"/>
      <c r="O385" s="1557"/>
      <c r="P385" s="1558"/>
      <c r="Q385" s="661"/>
      <c r="R385" s="655"/>
      <c r="S385" s="655"/>
      <c r="T385" s="655"/>
      <c r="U385" s="655"/>
      <c r="V385" s="655"/>
      <c r="W385" s="655"/>
      <c r="Y385" s="1827"/>
      <c r="Z385" s="1828"/>
      <c r="AA385" s="1829"/>
      <c r="AB385" s="1829"/>
      <c r="AC385" s="1829"/>
      <c r="AD385" s="1564"/>
      <c r="AE385" s="701"/>
      <c r="AF385" s="684"/>
      <c r="AG385" s="684"/>
      <c r="AH385" s="710"/>
      <c r="AI385" s="710"/>
      <c r="AJ385" s="710"/>
      <c r="AK385" s="710"/>
      <c r="AL385" s="710"/>
      <c r="AM385" s="710"/>
      <c r="AN385" s="710"/>
      <c r="AO385" s="710"/>
      <c r="AP385" s="710"/>
      <c r="AQ385" s="710"/>
      <c r="AR385" s="710"/>
      <c r="AS385" s="710"/>
      <c r="AT385" s="710"/>
      <c r="AU385" s="1829"/>
      <c r="AV385" s="1835"/>
      <c r="AW385" s="1836"/>
      <c r="AX385" s="1836"/>
      <c r="AY385" s="1836"/>
      <c r="AZ385" s="1825"/>
      <c r="BA385" s="1825"/>
    </row>
    <row r="386" spans="2:53" s="188" customFormat="1" ht="24.95" customHeight="1">
      <c r="B386" s="281"/>
      <c r="C386" s="168"/>
      <c r="D386" s="168"/>
      <c r="E386" s="168"/>
      <c r="F386" s="227"/>
      <c r="G386" s="660"/>
      <c r="H386" s="253"/>
      <c r="I386" s="212"/>
      <c r="N386" s="212"/>
      <c r="O386" s="1557"/>
      <c r="P386" s="1558"/>
      <c r="Q386" s="661"/>
      <c r="R386" s="655"/>
      <c r="S386" s="655"/>
      <c r="T386" s="655"/>
      <c r="U386" s="655"/>
      <c r="V386" s="655"/>
      <c r="W386" s="655"/>
      <c r="Y386" s="1827"/>
      <c r="Z386" s="1828"/>
      <c r="AA386" s="1829"/>
      <c r="AB386" s="1829"/>
      <c r="AC386" s="1829"/>
      <c r="AD386" s="1564"/>
      <c r="AE386" s="701"/>
      <c r="AF386" s="684"/>
      <c r="AG386" s="684"/>
      <c r="AH386" s="710"/>
      <c r="AI386" s="710"/>
      <c r="AJ386" s="710"/>
      <c r="AK386" s="710"/>
      <c r="AL386" s="710"/>
      <c r="AM386" s="710"/>
      <c r="AN386" s="710"/>
      <c r="AO386" s="710"/>
      <c r="AP386" s="710"/>
      <c r="AQ386" s="710"/>
      <c r="AR386" s="710"/>
      <c r="AS386" s="710"/>
      <c r="AT386" s="710"/>
      <c r="AU386" s="1829"/>
      <c r="AV386" s="1835"/>
      <c r="AW386" s="1836"/>
      <c r="AX386" s="1836"/>
      <c r="AY386" s="1836"/>
      <c r="AZ386" s="1825"/>
      <c r="BA386" s="1825"/>
    </row>
    <row r="387" spans="2:53" s="188" customFormat="1" ht="24.95" customHeight="1">
      <c r="B387" s="281"/>
      <c r="C387" s="168"/>
      <c r="D387" s="168"/>
      <c r="E387" s="168"/>
      <c r="F387" s="227"/>
      <c r="G387" s="660"/>
      <c r="H387" s="253"/>
      <c r="I387" s="212"/>
      <c r="N387" s="212"/>
      <c r="O387" s="1557"/>
      <c r="P387" s="1558"/>
      <c r="Q387" s="661"/>
      <c r="R387" s="655"/>
      <c r="S387" s="655"/>
      <c r="T387" s="655"/>
      <c r="U387" s="655"/>
      <c r="V387" s="655"/>
      <c r="W387" s="655"/>
      <c r="Y387" s="1827"/>
      <c r="Z387" s="1828"/>
      <c r="AA387" s="1829"/>
      <c r="AB387" s="1829"/>
      <c r="AC387" s="1829"/>
      <c r="AD387" s="1564"/>
      <c r="AE387" s="701"/>
      <c r="AF387" s="684"/>
      <c r="AG387" s="684"/>
      <c r="AH387" s="710"/>
      <c r="AI387" s="710"/>
      <c r="AJ387" s="710"/>
      <c r="AK387" s="710"/>
      <c r="AL387" s="710"/>
      <c r="AM387" s="710"/>
      <c r="AN387" s="710"/>
      <c r="AO387" s="710"/>
      <c r="AP387" s="710"/>
      <c r="AQ387" s="710"/>
      <c r="AR387" s="710"/>
      <c r="AS387" s="710"/>
      <c r="AT387" s="710"/>
      <c r="AU387" s="1829"/>
      <c r="AV387" s="1835"/>
      <c r="AW387" s="1836"/>
      <c r="AX387" s="1836"/>
      <c r="AY387" s="1836"/>
      <c r="AZ387" s="1825"/>
      <c r="BA387" s="1825"/>
    </row>
    <row r="388" spans="2:53" s="188" customFormat="1" ht="24.95" customHeight="1">
      <c r="B388" s="281"/>
      <c r="C388" s="168"/>
      <c r="D388" s="168"/>
      <c r="E388" s="168"/>
      <c r="F388" s="227"/>
      <c r="G388" s="660"/>
      <c r="H388" s="253"/>
      <c r="I388" s="212"/>
      <c r="N388" s="212"/>
      <c r="O388" s="1557"/>
      <c r="P388" s="1558"/>
      <c r="Q388" s="661"/>
      <c r="R388" s="655"/>
      <c r="S388" s="655"/>
      <c r="T388" s="655"/>
      <c r="U388" s="655"/>
      <c r="V388" s="655"/>
      <c r="W388" s="655"/>
      <c r="Y388" s="1827"/>
      <c r="Z388" s="1828"/>
      <c r="AA388" s="1829"/>
      <c r="AB388" s="1829"/>
      <c r="AC388" s="1829"/>
      <c r="AD388" s="1564"/>
      <c r="AE388" s="701"/>
      <c r="AF388" s="684"/>
      <c r="AG388" s="684"/>
      <c r="AH388" s="710"/>
      <c r="AI388" s="710"/>
      <c r="AJ388" s="710"/>
      <c r="AK388" s="710"/>
      <c r="AL388" s="710"/>
      <c r="AM388" s="710"/>
      <c r="AN388" s="710"/>
      <c r="AO388" s="710"/>
      <c r="AP388" s="710"/>
      <c r="AQ388" s="710"/>
      <c r="AR388" s="710"/>
      <c r="AS388" s="710"/>
      <c r="AT388" s="710"/>
      <c r="AU388" s="1829"/>
      <c r="AV388" s="1835"/>
      <c r="AW388" s="1836"/>
      <c r="AX388" s="1836"/>
      <c r="AY388" s="1836"/>
      <c r="AZ388" s="1825"/>
      <c r="BA388" s="1825"/>
    </row>
    <row r="389" spans="2:53" s="188" customFormat="1" ht="24.95" customHeight="1">
      <c r="B389" s="281"/>
      <c r="C389" s="168"/>
      <c r="D389" s="168"/>
      <c r="E389" s="168"/>
      <c r="F389" s="227"/>
      <c r="G389" s="660"/>
      <c r="H389" s="253"/>
      <c r="I389" s="212"/>
      <c r="N389" s="212"/>
      <c r="O389" s="1557"/>
      <c r="P389" s="1558"/>
      <c r="Q389" s="661"/>
      <c r="R389" s="655"/>
      <c r="S389" s="655"/>
      <c r="T389" s="655"/>
      <c r="U389" s="655"/>
      <c r="V389" s="655"/>
      <c r="W389" s="655"/>
      <c r="Y389" s="1827"/>
      <c r="Z389" s="1828"/>
      <c r="AA389" s="1829"/>
      <c r="AB389" s="1829"/>
      <c r="AC389" s="1829"/>
      <c r="AD389" s="1564"/>
      <c r="AE389" s="701"/>
      <c r="AF389" s="684"/>
      <c r="AG389" s="684"/>
      <c r="AH389" s="710"/>
      <c r="AI389" s="710"/>
      <c r="AJ389" s="710"/>
      <c r="AK389" s="710"/>
      <c r="AL389" s="710"/>
      <c r="AM389" s="710"/>
      <c r="AN389" s="710"/>
      <c r="AO389" s="710"/>
      <c r="AP389" s="710"/>
      <c r="AQ389" s="710"/>
      <c r="AR389" s="710"/>
      <c r="AS389" s="710"/>
      <c r="AT389" s="710"/>
      <c r="AU389" s="1829"/>
      <c r="AV389" s="1835"/>
      <c r="AW389" s="1836"/>
      <c r="AX389" s="1836"/>
      <c r="AY389" s="1836"/>
      <c r="AZ389" s="1825"/>
      <c r="BA389" s="1825"/>
    </row>
    <row r="390" spans="2:53" s="188" customFormat="1" ht="24.95" customHeight="1">
      <c r="B390" s="281"/>
      <c r="C390" s="168"/>
      <c r="D390" s="168"/>
      <c r="E390" s="168"/>
      <c r="F390" s="227"/>
      <c r="G390" s="660"/>
      <c r="H390" s="253"/>
      <c r="I390" s="212"/>
      <c r="N390" s="212"/>
      <c r="O390" s="1557"/>
      <c r="P390" s="1558"/>
      <c r="Q390" s="661"/>
      <c r="R390" s="655"/>
      <c r="S390" s="655"/>
      <c r="T390" s="655"/>
      <c r="U390" s="655"/>
      <c r="V390" s="655"/>
      <c r="W390" s="655"/>
      <c r="Y390" s="1827"/>
      <c r="Z390" s="1828"/>
      <c r="AA390" s="1829"/>
      <c r="AB390" s="1829"/>
      <c r="AC390" s="1829"/>
      <c r="AD390" s="1564"/>
      <c r="AE390" s="701"/>
      <c r="AF390" s="684"/>
      <c r="AG390" s="684"/>
      <c r="AH390" s="710"/>
      <c r="AI390" s="710"/>
      <c r="AJ390" s="710"/>
      <c r="AK390" s="710"/>
      <c r="AL390" s="710"/>
      <c r="AM390" s="710"/>
      <c r="AN390" s="710"/>
      <c r="AO390" s="710"/>
      <c r="AP390" s="710"/>
      <c r="AQ390" s="710"/>
      <c r="AR390" s="710"/>
      <c r="AS390" s="710"/>
      <c r="AT390" s="710"/>
      <c r="AU390" s="1829"/>
      <c r="AV390" s="1835"/>
      <c r="AW390" s="1836"/>
      <c r="AX390" s="1836"/>
      <c r="AY390" s="1836"/>
      <c r="AZ390" s="1825"/>
      <c r="BA390" s="1825"/>
    </row>
    <row r="391" spans="2:53" s="188" customFormat="1" ht="24.95" customHeight="1">
      <c r="B391" s="281"/>
      <c r="C391" s="168"/>
      <c r="D391" s="168"/>
      <c r="E391" s="168"/>
      <c r="F391" s="227"/>
      <c r="G391" s="660"/>
      <c r="H391" s="253"/>
      <c r="I391" s="212"/>
      <c r="N391" s="212"/>
      <c r="O391" s="1557"/>
      <c r="P391" s="1558"/>
      <c r="Q391" s="661"/>
      <c r="R391" s="655"/>
      <c r="S391" s="655"/>
      <c r="T391" s="655"/>
      <c r="U391" s="655"/>
      <c r="V391" s="655"/>
      <c r="W391" s="655"/>
      <c r="Y391" s="1827"/>
      <c r="Z391" s="1828"/>
      <c r="AA391" s="1829"/>
      <c r="AB391" s="1829"/>
      <c r="AC391" s="1829"/>
      <c r="AD391" s="1564"/>
      <c r="AE391" s="701"/>
      <c r="AF391" s="684"/>
      <c r="AG391" s="684"/>
      <c r="AH391" s="710"/>
      <c r="AI391" s="710"/>
      <c r="AJ391" s="710"/>
      <c r="AK391" s="710"/>
      <c r="AL391" s="710"/>
      <c r="AM391" s="710"/>
      <c r="AN391" s="710"/>
      <c r="AO391" s="710"/>
      <c r="AP391" s="710"/>
      <c r="AQ391" s="710"/>
      <c r="AR391" s="710"/>
      <c r="AS391" s="710"/>
      <c r="AT391" s="710"/>
      <c r="AU391" s="1829"/>
      <c r="AV391" s="1835"/>
      <c r="AW391" s="1836"/>
      <c r="AX391" s="1836"/>
      <c r="AY391" s="1836"/>
      <c r="AZ391" s="1825"/>
      <c r="BA391" s="1825"/>
    </row>
    <row r="392" spans="2:53" s="188" customFormat="1" ht="24.95" customHeight="1">
      <c r="B392" s="281"/>
      <c r="C392" s="168"/>
      <c r="D392" s="168"/>
      <c r="E392" s="168"/>
      <c r="F392" s="227"/>
      <c r="G392" s="660"/>
      <c r="H392" s="253"/>
      <c r="I392" s="212"/>
      <c r="N392" s="212"/>
      <c r="O392" s="1557"/>
      <c r="P392" s="1558"/>
      <c r="Q392" s="661"/>
      <c r="R392" s="655"/>
      <c r="S392" s="655"/>
      <c r="T392" s="655"/>
      <c r="U392" s="655"/>
      <c r="V392" s="655"/>
      <c r="W392" s="655"/>
      <c r="Y392" s="1827"/>
      <c r="Z392" s="1828"/>
      <c r="AA392" s="1829"/>
      <c r="AB392" s="1829"/>
      <c r="AC392" s="1829"/>
      <c r="AD392" s="1564"/>
      <c r="AE392" s="701"/>
      <c r="AF392" s="684"/>
      <c r="AG392" s="684"/>
      <c r="AH392" s="710"/>
      <c r="AI392" s="710"/>
      <c r="AJ392" s="710"/>
      <c r="AK392" s="710"/>
      <c r="AL392" s="710"/>
      <c r="AM392" s="710"/>
      <c r="AN392" s="710"/>
      <c r="AO392" s="710"/>
      <c r="AP392" s="710"/>
      <c r="AQ392" s="710"/>
      <c r="AR392" s="710"/>
      <c r="AS392" s="710"/>
      <c r="AT392" s="710"/>
      <c r="AU392" s="1829"/>
      <c r="AV392" s="1835"/>
      <c r="AW392" s="1836"/>
      <c r="AX392" s="1836"/>
      <c r="AY392" s="1836"/>
      <c r="AZ392" s="1825"/>
      <c r="BA392" s="1825"/>
    </row>
    <row r="393" spans="2:53" s="188" customFormat="1" ht="24.95" customHeight="1">
      <c r="B393" s="281"/>
      <c r="C393" s="168"/>
      <c r="D393" s="168"/>
      <c r="E393" s="168"/>
      <c r="F393" s="227"/>
      <c r="G393" s="660"/>
      <c r="H393" s="253"/>
      <c r="I393" s="212"/>
      <c r="N393" s="212"/>
      <c r="O393" s="1557"/>
      <c r="P393" s="1558"/>
      <c r="Q393" s="661"/>
      <c r="R393" s="655"/>
      <c r="S393" s="655"/>
      <c r="T393" s="655"/>
      <c r="U393" s="655"/>
      <c r="V393" s="655"/>
      <c r="W393" s="655"/>
      <c r="Y393" s="1827"/>
      <c r="Z393" s="1828"/>
      <c r="AA393" s="1829"/>
      <c r="AB393" s="1829"/>
      <c r="AC393" s="1829"/>
      <c r="AD393" s="1564"/>
      <c r="AE393" s="701"/>
      <c r="AF393" s="684"/>
      <c r="AG393" s="684"/>
      <c r="AH393" s="710"/>
      <c r="AI393" s="710"/>
      <c r="AJ393" s="710"/>
      <c r="AK393" s="710"/>
      <c r="AL393" s="710"/>
      <c r="AM393" s="710"/>
      <c r="AN393" s="710"/>
      <c r="AO393" s="710"/>
      <c r="AP393" s="710"/>
      <c r="AQ393" s="710"/>
      <c r="AR393" s="710"/>
      <c r="AS393" s="710"/>
      <c r="AT393" s="710"/>
      <c r="AU393" s="1829"/>
      <c r="AV393" s="1835"/>
      <c r="AW393" s="1836"/>
      <c r="AX393" s="1836"/>
      <c r="AY393" s="1836"/>
      <c r="AZ393" s="1825"/>
      <c r="BA393" s="1825"/>
    </row>
    <row r="394" spans="2:53" s="188" customFormat="1" ht="24.95" customHeight="1">
      <c r="B394" s="281"/>
      <c r="C394" s="168"/>
      <c r="D394" s="168"/>
      <c r="E394" s="168"/>
      <c r="F394" s="227"/>
      <c r="G394" s="660"/>
      <c r="H394" s="253"/>
      <c r="I394" s="212"/>
      <c r="N394" s="212"/>
      <c r="O394" s="1557"/>
      <c r="P394" s="1558"/>
      <c r="Q394" s="661"/>
      <c r="R394" s="655"/>
      <c r="S394" s="655"/>
      <c r="T394" s="655"/>
      <c r="U394" s="655"/>
      <c r="V394" s="655"/>
      <c r="W394" s="655"/>
      <c r="Y394" s="1827"/>
      <c r="Z394" s="1828"/>
      <c r="AA394" s="1829"/>
      <c r="AB394" s="1829"/>
      <c r="AC394" s="1829"/>
      <c r="AD394" s="1564"/>
      <c r="AE394" s="701"/>
      <c r="AF394" s="684"/>
      <c r="AG394" s="684"/>
      <c r="AH394" s="710"/>
      <c r="AI394" s="710"/>
      <c r="AJ394" s="710"/>
      <c r="AK394" s="710"/>
      <c r="AL394" s="710"/>
      <c r="AM394" s="710"/>
      <c r="AN394" s="710"/>
      <c r="AO394" s="710"/>
      <c r="AP394" s="710"/>
      <c r="AQ394" s="710"/>
      <c r="AR394" s="710"/>
      <c r="AS394" s="710"/>
      <c r="AT394" s="710"/>
      <c r="AU394" s="1829"/>
      <c r="AV394" s="1835"/>
      <c r="AW394" s="1836"/>
      <c r="AX394" s="1836"/>
      <c r="AY394" s="1836"/>
      <c r="AZ394" s="1825"/>
      <c r="BA394" s="1825"/>
    </row>
    <row r="395" spans="2:53" s="188" customFormat="1" ht="24.95" customHeight="1">
      <c r="B395" s="281"/>
      <c r="C395" s="168"/>
      <c r="D395" s="168"/>
      <c r="E395" s="168"/>
      <c r="F395" s="227"/>
      <c r="G395" s="660"/>
      <c r="H395" s="253"/>
      <c r="I395" s="212"/>
      <c r="N395" s="212"/>
      <c r="O395" s="1557"/>
      <c r="P395" s="1558"/>
      <c r="Q395" s="661"/>
      <c r="R395" s="655"/>
      <c r="S395" s="655"/>
      <c r="T395" s="655"/>
      <c r="U395" s="655"/>
      <c r="V395" s="655"/>
      <c r="W395" s="655"/>
      <c r="Y395" s="1827"/>
      <c r="Z395" s="1828"/>
      <c r="AA395" s="1829"/>
      <c r="AB395" s="1829"/>
      <c r="AC395" s="1829"/>
      <c r="AD395" s="1564"/>
      <c r="AE395" s="701"/>
      <c r="AF395" s="684"/>
      <c r="AG395" s="684"/>
      <c r="AH395" s="710"/>
      <c r="AI395" s="710"/>
      <c r="AJ395" s="710"/>
      <c r="AK395" s="710"/>
      <c r="AL395" s="710"/>
      <c r="AM395" s="710"/>
      <c r="AN395" s="710"/>
      <c r="AO395" s="710"/>
      <c r="AP395" s="710"/>
      <c r="AQ395" s="710"/>
      <c r="AR395" s="710"/>
      <c r="AS395" s="710"/>
      <c r="AT395" s="710"/>
      <c r="AU395" s="1829"/>
      <c r="AV395" s="1835"/>
      <c r="AW395" s="1836"/>
      <c r="AX395" s="1836"/>
      <c r="AY395" s="1836"/>
      <c r="AZ395" s="1825"/>
      <c r="BA395" s="1825"/>
    </row>
    <row r="396" spans="2:53" s="188" customFormat="1" ht="24.95" customHeight="1">
      <c r="B396" s="281"/>
      <c r="C396" s="168"/>
      <c r="D396" s="168"/>
      <c r="E396" s="168"/>
      <c r="F396" s="227"/>
      <c r="G396" s="660"/>
      <c r="H396" s="253"/>
      <c r="I396" s="212"/>
      <c r="N396" s="212"/>
      <c r="O396" s="1557"/>
      <c r="P396" s="1558"/>
      <c r="Q396" s="661"/>
      <c r="R396" s="655"/>
      <c r="S396" s="655"/>
      <c r="T396" s="655"/>
      <c r="U396" s="655"/>
      <c r="V396" s="655"/>
      <c r="W396" s="655"/>
      <c r="Y396" s="1827"/>
      <c r="Z396" s="1828"/>
      <c r="AA396" s="1829"/>
      <c r="AB396" s="1829"/>
      <c r="AC396" s="1829"/>
      <c r="AD396" s="1564"/>
      <c r="AE396" s="701"/>
      <c r="AF396" s="684"/>
      <c r="AG396" s="684"/>
      <c r="AH396" s="710"/>
      <c r="AI396" s="710"/>
      <c r="AJ396" s="710"/>
      <c r="AK396" s="710"/>
      <c r="AL396" s="710"/>
      <c r="AM396" s="710"/>
      <c r="AN396" s="710"/>
      <c r="AO396" s="710"/>
      <c r="AP396" s="710"/>
      <c r="AQ396" s="710"/>
      <c r="AR396" s="710"/>
      <c r="AS396" s="710"/>
      <c r="AT396" s="710"/>
      <c r="AU396" s="1829"/>
      <c r="AV396" s="1835"/>
      <c r="AW396" s="1836"/>
      <c r="AX396" s="1836"/>
      <c r="AY396" s="1836"/>
      <c r="AZ396" s="1825"/>
      <c r="BA396" s="1825"/>
    </row>
    <row r="397" spans="2:53" s="188" customFormat="1" ht="24.95" customHeight="1">
      <c r="B397" s="281"/>
      <c r="C397" s="168"/>
      <c r="D397" s="168"/>
      <c r="E397" s="168"/>
      <c r="F397" s="227"/>
      <c r="G397" s="660"/>
      <c r="H397" s="253"/>
      <c r="I397" s="212"/>
      <c r="N397" s="212"/>
      <c r="O397" s="1557"/>
      <c r="P397" s="1558"/>
      <c r="Q397" s="661"/>
      <c r="R397" s="655"/>
      <c r="S397" s="655"/>
      <c r="T397" s="655"/>
      <c r="U397" s="655"/>
      <c r="V397" s="655"/>
      <c r="W397" s="655"/>
      <c r="Y397" s="1827"/>
      <c r="Z397" s="1828"/>
      <c r="AA397" s="1829"/>
      <c r="AB397" s="1829"/>
      <c r="AC397" s="1829"/>
      <c r="AD397" s="1564"/>
      <c r="AE397" s="701"/>
      <c r="AF397" s="684"/>
      <c r="AG397" s="684"/>
      <c r="AH397" s="710"/>
      <c r="AI397" s="710"/>
      <c r="AJ397" s="710"/>
      <c r="AK397" s="710"/>
      <c r="AL397" s="710"/>
      <c r="AM397" s="710"/>
      <c r="AN397" s="710"/>
      <c r="AO397" s="710"/>
      <c r="AP397" s="710"/>
      <c r="AQ397" s="710"/>
      <c r="AR397" s="710"/>
      <c r="AS397" s="710"/>
      <c r="AT397" s="710"/>
      <c r="AU397" s="1829"/>
      <c r="AV397" s="1835"/>
      <c r="AW397" s="1836"/>
      <c r="AX397" s="1836"/>
      <c r="AY397" s="1836"/>
      <c r="AZ397" s="1825"/>
      <c r="BA397" s="1825"/>
    </row>
    <row r="398" spans="2:53" s="188" customFormat="1" ht="24.95" customHeight="1">
      <c r="B398" s="281"/>
      <c r="C398" s="168"/>
      <c r="D398" s="168"/>
      <c r="E398" s="168"/>
      <c r="F398" s="227"/>
      <c r="G398" s="660"/>
      <c r="H398" s="253"/>
      <c r="I398" s="212"/>
      <c r="N398" s="212"/>
      <c r="O398" s="1557"/>
      <c r="P398" s="1558"/>
      <c r="Q398" s="661"/>
      <c r="R398" s="655"/>
      <c r="S398" s="655"/>
      <c r="T398" s="655"/>
      <c r="U398" s="655"/>
      <c r="V398" s="655"/>
      <c r="W398" s="655"/>
      <c r="Y398" s="1827"/>
      <c r="Z398" s="1828"/>
      <c r="AA398" s="1829"/>
      <c r="AB398" s="1829"/>
      <c r="AC398" s="1829"/>
      <c r="AD398" s="1564"/>
      <c r="AE398" s="701"/>
      <c r="AF398" s="684"/>
      <c r="AG398" s="684"/>
      <c r="AH398" s="710"/>
      <c r="AI398" s="710"/>
      <c r="AJ398" s="710"/>
      <c r="AK398" s="710"/>
      <c r="AL398" s="710"/>
      <c r="AM398" s="710"/>
      <c r="AN398" s="710"/>
      <c r="AO398" s="710"/>
      <c r="AP398" s="710"/>
      <c r="AQ398" s="710"/>
      <c r="AR398" s="710"/>
      <c r="AS398" s="710"/>
      <c r="AT398" s="710"/>
      <c r="AU398" s="1829"/>
      <c r="AV398" s="1835"/>
      <c r="AW398" s="1836"/>
      <c r="AX398" s="1836"/>
      <c r="AY398" s="1836"/>
      <c r="AZ398" s="1825"/>
      <c r="BA398" s="1825"/>
    </row>
    <row r="399" spans="2:53" s="188" customFormat="1" ht="24.95" customHeight="1">
      <c r="B399" s="281"/>
      <c r="C399" s="168"/>
      <c r="D399" s="168"/>
      <c r="E399" s="168"/>
      <c r="F399" s="227"/>
      <c r="G399" s="660"/>
      <c r="H399" s="253"/>
      <c r="I399" s="212"/>
      <c r="N399" s="212"/>
      <c r="O399" s="1557"/>
      <c r="P399" s="1558"/>
      <c r="Q399" s="661"/>
      <c r="R399" s="655"/>
      <c r="S399" s="655"/>
      <c r="T399" s="655"/>
      <c r="U399" s="655"/>
      <c r="V399" s="655"/>
      <c r="W399" s="655"/>
      <c r="Y399" s="1827"/>
      <c r="Z399" s="1828"/>
      <c r="AA399" s="1829"/>
      <c r="AB399" s="1829"/>
      <c r="AC399" s="1829"/>
      <c r="AD399" s="1564"/>
      <c r="AE399" s="701"/>
      <c r="AF399" s="684"/>
      <c r="AG399" s="684"/>
      <c r="AH399" s="710"/>
      <c r="AI399" s="710"/>
      <c r="AJ399" s="710"/>
      <c r="AK399" s="710"/>
      <c r="AL399" s="710"/>
      <c r="AM399" s="710"/>
      <c r="AN399" s="710"/>
      <c r="AO399" s="710"/>
      <c r="AP399" s="710"/>
      <c r="AQ399" s="710"/>
      <c r="AR399" s="710"/>
      <c r="AS399" s="710"/>
      <c r="AT399" s="710"/>
      <c r="AU399" s="1829"/>
      <c r="AV399" s="1835"/>
      <c r="AW399" s="1836"/>
      <c r="AX399" s="1836"/>
      <c r="AY399" s="1836"/>
      <c r="AZ399" s="1825"/>
      <c r="BA399" s="1825"/>
    </row>
    <row r="400" spans="2:53" s="188" customFormat="1" ht="24.95" customHeight="1">
      <c r="B400" s="281"/>
      <c r="C400" s="168"/>
      <c r="D400" s="168"/>
      <c r="E400" s="168"/>
      <c r="F400" s="227"/>
      <c r="G400" s="660"/>
      <c r="H400" s="253"/>
      <c r="I400" s="212"/>
      <c r="N400" s="212"/>
      <c r="O400" s="1557"/>
      <c r="P400" s="1558"/>
      <c r="Q400" s="661"/>
      <c r="R400" s="655"/>
      <c r="S400" s="655"/>
      <c r="T400" s="655"/>
      <c r="U400" s="655"/>
      <c r="V400" s="655"/>
      <c r="W400" s="655"/>
      <c r="Y400" s="1827"/>
      <c r="Z400" s="1828"/>
      <c r="AA400" s="1829"/>
      <c r="AB400" s="1829"/>
      <c r="AC400" s="1829"/>
      <c r="AD400" s="1564"/>
      <c r="AE400" s="701"/>
      <c r="AF400" s="684"/>
      <c r="AG400" s="684"/>
      <c r="AH400" s="710"/>
      <c r="AI400" s="710"/>
      <c r="AJ400" s="710"/>
      <c r="AK400" s="710"/>
      <c r="AL400" s="710"/>
      <c r="AM400" s="710"/>
      <c r="AN400" s="710"/>
      <c r="AO400" s="710"/>
      <c r="AP400" s="710"/>
      <c r="AQ400" s="710"/>
      <c r="AR400" s="710"/>
      <c r="AS400" s="710"/>
      <c r="AT400" s="710"/>
      <c r="AU400" s="1829"/>
      <c r="AV400" s="1835"/>
      <c r="AW400" s="1836"/>
      <c r="AX400" s="1836"/>
      <c r="AY400" s="1836"/>
      <c r="AZ400" s="1825"/>
      <c r="BA400" s="1825"/>
    </row>
    <row r="401" spans="2:53" s="188" customFormat="1" ht="24.95" customHeight="1">
      <c r="B401" s="281"/>
      <c r="C401" s="168"/>
      <c r="D401" s="168"/>
      <c r="E401" s="168"/>
      <c r="F401" s="227"/>
      <c r="G401" s="660"/>
      <c r="H401" s="253"/>
      <c r="I401" s="212"/>
      <c r="N401" s="212"/>
      <c r="O401" s="1557"/>
      <c r="P401" s="1558"/>
      <c r="Q401" s="661"/>
      <c r="R401" s="655"/>
      <c r="S401" s="655"/>
      <c r="T401" s="655"/>
      <c r="U401" s="655"/>
      <c r="V401" s="655"/>
      <c r="W401" s="655"/>
      <c r="Y401" s="1827"/>
      <c r="Z401" s="1828"/>
      <c r="AA401" s="1829"/>
      <c r="AB401" s="1829"/>
      <c r="AC401" s="1829"/>
      <c r="AD401" s="1564"/>
      <c r="AE401" s="701"/>
      <c r="AF401" s="684"/>
      <c r="AG401" s="684"/>
      <c r="AH401" s="710"/>
      <c r="AI401" s="710"/>
      <c r="AJ401" s="710"/>
      <c r="AK401" s="710"/>
      <c r="AL401" s="710"/>
      <c r="AM401" s="710"/>
      <c r="AN401" s="710"/>
      <c r="AO401" s="710"/>
      <c r="AP401" s="710"/>
      <c r="AQ401" s="710"/>
      <c r="AR401" s="710"/>
      <c r="AS401" s="710"/>
      <c r="AT401" s="710"/>
      <c r="AU401" s="1829"/>
      <c r="AV401" s="1835"/>
      <c r="AW401" s="1836"/>
      <c r="AX401" s="1836"/>
      <c r="AY401" s="1836"/>
      <c r="AZ401" s="1825"/>
      <c r="BA401" s="1825"/>
    </row>
    <row r="402" spans="2:53" s="188" customFormat="1" ht="24.95" customHeight="1">
      <c r="B402" s="281"/>
      <c r="C402" s="168"/>
      <c r="D402" s="168"/>
      <c r="E402" s="168"/>
      <c r="F402" s="227"/>
      <c r="G402" s="660"/>
      <c r="H402" s="253"/>
      <c r="I402" s="212"/>
      <c r="N402" s="212"/>
      <c r="O402" s="1557"/>
      <c r="P402" s="1558"/>
      <c r="Q402" s="661"/>
      <c r="R402" s="655"/>
      <c r="S402" s="655"/>
      <c r="T402" s="655"/>
      <c r="U402" s="655"/>
      <c r="V402" s="655"/>
      <c r="W402" s="655"/>
      <c r="Y402" s="1827"/>
      <c r="Z402" s="1828"/>
      <c r="AA402" s="1829"/>
      <c r="AB402" s="1829"/>
      <c r="AC402" s="1829"/>
      <c r="AD402" s="1564"/>
      <c r="AE402" s="701"/>
      <c r="AF402" s="684"/>
      <c r="AG402" s="684"/>
      <c r="AH402" s="710"/>
      <c r="AI402" s="710"/>
      <c r="AJ402" s="710"/>
      <c r="AK402" s="710"/>
      <c r="AL402" s="710"/>
      <c r="AM402" s="710"/>
      <c r="AN402" s="710"/>
      <c r="AO402" s="710"/>
      <c r="AP402" s="710"/>
      <c r="AQ402" s="710"/>
      <c r="AR402" s="710"/>
      <c r="AS402" s="710"/>
      <c r="AT402" s="710"/>
      <c r="AU402" s="1829"/>
      <c r="AV402" s="1835"/>
      <c r="AW402" s="1836"/>
      <c r="AX402" s="1836"/>
      <c r="AY402" s="1836"/>
      <c r="AZ402" s="1825"/>
      <c r="BA402" s="1825"/>
    </row>
    <row r="403" spans="2:53" s="188" customFormat="1" ht="24.95" customHeight="1">
      <c r="B403" s="281"/>
      <c r="C403" s="168"/>
      <c r="D403" s="168"/>
      <c r="E403" s="168"/>
      <c r="F403" s="227"/>
      <c r="G403" s="660"/>
      <c r="H403" s="253"/>
      <c r="I403" s="212"/>
      <c r="N403" s="212"/>
      <c r="O403" s="1557"/>
      <c r="P403" s="1558"/>
      <c r="Q403" s="661"/>
      <c r="R403" s="655"/>
      <c r="S403" s="655"/>
      <c r="T403" s="655"/>
      <c r="U403" s="655"/>
      <c r="V403" s="655"/>
      <c r="W403" s="655"/>
      <c r="Y403" s="1827"/>
      <c r="Z403" s="1828"/>
      <c r="AA403" s="1829"/>
      <c r="AB403" s="1829"/>
      <c r="AC403" s="1829"/>
      <c r="AD403" s="1564"/>
      <c r="AE403" s="701"/>
      <c r="AF403" s="684"/>
      <c r="AG403" s="684"/>
      <c r="AH403" s="710"/>
      <c r="AI403" s="710"/>
      <c r="AJ403" s="710"/>
      <c r="AK403" s="710"/>
      <c r="AL403" s="710"/>
      <c r="AM403" s="710"/>
      <c r="AN403" s="710"/>
      <c r="AO403" s="710"/>
      <c r="AP403" s="710"/>
      <c r="AQ403" s="710"/>
      <c r="AR403" s="710"/>
      <c r="AS403" s="710"/>
      <c r="AT403" s="710"/>
      <c r="AU403" s="1829"/>
      <c r="AV403" s="1835"/>
      <c r="AW403" s="1836"/>
      <c r="AX403" s="1836"/>
      <c r="AY403" s="1836"/>
      <c r="AZ403" s="1825"/>
      <c r="BA403" s="1825"/>
    </row>
    <row r="404" spans="2:53" s="188" customFormat="1" ht="24.95" customHeight="1">
      <c r="B404" s="281"/>
      <c r="C404" s="168"/>
      <c r="D404" s="168"/>
      <c r="E404" s="168"/>
      <c r="F404" s="227"/>
      <c r="G404" s="660"/>
      <c r="H404" s="253"/>
      <c r="I404" s="212"/>
      <c r="N404" s="212"/>
      <c r="O404" s="1557"/>
      <c r="P404" s="1558"/>
      <c r="Q404" s="661"/>
      <c r="R404" s="655"/>
      <c r="S404" s="655"/>
      <c r="T404" s="655"/>
      <c r="U404" s="655"/>
      <c r="V404" s="655"/>
      <c r="W404" s="655"/>
      <c r="Y404" s="1827"/>
      <c r="Z404" s="1828"/>
      <c r="AA404" s="1829"/>
      <c r="AB404" s="1829"/>
      <c r="AC404" s="1829"/>
      <c r="AD404" s="1564"/>
      <c r="AE404" s="701"/>
      <c r="AF404" s="684"/>
      <c r="AG404" s="684"/>
      <c r="AH404" s="710"/>
      <c r="AI404" s="710"/>
      <c r="AJ404" s="710"/>
      <c r="AK404" s="710"/>
      <c r="AL404" s="710"/>
      <c r="AM404" s="710"/>
      <c r="AN404" s="710"/>
      <c r="AO404" s="710"/>
      <c r="AP404" s="710"/>
      <c r="AQ404" s="710"/>
      <c r="AR404" s="710"/>
      <c r="AS404" s="710"/>
      <c r="AT404" s="710"/>
      <c r="AU404" s="1829"/>
      <c r="AV404" s="1835"/>
      <c r="AW404" s="1836"/>
      <c r="AX404" s="1836"/>
      <c r="AY404" s="1836"/>
      <c r="AZ404" s="1825"/>
      <c r="BA404" s="1825"/>
    </row>
    <row r="405" spans="2:53" s="188" customFormat="1" ht="24.95" customHeight="1">
      <c r="B405" s="281"/>
      <c r="C405" s="168"/>
      <c r="D405" s="168"/>
      <c r="E405" s="168"/>
      <c r="F405" s="227"/>
      <c r="G405" s="660"/>
      <c r="H405" s="253"/>
      <c r="I405" s="212"/>
      <c r="N405" s="212"/>
      <c r="O405" s="1557"/>
      <c r="P405" s="1558"/>
      <c r="Q405" s="661"/>
      <c r="R405" s="655"/>
      <c r="S405" s="655"/>
      <c r="T405" s="655"/>
      <c r="U405" s="655"/>
      <c r="V405" s="655"/>
      <c r="W405" s="655"/>
      <c r="Y405" s="1827"/>
      <c r="Z405" s="1828"/>
      <c r="AA405" s="1829"/>
      <c r="AB405" s="1829"/>
      <c r="AC405" s="1829"/>
      <c r="AD405" s="1564"/>
      <c r="AE405" s="701"/>
      <c r="AF405" s="684"/>
      <c r="AG405" s="684"/>
      <c r="AH405" s="710"/>
      <c r="AI405" s="710"/>
      <c r="AJ405" s="710"/>
      <c r="AK405" s="710"/>
      <c r="AL405" s="710"/>
      <c r="AM405" s="710"/>
      <c r="AN405" s="710"/>
      <c r="AO405" s="710"/>
      <c r="AP405" s="710"/>
      <c r="AQ405" s="710"/>
      <c r="AR405" s="710"/>
      <c r="AS405" s="710"/>
      <c r="AT405" s="710"/>
      <c r="AU405" s="1829"/>
      <c r="AV405" s="1835"/>
      <c r="AW405" s="1836"/>
      <c r="AX405" s="1836"/>
      <c r="AY405" s="1836"/>
      <c r="AZ405" s="1825"/>
      <c r="BA405" s="1825"/>
    </row>
    <row r="406" spans="2:53" s="188" customFormat="1" ht="24.95" customHeight="1">
      <c r="B406" s="281"/>
      <c r="C406" s="168"/>
      <c r="D406" s="168"/>
      <c r="E406" s="168"/>
      <c r="F406" s="227"/>
      <c r="G406" s="660"/>
      <c r="H406" s="253"/>
      <c r="I406" s="212"/>
      <c r="N406" s="212"/>
      <c r="O406" s="1557"/>
      <c r="P406" s="1558"/>
      <c r="Q406" s="661"/>
      <c r="R406" s="655"/>
      <c r="S406" s="655"/>
      <c r="T406" s="655"/>
      <c r="U406" s="655"/>
      <c r="V406" s="655"/>
      <c r="W406" s="655"/>
      <c r="Y406" s="1827"/>
      <c r="Z406" s="1828"/>
      <c r="AA406" s="1829"/>
      <c r="AB406" s="1829"/>
      <c r="AC406" s="1829"/>
      <c r="AD406" s="1564"/>
      <c r="AE406" s="701"/>
      <c r="AF406" s="684"/>
      <c r="AG406" s="684"/>
      <c r="AH406" s="710"/>
      <c r="AI406" s="710"/>
      <c r="AJ406" s="710"/>
      <c r="AK406" s="710"/>
      <c r="AL406" s="710"/>
      <c r="AM406" s="710"/>
      <c r="AN406" s="710"/>
      <c r="AO406" s="710"/>
      <c r="AP406" s="710"/>
      <c r="AQ406" s="710"/>
      <c r="AR406" s="710"/>
      <c r="AS406" s="710"/>
      <c r="AT406" s="710"/>
      <c r="AU406" s="1829"/>
      <c r="AV406" s="1835"/>
      <c r="AW406" s="1836"/>
      <c r="AX406" s="1836"/>
      <c r="AY406" s="1836"/>
      <c r="AZ406" s="1825"/>
      <c r="BA406" s="1825"/>
    </row>
    <row r="407" spans="2:53" s="188" customFormat="1" ht="24.95" customHeight="1">
      <c r="B407" s="281"/>
      <c r="C407" s="168"/>
      <c r="D407" s="168"/>
      <c r="E407" s="168"/>
      <c r="F407" s="227"/>
      <c r="G407" s="660"/>
      <c r="H407" s="253"/>
      <c r="I407" s="212"/>
      <c r="N407" s="212"/>
      <c r="O407" s="1557"/>
      <c r="P407" s="1558"/>
      <c r="Q407" s="661"/>
      <c r="R407" s="655"/>
      <c r="S407" s="655"/>
      <c r="T407" s="655"/>
      <c r="U407" s="655"/>
      <c r="V407" s="655"/>
      <c r="W407" s="655"/>
      <c r="Y407" s="1827"/>
      <c r="Z407" s="1828"/>
      <c r="AA407" s="1829"/>
      <c r="AB407" s="1829"/>
      <c r="AC407" s="1829"/>
      <c r="AD407" s="1564"/>
      <c r="AE407" s="701"/>
      <c r="AF407" s="684"/>
      <c r="AG407" s="684"/>
      <c r="AH407" s="710"/>
      <c r="AI407" s="710"/>
      <c r="AJ407" s="710"/>
      <c r="AK407" s="710"/>
      <c r="AL407" s="710"/>
      <c r="AM407" s="710"/>
      <c r="AN407" s="710"/>
      <c r="AO407" s="710"/>
      <c r="AP407" s="710"/>
      <c r="AQ407" s="710"/>
      <c r="AR407" s="710"/>
      <c r="AS407" s="710"/>
      <c r="AT407" s="710"/>
      <c r="AU407" s="1829"/>
      <c r="AV407" s="1835"/>
      <c r="AW407" s="1836"/>
      <c r="AX407" s="1836"/>
      <c r="AY407" s="1836"/>
      <c r="AZ407" s="1825"/>
      <c r="BA407" s="1825"/>
    </row>
    <row r="408" spans="2:53" s="188" customFormat="1" ht="24.95" customHeight="1">
      <c r="B408" s="281"/>
      <c r="C408" s="168"/>
      <c r="D408" s="168"/>
      <c r="E408" s="168"/>
      <c r="F408" s="227"/>
      <c r="G408" s="660"/>
      <c r="H408" s="253"/>
      <c r="I408" s="212"/>
      <c r="N408" s="212"/>
      <c r="O408" s="1557"/>
      <c r="P408" s="1558"/>
      <c r="Q408" s="661"/>
      <c r="R408" s="655"/>
      <c r="S408" s="655"/>
      <c r="T408" s="655"/>
      <c r="U408" s="655"/>
      <c r="V408" s="655"/>
      <c r="W408" s="655"/>
      <c r="Y408" s="1827"/>
      <c r="Z408" s="1828"/>
      <c r="AA408" s="1829"/>
      <c r="AB408" s="1829"/>
      <c r="AC408" s="1829"/>
      <c r="AD408" s="1564"/>
      <c r="AE408" s="701"/>
      <c r="AF408" s="684"/>
      <c r="AG408" s="684"/>
      <c r="AH408" s="710"/>
      <c r="AI408" s="710"/>
      <c r="AJ408" s="710"/>
      <c r="AK408" s="710"/>
      <c r="AL408" s="710"/>
      <c r="AM408" s="710"/>
      <c r="AN408" s="710"/>
      <c r="AO408" s="710"/>
      <c r="AP408" s="710"/>
      <c r="AQ408" s="710"/>
      <c r="AR408" s="710"/>
      <c r="AS408" s="710"/>
      <c r="AT408" s="710"/>
      <c r="AU408" s="1829"/>
      <c r="AV408" s="1835"/>
      <c r="AW408" s="1836"/>
      <c r="AX408" s="1836"/>
      <c r="AY408" s="1836"/>
      <c r="AZ408" s="1825"/>
      <c r="BA408" s="1825"/>
    </row>
    <row r="409" spans="2:53" s="188" customFormat="1" ht="24.95" customHeight="1">
      <c r="B409" s="281"/>
      <c r="C409" s="168"/>
      <c r="D409" s="168"/>
      <c r="E409" s="168"/>
      <c r="F409" s="227"/>
      <c r="G409" s="660"/>
      <c r="H409" s="253"/>
      <c r="I409" s="212"/>
      <c r="N409" s="212"/>
      <c r="O409" s="1557"/>
      <c r="P409" s="1558"/>
      <c r="Q409" s="661"/>
      <c r="R409" s="655"/>
      <c r="S409" s="655"/>
      <c r="T409" s="655"/>
      <c r="U409" s="655"/>
      <c r="V409" s="655"/>
      <c r="W409" s="655"/>
      <c r="Y409" s="1827"/>
      <c r="Z409" s="1828"/>
      <c r="AA409" s="1829"/>
      <c r="AB409" s="1829"/>
      <c r="AC409" s="1829"/>
      <c r="AD409" s="1564"/>
      <c r="AE409" s="701"/>
      <c r="AF409" s="684"/>
      <c r="AG409" s="684"/>
      <c r="AH409" s="710"/>
      <c r="AI409" s="710"/>
      <c r="AJ409" s="710"/>
      <c r="AK409" s="710"/>
      <c r="AL409" s="710"/>
      <c r="AM409" s="710"/>
      <c r="AN409" s="710"/>
      <c r="AO409" s="710"/>
      <c r="AP409" s="710"/>
      <c r="AQ409" s="710"/>
      <c r="AR409" s="710"/>
      <c r="AS409" s="710"/>
      <c r="AT409" s="710"/>
      <c r="AU409" s="1829"/>
      <c r="AV409" s="1835"/>
      <c r="AW409" s="1836"/>
      <c r="AX409" s="1836"/>
      <c r="AY409" s="1836"/>
      <c r="AZ409" s="1825"/>
      <c r="BA409" s="1825"/>
    </row>
    <row r="410" spans="2:53" s="188" customFormat="1" ht="24.95" customHeight="1">
      <c r="B410" s="281"/>
      <c r="C410" s="168"/>
      <c r="D410" s="168"/>
      <c r="E410" s="168"/>
      <c r="F410" s="227"/>
      <c r="G410" s="660"/>
      <c r="H410" s="253"/>
      <c r="I410" s="212"/>
      <c r="N410" s="212"/>
      <c r="O410" s="1557"/>
      <c r="P410" s="1558"/>
      <c r="Q410" s="661"/>
      <c r="R410" s="655"/>
      <c r="S410" s="655"/>
      <c r="T410" s="655"/>
      <c r="U410" s="655"/>
      <c r="V410" s="655"/>
      <c r="W410" s="655"/>
      <c r="Y410" s="1827"/>
      <c r="Z410" s="1828"/>
      <c r="AA410" s="1829"/>
      <c r="AB410" s="1829"/>
      <c r="AC410" s="1829"/>
      <c r="AD410" s="1564"/>
      <c r="AE410" s="701"/>
      <c r="AF410" s="684"/>
      <c r="AG410" s="684"/>
      <c r="AH410" s="710"/>
      <c r="AI410" s="710"/>
      <c r="AJ410" s="710"/>
      <c r="AK410" s="710"/>
      <c r="AL410" s="710"/>
      <c r="AM410" s="710"/>
      <c r="AN410" s="710"/>
      <c r="AO410" s="710"/>
      <c r="AP410" s="710"/>
      <c r="AQ410" s="710"/>
      <c r="AR410" s="710"/>
      <c r="AS410" s="710"/>
      <c r="AT410" s="710"/>
      <c r="AU410" s="1829"/>
      <c r="AV410" s="1835"/>
      <c r="AW410" s="1836"/>
      <c r="AX410" s="1836"/>
      <c r="AY410" s="1836"/>
      <c r="AZ410" s="1825"/>
      <c r="BA410" s="1825"/>
    </row>
    <row r="411" spans="2:53" s="188" customFormat="1" ht="24.95" customHeight="1">
      <c r="B411" s="281"/>
      <c r="C411" s="168"/>
      <c r="D411" s="168"/>
      <c r="E411" s="168"/>
      <c r="F411" s="227"/>
      <c r="G411" s="660"/>
      <c r="H411" s="253"/>
      <c r="I411" s="212"/>
      <c r="N411" s="212"/>
      <c r="O411" s="1557"/>
      <c r="P411" s="1558"/>
      <c r="Q411" s="661"/>
      <c r="R411" s="655"/>
      <c r="S411" s="655"/>
      <c r="T411" s="655"/>
      <c r="U411" s="655"/>
      <c r="V411" s="655"/>
      <c r="W411" s="655"/>
      <c r="Y411" s="1827"/>
      <c r="Z411" s="1828"/>
      <c r="AA411" s="1829"/>
      <c r="AB411" s="1829"/>
      <c r="AC411" s="1829"/>
      <c r="AD411" s="1564"/>
      <c r="AE411" s="701"/>
      <c r="AF411" s="684"/>
      <c r="AG411" s="684"/>
      <c r="AH411" s="710"/>
      <c r="AI411" s="710"/>
      <c r="AJ411" s="710"/>
      <c r="AK411" s="710"/>
      <c r="AL411" s="710"/>
      <c r="AM411" s="710"/>
      <c r="AN411" s="710"/>
      <c r="AO411" s="710"/>
      <c r="AP411" s="710"/>
      <c r="AQ411" s="710"/>
      <c r="AR411" s="710"/>
      <c r="AS411" s="710"/>
      <c r="AT411" s="710"/>
      <c r="AU411" s="1829"/>
      <c r="AV411" s="1835"/>
      <c r="AW411" s="1836"/>
      <c r="AX411" s="1836"/>
      <c r="AY411" s="1836"/>
      <c r="AZ411" s="1825"/>
      <c r="BA411" s="1825"/>
    </row>
    <row r="412" spans="2:53" s="188" customFormat="1" ht="24.95" customHeight="1">
      <c r="B412" s="281"/>
      <c r="C412" s="168"/>
      <c r="D412" s="168"/>
      <c r="E412" s="168"/>
      <c r="F412" s="227"/>
      <c r="G412" s="660"/>
      <c r="H412" s="253"/>
      <c r="I412" s="212"/>
      <c r="N412" s="212"/>
      <c r="O412" s="1557"/>
      <c r="P412" s="1558"/>
      <c r="Q412" s="661"/>
      <c r="R412" s="655"/>
      <c r="S412" s="655"/>
      <c r="T412" s="655"/>
      <c r="U412" s="655"/>
      <c r="V412" s="655"/>
      <c r="W412" s="655"/>
      <c r="Y412" s="1827"/>
      <c r="Z412" s="1828"/>
      <c r="AA412" s="1829"/>
      <c r="AB412" s="1829"/>
      <c r="AC412" s="1829"/>
      <c r="AD412" s="1564"/>
      <c r="AE412" s="701"/>
      <c r="AF412" s="684"/>
      <c r="AG412" s="684"/>
      <c r="AH412" s="710"/>
      <c r="AI412" s="710"/>
      <c r="AJ412" s="710"/>
      <c r="AK412" s="710"/>
      <c r="AL412" s="710"/>
      <c r="AM412" s="710"/>
      <c r="AN412" s="710"/>
      <c r="AO412" s="710"/>
      <c r="AP412" s="710"/>
      <c r="AQ412" s="710"/>
      <c r="AR412" s="710"/>
      <c r="AS412" s="710"/>
      <c r="AT412" s="710"/>
      <c r="AU412" s="1829"/>
      <c r="AV412" s="1835"/>
      <c r="AW412" s="1836"/>
      <c r="AX412" s="1836"/>
      <c r="AY412" s="1836"/>
      <c r="AZ412" s="1825"/>
      <c r="BA412" s="1825"/>
    </row>
    <row r="413" spans="2:53" s="188" customFormat="1" ht="24.95" customHeight="1">
      <c r="B413" s="281"/>
      <c r="C413" s="168"/>
      <c r="D413" s="168"/>
      <c r="E413" s="168"/>
      <c r="F413" s="227"/>
      <c r="G413" s="660"/>
      <c r="H413" s="253"/>
      <c r="I413" s="212"/>
      <c r="N413" s="212"/>
      <c r="O413" s="1557"/>
      <c r="P413" s="1558"/>
      <c r="Q413" s="661"/>
      <c r="R413" s="655"/>
      <c r="S413" s="655"/>
      <c r="T413" s="655"/>
      <c r="U413" s="655"/>
      <c r="V413" s="655"/>
      <c r="W413" s="655"/>
      <c r="Y413" s="1827"/>
      <c r="Z413" s="1828"/>
      <c r="AA413" s="1829"/>
      <c r="AB413" s="1829"/>
      <c r="AC413" s="1829"/>
      <c r="AD413" s="1564"/>
      <c r="AE413" s="701"/>
      <c r="AF413" s="684"/>
      <c r="AG413" s="684"/>
      <c r="AH413" s="710"/>
      <c r="AI413" s="710"/>
      <c r="AJ413" s="710"/>
      <c r="AK413" s="710"/>
      <c r="AL413" s="710"/>
      <c r="AM413" s="710"/>
      <c r="AN413" s="710"/>
      <c r="AO413" s="710"/>
      <c r="AP413" s="710"/>
      <c r="AQ413" s="710"/>
      <c r="AR413" s="710"/>
      <c r="AS413" s="710"/>
      <c r="AT413" s="710"/>
      <c r="AU413" s="1829"/>
      <c r="AV413" s="1835"/>
      <c r="AW413" s="1836"/>
      <c r="AX413" s="1836"/>
      <c r="AY413" s="1836"/>
      <c r="AZ413" s="1825"/>
      <c r="BA413" s="1825"/>
    </row>
    <row r="414" spans="2:53" s="188" customFormat="1" ht="24.95" customHeight="1">
      <c r="B414" s="281"/>
      <c r="C414" s="168"/>
      <c r="D414" s="168"/>
      <c r="E414" s="168"/>
      <c r="F414" s="227"/>
      <c r="G414" s="660"/>
      <c r="H414" s="253"/>
      <c r="I414" s="212"/>
      <c r="N414" s="212"/>
      <c r="O414" s="1557"/>
      <c r="P414" s="1558"/>
      <c r="Q414" s="661"/>
      <c r="R414" s="655"/>
      <c r="S414" s="655"/>
      <c r="T414" s="655"/>
      <c r="U414" s="655"/>
      <c r="V414" s="655"/>
      <c r="W414" s="655"/>
      <c r="Y414" s="1827"/>
      <c r="Z414" s="1828"/>
      <c r="AA414" s="1829"/>
      <c r="AB414" s="1829"/>
      <c r="AC414" s="1829"/>
      <c r="AD414" s="1564"/>
      <c r="AE414" s="701"/>
      <c r="AF414" s="684"/>
      <c r="AG414" s="684"/>
      <c r="AH414" s="710"/>
      <c r="AI414" s="710"/>
      <c r="AJ414" s="710"/>
      <c r="AK414" s="710"/>
      <c r="AL414" s="710"/>
      <c r="AM414" s="710"/>
      <c r="AN414" s="710"/>
      <c r="AO414" s="710"/>
      <c r="AP414" s="710"/>
      <c r="AQ414" s="710"/>
      <c r="AR414" s="710"/>
      <c r="AS414" s="710"/>
      <c r="AT414" s="710"/>
      <c r="AU414" s="1829"/>
      <c r="AV414" s="1835"/>
      <c r="AW414" s="1836"/>
      <c r="AX414" s="1836"/>
      <c r="AY414" s="1836"/>
      <c r="AZ414" s="1825"/>
      <c r="BA414" s="1825"/>
    </row>
    <row r="415" spans="2:53" s="188" customFormat="1" ht="24.95" customHeight="1">
      <c r="B415" s="281"/>
      <c r="C415" s="168"/>
      <c r="D415" s="168"/>
      <c r="E415" s="168"/>
      <c r="F415" s="227"/>
      <c r="G415" s="660"/>
      <c r="H415" s="253"/>
      <c r="I415" s="212"/>
      <c r="N415" s="212"/>
      <c r="O415" s="1557"/>
      <c r="P415" s="1558"/>
      <c r="Q415" s="661"/>
      <c r="R415" s="655"/>
      <c r="S415" s="655"/>
      <c r="T415" s="655"/>
      <c r="U415" s="655"/>
      <c r="V415" s="655"/>
      <c r="W415" s="655"/>
      <c r="Y415" s="1827"/>
      <c r="Z415" s="1828"/>
      <c r="AA415" s="1829"/>
      <c r="AB415" s="1829"/>
      <c r="AC415" s="1829"/>
      <c r="AD415" s="1564"/>
      <c r="AE415" s="701"/>
      <c r="AF415" s="684"/>
      <c r="AG415" s="684"/>
      <c r="AH415" s="710"/>
      <c r="AI415" s="710"/>
      <c r="AJ415" s="710"/>
      <c r="AK415" s="710"/>
      <c r="AL415" s="710"/>
      <c r="AM415" s="710"/>
      <c r="AN415" s="710"/>
      <c r="AO415" s="710"/>
      <c r="AP415" s="710"/>
      <c r="AQ415" s="710"/>
      <c r="AR415" s="710"/>
      <c r="AS415" s="710"/>
      <c r="AT415" s="710"/>
      <c r="AU415" s="1829"/>
      <c r="AV415" s="1835"/>
      <c r="AW415" s="1836"/>
      <c r="AX415" s="1836"/>
      <c r="AY415" s="1836"/>
      <c r="AZ415" s="1825"/>
      <c r="BA415" s="1825"/>
    </row>
    <row r="416" spans="2:53" s="188" customFormat="1" ht="24.95" customHeight="1">
      <c r="B416" s="281"/>
      <c r="C416" s="168"/>
      <c r="D416" s="168"/>
      <c r="E416" s="168"/>
      <c r="F416" s="227"/>
      <c r="G416" s="660"/>
      <c r="H416" s="253"/>
      <c r="I416" s="212"/>
      <c r="N416" s="212"/>
      <c r="O416" s="1557"/>
      <c r="P416" s="1558"/>
      <c r="Q416" s="661"/>
      <c r="R416" s="655"/>
      <c r="S416" s="655"/>
      <c r="T416" s="655"/>
      <c r="U416" s="655"/>
      <c r="V416" s="655"/>
      <c r="W416" s="655"/>
      <c r="Y416" s="1827"/>
      <c r="Z416" s="1828"/>
      <c r="AA416" s="1829"/>
      <c r="AB416" s="1829"/>
      <c r="AC416" s="1829"/>
      <c r="AD416" s="1564"/>
      <c r="AE416" s="701"/>
      <c r="AF416" s="684"/>
      <c r="AG416" s="684"/>
      <c r="AH416" s="710"/>
      <c r="AI416" s="710"/>
      <c r="AJ416" s="710"/>
      <c r="AK416" s="710"/>
      <c r="AL416" s="710"/>
      <c r="AM416" s="710"/>
      <c r="AN416" s="710"/>
      <c r="AO416" s="710"/>
      <c r="AP416" s="710"/>
      <c r="AQ416" s="710"/>
      <c r="AR416" s="710"/>
      <c r="AS416" s="710"/>
      <c r="AT416" s="710"/>
      <c r="AU416" s="1829"/>
      <c r="AV416" s="1835"/>
      <c r="AW416" s="1836"/>
      <c r="AX416" s="1836"/>
      <c r="AY416" s="1836"/>
      <c r="AZ416" s="1825"/>
      <c r="BA416" s="1825"/>
    </row>
    <row r="417" spans="2:53" s="188" customFormat="1" ht="24.95" customHeight="1">
      <c r="B417" s="281"/>
      <c r="C417" s="168"/>
      <c r="D417" s="168"/>
      <c r="E417" s="168"/>
      <c r="F417" s="227"/>
      <c r="G417" s="660"/>
      <c r="H417" s="253"/>
      <c r="I417" s="212"/>
      <c r="N417" s="212"/>
      <c r="O417" s="1557"/>
      <c r="P417" s="1558"/>
      <c r="Q417" s="661"/>
      <c r="R417" s="655"/>
      <c r="S417" s="655"/>
      <c r="T417" s="655"/>
      <c r="U417" s="655"/>
      <c r="V417" s="655"/>
      <c r="W417" s="655"/>
      <c r="Y417" s="1827"/>
      <c r="Z417" s="1828"/>
      <c r="AA417" s="1829"/>
      <c r="AB417" s="1829"/>
      <c r="AC417" s="1829"/>
      <c r="AD417" s="1564"/>
      <c r="AE417" s="701"/>
      <c r="AF417" s="684"/>
      <c r="AG417" s="684"/>
      <c r="AH417" s="710"/>
      <c r="AI417" s="710"/>
      <c r="AJ417" s="710"/>
      <c r="AK417" s="710"/>
      <c r="AL417" s="710"/>
      <c r="AM417" s="710"/>
      <c r="AN417" s="710"/>
      <c r="AO417" s="710"/>
      <c r="AP417" s="710"/>
      <c r="AQ417" s="710"/>
      <c r="AR417" s="710"/>
      <c r="AS417" s="710"/>
      <c r="AT417" s="710"/>
      <c r="AU417" s="1829"/>
      <c r="AV417" s="1835"/>
      <c r="AW417" s="1836"/>
      <c r="AX417" s="1836"/>
      <c r="AY417" s="1836"/>
      <c r="AZ417" s="1825"/>
      <c r="BA417" s="1825"/>
    </row>
    <row r="418" spans="2:53" s="188" customFormat="1" ht="24.95" customHeight="1">
      <c r="B418" s="281"/>
      <c r="C418" s="168"/>
      <c r="D418" s="168"/>
      <c r="E418" s="168"/>
      <c r="F418" s="227"/>
      <c r="G418" s="660"/>
      <c r="H418" s="253"/>
      <c r="I418" s="212"/>
      <c r="N418" s="212"/>
      <c r="O418" s="1557"/>
      <c r="P418" s="1558"/>
      <c r="Q418" s="661"/>
      <c r="R418" s="655"/>
      <c r="S418" s="655"/>
      <c r="T418" s="655"/>
      <c r="U418" s="655"/>
      <c r="V418" s="655"/>
      <c r="W418" s="655"/>
      <c r="Y418" s="1827"/>
      <c r="Z418" s="1828"/>
      <c r="AA418" s="1829"/>
      <c r="AB418" s="1829"/>
      <c r="AC418" s="1829"/>
      <c r="AD418" s="1564"/>
      <c r="AE418" s="701"/>
      <c r="AF418" s="684"/>
      <c r="AG418" s="684"/>
      <c r="AH418" s="710"/>
      <c r="AI418" s="710"/>
      <c r="AJ418" s="710"/>
      <c r="AK418" s="710"/>
      <c r="AL418" s="710"/>
      <c r="AM418" s="710"/>
      <c r="AN418" s="710"/>
      <c r="AO418" s="710"/>
      <c r="AP418" s="710"/>
      <c r="AQ418" s="710"/>
      <c r="AR418" s="710"/>
      <c r="AS418" s="710"/>
      <c r="AT418" s="710"/>
      <c r="AU418" s="1829"/>
      <c r="AV418" s="1835"/>
      <c r="AW418" s="1836"/>
      <c r="AX418" s="1836"/>
      <c r="AY418" s="1836"/>
      <c r="AZ418" s="1825"/>
      <c r="BA418" s="1825"/>
    </row>
    <row r="419" spans="2:53" s="188" customFormat="1" ht="24.95" customHeight="1">
      <c r="B419" s="281"/>
      <c r="C419" s="168"/>
      <c r="D419" s="168"/>
      <c r="E419" s="168"/>
      <c r="F419" s="227"/>
      <c r="G419" s="660"/>
      <c r="H419" s="253"/>
      <c r="I419" s="212"/>
      <c r="N419" s="212"/>
      <c r="O419" s="1557"/>
      <c r="P419" s="1558"/>
      <c r="Q419" s="661"/>
      <c r="R419" s="655"/>
      <c r="S419" s="655"/>
      <c r="T419" s="655"/>
      <c r="U419" s="655"/>
      <c r="V419" s="655"/>
      <c r="W419" s="655"/>
      <c r="Y419" s="1827"/>
      <c r="Z419" s="1828"/>
      <c r="AA419" s="1829"/>
      <c r="AB419" s="1829"/>
      <c r="AC419" s="1829"/>
      <c r="AD419" s="1564"/>
      <c r="AE419" s="701"/>
      <c r="AF419" s="684"/>
      <c r="AG419" s="684"/>
      <c r="AH419" s="710"/>
      <c r="AI419" s="710"/>
      <c r="AJ419" s="710"/>
      <c r="AK419" s="710"/>
      <c r="AL419" s="710"/>
      <c r="AM419" s="710"/>
      <c r="AN419" s="710"/>
      <c r="AO419" s="710"/>
      <c r="AP419" s="710"/>
      <c r="AQ419" s="710"/>
      <c r="AR419" s="710"/>
      <c r="AS419" s="710"/>
      <c r="AT419" s="710"/>
      <c r="AU419" s="1829"/>
      <c r="AV419" s="1835"/>
      <c r="AW419" s="1836"/>
      <c r="AX419" s="1836"/>
      <c r="AY419" s="1836"/>
      <c r="AZ419" s="1825"/>
      <c r="BA419" s="1825"/>
    </row>
    <row r="420" spans="2:53" s="188" customFormat="1" ht="24.95" customHeight="1">
      <c r="B420" s="281"/>
      <c r="C420" s="168"/>
      <c r="D420" s="168"/>
      <c r="E420" s="168"/>
      <c r="F420" s="227"/>
      <c r="G420" s="660"/>
      <c r="H420" s="253"/>
      <c r="I420" s="212"/>
      <c r="N420" s="212"/>
      <c r="O420" s="1557"/>
      <c r="P420" s="1558"/>
      <c r="Q420" s="661"/>
      <c r="R420" s="655"/>
      <c r="S420" s="655"/>
      <c r="T420" s="655"/>
      <c r="U420" s="655"/>
      <c r="V420" s="655"/>
      <c r="W420" s="655"/>
      <c r="Y420" s="1827"/>
      <c r="Z420" s="1828"/>
      <c r="AA420" s="1829"/>
      <c r="AB420" s="1829"/>
      <c r="AC420" s="1829"/>
      <c r="AD420" s="1564"/>
      <c r="AE420" s="701"/>
      <c r="AF420" s="684"/>
      <c r="AG420" s="684"/>
      <c r="AH420" s="710"/>
      <c r="AI420" s="710"/>
      <c r="AJ420" s="710"/>
      <c r="AK420" s="710"/>
      <c r="AL420" s="710"/>
      <c r="AM420" s="710"/>
      <c r="AN420" s="710"/>
      <c r="AO420" s="710"/>
      <c r="AP420" s="710"/>
      <c r="AQ420" s="710"/>
      <c r="AR420" s="710"/>
      <c r="AS420" s="710"/>
      <c r="AT420" s="710"/>
      <c r="AU420" s="1829"/>
      <c r="AV420" s="1835"/>
      <c r="AW420" s="1836"/>
      <c r="AX420" s="1836"/>
      <c r="AY420" s="1836"/>
      <c r="AZ420" s="1825"/>
      <c r="BA420" s="1825"/>
    </row>
    <row r="421" spans="2:53" s="188" customFormat="1" ht="24.95" customHeight="1">
      <c r="B421" s="281"/>
      <c r="C421" s="168"/>
      <c r="D421" s="168"/>
      <c r="E421" s="168"/>
      <c r="F421" s="227"/>
      <c r="G421" s="660"/>
      <c r="H421" s="253"/>
      <c r="I421" s="212"/>
      <c r="N421" s="212"/>
      <c r="O421" s="1557"/>
      <c r="P421" s="1558"/>
      <c r="Q421" s="661"/>
      <c r="R421" s="655"/>
      <c r="S421" s="655"/>
      <c r="T421" s="655"/>
      <c r="U421" s="655"/>
      <c r="V421" s="655"/>
      <c r="W421" s="655"/>
      <c r="Y421" s="1827"/>
      <c r="Z421" s="1828"/>
      <c r="AA421" s="1829"/>
      <c r="AB421" s="1829"/>
      <c r="AC421" s="1829"/>
      <c r="AD421" s="1564"/>
      <c r="AE421" s="701"/>
      <c r="AF421" s="684"/>
      <c r="AG421" s="684"/>
      <c r="AH421" s="710"/>
      <c r="AI421" s="710"/>
      <c r="AJ421" s="710"/>
      <c r="AK421" s="710"/>
      <c r="AL421" s="710"/>
      <c r="AM421" s="710"/>
      <c r="AN421" s="710"/>
      <c r="AO421" s="710"/>
      <c r="AP421" s="710"/>
      <c r="AQ421" s="710"/>
      <c r="AR421" s="710"/>
      <c r="AS421" s="710"/>
      <c r="AT421" s="710"/>
      <c r="AU421" s="1829"/>
      <c r="AV421" s="1835"/>
      <c r="AW421" s="1836"/>
      <c r="AX421" s="1836"/>
      <c r="AY421" s="1836"/>
      <c r="AZ421" s="1825"/>
      <c r="BA421" s="1825"/>
    </row>
    <row r="422" spans="2:53" s="188" customFormat="1" ht="24.95" customHeight="1">
      <c r="B422" s="281"/>
      <c r="C422" s="168"/>
      <c r="D422" s="168"/>
      <c r="E422" s="168"/>
      <c r="F422" s="227"/>
      <c r="G422" s="660"/>
      <c r="H422" s="253"/>
      <c r="I422" s="212"/>
      <c r="N422" s="212"/>
      <c r="O422" s="1557"/>
      <c r="P422" s="1558"/>
      <c r="Q422" s="661"/>
      <c r="R422" s="655"/>
      <c r="S422" s="655"/>
      <c r="T422" s="655"/>
      <c r="U422" s="655"/>
      <c r="V422" s="655"/>
      <c r="W422" s="655"/>
      <c r="Y422" s="1827"/>
      <c r="Z422" s="1828"/>
      <c r="AA422" s="1829"/>
      <c r="AB422" s="1829"/>
      <c r="AC422" s="1829"/>
      <c r="AD422" s="1564"/>
      <c r="AE422" s="701"/>
      <c r="AF422" s="684"/>
      <c r="AG422" s="684"/>
      <c r="AH422" s="710"/>
      <c r="AI422" s="710"/>
      <c r="AJ422" s="710"/>
      <c r="AK422" s="710"/>
      <c r="AL422" s="710"/>
      <c r="AM422" s="710"/>
      <c r="AN422" s="710"/>
      <c r="AO422" s="710"/>
      <c r="AP422" s="710"/>
      <c r="AQ422" s="710"/>
      <c r="AR422" s="710"/>
      <c r="AS422" s="710"/>
      <c r="AT422" s="710"/>
      <c r="AU422" s="1829"/>
      <c r="AV422" s="1835"/>
      <c r="AW422" s="1836"/>
      <c r="AX422" s="1836"/>
      <c r="AY422" s="1836"/>
      <c r="AZ422" s="1825"/>
      <c r="BA422" s="1825"/>
    </row>
    <row r="423" spans="2:53" s="188" customFormat="1" ht="24.95" customHeight="1">
      <c r="B423" s="281"/>
      <c r="C423" s="168"/>
      <c r="D423" s="168"/>
      <c r="E423" s="168"/>
      <c r="F423" s="227"/>
      <c r="G423" s="660"/>
      <c r="H423" s="253"/>
      <c r="I423" s="212"/>
      <c r="N423" s="212"/>
      <c r="O423" s="1557"/>
      <c r="P423" s="1558"/>
      <c r="Q423" s="661"/>
      <c r="R423" s="655"/>
      <c r="S423" s="655"/>
      <c r="T423" s="655"/>
      <c r="U423" s="655"/>
      <c r="V423" s="655"/>
      <c r="W423" s="655"/>
      <c r="Y423" s="1827"/>
      <c r="Z423" s="1828"/>
      <c r="AA423" s="1829"/>
      <c r="AB423" s="1829"/>
      <c r="AC423" s="1829"/>
      <c r="AD423" s="1564"/>
      <c r="AE423" s="701"/>
      <c r="AF423" s="684"/>
      <c r="AG423" s="684"/>
      <c r="AH423" s="710"/>
      <c r="AI423" s="710"/>
      <c r="AJ423" s="710"/>
      <c r="AK423" s="710"/>
      <c r="AL423" s="710"/>
      <c r="AM423" s="710"/>
      <c r="AN423" s="710"/>
      <c r="AO423" s="710"/>
      <c r="AP423" s="710"/>
      <c r="AQ423" s="710"/>
      <c r="AR423" s="710"/>
      <c r="AS423" s="710"/>
      <c r="AT423" s="710"/>
      <c r="AU423" s="1829"/>
      <c r="AV423" s="1835"/>
      <c r="AW423" s="1836"/>
      <c r="AX423" s="1836"/>
      <c r="AY423" s="1836"/>
      <c r="AZ423" s="1825"/>
      <c r="BA423" s="1825"/>
    </row>
    <row r="424" spans="2:53" s="188" customFormat="1" ht="24.95" customHeight="1">
      <c r="B424" s="281"/>
      <c r="C424" s="168"/>
      <c r="D424" s="168"/>
      <c r="E424" s="168"/>
      <c r="F424" s="227"/>
      <c r="G424" s="660"/>
      <c r="H424" s="253"/>
      <c r="I424" s="212"/>
      <c r="N424" s="212"/>
      <c r="O424" s="1557"/>
      <c r="P424" s="1558"/>
      <c r="Q424" s="661"/>
      <c r="R424" s="655"/>
      <c r="S424" s="655"/>
      <c r="T424" s="655"/>
      <c r="U424" s="655"/>
      <c r="V424" s="655"/>
      <c r="W424" s="655"/>
      <c r="Y424" s="1827"/>
      <c r="Z424" s="1828"/>
      <c r="AA424" s="1829"/>
      <c r="AB424" s="1829"/>
      <c r="AC424" s="1829"/>
      <c r="AD424" s="1564"/>
      <c r="AE424" s="701"/>
      <c r="AF424" s="684"/>
      <c r="AG424" s="684"/>
      <c r="AH424" s="710"/>
      <c r="AI424" s="710"/>
      <c r="AJ424" s="710"/>
      <c r="AK424" s="710"/>
      <c r="AL424" s="710"/>
      <c r="AM424" s="710"/>
      <c r="AN424" s="710"/>
      <c r="AO424" s="710"/>
      <c r="AP424" s="710"/>
      <c r="AQ424" s="710"/>
      <c r="AR424" s="710"/>
      <c r="AS424" s="710"/>
      <c r="AT424" s="710"/>
      <c r="AU424" s="1829"/>
      <c r="AV424" s="1835"/>
      <c r="AW424" s="1836"/>
      <c r="AX424" s="1836"/>
      <c r="AY424" s="1836"/>
      <c r="AZ424" s="1825"/>
      <c r="BA424" s="1825"/>
    </row>
    <row r="425" spans="2:53" s="188" customFormat="1" ht="24.95" customHeight="1">
      <c r="B425" s="281"/>
      <c r="C425" s="168"/>
      <c r="D425" s="168"/>
      <c r="E425" s="168"/>
      <c r="F425" s="227"/>
      <c r="G425" s="660"/>
      <c r="H425" s="253"/>
      <c r="I425" s="212"/>
      <c r="N425" s="212"/>
      <c r="O425" s="1557"/>
      <c r="P425" s="1558"/>
      <c r="Q425" s="661"/>
      <c r="R425" s="655"/>
      <c r="S425" s="655"/>
      <c r="T425" s="655"/>
      <c r="U425" s="655"/>
      <c r="V425" s="655"/>
      <c r="W425" s="655"/>
      <c r="Y425" s="1827"/>
      <c r="Z425" s="1828"/>
      <c r="AA425" s="1829"/>
      <c r="AB425" s="1829"/>
      <c r="AC425" s="1829"/>
      <c r="AD425" s="1564"/>
      <c r="AE425" s="701"/>
      <c r="AF425" s="684"/>
      <c r="AG425" s="684"/>
      <c r="AH425" s="710"/>
      <c r="AI425" s="710"/>
      <c r="AJ425" s="710"/>
      <c r="AK425" s="710"/>
      <c r="AL425" s="710"/>
      <c r="AM425" s="710"/>
      <c r="AN425" s="710"/>
      <c r="AO425" s="710"/>
      <c r="AP425" s="710"/>
      <c r="AQ425" s="710"/>
      <c r="AR425" s="710"/>
      <c r="AS425" s="710"/>
      <c r="AT425" s="710"/>
      <c r="AU425" s="1829"/>
      <c r="AV425" s="1835"/>
      <c r="AW425" s="1836"/>
      <c r="AX425" s="1836"/>
      <c r="AY425" s="1836"/>
      <c r="AZ425" s="1825"/>
      <c r="BA425" s="1825"/>
    </row>
    <row r="426" spans="2:53" s="188" customFormat="1" ht="24.95" customHeight="1">
      <c r="B426" s="281"/>
      <c r="C426" s="168"/>
      <c r="D426" s="168"/>
      <c r="E426" s="168"/>
      <c r="F426" s="227"/>
      <c r="G426" s="660"/>
      <c r="H426" s="253"/>
      <c r="I426" s="212"/>
      <c r="N426" s="212"/>
      <c r="O426" s="1557"/>
      <c r="P426" s="1558"/>
      <c r="Q426" s="661"/>
      <c r="R426" s="655"/>
      <c r="S426" s="655"/>
      <c r="T426" s="655"/>
      <c r="U426" s="655"/>
      <c r="V426" s="655"/>
      <c r="W426" s="655"/>
      <c r="Y426" s="1827"/>
      <c r="Z426" s="1828"/>
      <c r="AA426" s="1829"/>
      <c r="AB426" s="1829"/>
      <c r="AC426" s="1829"/>
      <c r="AD426" s="1564"/>
      <c r="AE426" s="701"/>
      <c r="AF426" s="684"/>
      <c r="AG426" s="684"/>
      <c r="AH426" s="710"/>
      <c r="AI426" s="710"/>
      <c r="AJ426" s="710"/>
      <c r="AK426" s="710"/>
      <c r="AL426" s="710"/>
      <c r="AM426" s="710"/>
      <c r="AN426" s="710"/>
      <c r="AO426" s="710"/>
      <c r="AP426" s="710"/>
      <c r="AQ426" s="710"/>
      <c r="AR426" s="710"/>
      <c r="AS426" s="710"/>
      <c r="AT426" s="710"/>
      <c r="AU426" s="1829"/>
      <c r="AV426" s="1835"/>
      <c r="AW426" s="1836"/>
      <c r="AX426" s="1836"/>
      <c r="AY426" s="1836"/>
      <c r="AZ426" s="1825"/>
      <c r="BA426" s="1825"/>
    </row>
    <row r="427" spans="2:53" s="188" customFormat="1" ht="24.95" customHeight="1">
      <c r="B427" s="281"/>
      <c r="C427" s="168"/>
      <c r="D427" s="168"/>
      <c r="E427" s="168"/>
      <c r="F427" s="227"/>
      <c r="G427" s="660"/>
      <c r="H427" s="253"/>
      <c r="I427" s="212"/>
      <c r="N427" s="212"/>
      <c r="O427" s="1557"/>
      <c r="P427" s="1558"/>
      <c r="Q427" s="661"/>
      <c r="R427" s="655"/>
      <c r="S427" s="655"/>
      <c r="T427" s="655"/>
      <c r="U427" s="655"/>
      <c r="V427" s="655"/>
      <c r="W427" s="655"/>
      <c r="Y427" s="1827"/>
      <c r="Z427" s="1828"/>
      <c r="AA427" s="1829"/>
      <c r="AB427" s="1829"/>
      <c r="AC427" s="1829"/>
      <c r="AD427" s="1564"/>
      <c r="AE427" s="701"/>
      <c r="AF427" s="684"/>
      <c r="AG427" s="684"/>
      <c r="AH427" s="710"/>
      <c r="AI427" s="710"/>
      <c r="AJ427" s="710"/>
      <c r="AK427" s="710"/>
      <c r="AL427" s="710"/>
      <c r="AM427" s="710"/>
      <c r="AN427" s="710"/>
      <c r="AO427" s="710"/>
      <c r="AP427" s="710"/>
      <c r="AQ427" s="710"/>
      <c r="AR427" s="710"/>
      <c r="AS427" s="710"/>
      <c r="AT427" s="710"/>
      <c r="AU427" s="1829"/>
      <c r="AV427" s="1835"/>
      <c r="AW427" s="1836"/>
      <c r="AX427" s="1836"/>
      <c r="AY427" s="1836"/>
      <c r="AZ427" s="1825"/>
      <c r="BA427" s="1825"/>
    </row>
    <row r="428" spans="2:53" s="188" customFormat="1" ht="24.95" customHeight="1">
      <c r="B428" s="281"/>
      <c r="C428" s="168"/>
      <c r="D428" s="168"/>
      <c r="E428" s="168"/>
      <c r="F428" s="227"/>
      <c r="G428" s="660"/>
      <c r="H428" s="253"/>
      <c r="I428" s="212"/>
      <c r="N428" s="212"/>
      <c r="O428" s="1557"/>
      <c r="P428" s="1558"/>
      <c r="Q428" s="661"/>
      <c r="R428" s="655"/>
      <c r="S428" s="655"/>
      <c r="T428" s="655"/>
      <c r="U428" s="655"/>
      <c r="V428" s="655"/>
      <c r="W428" s="655"/>
      <c r="Y428" s="1827"/>
      <c r="Z428" s="1828"/>
      <c r="AA428" s="1829"/>
      <c r="AB428" s="1829"/>
      <c r="AC428" s="1829"/>
      <c r="AD428" s="1564"/>
      <c r="AE428" s="701"/>
      <c r="AF428" s="684"/>
      <c r="AG428" s="684"/>
      <c r="AH428" s="710"/>
      <c r="AI428" s="710"/>
      <c r="AJ428" s="710"/>
      <c r="AK428" s="710"/>
      <c r="AL428" s="710"/>
      <c r="AM428" s="710"/>
      <c r="AN428" s="710"/>
      <c r="AO428" s="710"/>
      <c r="AP428" s="710"/>
      <c r="AQ428" s="710"/>
      <c r="AR428" s="710"/>
      <c r="AS428" s="710"/>
      <c r="AT428" s="710"/>
      <c r="AU428" s="1829"/>
      <c r="AV428" s="1835"/>
      <c r="AW428" s="1836"/>
      <c r="AX428" s="1836"/>
      <c r="AY428" s="1836"/>
      <c r="AZ428" s="1825"/>
      <c r="BA428" s="1825"/>
    </row>
    <row r="429" spans="2:53" s="188" customFormat="1" ht="24.95" customHeight="1">
      <c r="B429" s="281"/>
      <c r="C429" s="168"/>
      <c r="D429" s="168"/>
      <c r="E429" s="168"/>
      <c r="F429" s="227"/>
      <c r="G429" s="660"/>
      <c r="H429" s="253"/>
      <c r="I429" s="212"/>
      <c r="N429" s="212"/>
      <c r="O429" s="1557"/>
      <c r="P429" s="1558"/>
      <c r="Q429" s="661"/>
      <c r="R429" s="655"/>
      <c r="S429" s="655"/>
      <c r="T429" s="655"/>
      <c r="U429" s="655"/>
      <c r="V429" s="655"/>
      <c r="W429" s="655"/>
      <c r="Y429" s="1827"/>
      <c r="Z429" s="1828"/>
      <c r="AA429" s="1829"/>
      <c r="AB429" s="1829"/>
      <c r="AC429" s="1829"/>
      <c r="AD429" s="1564"/>
      <c r="AE429" s="701"/>
      <c r="AF429" s="684"/>
      <c r="AG429" s="684"/>
      <c r="AH429" s="710"/>
      <c r="AI429" s="710"/>
      <c r="AJ429" s="710"/>
      <c r="AK429" s="710"/>
      <c r="AL429" s="710"/>
      <c r="AM429" s="710"/>
      <c r="AN429" s="710"/>
      <c r="AO429" s="710"/>
      <c r="AP429" s="710"/>
      <c r="AQ429" s="710"/>
      <c r="AR429" s="710"/>
      <c r="AS429" s="710"/>
      <c r="AT429" s="710"/>
      <c r="AU429" s="1829"/>
      <c r="AV429" s="1835"/>
      <c r="AW429" s="1836"/>
      <c r="AX429" s="1836"/>
      <c r="AY429" s="1836"/>
      <c r="AZ429" s="1825"/>
      <c r="BA429" s="1825"/>
    </row>
    <row r="430" spans="2:53" s="188" customFormat="1" ht="24.95" customHeight="1">
      <c r="B430" s="281"/>
      <c r="C430" s="168"/>
      <c r="D430" s="168"/>
      <c r="E430" s="168"/>
      <c r="F430" s="227"/>
      <c r="G430" s="660"/>
      <c r="H430" s="253"/>
      <c r="I430" s="212"/>
      <c r="N430" s="212"/>
      <c r="O430" s="1557"/>
      <c r="P430" s="1558"/>
      <c r="Q430" s="661"/>
      <c r="R430" s="655"/>
      <c r="S430" s="655"/>
      <c r="T430" s="655"/>
      <c r="U430" s="655"/>
      <c r="V430" s="655"/>
      <c r="W430" s="655"/>
      <c r="Y430" s="1827"/>
      <c r="Z430" s="1828"/>
      <c r="AA430" s="1829"/>
      <c r="AB430" s="1829"/>
      <c r="AC430" s="1829"/>
      <c r="AD430" s="1564"/>
      <c r="AE430" s="701"/>
      <c r="AF430" s="684"/>
      <c r="AG430" s="684"/>
      <c r="AH430" s="710"/>
      <c r="AI430" s="710"/>
      <c r="AJ430" s="710"/>
      <c r="AK430" s="710"/>
      <c r="AL430" s="710"/>
      <c r="AM430" s="710"/>
      <c r="AN430" s="710"/>
      <c r="AO430" s="710"/>
      <c r="AP430" s="710"/>
      <c r="AQ430" s="710"/>
      <c r="AR430" s="710"/>
      <c r="AS430" s="710"/>
      <c r="AT430" s="710"/>
      <c r="AU430" s="1829"/>
      <c r="AV430" s="1835"/>
      <c r="AW430" s="1836"/>
      <c r="AX430" s="1836"/>
      <c r="AY430" s="1836"/>
      <c r="AZ430" s="1825"/>
      <c r="BA430" s="1825"/>
    </row>
    <row r="431" spans="2:53" s="188" customFormat="1" ht="24.95" customHeight="1">
      <c r="B431" s="281"/>
      <c r="C431" s="168"/>
      <c r="D431" s="168"/>
      <c r="E431" s="168"/>
      <c r="F431" s="227"/>
      <c r="G431" s="660"/>
      <c r="H431" s="253"/>
      <c r="I431" s="212"/>
      <c r="N431" s="212"/>
      <c r="O431" s="1557"/>
      <c r="P431" s="1558"/>
      <c r="Q431" s="661"/>
      <c r="R431" s="655"/>
      <c r="S431" s="655"/>
      <c r="T431" s="655"/>
      <c r="U431" s="655"/>
      <c r="V431" s="655"/>
      <c r="W431" s="655"/>
      <c r="Y431" s="1827"/>
      <c r="Z431" s="1828"/>
      <c r="AA431" s="1829"/>
      <c r="AB431" s="1829"/>
      <c r="AC431" s="1829"/>
      <c r="AD431" s="1564"/>
      <c r="AE431" s="701"/>
      <c r="AF431" s="684"/>
      <c r="AG431" s="684"/>
      <c r="AH431" s="710"/>
      <c r="AI431" s="710"/>
      <c r="AJ431" s="710"/>
      <c r="AK431" s="710"/>
      <c r="AL431" s="710"/>
      <c r="AM431" s="710"/>
      <c r="AN431" s="710"/>
      <c r="AO431" s="710"/>
      <c r="AP431" s="710"/>
      <c r="AQ431" s="710"/>
      <c r="AR431" s="710"/>
      <c r="AS431" s="710"/>
      <c r="AT431" s="710"/>
      <c r="AU431" s="1829"/>
      <c r="AV431" s="1835"/>
      <c r="AW431" s="1836"/>
      <c r="AX431" s="1836"/>
      <c r="AY431" s="1836"/>
      <c r="AZ431" s="1825"/>
      <c r="BA431" s="1825"/>
    </row>
    <row r="432" spans="2:53" s="188" customFormat="1" ht="24.95" customHeight="1">
      <c r="B432" s="281"/>
      <c r="C432" s="168"/>
      <c r="D432" s="168"/>
      <c r="E432" s="168"/>
      <c r="F432" s="227"/>
      <c r="G432" s="660"/>
      <c r="H432" s="253"/>
      <c r="I432" s="212"/>
      <c r="N432" s="212"/>
      <c r="O432" s="1557"/>
      <c r="P432" s="1558"/>
      <c r="Q432" s="661"/>
      <c r="R432" s="655"/>
      <c r="S432" s="655"/>
      <c r="T432" s="655"/>
      <c r="U432" s="655"/>
      <c r="V432" s="655"/>
      <c r="W432" s="655"/>
      <c r="Y432" s="1827"/>
      <c r="Z432" s="1828"/>
      <c r="AA432" s="1829"/>
      <c r="AB432" s="1829"/>
      <c r="AC432" s="1829"/>
      <c r="AD432" s="1564"/>
      <c r="AE432" s="701"/>
      <c r="AF432" s="684"/>
      <c r="AG432" s="684"/>
      <c r="AH432" s="710"/>
      <c r="AI432" s="710"/>
      <c r="AJ432" s="710"/>
      <c r="AK432" s="710"/>
      <c r="AL432" s="710"/>
      <c r="AM432" s="710"/>
      <c r="AN432" s="710"/>
      <c r="AO432" s="710"/>
      <c r="AP432" s="710"/>
      <c r="AQ432" s="710"/>
      <c r="AR432" s="710"/>
      <c r="AS432" s="710"/>
      <c r="AT432" s="710"/>
      <c r="AU432" s="1829"/>
      <c r="AV432" s="1835"/>
      <c r="AW432" s="1836"/>
      <c r="AX432" s="1836"/>
      <c r="AY432" s="1836"/>
      <c r="AZ432" s="1825"/>
      <c r="BA432" s="1825"/>
    </row>
    <row r="433" spans="2:53" s="188" customFormat="1" ht="24.95" customHeight="1">
      <c r="B433" s="281"/>
      <c r="C433" s="168"/>
      <c r="D433" s="168"/>
      <c r="E433" s="168"/>
      <c r="F433" s="227"/>
      <c r="G433" s="660"/>
      <c r="H433" s="253"/>
      <c r="I433" s="212"/>
      <c r="N433" s="212"/>
      <c r="O433" s="1557"/>
      <c r="P433" s="1558"/>
      <c r="Q433" s="661"/>
      <c r="R433" s="655"/>
      <c r="S433" s="655"/>
      <c r="T433" s="655"/>
      <c r="U433" s="655"/>
      <c r="V433" s="655"/>
      <c r="W433" s="655"/>
      <c r="Y433" s="1827"/>
      <c r="Z433" s="1828"/>
      <c r="AA433" s="1829"/>
      <c r="AB433" s="1829"/>
      <c r="AC433" s="1829"/>
      <c r="AD433" s="1564"/>
      <c r="AE433" s="701"/>
      <c r="AF433" s="684"/>
      <c r="AG433" s="684"/>
      <c r="AH433" s="710"/>
      <c r="AI433" s="710"/>
      <c r="AJ433" s="710"/>
      <c r="AK433" s="710"/>
      <c r="AL433" s="710"/>
      <c r="AM433" s="710"/>
      <c r="AN433" s="710"/>
      <c r="AO433" s="710"/>
      <c r="AP433" s="710"/>
      <c r="AQ433" s="710"/>
      <c r="AR433" s="710"/>
      <c r="AS433" s="710"/>
      <c r="AT433" s="710"/>
      <c r="AU433" s="1829"/>
      <c r="AV433" s="1835"/>
      <c r="AW433" s="1836"/>
      <c r="AX433" s="1836"/>
      <c r="AY433" s="1836"/>
      <c r="AZ433" s="1825"/>
      <c r="BA433" s="1825"/>
    </row>
    <row r="434" spans="2:53" s="188" customFormat="1" ht="24.95" customHeight="1">
      <c r="B434" s="281"/>
      <c r="C434" s="168"/>
      <c r="D434" s="168"/>
      <c r="E434" s="168"/>
      <c r="F434" s="227"/>
      <c r="G434" s="660"/>
      <c r="H434" s="253"/>
      <c r="I434" s="212"/>
      <c r="N434" s="212"/>
      <c r="O434" s="1557"/>
      <c r="P434" s="1558"/>
      <c r="Q434" s="661"/>
      <c r="R434" s="655"/>
      <c r="S434" s="655"/>
      <c r="T434" s="655"/>
      <c r="U434" s="655"/>
      <c r="V434" s="655"/>
      <c r="W434" s="655"/>
      <c r="Y434" s="1827"/>
      <c r="Z434" s="1828"/>
      <c r="AA434" s="1829"/>
      <c r="AB434" s="1829"/>
      <c r="AC434" s="1829"/>
      <c r="AD434" s="1564"/>
      <c r="AE434" s="701"/>
      <c r="AF434" s="684"/>
      <c r="AG434" s="684"/>
      <c r="AH434" s="710"/>
      <c r="AI434" s="710"/>
      <c r="AJ434" s="710"/>
      <c r="AK434" s="710"/>
      <c r="AL434" s="710"/>
      <c r="AM434" s="710"/>
      <c r="AN434" s="710"/>
      <c r="AO434" s="710"/>
      <c r="AP434" s="710"/>
      <c r="AQ434" s="710"/>
      <c r="AR434" s="710"/>
      <c r="AS434" s="710"/>
      <c r="AT434" s="710"/>
      <c r="AU434" s="1829"/>
      <c r="AV434" s="1835"/>
      <c r="AW434" s="1836"/>
      <c r="AX434" s="1836"/>
      <c r="AY434" s="1836"/>
      <c r="AZ434" s="1825"/>
      <c r="BA434" s="1825"/>
    </row>
    <row r="435" spans="2:53" s="188" customFormat="1" ht="24.95" customHeight="1">
      <c r="B435" s="281"/>
      <c r="C435" s="168"/>
      <c r="D435" s="168"/>
      <c r="E435" s="168"/>
      <c r="F435" s="227"/>
      <c r="G435" s="660"/>
      <c r="H435" s="253"/>
      <c r="I435" s="212"/>
      <c r="N435" s="212"/>
      <c r="O435" s="1557"/>
      <c r="P435" s="1558"/>
      <c r="Q435" s="661"/>
      <c r="R435" s="655"/>
      <c r="S435" s="655"/>
      <c r="T435" s="655"/>
      <c r="U435" s="655"/>
      <c r="V435" s="655"/>
      <c r="W435" s="655"/>
      <c r="Y435" s="1827"/>
      <c r="Z435" s="1828"/>
      <c r="AA435" s="1829"/>
      <c r="AB435" s="1829"/>
      <c r="AC435" s="1829"/>
      <c r="AD435" s="1564"/>
      <c r="AE435" s="701"/>
      <c r="AF435" s="684"/>
      <c r="AG435" s="684"/>
      <c r="AH435" s="710"/>
      <c r="AI435" s="710"/>
      <c r="AJ435" s="710"/>
      <c r="AK435" s="710"/>
      <c r="AL435" s="710"/>
      <c r="AM435" s="710"/>
      <c r="AN435" s="710"/>
      <c r="AO435" s="710"/>
      <c r="AP435" s="710"/>
      <c r="AQ435" s="710"/>
      <c r="AR435" s="710"/>
      <c r="AS435" s="710"/>
      <c r="AT435" s="710"/>
      <c r="AU435" s="1829"/>
      <c r="AV435" s="1835"/>
      <c r="AW435" s="1836"/>
      <c r="AX435" s="1836"/>
      <c r="AY435" s="1836"/>
      <c r="AZ435" s="1825"/>
      <c r="BA435" s="1825"/>
    </row>
    <row r="436" spans="2:53" s="188" customFormat="1" ht="24.95" customHeight="1">
      <c r="B436" s="281"/>
      <c r="C436" s="168"/>
      <c r="D436" s="168"/>
      <c r="E436" s="168"/>
      <c r="F436" s="227"/>
      <c r="G436" s="660"/>
      <c r="H436" s="253"/>
      <c r="I436" s="212"/>
      <c r="N436" s="212"/>
      <c r="O436" s="1557"/>
      <c r="P436" s="1558"/>
      <c r="Q436" s="661"/>
      <c r="R436" s="655"/>
      <c r="S436" s="655"/>
      <c r="T436" s="655"/>
      <c r="U436" s="655"/>
      <c r="V436" s="655"/>
      <c r="W436" s="655"/>
      <c r="Y436" s="1827"/>
      <c r="Z436" s="1828"/>
      <c r="AA436" s="1829"/>
      <c r="AB436" s="1829"/>
      <c r="AC436" s="1829"/>
      <c r="AD436" s="1564"/>
      <c r="AE436" s="701"/>
      <c r="AF436" s="684"/>
      <c r="AG436" s="684"/>
      <c r="AH436" s="710"/>
      <c r="AI436" s="710"/>
      <c r="AJ436" s="710"/>
      <c r="AK436" s="710"/>
      <c r="AL436" s="710"/>
      <c r="AM436" s="710"/>
      <c r="AN436" s="710"/>
      <c r="AO436" s="710"/>
      <c r="AP436" s="710"/>
      <c r="AQ436" s="710"/>
      <c r="AR436" s="710"/>
      <c r="AS436" s="710"/>
      <c r="AT436" s="710"/>
      <c r="AU436" s="1829"/>
      <c r="AV436" s="1835"/>
      <c r="AW436" s="1836"/>
      <c r="AX436" s="1836"/>
      <c r="AY436" s="1836"/>
      <c r="AZ436" s="1825"/>
      <c r="BA436" s="1825"/>
    </row>
    <row r="437" spans="2:53" s="188" customFormat="1" ht="24.95" customHeight="1">
      <c r="B437" s="281"/>
      <c r="C437" s="168"/>
      <c r="D437" s="168"/>
      <c r="E437" s="168"/>
      <c r="F437" s="227"/>
      <c r="G437" s="660"/>
      <c r="H437" s="253"/>
      <c r="I437" s="212"/>
      <c r="N437" s="212"/>
      <c r="O437" s="1557"/>
      <c r="P437" s="1558"/>
      <c r="Q437" s="661"/>
      <c r="R437" s="655"/>
      <c r="S437" s="655"/>
      <c r="T437" s="655"/>
      <c r="U437" s="655"/>
      <c r="V437" s="655"/>
      <c r="W437" s="655"/>
      <c r="Y437" s="1827"/>
      <c r="Z437" s="1828"/>
      <c r="AA437" s="1829"/>
      <c r="AB437" s="1829"/>
      <c r="AC437" s="1829"/>
      <c r="AD437" s="1564"/>
      <c r="AE437" s="701"/>
      <c r="AF437" s="684"/>
      <c r="AG437" s="684"/>
      <c r="AH437" s="710"/>
      <c r="AI437" s="710"/>
      <c r="AJ437" s="710"/>
      <c r="AK437" s="710"/>
      <c r="AL437" s="710"/>
      <c r="AM437" s="710"/>
      <c r="AN437" s="710"/>
      <c r="AO437" s="710"/>
      <c r="AP437" s="710"/>
      <c r="AQ437" s="710"/>
      <c r="AR437" s="710"/>
      <c r="AS437" s="710"/>
      <c r="AT437" s="710"/>
      <c r="AU437" s="1829"/>
      <c r="AV437" s="1835"/>
      <c r="AW437" s="1836"/>
      <c r="AX437" s="1836"/>
      <c r="AY437" s="1836"/>
      <c r="AZ437" s="1825"/>
      <c r="BA437" s="1825"/>
    </row>
    <row r="438" spans="2:53" s="188" customFormat="1" ht="24.95" customHeight="1">
      <c r="B438" s="281"/>
      <c r="C438" s="168"/>
      <c r="D438" s="168"/>
      <c r="E438" s="168"/>
      <c r="F438" s="227"/>
      <c r="G438" s="660"/>
      <c r="H438" s="253"/>
      <c r="I438" s="212"/>
      <c r="N438" s="212"/>
      <c r="O438" s="1557"/>
      <c r="P438" s="1558"/>
      <c r="Q438" s="661"/>
      <c r="R438" s="655"/>
      <c r="S438" s="655"/>
      <c r="T438" s="655"/>
      <c r="U438" s="655"/>
      <c r="V438" s="655"/>
      <c r="W438" s="655"/>
      <c r="Y438" s="1827"/>
      <c r="Z438" s="1828"/>
      <c r="AA438" s="1829"/>
      <c r="AB438" s="1829"/>
      <c r="AC438" s="1829"/>
      <c r="AD438" s="1564"/>
      <c r="AE438" s="701"/>
      <c r="AF438" s="684"/>
      <c r="AG438" s="684"/>
      <c r="AH438" s="710"/>
      <c r="AI438" s="710"/>
      <c r="AJ438" s="710"/>
      <c r="AK438" s="710"/>
      <c r="AL438" s="710"/>
      <c r="AM438" s="710"/>
      <c r="AN438" s="710"/>
      <c r="AO438" s="710"/>
      <c r="AP438" s="710"/>
      <c r="AQ438" s="710"/>
      <c r="AR438" s="710"/>
      <c r="AS438" s="710"/>
      <c r="AT438" s="710"/>
      <c r="AU438" s="1829"/>
      <c r="AV438" s="1835"/>
      <c r="AW438" s="1836"/>
      <c r="AX438" s="1836"/>
      <c r="AY438" s="1836"/>
      <c r="AZ438" s="1825"/>
      <c r="BA438" s="1825"/>
    </row>
    <row r="439" spans="2:53" s="188" customFormat="1" ht="24.95" customHeight="1">
      <c r="B439" s="281"/>
      <c r="C439" s="168"/>
      <c r="D439" s="168"/>
      <c r="E439" s="168"/>
      <c r="F439" s="227"/>
      <c r="G439" s="660"/>
      <c r="H439" s="253"/>
      <c r="I439" s="212"/>
      <c r="N439" s="212"/>
      <c r="O439" s="1557"/>
      <c r="P439" s="1558"/>
      <c r="Q439" s="661"/>
      <c r="R439" s="655"/>
      <c r="S439" s="655"/>
      <c r="T439" s="655"/>
      <c r="U439" s="655"/>
      <c r="V439" s="655"/>
      <c r="W439" s="655"/>
      <c r="Y439" s="1827"/>
      <c r="Z439" s="1828"/>
      <c r="AA439" s="1829"/>
      <c r="AB439" s="1829"/>
      <c r="AC439" s="1829"/>
      <c r="AD439" s="1564"/>
      <c r="AE439" s="701"/>
      <c r="AF439" s="684"/>
      <c r="AG439" s="684"/>
      <c r="AH439" s="710"/>
      <c r="AI439" s="710"/>
      <c r="AJ439" s="710"/>
      <c r="AK439" s="710"/>
      <c r="AL439" s="710"/>
      <c r="AM439" s="710"/>
      <c r="AN439" s="710"/>
      <c r="AO439" s="710"/>
      <c r="AP439" s="710"/>
      <c r="AQ439" s="710"/>
      <c r="AR439" s="710"/>
      <c r="AS439" s="710"/>
      <c r="AT439" s="710"/>
      <c r="AU439" s="1829"/>
      <c r="AV439" s="1835"/>
      <c r="AW439" s="1836"/>
      <c r="AX439" s="1836"/>
      <c r="AY439" s="1836"/>
      <c r="AZ439" s="1825"/>
      <c r="BA439" s="1825"/>
    </row>
    <row r="440" spans="2:53" s="188" customFormat="1" ht="24.95" customHeight="1">
      <c r="B440" s="281"/>
      <c r="C440" s="168"/>
      <c r="D440" s="168"/>
      <c r="E440" s="168"/>
      <c r="F440" s="227"/>
      <c r="G440" s="660"/>
      <c r="H440" s="253"/>
      <c r="I440" s="212"/>
      <c r="N440" s="212"/>
      <c r="O440" s="1557"/>
      <c r="P440" s="1558"/>
      <c r="Q440" s="661"/>
      <c r="R440" s="655"/>
      <c r="S440" s="655"/>
      <c r="T440" s="655"/>
      <c r="U440" s="655"/>
      <c r="V440" s="655"/>
      <c r="W440" s="655"/>
      <c r="Y440" s="1827"/>
      <c r="Z440" s="1828"/>
      <c r="AA440" s="1829"/>
      <c r="AB440" s="1829"/>
      <c r="AC440" s="1829"/>
      <c r="AD440" s="1564"/>
      <c r="AE440" s="701"/>
      <c r="AF440" s="684"/>
      <c r="AG440" s="684"/>
      <c r="AH440" s="710"/>
      <c r="AI440" s="710"/>
      <c r="AJ440" s="710"/>
      <c r="AK440" s="710"/>
      <c r="AL440" s="710"/>
      <c r="AM440" s="710"/>
      <c r="AN440" s="710"/>
      <c r="AO440" s="710"/>
      <c r="AP440" s="710"/>
      <c r="AQ440" s="710"/>
      <c r="AR440" s="710"/>
      <c r="AS440" s="710"/>
      <c r="AT440" s="710"/>
      <c r="AU440" s="1829"/>
      <c r="AV440" s="1835"/>
      <c r="AW440" s="1836"/>
      <c r="AX440" s="1836"/>
      <c r="AY440" s="1836"/>
      <c r="AZ440" s="1825"/>
      <c r="BA440" s="1825"/>
    </row>
    <row r="441" spans="2:53" s="188" customFormat="1" ht="24.95" customHeight="1">
      <c r="B441" s="281"/>
      <c r="C441" s="168"/>
      <c r="D441" s="168"/>
      <c r="E441" s="168"/>
      <c r="F441" s="227"/>
      <c r="G441" s="660"/>
      <c r="H441" s="253"/>
      <c r="I441" s="212"/>
      <c r="N441" s="212"/>
      <c r="O441" s="1557"/>
      <c r="P441" s="1558"/>
      <c r="Q441" s="661"/>
      <c r="R441" s="655"/>
      <c r="S441" s="655"/>
      <c r="T441" s="655"/>
      <c r="U441" s="655"/>
      <c r="V441" s="655"/>
      <c r="W441" s="655"/>
      <c r="Y441" s="1827"/>
      <c r="Z441" s="1828"/>
      <c r="AA441" s="1829"/>
      <c r="AB441" s="1829"/>
      <c r="AC441" s="1829"/>
      <c r="AD441" s="1564"/>
      <c r="AE441" s="701"/>
      <c r="AF441" s="684"/>
      <c r="AG441" s="684"/>
      <c r="AH441" s="710"/>
      <c r="AI441" s="710"/>
      <c r="AJ441" s="710"/>
      <c r="AK441" s="710"/>
      <c r="AL441" s="710"/>
      <c r="AM441" s="710"/>
      <c r="AN441" s="710"/>
      <c r="AO441" s="710"/>
      <c r="AP441" s="710"/>
      <c r="AQ441" s="710"/>
      <c r="AR441" s="710"/>
      <c r="AS441" s="710"/>
      <c r="AT441" s="710"/>
      <c r="AU441" s="1829"/>
      <c r="AV441" s="1835"/>
      <c r="AW441" s="1836"/>
      <c r="AX441" s="1836"/>
      <c r="AY441" s="1836"/>
      <c r="AZ441" s="1825"/>
      <c r="BA441" s="1825"/>
    </row>
    <row r="442" spans="2:53" s="188" customFormat="1" ht="24.95" customHeight="1">
      <c r="B442" s="281"/>
      <c r="C442" s="168"/>
      <c r="D442" s="168"/>
      <c r="E442" s="168"/>
      <c r="F442" s="227"/>
      <c r="G442" s="660"/>
      <c r="H442" s="253"/>
      <c r="I442" s="212"/>
      <c r="N442" s="212"/>
      <c r="O442" s="1557"/>
      <c r="P442" s="1558"/>
      <c r="Q442" s="661"/>
      <c r="R442" s="655"/>
      <c r="S442" s="655"/>
      <c r="T442" s="655"/>
      <c r="U442" s="655"/>
      <c r="V442" s="655"/>
      <c r="W442" s="655"/>
      <c r="Y442" s="1827"/>
      <c r="Z442" s="1828"/>
      <c r="AA442" s="1829"/>
      <c r="AB442" s="1829"/>
      <c r="AC442" s="1829"/>
      <c r="AD442" s="1564"/>
      <c r="AE442" s="701"/>
      <c r="AF442" s="684"/>
      <c r="AG442" s="684"/>
      <c r="AH442" s="710"/>
      <c r="AI442" s="710"/>
      <c r="AJ442" s="710"/>
      <c r="AK442" s="710"/>
      <c r="AL442" s="710"/>
      <c r="AM442" s="710"/>
      <c r="AN442" s="710"/>
      <c r="AO442" s="710"/>
      <c r="AP442" s="710"/>
      <c r="AQ442" s="710"/>
      <c r="AR442" s="710"/>
      <c r="AS442" s="710"/>
      <c r="AT442" s="710"/>
      <c r="AU442" s="1829"/>
      <c r="AV442" s="1835"/>
      <c r="AW442" s="1836"/>
      <c r="AX442" s="1836"/>
      <c r="AY442" s="1836"/>
      <c r="AZ442" s="1825"/>
      <c r="BA442" s="1825"/>
    </row>
    <row r="443" spans="2:53" s="188" customFormat="1" ht="24.95" customHeight="1">
      <c r="B443" s="281"/>
      <c r="C443" s="168"/>
      <c r="D443" s="168"/>
      <c r="E443" s="168"/>
      <c r="F443" s="227"/>
      <c r="G443" s="660"/>
      <c r="H443" s="253"/>
      <c r="I443" s="212"/>
      <c r="N443" s="212"/>
      <c r="O443" s="1557"/>
      <c r="P443" s="1558"/>
      <c r="Q443" s="661"/>
      <c r="R443" s="655"/>
      <c r="S443" s="655"/>
      <c r="T443" s="655"/>
      <c r="U443" s="655"/>
      <c r="V443" s="655"/>
      <c r="W443" s="655"/>
      <c r="Y443" s="1827"/>
      <c r="Z443" s="1828"/>
      <c r="AA443" s="1829"/>
      <c r="AB443" s="1829"/>
      <c r="AC443" s="1829"/>
      <c r="AD443" s="1564"/>
      <c r="AE443" s="701"/>
      <c r="AF443" s="684"/>
      <c r="AG443" s="684"/>
      <c r="AH443" s="710"/>
      <c r="AI443" s="710"/>
      <c r="AJ443" s="710"/>
      <c r="AK443" s="710"/>
      <c r="AL443" s="710"/>
      <c r="AM443" s="710"/>
      <c r="AN443" s="710"/>
      <c r="AO443" s="710"/>
      <c r="AP443" s="710"/>
      <c r="AQ443" s="710"/>
      <c r="AR443" s="710"/>
      <c r="AS443" s="710"/>
      <c r="AT443" s="710"/>
      <c r="AU443" s="1829"/>
      <c r="AV443" s="1835"/>
      <c r="AW443" s="1836"/>
      <c r="AX443" s="1836"/>
      <c r="AY443" s="1836"/>
      <c r="AZ443" s="1825"/>
      <c r="BA443" s="1825"/>
    </row>
    <row r="444" spans="2:53" s="188" customFormat="1" ht="24.95" customHeight="1">
      <c r="B444" s="281"/>
      <c r="C444" s="168"/>
      <c r="D444" s="168"/>
      <c r="E444" s="168"/>
      <c r="F444" s="227"/>
      <c r="G444" s="660"/>
      <c r="H444" s="253"/>
      <c r="I444" s="212"/>
      <c r="N444" s="212"/>
      <c r="O444" s="1557"/>
      <c r="P444" s="1558"/>
      <c r="Q444" s="661"/>
      <c r="R444" s="655"/>
      <c r="S444" s="655"/>
      <c r="T444" s="655"/>
      <c r="U444" s="655"/>
      <c r="V444" s="655"/>
      <c r="W444" s="655"/>
      <c r="Y444" s="1827"/>
      <c r="Z444" s="1828"/>
      <c r="AA444" s="1829"/>
      <c r="AB444" s="1829"/>
      <c r="AC444" s="1829"/>
      <c r="AD444" s="1564"/>
      <c r="AE444" s="701"/>
      <c r="AF444" s="684"/>
      <c r="AG444" s="684"/>
      <c r="AH444" s="710"/>
      <c r="AI444" s="710"/>
      <c r="AJ444" s="710"/>
      <c r="AK444" s="710"/>
      <c r="AL444" s="710"/>
      <c r="AM444" s="710"/>
      <c r="AN444" s="710"/>
      <c r="AO444" s="710"/>
      <c r="AP444" s="710"/>
      <c r="AQ444" s="710"/>
      <c r="AR444" s="710"/>
      <c r="AS444" s="710"/>
      <c r="AT444" s="710"/>
      <c r="AU444" s="1829"/>
      <c r="AV444" s="1835"/>
      <c r="AW444" s="1836"/>
      <c r="AX444" s="1836"/>
      <c r="AY444" s="1836"/>
      <c r="AZ444" s="1825"/>
      <c r="BA444" s="1825"/>
    </row>
    <row r="445" spans="2:53" s="188" customFormat="1" ht="24.95" customHeight="1">
      <c r="B445" s="281"/>
      <c r="C445" s="168"/>
      <c r="D445" s="168"/>
      <c r="E445" s="168"/>
      <c r="F445" s="227"/>
      <c r="G445" s="660"/>
      <c r="H445" s="253"/>
      <c r="I445" s="212"/>
      <c r="N445" s="212"/>
      <c r="O445" s="1557"/>
      <c r="P445" s="1558"/>
      <c r="Q445" s="661"/>
      <c r="R445" s="655"/>
      <c r="S445" s="655"/>
      <c r="T445" s="655"/>
      <c r="U445" s="655"/>
      <c r="V445" s="655"/>
      <c r="W445" s="655"/>
      <c r="Y445" s="1827"/>
      <c r="Z445" s="1828"/>
      <c r="AA445" s="1829"/>
      <c r="AB445" s="1829"/>
      <c r="AC445" s="1829"/>
      <c r="AD445" s="1564"/>
      <c r="AE445" s="701"/>
      <c r="AF445" s="684"/>
      <c r="AG445" s="684"/>
      <c r="AH445" s="710"/>
      <c r="AI445" s="710"/>
      <c r="AJ445" s="710"/>
      <c r="AK445" s="710"/>
      <c r="AL445" s="710"/>
      <c r="AM445" s="710"/>
      <c r="AN445" s="710"/>
      <c r="AO445" s="710"/>
      <c r="AP445" s="710"/>
      <c r="AQ445" s="710"/>
      <c r="AR445" s="710"/>
      <c r="AS445" s="710"/>
      <c r="AT445" s="710"/>
      <c r="AU445" s="1829"/>
      <c r="AV445" s="1835"/>
      <c r="AW445" s="1836"/>
      <c r="AX445" s="1836"/>
      <c r="AY445" s="1836"/>
      <c r="AZ445" s="1825"/>
      <c r="BA445" s="1825"/>
    </row>
    <row r="446" spans="2:53" s="188" customFormat="1" ht="24.95" customHeight="1">
      <c r="B446" s="281"/>
      <c r="C446" s="168"/>
      <c r="D446" s="168"/>
      <c r="E446" s="168"/>
      <c r="F446" s="227"/>
      <c r="G446" s="660"/>
      <c r="H446" s="253"/>
      <c r="I446" s="212"/>
      <c r="N446" s="212"/>
      <c r="O446" s="1557"/>
      <c r="P446" s="1558"/>
      <c r="Q446" s="661"/>
      <c r="R446" s="655"/>
      <c r="S446" s="655"/>
      <c r="T446" s="655"/>
      <c r="U446" s="655"/>
      <c r="V446" s="655"/>
      <c r="W446" s="655"/>
      <c r="Y446" s="1827"/>
      <c r="Z446" s="1828"/>
      <c r="AA446" s="1829"/>
      <c r="AB446" s="1829"/>
      <c r="AC446" s="1829"/>
      <c r="AD446" s="1564"/>
      <c r="AE446" s="701"/>
      <c r="AF446" s="684"/>
      <c r="AG446" s="684"/>
      <c r="AH446" s="710"/>
      <c r="AI446" s="710"/>
      <c r="AJ446" s="710"/>
      <c r="AK446" s="710"/>
      <c r="AL446" s="710"/>
      <c r="AM446" s="710"/>
      <c r="AN446" s="710"/>
      <c r="AO446" s="710"/>
      <c r="AP446" s="710"/>
      <c r="AQ446" s="710"/>
      <c r="AR446" s="710"/>
      <c r="AS446" s="710"/>
      <c r="AT446" s="710"/>
      <c r="AU446" s="1829"/>
      <c r="AV446" s="1835"/>
      <c r="AW446" s="1836"/>
      <c r="AX446" s="1836"/>
      <c r="AY446" s="1836"/>
      <c r="AZ446" s="1825"/>
      <c r="BA446" s="1825"/>
    </row>
    <row r="447" spans="2:53" s="188" customFormat="1" ht="24.95" customHeight="1">
      <c r="B447" s="281"/>
      <c r="C447" s="168"/>
      <c r="D447" s="168"/>
      <c r="E447" s="168"/>
      <c r="F447" s="227"/>
      <c r="G447" s="660"/>
      <c r="H447" s="253"/>
      <c r="I447" s="212"/>
      <c r="N447" s="212"/>
      <c r="O447" s="1557"/>
      <c r="P447" s="1558"/>
      <c r="Q447" s="661"/>
      <c r="R447" s="655"/>
      <c r="S447" s="655"/>
      <c r="T447" s="655"/>
      <c r="U447" s="655"/>
      <c r="V447" s="655"/>
      <c r="W447" s="655"/>
      <c r="Y447" s="1827"/>
      <c r="Z447" s="1828"/>
      <c r="AA447" s="1829"/>
      <c r="AB447" s="1829"/>
      <c r="AC447" s="1829"/>
      <c r="AD447" s="1564"/>
      <c r="AE447" s="701"/>
      <c r="AF447" s="684"/>
      <c r="AG447" s="684"/>
      <c r="AH447" s="710"/>
      <c r="AI447" s="710"/>
      <c r="AJ447" s="710"/>
      <c r="AK447" s="710"/>
      <c r="AL447" s="710"/>
      <c r="AM447" s="710"/>
      <c r="AN447" s="710"/>
      <c r="AO447" s="710"/>
      <c r="AP447" s="710"/>
      <c r="AQ447" s="710"/>
      <c r="AR447" s="710"/>
      <c r="AS447" s="710"/>
      <c r="AT447" s="710"/>
      <c r="AU447" s="1829"/>
      <c r="AV447" s="1835"/>
      <c r="AW447" s="1836"/>
      <c r="AX447" s="1836"/>
      <c r="AY447" s="1836"/>
      <c r="AZ447" s="1825"/>
      <c r="BA447" s="1825"/>
    </row>
    <row r="448" spans="2:53" s="188" customFormat="1" ht="24.95" customHeight="1">
      <c r="B448" s="281"/>
      <c r="C448" s="168"/>
      <c r="D448" s="168"/>
      <c r="E448" s="168"/>
      <c r="F448" s="227"/>
      <c r="G448" s="660"/>
      <c r="H448" s="253"/>
      <c r="I448" s="212"/>
      <c r="N448" s="212"/>
      <c r="O448" s="1557"/>
      <c r="P448" s="1558"/>
      <c r="Q448" s="661"/>
      <c r="R448" s="655"/>
      <c r="S448" s="655"/>
      <c r="T448" s="655"/>
      <c r="U448" s="655"/>
      <c r="V448" s="655"/>
      <c r="W448" s="655"/>
      <c r="Y448" s="1827"/>
      <c r="Z448" s="1828"/>
      <c r="AA448" s="1829"/>
      <c r="AB448" s="1829"/>
      <c r="AC448" s="1829"/>
      <c r="AD448" s="1564"/>
      <c r="AE448" s="701"/>
      <c r="AF448" s="684"/>
      <c r="AG448" s="684"/>
      <c r="AH448" s="710"/>
      <c r="AI448" s="710"/>
      <c r="AJ448" s="710"/>
      <c r="AK448" s="710"/>
      <c r="AL448" s="710"/>
      <c r="AM448" s="710"/>
      <c r="AN448" s="710"/>
      <c r="AO448" s="710"/>
      <c r="AP448" s="710"/>
      <c r="AQ448" s="710"/>
      <c r="AR448" s="710"/>
      <c r="AS448" s="710"/>
      <c r="AT448" s="710"/>
      <c r="AU448" s="1829"/>
      <c r="AV448" s="1835"/>
      <c r="AW448" s="1836"/>
      <c r="AX448" s="1836"/>
      <c r="AY448" s="1836"/>
      <c r="AZ448" s="1825"/>
      <c r="BA448" s="1825"/>
    </row>
    <row r="449" spans="2:53" s="188" customFormat="1" ht="24.95" customHeight="1">
      <c r="B449" s="281"/>
      <c r="C449" s="168"/>
      <c r="D449" s="168"/>
      <c r="E449" s="168"/>
      <c r="F449" s="227"/>
      <c r="G449" s="660"/>
      <c r="H449" s="253"/>
      <c r="I449" s="212"/>
      <c r="N449" s="212"/>
      <c r="O449" s="1557"/>
      <c r="P449" s="1558"/>
      <c r="Q449" s="661"/>
      <c r="R449" s="655"/>
      <c r="S449" s="655"/>
      <c r="T449" s="655"/>
      <c r="U449" s="655"/>
      <c r="V449" s="655"/>
      <c r="W449" s="655"/>
      <c r="Y449" s="1827"/>
      <c r="Z449" s="1828"/>
      <c r="AA449" s="1829"/>
      <c r="AB449" s="1829"/>
      <c r="AC449" s="1829"/>
      <c r="AD449" s="1564"/>
      <c r="AE449" s="701"/>
      <c r="AF449" s="684"/>
      <c r="AG449" s="684"/>
      <c r="AH449" s="710"/>
      <c r="AI449" s="710"/>
      <c r="AJ449" s="710"/>
      <c r="AK449" s="710"/>
      <c r="AL449" s="710"/>
      <c r="AM449" s="710"/>
      <c r="AN449" s="710"/>
      <c r="AO449" s="710"/>
      <c r="AP449" s="710"/>
      <c r="AQ449" s="710"/>
      <c r="AR449" s="710"/>
      <c r="AS449" s="710"/>
      <c r="AT449" s="710"/>
      <c r="AU449" s="1829"/>
      <c r="AV449" s="1835"/>
      <c r="AW449" s="1836"/>
      <c r="AX449" s="1836"/>
      <c r="AY449" s="1836"/>
      <c r="AZ449" s="1825"/>
      <c r="BA449" s="1825"/>
    </row>
    <row r="450" spans="2:53" s="188" customFormat="1" ht="24.95" customHeight="1">
      <c r="B450" s="281"/>
      <c r="C450" s="168"/>
      <c r="D450" s="168"/>
      <c r="E450" s="168"/>
      <c r="F450" s="227"/>
      <c r="G450" s="660"/>
      <c r="H450" s="253"/>
      <c r="I450" s="212"/>
      <c r="N450" s="212"/>
      <c r="O450" s="1557"/>
      <c r="P450" s="1558"/>
      <c r="Q450" s="661"/>
      <c r="R450" s="655"/>
      <c r="S450" s="655"/>
      <c r="T450" s="655"/>
      <c r="U450" s="655"/>
      <c r="V450" s="655"/>
      <c r="W450" s="655"/>
      <c r="Y450" s="1827"/>
      <c r="Z450" s="1828"/>
      <c r="AA450" s="1829"/>
      <c r="AB450" s="1829"/>
      <c r="AC450" s="1829"/>
      <c r="AD450" s="1564"/>
      <c r="AE450" s="701"/>
      <c r="AF450" s="684"/>
      <c r="AG450" s="684"/>
      <c r="AH450" s="710"/>
      <c r="AI450" s="710"/>
      <c r="AJ450" s="710"/>
      <c r="AK450" s="710"/>
      <c r="AL450" s="710"/>
      <c r="AM450" s="710"/>
      <c r="AN450" s="710"/>
      <c r="AO450" s="710"/>
      <c r="AP450" s="710"/>
      <c r="AQ450" s="710"/>
      <c r="AR450" s="710"/>
      <c r="AS450" s="710"/>
      <c r="AT450" s="710"/>
      <c r="AU450" s="1829"/>
      <c r="AV450" s="1835"/>
      <c r="AW450" s="1836"/>
      <c r="AX450" s="1836"/>
      <c r="AY450" s="1836"/>
      <c r="AZ450" s="1825"/>
      <c r="BA450" s="1825"/>
    </row>
    <row r="451" spans="2:53" s="188" customFormat="1" ht="24.95" customHeight="1">
      <c r="B451" s="281"/>
      <c r="C451" s="168"/>
      <c r="D451" s="168"/>
      <c r="E451" s="168"/>
      <c r="F451" s="227"/>
      <c r="G451" s="660"/>
      <c r="H451" s="253"/>
      <c r="I451" s="212"/>
      <c r="N451" s="212"/>
      <c r="O451" s="1557"/>
      <c r="P451" s="1558"/>
      <c r="Q451" s="661"/>
      <c r="R451" s="655"/>
      <c r="S451" s="655"/>
      <c r="T451" s="655"/>
      <c r="U451" s="655"/>
      <c r="V451" s="655"/>
      <c r="W451" s="655"/>
      <c r="Y451" s="1827"/>
      <c r="Z451" s="1828"/>
      <c r="AA451" s="1829"/>
      <c r="AB451" s="1829"/>
      <c r="AC451" s="1829"/>
      <c r="AD451" s="1564"/>
      <c r="AE451" s="701"/>
      <c r="AF451" s="684"/>
      <c r="AG451" s="684"/>
      <c r="AH451" s="710"/>
      <c r="AI451" s="710"/>
      <c r="AJ451" s="710"/>
      <c r="AK451" s="710"/>
      <c r="AL451" s="710"/>
      <c r="AM451" s="710"/>
      <c r="AN451" s="710"/>
      <c r="AO451" s="710"/>
      <c r="AP451" s="710"/>
      <c r="AQ451" s="710"/>
      <c r="AR451" s="710"/>
      <c r="AS451" s="710"/>
      <c r="AT451" s="710"/>
      <c r="AU451" s="1829"/>
      <c r="AV451" s="1835"/>
      <c r="AW451" s="1836"/>
      <c r="AX451" s="1836"/>
      <c r="AY451" s="1836"/>
      <c r="AZ451" s="1825"/>
      <c r="BA451" s="1825"/>
    </row>
    <row r="452" spans="2:53" s="188" customFormat="1" ht="24.95" customHeight="1">
      <c r="B452" s="281"/>
      <c r="C452" s="168"/>
      <c r="D452" s="168"/>
      <c r="E452" s="168"/>
      <c r="F452" s="227"/>
      <c r="G452" s="660"/>
      <c r="H452" s="253"/>
      <c r="I452" s="212"/>
      <c r="N452" s="212"/>
      <c r="O452" s="1557"/>
      <c r="P452" s="1558"/>
      <c r="Q452" s="661"/>
      <c r="R452" s="655"/>
      <c r="S452" s="655"/>
      <c r="T452" s="655"/>
      <c r="U452" s="655"/>
      <c r="V452" s="655"/>
      <c r="W452" s="655"/>
      <c r="Y452" s="1827"/>
      <c r="Z452" s="1828"/>
      <c r="AA452" s="1829"/>
      <c r="AB452" s="1829"/>
      <c r="AC452" s="1829"/>
      <c r="AD452" s="1564"/>
      <c r="AE452" s="701"/>
      <c r="AF452" s="684"/>
      <c r="AG452" s="684"/>
      <c r="AH452" s="710"/>
      <c r="AI452" s="710"/>
      <c r="AJ452" s="710"/>
      <c r="AK452" s="710"/>
      <c r="AL452" s="710"/>
      <c r="AM452" s="710"/>
      <c r="AN452" s="710"/>
      <c r="AO452" s="710"/>
      <c r="AP452" s="710"/>
      <c r="AQ452" s="710"/>
      <c r="AR452" s="710"/>
      <c r="AS452" s="710"/>
      <c r="AT452" s="710"/>
      <c r="AU452" s="1829"/>
      <c r="AV452" s="1835"/>
      <c r="AW452" s="1836"/>
      <c r="AX452" s="1836"/>
      <c r="AY452" s="1836"/>
      <c r="AZ452" s="1825"/>
      <c r="BA452" s="1825"/>
    </row>
    <row r="453" spans="2:53" s="188" customFormat="1" ht="24.95" customHeight="1">
      <c r="B453" s="281"/>
      <c r="C453" s="168"/>
      <c r="D453" s="168"/>
      <c r="E453" s="168"/>
      <c r="F453" s="227"/>
      <c r="G453" s="660"/>
      <c r="H453" s="253"/>
      <c r="I453" s="212"/>
      <c r="N453" s="212"/>
      <c r="O453" s="1557"/>
      <c r="P453" s="1558"/>
      <c r="Q453" s="661"/>
      <c r="R453" s="655"/>
      <c r="S453" s="655"/>
      <c r="T453" s="655"/>
      <c r="U453" s="655"/>
      <c r="V453" s="655"/>
      <c r="W453" s="655"/>
      <c r="Y453" s="1827"/>
      <c r="Z453" s="1828"/>
      <c r="AA453" s="1829"/>
      <c r="AB453" s="1829"/>
      <c r="AC453" s="1829"/>
      <c r="AD453" s="1564"/>
      <c r="AE453" s="701"/>
      <c r="AF453" s="684"/>
      <c r="AG453" s="684"/>
      <c r="AH453" s="710"/>
      <c r="AI453" s="710"/>
      <c r="AJ453" s="710"/>
      <c r="AK453" s="710"/>
      <c r="AL453" s="710"/>
      <c r="AM453" s="710"/>
      <c r="AN453" s="710"/>
      <c r="AO453" s="710"/>
      <c r="AP453" s="710"/>
      <c r="AQ453" s="710"/>
      <c r="AR453" s="710"/>
      <c r="AS453" s="710"/>
      <c r="AT453" s="710"/>
      <c r="AU453" s="1829"/>
      <c r="AV453" s="1835"/>
      <c r="AW453" s="1836"/>
      <c r="AX453" s="1836"/>
      <c r="AY453" s="1836"/>
      <c r="AZ453" s="1825"/>
      <c r="BA453" s="1825"/>
    </row>
    <row r="454" spans="2:53" s="188" customFormat="1" ht="24.95" customHeight="1">
      <c r="B454" s="281"/>
      <c r="C454" s="168"/>
      <c r="D454" s="168"/>
      <c r="E454" s="168"/>
      <c r="F454" s="227"/>
      <c r="G454" s="660"/>
      <c r="H454" s="253"/>
      <c r="I454" s="212"/>
      <c r="N454" s="212"/>
      <c r="O454" s="1557"/>
      <c r="P454" s="1558"/>
      <c r="Q454" s="661"/>
      <c r="R454" s="655"/>
      <c r="S454" s="655"/>
      <c r="T454" s="655"/>
      <c r="U454" s="655"/>
      <c r="V454" s="655"/>
      <c r="W454" s="655"/>
      <c r="Y454" s="1827"/>
      <c r="Z454" s="1828"/>
      <c r="AA454" s="1829"/>
      <c r="AB454" s="1829"/>
      <c r="AC454" s="1829"/>
      <c r="AD454" s="1564"/>
      <c r="AE454" s="701"/>
      <c r="AF454" s="684"/>
      <c r="AG454" s="684"/>
      <c r="AH454" s="710"/>
      <c r="AI454" s="710"/>
      <c r="AJ454" s="710"/>
      <c r="AK454" s="710"/>
      <c r="AL454" s="710"/>
      <c r="AM454" s="710"/>
      <c r="AN454" s="710"/>
      <c r="AO454" s="710"/>
      <c r="AP454" s="710"/>
      <c r="AQ454" s="710"/>
      <c r="AR454" s="710"/>
      <c r="AS454" s="710"/>
      <c r="AT454" s="710"/>
      <c r="AU454" s="1829"/>
      <c r="AV454" s="1835"/>
      <c r="AW454" s="1836"/>
      <c r="AX454" s="1836"/>
      <c r="AY454" s="1836"/>
      <c r="AZ454" s="1825"/>
      <c r="BA454" s="1825"/>
    </row>
    <row r="455" spans="2:53" s="188" customFormat="1" ht="24.95" customHeight="1">
      <c r="B455" s="281"/>
      <c r="C455" s="168"/>
      <c r="D455" s="168"/>
      <c r="E455" s="168"/>
      <c r="F455" s="227"/>
      <c r="G455" s="660"/>
      <c r="H455" s="253"/>
      <c r="I455" s="212"/>
      <c r="N455" s="212"/>
      <c r="O455" s="1557"/>
      <c r="P455" s="1558"/>
      <c r="Q455" s="661"/>
      <c r="R455" s="655"/>
      <c r="S455" s="655"/>
      <c r="T455" s="655"/>
      <c r="U455" s="655"/>
      <c r="V455" s="655"/>
      <c r="W455" s="655"/>
      <c r="Y455" s="1827"/>
      <c r="Z455" s="1828"/>
      <c r="AA455" s="1829"/>
      <c r="AB455" s="1829"/>
      <c r="AC455" s="1829"/>
      <c r="AD455" s="1564"/>
      <c r="AE455" s="701"/>
      <c r="AF455" s="684"/>
      <c r="AG455" s="684"/>
      <c r="AH455" s="710"/>
      <c r="AI455" s="710"/>
      <c r="AJ455" s="710"/>
      <c r="AK455" s="710"/>
      <c r="AL455" s="710"/>
      <c r="AM455" s="710"/>
      <c r="AN455" s="710"/>
      <c r="AO455" s="710"/>
      <c r="AP455" s="710"/>
      <c r="AQ455" s="710"/>
      <c r="AR455" s="710"/>
      <c r="AS455" s="710"/>
      <c r="AT455" s="710"/>
      <c r="AU455" s="1829"/>
      <c r="AV455" s="1835"/>
      <c r="AW455" s="1836"/>
      <c r="AX455" s="1836"/>
      <c r="AY455" s="1836"/>
      <c r="AZ455" s="1825"/>
      <c r="BA455" s="1825"/>
    </row>
    <row r="456" spans="2:53" s="188" customFormat="1" ht="24.95" customHeight="1">
      <c r="B456" s="281"/>
      <c r="C456" s="168"/>
      <c r="D456" s="168"/>
      <c r="E456" s="168"/>
      <c r="F456" s="227"/>
      <c r="G456" s="660"/>
      <c r="H456" s="253"/>
      <c r="I456" s="212"/>
      <c r="N456" s="212"/>
      <c r="O456" s="1557"/>
      <c r="P456" s="1558"/>
      <c r="Q456" s="661"/>
      <c r="R456" s="655"/>
      <c r="S456" s="655"/>
      <c r="T456" s="655"/>
      <c r="U456" s="655"/>
      <c r="V456" s="655"/>
      <c r="W456" s="655"/>
      <c r="Y456" s="1827"/>
      <c r="Z456" s="1828"/>
      <c r="AA456" s="1829"/>
      <c r="AB456" s="1829"/>
      <c r="AC456" s="1829"/>
      <c r="AD456" s="1564"/>
      <c r="AE456" s="701"/>
      <c r="AF456" s="684"/>
      <c r="AG456" s="684"/>
      <c r="AH456" s="710"/>
      <c r="AI456" s="710"/>
      <c r="AJ456" s="710"/>
      <c r="AK456" s="710"/>
      <c r="AL456" s="710"/>
      <c r="AM456" s="710"/>
      <c r="AN456" s="710"/>
      <c r="AO456" s="710"/>
      <c r="AP456" s="710"/>
      <c r="AQ456" s="710"/>
      <c r="AR456" s="710"/>
      <c r="AS456" s="710"/>
      <c r="AT456" s="710"/>
      <c r="AU456" s="1829"/>
      <c r="AV456" s="1835"/>
      <c r="AW456" s="1836"/>
      <c r="AX456" s="1836"/>
      <c r="AY456" s="1836"/>
      <c r="AZ456" s="1825"/>
      <c r="BA456" s="1825"/>
    </row>
    <row r="457" spans="2:53" s="188" customFormat="1" ht="24.95" customHeight="1">
      <c r="B457" s="281"/>
      <c r="C457" s="168"/>
      <c r="D457" s="168"/>
      <c r="E457" s="168"/>
      <c r="F457" s="227"/>
      <c r="G457" s="660"/>
      <c r="H457" s="253"/>
      <c r="I457" s="212"/>
      <c r="N457" s="212"/>
      <c r="O457" s="1557"/>
      <c r="P457" s="1558"/>
      <c r="Q457" s="661"/>
      <c r="R457" s="655"/>
      <c r="S457" s="655"/>
      <c r="T457" s="655"/>
      <c r="U457" s="655"/>
      <c r="V457" s="655"/>
      <c r="W457" s="655"/>
      <c r="Y457" s="1827"/>
      <c r="Z457" s="1828"/>
      <c r="AA457" s="1829"/>
      <c r="AB457" s="1829"/>
      <c r="AC457" s="1829"/>
      <c r="AD457" s="1564"/>
      <c r="AE457" s="701"/>
      <c r="AF457" s="684"/>
      <c r="AG457" s="684"/>
      <c r="AH457" s="710"/>
      <c r="AI457" s="710"/>
      <c r="AJ457" s="710"/>
      <c r="AK457" s="710"/>
      <c r="AL457" s="710"/>
      <c r="AM457" s="710"/>
      <c r="AN457" s="710"/>
      <c r="AO457" s="710"/>
      <c r="AP457" s="710"/>
      <c r="AQ457" s="710"/>
      <c r="AR457" s="710"/>
      <c r="AS457" s="710"/>
      <c r="AT457" s="710"/>
      <c r="AU457" s="1829"/>
      <c r="AV457" s="1835"/>
      <c r="AW457" s="1836"/>
      <c r="AX457" s="1836"/>
      <c r="AY457" s="1836"/>
      <c r="AZ457" s="1825"/>
      <c r="BA457" s="1825"/>
    </row>
    <row r="458" spans="2:53" s="188" customFormat="1" ht="24.95" customHeight="1">
      <c r="B458" s="281"/>
      <c r="C458" s="168"/>
      <c r="D458" s="168"/>
      <c r="E458" s="168"/>
      <c r="F458" s="227"/>
      <c r="G458" s="660"/>
      <c r="H458" s="253"/>
      <c r="I458" s="212"/>
      <c r="N458" s="212"/>
      <c r="O458" s="1557"/>
      <c r="P458" s="1558"/>
      <c r="Q458" s="661"/>
      <c r="R458" s="655"/>
      <c r="S458" s="655"/>
      <c r="T458" s="655"/>
      <c r="U458" s="655"/>
      <c r="V458" s="655"/>
      <c r="W458" s="655"/>
      <c r="Y458" s="1827"/>
      <c r="Z458" s="1828"/>
      <c r="AA458" s="1829"/>
      <c r="AB458" s="1829"/>
      <c r="AC458" s="1829"/>
      <c r="AD458" s="1564"/>
      <c r="AE458" s="701"/>
      <c r="AF458" s="684"/>
      <c r="AG458" s="684"/>
      <c r="AH458" s="710"/>
      <c r="AI458" s="710"/>
      <c r="AJ458" s="710"/>
      <c r="AK458" s="710"/>
      <c r="AL458" s="710"/>
      <c r="AM458" s="710"/>
      <c r="AN458" s="710"/>
      <c r="AO458" s="710"/>
      <c r="AP458" s="710"/>
      <c r="AQ458" s="710"/>
      <c r="AR458" s="710"/>
      <c r="AS458" s="710"/>
      <c r="AT458" s="710"/>
      <c r="AU458" s="1829"/>
      <c r="AV458" s="1835"/>
      <c r="AW458" s="1836"/>
      <c r="AX458" s="1836"/>
      <c r="AY458" s="1836"/>
      <c r="AZ458" s="1825"/>
      <c r="BA458" s="1825"/>
    </row>
    <row r="459" spans="2:53" s="188" customFormat="1" ht="24.95" customHeight="1">
      <c r="B459" s="281"/>
      <c r="C459" s="168"/>
      <c r="D459" s="168"/>
      <c r="E459" s="168"/>
      <c r="F459" s="227"/>
      <c r="G459" s="660"/>
      <c r="H459" s="253"/>
      <c r="I459" s="212"/>
      <c r="N459" s="212"/>
      <c r="O459" s="1557"/>
      <c r="P459" s="1558"/>
      <c r="Q459" s="661"/>
      <c r="R459" s="655"/>
      <c r="S459" s="655"/>
      <c r="T459" s="655"/>
      <c r="U459" s="655"/>
      <c r="V459" s="655"/>
      <c r="W459" s="655"/>
      <c r="Y459" s="1827"/>
      <c r="Z459" s="1828"/>
      <c r="AA459" s="1829"/>
      <c r="AB459" s="1829"/>
      <c r="AC459" s="1829"/>
      <c r="AD459" s="1564"/>
      <c r="AE459" s="701"/>
      <c r="AF459" s="684"/>
      <c r="AG459" s="684"/>
      <c r="AH459" s="710"/>
      <c r="AI459" s="710"/>
      <c r="AJ459" s="710"/>
      <c r="AK459" s="710"/>
      <c r="AL459" s="710"/>
      <c r="AM459" s="710"/>
      <c r="AN459" s="710"/>
      <c r="AO459" s="710"/>
      <c r="AP459" s="710"/>
      <c r="AQ459" s="710"/>
      <c r="AR459" s="710"/>
      <c r="AS459" s="710"/>
      <c r="AT459" s="710"/>
      <c r="AU459" s="1829"/>
      <c r="AV459" s="1835"/>
      <c r="AW459" s="1836"/>
      <c r="AX459" s="1836"/>
      <c r="AY459" s="1836"/>
      <c r="AZ459" s="1825"/>
      <c r="BA459" s="1825"/>
    </row>
    <row r="460" spans="2:53" s="188" customFormat="1" ht="24.95" customHeight="1">
      <c r="B460" s="281"/>
      <c r="C460" s="168"/>
      <c r="D460" s="168"/>
      <c r="E460" s="168"/>
      <c r="F460" s="227"/>
      <c r="G460" s="660"/>
      <c r="H460" s="253"/>
      <c r="I460" s="212"/>
      <c r="N460" s="212"/>
      <c r="O460" s="1557"/>
      <c r="P460" s="1558"/>
      <c r="Q460" s="661"/>
      <c r="R460" s="655"/>
      <c r="S460" s="655"/>
      <c r="T460" s="655"/>
      <c r="U460" s="655"/>
      <c r="V460" s="655"/>
      <c r="W460" s="655"/>
      <c r="Y460" s="1827"/>
      <c r="Z460" s="1828"/>
      <c r="AA460" s="1829"/>
      <c r="AB460" s="1829"/>
      <c r="AC460" s="1829"/>
      <c r="AD460" s="1564"/>
      <c r="AE460" s="701"/>
      <c r="AF460" s="684"/>
      <c r="AG460" s="684"/>
      <c r="AH460" s="710"/>
      <c r="AI460" s="710"/>
      <c r="AJ460" s="710"/>
      <c r="AK460" s="710"/>
      <c r="AL460" s="710"/>
      <c r="AM460" s="710"/>
      <c r="AN460" s="710"/>
      <c r="AO460" s="710"/>
      <c r="AP460" s="710"/>
      <c r="AQ460" s="710"/>
      <c r="AR460" s="710"/>
      <c r="AS460" s="710"/>
      <c r="AT460" s="710"/>
      <c r="AU460" s="1829"/>
      <c r="AV460" s="1835"/>
      <c r="AW460" s="1836"/>
      <c r="AX460" s="1836"/>
      <c r="AY460" s="1836"/>
      <c r="AZ460" s="1825"/>
      <c r="BA460" s="1825"/>
    </row>
    <row r="461" spans="2:53" s="188" customFormat="1" ht="24.95" customHeight="1">
      <c r="B461" s="281"/>
      <c r="C461" s="168"/>
      <c r="D461" s="168"/>
      <c r="E461" s="168"/>
      <c r="F461" s="227"/>
      <c r="G461" s="660"/>
      <c r="H461" s="253"/>
      <c r="I461" s="212"/>
      <c r="N461" s="212"/>
      <c r="O461" s="1557"/>
      <c r="P461" s="1558"/>
      <c r="Q461" s="661"/>
      <c r="R461" s="655"/>
      <c r="S461" s="655"/>
      <c r="T461" s="655"/>
      <c r="U461" s="655"/>
      <c r="V461" s="655"/>
      <c r="W461" s="655"/>
      <c r="Y461" s="1827"/>
      <c r="Z461" s="1828"/>
      <c r="AA461" s="1829"/>
      <c r="AB461" s="1829"/>
      <c r="AC461" s="1829"/>
      <c r="AD461" s="1564"/>
      <c r="AE461" s="701"/>
      <c r="AF461" s="684"/>
      <c r="AG461" s="684"/>
      <c r="AH461" s="710"/>
      <c r="AI461" s="710"/>
      <c r="AJ461" s="710"/>
      <c r="AK461" s="710"/>
      <c r="AL461" s="710"/>
      <c r="AM461" s="710"/>
      <c r="AN461" s="710"/>
      <c r="AO461" s="710"/>
      <c r="AP461" s="710"/>
      <c r="AQ461" s="710"/>
      <c r="AR461" s="710"/>
      <c r="AS461" s="710"/>
      <c r="AT461" s="710"/>
      <c r="AU461" s="1829"/>
      <c r="AV461" s="1835"/>
      <c r="AW461" s="1836"/>
      <c r="AX461" s="1836"/>
      <c r="AY461" s="1836"/>
      <c r="AZ461" s="1825"/>
      <c r="BA461" s="1825"/>
    </row>
    <row r="462" spans="2:53" s="188" customFormat="1" ht="24.95" customHeight="1">
      <c r="B462" s="281"/>
      <c r="C462" s="168"/>
      <c r="D462" s="168"/>
      <c r="E462" s="168"/>
      <c r="F462" s="227"/>
      <c r="G462" s="660"/>
      <c r="H462" s="253"/>
      <c r="I462" s="212"/>
      <c r="N462" s="212"/>
      <c r="O462" s="1557"/>
      <c r="P462" s="1558"/>
      <c r="Q462" s="661"/>
      <c r="R462" s="655"/>
      <c r="S462" s="655"/>
      <c r="T462" s="655"/>
      <c r="U462" s="655"/>
      <c r="V462" s="655"/>
      <c r="W462" s="655"/>
      <c r="Y462" s="1827"/>
      <c r="Z462" s="1828"/>
      <c r="AA462" s="1829"/>
      <c r="AB462" s="1829"/>
      <c r="AC462" s="1829"/>
      <c r="AD462" s="1564"/>
      <c r="AE462" s="701"/>
      <c r="AF462" s="684"/>
      <c r="AG462" s="684"/>
      <c r="AH462" s="710"/>
      <c r="AI462" s="710"/>
      <c r="AJ462" s="710"/>
      <c r="AK462" s="710"/>
      <c r="AL462" s="710"/>
      <c r="AM462" s="710"/>
      <c r="AN462" s="710"/>
      <c r="AO462" s="710"/>
      <c r="AP462" s="710"/>
      <c r="AQ462" s="710"/>
      <c r="AR462" s="710"/>
      <c r="AS462" s="710"/>
      <c r="AT462" s="710"/>
      <c r="AU462" s="1829"/>
      <c r="AV462" s="1835"/>
      <c r="AW462" s="1836"/>
      <c r="AX462" s="1836"/>
      <c r="AY462" s="1836"/>
      <c r="AZ462" s="1825"/>
      <c r="BA462" s="1825"/>
    </row>
    <row r="463" spans="2:53" s="188" customFormat="1" ht="24.95" customHeight="1">
      <c r="B463" s="281"/>
      <c r="C463" s="168"/>
      <c r="D463" s="168"/>
      <c r="E463" s="168"/>
      <c r="F463" s="227"/>
      <c r="G463" s="660"/>
      <c r="H463" s="253"/>
      <c r="I463" s="212"/>
      <c r="N463" s="212"/>
      <c r="O463" s="1557"/>
      <c r="P463" s="1558"/>
      <c r="Q463" s="661"/>
      <c r="R463" s="655"/>
      <c r="S463" s="655"/>
      <c r="T463" s="655"/>
      <c r="U463" s="655"/>
      <c r="V463" s="655"/>
      <c r="W463" s="655"/>
      <c r="Y463" s="1827"/>
      <c r="Z463" s="1828"/>
      <c r="AA463" s="1829"/>
      <c r="AB463" s="1829"/>
      <c r="AC463" s="1829"/>
      <c r="AD463" s="1564"/>
      <c r="AE463" s="701"/>
      <c r="AF463" s="684"/>
      <c r="AG463" s="684"/>
      <c r="AH463" s="710"/>
      <c r="AI463" s="710"/>
      <c r="AJ463" s="710"/>
      <c r="AK463" s="710"/>
      <c r="AL463" s="710"/>
      <c r="AM463" s="710"/>
      <c r="AN463" s="710"/>
      <c r="AO463" s="710"/>
      <c r="AP463" s="710"/>
      <c r="AQ463" s="710"/>
      <c r="AR463" s="710"/>
      <c r="AS463" s="710"/>
      <c r="AT463" s="710"/>
      <c r="AU463" s="1829"/>
      <c r="AV463" s="1835"/>
      <c r="AW463" s="1836"/>
      <c r="AX463" s="1836"/>
      <c r="AY463" s="1836"/>
      <c r="AZ463" s="1825"/>
      <c r="BA463" s="1825"/>
    </row>
    <row r="464" spans="2:53" s="188" customFormat="1" ht="24.95" customHeight="1">
      <c r="B464" s="281"/>
      <c r="C464" s="168"/>
      <c r="D464" s="168"/>
      <c r="E464" s="168"/>
      <c r="F464" s="227"/>
      <c r="G464" s="660"/>
      <c r="H464" s="253"/>
      <c r="I464" s="212"/>
      <c r="N464" s="212"/>
      <c r="O464" s="1557"/>
      <c r="P464" s="1558"/>
      <c r="Q464" s="661"/>
      <c r="R464" s="655"/>
      <c r="S464" s="655"/>
      <c r="T464" s="655"/>
      <c r="U464" s="655"/>
      <c r="V464" s="655"/>
      <c r="W464" s="655"/>
      <c r="Y464" s="1827"/>
      <c r="Z464" s="1828"/>
      <c r="AA464" s="1829"/>
      <c r="AB464" s="1829"/>
      <c r="AC464" s="1829"/>
      <c r="AD464" s="1564"/>
      <c r="AE464" s="701"/>
      <c r="AF464" s="684"/>
      <c r="AG464" s="684"/>
      <c r="AH464" s="710"/>
      <c r="AI464" s="710"/>
      <c r="AJ464" s="710"/>
      <c r="AK464" s="710"/>
      <c r="AL464" s="710"/>
      <c r="AM464" s="710"/>
      <c r="AN464" s="710"/>
      <c r="AO464" s="710"/>
      <c r="AP464" s="710"/>
      <c r="AQ464" s="710"/>
      <c r="AR464" s="710"/>
      <c r="AS464" s="710"/>
      <c r="AT464" s="710"/>
      <c r="AU464" s="1829"/>
      <c r="AV464" s="1835"/>
      <c r="AW464" s="1836"/>
      <c r="AX464" s="1836"/>
      <c r="AY464" s="1836"/>
      <c r="AZ464" s="1825"/>
      <c r="BA464" s="1825"/>
    </row>
    <row r="465" spans="2:53" s="188" customFormat="1" ht="24.95" customHeight="1">
      <c r="B465" s="281"/>
      <c r="C465" s="168"/>
      <c r="D465" s="168"/>
      <c r="E465" s="168"/>
      <c r="F465" s="227"/>
      <c r="G465" s="660"/>
      <c r="H465" s="253"/>
      <c r="I465" s="212"/>
      <c r="N465" s="212"/>
      <c r="O465" s="1557"/>
      <c r="P465" s="1558"/>
      <c r="Q465" s="661"/>
      <c r="R465" s="655"/>
      <c r="S465" s="655"/>
      <c r="T465" s="655"/>
      <c r="U465" s="655"/>
      <c r="V465" s="655"/>
      <c r="W465" s="655"/>
      <c r="Y465" s="1827"/>
      <c r="Z465" s="1828"/>
      <c r="AA465" s="1829"/>
      <c r="AB465" s="1829"/>
      <c r="AC465" s="1829"/>
      <c r="AD465" s="1564"/>
      <c r="AE465" s="701"/>
      <c r="AF465" s="684"/>
      <c r="AG465" s="684"/>
      <c r="AH465" s="710"/>
      <c r="AI465" s="710"/>
      <c r="AJ465" s="710"/>
      <c r="AK465" s="710"/>
      <c r="AL465" s="710"/>
      <c r="AM465" s="710"/>
      <c r="AN465" s="710"/>
      <c r="AO465" s="710"/>
      <c r="AP465" s="710"/>
      <c r="AQ465" s="710"/>
      <c r="AR465" s="710"/>
      <c r="AS465" s="710"/>
      <c r="AT465" s="710"/>
      <c r="AU465" s="1829"/>
      <c r="AV465" s="1835"/>
      <c r="AW465" s="1836"/>
      <c r="AX465" s="1836"/>
      <c r="AY465" s="1836"/>
      <c r="AZ465" s="1825"/>
      <c r="BA465" s="1825"/>
    </row>
    <row r="466" spans="2:53" s="188" customFormat="1" ht="24.95" customHeight="1">
      <c r="B466" s="281"/>
      <c r="C466" s="168"/>
      <c r="D466" s="168"/>
      <c r="E466" s="168"/>
      <c r="F466" s="227"/>
      <c r="G466" s="660"/>
      <c r="H466" s="253"/>
      <c r="I466" s="212"/>
      <c r="N466" s="212"/>
      <c r="O466" s="1557"/>
      <c r="P466" s="1558"/>
      <c r="Q466" s="661"/>
      <c r="R466" s="655"/>
      <c r="S466" s="655"/>
      <c r="T466" s="655"/>
      <c r="U466" s="655"/>
      <c r="V466" s="655"/>
      <c r="W466" s="655"/>
      <c r="Y466" s="1827"/>
      <c r="Z466" s="1828"/>
      <c r="AA466" s="1829"/>
      <c r="AB466" s="1829"/>
      <c r="AC466" s="1829"/>
      <c r="AD466" s="1564"/>
      <c r="AE466" s="701"/>
      <c r="AF466" s="684"/>
      <c r="AG466" s="684"/>
      <c r="AH466" s="710"/>
      <c r="AI466" s="710"/>
      <c r="AJ466" s="710"/>
      <c r="AK466" s="710"/>
      <c r="AL466" s="710"/>
      <c r="AM466" s="710"/>
      <c r="AN466" s="710"/>
      <c r="AO466" s="710"/>
      <c r="AP466" s="710"/>
      <c r="AQ466" s="710"/>
      <c r="AR466" s="710"/>
      <c r="AS466" s="710"/>
      <c r="AT466" s="710"/>
      <c r="AU466" s="1829"/>
      <c r="AV466" s="1835"/>
      <c r="AW466" s="1836"/>
      <c r="AX466" s="1836"/>
      <c r="AY466" s="1836"/>
      <c r="AZ466" s="1825"/>
      <c r="BA466" s="1825"/>
    </row>
    <row r="467" spans="2:53" s="188" customFormat="1" ht="24.95" customHeight="1">
      <c r="B467" s="281"/>
      <c r="C467" s="168"/>
      <c r="D467" s="168"/>
      <c r="E467" s="168"/>
      <c r="F467" s="227"/>
      <c r="G467" s="660"/>
      <c r="H467" s="253"/>
      <c r="I467" s="212"/>
      <c r="N467" s="212"/>
      <c r="O467" s="1557"/>
      <c r="P467" s="1558"/>
      <c r="Q467" s="661"/>
      <c r="R467" s="655"/>
      <c r="S467" s="655"/>
      <c r="T467" s="655"/>
      <c r="U467" s="655"/>
      <c r="V467" s="655"/>
      <c r="W467" s="655"/>
      <c r="Y467" s="1827"/>
      <c r="Z467" s="1828"/>
      <c r="AA467" s="1829"/>
      <c r="AB467" s="1829"/>
      <c r="AC467" s="1829"/>
      <c r="AD467" s="1564"/>
      <c r="AE467" s="701"/>
      <c r="AF467" s="684"/>
      <c r="AG467" s="684"/>
      <c r="AH467" s="710"/>
      <c r="AI467" s="710"/>
      <c r="AJ467" s="710"/>
      <c r="AK467" s="710"/>
      <c r="AL467" s="710"/>
      <c r="AM467" s="710"/>
      <c r="AN467" s="710"/>
      <c r="AO467" s="710"/>
      <c r="AP467" s="710"/>
      <c r="AQ467" s="710"/>
      <c r="AR467" s="710"/>
      <c r="AS467" s="710"/>
      <c r="AT467" s="710"/>
      <c r="AU467" s="1829"/>
      <c r="AV467" s="1835"/>
      <c r="AW467" s="1836"/>
      <c r="AX467" s="1836"/>
      <c r="AY467" s="1836"/>
      <c r="AZ467" s="1825"/>
      <c r="BA467" s="1825"/>
    </row>
    <row r="468" spans="2:53" s="188" customFormat="1" ht="24.95" customHeight="1">
      <c r="B468" s="281"/>
      <c r="C468" s="168"/>
      <c r="D468" s="168"/>
      <c r="E468" s="168"/>
      <c r="F468" s="227"/>
      <c r="G468" s="660"/>
      <c r="H468" s="253"/>
      <c r="I468" s="212"/>
      <c r="N468" s="212"/>
      <c r="O468" s="1557"/>
      <c r="P468" s="1558"/>
      <c r="Q468" s="661"/>
      <c r="R468" s="655"/>
      <c r="S468" s="655"/>
      <c r="T468" s="655"/>
      <c r="U468" s="655"/>
      <c r="V468" s="655"/>
      <c r="W468" s="655"/>
      <c r="Y468" s="1827"/>
      <c r="Z468" s="1828"/>
      <c r="AA468" s="1829"/>
      <c r="AB468" s="1829"/>
      <c r="AC468" s="1829"/>
      <c r="AD468" s="1564"/>
      <c r="AE468" s="701"/>
      <c r="AF468" s="684"/>
      <c r="AG468" s="684"/>
      <c r="AH468" s="710"/>
      <c r="AI468" s="710"/>
      <c r="AJ468" s="710"/>
      <c r="AK468" s="710"/>
      <c r="AL468" s="710"/>
      <c r="AM468" s="710"/>
      <c r="AN468" s="710"/>
      <c r="AO468" s="710"/>
      <c r="AP468" s="710"/>
      <c r="AQ468" s="710"/>
      <c r="AR468" s="710"/>
      <c r="AS468" s="710"/>
      <c r="AT468" s="710"/>
      <c r="AU468" s="1829"/>
      <c r="AV468" s="1835"/>
      <c r="AW468" s="1836"/>
      <c r="AX468" s="1836"/>
      <c r="AY468" s="1836"/>
      <c r="AZ468" s="1825"/>
      <c r="BA468" s="1825"/>
    </row>
    <row r="469" spans="2:53" s="188" customFormat="1" ht="24.95" customHeight="1">
      <c r="B469" s="281"/>
      <c r="C469" s="168"/>
      <c r="D469" s="168"/>
      <c r="E469" s="168"/>
      <c r="F469" s="227"/>
      <c r="G469" s="660"/>
      <c r="H469" s="253"/>
      <c r="I469" s="212"/>
      <c r="N469" s="212"/>
      <c r="O469" s="1557"/>
      <c r="P469" s="1558"/>
      <c r="Q469" s="661"/>
      <c r="R469" s="655"/>
      <c r="S469" s="655"/>
      <c r="T469" s="655"/>
      <c r="U469" s="655"/>
      <c r="V469" s="655"/>
      <c r="W469" s="655"/>
      <c r="Y469" s="1827"/>
      <c r="Z469" s="1828"/>
      <c r="AA469" s="1829"/>
      <c r="AB469" s="1829"/>
      <c r="AC469" s="1829"/>
      <c r="AD469" s="1564"/>
      <c r="AE469" s="701"/>
      <c r="AF469" s="684"/>
      <c r="AG469" s="684"/>
      <c r="AH469" s="710"/>
      <c r="AI469" s="710"/>
      <c r="AJ469" s="710"/>
      <c r="AK469" s="710"/>
      <c r="AL469" s="710"/>
      <c r="AM469" s="710"/>
      <c r="AN469" s="710"/>
      <c r="AO469" s="710"/>
      <c r="AP469" s="710"/>
      <c r="AQ469" s="710"/>
      <c r="AR469" s="710"/>
      <c r="AS469" s="710"/>
      <c r="AT469" s="710"/>
      <c r="AU469" s="1829"/>
      <c r="AV469" s="1835"/>
      <c r="AW469" s="1836"/>
      <c r="AX469" s="1836"/>
      <c r="AY469" s="1836"/>
      <c r="AZ469" s="1825"/>
      <c r="BA469" s="1825"/>
    </row>
    <row r="470" spans="2:53" s="188" customFormat="1" ht="24.95" customHeight="1">
      <c r="B470" s="281"/>
      <c r="C470" s="168"/>
      <c r="D470" s="168"/>
      <c r="E470" s="168"/>
      <c r="F470" s="227"/>
      <c r="G470" s="660"/>
      <c r="H470" s="253"/>
      <c r="I470" s="212"/>
      <c r="N470" s="212"/>
      <c r="O470" s="1557"/>
      <c r="P470" s="1558"/>
      <c r="Q470" s="661"/>
      <c r="R470" s="655"/>
      <c r="S470" s="655"/>
      <c r="T470" s="655"/>
      <c r="U470" s="655"/>
      <c r="V470" s="655"/>
      <c r="W470" s="655"/>
      <c r="Y470" s="1827"/>
      <c r="Z470" s="1828"/>
      <c r="AA470" s="1829"/>
      <c r="AB470" s="1829"/>
      <c r="AC470" s="1829"/>
      <c r="AD470" s="1564"/>
      <c r="AE470" s="701"/>
      <c r="AF470" s="684"/>
      <c r="AG470" s="684"/>
      <c r="AH470" s="710"/>
      <c r="AI470" s="710"/>
      <c r="AJ470" s="710"/>
      <c r="AK470" s="710"/>
      <c r="AL470" s="710"/>
      <c r="AM470" s="710"/>
      <c r="AN470" s="710"/>
      <c r="AO470" s="710"/>
      <c r="AP470" s="710"/>
      <c r="AQ470" s="710"/>
      <c r="AR470" s="710"/>
      <c r="AS470" s="710"/>
      <c r="AT470" s="710"/>
      <c r="AU470" s="1829"/>
      <c r="AV470" s="1835"/>
      <c r="AW470" s="1836"/>
      <c r="AX470" s="1836"/>
      <c r="AY470" s="1836"/>
      <c r="AZ470" s="1825"/>
      <c r="BA470" s="1825"/>
    </row>
    <row r="471" spans="2:53" s="188" customFormat="1" ht="24.95" customHeight="1">
      <c r="B471" s="281"/>
      <c r="C471" s="168"/>
      <c r="D471" s="168"/>
      <c r="E471" s="168"/>
      <c r="F471" s="227"/>
      <c r="G471" s="660"/>
      <c r="H471" s="253"/>
      <c r="I471" s="212"/>
      <c r="N471" s="212"/>
      <c r="O471" s="1557"/>
      <c r="P471" s="1558"/>
      <c r="Q471" s="661"/>
      <c r="R471" s="655"/>
      <c r="S471" s="655"/>
      <c r="T471" s="655"/>
      <c r="U471" s="655"/>
      <c r="V471" s="655"/>
      <c r="W471" s="655"/>
      <c r="Y471" s="1827"/>
      <c r="Z471" s="1828"/>
      <c r="AA471" s="1829"/>
      <c r="AB471" s="1829"/>
      <c r="AC471" s="1829"/>
      <c r="AD471" s="1564"/>
      <c r="AE471" s="701"/>
      <c r="AF471" s="684"/>
      <c r="AG471" s="684"/>
      <c r="AH471" s="710"/>
      <c r="AI471" s="710"/>
      <c r="AJ471" s="710"/>
      <c r="AK471" s="710"/>
      <c r="AL471" s="710"/>
      <c r="AM471" s="710"/>
      <c r="AN471" s="710"/>
      <c r="AO471" s="710"/>
      <c r="AP471" s="710"/>
      <c r="AQ471" s="710"/>
      <c r="AR471" s="710"/>
      <c r="AS471" s="710"/>
      <c r="AT471" s="710"/>
      <c r="AU471" s="1829"/>
      <c r="AV471" s="1835"/>
      <c r="AW471" s="1836"/>
      <c r="AX471" s="1836"/>
      <c r="AY471" s="1836"/>
      <c r="AZ471" s="1825"/>
      <c r="BA471" s="1825"/>
    </row>
    <row r="472" spans="2:53" s="188" customFormat="1" ht="24.95" customHeight="1">
      <c r="B472" s="281"/>
      <c r="C472" s="168"/>
      <c r="D472" s="168"/>
      <c r="E472" s="168"/>
      <c r="F472" s="227"/>
      <c r="G472" s="660"/>
      <c r="H472" s="253"/>
      <c r="I472" s="212"/>
      <c r="N472" s="212"/>
      <c r="O472" s="1557"/>
      <c r="P472" s="1558"/>
      <c r="Q472" s="661"/>
      <c r="R472" s="655"/>
      <c r="S472" s="655"/>
      <c r="T472" s="655"/>
      <c r="U472" s="655"/>
      <c r="V472" s="655"/>
      <c r="W472" s="655"/>
      <c r="Y472" s="1827"/>
      <c r="Z472" s="1828"/>
      <c r="AA472" s="1829"/>
      <c r="AB472" s="1829"/>
      <c r="AC472" s="1829"/>
      <c r="AD472" s="1564"/>
      <c r="AE472" s="701"/>
      <c r="AF472" s="684"/>
      <c r="AG472" s="684"/>
      <c r="AH472" s="710"/>
      <c r="AI472" s="710"/>
      <c r="AJ472" s="710"/>
      <c r="AK472" s="710"/>
      <c r="AL472" s="710"/>
      <c r="AM472" s="710"/>
      <c r="AN472" s="710"/>
      <c r="AO472" s="710"/>
      <c r="AP472" s="710"/>
      <c r="AQ472" s="710"/>
      <c r="AR472" s="710"/>
      <c r="AS472" s="710"/>
      <c r="AT472" s="710"/>
      <c r="AU472" s="1829"/>
      <c r="AV472" s="1835"/>
      <c r="AW472" s="1836"/>
      <c r="AX472" s="1836"/>
      <c r="AY472" s="1836"/>
      <c r="AZ472" s="1825"/>
      <c r="BA472" s="1825"/>
    </row>
    <row r="473" spans="2:53" s="188" customFormat="1" ht="24.95" customHeight="1">
      <c r="B473" s="281"/>
      <c r="C473" s="168"/>
      <c r="D473" s="168"/>
      <c r="E473" s="168"/>
      <c r="F473" s="227"/>
      <c r="G473" s="660"/>
      <c r="H473" s="253"/>
      <c r="I473" s="212"/>
      <c r="N473" s="212"/>
      <c r="O473" s="1557"/>
      <c r="P473" s="1558"/>
      <c r="Q473" s="661"/>
      <c r="R473" s="655"/>
      <c r="S473" s="655"/>
      <c r="T473" s="655"/>
      <c r="U473" s="655"/>
      <c r="V473" s="655"/>
      <c r="W473" s="655"/>
      <c r="Y473" s="1827"/>
      <c r="Z473" s="1828"/>
      <c r="AA473" s="1829"/>
      <c r="AB473" s="1829"/>
      <c r="AC473" s="1829"/>
      <c r="AD473" s="1564"/>
      <c r="AE473" s="701"/>
      <c r="AF473" s="684"/>
      <c r="AG473" s="684"/>
      <c r="AH473" s="710"/>
      <c r="AI473" s="710"/>
      <c r="AJ473" s="710"/>
      <c r="AK473" s="710"/>
      <c r="AL473" s="710"/>
      <c r="AM473" s="710"/>
      <c r="AN473" s="710"/>
      <c r="AO473" s="710"/>
      <c r="AP473" s="710"/>
      <c r="AQ473" s="710"/>
      <c r="AR473" s="710"/>
      <c r="AS473" s="710"/>
      <c r="AT473" s="710"/>
      <c r="AU473" s="1829"/>
      <c r="AV473" s="1835"/>
      <c r="AW473" s="1836"/>
      <c r="AX473" s="1836"/>
      <c r="AY473" s="1836"/>
      <c r="AZ473" s="1825"/>
      <c r="BA473" s="1825"/>
    </row>
    <row r="474" spans="2:53" s="188" customFormat="1" ht="24.95" customHeight="1">
      <c r="B474" s="281"/>
      <c r="C474" s="168"/>
      <c r="D474" s="168"/>
      <c r="E474" s="168"/>
      <c r="F474" s="227"/>
      <c r="G474" s="660"/>
      <c r="H474" s="253"/>
      <c r="I474" s="212"/>
      <c r="N474" s="212"/>
      <c r="O474" s="1557"/>
      <c r="P474" s="1558"/>
      <c r="Q474" s="661"/>
      <c r="R474" s="655"/>
      <c r="S474" s="655"/>
      <c r="T474" s="655"/>
      <c r="U474" s="655"/>
      <c r="V474" s="655"/>
      <c r="W474" s="655"/>
      <c r="Y474" s="1827"/>
      <c r="Z474" s="1828"/>
      <c r="AA474" s="1829"/>
      <c r="AB474" s="1829"/>
      <c r="AC474" s="1829"/>
      <c r="AD474" s="1564"/>
      <c r="AE474" s="701"/>
      <c r="AF474" s="684"/>
      <c r="AG474" s="684"/>
      <c r="AH474" s="710"/>
      <c r="AI474" s="710"/>
      <c r="AJ474" s="710"/>
      <c r="AK474" s="710"/>
      <c r="AL474" s="710"/>
      <c r="AM474" s="710"/>
      <c r="AN474" s="710"/>
      <c r="AO474" s="710"/>
      <c r="AP474" s="710"/>
      <c r="AQ474" s="710"/>
      <c r="AR474" s="710"/>
      <c r="AS474" s="710"/>
      <c r="AT474" s="710"/>
      <c r="AU474" s="1829"/>
      <c r="AV474" s="1835"/>
      <c r="AW474" s="1836"/>
      <c r="AX474" s="1836"/>
      <c r="AY474" s="1836"/>
      <c r="AZ474" s="1825"/>
      <c r="BA474" s="1825"/>
    </row>
    <row r="475" spans="2:53" s="188" customFormat="1" ht="24.95" customHeight="1">
      <c r="B475" s="281"/>
      <c r="C475" s="168"/>
      <c r="D475" s="168"/>
      <c r="E475" s="168"/>
      <c r="F475" s="227"/>
      <c r="G475" s="660"/>
      <c r="H475" s="253"/>
      <c r="I475" s="212"/>
      <c r="N475" s="212"/>
      <c r="O475" s="1557"/>
      <c r="P475" s="1558"/>
      <c r="Q475" s="661"/>
      <c r="R475" s="655"/>
      <c r="S475" s="655"/>
      <c r="T475" s="655"/>
      <c r="U475" s="655"/>
      <c r="V475" s="655"/>
      <c r="W475" s="655"/>
      <c r="Y475" s="1827"/>
      <c r="Z475" s="1828"/>
      <c r="AA475" s="1829"/>
      <c r="AB475" s="1829"/>
      <c r="AC475" s="1829"/>
      <c r="AD475" s="1564"/>
      <c r="AE475" s="701"/>
      <c r="AF475" s="684"/>
      <c r="AG475" s="684"/>
      <c r="AH475" s="710"/>
      <c r="AI475" s="710"/>
      <c r="AJ475" s="710"/>
      <c r="AK475" s="710"/>
      <c r="AL475" s="710"/>
      <c r="AM475" s="710"/>
      <c r="AN475" s="710"/>
      <c r="AO475" s="710"/>
      <c r="AP475" s="710"/>
      <c r="AQ475" s="710"/>
      <c r="AR475" s="710"/>
      <c r="AS475" s="710"/>
      <c r="AT475" s="710"/>
      <c r="AU475" s="1829"/>
      <c r="AV475" s="1835"/>
      <c r="AW475" s="1836"/>
      <c r="AX475" s="1836"/>
      <c r="AY475" s="1836"/>
      <c r="AZ475" s="1825"/>
      <c r="BA475" s="1825"/>
    </row>
    <row r="476" spans="2:53" s="188" customFormat="1" ht="24.95" customHeight="1">
      <c r="B476" s="281"/>
      <c r="C476" s="168"/>
      <c r="D476" s="168"/>
      <c r="E476" s="168"/>
      <c r="F476" s="227"/>
      <c r="G476" s="660"/>
      <c r="H476" s="253"/>
      <c r="I476" s="212"/>
      <c r="N476" s="212"/>
      <c r="O476" s="1557"/>
      <c r="P476" s="1558"/>
      <c r="Q476" s="661"/>
      <c r="R476" s="655"/>
      <c r="S476" s="655"/>
      <c r="T476" s="655"/>
      <c r="U476" s="655"/>
      <c r="V476" s="655"/>
      <c r="W476" s="655"/>
      <c r="Y476" s="1827"/>
      <c r="Z476" s="1828"/>
      <c r="AA476" s="1829"/>
      <c r="AB476" s="1829"/>
      <c r="AC476" s="1829"/>
      <c r="AD476" s="1564"/>
      <c r="AE476" s="701"/>
      <c r="AF476" s="684"/>
      <c r="AG476" s="684"/>
      <c r="AH476" s="710"/>
      <c r="AI476" s="710"/>
      <c r="AJ476" s="710"/>
      <c r="AK476" s="710"/>
      <c r="AL476" s="710"/>
      <c r="AM476" s="710"/>
      <c r="AN476" s="710"/>
      <c r="AO476" s="710"/>
      <c r="AP476" s="710"/>
      <c r="AQ476" s="710"/>
      <c r="AR476" s="710"/>
      <c r="AS476" s="710"/>
      <c r="AT476" s="710"/>
      <c r="AU476" s="1829"/>
      <c r="AV476" s="1835"/>
      <c r="AW476" s="1836"/>
      <c r="AX476" s="1836"/>
      <c r="AY476" s="1836"/>
      <c r="AZ476" s="1825"/>
      <c r="BA476" s="1825"/>
    </row>
    <row r="477" spans="2:53" s="188" customFormat="1" ht="24.95" customHeight="1">
      <c r="B477" s="281"/>
      <c r="C477" s="168"/>
      <c r="D477" s="168"/>
      <c r="E477" s="168"/>
      <c r="F477" s="227"/>
      <c r="G477" s="660"/>
      <c r="H477" s="253"/>
      <c r="I477" s="212"/>
      <c r="N477" s="212"/>
      <c r="O477" s="1557"/>
      <c r="P477" s="1558"/>
      <c r="Q477" s="661"/>
      <c r="R477" s="655"/>
      <c r="S477" s="655"/>
      <c r="T477" s="655"/>
      <c r="U477" s="655"/>
      <c r="V477" s="655"/>
      <c r="W477" s="655"/>
      <c r="Y477" s="1827"/>
      <c r="Z477" s="1828"/>
      <c r="AA477" s="1829"/>
      <c r="AB477" s="1829"/>
      <c r="AC477" s="1829"/>
      <c r="AD477" s="1564"/>
      <c r="AE477" s="701"/>
      <c r="AF477" s="684"/>
      <c r="AG477" s="684"/>
      <c r="AH477" s="710"/>
      <c r="AI477" s="710"/>
      <c r="AJ477" s="710"/>
      <c r="AK477" s="710"/>
      <c r="AL477" s="710"/>
      <c r="AM477" s="710"/>
      <c r="AN477" s="710"/>
      <c r="AO477" s="710"/>
      <c r="AP477" s="710"/>
      <c r="AQ477" s="710"/>
      <c r="AR477" s="710"/>
      <c r="AS477" s="710"/>
      <c r="AT477" s="710"/>
      <c r="AU477" s="1829"/>
      <c r="AV477" s="1835"/>
      <c r="AW477" s="1836"/>
      <c r="AX477" s="1836"/>
      <c r="AY477" s="1836"/>
      <c r="AZ477" s="1825"/>
      <c r="BA477" s="1825"/>
    </row>
    <row r="478" spans="2:53" s="188" customFormat="1" ht="24.95" customHeight="1">
      <c r="B478" s="281"/>
      <c r="C478" s="168"/>
      <c r="D478" s="168"/>
      <c r="E478" s="168"/>
      <c r="F478" s="227"/>
      <c r="G478" s="660"/>
      <c r="H478" s="253"/>
      <c r="I478" s="212"/>
      <c r="N478" s="212"/>
      <c r="O478" s="1557"/>
      <c r="P478" s="1558"/>
      <c r="Q478" s="661"/>
      <c r="R478" s="655"/>
      <c r="S478" s="655"/>
      <c r="T478" s="655"/>
      <c r="U478" s="655"/>
      <c r="V478" s="655"/>
      <c r="W478" s="655"/>
      <c r="Y478" s="1827"/>
      <c r="Z478" s="1828"/>
      <c r="AA478" s="1829"/>
      <c r="AB478" s="1829"/>
      <c r="AC478" s="1829"/>
      <c r="AD478" s="1564"/>
      <c r="AE478" s="701"/>
      <c r="AF478" s="684"/>
      <c r="AG478" s="684"/>
      <c r="AH478" s="710"/>
      <c r="AI478" s="710"/>
      <c r="AJ478" s="710"/>
      <c r="AK478" s="710"/>
      <c r="AL478" s="710"/>
      <c r="AM478" s="710"/>
      <c r="AN478" s="710"/>
      <c r="AO478" s="710"/>
      <c r="AP478" s="710"/>
      <c r="AQ478" s="710"/>
      <c r="AR478" s="710"/>
      <c r="AS478" s="710"/>
      <c r="AT478" s="710"/>
      <c r="AU478" s="1829"/>
      <c r="AV478" s="1835"/>
      <c r="AW478" s="1836"/>
      <c r="AX478" s="1836"/>
      <c r="AY478" s="1836"/>
      <c r="AZ478" s="1825"/>
      <c r="BA478" s="1825"/>
    </row>
    <row r="479" spans="2:53" s="188" customFormat="1" ht="24.95" customHeight="1">
      <c r="B479" s="281"/>
      <c r="C479" s="168"/>
      <c r="D479" s="168"/>
      <c r="E479" s="168"/>
      <c r="F479" s="227"/>
      <c r="G479" s="660"/>
      <c r="H479" s="253"/>
      <c r="I479" s="212"/>
      <c r="N479" s="212"/>
      <c r="O479" s="1557"/>
      <c r="P479" s="1558"/>
      <c r="Q479" s="661"/>
      <c r="R479" s="655"/>
      <c r="S479" s="655"/>
      <c r="T479" s="655"/>
      <c r="U479" s="655"/>
      <c r="V479" s="655"/>
      <c r="W479" s="655"/>
      <c r="Y479" s="1827"/>
      <c r="Z479" s="1828"/>
      <c r="AA479" s="1829"/>
      <c r="AB479" s="1829"/>
      <c r="AC479" s="1829"/>
      <c r="AD479" s="1564"/>
      <c r="AE479" s="701"/>
      <c r="AF479" s="684"/>
      <c r="AG479" s="684"/>
      <c r="AH479" s="710"/>
      <c r="AI479" s="710"/>
      <c r="AJ479" s="710"/>
      <c r="AK479" s="710"/>
      <c r="AL479" s="710"/>
      <c r="AM479" s="710"/>
      <c r="AN479" s="710"/>
      <c r="AO479" s="710"/>
      <c r="AP479" s="710"/>
      <c r="AQ479" s="710"/>
      <c r="AR479" s="710"/>
      <c r="AS479" s="710"/>
      <c r="AT479" s="710"/>
      <c r="AU479" s="1829"/>
      <c r="AV479" s="1835"/>
      <c r="AW479" s="1836"/>
      <c r="AX479" s="1836"/>
      <c r="AY479" s="1836"/>
      <c r="AZ479" s="1825"/>
      <c r="BA479" s="1825"/>
    </row>
    <row r="480" spans="2:53" s="188" customFormat="1" ht="24.95" customHeight="1">
      <c r="B480" s="281"/>
      <c r="C480" s="168"/>
      <c r="D480" s="168"/>
      <c r="E480" s="168"/>
      <c r="F480" s="227"/>
      <c r="G480" s="660"/>
      <c r="H480" s="253"/>
      <c r="I480" s="212"/>
      <c r="N480" s="212"/>
      <c r="O480" s="1557"/>
      <c r="P480" s="1558"/>
      <c r="Q480" s="661"/>
      <c r="R480" s="655"/>
      <c r="S480" s="655"/>
      <c r="T480" s="655"/>
      <c r="U480" s="655"/>
      <c r="V480" s="655"/>
      <c r="W480" s="655"/>
      <c r="Y480" s="1827"/>
      <c r="Z480" s="1828"/>
      <c r="AA480" s="1829"/>
      <c r="AB480" s="1829"/>
      <c r="AC480" s="1829"/>
      <c r="AD480" s="1564"/>
      <c r="AE480" s="701"/>
      <c r="AF480" s="684"/>
      <c r="AG480" s="684"/>
      <c r="AH480" s="710"/>
      <c r="AI480" s="710"/>
      <c r="AJ480" s="710"/>
      <c r="AK480" s="710"/>
      <c r="AL480" s="710"/>
      <c r="AM480" s="710"/>
      <c r="AN480" s="710"/>
      <c r="AO480" s="710"/>
      <c r="AP480" s="710"/>
      <c r="AQ480" s="710"/>
      <c r="AR480" s="710"/>
      <c r="AS480" s="710"/>
      <c r="AT480" s="710"/>
      <c r="AU480" s="1829"/>
      <c r="AV480" s="1835"/>
      <c r="AW480" s="1836"/>
      <c r="AX480" s="1836"/>
      <c r="AY480" s="1836"/>
      <c r="AZ480" s="1825"/>
      <c r="BA480" s="1825"/>
    </row>
    <row r="481" spans="2:53" s="188" customFormat="1" ht="24.95" customHeight="1">
      <c r="B481" s="281"/>
      <c r="C481" s="168"/>
      <c r="D481" s="168"/>
      <c r="E481" s="168"/>
      <c r="F481" s="227"/>
      <c r="G481" s="660"/>
      <c r="H481" s="253"/>
      <c r="I481" s="212"/>
      <c r="N481" s="212"/>
      <c r="O481" s="1557"/>
      <c r="P481" s="1558"/>
      <c r="Q481" s="661"/>
      <c r="R481" s="655"/>
      <c r="S481" s="655"/>
      <c r="T481" s="655"/>
      <c r="U481" s="655"/>
      <c r="V481" s="655"/>
      <c r="W481" s="655"/>
      <c r="Y481" s="1827"/>
      <c r="Z481" s="1828"/>
      <c r="AA481" s="1829"/>
      <c r="AB481" s="1829"/>
      <c r="AC481" s="1829"/>
      <c r="AD481" s="1564"/>
      <c r="AE481" s="701"/>
      <c r="AF481" s="684"/>
      <c r="AG481" s="684"/>
      <c r="AH481" s="710"/>
      <c r="AI481" s="710"/>
      <c r="AJ481" s="710"/>
      <c r="AK481" s="710"/>
      <c r="AL481" s="710"/>
      <c r="AM481" s="710"/>
      <c r="AN481" s="710"/>
      <c r="AO481" s="710"/>
      <c r="AP481" s="710"/>
      <c r="AQ481" s="710"/>
      <c r="AR481" s="710"/>
      <c r="AS481" s="710"/>
      <c r="AT481" s="710"/>
      <c r="AU481" s="1829"/>
      <c r="AV481" s="1835"/>
      <c r="AW481" s="1836"/>
      <c r="AX481" s="1836"/>
      <c r="AY481" s="1836"/>
      <c r="AZ481" s="1825"/>
      <c r="BA481" s="1825"/>
    </row>
    <row r="482" spans="2:53" s="188" customFormat="1" ht="24.95" customHeight="1">
      <c r="B482" s="281"/>
      <c r="C482" s="168"/>
      <c r="D482" s="168"/>
      <c r="E482" s="168"/>
      <c r="F482" s="227"/>
      <c r="G482" s="660"/>
      <c r="H482" s="253"/>
      <c r="I482" s="212"/>
      <c r="N482" s="212"/>
      <c r="O482" s="1557"/>
      <c r="P482" s="1558"/>
      <c r="Q482" s="661"/>
      <c r="R482" s="655"/>
      <c r="S482" s="655"/>
      <c r="T482" s="655"/>
      <c r="U482" s="655"/>
      <c r="V482" s="655"/>
      <c r="W482" s="655"/>
      <c r="Y482" s="1827"/>
      <c r="Z482" s="1828"/>
      <c r="AA482" s="1829"/>
      <c r="AB482" s="1829"/>
      <c r="AC482" s="1829"/>
      <c r="AD482" s="1564"/>
      <c r="AE482" s="701"/>
      <c r="AF482" s="684"/>
      <c r="AG482" s="684"/>
      <c r="AH482" s="710"/>
      <c r="AI482" s="710"/>
      <c r="AJ482" s="710"/>
      <c r="AK482" s="710"/>
      <c r="AL482" s="710"/>
      <c r="AM482" s="710"/>
      <c r="AN482" s="710"/>
      <c r="AO482" s="710"/>
      <c r="AP482" s="710"/>
      <c r="AQ482" s="710"/>
      <c r="AR482" s="710"/>
      <c r="AS482" s="710"/>
      <c r="AT482" s="710"/>
      <c r="AU482" s="1829"/>
      <c r="AV482" s="1835"/>
      <c r="AW482" s="1836"/>
      <c r="AX482" s="1836"/>
      <c r="AY482" s="1836"/>
      <c r="AZ482" s="1825"/>
      <c r="BA482" s="1825"/>
    </row>
    <row r="483" spans="2:53" s="188" customFormat="1" ht="24.95" customHeight="1">
      <c r="B483" s="281"/>
      <c r="C483" s="168"/>
      <c r="D483" s="168"/>
      <c r="E483" s="168"/>
      <c r="F483" s="227"/>
      <c r="G483" s="660"/>
      <c r="H483" s="253"/>
      <c r="I483" s="212"/>
      <c r="N483" s="212"/>
      <c r="O483" s="1557"/>
      <c r="P483" s="1558"/>
      <c r="Q483" s="661"/>
      <c r="R483" s="655"/>
      <c r="S483" s="655"/>
      <c r="T483" s="655"/>
      <c r="U483" s="655"/>
      <c r="V483" s="655"/>
      <c r="W483" s="655"/>
      <c r="Y483" s="1827"/>
      <c r="Z483" s="1828"/>
      <c r="AA483" s="1829"/>
      <c r="AB483" s="1829"/>
      <c r="AC483" s="1829"/>
      <c r="AD483" s="1564"/>
      <c r="AE483" s="701"/>
      <c r="AF483" s="684"/>
      <c r="AG483" s="684"/>
      <c r="AH483" s="710"/>
      <c r="AI483" s="710"/>
      <c r="AJ483" s="710"/>
      <c r="AK483" s="710"/>
      <c r="AL483" s="710"/>
      <c r="AM483" s="710"/>
      <c r="AN483" s="710"/>
      <c r="AO483" s="710"/>
      <c r="AP483" s="710"/>
      <c r="AQ483" s="710"/>
      <c r="AR483" s="710"/>
      <c r="AS483" s="710"/>
      <c r="AT483" s="710"/>
      <c r="AU483" s="1829"/>
      <c r="AV483" s="1835"/>
      <c r="AW483" s="1836"/>
      <c r="AX483" s="1836"/>
      <c r="AY483" s="1836"/>
      <c r="AZ483" s="1825"/>
      <c r="BA483" s="1825"/>
    </row>
    <row r="484" spans="2:53" s="188" customFormat="1" ht="24.95" customHeight="1">
      <c r="B484" s="281"/>
      <c r="C484" s="168"/>
      <c r="D484" s="168"/>
      <c r="E484" s="168"/>
      <c r="F484" s="227"/>
      <c r="G484" s="660"/>
      <c r="H484" s="253"/>
      <c r="I484" s="212"/>
      <c r="N484" s="212"/>
      <c r="O484" s="1557"/>
      <c r="P484" s="1558"/>
      <c r="Q484" s="661"/>
      <c r="R484" s="655"/>
      <c r="S484" s="655"/>
      <c r="T484" s="655"/>
      <c r="U484" s="655"/>
      <c r="V484" s="655"/>
      <c r="W484" s="655"/>
      <c r="Y484" s="1827"/>
      <c r="Z484" s="1828"/>
      <c r="AA484" s="1829"/>
      <c r="AB484" s="1829"/>
      <c r="AC484" s="1829"/>
      <c r="AD484" s="1564"/>
      <c r="AE484" s="701"/>
      <c r="AF484" s="684"/>
      <c r="AG484" s="684"/>
      <c r="AH484" s="710"/>
      <c r="AI484" s="710"/>
      <c r="AJ484" s="710"/>
      <c r="AK484" s="710"/>
      <c r="AL484" s="710"/>
      <c r="AM484" s="710"/>
      <c r="AN484" s="710"/>
      <c r="AO484" s="710"/>
      <c r="AP484" s="710"/>
      <c r="AQ484" s="710"/>
      <c r="AR484" s="710"/>
      <c r="AS484" s="710"/>
      <c r="AT484" s="710"/>
      <c r="AU484" s="1829"/>
      <c r="AV484" s="1835"/>
      <c r="AW484" s="1836"/>
      <c r="AX484" s="1836"/>
      <c r="AY484" s="1836"/>
      <c r="AZ484" s="1825"/>
      <c r="BA484" s="1825"/>
    </row>
    <row r="485" spans="2:53" s="188" customFormat="1" ht="24.95" customHeight="1">
      <c r="B485" s="281"/>
      <c r="C485" s="168"/>
      <c r="D485" s="168"/>
      <c r="E485" s="168"/>
      <c r="F485" s="227"/>
      <c r="G485" s="660"/>
      <c r="H485" s="253"/>
      <c r="I485" s="212"/>
      <c r="N485" s="212"/>
      <c r="O485" s="1557"/>
      <c r="P485" s="1558"/>
      <c r="Q485" s="661"/>
      <c r="R485" s="655"/>
      <c r="S485" s="655"/>
      <c r="T485" s="655"/>
      <c r="U485" s="655"/>
      <c r="V485" s="655"/>
      <c r="W485" s="655"/>
      <c r="Y485" s="1827"/>
      <c r="Z485" s="1828"/>
      <c r="AA485" s="1829"/>
      <c r="AB485" s="1829"/>
      <c r="AC485" s="1829"/>
      <c r="AD485" s="1564"/>
      <c r="AE485" s="701"/>
      <c r="AF485" s="684"/>
      <c r="AG485" s="684"/>
      <c r="AH485" s="710"/>
      <c r="AI485" s="710"/>
      <c r="AJ485" s="710"/>
      <c r="AK485" s="710"/>
      <c r="AL485" s="710"/>
      <c r="AM485" s="710"/>
      <c r="AN485" s="710"/>
      <c r="AO485" s="710"/>
      <c r="AP485" s="710"/>
      <c r="AQ485" s="710"/>
      <c r="AR485" s="710"/>
      <c r="AS485" s="710"/>
      <c r="AT485" s="710"/>
      <c r="AU485" s="1829"/>
      <c r="AV485" s="1835"/>
      <c r="AW485" s="1836"/>
      <c r="AX485" s="1836"/>
      <c r="AY485" s="1836"/>
      <c r="AZ485" s="1825"/>
      <c r="BA485" s="1825"/>
    </row>
    <row r="486" spans="2:53" s="188" customFormat="1" ht="24.95" customHeight="1">
      <c r="B486" s="281"/>
      <c r="C486" s="168"/>
      <c r="D486" s="168"/>
      <c r="E486" s="168"/>
      <c r="F486" s="227"/>
      <c r="G486" s="660"/>
      <c r="H486" s="253"/>
      <c r="I486" s="212"/>
      <c r="N486" s="212"/>
      <c r="O486" s="1557"/>
      <c r="P486" s="1558"/>
      <c r="Q486" s="661"/>
      <c r="R486" s="655"/>
      <c r="S486" s="655"/>
      <c r="T486" s="655"/>
      <c r="U486" s="655"/>
      <c r="V486" s="655"/>
      <c r="W486" s="655"/>
      <c r="Y486" s="1827"/>
      <c r="Z486" s="1828"/>
      <c r="AA486" s="1829"/>
      <c r="AB486" s="1829"/>
      <c r="AC486" s="1829"/>
      <c r="AD486" s="1564"/>
      <c r="AE486" s="701"/>
      <c r="AF486" s="684"/>
      <c r="AG486" s="684"/>
      <c r="AH486" s="710"/>
      <c r="AI486" s="710"/>
      <c r="AJ486" s="710"/>
      <c r="AK486" s="710"/>
      <c r="AL486" s="710"/>
      <c r="AM486" s="710"/>
      <c r="AN486" s="710"/>
      <c r="AO486" s="710"/>
      <c r="AP486" s="710"/>
      <c r="AQ486" s="710"/>
      <c r="AR486" s="710"/>
      <c r="AS486" s="710"/>
      <c r="AT486" s="710"/>
      <c r="AU486" s="1829"/>
      <c r="AV486" s="1835"/>
      <c r="AW486" s="1836"/>
      <c r="AX486" s="1836"/>
      <c r="AY486" s="1836"/>
      <c r="AZ486" s="1825"/>
      <c r="BA486" s="1825"/>
    </row>
    <row r="487" spans="2:53" s="188" customFormat="1" ht="24.95" customHeight="1">
      <c r="B487" s="281"/>
      <c r="C487" s="168"/>
      <c r="D487" s="168"/>
      <c r="E487" s="168"/>
      <c r="F487" s="227"/>
      <c r="G487" s="660"/>
      <c r="H487" s="253"/>
      <c r="I487" s="212"/>
      <c r="N487" s="212"/>
      <c r="O487" s="1557"/>
      <c r="P487" s="1558"/>
      <c r="Q487" s="661"/>
      <c r="R487" s="655"/>
      <c r="S487" s="655"/>
      <c r="T487" s="655"/>
      <c r="U487" s="655"/>
      <c r="V487" s="655"/>
      <c r="W487" s="655"/>
      <c r="Y487" s="1827"/>
      <c r="Z487" s="1828"/>
      <c r="AA487" s="1829"/>
      <c r="AB487" s="1829"/>
      <c r="AC487" s="1829"/>
      <c r="AD487" s="1564"/>
      <c r="AE487" s="701"/>
      <c r="AF487" s="684"/>
      <c r="AG487" s="684"/>
      <c r="AH487" s="710"/>
      <c r="AI487" s="710"/>
      <c r="AJ487" s="710"/>
      <c r="AK487" s="710"/>
      <c r="AL487" s="710"/>
      <c r="AM487" s="710"/>
      <c r="AN487" s="710"/>
      <c r="AO487" s="710"/>
      <c r="AP487" s="710"/>
      <c r="AQ487" s="710"/>
      <c r="AR487" s="710"/>
      <c r="AS487" s="710"/>
      <c r="AT487" s="710"/>
      <c r="AU487" s="1829"/>
      <c r="AV487" s="1835"/>
      <c r="AW487" s="1836"/>
      <c r="AX487" s="1836"/>
      <c r="AY487" s="1836"/>
      <c r="AZ487" s="1825"/>
      <c r="BA487" s="1825"/>
    </row>
    <row r="488" spans="2:53" s="188" customFormat="1" ht="24.95" customHeight="1">
      <c r="B488" s="281"/>
      <c r="C488" s="168"/>
      <c r="D488" s="168"/>
      <c r="E488" s="168"/>
      <c r="F488" s="227"/>
      <c r="G488" s="660"/>
      <c r="H488" s="253"/>
      <c r="I488" s="212"/>
      <c r="N488" s="212"/>
      <c r="O488" s="1557"/>
      <c r="P488" s="1558"/>
      <c r="Q488" s="661"/>
      <c r="R488" s="655"/>
      <c r="S488" s="655"/>
      <c r="T488" s="655"/>
      <c r="U488" s="655"/>
      <c r="V488" s="655"/>
      <c r="W488" s="655"/>
      <c r="Y488" s="1827"/>
      <c r="Z488" s="1828"/>
      <c r="AA488" s="1829"/>
      <c r="AB488" s="1829"/>
      <c r="AC488" s="1829"/>
      <c r="AD488" s="1564"/>
      <c r="AE488" s="701"/>
      <c r="AF488" s="684"/>
      <c r="AG488" s="684"/>
      <c r="AH488" s="710"/>
      <c r="AI488" s="710"/>
      <c r="AJ488" s="710"/>
      <c r="AK488" s="710"/>
      <c r="AL488" s="710"/>
      <c r="AM488" s="710"/>
      <c r="AN488" s="710"/>
      <c r="AO488" s="710"/>
      <c r="AP488" s="710"/>
      <c r="AQ488" s="710"/>
      <c r="AR488" s="710"/>
      <c r="AS488" s="710"/>
      <c r="AT488" s="710"/>
      <c r="AU488" s="1829"/>
      <c r="AV488" s="1835"/>
      <c r="AW488" s="1836"/>
      <c r="AX488" s="1836"/>
      <c r="AY488" s="1836"/>
      <c r="AZ488" s="1825"/>
      <c r="BA488" s="1825"/>
    </row>
    <row r="489" spans="2:53" s="188" customFormat="1" ht="24.95" customHeight="1">
      <c r="B489" s="281"/>
      <c r="C489" s="168"/>
      <c r="D489" s="168"/>
      <c r="E489" s="168"/>
      <c r="F489" s="227"/>
      <c r="G489" s="660"/>
      <c r="H489" s="253"/>
      <c r="I489" s="212"/>
      <c r="N489" s="212"/>
      <c r="O489" s="1557"/>
      <c r="P489" s="1558"/>
      <c r="Q489" s="661"/>
      <c r="R489" s="655"/>
      <c r="S489" s="655"/>
      <c r="T489" s="655"/>
      <c r="U489" s="655"/>
      <c r="V489" s="655"/>
      <c r="W489" s="655"/>
      <c r="Y489" s="1827"/>
      <c r="Z489" s="1828"/>
      <c r="AA489" s="1829"/>
      <c r="AB489" s="1829"/>
      <c r="AC489" s="1829"/>
      <c r="AD489" s="1564"/>
      <c r="AE489" s="701"/>
      <c r="AF489" s="684"/>
      <c r="AG489" s="684"/>
      <c r="AH489" s="710"/>
      <c r="AI489" s="710"/>
      <c r="AJ489" s="710"/>
      <c r="AK489" s="710"/>
      <c r="AL489" s="710"/>
      <c r="AM489" s="710"/>
      <c r="AN489" s="710"/>
      <c r="AO489" s="710"/>
      <c r="AP489" s="710"/>
      <c r="AQ489" s="710"/>
      <c r="AR489" s="710"/>
      <c r="AS489" s="710"/>
      <c r="AT489" s="710"/>
      <c r="AU489" s="1829"/>
      <c r="AV489" s="1835"/>
      <c r="AW489" s="1836"/>
      <c r="AX489" s="1836"/>
      <c r="AY489" s="1836"/>
      <c r="AZ489" s="1825"/>
      <c r="BA489" s="1825"/>
    </row>
    <row r="490" spans="2:53" s="188" customFormat="1" ht="24.95" customHeight="1">
      <c r="B490" s="281"/>
      <c r="C490" s="168"/>
      <c r="D490" s="168"/>
      <c r="E490" s="168"/>
      <c r="F490" s="227"/>
      <c r="G490" s="660"/>
      <c r="H490" s="253"/>
      <c r="I490" s="212"/>
      <c r="N490" s="212"/>
      <c r="O490" s="1557"/>
      <c r="P490" s="1558"/>
      <c r="Q490" s="661"/>
      <c r="R490" s="655"/>
      <c r="S490" s="655"/>
      <c r="T490" s="655"/>
      <c r="U490" s="655"/>
      <c r="V490" s="655"/>
      <c r="W490" s="655"/>
      <c r="Y490" s="1827"/>
      <c r="Z490" s="1828"/>
      <c r="AA490" s="1829"/>
      <c r="AB490" s="1829"/>
      <c r="AC490" s="1829"/>
      <c r="AD490" s="1564"/>
      <c r="AE490" s="701"/>
      <c r="AF490" s="684"/>
      <c r="AG490" s="684"/>
      <c r="AH490" s="710"/>
      <c r="AI490" s="710"/>
      <c r="AJ490" s="710"/>
      <c r="AK490" s="710"/>
      <c r="AL490" s="710"/>
      <c r="AM490" s="710"/>
      <c r="AN490" s="710"/>
      <c r="AO490" s="710"/>
      <c r="AP490" s="710"/>
      <c r="AQ490" s="710"/>
      <c r="AR490" s="710"/>
      <c r="AS490" s="710"/>
      <c r="AT490" s="710"/>
      <c r="AU490" s="1829"/>
      <c r="AV490" s="1835"/>
      <c r="AW490" s="1836"/>
      <c r="AX490" s="1836"/>
      <c r="AY490" s="1836"/>
      <c r="AZ490" s="1825"/>
      <c r="BA490" s="1825"/>
    </row>
    <row r="491" spans="2:53" s="188" customFormat="1" ht="24.95" customHeight="1">
      <c r="B491" s="281"/>
      <c r="C491" s="168"/>
      <c r="D491" s="168"/>
      <c r="E491" s="168"/>
      <c r="F491" s="227"/>
      <c r="G491" s="660"/>
      <c r="H491" s="253"/>
      <c r="I491" s="212"/>
      <c r="N491" s="212"/>
      <c r="O491" s="1557"/>
      <c r="P491" s="1558"/>
      <c r="Q491" s="661"/>
      <c r="R491" s="655"/>
      <c r="S491" s="655"/>
      <c r="T491" s="655"/>
      <c r="U491" s="655"/>
      <c r="V491" s="655"/>
      <c r="W491" s="655"/>
      <c r="Y491" s="1827"/>
      <c r="Z491" s="1828"/>
      <c r="AA491" s="1829"/>
      <c r="AB491" s="1829"/>
      <c r="AC491" s="1829"/>
      <c r="AD491" s="1564"/>
      <c r="AE491" s="701"/>
      <c r="AF491" s="684"/>
      <c r="AG491" s="684"/>
      <c r="AH491" s="710"/>
      <c r="AI491" s="710"/>
      <c r="AJ491" s="710"/>
      <c r="AK491" s="710"/>
      <c r="AL491" s="710"/>
      <c r="AM491" s="710"/>
      <c r="AN491" s="710"/>
      <c r="AO491" s="710"/>
      <c r="AP491" s="710"/>
      <c r="AQ491" s="710"/>
      <c r="AR491" s="710"/>
      <c r="AS491" s="710"/>
      <c r="AT491" s="710"/>
      <c r="AU491" s="1829"/>
      <c r="AV491" s="1835"/>
      <c r="AW491" s="1836"/>
      <c r="AX491" s="1836"/>
      <c r="AY491" s="1836"/>
      <c r="AZ491" s="1825"/>
      <c r="BA491" s="1825"/>
    </row>
    <row r="492" spans="2:53" s="188" customFormat="1" ht="24.95" customHeight="1">
      <c r="B492" s="281"/>
      <c r="C492" s="168"/>
      <c r="D492" s="168"/>
      <c r="E492" s="168"/>
      <c r="F492" s="227"/>
      <c r="G492" s="660"/>
      <c r="H492" s="253"/>
      <c r="I492" s="212"/>
      <c r="N492" s="212"/>
      <c r="O492" s="1557"/>
      <c r="P492" s="1558"/>
      <c r="Q492" s="661"/>
      <c r="R492" s="655"/>
      <c r="S492" s="655"/>
      <c r="T492" s="655"/>
      <c r="U492" s="655"/>
      <c r="V492" s="655"/>
      <c r="W492" s="655"/>
      <c r="Y492" s="1827"/>
      <c r="Z492" s="1828"/>
      <c r="AA492" s="1829"/>
      <c r="AB492" s="1829"/>
      <c r="AC492" s="1829"/>
      <c r="AD492" s="1564"/>
      <c r="AE492" s="701"/>
      <c r="AF492" s="684"/>
      <c r="AG492" s="684"/>
      <c r="AH492" s="710"/>
      <c r="AI492" s="710"/>
      <c r="AJ492" s="710"/>
      <c r="AK492" s="710"/>
      <c r="AL492" s="710"/>
      <c r="AM492" s="710"/>
      <c r="AN492" s="710"/>
      <c r="AO492" s="710"/>
      <c r="AP492" s="710"/>
      <c r="AQ492" s="710"/>
      <c r="AR492" s="710"/>
      <c r="AS492" s="710"/>
      <c r="AT492" s="710"/>
      <c r="AU492" s="1829"/>
      <c r="AV492" s="1835"/>
      <c r="AW492" s="1836"/>
      <c r="AX492" s="1836"/>
      <c r="AY492" s="1836"/>
      <c r="AZ492" s="1825"/>
      <c r="BA492" s="1825"/>
    </row>
    <row r="493" spans="2:53" s="188" customFormat="1" ht="24.95" customHeight="1">
      <c r="B493" s="281"/>
      <c r="C493" s="168"/>
      <c r="D493" s="168"/>
      <c r="E493" s="168"/>
      <c r="F493" s="227"/>
      <c r="G493" s="660"/>
      <c r="H493" s="253"/>
      <c r="I493" s="212"/>
      <c r="N493" s="212"/>
      <c r="O493" s="1557"/>
      <c r="P493" s="1558"/>
      <c r="Q493" s="661"/>
      <c r="R493" s="655"/>
      <c r="S493" s="655"/>
      <c r="T493" s="655"/>
      <c r="U493" s="655"/>
      <c r="V493" s="655"/>
      <c r="W493" s="655"/>
      <c r="Y493" s="1827"/>
      <c r="Z493" s="1828"/>
      <c r="AA493" s="1829"/>
      <c r="AB493" s="1829"/>
      <c r="AC493" s="1829"/>
      <c r="AD493" s="1564"/>
      <c r="AE493" s="701"/>
      <c r="AF493" s="684"/>
      <c r="AG493" s="684"/>
      <c r="AH493" s="710"/>
      <c r="AI493" s="710"/>
      <c r="AJ493" s="710"/>
      <c r="AK493" s="710"/>
      <c r="AL493" s="710"/>
      <c r="AM493" s="710"/>
      <c r="AN493" s="710"/>
      <c r="AO493" s="710"/>
      <c r="AP493" s="710"/>
      <c r="AQ493" s="710"/>
      <c r="AR493" s="710"/>
      <c r="AS493" s="710"/>
      <c r="AT493" s="710"/>
      <c r="AU493" s="1829"/>
      <c r="AV493" s="1835"/>
      <c r="AW493" s="1836"/>
      <c r="AX493" s="1836"/>
      <c r="AY493" s="1836"/>
      <c r="AZ493" s="1825"/>
      <c r="BA493" s="1825"/>
    </row>
    <row r="494" spans="2:53" s="188" customFormat="1" ht="24.95" customHeight="1">
      <c r="B494" s="281"/>
      <c r="C494" s="168"/>
      <c r="D494" s="168"/>
      <c r="E494" s="168"/>
      <c r="F494" s="227"/>
      <c r="G494" s="660"/>
      <c r="H494" s="253"/>
      <c r="I494" s="212"/>
      <c r="N494" s="212"/>
      <c r="O494" s="1557"/>
      <c r="P494" s="1558"/>
      <c r="Q494" s="661"/>
      <c r="R494" s="655"/>
      <c r="S494" s="655"/>
      <c r="T494" s="655"/>
      <c r="U494" s="655"/>
      <c r="V494" s="655"/>
      <c r="W494" s="655"/>
      <c r="Y494" s="1827"/>
      <c r="Z494" s="1828"/>
      <c r="AA494" s="1829"/>
      <c r="AB494" s="1829"/>
      <c r="AC494" s="1829"/>
      <c r="AD494" s="1564"/>
      <c r="AE494" s="701"/>
      <c r="AF494" s="684"/>
      <c r="AG494" s="684"/>
      <c r="AH494" s="710"/>
      <c r="AI494" s="710"/>
      <c r="AJ494" s="710"/>
      <c r="AK494" s="710"/>
      <c r="AL494" s="710"/>
      <c r="AM494" s="710"/>
      <c r="AN494" s="710"/>
      <c r="AO494" s="710"/>
      <c r="AP494" s="710"/>
      <c r="AQ494" s="710"/>
      <c r="AR494" s="710"/>
      <c r="AS494" s="710"/>
      <c r="AT494" s="710"/>
      <c r="AU494" s="1829"/>
      <c r="AV494" s="1835"/>
      <c r="AW494" s="1836"/>
      <c r="AX494" s="1836"/>
      <c r="AY494" s="1836"/>
      <c r="AZ494" s="1825"/>
      <c r="BA494" s="1825"/>
    </row>
    <row r="495" spans="2:53" s="188" customFormat="1" ht="24.95" customHeight="1">
      <c r="B495" s="281"/>
      <c r="C495" s="168"/>
      <c r="D495" s="168"/>
      <c r="E495" s="168"/>
      <c r="F495" s="227"/>
      <c r="G495" s="660"/>
      <c r="H495" s="253"/>
      <c r="I495" s="212"/>
      <c r="N495" s="212"/>
      <c r="O495" s="1557"/>
      <c r="P495" s="1558"/>
      <c r="Q495" s="661"/>
      <c r="R495" s="655"/>
      <c r="S495" s="655"/>
      <c r="T495" s="655"/>
      <c r="U495" s="655"/>
      <c r="V495" s="655"/>
      <c r="W495" s="655"/>
      <c r="Y495" s="1827"/>
      <c r="Z495" s="1828"/>
      <c r="AA495" s="1829"/>
      <c r="AB495" s="1829"/>
      <c r="AC495" s="1829"/>
      <c r="AD495" s="1564"/>
      <c r="AE495" s="701"/>
      <c r="AF495" s="684"/>
      <c r="AG495" s="684"/>
      <c r="AH495" s="710"/>
      <c r="AI495" s="710"/>
      <c r="AJ495" s="710"/>
      <c r="AK495" s="710"/>
      <c r="AL495" s="710"/>
      <c r="AM495" s="710"/>
      <c r="AN495" s="710"/>
      <c r="AO495" s="710"/>
      <c r="AP495" s="710"/>
      <c r="AQ495" s="710"/>
      <c r="AR495" s="710"/>
      <c r="AS495" s="710"/>
      <c r="AT495" s="710"/>
      <c r="AU495" s="1829"/>
      <c r="AV495" s="1835"/>
      <c r="AW495" s="1836"/>
      <c r="AX495" s="1836"/>
      <c r="AY495" s="1836"/>
      <c r="AZ495" s="1825"/>
      <c r="BA495" s="1825"/>
    </row>
    <row r="496" spans="2:53" s="188" customFormat="1" ht="24.95" customHeight="1">
      <c r="B496" s="281"/>
      <c r="C496" s="168"/>
      <c r="D496" s="168"/>
      <c r="E496" s="168"/>
      <c r="F496" s="227"/>
      <c r="G496" s="660"/>
      <c r="H496" s="253"/>
      <c r="I496" s="212"/>
      <c r="N496" s="212"/>
      <c r="O496" s="1557"/>
      <c r="P496" s="1558"/>
      <c r="Q496" s="661"/>
      <c r="R496" s="655"/>
      <c r="S496" s="655"/>
      <c r="T496" s="655"/>
      <c r="U496" s="655"/>
      <c r="V496" s="655"/>
      <c r="W496" s="655"/>
      <c r="Y496" s="1827"/>
      <c r="Z496" s="1828"/>
      <c r="AA496" s="1829"/>
      <c r="AB496" s="1829"/>
      <c r="AC496" s="1829"/>
      <c r="AD496" s="1564"/>
      <c r="AE496" s="701"/>
      <c r="AF496" s="684"/>
      <c r="AG496" s="684"/>
      <c r="AH496" s="710"/>
      <c r="AI496" s="710"/>
      <c r="AJ496" s="710"/>
      <c r="AK496" s="710"/>
      <c r="AL496" s="710"/>
      <c r="AM496" s="710"/>
      <c r="AN496" s="710"/>
      <c r="AO496" s="710"/>
      <c r="AP496" s="710"/>
      <c r="AQ496" s="710"/>
      <c r="AR496" s="710"/>
      <c r="AS496" s="710"/>
      <c r="AT496" s="710"/>
      <c r="AU496" s="1829"/>
      <c r="AV496" s="1835"/>
      <c r="AW496" s="1836"/>
      <c r="AX496" s="1836"/>
      <c r="AY496" s="1836"/>
      <c r="AZ496" s="1825"/>
      <c r="BA496" s="1825"/>
    </row>
    <row r="497" spans="2:53" s="188" customFormat="1" ht="24.95" customHeight="1">
      <c r="B497" s="281"/>
      <c r="C497" s="168"/>
      <c r="D497" s="168"/>
      <c r="E497" s="168"/>
      <c r="F497" s="227"/>
      <c r="G497" s="660"/>
      <c r="H497" s="253"/>
      <c r="I497" s="212"/>
      <c r="N497" s="212"/>
      <c r="O497" s="1557"/>
      <c r="P497" s="1558"/>
      <c r="Q497" s="661"/>
      <c r="R497" s="655"/>
      <c r="S497" s="655"/>
      <c r="T497" s="655"/>
      <c r="U497" s="655"/>
      <c r="V497" s="655"/>
      <c r="W497" s="655"/>
      <c r="Y497" s="1827"/>
      <c r="Z497" s="1828"/>
      <c r="AA497" s="1829"/>
      <c r="AB497" s="1829"/>
      <c r="AC497" s="1829"/>
      <c r="AD497" s="1564"/>
      <c r="AE497" s="701"/>
      <c r="AF497" s="684"/>
      <c r="AG497" s="684"/>
      <c r="AH497" s="710"/>
      <c r="AI497" s="710"/>
      <c r="AJ497" s="710"/>
      <c r="AK497" s="710"/>
      <c r="AL497" s="710"/>
      <c r="AM497" s="710"/>
      <c r="AN497" s="710"/>
      <c r="AO497" s="710"/>
      <c r="AP497" s="710"/>
      <c r="AQ497" s="710"/>
      <c r="AR497" s="710"/>
      <c r="AS497" s="710"/>
      <c r="AT497" s="710"/>
      <c r="AU497" s="1829"/>
      <c r="AV497" s="1835"/>
      <c r="AW497" s="1836"/>
      <c r="AX497" s="1836"/>
      <c r="AY497" s="1836"/>
      <c r="AZ497" s="1825"/>
      <c r="BA497" s="1825"/>
    </row>
    <row r="498" spans="2:53" s="188" customFormat="1" ht="24.95" customHeight="1">
      <c r="B498" s="281"/>
      <c r="C498" s="168"/>
      <c r="D498" s="168"/>
      <c r="E498" s="168"/>
      <c r="F498" s="227"/>
      <c r="G498" s="660"/>
      <c r="H498" s="253"/>
      <c r="I498" s="212"/>
      <c r="N498" s="212"/>
      <c r="O498" s="1557"/>
      <c r="P498" s="1558"/>
      <c r="Q498" s="661"/>
      <c r="R498" s="655"/>
      <c r="S498" s="655"/>
      <c r="T498" s="655"/>
      <c r="U498" s="655"/>
      <c r="V498" s="655"/>
      <c r="W498" s="655"/>
      <c r="Y498" s="1827"/>
      <c r="Z498" s="1828"/>
      <c r="AA498" s="1829"/>
      <c r="AB498" s="1829"/>
      <c r="AC498" s="1829"/>
      <c r="AD498" s="1564"/>
      <c r="AE498" s="701"/>
      <c r="AF498" s="684"/>
      <c r="AG498" s="684"/>
      <c r="AH498" s="710"/>
      <c r="AI498" s="710"/>
      <c r="AJ498" s="710"/>
      <c r="AK498" s="710"/>
      <c r="AL498" s="710"/>
      <c r="AM498" s="710"/>
      <c r="AN498" s="710"/>
      <c r="AO498" s="710"/>
      <c r="AP498" s="710"/>
      <c r="AQ498" s="710"/>
      <c r="AR498" s="710"/>
      <c r="AS498" s="710"/>
      <c r="AT498" s="710"/>
      <c r="AU498" s="1829"/>
      <c r="AV498" s="1835"/>
      <c r="AW498" s="1836"/>
      <c r="AX498" s="1836"/>
      <c r="AY498" s="1836"/>
      <c r="AZ498" s="1825"/>
      <c r="BA498" s="1825"/>
    </row>
    <row r="499" spans="2:53" s="188" customFormat="1" ht="24.95" customHeight="1">
      <c r="B499" s="281"/>
      <c r="C499" s="168"/>
      <c r="D499" s="168"/>
      <c r="E499" s="168"/>
      <c r="F499" s="227"/>
      <c r="G499" s="660"/>
      <c r="H499" s="253"/>
      <c r="I499" s="212"/>
      <c r="N499" s="212"/>
      <c r="O499" s="1557"/>
      <c r="P499" s="1558"/>
      <c r="Q499" s="661"/>
      <c r="R499" s="655"/>
      <c r="S499" s="655"/>
      <c r="T499" s="655"/>
      <c r="U499" s="655"/>
      <c r="V499" s="655"/>
      <c r="W499" s="655"/>
      <c r="Y499" s="1827"/>
      <c r="Z499" s="1828"/>
      <c r="AA499" s="1829"/>
      <c r="AB499" s="1829"/>
      <c r="AC499" s="1829"/>
      <c r="AD499" s="1564"/>
      <c r="AE499" s="701"/>
      <c r="AF499" s="684"/>
      <c r="AG499" s="684"/>
      <c r="AH499" s="710"/>
      <c r="AI499" s="710"/>
      <c r="AJ499" s="710"/>
      <c r="AK499" s="710"/>
      <c r="AL499" s="710"/>
      <c r="AM499" s="710"/>
      <c r="AN499" s="710"/>
      <c r="AO499" s="710"/>
      <c r="AP499" s="710"/>
      <c r="AQ499" s="710"/>
      <c r="AR499" s="710"/>
      <c r="AS499" s="710"/>
      <c r="AT499" s="710"/>
      <c r="AU499" s="1829"/>
      <c r="AV499" s="1835"/>
      <c r="AW499" s="1836"/>
      <c r="AX499" s="1836"/>
      <c r="AY499" s="1836"/>
      <c r="AZ499" s="1825"/>
      <c r="BA499" s="1825"/>
    </row>
    <row r="500" spans="2:53" s="188" customFormat="1" ht="24.95" customHeight="1">
      <c r="B500" s="281"/>
      <c r="C500" s="168"/>
      <c r="D500" s="168"/>
      <c r="E500" s="168"/>
      <c r="F500" s="227"/>
      <c r="G500" s="660"/>
      <c r="H500" s="253"/>
      <c r="I500" s="212"/>
      <c r="N500" s="212"/>
      <c r="O500" s="1557"/>
      <c r="P500" s="1558"/>
      <c r="Q500" s="661"/>
      <c r="R500" s="655"/>
      <c r="S500" s="655"/>
      <c r="T500" s="655"/>
      <c r="U500" s="655"/>
      <c r="V500" s="655"/>
      <c r="W500" s="655"/>
      <c r="Y500" s="1827"/>
      <c r="Z500" s="1828"/>
      <c r="AA500" s="1829"/>
      <c r="AB500" s="1829"/>
      <c r="AC500" s="1829"/>
      <c r="AD500" s="1564"/>
      <c r="AE500" s="701"/>
      <c r="AF500" s="684"/>
      <c r="AG500" s="684"/>
      <c r="AH500" s="710"/>
      <c r="AI500" s="710"/>
      <c r="AJ500" s="710"/>
      <c r="AK500" s="710"/>
      <c r="AL500" s="710"/>
      <c r="AM500" s="710"/>
      <c r="AN500" s="710"/>
      <c r="AO500" s="710"/>
      <c r="AP500" s="710"/>
      <c r="AQ500" s="710"/>
      <c r="AR500" s="710"/>
      <c r="AS500" s="710"/>
      <c r="AT500" s="710"/>
      <c r="AU500" s="1829"/>
      <c r="AV500" s="1835"/>
      <c r="AW500" s="1836"/>
      <c r="AX500" s="1836"/>
      <c r="AY500" s="1836"/>
      <c r="AZ500" s="1825"/>
      <c r="BA500" s="1825"/>
    </row>
    <row r="501" spans="2:53" s="188" customFormat="1" ht="24.95" customHeight="1">
      <c r="B501" s="281"/>
      <c r="C501" s="168"/>
      <c r="D501" s="168"/>
      <c r="E501" s="168"/>
      <c r="F501" s="227"/>
      <c r="G501" s="660"/>
      <c r="H501" s="253"/>
      <c r="I501" s="212"/>
      <c r="N501" s="212"/>
      <c r="O501" s="1557"/>
      <c r="P501" s="1558"/>
      <c r="Q501" s="661"/>
      <c r="R501" s="655"/>
      <c r="S501" s="655"/>
      <c r="T501" s="655"/>
      <c r="U501" s="655"/>
      <c r="V501" s="655"/>
      <c r="W501" s="655"/>
      <c r="Y501" s="1827"/>
      <c r="Z501" s="1828"/>
      <c r="AA501" s="1829"/>
      <c r="AB501" s="1829"/>
      <c r="AC501" s="1829"/>
      <c r="AD501" s="1564"/>
      <c r="AE501" s="701"/>
      <c r="AF501" s="684"/>
      <c r="AG501" s="684"/>
      <c r="AH501" s="710"/>
      <c r="AI501" s="710"/>
      <c r="AJ501" s="710"/>
      <c r="AK501" s="710"/>
      <c r="AL501" s="710"/>
      <c r="AM501" s="710"/>
      <c r="AN501" s="710"/>
      <c r="AO501" s="710"/>
      <c r="AP501" s="710"/>
      <c r="AQ501" s="710"/>
      <c r="AR501" s="710"/>
      <c r="AS501" s="710"/>
      <c r="AT501" s="710"/>
      <c r="AU501" s="1829"/>
      <c r="AV501" s="1835"/>
      <c r="AW501" s="1836"/>
      <c r="AX501" s="1836"/>
      <c r="AY501" s="1836"/>
      <c r="AZ501" s="1825"/>
      <c r="BA501" s="1825"/>
    </row>
    <row r="502" spans="2:53" s="188" customFormat="1" ht="24.95" customHeight="1">
      <c r="B502" s="281"/>
      <c r="C502" s="168"/>
      <c r="D502" s="168"/>
      <c r="E502" s="168"/>
      <c r="F502" s="227"/>
      <c r="G502" s="660"/>
      <c r="H502" s="253"/>
      <c r="I502" s="212"/>
      <c r="N502" s="212"/>
      <c r="O502" s="1557"/>
      <c r="P502" s="1558"/>
      <c r="Q502" s="661"/>
      <c r="R502" s="655"/>
      <c r="S502" s="655"/>
      <c r="T502" s="655"/>
      <c r="U502" s="655"/>
      <c r="V502" s="655"/>
      <c r="W502" s="655"/>
      <c r="Y502" s="1827"/>
      <c r="Z502" s="1828"/>
      <c r="AA502" s="1829"/>
      <c r="AB502" s="1829"/>
      <c r="AC502" s="1829"/>
      <c r="AD502" s="1564"/>
      <c r="AE502" s="701"/>
      <c r="AF502" s="684"/>
      <c r="AG502" s="684"/>
      <c r="AH502" s="710"/>
      <c r="AI502" s="710"/>
      <c r="AJ502" s="710"/>
      <c r="AK502" s="710"/>
      <c r="AL502" s="710"/>
      <c r="AM502" s="710"/>
      <c r="AN502" s="710"/>
      <c r="AO502" s="710"/>
      <c r="AP502" s="710"/>
      <c r="AQ502" s="710"/>
      <c r="AR502" s="710"/>
      <c r="AS502" s="710"/>
      <c r="AT502" s="710"/>
      <c r="AU502" s="1829"/>
      <c r="AV502" s="1835"/>
      <c r="AW502" s="1836"/>
      <c r="AX502" s="1836"/>
      <c r="AY502" s="1836"/>
      <c r="AZ502" s="1825"/>
      <c r="BA502" s="1825"/>
    </row>
    <row r="503" spans="2:53" s="188" customFormat="1" ht="24.95" customHeight="1">
      <c r="B503" s="281"/>
      <c r="C503" s="168"/>
      <c r="D503" s="168"/>
      <c r="E503" s="168"/>
      <c r="F503" s="227"/>
      <c r="G503" s="660"/>
      <c r="H503" s="253"/>
      <c r="I503" s="212"/>
      <c r="N503" s="212"/>
      <c r="O503" s="1557"/>
      <c r="P503" s="1558"/>
      <c r="Q503" s="661"/>
      <c r="R503" s="655"/>
      <c r="S503" s="655"/>
      <c r="T503" s="655"/>
      <c r="U503" s="655"/>
      <c r="V503" s="655"/>
      <c r="W503" s="655"/>
      <c r="Y503" s="1827"/>
      <c r="Z503" s="1828"/>
      <c r="AA503" s="1829"/>
      <c r="AB503" s="1829"/>
      <c r="AC503" s="1829"/>
      <c r="AD503" s="1564"/>
      <c r="AE503" s="701"/>
      <c r="AF503" s="684"/>
      <c r="AG503" s="684"/>
      <c r="AH503" s="710"/>
      <c r="AI503" s="710"/>
      <c r="AJ503" s="710"/>
      <c r="AK503" s="710"/>
      <c r="AL503" s="710"/>
      <c r="AM503" s="710"/>
      <c r="AN503" s="710"/>
      <c r="AO503" s="710"/>
      <c r="AP503" s="710"/>
      <c r="AQ503" s="710"/>
      <c r="AR503" s="710"/>
      <c r="AS503" s="710"/>
      <c r="AT503" s="710"/>
      <c r="AU503" s="1829"/>
      <c r="AV503" s="1835"/>
      <c r="AW503" s="1836"/>
      <c r="AX503" s="1836"/>
      <c r="AY503" s="1836"/>
      <c r="AZ503" s="1825"/>
      <c r="BA503" s="1825"/>
    </row>
    <row r="504" spans="2:53" s="188" customFormat="1" ht="24.95" customHeight="1">
      <c r="B504" s="281"/>
      <c r="C504" s="168"/>
      <c r="D504" s="168"/>
      <c r="E504" s="168"/>
      <c r="F504" s="227"/>
      <c r="G504" s="660"/>
      <c r="H504" s="253"/>
      <c r="I504" s="212"/>
      <c r="N504" s="212"/>
      <c r="O504" s="1557"/>
      <c r="P504" s="1558"/>
      <c r="Q504" s="661"/>
      <c r="R504" s="655"/>
      <c r="S504" s="655"/>
      <c r="T504" s="655"/>
      <c r="U504" s="655"/>
      <c r="V504" s="655"/>
      <c r="W504" s="655"/>
      <c r="Y504" s="1827"/>
      <c r="Z504" s="1828"/>
      <c r="AA504" s="1829"/>
      <c r="AB504" s="1829"/>
      <c r="AC504" s="1829"/>
      <c r="AD504" s="1564"/>
      <c r="AE504" s="701"/>
      <c r="AF504" s="684"/>
      <c r="AG504" s="684"/>
      <c r="AH504" s="710"/>
      <c r="AI504" s="710"/>
      <c r="AJ504" s="710"/>
      <c r="AK504" s="710"/>
      <c r="AL504" s="710"/>
      <c r="AM504" s="710"/>
      <c r="AN504" s="710"/>
      <c r="AO504" s="710"/>
      <c r="AP504" s="710"/>
      <c r="AQ504" s="710"/>
      <c r="AR504" s="710"/>
      <c r="AS504" s="710"/>
      <c r="AT504" s="710"/>
      <c r="AU504" s="1829"/>
      <c r="AV504" s="1835"/>
      <c r="AW504" s="1836"/>
      <c r="AX504" s="1836"/>
      <c r="AY504" s="1836"/>
      <c r="AZ504" s="1825"/>
      <c r="BA504" s="1825"/>
    </row>
    <row r="505" spans="2:53" s="188" customFormat="1" ht="24.95" customHeight="1">
      <c r="B505" s="281"/>
      <c r="C505" s="168"/>
      <c r="D505" s="168"/>
      <c r="E505" s="168"/>
      <c r="F505" s="227"/>
      <c r="G505" s="660"/>
      <c r="H505" s="253"/>
      <c r="I505" s="212"/>
      <c r="N505" s="212"/>
      <c r="O505" s="1557"/>
      <c r="P505" s="1558"/>
      <c r="Q505" s="661"/>
      <c r="R505" s="655"/>
      <c r="S505" s="655"/>
      <c r="T505" s="655"/>
      <c r="U505" s="655"/>
      <c r="V505" s="655"/>
      <c r="W505" s="655"/>
      <c r="Y505" s="1827"/>
      <c r="Z505" s="1828"/>
      <c r="AA505" s="1829"/>
      <c r="AB505" s="1829"/>
      <c r="AC505" s="1829"/>
      <c r="AD505" s="1564"/>
      <c r="AE505" s="701"/>
      <c r="AF505" s="684"/>
      <c r="AG505" s="684"/>
      <c r="AH505" s="710"/>
      <c r="AI505" s="710"/>
      <c r="AJ505" s="710"/>
      <c r="AK505" s="710"/>
      <c r="AL505" s="710"/>
      <c r="AM505" s="710"/>
      <c r="AN505" s="710"/>
      <c r="AO505" s="710"/>
      <c r="AP505" s="710"/>
      <c r="AQ505" s="710"/>
      <c r="AR505" s="710"/>
      <c r="AS505" s="710"/>
      <c r="AT505" s="710"/>
      <c r="AU505" s="1829"/>
      <c r="AV505" s="1835"/>
      <c r="AW505" s="1836"/>
      <c r="AX505" s="1836"/>
      <c r="AY505" s="1836"/>
      <c r="AZ505" s="1825"/>
      <c r="BA505" s="1825"/>
    </row>
    <row r="506" spans="2:53" s="188" customFormat="1" ht="24.95" customHeight="1">
      <c r="B506" s="281"/>
      <c r="C506" s="168"/>
      <c r="D506" s="168"/>
      <c r="E506" s="168"/>
      <c r="F506" s="227"/>
      <c r="G506" s="660"/>
      <c r="H506" s="253"/>
      <c r="I506" s="212"/>
      <c r="N506" s="212"/>
      <c r="O506" s="1557"/>
      <c r="P506" s="1558"/>
      <c r="Q506" s="661"/>
      <c r="R506" s="655"/>
      <c r="S506" s="655"/>
      <c r="T506" s="655"/>
      <c r="U506" s="655"/>
      <c r="V506" s="655"/>
      <c r="W506" s="655"/>
      <c r="Y506" s="1827"/>
      <c r="Z506" s="1828"/>
      <c r="AA506" s="1829"/>
      <c r="AB506" s="1829"/>
      <c r="AC506" s="1829"/>
      <c r="AD506" s="1564"/>
      <c r="AE506" s="701"/>
      <c r="AF506" s="684"/>
      <c r="AG506" s="684"/>
      <c r="AH506" s="710"/>
      <c r="AI506" s="710"/>
      <c r="AJ506" s="710"/>
      <c r="AK506" s="710"/>
      <c r="AL506" s="710"/>
      <c r="AM506" s="710"/>
      <c r="AN506" s="710"/>
      <c r="AO506" s="710"/>
      <c r="AP506" s="710"/>
      <c r="AQ506" s="710"/>
      <c r="AR506" s="710"/>
      <c r="AS506" s="710"/>
      <c r="AT506" s="710"/>
      <c r="AU506" s="1829"/>
      <c r="AV506" s="1835"/>
      <c r="AW506" s="1836"/>
      <c r="AX506" s="1836"/>
      <c r="AY506" s="1836"/>
      <c r="AZ506" s="1825"/>
      <c r="BA506" s="1825"/>
    </row>
    <row r="507" spans="2:53" s="188" customFormat="1" ht="24.95" customHeight="1">
      <c r="B507" s="281"/>
      <c r="C507" s="168"/>
      <c r="D507" s="168"/>
      <c r="E507" s="168"/>
      <c r="F507" s="227"/>
      <c r="G507" s="660"/>
      <c r="H507" s="253"/>
      <c r="I507" s="212"/>
      <c r="N507" s="212"/>
      <c r="O507" s="1557"/>
      <c r="P507" s="1558"/>
      <c r="Q507" s="661"/>
      <c r="R507" s="655"/>
      <c r="S507" s="655"/>
      <c r="T507" s="655"/>
      <c r="U507" s="655"/>
      <c r="V507" s="655"/>
      <c r="W507" s="655"/>
      <c r="Y507" s="1827"/>
      <c r="Z507" s="1828"/>
      <c r="AA507" s="1829"/>
      <c r="AB507" s="1829"/>
      <c r="AC507" s="1829"/>
      <c r="AD507" s="1564"/>
      <c r="AE507" s="701"/>
      <c r="AF507" s="684"/>
      <c r="AG507" s="684"/>
      <c r="AH507" s="710"/>
      <c r="AI507" s="710"/>
      <c r="AJ507" s="710"/>
      <c r="AK507" s="710"/>
      <c r="AL507" s="710"/>
      <c r="AM507" s="710"/>
      <c r="AN507" s="710"/>
      <c r="AO507" s="710"/>
      <c r="AP507" s="710"/>
      <c r="AQ507" s="710"/>
      <c r="AR507" s="710"/>
      <c r="AS507" s="710"/>
      <c r="AT507" s="710"/>
      <c r="AU507" s="1829"/>
      <c r="AV507" s="1835"/>
      <c r="AW507" s="1836"/>
      <c r="AX507" s="1836"/>
      <c r="AY507" s="1836"/>
      <c r="AZ507" s="1825"/>
      <c r="BA507" s="1825"/>
    </row>
    <row r="508" spans="2:53" s="188" customFormat="1" ht="24.95" customHeight="1">
      <c r="B508" s="281"/>
      <c r="C508" s="168"/>
      <c r="D508" s="168"/>
      <c r="E508" s="168"/>
      <c r="F508" s="227"/>
      <c r="G508" s="660"/>
      <c r="H508" s="253"/>
      <c r="I508" s="212"/>
      <c r="N508" s="212"/>
      <c r="O508" s="1557"/>
      <c r="P508" s="1558"/>
      <c r="Q508" s="661"/>
      <c r="R508" s="655"/>
      <c r="S508" s="655"/>
      <c r="T508" s="655"/>
      <c r="U508" s="655"/>
      <c r="V508" s="655"/>
      <c r="W508" s="655"/>
      <c r="Y508" s="1827"/>
      <c r="Z508" s="1828"/>
      <c r="AA508" s="1829"/>
      <c r="AB508" s="1829"/>
      <c r="AC508" s="1829"/>
      <c r="AD508" s="1564"/>
      <c r="AE508" s="701"/>
      <c r="AF508" s="684"/>
      <c r="AG508" s="684"/>
      <c r="AH508" s="710"/>
      <c r="AI508" s="710"/>
      <c r="AJ508" s="710"/>
      <c r="AK508" s="710"/>
      <c r="AL508" s="710"/>
      <c r="AM508" s="710"/>
      <c r="AN508" s="710"/>
      <c r="AO508" s="710"/>
      <c r="AP508" s="710"/>
      <c r="AQ508" s="710"/>
      <c r="AR508" s="710"/>
      <c r="AS508" s="710"/>
      <c r="AT508" s="710"/>
      <c r="AU508" s="1829"/>
      <c r="AV508" s="1835"/>
      <c r="AW508" s="1836"/>
      <c r="AX508" s="1836"/>
      <c r="AY508" s="1836"/>
      <c r="AZ508" s="1825"/>
      <c r="BA508" s="1825"/>
    </row>
    <row r="509" spans="2:53" s="188" customFormat="1" ht="24.95" customHeight="1">
      <c r="B509" s="281"/>
      <c r="C509" s="168"/>
      <c r="D509" s="168"/>
      <c r="E509" s="168"/>
      <c r="F509" s="227"/>
      <c r="G509" s="660"/>
      <c r="H509" s="253"/>
      <c r="I509" s="212"/>
      <c r="N509" s="212"/>
      <c r="O509" s="1557"/>
      <c r="P509" s="1558"/>
      <c r="Q509" s="661"/>
      <c r="R509" s="655"/>
      <c r="S509" s="655"/>
      <c r="T509" s="655"/>
      <c r="U509" s="655"/>
      <c r="V509" s="655"/>
      <c r="W509" s="655"/>
      <c r="Y509" s="1827"/>
      <c r="Z509" s="1828"/>
      <c r="AA509" s="1829"/>
      <c r="AB509" s="1829"/>
      <c r="AC509" s="1829"/>
      <c r="AD509" s="1564"/>
      <c r="AE509" s="701"/>
      <c r="AF509" s="684"/>
      <c r="AG509" s="684"/>
      <c r="AH509" s="710"/>
      <c r="AI509" s="710"/>
      <c r="AJ509" s="710"/>
      <c r="AK509" s="710"/>
      <c r="AL509" s="710"/>
      <c r="AM509" s="710"/>
      <c r="AN509" s="710"/>
      <c r="AO509" s="710"/>
      <c r="AP509" s="710"/>
      <c r="AQ509" s="710"/>
      <c r="AR509" s="710"/>
      <c r="AS509" s="710"/>
      <c r="AT509" s="710"/>
      <c r="AU509" s="1829"/>
      <c r="AV509" s="1835"/>
      <c r="AW509" s="1836"/>
      <c r="AX509" s="1836"/>
      <c r="AY509" s="1836"/>
      <c r="AZ509" s="1825"/>
      <c r="BA509" s="1825"/>
    </row>
    <row r="510" spans="2:53" s="188" customFormat="1" ht="24.95" customHeight="1">
      <c r="B510" s="281"/>
      <c r="C510" s="168"/>
      <c r="D510" s="168"/>
      <c r="E510" s="168"/>
      <c r="F510" s="227"/>
      <c r="G510" s="660"/>
      <c r="H510" s="253"/>
      <c r="I510" s="212"/>
      <c r="N510" s="212"/>
      <c r="O510" s="1557"/>
      <c r="P510" s="1558"/>
      <c r="Q510" s="661"/>
      <c r="R510" s="655"/>
      <c r="S510" s="655"/>
      <c r="T510" s="655"/>
      <c r="U510" s="655"/>
      <c r="V510" s="655"/>
      <c r="W510" s="655"/>
      <c r="Y510" s="1827"/>
      <c r="Z510" s="1828"/>
      <c r="AA510" s="1829"/>
      <c r="AB510" s="1829"/>
      <c r="AC510" s="1829"/>
      <c r="AD510" s="1564"/>
      <c r="AE510" s="701"/>
      <c r="AF510" s="684"/>
      <c r="AG510" s="684"/>
      <c r="AH510" s="710"/>
      <c r="AI510" s="710"/>
      <c r="AJ510" s="710"/>
      <c r="AK510" s="710"/>
      <c r="AL510" s="710"/>
      <c r="AM510" s="710"/>
      <c r="AN510" s="710"/>
      <c r="AO510" s="710"/>
      <c r="AP510" s="710"/>
      <c r="AQ510" s="710"/>
      <c r="AR510" s="710"/>
      <c r="AS510" s="710"/>
      <c r="AT510" s="710"/>
      <c r="AU510" s="1829"/>
      <c r="AV510" s="1835"/>
      <c r="AW510" s="1836"/>
      <c r="AX510" s="1836"/>
      <c r="AY510" s="1836"/>
      <c r="AZ510" s="1825"/>
      <c r="BA510" s="1825"/>
    </row>
    <row r="511" spans="2:53" s="188" customFormat="1" ht="24.95" customHeight="1">
      <c r="B511" s="281"/>
      <c r="C511" s="168"/>
      <c r="D511" s="168"/>
      <c r="E511" s="168"/>
      <c r="F511" s="227"/>
      <c r="G511" s="660"/>
      <c r="H511" s="253"/>
      <c r="I511" s="212"/>
      <c r="N511" s="212"/>
      <c r="O511" s="1557"/>
      <c r="P511" s="1558"/>
      <c r="Q511" s="661"/>
      <c r="R511" s="655"/>
      <c r="S511" s="655"/>
      <c r="T511" s="655"/>
      <c r="U511" s="655"/>
      <c r="V511" s="655"/>
      <c r="W511" s="655"/>
      <c r="Y511" s="1827"/>
      <c r="Z511" s="1828"/>
      <c r="AA511" s="1829"/>
      <c r="AB511" s="1829"/>
      <c r="AC511" s="1829"/>
      <c r="AD511" s="1564"/>
      <c r="AE511" s="701"/>
      <c r="AF511" s="684"/>
      <c r="AG511" s="684"/>
      <c r="AH511" s="710"/>
      <c r="AI511" s="710"/>
      <c r="AJ511" s="710"/>
      <c r="AK511" s="710"/>
      <c r="AL511" s="710"/>
      <c r="AM511" s="710"/>
      <c r="AN511" s="710"/>
      <c r="AO511" s="710"/>
      <c r="AP511" s="710"/>
      <c r="AQ511" s="710"/>
      <c r="AR511" s="710"/>
      <c r="AS511" s="710"/>
      <c r="AT511" s="710"/>
      <c r="AU511" s="1829"/>
      <c r="AV511" s="1835"/>
      <c r="AW511" s="1836"/>
      <c r="AX511" s="1836"/>
      <c r="AY511" s="1836"/>
      <c r="AZ511" s="1825"/>
      <c r="BA511" s="1825"/>
    </row>
    <row r="512" spans="2:53" s="188" customFormat="1" ht="24.95" customHeight="1">
      <c r="B512" s="281"/>
      <c r="C512" s="168"/>
      <c r="D512" s="168"/>
      <c r="E512" s="168"/>
      <c r="F512" s="227"/>
      <c r="G512" s="660"/>
      <c r="H512" s="253"/>
      <c r="I512" s="212"/>
      <c r="N512" s="212"/>
      <c r="O512" s="1557"/>
      <c r="P512" s="1558"/>
      <c r="Q512" s="661"/>
      <c r="R512" s="655"/>
      <c r="S512" s="655"/>
      <c r="T512" s="655"/>
      <c r="U512" s="655"/>
      <c r="V512" s="655"/>
      <c r="W512" s="655"/>
      <c r="Y512" s="1827"/>
      <c r="Z512" s="1828"/>
      <c r="AA512" s="1829"/>
      <c r="AB512" s="1829"/>
      <c r="AC512" s="1829"/>
      <c r="AD512" s="1564"/>
      <c r="AE512" s="701"/>
      <c r="AF512" s="684"/>
      <c r="AG512" s="684"/>
      <c r="AH512" s="710"/>
      <c r="AI512" s="710"/>
      <c r="AJ512" s="710"/>
      <c r="AK512" s="710"/>
      <c r="AL512" s="710"/>
      <c r="AM512" s="710"/>
      <c r="AN512" s="710"/>
      <c r="AO512" s="710"/>
      <c r="AP512" s="710"/>
      <c r="AQ512" s="710"/>
      <c r="AR512" s="710"/>
      <c r="AS512" s="710"/>
      <c r="AT512" s="710"/>
      <c r="AU512" s="1829"/>
      <c r="AV512" s="1835"/>
      <c r="AW512" s="1836"/>
      <c r="AX512" s="1836"/>
      <c r="AY512" s="1836"/>
      <c r="AZ512" s="1825"/>
      <c r="BA512" s="1825"/>
    </row>
    <row r="513" spans="2:53" s="188" customFormat="1" ht="24.95" customHeight="1">
      <c r="B513" s="281"/>
      <c r="C513" s="168"/>
      <c r="D513" s="168"/>
      <c r="E513" s="168"/>
      <c r="F513" s="227"/>
      <c r="G513" s="660"/>
      <c r="H513" s="253"/>
      <c r="I513" s="212"/>
      <c r="N513" s="212"/>
      <c r="O513" s="1557"/>
      <c r="P513" s="1558"/>
      <c r="Q513" s="661"/>
      <c r="R513" s="655"/>
      <c r="S513" s="655"/>
      <c r="T513" s="655"/>
      <c r="U513" s="655"/>
      <c r="V513" s="655"/>
      <c r="W513" s="655"/>
      <c r="Y513" s="1827"/>
      <c r="Z513" s="1828"/>
      <c r="AA513" s="1829"/>
      <c r="AB513" s="1829"/>
      <c r="AC513" s="1829"/>
      <c r="AD513" s="1564"/>
      <c r="AE513" s="701"/>
      <c r="AF513" s="684"/>
      <c r="AG513" s="684"/>
      <c r="AH513" s="710"/>
      <c r="AI513" s="710"/>
      <c r="AJ513" s="710"/>
      <c r="AK513" s="710"/>
      <c r="AL513" s="710"/>
      <c r="AM513" s="710"/>
      <c r="AN513" s="710"/>
      <c r="AO513" s="710"/>
      <c r="AP513" s="710"/>
      <c r="AQ513" s="710"/>
      <c r="AR513" s="710"/>
      <c r="AS513" s="710"/>
      <c r="AT513" s="710"/>
      <c r="AU513" s="1829"/>
      <c r="AV513" s="1835"/>
      <c r="AW513" s="1836"/>
      <c r="AX513" s="1836"/>
      <c r="AY513" s="1836"/>
      <c r="AZ513" s="1825"/>
      <c r="BA513" s="1825"/>
    </row>
    <row r="514" spans="2:53" s="188" customFormat="1" ht="24.95" customHeight="1">
      <c r="B514" s="281"/>
      <c r="C514" s="168"/>
      <c r="D514" s="168"/>
      <c r="E514" s="168"/>
      <c r="F514" s="227"/>
      <c r="G514" s="660"/>
      <c r="H514" s="253"/>
      <c r="I514" s="212"/>
      <c r="N514" s="212"/>
      <c r="O514" s="1557"/>
      <c r="P514" s="1558"/>
      <c r="Q514" s="661"/>
      <c r="R514" s="655"/>
      <c r="S514" s="655"/>
      <c r="T514" s="655"/>
      <c r="U514" s="655"/>
      <c r="V514" s="655"/>
      <c r="W514" s="655"/>
      <c r="Y514" s="1827"/>
      <c r="Z514" s="1828"/>
      <c r="AA514" s="1829"/>
      <c r="AB514" s="1829"/>
      <c r="AC514" s="1829"/>
      <c r="AD514" s="1564"/>
      <c r="AE514" s="701"/>
      <c r="AF514" s="684"/>
      <c r="AG514" s="684"/>
      <c r="AH514" s="710"/>
      <c r="AI514" s="710"/>
      <c r="AJ514" s="710"/>
      <c r="AK514" s="710"/>
      <c r="AL514" s="710"/>
      <c r="AM514" s="710"/>
      <c r="AN514" s="710"/>
      <c r="AO514" s="710"/>
      <c r="AP514" s="710"/>
      <c r="AQ514" s="710"/>
      <c r="AR514" s="710"/>
      <c r="AS514" s="710"/>
      <c r="AT514" s="710"/>
      <c r="AU514" s="1829"/>
      <c r="AV514" s="1835"/>
      <c r="AW514" s="1836"/>
      <c r="AX514" s="1836"/>
      <c r="AY514" s="1836"/>
      <c r="AZ514" s="1825"/>
      <c r="BA514" s="1825"/>
    </row>
    <row r="515" spans="2:53" s="188" customFormat="1" ht="24.95" customHeight="1">
      <c r="B515" s="281"/>
      <c r="C515" s="168"/>
      <c r="D515" s="168"/>
      <c r="E515" s="168"/>
      <c r="F515" s="227"/>
      <c r="G515" s="660"/>
      <c r="H515" s="253"/>
      <c r="I515" s="212"/>
      <c r="N515" s="212"/>
      <c r="O515" s="1557"/>
      <c r="P515" s="1558"/>
      <c r="Q515" s="661"/>
      <c r="R515" s="655"/>
      <c r="S515" s="655"/>
      <c r="T515" s="655"/>
      <c r="U515" s="655"/>
      <c r="V515" s="655"/>
      <c r="W515" s="655"/>
      <c r="Y515" s="1827"/>
      <c r="Z515" s="1828"/>
      <c r="AA515" s="1829"/>
      <c r="AB515" s="1829"/>
      <c r="AC515" s="1829"/>
      <c r="AD515" s="1564"/>
      <c r="AE515" s="701"/>
      <c r="AF515" s="684"/>
      <c r="AG515" s="684"/>
      <c r="AH515" s="710"/>
      <c r="AI515" s="710"/>
      <c r="AJ515" s="710"/>
      <c r="AK515" s="710"/>
      <c r="AL515" s="710"/>
      <c r="AM515" s="710"/>
      <c r="AN515" s="710"/>
      <c r="AO515" s="710"/>
      <c r="AP515" s="710"/>
      <c r="AQ515" s="710"/>
      <c r="AR515" s="710"/>
      <c r="AS515" s="710"/>
      <c r="AT515" s="710"/>
      <c r="AU515" s="1829"/>
      <c r="AV515" s="1835"/>
      <c r="AW515" s="1836"/>
      <c r="AX515" s="1836"/>
      <c r="AY515" s="1836"/>
      <c r="AZ515" s="1825"/>
      <c r="BA515" s="1825"/>
    </row>
    <row r="516" spans="2:53" s="188" customFormat="1" ht="24.95" customHeight="1">
      <c r="B516" s="281"/>
      <c r="C516" s="168"/>
      <c r="D516" s="168"/>
      <c r="E516" s="168"/>
      <c r="F516" s="227"/>
      <c r="G516" s="660"/>
      <c r="H516" s="253"/>
      <c r="I516" s="212"/>
      <c r="N516" s="212"/>
      <c r="O516" s="1557"/>
      <c r="P516" s="1558"/>
      <c r="Q516" s="661"/>
      <c r="R516" s="655"/>
      <c r="S516" s="655"/>
      <c r="T516" s="655"/>
      <c r="U516" s="655"/>
      <c r="V516" s="655"/>
      <c r="W516" s="655"/>
      <c r="Y516" s="1827"/>
      <c r="Z516" s="1828"/>
      <c r="AA516" s="1829"/>
      <c r="AB516" s="1829"/>
      <c r="AC516" s="1829"/>
      <c r="AD516" s="1564"/>
      <c r="AE516" s="701"/>
      <c r="AF516" s="684"/>
      <c r="AG516" s="684"/>
      <c r="AH516" s="710"/>
      <c r="AI516" s="710"/>
      <c r="AJ516" s="710"/>
      <c r="AK516" s="710"/>
      <c r="AL516" s="710"/>
      <c r="AM516" s="710"/>
      <c r="AN516" s="710"/>
      <c r="AO516" s="710"/>
      <c r="AP516" s="710"/>
      <c r="AQ516" s="710"/>
      <c r="AR516" s="710"/>
      <c r="AS516" s="710"/>
      <c r="AT516" s="710"/>
      <c r="AU516" s="1829"/>
      <c r="AV516" s="1835"/>
      <c r="AW516" s="1836"/>
      <c r="AX516" s="1836"/>
      <c r="AY516" s="1836"/>
      <c r="AZ516" s="1825"/>
      <c r="BA516" s="1825"/>
    </row>
    <row r="517" spans="2:53" s="188" customFormat="1" ht="24.95" customHeight="1">
      <c r="B517" s="281"/>
      <c r="C517" s="168"/>
      <c r="D517" s="168"/>
      <c r="E517" s="168"/>
      <c r="F517" s="227"/>
      <c r="G517" s="660"/>
      <c r="H517" s="253"/>
      <c r="I517" s="212"/>
      <c r="N517" s="212"/>
      <c r="O517" s="1557"/>
      <c r="P517" s="1558"/>
      <c r="Q517" s="661"/>
      <c r="R517" s="655"/>
      <c r="S517" s="655"/>
      <c r="T517" s="655"/>
      <c r="U517" s="655"/>
      <c r="V517" s="655"/>
      <c r="W517" s="655"/>
      <c r="Y517" s="1827"/>
      <c r="Z517" s="1828"/>
      <c r="AA517" s="1829"/>
      <c r="AB517" s="1829"/>
      <c r="AC517" s="1829"/>
      <c r="AD517" s="1564"/>
      <c r="AE517" s="701"/>
      <c r="AF517" s="684"/>
      <c r="AG517" s="684"/>
      <c r="AH517" s="710"/>
      <c r="AI517" s="710"/>
      <c r="AJ517" s="710"/>
      <c r="AK517" s="710"/>
      <c r="AL517" s="710"/>
      <c r="AM517" s="710"/>
      <c r="AN517" s="710"/>
      <c r="AO517" s="710"/>
      <c r="AP517" s="710"/>
      <c r="AQ517" s="710"/>
      <c r="AR517" s="710"/>
      <c r="AS517" s="710"/>
      <c r="AT517" s="710"/>
      <c r="AU517" s="1829"/>
      <c r="AV517" s="1835"/>
      <c r="AW517" s="1836"/>
      <c r="AX517" s="1836"/>
      <c r="AY517" s="1836"/>
      <c r="AZ517" s="1825"/>
      <c r="BA517" s="1825"/>
    </row>
    <row r="518" spans="2:53" s="188" customFormat="1" ht="24.95" customHeight="1">
      <c r="B518" s="281"/>
      <c r="C518" s="168"/>
      <c r="D518" s="168"/>
      <c r="E518" s="168"/>
      <c r="F518" s="227"/>
      <c r="G518" s="660"/>
      <c r="H518" s="253"/>
      <c r="I518" s="212"/>
      <c r="N518" s="212"/>
      <c r="O518" s="1557"/>
      <c r="P518" s="1558"/>
      <c r="Q518" s="661"/>
      <c r="R518" s="655"/>
      <c r="S518" s="655"/>
      <c r="T518" s="655"/>
      <c r="U518" s="655"/>
      <c r="V518" s="655"/>
      <c r="W518" s="655"/>
      <c r="Y518" s="1827"/>
      <c r="Z518" s="1828"/>
      <c r="AA518" s="1829"/>
      <c r="AB518" s="1829"/>
      <c r="AC518" s="1829"/>
      <c r="AD518" s="1564"/>
      <c r="AE518" s="701"/>
      <c r="AF518" s="684"/>
      <c r="AG518" s="684"/>
      <c r="AH518" s="710"/>
      <c r="AI518" s="710"/>
      <c r="AJ518" s="710"/>
      <c r="AK518" s="710"/>
      <c r="AL518" s="710"/>
      <c r="AM518" s="710"/>
      <c r="AN518" s="710"/>
      <c r="AO518" s="710"/>
      <c r="AP518" s="710"/>
      <c r="AQ518" s="710"/>
      <c r="AR518" s="710"/>
      <c r="AS518" s="710"/>
      <c r="AT518" s="710"/>
      <c r="AU518" s="1829"/>
      <c r="AV518" s="1835"/>
      <c r="AW518" s="1836"/>
      <c r="AX518" s="1836"/>
      <c r="AY518" s="1836"/>
      <c r="AZ518" s="1825"/>
      <c r="BA518" s="1825"/>
    </row>
    <row r="519" spans="2:53" s="188" customFormat="1" ht="24.95" customHeight="1">
      <c r="B519" s="281"/>
      <c r="C519" s="168"/>
      <c r="D519" s="168"/>
      <c r="E519" s="168"/>
      <c r="F519" s="227"/>
      <c r="G519" s="660"/>
      <c r="H519" s="253"/>
      <c r="I519" s="212"/>
      <c r="N519" s="212"/>
      <c r="O519" s="1557"/>
      <c r="P519" s="1558"/>
      <c r="Q519" s="661"/>
      <c r="R519" s="655"/>
      <c r="S519" s="655"/>
      <c r="T519" s="655"/>
      <c r="U519" s="655"/>
      <c r="V519" s="655"/>
      <c r="W519" s="655"/>
      <c r="Y519" s="1827"/>
      <c r="Z519" s="1828"/>
      <c r="AA519" s="1829"/>
      <c r="AB519" s="1829"/>
      <c r="AC519" s="1829"/>
      <c r="AD519" s="1564"/>
      <c r="AE519" s="701"/>
      <c r="AF519" s="684"/>
      <c r="AG519" s="684"/>
      <c r="AH519" s="710"/>
      <c r="AI519" s="710"/>
      <c r="AJ519" s="710"/>
      <c r="AK519" s="710"/>
      <c r="AL519" s="710"/>
      <c r="AM519" s="710"/>
      <c r="AN519" s="710"/>
      <c r="AO519" s="710"/>
      <c r="AP519" s="710"/>
      <c r="AQ519" s="710"/>
      <c r="AR519" s="710"/>
      <c r="AS519" s="710"/>
      <c r="AT519" s="710"/>
      <c r="AU519" s="1829"/>
      <c r="AV519" s="1835"/>
      <c r="AW519" s="1836"/>
      <c r="AX519" s="1836"/>
      <c r="AY519" s="1836"/>
      <c r="AZ519" s="1825"/>
      <c r="BA519" s="1825"/>
    </row>
    <row r="520" spans="2:53" s="188" customFormat="1" ht="24.95" customHeight="1">
      <c r="B520" s="281"/>
      <c r="C520" s="168"/>
      <c r="D520" s="168"/>
      <c r="E520" s="168"/>
      <c r="F520" s="227"/>
      <c r="G520" s="660"/>
      <c r="H520" s="253"/>
      <c r="I520" s="212"/>
      <c r="N520" s="212"/>
      <c r="O520" s="1557"/>
      <c r="P520" s="1558"/>
      <c r="Q520" s="661"/>
      <c r="R520" s="655"/>
      <c r="S520" s="655"/>
      <c r="T520" s="655"/>
      <c r="U520" s="655"/>
      <c r="V520" s="655"/>
      <c r="W520" s="655"/>
      <c r="Y520" s="1827"/>
      <c r="Z520" s="1828"/>
      <c r="AA520" s="1829"/>
      <c r="AB520" s="1829"/>
      <c r="AC520" s="1829"/>
      <c r="AD520" s="1564"/>
      <c r="AE520" s="701"/>
      <c r="AF520" s="684"/>
      <c r="AG520" s="684"/>
      <c r="AH520" s="710"/>
      <c r="AI520" s="710"/>
      <c r="AJ520" s="710"/>
      <c r="AK520" s="710"/>
      <c r="AL520" s="710"/>
      <c r="AM520" s="710"/>
      <c r="AN520" s="710"/>
      <c r="AO520" s="710"/>
      <c r="AP520" s="710"/>
      <c r="AQ520" s="710"/>
      <c r="AR520" s="710"/>
      <c r="AS520" s="710"/>
      <c r="AT520" s="710"/>
      <c r="AU520" s="1829"/>
      <c r="AV520" s="1835"/>
      <c r="AW520" s="1836"/>
      <c r="AX520" s="1836"/>
      <c r="AY520" s="1836"/>
      <c r="AZ520" s="1825"/>
      <c r="BA520" s="1825"/>
    </row>
    <row r="521" spans="2:53" s="188" customFormat="1" ht="24.95" customHeight="1">
      <c r="B521" s="281"/>
      <c r="C521" s="168"/>
      <c r="D521" s="168"/>
      <c r="E521" s="168"/>
      <c r="F521" s="227"/>
      <c r="G521" s="660"/>
      <c r="H521" s="253"/>
      <c r="I521" s="212"/>
      <c r="N521" s="212"/>
      <c r="O521" s="1557"/>
      <c r="P521" s="1558"/>
      <c r="Q521" s="661"/>
      <c r="R521" s="655"/>
      <c r="S521" s="655"/>
      <c r="T521" s="655"/>
      <c r="U521" s="655"/>
      <c r="V521" s="655"/>
      <c r="W521" s="655"/>
      <c r="Y521" s="1827"/>
      <c r="Z521" s="1828"/>
      <c r="AA521" s="1829"/>
      <c r="AB521" s="1829"/>
      <c r="AC521" s="1829"/>
      <c r="AD521" s="1564"/>
      <c r="AE521" s="701"/>
      <c r="AF521" s="684"/>
      <c r="AG521" s="684"/>
      <c r="AH521" s="710"/>
      <c r="AI521" s="710"/>
      <c r="AJ521" s="710"/>
      <c r="AK521" s="710"/>
      <c r="AL521" s="710"/>
      <c r="AM521" s="710"/>
      <c r="AN521" s="710"/>
      <c r="AO521" s="710"/>
      <c r="AP521" s="710"/>
      <c r="AQ521" s="710"/>
      <c r="AR521" s="710"/>
      <c r="AS521" s="710"/>
      <c r="AT521" s="710"/>
      <c r="AU521" s="1829"/>
      <c r="AV521" s="1835"/>
      <c r="AW521" s="1836"/>
      <c r="AX521" s="1836"/>
      <c r="AY521" s="1836"/>
      <c r="AZ521" s="1825"/>
      <c r="BA521" s="1825"/>
    </row>
    <row r="522" spans="2:53" s="188" customFormat="1" ht="24.95" customHeight="1">
      <c r="B522" s="281"/>
      <c r="C522" s="168"/>
      <c r="D522" s="168"/>
      <c r="E522" s="168"/>
      <c r="F522" s="227"/>
      <c r="G522" s="660"/>
      <c r="H522" s="253"/>
      <c r="I522" s="212"/>
      <c r="N522" s="212"/>
      <c r="O522" s="1557"/>
      <c r="P522" s="1558"/>
      <c r="Q522" s="661"/>
      <c r="R522" s="655"/>
      <c r="S522" s="655"/>
      <c r="T522" s="655"/>
      <c r="U522" s="655"/>
      <c r="V522" s="655"/>
      <c r="W522" s="655"/>
      <c r="Y522" s="1827"/>
      <c r="Z522" s="1828"/>
      <c r="AA522" s="1829"/>
      <c r="AB522" s="1829"/>
      <c r="AC522" s="1829"/>
      <c r="AD522" s="1564"/>
      <c r="AE522" s="701"/>
      <c r="AF522" s="684"/>
      <c r="AG522" s="684"/>
      <c r="AH522" s="710"/>
      <c r="AI522" s="710"/>
      <c r="AJ522" s="710"/>
      <c r="AK522" s="710"/>
      <c r="AL522" s="710"/>
      <c r="AM522" s="710"/>
      <c r="AN522" s="710"/>
      <c r="AO522" s="710"/>
      <c r="AP522" s="710"/>
      <c r="AQ522" s="710"/>
      <c r="AR522" s="710"/>
      <c r="AS522" s="710"/>
      <c r="AT522" s="710"/>
      <c r="AU522" s="1829"/>
      <c r="AV522" s="1835"/>
      <c r="AW522" s="1836"/>
      <c r="AX522" s="1836"/>
      <c r="AY522" s="1836"/>
      <c r="AZ522" s="1825"/>
      <c r="BA522" s="1825"/>
    </row>
    <row r="523" spans="2:53" s="188" customFormat="1" ht="24.95" customHeight="1">
      <c r="B523" s="281"/>
      <c r="C523" s="168"/>
      <c r="D523" s="168"/>
      <c r="E523" s="168"/>
      <c r="F523" s="227"/>
      <c r="G523" s="660"/>
      <c r="H523" s="253"/>
      <c r="I523" s="212"/>
      <c r="N523" s="212"/>
      <c r="O523" s="1557"/>
      <c r="P523" s="1558"/>
      <c r="Q523" s="661"/>
      <c r="R523" s="655"/>
      <c r="S523" s="655"/>
      <c r="T523" s="655"/>
      <c r="U523" s="655"/>
      <c r="V523" s="655"/>
      <c r="W523" s="655"/>
      <c r="Y523" s="1827"/>
      <c r="Z523" s="1828"/>
      <c r="AA523" s="1829"/>
      <c r="AB523" s="1829"/>
      <c r="AC523" s="1829"/>
      <c r="AD523" s="1564"/>
      <c r="AE523" s="701"/>
      <c r="AF523" s="684"/>
      <c r="AG523" s="684"/>
      <c r="AH523" s="710"/>
      <c r="AI523" s="710"/>
      <c r="AJ523" s="710"/>
      <c r="AK523" s="710"/>
      <c r="AL523" s="710"/>
      <c r="AM523" s="710"/>
      <c r="AN523" s="710"/>
      <c r="AO523" s="710"/>
      <c r="AP523" s="710"/>
      <c r="AQ523" s="710"/>
      <c r="AR523" s="710"/>
      <c r="AS523" s="710"/>
      <c r="AT523" s="710"/>
      <c r="AU523" s="1829"/>
      <c r="AV523" s="1835"/>
      <c r="AW523" s="1836"/>
      <c r="AX523" s="1836"/>
      <c r="AY523" s="1836"/>
      <c r="AZ523" s="1825"/>
      <c r="BA523" s="1825"/>
    </row>
    <row r="524" spans="2:53" s="188" customFormat="1" ht="24.95" customHeight="1">
      <c r="B524" s="281"/>
      <c r="C524" s="168"/>
      <c r="D524" s="168"/>
      <c r="E524" s="168"/>
      <c r="F524" s="227"/>
      <c r="G524" s="660"/>
      <c r="H524" s="253"/>
      <c r="I524" s="212"/>
      <c r="N524" s="212"/>
      <c r="O524" s="1557"/>
      <c r="P524" s="1558"/>
      <c r="Q524" s="661"/>
      <c r="R524" s="655"/>
      <c r="S524" s="655"/>
      <c r="T524" s="655"/>
      <c r="U524" s="655"/>
      <c r="V524" s="655"/>
      <c r="W524" s="655"/>
      <c r="Y524" s="1827"/>
      <c r="Z524" s="1828"/>
      <c r="AA524" s="1829"/>
      <c r="AB524" s="1829"/>
      <c r="AC524" s="1829"/>
      <c r="AD524" s="1564"/>
      <c r="AE524" s="701"/>
      <c r="AF524" s="684"/>
      <c r="AG524" s="684"/>
      <c r="AH524" s="710"/>
      <c r="AI524" s="710"/>
      <c r="AJ524" s="710"/>
      <c r="AK524" s="710"/>
      <c r="AL524" s="710"/>
      <c r="AM524" s="710"/>
      <c r="AN524" s="710"/>
      <c r="AO524" s="710"/>
      <c r="AP524" s="710"/>
      <c r="AQ524" s="710"/>
      <c r="AR524" s="710"/>
      <c r="AS524" s="710"/>
      <c r="AT524" s="710"/>
      <c r="AU524" s="1829"/>
      <c r="AV524" s="1835"/>
      <c r="AW524" s="1836"/>
      <c r="AX524" s="1836"/>
      <c r="AY524" s="1836"/>
      <c r="AZ524" s="1825"/>
      <c r="BA524" s="1825"/>
    </row>
    <row r="525" spans="2:53" s="188" customFormat="1" ht="24.95" customHeight="1">
      <c r="B525" s="281"/>
      <c r="C525" s="168"/>
      <c r="D525" s="168"/>
      <c r="E525" s="168"/>
      <c r="F525" s="227"/>
      <c r="G525" s="660"/>
      <c r="H525" s="253"/>
      <c r="I525" s="212"/>
      <c r="N525" s="212"/>
      <c r="O525" s="1557"/>
      <c r="P525" s="1558"/>
      <c r="Q525" s="661"/>
      <c r="R525" s="655"/>
      <c r="S525" s="655"/>
      <c r="T525" s="655"/>
      <c r="U525" s="655"/>
      <c r="V525" s="655"/>
      <c r="W525" s="655"/>
      <c r="Y525" s="1827"/>
      <c r="Z525" s="1828"/>
      <c r="AA525" s="1829"/>
      <c r="AB525" s="1829"/>
      <c r="AC525" s="1829"/>
      <c r="AD525" s="1564"/>
      <c r="AE525" s="701"/>
      <c r="AF525" s="684"/>
      <c r="AG525" s="684"/>
      <c r="AH525" s="710"/>
      <c r="AI525" s="710"/>
      <c r="AJ525" s="710"/>
      <c r="AK525" s="710"/>
      <c r="AL525" s="710"/>
      <c r="AM525" s="710"/>
      <c r="AN525" s="710"/>
      <c r="AO525" s="710"/>
      <c r="AP525" s="710"/>
      <c r="AQ525" s="710"/>
      <c r="AR525" s="710"/>
      <c r="AS525" s="710"/>
      <c r="AT525" s="710"/>
      <c r="AU525" s="1829"/>
      <c r="AV525" s="1835"/>
      <c r="AW525" s="1836"/>
      <c r="AX525" s="1836"/>
      <c r="AY525" s="1836"/>
      <c r="AZ525" s="1825"/>
      <c r="BA525" s="1825"/>
    </row>
    <row r="526" spans="2:53" s="188" customFormat="1" ht="24.95" customHeight="1">
      <c r="B526" s="281"/>
      <c r="C526" s="168"/>
      <c r="D526" s="168"/>
      <c r="E526" s="168"/>
      <c r="F526" s="227"/>
      <c r="G526" s="660"/>
      <c r="H526" s="253"/>
      <c r="I526" s="212"/>
      <c r="N526" s="212"/>
      <c r="O526" s="1557"/>
      <c r="P526" s="1558"/>
      <c r="Q526" s="661"/>
      <c r="R526" s="655"/>
      <c r="S526" s="655"/>
      <c r="T526" s="655"/>
      <c r="U526" s="655"/>
      <c r="V526" s="655"/>
      <c r="W526" s="655"/>
      <c r="Y526" s="1827"/>
      <c r="Z526" s="1828"/>
      <c r="AA526" s="1829"/>
      <c r="AB526" s="1829"/>
      <c r="AC526" s="1829"/>
      <c r="AD526" s="1564"/>
      <c r="AE526" s="701"/>
      <c r="AF526" s="684"/>
      <c r="AG526" s="684"/>
      <c r="AH526" s="710"/>
      <c r="AI526" s="710"/>
      <c r="AJ526" s="710"/>
      <c r="AK526" s="710"/>
      <c r="AL526" s="710"/>
      <c r="AM526" s="710"/>
      <c r="AN526" s="710"/>
      <c r="AO526" s="710"/>
      <c r="AP526" s="710"/>
      <c r="AQ526" s="710"/>
      <c r="AR526" s="710"/>
      <c r="AS526" s="710"/>
      <c r="AT526" s="710"/>
      <c r="AU526" s="1829"/>
      <c r="AV526" s="1835"/>
      <c r="AW526" s="1836"/>
      <c r="AX526" s="1836"/>
      <c r="AY526" s="1836"/>
      <c r="AZ526" s="1825"/>
      <c r="BA526" s="1825"/>
    </row>
    <row r="527" spans="2:53" s="188" customFormat="1" ht="24.95" customHeight="1">
      <c r="B527" s="281"/>
      <c r="C527" s="168"/>
      <c r="D527" s="168"/>
      <c r="E527" s="168"/>
      <c r="F527" s="227"/>
      <c r="G527" s="660"/>
      <c r="H527" s="253"/>
      <c r="I527" s="212"/>
      <c r="N527" s="212"/>
      <c r="O527" s="1557"/>
      <c r="P527" s="1558"/>
      <c r="Q527" s="661"/>
      <c r="R527" s="655"/>
      <c r="S527" s="655"/>
      <c r="T527" s="655"/>
      <c r="U527" s="655"/>
      <c r="V527" s="655"/>
      <c r="W527" s="655"/>
      <c r="Y527" s="1827"/>
      <c r="Z527" s="1828"/>
      <c r="AA527" s="1829"/>
      <c r="AB527" s="1829"/>
      <c r="AC527" s="1829"/>
      <c r="AD527" s="1564"/>
      <c r="AE527" s="701"/>
      <c r="AF527" s="684"/>
      <c r="AG527" s="684"/>
      <c r="AH527" s="710"/>
      <c r="AI527" s="710"/>
      <c r="AJ527" s="710"/>
      <c r="AK527" s="710"/>
      <c r="AL527" s="710"/>
      <c r="AM527" s="710"/>
      <c r="AN527" s="710"/>
      <c r="AO527" s="710"/>
      <c r="AP527" s="710"/>
      <c r="AQ527" s="710"/>
      <c r="AR527" s="710"/>
      <c r="AS527" s="710"/>
      <c r="AT527" s="710"/>
      <c r="AU527" s="1829"/>
      <c r="AV527" s="1835"/>
      <c r="AW527" s="1836"/>
      <c r="AX527" s="1836"/>
      <c r="AY527" s="1836"/>
      <c r="AZ527" s="1825"/>
      <c r="BA527" s="1825"/>
    </row>
    <row r="528" spans="2:53" s="188" customFormat="1" ht="24.95" customHeight="1">
      <c r="B528" s="281"/>
      <c r="C528" s="168"/>
      <c r="D528" s="168"/>
      <c r="E528" s="168"/>
      <c r="F528" s="227"/>
      <c r="G528" s="660"/>
      <c r="H528" s="253"/>
      <c r="I528" s="212"/>
      <c r="N528" s="212"/>
      <c r="O528" s="1557"/>
      <c r="P528" s="1558"/>
      <c r="Q528" s="661"/>
      <c r="R528" s="655"/>
      <c r="S528" s="655"/>
      <c r="T528" s="655"/>
      <c r="U528" s="655"/>
      <c r="V528" s="655"/>
      <c r="W528" s="655"/>
      <c r="Y528" s="1827"/>
      <c r="Z528" s="1828"/>
      <c r="AA528" s="1829"/>
      <c r="AB528" s="1829"/>
      <c r="AC528" s="1829"/>
      <c r="AD528" s="1564"/>
      <c r="AE528" s="701"/>
      <c r="AF528" s="684"/>
      <c r="AG528" s="684"/>
      <c r="AH528" s="710"/>
      <c r="AI528" s="710"/>
      <c r="AJ528" s="710"/>
      <c r="AK528" s="710"/>
      <c r="AL528" s="710"/>
      <c r="AM528" s="710"/>
      <c r="AN528" s="710"/>
      <c r="AO528" s="710"/>
      <c r="AP528" s="710"/>
      <c r="AQ528" s="710"/>
      <c r="AR528" s="710"/>
      <c r="AS528" s="710"/>
      <c r="AT528" s="710"/>
      <c r="AU528" s="1829"/>
      <c r="AV528" s="1835"/>
      <c r="AW528" s="1836"/>
      <c r="AX528" s="1836"/>
      <c r="AY528" s="1836"/>
      <c r="AZ528" s="1825"/>
      <c r="BA528" s="1825"/>
    </row>
    <row r="529" spans="2:53" s="188" customFormat="1" ht="24.95" customHeight="1">
      <c r="B529" s="281"/>
      <c r="C529" s="168"/>
      <c r="D529" s="168"/>
      <c r="E529" s="168"/>
      <c r="F529" s="227"/>
      <c r="G529" s="660"/>
      <c r="H529" s="253"/>
      <c r="I529" s="212"/>
      <c r="N529" s="212"/>
      <c r="O529" s="1557"/>
      <c r="P529" s="1558"/>
      <c r="Q529" s="661"/>
      <c r="R529" s="655"/>
      <c r="S529" s="655"/>
      <c r="T529" s="655"/>
      <c r="U529" s="655"/>
      <c r="V529" s="655"/>
      <c r="W529" s="655"/>
      <c r="Y529" s="1827"/>
      <c r="Z529" s="1828"/>
      <c r="AA529" s="1829"/>
      <c r="AB529" s="1829"/>
      <c r="AC529" s="1829"/>
      <c r="AD529" s="1564"/>
      <c r="AE529" s="701"/>
      <c r="AF529" s="684"/>
      <c r="AG529" s="684"/>
      <c r="AH529" s="710"/>
      <c r="AI529" s="710"/>
      <c r="AJ529" s="710"/>
      <c r="AK529" s="710"/>
      <c r="AL529" s="710"/>
      <c r="AM529" s="710"/>
      <c r="AN529" s="710"/>
      <c r="AO529" s="710"/>
      <c r="AP529" s="710"/>
      <c r="AQ529" s="710"/>
      <c r="AR529" s="710"/>
      <c r="AS529" s="710"/>
      <c r="AT529" s="710"/>
      <c r="AU529" s="1829"/>
      <c r="AV529" s="1835"/>
      <c r="AW529" s="1836"/>
      <c r="AX529" s="1836"/>
      <c r="AY529" s="1836"/>
      <c r="AZ529" s="1825"/>
      <c r="BA529" s="1825"/>
    </row>
    <row r="530" spans="2:53" s="188" customFormat="1" ht="24.95" customHeight="1">
      <c r="B530" s="281"/>
      <c r="C530" s="168"/>
      <c r="D530" s="168"/>
      <c r="E530" s="168"/>
      <c r="F530" s="227"/>
      <c r="G530" s="660"/>
      <c r="H530" s="253"/>
      <c r="I530" s="212"/>
      <c r="N530" s="212"/>
      <c r="O530" s="1557"/>
      <c r="P530" s="1558"/>
      <c r="Q530" s="661"/>
      <c r="R530" s="655"/>
      <c r="S530" s="655"/>
      <c r="T530" s="655"/>
      <c r="U530" s="655"/>
      <c r="V530" s="655"/>
      <c r="W530" s="655"/>
      <c r="Y530" s="1827"/>
      <c r="Z530" s="1828"/>
      <c r="AA530" s="1829"/>
      <c r="AB530" s="1829"/>
      <c r="AC530" s="1829"/>
      <c r="AD530" s="1564"/>
      <c r="AE530" s="701"/>
      <c r="AF530" s="684"/>
      <c r="AG530" s="684"/>
      <c r="AH530" s="710"/>
      <c r="AI530" s="710"/>
      <c r="AJ530" s="710"/>
      <c r="AK530" s="710"/>
      <c r="AL530" s="710"/>
      <c r="AM530" s="710"/>
      <c r="AN530" s="710"/>
      <c r="AO530" s="710"/>
      <c r="AP530" s="710"/>
      <c r="AQ530" s="710"/>
      <c r="AR530" s="710"/>
      <c r="AS530" s="710"/>
      <c r="AT530" s="710"/>
      <c r="AU530" s="1829"/>
      <c r="AV530" s="1835"/>
      <c r="AW530" s="1836"/>
      <c r="AX530" s="1836"/>
      <c r="AY530" s="1836"/>
      <c r="AZ530" s="1825"/>
      <c r="BA530" s="1825"/>
    </row>
    <row r="531" spans="2:53" s="188" customFormat="1" ht="24.95" customHeight="1">
      <c r="B531" s="281"/>
      <c r="C531" s="168"/>
      <c r="D531" s="168"/>
      <c r="E531" s="168"/>
      <c r="F531" s="227"/>
      <c r="G531" s="660"/>
      <c r="H531" s="253"/>
      <c r="I531" s="212"/>
      <c r="N531" s="212"/>
      <c r="O531" s="1557"/>
      <c r="P531" s="1558"/>
      <c r="Q531" s="661"/>
      <c r="R531" s="655"/>
      <c r="S531" s="655"/>
      <c r="T531" s="655"/>
      <c r="U531" s="655"/>
      <c r="V531" s="655"/>
      <c r="W531" s="655"/>
      <c r="Y531" s="1827"/>
      <c r="Z531" s="1828"/>
      <c r="AA531" s="1829"/>
      <c r="AB531" s="1829"/>
      <c r="AC531" s="1829"/>
      <c r="AD531" s="1564"/>
      <c r="AE531" s="701"/>
      <c r="AF531" s="684"/>
      <c r="AG531" s="684"/>
      <c r="AH531" s="710"/>
      <c r="AI531" s="710"/>
      <c r="AJ531" s="710"/>
      <c r="AK531" s="710"/>
      <c r="AL531" s="710"/>
      <c r="AM531" s="710"/>
      <c r="AN531" s="710"/>
      <c r="AO531" s="710"/>
      <c r="AP531" s="710"/>
      <c r="AQ531" s="710"/>
      <c r="AR531" s="710"/>
      <c r="AS531" s="710"/>
      <c r="AT531" s="710"/>
      <c r="AU531" s="1829"/>
      <c r="AV531" s="1835"/>
      <c r="AW531" s="1836"/>
      <c r="AX531" s="1836"/>
      <c r="AY531" s="1836"/>
      <c r="AZ531" s="1825"/>
      <c r="BA531" s="1825"/>
    </row>
    <row r="532" spans="2:53" s="188" customFormat="1" ht="24.95" customHeight="1">
      <c r="B532" s="281"/>
      <c r="C532" s="168"/>
      <c r="D532" s="168"/>
      <c r="E532" s="168"/>
      <c r="F532" s="227"/>
      <c r="G532" s="660"/>
      <c r="H532" s="253"/>
      <c r="I532" s="212"/>
      <c r="N532" s="212"/>
      <c r="O532" s="1557"/>
      <c r="P532" s="1558"/>
      <c r="Q532" s="661"/>
      <c r="R532" s="655"/>
      <c r="S532" s="655"/>
      <c r="T532" s="655"/>
      <c r="U532" s="655"/>
      <c r="V532" s="655"/>
      <c r="W532" s="655"/>
      <c r="Y532" s="1827"/>
      <c r="Z532" s="1828"/>
      <c r="AA532" s="1829"/>
      <c r="AB532" s="1829"/>
      <c r="AC532" s="1829"/>
      <c r="AD532" s="1564"/>
      <c r="AE532" s="701"/>
      <c r="AF532" s="684"/>
      <c r="AG532" s="684"/>
      <c r="AH532" s="710"/>
      <c r="AI532" s="710"/>
      <c r="AJ532" s="710"/>
      <c r="AK532" s="710"/>
      <c r="AL532" s="710"/>
      <c r="AM532" s="710"/>
      <c r="AN532" s="710"/>
      <c r="AO532" s="710"/>
      <c r="AP532" s="710"/>
      <c r="AQ532" s="710"/>
      <c r="AR532" s="710"/>
      <c r="AS532" s="710"/>
      <c r="AT532" s="710"/>
      <c r="AU532" s="1829"/>
      <c r="AV532" s="1835"/>
      <c r="AW532" s="1836"/>
      <c r="AX532" s="1836"/>
      <c r="AY532" s="1836"/>
      <c r="AZ532" s="1825"/>
      <c r="BA532" s="1825"/>
    </row>
    <row r="533" spans="2:53" s="188" customFormat="1" ht="24.95" customHeight="1">
      <c r="B533" s="281"/>
      <c r="C533" s="168"/>
      <c r="D533" s="168"/>
      <c r="E533" s="168"/>
      <c r="F533" s="227"/>
      <c r="G533" s="660"/>
      <c r="H533" s="253"/>
      <c r="I533" s="212"/>
      <c r="N533" s="212"/>
      <c r="O533" s="1557"/>
      <c r="P533" s="1558"/>
      <c r="Q533" s="661"/>
      <c r="R533" s="655"/>
      <c r="S533" s="655"/>
      <c r="T533" s="655"/>
      <c r="U533" s="655"/>
      <c r="V533" s="655"/>
      <c r="W533" s="655"/>
      <c r="Y533" s="1827"/>
      <c r="Z533" s="1828"/>
      <c r="AA533" s="1829"/>
      <c r="AB533" s="1829"/>
      <c r="AC533" s="1829"/>
      <c r="AD533" s="1564"/>
      <c r="AE533" s="701"/>
      <c r="AF533" s="684"/>
      <c r="AG533" s="684"/>
      <c r="AH533" s="710"/>
      <c r="AI533" s="710"/>
      <c r="AJ533" s="710"/>
      <c r="AK533" s="710"/>
      <c r="AL533" s="710"/>
      <c r="AM533" s="710"/>
      <c r="AN533" s="710"/>
      <c r="AO533" s="710"/>
      <c r="AP533" s="710"/>
      <c r="AQ533" s="710"/>
      <c r="AR533" s="710"/>
      <c r="AS533" s="710"/>
      <c r="AT533" s="710"/>
      <c r="AU533" s="1829"/>
      <c r="AV533" s="1835"/>
      <c r="AW533" s="1836"/>
      <c r="AX533" s="1836"/>
      <c r="AY533" s="1836"/>
      <c r="AZ533" s="1825"/>
      <c r="BA533" s="1825"/>
    </row>
    <row r="534" spans="2:53" s="188" customFormat="1" ht="24.95" customHeight="1">
      <c r="B534" s="281"/>
      <c r="C534" s="168"/>
      <c r="D534" s="168"/>
      <c r="E534" s="168"/>
      <c r="F534" s="227"/>
      <c r="G534" s="660"/>
      <c r="H534" s="253"/>
      <c r="I534" s="212"/>
      <c r="N534" s="212"/>
      <c r="O534" s="1557"/>
      <c r="P534" s="1558"/>
      <c r="Q534" s="661"/>
      <c r="R534" s="655"/>
      <c r="S534" s="655"/>
      <c r="T534" s="655"/>
      <c r="U534" s="655"/>
      <c r="V534" s="655"/>
      <c r="W534" s="655"/>
      <c r="Y534" s="1827"/>
      <c r="Z534" s="1828"/>
      <c r="AA534" s="1829"/>
      <c r="AB534" s="1829"/>
      <c r="AC534" s="1829"/>
      <c r="AD534" s="1564"/>
      <c r="AE534" s="701"/>
      <c r="AF534" s="684"/>
      <c r="AG534" s="684"/>
      <c r="AH534" s="710"/>
      <c r="AI534" s="710"/>
      <c r="AJ534" s="710"/>
      <c r="AK534" s="710"/>
      <c r="AL534" s="710"/>
      <c r="AM534" s="710"/>
      <c r="AN534" s="710"/>
      <c r="AO534" s="710"/>
      <c r="AP534" s="710"/>
      <c r="AQ534" s="710"/>
      <c r="AR534" s="710"/>
      <c r="AS534" s="710"/>
      <c r="AT534" s="710"/>
      <c r="AU534" s="1829"/>
      <c r="AV534" s="1835"/>
      <c r="AW534" s="1836"/>
      <c r="AX534" s="1836"/>
      <c r="AY534" s="1836"/>
      <c r="AZ534" s="1825"/>
      <c r="BA534" s="1825"/>
    </row>
    <row r="535" spans="2:53" s="188" customFormat="1" ht="24.95" customHeight="1">
      <c r="B535" s="281"/>
      <c r="C535" s="168"/>
      <c r="D535" s="168"/>
      <c r="E535" s="168"/>
      <c r="F535" s="227"/>
      <c r="G535" s="660"/>
      <c r="H535" s="253"/>
      <c r="I535" s="212"/>
      <c r="N535" s="212"/>
      <c r="O535" s="1557"/>
      <c r="P535" s="1558"/>
      <c r="Q535" s="661"/>
      <c r="R535" s="655"/>
      <c r="S535" s="655"/>
      <c r="T535" s="655"/>
      <c r="U535" s="655"/>
      <c r="V535" s="655"/>
      <c r="W535" s="655"/>
      <c r="Y535" s="1827"/>
      <c r="Z535" s="1828"/>
      <c r="AA535" s="1829"/>
      <c r="AB535" s="1829"/>
      <c r="AC535" s="1829"/>
      <c r="AD535" s="1564"/>
      <c r="AE535" s="701"/>
      <c r="AF535" s="684"/>
      <c r="AG535" s="684"/>
      <c r="AH535" s="710"/>
      <c r="AI535" s="710"/>
      <c r="AJ535" s="710"/>
      <c r="AK535" s="710"/>
      <c r="AL535" s="710"/>
      <c r="AM535" s="710"/>
      <c r="AN535" s="710"/>
      <c r="AO535" s="710"/>
      <c r="AP535" s="710"/>
      <c r="AQ535" s="710"/>
      <c r="AR535" s="710"/>
      <c r="AS535" s="710"/>
      <c r="AT535" s="710"/>
      <c r="AU535" s="1829"/>
      <c r="AV535" s="1835"/>
      <c r="AW535" s="1836"/>
      <c r="AX535" s="1836"/>
      <c r="AY535" s="1836"/>
      <c r="AZ535" s="1825"/>
      <c r="BA535" s="1825"/>
    </row>
    <row r="536" spans="2:53" s="188" customFormat="1" ht="24.95" customHeight="1">
      <c r="B536" s="281"/>
      <c r="C536" s="168"/>
      <c r="D536" s="168"/>
      <c r="E536" s="168"/>
      <c r="F536" s="227"/>
      <c r="G536" s="660"/>
      <c r="H536" s="253"/>
      <c r="I536" s="212"/>
      <c r="N536" s="212"/>
      <c r="O536" s="1557"/>
      <c r="P536" s="1558"/>
      <c r="Q536" s="661"/>
      <c r="R536" s="655"/>
      <c r="S536" s="655"/>
      <c r="T536" s="655"/>
      <c r="U536" s="655"/>
      <c r="V536" s="655"/>
      <c r="W536" s="655"/>
      <c r="Y536" s="1827"/>
      <c r="Z536" s="1828"/>
      <c r="AA536" s="1829"/>
      <c r="AB536" s="1829"/>
      <c r="AC536" s="1829"/>
      <c r="AD536" s="1564"/>
      <c r="AE536" s="701"/>
      <c r="AF536" s="684"/>
      <c r="AG536" s="684"/>
      <c r="AH536" s="710"/>
      <c r="AI536" s="710"/>
      <c r="AJ536" s="710"/>
      <c r="AK536" s="710"/>
      <c r="AL536" s="710"/>
      <c r="AM536" s="710"/>
      <c r="AN536" s="710"/>
      <c r="AO536" s="710"/>
      <c r="AP536" s="710"/>
      <c r="AQ536" s="710"/>
      <c r="AR536" s="710"/>
      <c r="AS536" s="710"/>
      <c r="AT536" s="710"/>
      <c r="AU536" s="1829"/>
      <c r="AV536" s="1835"/>
      <c r="AW536" s="1836"/>
      <c r="AX536" s="1836"/>
      <c r="AY536" s="1836"/>
      <c r="AZ536" s="1825"/>
      <c r="BA536" s="1825"/>
    </row>
    <row r="537" spans="2:53" s="188" customFormat="1" ht="24.95" customHeight="1">
      <c r="B537" s="281"/>
      <c r="C537" s="168"/>
      <c r="D537" s="168"/>
      <c r="E537" s="168"/>
      <c r="F537" s="227"/>
      <c r="G537" s="660"/>
      <c r="H537" s="253"/>
      <c r="I537" s="212"/>
      <c r="N537" s="212"/>
      <c r="O537" s="1557"/>
      <c r="P537" s="1558"/>
      <c r="Q537" s="661"/>
      <c r="R537" s="655"/>
      <c r="S537" s="655"/>
      <c r="T537" s="655"/>
      <c r="U537" s="655"/>
      <c r="V537" s="655"/>
      <c r="W537" s="655"/>
      <c r="Y537" s="1827"/>
      <c r="Z537" s="1828"/>
      <c r="AA537" s="1829"/>
      <c r="AB537" s="1829"/>
      <c r="AC537" s="1829"/>
      <c r="AD537" s="1564"/>
      <c r="AE537" s="701"/>
      <c r="AF537" s="684"/>
      <c r="AG537" s="684"/>
      <c r="AH537" s="710"/>
      <c r="AI537" s="710"/>
      <c r="AJ537" s="710"/>
      <c r="AK537" s="710"/>
      <c r="AL537" s="710"/>
      <c r="AM537" s="710"/>
      <c r="AN537" s="710"/>
      <c r="AO537" s="710"/>
      <c r="AP537" s="710"/>
      <c r="AQ537" s="710"/>
      <c r="AR537" s="710"/>
      <c r="AS537" s="710"/>
      <c r="AT537" s="710"/>
      <c r="AU537" s="1829"/>
      <c r="AV537" s="1835"/>
      <c r="AW537" s="1836"/>
      <c r="AX537" s="1836"/>
      <c r="AY537" s="1836"/>
      <c r="AZ537" s="1825"/>
      <c r="BA537" s="1825"/>
    </row>
    <row r="538" spans="2:53" s="188" customFormat="1" ht="24.95" customHeight="1">
      <c r="B538" s="281"/>
      <c r="C538" s="168"/>
      <c r="D538" s="168"/>
      <c r="E538" s="168"/>
      <c r="F538" s="227"/>
      <c r="G538" s="660"/>
      <c r="H538" s="253"/>
      <c r="I538" s="212"/>
      <c r="N538" s="212"/>
      <c r="O538" s="1557"/>
      <c r="P538" s="1558"/>
      <c r="Q538" s="661"/>
      <c r="R538" s="655"/>
      <c r="S538" s="655"/>
      <c r="T538" s="655"/>
      <c r="U538" s="655"/>
      <c r="V538" s="655"/>
      <c r="W538" s="655"/>
      <c r="Y538" s="1827"/>
      <c r="Z538" s="1828"/>
      <c r="AA538" s="1829"/>
      <c r="AB538" s="1829"/>
      <c r="AC538" s="1829"/>
      <c r="AD538" s="1564"/>
      <c r="AE538" s="701"/>
      <c r="AF538" s="684"/>
      <c r="AG538" s="684"/>
      <c r="AH538" s="710"/>
      <c r="AI538" s="710"/>
      <c r="AJ538" s="710"/>
      <c r="AK538" s="710"/>
      <c r="AL538" s="710"/>
      <c r="AM538" s="710"/>
      <c r="AN538" s="710"/>
      <c r="AO538" s="710"/>
      <c r="AP538" s="710"/>
      <c r="AQ538" s="710"/>
      <c r="AR538" s="710"/>
      <c r="AS538" s="710"/>
      <c r="AT538" s="710"/>
      <c r="AU538" s="1829"/>
      <c r="AV538" s="1835"/>
      <c r="AW538" s="1836"/>
      <c r="AX538" s="1836"/>
      <c r="AY538" s="1836"/>
      <c r="AZ538" s="1825"/>
      <c r="BA538" s="1825"/>
    </row>
    <row r="539" spans="2:53" s="188" customFormat="1" ht="24.95" customHeight="1">
      <c r="B539" s="281"/>
      <c r="C539" s="168"/>
      <c r="D539" s="168"/>
      <c r="E539" s="168"/>
      <c r="F539" s="227"/>
      <c r="G539" s="660"/>
      <c r="H539" s="253"/>
      <c r="I539" s="212"/>
      <c r="N539" s="212"/>
      <c r="O539" s="1557"/>
      <c r="P539" s="1558"/>
      <c r="Q539" s="661"/>
      <c r="R539" s="655"/>
      <c r="S539" s="655"/>
      <c r="T539" s="655"/>
      <c r="U539" s="655"/>
      <c r="V539" s="655"/>
      <c r="W539" s="655"/>
      <c r="Y539" s="1827"/>
      <c r="Z539" s="1828"/>
      <c r="AA539" s="1829"/>
      <c r="AB539" s="1829"/>
      <c r="AC539" s="1829"/>
      <c r="AD539" s="1564"/>
      <c r="AE539" s="701"/>
      <c r="AF539" s="684"/>
      <c r="AG539" s="684"/>
      <c r="AH539" s="710"/>
      <c r="AI539" s="710"/>
      <c r="AJ539" s="710"/>
      <c r="AK539" s="710"/>
      <c r="AL539" s="710"/>
      <c r="AM539" s="710"/>
      <c r="AN539" s="710"/>
      <c r="AO539" s="710"/>
      <c r="AP539" s="710"/>
      <c r="AQ539" s="710"/>
      <c r="AR539" s="710"/>
      <c r="AS539" s="710"/>
      <c r="AT539" s="710"/>
      <c r="AU539" s="1829"/>
      <c r="AV539" s="1835"/>
      <c r="AW539" s="1836"/>
      <c r="AX539" s="1836"/>
      <c r="AY539" s="1836"/>
      <c r="AZ539" s="1825"/>
      <c r="BA539" s="1825"/>
    </row>
    <row r="540" spans="2:53" s="188" customFormat="1" ht="24.95" customHeight="1">
      <c r="B540" s="281"/>
      <c r="C540" s="168"/>
      <c r="D540" s="168"/>
      <c r="E540" s="168"/>
      <c r="F540" s="227"/>
      <c r="G540" s="660"/>
      <c r="H540" s="253"/>
      <c r="I540" s="212"/>
      <c r="N540" s="212"/>
      <c r="O540" s="1557"/>
      <c r="P540" s="1558"/>
      <c r="Q540" s="661"/>
      <c r="R540" s="655"/>
      <c r="S540" s="655"/>
      <c r="T540" s="655"/>
      <c r="U540" s="655"/>
      <c r="V540" s="655"/>
      <c r="W540" s="655"/>
      <c r="Y540" s="1827"/>
      <c r="Z540" s="1828"/>
      <c r="AA540" s="1829"/>
      <c r="AB540" s="1829"/>
      <c r="AC540" s="1829"/>
      <c r="AD540" s="1564"/>
      <c r="AE540" s="701"/>
      <c r="AF540" s="684"/>
      <c r="AG540" s="684"/>
      <c r="AH540" s="710"/>
      <c r="AI540" s="710"/>
      <c r="AJ540" s="710"/>
      <c r="AK540" s="710"/>
      <c r="AL540" s="710"/>
      <c r="AM540" s="710"/>
      <c r="AN540" s="710"/>
      <c r="AO540" s="710"/>
      <c r="AP540" s="710"/>
      <c r="AQ540" s="710"/>
      <c r="AR540" s="710"/>
      <c r="AS540" s="710"/>
      <c r="AT540" s="710"/>
      <c r="AU540" s="1829"/>
      <c r="AV540" s="1835"/>
      <c r="AW540" s="1836"/>
      <c r="AX540" s="1836"/>
      <c r="AY540" s="1836"/>
      <c r="AZ540" s="1825"/>
      <c r="BA540" s="1825"/>
    </row>
    <row r="541" spans="2:53" s="188" customFormat="1" ht="24.95" customHeight="1">
      <c r="B541" s="281"/>
      <c r="C541" s="168"/>
      <c r="D541" s="168"/>
      <c r="E541" s="168"/>
      <c r="F541" s="227"/>
      <c r="G541" s="660"/>
      <c r="H541" s="253"/>
      <c r="I541" s="212"/>
      <c r="N541" s="212"/>
      <c r="O541" s="1557"/>
      <c r="P541" s="1558"/>
      <c r="Q541" s="661"/>
      <c r="R541" s="655"/>
      <c r="S541" s="655"/>
      <c r="T541" s="655"/>
      <c r="U541" s="655"/>
      <c r="V541" s="655"/>
      <c r="W541" s="655"/>
      <c r="Y541" s="1827"/>
      <c r="Z541" s="1828"/>
      <c r="AA541" s="1829"/>
      <c r="AB541" s="1829"/>
      <c r="AC541" s="1829"/>
      <c r="AD541" s="1564"/>
      <c r="AE541" s="701"/>
      <c r="AF541" s="684"/>
      <c r="AG541" s="684"/>
      <c r="AH541" s="710"/>
      <c r="AI541" s="710"/>
      <c r="AJ541" s="710"/>
      <c r="AK541" s="710"/>
      <c r="AL541" s="710"/>
      <c r="AM541" s="710"/>
      <c r="AN541" s="710"/>
      <c r="AO541" s="710"/>
      <c r="AP541" s="710"/>
      <c r="AQ541" s="710"/>
      <c r="AR541" s="710"/>
      <c r="AS541" s="710"/>
      <c r="AT541" s="710"/>
      <c r="AU541" s="1829"/>
      <c r="AV541" s="1835"/>
      <c r="AW541" s="1836"/>
      <c r="AX541" s="1836"/>
      <c r="AY541" s="1836"/>
      <c r="AZ541" s="1825"/>
      <c r="BA541" s="1825"/>
    </row>
    <row r="542" spans="2:53" s="188" customFormat="1" ht="24.95" customHeight="1">
      <c r="B542" s="281"/>
      <c r="C542" s="168"/>
      <c r="D542" s="168"/>
      <c r="E542" s="168"/>
      <c r="F542" s="227"/>
      <c r="G542" s="660"/>
      <c r="H542" s="253"/>
      <c r="I542" s="212"/>
      <c r="N542" s="212"/>
      <c r="O542" s="1557"/>
      <c r="P542" s="1558"/>
      <c r="Q542" s="661"/>
      <c r="R542" s="655"/>
      <c r="S542" s="655"/>
      <c r="T542" s="655"/>
      <c r="U542" s="655"/>
      <c r="V542" s="655"/>
      <c r="W542" s="655"/>
      <c r="Y542" s="1827"/>
      <c r="Z542" s="1828"/>
      <c r="AA542" s="1829"/>
      <c r="AB542" s="1829"/>
      <c r="AC542" s="1829"/>
      <c r="AD542" s="1564"/>
      <c r="AE542" s="701"/>
      <c r="AF542" s="684"/>
      <c r="AG542" s="684"/>
      <c r="AH542" s="710"/>
      <c r="AI542" s="710"/>
      <c r="AJ542" s="710"/>
      <c r="AK542" s="710"/>
      <c r="AL542" s="710"/>
      <c r="AM542" s="710"/>
      <c r="AN542" s="710"/>
      <c r="AO542" s="710"/>
      <c r="AP542" s="710"/>
      <c r="AQ542" s="710"/>
      <c r="AR542" s="710"/>
      <c r="AS542" s="710"/>
      <c r="AT542" s="710"/>
      <c r="AU542" s="1829"/>
      <c r="AV542" s="1835"/>
      <c r="AW542" s="1836"/>
      <c r="AX542" s="1836"/>
      <c r="AY542" s="1836"/>
      <c r="AZ542" s="1825"/>
      <c r="BA542" s="1825"/>
    </row>
    <row r="543" spans="2:53" s="188" customFormat="1" ht="24.95" customHeight="1">
      <c r="B543" s="281"/>
      <c r="C543" s="168"/>
      <c r="D543" s="168"/>
      <c r="E543" s="168"/>
      <c r="F543" s="227"/>
      <c r="G543" s="660"/>
      <c r="H543" s="253"/>
      <c r="I543" s="212"/>
      <c r="N543" s="212"/>
      <c r="O543" s="1557"/>
      <c r="P543" s="1558"/>
      <c r="Q543" s="661"/>
      <c r="R543" s="655"/>
      <c r="S543" s="655"/>
      <c r="T543" s="655"/>
      <c r="U543" s="655"/>
      <c r="V543" s="655"/>
      <c r="W543" s="655"/>
      <c r="Y543" s="1827"/>
      <c r="Z543" s="1828"/>
      <c r="AA543" s="1829"/>
      <c r="AB543" s="1829"/>
      <c r="AC543" s="1829"/>
      <c r="AD543" s="1564"/>
      <c r="AE543" s="701"/>
      <c r="AF543" s="684"/>
      <c r="AG543" s="684"/>
      <c r="AH543" s="710"/>
      <c r="AI543" s="710"/>
      <c r="AJ543" s="710"/>
      <c r="AK543" s="710"/>
      <c r="AL543" s="710"/>
      <c r="AM543" s="710"/>
      <c r="AN543" s="710"/>
      <c r="AO543" s="710"/>
      <c r="AP543" s="710"/>
      <c r="AQ543" s="710"/>
      <c r="AR543" s="710"/>
      <c r="AS543" s="710"/>
      <c r="AT543" s="710"/>
      <c r="AU543" s="1829"/>
      <c r="AV543" s="1835"/>
      <c r="AW543" s="1836"/>
      <c r="AX543" s="1836"/>
      <c r="AY543" s="1836"/>
      <c r="AZ543" s="1825"/>
      <c r="BA543" s="1825"/>
    </row>
    <row r="544" spans="2:53" s="188" customFormat="1" ht="24.95" customHeight="1">
      <c r="B544" s="281"/>
      <c r="C544" s="168"/>
      <c r="D544" s="168"/>
      <c r="E544" s="168"/>
      <c r="F544" s="227"/>
      <c r="G544" s="660"/>
      <c r="H544" s="253"/>
      <c r="I544" s="212"/>
      <c r="N544" s="212"/>
      <c r="O544" s="1557"/>
      <c r="P544" s="1558"/>
      <c r="Q544" s="661"/>
      <c r="R544" s="655"/>
      <c r="S544" s="655"/>
      <c r="T544" s="655"/>
      <c r="U544" s="655"/>
      <c r="V544" s="655"/>
      <c r="W544" s="655"/>
      <c r="Y544" s="1827"/>
      <c r="Z544" s="1828"/>
      <c r="AA544" s="1829"/>
      <c r="AB544" s="1829"/>
      <c r="AC544" s="1829"/>
      <c r="AD544" s="1564"/>
      <c r="AE544" s="701"/>
      <c r="AF544" s="684"/>
      <c r="AG544" s="684"/>
      <c r="AH544" s="710"/>
      <c r="AI544" s="710"/>
      <c r="AJ544" s="710"/>
      <c r="AK544" s="710"/>
      <c r="AL544" s="710"/>
      <c r="AM544" s="710"/>
      <c r="AN544" s="710"/>
      <c r="AO544" s="710"/>
      <c r="AP544" s="710"/>
      <c r="AQ544" s="710"/>
      <c r="AR544" s="710"/>
      <c r="AS544" s="710"/>
      <c r="AT544" s="710"/>
      <c r="AU544" s="1829"/>
      <c r="AV544" s="1835"/>
      <c r="AW544" s="1836"/>
      <c r="AX544" s="1836"/>
      <c r="AY544" s="1836"/>
      <c r="AZ544" s="1825"/>
      <c r="BA544" s="1825"/>
    </row>
    <row r="545" spans="2:53" s="188" customFormat="1" ht="24.95" customHeight="1">
      <c r="B545" s="281"/>
      <c r="C545" s="168"/>
      <c r="D545" s="168"/>
      <c r="E545" s="168"/>
      <c r="F545" s="227"/>
      <c r="G545" s="660"/>
      <c r="H545" s="253"/>
      <c r="I545" s="212"/>
      <c r="N545" s="212"/>
      <c r="O545" s="1557"/>
      <c r="P545" s="1558"/>
      <c r="Q545" s="661"/>
      <c r="R545" s="655"/>
      <c r="S545" s="655"/>
      <c r="T545" s="655"/>
      <c r="U545" s="655"/>
      <c r="V545" s="655"/>
      <c r="W545" s="655"/>
      <c r="Y545" s="1827"/>
      <c r="Z545" s="1828"/>
      <c r="AA545" s="1829"/>
      <c r="AB545" s="1829"/>
      <c r="AC545" s="1829"/>
      <c r="AD545" s="1564"/>
      <c r="AE545" s="701"/>
      <c r="AF545" s="684"/>
      <c r="AG545" s="684"/>
      <c r="AH545" s="710"/>
      <c r="AI545" s="710"/>
      <c r="AJ545" s="710"/>
      <c r="AK545" s="710"/>
      <c r="AL545" s="710"/>
      <c r="AM545" s="710"/>
      <c r="AN545" s="710"/>
      <c r="AO545" s="710"/>
      <c r="AP545" s="710"/>
      <c r="AQ545" s="710"/>
      <c r="AR545" s="710"/>
      <c r="AS545" s="710"/>
      <c r="AT545" s="710"/>
      <c r="AU545" s="1829"/>
      <c r="AV545" s="1835"/>
      <c r="AW545" s="1836"/>
      <c r="AX545" s="1836"/>
      <c r="AY545" s="1836"/>
      <c r="AZ545" s="1825"/>
      <c r="BA545" s="1825"/>
    </row>
    <row r="546" spans="2:53" s="188" customFormat="1" ht="24.95" customHeight="1">
      <c r="B546" s="281"/>
      <c r="C546" s="168"/>
      <c r="D546" s="168"/>
      <c r="E546" s="168"/>
      <c r="F546" s="227"/>
      <c r="G546" s="660"/>
      <c r="H546" s="253"/>
      <c r="I546" s="212"/>
      <c r="N546" s="212"/>
      <c r="O546" s="1557"/>
      <c r="P546" s="1558"/>
      <c r="Q546" s="661"/>
      <c r="R546" s="655"/>
      <c r="S546" s="655"/>
      <c r="T546" s="655"/>
      <c r="U546" s="655"/>
      <c r="V546" s="655"/>
      <c r="W546" s="655"/>
      <c r="Y546" s="1827"/>
      <c r="Z546" s="1828"/>
      <c r="AA546" s="1829"/>
      <c r="AB546" s="1829"/>
      <c r="AC546" s="1829"/>
      <c r="AD546" s="1564"/>
      <c r="AE546" s="701"/>
      <c r="AF546" s="684"/>
      <c r="AG546" s="684"/>
      <c r="AH546" s="710"/>
      <c r="AI546" s="710"/>
      <c r="AJ546" s="710"/>
      <c r="AK546" s="710"/>
      <c r="AL546" s="710"/>
      <c r="AM546" s="710"/>
      <c r="AN546" s="710"/>
      <c r="AO546" s="710"/>
      <c r="AP546" s="710"/>
      <c r="AQ546" s="710"/>
      <c r="AR546" s="710"/>
      <c r="AS546" s="710"/>
      <c r="AT546" s="710"/>
      <c r="AU546" s="1829"/>
      <c r="AV546" s="1835"/>
      <c r="AW546" s="1836"/>
      <c r="AX546" s="1836"/>
      <c r="AY546" s="1836"/>
      <c r="AZ546" s="1825"/>
      <c r="BA546" s="1825"/>
    </row>
    <row r="547" spans="2:53" s="188" customFormat="1" ht="24.95" customHeight="1">
      <c r="B547" s="281"/>
      <c r="C547" s="168"/>
      <c r="D547" s="168"/>
      <c r="E547" s="168"/>
      <c r="F547" s="227"/>
      <c r="G547" s="660"/>
      <c r="H547" s="253"/>
      <c r="I547" s="212"/>
      <c r="N547" s="212"/>
      <c r="O547" s="1557"/>
      <c r="P547" s="1558"/>
      <c r="Q547" s="661"/>
      <c r="R547" s="655"/>
      <c r="S547" s="655"/>
      <c r="T547" s="655"/>
      <c r="U547" s="655"/>
      <c r="V547" s="655"/>
      <c r="W547" s="655"/>
      <c r="Y547" s="1827"/>
      <c r="Z547" s="1828"/>
      <c r="AA547" s="1829"/>
      <c r="AB547" s="1829"/>
      <c r="AC547" s="1829"/>
      <c r="AD547" s="1564"/>
      <c r="AE547" s="701"/>
      <c r="AF547" s="684"/>
      <c r="AG547" s="684"/>
      <c r="AH547" s="710"/>
      <c r="AI547" s="710"/>
      <c r="AJ547" s="710"/>
      <c r="AK547" s="710"/>
      <c r="AL547" s="710"/>
      <c r="AM547" s="710"/>
      <c r="AN547" s="710"/>
      <c r="AO547" s="710"/>
      <c r="AP547" s="710"/>
      <c r="AQ547" s="710"/>
      <c r="AR547" s="710"/>
      <c r="AS547" s="710"/>
      <c r="AT547" s="710"/>
      <c r="AU547" s="1829"/>
      <c r="AV547" s="1835"/>
      <c r="AW547" s="1836"/>
      <c r="AX547" s="1836"/>
      <c r="AY547" s="1836"/>
      <c r="AZ547" s="1825"/>
      <c r="BA547" s="1825"/>
    </row>
    <row r="548" spans="2:53" s="188" customFormat="1" ht="24.95" customHeight="1">
      <c r="B548" s="281"/>
      <c r="C548" s="168"/>
      <c r="D548" s="168"/>
      <c r="E548" s="168"/>
      <c r="F548" s="227"/>
      <c r="G548" s="660"/>
      <c r="H548" s="253"/>
      <c r="I548" s="212"/>
      <c r="N548" s="212"/>
      <c r="O548" s="1557"/>
      <c r="P548" s="1558"/>
      <c r="Q548" s="661"/>
      <c r="R548" s="655"/>
      <c r="S548" s="655"/>
      <c r="T548" s="655"/>
      <c r="U548" s="655"/>
      <c r="V548" s="655"/>
      <c r="W548" s="655"/>
      <c r="Y548" s="1827"/>
      <c r="Z548" s="1828"/>
      <c r="AA548" s="1829"/>
      <c r="AB548" s="1829"/>
      <c r="AC548" s="1829"/>
      <c r="AD548" s="1564"/>
      <c r="AE548" s="701"/>
      <c r="AF548" s="684"/>
      <c r="AG548" s="684"/>
      <c r="AH548" s="710"/>
      <c r="AI548" s="710"/>
      <c r="AJ548" s="710"/>
      <c r="AK548" s="710"/>
      <c r="AL548" s="710"/>
      <c r="AM548" s="710"/>
      <c r="AN548" s="710"/>
      <c r="AO548" s="710"/>
      <c r="AP548" s="710"/>
      <c r="AQ548" s="710"/>
      <c r="AR548" s="710"/>
      <c r="AS548" s="710"/>
      <c r="AT548" s="710"/>
      <c r="AU548" s="1829"/>
      <c r="AV548" s="1835"/>
      <c r="AW548" s="1836"/>
      <c r="AX548" s="1836"/>
      <c r="AY548" s="1836"/>
      <c r="AZ548" s="1825"/>
      <c r="BA548" s="1825"/>
    </row>
    <row r="549" spans="2:53" s="188" customFormat="1" ht="24.95" customHeight="1">
      <c r="B549" s="281"/>
      <c r="C549" s="168"/>
      <c r="D549" s="168"/>
      <c r="E549" s="168"/>
      <c r="F549" s="227"/>
      <c r="G549" s="660"/>
      <c r="H549" s="253"/>
      <c r="I549" s="212"/>
      <c r="N549" s="212"/>
      <c r="O549" s="1557"/>
      <c r="P549" s="1558"/>
      <c r="Q549" s="661"/>
      <c r="R549" s="655"/>
      <c r="S549" s="655"/>
      <c r="T549" s="655"/>
      <c r="U549" s="655"/>
      <c r="V549" s="655"/>
      <c r="W549" s="655"/>
      <c r="Y549" s="1827"/>
      <c r="Z549" s="1828"/>
      <c r="AA549" s="1829"/>
      <c r="AB549" s="1829"/>
      <c r="AC549" s="1829"/>
      <c r="AD549" s="1564"/>
      <c r="AE549" s="701"/>
      <c r="AF549" s="684"/>
      <c r="AG549" s="684"/>
      <c r="AH549" s="710"/>
      <c r="AI549" s="710"/>
      <c r="AJ549" s="710"/>
      <c r="AK549" s="710"/>
      <c r="AL549" s="710"/>
      <c r="AM549" s="710"/>
      <c r="AN549" s="710"/>
      <c r="AO549" s="710"/>
      <c r="AP549" s="710"/>
      <c r="AQ549" s="710"/>
      <c r="AR549" s="710"/>
      <c r="AS549" s="710"/>
      <c r="AT549" s="710"/>
      <c r="AU549" s="1829"/>
      <c r="AV549" s="1835"/>
      <c r="AW549" s="1836"/>
      <c r="AX549" s="1836"/>
      <c r="AY549" s="1836"/>
      <c r="AZ549" s="1825"/>
      <c r="BA549" s="1825"/>
    </row>
    <row r="550" spans="2:53" s="188" customFormat="1" ht="24.95" customHeight="1">
      <c r="B550" s="281"/>
      <c r="C550" s="168"/>
      <c r="D550" s="168"/>
      <c r="E550" s="168"/>
      <c r="F550" s="227"/>
      <c r="G550" s="660"/>
      <c r="H550" s="253"/>
      <c r="I550" s="212"/>
      <c r="N550" s="212"/>
      <c r="O550" s="1557"/>
      <c r="P550" s="1558"/>
      <c r="Q550" s="661"/>
      <c r="R550" s="655"/>
      <c r="S550" s="655"/>
      <c r="T550" s="655"/>
      <c r="U550" s="655"/>
      <c r="V550" s="655"/>
      <c r="W550" s="655"/>
      <c r="Y550" s="1827"/>
      <c r="Z550" s="1828"/>
      <c r="AA550" s="1829"/>
      <c r="AB550" s="1829"/>
      <c r="AC550" s="1829"/>
      <c r="AD550" s="1564"/>
      <c r="AE550" s="701"/>
      <c r="AF550" s="684"/>
      <c r="AG550" s="684"/>
      <c r="AH550" s="710"/>
      <c r="AI550" s="710"/>
      <c r="AJ550" s="710"/>
      <c r="AK550" s="710"/>
      <c r="AL550" s="710"/>
      <c r="AM550" s="710"/>
      <c r="AN550" s="710"/>
      <c r="AO550" s="710"/>
      <c r="AP550" s="710"/>
      <c r="AQ550" s="710"/>
      <c r="AR550" s="710"/>
      <c r="AS550" s="710"/>
      <c r="AT550" s="710"/>
      <c r="AU550" s="1829"/>
      <c r="AV550" s="1835"/>
      <c r="AW550" s="1836"/>
      <c r="AX550" s="1836"/>
      <c r="AY550" s="1836"/>
      <c r="AZ550" s="1825"/>
      <c r="BA550" s="1825"/>
    </row>
    <row r="551" spans="2:53" s="188" customFormat="1" ht="24.95" customHeight="1">
      <c r="B551" s="281"/>
      <c r="C551" s="168"/>
      <c r="D551" s="168"/>
      <c r="E551" s="168"/>
      <c r="F551" s="227"/>
      <c r="G551" s="660"/>
      <c r="H551" s="253"/>
      <c r="I551" s="212"/>
      <c r="N551" s="212"/>
      <c r="O551" s="1557"/>
      <c r="P551" s="1558"/>
      <c r="Q551" s="661"/>
      <c r="R551" s="655"/>
      <c r="S551" s="655"/>
      <c r="T551" s="655"/>
      <c r="U551" s="655"/>
      <c r="V551" s="655"/>
      <c r="W551" s="655"/>
      <c r="Y551" s="1827"/>
      <c r="Z551" s="1828"/>
      <c r="AA551" s="1829"/>
      <c r="AB551" s="1829"/>
      <c r="AC551" s="1829"/>
      <c r="AD551" s="1564"/>
      <c r="AE551" s="701"/>
      <c r="AF551" s="684"/>
      <c r="AG551" s="684"/>
      <c r="AH551" s="710"/>
      <c r="AI551" s="710"/>
      <c r="AJ551" s="710"/>
      <c r="AK551" s="710"/>
      <c r="AL551" s="710"/>
      <c r="AM551" s="710"/>
      <c r="AN551" s="710"/>
      <c r="AO551" s="710"/>
      <c r="AP551" s="710"/>
      <c r="AQ551" s="710"/>
      <c r="AR551" s="710"/>
      <c r="AS551" s="710"/>
      <c r="AT551" s="710"/>
      <c r="AU551" s="1829"/>
      <c r="AV551" s="1835"/>
      <c r="AW551" s="1836"/>
      <c r="AX551" s="1836"/>
      <c r="AY551" s="1836"/>
      <c r="AZ551" s="1825"/>
      <c r="BA551" s="1825"/>
    </row>
    <row r="552" spans="2:53" s="188" customFormat="1" ht="24.95" customHeight="1">
      <c r="B552" s="281"/>
      <c r="C552" s="168"/>
      <c r="D552" s="168"/>
      <c r="E552" s="168"/>
      <c r="F552" s="227"/>
      <c r="G552" s="660"/>
      <c r="H552" s="253"/>
      <c r="I552" s="212"/>
      <c r="N552" s="212"/>
      <c r="O552" s="1557"/>
      <c r="P552" s="1558"/>
      <c r="Q552" s="661"/>
      <c r="R552" s="655"/>
      <c r="S552" s="655"/>
      <c r="T552" s="655"/>
      <c r="U552" s="655"/>
      <c r="V552" s="655"/>
      <c r="W552" s="655"/>
      <c r="Y552" s="1827"/>
      <c r="Z552" s="1828"/>
      <c r="AA552" s="1829"/>
      <c r="AB552" s="1829"/>
      <c r="AC552" s="1829"/>
      <c r="AD552" s="1564"/>
      <c r="AE552" s="701"/>
      <c r="AF552" s="684"/>
      <c r="AG552" s="684"/>
      <c r="AH552" s="710"/>
      <c r="AI552" s="710"/>
      <c r="AJ552" s="710"/>
      <c r="AK552" s="710"/>
      <c r="AL552" s="710"/>
      <c r="AM552" s="710"/>
      <c r="AN552" s="710"/>
      <c r="AO552" s="710"/>
      <c r="AP552" s="710"/>
      <c r="AQ552" s="710"/>
      <c r="AR552" s="710"/>
      <c r="AS552" s="710"/>
      <c r="AT552" s="710"/>
      <c r="AU552" s="1829"/>
      <c r="AV552" s="1835"/>
      <c r="AW552" s="1836"/>
      <c r="AX552" s="1836"/>
      <c r="AY552" s="1836"/>
      <c r="AZ552" s="1825"/>
      <c r="BA552" s="1825"/>
    </row>
    <row r="553" spans="2:53" s="188" customFormat="1" ht="24.95" customHeight="1">
      <c r="B553" s="281"/>
      <c r="C553" s="168"/>
      <c r="D553" s="168"/>
      <c r="E553" s="168"/>
      <c r="F553" s="227"/>
      <c r="G553" s="660"/>
      <c r="H553" s="253"/>
      <c r="I553" s="212"/>
      <c r="N553" s="212"/>
      <c r="O553" s="1557"/>
      <c r="P553" s="1558"/>
      <c r="Q553" s="661"/>
      <c r="R553" s="655"/>
      <c r="S553" s="655"/>
      <c r="T553" s="655"/>
      <c r="U553" s="655"/>
      <c r="V553" s="655"/>
      <c r="W553" s="655"/>
      <c r="Y553" s="1827"/>
      <c r="Z553" s="1828"/>
      <c r="AA553" s="1829"/>
      <c r="AB553" s="1829"/>
      <c r="AC553" s="1829"/>
      <c r="AD553" s="1564"/>
      <c r="AE553" s="701"/>
      <c r="AF553" s="684"/>
      <c r="AG553" s="684"/>
      <c r="AH553" s="710"/>
      <c r="AI553" s="710"/>
      <c r="AJ553" s="710"/>
      <c r="AK553" s="710"/>
      <c r="AL553" s="710"/>
      <c r="AM553" s="710"/>
      <c r="AN553" s="710"/>
      <c r="AO553" s="710"/>
      <c r="AP553" s="710"/>
      <c r="AQ553" s="710"/>
      <c r="AR553" s="710"/>
      <c r="AS553" s="710"/>
      <c r="AT553" s="710"/>
      <c r="AU553" s="1829"/>
      <c r="AV553" s="1835"/>
      <c r="AW553" s="1836"/>
      <c r="AX553" s="1836"/>
      <c r="AY553" s="1836"/>
      <c r="AZ553" s="1825"/>
      <c r="BA553" s="1825"/>
    </row>
    <row r="554" spans="2:53" s="188" customFormat="1" ht="24.95" customHeight="1">
      <c r="B554" s="281"/>
      <c r="C554" s="168"/>
      <c r="D554" s="168"/>
      <c r="E554" s="168"/>
      <c r="F554" s="227"/>
      <c r="G554" s="660"/>
      <c r="H554" s="253"/>
      <c r="I554" s="212"/>
      <c r="N554" s="212"/>
      <c r="O554" s="1557"/>
      <c r="P554" s="1558"/>
      <c r="Q554" s="661"/>
      <c r="R554" s="655"/>
      <c r="S554" s="655"/>
      <c r="T554" s="655"/>
      <c r="U554" s="655"/>
      <c r="V554" s="655"/>
      <c r="W554" s="655"/>
      <c r="Y554" s="1827"/>
      <c r="Z554" s="1828"/>
      <c r="AA554" s="1829"/>
      <c r="AB554" s="1829"/>
      <c r="AC554" s="1829"/>
      <c r="AD554" s="1564"/>
      <c r="AE554" s="701"/>
      <c r="AF554" s="684"/>
      <c r="AG554" s="684"/>
      <c r="AH554" s="710"/>
      <c r="AI554" s="710"/>
      <c r="AJ554" s="710"/>
      <c r="AK554" s="710"/>
      <c r="AL554" s="710"/>
      <c r="AM554" s="710"/>
      <c r="AN554" s="710"/>
      <c r="AO554" s="710"/>
      <c r="AP554" s="710"/>
      <c r="AQ554" s="710"/>
      <c r="AR554" s="710"/>
      <c r="AS554" s="710"/>
      <c r="AT554" s="710"/>
      <c r="AU554" s="1829"/>
      <c r="AV554" s="1835"/>
      <c r="AW554" s="1836"/>
      <c r="AX554" s="1836"/>
      <c r="AY554" s="1836"/>
      <c r="AZ554" s="1825"/>
      <c r="BA554" s="1825"/>
    </row>
    <row r="555" spans="2:53" s="188" customFormat="1" ht="24.95" customHeight="1">
      <c r="B555" s="281"/>
      <c r="C555" s="168"/>
      <c r="D555" s="168"/>
      <c r="E555" s="168"/>
      <c r="F555" s="227"/>
      <c r="G555" s="660"/>
      <c r="H555" s="253"/>
      <c r="I555" s="212"/>
      <c r="N555" s="212"/>
      <c r="O555" s="1557"/>
      <c r="P555" s="1558"/>
      <c r="Q555" s="661"/>
      <c r="R555" s="655"/>
      <c r="S555" s="655"/>
      <c r="T555" s="655"/>
      <c r="U555" s="655"/>
      <c r="V555" s="655"/>
      <c r="W555" s="655"/>
      <c r="Y555" s="1827"/>
      <c r="Z555" s="1828"/>
      <c r="AA555" s="1829"/>
      <c r="AB555" s="1829"/>
      <c r="AC555" s="1829"/>
      <c r="AD555" s="1564"/>
      <c r="AE555" s="701"/>
      <c r="AF555" s="684"/>
      <c r="AG555" s="684"/>
      <c r="AH555" s="710"/>
      <c r="AI555" s="710"/>
      <c r="AJ555" s="710"/>
      <c r="AK555" s="710"/>
      <c r="AL555" s="710"/>
      <c r="AM555" s="710"/>
      <c r="AN555" s="710"/>
      <c r="AO555" s="710"/>
      <c r="AP555" s="710"/>
      <c r="AQ555" s="710"/>
      <c r="AR555" s="710"/>
      <c r="AS555" s="710"/>
      <c r="AT555" s="710"/>
      <c r="AU555" s="1829"/>
      <c r="AV555" s="1835"/>
      <c r="AW555" s="1836"/>
      <c r="AX555" s="1836"/>
      <c r="AY555" s="1836"/>
      <c r="AZ555" s="1825"/>
      <c r="BA555" s="1825"/>
    </row>
    <row r="556" spans="2:53" s="188" customFormat="1" ht="24.95" customHeight="1">
      <c r="B556" s="281"/>
      <c r="C556" s="168"/>
      <c r="D556" s="168"/>
      <c r="E556" s="168"/>
      <c r="F556" s="227"/>
      <c r="G556" s="660"/>
      <c r="H556" s="253"/>
      <c r="I556" s="212"/>
      <c r="N556" s="212"/>
      <c r="O556" s="1557"/>
      <c r="P556" s="1558"/>
      <c r="Q556" s="661"/>
      <c r="R556" s="655"/>
      <c r="S556" s="655"/>
      <c r="T556" s="655"/>
      <c r="U556" s="655"/>
      <c r="V556" s="655"/>
      <c r="W556" s="655"/>
      <c r="Y556" s="1827"/>
      <c r="Z556" s="1828"/>
      <c r="AA556" s="1829"/>
      <c r="AB556" s="1829"/>
      <c r="AC556" s="1829"/>
      <c r="AD556" s="1564"/>
      <c r="AE556" s="701"/>
      <c r="AF556" s="684"/>
      <c r="AG556" s="684"/>
      <c r="AH556" s="710"/>
      <c r="AI556" s="710"/>
      <c r="AJ556" s="710"/>
      <c r="AK556" s="710"/>
      <c r="AL556" s="710"/>
      <c r="AM556" s="710"/>
      <c r="AN556" s="710"/>
      <c r="AO556" s="710"/>
      <c r="AP556" s="710"/>
      <c r="AQ556" s="710"/>
      <c r="AR556" s="710"/>
      <c r="AS556" s="710"/>
      <c r="AT556" s="710"/>
      <c r="AU556" s="1829"/>
      <c r="AV556" s="1835"/>
      <c r="AW556" s="1836"/>
      <c r="AX556" s="1836"/>
      <c r="AY556" s="1836"/>
      <c r="AZ556" s="1825"/>
      <c r="BA556" s="1825"/>
    </row>
    <row r="557" spans="2:53" s="188" customFormat="1" ht="24.95" customHeight="1">
      <c r="B557" s="281"/>
      <c r="C557" s="168"/>
      <c r="D557" s="168"/>
      <c r="E557" s="168"/>
      <c r="F557" s="227"/>
      <c r="G557" s="660"/>
      <c r="H557" s="253"/>
      <c r="I557" s="212"/>
      <c r="N557" s="212"/>
      <c r="O557" s="1557"/>
      <c r="P557" s="1558"/>
      <c r="Q557" s="661"/>
      <c r="R557" s="655"/>
      <c r="S557" s="655"/>
      <c r="T557" s="655"/>
      <c r="U557" s="655"/>
      <c r="V557" s="655"/>
      <c r="W557" s="655"/>
      <c r="Y557" s="1827"/>
      <c r="Z557" s="1828"/>
      <c r="AA557" s="1829"/>
      <c r="AB557" s="1829"/>
      <c r="AC557" s="1829"/>
      <c r="AD557" s="1564"/>
      <c r="AE557" s="701"/>
      <c r="AF557" s="684"/>
      <c r="AG557" s="684"/>
      <c r="AH557" s="710"/>
      <c r="AI557" s="710"/>
      <c r="AJ557" s="710"/>
      <c r="AK557" s="710"/>
      <c r="AL557" s="710"/>
      <c r="AM557" s="710"/>
      <c r="AN557" s="710"/>
      <c r="AO557" s="710"/>
      <c r="AP557" s="710"/>
      <c r="AQ557" s="710"/>
      <c r="AR557" s="710"/>
      <c r="AS557" s="710"/>
      <c r="AT557" s="710"/>
      <c r="AU557" s="1829"/>
      <c r="AV557" s="1835"/>
      <c r="AW557" s="1836"/>
      <c r="AX557" s="1836"/>
      <c r="AY557" s="1836"/>
      <c r="AZ557" s="1825"/>
      <c r="BA557" s="1825"/>
    </row>
    <row r="558" spans="2:53" s="188" customFormat="1" ht="24.95" customHeight="1">
      <c r="B558" s="281"/>
      <c r="C558" s="168"/>
      <c r="D558" s="168"/>
      <c r="E558" s="168"/>
      <c r="F558" s="227"/>
      <c r="G558" s="660"/>
      <c r="H558" s="253"/>
      <c r="I558" s="212"/>
      <c r="N558" s="212"/>
      <c r="O558" s="1557"/>
      <c r="P558" s="1558"/>
      <c r="Q558" s="661"/>
      <c r="R558" s="655"/>
      <c r="S558" s="655"/>
      <c r="T558" s="655"/>
      <c r="U558" s="655"/>
      <c r="V558" s="655"/>
      <c r="W558" s="655"/>
      <c r="Y558" s="1827"/>
      <c r="Z558" s="1828"/>
      <c r="AA558" s="1829"/>
      <c r="AB558" s="1829"/>
      <c r="AC558" s="1829"/>
      <c r="AD558" s="1564"/>
      <c r="AE558" s="701"/>
      <c r="AF558" s="684"/>
      <c r="AG558" s="684"/>
      <c r="AH558" s="710"/>
      <c r="AI558" s="710"/>
      <c r="AJ558" s="710"/>
      <c r="AK558" s="710"/>
      <c r="AL558" s="710"/>
      <c r="AM558" s="710"/>
      <c r="AN558" s="710"/>
      <c r="AO558" s="710"/>
      <c r="AP558" s="710"/>
      <c r="AQ558" s="710"/>
      <c r="AR558" s="710"/>
      <c r="AS558" s="710"/>
      <c r="AT558" s="710"/>
      <c r="AU558" s="1829"/>
      <c r="AV558" s="1835"/>
      <c r="AW558" s="1836"/>
      <c r="AX558" s="1836"/>
      <c r="AY558" s="1836"/>
      <c r="AZ558" s="1825"/>
      <c r="BA558" s="1825"/>
    </row>
    <row r="559" spans="2:53" s="188" customFormat="1" ht="24.95" customHeight="1">
      <c r="B559" s="281"/>
      <c r="C559" s="168"/>
      <c r="D559" s="168"/>
      <c r="E559" s="168"/>
      <c r="F559" s="227"/>
      <c r="G559" s="660"/>
      <c r="H559" s="253"/>
      <c r="I559" s="212"/>
      <c r="N559" s="212"/>
      <c r="O559" s="1557"/>
      <c r="P559" s="1558"/>
      <c r="Q559" s="661"/>
      <c r="R559" s="655"/>
      <c r="S559" s="655"/>
      <c r="T559" s="655"/>
      <c r="U559" s="655"/>
      <c r="V559" s="655"/>
      <c r="W559" s="655"/>
      <c r="Y559" s="1827"/>
      <c r="Z559" s="1828"/>
      <c r="AA559" s="1829"/>
      <c r="AB559" s="1829"/>
      <c r="AC559" s="1829"/>
      <c r="AD559" s="1564"/>
      <c r="AE559" s="701"/>
      <c r="AF559" s="684"/>
      <c r="AG559" s="684"/>
      <c r="AH559" s="710"/>
      <c r="AI559" s="710"/>
      <c r="AJ559" s="710"/>
      <c r="AK559" s="710"/>
      <c r="AL559" s="710"/>
      <c r="AM559" s="710"/>
      <c r="AN559" s="710"/>
      <c r="AO559" s="710"/>
      <c r="AP559" s="710"/>
      <c r="AQ559" s="710"/>
      <c r="AR559" s="710"/>
      <c r="AS559" s="710"/>
      <c r="AT559" s="710"/>
      <c r="AU559" s="1829"/>
      <c r="AV559" s="1835"/>
      <c r="AW559" s="1836"/>
      <c r="AX559" s="1836"/>
      <c r="AY559" s="1836"/>
      <c r="AZ559" s="1825"/>
      <c r="BA559" s="1825"/>
    </row>
    <row r="560" spans="2:53" s="188" customFormat="1" ht="24.95" customHeight="1">
      <c r="B560" s="281"/>
      <c r="C560" s="168"/>
      <c r="D560" s="168"/>
      <c r="E560" s="168"/>
      <c r="F560" s="227"/>
      <c r="G560" s="660"/>
      <c r="H560" s="253"/>
      <c r="I560" s="212"/>
      <c r="N560" s="212"/>
      <c r="O560" s="1557"/>
      <c r="P560" s="1558"/>
      <c r="Q560" s="661"/>
      <c r="R560" s="655"/>
      <c r="S560" s="655"/>
      <c r="T560" s="655"/>
      <c r="U560" s="655"/>
      <c r="V560" s="655"/>
      <c r="W560" s="655"/>
      <c r="Y560" s="1827"/>
      <c r="Z560" s="1828"/>
      <c r="AA560" s="1829"/>
      <c r="AB560" s="1829"/>
      <c r="AC560" s="1829"/>
      <c r="AD560" s="1564"/>
      <c r="AE560" s="701"/>
      <c r="AF560" s="684"/>
      <c r="AG560" s="684"/>
      <c r="AH560" s="710"/>
      <c r="AI560" s="710"/>
      <c r="AJ560" s="710"/>
      <c r="AK560" s="710"/>
      <c r="AL560" s="710"/>
      <c r="AM560" s="710"/>
      <c r="AN560" s="710"/>
      <c r="AO560" s="710"/>
      <c r="AP560" s="710"/>
      <c r="AQ560" s="710"/>
      <c r="AR560" s="710"/>
      <c r="AS560" s="710"/>
      <c r="AT560" s="710"/>
      <c r="AU560" s="1829"/>
      <c r="AV560" s="1835"/>
      <c r="AW560" s="1836"/>
      <c r="AX560" s="1836"/>
      <c r="AY560" s="1836"/>
      <c r="AZ560" s="1825"/>
      <c r="BA560" s="1825"/>
    </row>
    <row r="561" spans="2:53" s="188" customFormat="1" ht="24.95" customHeight="1">
      <c r="B561" s="281"/>
      <c r="C561" s="168"/>
      <c r="D561" s="168"/>
      <c r="E561" s="168"/>
      <c r="F561" s="227"/>
      <c r="G561" s="660"/>
      <c r="H561" s="253"/>
      <c r="I561" s="212"/>
      <c r="N561" s="212"/>
      <c r="O561" s="1557"/>
      <c r="P561" s="1558"/>
      <c r="Q561" s="661"/>
      <c r="R561" s="655"/>
      <c r="S561" s="655"/>
      <c r="T561" s="655"/>
      <c r="U561" s="655"/>
      <c r="V561" s="655"/>
      <c r="W561" s="655"/>
      <c r="Y561" s="1827"/>
      <c r="Z561" s="1828"/>
      <c r="AA561" s="1829"/>
      <c r="AB561" s="1829"/>
      <c r="AC561" s="1829"/>
      <c r="AD561" s="1564"/>
      <c r="AE561" s="701"/>
      <c r="AF561" s="684"/>
      <c r="AG561" s="684"/>
      <c r="AH561" s="710"/>
      <c r="AI561" s="710"/>
      <c r="AJ561" s="710"/>
      <c r="AK561" s="710"/>
      <c r="AL561" s="710"/>
      <c r="AM561" s="710"/>
      <c r="AN561" s="710"/>
      <c r="AO561" s="710"/>
      <c r="AP561" s="710"/>
      <c r="AQ561" s="710"/>
      <c r="AR561" s="710"/>
      <c r="AS561" s="710"/>
      <c r="AT561" s="710"/>
      <c r="AU561" s="1829"/>
      <c r="AV561" s="1835"/>
      <c r="AW561" s="1836"/>
      <c r="AX561" s="1836"/>
      <c r="AY561" s="1836"/>
      <c r="AZ561" s="1825"/>
      <c r="BA561" s="1825"/>
    </row>
    <row r="562" spans="2:53" s="188" customFormat="1" ht="24.95" customHeight="1">
      <c r="B562" s="281"/>
      <c r="C562" s="168"/>
      <c r="D562" s="168"/>
      <c r="E562" s="168"/>
      <c r="F562" s="227"/>
      <c r="G562" s="660"/>
      <c r="H562" s="253"/>
      <c r="I562" s="212"/>
      <c r="N562" s="212"/>
      <c r="O562" s="1557"/>
      <c r="P562" s="1558"/>
      <c r="Q562" s="661"/>
      <c r="R562" s="655"/>
      <c r="S562" s="655"/>
      <c r="T562" s="655"/>
      <c r="U562" s="655"/>
      <c r="V562" s="655"/>
      <c r="W562" s="655"/>
      <c r="Y562" s="1827"/>
      <c r="Z562" s="1828"/>
      <c r="AA562" s="1829"/>
      <c r="AB562" s="1829"/>
      <c r="AC562" s="1829"/>
      <c r="AD562" s="1564"/>
      <c r="AE562" s="701"/>
      <c r="AF562" s="684"/>
      <c r="AG562" s="684"/>
      <c r="AH562" s="710"/>
      <c r="AI562" s="710"/>
      <c r="AJ562" s="710"/>
      <c r="AK562" s="710"/>
      <c r="AL562" s="710"/>
      <c r="AM562" s="710"/>
      <c r="AN562" s="710"/>
      <c r="AO562" s="710"/>
      <c r="AP562" s="710"/>
      <c r="AQ562" s="710"/>
      <c r="AR562" s="710"/>
      <c r="AS562" s="710"/>
      <c r="AT562" s="710"/>
      <c r="AU562" s="1829"/>
      <c r="AV562" s="1835"/>
      <c r="AW562" s="1836"/>
      <c r="AX562" s="1836"/>
      <c r="AY562" s="1836"/>
      <c r="AZ562" s="1825"/>
      <c r="BA562" s="1825"/>
    </row>
    <row r="563" spans="2:53" s="188" customFormat="1" ht="24.95" customHeight="1">
      <c r="B563" s="281"/>
      <c r="C563" s="168"/>
      <c r="D563" s="168"/>
      <c r="E563" s="168"/>
      <c r="F563" s="227"/>
      <c r="G563" s="660"/>
      <c r="H563" s="253"/>
      <c r="I563" s="212"/>
      <c r="N563" s="212"/>
      <c r="O563" s="1557"/>
      <c r="P563" s="1558"/>
      <c r="Q563" s="661"/>
      <c r="R563" s="655"/>
      <c r="S563" s="655"/>
      <c r="T563" s="655"/>
      <c r="U563" s="655"/>
      <c r="V563" s="655"/>
      <c r="W563" s="655"/>
      <c r="Y563" s="1827"/>
      <c r="Z563" s="1828"/>
      <c r="AA563" s="1829"/>
      <c r="AB563" s="1829"/>
      <c r="AC563" s="1829"/>
      <c r="AD563" s="1564"/>
      <c r="AE563" s="701"/>
      <c r="AF563" s="684"/>
      <c r="AG563" s="684"/>
      <c r="AH563" s="710"/>
      <c r="AI563" s="710"/>
      <c r="AJ563" s="710"/>
      <c r="AK563" s="710"/>
      <c r="AL563" s="710"/>
      <c r="AM563" s="710"/>
      <c r="AN563" s="710"/>
      <c r="AO563" s="710"/>
      <c r="AP563" s="710"/>
      <c r="AQ563" s="710"/>
      <c r="AR563" s="710"/>
      <c r="AS563" s="710"/>
      <c r="AT563" s="710"/>
      <c r="AU563" s="1829"/>
      <c r="AV563" s="1835"/>
      <c r="AW563" s="1836"/>
      <c r="AX563" s="1836"/>
      <c r="AY563" s="1836"/>
      <c r="AZ563" s="1825"/>
      <c r="BA563" s="1825"/>
    </row>
    <row r="564" spans="2:53" s="188" customFormat="1" ht="24.95" customHeight="1">
      <c r="B564" s="281"/>
      <c r="C564" s="168"/>
      <c r="D564" s="168"/>
      <c r="E564" s="168"/>
      <c r="F564" s="227"/>
      <c r="G564" s="660"/>
      <c r="H564" s="253"/>
      <c r="I564" s="212"/>
      <c r="N564" s="212"/>
      <c r="O564" s="1557"/>
      <c r="P564" s="1558"/>
      <c r="Q564" s="661"/>
      <c r="R564" s="655"/>
      <c r="S564" s="655"/>
      <c r="T564" s="655"/>
      <c r="U564" s="655"/>
      <c r="V564" s="655"/>
      <c r="W564" s="655"/>
      <c r="Y564" s="1827"/>
      <c r="Z564" s="1828"/>
      <c r="AA564" s="1829"/>
      <c r="AB564" s="1829"/>
      <c r="AC564" s="1829"/>
      <c r="AD564" s="1564"/>
      <c r="AE564" s="701"/>
      <c r="AF564" s="684"/>
      <c r="AG564" s="684"/>
      <c r="AH564" s="710"/>
      <c r="AI564" s="710"/>
      <c r="AJ564" s="710"/>
      <c r="AK564" s="710"/>
      <c r="AL564" s="710"/>
      <c r="AM564" s="710"/>
      <c r="AN564" s="710"/>
      <c r="AO564" s="710"/>
      <c r="AP564" s="710"/>
      <c r="AQ564" s="710"/>
      <c r="AR564" s="710"/>
      <c r="AS564" s="710"/>
      <c r="AT564" s="710"/>
      <c r="AU564" s="1829"/>
      <c r="AV564" s="1835"/>
      <c r="AW564" s="1836"/>
      <c r="AX564" s="1836"/>
      <c r="AY564" s="1836"/>
      <c r="AZ564" s="1825"/>
      <c r="BA564" s="1825"/>
    </row>
    <row r="565" spans="2:53" s="188" customFormat="1" ht="24.95" customHeight="1">
      <c r="B565" s="281"/>
      <c r="C565" s="168"/>
      <c r="D565" s="168"/>
      <c r="E565" s="168"/>
      <c r="F565" s="227"/>
      <c r="G565" s="660"/>
      <c r="H565" s="253"/>
      <c r="I565" s="212"/>
      <c r="N565" s="212"/>
      <c r="O565" s="1557"/>
      <c r="P565" s="1558"/>
      <c r="Q565" s="661"/>
      <c r="R565" s="655"/>
      <c r="S565" s="655"/>
      <c r="T565" s="655"/>
      <c r="U565" s="655"/>
      <c r="V565" s="655"/>
      <c r="W565" s="655"/>
      <c r="Y565" s="1827"/>
      <c r="Z565" s="1828"/>
      <c r="AA565" s="1829"/>
      <c r="AB565" s="1829"/>
      <c r="AC565" s="1829"/>
      <c r="AD565" s="1564"/>
      <c r="AE565" s="701"/>
      <c r="AF565" s="684"/>
      <c r="AG565" s="684"/>
      <c r="AH565" s="710"/>
      <c r="AI565" s="710"/>
      <c r="AJ565" s="710"/>
      <c r="AK565" s="710"/>
      <c r="AL565" s="710"/>
      <c r="AM565" s="710"/>
      <c r="AN565" s="710"/>
      <c r="AO565" s="710"/>
      <c r="AP565" s="710"/>
      <c r="AQ565" s="710"/>
      <c r="AR565" s="710"/>
      <c r="AS565" s="710"/>
      <c r="AT565" s="710"/>
      <c r="AU565" s="1829"/>
      <c r="AV565" s="1835"/>
      <c r="AW565" s="1836"/>
      <c r="AX565" s="1836"/>
      <c r="AY565" s="1836"/>
      <c r="AZ565" s="1825"/>
      <c r="BA565" s="1825"/>
    </row>
    <row r="566" spans="2:53" s="188" customFormat="1" ht="24.95" customHeight="1">
      <c r="B566" s="281"/>
      <c r="C566" s="168"/>
      <c r="D566" s="168"/>
      <c r="E566" s="168"/>
      <c r="F566" s="227"/>
      <c r="G566" s="660"/>
      <c r="H566" s="253"/>
      <c r="I566" s="212"/>
      <c r="N566" s="212"/>
      <c r="O566" s="1557"/>
      <c r="P566" s="1558"/>
      <c r="Q566" s="661"/>
      <c r="R566" s="655"/>
      <c r="S566" s="655"/>
      <c r="T566" s="655"/>
      <c r="U566" s="655"/>
      <c r="V566" s="655"/>
      <c r="W566" s="655"/>
      <c r="Y566" s="1827"/>
      <c r="Z566" s="1828"/>
      <c r="AA566" s="1829"/>
      <c r="AB566" s="1829"/>
      <c r="AC566" s="1829"/>
      <c r="AD566" s="1564"/>
      <c r="AE566" s="701"/>
      <c r="AF566" s="684"/>
      <c r="AG566" s="684"/>
      <c r="AH566" s="710"/>
      <c r="AI566" s="710"/>
      <c r="AJ566" s="710"/>
      <c r="AK566" s="710"/>
      <c r="AL566" s="710"/>
      <c r="AM566" s="710"/>
      <c r="AN566" s="710"/>
      <c r="AO566" s="710"/>
      <c r="AP566" s="710"/>
      <c r="AQ566" s="710"/>
      <c r="AR566" s="710"/>
      <c r="AS566" s="710"/>
      <c r="AT566" s="710"/>
      <c r="AU566" s="1829"/>
      <c r="AV566" s="1835"/>
      <c r="AW566" s="1836"/>
      <c r="AX566" s="1836"/>
      <c r="AY566" s="1836"/>
      <c r="AZ566" s="1825"/>
      <c r="BA566" s="1825"/>
    </row>
    <row r="567" spans="2:53" s="188" customFormat="1" ht="24.95" customHeight="1">
      <c r="B567" s="281"/>
      <c r="C567" s="168"/>
      <c r="D567" s="168"/>
      <c r="E567" s="168"/>
      <c r="F567" s="227"/>
      <c r="G567" s="660"/>
      <c r="H567" s="253"/>
      <c r="I567" s="212"/>
      <c r="N567" s="212"/>
      <c r="O567" s="1557"/>
      <c r="P567" s="1558"/>
      <c r="Q567" s="661"/>
      <c r="R567" s="655"/>
      <c r="S567" s="655"/>
      <c r="T567" s="655"/>
      <c r="U567" s="655"/>
      <c r="V567" s="655"/>
      <c r="W567" s="655"/>
      <c r="Y567" s="1827"/>
      <c r="Z567" s="1828"/>
      <c r="AA567" s="1829"/>
      <c r="AB567" s="1829"/>
      <c r="AC567" s="1829"/>
      <c r="AD567" s="1564"/>
      <c r="AE567" s="701"/>
      <c r="AF567" s="684"/>
      <c r="AG567" s="684"/>
      <c r="AH567" s="710"/>
      <c r="AI567" s="710"/>
      <c r="AJ567" s="710"/>
      <c r="AK567" s="710"/>
      <c r="AL567" s="710"/>
      <c r="AM567" s="710"/>
      <c r="AN567" s="710"/>
      <c r="AO567" s="710"/>
      <c r="AP567" s="710"/>
      <c r="AQ567" s="710"/>
      <c r="AR567" s="710"/>
      <c r="AS567" s="710"/>
      <c r="AT567" s="710"/>
      <c r="AU567" s="1829"/>
      <c r="AV567" s="1835"/>
      <c r="AW567" s="1836"/>
      <c r="AX567" s="1836"/>
      <c r="AY567" s="1836"/>
      <c r="AZ567" s="1825"/>
      <c r="BA567" s="1825"/>
    </row>
    <row r="568" spans="2:53" s="188" customFormat="1" ht="24.95" customHeight="1">
      <c r="B568" s="281"/>
      <c r="C568" s="168"/>
      <c r="D568" s="168"/>
      <c r="E568" s="168"/>
      <c r="F568" s="227"/>
      <c r="G568" s="660"/>
      <c r="H568" s="253"/>
      <c r="I568" s="212"/>
      <c r="N568" s="212"/>
      <c r="O568" s="1557"/>
      <c r="P568" s="1558"/>
      <c r="Q568" s="661"/>
      <c r="R568" s="655"/>
      <c r="S568" s="655"/>
      <c r="T568" s="655"/>
      <c r="U568" s="655"/>
      <c r="V568" s="655"/>
      <c r="W568" s="655"/>
      <c r="Y568" s="1827"/>
      <c r="Z568" s="1828"/>
      <c r="AA568" s="1829"/>
      <c r="AB568" s="1829"/>
      <c r="AC568" s="1829"/>
      <c r="AD568" s="1564"/>
      <c r="AE568" s="701"/>
      <c r="AF568" s="684"/>
      <c r="AG568" s="684"/>
      <c r="AH568" s="710"/>
      <c r="AI568" s="710"/>
      <c r="AJ568" s="710"/>
      <c r="AK568" s="710"/>
      <c r="AL568" s="710"/>
      <c r="AM568" s="710"/>
      <c r="AN568" s="710"/>
      <c r="AO568" s="710"/>
      <c r="AP568" s="710"/>
      <c r="AQ568" s="710"/>
      <c r="AR568" s="710"/>
      <c r="AS568" s="710"/>
      <c r="AT568" s="710"/>
      <c r="AU568" s="1829"/>
      <c r="AV568" s="1835"/>
      <c r="AW568" s="1836"/>
      <c r="AX568" s="1836"/>
      <c r="AY568" s="1836"/>
      <c r="AZ568" s="1825"/>
      <c r="BA568" s="1825"/>
    </row>
    <row r="569" spans="2:53" s="188" customFormat="1" ht="24.95" customHeight="1">
      <c r="B569" s="281"/>
      <c r="C569" s="168"/>
      <c r="D569" s="168"/>
      <c r="E569" s="168"/>
      <c r="F569" s="227"/>
      <c r="G569" s="660"/>
      <c r="H569" s="253"/>
      <c r="I569" s="212"/>
      <c r="N569" s="212"/>
      <c r="O569" s="1557"/>
      <c r="P569" s="1558"/>
      <c r="Q569" s="661"/>
      <c r="R569" s="655"/>
      <c r="S569" s="655"/>
      <c r="T569" s="655"/>
      <c r="U569" s="655"/>
      <c r="V569" s="655"/>
      <c r="W569" s="655"/>
      <c r="Y569" s="1827"/>
      <c r="Z569" s="1828"/>
      <c r="AA569" s="1829"/>
      <c r="AB569" s="1829"/>
      <c r="AC569" s="1829"/>
      <c r="AD569" s="1564"/>
      <c r="AE569" s="701"/>
      <c r="AF569" s="684"/>
      <c r="AG569" s="684"/>
      <c r="AH569" s="710"/>
      <c r="AI569" s="710"/>
      <c r="AJ569" s="710"/>
      <c r="AK569" s="710"/>
      <c r="AL569" s="710"/>
      <c r="AM569" s="710"/>
      <c r="AN569" s="710"/>
      <c r="AO569" s="710"/>
      <c r="AP569" s="710"/>
      <c r="AQ569" s="710"/>
      <c r="AR569" s="710"/>
      <c r="AS569" s="710"/>
      <c r="AT569" s="710"/>
      <c r="AU569" s="1829"/>
      <c r="AV569" s="1835"/>
      <c r="AW569" s="1836"/>
      <c r="AX569" s="1836"/>
      <c r="AY569" s="1836"/>
      <c r="AZ569" s="1825"/>
      <c r="BA569" s="1825"/>
    </row>
    <row r="570" spans="2:53" s="188" customFormat="1" ht="24.95" customHeight="1">
      <c r="B570" s="281"/>
      <c r="C570" s="168"/>
      <c r="D570" s="168"/>
      <c r="E570" s="168"/>
      <c r="F570" s="227"/>
      <c r="G570" s="660"/>
      <c r="H570" s="253"/>
      <c r="I570" s="212"/>
      <c r="N570" s="212"/>
      <c r="O570" s="1557"/>
      <c r="P570" s="1558"/>
      <c r="Q570" s="661"/>
      <c r="R570" s="655"/>
      <c r="S570" s="655"/>
      <c r="T570" s="655"/>
      <c r="U570" s="655"/>
      <c r="V570" s="655"/>
      <c r="W570" s="655"/>
      <c r="Y570" s="1827"/>
      <c r="Z570" s="1828"/>
      <c r="AA570" s="1829"/>
      <c r="AB570" s="1829"/>
      <c r="AC570" s="1829"/>
      <c r="AD570" s="1564"/>
      <c r="AE570" s="701"/>
      <c r="AF570" s="684"/>
      <c r="AG570" s="684"/>
      <c r="AH570" s="710"/>
      <c r="AI570" s="710"/>
      <c r="AJ570" s="710"/>
      <c r="AK570" s="710"/>
      <c r="AL570" s="710"/>
      <c r="AM570" s="710"/>
      <c r="AN570" s="710"/>
      <c r="AO570" s="710"/>
      <c r="AP570" s="710"/>
      <c r="AQ570" s="710"/>
      <c r="AR570" s="710"/>
      <c r="AS570" s="710"/>
      <c r="AT570" s="710"/>
      <c r="AU570" s="1829"/>
      <c r="AV570" s="1835"/>
      <c r="AW570" s="1836"/>
      <c r="AX570" s="1836"/>
      <c r="AY570" s="1836"/>
      <c r="AZ570" s="1825"/>
      <c r="BA570" s="1825"/>
    </row>
    <row r="571" spans="2:53" s="188" customFormat="1" ht="24.95" customHeight="1">
      <c r="B571" s="281"/>
      <c r="C571" s="168"/>
      <c r="D571" s="168"/>
      <c r="E571" s="168"/>
      <c r="F571" s="227"/>
      <c r="G571" s="660"/>
      <c r="H571" s="253"/>
      <c r="I571" s="212"/>
      <c r="N571" s="212"/>
      <c r="O571" s="1557"/>
      <c r="P571" s="1558"/>
      <c r="Q571" s="661"/>
      <c r="R571" s="655"/>
      <c r="S571" s="655"/>
      <c r="T571" s="655"/>
      <c r="U571" s="655"/>
      <c r="V571" s="655"/>
      <c r="W571" s="655"/>
      <c r="Y571" s="1827"/>
      <c r="Z571" s="1828"/>
      <c r="AA571" s="1829"/>
      <c r="AB571" s="1829"/>
      <c r="AC571" s="1829"/>
      <c r="AD571" s="1564"/>
      <c r="AE571" s="701"/>
      <c r="AF571" s="684"/>
      <c r="AG571" s="684"/>
      <c r="AH571" s="710"/>
      <c r="AI571" s="710"/>
      <c r="AJ571" s="710"/>
      <c r="AK571" s="710"/>
      <c r="AL571" s="710"/>
      <c r="AM571" s="710"/>
      <c r="AN571" s="710"/>
      <c r="AO571" s="710"/>
      <c r="AP571" s="710"/>
      <c r="AQ571" s="710"/>
      <c r="AR571" s="710"/>
      <c r="AS571" s="710"/>
      <c r="AT571" s="710"/>
      <c r="AU571" s="1829"/>
      <c r="AV571" s="1835"/>
      <c r="AW571" s="1836"/>
      <c r="AX571" s="1836"/>
      <c r="AY571" s="1836"/>
      <c r="AZ571" s="1825"/>
      <c r="BA571" s="1825"/>
    </row>
    <row r="572" spans="2:53" s="188" customFormat="1" ht="24.95" customHeight="1">
      <c r="B572" s="281"/>
      <c r="C572" s="168"/>
      <c r="D572" s="168"/>
      <c r="E572" s="168"/>
      <c r="F572" s="227"/>
      <c r="G572" s="660"/>
      <c r="H572" s="253"/>
      <c r="I572" s="212"/>
      <c r="N572" s="212"/>
      <c r="O572" s="1557"/>
      <c r="P572" s="1558"/>
      <c r="Q572" s="661"/>
      <c r="R572" s="655"/>
      <c r="S572" s="655"/>
      <c r="T572" s="655"/>
      <c r="U572" s="655"/>
      <c r="V572" s="655"/>
      <c r="W572" s="655"/>
      <c r="Y572" s="1827"/>
      <c r="Z572" s="1828"/>
      <c r="AA572" s="1829"/>
      <c r="AB572" s="1829"/>
      <c r="AC572" s="1829"/>
      <c r="AD572" s="1564"/>
      <c r="AE572" s="701"/>
      <c r="AF572" s="684"/>
      <c r="AG572" s="684"/>
      <c r="AH572" s="710"/>
      <c r="AI572" s="710"/>
      <c r="AJ572" s="710"/>
      <c r="AK572" s="710"/>
      <c r="AL572" s="710"/>
      <c r="AM572" s="710"/>
      <c r="AN572" s="710"/>
      <c r="AO572" s="710"/>
      <c r="AP572" s="710"/>
      <c r="AQ572" s="710"/>
      <c r="AR572" s="710"/>
      <c r="AS572" s="710"/>
      <c r="AT572" s="710"/>
      <c r="AU572" s="1829"/>
      <c r="AV572" s="1835"/>
      <c r="AW572" s="1836"/>
      <c r="AX572" s="1836"/>
      <c r="AY572" s="1836"/>
      <c r="AZ572" s="1825"/>
      <c r="BA572" s="1825"/>
    </row>
    <row r="573" spans="2:53" s="188" customFormat="1" ht="24.95" customHeight="1">
      <c r="B573" s="281"/>
      <c r="C573" s="168"/>
      <c r="D573" s="168"/>
      <c r="E573" s="168"/>
      <c r="F573" s="227"/>
      <c r="G573" s="660"/>
      <c r="H573" s="253"/>
      <c r="I573" s="212"/>
      <c r="N573" s="212"/>
      <c r="O573" s="1557"/>
      <c r="P573" s="1558"/>
      <c r="Q573" s="661"/>
      <c r="R573" s="655"/>
      <c r="S573" s="655"/>
      <c r="T573" s="655"/>
      <c r="U573" s="655"/>
      <c r="V573" s="655"/>
      <c r="W573" s="655"/>
      <c r="Y573" s="1827"/>
      <c r="Z573" s="1828"/>
      <c r="AA573" s="1829"/>
      <c r="AB573" s="1829"/>
      <c r="AC573" s="1829"/>
      <c r="AD573" s="1564"/>
      <c r="AE573" s="701"/>
      <c r="AF573" s="684"/>
      <c r="AG573" s="684"/>
      <c r="AH573" s="710"/>
      <c r="AI573" s="710"/>
      <c r="AJ573" s="710"/>
      <c r="AK573" s="710"/>
      <c r="AL573" s="710"/>
      <c r="AM573" s="710"/>
      <c r="AN573" s="710"/>
      <c r="AO573" s="710"/>
      <c r="AP573" s="710"/>
      <c r="AQ573" s="710"/>
      <c r="AR573" s="710"/>
      <c r="AS573" s="710"/>
      <c r="AT573" s="710"/>
      <c r="AU573" s="1829"/>
      <c r="AV573" s="1835"/>
      <c r="AW573" s="1836"/>
      <c r="AX573" s="1836"/>
      <c r="AY573" s="1836"/>
      <c r="AZ573" s="1825"/>
      <c r="BA573" s="1825"/>
    </row>
    <row r="574" spans="2:53" s="188" customFormat="1" ht="24.95" customHeight="1">
      <c r="B574" s="281"/>
      <c r="C574" s="168"/>
      <c r="D574" s="168"/>
      <c r="E574" s="168"/>
      <c r="F574" s="227"/>
      <c r="G574" s="660"/>
      <c r="H574" s="253"/>
      <c r="I574" s="212"/>
      <c r="N574" s="212"/>
      <c r="O574" s="1557"/>
      <c r="P574" s="1558"/>
      <c r="Q574" s="661"/>
      <c r="R574" s="655"/>
      <c r="S574" s="655"/>
      <c r="T574" s="655"/>
      <c r="U574" s="655"/>
      <c r="V574" s="655"/>
      <c r="W574" s="655"/>
      <c r="Y574" s="1827"/>
      <c r="Z574" s="1828"/>
      <c r="AA574" s="1829"/>
      <c r="AB574" s="1829"/>
      <c r="AC574" s="1829"/>
      <c r="AD574" s="1564"/>
      <c r="AE574" s="701"/>
      <c r="AF574" s="684"/>
      <c r="AG574" s="684"/>
      <c r="AH574" s="710"/>
      <c r="AI574" s="710"/>
      <c r="AJ574" s="710"/>
      <c r="AK574" s="710"/>
      <c r="AL574" s="710"/>
      <c r="AM574" s="710"/>
      <c r="AN574" s="710"/>
      <c r="AO574" s="710"/>
      <c r="AP574" s="710"/>
      <c r="AQ574" s="710"/>
      <c r="AR574" s="710"/>
      <c r="AS574" s="710"/>
      <c r="AT574" s="710"/>
      <c r="AU574" s="1829"/>
      <c r="AV574" s="1835"/>
      <c r="AW574" s="1836"/>
      <c r="AX574" s="1836"/>
      <c r="AY574" s="1836"/>
      <c r="AZ574" s="1825"/>
      <c r="BA574" s="1825"/>
    </row>
    <row r="575" spans="2:53" s="188" customFormat="1" ht="24.95" customHeight="1">
      <c r="B575" s="281"/>
      <c r="C575" s="168"/>
      <c r="D575" s="168"/>
      <c r="E575" s="168"/>
      <c r="F575" s="227"/>
      <c r="G575" s="660"/>
      <c r="H575" s="253"/>
      <c r="I575" s="212"/>
      <c r="N575" s="212"/>
      <c r="O575" s="1557"/>
      <c r="P575" s="1558"/>
      <c r="Q575" s="661"/>
      <c r="R575" s="655"/>
      <c r="S575" s="655"/>
      <c r="T575" s="655"/>
      <c r="U575" s="655"/>
      <c r="V575" s="655"/>
      <c r="W575" s="655"/>
      <c r="Y575" s="1827"/>
      <c r="Z575" s="1828"/>
      <c r="AA575" s="1829"/>
      <c r="AB575" s="1829"/>
      <c r="AC575" s="1829"/>
      <c r="AD575" s="1564"/>
      <c r="AE575" s="701"/>
      <c r="AF575" s="684"/>
      <c r="AG575" s="684"/>
      <c r="AH575" s="710"/>
      <c r="AI575" s="710"/>
      <c r="AJ575" s="710"/>
      <c r="AK575" s="710"/>
      <c r="AL575" s="710"/>
      <c r="AM575" s="710"/>
      <c r="AN575" s="710"/>
      <c r="AO575" s="710"/>
      <c r="AP575" s="710"/>
      <c r="AQ575" s="710"/>
      <c r="AR575" s="710"/>
      <c r="AS575" s="710"/>
      <c r="AT575" s="710"/>
      <c r="AU575" s="1829"/>
      <c r="AV575" s="1835"/>
      <c r="AW575" s="1836"/>
      <c r="AX575" s="1836"/>
      <c r="AY575" s="1836"/>
      <c r="AZ575" s="1825"/>
      <c r="BA575" s="1825"/>
    </row>
    <row r="576" spans="2:53" s="188" customFormat="1" ht="24.95" customHeight="1">
      <c r="B576" s="281"/>
      <c r="C576" s="168"/>
      <c r="D576" s="168"/>
      <c r="E576" s="168"/>
      <c r="F576" s="227"/>
      <c r="G576" s="660"/>
      <c r="H576" s="253"/>
      <c r="I576" s="212"/>
      <c r="N576" s="212"/>
      <c r="O576" s="1557"/>
      <c r="P576" s="1558"/>
      <c r="Q576" s="661"/>
      <c r="R576" s="655"/>
      <c r="S576" s="655"/>
      <c r="T576" s="655"/>
      <c r="U576" s="655"/>
      <c r="V576" s="655"/>
      <c r="W576" s="655"/>
      <c r="Y576" s="1827"/>
      <c r="Z576" s="1828"/>
      <c r="AA576" s="1829"/>
      <c r="AB576" s="1829"/>
      <c r="AC576" s="1829"/>
      <c r="AD576" s="1564"/>
      <c r="AE576" s="701"/>
      <c r="AF576" s="684"/>
      <c r="AG576" s="684"/>
      <c r="AH576" s="710"/>
      <c r="AI576" s="710"/>
      <c r="AJ576" s="710"/>
      <c r="AK576" s="710"/>
      <c r="AL576" s="710"/>
      <c r="AM576" s="710"/>
      <c r="AN576" s="710"/>
      <c r="AO576" s="710"/>
      <c r="AP576" s="710"/>
      <c r="AQ576" s="710"/>
      <c r="AR576" s="710"/>
      <c r="AS576" s="710"/>
      <c r="AT576" s="710"/>
      <c r="AU576" s="1829"/>
      <c r="AV576" s="1835"/>
      <c r="AW576" s="1836"/>
      <c r="AX576" s="1836"/>
      <c r="AY576" s="1836"/>
      <c r="AZ576" s="1825"/>
      <c r="BA576" s="1825"/>
    </row>
    <row r="577" spans="2:53" s="188" customFormat="1" ht="24.95" customHeight="1">
      <c r="B577" s="281"/>
      <c r="C577" s="168"/>
      <c r="D577" s="168"/>
      <c r="E577" s="168"/>
      <c r="F577" s="227"/>
      <c r="G577" s="660"/>
      <c r="H577" s="253"/>
      <c r="I577" s="212"/>
      <c r="N577" s="212"/>
      <c r="O577" s="1557"/>
      <c r="P577" s="1558"/>
      <c r="Q577" s="661"/>
      <c r="R577" s="655"/>
      <c r="S577" s="655"/>
      <c r="T577" s="655"/>
      <c r="U577" s="655"/>
      <c r="V577" s="655"/>
      <c r="W577" s="655"/>
      <c r="Y577" s="1827"/>
      <c r="Z577" s="1828"/>
      <c r="AA577" s="1829"/>
      <c r="AB577" s="1829"/>
      <c r="AC577" s="1829"/>
      <c r="AD577" s="1564"/>
      <c r="AE577" s="701"/>
      <c r="AF577" s="684"/>
      <c r="AG577" s="684"/>
      <c r="AH577" s="710"/>
      <c r="AI577" s="710"/>
      <c r="AJ577" s="710"/>
      <c r="AK577" s="710"/>
      <c r="AL577" s="710"/>
      <c r="AM577" s="710"/>
      <c r="AN577" s="710"/>
      <c r="AO577" s="710"/>
      <c r="AP577" s="710"/>
      <c r="AQ577" s="710"/>
      <c r="AR577" s="710"/>
      <c r="AS577" s="710"/>
      <c r="AT577" s="710"/>
      <c r="AU577" s="1829"/>
      <c r="AV577" s="1835"/>
      <c r="AW577" s="1836"/>
      <c r="AX577" s="1836"/>
      <c r="AY577" s="1836"/>
      <c r="AZ577" s="1825"/>
      <c r="BA577" s="1825"/>
    </row>
    <row r="578" spans="2:53" s="188" customFormat="1" ht="24.95" customHeight="1">
      <c r="B578" s="281"/>
      <c r="C578" s="168"/>
      <c r="D578" s="168"/>
      <c r="E578" s="168"/>
      <c r="F578" s="227"/>
      <c r="G578" s="660"/>
      <c r="H578" s="253"/>
      <c r="I578" s="212"/>
      <c r="N578" s="212"/>
      <c r="O578" s="1557"/>
      <c r="P578" s="1558"/>
      <c r="Q578" s="661"/>
      <c r="R578" s="655"/>
      <c r="S578" s="655"/>
      <c r="T578" s="655"/>
      <c r="U578" s="655"/>
      <c r="V578" s="655"/>
      <c r="W578" s="655"/>
      <c r="Y578" s="1827"/>
      <c r="Z578" s="1828"/>
      <c r="AA578" s="1829"/>
      <c r="AB578" s="1829"/>
      <c r="AC578" s="1829"/>
      <c r="AD578" s="1564"/>
      <c r="AE578" s="701"/>
      <c r="AF578" s="684"/>
      <c r="AG578" s="684"/>
      <c r="AH578" s="710"/>
      <c r="AI578" s="710"/>
      <c r="AJ578" s="710"/>
      <c r="AK578" s="710"/>
      <c r="AL578" s="710"/>
      <c r="AM578" s="710"/>
      <c r="AN578" s="710"/>
      <c r="AO578" s="710"/>
      <c r="AP578" s="710"/>
      <c r="AQ578" s="710"/>
      <c r="AR578" s="710"/>
      <c r="AS578" s="710"/>
      <c r="AT578" s="710"/>
      <c r="AU578" s="1829"/>
      <c r="AV578" s="1835"/>
      <c r="AW578" s="1836"/>
      <c r="AX578" s="1836"/>
      <c r="AY578" s="1836"/>
      <c r="AZ578" s="1825"/>
      <c r="BA578" s="1825"/>
    </row>
    <row r="579" spans="2:53" s="188" customFormat="1" ht="24.95" customHeight="1">
      <c r="B579" s="281"/>
      <c r="C579" s="168"/>
      <c r="D579" s="168"/>
      <c r="E579" s="168"/>
      <c r="F579" s="227"/>
      <c r="G579" s="660"/>
      <c r="H579" s="253"/>
      <c r="I579" s="212"/>
      <c r="N579" s="212"/>
      <c r="O579" s="1557"/>
      <c r="P579" s="1558"/>
      <c r="Q579" s="661"/>
      <c r="R579" s="655"/>
      <c r="S579" s="655"/>
      <c r="T579" s="655"/>
      <c r="U579" s="655"/>
      <c r="V579" s="655"/>
      <c r="W579" s="655"/>
      <c r="Y579" s="1827"/>
      <c r="Z579" s="1828"/>
      <c r="AA579" s="1829"/>
      <c r="AB579" s="1829"/>
      <c r="AC579" s="1829"/>
      <c r="AD579" s="1564"/>
      <c r="AE579" s="701"/>
      <c r="AF579" s="684"/>
      <c r="AG579" s="684"/>
      <c r="AH579" s="710"/>
      <c r="AI579" s="710"/>
      <c r="AJ579" s="710"/>
      <c r="AK579" s="710"/>
      <c r="AL579" s="710"/>
      <c r="AM579" s="710"/>
      <c r="AN579" s="710"/>
      <c r="AO579" s="710"/>
      <c r="AP579" s="710"/>
      <c r="AQ579" s="710"/>
      <c r="AR579" s="710"/>
      <c r="AS579" s="710"/>
      <c r="AT579" s="710"/>
      <c r="AU579" s="1829"/>
      <c r="AV579" s="1835"/>
      <c r="AW579" s="1836"/>
      <c r="AX579" s="1836"/>
      <c r="AY579" s="1836"/>
      <c r="AZ579" s="1825"/>
      <c r="BA579" s="1825"/>
    </row>
    <row r="580" spans="2:53" s="188" customFormat="1" ht="24.95" customHeight="1">
      <c r="B580" s="281"/>
      <c r="C580" s="168"/>
      <c r="D580" s="168"/>
      <c r="E580" s="168"/>
      <c r="F580" s="227"/>
      <c r="G580" s="660"/>
      <c r="H580" s="253"/>
      <c r="I580" s="212"/>
      <c r="N580" s="212"/>
      <c r="O580" s="1557"/>
      <c r="P580" s="1558"/>
      <c r="Q580" s="661"/>
      <c r="R580" s="655"/>
      <c r="S580" s="655"/>
      <c r="T580" s="655"/>
      <c r="U580" s="655"/>
      <c r="V580" s="655"/>
      <c r="W580" s="655"/>
      <c r="Y580" s="1827"/>
      <c r="Z580" s="1828"/>
      <c r="AA580" s="1829"/>
      <c r="AB580" s="1829"/>
      <c r="AC580" s="1829"/>
      <c r="AD580" s="1564"/>
      <c r="AE580" s="701"/>
      <c r="AF580" s="684"/>
      <c r="AG580" s="684"/>
      <c r="AH580" s="710"/>
      <c r="AI580" s="710"/>
      <c r="AJ580" s="710"/>
      <c r="AK580" s="710"/>
      <c r="AL580" s="710"/>
      <c r="AM580" s="710"/>
      <c r="AN580" s="710"/>
      <c r="AO580" s="710"/>
      <c r="AP580" s="710"/>
      <c r="AQ580" s="710"/>
      <c r="AR580" s="710"/>
      <c r="AS580" s="710"/>
      <c r="AT580" s="710"/>
      <c r="AU580" s="1829"/>
      <c r="AV580" s="1835"/>
      <c r="AW580" s="1836"/>
      <c r="AX580" s="1836"/>
      <c r="AY580" s="1836"/>
      <c r="AZ580" s="1825"/>
      <c r="BA580" s="1825"/>
    </row>
    <row r="581" spans="2:53" s="188" customFormat="1" ht="24.95" customHeight="1">
      <c r="B581" s="281"/>
      <c r="C581" s="168"/>
      <c r="D581" s="168"/>
      <c r="E581" s="168"/>
      <c r="F581" s="227"/>
      <c r="G581" s="660"/>
      <c r="H581" s="253"/>
      <c r="I581" s="212"/>
      <c r="N581" s="212"/>
      <c r="O581" s="1557"/>
      <c r="P581" s="1558"/>
      <c r="Q581" s="661"/>
      <c r="R581" s="655"/>
      <c r="S581" s="655"/>
      <c r="T581" s="655"/>
      <c r="U581" s="655"/>
      <c r="V581" s="655"/>
      <c r="W581" s="655"/>
      <c r="Y581" s="1827"/>
      <c r="Z581" s="1828"/>
      <c r="AA581" s="1829"/>
      <c r="AB581" s="1829"/>
      <c r="AC581" s="1829"/>
      <c r="AD581" s="1564"/>
      <c r="AE581" s="701"/>
      <c r="AF581" s="684"/>
      <c r="AG581" s="684"/>
      <c r="AH581" s="710"/>
      <c r="AI581" s="710"/>
      <c r="AJ581" s="710"/>
      <c r="AK581" s="710"/>
      <c r="AL581" s="710"/>
      <c r="AM581" s="710"/>
      <c r="AN581" s="710"/>
      <c r="AO581" s="710"/>
      <c r="AP581" s="710"/>
      <c r="AQ581" s="710"/>
      <c r="AR581" s="710"/>
      <c r="AS581" s="710"/>
      <c r="AT581" s="710"/>
      <c r="AU581" s="1829"/>
      <c r="AV581" s="1835"/>
      <c r="AW581" s="1836"/>
      <c r="AX581" s="1836"/>
      <c r="AY581" s="1836"/>
      <c r="AZ581" s="1825"/>
      <c r="BA581" s="1825"/>
    </row>
    <row r="582" spans="2:53" s="188" customFormat="1" ht="24.95" customHeight="1">
      <c r="B582" s="281"/>
      <c r="C582" s="168"/>
      <c r="D582" s="168"/>
      <c r="E582" s="168"/>
      <c r="F582" s="227"/>
      <c r="G582" s="660"/>
      <c r="H582" s="253"/>
      <c r="I582" s="212"/>
      <c r="N582" s="212"/>
      <c r="O582" s="1557"/>
      <c r="P582" s="1558"/>
      <c r="Q582" s="661"/>
      <c r="R582" s="655"/>
      <c r="S582" s="655"/>
      <c r="T582" s="655"/>
      <c r="U582" s="655"/>
      <c r="V582" s="655"/>
      <c r="W582" s="655"/>
      <c r="Y582" s="1827"/>
      <c r="Z582" s="1828"/>
      <c r="AA582" s="1829"/>
      <c r="AB582" s="1829"/>
      <c r="AC582" s="1829"/>
      <c r="AD582" s="1564"/>
      <c r="AE582" s="701"/>
      <c r="AF582" s="684"/>
      <c r="AG582" s="684"/>
      <c r="AH582" s="710"/>
      <c r="AI582" s="710"/>
      <c r="AJ582" s="710"/>
      <c r="AK582" s="710"/>
      <c r="AL582" s="710"/>
      <c r="AM582" s="710"/>
      <c r="AN582" s="710"/>
      <c r="AO582" s="710"/>
      <c r="AP582" s="710"/>
      <c r="AQ582" s="710"/>
      <c r="AR582" s="710"/>
      <c r="AS582" s="710"/>
      <c r="AT582" s="710"/>
      <c r="AU582" s="1829"/>
      <c r="AV582" s="1835"/>
      <c r="AW582" s="1836"/>
      <c r="AX582" s="1836"/>
      <c r="AY582" s="1836"/>
      <c r="AZ582" s="1825"/>
      <c r="BA582" s="1825"/>
    </row>
    <row r="583" spans="2:53" s="188" customFormat="1" ht="24.95" customHeight="1">
      <c r="B583" s="281"/>
      <c r="C583" s="168"/>
      <c r="D583" s="168"/>
      <c r="E583" s="168"/>
      <c r="F583" s="227"/>
      <c r="G583" s="660"/>
      <c r="H583" s="253"/>
      <c r="I583" s="212"/>
      <c r="N583" s="212"/>
      <c r="O583" s="1557"/>
      <c r="P583" s="1558"/>
      <c r="Q583" s="661"/>
      <c r="R583" s="655"/>
      <c r="S583" s="655"/>
      <c r="T583" s="655"/>
      <c r="U583" s="655"/>
      <c r="V583" s="655"/>
      <c r="W583" s="655"/>
      <c r="Y583" s="1827"/>
      <c r="Z583" s="1828"/>
      <c r="AA583" s="1829"/>
      <c r="AB583" s="1829"/>
      <c r="AC583" s="1829"/>
      <c r="AD583" s="1564"/>
      <c r="AE583" s="701"/>
      <c r="AF583" s="684"/>
      <c r="AG583" s="684"/>
      <c r="AH583" s="710"/>
      <c r="AI583" s="710"/>
      <c r="AJ583" s="710"/>
      <c r="AK583" s="710"/>
      <c r="AL583" s="710"/>
      <c r="AM583" s="710"/>
      <c r="AN583" s="710"/>
      <c r="AO583" s="710"/>
      <c r="AP583" s="710"/>
      <c r="AQ583" s="710"/>
      <c r="AR583" s="710"/>
      <c r="AS583" s="710"/>
      <c r="AT583" s="710"/>
      <c r="AU583" s="1829"/>
      <c r="AV583" s="1835"/>
      <c r="AW583" s="1836"/>
      <c r="AX583" s="1836"/>
      <c r="AY583" s="1836"/>
      <c r="AZ583" s="1825"/>
      <c r="BA583" s="1825"/>
    </row>
    <row r="584" spans="2:53" s="188" customFormat="1" ht="24.95" customHeight="1">
      <c r="B584" s="281"/>
      <c r="C584" s="168"/>
      <c r="D584" s="168"/>
      <c r="E584" s="168"/>
      <c r="F584" s="227"/>
      <c r="G584" s="660"/>
      <c r="H584" s="253"/>
      <c r="I584" s="212"/>
      <c r="N584" s="212"/>
      <c r="O584" s="1557"/>
      <c r="P584" s="1558"/>
      <c r="Q584" s="661"/>
      <c r="R584" s="655"/>
      <c r="S584" s="655"/>
      <c r="T584" s="655"/>
      <c r="U584" s="655"/>
      <c r="V584" s="655"/>
      <c r="W584" s="655"/>
      <c r="Y584" s="1827"/>
      <c r="Z584" s="1828"/>
      <c r="AA584" s="1829"/>
      <c r="AB584" s="1829"/>
      <c r="AC584" s="1829"/>
      <c r="AD584" s="1564"/>
      <c r="AE584" s="701"/>
      <c r="AF584" s="684"/>
      <c r="AG584" s="684"/>
      <c r="AH584" s="710"/>
      <c r="AI584" s="710"/>
      <c r="AJ584" s="710"/>
      <c r="AK584" s="710"/>
      <c r="AL584" s="710"/>
      <c r="AM584" s="710"/>
      <c r="AN584" s="710"/>
      <c r="AO584" s="710"/>
      <c r="AP584" s="710"/>
      <c r="AQ584" s="710"/>
      <c r="AR584" s="710"/>
      <c r="AS584" s="710"/>
      <c r="AT584" s="710"/>
      <c r="AU584" s="1829"/>
      <c r="AV584" s="1835"/>
      <c r="AW584" s="1836"/>
      <c r="AX584" s="1836"/>
      <c r="AY584" s="1836"/>
      <c r="AZ584" s="1825"/>
      <c r="BA584" s="1825"/>
    </row>
    <row r="585" spans="2:53" s="188" customFormat="1" ht="24.95" customHeight="1">
      <c r="B585" s="281"/>
      <c r="C585" s="168"/>
      <c r="D585" s="168"/>
      <c r="E585" s="168"/>
      <c r="F585" s="227"/>
      <c r="G585" s="660"/>
      <c r="H585" s="253"/>
      <c r="I585" s="212"/>
      <c r="N585" s="212"/>
      <c r="O585" s="1557"/>
      <c r="P585" s="1558"/>
      <c r="Q585" s="661"/>
      <c r="R585" s="655"/>
      <c r="S585" s="655"/>
      <c r="T585" s="655"/>
      <c r="U585" s="655"/>
      <c r="V585" s="655"/>
      <c r="W585" s="655"/>
      <c r="Y585" s="1827"/>
      <c r="Z585" s="1828"/>
      <c r="AA585" s="1829"/>
      <c r="AB585" s="1829"/>
      <c r="AC585" s="1829"/>
      <c r="AD585" s="1564"/>
      <c r="AE585" s="701"/>
      <c r="AF585" s="684"/>
      <c r="AG585" s="684"/>
      <c r="AH585" s="710"/>
      <c r="AI585" s="710"/>
      <c r="AJ585" s="710"/>
      <c r="AK585" s="710"/>
      <c r="AL585" s="710"/>
      <c r="AM585" s="710"/>
      <c r="AN585" s="710"/>
      <c r="AO585" s="710"/>
      <c r="AP585" s="710"/>
      <c r="AQ585" s="710"/>
      <c r="AR585" s="710"/>
      <c r="AS585" s="710"/>
      <c r="AT585" s="710"/>
      <c r="AU585" s="1829"/>
      <c r="AV585" s="1835"/>
      <c r="AW585" s="1836"/>
      <c r="AX585" s="1836"/>
      <c r="AY585" s="1836"/>
      <c r="AZ585" s="1825"/>
      <c r="BA585" s="1825"/>
    </row>
    <row r="586" spans="2:53" s="188" customFormat="1" ht="24.95" customHeight="1">
      <c r="B586" s="281"/>
      <c r="C586" s="168"/>
      <c r="D586" s="168"/>
      <c r="E586" s="168"/>
      <c r="F586" s="227"/>
      <c r="G586" s="660"/>
      <c r="H586" s="253"/>
      <c r="I586" s="212"/>
      <c r="N586" s="212"/>
      <c r="O586" s="1557"/>
      <c r="P586" s="1558"/>
      <c r="Q586" s="661"/>
      <c r="R586" s="655"/>
      <c r="S586" s="655"/>
      <c r="T586" s="655"/>
      <c r="U586" s="655"/>
      <c r="V586" s="655"/>
      <c r="W586" s="655"/>
      <c r="Y586" s="1827"/>
      <c r="Z586" s="1828"/>
      <c r="AA586" s="1829"/>
      <c r="AB586" s="1829"/>
      <c r="AC586" s="1829"/>
      <c r="AD586" s="1564"/>
      <c r="AE586" s="701"/>
      <c r="AF586" s="684"/>
      <c r="AG586" s="684"/>
      <c r="AH586" s="710"/>
      <c r="AI586" s="710"/>
      <c r="AJ586" s="710"/>
      <c r="AK586" s="710"/>
      <c r="AL586" s="710"/>
      <c r="AM586" s="710"/>
      <c r="AN586" s="710"/>
      <c r="AO586" s="710"/>
      <c r="AP586" s="710"/>
      <c r="AQ586" s="710"/>
      <c r="AR586" s="710"/>
      <c r="AS586" s="710"/>
      <c r="AT586" s="710"/>
      <c r="AU586" s="1829"/>
      <c r="AV586" s="1835"/>
      <c r="AW586" s="1836"/>
      <c r="AX586" s="1836"/>
      <c r="AY586" s="1836"/>
      <c r="AZ586" s="1825"/>
      <c r="BA586" s="1825"/>
    </row>
    <row r="587" spans="2:53" s="188" customFormat="1" ht="24.95" customHeight="1">
      <c r="B587" s="281"/>
      <c r="C587" s="168"/>
      <c r="D587" s="168"/>
      <c r="E587" s="168"/>
      <c r="F587" s="227"/>
      <c r="G587" s="660"/>
      <c r="H587" s="253"/>
      <c r="I587" s="212"/>
      <c r="N587" s="212"/>
      <c r="O587" s="1557"/>
      <c r="P587" s="1558"/>
      <c r="Q587" s="661"/>
      <c r="R587" s="655"/>
      <c r="S587" s="655"/>
      <c r="T587" s="655"/>
      <c r="U587" s="655"/>
      <c r="V587" s="655"/>
      <c r="W587" s="655"/>
      <c r="Y587" s="1827"/>
      <c r="Z587" s="1828"/>
      <c r="AA587" s="1829"/>
      <c r="AB587" s="1829"/>
      <c r="AC587" s="1829"/>
      <c r="AD587" s="1564"/>
      <c r="AE587" s="701"/>
      <c r="AF587" s="684"/>
      <c r="AG587" s="684"/>
      <c r="AH587" s="710"/>
      <c r="AI587" s="710"/>
      <c r="AJ587" s="710"/>
      <c r="AK587" s="710"/>
      <c r="AL587" s="710"/>
      <c r="AM587" s="710"/>
      <c r="AN587" s="710"/>
      <c r="AO587" s="710"/>
      <c r="AP587" s="710"/>
      <c r="AQ587" s="710"/>
      <c r="AR587" s="710"/>
      <c r="AS587" s="710"/>
      <c r="AT587" s="710"/>
      <c r="AU587" s="1829"/>
      <c r="AV587" s="1835"/>
      <c r="AW587" s="1836"/>
      <c r="AX587" s="1836"/>
      <c r="AY587" s="1836"/>
      <c r="AZ587" s="1825"/>
      <c r="BA587" s="1825"/>
    </row>
    <row r="588" spans="2:53" s="188" customFormat="1" ht="24.95" customHeight="1">
      <c r="B588" s="281"/>
      <c r="C588" s="168"/>
      <c r="D588" s="168"/>
      <c r="E588" s="168"/>
      <c r="F588" s="227"/>
      <c r="G588" s="660"/>
      <c r="H588" s="253"/>
      <c r="I588" s="212"/>
      <c r="N588" s="212"/>
      <c r="O588" s="1557"/>
      <c r="P588" s="1558"/>
      <c r="Q588" s="661"/>
      <c r="R588" s="655"/>
      <c r="S588" s="655"/>
      <c r="T588" s="655"/>
      <c r="U588" s="655"/>
      <c r="V588" s="655"/>
      <c r="W588" s="655"/>
      <c r="Y588" s="1827"/>
      <c r="Z588" s="1828"/>
      <c r="AA588" s="1829"/>
      <c r="AB588" s="1829"/>
      <c r="AC588" s="1829"/>
      <c r="AD588" s="1564"/>
      <c r="AE588" s="701"/>
      <c r="AF588" s="684"/>
      <c r="AG588" s="684"/>
      <c r="AH588" s="710"/>
      <c r="AI588" s="710"/>
      <c r="AJ588" s="710"/>
      <c r="AK588" s="710"/>
      <c r="AL588" s="710"/>
      <c r="AM588" s="710"/>
      <c r="AN588" s="710"/>
      <c r="AO588" s="710"/>
      <c r="AP588" s="710"/>
      <c r="AQ588" s="710"/>
      <c r="AR588" s="710"/>
      <c r="AS588" s="710"/>
      <c r="AT588" s="710"/>
      <c r="AU588" s="1829"/>
      <c r="AV588" s="1835"/>
      <c r="AW588" s="1836"/>
      <c r="AX588" s="1836"/>
      <c r="AY588" s="1836"/>
      <c r="AZ588" s="1825"/>
      <c r="BA588" s="1825"/>
    </row>
    <row r="589" spans="2:53" s="188" customFormat="1" ht="24.95" customHeight="1">
      <c r="B589" s="281"/>
      <c r="C589" s="168"/>
      <c r="D589" s="168"/>
      <c r="E589" s="168"/>
      <c r="F589" s="227"/>
      <c r="G589" s="660"/>
      <c r="H589" s="253"/>
      <c r="I589" s="212"/>
      <c r="N589" s="212"/>
      <c r="O589" s="1557"/>
      <c r="P589" s="1558"/>
      <c r="Q589" s="661"/>
      <c r="R589" s="655"/>
      <c r="S589" s="655"/>
      <c r="T589" s="655"/>
      <c r="U589" s="655"/>
      <c r="V589" s="655"/>
      <c r="W589" s="655"/>
      <c r="Y589" s="1827"/>
      <c r="Z589" s="1828"/>
      <c r="AA589" s="1829"/>
      <c r="AB589" s="1829"/>
      <c r="AC589" s="1829"/>
      <c r="AD589" s="1564"/>
      <c r="AE589" s="701"/>
      <c r="AF589" s="684"/>
      <c r="AG589" s="684"/>
      <c r="AH589" s="710"/>
      <c r="AI589" s="710"/>
      <c r="AJ589" s="710"/>
      <c r="AK589" s="710"/>
      <c r="AL589" s="710"/>
      <c r="AM589" s="710"/>
      <c r="AN589" s="710"/>
      <c r="AO589" s="710"/>
      <c r="AP589" s="710"/>
      <c r="AQ589" s="710"/>
      <c r="AR589" s="710"/>
      <c r="AS589" s="710"/>
      <c r="AT589" s="710"/>
      <c r="AU589" s="1829"/>
      <c r="AV589" s="1835"/>
      <c r="AW589" s="1836"/>
      <c r="AX589" s="1836"/>
      <c r="AY589" s="1836"/>
      <c r="AZ589" s="1825"/>
      <c r="BA589" s="1825"/>
    </row>
    <row r="590" spans="2:53" s="188" customFormat="1" ht="24.95" customHeight="1">
      <c r="B590" s="281"/>
      <c r="C590" s="168"/>
      <c r="D590" s="168"/>
      <c r="E590" s="168"/>
      <c r="F590" s="227"/>
      <c r="G590" s="660"/>
      <c r="H590" s="253"/>
      <c r="I590" s="212"/>
      <c r="N590" s="212"/>
      <c r="O590" s="1557"/>
      <c r="P590" s="1558"/>
      <c r="Q590" s="661"/>
      <c r="R590" s="655"/>
      <c r="S590" s="655"/>
      <c r="T590" s="655"/>
      <c r="U590" s="655"/>
      <c r="V590" s="655"/>
      <c r="W590" s="655"/>
      <c r="Y590" s="1827"/>
      <c r="Z590" s="1828"/>
      <c r="AA590" s="1829"/>
      <c r="AB590" s="1829"/>
      <c r="AC590" s="1829"/>
      <c r="AD590" s="1564"/>
      <c r="AE590" s="701"/>
      <c r="AF590" s="684"/>
      <c r="AG590" s="684"/>
      <c r="AH590" s="710"/>
      <c r="AI590" s="710"/>
      <c r="AJ590" s="710"/>
      <c r="AK590" s="710"/>
      <c r="AL590" s="710"/>
      <c r="AM590" s="710"/>
      <c r="AN590" s="710"/>
      <c r="AO590" s="710"/>
      <c r="AP590" s="710"/>
      <c r="AQ590" s="710"/>
      <c r="AR590" s="710"/>
      <c r="AS590" s="710"/>
      <c r="AT590" s="710"/>
      <c r="AU590" s="1829"/>
      <c r="AV590" s="1835"/>
      <c r="AW590" s="1836"/>
      <c r="AX590" s="1836"/>
      <c r="AY590" s="1836"/>
      <c r="AZ590" s="1825"/>
      <c r="BA590" s="1825"/>
    </row>
    <row r="591" spans="2:53" s="188" customFormat="1" ht="24.95" customHeight="1">
      <c r="B591" s="281"/>
      <c r="C591" s="168"/>
      <c r="D591" s="168"/>
      <c r="E591" s="168"/>
      <c r="F591" s="227"/>
      <c r="G591" s="660"/>
      <c r="H591" s="253"/>
      <c r="I591" s="212"/>
      <c r="N591" s="212"/>
      <c r="O591" s="1557"/>
      <c r="P591" s="1558"/>
      <c r="Q591" s="661"/>
      <c r="R591" s="655"/>
      <c r="S591" s="655"/>
      <c r="T591" s="655"/>
      <c r="U591" s="655"/>
      <c r="V591" s="655"/>
      <c r="W591" s="655"/>
      <c r="Y591" s="1827"/>
      <c r="Z591" s="1828"/>
      <c r="AA591" s="1829"/>
      <c r="AB591" s="1829"/>
      <c r="AC591" s="1829"/>
      <c r="AD591" s="1564"/>
      <c r="AE591" s="701"/>
      <c r="AF591" s="684"/>
      <c r="AG591" s="684"/>
      <c r="AH591" s="710"/>
      <c r="AI591" s="710"/>
      <c r="AJ591" s="710"/>
      <c r="AK591" s="710"/>
      <c r="AL591" s="710"/>
      <c r="AM591" s="710"/>
      <c r="AN591" s="710"/>
      <c r="AO591" s="710"/>
      <c r="AP591" s="710"/>
      <c r="AQ591" s="710"/>
      <c r="AR591" s="710"/>
      <c r="AS591" s="710"/>
      <c r="AT591" s="710"/>
      <c r="AU591" s="1829"/>
      <c r="AV591" s="1835"/>
      <c r="AW591" s="1836"/>
      <c r="AX591" s="1836"/>
      <c r="AY591" s="1836"/>
      <c r="AZ591" s="1825"/>
      <c r="BA591" s="1825"/>
    </row>
    <row r="592" spans="2:53" s="188" customFormat="1" ht="24.95" customHeight="1">
      <c r="B592" s="281"/>
      <c r="C592" s="168"/>
      <c r="D592" s="168"/>
      <c r="E592" s="168"/>
      <c r="F592" s="227"/>
      <c r="G592" s="660"/>
      <c r="H592" s="253"/>
      <c r="I592" s="212"/>
      <c r="N592" s="212"/>
      <c r="O592" s="1557"/>
      <c r="P592" s="1558"/>
      <c r="Q592" s="661"/>
      <c r="R592" s="655"/>
      <c r="S592" s="655"/>
      <c r="T592" s="655"/>
      <c r="U592" s="655"/>
      <c r="V592" s="655"/>
      <c r="W592" s="655"/>
      <c r="Y592" s="1827"/>
      <c r="Z592" s="1828"/>
      <c r="AA592" s="1829"/>
      <c r="AB592" s="1829"/>
      <c r="AC592" s="1829"/>
      <c r="AD592" s="1564"/>
      <c r="AE592" s="701"/>
      <c r="AF592" s="684"/>
      <c r="AG592" s="684"/>
      <c r="AH592" s="710"/>
      <c r="AI592" s="710"/>
      <c r="AJ592" s="710"/>
      <c r="AK592" s="710"/>
      <c r="AL592" s="710"/>
      <c r="AM592" s="710"/>
      <c r="AN592" s="710"/>
      <c r="AO592" s="710"/>
      <c r="AP592" s="710"/>
      <c r="AQ592" s="710"/>
      <c r="AR592" s="710"/>
      <c r="AS592" s="710"/>
      <c r="AT592" s="710"/>
      <c r="AU592" s="1829"/>
      <c r="AV592" s="1835"/>
      <c r="AW592" s="1836"/>
      <c r="AX592" s="1836"/>
      <c r="AY592" s="1836"/>
      <c r="AZ592" s="1825"/>
      <c r="BA592" s="1825"/>
    </row>
    <row r="593" spans="2:53" s="188" customFormat="1" ht="24.95" customHeight="1">
      <c r="B593" s="281"/>
      <c r="C593" s="168"/>
      <c r="D593" s="168"/>
      <c r="E593" s="168"/>
      <c r="F593" s="227"/>
      <c r="G593" s="660"/>
      <c r="H593" s="253"/>
      <c r="I593" s="212"/>
      <c r="N593" s="212"/>
      <c r="O593" s="1557"/>
      <c r="P593" s="1558"/>
      <c r="Q593" s="661"/>
      <c r="R593" s="655"/>
      <c r="S593" s="655"/>
      <c r="T593" s="655"/>
      <c r="U593" s="655"/>
      <c r="V593" s="655"/>
      <c r="W593" s="655"/>
      <c r="Y593" s="1827"/>
      <c r="Z593" s="1828"/>
      <c r="AA593" s="1829"/>
      <c r="AB593" s="1829"/>
      <c r="AC593" s="1829"/>
      <c r="AD593" s="1564"/>
      <c r="AE593" s="701"/>
      <c r="AF593" s="684"/>
      <c r="AG593" s="684"/>
      <c r="AH593" s="710"/>
      <c r="AI593" s="710"/>
      <c r="AJ593" s="710"/>
      <c r="AK593" s="710"/>
      <c r="AL593" s="710"/>
      <c r="AM593" s="710"/>
      <c r="AN593" s="710"/>
      <c r="AO593" s="710"/>
      <c r="AP593" s="710"/>
      <c r="AQ593" s="710"/>
      <c r="AR593" s="710"/>
      <c r="AS593" s="710"/>
      <c r="AT593" s="710"/>
      <c r="AU593" s="1829"/>
      <c r="AV593" s="1835"/>
      <c r="AW593" s="1836"/>
      <c r="AX593" s="1836"/>
      <c r="AY593" s="1836"/>
      <c r="AZ593" s="1825"/>
      <c r="BA593" s="1825"/>
    </row>
    <row r="594" spans="2:53" s="188" customFormat="1" ht="24.95" customHeight="1">
      <c r="B594" s="281"/>
      <c r="C594" s="168"/>
      <c r="D594" s="168"/>
      <c r="E594" s="168"/>
      <c r="F594" s="227"/>
      <c r="G594" s="660"/>
      <c r="H594" s="253"/>
      <c r="I594" s="212"/>
      <c r="N594" s="212"/>
      <c r="O594" s="1557"/>
      <c r="P594" s="1558"/>
      <c r="Q594" s="661"/>
      <c r="R594" s="655"/>
      <c r="S594" s="655"/>
      <c r="T594" s="655"/>
      <c r="U594" s="655"/>
      <c r="V594" s="655"/>
      <c r="W594" s="655"/>
      <c r="Y594" s="1827"/>
      <c r="Z594" s="1828"/>
      <c r="AA594" s="1829"/>
      <c r="AB594" s="1829"/>
      <c r="AC594" s="1829"/>
      <c r="AD594" s="1564"/>
      <c r="AE594" s="701"/>
      <c r="AF594" s="684"/>
      <c r="AG594" s="684"/>
      <c r="AH594" s="710"/>
      <c r="AI594" s="710"/>
      <c r="AJ594" s="710"/>
      <c r="AK594" s="710"/>
      <c r="AL594" s="710"/>
      <c r="AM594" s="710"/>
      <c r="AN594" s="710"/>
      <c r="AO594" s="710"/>
      <c r="AP594" s="710"/>
      <c r="AQ594" s="710"/>
      <c r="AR594" s="710"/>
      <c r="AS594" s="710"/>
      <c r="AT594" s="710"/>
      <c r="AU594" s="1829"/>
      <c r="AV594" s="1835"/>
      <c r="AW594" s="1836"/>
      <c r="AX594" s="1836"/>
      <c r="AY594" s="1836"/>
      <c r="AZ594" s="1825"/>
      <c r="BA594" s="1825"/>
    </row>
    <row r="595" spans="2:53" s="188" customFormat="1" ht="24.95" customHeight="1">
      <c r="B595" s="281"/>
      <c r="C595" s="168"/>
      <c r="D595" s="168"/>
      <c r="E595" s="168"/>
      <c r="F595" s="227"/>
      <c r="G595" s="660"/>
      <c r="H595" s="253"/>
      <c r="I595" s="212"/>
      <c r="N595" s="212"/>
      <c r="O595" s="1557"/>
      <c r="P595" s="1558"/>
      <c r="Q595" s="661"/>
      <c r="R595" s="655"/>
      <c r="S595" s="655"/>
      <c r="T595" s="655"/>
      <c r="U595" s="655"/>
      <c r="V595" s="655"/>
      <c r="W595" s="655"/>
      <c r="Y595" s="1827"/>
      <c r="Z595" s="1828"/>
      <c r="AA595" s="1829"/>
      <c r="AB595" s="1829"/>
      <c r="AC595" s="1829"/>
      <c r="AD595" s="1564"/>
      <c r="AE595" s="701"/>
      <c r="AF595" s="684"/>
      <c r="AG595" s="684"/>
      <c r="AH595" s="710"/>
      <c r="AI595" s="710"/>
      <c r="AJ595" s="710"/>
      <c r="AK595" s="710"/>
      <c r="AL595" s="710"/>
      <c r="AM595" s="710"/>
      <c r="AN595" s="710"/>
      <c r="AO595" s="710"/>
      <c r="AP595" s="710"/>
      <c r="AQ595" s="710"/>
      <c r="AR595" s="710"/>
      <c r="AS595" s="710"/>
      <c r="AT595" s="710"/>
      <c r="AU595" s="1829"/>
      <c r="AV595" s="1835"/>
      <c r="AW595" s="1836"/>
      <c r="AX595" s="1836"/>
      <c r="AY595" s="1836"/>
      <c r="AZ595" s="1825"/>
      <c r="BA595" s="1825"/>
    </row>
    <row r="596" spans="2:53" s="188" customFormat="1" ht="24.95" customHeight="1">
      <c r="B596" s="281"/>
      <c r="C596" s="168"/>
      <c r="D596" s="168"/>
      <c r="E596" s="168"/>
      <c r="F596" s="227"/>
      <c r="G596" s="660"/>
      <c r="H596" s="253"/>
      <c r="I596" s="212"/>
      <c r="N596" s="212"/>
      <c r="O596" s="1557"/>
      <c r="P596" s="1558"/>
      <c r="Q596" s="661"/>
      <c r="R596" s="655"/>
      <c r="S596" s="655"/>
      <c r="T596" s="655"/>
      <c r="U596" s="655"/>
      <c r="V596" s="655"/>
      <c r="W596" s="655"/>
      <c r="Y596" s="1827"/>
      <c r="Z596" s="1828"/>
      <c r="AA596" s="1829"/>
      <c r="AB596" s="1829"/>
      <c r="AC596" s="1829"/>
      <c r="AD596" s="1564"/>
      <c r="AE596" s="701"/>
      <c r="AF596" s="684"/>
      <c r="AG596" s="684"/>
      <c r="AH596" s="710"/>
      <c r="AI596" s="710"/>
      <c r="AJ596" s="710"/>
      <c r="AK596" s="710"/>
      <c r="AL596" s="710"/>
      <c r="AM596" s="710"/>
      <c r="AN596" s="710"/>
      <c r="AO596" s="710"/>
      <c r="AP596" s="710"/>
      <c r="AQ596" s="710"/>
      <c r="AR596" s="710"/>
      <c r="AS596" s="710"/>
      <c r="AT596" s="710"/>
      <c r="AU596" s="1829"/>
      <c r="AV596" s="1835"/>
      <c r="AW596" s="1836"/>
      <c r="AX596" s="1836"/>
      <c r="AY596" s="1836"/>
      <c r="AZ596" s="1825"/>
      <c r="BA596" s="1825"/>
    </row>
    <row r="597" spans="2:53" s="188" customFormat="1" ht="24.95" customHeight="1">
      <c r="B597" s="281"/>
      <c r="C597" s="168"/>
      <c r="D597" s="168"/>
      <c r="E597" s="168"/>
      <c r="F597" s="227"/>
      <c r="G597" s="660"/>
      <c r="H597" s="253"/>
      <c r="I597" s="212"/>
      <c r="N597" s="212"/>
      <c r="O597" s="1557"/>
      <c r="P597" s="1558"/>
      <c r="Q597" s="661"/>
      <c r="R597" s="655"/>
      <c r="S597" s="655"/>
      <c r="T597" s="655"/>
      <c r="U597" s="655"/>
      <c r="V597" s="655"/>
      <c r="W597" s="655"/>
      <c r="Y597" s="1827"/>
      <c r="Z597" s="1828"/>
      <c r="AA597" s="1829"/>
      <c r="AB597" s="1829"/>
      <c r="AC597" s="1829"/>
      <c r="AD597" s="1564"/>
      <c r="AE597" s="701"/>
      <c r="AF597" s="684"/>
      <c r="AG597" s="684"/>
      <c r="AH597" s="710"/>
      <c r="AI597" s="710"/>
      <c r="AJ597" s="710"/>
      <c r="AK597" s="710"/>
      <c r="AL597" s="710"/>
      <c r="AM597" s="710"/>
      <c r="AN597" s="710"/>
      <c r="AO597" s="710"/>
      <c r="AP597" s="710"/>
      <c r="AQ597" s="710"/>
      <c r="AR597" s="710"/>
      <c r="AS597" s="710"/>
      <c r="AT597" s="710"/>
      <c r="AU597" s="1829"/>
      <c r="AV597" s="1835"/>
      <c r="AW597" s="1836"/>
      <c r="AX597" s="1836"/>
      <c r="AY597" s="1836"/>
      <c r="AZ597" s="1825"/>
      <c r="BA597" s="1825"/>
    </row>
    <row r="598" spans="2:53" s="188" customFormat="1" ht="24.95" customHeight="1">
      <c r="B598" s="281"/>
      <c r="C598" s="168"/>
      <c r="D598" s="168"/>
      <c r="E598" s="168"/>
      <c r="F598" s="227"/>
      <c r="G598" s="660"/>
      <c r="H598" s="253"/>
      <c r="I598" s="212"/>
      <c r="N598" s="212"/>
      <c r="O598" s="1557"/>
      <c r="P598" s="1558"/>
      <c r="Q598" s="661"/>
      <c r="R598" s="655"/>
      <c r="S598" s="655"/>
      <c r="T598" s="655"/>
      <c r="U598" s="655"/>
      <c r="V598" s="655"/>
      <c r="W598" s="655"/>
      <c r="Y598" s="1827"/>
      <c r="Z598" s="1828"/>
      <c r="AA598" s="1829"/>
      <c r="AB598" s="1829"/>
      <c r="AC598" s="1829"/>
      <c r="AD598" s="1564"/>
      <c r="AE598" s="701"/>
      <c r="AF598" s="684"/>
      <c r="AG598" s="684"/>
      <c r="AH598" s="710"/>
      <c r="AI598" s="710"/>
      <c r="AJ598" s="710"/>
      <c r="AK598" s="710"/>
      <c r="AL598" s="710"/>
      <c r="AM598" s="710"/>
      <c r="AN598" s="710"/>
      <c r="AO598" s="710"/>
      <c r="AP598" s="710"/>
      <c r="AQ598" s="710"/>
      <c r="AR598" s="710"/>
      <c r="AS598" s="710"/>
      <c r="AT598" s="710"/>
      <c r="AU598" s="1829"/>
      <c r="AV598" s="1835"/>
      <c r="AW598" s="1836"/>
      <c r="AX598" s="1836"/>
      <c r="AY598" s="1836"/>
      <c r="AZ598" s="1825"/>
      <c r="BA598" s="1825"/>
    </row>
    <row r="599" spans="2:53" s="188" customFormat="1" ht="24.95" customHeight="1">
      <c r="B599" s="281"/>
      <c r="C599" s="168"/>
      <c r="D599" s="168"/>
      <c r="E599" s="168"/>
      <c r="F599" s="227"/>
      <c r="G599" s="660"/>
      <c r="H599" s="253"/>
      <c r="I599" s="212"/>
      <c r="N599" s="212"/>
      <c r="O599" s="1557"/>
      <c r="P599" s="1558"/>
      <c r="Q599" s="661"/>
      <c r="R599" s="655"/>
      <c r="S599" s="655"/>
      <c r="T599" s="655"/>
      <c r="U599" s="655"/>
      <c r="V599" s="655"/>
      <c r="W599" s="655"/>
      <c r="Y599" s="1827"/>
      <c r="Z599" s="1828"/>
      <c r="AA599" s="1829"/>
      <c r="AB599" s="1829"/>
      <c r="AC599" s="1829"/>
      <c r="AD599" s="1564"/>
      <c r="AE599" s="701"/>
      <c r="AF599" s="684"/>
      <c r="AG599" s="684"/>
      <c r="AH599" s="710"/>
      <c r="AI599" s="710"/>
      <c r="AJ599" s="710"/>
      <c r="AK599" s="710"/>
      <c r="AL599" s="710"/>
      <c r="AM599" s="710"/>
      <c r="AN599" s="710"/>
      <c r="AO599" s="710"/>
      <c r="AP599" s="710"/>
      <c r="AQ599" s="710"/>
      <c r="AR599" s="710"/>
      <c r="AS599" s="710"/>
      <c r="AT599" s="710"/>
      <c r="AU599" s="1829"/>
      <c r="AV599" s="1835"/>
      <c r="AW599" s="1836"/>
      <c r="AX599" s="1836"/>
      <c r="AY599" s="1836"/>
      <c r="AZ599" s="1825"/>
      <c r="BA599" s="1825"/>
    </row>
    <row r="600" spans="2:53" s="188" customFormat="1" ht="24.95" customHeight="1">
      <c r="B600" s="281"/>
      <c r="C600" s="168"/>
      <c r="D600" s="168"/>
      <c r="E600" s="168"/>
      <c r="F600" s="227"/>
      <c r="G600" s="660"/>
      <c r="H600" s="253"/>
      <c r="I600" s="212"/>
      <c r="N600" s="212"/>
      <c r="O600" s="1557"/>
      <c r="P600" s="1558"/>
      <c r="Q600" s="661"/>
      <c r="R600" s="655"/>
      <c r="S600" s="655"/>
      <c r="T600" s="655"/>
      <c r="U600" s="655"/>
      <c r="V600" s="655"/>
      <c r="W600" s="655"/>
      <c r="Y600" s="1827"/>
      <c r="Z600" s="1828"/>
      <c r="AA600" s="1829"/>
      <c r="AB600" s="1829"/>
      <c r="AC600" s="1829"/>
      <c r="AD600" s="1564"/>
      <c r="AE600" s="701"/>
      <c r="AF600" s="684"/>
      <c r="AG600" s="684"/>
      <c r="AH600" s="710"/>
      <c r="AI600" s="710"/>
      <c r="AJ600" s="710"/>
      <c r="AK600" s="710"/>
      <c r="AL600" s="710"/>
      <c r="AM600" s="710"/>
      <c r="AN600" s="710"/>
      <c r="AO600" s="710"/>
      <c r="AP600" s="710"/>
      <c r="AQ600" s="710"/>
      <c r="AR600" s="710"/>
      <c r="AS600" s="710"/>
      <c r="AT600" s="710"/>
      <c r="AU600" s="1829"/>
      <c r="AV600" s="1835"/>
      <c r="AW600" s="1836"/>
      <c r="AX600" s="1836"/>
      <c r="AY600" s="1836"/>
      <c r="AZ600" s="1825"/>
      <c r="BA600" s="1825"/>
    </row>
    <row r="601" spans="2:53" s="188" customFormat="1" ht="24.95" customHeight="1">
      <c r="B601" s="281"/>
      <c r="C601" s="168"/>
      <c r="D601" s="168"/>
      <c r="E601" s="168"/>
      <c r="F601" s="227"/>
      <c r="G601" s="660"/>
      <c r="H601" s="253"/>
      <c r="I601" s="212"/>
      <c r="N601" s="212"/>
      <c r="O601" s="1557"/>
      <c r="P601" s="1558"/>
      <c r="Q601" s="661"/>
      <c r="R601" s="655"/>
      <c r="S601" s="655"/>
      <c r="T601" s="655"/>
      <c r="U601" s="655"/>
      <c r="V601" s="655"/>
      <c r="W601" s="655"/>
      <c r="Y601" s="1827"/>
      <c r="Z601" s="1828"/>
      <c r="AA601" s="1829"/>
      <c r="AB601" s="1829"/>
      <c r="AC601" s="1829"/>
      <c r="AD601" s="1564"/>
      <c r="AE601" s="701"/>
      <c r="AF601" s="684"/>
      <c r="AG601" s="684"/>
      <c r="AH601" s="710"/>
      <c r="AI601" s="710"/>
      <c r="AJ601" s="710"/>
      <c r="AK601" s="710"/>
      <c r="AL601" s="710"/>
      <c r="AM601" s="710"/>
      <c r="AN601" s="710"/>
      <c r="AO601" s="710"/>
      <c r="AP601" s="710"/>
      <c r="AQ601" s="710"/>
      <c r="AR601" s="710"/>
      <c r="AS601" s="710"/>
      <c r="AT601" s="710"/>
      <c r="AU601" s="1829"/>
      <c r="AV601" s="1835"/>
      <c r="AW601" s="1836"/>
      <c r="AX601" s="1836"/>
      <c r="AY601" s="1836"/>
      <c r="AZ601" s="1825"/>
      <c r="BA601" s="1825"/>
    </row>
    <row r="602" spans="2:53" s="188" customFormat="1" ht="24.95" customHeight="1">
      <c r="B602" s="281"/>
      <c r="C602" s="168"/>
      <c r="D602" s="168"/>
      <c r="E602" s="168"/>
      <c r="F602" s="227"/>
      <c r="G602" s="660"/>
      <c r="H602" s="253"/>
      <c r="I602" s="212"/>
      <c r="N602" s="212"/>
      <c r="O602" s="1557"/>
      <c r="P602" s="1558"/>
      <c r="Q602" s="661"/>
      <c r="R602" s="655"/>
      <c r="S602" s="655"/>
      <c r="T602" s="655"/>
      <c r="U602" s="655"/>
      <c r="V602" s="655"/>
      <c r="W602" s="655"/>
      <c r="Y602" s="1827"/>
      <c r="Z602" s="1828"/>
      <c r="AA602" s="1829"/>
      <c r="AB602" s="1829"/>
      <c r="AC602" s="1829"/>
      <c r="AD602" s="1564"/>
      <c r="AE602" s="701"/>
      <c r="AF602" s="684"/>
      <c r="AG602" s="684"/>
      <c r="AH602" s="710"/>
      <c r="AI602" s="710"/>
      <c r="AJ602" s="710"/>
      <c r="AK602" s="710"/>
      <c r="AL602" s="710"/>
      <c r="AM602" s="710"/>
      <c r="AN602" s="710"/>
      <c r="AO602" s="710"/>
      <c r="AP602" s="710"/>
      <c r="AQ602" s="710"/>
      <c r="AR602" s="710"/>
      <c r="AS602" s="710"/>
      <c r="AT602" s="710"/>
      <c r="AU602" s="1829"/>
      <c r="AV602" s="1835"/>
      <c r="AW602" s="1836"/>
      <c r="AX602" s="1836"/>
      <c r="AY602" s="1836"/>
      <c r="AZ602" s="1825"/>
      <c r="BA602" s="1825"/>
    </row>
    <row r="603" spans="2:53" s="188" customFormat="1" ht="24.95" customHeight="1">
      <c r="B603" s="281"/>
      <c r="C603" s="168"/>
      <c r="D603" s="168"/>
      <c r="E603" s="168"/>
      <c r="F603" s="227"/>
      <c r="G603" s="660"/>
      <c r="H603" s="253"/>
      <c r="I603" s="212"/>
      <c r="N603" s="212"/>
      <c r="O603" s="1557"/>
      <c r="P603" s="1558"/>
      <c r="Q603" s="661"/>
      <c r="R603" s="655"/>
      <c r="S603" s="655"/>
      <c r="T603" s="655"/>
      <c r="U603" s="655"/>
      <c r="V603" s="655"/>
      <c r="W603" s="655"/>
      <c r="Y603" s="1827"/>
      <c r="Z603" s="1828"/>
      <c r="AA603" s="1829"/>
      <c r="AB603" s="1829"/>
      <c r="AC603" s="1829"/>
      <c r="AD603" s="1564"/>
      <c r="AE603" s="701"/>
      <c r="AF603" s="684"/>
      <c r="AG603" s="684"/>
      <c r="AH603" s="710"/>
      <c r="AI603" s="710"/>
      <c r="AJ603" s="710"/>
      <c r="AK603" s="710"/>
      <c r="AL603" s="710"/>
      <c r="AM603" s="710"/>
      <c r="AN603" s="710"/>
      <c r="AO603" s="710"/>
      <c r="AP603" s="710"/>
      <c r="AQ603" s="710"/>
      <c r="AR603" s="710"/>
      <c r="AS603" s="710"/>
      <c r="AT603" s="710"/>
      <c r="AU603" s="1829"/>
      <c r="AV603" s="1835"/>
      <c r="AW603" s="1836"/>
      <c r="AX603" s="1836"/>
      <c r="AY603" s="1836"/>
      <c r="AZ603" s="1825"/>
      <c r="BA603" s="1825"/>
    </row>
    <row r="604" spans="2:53" s="188" customFormat="1" ht="24.95" customHeight="1">
      <c r="B604" s="281"/>
      <c r="C604" s="168"/>
      <c r="D604" s="168"/>
      <c r="E604" s="168"/>
      <c r="F604" s="227"/>
      <c r="G604" s="660"/>
      <c r="H604" s="253"/>
      <c r="I604" s="212"/>
      <c r="N604" s="212"/>
      <c r="O604" s="1557"/>
      <c r="P604" s="1558"/>
      <c r="Q604" s="661"/>
      <c r="R604" s="655"/>
      <c r="S604" s="655"/>
      <c r="T604" s="655"/>
      <c r="U604" s="655"/>
      <c r="V604" s="655"/>
      <c r="W604" s="655"/>
      <c r="Y604" s="1827"/>
      <c r="Z604" s="1828"/>
      <c r="AA604" s="1829"/>
      <c r="AB604" s="1829"/>
      <c r="AC604" s="1829"/>
      <c r="AD604" s="1564"/>
      <c r="AE604" s="701"/>
      <c r="AF604" s="684"/>
      <c r="AG604" s="684"/>
      <c r="AH604" s="710"/>
      <c r="AI604" s="710"/>
      <c r="AJ604" s="710"/>
      <c r="AK604" s="710"/>
      <c r="AL604" s="710"/>
      <c r="AM604" s="710"/>
      <c r="AN604" s="710"/>
      <c r="AO604" s="710"/>
      <c r="AP604" s="710"/>
      <c r="AQ604" s="710"/>
      <c r="AR604" s="710"/>
      <c r="AS604" s="710"/>
      <c r="AT604" s="710"/>
      <c r="AU604" s="1829"/>
      <c r="AV604" s="1835"/>
      <c r="AW604" s="1836"/>
      <c r="AX604" s="1836"/>
      <c r="AY604" s="1836"/>
      <c r="AZ604" s="1825"/>
      <c r="BA604" s="1825"/>
    </row>
    <row r="605" spans="2:53" s="188" customFormat="1" ht="24.95" customHeight="1">
      <c r="B605" s="281"/>
      <c r="C605" s="168"/>
      <c r="D605" s="168"/>
      <c r="E605" s="168"/>
      <c r="F605" s="227"/>
      <c r="G605" s="660"/>
      <c r="H605" s="253"/>
      <c r="I605" s="212"/>
      <c r="N605" s="212"/>
      <c r="O605" s="1557"/>
      <c r="P605" s="1558"/>
      <c r="Q605" s="661"/>
      <c r="R605" s="655"/>
      <c r="S605" s="655"/>
      <c r="T605" s="655"/>
      <c r="U605" s="655"/>
      <c r="V605" s="655"/>
      <c r="W605" s="655"/>
      <c r="Y605" s="1827"/>
      <c r="Z605" s="1828"/>
      <c r="AA605" s="1829"/>
      <c r="AB605" s="1829"/>
      <c r="AC605" s="1829"/>
      <c r="AD605" s="1564"/>
      <c r="AE605" s="701"/>
      <c r="AF605" s="684"/>
      <c r="AG605" s="684"/>
      <c r="AH605" s="710"/>
      <c r="AI605" s="710"/>
      <c r="AJ605" s="710"/>
      <c r="AK605" s="710"/>
      <c r="AL605" s="710"/>
      <c r="AM605" s="710"/>
      <c r="AN605" s="710"/>
      <c r="AO605" s="710"/>
      <c r="AP605" s="710"/>
      <c r="AQ605" s="710"/>
      <c r="AR605" s="710"/>
      <c r="AS605" s="710"/>
      <c r="AT605" s="710"/>
      <c r="AU605" s="1829"/>
      <c r="AV605" s="1835"/>
      <c r="AW605" s="1836"/>
      <c r="AX605" s="1836"/>
      <c r="AY605" s="1836"/>
      <c r="AZ605" s="1825"/>
      <c r="BA605" s="1825"/>
    </row>
    <row r="606" spans="2:53" s="188" customFormat="1" ht="24.95" customHeight="1">
      <c r="B606" s="281"/>
      <c r="C606" s="168"/>
      <c r="D606" s="168"/>
      <c r="E606" s="168"/>
      <c r="F606" s="227"/>
      <c r="G606" s="660"/>
      <c r="H606" s="253"/>
      <c r="I606" s="212"/>
      <c r="N606" s="212"/>
      <c r="O606" s="1557"/>
      <c r="P606" s="1558"/>
      <c r="Q606" s="661"/>
      <c r="R606" s="655"/>
      <c r="S606" s="655"/>
      <c r="T606" s="655"/>
      <c r="U606" s="655"/>
      <c r="V606" s="655"/>
      <c r="W606" s="655"/>
      <c r="Y606" s="1827"/>
      <c r="Z606" s="1828"/>
      <c r="AA606" s="1829"/>
      <c r="AB606" s="1829"/>
      <c r="AC606" s="1829"/>
      <c r="AD606" s="1564"/>
      <c r="AE606" s="701"/>
      <c r="AF606" s="684"/>
      <c r="AG606" s="684"/>
      <c r="AH606" s="710"/>
      <c r="AI606" s="710"/>
      <c r="AJ606" s="710"/>
      <c r="AK606" s="710"/>
      <c r="AL606" s="710"/>
      <c r="AM606" s="710"/>
      <c r="AN606" s="710"/>
      <c r="AO606" s="710"/>
      <c r="AP606" s="710"/>
      <c r="AQ606" s="710"/>
      <c r="AR606" s="710"/>
      <c r="AS606" s="710"/>
      <c r="AT606" s="710"/>
      <c r="AU606" s="1829"/>
      <c r="AV606" s="1835"/>
      <c r="AW606" s="1836"/>
      <c r="AX606" s="1836"/>
      <c r="AY606" s="1836"/>
      <c r="AZ606" s="1825"/>
      <c r="BA606" s="1825"/>
    </row>
    <row r="607" spans="2:53" s="188" customFormat="1" ht="24.95" customHeight="1">
      <c r="B607" s="281"/>
      <c r="C607" s="168"/>
      <c r="D607" s="168"/>
      <c r="E607" s="168"/>
      <c r="F607" s="227"/>
      <c r="G607" s="660"/>
      <c r="H607" s="253"/>
      <c r="I607" s="212"/>
      <c r="N607" s="212"/>
      <c r="O607" s="1557"/>
      <c r="P607" s="1558"/>
      <c r="Q607" s="661"/>
      <c r="R607" s="655"/>
      <c r="S607" s="655"/>
      <c r="T607" s="655"/>
      <c r="U607" s="655"/>
      <c r="V607" s="655"/>
      <c r="W607" s="655"/>
      <c r="Y607" s="1827"/>
      <c r="Z607" s="1828"/>
      <c r="AA607" s="1829"/>
      <c r="AB607" s="1829"/>
      <c r="AC607" s="1829"/>
      <c r="AD607" s="1564"/>
      <c r="AE607" s="701"/>
      <c r="AF607" s="684"/>
      <c r="AG607" s="684"/>
      <c r="AH607" s="710"/>
      <c r="AI607" s="710"/>
      <c r="AJ607" s="710"/>
      <c r="AK607" s="710"/>
      <c r="AL607" s="710"/>
      <c r="AM607" s="710"/>
      <c r="AN607" s="710"/>
      <c r="AO607" s="710"/>
      <c r="AP607" s="710"/>
      <c r="AQ607" s="710"/>
      <c r="AR607" s="710"/>
      <c r="AS607" s="710"/>
      <c r="AT607" s="710"/>
      <c r="AU607" s="1829"/>
      <c r="AV607" s="1835"/>
      <c r="AW607" s="1836"/>
      <c r="AX607" s="1836"/>
      <c r="AY607" s="1836"/>
      <c r="AZ607" s="1825"/>
      <c r="BA607" s="1825"/>
    </row>
    <row r="608" spans="2:53" s="188" customFormat="1" ht="24.95" customHeight="1">
      <c r="B608" s="281"/>
      <c r="C608" s="168"/>
      <c r="D608" s="168"/>
      <c r="E608" s="168"/>
      <c r="F608" s="227"/>
      <c r="G608" s="660"/>
      <c r="H608" s="253"/>
      <c r="I608" s="212"/>
      <c r="N608" s="212"/>
      <c r="O608" s="1557"/>
      <c r="P608" s="1558"/>
      <c r="Q608" s="661"/>
      <c r="R608" s="655"/>
      <c r="S608" s="655"/>
      <c r="T608" s="655"/>
      <c r="U608" s="655"/>
      <c r="V608" s="655"/>
      <c r="W608" s="655"/>
      <c r="Y608" s="1827"/>
      <c r="Z608" s="1828"/>
      <c r="AA608" s="1829"/>
      <c r="AB608" s="1829"/>
      <c r="AC608" s="1829"/>
      <c r="AD608" s="1564"/>
      <c r="AE608" s="701"/>
      <c r="AF608" s="684"/>
      <c r="AG608" s="684"/>
      <c r="AH608" s="710"/>
      <c r="AI608" s="710"/>
      <c r="AJ608" s="710"/>
      <c r="AK608" s="710"/>
      <c r="AL608" s="710"/>
      <c r="AM608" s="710"/>
      <c r="AN608" s="710"/>
      <c r="AO608" s="710"/>
      <c r="AP608" s="710"/>
      <c r="AQ608" s="710"/>
      <c r="AR608" s="710"/>
      <c r="AS608" s="710"/>
      <c r="AT608" s="710"/>
      <c r="AU608" s="1829"/>
      <c r="AV608" s="1835"/>
      <c r="AW608" s="1836"/>
      <c r="AX608" s="1836"/>
      <c r="AY608" s="1836"/>
      <c r="AZ608" s="1825"/>
      <c r="BA608" s="1825"/>
    </row>
    <row r="609" spans="2:53" s="188" customFormat="1" ht="24.95" customHeight="1">
      <c r="B609" s="281"/>
      <c r="C609" s="168"/>
      <c r="D609" s="168"/>
      <c r="E609" s="168"/>
      <c r="F609" s="227"/>
      <c r="G609" s="660"/>
      <c r="H609" s="253"/>
      <c r="I609" s="212"/>
      <c r="N609" s="212"/>
      <c r="O609" s="1557"/>
      <c r="P609" s="1558"/>
      <c r="Q609" s="661"/>
      <c r="R609" s="655"/>
      <c r="S609" s="655"/>
      <c r="T609" s="655"/>
      <c r="U609" s="655"/>
      <c r="V609" s="655"/>
      <c r="W609" s="655"/>
      <c r="Y609" s="1827"/>
      <c r="Z609" s="1828"/>
      <c r="AA609" s="1829"/>
      <c r="AB609" s="1829"/>
      <c r="AC609" s="1829"/>
      <c r="AD609" s="1564"/>
      <c r="AE609" s="701"/>
      <c r="AF609" s="684"/>
      <c r="AG609" s="684"/>
      <c r="AH609" s="710"/>
      <c r="AI609" s="710"/>
      <c r="AJ609" s="710"/>
      <c r="AK609" s="710"/>
      <c r="AL609" s="710"/>
      <c r="AM609" s="710"/>
      <c r="AN609" s="710"/>
      <c r="AO609" s="710"/>
      <c r="AP609" s="710"/>
      <c r="AQ609" s="710"/>
      <c r="AR609" s="710"/>
      <c r="AS609" s="710"/>
      <c r="AT609" s="710"/>
      <c r="AU609" s="1829"/>
      <c r="AV609" s="1835"/>
      <c r="AW609" s="1836"/>
      <c r="AX609" s="1836"/>
      <c r="AY609" s="1836"/>
      <c r="AZ609" s="1825"/>
      <c r="BA609" s="1825"/>
    </row>
    <row r="610" spans="2:53" s="188" customFormat="1" ht="24.95" customHeight="1">
      <c r="B610" s="281"/>
      <c r="C610" s="168"/>
      <c r="D610" s="168"/>
      <c r="E610" s="168"/>
      <c r="F610" s="227"/>
      <c r="G610" s="660"/>
      <c r="H610" s="253"/>
      <c r="I610" s="212"/>
      <c r="N610" s="212"/>
      <c r="O610" s="1557"/>
      <c r="P610" s="1558"/>
      <c r="Q610" s="661"/>
      <c r="R610" s="655"/>
      <c r="S610" s="655"/>
      <c r="T610" s="655"/>
      <c r="U610" s="655"/>
      <c r="V610" s="655"/>
      <c r="W610" s="655"/>
      <c r="Y610" s="1827"/>
      <c r="Z610" s="1828"/>
      <c r="AA610" s="1829"/>
      <c r="AB610" s="1829"/>
      <c r="AC610" s="1829"/>
      <c r="AD610" s="1564"/>
      <c r="AE610" s="701"/>
      <c r="AF610" s="684"/>
      <c r="AG610" s="684"/>
      <c r="AH610" s="710"/>
      <c r="AI610" s="710"/>
      <c r="AJ610" s="710"/>
      <c r="AK610" s="710"/>
      <c r="AL610" s="710"/>
      <c r="AM610" s="710"/>
      <c r="AN610" s="710"/>
      <c r="AO610" s="710"/>
      <c r="AP610" s="710"/>
      <c r="AQ610" s="710"/>
      <c r="AR610" s="710"/>
      <c r="AS610" s="710"/>
      <c r="AT610" s="710"/>
      <c r="AU610" s="1829"/>
      <c r="AV610" s="1835"/>
      <c r="AW610" s="1836"/>
      <c r="AX610" s="1836"/>
      <c r="AY610" s="1836"/>
      <c r="AZ610" s="1825"/>
      <c r="BA610" s="1825"/>
    </row>
    <row r="611" spans="2:53" s="188" customFormat="1" ht="24.95" customHeight="1">
      <c r="B611" s="281"/>
      <c r="C611" s="168"/>
      <c r="D611" s="168"/>
      <c r="E611" s="168"/>
      <c r="F611" s="227"/>
      <c r="G611" s="660"/>
      <c r="H611" s="253"/>
      <c r="I611" s="212"/>
      <c r="N611" s="212"/>
      <c r="O611" s="1557"/>
      <c r="P611" s="1558"/>
      <c r="Q611" s="661"/>
      <c r="R611" s="655"/>
      <c r="S611" s="655"/>
      <c r="T611" s="655"/>
      <c r="U611" s="655"/>
      <c r="V611" s="655"/>
      <c r="W611" s="655"/>
      <c r="Y611" s="1827"/>
      <c r="Z611" s="1828"/>
      <c r="AA611" s="1829"/>
      <c r="AB611" s="1829"/>
      <c r="AC611" s="1829"/>
      <c r="AD611" s="1564"/>
      <c r="AE611" s="701"/>
      <c r="AF611" s="684"/>
      <c r="AG611" s="684"/>
      <c r="AH611" s="710"/>
      <c r="AI611" s="710"/>
      <c r="AJ611" s="710"/>
      <c r="AK611" s="710"/>
      <c r="AL611" s="710"/>
      <c r="AM611" s="710"/>
      <c r="AN611" s="710"/>
      <c r="AO611" s="710"/>
      <c r="AP611" s="710"/>
      <c r="AQ611" s="710"/>
      <c r="AR611" s="710"/>
      <c r="AS611" s="710"/>
      <c r="AT611" s="710"/>
      <c r="AU611" s="1829"/>
      <c r="AV611" s="1835"/>
      <c r="AW611" s="1836"/>
      <c r="AX611" s="1836"/>
      <c r="AY611" s="1836"/>
      <c r="AZ611" s="1825"/>
      <c r="BA611" s="1825"/>
    </row>
    <row r="612" spans="2:53" s="188" customFormat="1" ht="24.95" customHeight="1">
      <c r="B612" s="281"/>
      <c r="C612" s="168"/>
      <c r="D612" s="168"/>
      <c r="E612" s="168"/>
      <c r="F612" s="227"/>
      <c r="G612" s="660"/>
      <c r="H612" s="253"/>
      <c r="I612" s="212"/>
      <c r="N612" s="212"/>
      <c r="O612" s="1557"/>
      <c r="P612" s="1558"/>
      <c r="Q612" s="661"/>
      <c r="R612" s="655"/>
      <c r="S612" s="655"/>
      <c r="T612" s="655"/>
      <c r="U612" s="655"/>
      <c r="V612" s="655"/>
      <c r="W612" s="655"/>
      <c r="Y612" s="1827"/>
      <c r="Z612" s="1828"/>
      <c r="AA612" s="1829"/>
      <c r="AB612" s="1829"/>
      <c r="AC612" s="1829"/>
      <c r="AD612" s="1564"/>
      <c r="AE612" s="701"/>
      <c r="AF612" s="684"/>
      <c r="AG612" s="684"/>
      <c r="AH612" s="710"/>
      <c r="AI612" s="710"/>
      <c r="AJ612" s="710"/>
      <c r="AK612" s="710"/>
      <c r="AL612" s="710"/>
      <c r="AM612" s="710"/>
      <c r="AN612" s="710"/>
      <c r="AO612" s="710"/>
      <c r="AP612" s="710"/>
      <c r="AQ612" s="710"/>
      <c r="AR612" s="710"/>
      <c r="AS612" s="710"/>
      <c r="AT612" s="710"/>
      <c r="AU612" s="1829"/>
      <c r="AV612" s="1835"/>
      <c r="AW612" s="1836"/>
      <c r="AX612" s="1836"/>
      <c r="AY612" s="1836"/>
      <c r="AZ612" s="1825"/>
      <c r="BA612" s="1825"/>
    </row>
    <row r="613" spans="2:53" s="188" customFormat="1" ht="24.95" customHeight="1">
      <c r="B613" s="281"/>
      <c r="C613" s="168"/>
      <c r="D613" s="168"/>
      <c r="E613" s="168"/>
      <c r="F613" s="227"/>
      <c r="G613" s="660"/>
      <c r="H613" s="253"/>
      <c r="I613" s="212"/>
      <c r="N613" s="212"/>
      <c r="O613" s="1557"/>
      <c r="P613" s="1558"/>
      <c r="Q613" s="661"/>
      <c r="R613" s="655"/>
      <c r="S613" s="655"/>
      <c r="T613" s="655"/>
      <c r="U613" s="655"/>
      <c r="V613" s="655"/>
      <c r="W613" s="655"/>
      <c r="Y613" s="1827"/>
      <c r="Z613" s="1828"/>
      <c r="AA613" s="1829"/>
      <c r="AB613" s="1829"/>
      <c r="AC613" s="1829"/>
      <c r="AD613" s="1564"/>
      <c r="AE613" s="701"/>
      <c r="AF613" s="684"/>
      <c r="AG613" s="684"/>
      <c r="AH613" s="710"/>
      <c r="AI613" s="710"/>
      <c r="AJ613" s="710"/>
      <c r="AK613" s="710"/>
      <c r="AL613" s="710"/>
      <c r="AM613" s="710"/>
      <c r="AN613" s="710"/>
      <c r="AO613" s="710"/>
      <c r="AP613" s="710"/>
      <c r="AQ613" s="710"/>
      <c r="AR613" s="710"/>
      <c r="AS613" s="710"/>
      <c r="AT613" s="710"/>
      <c r="AU613" s="1829"/>
      <c r="AV613" s="1835"/>
      <c r="AW613" s="1836"/>
      <c r="AX613" s="1836"/>
      <c r="AY613" s="1836"/>
      <c r="AZ613" s="1825"/>
      <c r="BA613" s="1825"/>
    </row>
    <row r="614" spans="2:53" s="188" customFormat="1" ht="24.95" customHeight="1">
      <c r="B614" s="281"/>
      <c r="C614" s="168"/>
      <c r="D614" s="168"/>
      <c r="E614" s="168"/>
      <c r="F614" s="227"/>
      <c r="G614" s="660"/>
      <c r="H614" s="253"/>
      <c r="I614" s="212"/>
      <c r="N614" s="212"/>
      <c r="O614" s="1557"/>
      <c r="P614" s="1558"/>
      <c r="Q614" s="661"/>
      <c r="R614" s="655"/>
      <c r="S614" s="655"/>
      <c r="T614" s="655"/>
      <c r="U614" s="655"/>
      <c r="V614" s="655"/>
      <c r="W614" s="655"/>
      <c r="Y614" s="1827"/>
      <c r="Z614" s="1828"/>
      <c r="AA614" s="1829"/>
      <c r="AB614" s="1829"/>
      <c r="AC614" s="1829"/>
      <c r="AD614" s="1564"/>
      <c r="AE614" s="701"/>
      <c r="AF614" s="684"/>
      <c r="AG614" s="684"/>
      <c r="AH614" s="710"/>
      <c r="AI614" s="710"/>
      <c r="AJ614" s="710"/>
      <c r="AK614" s="710"/>
      <c r="AL614" s="710"/>
      <c r="AM614" s="710"/>
      <c r="AN614" s="710"/>
      <c r="AO614" s="710"/>
      <c r="AP614" s="710"/>
      <c r="AQ614" s="710"/>
      <c r="AR614" s="710"/>
      <c r="AS614" s="710"/>
      <c r="AT614" s="710"/>
      <c r="AU614" s="1829"/>
      <c r="AV614" s="1835"/>
      <c r="AW614" s="1836"/>
      <c r="AX614" s="1836"/>
      <c r="AY614" s="1836"/>
      <c r="AZ614" s="1825"/>
      <c r="BA614" s="1825"/>
    </row>
    <row r="615" spans="2:53" s="188" customFormat="1" ht="24.95" customHeight="1">
      <c r="B615" s="281"/>
      <c r="C615" s="168"/>
      <c r="D615" s="168"/>
      <c r="E615" s="168"/>
      <c r="F615" s="227"/>
      <c r="G615" s="660"/>
      <c r="H615" s="253"/>
      <c r="I615" s="212"/>
      <c r="N615" s="212"/>
      <c r="O615" s="1557"/>
      <c r="P615" s="1558"/>
      <c r="Q615" s="661"/>
      <c r="R615" s="655"/>
      <c r="S615" s="655"/>
      <c r="T615" s="655"/>
      <c r="U615" s="655"/>
      <c r="V615" s="655"/>
      <c r="W615" s="655"/>
      <c r="Y615" s="1827"/>
      <c r="Z615" s="1828"/>
      <c r="AA615" s="1829"/>
      <c r="AB615" s="1829"/>
      <c r="AC615" s="1829"/>
      <c r="AD615" s="1564"/>
      <c r="AE615" s="701"/>
      <c r="AF615" s="684"/>
      <c r="AG615" s="684"/>
      <c r="AH615" s="710"/>
      <c r="AI615" s="710"/>
      <c r="AJ615" s="710"/>
      <c r="AK615" s="710"/>
      <c r="AL615" s="710"/>
      <c r="AM615" s="710"/>
      <c r="AN615" s="710"/>
      <c r="AO615" s="710"/>
      <c r="AP615" s="710"/>
      <c r="AQ615" s="710"/>
      <c r="AR615" s="710"/>
      <c r="AS615" s="710"/>
      <c r="AT615" s="710"/>
      <c r="AU615" s="1829"/>
      <c r="AV615" s="1835"/>
      <c r="AW615" s="1836"/>
      <c r="AX615" s="1836"/>
      <c r="AY615" s="1836"/>
      <c r="AZ615" s="1825"/>
      <c r="BA615" s="1825"/>
    </row>
    <row r="616" spans="2:53" s="188" customFormat="1" ht="24.95" customHeight="1">
      <c r="B616" s="281"/>
      <c r="C616" s="168"/>
      <c r="D616" s="168"/>
      <c r="E616" s="168"/>
      <c r="F616" s="227"/>
      <c r="G616" s="660"/>
      <c r="H616" s="253"/>
      <c r="I616" s="212"/>
      <c r="N616" s="212"/>
      <c r="O616" s="1557"/>
      <c r="P616" s="1558"/>
      <c r="Q616" s="661"/>
      <c r="R616" s="655"/>
      <c r="S616" s="655"/>
      <c r="T616" s="655"/>
      <c r="U616" s="655"/>
      <c r="V616" s="655"/>
      <c r="W616" s="655"/>
      <c r="Y616" s="1827"/>
      <c r="Z616" s="1828"/>
      <c r="AA616" s="1829"/>
      <c r="AB616" s="1829"/>
      <c r="AC616" s="1829"/>
      <c r="AD616" s="1564"/>
      <c r="AE616" s="701"/>
      <c r="AF616" s="684"/>
      <c r="AG616" s="684"/>
      <c r="AH616" s="710"/>
      <c r="AI616" s="710"/>
      <c r="AJ616" s="710"/>
      <c r="AK616" s="710"/>
      <c r="AL616" s="710"/>
      <c r="AM616" s="710"/>
      <c r="AN616" s="710"/>
      <c r="AO616" s="710"/>
      <c r="AP616" s="710"/>
      <c r="AQ616" s="710"/>
      <c r="AR616" s="710"/>
      <c r="AS616" s="710"/>
      <c r="AT616" s="710"/>
      <c r="AU616" s="1829"/>
      <c r="AV616" s="1835"/>
      <c r="AW616" s="1836"/>
      <c r="AX616" s="1836"/>
      <c r="AY616" s="1836"/>
      <c r="AZ616" s="1825"/>
      <c r="BA616" s="1825"/>
    </row>
    <row r="617" spans="2:53" s="188" customFormat="1" ht="24.95" customHeight="1">
      <c r="B617" s="281"/>
      <c r="C617" s="168"/>
      <c r="D617" s="168"/>
      <c r="E617" s="168"/>
      <c r="F617" s="227"/>
      <c r="G617" s="660"/>
      <c r="H617" s="253"/>
      <c r="I617" s="212"/>
      <c r="N617" s="212"/>
      <c r="O617" s="1557"/>
      <c r="P617" s="1558"/>
      <c r="Q617" s="661"/>
      <c r="R617" s="655"/>
      <c r="S617" s="655"/>
      <c r="T617" s="655"/>
      <c r="U617" s="655"/>
      <c r="V617" s="655"/>
      <c r="W617" s="655"/>
      <c r="Y617" s="1827"/>
      <c r="Z617" s="1828"/>
      <c r="AA617" s="1829"/>
      <c r="AB617" s="1829"/>
      <c r="AC617" s="1829"/>
      <c r="AD617" s="1564"/>
      <c r="AE617" s="701"/>
      <c r="AF617" s="684"/>
      <c r="AG617" s="684"/>
      <c r="AH617" s="710"/>
      <c r="AI617" s="710"/>
      <c r="AJ617" s="710"/>
      <c r="AK617" s="710"/>
      <c r="AL617" s="710"/>
      <c r="AM617" s="710"/>
      <c r="AN617" s="710"/>
      <c r="AO617" s="710"/>
      <c r="AP617" s="710"/>
      <c r="AQ617" s="710"/>
      <c r="AR617" s="710"/>
      <c r="AS617" s="710"/>
      <c r="AT617" s="710"/>
      <c r="AU617" s="1829"/>
      <c r="AV617" s="1835"/>
      <c r="AW617" s="1836"/>
      <c r="AX617" s="1836"/>
      <c r="AY617" s="1836"/>
      <c r="AZ617" s="1825"/>
      <c r="BA617" s="1825"/>
    </row>
    <row r="618" spans="2:53" s="188" customFormat="1" ht="24.95" customHeight="1">
      <c r="B618" s="281"/>
      <c r="C618" s="168"/>
      <c r="D618" s="168"/>
      <c r="E618" s="168"/>
      <c r="F618" s="227"/>
      <c r="G618" s="660"/>
      <c r="H618" s="253"/>
      <c r="I618" s="212"/>
      <c r="N618" s="212"/>
      <c r="O618" s="1557"/>
      <c r="P618" s="1558"/>
      <c r="Q618" s="661"/>
      <c r="R618" s="655"/>
      <c r="S618" s="655"/>
      <c r="T618" s="655"/>
      <c r="U618" s="655"/>
      <c r="V618" s="655"/>
      <c r="W618" s="655"/>
      <c r="Y618" s="1827"/>
      <c r="Z618" s="1828"/>
      <c r="AA618" s="1829"/>
      <c r="AB618" s="1829"/>
      <c r="AC618" s="1829"/>
      <c r="AD618" s="1564"/>
      <c r="AE618" s="701"/>
      <c r="AF618" s="684"/>
      <c r="AG618" s="684"/>
      <c r="AH618" s="710"/>
      <c r="AI618" s="710"/>
      <c r="AJ618" s="710"/>
      <c r="AK618" s="710"/>
      <c r="AL618" s="710"/>
      <c r="AM618" s="710"/>
      <c r="AN618" s="710"/>
      <c r="AO618" s="710"/>
      <c r="AP618" s="710"/>
      <c r="AQ618" s="710"/>
      <c r="AR618" s="710"/>
      <c r="AS618" s="710"/>
      <c r="AT618" s="710"/>
      <c r="AU618" s="1829"/>
      <c r="AV618" s="1835"/>
      <c r="AW618" s="1836"/>
      <c r="AX618" s="1836"/>
      <c r="AY618" s="1836"/>
      <c r="AZ618" s="1825"/>
      <c r="BA618" s="1825"/>
    </row>
    <row r="619" spans="2:53" s="188" customFormat="1" ht="24.95" customHeight="1">
      <c r="B619" s="281"/>
      <c r="C619" s="168"/>
      <c r="D619" s="168"/>
      <c r="E619" s="168"/>
      <c r="F619" s="227"/>
      <c r="G619" s="660"/>
      <c r="H619" s="253"/>
      <c r="I619" s="212"/>
      <c r="N619" s="212"/>
      <c r="O619" s="1557"/>
      <c r="P619" s="1558"/>
      <c r="Q619" s="661"/>
      <c r="R619" s="655"/>
      <c r="S619" s="655"/>
      <c r="T619" s="655"/>
      <c r="U619" s="655"/>
      <c r="V619" s="655"/>
      <c r="W619" s="655"/>
      <c r="Y619" s="1827"/>
      <c r="Z619" s="1828"/>
      <c r="AA619" s="1829"/>
      <c r="AB619" s="1829"/>
      <c r="AC619" s="1829"/>
      <c r="AD619" s="1564"/>
      <c r="AE619" s="701"/>
      <c r="AF619" s="684"/>
      <c r="AG619" s="684"/>
      <c r="AH619" s="710"/>
      <c r="AI619" s="710"/>
      <c r="AJ619" s="710"/>
      <c r="AK619" s="710"/>
      <c r="AL619" s="710"/>
      <c r="AM619" s="710"/>
      <c r="AN619" s="710"/>
      <c r="AO619" s="710"/>
      <c r="AP619" s="710"/>
      <c r="AQ619" s="710"/>
      <c r="AR619" s="710"/>
      <c r="AS619" s="710"/>
      <c r="AT619" s="710"/>
      <c r="AU619" s="1829"/>
      <c r="AV619" s="1835"/>
      <c r="AW619" s="1836"/>
      <c r="AX619" s="1836"/>
      <c r="AY619" s="1836"/>
      <c r="AZ619" s="1825"/>
      <c r="BA619" s="1825"/>
    </row>
    <row r="620" spans="2:53" s="188" customFormat="1" ht="24.95" customHeight="1">
      <c r="B620" s="281"/>
      <c r="C620" s="168"/>
      <c r="D620" s="168"/>
      <c r="E620" s="168"/>
      <c r="F620" s="227"/>
      <c r="G620" s="660"/>
      <c r="H620" s="253"/>
      <c r="I620" s="212"/>
      <c r="N620" s="212"/>
      <c r="O620" s="1557"/>
      <c r="P620" s="1558"/>
      <c r="Q620" s="661"/>
      <c r="R620" s="655"/>
      <c r="S620" s="655"/>
      <c r="T620" s="655"/>
      <c r="U620" s="655"/>
      <c r="V620" s="655"/>
      <c r="W620" s="655"/>
      <c r="Y620" s="1827"/>
      <c r="Z620" s="1828"/>
      <c r="AA620" s="1829"/>
      <c r="AB620" s="1829"/>
      <c r="AC620" s="1829"/>
      <c r="AD620" s="1564"/>
      <c r="AE620" s="701"/>
      <c r="AF620" s="684"/>
      <c r="AG620" s="684"/>
      <c r="AH620" s="710"/>
      <c r="AI620" s="710"/>
      <c r="AJ620" s="710"/>
      <c r="AK620" s="710"/>
      <c r="AL620" s="710"/>
      <c r="AM620" s="710"/>
      <c r="AN620" s="710"/>
      <c r="AO620" s="710"/>
      <c r="AP620" s="710"/>
      <c r="AQ620" s="710"/>
      <c r="AR620" s="710"/>
      <c r="AS620" s="710"/>
      <c r="AT620" s="710"/>
      <c r="AU620" s="1829"/>
      <c r="AV620" s="1835"/>
      <c r="AW620" s="1836"/>
      <c r="AX620" s="1836"/>
      <c r="AY620" s="1836"/>
      <c r="AZ620" s="1825"/>
      <c r="BA620" s="1825"/>
    </row>
    <row r="621" spans="2:53" s="188" customFormat="1" ht="24.95" customHeight="1">
      <c r="B621" s="281"/>
      <c r="C621" s="168"/>
      <c r="D621" s="168"/>
      <c r="E621" s="168"/>
      <c r="F621" s="227"/>
      <c r="G621" s="660"/>
      <c r="H621" s="253"/>
      <c r="I621" s="212"/>
      <c r="N621" s="212"/>
      <c r="O621" s="1557"/>
      <c r="P621" s="1558"/>
      <c r="Q621" s="661"/>
      <c r="R621" s="655"/>
      <c r="S621" s="655"/>
      <c r="T621" s="655"/>
      <c r="U621" s="655"/>
      <c r="V621" s="655"/>
      <c r="W621" s="655"/>
      <c r="Y621" s="1827"/>
      <c r="Z621" s="1828"/>
      <c r="AA621" s="1829"/>
      <c r="AB621" s="1829"/>
      <c r="AC621" s="1829"/>
      <c r="AD621" s="1564"/>
      <c r="AE621" s="701"/>
      <c r="AF621" s="684"/>
      <c r="AG621" s="684"/>
      <c r="AH621" s="710"/>
      <c r="AI621" s="710"/>
      <c r="AJ621" s="710"/>
      <c r="AK621" s="710"/>
      <c r="AL621" s="710"/>
      <c r="AM621" s="710"/>
      <c r="AN621" s="710"/>
      <c r="AO621" s="710"/>
      <c r="AP621" s="710"/>
      <c r="AQ621" s="710"/>
      <c r="AR621" s="710"/>
      <c r="AS621" s="710"/>
      <c r="AT621" s="710"/>
      <c r="AU621" s="1829"/>
      <c r="AV621" s="1835"/>
      <c r="AW621" s="1836"/>
      <c r="AX621" s="1836"/>
      <c r="AY621" s="1836"/>
      <c r="AZ621" s="1825"/>
      <c r="BA621" s="1825"/>
    </row>
    <row r="622" spans="2:53" s="188" customFormat="1" ht="24.95" customHeight="1">
      <c r="B622" s="281"/>
      <c r="C622" s="168"/>
      <c r="D622" s="168"/>
      <c r="E622" s="168"/>
      <c r="F622" s="227"/>
      <c r="G622" s="660"/>
      <c r="H622" s="253"/>
      <c r="I622" s="212"/>
      <c r="N622" s="212"/>
      <c r="O622" s="1557"/>
      <c r="P622" s="1558"/>
      <c r="Q622" s="661"/>
      <c r="R622" s="655"/>
      <c r="S622" s="655"/>
      <c r="T622" s="655"/>
      <c r="U622" s="655"/>
      <c r="V622" s="655"/>
      <c r="W622" s="655"/>
      <c r="Y622" s="1827"/>
      <c r="Z622" s="1828"/>
      <c r="AA622" s="1829"/>
      <c r="AB622" s="1829"/>
      <c r="AC622" s="1829"/>
      <c r="AD622" s="1564"/>
      <c r="AE622" s="701"/>
      <c r="AF622" s="684"/>
      <c r="AG622" s="684"/>
      <c r="AH622" s="710"/>
      <c r="AI622" s="710"/>
      <c r="AJ622" s="710"/>
      <c r="AK622" s="710"/>
      <c r="AL622" s="710"/>
      <c r="AM622" s="710"/>
      <c r="AN622" s="710"/>
      <c r="AO622" s="710"/>
      <c r="AP622" s="710"/>
      <c r="AQ622" s="710"/>
      <c r="AR622" s="710"/>
      <c r="AS622" s="710"/>
      <c r="AT622" s="710"/>
      <c r="AU622" s="1829"/>
      <c r="AV622" s="1835"/>
      <c r="AW622" s="1836"/>
      <c r="AX622" s="1836"/>
      <c r="AY622" s="1836"/>
      <c r="AZ622" s="1825"/>
      <c r="BA622" s="1825"/>
    </row>
    <row r="623" spans="2:53" s="188" customFormat="1" ht="24.95" customHeight="1">
      <c r="B623" s="281"/>
      <c r="C623" s="168"/>
      <c r="D623" s="168"/>
      <c r="E623" s="168"/>
      <c r="F623" s="227"/>
      <c r="G623" s="660"/>
      <c r="H623" s="253"/>
      <c r="I623" s="212"/>
      <c r="N623" s="212"/>
      <c r="O623" s="1557"/>
      <c r="P623" s="1558"/>
      <c r="Q623" s="661"/>
      <c r="R623" s="655"/>
      <c r="S623" s="655"/>
      <c r="T623" s="655"/>
      <c r="U623" s="655"/>
      <c r="V623" s="655"/>
      <c r="W623" s="655"/>
      <c r="Y623" s="1827"/>
      <c r="Z623" s="1828"/>
      <c r="AA623" s="1829"/>
      <c r="AB623" s="1829"/>
      <c r="AC623" s="1829"/>
      <c r="AD623" s="1564"/>
      <c r="AE623" s="701"/>
      <c r="AF623" s="684"/>
      <c r="AG623" s="684"/>
      <c r="AH623" s="710"/>
      <c r="AI623" s="710"/>
      <c r="AJ623" s="710"/>
      <c r="AK623" s="710"/>
      <c r="AL623" s="710"/>
      <c r="AM623" s="710"/>
      <c r="AN623" s="710"/>
      <c r="AO623" s="710"/>
      <c r="AP623" s="710"/>
      <c r="AQ623" s="710"/>
      <c r="AR623" s="710"/>
      <c r="AS623" s="710"/>
      <c r="AT623" s="710"/>
      <c r="AU623" s="1829"/>
      <c r="AV623" s="1835"/>
      <c r="AW623" s="1836"/>
      <c r="AX623" s="1836"/>
      <c r="AY623" s="1836"/>
      <c r="AZ623" s="1825"/>
      <c r="BA623" s="1825"/>
    </row>
    <row r="624" spans="2:53" s="188" customFormat="1" ht="24.95" customHeight="1">
      <c r="B624" s="281"/>
      <c r="C624" s="168"/>
      <c r="D624" s="168"/>
      <c r="E624" s="168"/>
      <c r="F624" s="227"/>
      <c r="G624" s="660"/>
      <c r="H624" s="253"/>
      <c r="I624" s="212"/>
      <c r="N624" s="212"/>
      <c r="O624" s="1557"/>
      <c r="P624" s="1558"/>
      <c r="Q624" s="661"/>
      <c r="R624" s="655"/>
      <c r="S624" s="655"/>
      <c r="T624" s="655"/>
      <c r="U624" s="655"/>
      <c r="V624" s="655"/>
      <c r="W624" s="655"/>
      <c r="Y624" s="1827"/>
      <c r="Z624" s="1828"/>
      <c r="AA624" s="1829"/>
      <c r="AB624" s="1829"/>
      <c r="AC624" s="1829"/>
      <c r="AD624" s="1564"/>
      <c r="AE624" s="701"/>
      <c r="AF624" s="684"/>
      <c r="AG624" s="684"/>
      <c r="AH624" s="710"/>
      <c r="AI624" s="710"/>
      <c r="AJ624" s="710"/>
      <c r="AK624" s="710"/>
      <c r="AL624" s="710"/>
      <c r="AM624" s="710"/>
      <c r="AN624" s="710"/>
      <c r="AO624" s="710"/>
      <c r="AP624" s="710"/>
      <c r="AQ624" s="710"/>
      <c r="AR624" s="710"/>
      <c r="AS624" s="710"/>
      <c r="AT624" s="710"/>
      <c r="AU624" s="1829"/>
      <c r="AV624" s="1835"/>
      <c r="AW624" s="1836"/>
      <c r="AX624" s="1836"/>
      <c r="AY624" s="1836"/>
      <c r="AZ624" s="1825"/>
      <c r="BA624" s="1825"/>
    </row>
    <row r="625" spans="2:53" s="188" customFormat="1" ht="24.95" customHeight="1">
      <c r="B625" s="281"/>
      <c r="C625" s="168"/>
      <c r="D625" s="168"/>
      <c r="E625" s="168"/>
      <c r="F625" s="227"/>
      <c r="G625" s="660"/>
      <c r="H625" s="253"/>
      <c r="I625" s="212"/>
      <c r="N625" s="212"/>
      <c r="O625" s="1557"/>
      <c r="P625" s="1558"/>
      <c r="Q625" s="661"/>
      <c r="R625" s="655"/>
      <c r="S625" s="655"/>
      <c r="T625" s="655"/>
      <c r="U625" s="655"/>
      <c r="V625" s="655"/>
      <c r="W625" s="655"/>
      <c r="Y625" s="1827"/>
      <c r="Z625" s="1828"/>
      <c r="AA625" s="1829"/>
      <c r="AB625" s="1829"/>
      <c r="AC625" s="1829"/>
      <c r="AD625" s="1564"/>
      <c r="AE625" s="701"/>
      <c r="AF625" s="684"/>
      <c r="AG625" s="684"/>
      <c r="AH625" s="710"/>
      <c r="AI625" s="710"/>
      <c r="AJ625" s="710"/>
      <c r="AK625" s="710"/>
      <c r="AL625" s="710"/>
      <c r="AM625" s="710"/>
      <c r="AN625" s="710"/>
      <c r="AO625" s="710"/>
      <c r="AP625" s="710"/>
      <c r="AQ625" s="710"/>
      <c r="AR625" s="710"/>
      <c r="AS625" s="710"/>
      <c r="AT625" s="710"/>
      <c r="AU625" s="1829"/>
      <c r="AV625" s="1835"/>
      <c r="AW625" s="1836"/>
      <c r="AX625" s="1836"/>
      <c r="AY625" s="1836"/>
      <c r="AZ625" s="1825"/>
      <c r="BA625" s="1825"/>
    </row>
    <row r="626" spans="2:53" s="188" customFormat="1" ht="24.95" customHeight="1">
      <c r="B626" s="281"/>
      <c r="C626" s="168"/>
      <c r="D626" s="168"/>
      <c r="E626" s="168"/>
      <c r="F626" s="227"/>
      <c r="G626" s="660"/>
      <c r="H626" s="253"/>
      <c r="I626" s="212"/>
      <c r="N626" s="212"/>
      <c r="O626" s="1557"/>
      <c r="P626" s="1558"/>
      <c r="Q626" s="661"/>
      <c r="R626" s="655"/>
      <c r="S626" s="655"/>
      <c r="T626" s="655"/>
      <c r="U626" s="655"/>
      <c r="V626" s="655"/>
      <c r="W626" s="655"/>
      <c r="Y626" s="1827"/>
      <c r="Z626" s="1828"/>
      <c r="AA626" s="1829"/>
      <c r="AB626" s="1829"/>
      <c r="AC626" s="1829"/>
      <c r="AD626" s="1564"/>
      <c r="AE626" s="701"/>
      <c r="AF626" s="684"/>
      <c r="AG626" s="684"/>
      <c r="AH626" s="710"/>
      <c r="AI626" s="710"/>
      <c r="AJ626" s="710"/>
      <c r="AK626" s="710"/>
      <c r="AL626" s="710"/>
      <c r="AM626" s="710"/>
      <c r="AN626" s="710"/>
      <c r="AO626" s="710"/>
      <c r="AP626" s="710"/>
      <c r="AQ626" s="710"/>
      <c r="AR626" s="710"/>
      <c r="AS626" s="710"/>
      <c r="AT626" s="710"/>
      <c r="AU626" s="1829"/>
      <c r="AV626" s="1835"/>
      <c r="AW626" s="1836"/>
      <c r="AX626" s="1836"/>
      <c r="AY626" s="1836"/>
      <c r="AZ626" s="1825"/>
      <c r="BA626" s="1825"/>
    </row>
    <row r="627" spans="2:53" s="188" customFormat="1" ht="24.95" customHeight="1">
      <c r="B627" s="281"/>
      <c r="C627" s="168"/>
      <c r="D627" s="168"/>
      <c r="E627" s="168"/>
      <c r="F627" s="227"/>
      <c r="G627" s="660"/>
      <c r="H627" s="253"/>
      <c r="I627" s="212"/>
      <c r="N627" s="212"/>
      <c r="O627" s="1557"/>
      <c r="P627" s="1558"/>
      <c r="Q627" s="661"/>
      <c r="R627" s="655"/>
      <c r="S627" s="655"/>
      <c r="T627" s="655"/>
      <c r="U627" s="655"/>
      <c r="V627" s="655"/>
      <c r="W627" s="655"/>
      <c r="Y627" s="1827"/>
      <c r="Z627" s="1828"/>
      <c r="AA627" s="1829"/>
      <c r="AB627" s="1829"/>
      <c r="AC627" s="1829"/>
      <c r="AD627" s="1564"/>
      <c r="AE627" s="701"/>
      <c r="AF627" s="684"/>
      <c r="AG627" s="684"/>
      <c r="AH627" s="710"/>
      <c r="AI627" s="710"/>
      <c r="AJ627" s="710"/>
      <c r="AK627" s="710"/>
      <c r="AL627" s="710"/>
      <c r="AM627" s="710"/>
      <c r="AN627" s="710"/>
      <c r="AO627" s="710"/>
      <c r="AP627" s="710"/>
      <c r="AQ627" s="710"/>
      <c r="AR627" s="710"/>
      <c r="AS627" s="710"/>
      <c r="AT627" s="710"/>
      <c r="AU627" s="1829"/>
      <c r="AV627" s="1835"/>
      <c r="AW627" s="1836"/>
      <c r="AX627" s="1836"/>
      <c r="AY627" s="1836"/>
      <c r="AZ627" s="1825"/>
      <c r="BA627" s="1825"/>
    </row>
    <row r="628" spans="2:53" s="188" customFormat="1" ht="24.95" customHeight="1">
      <c r="B628" s="281"/>
      <c r="C628" s="168"/>
      <c r="D628" s="168"/>
      <c r="E628" s="168"/>
      <c r="F628" s="227"/>
      <c r="G628" s="660"/>
      <c r="H628" s="253"/>
      <c r="I628" s="212"/>
      <c r="N628" s="212"/>
      <c r="O628" s="1557"/>
      <c r="P628" s="1558"/>
      <c r="Q628" s="661"/>
      <c r="R628" s="655"/>
      <c r="S628" s="655"/>
      <c r="T628" s="655"/>
      <c r="U628" s="655"/>
      <c r="V628" s="655"/>
      <c r="W628" s="655"/>
      <c r="Y628" s="1827"/>
      <c r="Z628" s="1828"/>
      <c r="AA628" s="1829"/>
      <c r="AB628" s="1829"/>
      <c r="AC628" s="1829"/>
      <c r="AD628" s="1564"/>
      <c r="AE628" s="701"/>
      <c r="AF628" s="684"/>
      <c r="AG628" s="684"/>
      <c r="AH628" s="710"/>
      <c r="AI628" s="710"/>
      <c r="AJ628" s="710"/>
      <c r="AK628" s="710"/>
      <c r="AL628" s="710"/>
      <c r="AM628" s="710"/>
      <c r="AN628" s="710"/>
      <c r="AO628" s="710"/>
      <c r="AP628" s="710"/>
      <c r="AQ628" s="710"/>
      <c r="AR628" s="710"/>
      <c r="AS628" s="710"/>
      <c r="AT628" s="710"/>
      <c r="AU628" s="1829"/>
      <c r="AV628" s="1835"/>
      <c r="AW628" s="1836"/>
      <c r="AX628" s="1836"/>
      <c r="AY628" s="1836"/>
      <c r="AZ628" s="1825"/>
      <c r="BA628" s="1825"/>
    </row>
    <row r="629" spans="2:53" s="188" customFormat="1" ht="24.95" customHeight="1">
      <c r="B629" s="281"/>
      <c r="C629" s="168"/>
      <c r="D629" s="168"/>
      <c r="E629" s="168"/>
      <c r="F629" s="227"/>
      <c r="G629" s="660"/>
      <c r="H629" s="253"/>
      <c r="I629" s="212"/>
      <c r="N629" s="212"/>
      <c r="O629" s="1557"/>
      <c r="P629" s="1558"/>
      <c r="Q629" s="661"/>
      <c r="R629" s="655"/>
      <c r="S629" s="655"/>
      <c r="T629" s="655"/>
      <c r="U629" s="655"/>
      <c r="V629" s="655"/>
      <c r="W629" s="655"/>
      <c r="Y629" s="1827"/>
      <c r="Z629" s="1828"/>
      <c r="AA629" s="1829"/>
      <c r="AB629" s="1829"/>
      <c r="AC629" s="1829"/>
      <c r="AD629" s="1564"/>
      <c r="AE629" s="701"/>
      <c r="AF629" s="684"/>
      <c r="AG629" s="684"/>
      <c r="AH629" s="710"/>
      <c r="AI629" s="710"/>
      <c r="AJ629" s="710"/>
      <c r="AK629" s="710"/>
      <c r="AL629" s="710"/>
      <c r="AM629" s="710"/>
      <c r="AN629" s="710"/>
      <c r="AO629" s="710"/>
      <c r="AP629" s="710"/>
      <c r="AQ629" s="710"/>
      <c r="AR629" s="710"/>
      <c r="AS629" s="710"/>
      <c r="AT629" s="710"/>
      <c r="AU629" s="1829"/>
      <c r="AV629" s="1835"/>
      <c r="AW629" s="1836"/>
      <c r="AX629" s="1836"/>
      <c r="AY629" s="1836"/>
      <c r="AZ629" s="1825"/>
      <c r="BA629" s="1825"/>
    </row>
    <row r="630" spans="2:53" s="188" customFormat="1" ht="24.95" customHeight="1">
      <c r="B630" s="281"/>
      <c r="C630" s="168"/>
      <c r="D630" s="168"/>
      <c r="E630" s="168"/>
      <c r="F630" s="227"/>
      <c r="G630" s="660"/>
      <c r="H630" s="253"/>
      <c r="I630" s="212"/>
      <c r="N630" s="212"/>
      <c r="O630" s="1557"/>
      <c r="P630" s="1558"/>
      <c r="Q630" s="661"/>
      <c r="R630" s="655"/>
      <c r="S630" s="655"/>
      <c r="T630" s="655"/>
      <c r="U630" s="655"/>
      <c r="V630" s="655"/>
      <c r="W630" s="655"/>
      <c r="Y630" s="1827"/>
      <c r="Z630" s="1828"/>
      <c r="AA630" s="1829"/>
      <c r="AB630" s="1829"/>
      <c r="AC630" s="1829"/>
      <c r="AD630" s="1564"/>
      <c r="AE630" s="701"/>
      <c r="AF630" s="684"/>
      <c r="AG630" s="684"/>
      <c r="AH630" s="710"/>
      <c r="AI630" s="710"/>
      <c r="AJ630" s="710"/>
      <c r="AK630" s="710"/>
      <c r="AL630" s="710"/>
      <c r="AM630" s="710"/>
      <c r="AN630" s="710"/>
      <c r="AO630" s="710"/>
      <c r="AP630" s="710"/>
      <c r="AQ630" s="710"/>
      <c r="AR630" s="710"/>
      <c r="AS630" s="710"/>
      <c r="AT630" s="710"/>
      <c r="AU630" s="1829"/>
      <c r="AV630" s="1835"/>
      <c r="AW630" s="1836"/>
      <c r="AX630" s="1836"/>
      <c r="AY630" s="1836"/>
      <c r="AZ630" s="1825"/>
      <c r="BA630" s="1825"/>
    </row>
    <row r="631" spans="2:53" s="188" customFormat="1" ht="24.95" customHeight="1">
      <c r="B631" s="281"/>
      <c r="C631" s="168"/>
      <c r="D631" s="168"/>
      <c r="E631" s="168"/>
      <c r="F631" s="227"/>
      <c r="G631" s="660"/>
      <c r="H631" s="253"/>
      <c r="I631" s="212"/>
      <c r="N631" s="212"/>
      <c r="O631" s="1557"/>
      <c r="P631" s="1558"/>
      <c r="Q631" s="661"/>
      <c r="R631" s="655"/>
      <c r="S631" s="655"/>
      <c r="T631" s="655"/>
      <c r="U631" s="655"/>
      <c r="V631" s="655"/>
      <c r="W631" s="655"/>
      <c r="Y631" s="1827"/>
      <c r="Z631" s="1828"/>
      <c r="AA631" s="1829"/>
      <c r="AB631" s="1829"/>
      <c r="AC631" s="1829"/>
      <c r="AD631" s="1564"/>
      <c r="AE631" s="701"/>
      <c r="AF631" s="684"/>
      <c r="AG631" s="684"/>
      <c r="AH631" s="710"/>
      <c r="AI631" s="710"/>
      <c r="AJ631" s="710"/>
      <c r="AK631" s="710"/>
      <c r="AL631" s="710"/>
      <c r="AM631" s="710"/>
      <c r="AN631" s="710"/>
      <c r="AO631" s="710"/>
      <c r="AP631" s="710"/>
      <c r="AQ631" s="710"/>
      <c r="AR631" s="710"/>
      <c r="AS631" s="710"/>
      <c r="AT631" s="710"/>
      <c r="AU631" s="1829"/>
      <c r="AV631" s="1835"/>
      <c r="AW631" s="1836"/>
      <c r="AX631" s="1836"/>
      <c r="AY631" s="1836"/>
      <c r="AZ631" s="1825"/>
      <c r="BA631" s="1825"/>
    </row>
    <row r="632" spans="2:53" s="188" customFormat="1" ht="24.95" customHeight="1">
      <c r="B632" s="281"/>
      <c r="C632" s="168"/>
      <c r="D632" s="168"/>
      <c r="E632" s="168"/>
      <c r="F632" s="227"/>
      <c r="G632" s="660"/>
      <c r="H632" s="253"/>
      <c r="I632" s="212"/>
      <c r="N632" s="212"/>
      <c r="O632" s="1557"/>
      <c r="P632" s="1558"/>
      <c r="Q632" s="661"/>
      <c r="R632" s="655"/>
      <c r="S632" s="655"/>
      <c r="T632" s="655"/>
      <c r="U632" s="655"/>
      <c r="V632" s="655"/>
      <c r="W632" s="655"/>
      <c r="Y632" s="1827"/>
      <c r="Z632" s="1828"/>
      <c r="AA632" s="1829"/>
      <c r="AB632" s="1829"/>
      <c r="AC632" s="1829"/>
      <c r="AD632" s="1564"/>
      <c r="AE632" s="701"/>
      <c r="AF632" s="684"/>
      <c r="AG632" s="684"/>
      <c r="AH632" s="710"/>
      <c r="AI632" s="710"/>
      <c r="AJ632" s="710"/>
      <c r="AK632" s="710"/>
      <c r="AL632" s="710"/>
      <c r="AM632" s="710"/>
      <c r="AN632" s="710"/>
      <c r="AO632" s="710"/>
      <c r="AP632" s="710"/>
      <c r="AQ632" s="710"/>
      <c r="AR632" s="710"/>
      <c r="AS632" s="710"/>
      <c r="AT632" s="710"/>
      <c r="AU632" s="1829"/>
      <c r="AV632" s="1835"/>
      <c r="AW632" s="1836"/>
      <c r="AX632" s="1836"/>
      <c r="AY632" s="1836"/>
      <c r="AZ632" s="1825"/>
      <c r="BA632" s="1825"/>
    </row>
    <row r="633" spans="2:53" s="188" customFormat="1" ht="24.95" customHeight="1">
      <c r="B633" s="281"/>
      <c r="C633" s="168"/>
      <c r="D633" s="168"/>
      <c r="E633" s="168"/>
      <c r="F633" s="227"/>
      <c r="G633" s="660"/>
      <c r="H633" s="253"/>
      <c r="I633" s="212"/>
      <c r="N633" s="212"/>
      <c r="O633" s="1557"/>
      <c r="P633" s="1558"/>
      <c r="Q633" s="661"/>
      <c r="R633" s="655"/>
      <c r="S633" s="655"/>
      <c r="T633" s="655"/>
      <c r="U633" s="655"/>
      <c r="V633" s="655"/>
      <c r="W633" s="655"/>
      <c r="Y633" s="1827"/>
      <c r="Z633" s="1828"/>
      <c r="AA633" s="1829"/>
      <c r="AB633" s="1829"/>
      <c r="AC633" s="1829"/>
      <c r="AD633" s="1564"/>
      <c r="AE633" s="701"/>
      <c r="AF633" s="684"/>
      <c r="AG633" s="684"/>
      <c r="AH633" s="710"/>
      <c r="AI633" s="710"/>
      <c r="AJ633" s="710"/>
      <c r="AK633" s="710"/>
      <c r="AL633" s="710"/>
      <c r="AM633" s="710"/>
      <c r="AN633" s="710"/>
      <c r="AO633" s="710"/>
      <c r="AP633" s="710"/>
      <c r="AQ633" s="710"/>
      <c r="AR633" s="710"/>
      <c r="AS633" s="710"/>
      <c r="AT633" s="710"/>
      <c r="AU633" s="1829"/>
      <c r="AV633" s="1835"/>
      <c r="AW633" s="1836"/>
      <c r="AX633" s="1836"/>
      <c r="AY633" s="1836"/>
      <c r="AZ633" s="1825"/>
      <c r="BA633" s="1825"/>
    </row>
    <row r="634" spans="2:53" s="188" customFormat="1" ht="24.95" customHeight="1">
      <c r="B634" s="281"/>
      <c r="C634" s="168"/>
      <c r="D634" s="168"/>
      <c r="E634" s="168"/>
      <c r="F634" s="227"/>
      <c r="G634" s="660"/>
      <c r="H634" s="253"/>
      <c r="I634" s="212"/>
      <c r="N634" s="212"/>
      <c r="O634" s="1557"/>
      <c r="P634" s="1558"/>
      <c r="Q634" s="661"/>
      <c r="R634" s="655"/>
      <c r="S634" s="655"/>
      <c r="T634" s="655"/>
      <c r="U634" s="655"/>
      <c r="V634" s="655"/>
      <c r="W634" s="655"/>
      <c r="Y634" s="1827"/>
      <c r="Z634" s="1828"/>
      <c r="AA634" s="1829"/>
      <c r="AB634" s="1829"/>
      <c r="AC634" s="1829"/>
      <c r="AD634" s="1564"/>
      <c r="AE634" s="701"/>
      <c r="AF634" s="684"/>
      <c r="AG634" s="684"/>
      <c r="AH634" s="710"/>
      <c r="AI634" s="710"/>
      <c r="AJ634" s="710"/>
      <c r="AK634" s="710"/>
      <c r="AL634" s="710"/>
      <c r="AM634" s="710"/>
      <c r="AN634" s="710"/>
      <c r="AO634" s="710"/>
      <c r="AP634" s="710"/>
      <c r="AQ634" s="710"/>
      <c r="AR634" s="710"/>
      <c r="AS634" s="710"/>
      <c r="AT634" s="710"/>
      <c r="AU634" s="1829"/>
      <c r="AV634" s="1835"/>
      <c r="AW634" s="1836"/>
      <c r="AX634" s="1836"/>
      <c r="AY634" s="1836"/>
      <c r="AZ634" s="1825"/>
      <c r="BA634" s="1825"/>
    </row>
    <row r="635" spans="2:53" s="188" customFormat="1" ht="24.95" customHeight="1">
      <c r="B635" s="281"/>
      <c r="C635" s="168"/>
      <c r="D635" s="168"/>
      <c r="E635" s="168"/>
      <c r="F635" s="227"/>
      <c r="G635" s="660"/>
      <c r="H635" s="253"/>
      <c r="I635" s="212"/>
      <c r="N635" s="212"/>
      <c r="O635" s="1557"/>
      <c r="P635" s="1558"/>
      <c r="Q635" s="661"/>
      <c r="R635" s="655"/>
      <c r="S635" s="655"/>
      <c r="T635" s="655"/>
      <c r="U635" s="655"/>
      <c r="V635" s="655"/>
      <c r="W635" s="655"/>
      <c r="Y635" s="1827"/>
      <c r="Z635" s="1828"/>
      <c r="AA635" s="1829"/>
      <c r="AB635" s="1829"/>
      <c r="AC635" s="1829"/>
      <c r="AD635" s="1564"/>
      <c r="AE635" s="701"/>
      <c r="AF635" s="684"/>
      <c r="AG635" s="684"/>
      <c r="AH635" s="710"/>
      <c r="AI635" s="710"/>
      <c r="AJ635" s="710"/>
      <c r="AK635" s="710"/>
      <c r="AL635" s="710"/>
      <c r="AM635" s="710"/>
      <c r="AN635" s="710"/>
      <c r="AO635" s="710"/>
      <c r="AP635" s="710"/>
      <c r="AQ635" s="710"/>
      <c r="AR635" s="710"/>
      <c r="AS635" s="710"/>
      <c r="AT635" s="710"/>
      <c r="AU635" s="1829"/>
      <c r="AV635" s="1835"/>
      <c r="AW635" s="1836"/>
      <c r="AX635" s="1836"/>
      <c r="AY635" s="1836"/>
      <c r="AZ635" s="1825"/>
      <c r="BA635" s="1825"/>
    </row>
    <row r="636" spans="2:53" s="188" customFormat="1" ht="24.95" customHeight="1">
      <c r="B636" s="281"/>
      <c r="C636" s="168"/>
      <c r="D636" s="168"/>
      <c r="E636" s="168"/>
      <c r="F636" s="227"/>
      <c r="G636" s="660"/>
      <c r="H636" s="253"/>
      <c r="I636" s="212"/>
      <c r="N636" s="212"/>
      <c r="O636" s="1557"/>
      <c r="P636" s="1558"/>
      <c r="Q636" s="661"/>
      <c r="R636" s="655"/>
      <c r="S636" s="655"/>
      <c r="T636" s="655"/>
      <c r="U636" s="655"/>
      <c r="V636" s="655"/>
      <c r="W636" s="655"/>
      <c r="Y636" s="1827"/>
      <c r="Z636" s="1828"/>
      <c r="AA636" s="1829"/>
      <c r="AB636" s="1829"/>
      <c r="AC636" s="1829"/>
      <c r="AD636" s="1564"/>
      <c r="AE636" s="701"/>
      <c r="AF636" s="684"/>
      <c r="AG636" s="684"/>
      <c r="AH636" s="710"/>
      <c r="AI636" s="710"/>
      <c r="AJ636" s="710"/>
      <c r="AK636" s="710"/>
      <c r="AL636" s="710"/>
      <c r="AM636" s="710"/>
      <c r="AN636" s="710"/>
      <c r="AO636" s="710"/>
      <c r="AP636" s="710"/>
      <c r="AQ636" s="710"/>
      <c r="AR636" s="710"/>
      <c r="AS636" s="710"/>
      <c r="AT636" s="710"/>
      <c r="AU636" s="1829"/>
      <c r="AV636" s="1835"/>
      <c r="AW636" s="1836"/>
      <c r="AX636" s="1836"/>
      <c r="AY636" s="1836"/>
      <c r="AZ636" s="1825"/>
      <c r="BA636" s="1825"/>
    </row>
    <row r="637" spans="2:53" s="188" customFormat="1" ht="24.95" customHeight="1">
      <c r="B637" s="281"/>
      <c r="C637" s="168"/>
      <c r="D637" s="168"/>
      <c r="E637" s="168"/>
      <c r="F637" s="227"/>
      <c r="G637" s="660"/>
      <c r="H637" s="253"/>
      <c r="I637" s="212"/>
      <c r="N637" s="212"/>
      <c r="O637" s="1557"/>
      <c r="P637" s="1558"/>
      <c r="Q637" s="661"/>
      <c r="R637" s="655"/>
      <c r="S637" s="655"/>
      <c r="T637" s="655"/>
      <c r="U637" s="655"/>
      <c r="V637" s="655"/>
      <c r="W637" s="655"/>
      <c r="Y637" s="1827"/>
      <c r="Z637" s="1828"/>
      <c r="AA637" s="1829"/>
      <c r="AB637" s="1829"/>
      <c r="AC637" s="1829"/>
      <c r="AD637" s="1564"/>
      <c r="AE637" s="701"/>
      <c r="AF637" s="684"/>
      <c r="AG637" s="684"/>
      <c r="AH637" s="710"/>
      <c r="AI637" s="710"/>
      <c r="AJ637" s="710"/>
      <c r="AK637" s="710"/>
      <c r="AL637" s="710"/>
      <c r="AM637" s="710"/>
      <c r="AN637" s="710"/>
      <c r="AO637" s="710"/>
      <c r="AP637" s="710"/>
      <c r="AQ637" s="710"/>
      <c r="AR637" s="710"/>
      <c r="AS637" s="710"/>
      <c r="AT637" s="710"/>
      <c r="AU637" s="1829"/>
      <c r="AV637" s="1835"/>
      <c r="AW637" s="1836"/>
      <c r="AX637" s="1836"/>
      <c r="AY637" s="1836"/>
      <c r="AZ637" s="1825"/>
      <c r="BA637" s="1825"/>
    </row>
    <row r="638" spans="2:53" s="188" customFormat="1" ht="24.95" customHeight="1">
      <c r="B638" s="281"/>
      <c r="C638" s="168"/>
      <c r="D638" s="168"/>
      <c r="E638" s="168"/>
      <c r="F638" s="227"/>
      <c r="G638" s="660"/>
      <c r="H638" s="253"/>
      <c r="I638" s="212"/>
      <c r="N638" s="212"/>
      <c r="O638" s="1557"/>
      <c r="P638" s="1558"/>
      <c r="Q638" s="661"/>
      <c r="R638" s="655"/>
      <c r="S638" s="655"/>
      <c r="T638" s="655"/>
      <c r="U638" s="655"/>
      <c r="V638" s="655"/>
      <c r="W638" s="655"/>
      <c r="Y638" s="1827"/>
      <c r="Z638" s="1828"/>
      <c r="AA638" s="1829"/>
      <c r="AB638" s="1829"/>
      <c r="AC638" s="1829"/>
      <c r="AD638" s="1564"/>
      <c r="AE638" s="701"/>
      <c r="AF638" s="684"/>
      <c r="AG638" s="684"/>
      <c r="AH638" s="710"/>
      <c r="AI638" s="710"/>
      <c r="AJ638" s="710"/>
      <c r="AK638" s="710"/>
      <c r="AL638" s="710"/>
      <c r="AM638" s="710"/>
      <c r="AN638" s="710"/>
      <c r="AO638" s="710"/>
      <c r="AP638" s="710"/>
      <c r="AQ638" s="710"/>
      <c r="AR638" s="710"/>
      <c r="AS638" s="710"/>
      <c r="AT638" s="710"/>
      <c r="AU638" s="1829"/>
      <c r="AV638" s="1835"/>
      <c r="AW638" s="1836"/>
      <c r="AX638" s="1836"/>
      <c r="AY638" s="1836"/>
      <c r="AZ638" s="1825"/>
      <c r="BA638" s="1825"/>
    </row>
    <row r="639" spans="2:53" s="188" customFormat="1" ht="24.95" customHeight="1">
      <c r="B639" s="281"/>
      <c r="C639" s="168"/>
      <c r="D639" s="168"/>
      <c r="E639" s="168"/>
      <c r="F639" s="227"/>
      <c r="G639" s="660"/>
      <c r="H639" s="253"/>
      <c r="I639" s="212"/>
      <c r="N639" s="212"/>
      <c r="O639" s="1557"/>
      <c r="P639" s="1558"/>
      <c r="Q639" s="661"/>
      <c r="R639" s="655"/>
      <c r="S639" s="655"/>
      <c r="T639" s="655"/>
      <c r="U639" s="655"/>
      <c r="V639" s="655"/>
      <c r="W639" s="655"/>
      <c r="Y639" s="1827"/>
      <c r="Z639" s="1828"/>
      <c r="AA639" s="1829"/>
      <c r="AB639" s="1829"/>
      <c r="AC639" s="1829"/>
      <c r="AD639" s="1564"/>
      <c r="AE639" s="701"/>
      <c r="AF639" s="684"/>
      <c r="AG639" s="684"/>
      <c r="AH639" s="710"/>
      <c r="AI639" s="710"/>
      <c r="AJ639" s="710"/>
      <c r="AK639" s="710"/>
      <c r="AL639" s="710"/>
      <c r="AM639" s="710"/>
      <c r="AN639" s="710"/>
      <c r="AO639" s="710"/>
      <c r="AP639" s="710"/>
      <c r="AQ639" s="710"/>
      <c r="AR639" s="710"/>
      <c r="AS639" s="710"/>
      <c r="AT639" s="710"/>
      <c r="AU639" s="1829"/>
      <c r="AV639" s="1835"/>
      <c r="AW639" s="1836"/>
      <c r="AX639" s="1836"/>
      <c r="AY639" s="1836"/>
      <c r="AZ639" s="1825"/>
      <c r="BA639" s="1825"/>
    </row>
    <row r="640" spans="2:53" s="188" customFormat="1" ht="24.95" customHeight="1">
      <c r="B640" s="281"/>
      <c r="C640" s="168"/>
      <c r="D640" s="168"/>
      <c r="E640" s="168"/>
      <c r="F640" s="227"/>
      <c r="G640" s="660"/>
      <c r="H640" s="253"/>
      <c r="I640" s="212"/>
      <c r="N640" s="212"/>
      <c r="O640" s="1557"/>
      <c r="P640" s="1558"/>
      <c r="Q640" s="661"/>
      <c r="R640" s="655"/>
      <c r="S640" s="655"/>
      <c r="T640" s="655"/>
      <c r="U640" s="655"/>
      <c r="V640" s="655"/>
      <c r="W640" s="655"/>
      <c r="Y640" s="1827"/>
      <c r="Z640" s="1828"/>
      <c r="AA640" s="1829"/>
      <c r="AB640" s="1829"/>
      <c r="AC640" s="1829"/>
      <c r="AD640" s="1564"/>
      <c r="AE640" s="701"/>
      <c r="AF640" s="684"/>
      <c r="AG640" s="684"/>
      <c r="AH640" s="710"/>
      <c r="AI640" s="710"/>
      <c r="AJ640" s="710"/>
      <c r="AK640" s="710"/>
      <c r="AL640" s="710"/>
      <c r="AM640" s="710"/>
      <c r="AN640" s="710"/>
      <c r="AO640" s="710"/>
      <c r="AP640" s="710"/>
      <c r="AQ640" s="710"/>
      <c r="AR640" s="710"/>
      <c r="AS640" s="710"/>
      <c r="AT640" s="710"/>
      <c r="AU640" s="1829"/>
      <c r="AV640" s="1835"/>
      <c r="AW640" s="1836"/>
      <c r="AX640" s="1836"/>
      <c r="AY640" s="1836"/>
      <c r="AZ640" s="1825"/>
      <c r="BA640" s="1825"/>
    </row>
    <row r="641" spans="2:53" s="188" customFormat="1" ht="24.95" customHeight="1">
      <c r="B641" s="281"/>
      <c r="C641" s="168"/>
      <c r="D641" s="168"/>
      <c r="E641" s="168"/>
      <c r="F641" s="227"/>
      <c r="G641" s="660"/>
      <c r="H641" s="253"/>
      <c r="I641" s="212"/>
      <c r="N641" s="212"/>
      <c r="O641" s="1557"/>
      <c r="P641" s="1558"/>
      <c r="Q641" s="661"/>
      <c r="R641" s="655"/>
      <c r="S641" s="655"/>
      <c r="T641" s="655"/>
      <c r="U641" s="655"/>
      <c r="V641" s="655"/>
      <c r="W641" s="655"/>
      <c r="Y641" s="1827"/>
      <c r="Z641" s="1828"/>
      <c r="AA641" s="1829"/>
      <c r="AB641" s="1829"/>
      <c r="AC641" s="1829"/>
      <c r="AD641" s="1564"/>
      <c r="AE641" s="701"/>
      <c r="AF641" s="684"/>
      <c r="AG641" s="684"/>
      <c r="AH641" s="710"/>
      <c r="AI641" s="710"/>
      <c r="AJ641" s="710"/>
      <c r="AK641" s="710"/>
      <c r="AL641" s="710"/>
      <c r="AM641" s="710"/>
      <c r="AN641" s="710"/>
      <c r="AO641" s="710"/>
      <c r="AP641" s="710"/>
      <c r="AQ641" s="710"/>
      <c r="AR641" s="710"/>
      <c r="AS641" s="710"/>
      <c r="AT641" s="710"/>
      <c r="AU641" s="1829"/>
      <c r="AV641" s="1835"/>
      <c r="AW641" s="1836"/>
      <c r="AX641" s="1836"/>
      <c r="AY641" s="1836"/>
      <c r="AZ641" s="1825"/>
      <c r="BA641" s="1825"/>
    </row>
    <row r="642" spans="2:53" s="188" customFormat="1" ht="24.95" customHeight="1">
      <c r="B642" s="281"/>
      <c r="C642" s="168"/>
      <c r="D642" s="168"/>
      <c r="E642" s="168"/>
      <c r="F642" s="227"/>
      <c r="G642" s="660"/>
      <c r="H642" s="253"/>
      <c r="I642" s="212"/>
      <c r="N642" s="212"/>
      <c r="O642" s="1557"/>
      <c r="P642" s="1558"/>
      <c r="Q642" s="661"/>
      <c r="R642" s="655"/>
      <c r="S642" s="655"/>
      <c r="T642" s="655"/>
      <c r="U642" s="655"/>
      <c r="V642" s="655"/>
      <c r="W642" s="655"/>
      <c r="Y642" s="1827"/>
      <c r="Z642" s="1828"/>
      <c r="AA642" s="1829"/>
      <c r="AB642" s="1829"/>
      <c r="AC642" s="1829"/>
      <c r="AD642" s="1564"/>
      <c r="AE642" s="701"/>
      <c r="AF642" s="684"/>
      <c r="AG642" s="684"/>
      <c r="AH642" s="710"/>
      <c r="AI642" s="710"/>
      <c r="AJ642" s="710"/>
      <c r="AK642" s="710"/>
      <c r="AL642" s="710"/>
      <c r="AM642" s="710"/>
      <c r="AN642" s="710"/>
      <c r="AO642" s="710"/>
      <c r="AP642" s="710"/>
      <c r="AQ642" s="710"/>
      <c r="AR642" s="710"/>
      <c r="AS642" s="710"/>
      <c r="AT642" s="710"/>
      <c r="AU642" s="1829"/>
      <c r="AV642" s="1835"/>
      <c r="AW642" s="1836"/>
      <c r="AX642" s="1836"/>
      <c r="AY642" s="1836"/>
      <c r="AZ642" s="1825"/>
      <c r="BA642" s="1825"/>
    </row>
    <row r="643" spans="2:53" s="188" customFormat="1" ht="24.95" customHeight="1">
      <c r="B643" s="281"/>
      <c r="C643" s="168"/>
      <c r="D643" s="168"/>
      <c r="E643" s="168"/>
      <c r="F643" s="227"/>
      <c r="G643" s="660"/>
      <c r="H643" s="253"/>
      <c r="I643" s="212"/>
      <c r="N643" s="212"/>
      <c r="O643" s="1557"/>
      <c r="P643" s="1558"/>
      <c r="Q643" s="661"/>
      <c r="R643" s="655"/>
      <c r="S643" s="655"/>
      <c r="T643" s="655"/>
      <c r="U643" s="655"/>
      <c r="V643" s="655"/>
      <c r="W643" s="655"/>
      <c r="Y643" s="1827"/>
      <c r="Z643" s="1828"/>
      <c r="AA643" s="1829"/>
      <c r="AB643" s="1829"/>
      <c r="AC643" s="1829"/>
      <c r="AD643" s="1564"/>
      <c r="AE643" s="701"/>
      <c r="AF643" s="684"/>
      <c r="AG643" s="684"/>
      <c r="AH643" s="710"/>
      <c r="AI643" s="710"/>
      <c r="AJ643" s="710"/>
      <c r="AK643" s="710"/>
      <c r="AL643" s="710"/>
      <c r="AM643" s="710"/>
      <c r="AN643" s="710"/>
      <c r="AO643" s="710"/>
      <c r="AP643" s="710"/>
      <c r="AQ643" s="710"/>
      <c r="AR643" s="710"/>
      <c r="AS643" s="710"/>
      <c r="AT643" s="710"/>
      <c r="AU643" s="1829"/>
      <c r="AV643" s="1835"/>
      <c r="AW643" s="1836"/>
      <c r="AX643" s="1836"/>
      <c r="AY643" s="1836"/>
      <c r="AZ643" s="1825"/>
      <c r="BA643" s="1825"/>
    </row>
    <row r="644" spans="2:53" s="188" customFormat="1" ht="24.95" customHeight="1">
      <c r="B644" s="281"/>
      <c r="C644" s="168"/>
      <c r="D644" s="168"/>
      <c r="E644" s="168"/>
      <c r="F644" s="227"/>
      <c r="G644" s="660"/>
      <c r="H644" s="253"/>
      <c r="I644" s="212"/>
      <c r="N644" s="212"/>
      <c r="O644" s="1557"/>
      <c r="P644" s="1558"/>
      <c r="Q644" s="661"/>
      <c r="R644" s="655"/>
      <c r="S644" s="655"/>
      <c r="T644" s="655"/>
      <c r="U644" s="655"/>
      <c r="V644" s="655"/>
      <c r="W644" s="655"/>
      <c r="Y644" s="1827"/>
      <c r="Z644" s="1828"/>
      <c r="AA644" s="1829"/>
      <c r="AB644" s="1829"/>
      <c r="AC644" s="1829"/>
      <c r="AD644" s="1564"/>
      <c r="AE644" s="701"/>
      <c r="AF644" s="684"/>
      <c r="AG644" s="684"/>
      <c r="AH644" s="710"/>
      <c r="AI644" s="710"/>
      <c r="AJ644" s="710"/>
      <c r="AK644" s="710"/>
      <c r="AL644" s="710"/>
      <c r="AM644" s="710"/>
      <c r="AN644" s="710"/>
      <c r="AO644" s="710"/>
      <c r="AP644" s="710"/>
      <c r="AQ644" s="710"/>
      <c r="AR644" s="710"/>
      <c r="AS644" s="710"/>
      <c r="AT644" s="710"/>
      <c r="AU644" s="1829"/>
      <c r="AV644" s="1835"/>
      <c r="AW644" s="1836"/>
      <c r="AX644" s="1836"/>
      <c r="AY644" s="1836"/>
      <c r="AZ644" s="1825"/>
      <c r="BA644" s="1825"/>
    </row>
    <row r="645" spans="2:53" s="188" customFormat="1" ht="24.95" customHeight="1">
      <c r="B645" s="281"/>
      <c r="C645" s="168"/>
      <c r="D645" s="168"/>
      <c r="E645" s="168"/>
      <c r="F645" s="227"/>
      <c r="G645" s="660"/>
      <c r="H645" s="253"/>
      <c r="I645" s="212"/>
      <c r="N645" s="212"/>
      <c r="O645" s="1557"/>
      <c r="P645" s="1558"/>
      <c r="Q645" s="661"/>
      <c r="R645" s="655"/>
      <c r="S645" s="655"/>
      <c r="T645" s="655"/>
      <c r="U645" s="655"/>
      <c r="V645" s="655"/>
      <c r="W645" s="655"/>
      <c r="Y645" s="1827"/>
      <c r="Z645" s="1828"/>
      <c r="AA645" s="1829"/>
      <c r="AB645" s="1829"/>
      <c r="AC645" s="1829"/>
      <c r="AD645" s="1564"/>
      <c r="AE645" s="701"/>
      <c r="AF645" s="684"/>
      <c r="AG645" s="684"/>
      <c r="AH645" s="710"/>
      <c r="AI645" s="710"/>
      <c r="AJ645" s="710"/>
      <c r="AK645" s="710"/>
      <c r="AL645" s="710"/>
      <c r="AM645" s="710"/>
      <c r="AN645" s="710"/>
      <c r="AO645" s="710"/>
      <c r="AP645" s="710"/>
      <c r="AQ645" s="710"/>
      <c r="AR645" s="710"/>
      <c r="AS645" s="710"/>
      <c r="AT645" s="710"/>
      <c r="AU645" s="1829"/>
      <c r="AV645" s="1835"/>
      <c r="AW645" s="1836"/>
      <c r="AX645" s="1836"/>
      <c r="AY645" s="1836"/>
      <c r="AZ645" s="1825"/>
      <c r="BA645" s="1825"/>
    </row>
    <row r="646" spans="2:53" s="188" customFormat="1" ht="24.95" customHeight="1">
      <c r="B646" s="281"/>
      <c r="C646" s="168"/>
      <c r="D646" s="168"/>
      <c r="E646" s="168"/>
      <c r="F646" s="227"/>
      <c r="G646" s="660"/>
      <c r="H646" s="253"/>
      <c r="I646" s="212"/>
      <c r="N646" s="212"/>
      <c r="O646" s="1557"/>
      <c r="P646" s="1558"/>
      <c r="Q646" s="661"/>
      <c r="R646" s="655"/>
      <c r="S646" s="655"/>
      <c r="T646" s="655"/>
      <c r="U646" s="655"/>
      <c r="V646" s="655"/>
      <c r="W646" s="655"/>
      <c r="Y646" s="1827"/>
      <c r="Z646" s="1828"/>
      <c r="AA646" s="1829"/>
      <c r="AB646" s="1829"/>
      <c r="AC646" s="1829"/>
      <c r="AD646" s="1564"/>
      <c r="AE646" s="701"/>
      <c r="AF646" s="684"/>
      <c r="AG646" s="684"/>
      <c r="AH646" s="710"/>
      <c r="AI646" s="710"/>
      <c r="AJ646" s="710"/>
      <c r="AK646" s="710"/>
      <c r="AL646" s="710"/>
      <c r="AM646" s="710"/>
      <c r="AN646" s="710"/>
      <c r="AO646" s="710"/>
      <c r="AP646" s="710"/>
      <c r="AQ646" s="710"/>
      <c r="AR646" s="710"/>
      <c r="AS646" s="710"/>
      <c r="AT646" s="710"/>
      <c r="AU646" s="1829"/>
      <c r="AV646" s="1835"/>
      <c r="AW646" s="1836"/>
      <c r="AX646" s="1836"/>
      <c r="AY646" s="1836"/>
      <c r="AZ646" s="1825"/>
      <c r="BA646" s="1825"/>
    </row>
    <row r="647" spans="2:53" s="188" customFormat="1" ht="24.95" customHeight="1">
      <c r="B647" s="281"/>
      <c r="C647" s="168"/>
      <c r="D647" s="168"/>
      <c r="E647" s="168"/>
      <c r="F647" s="227"/>
      <c r="G647" s="660"/>
      <c r="H647" s="253"/>
      <c r="I647" s="212"/>
      <c r="N647" s="212"/>
      <c r="O647" s="1557"/>
      <c r="P647" s="1558"/>
      <c r="Q647" s="661"/>
      <c r="R647" s="655"/>
      <c r="S647" s="655"/>
      <c r="T647" s="655"/>
      <c r="U647" s="655"/>
      <c r="V647" s="655"/>
      <c r="W647" s="655"/>
      <c r="Y647" s="1827"/>
      <c r="Z647" s="1828"/>
      <c r="AA647" s="1829"/>
      <c r="AB647" s="1829"/>
      <c r="AC647" s="1829"/>
      <c r="AD647" s="1564"/>
      <c r="AE647" s="701"/>
      <c r="AF647" s="684"/>
      <c r="AG647" s="684"/>
      <c r="AH647" s="710"/>
      <c r="AI647" s="710"/>
      <c r="AJ647" s="710"/>
      <c r="AK647" s="710"/>
      <c r="AL647" s="710"/>
      <c r="AM647" s="710"/>
      <c r="AN647" s="710"/>
      <c r="AO647" s="710"/>
      <c r="AP647" s="710"/>
      <c r="AQ647" s="710"/>
      <c r="AR647" s="710"/>
      <c r="AS647" s="710"/>
      <c r="AT647" s="710"/>
      <c r="AU647" s="1829"/>
      <c r="AV647" s="1835"/>
      <c r="AW647" s="1836"/>
      <c r="AX647" s="1836"/>
      <c r="AY647" s="1836"/>
      <c r="AZ647" s="1825"/>
      <c r="BA647" s="1825"/>
    </row>
    <row r="648" spans="2:53" s="188" customFormat="1" ht="24.95" customHeight="1">
      <c r="B648" s="281"/>
      <c r="C648" s="168"/>
      <c r="D648" s="168"/>
      <c r="E648" s="168"/>
      <c r="F648" s="227"/>
      <c r="G648" s="660"/>
      <c r="H648" s="253"/>
      <c r="I648" s="212"/>
      <c r="N648" s="212"/>
      <c r="O648" s="1557"/>
      <c r="P648" s="1558"/>
      <c r="Q648" s="661"/>
      <c r="R648" s="655"/>
      <c r="S648" s="655"/>
      <c r="T648" s="655"/>
      <c r="U648" s="655"/>
      <c r="V648" s="655"/>
      <c r="W648" s="655"/>
      <c r="Y648" s="1827"/>
      <c r="Z648" s="1828"/>
      <c r="AA648" s="1829"/>
      <c r="AB648" s="1829"/>
      <c r="AC648" s="1829"/>
      <c r="AD648" s="1564"/>
      <c r="AE648" s="701"/>
      <c r="AF648" s="684"/>
      <c r="AG648" s="684"/>
      <c r="AH648" s="710"/>
      <c r="AI648" s="710"/>
      <c r="AJ648" s="710"/>
      <c r="AK648" s="710"/>
      <c r="AL648" s="710"/>
      <c r="AM648" s="710"/>
      <c r="AN648" s="710"/>
      <c r="AO648" s="710"/>
      <c r="AP648" s="710"/>
      <c r="AQ648" s="710"/>
      <c r="AR648" s="710"/>
      <c r="AS648" s="710"/>
      <c r="AT648" s="710"/>
      <c r="AU648" s="1829"/>
      <c r="AV648" s="1835"/>
      <c r="AW648" s="1836"/>
      <c r="AX648" s="1836"/>
      <c r="AY648" s="1836"/>
      <c r="AZ648" s="1825"/>
      <c r="BA648" s="1825"/>
    </row>
    <row r="649" spans="2:53" s="188" customFormat="1" ht="24.95" customHeight="1">
      <c r="B649" s="281"/>
      <c r="C649" s="168"/>
      <c r="D649" s="168"/>
      <c r="E649" s="168"/>
      <c r="F649" s="227"/>
      <c r="G649" s="660"/>
      <c r="H649" s="253"/>
      <c r="I649" s="212"/>
      <c r="N649" s="212"/>
      <c r="O649" s="1557"/>
      <c r="P649" s="1558"/>
      <c r="Q649" s="661"/>
      <c r="R649" s="655"/>
      <c r="S649" s="655"/>
      <c r="T649" s="655"/>
      <c r="U649" s="655"/>
      <c r="V649" s="655"/>
      <c r="W649" s="655"/>
      <c r="Y649" s="1827"/>
      <c r="Z649" s="1828"/>
      <c r="AA649" s="1829"/>
      <c r="AB649" s="1829"/>
      <c r="AC649" s="1829"/>
      <c r="AD649" s="1564"/>
      <c r="AE649" s="701"/>
      <c r="AF649" s="684"/>
      <c r="AG649" s="684"/>
      <c r="AH649" s="710"/>
      <c r="AI649" s="710"/>
      <c r="AJ649" s="710"/>
      <c r="AK649" s="710"/>
      <c r="AL649" s="710"/>
      <c r="AM649" s="710"/>
      <c r="AN649" s="710"/>
      <c r="AO649" s="710"/>
      <c r="AP649" s="710"/>
      <c r="AQ649" s="710"/>
      <c r="AR649" s="710"/>
      <c r="AS649" s="710"/>
      <c r="AT649" s="710"/>
      <c r="AU649" s="1829"/>
      <c r="AV649" s="1835"/>
      <c r="AW649" s="1836"/>
      <c r="AX649" s="1836"/>
      <c r="AY649" s="1836"/>
      <c r="AZ649" s="1825"/>
      <c r="BA649" s="1825"/>
    </row>
    <row r="650" spans="2:53" s="188" customFormat="1" ht="24.95" customHeight="1">
      <c r="B650" s="281"/>
      <c r="C650" s="168"/>
      <c r="D650" s="168"/>
      <c r="E650" s="168"/>
      <c r="F650" s="227"/>
      <c r="G650" s="660"/>
      <c r="H650" s="253"/>
      <c r="I650" s="212"/>
      <c r="N650" s="212"/>
      <c r="O650" s="1557"/>
      <c r="P650" s="1558"/>
      <c r="Q650" s="661"/>
      <c r="R650" s="655"/>
      <c r="S650" s="655"/>
      <c r="T650" s="655"/>
      <c r="U650" s="655"/>
      <c r="V650" s="655"/>
      <c r="W650" s="655"/>
      <c r="Y650" s="1827"/>
      <c r="Z650" s="1828"/>
      <c r="AA650" s="1829"/>
      <c r="AB650" s="1829"/>
      <c r="AC650" s="1829"/>
      <c r="AD650" s="1564"/>
      <c r="AE650" s="701"/>
      <c r="AF650" s="684"/>
      <c r="AG650" s="684"/>
      <c r="AH650" s="710"/>
      <c r="AI650" s="710"/>
      <c r="AJ650" s="710"/>
      <c r="AK650" s="710"/>
      <c r="AL650" s="710"/>
      <c r="AM650" s="710"/>
      <c r="AN650" s="710"/>
      <c r="AO650" s="710"/>
      <c r="AP650" s="710"/>
      <c r="AQ650" s="710"/>
      <c r="AR650" s="710"/>
      <c r="AS650" s="710"/>
      <c r="AT650" s="710"/>
      <c r="AU650" s="1829"/>
      <c r="AV650" s="1835"/>
      <c r="AW650" s="1836"/>
      <c r="AX650" s="1836"/>
      <c r="AY650" s="1836"/>
      <c r="AZ650" s="1825"/>
      <c r="BA650" s="1825"/>
    </row>
    <row r="651" spans="2:53" s="188" customFormat="1" ht="24.95" customHeight="1">
      <c r="B651" s="281"/>
      <c r="C651" s="168"/>
      <c r="D651" s="168"/>
      <c r="E651" s="168"/>
      <c r="F651" s="227"/>
      <c r="G651" s="660"/>
      <c r="H651" s="253"/>
      <c r="I651" s="212"/>
      <c r="N651" s="212"/>
      <c r="O651" s="1557"/>
      <c r="P651" s="1558"/>
      <c r="Q651" s="661"/>
      <c r="R651" s="655"/>
      <c r="S651" s="655"/>
      <c r="T651" s="655"/>
      <c r="U651" s="655"/>
      <c r="V651" s="655"/>
      <c r="W651" s="655"/>
      <c r="Y651" s="1827"/>
      <c r="Z651" s="1828"/>
      <c r="AA651" s="1829"/>
      <c r="AB651" s="1829"/>
      <c r="AC651" s="1829"/>
      <c r="AD651" s="1564"/>
      <c r="AE651" s="701"/>
      <c r="AF651" s="684"/>
      <c r="AG651" s="684"/>
      <c r="AH651" s="710"/>
      <c r="AI651" s="710"/>
      <c r="AJ651" s="710"/>
      <c r="AK651" s="710"/>
      <c r="AL651" s="710"/>
      <c r="AM651" s="710"/>
      <c r="AN651" s="710"/>
      <c r="AO651" s="710"/>
      <c r="AP651" s="710"/>
      <c r="AQ651" s="710"/>
      <c r="AR651" s="710"/>
      <c r="AS651" s="710"/>
      <c r="AT651" s="710"/>
      <c r="AU651" s="1829"/>
      <c r="AV651" s="1835"/>
      <c r="AW651" s="1836"/>
      <c r="AX651" s="1836"/>
      <c r="AY651" s="1836"/>
      <c r="AZ651" s="1825"/>
      <c r="BA651" s="1825"/>
    </row>
    <row r="652" spans="2:53" s="188" customFormat="1" ht="24.95" customHeight="1">
      <c r="B652" s="281"/>
      <c r="C652" s="168"/>
      <c r="D652" s="168"/>
      <c r="E652" s="168"/>
      <c r="F652" s="227"/>
      <c r="G652" s="660"/>
      <c r="H652" s="253"/>
      <c r="I652" s="212"/>
      <c r="N652" s="212"/>
      <c r="O652" s="1557"/>
      <c r="P652" s="1558"/>
      <c r="Q652" s="661"/>
      <c r="R652" s="655"/>
      <c r="S652" s="655"/>
      <c r="T652" s="655"/>
      <c r="U652" s="655"/>
      <c r="V652" s="655"/>
      <c r="W652" s="655"/>
      <c r="Y652" s="1827"/>
      <c r="Z652" s="1828"/>
      <c r="AA652" s="1829"/>
      <c r="AB652" s="1829"/>
      <c r="AC652" s="1829"/>
      <c r="AD652" s="1564"/>
      <c r="AE652" s="701"/>
      <c r="AF652" s="684"/>
      <c r="AG652" s="684"/>
      <c r="AH652" s="710"/>
      <c r="AI652" s="710"/>
      <c r="AJ652" s="710"/>
      <c r="AK652" s="710"/>
      <c r="AL652" s="710"/>
      <c r="AM652" s="710"/>
      <c r="AN652" s="710"/>
      <c r="AO652" s="710"/>
      <c r="AP652" s="710"/>
      <c r="AQ652" s="710"/>
      <c r="AR652" s="710"/>
      <c r="AS652" s="710"/>
      <c r="AT652" s="710"/>
      <c r="AU652" s="1829"/>
      <c r="AV652" s="1835"/>
      <c r="AW652" s="1836"/>
      <c r="AX652" s="1836"/>
      <c r="AY652" s="1836"/>
      <c r="AZ652" s="1825"/>
      <c r="BA652" s="1825"/>
    </row>
    <row r="653" spans="2:53" s="188" customFormat="1" ht="24.95" customHeight="1">
      <c r="B653" s="281"/>
      <c r="C653" s="168"/>
      <c r="D653" s="168"/>
      <c r="E653" s="168"/>
      <c r="F653" s="227"/>
      <c r="G653" s="660"/>
      <c r="H653" s="253"/>
      <c r="I653" s="212"/>
      <c r="N653" s="212"/>
      <c r="O653" s="1557"/>
      <c r="P653" s="1558"/>
      <c r="Q653" s="661"/>
      <c r="R653" s="655"/>
      <c r="S653" s="655"/>
      <c r="T653" s="655"/>
      <c r="U653" s="655"/>
      <c r="V653" s="655"/>
      <c r="W653" s="655"/>
      <c r="Y653" s="1827"/>
      <c r="Z653" s="1828"/>
      <c r="AA653" s="1829"/>
      <c r="AB653" s="1829"/>
      <c r="AC653" s="1829"/>
      <c r="AD653" s="1564"/>
      <c r="AE653" s="701"/>
      <c r="AF653" s="684"/>
      <c r="AG653" s="684"/>
      <c r="AH653" s="710"/>
      <c r="AI653" s="710"/>
      <c r="AJ653" s="710"/>
      <c r="AK653" s="710"/>
      <c r="AL653" s="710"/>
      <c r="AM653" s="710"/>
      <c r="AN653" s="710"/>
      <c r="AO653" s="710"/>
      <c r="AP653" s="710"/>
      <c r="AQ653" s="710"/>
      <c r="AR653" s="710"/>
      <c r="AS653" s="710"/>
      <c r="AT653" s="710"/>
      <c r="AU653" s="1829"/>
      <c r="AV653" s="1835"/>
      <c r="AW653" s="1836"/>
      <c r="AX653" s="1836"/>
      <c r="AY653" s="1836"/>
      <c r="AZ653" s="1825"/>
      <c r="BA653" s="1825"/>
    </row>
    <row r="654" spans="2:53" s="188" customFormat="1" ht="24.95" customHeight="1">
      <c r="B654" s="281"/>
      <c r="C654" s="168"/>
      <c r="D654" s="168"/>
      <c r="E654" s="168"/>
      <c r="F654" s="227"/>
      <c r="G654" s="660"/>
      <c r="H654" s="253"/>
      <c r="I654" s="212"/>
      <c r="N654" s="212"/>
      <c r="O654" s="1557"/>
      <c r="P654" s="1558"/>
      <c r="Q654" s="661"/>
      <c r="R654" s="655"/>
      <c r="S654" s="655"/>
      <c r="T654" s="655"/>
      <c r="U654" s="655"/>
      <c r="V654" s="655"/>
      <c r="W654" s="655"/>
      <c r="Y654" s="1827"/>
      <c r="Z654" s="1828"/>
      <c r="AA654" s="1829"/>
      <c r="AB654" s="1829"/>
      <c r="AC654" s="1829"/>
      <c r="AD654" s="1564"/>
      <c r="AE654" s="701"/>
      <c r="AF654" s="684"/>
      <c r="AG654" s="684"/>
      <c r="AH654" s="710"/>
      <c r="AI654" s="710"/>
      <c r="AJ654" s="710"/>
      <c r="AK654" s="710"/>
      <c r="AL654" s="710"/>
      <c r="AM654" s="710"/>
      <c r="AN654" s="710"/>
      <c r="AO654" s="710"/>
      <c r="AP654" s="710"/>
      <c r="AQ654" s="710"/>
      <c r="AR654" s="710"/>
      <c r="AS654" s="710"/>
      <c r="AT654" s="710"/>
      <c r="AU654" s="1829"/>
      <c r="AV654" s="1835"/>
      <c r="AW654" s="1836"/>
      <c r="AX654" s="1836"/>
      <c r="AY654" s="1836"/>
      <c r="AZ654" s="1825"/>
      <c r="BA654" s="1825"/>
    </row>
    <row r="655" spans="2:53" s="188" customFormat="1" ht="24.95" customHeight="1">
      <c r="B655" s="281"/>
      <c r="C655" s="168"/>
      <c r="D655" s="168"/>
      <c r="E655" s="168"/>
      <c r="F655" s="227"/>
      <c r="G655" s="660"/>
      <c r="H655" s="253"/>
      <c r="I655" s="212"/>
      <c r="N655" s="212"/>
      <c r="O655" s="1557"/>
      <c r="P655" s="1558"/>
      <c r="Q655" s="661"/>
      <c r="R655" s="655"/>
      <c r="S655" s="655"/>
      <c r="T655" s="655"/>
      <c r="U655" s="655"/>
      <c r="V655" s="655"/>
      <c r="W655" s="655"/>
      <c r="Y655" s="1827"/>
      <c r="Z655" s="1828"/>
      <c r="AA655" s="1829"/>
      <c r="AB655" s="1829"/>
      <c r="AC655" s="1829"/>
      <c r="AD655" s="1564"/>
      <c r="AE655" s="701"/>
      <c r="AF655" s="684"/>
      <c r="AG655" s="684"/>
      <c r="AH655" s="710"/>
      <c r="AI655" s="710"/>
      <c r="AJ655" s="710"/>
      <c r="AK655" s="710"/>
      <c r="AL655" s="710"/>
      <c r="AM655" s="710"/>
      <c r="AN655" s="710"/>
      <c r="AO655" s="710"/>
      <c r="AP655" s="710"/>
      <c r="AQ655" s="710"/>
      <c r="AR655" s="710"/>
      <c r="AS655" s="710"/>
      <c r="AT655" s="710"/>
      <c r="AU655" s="1829"/>
      <c r="AV655" s="1835"/>
      <c r="AW655" s="1836"/>
      <c r="AX655" s="1836"/>
      <c r="AY655" s="1836"/>
      <c r="AZ655" s="1825"/>
      <c r="BA655" s="1825"/>
    </row>
    <row r="656" spans="2:53" s="188" customFormat="1" ht="24.95" customHeight="1">
      <c r="B656" s="281"/>
      <c r="C656" s="168"/>
      <c r="D656" s="168"/>
      <c r="E656" s="168"/>
      <c r="F656" s="227"/>
      <c r="G656" s="660"/>
      <c r="H656" s="253"/>
      <c r="I656" s="212"/>
      <c r="N656" s="212"/>
      <c r="O656" s="1557"/>
      <c r="P656" s="1558"/>
      <c r="Q656" s="661"/>
      <c r="R656" s="655"/>
      <c r="S656" s="655"/>
      <c r="T656" s="655"/>
      <c r="U656" s="655"/>
      <c r="V656" s="655"/>
      <c r="W656" s="655"/>
      <c r="Y656" s="1827"/>
      <c r="Z656" s="1828"/>
      <c r="AA656" s="1829"/>
      <c r="AB656" s="1829"/>
      <c r="AC656" s="1829"/>
      <c r="AD656" s="1564"/>
      <c r="AE656" s="701"/>
      <c r="AF656" s="684"/>
      <c r="AG656" s="684"/>
      <c r="AH656" s="710"/>
      <c r="AI656" s="710"/>
      <c r="AJ656" s="710"/>
      <c r="AK656" s="710"/>
      <c r="AL656" s="710"/>
      <c r="AM656" s="710"/>
      <c r="AN656" s="710"/>
      <c r="AO656" s="710"/>
      <c r="AP656" s="710"/>
      <c r="AQ656" s="710"/>
      <c r="AR656" s="710"/>
      <c r="AS656" s="710"/>
      <c r="AT656" s="710"/>
      <c r="AU656" s="1829"/>
      <c r="AV656" s="1835"/>
      <c r="AW656" s="1836"/>
      <c r="AX656" s="1836"/>
      <c r="AY656" s="1836"/>
      <c r="AZ656" s="1825"/>
      <c r="BA656" s="1825"/>
    </row>
    <row r="657" spans="2:53" s="188" customFormat="1" ht="24.95" customHeight="1">
      <c r="B657" s="281"/>
      <c r="C657" s="168"/>
      <c r="D657" s="168"/>
      <c r="E657" s="168"/>
      <c r="F657" s="227"/>
      <c r="G657" s="660"/>
      <c r="H657" s="253"/>
      <c r="I657" s="212"/>
      <c r="N657" s="212"/>
      <c r="O657" s="1557"/>
      <c r="P657" s="1558"/>
      <c r="Q657" s="661"/>
      <c r="R657" s="655"/>
      <c r="S657" s="655"/>
      <c r="T657" s="655"/>
      <c r="U657" s="655"/>
      <c r="V657" s="655"/>
      <c r="W657" s="655"/>
      <c r="Y657" s="1827"/>
      <c r="Z657" s="1828"/>
      <c r="AA657" s="1829"/>
      <c r="AB657" s="1829"/>
      <c r="AC657" s="1829"/>
      <c r="AD657" s="1564"/>
      <c r="AE657" s="701"/>
      <c r="AF657" s="684"/>
      <c r="AG657" s="684"/>
      <c r="AH657" s="710"/>
      <c r="AI657" s="710"/>
      <c r="AJ657" s="710"/>
      <c r="AK657" s="710"/>
      <c r="AL657" s="710"/>
      <c r="AM657" s="710"/>
      <c r="AN657" s="710"/>
      <c r="AO657" s="710"/>
      <c r="AP657" s="710"/>
      <c r="AQ657" s="710"/>
      <c r="AR657" s="710"/>
      <c r="AS657" s="710"/>
      <c r="AT657" s="710"/>
      <c r="AU657" s="1829"/>
      <c r="AV657" s="1835"/>
      <c r="AW657" s="1836"/>
      <c r="AX657" s="1836"/>
      <c r="AY657" s="1836"/>
      <c r="AZ657" s="1825"/>
      <c r="BA657" s="1825"/>
    </row>
    <row r="658" spans="2:53" s="188" customFormat="1" ht="24.95" customHeight="1">
      <c r="B658" s="281"/>
      <c r="C658" s="168"/>
      <c r="D658" s="168"/>
      <c r="E658" s="168"/>
      <c r="F658" s="227"/>
      <c r="G658" s="660"/>
      <c r="H658" s="253"/>
      <c r="I658" s="212"/>
      <c r="N658" s="212"/>
      <c r="O658" s="1557"/>
      <c r="P658" s="1558"/>
      <c r="Q658" s="661"/>
      <c r="R658" s="655"/>
      <c r="S658" s="655"/>
      <c r="T658" s="655"/>
      <c r="U658" s="655"/>
      <c r="V658" s="655"/>
      <c r="W658" s="655"/>
      <c r="Y658" s="1827"/>
      <c r="Z658" s="1828"/>
      <c r="AA658" s="1829"/>
      <c r="AB658" s="1829"/>
      <c r="AC658" s="1829"/>
      <c r="AD658" s="1564"/>
      <c r="AE658" s="701"/>
      <c r="AF658" s="684"/>
      <c r="AG658" s="684"/>
      <c r="AH658" s="710"/>
      <c r="AI658" s="710"/>
      <c r="AJ658" s="710"/>
      <c r="AK658" s="710"/>
      <c r="AL658" s="710"/>
      <c r="AM658" s="710"/>
      <c r="AN658" s="710"/>
      <c r="AO658" s="710"/>
      <c r="AP658" s="710"/>
      <c r="AQ658" s="710"/>
      <c r="AR658" s="710"/>
      <c r="AS658" s="710"/>
      <c r="AT658" s="710"/>
      <c r="AU658" s="1829"/>
      <c r="AV658" s="1835"/>
      <c r="AW658" s="1836"/>
      <c r="AX658" s="1836"/>
      <c r="AY658" s="1836"/>
      <c r="AZ658" s="1825"/>
      <c r="BA658" s="1825"/>
    </row>
    <row r="659" spans="2:53" s="188" customFormat="1" ht="24.95" customHeight="1">
      <c r="B659" s="281"/>
      <c r="C659" s="168"/>
      <c r="D659" s="168"/>
      <c r="E659" s="168"/>
      <c r="F659" s="227"/>
      <c r="G659" s="660"/>
      <c r="H659" s="253"/>
      <c r="I659" s="212"/>
      <c r="N659" s="212"/>
      <c r="O659" s="1557"/>
      <c r="P659" s="1558"/>
      <c r="Q659" s="661"/>
      <c r="R659" s="655"/>
      <c r="S659" s="655"/>
      <c r="T659" s="655"/>
      <c r="U659" s="655"/>
      <c r="V659" s="655"/>
      <c r="W659" s="655"/>
      <c r="Y659" s="1827"/>
      <c r="Z659" s="1828"/>
      <c r="AA659" s="1829"/>
      <c r="AB659" s="1829"/>
      <c r="AC659" s="1829"/>
      <c r="AD659" s="1564"/>
      <c r="AE659" s="701"/>
      <c r="AF659" s="684"/>
      <c r="AG659" s="684"/>
      <c r="AH659" s="710"/>
      <c r="AI659" s="710"/>
      <c r="AJ659" s="710"/>
      <c r="AK659" s="710"/>
      <c r="AL659" s="710"/>
      <c r="AM659" s="710"/>
      <c r="AN659" s="710"/>
      <c r="AO659" s="710"/>
      <c r="AP659" s="710"/>
      <c r="AQ659" s="710"/>
      <c r="AR659" s="710"/>
      <c r="AS659" s="710"/>
      <c r="AT659" s="710"/>
      <c r="AU659" s="1829"/>
      <c r="AV659" s="1835"/>
      <c r="AW659" s="1836"/>
      <c r="AX659" s="1836"/>
      <c r="AY659" s="1836"/>
      <c r="AZ659" s="1825"/>
      <c r="BA659" s="1825"/>
    </row>
    <row r="660" spans="2:53" s="188" customFormat="1" ht="24.95" customHeight="1">
      <c r="B660" s="281"/>
      <c r="C660" s="168"/>
      <c r="D660" s="168"/>
      <c r="E660" s="168"/>
      <c r="F660" s="227"/>
      <c r="G660" s="660"/>
      <c r="H660" s="253"/>
      <c r="I660" s="212"/>
      <c r="N660" s="212"/>
      <c r="O660" s="1557"/>
      <c r="P660" s="1558"/>
      <c r="Q660" s="661"/>
      <c r="R660" s="655"/>
      <c r="S660" s="655"/>
      <c r="T660" s="655"/>
      <c r="U660" s="655"/>
      <c r="V660" s="655"/>
      <c r="W660" s="655"/>
      <c r="Y660" s="1827"/>
      <c r="Z660" s="1828"/>
      <c r="AA660" s="1829"/>
      <c r="AB660" s="1829"/>
      <c r="AC660" s="1829"/>
      <c r="AD660" s="1564"/>
      <c r="AE660" s="701"/>
      <c r="AF660" s="684"/>
      <c r="AG660" s="684"/>
      <c r="AH660" s="710"/>
      <c r="AI660" s="710"/>
      <c r="AJ660" s="710"/>
      <c r="AK660" s="710"/>
      <c r="AL660" s="710"/>
      <c r="AM660" s="710"/>
      <c r="AN660" s="710"/>
      <c r="AO660" s="710"/>
      <c r="AP660" s="710"/>
      <c r="AQ660" s="710"/>
      <c r="AR660" s="710"/>
      <c r="AS660" s="710"/>
      <c r="AT660" s="710"/>
      <c r="AU660" s="1829"/>
      <c r="AV660" s="1835"/>
      <c r="AW660" s="1836"/>
      <c r="AX660" s="1836"/>
      <c r="AY660" s="1836"/>
      <c r="AZ660" s="1825"/>
      <c r="BA660" s="1825"/>
    </row>
    <row r="661" spans="2:53" s="188" customFormat="1" ht="24.95" customHeight="1">
      <c r="B661" s="281"/>
      <c r="C661" s="168"/>
      <c r="D661" s="168"/>
      <c r="E661" s="168"/>
      <c r="F661" s="227"/>
      <c r="G661" s="660"/>
      <c r="H661" s="253"/>
      <c r="I661" s="212"/>
      <c r="N661" s="212"/>
      <c r="O661" s="1557"/>
      <c r="P661" s="1558"/>
      <c r="Q661" s="661"/>
      <c r="R661" s="655"/>
      <c r="S661" s="655"/>
      <c r="T661" s="655"/>
      <c r="U661" s="655"/>
      <c r="V661" s="655"/>
      <c r="W661" s="655"/>
      <c r="Y661" s="1827"/>
      <c r="Z661" s="1828"/>
      <c r="AA661" s="1829"/>
      <c r="AB661" s="1829"/>
      <c r="AC661" s="1829"/>
      <c r="AD661" s="1564"/>
      <c r="AE661" s="701"/>
      <c r="AF661" s="684"/>
      <c r="AG661" s="684"/>
      <c r="AH661" s="710"/>
      <c r="AI661" s="710"/>
      <c r="AJ661" s="710"/>
      <c r="AK661" s="710"/>
      <c r="AL661" s="710"/>
      <c r="AM661" s="710"/>
      <c r="AN661" s="710"/>
      <c r="AO661" s="710"/>
      <c r="AP661" s="710"/>
      <c r="AQ661" s="710"/>
      <c r="AR661" s="710"/>
      <c r="AS661" s="710"/>
      <c r="AT661" s="710"/>
      <c r="AU661" s="1829"/>
      <c r="AV661" s="1835"/>
      <c r="AW661" s="1836"/>
      <c r="AX661" s="1836"/>
      <c r="AY661" s="1836"/>
      <c r="AZ661" s="1825"/>
      <c r="BA661" s="1825"/>
    </row>
    <row r="662" spans="2:53" s="188" customFormat="1" ht="24.95" customHeight="1">
      <c r="B662" s="281"/>
      <c r="C662" s="168"/>
      <c r="D662" s="168"/>
      <c r="E662" s="168"/>
      <c r="F662" s="227"/>
      <c r="G662" s="660"/>
      <c r="H662" s="253"/>
      <c r="I662" s="212"/>
      <c r="N662" s="212"/>
      <c r="O662" s="1557"/>
      <c r="P662" s="1558"/>
      <c r="Q662" s="661"/>
      <c r="R662" s="655"/>
      <c r="S662" s="655"/>
      <c r="T662" s="655"/>
      <c r="U662" s="655"/>
      <c r="V662" s="655"/>
      <c r="W662" s="655"/>
      <c r="Y662" s="1827"/>
      <c r="Z662" s="1828"/>
      <c r="AA662" s="1829"/>
      <c r="AB662" s="1829"/>
      <c r="AC662" s="1829"/>
      <c r="AD662" s="1564"/>
      <c r="AE662" s="701"/>
      <c r="AF662" s="684"/>
      <c r="AG662" s="684"/>
      <c r="AH662" s="710"/>
      <c r="AI662" s="710"/>
      <c r="AJ662" s="710"/>
      <c r="AK662" s="710"/>
      <c r="AL662" s="710"/>
      <c r="AM662" s="710"/>
      <c r="AN662" s="710"/>
      <c r="AO662" s="710"/>
      <c r="AP662" s="710"/>
      <c r="AQ662" s="710"/>
      <c r="AR662" s="710"/>
      <c r="AS662" s="710"/>
      <c r="AT662" s="710"/>
      <c r="AU662" s="1829"/>
      <c r="AV662" s="1835"/>
      <c r="AW662" s="1836"/>
      <c r="AX662" s="1836"/>
      <c r="AY662" s="1836"/>
      <c r="AZ662" s="1825"/>
      <c r="BA662" s="1825"/>
    </row>
    <row r="663" spans="2:53" s="188" customFormat="1" ht="24.95" customHeight="1">
      <c r="B663" s="281"/>
      <c r="C663" s="168"/>
      <c r="D663" s="168"/>
      <c r="E663" s="168"/>
      <c r="F663" s="227"/>
      <c r="G663" s="660"/>
      <c r="H663" s="253"/>
      <c r="I663" s="212"/>
      <c r="N663" s="212"/>
      <c r="O663" s="1557"/>
      <c r="P663" s="1558"/>
      <c r="Q663" s="661"/>
      <c r="R663" s="655"/>
      <c r="S663" s="655"/>
      <c r="T663" s="655"/>
      <c r="U663" s="655"/>
      <c r="V663" s="655"/>
      <c r="W663" s="655"/>
      <c r="Y663" s="1827"/>
      <c r="Z663" s="1828"/>
      <c r="AA663" s="1829"/>
      <c r="AB663" s="1829"/>
      <c r="AC663" s="1829"/>
      <c r="AD663" s="1564"/>
      <c r="AE663" s="701"/>
      <c r="AF663" s="684"/>
      <c r="AG663" s="684"/>
      <c r="AH663" s="710"/>
      <c r="AI663" s="710"/>
      <c r="AJ663" s="710"/>
      <c r="AK663" s="710"/>
      <c r="AL663" s="710"/>
      <c r="AM663" s="710"/>
      <c r="AN663" s="710"/>
      <c r="AO663" s="710"/>
      <c r="AP663" s="710"/>
      <c r="AQ663" s="710"/>
      <c r="AR663" s="710"/>
      <c r="AS663" s="710"/>
      <c r="AT663" s="710"/>
      <c r="AU663" s="1829"/>
      <c r="AV663" s="1835"/>
      <c r="AW663" s="1836"/>
      <c r="AX663" s="1836"/>
      <c r="AY663" s="1836"/>
      <c r="AZ663" s="1825"/>
      <c r="BA663" s="1825"/>
    </row>
    <row r="664" spans="2:53" s="188" customFormat="1" ht="24.95" customHeight="1">
      <c r="B664" s="281"/>
      <c r="C664" s="168"/>
      <c r="D664" s="168"/>
      <c r="E664" s="168"/>
      <c r="F664" s="227"/>
      <c r="G664" s="660"/>
      <c r="H664" s="253"/>
      <c r="I664" s="212"/>
      <c r="N664" s="212"/>
      <c r="O664" s="1557"/>
      <c r="P664" s="1558"/>
      <c r="Q664" s="661"/>
      <c r="R664" s="655"/>
      <c r="S664" s="655"/>
      <c r="T664" s="655"/>
      <c r="U664" s="655"/>
      <c r="V664" s="655"/>
      <c r="W664" s="655"/>
      <c r="Y664" s="1827"/>
      <c r="Z664" s="1828"/>
      <c r="AA664" s="1829"/>
      <c r="AB664" s="1829"/>
      <c r="AC664" s="1829"/>
      <c r="AD664" s="1564"/>
      <c r="AE664" s="701"/>
      <c r="AF664" s="684"/>
      <c r="AG664" s="684"/>
      <c r="AH664" s="710"/>
      <c r="AI664" s="710"/>
      <c r="AJ664" s="710"/>
      <c r="AK664" s="710"/>
      <c r="AL664" s="710"/>
      <c r="AM664" s="710"/>
      <c r="AN664" s="710"/>
      <c r="AO664" s="710"/>
      <c r="AP664" s="710"/>
      <c r="AQ664" s="710"/>
      <c r="AR664" s="710"/>
      <c r="AS664" s="710"/>
      <c r="AT664" s="710"/>
      <c r="AU664" s="1829"/>
      <c r="AV664" s="1835"/>
      <c r="AW664" s="1836"/>
      <c r="AX664" s="1836"/>
      <c r="AY664" s="1836"/>
      <c r="AZ664" s="1825"/>
      <c r="BA664" s="1825"/>
    </row>
    <row r="665" spans="2:53" s="188" customFormat="1" ht="24.95" customHeight="1">
      <c r="B665" s="281"/>
      <c r="C665" s="168"/>
      <c r="D665" s="168"/>
      <c r="E665" s="168"/>
      <c r="F665" s="227"/>
      <c r="G665" s="660"/>
      <c r="H665" s="253"/>
      <c r="I665" s="212"/>
      <c r="N665" s="212"/>
      <c r="O665" s="1557"/>
      <c r="P665" s="1558"/>
      <c r="Q665" s="661"/>
      <c r="R665" s="655"/>
      <c r="S665" s="655"/>
      <c r="T665" s="655"/>
      <c r="U665" s="655"/>
      <c r="V665" s="655"/>
      <c r="W665" s="655"/>
      <c r="Y665" s="1827"/>
      <c r="Z665" s="1828"/>
      <c r="AA665" s="1829"/>
      <c r="AB665" s="1829"/>
      <c r="AC665" s="1829"/>
      <c r="AD665" s="1564"/>
      <c r="AE665" s="701"/>
      <c r="AF665" s="684"/>
      <c r="AG665" s="684"/>
      <c r="AH665" s="710"/>
      <c r="AI665" s="710"/>
      <c r="AJ665" s="710"/>
      <c r="AK665" s="710"/>
      <c r="AL665" s="710"/>
      <c r="AM665" s="710"/>
      <c r="AN665" s="710"/>
      <c r="AO665" s="710"/>
      <c r="AP665" s="710"/>
      <c r="AQ665" s="710"/>
      <c r="AR665" s="710"/>
      <c r="AS665" s="710"/>
      <c r="AT665" s="710"/>
      <c r="AU665" s="1829"/>
      <c r="AV665" s="1835"/>
      <c r="AW665" s="1836"/>
      <c r="AX665" s="1836"/>
      <c r="AY665" s="1836"/>
      <c r="AZ665" s="1825"/>
      <c r="BA665" s="1825"/>
    </row>
    <row r="666" spans="2:53" s="188" customFormat="1" ht="24.95" customHeight="1">
      <c r="B666" s="281"/>
      <c r="C666" s="168"/>
      <c r="D666" s="168"/>
      <c r="E666" s="168"/>
      <c r="F666" s="227"/>
      <c r="G666" s="660"/>
      <c r="H666" s="253"/>
      <c r="I666" s="212"/>
      <c r="N666" s="212"/>
      <c r="O666" s="1557"/>
      <c r="P666" s="1558"/>
      <c r="Q666" s="661"/>
      <c r="R666" s="655"/>
      <c r="S666" s="655"/>
      <c r="T666" s="655"/>
      <c r="U666" s="655"/>
      <c r="V666" s="655"/>
      <c r="W666" s="655"/>
      <c r="Y666" s="1827"/>
      <c r="Z666" s="1828"/>
      <c r="AA666" s="1829"/>
      <c r="AB666" s="1829"/>
      <c r="AC666" s="1829"/>
      <c r="AD666" s="1564"/>
      <c r="AE666" s="701"/>
      <c r="AF666" s="684"/>
      <c r="AG666" s="684"/>
      <c r="AH666" s="710"/>
      <c r="AI666" s="710"/>
      <c r="AJ666" s="710"/>
      <c r="AK666" s="710"/>
      <c r="AL666" s="710"/>
      <c r="AM666" s="710"/>
      <c r="AN666" s="710"/>
      <c r="AO666" s="710"/>
      <c r="AP666" s="710"/>
      <c r="AQ666" s="710"/>
      <c r="AR666" s="710"/>
      <c r="AS666" s="710"/>
      <c r="AT666" s="710"/>
      <c r="AU666" s="1829"/>
      <c r="AV666" s="1835"/>
      <c r="AW666" s="1836"/>
      <c r="AX666" s="1836"/>
      <c r="AY666" s="1836"/>
      <c r="AZ666" s="1825"/>
      <c r="BA666" s="1825"/>
    </row>
    <row r="667" spans="2:53" s="188" customFormat="1" ht="24.95" customHeight="1">
      <c r="B667" s="281"/>
      <c r="C667" s="168"/>
      <c r="D667" s="168"/>
      <c r="E667" s="168"/>
      <c r="F667" s="227"/>
      <c r="G667" s="660"/>
      <c r="H667" s="253"/>
      <c r="I667" s="212"/>
      <c r="N667" s="212"/>
      <c r="O667" s="1557"/>
      <c r="P667" s="1558"/>
      <c r="Q667" s="661"/>
      <c r="R667" s="655"/>
      <c r="S667" s="655"/>
      <c r="T667" s="655"/>
      <c r="U667" s="655"/>
      <c r="V667" s="655"/>
      <c r="W667" s="655"/>
      <c r="Y667" s="1827"/>
      <c r="Z667" s="1828"/>
      <c r="AA667" s="1829"/>
      <c r="AB667" s="1829"/>
      <c r="AC667" s="1829"/>
      <c r="AD667" s="1564"/>
      <c r="AE667" s="701"/>
      <c r="AF667" s="684"/>
      <c r="AG667" s="684"/>
      <c r="AH667" s="710"/>
      <c r="AI667" s="710"/>
      <c r="AJ667" s="710"/>
      <c r="AK667" s="710"/>
      <c r="AL667" s="710"/>
      <c r="AM667" s="710"/>
      <c r="AN667" s="710"/>
      <c r="AO667" s="710"/>
      <c r="AP667" s="710"/>
      <c r="AQ667" s="710"/>
      <c r="AR667" s="710"/>
      <c r="AS667" s="710"/>
      <c r="AT667" s="710"/>
      <c r="AU667" s="1829"/>
      <c r="AV667" s="1835"/>
      <c r="AW667" s="1836"/>
      <c r="AX667" s="1836"/>
      <c r="AY667" s="1836"/>
      <c r="AZ667" s="1825"/>
      <c r="BA667" s="1825"/>
    </row>
    <row r="668" spans="2:53" s="188" customFormat="1" ht="24.95" customHeight="1">
      <c r="B668" s="281"/>
      <c r="C668" s="168"/>
      <c r="D668" s="168"/>
      <c r="E668" s="168"/>
      <c r="F668" s="227"/>
      <c r="G668" s="660"/>
      <c r="H668" s="253"/>
      <c r="I668" s="212"/>
      <c r="N668" s="212"/>
      <c r="O668" s="1557"/>
      <c r="P668" s="1558"/>
      <c r="Q668" s="661"/>
      <c r="R668" s="655"/>
      <c r="S668" s="655"/>
      <c r="T668" s="655"/>
      <c r="U668" s="655"/>
      <c r="V668" s="655"/>
      <c r="W668" s="655"/>
      <c r="Y668" s="1827"/>
      <c r="Z668" s="1828"/>
      <c r="AA668" s="1829"/>
      <c r="AB668" s="1829"/>
      <c r="AC668" s="1829"/>
      <c r="AD668" s="1564"/>
      <c r="AE668" s="701"/>
      <c r="AF668" s="684"/>
      <c r="AG668" s="684"/>
      <c r="AH668" s="710"/>
      <c r="AI668" s="710"/>
      <c r="AJ668" s="710"/>
      <c r="AK668" s="710"/>
      <c r="AL668" s="710"/>
      <c r="AM668" s="710"/>
      <c r="AN668" s="710"/>
      <c r="AO668" s="710"/>
      <c r="AP668" s="710"/>
      <c r="AQ668" s="710"/>
      <c r="AR668" s="710"/>
      <c r="AS668" s="710"/>
      <c r="AT668" s="710"/>
      <c r="AU668" s="1829"/>
      <c r="AV668" s="1835"/>
      <c r="AW668" s="1836"/>
      <c r="AX668" s="1836"/>
      <c r="AY668" s="1836"/>
      <c r="AZ668" s="1825"/>
      <c r="BA668" s="1825"/>
    </row>
    <row r="669" spans="2:53" s="188" customFormat="1" ht="24.95" customHeight="1">
      <c r="B669" s="281"/>
      <c r="C669" s="168"/>
      <c r="D669" s="168"/>
      <c r="E669" s="168"/>
      <c r="F669" s="227"/>
      <c r="G669" s="660"/>
      <c r="H669" s="253"/>
      <c r="I669" s="212"/>
      <c r="N669" s="212"/>
      <c r="O669" s="1557"/>
      <c r="P669" s="1558"/>
      <c r="Q669" s="661"/>
      <c r="R669" s="655"/>
      <c r="S669" s="655"/>
      <c r="T669" s="655"/>
      <c r="U669" s="655"/>
      <c r="V669" s="655"/>
      <c r="W669" s="655"/>
      <c r="Y669" s="1827"/>
      <c r="Z669" s="1828"/>
      <c r="AA669" s="1829"/>
      <c r="AB669" s="1829"/>
      <c r="AC669" s="1829"/>
      <c r="AD669" s="1564"/>
      <c r="AE669" s="701"/>
      <c r="AF669" s="684"/>
      <c r="AG669" s="684"/>
      <c r="AH669" s="710"/>
      <c r="AI669" s="710"/>
      <c r="AJ669" s="710"/>
      <c r="AK669" s="710"/>
      <c r="AL669" s="710"/>
      <c r="AM669" s="710"/>
      <c r="AN669" s="710"/>
      <c r="AO669" s="710"/>
      <c r="AP669" s="710"/>
      <c r="AQ669" s="710"/>
      <c r="AR669" s="710"/>
      <c r="AS669" s="710"/>
      <c r="AT669" s="710"/>
      <c r="AU669" s="1829"/>
      <c r="AV669" s="1835"/>
      <c r="AW669" s="1836"/>
      <c r="AX669" s="1836"/>
      <c r="AY669" s="1836"/>
      <c r="AZ669" s="1825"/>
      <c r="BA669" s="1825"/>
    </row>
    <row r="670" spans="2:53" s="188" customFormat="1" ht="24.95" customHeight="1">
      <c r="B670" s="281"/>
      <c r="C670" s="168"/>
      <c r="D670" s="168"/>
      <c r="E670" s="168"/>
      <c r="F670" s="227"/>
      <c r="G670" s="660"/>
      <c r="H670" s="253"/>
      <c r="I670" s="212"/>
      <c r="N670" s="212"/>
      <c r="O670" s="1557"/>
      <c r="P670" s="1558"/>
      <c r="Q670" s="661"/>
      <c r="R670" s="655"/>
      <c r="S670" s="655"/>
      <c r="T670" s="655"/>
      <c r="U670" s="655"/>
      <c r="V670" s="655"/>
      <c r="W670" s="655"/>
      <c r="Y670" s="1827"/>
      <c r="Z670" s="1828"/>
      <c r="AA670" s="1829"/>
      <c r="AB670" s="1829"/>
      <c r="AC670" s="1829"/>
      <c r="AD670" s="1564"/>
      <c r="AE670" s="701"/>
      <c r="AF670" s="684"/>
      <c r="AG670" s="684"/>
      <c r="AH670" s="710"/>
      <c r="AI670" s="710"/>
      <c r="AJ670" s="710"/>
      <c r="AK670" s="710"/>
      <c r="AL670" s="710"/>
      <c r="AM670" s="710"/>
      <c r="AN670" s="710"/>
      <c r="AO670" s="710"/>
      <c r="AP670" s="710"/>
      <c r="AQ670" s="710"/>
      <c r="AR670" s="710"/>
      <c r="AS670" s="710"/>
      <c r="AT670" s="710"/>
      <c r="AU670" s="1829"/>
      <c r="AV670" s="1835"/>
      <c r="AW670" s="1836"/>
      <c r="AX670" s="1836"/>
      <c r="AY670" s="1836"/>
      <c r="AZ670" s="1825"/>
      <c r="BA670" s="1825"/>
    </row>
    <row r="671" spans="2:53" s="188" customFormat="1" ht="24.95" customHeight="1">
      <c r="B671" s="281"/>
      <c r="C671" s="168"/>
      <c r="D671" s="168"/>
      <c r="E671" s="168"/>
      <c r="F671" s="227"/>
      <c r="G671" s="660"/>
      <c r="H671" s="253"/>
      <c r="I671" s="212"/>
      <c r="N671" s="212"/>
      <c r="O671" s="1557"/>
      <c r="P671" s="1558"/>
      <c r="Q671" s="661"/>
      <c r="R671" s="655"/>
      <c r="S671" s="655"/>
      <c r="T671" s="655"/>
      <c r="U671" s="655"/>
      <c r="V671" s="655"/>
      <c r="W671" s="655"/>
      <c r="Y671" s="1827"/>
      <c r="Z671" s="1828"/>
      <c r="AA671" s="1829"/>
      <c r="AB671" s="1829"/>
      <c r="AC671" s="1829"/>
      <c r="AD671" s="1564"/>
      <c r="AE671" s="701"/>
      <c r="AF671" s="684"/>
      <c r="AG671" s="684"/>
      <c r="AH671" s="710"/>
      <c r="AI671" s="710"/>
      <c r="AJ671" s="710"/>
      <c r="AK671" s="710"/>
      <c r="AL671" s="710"/>
      <c r="AM671" s="710"/>
      <c r="AN671" s="710"/>
      <c r="AO671" s="710"/>
      <c r="AP671" s="710"/>
      <c r="AQ671" s="710"/>
      <c r="AR671" s="710"/>
      <c r="AS671" s="710"/>
      <c r="AT671" s="710"/>
      <c r="AU671" s="1829"/>
      <c r="AV671" s="1835"/>
      <c r="AW671" s="1836"/>
      <c r="AX671" s="1836"/>
      <c r="AY671" s="1836"/>
      <c r="AZ671" s="1825"/>
      <c r="BA671" s="1825"/>
    </row>
    <row r="672" spans="2:53" s="188" customFormat="1" ht="24.95" customHeight="1">
      <c r="B672" s="281"/>
      <c r="C672" s="168"/>
      <c r="D672" s="168"/>
      <c r="E672" s="168"/>
      <c r="F672" s="227"/>
      <c r="G672" s="660"/>
      <c r="H672" s="253"/>
      <c r="I672" s="212"/>
      <c r="N672" s="212"/>
      <c r="O672" s="1557"/>
      <c r="P672" s="1558"/>
      <c r="Q672" s="661"/>
      <c r="R672" s="655"/>
      <c r="S672" s="655"/>
      <c r="T672" s="655"/>
      <c r="U672" s="655"/>
      <c r="V672" s="655"/>
      <c r="W672" s="655"/>
      <c r="Y672" s="1827"/>
      <c r="Z672" s="1828"/>
      <c r="AA672" s="1829"/>
      <c r="AB672" s="1829"/>
      <c r="AC672" s="1829"/>
      <c r="AD672" s="1564"/>
      <c r="AE672" s="701"/>
      <c r="AF672" s="684"/>
      <c r="AG672" s="684"/>
      <c r="AH672" s="710"/>
      <c r="AI672" s="710"/>
      <c r="AJ672" s="710"/>
      <c r="AK672" s="710"/>
      <c r="AL672" s="710"/>
      <c r="AM672" s="710"/>
      <c r="AN672" s="710"/>
      <c r="AO672" s="710"/>
      <c r="AP672" s="710"/>
      <c r="AQ672" s="710"/>
      <c r="AR672" s="710"/>
      <c r="AS672" s="710"/>
      <c r="AT672" s="710"/>
      <c r="AU672" s="1829"/>
      <c r="AV672" s="1835"/>
      <c r="AW672" s="1836"/>
      <c r="AX672" s="1836"/>
      <c r="AY672" s="1836"/>
      <c r="AZ672" s="1825"/>
      <c r="BA672" s="1825"/>
    </row>
    <row r="673" spans="2:53" s="188" customFormat="1" ht="24.95" customHeight="1">
      <c r="B673" s="281"/>
      <c r="C673" s="168"/>
      <c r="D673" s="168"/>
      <c r="E673" s="168"/>
      <c r="F673" s="227"/>
      <c r="G673" s="660"/>
      <c r="H673" s="253"/>
      <c r="I673" s="212"/>
      <c r="N673" s="212"/>
      <c r="O673" s="1557"/>
      <c r="P673" s="1558"/>
      <c r="Q673" s="661"/>
      <c r="R673" s="655"/>
      <c r="S673" s="655"/>
      <c r="T673" s="655"/>
      <c r="U673" s="655"/>
      <c r="V673" s="655"/>
      <c r="W673" s="655"/>
      <c r="Y673" s="1827"/>
      <c r="Z673" s="1828"/>
      <c r="AA673" s="1829"/>
      <c r="AB673" s="1829"/>
      <c r="AC673" s="1829"/>
      <c r="AD673" s="1564"/>
      <c r="AE673" s="701"/>
      <c r="AF673" s="684"/>
      <c r="AG673" s="684"/>
      <c r="AH673" s="710"/>
      <c r="AI673" s="710"/>
      <c r="AJ673" s="710"/>
      <c r="AK673" s="710"/>
      <c r="AL673" s="710"/>
      <c r="AM673" s="710"/>
      <c r="AN673" s="710"/>
      <c r="AO673" s="710"/>
      <c r="AP673" s="710"/>
      <c r="AQ673" s="710"/>
      <c r="AR673" s="710"/>
      <c r="AS673" s="710"/>
      <c r="AT673" s="710"/>
      <c r="AU673" s="1829"/>
      <c r="AV673" s="1835"/>
      <c r="AW673" s="1836"/>
      <c r="AX673" s="1836"/>
      <c r="AY673" s="1836"/>
      <c r="AZ673" s="1825"/>
      <c r="BA673" s="1825"/>
    </row>
    <row r="674" spans="2:53" s="188" customFormat="1" ht="24.95" customHeight="1">
      <c r="B674" s="281"/>
      <c r="C674" s="168"/>
      <c r="D674" s="168"/>
      <c r="E674" s="168"/>
      <c r="F674" s="227"/>
      <c r="G674" s="660"/>
      <c r="H674" s="253"/>
      <c r="I674" s="212"/>
      <c r="N674" s="212"/>
      <c r="O674" s="1557"/>
      <c r="P674" s="1558"/>
      <c r="Q674" s="661"/>
      <c r="R674" s="655"/>
      <c r="S674" s="655"/>
      <c r="T674" s="655"/>
      <c r="U674" s="655"/>
      <c r="V674" s="655"/>
      <c r="W674" s="655"/>
      <c r="Y674" s="1827"/>
      <c r="Z674" s="1828"/>
      <c r="AA674" s="1829"/>
      <c r="AB674" s="1829"/>
      <c r="AC674" s="1829"/>
      <c r="AD674" s="1564"/>
      <c r="AE674" s="701"/>
      <c r="AF674" s="684"/>
      <c r="AG674" s="684"/>
      <c r="AH674" s="710"/>
      <c r="AI674" s="710"/>
      <c r="AJ674" s="710"/>
      <c r="AK674" s="710"/>
      <c r="AL674" s="710"/>
      <c r="AM674" s="710"/>
      <c r="AN674" s="710"/>
      <c r="AO674" s="710"/>
      <c r="AP674" s="710"/>
      <c r="AQ674" s="710"/>
      <c r="AR674" s="710"/>
      <c r="AS674" s="710"/>
      <c r="AT674" s="710"/>
      <c r="AU674" s="1829"/>
      <c r="AV674" s="1835"/>
      <c r="AW674" s="1836"/>
      <c r="AX674" s="1836"/>
      <c r="AY674" s="1836"/>
      <c r="AZ674" s="1825"/>
      <c r="BA674" s="1825"/>
    </row>
    <row r="675" spans="2:53" s="188" customFormat="1" ht="24.95" customHeight="1">
      <c r="B675" s="281"/>
      <c r="C675" s="168"/>
      <c r="D675" s="168"/>
      <c r="E675" s="168"/>
      <c r="F675" s="227"/>
      <c r="G675" s="660"/>
      <c r="H675" s="253"/>
      <c r="I675" s="212"/>
      <c r="N675" s="212"/>
      <c r="O675" s="1557"/>
      <c r="P675" s="1558"/>
      <c r="Q675" s="661"/>
      <c r="R675" s="655"/>
      <c r="S675" s="655"/>
      <c r="T675" s="655"/>
      <c r="U675" s="655"/>
      <c r="V675" s="655"/>
      <c r="W675" s="655"/>
      <c r="Y675" s="1827"/>
      <c r="Z675" s="1828"/>
      <c r="AA675" s="1829"/>
      <c r="AB675" s="1829"/>
      <c r="AC675" s="1829"/>
      <c r="AD675" s="1564"/>
      <c r="AE675" s="701"/>
      <c r="AF675" s="684"/>
      <c r="AG675" s="684"/>
      <c r="AH675" s="710"/>
      <c r="AI675" s="710"/>
      <c r="AJ675" s="710"/>
      <c r="AK675" s="710"/>
      <c r="AL675" s="710"/>
      <c r="AM675" s="710"/>
      <c r="AN675" s="710"/>
      <c r="AO675" s="710"/>
      <c r="AP675" s="710"/>
      <c r="AQ675" s="710"/>
      <c r="AR675" s="710"/>
      <c r="AS675" s="710"/>
      <c r="AT675" s="710"/>
      <c r="AU675" s="1829"/>
      <c r="AV675" s="1835"/>
      <c r="AW675" s="1836"/>
      <c r="AX675" s="1836"/>
      <c r="AY675" s="1836"/>
      <c r="AZ675" s="1825"/>
      <c r="BA675" s="1825"/>
    </row>
    <row r="676" spans="2:53" s="188" customFormat="1" ht="24.95" customHeight="1">
      <c r="B676" s="281"/>
      <c r="C676" s="168"/>
      <c r="D676" s="168"/>
      <c r="E676" s="168"/>
      <c r="F676" s="227"/>
      <c r="G676" s="660"/>
      <c r="H676" s="253"/>
      <c r="I676" s="212"/>
      <c r="N676" s="212"/>
      <c r="O676" s="1557"/>
      <c r="P676" s="1558"/>
      <c r="Q676" s="661"/>
      <c r="R676" s="655"/>
      <c r="S676" s="655"/>
      <c r="T676" s="655"/>
      <c r="U676" s="655"/>
      <c r="V676" s="655"/>
      <c r="W676" s="655"/>
      <c r="Y676" s="1827"/>
      <c r="Z676" s="1828"/>
      <c r="AA676" s="1829"/>
      <c r="AB676" s="1829"/>
      <c r="AC676" s="1829"/>
      <c r="AD676" s="1564"/>
      <c r="AE676" s="701"/>
      <c r="AF676" s="684"/>
      <c r="AG676" s="684"/>
      <c r="AH676" s="710"/>
      <c r="AI676" s="710"/>
      <c r="AJ676" s="710"/>
      <c r="AK676" s="710"/>
      <c r="AL676" s="710"/>
      <c r="AM676" s="710"/>
      <c r="AN676" s="710"/>
      <c r="AO676" s="710"/>
      <c r="AP676" s="710"/>
      <c r="AQ676" s="710"/>
      <c r="AR676" s="710"/>
      <c r="AS676" s="710"/>
      <c r="AT676" s="710"/>
      <c r="AU676" s="1829"/>
      <c r="AV676" s="1835"/>
      <c r="AW676" s="1836"/>
      <c r="AX676" s="1836"/>
      <c r="AY676" s="1836"/>
      <c r="AZ676" s="1825"/>
      <c r="BA676" s="1825"/>
    </row>
    <row r="677" spans="2:53" s="188" customFormat="1" ht="24.95" customHeight="1">
      <c r="B677" s="281"/>
      <c r="C677" s="168"/>
      <c r="D677" s="168"/>
      <c r="E677" s="168"/>
      <c r="F677" s="227"/>
      <c r="G677" s="660"/>
      <c r="H677" s="253"/>
      <c r="I677" s="212"/>
      <c r="N677" s="212"/>
      <c r="O677" s="1557"/>
      <c r="P677" s="1558"/>
      <c r="Q677" s="661"/>
      <c r="R677" s="655"/>
      <c r="S677" s="655"/>
      <c r="T677" s="655"/>
      <c r="U677" s="655"/>
      <c r="V677" s="655"/>
      <c r="W677" s="655"/>
      <c r="Y677" s="1827"/>
      <c r="Z677" s="1828"/>
      <c r="AA677" s="1829"/>
      <c r="AB677" s="1829"/>
      <c r="AC677" s="1829"/>
      <c r="AD677" s="1564"/>
      <c r="AE677" s="701"/>
      <c r="AF677" s="684"/>
      <c r="AG677" s="684"/>
      <c r="AH677" s="710"/>
      <c r="AI677" s="710"/>
      <c r="AJ677" s="710"/>
      <c r="AK677" s="710"/>
      <c r="AL677" s="710"/>
      <c r="AM677" s="710"/>
      <c r="AN677" s="710"/>
      <c r="AO677" s="710"/>
      <c r="AP677" s="710"/>
      <c r="AQ677" s="710"/>
      <c r="AR677" s="710"/>
      <c r="AS677" s="710"/>
      <c r="AT677" s="710"/>
      <c r="AU677" s="1829"/>
      <c r="AV677" s="1835"/>
      <c r="AW677" s="1836"/>
      <c r="AX677" s="1836"/>
      <c r="AY677" s="1836"/>
      <c r="AZ677" s="1825"/>
      <c r="BA677" s="1825"/>
    </row>
    <row r="678" spans="2:53" s="188" customFormat="1" ht="24.95" customHeight="1">
      <c r="B678" s="281"/>
      <c r="C678" s="168"/>
      <c r="D678" s="168"/>
      <c r="E678" s="168"/>
      <c r="F678" s="227"/>
      <c r="G678" s="660"/>
      <c r="H678" s="253"/>
      <c r="I678" s="212"/>
      <c r="N678" s="212"/>
      <c r="O678" s="1557"/>
      <c r="P678" s="1558"/>
      <c r="Q678" s="661"/>
      <c r="R678" s="655"/>
      <c r="S678" s="655"/>
      <c r="T678" s="655"/>
      <c r="U678" s="655"/>
      <c r="V678" s="655"/>
      <c r="W678" s="655"/>
      <c r="Y678" s="1827"/>
      <c r="Z678" s="1828"/>
      <c r="AA678" s="1829"/>
      <c r="AB678" s="1829"/>
      <c r="AC678" s="1829"/>
      <c r="AD678" s="1564"/>
      <c r="AE678" s="701"/>
      <c r="AF678" s="684"/>
      <c r="AG678" s="684"/>
      <c r="AH678" s="710"/>
      <c r="AI678" s="710"/>
      <c r="AJ678" s="710"/>
      <c r="AK678" s="710"/>
      <c r="AL678" s="710"/>
      <c r="AM678" s="710"/>
      <c r="AN678" s="710"/>
      <c r="AO678" s="710"/>
      <c r="AP678" s="710"/>
      <c r="AQ678" s="710"/>
      <c r="AR678" s="710"/>
      <c r="AS678" s="710"/>
      <c r="AT678" s="710"/>
      <c r="AU678" s="1829"/>
      <c r="AV678" s="1835"/>
      <c r="AW678" s="1836"/>
      <c r="AX678" s="1836"/>
      <c r="AY678" s="1836"/>
      <c r="AZ678" s="1825"/>
      <c r="BA678" s="1825"/>
    </row>
    <row r="679" spans="2:53" s="188" customFormat="1" ht="24.95" customHeight="1">
      <c r="B679" s="281"/>
      <c r="C679" s="168"/>
      <c r="D679" s="168"/>
      <c r="E679" s="168"/>
      <c r="F679" s="227"/>
      <c r="G679" s="660"/>
      <c r="H679" s="253"/>
      <c r="I679" s="212"/>
      <c r="N679" s="212"/>
      <c r="O679" s="1557"/>
      <c r="P679" s="1558"/>
      <c r="Q679" s="661"/>
      <c r="R679" s="655"/>
      <c r="S679" s="655"/>
      <c r="T679" s="655"/>
      <c r="U679" s="655"/>
      <c r="V679" s="655"/>
      <c r="W679" s="655"/>
      <c r="Y679" s="1827"/>
      <c r="Z679" s="1828"/>
      <c r="AA679" s="1829"/>
      <c r="AB679" s="1829"/>
      <c r="AC679" s="1829"/>
      <c r="AD679" s="1564"/>
      <c r="AE679" s="701"/>
      <c r="AF679" s="684"/>
      <c r="AG679" s="684"/>
      <c r="AH679" s="710"/>
      <c r="AI679" s="710"/>
      <c r="AJ679" s="710"/>
      <c r="AK679" s="710"/>
      <c r="AL679" s="710"/>
      <c r="AM679" s="710"/>
      <c r="AN679" s="710"/>
      <c r="AO679" s="710"/>
      <c r="AP679" s="710"/>
      <c r="AQ679" s="710"/>
      <c r="AR679" s="710"/>
      <c r="AS679" s="710"/>
      <c r="AT679" s="710"/>
      <c r="AU679" s="1829"/>
      <c r="AV679" s="1835"/>
      <c r="AW679" s="1836"/>
      <c r="AX679" s="1836"/>
      <c r="AY679" s="1836"/>
      <c r="AZ679" s="1825"/>
      <c r="BA679" s="1825"/>
    </row>
    <row r="680" spans="2:53" s="188" customFormat="1" ht="24.95" customHeight="1">
      <c r="B680" s="281"/>
      <c r="C680" s="168"/>
      <c r="D680" s="168"/>
      <c r="E680" s="168"/>
      <c r="F680" s="227"/>
      <c r="G680" s="660"/>
      <c r="H680" s="253"/>
      <c r="I680" s="212"/>
      <c r="N680" s="212"/>
      <c r="O680" s="1557"/>
      <c r="P680" s="1558"/>
      <c r="Q680" s="661"/>
      <c r="R680" s="655"/>
      <c r="S680" s="655"/>
      <c r="T680" s="655"/>
      <c r="U680" s="655"/>
      <c r="V680" s="655"/>
      <c r="W680" s="655"/>
      <c r="Y680" s="1827"/>
      <c r="Z680" s="1828"/>
      <c r="AA680" s="1829"/>
      <c r="AB680" s="1829"/>
      <c r="AC680" s="1829"/>
      <c r="AD680" s="1564"/>
      <c r="AE680" s="701"/>
      <c r="AF680" s="684"/>
      <c r="AG680" s="684"/>
      <c r="AH680" s="710"/>
      <c r="AI680" s="710"/>
      <c r="AJ680" s="710"/>
      <c r="AK680" s="710"/>
      <c r="AL680" s="710"/>
      <c r="AM680" s="710"/>
      <c r="AN680" s="710"/>
      <c r="AO680" s="710"/>
      <c r="AP680" s="710"/>
      <c r="AQ680" s="710"/>
      <c r="AR680" s="710"/>
      <c r="AS680" s="710"/>
      <c r="AT680" s="710"/>
      <c r="AU680" s="1829"/>
      <c r="AV680" s="1835"/>
      <c r="AW680" s="1836"/>
      <c r="AX680" s="1836"/>
      <c r="AY680" s="1836"/>
      <c r="AZ680" s="1825"/>
      <c r="BA680" s="1825"/>
    </row>
    <row r="681" spans="2:53" s="188" customFormat="1" ht="24.95" customHeight="1">
      <c r="B681" s="281"/>
      <c r="C681" s="168"/>
      <c r="D681" s="168"/>
      <c r="E681" s="168"/>
      <c r="F681" s="227"/>
      <c r="G681" s="660"/>
      <c r="H681" s="253"/>
      <c r="I681" s="212"/>
      <c r="N681" s="212"/>
      <c r="O681" s="1557"/>
      <c r="P681" s="1558"/>
      <c r="Q681" s="661"/>
      <c r="R681" s="655"/>
      <c r="S681" s="655"/>
      <c r="T681" s="655"/>
      <c r="U681" s="655"/>
      <c r="V681" s="655"/>
      <c r="W681" s="655"/>
      <c r="Y681" s="1827"/>
      <c r="Z681" s="1828"/>
      <c r="AA681" s="1829"/>
      <c r="AB681" s="1829"/>
      <c r="AC681" s="1829"/>
      <c r="AD681" s="1564"/>
      <c r="AE681" s="701"/>
      <c r="AF681" s="684"/>
      <c r="AG681" s="684"/>
      <c r="AH681" s="710"/>
      <c r="AI681" s="710"/>
      <c r="AJ681" s="710"/>
      <c r="AK681" s="710"/>
      <c r="AL681" s="710"/>
      <c r="AM681" s="710"/>
      <c r="AN681" s="710"/>
      <c r="AO681" s="710"/>
      <c r="AP681" s="710"/>
      <c r="AQ681" s="710"/>
      <c r="AR681" s="710"/>
      <c r="AS681" s="710"/>
      <c r="AT681" s="710"/>
      <c r="AU681" s="1829"/>
      <c r="AV681" s="1835"/>
      <c r="AW681" s="1836"/>
      <c r="AX681" s="1836"/>
      <c r="AY681" s="1836"/>
      <c r="AZ681" s="1825"/>
      <c r="BA681" s="1825"/>
    </row>
    <row r="682" spans="2:53" s="188" customFormat="1" ht="24.95" customHeight="1">
      <c r="B682" s="281"/>
      <c r="C682" s="168"/>
      <c r="D682" s="168"/>
      <c r="E682" s="168"/>
      <c r="F682" s="227"/>
      <c r="G682" s="660"/>
      <c r="H682" s="253"/>
      <c r="I682" s="212"/>
      <c r="N682" s="212"/>
      <c r="O682" s="1557"/>
      <c r="P682" s="1558"/>
      <c r="Q682" s="661"/>
      <c r="R682" s="655"/>
      <c r="S682" s="655"/>
      <c r="T682" s="655"/>
      <c r="U682" s="655"/>
      <c r="V682" s="655"/>
      <c r="W682" s="655"/>
      <c r="Y682" s="1827"/>
      <c r="Z682" s="1828"/>
      <c r="AA682" s="1829"/>
      <c r="AB682" s="1829"/>
      <c r="AC682" s="1829"/>
      <c r="AD682" s="1564"/>
      <c r="AE682" s="701"/>
      <c r="AF682" s="684"/>
      <c r="AG682" s="684"/>
      <c r="AH682" s="710"/>
      <c r="AI682" s="710"/>
      <c r="AJ682" s="710"/>
      <c r="AK682" s="710"/>
      <c r="AL682" s="710"/>
      <c r="AM682" s="710"/>
      <c r="AN682" s="710"/>
      <c r="AO682" s="710"/>
      <c r="AP682" s="710"/>
      <c r="AQ682" s="710"/>
      <c r="AR682" s="710"/>
      <c r="AS682" s="710"/>
      <c r="AT682" s="710"/>
      <c r="AU682" s="1829"/>
      <c r="AV682" s="1835"/>
      <c r="AW682" s="1836"/>
      <c r="AX682" s="1836"/>
      <c r="AY682" s="1836"/>
      <c r="AZ682" s="1825"/>
      <c r="BA682" s="1825"/>
    </row>
    <row r="683" spans="2:53" s="188" customFormat="1" ht="24.95" customHeight="1">
      <c r="B683" s="281"/>
      <c r="C683" s="168"/>
      <c r="D683" s="168"/>
      <c r="E683" s="168"/>
      <c r="F683" s="227"/>
      <c r="G683" s="660"/>
      <c r="H683" s="253"/>
      <c r="I683" s="212"/>
      <c r="N683" s="212"/>
      <c r="O683" s="1557"/>
      <c r="P683" s="1558"/>
      <c r="Q683" s="661"/>
      <c r="R683" s="655"/>
      <c r="S683" s="655"/>
      <c r="T683" s="655"/>
      <c r="U683" s="655"/>
      <c r="V683" s="655"/>
      <c r="W683" s="655"/>
      <c r="Y683" s="1827"/>
      <c r="Z683" s="1828"/>
      <c r="AA683" s="1829"/>
      <c r="AB683" s="1829"/>
      <c r="AC683" s="1829"/>
      <c r="AD683" s="1564"/>
      <c r="AE683" s="701"/>
      <c r="AF683" s="684"/>
      <c r="AG683" s="684"/>
      <c r="AH683" s="710"/>
      <c r="AI683" s="710"/>
      <c r="AJ683" s="710"/>
      <c r="AK683" s="710"/>
      <c r="AL683" s="710"/>
      <c r="AM683" s="710"/>
      <c r="AN683" s="710"/>
      <c r="AO683" s="710"/>
      <c r="AP683" s="710"/>
      <c r="AQ683" s="710"/>
      <c r="AR683" s="710"/>
      <c r="AS683" s="710"/>
      <c r="AT683" s="710"/>
      <c r="AU683" s="1829"/>
      <c r="AV683" s="1835"/>
      <c r="AW683" s="1836"/>
      <c r="AX683" s="1836"/>
      <c r="AY683" s="1836"/>
      <c r="AZ683" s="1825"/>
      <c r="BA683" s="1825"/>
    </row>
    <row r="684" spans="2:53" s="188" customFormat="1" ht="24.95" customHeight="1">
      <c r="B684" s="281"/>
      <c r="C684" s="168"/>
      <c r="D684" s="168"/>
      <c r="E684" s="168"/>
      <c r="F684" s="227"/>
      <c r="G684" s="660"/>
      <c r="H684" s="253"/>
      <c r="I684" s="212"/>
      <c r="N684" s="212"/>
      <c r="O684" s="1557"/>
      <c r="P684" s="1558"/>
      <c r="Q684" s="661"/>
      <c r="R684" s="655"/>
      <c r="S684" s="655"/>
      <c r="T684" s="655"/>
      <c r="U684" s="655"/>
      <c r="V684" s="655"/>
      <c r="W684" s="655"/>
      <c r="Y684" s="1827"/>
      <c r="Z684" s="1828"/>
      <c r="AA684" s="1829"/>
      <c r="AB684" s="1829"/>
      <c r="AC684" s="1829"/>
      <c r="AD684" s="1564"/>
      <c r="AE684" s="701"/>
      <c r="AF684" s="684"/>
      <c r="AG684" s="684"/>
      <c r="AH684" s="710"/>
      <c r="AI684" s="710"/>
      <c r="AJ684" s="710"/>
      <c r="AK684" s="710"/>
      <c r="AL684" s="710"/>
      <c r="AM684" s="710"/>
      <c r="AN684" s="710"/>
      <c r="AO684" s="710"/>
      <c r="AP684" s="710"/>
      <c r="AQ684" s="710"/>
      <c r="AR684" s="710"/>
      <c r="AS684" s="710"/>
      <c r="AT684" s="710"/>
      <c r="AU684" s="1829"/>
      <c r="AV684" s="1835"/>
      <c r="AW684" s="1836"/>
      <c r="AX684" s="1836"/>
      <c r="AY684" s="1836"/>
      <c r="AZ684" s="1825"/>
      <c r="BA684" s="1825"/>
    </row>
    <row r="685" spans="2:53" s="188" customFormat="1" ht="24.95" customHeight="1">
      <c r="B685" s="281"/>
      <c r="C685" s="168"/>
      <c r="D685" s="168"/>
      <c r="E685" s="168"/>
      <c r="F685" s="227"/>
      <c r="G685" s="660"/>
      <c r="H685" s="253"/>
      <c r="I685" s="212"/>
      <c r="N685" s="212"/>
      <c r="O685" s="1557"/>
      <c r="P685" s="1558"/>
      <c r="Q685" s="661"/>
      <c r="R685" s="655"/>
      <c r="S685" s="655"/>
      <c r="T685" s="655"/>
      <c r="U685" s="655"/>
      <c r="V685" s="655"/>
      <c r="W685" s="655"/>
      <c r="Y685" s="1827"/>
      <c r="Z685" s="1828"/>
      <c r="AA685" s="1829"/>
      <c r="AB685" s="1829"/>
      <c r="AC685" s="1829"/>
      <c r="AD685" s="1564"/>
      <c r="AE685" s="701"/>
      <c r="AF685" s="684"/>
      <c r="AG685" s="684"/>
      <c r="AH685" s="710"/>
      <c r="AI685" s="710"/>
      <c r="AJ685" s="710"/>
      <c r="AK685" s="710"/>
      <c r="AL685" s="710"/>
      <c r="AM685" s="710"/>
      <c r="AN685" s="710"/>
      <c r="AO685" s="710"/>
      <c r="AP685" s="710"/>
      <c r="AQ685" s="710"/>
      <c r="AR685" s="710"/>
      <c r="AS685" s="710"/>
      <c r="AT685" s="710"/>
      <c r="AU685" s="1829"/>
      <c r="AV685" s="1835"/>
      <c r="AW685" s="1836"/>
      <c r="AX685" s="1836"/>
      <c r="AY685" s="1836"/>
      <c r="AZ685" s="1825"/>
      <c r="BA685" s="1825"/>
    </row>
    <row r="686" spans="2:53" s="188" customFormat="1" ht="24.95" customHeight="1">
      <c r="B686" s="281"/>
      <c r="C686" s="168"/>
      <c r="D686" s="168"/>
      <c r="E686" s="168"/>
      <c r="F686" s="227"/>
      <c r="G686" s="660"/>
      <c r="H686" s="253"/>
      <c r="I686" s="212"/>
      <c r="N686" s="212"/>
      <c r="O686" s="1557"/>
      <c r="P686" s="1558"/>
      <c r="Q686" s="661"/>
      <c r="R686" s="655"/>
      <c r="S686" s="655"/>
      <c r="T686" s="655"/>
      <c r="U686" s="655"/>
      <c r="V686" s="655"/>
      <c r="W686" s="655"/>
      <c r="Y686" s="1827"/>
      <c r="Z686" s="1828"/>
      <c r="AA686" s="1829"/>
      <c r="AB686" s="1829"/>
      <c r="AC686" s="1829"/>
      <c r="AD686" s="1564"/>
      <c r="AE686" s="701"/>
      <c r="AF686" s="684"/>
      <c r="AG686" s="684"/>
      <c r="AH686" s="710"/>
      <c r="AI686" s="710"/>
      <c r="AJ686" s="710"/>
      <c r="AK686" s="710"/>
      <c r="AL686" s="710"/>
      <c r="AM686" s="710"/>
      <c r="AN686" s="710"/>
      <c r="AO686" s="710"/>
      <c r="AP686" s="710"/>
      <c r="AQ686" s="710"/>
      <c r="AR686" s="710"/>
      <c r="AS686" s="710"/>
      <c r="AT686" s="710"/>
      <c r="AU686" s="1829"/>
      <c r="AV686" s="1835"/>
      <c r="AW686" s="1836"/>
      <c r="AX686" s="1836"/>
      <c r="AY686" s="1836"/>
      <c r="AZ686" s="1825"/>
      <c r="BA686" s="1825"/>
    </row>
    <row r="687" spans="2:53" s="188" customFormat="1" ht="24.95" customHeight="1">
      <c r="B687" s="281"/>
      <c r="C687" s="168"/>
      <c r="D687" s="168"/>
      <c r="E687" s="168"/>
      <c r="F687" s="227"/>
      <c r="G687" s="660"/>
      <c r="H687" s="253"/>
      <c r="I687" s="212"/>
      <c r="N687" s="212"/>
      <c r="O687" s="1557"/>
      <c r="P687" s="1558"/>
      <c r="Q687" s="661"/>
      <c r="R687" s="655"/>
      <c r="S687" s="655"/>
      <c r="T687" s="655"/>
      <c r="U687" s="655"/>
      <c r="V687" s="655"/>
      <c r="W687" s="655"/>
      <c r="Y687" s="1827"/>
      <c r="Z687" s="1828"/>
      <c r="AA687" s="1829"/>
      <c r="AB687" s="1829"/>
      <c r="AC687" s="1829"/>
      <c r="AD687" s="1564"/>
      <c r="AE687" s="701"/>
      <c r="AF687" s="684"/>
      <c r="AG687" s="684"/>
      <c r="AH687" s="710"/>
      <c r="AI687" s="710"/>
      <c r="AJ687" s="710"/>
      <c r="AK687" s="710"/>
      <c r="AL687" s="710"/>
      <c r="AM687" s="710"/>
      <c r="AN687" s="710"/>
      <c r="AO687" s="710"/>
      <c r="AP687" s="710"/>
      <c r="AQ687" s="710"/>
      <c r="AR687" s="710"/>
      <c r="AS687" s="710"/>
      <c r="AT687" s="710"/>
      <c r="AU687" s="1829"/>
      <c r="AV687" s="1835"/>
      <c r="AW687" s="1836"/>
      <c r="AX687" s="1836"/>
      <c r="AY687" s="1836"/>
      <c r="AZ687" s="1825"/>
      <c r="BA687" s="1825"/>
    </row>
    <row r="688" spans="2:53" s="188" customFormat="1" ht="24.95" customHeight="1">
      <c r="B688" s="281"/>
      <c r="C688" s="168"/>
      <c r="D688" s="168"/>
      <c r="E688" s="168"/>
      <c r="F688" s="227"/>
      <c r="G688" s="660"/>
      <c r="H688" s="253"/>
      <c r="I688" s="212"/>
      <c r="N688" s="212"/>
      <c r="O688" s="1557"/>
      <c r="P688" s="1558"/>
      <c r="Q688" s="661"/>
      <c r="R688" s="655"/>
      <c r="S688" s="655"/>
      <c r="T688" s="655"/>
      <c r="U688" s="655"/>
      <c r="V688" s="655"/>
      <c r="W688" s="655"/>
      <c r="Y688" s="1827"/>
      <c r="Z688" s="1828"/>
      <c r="AA688" s="1829"/>
      <c r="AB688" s="1829"/>
      <c r="AC688" s="1829"/>
      <c r="AD688" s="1564"/>
      <c r="AE688" s="701"/>
      <c r="AF688" s="684"/>
      <c r="AG688" s="684"/>
      <c r="AH688" s="710"/>
      <c r="AI688" s="710"/>
      <c r="AJ688" s="710"/>
      <c r="AK688" s="710"/>
      <c r="AL688" s="710"/>
      <c r="AM688" s="710"/>
      <c r="AN688" s="710"/>
      <c r="AO688" s="710"/>
      <c r="AP688" s="710"/>
      <c r="AQ688" s="710"/>
      <c r="AR688" s="710"/>
      <c r="AS688" s="710"/>
      <c r="AT688" s="710"/>
      <c r="AU688" s="1829"/>
      <c r="AV688" s="1835"/>
      <c r="AW688" s="1836"/>
      <c r="AX688" s="1836"/>
      <c r="AY688" s="1836"/>
      <c r="AZ688" s="1825"/>
      <c r="BA688" s="1825"/>
    </row>
    <row r="689" spans="2:53" s="188" customFormat="1" ht="24.95" customHeight="1">
      <c r="B689" s="281"/>
      <c r="C689" s="168"/>
      <c r="D689" s="168"/>
      <c r="E689" s="168"/>
      <c r="F689" s="227"/>
      <c r="G689" s="660"/>
      <c r="H689" s="253"/>
      <c r="I689" s="212"/>
      <c r="N689" s="212"/>
      <c r="O689" s="1557"/>
      <c r="P689" s="1558"/>
      <c r="Q689" s="661"/>
      <c r="R689" s="655"/>
      <c r="S689" s="655"/>
      <c r="T689" s="655"/>
      <c r="U689" s="655"/>
      <c r="V689" s="655"/>
      <c r="W689" s="655"/>
      <c r="Y689" s="1827"/>
      <c r="Z689" s="1828"/>
      <c r="AA689" s="1829"/>
      <c r="AB689" s="1829"/>
      <c r="AC689" s="1829"/>
      <c r="AD689" s="1564"/>
      <c r="AE689" s="701"/>
      <c r="AF689" s="684"/>
      <c r="AG689" s="684"/>
      <c r="AH689" s="710"/>
      <c r="AI689" s="710"/>
      <c r="AJ689" s="710"/>
      <c r="AK689" s="710"/>
      <c r="AL689" s="710"/>
      <c r="AM689" s="710"/>
      <c r="AN689" s="710"/>
      <c r="AO689" s="710"/>
      <c r="AP689" s="710"/>
      <c r="AQ689" s="710"/>
      <c r="AR689" s="710"/>
      <c r="AS689" s="710"/>
      <c r="AT689" s="710"/>
      <c r="AU689" s="1829"/>
      <c r="AV689" s="1835"/>
      <c r="AW689" s="1836"/>
      <c r="AX689" s="1836"/>
      <c r="AY689" s="1836"/>
      <c r="AZ689" s="1825"/>
      <c r="BA689" s="1825"/>
    </row>
    <row r="690" spans="2:53" s="188" customFormat="1" ht="24.95" customHeight="1">
      <c r="B690" s="281"/>
      <c r="C690" s="168"/>
      <c r="D690" s="168"/>
      <c r="E690" s="168"/>
      <c r="F690" s="227"/>
      <c r="G690" s="660"/>
      <c r="H690" s="253"/>
      <c r="I690" s="212"/>
      <c r="N690" s="212"/>
      <c r="O690" s="1557"/>
      <c r="P690" s="1558"/>
      <c r="Q690" s="661"/>
      <c r="R690" s="655"/>
      <c r="S690" s="655"/>
      <c r="T690" s="655"/>
      <c r="U690" s="655"/>
      <c r="V690" s="655"/>
      <c r="W690" s="655"/>
      <c r="Y690" s="1827"/>
      <c r="Z690" s="1828"/>
      <c r="AA690" s="1829"/>
      <c r="AB690" s="1829"/>
      <c r="AC690" s="1829"/>
      <c r="AD690" s="1564"/>
      <c r="AE690" s="701"/>
      <c r="AF690" s="684"/>
      <c r="AG690" s="684"/>
      <c r="AH690" s="710"/>
      <c r="AI690" s="710"/>
      <c r="AJ690" s="710"/>
      <c r="AK690" s="710"/>
      <c r="AL690" s="710"/>
      <c r="AM690" s="710"/>
      <c r="AN690" s="710"/>
      <c r="AO690" s="710"/>
      <c r="AP690" s="710"/>
      <c r="AQ690" s="710"/>
      <c r="AR690" s="710"/>
      <c r="AS690" s="710"/>
      <c r="AT690" s="710"/>
      <c r="AU690" s="1829"/>
      <c r="AV690" s="1835"/>
      <c r="AW690" s="1836"/>
      <c r="AX690" s="1836"/>
      <c r="AY690" s="1836"/>
      <c r="AZ690" s="1825"/>
      <c r="BA690" s="1825"/>
    </row>
    <row r="691" spans="2:53" s="188" customFormat="1" ht="24.95" customHeight="1">
      <c r="B691" s="281"/>
      <c r="C691" s="168"/>
      <c r="D691" s="168"/>
      <c r="E691" s="168"/>
      <c r="F691" s="227"/>
      <c r="G691" s="660"/>
      <c r="H691" s="253"/>
      <c r="I691" s="212"/>
      <c r="N691" s="212"/>
      <c r="O691" s="1557"/>
      <c r="P691" s="1558"/>
      <c r="Q691" s="661"/>
      <c r="R691" s="655"/>
      <c r="S691" s="655"/>
      <c r="T691" s="655"/>
      <c r="U691" s="655"/>
      <c r="V691" s="655"/>
      <c r="W691" s="655"/>
      <c r="Y691" s="1827"/>
      <c r="Z691" s="1828"/>
      <c r="AA691" s="1829"/>
      <c r="AB691" s="1829"/>
      <c r="AC691" s="1829"/>
      <c r="AD691" s="1564"/>
      <c r="AE691" s="701"/>
      <c r="AF691" s="684"/>
      <c r="AG691" s="684"/>
      <c r="AH691" s="710"/>
      <c r="AI691" s="710"/>
      <c r="AJ691" s="710"/>
      <c r="AK691" s="710"/>
      <c r="AL691" s="710"/>
      <c r="AM691" s="710"/>
      <c r="AN691" s="710"/>
      <c r="AO691" s="710"/>
      <c r="AP691" s="710"/>
      <c r="AQ691" s="710"/>
      <c r="AR691" s="710"/>
      <c r="AS691" s="710"/>
      <c r="AT691" s="710"/>
      <c r="AU691" s="1829"/>
      <c r="AV691" s="1835"/>
      <c r="AW691" s="1836"/>
      <c r="AX691" s="1836"/>
      <c r="AY691" s="1836"/>
      <c r="AZ691" s="1825"/>
      <c r="BA691" s="1825"/>
    </row>
    <row r="692" spans="2:53" s="188" customFormat="1" ht="24.95" customHeight="1">
      <c r="B692" s="281"/>
      <c r="C692" s="168"/>
      <c r="D692" s="168"/>
      <c r="E692" s="168"/>
      <c r="F692" s="227"/>
      <c r="G692" s="660"/>
      <c r="H692" s="253"/>
      <c r="I692" s="212"/>
      <c r="N692" s="212"/>
      <c r="O692" s="1557"/>
      <c r="P692" s="1558"/>
      <c r="Q692" s="661"/>
      <c r="R692" s="655"/>
      <c r="S692" s="655"/>
      <c r="T692" s="655"/>
      <c r="U692" s="655"/>
      <c r="V692" s="655"/>
      <c r="W692" s="655"/>
      <c r="Y692" s="1827"/>
      <c r="Z692" s="1828"/>
      <c r="AA692" s="1829"/>
      <c r="AB692" s="1829"/>
      <c r="AC692" s="1829"/>
      <c r="AD692" s="1564"/>
      <c r="AE692" s="701"/>
      <c r="AF692" s="684"/>
      <c r="AG692" s="684"/>
      <c r="AH692" s="710"/>
      <c r="AI692" s="710"/>
      <c r="AJ692" s="710"/>
      <c r="AK692" s="710"/>
      <c r="AL692" s="710"/>
      <c r="AM692" s="710"/>
      <c r="AN692" s="710"/>
      <c r="AO692" s="710"/>
      <c r="AP692" s="710"/>
      <c r="AQ692" s="710"/>
      <c r="AR692" s="710"/>
      <c r="AS692" s="710"/>
      <c r="AT692" s="710"/>
      <c r="AU692" s="1829"/>
      <c r="AV692" s="1835"/>
      <c r="AW692" s="1836"/>
      <c r="AX692" s="1836"/>
      <c r="AY692" s="1836"/>
      <c r="AZ692" s="1825"/>
      <c r="BA692" s="1825"/>
    </row>
    <row r="693" spans="2:53" s="188" customFormat="1" ht="24.95" customHeight="1">
      <c r="B693" s="281"/>
      <c r="C693" s="168"/>
      <c r="D693" s="168"/>
      <c r="E693" s="168"/>
      <c r="F693" s="227"/>
      <c r="G693" s="660"/>
      <c r="H693" s="253"/>
      <c r="I693" s="212"/>
      <c r="N693" s="212"/>
      <c r="O693" s="1557"/>
      <c r="P693" s="1558"/>
      <c r="Q693" s="661"/>
      <c r="R693" s="655"/>
      <c r="S693" s="655"/>
      <c r="T693" s="655"/>
      <c r="U693" s="655"/>
      <c r="V693" s="655"/>
      <c r="W693" s="655"/>
      <c r="Y693" s="1827"/>
      <c r="Z693" s="1828"/>
      <c r="AA693" s="1829"/>
      <c r="AB693" s="1829"/>
      <c r="AC693" s="1829"/>
      <c r="AD693" s="1564"/>
      <c r="AE693" s="701"/>
      <c r="AF693" s="684"/>
      <c r="AG693" s="684"/>
      <c r="AH693" s="710"/>
      <c r="AI693" s="710"/>
      <c r="AJ693" s="710"/>
      <c r="AK693" s="710"/>
      <c r="AL693" s="710"/>
      <c r="AM693" s="710"/>
      <c r="AN693" s="710"/>
      <c r="AO693" s="710"/>
      <c r="AP693" s="710"/>
      <c r="AQ693" s="710"/>
      <c r="AR693" s="710"/>
      <c r="AS693" s="710"/>
      <c r="AT693" s="710"/>
      <c r="AU693" s="1829"/>
      <c r="AV693" s="1835"/>
      <c r="AW693" s="1836"/>
      <c r="AX693" s="1836"/>
      <c r="AY693" s="1836"/>
      <c r="AZ693" s="1825"/>
      <c r="BA693" s="1825"/>
    </row>
    <row r="694" spans="2:53" s="188" customFormat="1" ht="24.95" customHeight="1">
      <c r="B694" s="281"/>
      <c r="C694" s="168"/>
      <c r="D694" s="168"/>
      <c r="E694" s="168"/>
      <c r="F694" s="227"/>
      <c r="G694" s="660"/>
      <c r="H694" s="253"/>
      <c r="I694" s="212"/>
      <c r="N694" s="212"/>
      <c r="O694" s="1557"/>
      <c r="P694" s="1558"/>
      <c r="Q694" s="661"/>
      <c r="R694" s="655"/>
      <c r="S694" s="655"/>
      <c r="T694" s="655"/>
      <c r="U694" s="655"/>
      <c r="V694" s="655"/>
      <c r="W694" s="655"/>
      <c r="Y694" s="1827"/>
      <c r="Z694" s="1828"/>
      <c r="AA694" s="1829"/>
      <c r="AB694" s="1829"/>
      <c r="AC694" s="1829"/>
      <c r="AD694" s="1564"/>
      <c r="AE694" s="701"/>
      <c r="AF694" s="684"/>
      <c r="AG694" s="684"/>
      <c r="AH694" s="710"/>
      <c r="AI694" s="710"/>
      <c r="AJ694" s="710"/>
      <c r="AK694" s="710"/>
      <c r="AL694" s="710"/>
      <c r="AM694" s="710"/>
      <c r="AN694" s="710"/>
      <c r="AO694" s="710"/>
      <c r="AP694" s="710"/>
      <c r="AQ694" s="710"/>
      <c r="AR694" s="710"/>
      <c r="AS694" s="710"/>
      <c r="AT694" s="710"/>
      <c r="AU694" s="1829"/>
      <c r="AV694" s="1835"/>
      <c r="AW694" s="1836"/>
      <c r="AX694" s="1836"/>
      <c r="AY694" s="1836"/>
      <c r="AZ694" s="1825"/>
      <c r="BA694" s="1825"/>
    </row>
    <row r="695" spans="2:53" s="188" customFormat="1" ht="24.95" customHeight="1">
      <c r="B695" s="281"/>
      <c r="C695" s="168"/>
      <c r="D695" s="168"/>
      <c r="E695" s="168"/>
      <c r="F695" s="227"/>
      <c r="G695" s="660"/>
      <c r="H695" s="253"/>
      <c r="I695" s="212"/>
      <c r="N695" s="212"/>
      <c r="O695" s="1557"/>
      <c r="P695" s="1558"/>
      <c r="Q695" s="661"/>
      <c r="R695" s="655"/>
      <c r="S695" s="655"/>
      <c r="T695" s="655"/>
      <c r="U695" s="655"/>
      <c r="V695" s="655"/>
      <c r="W695" s="655"/>
      <c r="Y695" s="1827"/>
      <c r="Z695" s="1828"/>
      <c r="AA695" s="1829"/>
      <c r="AB695" s="1829"/>
      <c r="AC695" s="1829"/>
      <c r="AD695" s="1564"/>
      <c r="AE695" s="701"/>
      <c r="AF695" s="684"/>
      <c r="AG695" s="684"/>
      <c r="AH695" s="710"/>
      <c r="AI695" s="710"/>
      <c r="AJ695" s="710"/>
      <c r="AK695" s="710"/>
      <c r="AL695" s="710"/>
      <c r="AM695" s="710"/>
      <c r="AN695" s="710"/>
      <c r="AO695" s="710"/>
      <c r="AP695" s="710"/>
      <c r="AQ695" s="710"/>
      <c r="AR695" s="710"/>
      <c r="AS695" s="710"/>
      <c r="AT695" s="710"/>
      <c r="AU695" s="1829"/>
      <c r="AV695" s="1835"/>
      <c r="AW695" s="1836"/>
      <c r="AX695" s="1836"/>
      <c r="AY695" s="1836"/>
      <c r="AZ695" s="1825"/>
      <c r="BA695" s="1825"/>
    </row>
    <row r="696" spans="2:53" s="188" customFormat="1" ht="24.95" customHeight="1">
      <c r="B696" s="281"/>
      <c r="C696" s="168"/>
      <c r="D696" s="168"/>
      <c r="E696" s="168"/>
      <c r="F696" s="227"/>
      <c r="G696" s="660"/>
      <c r="H696" s="253"/>
      <c r="I696" s="212"/>
      <c r="N696" s="212"/>
      <c r="O696" s="1557"/>
      <c r="P696" s="1558"/>
      <c r="Q696" s="661"/>
      <c r="R696" s="655"/>
      <c r="S696" s="655"/>
      <c r="T696" s="655"/>
      <c r="U696" s="655"/>
      <c r="V696" s="655"/>
      <c r="W696" s="655"/>
      <c r="Y696" s="1827"/>
      <c r="Z696" s="1828"/>
      <c r="AA696" s="1829"/>
      <c r="AB696" s="1829"/>
      <c r="AC696" s="1829"/>
      <c r="AD696" s="1564"/>
      <c r="AE696" s="701"/>
      <c r="AF696" s="684"/>
      <c r="AG696" s="684"/>
      <c r="AH696" s="710"/>
      <c r="AI696" s="710"/>
      <c r="AJ696" s="710"/>
      <c r="AK696" s="710"/>
      <c r="AL696" s="710"/>
      <c r="AM696" s="710"/>
      <c r="AN696" s="710"/>
      <c r="AO696" s="710"/>
      <c r="AP696" s="710"/>
      <c r="AQ696" s="710"/>
      <c r="AR696" s="710"/>
      <c r="AS696" s="710"/>
      <c r="AT696" s="710"/>
      <c r="AU696" s="1829"/>
      <c r="AV696" s="1835"/>
      <c r="AW696" s="1836"/>
      <c r="AX696" s="1836"/>
      <c r="AY696" s="1836"/>
      <c r="AZ696" s="1825"/>
      <c r="BA696" s="1825"/>
    </row>
    <row r="697" spans="2:53" s="188" customFormat="1" ht="24.95" customHeight="1">
      <c r="B697" s="281"/>
      <c r="C697" s="168"/>
      <c r="D697" s="168"/>
      <c r="E697" s="168"/>
      <c r="F697" s="227"/>
      <c r="G697" s="660"/>
      <c r="H697" s="253"/>
      <c r="I697" s="212"/>
      <c r="N697" s="212"/>
      <c r="O697" s="1557"/>
      <c r="P697" s="1558"/>
      <c r="Q697" s="661"/>
      <c r="R697" s="655"/>
      <c r="S697" s="655"/>
      <c r="T697" s="655"/>
      <c r="U697" s="655"/>
      <c r="V697" s="655"/>
      <c r="W697" s="655"/>
      <c r="Y697" s="1827"/>
      <c r="Z697" s="1828"/>
      <c r="AA697" s="1829"/>
      <c r="AB697" s="1829"/>
      <c r="AC697" s="1829"/>
      <c r="AD697" s="1564"/>
      <c r="AE697" s="701"/>
      <c r="AF697" s="684"/>
      <c r="AG697" s="684"/>
      <c r="AH697" s="710"/>
      <c r="AI697" s="710"/>
      <c r="AJ697" s="710"/>
      <c r="AK697" s="710"/>
      <c r="AL697" s="710"/>
      <c r="AM697" s="710"/>
      <c r="AN697" s="710"/>
      <c r="AO697" s="710"/>
      <c r="AP697" s="710"/>
      <c r="AQ697" s="710"/>
      <c r="AR697" s="710"/>
      <c r="AS697" s="710"/>
      <c r="AT697" s="710"/>
      <c r="AU697" s="1829"/>
      <c r="AV697" s="1835"/>
      <c r="AW697" s="1836"/>
      <c r="AX697" s="1836"/>
      <c r="AY697" s="1836"/>
      <c r="AZ697" s="1825"/>
      <c r="BA697" s="1825"/>
    </row>
    <row r="698" spans="2:53" s="188" customFormat="1" ht="24.95" customHeight="1">
      <c r="B698" s="281"/>
      <c r="C698" s="168"/>
      <c r="D698" s="168"/>
      <c r="E698" s="168"/>
      <c r="F698" s="227"/>
      <c r="G698" s="660"/>
      <c r="H698" s="253"/>
      <c r="I698" s="212"/>
      <c r="N698" s="212"/>
      <c r="O698" s="1557"/>
      <c r="P698" s="1558"/>
      <c r="Q698" s="661"/>
      <c r="R698" s="655"/>
      <c r="S698" s="655"/>
      <c r="T698" s="655"/>
      <c r="U698" s="655"/>
      <c r="V698" s="655"/>
      <c r="W698" s="655"/>
      <c r="Y698" s="1827"/>
      <c r="Z698" s="1828"/>
      <c r="AA698" s="1829"/>
      <c r="AB698" s="1829"/>
      <c r="AC698" s="1829"/>
      <c r="AD698" s="1564"/>
      <c r="AE698" s="701"/>
      <c r="AF698" s="684"/>
      <c r="AG698" s="684"/>
      <c r="AH698" s="710"/>
      <c r="AI698" s="710"/>
      <c r="AJ698" s="710"/>
      <c r="AK698" s="710"/>
      <c r="AL698" s="710"/>
      <c r="AM698" s="710"/>
      <c r="AN698" s="710"/>
      <c r="AO698" s="710"/>
      <c r="AP698" s="710"/>
      <c r="AQ698" s="710"/>
      <c r="AR698" s="710"/>
      <c r="AS698" s="710"/>
      <c r="AT698" s="710"/>
      <c r="AU698" s="1829"/>
      <c r="AV698" s="1835"/>
      <c r="AW698" s="1836"/>
      <c r="AX698" s="1836"/>
      <c r="AY698" s="1836"/>
      <c r="AZ698" s="1825"/>
      <c r="BA698" s="1825"/>
    </row>
    <row r="699" spans="2:53" s="188" customFormat="1" ht="24.95" customHeight="1">
      <c r="B699" s="281"/>
      <c r="C699" s="168"/>
      <c r="D699" s="168"/>
      <c r="E699" s="168"/>
      <c r="F699" s="227"/>
      <c r="G699" s="660"/>
      <c r="H699" s="253"/>
      <c r="I699" s="212"/>
      <c r="N699" s="212"/>
      <c r="O699" s="1557"/>
      <c r="P699" s="1558"/>
      <c r="Q699" s="661"/>
      <c r="R699" s="655"/>
      <c r="S699" s="655"/>
      <c r="T699" s="655"/>
      <c r="U699" s="655"/>
      <c r="V699" s="655"/>
      <c r="W699" s="655"/>
      <c r="Y699" s="1827"/>
      <c r="Z699" s="1828"/>
      <c r="AA699" s="1829"/>
      <c r="AB699" s="1829"/>
      <c r="AC699" s="1829"/>
      <c r="AD699" s="1564"/>
      <c r="AE699" s="701"/>
      <c r="AF699" s="684"/>
      <c r="AG699" s="684"/>
      <c r="AH699" s="710"/>
      <c r="AI699" s="710"/>
      <c r="AJ699" s="710"/>
      <c r="AK699" s="710"/>
      <c r="AL699" s="710"/>
      <c r="AM699" s="710"/>
      <c r="AN699" s="710"/>
      <c r="AO699" s="710"/>
      <c r="AP699" s="710"/>
      <c r="AQ699" s="710"/>
      <c r="AR699" s="710"/>
      <c r="AS699" s="710"/>
      <c r="AT699" s="710"/>
      <c r="AU699" s="1829"/>
      <c r="AV699" s="1835"/>
      <c r="AW699" s="1836"/>
      <c r="AX699" s="1836"/>
      <c r="AY699" s="1836"/>
      <c r="AZ699" s="1825"/>
      <c r="BA699" s="1825"/>
    </row>
    <row r="700" spans="2:53" s="188" customFormat="1" ht="24.95" customHeight="1">
      <c r="B700" s="281"/>
      <c r="C700" s="168"/>
      <c r="D700" s="168"/>
      <c r="E700" s="168"/>
      <c r="F700" s="227"/>
      <c r="G700" s="660"/>
      <c r="H700" s="253"/>
      <c r="I700" s="212"/>
      <c r="N700" s="212"/>
      <c r="O700" s="1557"/>
      <c r="P700" s="1558"/>
      <c r="Q700" s="661"/>
      <c r="R700" s="655"/>
      <c r="S700" s="655"/>
      <c r="T700" s="655"/>
      <c r="U700" s="655"/>
      <c r="V700" s="655"/>
      <c r="W700" s="655"/>
      <c r="Y700" s="1827"/>
      <c r="Z700" s="1828"/>
      <c r="AA700" s="1829"/>
      <c r="AB700" s="1829"/>
      <c r="AC700" s="1829"/>
      <c r="AD700" s="1564"/>
      <c r="AE700" s="701"/>
      <c r="AF700" s="684"/>
      <c r="AG700" s="684"/>
      <c r="AH700" s="710"/>
      <c r="AI700" s="710"/>
      <c r="AJ700" s="710"/>
      <c r="AK700" s="710"/>
      <c r="AL700" s="710"/>
      <c r="AM700" s="710"/>
      <c r="AN700" s="710"/>
      <c r="AO700" s="710"/>
      <c r="AP700" s="710"/>
      <c r="AQ700" s="710"/>
      <c r="AR700" s="710"/>
      <c r="AS700" s="710"/>
      <c r="AT700" s="710"/>
      <c r="AU700" s="1829"/>
      <c r="AV700" s="1835"/>
      <c r="AW700" s="1836"/>
      <c r="AX700" s="1836"/>
      <c r="AY700" s="1836"/>
      <c r="AZ700" s="1825"/>
      <c r="BA700" s="1825"/>
    </row>
    <row r="701" spans="2:53" s="188" customFormat="1" ht="24.95" customHeight="1">
      <c r="B701" s="281"/>
      <c r="C701" s="168"/>
      <c r="D701" s="168"/>
      <c r="E701" s="168"/>
      <c r="F701" s="227"/>
      <c r="G701" s="660"/>
      <c r="H701" s="253"/>
      <c r="I701" s="212"/>
      <c r="N701" s="212"/>
      <c r="O701" s="1557"/>
      <c r="P701" s="1558"/>
      <c r="Q701" s="661"/>
      <c r="R701" s="655"/>
      <c r="S701" s="655"/>
      <c r="T701" s="655"/>
      <c r="U701" s="655"/>
      <c r="V701" s="655"/>
      <c r="W701" s="655"/>
      <c r="Y701" s="1827"/>
      <c r="Z701" s="1828"/>
      <c r="AA701" s="1829"/>
      <c r="AB701" s="1829"/>
      <c r="AC701" s="1829"/>
      <c r="AD701" s="1564"/>
      <c r="AE701" s="701"/>
      <c r="AF701" s="684"/>
      <c r="AG701" s="684"/>
      <c r="AH701" s="710"/>
      <c r="AI701" s="710"/>
      <c r="AJ701" s="710"/>
      <c r="AK701" s="710"/>
      <c r="AL701" s="710"/>
      <c r="AM701" s="710"/>
      <c r="AN701" s="710"/>
      <c r="AO701" s="710"/>
      <c r="AP701" s="710"/>
      <c r="AQ701" s="710"/>
      <c r="AR701" s="710"/>
      <c r="AS701" s="710"/>
      <c r="AT701" s="710"/>
      <c r="AU701" s="1829"/>
      <c r="AV701" s="1835"/>
      <c r="AW701" s="1836"/>
      <c r="AX701" s="1836"/>
      <c r="AY701" s="1836"/>
      <c r="AZ701" s="1825"/>
      <c r="BA701" s="1825"/>
    </row>
    <row r="702" spans="2:53" s="188" customFormat="1" ht="24.95" customHeight="1">
      <c r="B702" s="281"/>
      <c r="C702" s="168"/>
      <c r="D702" s="168"/>
      <c r="E702" s="168"/>
      <c r="F702" s="227"/>
      <c r="G702" s="660"/>
      <c r="H702" s="253"/>
      <c r="I702" s="212"/>
      <c r="N702" s="212"/>
      <c r="O702" s="1557"/>
      <c r="P702" s="1558"/>
      <c r="Q702" s="661"/>
      <c r="R702" s="655"/>
      <c r="S702" s="655"/>
      <c r="T702" s="655"/>
      <c r="U702" s="655"/>
      <c r="V702" s="655"/>
      <c r="W702" s="655"/>
      <c r="Y702" s="1827"/>
      <c r="Z702" s="1828"/>
      <c r="AA702" s="1829"/>
      <c r="AB702" s="1829"/>
      <c r="AC702" s="1829"/>
      <c r="AD702" s="1564"/>
      <c r="AE702" s="701"/>
      <c r="AF702" s="684"/>
      <c r="AG702" s="684"/>
      <c r="AH702" s="710"/>
      <c r="AI702" s="710"/>
      <c r="AJ702" s="710"/>
      <c r="AK702" s="710"/>
      <c r="AL702" s="710"/>
      <c r="AM702" s="710"/>
      <c r="AN702" s="710"/>
      <c r="AO702" s="710"/>
      <c r="AP702" s="710"/>
      <c r="AQ702" s="710"/>
      <c r="AR702" s="710"/>
      <c r="AS702" s="710"/>
      <c r="AT702" s="710"/>
      <c r="AU702" s="1829"/>
      <c r="AV702" s="1835"/>
      <c r="AW702" s="1836"/>
      <c r="AX702" s="1836"/>
      <c r="AY702" s="1836"/>
      <c r="AZ702" s="1825"/>
      <c r="BA702" s="1825"/>
    </row>
    <row r="703" spans="2:53" s="188" customFormat="1" ht="24.95" customHeight="1">
      <c r="B703" s="281"/>
      <c r="C703" s="168"/>
      <c r="D703" s="168"/>
      <c r="E703" s="168"/>
      <c r="F703" s="227"/>
      <c r="G703" s="660"/>
      <c r="H703" s="253"/>
      <c r="I703" s="212"/>
      <c r="N703" s="212"/>
      <c r="O703" s="1557"/>
      <c r="P703" s="1558"/>
      <c r="Q703" s="661"/>
      <c r="R703" s="655"/>
      <c r="S703" s="655"/>
      <c r="T703" s="655"/>
      <c r="U703" s="655"/>
      <c r="V703" s="655"/>
      <c r="W703" s="655"/>
      <c r="Y703" s="1827"/>
      <c r="Z703" s="1828"/>
      <c r="AA703" s="1829"/>
      <c r="AB703" s="1829"/>
      <c r="AC703" s="1829"/>
      <c r="AD703" s="1564"/>
      <c r="AE703" s="701"/>
      <c r="AF703" s="684"/>
      <c r="AG703" s="684"/>
      <c r="AH703" s="710"/>
      <c r="AI703" s="710"/>
      <c r="AJ703" s="710"/>
      <c r="AK703" s="710"/>
      <c r="AL703" s="710"/>
      <c r="AM703" s="710"/>
      <c r="AN703" s="710"/>
      <c r="AO703" s="710"/>
      <c r="AP703" s="710"/>
      <c r="AQ703" s="710"/>
      <c r="AR703" s="710"/>
      <c r="AS703" s="710"/>
      <c r="AT703" s="710"/>
      <c r="AU703" s="1829"/>
      <c r="AV703" s="1835"/>
      <c r="AW703" s="1836"/>
      <c r="AX703" s="1836"/>
      <c r="AY703" s="1836"/>
      <c r="AZ703" s="1825"/>
      <c r="BA703" s="1825"/>
    </row>
    <row r="704" spans="2:53" s="188" customFormat="1" ht="24.95" customHeight="1">
      <c r="B704" s="281"/>
      <c r="C704" s="168"/>
      <c r="D704" s="168"/>
      <c r="E704" s="168"/>
      <c r="F704" s="227"/>
      <c r="G704" s="660"/>
      <c r="H704" s="253"/>
      <c r="I704" s="212"/>
      <c r="N704" s="212"/>
      <c r="O704" s="1557"/>
      <c r="P704" s="1558"/>
      <c r="Q704" s="661"/>
      <c r="R704" s="655"/>
      <c r="S704" s="655"/>
      <c r="T704" s="655"/>
      <c r="U704" s="655"/>
      <c r="V704" s="655"/>
      <c r="W704" s="655"/>
      <c r="Y704" s="1827"/>
      <c r="Z704" s="1828"/>
      <c r="AA704" s="1829"/>
      <c r="AB704" s="1829"/>
      <c r="AC704" s="1829"/>
      <c r="AD704" s="1564"/>
      <c r="AE704" s="701"/>
      <c r="AF704" s="684"/>
      <c r="AG704" s="684"/>
      <c r="AH704" s="710"/>
      <c r="AI704" s="710"/>
      <c r="AJ704" s="710"/>
      <c r="AK704" s="710"/>
      <c r="AL704" s="710"/>
      <c r="AM704" s="710"/>
      <c r="AN704" s="710"/>
      <c r="AO704" s="710"/>
      <c r="AP704" s="710"/>
      <c r="AQ704" s="710"/>
      <c r="AR704" s="710"/>
      <c r="AS704" s="710"/>
      <c r="AT704" s="710"/>
      <c r="AU704" s="1829"/>
      <c r="AV704" s="1835"/>
      <c r="AW704" s="1836"/>
      <c r="AX704" s="1836"/>
      <c r="AY704" s="1836"/>
      <c r="AZ704" s="1825"/>
      <c r="BA704" s="1825"/>
    </row>
    <row r="705" spans="2:53" s="188" customFormat="1" ht="24.95" customHeight="1">
      <c r="B705" s="281"/>
      <c r="C705" s="168"/>
      <c r="D705" s="168"/>
      <c r="E705" s="168"/>
      <c r="F705" s="227"/>
      <c r="G705" s="660"/>
      <c r="H705" s="253"/>
      <c r="I705" s="212"/>
      <c r="N705" s="212"/>
      <c r="O705" s="1557"/>
      <c r="P705" s="1558"/>
      <c r="Q705" s="661"/>
      <c r="R705" s="655"/>
      <c r="S705" s="655"/>
      <c r="T705" s="655"/>
      <c r="U705" s="655"/>
      <c r="V705" s="655"/>
      <c r="W705" s="655"/>
      <c r="Y705" s="1827"/>
      <c r="Z705" s="1828"/>
      <c r="AA705" s="1829"/>
      <c r="AB705" s="1829"/>
      <c r="AC705" s="1829"/>
      <c r="AD705" s="1564"/>
      <c r="AE705" s="701"/>
      <c r="AF705" s="684"/>
      <c r="AG705" s="684"/>
      <c r="AH705" s="710"/>
      <c r="AI705" s="710"/>
      <c r="AJ705" s="710"/>
      <c r="AK705" s="710"/>
      <c r="AL705" s="710"/>
      <c r="AM705" s="710"/>
      <c r="AN705" s="710"/>
      <c r="AO705" s="710"/>
      <c r="AP705" s="710"/>
      <c r="AQ705" s="710"/>
      <c r="AR705" s="710"/>
      <c r="AS705" s="710"/>
      <c r="AT705" s="710"/>
      <c r="AU705" s="1829"/>
      <c r="AV705" s="1835"/>
      <c r="AW705" s="1836"/>
      <c r="AX705" s="1836"/>
      <c r="AY705" s="1836"/>
      <c r="AZ705" s="1825"/>
      <c r="BA705" s="1825"/>
    </row>
    <row r="706" spans="2:53" s="188" customFormat="1" ht="24.95" customHeight="1">
      <c r="B706" s="281"/>
      <c r="C706" s="168"/>
      <c r="D706" s="168"/>
      <c r="E706" s="168"/>
      <c r="F706" s="227"/>
      <c r="G706" s="660"/>
      <c r="H706" s="253"/>
      <c r="I706" s="212"/>
      <c r="N706" s="212"/>
      <c r="O706" s="1557"/>
      <c r="P706" s="1558"/>
      <c r="Q706" s="661"/>
      <c r="R706" s="655"/>
      <c r="S706" s="655"/>
      <c r="T706" s="655"/>
      <c r="U706" s="655"/>
      <c r="V706" s="655"/>
      <c r="W706" s="655"/>
      <c r="Y706" s="1827"/>
      <c r="Z706" s="1828"/>
      <c r="AA706" s="1829"/>
      <c r="AB706" s="1829"/>
      <c r="AC706" s="1829"/>
      <c r="AD706" s="1564"/>
      <c r="AE706" s="701"/>
      <c r="AF706" s="684"/>
      <c r="AG706" s="684"/>
      <c r="AH706" s="710"/>
      <c r="AI706" s="710"/>
      <c r="AJ706" s="710"/>
      <c r="AK706" s="710"/>
      <c r="AL706" s="710"/>
      <c r="AM706" s="710"/>
      <c r="AN706" s="710"/>
      <c r="AO706" s="710"/>
      <c r="AP706" s="710"/>
      <c r="AQ706" s="710"/>
      <c r="AR706" s="710"/>
      <c r="AS706" s="710"/>
      <c r="AT706" s="710"/>
      <c r="AU706" s="1829"/>
      <c r="AV706" s="1835"/>
      <c r="AW706" s="1836"/>
      <c r="AX706" s="1836"/>
      <c r="AY706" s="1836"/>
      <c r="AZ706" s="1825"/>
      <c r="BA706" s="1825"/>
    </row>
    <row r="707" spans="2:53" s="188" customFormat="1" ht="24.95" customHeight="1">
      <c r="B707" s="281"/>
      <c r="C707" s="168"/>
      <c r="D707" s="168"/>
      <c r="E707" s="168"/>
      <c r="F707" s="227"/>
      <c r="G707" s="660"/>
      <c r="H707" s="253"/>
      <c r="I707" s="212"/>
      <c r="N707" s="212"/>
      <c r="O707" s="1557"/>
      <c r="P707" s="1558"/>
      <c r="Q707" s="661"/>
      <c r="R707" s="655"/>
      <c r="S707" s="655"/>
      <c r="T707" s="655"/>
      <c r="U707" s="655"/>
      <c r="V707" s="655"/>
      <c r="W707" s="655"/>
      <c r="Y707" s="1827"/>
      <c r="Z707" s="1828"/>
      <c r="AA707" s="1829"/>
      <c r="AB707" s="1829"/>
      <c r="AC707" s="1829"/>
      <c r="AD707" s="1564"/>
      <c r="AE707" s="701"/>
      <c r="AF707" s="684"/>
      <c r="AG707" s="684"/>
      <c r="AH707" s="710"/>
      <c r="AI707" s="710"/>
      <c r="AJ707" s="710"/>
      <c r="AK707" s="710"/>
      <c r="AL707" s="710"/>
      <c r="AM707" s="710"/>
      <c r="AN707" s="710"/>
      <c r="AO707" s="710"/>
      <c r="AP707" s="710"/>
      <c r="AQ707" s="710"/>
      <c r="AR707" s="710"/>
      <c r="AS707" s="710"/>
      <c r="AT707" s="710"/>
      <c r="AU707" s="1829"/>
      <c r="AV707" s="1835"/>
      <c r="AW707" s="1836"/>
      <c r="AX707" s="1836"/>
      <c r="AY707" s="1836"/>
      <c r="AZ707" s="1825"/>
      <c r="BA707" s="1825"/>
    </row>
    <row r="708" spans="2:53" s="188" customFormat="1" ht="24.95" customHeight="1">
      <c r="B708" s="281"/>
      <c r="C708" s="168"/>
      <c r="D708" s="168"/>
      <c r="E708" s="168"/>
      <c r="F708" s="227"/>
      <c r="G708" s="660"/>
      <c r="H708" s="253"/>
      <c r="I708" s="212"/>
      <c r="N708" s="212"/>
      <c r="O708" s="1557"/>
      <c r="P708" s="1558"/>
      <c r="Q708" s="661"/>
      <c r="R708" s="655"/>
      <c r="S708" s="655"/>
      <c r="T708" s="655"/>
      <c r="U708" s="655"/>
      <c r="V708" s="655"/>
      <c r="W708" s="655"/>
      <c r="Y708" s="1827"/>
      <c r="Z708" s="1828"/>
      <c r="AA708" s="1829"/>
      <c r="AB708" s="1829"/>
      <c r="AC708" s="1829"/>
      <c r="AD708" s="1564"/>
      <c r="AE708" s="701"/>
      <c r="AF708" s="684"/>
      <c r="AG708" s="684"/>
      <c r="AH708" s="710"/>
      <c r="AI708" s="710"/>
      <c r="AJ708" s="710"/>
      <c r="AK708" s="710"/>
      <c r="AL708" s="710"/>
      <c r="AM708" s="710"/>
      <c r="AN708" s="710"/>
      <c r="AO708" s="710"/>
      <c r="AP708" s="710"/>
      <c r="AQ708" s="710"/>
      <c r="AR708" s="710"/>
      <c r="AS708" s="710"/>
      <c r="AT708" s="710"/>
      <c r="AU708" s="1829"/>
      <c r="AV708" s="1835"/>
      <c r="AW708" s="1836"/>
      <c r="AX708" s="1836"/>
      <c r="AY708" s="1836"/>
      <c r="AZ708" s="1825"/>
      <c r="BA708" s="1825"/>
    </row>
    <row r="709" spans="2:53" s="188" customFormat="1" ht="24.95" customHeight="1">
      <c r="B709" s="281"/>
      <c r="C709" s="168"/>
      <c r="D709" s="168"/>
      <c r="E709" s="168"/>
      <c r="F709" s="227"/>
      <c r="G709" s="660"/>
      <c r="H709" s="253"/>
      <c r="I709" s="212"/>
      <c r="N709" s="212"/>
      <c r="O709" s="1557"/>
      <c r="P709" s="1558"/>
      <c r="Q709" s="661"/>
      <c r="R709" s="655"/>
      <c r="S709" s="655"/>
      <c r="T709" s="655"/>
      <c r="U709" s="655"/>
      <c r="V709" s="655"/>
      <c r="W709" s="655"/>
      <c r="Y709" s="1827"/>
      <c r="Z709" s="1828"/>
      <c r="AA709" s="1829"/>
      <c r="AB709" s="1829"/>
      <c r="AC709" s="1829"/>
      <c r="AD709" s="1564"/>
      <c r="AE709" s="701"/>
      <c r="AF709" s="684"/>
      <c r="AG709" s="684"/>
      <c r="AH709" s="710"/>
      <c r="AI709" s="710"/>
      <c r="AJ709" s="710"/>
      <c r="AK709" s="710"/>
      <c r="AL709" s="710"/>
      <c r="AM709" s="710"/>
      <c r="AN709" s="710"/>
      <c r="AO709" s="710"/>
      <c r="AP709" s="710"/>
      <c r="AQ709" s="710"/>
      <c r="AR709" s="710"/>
      <c r="AS709" s="710"/>
      <c r="AT709" s="710"/>
      <c r="AU709" s="1829"/>
      <c r="AV709" s="1835"/>
      <c r="AW709" s="1836"/>
      <c r="AX709" s="1836"/>
      <c r="AY709" s="1836"/>
      <c r="AZ709" s="1825"/>
      <c r="BA709" s="1825"/>
    </row>
    <row r="710" spans="2:53" s="188" customFormat="1" ht="24.95" customHeight="1">
      <c r="B710" s="281"/>
      <c r="C710" s="168"/>
      <c r="D710" s="168"/>
      <c r="E710" s="168"/>
      <c r="F710" s="227"/>
      <c r="G710" s="660"/>
      <c r="H710" s="253"/>
      <c r="I710" s="212"/>
      <c r="N710" s="212"/>
      <c r="O710" s="1557"/>
      <c r="P710" s="1558"/>
      <c r="Q710" s="661"/>
      <c r="R710" s="655"/>
      <c r="S710" s="655"/>
      <c r="T710" s="655"/>
      <c r="U710" s="655"/>
      <c r="V710" s="655"/>
      <c r="W710" s="655"/>
      <c r="Y710" s="1827"/>
      <c r="Z710" s="1828"/>
      <c r="AA710" s="1829"/>
      <c r="AB710" s="1829"/>
      <c r="AC710" s="1829"/>
      <c r="AD710" s="1564"/>
      <c r="AE710" s="701"/>
      <c r="AF710" s="684"/>
      <c r="AG710" s="684"/>
      <c r="AH710" s="710"/>
      <c r="AI710" s="710"/>
      <c r="AJ710" s="710"/>
      <c r="AK710" s="710"/>
      <c r="AL710" s="710"/>
      <c r="AM710" s="710"/>
      <c r="AN710" s="710"/>
      <c r="AO710" s="710"/>
      <c r="AP710" s="710"/>
      <c r="AQ710" s="710"/>
      <c r="AR710" s="710"/>
      <c r="AS710" s="710"/>
      <c r="AT710" s="710"/>
      <c r="AU710" s="1829"/>
      <c r="AV710" s="1835"/>
      <c r="AW710" s="1836"/>
      <c r="AX710" s="1836"/>
      <c r="AY710" s="1836"/>
      <c r="AZ710" s="1825"/>
      <c r="BA710" s="1825"/>
    </row>
    <row r="711" spans="2:53" s="188" customFormat="1" ht="24.95" customHeight="1">
      <c r="B711" s="281"/>
      <c r="C711" s="168"/>
      <c r="D711" s="168"/>
      <c r="E711" s="168"/>
      <c r="F711" s="227"/>
      <c r="G711" s="660"/>
      <c r="H711" s="253"/>
      <c r="I711" s="212"/>
      <c r="N711" s="212"/>
      <c r="O711" s="1557"/>
      <c r="P711" s="1558"/>
      <c r="Q711" s="661"/>
      <c r="R711" s="655"/>
      <c r="S711" s="655"/>
      <c r="T711" s="655"/>
      <c r="U711" s="655"/>
      <c r="V711" s="655"/>
      <c r="W711" s="655"/>
      <c r="Y711" s="1827"/>
      <c r="Z711" s="1828"/>
      <c r="AA711" s="1829"/>
      <c r="AB711" s="1829"/>
      <c r="AC711" s="1829"/>
      <c r="AD711" s="1564"/>
      <c r="AE711" s="701"/>
      <c r="AF711" s="684"/>
      <c r="AG711" s="684"/>
      <c r="AH711" s="710"/>
      <c r="AI711" s="710"/>
      <c r="AJ711" s="710"/>
      <c r="AK711" s="710"/>
      <c r="AL711" s="710"/>
      <c r="AM711" s="710"/>
      <c r="AN711" s="710"/>
      <c r="AO711" s="710"/>
      <c r="AP711" s="710"/>
      <c r="AQ711" s="710"/>
      <c r="AR711" s="710"/>
      <c r="AS711" s="710"/>
      <c r="AT711" s="710"/>
      <c r="AU711" s="1829"/>
      <c r="AV711" s="1835"/>
      <c r="AW711" s="1836"/>
      <c r="AX711" s="1836"/>
      <c r="AY711" s="1836"/>
      <c r="AZ711" s="1825"/>
      <c r="BA711" s="1825"/>
    </row>
    <row r="712" spans="2:53" s="188" customFormat="1" ht="24.95" customHeight="1">
      <c r="B712" s="281"/>
      <c r="C712" s="168"/>
      <c r="D712" s="168"/>
      <c r="E712" s="168"/>
      <c r="F712" s="227"/>
      <c r="G712" s="660"/>
      <c r="H712" s="253"/>
      <c r="I712" s="212"/>
      <c r="N712" s="212"/>
      <c r="O712" s="1557"/>
      <c r="P712" s="1558"/>
      <c r="Q712" s="661"/>
      <c r="R712" s="655"/>
      <c r="S712" s="655"/>
      <c r="T712" s="655"/>
      <c r="U712" s="655"/>
      <c r="V712" s="655"/>
      <c r="W712" s="655"/>
      <c r="Y712" s="1827"/>
      <c r="Z712" s="1828"/>
      <c r="AA712" s="1829"/>
      <c r="AB712" s="1829"/>
      <c r="AC712" s="1829"/>
      <c r="AD712" s="1564"/>
      <c r="AE712" s="701"/>
      <c r="AF712" s="684"/>
      <c r="AG712" s="684"/>
      <c r="AH712" s="710"/>
      <c r="AI712" s="710"/>
      <c r="AJ712" s="710"/>
      <c r="AK712" s="710"/>
      <c r="AL712" s="710"/>
      <c r="AM712" s="710"/>
      <c r="AN712" s="710"/>
      <c r="AO712" s="710"/>
      <c r="AP712" s="710"/>
      <c r="AQ712" s="710"/>
      <c r="AR712" s="710"/>
      <c r="AS712" s="710"/>
      <c r="AT712" s="710"/>
      <c r="AU712" s="1829"/>
      <c r="AV712" s="1835"/>
      <c r="AW712" s="1836"/>
      <c r="AX712" s="1836"/>
      <c r="AY712" s="1836"/>
      <c r="AZ712" s="1825"/>
      <c r="BA712" s="1825"/>
    </row>
    <row r="713" spans="2:53" s="188" customFormat="1" ht="24.95" customHeight="1">
      <c r="B713" s="281"/>
      <c r="C713" s="168"/>
      <c r="D713" s="168"/>
      <c r="E713" s="168"/>
      <c r="F713" s="227"/>
      <c r="G713" s="660"/>
      <c r="H713" s="253"/>
      <c r="I713" s="212"/>
      <c r="N713" s="212"/>
      <c r="O713" s="1557"/>
      <c r="P713" s="1558"/>
      <c r="Q713" s="661"/>
      <c r="R713" s="655"/>
      <c r="S713" s="655"/>
      <c r="T713" s="655"/>
      <c r="U713" s="655"/>
      <c r="V713" s="655"/>
      <c r="W713" s="655"/>
      <c r="Y713" s="1827"/>
      <c r="Z713" s="1828"/>
      <c r="AA713" s="1829"/>
      <c r="AB713" s="1829"/>
      <c r="AC713" s="1829"/>
      <c r="AD713" s="1564"/>
      <c r="AE713" s="701"/>
      <c r="AF713" s="684"/>
      <c r="AG713" s="684"/>
      <c r="AH713" s="710"/>
      <c r="AI713" s="710"/>
      <c r="AJ713" s="710"/>
      <c r="AK713" s="710"/>
      <c r="AL713" s="710"/>
      <c r="AM713" s="710"/>
      <c r="AN713" s="710"/>
      <c r="AO713" s="710"/>
      <c r="AP713" s="710"/>
      <c r="AQ713" s="710"/>
      <c r="AR713" s="710"/>
      <c r="AS713" s="710"/>
      <c r="AT713" s="710"/>
      <c r="AU713" s="1829"/>
      <c r="AV713" s="1835"/>
      <c r="AW713" s="1836"/>
      <c r="AX713" s="1836"/>
      <c r="AY713" s="1836"/>
      <c r="AZ713" s="1825"/>
      <c r="BA713" s="1825"/>
    </row>
    <row r="714" spans="2:53" s="188" customFormat="1" ht="24.95" customHeight="1">
      <c r="B714" s="281"/>
      <c r="C714" s="168"/>
      <c r="D714" s="168"/>
      <c r="E714" s="168"/>
      <c r="F714" s="227"/>
      <c r="G714" s="660"/>
      <c r="H714" s="253"/>
      <c r="I714" s="212"/>
      <c r="N714" s="212"/>
      <c r="O714" s="1557"/>
      <c r="P714" s="1558"/>
      <c r="Q714" s="661"/>
      <c r="R714" s="655"/>
      <c r="S714" s="655"/>
      <c r="T714" s="655"/>
      <c r="U714" s="655"/>
      <c r="V714" s="655"/>
      <c r="W714" s="655"/>
      <c r="Y714" s="1827"/>
      <c r="Z714" s="1828"/>
      <c r="AA714" s="1829"/>
      <c r="AB714" s="1829"/>
      <c r="AC714" s="1829"/>
      <c r="AD714" s="1564"/>
      <c r="AE714" s="701"/>
      <c r="AF714" s="684"/>
      <c r="AG714" s="684"/>
      <c r="AH714" s="710"/>
      <c r="AI714" s="710"/>
      <c r="AJ714" s="710"/>
      <c r="AK714" s="710"/>
      <c r="AL714" s="710"/>
      <c r="AM714" s="710"/>
      <c r="AN714" s="710"/>
      <c r="AO714" s="710"/>
      <c r="AP714" s="710"/>
      <c r="AQ714" s="710"/>
      <c r="AR714" s="710"/>
      <c r="AS714" s="710"/>
      <c r="AT714" s="710"/>
      <c r="AU714" s="1829"/>
      <c r="AV714" s="1835"/>
      <c r="AW714" s="1836"/>
      <c r="AX714" s="1836"/>
      <c r="AY714" s="1836"/>
      <c r="AZ714" s="1825"/>
      <c r="BA714" s="1825"/>
    </row>
    <row r="715" spans="2:53" s="188" customFormat="1" ht="24.95" customHeight="1">
      <c r="B715" s="281"/>
      <c r="C715" s="168"/>
      <c r="D715" s="168"/>
      <c r="E715" s="168"/>
      <c r="F715" s="227"/>
      <c r="G715" s="660"/>
      <c r="H715" s="253"/>
      <c r="I715" s="212"/>
      <c r="N715" s="212"/>
      <c r="O715" s="1557"/>
      <c r="P715" s="1558"/>
      <c r="Q715" s="661"/>
      <c r="R715" s="655"/>
      <c r="S715" s="655"/>
      <c r="T715" s="655"/>
      <c r="U715" s="655"/>
      <c r="V715" s="655"/>
      <c r="W715" s="655"/>
      <c r="Y715" s="1827"/>
      <c r="Z715" s="1828"/>
      <c r="AA715" s="1829"/>
      <c r="AB715" s="1829"/>
      <c r="AC715" s="1829"/>
      <c r="AD715" s="1564"/>
      <c r="AE715" s="701"/>
      <c r="AF715" s="684"/>
      <c r="AG715" s="684"/>
      <c r="AH715" s="710"/>
      <c r="AI715" s="710"/>
      <c r="AJ715" s="710"/>
      <c r="AK715" s="710"/>
      <c r="AL715" s="710"/>
      <c r="AM715" s="710"/>
      <c r="AN715" s="710"/>
      <c r="AO715" s="710"/>
      <c r="AP715" s="710"/>
      <c r="AQ715" s="710"/>
      <c r="AR715" s="710"/>
      <c r="AS715" s="710"/>
      <c r="AT715" s="710"/>
      <c r="AU715" s="1829"/>
      <c r="AV715" s="1835"/>
      <c r="AW715" s="1836"/>
      <c r="AX715" s="1836"/>
      <c r="AY715" s="1836"/>
      <c r="AZ715" s="1825"/>
      <c r="BA715" s="1825"/>
    </row>
    <row r="716" spans="2:53" s="188" customFormat="1" ht="24.95" customHeight="1">
      <c r="B716" s="281"/>
      <c r="C716" s="168"/>
      <c r="D716" s="168"/>
      <c r="E716" s="168"/>
      <c r="F716" s="227"/>
      <c r="G716" s="660"/>
      <c r="H716" s="253"/>
      <c r="I716" s="212"/>
      <c r="N716" s="212"/>
      <c r="O716" s="1557"/>
      <c r="P716" s="1558"/>
      <c r="Q716" s="661"/>
      <c r="R716" s="655"/>
      <c r="S716" s="655"/>
      <c r="T716" s="655"/>
      <c r="U716" s="655"/>
      <c r="V716" s="655"/>
      <c r="W716" s="655"/>
      <c r="Y716" s="1827"/>
      <c r="Z716" s="1828"/>
      <c r="AA716" s="1829"/>
      <c r="AB716" s="1829"/>
      <c r="AC716" s="1829"/>
      <c r="AD716" s="1564"/>
      <c r="AE716" s="701"/>
      <c r="AF716" s="684"/>
      <c r="AG716" s="684"/>
      <c r="AH716" s="710"/>
      <c r="AI716" s="710"/>
      <c r="AJ716" s="710"/>
      <c r="AK716" s="710"/>
      <c r="AL716" s="710"/>
      <c r="AM716" s="710"/>
      <c r="AN716" s="710"/>
      <c r="AO716" s="710"/>
      <c r="AP716" s="710"/>
      <c r="AQ716" s="710"/>
      <c r="AR716" s="710"/>
      <c r="AS716" s="710"/>
      <c r="AT716" s="710"/>
      <c r="AU716" s="1829"/>
      <c r="AV716" s="1835"/>
      <c r="AW716" s="1836"/>
      <c r="AX716" s="1836"/>
      <c r="AY716" s="1836"/>
      <c r="AZ716" s="1825"/>
      <c r="BA716" s="1825"/>
    </row>
    <row r="717" spans="2:53" s="188" customFormat="1" ht="24.95" customHeight="1">
      <c r="B717" s="281"/>
      <c r="C717" s="168"/>
      <c r="D717" s="168"/>
      <c r="E717" s="168"/>
      <c r="F717" s="227"/>
      <c r="G717" s="660"/>
      <c r="H717" s="253"/>
      <c r="I717" s="212"/>
      <c r="N717" s="212"/>
      <c r="O717" s="1557"/>
      <c r="P717" s="1558"/>
      <c r="Q717" s="661"/>
      <c r="R717" s="655"/>
      <c r="S717" s="655"/>
      <c r="T717" s="655"/>
      <c r="U717" s="655"/>
      <c r="V717" s="655"/>
      <c r="W717" s="655"/>
      <c r="Y717" s="1827"/>
      <c r="Z717" s="1828"/>
      <c r="AA717" s="1829"/>
      <c r="AB717" s="1829"/>
      <c r="AC717" s="1829"/>
      <c r="AD717" s="1564"/>
      <c r="AE717" s="701"/>
      <c r="AF717" s="684"/>
      <c r="AG717" s="684"/>
      <c r="AH717" s="710"/>
      <c r="AI717" s="710"/>
      <c r="AJ717" s="710"/>
      <c r="AK717" s="710"/>
      <c r="AL717" s="710"/>
      <c r="AM717" s="710"/>
      <c r="AN717" s="710"/>
      <c r="AO717" s="710"/>
      <c r="AP717" s="710"/>
      <c r="AQ717" s="710"/>
      <c r="AR717" s="710"/>
      <c r="AS717" s="710"/>
      <c r="AT717" s="710"/>
      <c r="AU717" s="1829"/>
      <c r="AV717" s="1835"/>
      <c r="AW717" s="1836"/>
      <c r="AX717" s="1836"/>
      <c r="AY717" s="1836"/>
      <c r="AZ717" s="1825"/>
      <c r="BA717" s="1825"/>
    </row>
    <row r="718" spans="2:53" s="188" customFormat="1" ht="24.95" customHeight="1">
      <c r="B718" s="281"/>
      <c r="C718" s="168"/>
      <c r="D718" s="168"/>
      <c r="E718" s="168"/>
      <c r="F718" s="227"/>
      <c r="G718" s="660"/>
      <c r="H718" s="253"/>
      <c r="I718" s="212"/>
      <c r="N718" s="212"/>
      <c r="O718" s="1557"/>
      <c r="P718" s="1558"/>
      <c r="Q718" s="661"/>
      <c r="R718" s="655"/>
      <c r="S718" s="655"/>
      <c r="T718" s="655"/>
      <c r="U718" s="655"/>
      <c r="V718" s="655"/>
      <c r="W718" s="655"/>
      <c r="Y718" s="1827"/>
      <c r="Z718" s="1828"/>
      <c r="AA718" s="1829"/>
      <c r="AB718" s="1829"/>
      <c r="AC718" s="1829"/>
      <c r="AD718" s="1564"/>
      <c r="AE718" s="701"/>
      <c r="AF718" s="684"/>
      <c r="AG718" s="684"/>
      <c r="AH718" s="710"/>
      <c r="AI718" s="710"/>
      <c r="AJ718" s="710"/>
      <c r="AK718" s="710"/>
      <c r="AL718" s="710"/>
      <c r="AM718" s="710"/>
      <c r="AN718" s="710"/>
      <c r="AO718" s="710"/>
      <c r="AP718" s="710"/>
      <c r="AQ718" s="710"/>
      <c r="AR718" s="710"/>
      <c r="AS718" s="710"/>
      <c r="AT718" s="710"/>
      <c r="AU718" s="1829"/>
      <c r="AV718" s="1835"/>
      <c r="AW718" s="1836"/>
      <c r="AX718" s="1836"/>
      <c r="AY718" s="1836"/>
      <c r="AZ718" s="1825"/>
      <c r="BA718" s="1825"/>
    </row>
    <row r="719" spans="2:53" s="188" customFormat="1" ht="24.95" customHeight="1">
      <c r="B719" s="281"/>
      <c r="C719" s="168"/>
      <c r="D719" s="168"/>
      <c r="E719" s="168"/>
      <c r="F719" s="227"/>
      <c r="G719" s="660"/>
      <c r="H719" s="253"/>
      <c r="I719" s="212"/>
      <c r="N719" s="212"/>
      <c r="O719" s="1557"/>
      <c r="P719" s="1558"/>
      <c r="Q719" s="661"/>
      <c r="R719" s="655"/>
      <c r="S719" s="655"/>
      <c r="T719" s="655"/>
      <c r="U719" s="655"/>
      <c r="V719" s="655"/>
      <c r="W719" s="655"/>
      <c r="Y719" s="1827"/>
      <c r="Z719" s="1828"/>
      <c r="AA719" s="1829"/>
      <c r="AB719" s="1829"/>
      <c r="AC719" s="1829"/>
      <c r="AD719" s="1564"/>
      <c r="AE719" s="701"/>
      <c r="AF719" s="684"/>
      <c r="AG719" s="684"/>
      <c r="AH719" s="710"/>
      <c r="AI719" s="710"/>
      <c r="AJ719" s="710"/>
      <c r="AK719" s="710"/>
      <c r="AL719" s="710"/>
      <c r="AM719" s="710"/>
      <c r="AN719" s="710"/>
      <c r="AO719" s="710"/>
      <c r="AP719" s="710"/>
      <c r="AQ719" s="710"/>
      <c r="AR719" s="710"/>
      <c r="AS719" s="710"/>
      <c r="AT719" s="710"/>
      <c r="AU719" s="1829"/>
      <c r="AV719" s="1835"/>
      <c r="AW719" s="1836"/>
      <c r="AX719" s="1836"/>
      <c r="AY719" s="1836"/>
      <c r="AZ719" s="1825"/>
      <c r="BA719" s="1825"/>
    </row>
    <row r="720" spans="2:53" s="188" customFormat="1" ht="24.95" customHeight="1">
      <c r="B720" s="281"/>
      <c r="C720" s="168"/>
      <c r="D720" s="168"/>
      <c r="E720" s="168"/>
      <c r="F720" s="227"/>
      <c r="G720" s="660"/>
      <c r="H720" s="253"/>
      <c r="I720" s="212"/>
      <c r="N720" s="212"/>
      <c r="O720" s="1557"/>
      <c r="P720" s="1558"/>
      <c r="Q720" s="661"/>
      <c r="R720" s="655"/>
      <c r="S720" s="655"/>
      <c r="T720" s="655"/>
      <c r="U720" s="655"/>
      <c r="V720" s="655"/>
      <c r="W720" s="655"/>
      <c r="Y720" s="1827"/>
      <c r="Z720" s="1828"/>
      <c r="AA720" s="1829"/>
      <c r="AB720" s="1829"/>
      <c r="AC720" s="1829"/>
      <c r="AD720" s="1564"/>
      <c r="AE720" s="701"/>
      <c r="AF720" s="684"/>
      <c r="AG720" s="684"/>
      <c r="AH720" s="710"/>
      <c r="AI720" s="710"/>
      <c r="AJ720" s="710"/>
      <c r="AK720" s="710"/>
      <c r="AL720" s="710"/>
      <c r="AM720" s="710"/>
      <c r="AN720" s="710"/>
      <c r="AO720" s="710"/>
      <c r="AP720" s="710"/>
      <c r="AQ720" s="710"/>
      <c r="AR720" s="710"/>
      <c r="AS720" s="710"/>
      <c r="AT720" s="710"/>
      <c r="AU720" s="1829"/>
      <c r="AV720" s="1835"/>
      <c r="AW720" s="1836"/>
      <c r="AX720" s="1836"/>
      <c r="AY720" s="1836"/>
      <c r="AZ720" s="1825"/>
      <c r="BA720" s="1825"/>
    </row>
    <row r="721" spans="2:53" s="188" customFormat="1" ht="24.95" customHeight="1">
      <c r="B721" s="281"/>
      <c r="C721" s="168"/>
      <c r="D721" s="168"/>
      <c r="E721" s="168"/>
      <c r="F721" s="227"/>
      <c r="G721" s="660"/>
      <c r="H721" s="253"/>
      <c r="I721" s="212"/>
      <c r="N721" s="212"/>
      <c r="O721" s="1557"/>
      <c r="P721" s="1558"/>
      <c r="Q721" s="661"/>
      <c r="R721" s="655"/>
      <c r="S721" s="655"/>
      <c r="T721" s="655"/>
      <c r="U721" s="655"/>
      <c r="V721" s="655"/>
      <c r="W721" s="655"/>
      <c r="Y721" s="1827"/>
      <c r="Z721" s="1828"/>
      <c r="AA721" s="1829"/>
      <c r="AB721" s="1829"/>
      <c r="AC721" s="1829"/>
      <c r="AD721" s="1564"/>
      <c r="AE721" s="701"/>
      <c r="AF721" s="684"/>
      <c r="AG721" s="684"/>
      <c r="AH721" s="710"/>
      <c r="AI721" s="710"/>
      <c r="AJ721" s="710"/>
      <c r="AK721" s="710"/>
      <c r="AL721" s="710"/>
      <c r="AM721" s="710"/>
      <c r="AN721" s="710"/>
      <c r="AO721" s="710"/>
      <c r="AP721" s="710"/>
      <c r="AQ721" s="710"/>
      <c r="AR721" s="710"/>
      <c r="AS721" s="710"/>
      <c r="AT721" s="710"/>
      <c r="AU721" s="1829"/>
      <c r="AV721" s="1835"/>
      <c r="AW721" s="1836"/>
      <c r="AX721" s="1836"/>
      <c r="AY721" s="1836"/>
      <c r="AZ721" s="1825"/>
      <c r="BA721" s="1825"/>
    </row>
    <row r="722" spans="2:53" s="188" customFormat="1" ht="24.95" customHeight="1">
      <c r="B722" s="281"/>
      <c r="C722" s="168"/>
      <c r="D722" s="168"/>
      <c r="E722" s="168"/>
      <c r="F722" s="227"/>
      <c r="G722" s="660"/>
      <c r="H722" s="253"/>
      <c r="I722" s="212"/>
      <c r="N722" s="212"/>
      <c r="O722" s="1557"/>
      <c r="P722" s="1558"/>
      <c r="Q722" s="661"/>
      <c r="R722" s="655"/>
      <c r="S722" s="655"/>
      <c r="T722" s="655"/>
      <c r="U722" s="655"/>
      <c r="V722" s="655"/>
      <c r="W722" s="655"/>
      <c r="Y722" s="1827"/>
      <c r="Z722" s="1828"/>
      <c r="AA722" s="1829"/>
      <c r="AB722" s="1829"/>
      <c r="AC722" s="1829"/>
      <c r="AD722" s="1564"/>
      <c r="AE722" s="701"/>
      <c r="AF722" s="684"/>
      <c r="AG722" s="684"/>
      <c r="AH722" s="710"/>
      <c r="AI722" s="710"/>
      <c r="AJ722" s="710"/>
      <c r="AK722" s="710"/>
      <c r="AL722" s="710"/>
      <c r="AM722" s="710"/>
      <c r="AN722" s="710"/>
      <c r="AO722" s="710"/>
      <c r="AP722" s="710"/>
      <c r="AQ722" s="710"/>
      <c r="AR722" s="710"/>
      <c r="AS722" s="710"/>
      <c r="AT722" s="710"/>
      <c r="AU722" s="1829"/>
      <c r="AV722" s="1835"/>
      <c r="AW722" s="1836"/>
      <c r="AX722" s="1836"/>
      <c r="AY722" s="1836"/>
      <c r="AZ722" s="1825"/>
      <c r="BA722" s="1825"/>
    </row>
    <row r="723" spans="2:53" s="188" customFormat="1" ht="24.95" customHeight="1">
      <c r="B723" s="281"/>
      <c r="C723" s="168"/>
      <c r="D723" s="168"/>
      <c r="E723" s="168"/>
      <c r="F723" s="227"/>
      <c r="G723" s="660"/>
      <c r="H723" s="253"/>
      <c r="I723" s="212"/>
      <c r="N723" s="212"/>
      <c r="O723" s="1557"/>
      <c r="P723" s="1558"/>
      <c r="Q723" s="661"/>
      <c r="R723" s="655"/>
      <c r="S723" s="655"/>
      <c r="T723" s="655"/>
      <c r="U723" s="655"/>
      <c r="V723" s="655"/>
      <c r="W723" s="655"/>
      <c r="Y723" s="1827"/>
      <c r="Z723" s="1828"/>
      <c r="AA723" s="1829"/>
      <c r="AB723" s="1829"/>
      <c r="AC723" s="1829"/>
      <c r="AD723" s="1564"/>
      <c r="AE723" s="701"/>
      <c r="AF723" s="684"/>
      <c r="AG723" s="684"/>
      <c r="AH723" s="710"/>
      <c r="AI723" s="710"/>
      <c r="AJ723" s="710"/>
      <c r="AK723" s="710"/>
      <c r="AL723" s="710"/>
      <c r="AM723" s="710"/>
      <c r="AN723" s="710"/>
      <c r="AO723" s="710"/>
      <c r="AP723" s="710"/>
      <c r="AQ723" s="710"/>
      <c r="AR723" s="710"/>
      <c r="AS723" s="710"/>
      <c r="AT723" s="710"/>
      <c r="AU723" s="1829"/>
      <c r="AV723" s="1835"/>
      <c r="AW723" s="1836"/>
      <c r="AX723" s="1836"/>
      <c r="AY723" s="1836"/>
      <c r="AZ723" s="1825"/>
      <c r="BA723" s="1825"/>
    </row>
    <row r="724" spans="2:53" s="188" customFormat="1" ht="24.95" customHeight="1">
      <c r="B724" s="281"/>
      <c r="C724" s="168"/>
      <c r="D724" s="168"/>
      <c r="E724" s="168"/>
      <c r="F724" s="227"/>
      <c r="G724" s="660"/>
      <c r="H724" s="253"/>
      <c r="I724" s="212"/>
      <c r="N724" s="212"/>
      <c r="O724" s="1557"/>
      <c r="P724" s="1558"/>
      <c r="Q724" s="661"/>
      <c r="R724" s="655"/>
      <c r="S724" s="655"/>
      <c r="T724" s="655"/>
      <c r="U724" s="655"/>
      <c r="V724" s="655"/>
      <c r="W724" s="655"/>
      <c r="Y724" s="1827"/>
      <c r="Z724" s="1828"/>
      <c r="AA724" s="1829"/>
      <c r="AB724" s="1829"/>
      <c r="AC724" s="1829"/>
      <c r="AD724" s="1564"/>
      <c r="AE724" s="701"/>
      <c r="AF724" s="684"/>
      <c r="AG724" s="684"/>
      <c r="AH724" s="710"/>
      <c r="AI724" s="710"/>
      <c r="AJ724" s="710"/>
      <c r="AK724" s="710"/>
      <c r="AL724" s="710"/>
      <c r="AM724" s="710"/>
      <c r="AN724" s="710"/>
      <c r="AO724" s="710"/>
      <c r="AP724" s="710"/>
      <c r="AQ724" s="710"/>
      <c r="AR724" s="710"/>
      <c r="AS724" s="710"/>
      <c r="AT724" s="710"/>
      <c r="AU724" s="1829"/>
      <c r="AV724" s="1835"/>
      <c r="AW724" s="1836"/>
      <c r="AX724" s="1836"/>
      <c r="AY724" s="1836"/>
      <c r="AZ724" s="1825"/>
      <c r="BA724" s="1825"/>
    </row>
    <row r="725" spans="2:53" s="188" customFormat="1" ht="24.95" customHeight="1">
      <c r="B725" s="281"/>
      <c r="C725" s="168"/>
      <c r="D725" s="168"/>
      <c r="E725" s="168"/>
      <c r="F725" s="227"/>
      <c r="G725" s="660"/>
      <c r="H725" s="253"/>
      <c r="I725" s="212"/>
      <c r="N725" s="212"/>
      <c r="O725" s="1557"/>
      <c r="P725" s="1558"/>
      <c r="Q725" s="661"/>
      <c r="R725" s="655"/>
      <c r="S725" s="655"/>
      <c r="T725" s="655"/>
      <c r="U725" s="655"/>
      <c r="V725" s="655"/>
      <c r="W725" s="655"/>
      <c r="Y725" s="1827"/>
      <c r="Z725" s="1828"/>
      <c r="AA725" s="1829"/>
      <c r="AB725" s="1829"/>
      <c r="AC725" s="1829"/>
      <c r="AD725" s="1564"/>
      <c r="AE725" s="701"/>
      <c r="AF725" s="684"/>
      <c r="AG725" s="684"/>
      <c r="AH725" s="710"/>
      <c r="AI725" s="710"/>
      <c r="AJ725" s="710"/>
      <c r="AK725" s="710"/>
      <c r="AL725" s="710"/>
      <c r="AM725" s="710"/>
      <c r="AN725" s="710"/>
      <c r="AO725" s="710"/>
      <c r="AP725" s="710"/>
      <c r="AQ725" s="710"/>
      <c r="AR725" s="710"/>
      <c r="AS725" s="710"/>
      <c r="AT725" s="710"/>
      <c r="AU725" s="1829"/>
      <c r="AV725" s="1835"/>
      <c r="AW725" s="1836"/>
      <c r="AX725" s="1836"/>
      <c r="AY725" s="1836"/>
      <c r="AZ725" s="1825"/>
      <c r="BA725" s="1825"/>
    </row>
    <row r="726" spans="2:53" s="188" customFormat="1" ht="24.95" customHeight="1">
      <c r="B726" s="281"/>
      <c r="C726" s="168"/>
      <c r="D726" s="168"/>
      <c r="E726" s="168"/>
      <c r="F726" s="227"/>
      <c r="G726" s="660"/>
      <c r="H726" s="253"/>
      <c r="I726" s="212"/>
      <c r="N726" s="212"/>
      <c r="O726" s="1557"/>
      <c r="P726" s="1558"/>
      <c r="Q726" s="661"/>
      <c r="R726" s="655"/>
      <c r="S726" s="655"/>
      <c r="T726" s="655"/>
      <c r="U726" s="655"/>
      <c r="V726" s="655"/>
      <c r="W726" s="655"/>
      <c r="Y726" s="1827"/>
      <c r="Z726" s="1828"/>
      <c r="AA726" s="1829"/>
      <c r="AB726" s="1829"/>
      <c r="AC726" s="1829"/>
      <c r="AD726" s="1564"/>
      <c r="AE726" s="701"/>
      <c r="AF726" s="684"/>
      <c r="AG726" s="684"/>
      <c r="AH726" s="710"/>
      <c r="AI726" s="710"/>
      <c r="AJ726" s="710"/>
      <c r="AK726" s="710"/>
      <c r="AL726" s="710"/>
      <c r="AM726" s="710"/>
      <c r="AN726" s="710"/>
      <c r="AO726" s="710"/>
      <c r="AP726" s="710"/>
      <c r="AQ726" s="710"/>
      <c r="AR726" s="710"/>
      <c r="AS726" s="710"/>
      <c r="AT726" s="710"/>
      <c r="AU726" s="1829"/>
      <c r="AV726" s="1835"/>
      <c r="AW726" s="1836"/>
      <c r="AX726" s="1836"/>
      <c r="AY726" s="1836"/>
      <c r="AZ726" s="1825"/>
      <c r="BA726" s="1825"/>
    </row>
    <row r="727" spans="2:53" s="188" customFormat="1" ht="24.95" customHeight="1">
      <c r="B727" s="281"/>
      <c r="C727" s="168"/>
      <c r="D727" s="168"/>
      <c r="E727" s="168"/>
      <c r="F727" s="227"/>
      <c r="G727" s="660"/>
      <c r="H727" s="253"/>
      <c r="I727" s="212"/>
      <c r="N727" s="212"/>
      <c r="O727" s="1557"/>
      <c r="P727" s="1558"/>
      <c r="Q727" s="661"/>
      <c r="R727" s="655"/>
      <c r="S727" s="655"/>
      <c r="T727" s="655"/>
      <c r="U727" s="655"/>
      <c r="V727" s="655"/>
      <c r="W727" s="655"/>
      <c r="Y727" s="1827"/>
      <c r="Z727" s="1828"/>
      <c r="AA727" s="1829"/>
      <c r="AB727" s="1829"/>
      <c r="AC727" s="1829"/>
      <c r="AD727" s="1564"/>
      <c r="AE727" s="701"/>
      <c r="AF727" s="684"/>
      <c r="AG727" s="684"/>
      <c r="AH727" s="710"/>
      <c r="AI727" s="710"/>
      <c r="AJ727" s="710"/>
      <c r="AK727" s="710"/>
      <c r="AL727" s="710"/>
      <c r="AM727" s="710"/>
      <c r="AN727" s="710"/>
      <c r="AO727" s="710"/>
      <c r="AP727" s="710"/>
      <c r="AQ727" s="710"/>
      <c r="AR727" s="710"/>
      <c r="AS727" s="710"/>
      <c r="AT727" s="710"/>
      <c r="AU727" s="1829"/>
      <c r="AV727" s="1835"/>
      <c r="AW727" s="1836"/>
      <c r="AX727" s="1836"/>
      <c r="AY727" s="1836"/>
      <c r="AZ727" s="1825"/>
      <c r="BA727" s="1825"/>
    </row>
    <row r="728" spans="2:53" s="188" customFormat="1" ht="24.95" customHeight="1">
      <c r="B728" s="281"/>
      <c r="C728" s="168"/>
      <c r="D728" s="168"/>
      <c r="E728" s="168"/>
      <c r="F728" s="227"/>
      <c r="G728" s="660"/>
      <c r="H728" s="253"/>
      <c r="I728" s="212"/>
      <c r="N728" s="212"/>
      <c r="O728" s="1557"/>
      <c r="P728" s="1558"/>
      <c r="Q728" s="661"/>
      <c r="R728" s="655"/>
      <c r="S728" s="655"/>
      <c r="T728" s="655"/>
      <c r="U728" s="655"/>
      <c r="V728" s="655"/>
      <c r="W728" s="655"/>
      <c r="Y728" s="1827"/>
      <c r="Z728" s="1828"/>
      <c r="AA728" s="1829"/>
      <c r="AB728" s="1829"/>
      <c r="AC728" s="1829"/>
      <c r="AD728" s="1564"/>
      <c r="AE728" s="701"/>
      <c r="AF728" s="684"/>
      <c r="AG728" s="684"/>
      <c r="AH728" s="710"/>
      <c r="AI728" s="710"/>
      <c r="AJ728" s="710"/>
      <c r="AK728" s="710"/>
      <c r="AL728" s="710"/>
      <c r="AM728" s="710"/>
      <c r="AN728" s="710"/>
      <c r="AO728" s="710"/>
      <c r="AP728" s="710"/>
      <c r="AQ728" s="710"/>
      <c r="AR728" s="710"/>
      <c r="AS728" s="710"/>
      <c r="AT728" s="710"/>
      <c r="AU728" s="1829"/>
      <c r="AV728" s="1835"/>
      <c r="AW728" s="1836"/>
      <c r="AX728" s="1836"/>
      <c r="AY728" s="1836"/>
      <c r="AZ728" s="1825"/>
      <c r="BA728" s="1825"/>
    </row>
    <row r="729" spans="2:53" s="188" customFormat="1" ht="24.95" customHeight="1">
      <c r="B729" s="281"/>
      <c r="C729" s="168"/>
      <c r="D729" s="168"/>
      <c r="E729" s="168"/>
      <c r="F729" s="227"/>
      <c r="G729" s="660"/>
      <c r="H729" s="253"/>
      <c r="I729" s="212"/>
      <c r="N729" s="212"/>
      <c r="O729" s="1557"/>
      <c r="P729" s="1558"/>
      <c r="Q729" s="661"/>
      <c r="R729" s="655"/>
      <c r="S729" s="655"/>
      <c r="T729" s="655"/>
      <c r="U729" s="655"/>
      <c r="V729" s="655"/>
      <c r="W729" s="655"/>
      <c r="Y729" s="1827"/>
      <c r="Z729" s="1828"/>
      <c r="AA729" s="1829"/>
      <c r="AB729" s="1829"/>
      <c r="AC729" s="1829"/>
      <c r="AD729" s="1564"/>
      <c r="AE729" s="701"/>
      <c r="AF729" s="684"/>
      <c r="AG729" s="684"/>
      <c r="AH729" s="710"/>
      <c r="AI729" s="710"/>
      <c r="AJ729" s="710"/>
      <c r="AK729" s="710"/>
      <c r="AL729" s="710"/>
      <c r="AM729" s="710"/>
      <c r="AN729" s="710"/>
      <c r="AO729" s="710"/>
      <c r="AP729" s="710"/>
      <c r="AQ729" s="710"/>
      <c r="AR729" s="710"/>
      <c r="AS729" s="710"/>
      <c r="AT729" s="710"/>
      <c r="AU729" s="1829"/>
      <c r="AV729" s="1835"/>
      <c r="AW729" s="1836"/>
      <c r="AX729" s="1836"/>
      <c r="AY729" s="1836"/>
      <c r="AZ729" s="1825"/>
      <c r="BA729" s="1825"/>
    </row>
    <row r="730" spans="2:53" s="188" customFormat="1" ht="24.95" customHeight="1">
      <c r="B730" s="281"/>
      <c r="C730" s="168"/>
      <c r="D730" s="168"/>
      <c r="E730" s="168"/>
      <c r="F730" s="227"/>
      <c r="G730" s="660"/>
      <c r="H730" s="253"/>
      <c r="I730" s="212"/>
      <c r="N730" s="212"/>
      <c r="O730" s="1557"/>
      <c r="P730" s="1558"/>
      <c r="Q730" s="661"/>
      <c r="R730" s="655"/>
      <c r="S730" s="655"/>
      <c r="T730" s="655"/>
      <c r="U730" s="655"/>
      <c r="V730" s="655"/>
      <c r="W730" s="655"/>
      <c r="Y730" s="1827"/>
      <c r="Z730" s="1828"/>
      <c r="AA730" s="1829"/>
      <c r="AB730" s="1829"/>
      <c r="AC730" s="1829"/>
      <c r="AD730" s="1564"/>
      <c r="AE730" s="701"/>
      <c r="AF730" s="684"/>
      <c r="AG730" s="684"/>
      <c r="AH730" s="710"/>
      <c r="AI730" s="710"/>
      <c r="AJ730" s="710"/>
      <c r="AK730" s="710"/>
      <c r="AL730" s="710"/>
      <c r="AM730" s="710"/>
      <c r="AN730" s="710"/>
      <c r="AO730" s="710"/>
      <c r="AP730" s="710"/>
      <c r="AQ730" s="710"/>
      <c r="AR730" s="710"/>
      <c r="AS730" s="710"/>
      <c r="AT730" s="710"/>
      <c r="AU730" s="1829"/>
      <c r="AV730" s="1835"/>
      <c r="AW730" s="1836"/>
      <c r="AX730" s="1836"/>
      <c r="AY730" s="1836"/>
      <c r="AZ730" s="1825"/>
      <c r="BA730" s="1825"/>
    </row>
    <row r="731" spans="2:53" s="188" customFormat="1" ht="24.95" customHeight="1">
      <c r="B731" s="281"/>
      <c r="C731" s="168"/>
      <c r="D731" s="168"/>
      <c r="E731" s="168"/>
      <c r="F731" s="227"/>
      <c r="G731" s="660"/>
      <c r="H731" s="253"/>
      <c r="I731" s="212"/>
      <c r="N731" s="212"/>
      <c r="O731" s="1557"/>
      <c r="P731" s="1558"/>
      <c r="Q731" s="661"/>
      <c r="R731" s="655"/>
      <c r="S731" s="655"/>
      <c r="T731" s="655"/>
      <c r="U731" s="655"/>
      <c r="V731" s="655"/>
      <c r="W731" s="655"/>
      <c r="Y731" s="1827"/>
      <c r="Z731" s="1828"/>
      <c r="AA731" s="1829"/>
      <c r="AB731" s="1829"/>
      <c r="AC731" s="1829"/>
      <c r="AD731" s="1564"/>
      <c r="AE731" s="701"/>
      <c r="AF731" s="684"/>
      <c r="AG731" s="684"/>
      <c r="AH731" s="710"/>
      <c r="AI731" s="710"/>
      <c r="AJ731" s="710"/>
      <c r="AK731" s="710"/>
      <c r="AL731" s="710"/>
      <c r="AM731" s="710"/>
      <c r="AN731" s="710"/>
      <c r="AO731" s="710"/>
      <c r="AP731" s="710"/>
      <c r="AQ731" s="710"/>
      <c r="AR731" s="710"/>
      <c r="AS731" s="710"/>
      <c r="AT731" s="710"/>
      <c r="AU731" s="1829"/>
      <c r="AV731" s="1835"/>
      <c r="AW731" s="1836"/>
      <c r="AX731" s="1836"/>
      <c r="AY731" s="1836"/>
      <c r="AZ731" s="1825"/>
      <c r="BA731" s="1825"/>
    </row>
    <row r="732" spans="2:53" s="188" customFormat="1" ht="24.95" customHeight="1">
      <c r="B732" s="281"/>
      <c r="C732" s="168"/>
      <c r="D732" s="168"/>
      <c r="E732" s="168"/>
      <c r="F732" s="227"/>
      <c r="G732" s="660"/>
      <c r="H732" s="253"/>
      <c r="I732" s="212"/>
      <c r="N732" s="212"/>
      <c r="O732" s="1557"/>
      <c r="P732" s="1558"/>
      <c r="Q732" s="661"/>
      <c r="R732" s="655"/>
      <c r="S732" s="655"/>
      <c r="T732" s="655"/>
      <c r="U732" s="655"/>
      <c r="V732" s="655"/>
      <c r="W732" s="655"/>
      <c r="Y732" s="1827"/>
      <c r="Z732" s="1828"/>
      <c r="AA732" s="1829"/>
      <c r="AB732" s="1829"/>
      <c r="AC732" s="1829"/>
      <c r="AD732" s="1564"/>
      <c r="AE732" s="701"/>
      <c r="AF732" s="684"/>
      <c r="AG732" s="684"/>
      <c r="AH732" s="710"/>
      <c r="AI732" s="710"/>
      <c r="AJ732" s="710"/>
      <c r="AK732" s="710"/>
      <c r="AL732" s="710"/>
      <c r="AM732" s="710"/>
      <c r="AN732" s="710"/>
      <c r="AO732" s="710"/>
      <c r="AP732" s="710"/>
      <c r="AQ732" s="710"/>
      <c r="AR732" s="710"/>
      <c r="AS732" s="710"/>
      <c r="AT732" s="710"/>
      <c r="AU732" s="1829"/>
      <c r="AV732" s="1835"/>
      <c r="AW732" s="1836"/>
      <c r="AX732" s="1836"/>
      <c r="AY732" s="1836"/>
      <c r="AZ732" s="1825"/>
      <c r="BA732" s="1825"/>
    </row>
    <row r="733" spans="2:53" s="188" customFormat="1" ht="24.95" customHeight="1">
      <c r="B733" s="281"/>
      <c r="C733" s="168"/>
      <c r="D733" s="168"/>
      <c r="E733" s="168"/>
      <c r="F733" s="227"/>
      <c r="G733" s="660"/>
      <c r="H733" s="253"/>
      <c r="I733" s="212"/>
      <c r="N733" s="212"/>
      <c r="O733" s="1557"/>
      <c r="P733" s="1558"/>
      <c r="Q733" s="661"/>
      <c r="R733" s="655"/>
      <c r="S733" s="655"/>
      <c r="T733" s="655"/>
      <c r="U733" s="655"/>
      <c r="V733" s="655"/>
      <c r="W733" s="655"/>
      <c r="Y733" s="1827"/>
      <c r="Z733" s="1828"/>
      <c r="AA733" s="1829"/>
      <c r="AB733" s="1829"/>
      <c r="AC733" s="1829"/>
      <c r="AD733" s="1564"/>
      <c r="AE733" s="701"/>
      <c r="AF733" s="684"/>
      <c r="AG733" s="684"/>
      <c r="AH733" s="710"/>
      <c r="AI733" s="710"/>
      <c r="AJ733" s="710"/>
      <c r="AK733" s="710"/>
      <c r="AL733" s="710"/>
      <c r="AM733" s="710"/>
      <c r="AN733" s="710"/>
      <c r="AO733" s="710"/>
      <c r="AP733" s="710"/>
      <c r="AQ733" s="710"/>
      <c r="AR733" s="710"/>
      <c r="AS733" s="710"/>
      <c r="AT733" s="710"/>
      <c r="AU733" s="1829"/>
      <c r="AV733" s="1835"/>
      <c r="AW733" s="1836"/>
      <c r="AX733" s="1836"/>
      <c r="AY733" s="1836"/>
      <c r="AZ733" s="1825"/>
      <c r="BA733" s="1825"/>
    </row>
    <row r="734" spans="2:53" s="188" customFormat="1" ht="24.95" customHeight="1">
      <c r="B734" s="281"/>
      <c r="C734" s="168"/>
      <c r="D734" s="168"/>
      <c r="E734" s="168"/>
      <c r="F734" s="227"/>
      <c r="G734" s="660"/>
      <c r="H734" s="253"/>
      <c r="I734" s="212"/>
      <c r="N734" s="212"/>
      <c r="O734" s="1557"/>
      <c r="P734" s="1558"/>
      <c r="Q734" s="661"/>
      <c r="R734" s="655"/>
      <c r="S734" s="655"/>
      <c r="T734" s="655"/>
      <c r="U734" s="655"/>
      <c r="V734" s="655"/>
      <c r="W734" s="655"/>
      <c r="Y734" s="1827"/>
      <c r="Z734" s="1828"/>
      <c r="AA734" s="1829"/>
      <c r="AB734" s="1829"/>
      <c r="AC734" s="1829"/>
      <c r="AD734" s="1564"/>
      <c r="AE734" s="701"/>
      <c r="AF734" s="684"/>
      <c r="AG734" s="684"/>
      <c r="AH734" s="710"/>
      <c r="AI734" s="710"/>
      <c r="AJ734" s="710"/>
      <c r="AK734" s="710"/>
      <c r="AL734" s="710"/>
      <c r="AM734" s="710"/>
      <c r="AN734" s="710"/>
      <c r="AO734" s="710"/>
      <c r="AP734" s="710"/>
      <c r="AQ734" s="710"/>
      <c r="AR734" s="710"/>
      <c r="AS734" s="710"/>
      <c r="AT734" s="710"/>
      <c r="AU734" s="1829"/>
      <c r="AV734" s="1835"/>
      <c r="AW734" s="1836"/>
      <c r="AX734" s="1836"/>
      <c r="AY734" s="1836"/>
      <c r="AZ734" s="1825"/>
      <c r="BA734" s="1825"/>
    </row>
    <row r="735" spans="2:53" s="188" customFormat="1" ht="24.95" customHeight="1">
      <c r="B735" s="281"/>
      <c r="C735" s="168"/>
      <c r="D735" s="168"/>
      <c r="E735" s="168"/>
      <c r="F735" s="227"/>
      <c r="G735" s="660"/>
      <c r="H735" s="253"/>
      <c r="I735" s="212"/>
      <c r="N735" s="212"/>
      <c r="O735" s="1557"/>
      <c r="P735" s="1558"/>
      <c r="Q735" s="661"/>
      <c r="R735" s="655"/>
      <c r="S735" s="655"/>
      <c r="T735" s="655"/>
      <c r="U735" s="655"/>
      <c r="V735" s="655"/>
      <c r="W735" s="655"/>
      <c r="Y735" s="1827"/>
      <c r="Z735" s="1828"/>
      <c r="AA735" s="1829"/>
      <c r="AB735" s="1829"/>
      <c r="AC735" s="1829"/>
      <c r="AD735" s="1564"/>
      <c r="AE735" s="701"/>
      <c r="AF735" s="684"/>
      <c r="AG735" s="684"/>
      <c r="AH735" s="710"/>
      <c r="AI735" s="710"/>
      <c r="AJ735" s="710"/>
      <c r="AK735" s="710"/>
      <c r="AL735" s="710"/>
      <c r="AM735" s="710"/>
      <c r="AN735" s="710"/>
      <c r="AO735" s="710"/>
      <c r="AP735" s="710"/>
      <c r="AQ735" s="710"/>
      <c r="AR735" s="710"/>
      <c r="AS735" s="710"/>
      <c r="AT735" s="710"/>
      <c r="AU735" s="1829"/>
      <c r="AV735" s="1835"/>
      <c r="AW735" s="1836"/>
      <c r="AX735" s="1836"/>
      <c r="AY735" s="1836"/>
      <c r="AZ735" s="1825"/>
      <c r="BA735" s="1825"/>
    </row>
    <row r="736" spans="2:53" s="188" customFormat="1" ht="24.95" customHeight="1">
      <c r="B736" s="281"/>
      <c r="C736" s="168"/>
      <c r="D736" s="168"/>
      <c r="E736" s="168"/>
      <c r="F736" s="227"/>
      <c r="G736" s="660"/>
      <c r="H736" s="253"/>
      <c r="I736" s="212"/>
      <c r="N736" s="212"/>
      <c r="O736" s="1557"/>
      <c r="P736" s="1558"/>
      <c r="Q736" s="661"/>
      <c r="R736" s="655"/>
      <c r="S736" s="655"/>
      <c r="T736" s="655"/>
      <c r="U736" s="655"/>
      <c r="V736" s="655"/>
      <c r="W736" s="655"/>
      <c r="Y736" s="1827"/>
      <c r="Z736" s="1828"/>
      <c r="AA736" s="1829"/>
      <c r="AB736" s="1829"/>
      <c r="AC736" s="1829"/>
      <c r="AD736" s="1564"/>
      <c r="AE736" s="701"/>
      <c r="AF736" s="684"/>
      <c r="AG736" s="684"/>
      <c r="AH736" s="710"/>
      <c r="AI736" s="710"/>
      <c r="AJ736" s="710"/>
      <c r="AK736" s="710"/>
      <c r="AL736" s="710"/>
      <c r="AM736" s="710"/>
      <c r="AN736" s="710"/>
      <c r="AO736" s="710"/>
      <c r="AP736" s="710"/>
      <c r="AQ736" s="710"/>
      <c r="AR736" s="710"/>
      <c r="AS736" s="710"/>
      <c r="AT736" s="710"/>
      <c r="AU736" s="1829"/>
      <c r="AV736" s="1835"/>
      <c r="AW736" s="1836"/>
      <c r="AX736" s="1836"/>
      <c r="AY736" s="1836"/>
      <c r="AZ736" s="1825"/>
      <c r="BA736" s="1825"/>
    </row>
    <row r="737" spans="2:53" s="188" customFormat="1" ht="24.95" customHeight="1">
      <c r="B737" s="281"/>
      <c r="C737" s="168"/>
      <c r="D737" s="168"/>
      <c r="E737" s="168"/>
      <c r="F737" s="227"/>
      <c r="G737" s="660"/>
      <c r="H737" s="253"/>
      <c r="I737" s="212"/>
      <c r="N737" s="212"/>
      <c r="O737" s="1557"/>
      <c r="P737" s="1558"/>
      <c r="Q737" s="661"/>
      <c r="R737" s="655"/>
      <c r="S737" s="655"/>
      <c r="T737" s="655"/>
      <c r="U737" s="655"/>
      <c r="V737" s="655"/>
      <c r="W737" s="655"/>
      <c r="Y737" s="1827"/>
      <c r="Z737" s="1828"/>
      <c r="AA737" s="1829"/>
      <c r="AB737" s="1829"/>
      <c r="AC737" s="1829"/>
      <c r="AD737" s="1564"/>
      <c r="AE737" s="701"/>
      <c r="AF737" s="684"/>
      <c r="AG737" s="684"/>
      <c r="AH737" s="710"/>
      <c r="AI737" s="710"/>
      <c r="AJ737" s="710"/>
      <c r="AK737" s="710"/>
      <c r="AL737" s="710"/>
      <c r="AM737" s="710"/>
      <c r="AN737" s="710"/>
      <c r="AO737" s="710"/>
      <c r="AP737" s="710"/>
      <c r="AQ737" s="710"/>
      <c r="AR737" s="710"/>
      <c r="AS737" s="710"/>
      <c r="AT737" s="710"/>
      <c r="AU737" s="1829"/>
      <c r="AV737" s="1835"/>
      <c r="AW737" s="1836"/>
      <c r="AX737" s="1836"/>
      <c r="AY737" s="1836"/>
      <c r="AZ737" s="1825"/>
      <c r="BA737" s="1825"/>
    </row>
    <row r="738" spans="2:53" s="188" customFormat="1" ht="24.95" customHeight="1">
      <c r="B738" s="281"/>
      <c r="C738" s="168"/>
      <c r="D738" s="168"/>
      <c r="E738" s="168"/>
      <c r="F738" s="227"/>
      <c r="G738" s="660"/>
      <c r="H738" s="253"/>
      <c r="I738" s="212"/>
      <c r="N738" s="212"/>
      <c r="O738" s="1557"/>
      <c r="P738" s="1558"/>
      <c r="Q738" s="661"/>
      <c r="R738" s="655"/>
      <c r="S738" s="655"/>
      <c r="T738" s="655"/>
      <c r="U738" s="655"/>
      <c r="V738" s="655"/>
      <c r="W738" s="655"/>
      <c r="Y738" s="1827"/>
      <c r="Z738" s="1828"/>
      <c r="AA738" s="1829"/>
      <c r="AB738" s="1829"/>
      <c r="AC738" s="1829"/>
      <c r="AD738" s="1564"/>
      <c r="AE738" s="701"/>
      <c r="AF738" s="684"/>
      <c r="AG738" s="684"/>
      <c r="AH738" s="710"/>
      <c r="AI738" s="710"/>
      <c r="AJ738" s="710"/>
      <c r="AK738" s="710"/>
      <c r="AL738" s="710"/>
      <c r="AM738" s="710"/>
      <c r="AN738" s="710"/>
      <c r="AO738" s="710"/>
      <c r="AP738" s="710"/>
      <c r="AQ738" s="710"/>
      <c r="AR738" s="710"/>
      <c r="AS738" s="710"/>
      <c r="AT738" s="710"/>
      <c r="AU738" s="1829"/>
      <c r="AV738" s="1835"/>
      <c r="AW738" s="1836"/>
      <c r="AX738" s="1836"/>
      <c r="AY738" s="1836"/>
      <c r="AZ738" s="1825"/>
      <c r="BA738" s="1825"/>
    </row>
    <row r="739" spans="2:53" s="188" customFormat="1" ht="24.95" customHeight="1">
      <c r="B739" s="281"/>
      <c r="C739" s="168"/>
      <c r="D739" s="168"/>
      <c r="E739" s="168"/>
      <c r="F739" s="227"/>
      <c r="G739" s="660"/>
      <c r="H739" s="253"/>
      <c r="I739" s="212"/>
      <c r="N739" s="212"/>
      <c r="O739" s="1557"/>
      <c r="P739" s="1558"/>
      <c r="Q739" s="661"/>
      <c r="R739" s="655"/>
      <c r="S739" s="655"/>
      <c r="T739" s="655"/>
      <c r="U739" s="655"/>
      <c r="V739" s="655"/>
      <c r="W739" s="655"/>
      <c r="Y739" s="1827"/>
      <c r="Z739" s="1828"/>
      <c r="AA739" s="1829"/>
      <c r="AB739" s="1829"/>
      <c r="AC739" s="1829"/>
      <c r="AD739" s="1564"/>
      <c r="AE739" s="701"/>
      <c r="AF739" s="684"/>
      <c r="AG739" s="684"/>
      <c r="AH739" s="710"/>
      <c r="AI739" s="710"/>
      <c r="AJ739" s="710"/>
      <c r="AK739" s="710"/>
      <c r="AL739" s="710"/>
      <c r="AM739" s="710"/>
      <c r="AN739" s="710"/>
      <c r="AO739" s="710"/>
      <c r="AP739" s="710"/>
      <c r="AQ739" s="710"/>
      <c r="AR739" s="710"/>
      <c r="AS739" s="710"/>
      <c r="AT739" s="710"/>
      <c r="AU739" s="1829"/>
      <c r="AV739" s="1835"/>
      <c r="AW739" s="1836"/>
      <c r="AX739" s="1836"/>
      <c r="AY739" s="1836"/>
      <c r="AZ739" s="1825"/>
      <c r="BA739" s="1825"/>
    </row>
    <row r="740" spans="2:53" s="188" customFormat="1" ht="24.95" customHeight="1">
      <c r="B740" s="281"/>
      <c r="C740" s="168"/>
      <c r="D740" s="168"/>
      <c r="E740" s="168"/>
      <c r="F740" s="227"/>
      <c r="G740" s="660"/>
      <c r="H740" s="253"/>
      <c r="I740" s="212"/>
      <c r="N740" s="212"/>
      <c r="O740" s="1557"/>
      <c r="P740" s="1558"/>
      <c r="Q740" s="661"/>
      <c r="R740" s="655"/>
      <c r="S740" s="655"/>
      <c r="T740" s="655"/>
      <c r="U740" s="655"/>
      <c r="V740" s="655"/>
      <c r="W740" s="655"/>
      <c r="Y740" s="1827"/>
      <c r="Z740" s="1828"/>
      <c r="AA740" s="1829"/>
      <c r="AB740" s="1829"/>
      <c r="AC740" s="1829"/>
      <c r="AD740" s="1564"/>
      <c r="AE740" s="701"/>
      <c r="AF740" s="684"/>
      <c r="AG740" s="684"/>
      <c r="AH740" s="710"/>
      <c r="AI740" s="710"/>
      <c r="AJ740" s="710"/>
      <c r="AK740" s="710"/>
      <c r="AL740" s="710"/>
      <c r="AM740" s="710"/>
      <c r="AN740" s="710"/>
      <c r="AO740" s="710"/>
      <c r="AP740" s="710"/>
      <c r="AQ740" s="710"/>
      <c r="AR740" s="710"/>
      <c r="AS740" s="710"/>
      <c r="AT740" s="710"/>
      <c r="AU740" s="1829"/>
      <c r="AV740" s="1835"/>
      <c r="AW740" s="1836"/>
      <c r="AX740" s="1836"/>
      <c r="AY740" s="1836"/>
      <c r="AZ740" s="1825"/>
      <c r="BA740" s="1825"/>
    </row>
    <row r="741" spans="2:53" s="188" customFormat="1" ht="24.95" customHeight="1">
      <c r="B741" s="281"/>
      <c r="C741" s="168"/>
      <c r="D741" s="168"/>
      <c r="E741" s="168"/>
      <c r="F741" s="227"/>
      <c r="G741" s="660"/>
      <c r="H741" s="253"/>
      <c r="I741" s="212"/>
      <c r="N741" s="212"/>
      <c r="O741" s="1557"/>
      <c r="P741" s="1558"/>
      <c r="Q741" s="661"/>
      <c r="R741" s="655"/>
      <c r="S741" s="655"/>
      <c r="T741" s="655"/>
      <c r="U741" s="655"/>
      <c r="V741" s="655"/>
      <c r="W741" s="655"/>
      <c r="Y741" s="1827"/>
      <c r="Z741" s="1828"/>
      <c r="AA741" s="1829"/>
      <c r="AB741" s="1829"/>
      <c r="AC741" s="1829"/>
      <c r="AD741" s="1564"/>
      <c r="AE741" s="701"/>
      <c r="AF741" s="684"/>
      <c r="AG741" s="684"/>
      <c r="AH741" s="710"/>
      <c r="AI741" s="710"/>
      <c r="AJ741" s="710"/>
      <c r="AK741" s="710"/>
      <c r="AL741" s="710"/>
      <c r="AM741" s="710"/>
      <c r="AN741" s="710"/>
      <c r="AO741" s="710"/>
      <c r="AP741" s="710"/>
      <c r="AQ741" s="710"/>
      <c r="AR741" s="710"/>
      <c r="AS741" s="710"/>
      <c r="AT741" s="710"/>
      <c r="AU741" s="1829"/>
      <c r="AV741" s="1835"/>
      <c r="AW741" s="1836"/>
      <c r="AX741" s="1836"/>
      <c r="AY741" s="1836"/>
      <c r="AZ741" s="1825"/>
      <c r="BA741" s="1825"/>
    </row>
    <row r="742" spans="2:53" s="188" customFormat="1" ht="24.95" customHeight="1">
      <c r="B742" s="281"/>
      <c r="C742" s="168"/>
      <c r="D742" s="168"/>
      <c r="E742" s="168"/>
      <c r="F742" s="227"/>
      <c r="G742" s="660"/>
      <c r="H742" s="253"/>
      <c r="I742" s="212"/>
      <c r="N742" s="212"/>
      <c r="O742" s="1557"/>
      <c r="P742" s="1558"/>
      <c r="Q742" s="661"/>
      <c r="R742" s="655"/>
      <c r="S742" s="655"/>
      <c r="T742" s="655"/>
      <c r="U742" s="655"/>
      <c r="V742" s="655"/>
      <c r="W742" s="655"/>
      <c r="Y742" s="1827"/>
      <c r="Z742" s="1828"/>
      <c r="AA742" s="1829"/>
      <c r="AB742" s="1829"/>
      <c r="AC742" s="1829"/>
      <c r="AD742" s="1564"/>
      <c r="AE742" s="701"/>
      <c r="AF742" s="684"/>
      <c r="AG742" s="684"/>
      <c r="AH742" s="710"/>
      <c r="AI742" s="710"/>
      <c r="AJ742" s="710"/>
      <c r="AK742" s="710"/>
      <c r="AL742" s="710"/>
      <c r="AM742" s="710"/>
      <c r="AN742" s="710"/>
      <c r="AO742" s="710"/>
      <c r="AP742" s="710"/>
      <c r="AQ742" s="710"/>
      <c r="AR742" s="710"/>
      <c r="AS742" s="710"/>
      <c r="AT742" s="710"/>
      <c r="AU742" s="1829"/>
      <c r="AV742" s="1835"/>
      <c r="AW742" s="1836"/>
      <c r="AX742" s="1836"/>
      <c r="AY742" s="1836"/>
      <c r="AZ742" s="1825"/>
      <c r="BA742" s="1825"/>
    </row>
    <row r="743" spans="2:53" s="188" customFormat="1" ht="24.95" customHeight="1">
      <c r="B743" s="281"/>
      <c r="C743" s="168"/>
      <c r="D743" s="168"/>
      <c r="E743" s="168"/>
      <c r="F743" s="227"/>
      <c r="G743" s="660"/>
      <c r="H743" s="253"/>
      <c r="I743" s="212"/>
      <c r="N743" s="212"/>
      <c r="O743" s="1557"/>
      <c r="P743" s="1558"/>
      <c r="Q743" s="661"/>
      <c r="R743" s="655"/>
      <c r="S743" s="655"/>
      <c r="T743" s="655"/>
      <c r="U743" s="655"/>
      <c r="V743" s="655"/>
      <c r="W743" s="655"/>
      <c r="Y743" s="1827"/>
      <c r="Z743" s="1828"/>
      <c r="AA743" s="1829"/>
      <c r="AB743" s="1829"/>
      <c r="AC743" s="1829"/>
      <c r="AD743" s="1564"/>
      <c r="AE743" s="701"/>
      <c r="AF743" s="684"/>
      <c r="AG743" s="684"/>
      <c r="AH743" s="710"/>
      <c r="AI743" s="710"/>
      <c r="AJ743" s="710"/>
      <c r="AK743" s="710"/>
      <c r="AL743" s="710"/>
      <c r="AM743" s="710"/>
      <c r="AN743" s="710"/>
      <c r="AO743" s="710"/>
      <c r="AP743" s="710"/>
      <c r="AQ743" s="710"/>
      <c r="AR743" s="710"/>
      <c r="AS743" s="710"/>
      <c r="AT743" s="710"/>
      <c r="AU743" s="1829"/>
      <c r="AV743" s="1835"/>
      <c r="AW743" s="1836"/>
      <c r="AX743" s="1836"/>
      <c r="AY743" s="1836"/>
      <c r="AZ743" s="1825"/>
      <c r="BA743" s="1825"/>
    </row>
    <row r="744" spans="2:53" s="188" customFormat="1" ht="24.95" customHeight="1">
      <c r="B744" s="281"/>
      <c r="C744" s="168"/>
      <c r="D744" s="168"/>
      <c r="E744" s="168"/>
      <c r="F744" s="227"/>
      <c r="G744" s="660"/>
      <c r="H744" s="253"/>
      <c r="I744" s="212"/>
      <c r="N744" s="212"/>
      <c r="O744" s="1557"/>
      <c r="P744" s="1558"/>
      <c r="Q744" s="661"/>
      <c r="R744" s="655"/>
      <c r="S744" s="655"/>
      <c r="T744" s="655"/>
      <c r="U744" s="655"/>
      <c r="V744" s="655"/>
      <c r="W744" s="655"/>
      <c r="Y744" s="1827"/>
      <c r="Z744" s="1828"/>
      <c r="AA744" s="1829"/>
      <c r="AB744" s="1829"/>
      <c r="AC744" s="1829"/>
      <c r="AD744" s="1564"/>
      <c r="AE744" s="701"/>
      <c r="AF744" s="684"/>
      <c r="AG744" s="684"/>
      <c r="AH744" s="710"/>
      <c r="AI744" s="710"/>
      <c r="AJ744" s="710"/>
      <c r="AK744" s="710"/>
      <c r="AL744" s="710"/>
      <c r="AM744" s="710"/>
      <c r="AN744" s="710"/>
      <c r="AO744" s="710"/>
      <c r="AP744" s="710"/>
      <c r="AQ744" s="710"/>
      <c r="AR744" s="710"/>
      <c r="AS744" s="710"/>
      <c r="AT744" s="710"/>
      <c r="AU744" s="1829"/>
      <c r="AV744" s="1835"/>
      <c r="AW744" s="1836"/>
      <c r="AX744" s="1836"/>
      <c r="AY744" s="1836"/>
      <c r="AZ744" s="1825"/>
      <c r="BA744" s="1825"/>
    </row>
    <row r="745" spans="2:53" s="188" customFormat="1" ht="24.95" customHeight="1">
      <c r="B745" s="281"/>
      <c r="C745" s="168"/>
      <c r="D745" s="168"/>
      <c r="E745" s="168"/>
      <c r="F745" s="227"/>
      <c r="G745" s="660"/>
      <c r="H745" s="253"/>
      <c r="I745" s="212"/>
      <c r="N745" s="212"/>
      <c r="O745" s="1557"/>
      <c r="P745" s="1558"/>
      <c r="Q745" s="661"/>
      <c r="R745" s="655"/>
      <c r="S745" s="655"/>
      <c r="T745" s="655"/>
      <c r="U745" s="655"/>
      <c r="V745" s="655"/>
      <c r="W745" s="655"/>
      <c r="Y745" s="1827"/>
      <c r="Z745" s="1828"/>
      <c r="AA745" s="1829"/>
      <c r="AB745" s="1829"/>
      <c r="AC745" s="1829"/>
      <c r="AD745" s="1564"/>
      <c r="AE745" s="701"/>
      <c r="AF745" s="684"/>
      <c r="AG745" s="684"/>
      <c r="AH745" s="710"/>
      <c r="AI745" s="710"/>
      <c r="AJ745" s="710"/>
      <c r="AK745" s="710"/>
      <c r="AL745" s="710"/>
      <c r="AM745" s="710"/>
      <c r="AN745" s="710"/>
      <c r="AO745" s="710"/>
      <c r="AP745" s="710"/>
      <c r="AQ745" s="710"/>
      <c r="AR745" s="710"/>
      <c r="AS745" s="710"/>
      <c r="AT745" s="710"/>
      <c r="AU745" s="1829"/>
      <c r="AV745" s="1835"/>
      <c r="AW745" s="1836"/>
      <c r="AX745" s="1836"/>
      <c r="AY745" s="1836"/>
      <c r="AZ745" s="1825"/>
      <c r="BA745" s="1825"/>
    </row>
    <row r="746" spans="2:53" s="188" customFormat="1" ht="24.95" customHeight="1">
      <c r="B746" s="281"/>
      <c r="C746" s="168"/>
      <c r="D746" s="168"/>
      <c r="E746" s="168"/>
      <c r="F746" s="227"/>
      <c r="G746" s="660"/>
      <c r="H746" s="253"/>
      <c r="I746" s="212"/>
      <c r="N746" s="212"/>
      <c r="O746" s="1557"/>
      <c r="P746" s="1558"/>
      <c r="Q746" s="661"/>
      <c r="R746" s="655"/>
      <c r="S746" s="655"/>
      <c r="T746" s="655"/>
      <c r="U746" s="655"/>
      <c r="V746" s="655"/>
      <c r="W746" s="655"/>
      <c r="Y746" s="1827"/>
      <c r="Z746" s="1828"/>
      <c r="AA746" s="1829"/>
      <c r="AB746" s="1829"/>
      <c r="AC746" s="1829"/>
      <c r="AD746" s="1564"/>
      <c r="AE746" s="701"/>
      <c r="AF746" s="684"/>
      <c r="AG746" s="684"/>
      <c r="AH746" s="710"/>
      <c r="AI746" s="710"/>
      <c r="AJ746" s="710"/>
      <c r="AK746" s="710"/>
      <c r="AL746" s="710"/>
      <c r="AM746" s="710"/>
      <c r="AN746" s="710"/>
      <c r="AO746" s="710"/>
      <c r="AP746" s="710"/>
      <c r="AQ746" s="710"/>
      <c r="AR746" s="710"/>
      <c r="AS746" s="710"/>
      <c r="AT746" s="710"/>
      <c r="AU746" s="1829"/>
      <c r="AV746" s="1835"/>
      <c r="AW746" s="1836"/>
      <c r="AX746" s="1836"/>
      <c r="AY746" s="1836"/>
      <c r="AZ746" s="1825"/>
      <c r="BA746" s="1825"/>
    </row>
    <row r="747" spans="2:53" s="188" customFormat="1" ht="24.95" customHeight="1">
      <c r="B747" s="281"/>
      <c r="C747" s="168"/>
      <c r="D747" s="168"/>
      <c r="E747" s="168"/>
      <c r="F747" s="227"/>
      <c r="G747" s="660"/>
      <c r="H747" s="253"/>
      <c r="I747" s="212"/>
      <c r="N747" s="212"/>
      <c r="O747" s="1557"/>
      <c r="P747" s="1558"/>
      <c r="Q747" s="661"/>
      <c r="R747" s="655"/>
      <c r="S747" s="655"/>
      <c r="T747" s="655"/>
      <c r="U747" s="655"/>
      <c r="V747" s="655"/>
      <c r="W747" s="655"/>
      <c r="Y747" s="1827"/>
      <c r="Z747" s="1828"/>
      <c r="AA747" s="1829"/>
      <c r="AB747" s="1829"/>
      <c r="AC747" s="1829"/>
      <c r="AD747" s="1564"/>
      <c r="AE747" s="701"/>
      <c r="AF747" s="684"/>
      <c r="AG747" s="684"/>
      <c r="AH747" s="710"/>
      <c r="AI747" s="710"/>
      <c r="AJ747" s="710"/>
      <c r="AK747" s="710"/>
      <c r="AL747" s="710"/>
      <c r="AM747" s="710"/>
      <c r="AN747" s="710"/>
      <c r="AO747" s="710"/>
      <c r="AP747" s="710"/>
      <c r="AQ747" s="710"/>
      <c r="AR747" s="710"/>
      <c r="AS747" s="710"/>
      <c r="AT747" s="710"/>
      <c r="AU747" s="1829"/>
      <c r="AV747" s="1835"/>
      <c r="AW747" s="1836"/>
      <c r="AX747" s="1836"/>
      <c r="AY747" s="1836"/>
      <c r="AZ747" s="1825"/>
      <c r="BA747" s="1825"/>
    </row>
    <row r="748" spans="2:53" s="188" customFormat="1" ht="24.95" customHeight="1">
      <c r="B748" s="281"/>
      <c r="C748" s="168"/>
      <c r="D748" s="168"/>
      <c r="E748" s="168"/>
      <c r="F748" s="227"/>
      <c r="G748" s="660"/>
      <c r="H748" s="253"/>
      <c r="I748" s="212"/>
      <c r="N748" s="212"/>
      <c r="O748" s="1557"/>
      <c r="P748" s="1558"/>
      <c r="Q748" s="661"/>
      <c r="R748" s="655"/>
      <c r="S748" s="655"/>
      <c r="T748" s="655"/>
      <c r="U748" s="655"/>
      <c r="V748" s="655"/>
      <c r="W748" s="655"/>
      <c r="Y748" s="1827"/>
      <c r="Z748" s="1828"/>
      <c r="AA748" s="1829"/>
      <c r="AB748" s="1829"/>
      <c r="AC748" s="1829"/>
      <c r="AD748" s="1564"/>
      <c r="AE748" s="701"/>
      <c r="AF748" s="684"/>
      <c r="AG748" s="684"/>
      <c r="AH748" s="710"/>
      <c r="AI748" s="710"/>
      <c r="AJ748" s="710"/>
      <c r="AK748" s="710"/>
      <c r="AL748" s="710"/>
      <c r="AM748" s="710"/>
      <c r="AN748" s="710"/>
      <c r="AO748" s="710"/>
      <c r="AP748" s="710"/>
      <c r="AQ748" s="710"/>
      <c r="AR748" s="710"/>
      <c r="AS748" s="710"/>
      <c r="AT748" s="710"/>
      <c r="AU748" s="1829"/>
      <c r="AV748" s="1835"/>
      <c r="AW748" s="1836"/>
      <c r="AX748" s="1836"/>
      <c r="AY748" s="1836"/>
      <c r="AZ748" s="1825"/>
      <c r="BA748" s="1825"/>
    </row>
    <row r="749" spans="2:53" s="188" customFormat="1" ht="24.95" customHeight="1">
      <c r="B749" s="281"/>
      <c r="C749" s="168"/>
      <c r="D749" s="168"/>
      <c r="E749" s="168"/>
      <c r="F749" s="227"/>
      <c r="G749" s="660"/>
      <c r="H749" s="253"/>
      <c r="I749" s="212"/>
      <c r="N749" s="212"/>
      <c r="O749" s="1557"/>
      <c r="P749" s="1558"/>
      <c r="Q749" s="661"/>
      <c r="R749" s="655"/>
      <c r="S749" s="655"/>
      <c r="T749" s="655"/>
      <c r="U749" s="655"/>
      <c r="V749" s="655"/>
      <c r="W749" s="655"/>
      <c r="Y749" s="1827"/>
      <c r="Z749" s="1828"/>
      <c r="AA749" s="1829"/>
      <c r="AB749" s="1829"/>
      <c r="AC749" s="1829"/>
      <c r="AD749" s="1564"/>
      <c r="AE749" s="701"/>
      <c r="AF749" s="684"/>
      <c r="AG749" s="684"/>
      <c r="AH749" s="710"/>
      <c r="AI749" s="710"/>
      <c r="AJ749" s="710"/>
      <c r="AK749" s="710"/>
      <c r="AL749" s="710"/>
      <c r="AM749" s="710"/>
      <c r="AN749" s="710"/>
      <c r="AO749" s="710"/>
      <c r="AP749" s="710"/>
      <c r="AQ749" s="710"/>
      <c r="AR749" s="710"/>
      <c r="AS749" s="710"/>
      <c r="AT749" s="710"/>
      <c r="AU749" s="1829"/>
      <c r="AV749" s="1835"/>
      <c r="AW749" s="1836"/>
      <c r="AX749" s="1836"/>
      <c r="AY749" s="1836"/>
      <c r="AZ749" s="1825"/>
      <c r="BA749" s="1825"/>
    </row>
    <row r="750" spans="2:53" s="188" customFormat="1" ht="24.95" customHeight="1">
      <c r="B750" s="281"/>
      <c r="C750" s="168"/>
      <c r="D750" s="168"/>
      <c r="E750" s="168"/>
      <c r="F750" s="227"/>
      <c r="G750" s="660"/>
      <c r="H750" s="253"/>
      <c r="I750" s="212"/>
      <c r="N750" s="212"/>
      <c r="O750" s="1557"/>
      <c r="P750" s="1558"/>
      <c r="Q750" s="661"/>
      <c r="R750" s="655"/>
      <c r="S750" s="655"/>
      <c r="T750" s="655"/>
      <c r="U750" s="655"/>
      <c r="V750" s="655"/>
      <c r="W750" s="655"/>
      <c r="Y750" s="1827"/>
      <c r="Z750" s="1828"/>
      <c r="AA750" s="1829"/>
      <c r="AB750" s="1829"/>
      <c r="AC750" s="1829"/>
      <c r="AD750" s="1564"/>
      <c r="AE750" s="701"/>
      <c r="AF750" s="684"/>
      <c r="AG750" s="684"/>
      <c r="AH750" s="710"/>
      <c r="AI750" s="710"/>
      <c r="AJ750" s="710"/>
      <c r="AK750" s="710"/>
      <c r="AL750" s="710"/>
      <c r="AM750" s="710"/>
      <c r="AN750" s="710"/>
      <c r="AO750" s="710"/>
      <c r="AP750" s="710"/>
      <c r="AQ750" s="710"/>
      <c r="AR750" s="710"/>
      <c r="AS750" s="710"/>
      <c r="AT750" s="710"/>
      <c r="AU750" s="1829"/>
      <c r="AV750" s="1835"/>
      <c r="AW750" s="1836"/>
      <c r="AX750" s="1836"/>
      <c r="AY750" s="1836"/>
      <c r="AZ750" s="1825"/>
      <c r="BA750" s="1825"/>
    </row>
    <row r="751" spans="2:53" s="188" customFormat="1" ht="24.95" customHeight="1">
      <c r="B751" s="281"/>
      <c r="C751" s="168"/>
      <c r="D751" s="168"/>
      <c r="E751" s="168"/>
      <c r="F751" s="227"/>
      <c r="G751" s="660"/>
      <c r="H751" s="253"/>
      <c r="I751" s="212"/>
      <c r="N751" s="212"/>
      <c r="O751" s="1557"/>
      <c r="P751" s="1558"/>
      <c r="Q751" s="661"/>
      <c r="R751" s="655"/>
      <c r="S751" s="655"/>
      <c r="T751" s="655"/>
      <c r="U751" s="655"/>
      <c r="V751" s="655"/>
      <c r="W751" s="655"/>
      <c r="Y751" s="1827"/>
      <c r="Z751" s="1828"/>
      <c r="AA751" s="1829"/>
      <c r="AB751" s="1829"/>
      <c r="AC751" s="1829"/>
      <c r="AD751" s="1564"/>
      <c r="AE751" s="701"/>
      <c r="AF751" s="684"/>
      <c r="AG751" s="684"/>
      <c r="AH751" s="710"/>
      <c r="AI751" s="710"/>
      <c r="AJ751" s="710"/>
      <c r="AK751" s="710"/>
      <c r="AL751" s="710"/>
      <c r="AM751" s="710"/>
      <c r="AN751" s="710"/>
      <c r="AO751" s="710"/>
      <c r="AP751" s="710"/>
      <c r="AQ751" s="710"/>
      <c r="AR751" s="710"/>
      <c r="AS751" s="710"/>
      <c r="AT751" s="710"/>
      <c r="AU751" s="1829"/>
      <c r="AV751" s="1835"/>
      <c r="AW751" s="1836"/>
      <c r="AX751" s="1836"/>
      <c r="AY751" s="1836"/>
      <c r="AZ751" s="1825"/>
      <c r="BA751" s="1825"/>
    </row>
    <row r="752" spans="2:53" s="188" customFormat="1" ht="24.95" customHeight="1">
      <c r="B752" s="281"/>
      <c r="C752" s="168"/>
      <c r="D752" s="168"/>
      <c r="E752" s="168"/>
      <c r="F752" s="227"/>
      <c r="G752" s="660"/>
      <c r="H752" s="253"/>
      <c r="I752" s="212"/>
      <c r="N752" s="212"/>
      <c r="O752" s="1557"/>
      <c r="P752" s="1558"/>
      <c r="Q752" s="661"/>
      <c r="R752" s="655"/>
      <c r="S752" s="655"/>
      <c r="T752" s="655"/>
      <c r="U752" s="655"/>
      <c r="V752" s="655"/>
      <c r="W752" s="655"/>
      <c r="Y752" s="1827"/>
      <c r="Z752" s="1828"/>
      <c r="AA752" s="1829"/>
      <c r="AB752" s="1829"/>
      <c r="AC752" s="1829"/>
      <c r="AD752" s="1564"/>
      <c r="AE752" s="701"/>
      <c r="AF752" s="684"/>
      <c r="AG752" s="684"/>
      <c r="AH752" s="710"/>
      <c r="AI752" s="710"/>
      <c r="AJ752" s="710"/>
      <c r="AK752" s="710"/>
      <c r="AL752" s="710"/>
      <c r="AM752" s="710"/>
      <c r="AN752" s="710"/>
      <c r="AO752" s="710"/>
      <c r="AP752" s="710"/>
      <c r="AQ752" s="710"/>
      <c r="AR752" s="710"/>
      <c r="AS752" s="710"/>
      <c r="AT752" s="710"/>
      <c r="AU752" s="1829"/>
      <c r="AV752" s="1835"/>
      <c r="AW752" s="1836"/>
      <c r="AX752" s="1836"/>
      <c r="AY752" s="1836"/>
      <c r="AZ752" s="1825"/>
      <c r="BA752" s="1825"/>
    </row>
    <row r="753" spans="2:53" s="188" customFormat="1" ht="24.95" customHeight="1">
      <c r="B753" s="281"/>
      <c r="C753" s="168"/>
      <c r="D753" s="168"/>
      <c r="E753" s="168"/>
      <c r="F753" s="227"/>
      <c r="G753" s="660"/>
      <c r="H753" s="253"/>
      <c r="I753" s="212"/>
      <c r="N753" s="212"/>
      <c r="O753" s="1557"/>
      <c r="P753" s="1558"/>
      <c r="Q753" s="661"/>
      <c r="R753" s="655"/>
      <c r="S753" s="655"/>
      <c r="T753" s="655"/>
      <c r="U753" s="655"/>
      <c r="V753" s="655"/>
      <c r="W753" s="655"/>
      <c r="Y753" s="1827"/>
      <c r="Z753" s="1828"/>
      <c r="AA753" s="1829"/>
      <c r="AB753" s="1829"/>
      <c r="AC753" s="1829"/>
      <c r="AD753" s="1564"/>
      <c r="AE753" s="701"/>
      <c r="AF753" s="684"/>
      <c r="AG753" s="684"/>
      <c r="AH753" s="710"/>
      <c r="AI753" s="710"/>
      <c r="AJ753" s="710"/>
      <c r="AK753" s="710"/>
      <c r="AL753" s="710"/>
      <c r="AM753" s="710"/>
      <c r="AN753" s="710"/>
      <c r="AO753" s="710"/>
      <c r="AP753" s="710"/>
      <c r="AQ753" s="710"/>
      <c r="AR753" s="710"/>
      <c r="AS753" s="710"/>
      <c r="AT753" s="710"/>
      <c r="AU753" s="1829"/>
      <c r="AV753" s="1835"/>
      <c r="AW753" s="1836"/>
      <c r="AX753" s="1836"/>
      <c r="AY753" s="1836"/>
      <c r="AZ753" s="1825"/>
      <c r="BA753" s="1825"/>
    </row>
    <row r="754" spans="2:53" s="188" customFormat="1" ht="24.95" customHeight="1">
      <c r="B754" s="281"/>
      <c r="C754" s="168"/>
      <c r="D754" s="168"/>
      <c r="E754" s="168"/>
      <c r="F754" s="227"/>
      <c r="G754" s="660"/>
      <c r="H754" s="253"/>
      <c r="I754" s="212"/>
      <c r="N754" s="212"/>
      <c r="O754" s="1557"/>
      <c r="P754" s="1558"/>
      <c r="Q754" s="661"/>
      <c r="R754" s="655"/>
      <c r="S754" s="655"/>
      <c r="T754" s="655"/>
      <c r="U754" s="655"/>
      <c r="V754" s="655"/>
      <c r="W754" s="655"/>
      <c r="Y754" s="1827"/>
      <c r="Z754" s="1828"/>
      <c r="AA754" s="1829"/>
      <c r="AB754" s="1829"/>
      <c r="AC754" s="1829"/>
      <c r="AD754" s="1564"/>
      <c r="AE754" s="701"/>
      <c r="AF754" s="684"/>
      <c r="AG754" s="684"/>
      <c r="AH754" s="710"/>
      <c r="AI754" s="710"/>
      <c r="AJ754" s="710"/>
      <c r="AK754" s="710"/>
      <c r="AL754" s="710"/>
      <c r="AM754" s="710"/>
      <c r="AN754" s="710"/>
      <c r="AO754" s="710"/>
      <c r="AP754" s="710"/>
      <c r="AQ754" s="710"/>
      <c r="AR754" s="710"/>
      <c r="AS754" s="710"/>
      <c r="AT754" s="710"/>
      <c r="AU754" s="1829"/>
      <c r="AV754" s="1835"/>
      <c r="AW754" s="1836"/>
      <c r="AX754" s="1836"/>
      <c r="AY754" s="1836"/>
      <c r="AZ754" s="1825"/>
      <c r="BA754" s="1825"/>
    </row>
    <row r="755" spans="2:53" s="188" customFormat="1" ht="24.95" customHeight="1">
      <c r="B755" s="281"/>
      <c r="C755" s="168"/>
      <c r="D755" s="168"/>
      <c r="E755" s="168"/>
      <c r="F755" s="227"/>
      <c r="G755" s="660"/>
      <c r="H755" s="253"/>
      <c r="I755" s="212"/>
      <c r="N755" s="212"/>
      <c r="O755" s="1557"/>
      <c r="P755" s="1558"/>
      <c r="Q755" s="661"/>
      <c r="R755" s="655"/>
      <c r="S755" s="655"/>
      <c r="T755" s="655"/>
      <c r="U755" s="655"/>
      <c r="V755" s="655"/>
      <c r="W755" s="655"/>
      <c r="Y755" s="1827"/>
      <c r="Z755" s="1828"/>
      <c r="AA755" s="1829"/>
      <c r="AB755" s="1829"/>
      <c r="AC755" s="1829"/>
      <c r="AD755" s="1564"/>
      <c r="AE755" s="701"/>
      <c r="AF755" s="684"/>
      <c r="AG755" s="684"/>
      <c r="AH755" s="710"/>
      <c r="AI755" s="710"/>
      <c r="AJ755" s="710"/>
      <c r="AK755" s="710"/>
      <c r="AL755" s="710"/>
      <c r="AM755" s="710"/>
      <c r="AN755" s="710"/>
      <c r="AO755" s="710"/>
      <c r="AP755" s="710"/>
      <c r="AQ755" s="710"/>
      <c r="AR755" s="710"/>
      <c r="AS755" s="710"/>
      <c r="AT755" s="710"/>
      <c r="AU755" s="1829"/>
      <c r="AV755" s="1835"/>
      <c r="AW755" s="1836"/>
      <c r="AX755" s="1836"/>
      <c r="AY755" s="1836"/>
      <c r="AZ755" s="1825"/>
      <c r="BA755" s="1825"/>
    </row>
    <row r="756" spans="2:53" s="188" customFormat="1" ht="24.95" customHeight="1">
      <c r="B756" s="281"/>
      <c r="C756" s="168"/>
      <c r="D756" s="168"/>
      <c r="E756" s="168"/>
      <c r="F756" s="227"/>
      <c r="G756" s="660"/>
      <c r="H756" s="253"/>
      <c r="I756" s="212"/>
      <c r="N756" s="212"/>
      <c r="O756" s="1557"/>
      <c r="P756" s="1558"/>
      <c r="Q756" s="661"/>
      <c r="R756" s="655"/>
      <c r="S756" s="655"/>
      <c r="T756" s="655"/>
      <c r="U756" s="655"/>
      <c r="V756" s="655"/>
      <c r="W756" s="655"/>
      <c r="Y756" s="1827"/>
      <c r="Z756" s="1828"/>
      <c r="AA756" s="1829"/>
      <c r="AB756" s="1829"/>
      <c r="AC756" s="1829"/>
      <c r="AD756" s="1564"/>
      <c r="AE756" s="701"/>
      <c r="AF756" s="684"/>
      <c r="AG756" s="684"/>
      <c r="AH756" s="710"/>
      <c r="AI756" s="710"/>
      <c r="AJ756" s="710"/>
      <c r="AK756" s="710"/>
      <c r="AL756" s="710"/>
      <c r="AM756" s="710"/>
      <c r="AN756" s="710"/>
      <c r="AO756" s="710"/>
      <c r="AP756" s="710"/>
      <c r="AQ756" s="710"/>
      <c r="AR756" s="710"/>
      <c r="AS756" s="710"/>
      <c r="AT756" s="710"/>
      <c r="AU756" s="1829"/>
      <c r="AV756" s="1835"/>
      <c r="AW756" s="1836"/>
      <c r="AX756" s="1836"/>
      <c r="AY756" s="1836"/>
      <c r="AZ756" s="1825"/>
      <c r="BA756" s="1825"/>
    </row>
    <row r="757" spans="2:53" s="188" customFormat="1" ht="24.95" customHeight="1">
      <c r="B757" s="281"/>
      <c r="C757" s="168"/>
      <c r="D757" s="168"/>
      <c r="E757" s="168"/>
      <c r="F757" s="227"/>
      <c r="G757" s="660"/>
      <c r="H757" s="253"/>
      <c r="I757" s="212"/>
      <c r="N757" s="212"/>
      <c r="O757" s="1557"/>
      <c r="P757" s="1558"/>
      <c r="Q757" s="661"/>
      <c r="R757" s="655"/>
      <c r="S757" s="655"/>
      <c r="T757" s="655"/>
      <c r="U757" s="655"/>
      <c r="V757" s="655"/>
      <c r="W757" s="655"/>
      <c r="Y757" s="1827"/>
      <c r="Z757" s="1828"/>
      <c r="AA757" s="1829"/>
      <c r="AB757" s="1829"/>
      <c r="AC757" s="1829"/>
      <c r="AD757" s="1564"/>
      <c r="AE757" s="701"/>
      <c r="AF757" s="684"/>
      <c r="AG757" s="684"/>
      <c r="AH757" s="710"/>
      <c r="AI757" s="710"/>
      <c r="AJ757" s="710"/>
      <c r="AK757" s="710"/>
      <c r="AL757" s="710"/>
      <c r="AM757" s="710"/>
      <c r="AN757" s="710"/>
      <c r="AO757" s="710"/>
      <c r="AP757" s="710"/>
      <c r="AQ757" s="710"/>
      <c r="AR757" s="710"/>
      <c r="AS757" s="710"/>
      <c r="AT757" s="710"/>
      <c r="AU757" s="1829"/>
      <c r="AV757" s="1835"/>
      <c r="AW757" s="1836"/>
      <c r="AX757" s="1836"/>
      <c r="AY757" s="1836"/>
      <c r="AZ757" s="1825"/>
      <c r="BA757" s="1825"/>
    </row>
    <row r="758" spans="2:53" s="188" customFormat="1" ht="24.95" customHeight="1">
      <c r="B758" s="281"/>
      <c r="C758" s="168"/>
      <c r="D758" s="168"/>
      <c r="E758" s="168"/>
      <c r="F758" s="227"/>
      <c r="G758" s="660"/>
      <c r="H758" s="253"/>
      <c r="I758" s="212"/>
      <c r="N758" s="212"/>
      <c r="O758" s="1557"/>
      <c r="P758" s="1558"/>
      <c r="Q758" s="661"/>
      <c r="R758" s="655"/>
      <c r="S758" s="655"/>
      <c r="T758" s="655"/>
      <c r="U758" s="655"/>
      <c r="V758" s="655"/>
      <c r="W758" s="655"/>
      <c r="Y758" s="1827"/>
      <c r="Z758" s="1828"/>
      <c r="AA758" s="1829"/>
      <c r="AB758" s="1829"/>
      <c r="AC758" s="1829"/>
      <c r="AD758" s="1564"/>
      <c r="AE758" s="701"/>
      <c r="AF758" s="684"/>
      <c r="AG758" s="684"/>
      <c r="AH758" s="710"/>
      <c r="AI758" s="710"/>
      <c r="AJ758" s="710"/>
      <c r="AK758" s="710"/>
      <c r="AL758" s="710"/>
      <c r="AM758" s="710"/>
      <c r="AN758" s="710"/>
      <c r="AO758" s="710"/>
      <c r="AP758" s="710"/>
      <c r="AQ758" s="710"/>
      <c r="AR758" s="710"/>
      <c r="AS758" s="710"/>
      <c r="AT758" s="710"/>
      <c r="AU758" s="1829"/>
      <c r="AV758" s="1835"/>
      <c r="AW758" s="1836"/>
      <c r="AX758" s="1836"/>
      <c r="AY758" s="1836"/>
      <c r="AZ758" s="1825"/>
      <c r="BA758" s="1825"/>
    </row>
    <row r="759" spans="2:53" s="188" customFormat="1" ht="24.95" customHeight="1">
      <c r="B759" s="281"/>
      <c r="C759" s="168"/>
      <c r="D759" s="168"/>
      <c r="E759" s="168"/>
      <c r="F759" s="227"/>
      <c r="G759" s="660"/>
      <c r="H759" s="253"/>
      <c r="I759" s="212"/>
      <c r="N759" s="212"/>
      <c r="O759" s="1557"/>
      <c r="P759" s="1558"/>
      <c r="Q759" s="661"/>
      <c r="R759" s="655"/>
      <c r="S759" s="655"/>
      <c r="T759" s="655"/>
      <c r="U759" s="655"/>
      <c r="V759" s="655"/>
      <c r="W759" s="655"/>
      <c r="Y759" s="1827"/>
      <c r="Z759" s="1828"/>
      <c r="AA759" s="1829"/>
      <c r="AB759" s="1829"/>
      <c r="AC759" s="1829"/>
      <c r="AD759" s="1564"/>
      <c r="AE759" s="701"/>
      <c r="AF759" s="684"/>
      <c r="AG759" s="684"/>
      <c r="AH759" s="710"/>
      <c r="AI759" s="710"/>
      <c r="AJ759" s="710"/>
      <c r="AK759" s="710"/>
      <c r="AL759" s="710"/>
      <c r="AM759" s="710"/>
      <c r="AN759" s="710"/>
      <c r="AO759" s="710"/>
      <c r="AP759" s="710"/>
      <c r="AQ759" s="710"/>
      <c r="AR759" s="710"/>
      <c r="AS759" s="710"/>
      <c r="AT759" s="710"/>
      <c r="AU759" s="1829"/>
      <c r="AV759" s="1835"/>
      <c r="AW759" s="1836"/>
      <c r="AX759" s="1836"/>
      <c r="AY759" s="1836"/>
      <c r="AZ759" s="1825"/>
      <c r="BA759" s="1825"/>
    </row>
    <row r="760" spans="2:53" s="188" customFormat="1" ht="24.95" customHeight="1">
      <c r="B760" s="281"/>
      <c r="C760" s="168"/>
      <c r="D760" s="168"/>
      <c r="E760" s="168"/>
      <c r="F760" s="227"/>
      <c r="G760" s="660"/>
      <c r="H760" s="253"/>
      <c r="I760" s="212"/>
      <c r="N760" s="212"/>
      <c r="O760" s="1557"/>
      <c r="P760" s="1558"/>
      <c r="Q760" s="661"/>
      <c r="R760" s="655"/>
      <c r="S760" s="655"/>
      <c r="T760" s="655"/>
      <c r="U760" s="655"/>
      <c r="V760" s="655"/>
      <c r="W760" s="655"/>
      <c r="Y760" s="1827"/>
      <c r="Z760" s="1828"/>
      <c r="AA760" s="1829"/>
      <c r="AB760" s="1829"/>
      <c r="AC760" s="1829"/>
      <c r="AD760" s="1564"/>
      <c r="AE760" s="701"/>
      <c r="AF760" s="684"/>
      <c r="AG760" s="684"/>
      <c r="AH760" s="710"/>
      <c r="AI760" s="710"/>
      <c r="AJ760" s="710"/>
      <c r="AK760" s="710"/>
      <c r="AL760" s="710"/>
      <c r="AM760" s="710"/>
      <c r="AN760" s="710"/>
      <c r="AO760" s="710"/>
      <c r="AP760" s="710"/>
      <c r="AQ760" s="710"/>
      <c r="AR760" s="710"/>
      <c r="AS760" s="710"/>
      <c r="AT760" s="710"/>
      <c r="AU760" s="1829"/>
      <c r="AV760" s="1835"/>
      <c r="AW760" s="1836"/>
      <c r="AX760" s="1836"/>
      <c r="AY760" s="1836"/>
      <c r="AZ760" s="1825"/>
      <c r="BA760" s="1825"/>
    </row>
    <row r="761" spans="2:53" s="188" customFormat="1" ht="24.95" customHeight="1">
      <c r="B761" s="281"/>
      <c r="C761" s="168"/>
      <c r="D761" s="168"/>
      <c r="E761" s="168"/>
      <c r="F761" s="227"/>
      <c r="G761" s="660"/>
      <c r="H761" s="253"/>
      <c r="I761" s="212"/>
      <c r="N761" s="212"/>
      <c r="O761" s="1557"/>
      <c r="P761" s="1558"/>
      <c r="Q761" s="661"/>
      <c r="R761" s="655"/>
      <c r="S761" s="655"/>
      <c r="T761" s="655"/>
      <c r="U761" s="655"/>
      <c r="V761" s="655"/>
      <c r="W761" s="655"/>
      <c r="Y761" s="1827"/>
      <c r="Z761" s="1828"/>
      <c r="AA761" s="1829"/>
      <c r="AB761" s="1829"/>
      <c r="AC761" s="1829"/>
      <c r="AD761" s="1564"/>
      <c r="AE761" s="701"/>
      <c r="AF761" s="684"/>
      <c r="AG761" s="684"/>
      <c r="AH761" s="710"/>
      <c r="AI761" s="710"/>
      <c r="AJ761" s="710"/>
      <c r="AK761" s="710"/>
      <c r="AL761" s="710"/>
      <c r="AM761" s="710"/>
      <c r="AN761" s="710"/>
      <c r="AO761" s="710"/>
      <c r="AP761" s="710"/>
      <c r="AQ761" s="710"/>
      <c r="AR761" s="710"/>
      <c r="AS761" s="710"/>
      <c r="AT761" s="710"/>
      <c r="AU761" s="1829"/>
      <c r="AV761" s="1835"/>
      <c r="AW761" s="1836"/>
      <c r="AX761" s="1836"/>
      <c r="AY761" s="1836"/>
      <c r="AZ761" s="1825"/>
      <c r="BA761" s="1825"/>
    </row>
    <row r="762" spans="2:53" s="188" customFormat="1" ht="24.95" customHeight="1">
      <c r="B762" s="281"/>
      <c r="C762" s="168"/>
      <c r="D762" s="168"/>
      <c r="E762" s="168"/>
      <c r="F762" s="227"/>
      <c r="G762" s="660"/>
      <c r="H762" s="253"/>
      <c r="I762" s="212"/>
      <c r="N762" s="212"/>
      <c r="O762" s="1557"/>
      <c r="P762" s="1558"/>
      <c r="Q762" s="661"/>
      <c r="R762" s="655"/>
      <c r="S762" s="655"/>
      <c r="T762" s="655"/>
      <c r="U762" s="655"/>
      <c r="V762" s="655"/>
      <c r="W762" s="655"/>
      <c r="Y762" s="1827"/>
      <c r="Z762" s="1828"/>
      <c r="AA762" s="1829"/>
      <c r="AB762" s="1829"/>
      <c r="AC762" s="1829"/>
      <c r="AD762" s="1564"/>
      <c r="AE762" s="701"/>
      <c r="AF762" s="684"/>
      <c r="AG762" s="684"/>
      <c r="AH762" s="710"/>
      <c r="AI762" s="710"/>
      <c r="AJ762" s="710"/>
      <c r="AK762" s="710"/>
      <c r="AL762" s="710"/>
      <c r="AM762" s="710"/>
      <c r="AN762" s="710"/>
      <c r="AO762" s="710"/>
      <c r="AP762" s="710"/>
      <c r="AQ762" s="710"/>
      <c r="AR762" s="710"/>
      <c r="AS762" s="710"/>
      <c r="AT762" s="710"/>
      <c r="AU762" s="1829"/>
      <c r="AV762" s="1835"/>
      <c r="AW762" s="1836"/>
      <c r="AX762" s="1836"/>
      <c r="AY762" s="1836"/>
      <c r="AZ762" s="1825"/>
      <c r="BA762" s="1825"/>
    </row>
    <row r="763" spans="2:53" s="188" customFormat="1" ht="24.95" customHeight="1">
      <c r="B763" s="281"/>
      <c r="C763" s="168"/>
      <c r="D763" s="168"/>
      <c r="E763" s="168"/>
      <c r="F763" s="227"/>
      <c r="G763" s="660"/>
      <c r="H763" s="253"/>
      <c r="I763" s="212"/>
      <c r="N763" s="212"/>
      <c r="O763" s="1557"/>
      <c r="P763" s="1558"/>
      <c r="Q763" s="661"/>
      <c r="R763" s="655"/>
      <c r="S763" s="655"/>
      <c r="T763" s="655"/>
      <c r="U763" s="655"/>
      <c r="V763" s="655"/>
      <c r="W763" s="655"/>
      <c r="Y763" s="1827"/>
      <c r="Z763" s="1828"/>
      <c r="AA763" s="1829"/>
      <c r="AB763" s="1829"/>
      <c r="AC763" s="1829"/>
      <c r="AD763" s="1564"/>
      <c r="AE763" s="701"/>
      <c r="AF763" s="684"/>
      <c r="AG763" s="684"/>
      <c r="AH763" s="710"/>
      <c r="AI763" s="710"/>
      <c r="AJ763" s="710"/>
      <c r="AK763" s="710"/>
      <c r="AL763" s="710"/>
      <c r="AM763" s="710"/>
      <c r="AN763" s="710"/>
      <c r="AO763" s="710"/>
      <c r="AP763" s="710"/>
      <c r="AQ763" s="710"/>
      <c r="AR763" s="710"/>
      <c r="AS763" s="710"/>
      <c r="AT763" s="710"/>
      <c r="AU763" s="1829"/>
      <c r="AV763" s="1835"/>
      <c r="AW763" s="1836"/>
      <c r="AX763" s="1836"/>
      <c r="AY763" s="1836"/>
      <c r="AZ763" s="1825"/>
      <c r="BA763" s="1825"/>
    </row>
    <row r="764" spans="2:53" s="188" customFormat="1" ht="24.95" customHeight="1">
      <c r="B764" s="281"/>
      <c r="C764" s="168"/>
      <c r="D764" s="168"/>
      <c r="E764" s="168"/>
      <c r="F764" s="227"/>
      <c r="G764" s="660"/>
      <c r="H764" s="253"/>
      <c r="I764" s="212"/>
      <c r="N764" s="212"/>
      <c r="O764" s="1557"/>
      <c r="P764" s="1558"/>
      <c r="Q764" s="661"/>
      <c r="R764" s="655"/>
      <c r="S764" s="655"/>
      <c r="T764" s="655"/>
      <c r="U764" s="655"/>
      <c r="V764" s="655"/>
      <c r="W764" s="655"/>
      <c r="Y764" s="1827"/>
      <c r="Z764" s="1828"/>
      <c r="AA764" s="1829"/>
      <c r="AB764" s="1829"/>
      <c r="AC764" s="1829"/>
      <c r="AD764" s="1564"/>
      <c r="AE764" s="701"/>
      <c r="AF764" s="684"/>
      <c r="AG764" s="684"/>
      <c r="AH764" s="710"/>
      <c r="AI764" s="710"/>
      <c r="AJ764" s="710"/>
      <c r="AK764" s="710"/>
      <c r="AL764" s="710"/>
      <c r="AM764" s="710"/>
      <c r="AN764" s="710"/>
      <c r="AO764" s="710"/>
      <c r="AP764" s="710"/>
      <c r="AQ764" s="710"/>
      <c r="AR764" s="710"/>
      <c r="AS764" s="710"/>
      <c r="AT764" s="710"/>
      <c r="AU764" s="1829"/>
      <c r="AV764" s="1835"/>
      <c r="AW764" s="1836"/>
      <c r="AX764" s="1836"/>
      <c r="AY764" s="1836"/>
      <c r="AZ764" s="1825"/>
      <c r="BA764" s="1825"/>
    </row>
    <row r="765" spans="2:53" s="188" customFormat="1" ht="24.95" customHeight="1">
      <c r="B765" s="281"/>
      <c r="C765" s="168"/>
      <c r="D765" s="168"/>
      <c r="E765" s="168"/>
      <c r="F765" s="227"/>
      <c r="G765" s="660"/>
      <c r="H765" s="253"/>
      <c r="I765" s="212"/>
      <c r="N765" s="212"/>
      <c r="O765" s="1557"/>
      <c r="P765" s="1558"/>
      <c r="Q765" s="661"/>
      <c r="R765" s="655"/>
      <c r="S765" s="655"/>
      <c r="T765" s="655"/>
      <c r="U765" s="655"/>
      <c r="V765" s="655"/>
      <c r="W765" s="655"/>
      <c r="Y765" s="1827"/>
      <c r="Z765" s="1828"/>
      <c r="AA765" s="1829"/>
      <c r="AB765" s="1829"/>
      <c r="AC765" s="1829"/>
      <c r="AD765" s="1564"/>
      <c r="AE765" s="701"/>
      <c r="AF765" s="684"/>
      <c r="AG765" s="684"/>
      <c r="AH765" s="710"/>
      <c r="AI765" s="710"/>
      <c r="AJ765" s="710"/>
      <c r="AK765" s="710"/>
      <c r="AL765" s="710"/>
      <c r="AM765" s="710"/>
      <c r="AN765" s="710"/>
      <c r="AO765" s="710"/>
      <c r="AP765" s="710"/>
      <c r="AQ765" s="710"/>
      <c r="AR765" s="710"/>
      <c r="AS765" s="710"/>
      <c r="AT765" s="710"/>
      <c r="AU765" s="1829"/>
      <c r="AV765" s="1835"/>
      <c r="AW765" s="1836"/>
      <c r="AX765" s="1836"/>
      <c r="AY765" s="1836"/>
      <c r="AZ765" s="1825"/>
      <c r="BA765" s="1825"/>
    </row>
    <row r="766" spans="2:53" s="188" customFormat="1" ht="24.95" customHeight="1">
      <c r="B766" s="281"/>
      <c r="C766" s="168"/>
      <c r="D766" s="168"/>
      <c r="E766" s="168"/>
      <c r="F766" s="227"/>
      <c r="G766" s="660"/>
      <c r="H766" s="253"/>
      <c r="I766" s="212"/>
      <c r="N766" s="212"/>
      <c r="O766" s="1557"/>
      <c r="P766" s="1558"/>
      <c r="Q766" s="661"/>
      <c r="R766" s="655"/>
      <c r="S766" s="655"/>
      <c r="T766" s="655"/>
      <c r="U766" s="655"/>
      <c r="V766" s="655"/>
      <c r="W766" s="655"/>
      <c r="Y766" s="1827"/>
      <c r="Z766" s="1828"/>
      <c r="AA766" s="1829"/>
      <c r="AB766" s="1829"/>
      <c r="AC766" s="1829"/>
      <c r="AD766" s="1564"/>
      <c r="AE766" s="701"/>
      <c r="AF766" s="684"/>
      <c r="AG766" s="684"/>
      <c r="AH766" s="710"/>
      <c r="AI766" s="710"/>
      <c r="AJ766" s="710"/>
      <c r="AK766" s="710"/>
      <c r="AL766" s="710"/>
      <c r="AM766" s="710"/>
      <c r="AN766" s="710"/>
      <c r="AO766" s="710"/>
      <c r="AP766" s="710"/>
      <c r="AQ766" s="710"/>
      <c r="AR766" s="710"/>
      <c r="AS766" s="710"/>
      <c r="AT766" s="710"/>
      <c r="AU766" s="1829"/>
      <c r="AV766" s="1835"/>
      <c r="AW766" s="1836"/>
      <c r="AX766" s="1836"/>
      <c r="AY766" s="1836"/>
      <c r="AZ766" s="1825"/>
      <c r="BA766" s="1825"/>
    </row>
    <row r="767" spans="2:53" s="188" customFormat="1" ht="24.95" customHeight="1">
      <c r="B767" s="281"/>
      <c r="C767" s="168"/>
      <c r="D767" s="168"/>
      <c r="E767" s="168"/>
      <c r="F767" s="227"/>
      <c r="G767" s="660"/>
      <c r="H767" s="253"/>
      <c r="I767" s="212"/>
      <c r="N767" s="212"/>
      <c r="O767" s="1557"/>
      <c r="P767" s="1558"/>
      <c r="Q767" s="661"/>
      <c r="R767" s="655"/>
      <c r="S767" s="655"/>
      <c r="T767" s="655"/>
      <c r="U767" s="655"/>
      <c r="V767" s="655"/>
      <c r="W767" s="655"/>
      <c r="Y767" s="1827"/>
      <c r="Z767" s="1828"/>
      <c r="AA767" s="1829"/>
      <c r="AB767" s="1829"/>
      <c r="AC767" s="1829"/>
      <c r="AD767" s="1564"/>
      <c r="AE767" s="701"/>
      <c r="AF767" s="684"/>
      <c r="AG767" s="684"/>
      <c r="AH767" s="710"/>
      <c r="AI767" s="710"/>
      <c r="AJ767" s="710"/>
      <c r="AK767" s="710"/>
      <c r="AL767" s="710"/>
      <c r="AM767" s="710"/>
      <c r="AN767" s="710"/>
      <c r="AO767" s="710"/>
      <c r="AP767" s="710"/>
      <c r="AQ767" s="710"/>
      <c r="AR767" s="710"/>
      <c r="AS767" s="710"/>
      <c r="AT767" s="710"/>
      <c r="AU767" s="1829"/>
      <c r="AV767" s="1835"/>
      <c r="AW767" s="1836"/>
      <c r="AX767" s="1836"/>
      <c r="AY767" s="1836"/>
      <c r="AZ767" s="1825"/>
      <c r="BA767" s="1825"/>
    </row>
    <row r="768" spans="2:53" s="188" customFormat="1" ht="24.95" customHeight="1">
      <c r="B768" s="281"/>
      <c r="C768" s="168"/>
      <c r="D768" s="168"/>
      <c r="E768" s="168"/>
      <c r="F768" s="227"/>
      <c r="G768" s="660"/>
      <c r="H768" s="253"/>
      <c r="I768" s="212"/>
      <c r="N768" s="212"/>
      <c r="O768" s="1557"/>
      <c r="P768" s="1558"/>
      <c r="Q768" s="661"/>
      <c r="R768" s="655"/>
      <c r="S768" s="655"/>
      <c r="T768" s="655"/>
      <c r="U768" s="655"/>
      <c r="V768" s="655"/>
      <c r="W768" s="655"/>
      <c r="Y768" s="1827"/>
      <c r="Z768" s="1828"/>
      <c r="AA768" s="1829"/>
      <c r="AB768" s="1829"/>
      <c r="AC768" s="1829"/>
      <c r="AD768" s="1564"/>
      <c r="AE768" s="701"/>
      <c r="AF768" s="684"/>
      <c r="AG768" s="684"/>
      <c r="AH768" s="710"/>
      <c r="AI768" s="710"/>
      <c r="AJ768" s="710"/>
      <c r="AK768" s="710"/>
      <c r="AL768" s="710"/>
      <c r="AM768" s="710"/>
      <c r="AN768" s="710"/>
      <c r="AO768" s="710"/>
      <c r="AP768" s="710"/>
      <c r="AQ768" s="710"/>
      <c r="AR768" s="710"/>
      <c r="AS768" s="710"/>
      <c r="AT768" s="710"/>
      <c r="AU768" s="1829"/>
      <c r="AV768" s="1835"/>
      <c r="AW768" s="1836"/>
      <c r="AX768" s="1836"/>
      <c r="AY768" s="1836"/>
      <c r="AZ768" s="1825"/>
      <c r="BA768" s="1825"/>
    </row>
    <row r="769" spans="2:53" s="188" customFormat="1" ht="24.95" customHeight="1">
      <c r="B769" s="281"/>
      <c r="C769" s="168"/>
      <c r="D769" s="168"/>
      <c r="E769" s="168"/>
      <c r="F769" s="227"/>
      <c r="G769" s="660"/>
      <c r="H769" s="253"/>
      <c r="I769" s="212"/>
      <c r="N769" s="212"/>
      <c r="O769" s="1557"/>
      <c r="P769" s="1558"/>
      <c r="Q769" s="661"/>
      <c r="R769" s="655"/>
      <c r="S769" s="655"/>
      <c r="T769" s="655"/>
      <c r="U769" s="655"/>
      <c r="V769" s="655"/>
      <c r="W769" s="655"/>
      <c r="Y769" s="1827"/>
      <c r="Z769" s="1828"/>
      <c r="AA769" s="1829"/>
      <c r="AB769" s="1829"/>
      <c r="AC769" s="1829"/>
      <c r="AD769" s="1564"/>
      <c r="AE769" s="701"/>
      <c r="AF769" s="684"/>
      <c r="AG769" s="684"/>
      <c r="AH769" s="710"/>
      <c r="AI769" s="710"/>
      <c r="AJ769" s="710"/>
      <c r="AK769" s="710"/>
      <c r="AL769" s="710"/>
      <c r="AM769" s="710"/>
      <c r="AN769" s="710"/>
      <c r="AO769" s="710"/>
      <c r="AP769" s="710"/>
      <c r="AQ769" s="710"/>
      <c r="AR769" s="710"/>
      <c r="AS769" s="710"/>
      <c r="AT769" s="710"/>
      <c r="AU769" s="1829"/>
      <c r="AV769" s="1835"/>
      <c r="AW769" s="1836"/>
      <c r="AX769" s="1836"/>
      <c r="AY769" s="1836"/>
      <c r="AZ769" s="1825"/>
      <c r="BA769" s="1825"/>
    </row>
    <row r="770" spans="2:53" s="188" customFormat="1" ht="24.95" customHeight="1">
      <c r="B770" s="281"/>
      <c r="C770" s="168"/>
      <c r="D770" s="168"/>
      <c r="E770" s="168"/>
      <c r="F770" s="227"/>
      <c r="G770" s="660"/>
      <c r="H770" s="253"/>
      <c r="I770" s="212"/>
      <c r="N770" s="212"/>
      <c r="O770" s="1557"/>
      <c r="P770" s="1558"/>
      <c r="Q770" s="661"/>
      <c r="R770" s="655"/>
      <c r="S770" s="655"/>
      <c r="T770" s="655"/>
      <c r="U770" s="655"/>
      <c r="V770" s="655"/>
      <c r="W770" s="655"/>
      <c r="Y770" s="1827"/>
      <c r="Z770" s="1828"/>
      <c r="AA770" s="1829"/>
      <c r="AB770" s="1829"/>
      <c r="AC770" s="1829"/>
      <c r="AD770" s="1564"/>
      <c r="AE770" s="701"/>
      <c r="AF770" s="684"/>
      <c r="AG770" s="684"/>
      <c r="AH770" s="710"/>
      <c r="AI770" s="710"/>
      <c r="AJ770" s="710"/>
      <c r="AK770" s="710"/>
      <c r="AL770" s="710"/>
      <c r="AM770" s="710"/>
      <c r="AN770" s="710"/>
      <c r="AO770" s="710"/>
      <c r="AP770" s="710"/>
      <c r="AQ770" s="710"/>
      <c r="AR770" s="710"/>
      <c r="AS770" s="710"/>
      <c r="AT770" s="710"/>
      <c r="AU770" s="1829"/>
      <c r="AV770" s="1835"/>
      <c r="AW770" s="1836"/>
      <c r="AX770" s="1836"/>
      <c r="AY770" s="1836"/>
      <c r="AZ770" s="1825"/>
      <c r="BA770" s="1825"/>
    </row>
    <row r="771" spans="2:53" s="188" customFormat="1" ht="24.95" customHeight="1">
      <c r="B771" s="281"/>
      <c r="C771" s="168"/>
      <c r="D771" s="168"/>
      <c r="E771" s="168"/>
      <c r="F771" s="227"/>
      <c r="G771" s="660"/>
      <c r="H771" s="253"/>
      <c r="I771" s="212"/>
      <c r="N771" s="212"/>
      <c r="O771" s="1557"/>
      <c r="P771" s="1558"/>
      <c r="Q771" s="661"/>
      <c r="R771" s="655"/>
      <c r="S771" s="655"/>
      <c r="T771" s="655"/>
      <c r="U771" s="655"/>
      <c r="V771" s="655"/>
      <c r="W771" s="655"/>
      <c r="Y771" s="1827"/>
      <c r="Z771" s="1828"/>
      <c r="AA771" s="1829"/>
      <c r="AB771" s="1829"/>
      <c r="AC771" s="1829"/>
      <c r="AD771" s="1564"/>
      <c r="AE771" s="701"/>
      <c r="AF771" s="684"/>
      <c r="AG771" s="684"/>
      <c r="AH771" s="710"/>
      <c r="AI771" s="710"/>
      <c r="AJ771" s="710"/>
      <c r="AK771" s="710"/>
      <c r="AL771" s="710"/>
      <c r="AM771" s="710"/>
      <c r="AN771" s="710"/>
      <c r="AO771" s="710"/>
      <c r="AP771" s="710"/>
      <c r="AQ771" s="710"/>
      <c r="AR771" s="710"/>
      <c r="AS771" s="710"/>
      <c r="AT771" s="710"/>
      <c r="AU771" s="1829"/>
      <c r="AV771" s="1835"/>
      <c r="AW771" s="1836"/>
      <c r="AX771" s="1836"/>
      <c r="AY771" s="1836"/>
      <c r="AZ771" s="1825"/>
      <c r="BA771" s="1825"/>
    </row>
    <row r="772" spans="2:53" s="188" customFormat="1" ht="24.95" customHeight="1">
      <c r="B772" s="281"/>
      <c r="C772" s="168"/>
      <c r="D772" s="168"/>
      <c r="E772" s="168"/>
      <c r="F772" s="227"/>
      <c r="G772" s="660"/>
      <c r="H772" s="253"/>
      <c r="I772" s="212"/>
      <c r="N772" s="212"/>
      <c r="O772" s="1557"/>
      <c r="P772" s="1558"/>
      <c r="Q772" s="661"/>
      <c r="R772" s="655"/>
      <c r="S772" s="655"/>
      <c r="T772" s="655"/>
      <c r="U772" s="655"/>
      <c r="V772" s="655"/>
      <c r="W772" s="655"/>
      <c r="Y772" s="1827"/>
      <c r="Z772" s="1828"/>
      <c r="AA772" s="1829"/>
      <c r="AB772" s="1829"/>
      <c r="AC772" s="1829"/>
      <c r="AD772" s="1564"/>
      <c r="AE772" s="701"/>
      <c r="AF772" s="684"/>
      <c r="AG772" s="684"/>
      <c r="AH772" s="710"/>
      <c r="AI772" s="710"/>
      <c r="AJ772" s="710"/>
      <c r="AK772" s="710"/>
      <c r="AL772" s="710"/>
      <c r="AM772" s="710"/>
      <c r="AN772" s="710"/>
      <c r="AO772" s="710"/>
      <c r="AP772" s="710"/>
      <c r="AQ772" s="710"/>
      <c r="AR772" s="710"/>
      <c r="AS772" s="710"/>
      <c r="AT772" s="710"/>
      <c r="AU772" s="1829"/>
      <c r="AV772" s="1835"/>
      <c r="AW772" s="1836"/>
      <c r="AX772" s="1836"/>
      <c r="AY772" s="1836"/>
      <c r="AZ772" s="1825"/>
      <c r="BA772" s="1825"/>
    </row>
    <row r="773" spans="2:53" s="188" customFormat="1" ht="24.95" customHeight="1">
      <c r="B773" s="281"/>
      <c r="C773" s="168"/>
      <c r="D773" s="168"/>
      <c r="E773" s="168"/>
      <c r="F773" s="227"/>
      <c r="G773" s="660"/>
      <c r="H773" s="253"/>
      <c r="I773" s="212"/>
      <c r="N773" s="212"/>
      <c r="O773" s="1557"/>
      <c r="P773" s="1558"/>
      <c r="Q773" s="661"/>
      <c r="R773" s="655"/>
      <c r="S773" s="655"/>
      <c r="T773" s="655"/>
      <c r="U773" s="655"/>
      <c r="V773" s="655"/>
      <c r="W773" s="655"/>
      <c r="Y773" s="1827"/>
      <c r="Z773" s="1828"/>
      <c r="AA773" s="1829"/>
      <c r="AB773" s="1829"/>
      <c r="AC773" s="1829"/>
      <c r="AD773" s="1564"/>
      <c r="AE773" s="701"/>
      <c r="AF773" s="684"/>
      <c r="AG773" s="684"/>
      <c r="AH773" s="710"/>
      <c r="AI773" s="710"/>
      <c r="AJ773" s="710"/>
      <c r="AK773" s="710"/>
      <c r="AL773" s="710"/>
      <c r="AM773" s="710"/>
      <c r="AN773" s="710"/>
      <c r="AO773" s="710"/>
      <c r="AP773" s="710"/>
      <c r="AQ773" s="710"/>
      <c r="AR773" s="710"/>
      <c r="AS773" s="710"/>
      <c r="AT773" s="710"/>
      <c r="AU773" s="1829"/>
      <c r="AV773" s="1835"/>
      <c r="AW773" s="1836"/>
      <c r="AX773" s="1836"/>
      <c r="AY773" s="1836"/>
      <c r="AZ773" s="1825"/>
      <c r="BA773" s="1825"/>
    </row>
    <row r="774" spans="2:53" s="188" customFormat="1" ht="24.95" customHeight="1">
      <c r="B774" s="281"/>
      <c r="C774" s="168"/>
      <c r="D774" s="168"/>
      <c r="E774" s="168"/>
      <c r="F774" s="227"/>
      <c r="G774" s="660"/>
      <c r="H774" s="253"/>
      <c r="I774" s="212"/>
      <c r="N774" s="212"/>
      <c r="O774" s="1557"/>
      <c r="P774" s="1558"/>
      <c r="Q774" s="661"/>
      <c r="R774" s="655"/>
      <c r="S774" s="655"/>
      <c r="T774" s="655"/>
      <c r="U774" s="655"/>
      <c r="V774" s="655"/>
      <c r="W774" s="655"/>
      <c r="Y774" s="1827"/>
      <c r="Z774" s="1828"/>
      <c r="AA774" s="1829"/>
      <c r="AB774" s="1829"/>
      <c r="AC774" s="1829"/>
      <c r="AD774" s="1564"/>
      <c r="AE774" s="701"/>
      <c r="AF774" s="684"/>
      <c r="AG774" s="684"/>
      <c r="AH774" s="710"/>
      <c r="AI774" s="710"/>
      <c r="AJ774" s="710"/>
      <c r="AK774" s="710"/>
      <c r="AL774" s="710"/>
      <c r="AM774" s="710"/>
      <c r="AN774" s="710"/>
      <c r="AO774" s="710"/>
      <c r="AP774" s="710"/>
      <c r="AQ774" s="710"/>
      <c r="AR774" s="710"/>
      <c r="AS774" s="710"/>
      <c r="AT774" s="710"/>
      <c r="AU774" s="1829"/>
      <c r="AV774" s="1835"/>
      <c r="AW774" s="1836"/>
      <c r="AX774" s="1836"/>
      <c r="AY774" s="1836"/>
      <c r="AZ774" s="1825"/>
      <c r="BA774" s="1825"/>
    </row>
    <row r="775" spans="2:53" s="188" customFormat="1" ht="24.95" customHeight="1">
      <c r="B775" s="281"/>
      <c r="C775" s="168"/>
      <c r="D775" s="168"/>
      <c r="E775" s="168"/>
      <c r="F775" s="227"/>
      <c r="G775" s="660"/>
      <c r="H775" s="253"/>
      <c r="I775" s="212"/>
      <c r="N775" s="212"/>
      <c r="O775" s="1557"/>
      <c r="P775" s="1558"/>
      <c r="Q775" s="661"/>
      <c r="R775" s="655"/>
      <c r="S775" s="655"/>
      <c r="T775" s="655"/>
      <c r="U775" s="655"/>
      <c r="V775" s="655"/>
      <c r="W775" s="655"/>
      <c r="Y775" s="1827"/>
      <c r="Z775" s="1828"/>
      <c r="AA775" s="1829"/>
      <c r="AB775" s="1829"/>
      <c r="AC775" s="1829"/>
      <c r="AD775" s="1564"/>
      <c r="AE775" s="701"/>
      <c r="AF775" s="684"/>
      <c r="AG775" s="684"/>
      <c r="AH775" s="710"/>
      <c r="AI775" s="710"/>
      <c r="AJ775" s="710"/>
      <c r="AK775" s="710"/>
      <c r="AL775" s="710"/>
      <c r="AM775" s="710"/>
      <c r="AN775" s="710"/>
      <c r="AO775" s="710"/>
      <c r="AP775" s="710"/>
      <c r="AQ775" s="710"/>
      <c r="AR775" s="710"/>
      <c r="AS775" s="710"/>
      <c r="AT775" s="710"/>
      <c r="AU775" s="1829"/>
      <c r="AV775" s="1835"/>
      <c r="AW775" s="1836"/>
      <c r="AX775" s="1836"/>
      <c r="AY775" s="1836"/>
      <c r="AZ775" s="1825"/>
      <c r="BA775" s="1825"/>
    </row>
    <row r="776" spans="2:53" s="188" customFormat="1" ht="24.95" customHeight="1">
      <c r="B776" s="281"/>
      <c r="C776" s="168"/>
      <c r="D776" s="168"/>
      <c r="E776" s="168"/>
      <c r="F776" s="227"/>
      <c r="G776" s="660"/>
      <c r="H776" s="253"/>
      <c r="I776" s="212"/>
      <c r="N776" s="212"/>
      <c r="O776" s="1557"/>
      <c r="P776" s="1558"/>
      <c r="Q776" s="661"/>
      <c r="R776" s="655"/>
      <c r="S776" s="655"/>
      <c r="T776" s="655"/>
      <c r="U776" s="655"/>
      <c r="V776" s="655"/>
      <c r="W776" s="655"/>
      <c r="Y776" s="1827"/>
      <c r="Z776" s="1828"/>
      <c r="AA776" s="1829"/>
      <c r="AB776" s="1829"/>
      <c r="AC776" s="1829"/>
      <c r="AD776" s="1564"/>
      <c r="AE776" s="701"/>
      <c r="AF776" s="684"/>
      <c r="AG776" s="684"/>
      <c r="AH776" s="710"/>
      <c r="AI776" s="710"/>
      <c r="AJ776" s="710"/>
      <c r="AK776" s="710"/>
      <c r="AL776" s="710"/>
      <c r="AM776" s="710"/>
      <c r="AN776" s="710"/>
      <c r="AO776" s="710"/>
      <c r="AP776" s="710"/>
      <c r="AQ776" s="710"/>
      <c r="AR776" s="710"/>
      <c r="AS776" s="710"/>
      <c r="AT776" s="710"/>
      <c r="AU776" s="1829"/>
      <c r="AV776" s="1835"/>
      <c r="AW776" s="1836"/>
      <c r="AX776" s="1836"/>
      <c r="AY776" s="1836"/>
      <c r="AZ776" s="1825"/>
      <c r="BA776" s="1825"/>
    </row>
    <row r="777" spans="2:53" s="188" customFormat="1" ht="24.95" customHeight="1">
      <c r="B777" s="281"/>
      <c r="C777" s="168"/>
      <c r="D777" s="168"/>
      <c r="E777" s="168"/>
      <c r="F777" s="227"/>
      <c r="G777" s="660"/>
      <c r="H777" s="253"/>
      <c r="I777" s="212"/>
      <c r="N777" s="212"/>
      <c r="O777" s="1557"/>
      <c r="P777" s="1558"/>
      <c r="Q777" s="661"/>
      <c r="R777" s="655"/>
      <c r="S777" s="655"/>
      <c r="T777" s="655"/>
      <c r="U777" s="655"/>
      <c r="V777" s="655"/>
      <c r="W777" s="655"/>
      <c r="Y777" s="1827"/>
      <c r="Z777" s="1828"/>
      <c r="AA777" s="1829"/>
      <c r="AB777" s="1829"/>
      <c r="AC777" s="1829"/>
      <c r="AD777" s="1564"/>
      <c r="AE777" s="701"/>
      <c r="AF777" s="684"/>
      <c r="AG777" s="684"/>
      <c r="AH777" s="710"/>
      <c r="AI777" s="710"/>
      <c r="AJ777" s="710"/>
      <c r="AK777" s="710"/>
      <c r="AL777" s="710"/>
      <c r="AM777" s="710"/>
      <c r="AN777" s="710"/>
      <c r="AO777" s="710"/>
      <c r="AP777" s="710"/>
      <c r="AQ777" s="710"/>
      <c r="AR777" s="710"/>
      <c r="AS777" s="710"/>
      <c r="AT777" s="710"/>
      <c r="AU777" s="1829"/>
      <c r="AV777" s="1835"/>
      <c r="AW777" s="1836"/>
      <c r="AX777" s="1836"/>
      <c r="AY777" s="1836"/>
      <c r="AZ777" s="1825"/>
      <c r="BA777" s="1825"/>
    </row>
    <row r="778" spans="2:53" s="188" customFormat="1" ht="24.95" customHeight="1">
      <c r="B778" s="281"/>
      <c r="C778" s="168"/>
      <c r="D778" s="168"/>
      <c r="E778" s="168"/>
      <c r="F778" s="227"/>
      <c r="G778" s="660"/>
      <c r="H778" s="253"/>
      <c r="I778" s="212"/>
      <c r="N778" s="212"/>
      <c r="O778" s="1557"/>
      <c r="P778" s="1558"/>
      <c r="Q778" s="661"/>
      <c r="R778" s="655"/>
      <c r="S778" s="655"/>
      <c r="T778" s="655"/>
      <c r="U778" s="655"/>
      <c r="V778" s="655"/>
      <c r="W778" s="655"/>
      <c r="Y778" s="1827"/>
      <c r="Z778" s="1828"/>
      <c r="AA778" s="1829"/>
      <c r="AB778" s="1829"/>
      <c r="AC778" s="1829"/>
      <c r="AD778" s="1564"/>
      <c r="AE778" s="701"/>
      <c r="AF778" s="684"/>
      <c r="AG778" s="684"/>
      <c r="AH778" s="710"/>
      <c r="AI778" s="710"/>
      <c r="AJ778" s="710"/>
      <c r="AK778" s="710"/>
      <c r="AL778" s="710"/>
      <c r="AM778" s="710"/>
      <c r="AN778" s="710"/>
      <c r="AO778" s="710"/>
      <c r="AP778" s="710"/>
      <c r="AQ778" s="710"/>
      <c r="AR778" s="710"/>
      <c r="AS778" s="710"/>
      <c r="AT778" s="710"/>
      <c r="AU778" s="1829"/>
      <c r="AV778" s="1835"/>
      <c r="AW778" s="1836"/>
      <c r="AX778" s="1836"/>
      <c r="AY778" s="1836"/>
      <c r="AZ778" s="1825"/>
      <c r="BA778" s="1825"/>
    </row>
    <row r="779" spans="2:53" s="188" customFormat="1" ht="24.95" customHeight="1">
      <c r="B779" s="281"/>
      <c r="C779" s="168"/>
      <c r="D779" s="168"/>
      <c r="E779" s="168"/>
      <c r="F779" s="227"/>
      <c r="G779" s="660"/>
      <c r="H779" s="253"/>
      <c r="I779" s="212"/>
      <c r="N779" s="212"/>
      <c r="O779" s="1557"/>
      <c r="P779" s="1558"/>
      <c r="Q779" s="661"/>
      <c r="R779" s="655"/>
      <c r="S779" s="655"/>
      <c r="T779" s="655"/>
      <c r="U779" s="655"/>
      <c r="V779" s="655"/>
      <c r="W779" s="655"/>
      <c r="Y779" s="1827"/>
      <c r="Z779" s="1828"/>
      <c r="AA779" s="1829"/>
      <c r="AB779" s="1829"/>
      <c r="AC779" s="1829"/>
      <c r="AD779" s="1564"/>
      <c r="AE779" s="701"/>
      <c r="AF779" s="684"/>
      <c r="AG779" s="684"/>
      <c r="AH779" s="710"/>
      <c r="AI779" s="710"/>
      <c r="AJ779" s="710"/>
      <c r="AK779" s="710"/>
      <c r="AL779" s="710"/>
      <c r="AM779" s="710"/>
      <c r="AN779" s="710"/>
      <c r="AO779" s="710"/>
      <c r="AP779" s="710"/>
      <c r="AQ779" s="710"/>
      <c r="AR779" s="710"/>
      <c r="AS779" s="710"/>
      <c r="AT779" s="710"/>
      <c r="AU779" s="1829"/>
      <c r="AV779" s="1835"/>
      <c r="AW779" s="1836"/>
      <c r="AX779" s="1836"/>
      <c r="AY779" s="1836"/>
      <c r="AZ779" s="1825"/>
      <c r="BA779" s="1825"/>
    </row>
    <row r="780" spans="2:53" s="188" customFormat="1" ht="24.95" customHeight="1">
      <c r="B780" s="281"/>
      <c r="C780" s="168"/>
      <c r="D780" s="168"/>
      <c r="E780" s="168"/>
      <c r="F780" s="227"/>
      <c r="G780" s="660"/>
      <c r="H780" s="253"/>
      <c r="I780" s="212"/>
      <c r="N780" s="212"/>
      <c r="O780" s="1557"/>
      <c r="P780" s="1558"/>
      <c r="Q780" s="661"/>
      <c r="R780" s="655"/>
      <c r="S780" s="655"/>
      <c r="T780" s="655"/>
      <c r="U780" s="655"/>
      <c r="V780" s="655"/>
      <c r="W780" s="655"/>
      <c r="Y780" s="1827"/>
      <c r="Z780" s="1828"/>
      <c r="AA780" s="1829"/>
      <c r="AB780" s="1829"/>
      <c r="AC780" s="1829"/>
      <c r="AD780" s="1564"/>
      <c r="AE780" s="701"/>
      <c r="AF780" s="684"/>
      <c r="AG780" s="684"/>
      <c r="AH780" s="710"/>
      <c r="AI780" s="710"/>
      <c r="AJ780" s="710"/>
      <c r="AK780" s="710"/>
      <c r="AL780" s="710"/>
      <c r="AM780" s="710"/>
      <c r="AN780" s="710"/>
      <c r="AO780" s="710"/>
      <c r="AP780" s="710"/>
      <c r="AQ780" s="710"/>
      <c r="AR780" s="710"/>
      <c r="AS780" s="710"/>
      <c r="AT780" s="710"/>
      <c r="AU780" s="1829"/>
      <c r="AV780" s="1835"/>
      <c r="AW780" s="1836"/>
      <c r="AX780" s="1836"/>
      <c r="AY780" s="1836"/>
      <c r="AZ780" s="1825"/>
      <c r="BA780" s="1825"/>
    </row>
    <row r="781" spans="2:53" s="188" customFormat="1" ht="24.95" customHeight="1">
      <c r="B781" s="281"/>
      <c r="C781" s="168"/>
      <c r="D781" s="168"/>
      <c r="E781" s="168"/>
      <c r="F781" s="227"/>
      <c r="G781" s="660"/>
      <c r="H781" s="253"/>
      <c r="I781" s="212"/>
      <c r="N781" s="212"/>
      <c r="O781" s="1557"/>
      <c r="P781" s="1558"/>
      <c r="Q781" s="661"/>
      <c r="R781" s="655"/>
      <c r="S781" s="655"/>
      <c r="T781" s="655"/>
      <c r="U781" s="655"/>
      <c r="V781" s="655"/>
      <c r="W781" s="655"/>
      <c r="Y781" s="1827"/>
      <c r="Z781" s="1828"/>
      <c r="AA781" s="1829"/>
      <c r="AB781" s="1829"/>
      <c r="AC781" s="1829"/>
      <c r="AD781" s="1564"/>
      <c r="AE781" s="701"/>
      <c r="AF781" s="684"/>
      <c r="AG781" s="684"/>
      <c r="AH781" s="710"/>
      <c r="AI781" s="710"/>
      <c r="AJ781" s="710"/>
      <c r="AK781" s="710"/>
      <c r="AL781" s="710"/>
      <c r="AM781" s="710"/>
      <c r="AN781" s="710"/>
      <c r="AO781" s="710"/>
      <c r="AP781" s="710"/>
      <c r="AQ781" s="710"/>
      <c r="AR781" s="710"/>
      <c r="AS781" s="710"/>
      <c r="AT781" s="710"/>
      <c r="AU781" s="1829"/>
      <c r="AV781" s="1835"/>
      <c r="AW781" s="1836"/>
      <c r="AX781" s="1836"/>
      <c r="AY781" s="1836"/>
      <c r="AZ781" s="1825"/>
      <c r="BA781" s="1825"/>
    </row>
    <row r="782" spans="2:53" s="188" customFormat="1" ht="24.95" customHeight="1">
      <c r="B782" s="281"/>
      <c r="C782" s="168"/>
      <c r="D782" s="168"/>
      <c r="E782" s="168"/>
      <c r="F782" s="227"/>
      <c r="G782" s="660"/>
      <c r="H782" s="253"/>
      <c r="I782" s="212"/>
      <c r="N782" s="212"/>
      <c r="O782" s="1557"/>
      <c r="P782" s="1558"/>
      <c r="Q782" s="661"/>
      <c r="R782" s="655"/>
      <c r="S782" s="655"/>
      <c r="T782" s="655"/>
      <c r="U782" s="655"/>
      <c r="V782" s="655"/>
      <c r="W782" s="655"/>
      <c r="Y782" s="1827"/>
      <c r="Z782" s="1828"/>
      <c r="AA782" s="1829"/>
      <c r="AB782" s="1829"/>
      <c r="AC782" s="1829"/>
      <c r="AD782" s="1564"/>
      <c r="AE782" s="701"/>
      <c r="AF782" s="684"/>
      <c r="AG782" s="684"/>
      <c r="AH782" s="710"/>
      <c r="AI782" s="710"/>
      <c r="AJ782" s="710"/>
      <c r="AK782" s="710"/>
      <c r="AL782" s="710"/>
      <c r="AM782" s="710"/>
      <c r="AN782" s="710"/>
      <c r="AO782" s="710"/>
      <c r="AP782" s="710"/>
      <c r="AQ782" s="710"/>
      <c r="AR782" s="710"/>
      <c r="AS782" s="710"/>
      <c r="AT782" s="710"/>
      <c r="AU782" s="1829"/>
      <c r="AV782" s="1835"/>
      <c r="AW782" s="1836"/>
      <c r="AX782" s="1836"/>
      <c r="AY782" s="1836"/>
      <c r="AZ782" s="1825"/>
      <c r="BA782" s="1825"/>
    </row>
    <row r="783" spans="2:53" s="188" customFormat="1" ht="24.95" customHeight="1">
      <c r="B783" s="281"/>
      <c r="C783" s="168"/>
      <c r="D783" s="168"/>
      <c r="E783" s="168"/>
      <c r="F783" s="227"/>
      <c r="G783" s="660"/>
      <c r="H783" s="253"/>
      <c r="I783" s="212"/>
      <c r="N783" s="212"/>
      <c r="O783" s="1557"/>
      <c r="P783" s="1558"/>
      <c r="Q783" s="661"/>
      <c r="R783" s="655"/>
      <c r="S783" s="655"/>
      <c r="T783" s="655"/>
      <c r="U783" s="655"/>
      <c r="V783" s="655"/>
      <c r="W783" s="655"/>
      <c r="Y783" s="1827"/>
      <c r="Z783" s="1828"/>
      <c r="AA783" s="1829"/>
      <c r="AB783" s="1829"/>
      <c r="AC783" s="1829"/>
      <c r="AD783" s="1564"/>
      <c r="AE783" s="701"/>
      <c r="AF783" s="684"/>
      <c r="AG783" s="684"/>
      <c r="AH783" s="710"/>
      <c r="AI783" s="710"/>
      <c r="AJ783" s="710"/>
      <c r="AK783" s="710"/>
      <c r="AL783" s="710"/>
      <c r="AM783" s="710"/>
      <c r="AN783" s="710"/>
      <c r="AO783" s="710"/>
      <c r="AP783" s="710"/>
      <c r="AQ783" s="710"/>
      <c r="AR783" s="710"/>
      <c r="AS783" s="710"/>
      <c r="AT783" s="710"/>
      <c r="AU783" s="1829"/>
      <c r="AV783" s="1835"/>
      <c r="AW783" s="1836"/>
      <c r="AX783" s="1836"/>
      <c r="AY783" s="1836"/>
      <c r="AZ783" s="1825"/>
      <c r="BA783" s="1825"/>
    </row>
    <row r="784" spans="2:53" s="188" customFormat="1" ht="24.95" customHeight="1">
      <c r="B784" s="281"/>
      <c r="C784" s="168"/>
      <c r="D784" s="168"/>
      <c r="E784" s="168"/>
      <c r="F784" s="227"/>
      <c r="G784" s="660"/>
      <c r="H784" s="253"/>
      <c r="I784" s="212"/>
      <c r="N784" s="212"/>
      <c r="O784" s="1557"/>
      <c r="P784" s="1558"/>
      <c r="Q784" s="661"/>
      <c r="R784" s="655"/>
      <c r="S784" s="655"/>
      <c r="T784" s="655"/>
      <c r="U784" s="655"/>
      <c r="V784" s="655"/>
      <c r="W784" s="655"/>
      <c r="Y784" s="1827"/>
      <c r="Z784" s="1828"/>
      <c r="AA784" s="1829"/>
      <c r="AB784" s="1829"/>
      <c r="AC784" s="1829"/>
      <c r="AD784" s="1564"/>
      <c r="AE784" s="701"/>
      <c r="AF784" s="684"/>
      <c r="AG784" s="684"/>
      <c r="AH784" s="710"/>
      <c r="AI784" s="710"/>
      <c r="AJ784" s="710"/>
      <c r="AK784" s="710"/>
      <c r="AL784" s="710"/>
      <c r="AM784" s="710"/>
      <c r="AN784" s="710"/>
      <c r="AO784" s="710"/>
      <c r="AP784" s="710"/>
      <c r="AQ784" s="710"/>
      <c r="AR784" s="710"/>
      <c r="AS784" s="710"/>
      <c r="AT784" s="710"/>
      <c r="AU784" s="1829"/>
      <c r="AV784" s="1835"/>
      <c r="AW784" s="1836"/>
      <c r="AX784" s="1836"/>
      <c r="AY784" s="1836"/>
      <c r="AZ784" s="1825"/>
      <c r="BA784" s="1825"/>
    </row>
    <row r="785" spans="2:53" s="188" customFormat="1" ht="24.95" customHeight="1">
      <c r="B785" s="281"/>
      <c r="C785" s="168"/>
      <c r="D785" s="168"/>
      <c r="E785" s="168"/>
      <c r="F785" s="227"/>
      <c r="G785" s="660"/>
      <c r="H785" s="253"/>
      <c r="I785" s="212"/>
      <c r="N785" s="212"/>
      <c r="O785" s="1557"/>
      <c r="P785" s="1558"/>
      <c r="Q785" s="661"/>
      <c r="R785" s="655"/>
      <c r="S785" s="655"/>
      <c r="T785" s="655"/>
      <c r="U785" s="655"/>
      <c r="V785" s="655"/>
      <c r="W785" s="655"/>
      <c r="Y785" s="1827"/>
      <c r="Z785" s="1828"/>
      <c r="AA785" s="1829"/>
      <c r="AB785" s="1829"/>
      <c r="AC785" s="1829"/>
      <c r="AD785" s="1564"/>
      <c r="AE785" s="701"/>
      <c r="AF785" s="684"/>
      <c r="AG785" s="684"/>
      <c r="AH785" s="710"/>
      <c r="AI785" s="710"/>
      <c r="AJ785" s="710"/>
      <c r="AK785" s="710"/>
      <c r="AL785" s="710"/>
      <c r="AM785" s="710"/>
      <c r="AN785" s="710"/>
      <c r="AO785" s="710"/>
      <c r="AP785" s="710"/>
      <c r="AQ785" s="710"/>
      <c r="AR785" s="710"/>
      <c r="AS785" s="710"/>
      <c r="AT785" s="710"/>
      <c r="AU785" s="1829"/>
      <c r="AV785" s="1835"/>
      <c r="AW785" s="1836"/>
      <c r="AX785" s="1836"/>
      <c r="AY785" s="1836"/>
      <c r="AZ785" s="1825"/>
      <c r="BA785" s="1825"/>
    </row>
    <row r="786" spans="2:53" s="188" customFormat="1" ht="24.95" customHeight="1">
      <c r="B786" s="281"/>
      <c r="C786" s="168"/>
      <c r="D786" s="168"/>
      <c r="E786" s="168"/>
      <c r="F786" s="227"/>
      <c r="G786" s="660"/>
      <c r="H786" s="253"/>
      <c r="I786" s="212"/>
      <c r="N786" s="212"/>
      <c r="O786" s="1557"/>
      <c r="P786" s="1558"/>
      <c r="Q786" s="661"/>
      <c r="R786" s="655"/>
      <c r="S786" s="655"/>
      <c r="T786" s="655"/>
      <c r="U786" s="655"/>
      <c r="V786" s="655"/>
      <c r="W786" s="655"/>
      <c r="Y786" s="1827"/>
      <c r="Z786" s="1828"/>
      <c r="AA786" s="1829"/>
      <c r="AB786" s="1829"/>
      <c r="AC786" s="1829"/>
      <c r="AD786" s="1564"/>
      <c r="AE786" s="701"/>
      <c r="AF786" s="684"/>
      <c r="AG786" s="684"/>
      <c r="AH786" s="710"/>
      <c r="AI786" s="710"/>
      <c r="AJ786" s="710"/>
      <c r="AK786" s="710"/>
      <c r="AL786" s="710"/>
      <c r="AM786" s="710"/>
      <c r="AN786" s="710"/>
      <c r="AO786" s="710"/>
      <c r="AP786" s="710"/>
      <c r="AQ786" s="710"/>
      <c r="AR786" s="710"/>
      <c r="AS786" s="710"/>
      <c r="AT786" s="710"/>
      <c r="AU786" s="1829"/>
      <c r="AV786" s="1835"/>
      <c r="AW786" s="1836"/>
      <c r="AX786" s="1836"/>
      <c r="AY786" s="1836"/>
      <c r="AZ786" s="1825"/>
      <c r="BA786" s="1825"/>
    </row>
    <row r="787" spans="2:53" s="188" customFormat="1" ht="24.95" customHeight="1">
      <c r="B787" s="281"/>
      <c r="C787" s="168"/>
      <c r="D787" s="168"/>
      <c r="E787" s="168"/>
      <c r="F787" s="227"/>
      <c r="G787" s="660"/>
      <c r="H787" s="253"/>
      <c r="I787" s="212"/>
      <c r="N787" s="212"/>
      <c r="O787" s="1557"/>
      <c r="P787" s="1558"/>
      <c r="Q787" s="661"/>
      <c r="R787" s="655"/>
      <c r="S787" s="655"/>
      <c r="T787" s="655"/>
      <c r="U787" s="655"/>
      <c r="V787" s="655"/>
      <c r="W787" s="655"/>
      <c r="Y787" s="1827"/>
      <c r="Z787" s="1828"/>
      <c r="AA787" s="1829"/>
      <c r="AB787" s="1829"/>
      <c r="AC787" s="1829"/>
      <c r="AD787" s="1564"/>
      <c r="AE787" s="701"/>
      <c r="AF787" s="684"/>
      <c r="AG787" s="684"/>
      <c r="AH787" s="710"/>
      <c r="AI787" s="710"/>
      <c r="AJ787" s="710"/>
      <c r="AK787" s="710"/>
      <c r="AL787" s="710"/>
      <c r="AM787" s="710"/>
      <c r="AN787" s="710"/>
      <c r="AO787" s="710"/>
      <c r="AP787" s="710"/>
      <c r="AQ787" s="710"/>
      <c r="AR787" s="710"/>
      <c r="AS787" s="710"/>
      <c r="AT787" s="710"/>
      <c r="AU787" s="1829"/>
      <c r="AV787" s="1835"/>
      <c r="AW787" s="1836"/>
      <c r="AX787" s="1836"/>
      <c r="AY787" s="1836"/>
      <c r="AZ787" s="1825"/>
      <c r="BA787" s="1825"/>
    </row>
    <row r="788" spans="2:53" s="188" customFormat="1" ht="24.95" customHeight="1">
      <c r="B788" s="281"/>
      <c r="C788" s="168"/>
      <c r="D788" s="168"/>
      <c r="E788" s="168"/>
      <c r="F788" s="227"/>
      <c r="G788" s="660"/>
      <c r="H788" s="253"/>
      <c r="I788" s="212"/>
      <c r="N788" s="212"/>
      <c r="O788" s="1557"/>
      <c r="P788" s="1558"/>
      <c r="Q788" s="661"/>
      <c r="R788" s="655"/>
      <c r="S788" s="655"/>
      <c r="T788" s="655"/>
      <c r="U788" s="655"/>
      <c r="V788" s="655"/>
      <c r="W788" s="655"/>
      <c r="Y788" s="1827"/>
      <c r="Z788" s="1828"/>
      <c r="AA788" s="1829"/>
      <c r="AB788" s="1829"/>
      <c r="AC788" s="1829"/>
      <c r="AD788" s="1564"/>
      <c r="AE788" s="701"/>
      <c r="AF788" s="684"/>
      <c r="AG788" s="684"/>
      <c r="AH788" s="710"/>
      <c r="AI788" s="710"/>
      <c r="AJ788" s="710"/>
      <c r="AK788" s="710"/>
      <c r="AL788" s="710"/>
      <c r="AM788" s="710"/>
      <c r="AN788" s="710"/>
      <c r="AO788" s="710"/>
      <c r="AP788" s="710"/>
      <c r="AQ788" s="710"/>
      <c r="AR788" s="710"/>
      <c r="AS788" s="710"/>
      <c r="AT788" s="710"/>
      <c r="AU788" s="1829"/>
      <c r="AV788" s="1835"/>
      <c r="AW788" s="1836"/>
      <c r="AX788" s="1836"/>
      <c r="AY788" s="1836"/>
      <c r="AZ788" s="1825"/>
      <c r="BA788" s="1825"/>
    </row>
    <row r="789" spans="2:53" s="188" customFormat="1" ht="24.95" customHeight="1">
      <c r="B789" s="281"/>
      <c r="C789" s="168"/>
      <c r="D789" s="168"/>
      <c r="E789" s="168"/>
      <c r="F789" s="227"/>
      <c r="G789" s="660"/>
      <c r="H789" s="253"/>
      <c r="I789" s="212"/>
      <c r="N789" s="212"/>
      <c r="O789" s="1557"/>
      <c r="P789" s="1558"/>
      <c r="Q789" s="661"/>
      <c r="R789" s="655"/>
      <c r="S789" s="655"/>
      <c r="T789" s="655"/>
      <c r="U789" s="655"/>
      <c r="V789" s="655"/>
      <c r="W789" s="655"/>
      <c r="Y789" s="1827"/>
      <c r="Z789" s="1828"/>
      <c r="AA789" s="1829"/>
      <c r="AB789" s="1829"/>
      <c r="AC789" s="1829"/>
      <c r="AD789" s="1564"/>
      <c r="AE789" s="701"/>
      <c r="AF789" s="684"/>
      <c r="AG789" s="684"/>
      <c r="AH789" s="710"/>
      <c r="AI789" s="710"/>
      <c r="AJ789" s="710"/>
      <c r="AK789" s="710"/>
      <c r="AL789" s="710"/>
      <c r="AM789" s="710"/>
      <c r="AN789" s="710"/>
      <c r="AO789" s="710"/>
      <c r="AP789" s="710"/>
      <c r="AQ789" s="710"/>
      <c r="AR789" s="710"/>
      <c r="AS789" s="710"/>
      <c r="AT789" s="710"/>
      <c r="AU789" s="1829"/>
      <c r="AV789" s="1835"/>
      <c r="AW789" s="1836"/>
      <c r="AX789" s="1836"/>
      <c r="AY789" s="1836"/>
      <c r="AZ789" s="1825"/>
      <c r="BA789" s="1825"/>
    </row>
    <row r="790" spans="2:53" s="188" customFormat="1" ht="24.95" customHeight="1">
      <c r="B790" s="281"/>
      <c r="C790" s="168"/>
      <c r="D790" s="168"/>
      <c r="E790" s="168"/>
      <c r="F790" s="227"/>
      <c r="G790" s="660"/>
      <c r="H790" s="253"/>
      <c r="I790" s="212"/>
      <c r="N790" s="212"/>
      <c r="O790" s="1557"/>
      <c r="P790" s="1558"/>
      <c r="Q790" s="661"/>
      <c r="R790" s="655"/>
      <c r="S790" s="655"/>
      <c r="T790" s="655"/>
      <c r="U790" s="655"/>
      <c r="V790" s="655"/>
      <c r="W790" s="655"/>
      <c r="Y790" s="1827"/>
      <c r="Z790" s="1828"/>
      <c r="AA790" s="1829"/>
      <c r="AB790" s="1829"/>
      <c r="AC790" s="1829"/>
      <c r="AD790" s="1564"/>
      <c r="AE790" s="701"/>
      <c r="AF790" s="684"/>
      <c r="AG790" s="684"/>
      <c r="AH790" s="710"/>
      <c r="AI790" s="710"/>
      <c r="AJ790" s="710"/>
      <c r="AK790" s="710"/>
      <c r="AL790" s="710"/>
      <c r="AM790" s="710"/>
      <c r="AN790" s="710"/>
      <c r="AO790" s="710"/>
      <c r="AP790" s="710"/>
      <c r="AQ790" s="710"/>
      <c r="AR790" s="710"/>
      <c r="AS790" s="710"/>
      <c r="AT790" s="710"/>
      <c r="AU790" s="1829"/>
      <c r="AV790" s="1835"/>
      <c r="AW790" s="1836"/>
      <c r="AX790" s="1836"/>
      <c r="AY790" s="1836"/>
      <c r="AZ790" s="1825"/>
      <c r="BA790" s="1825"/>
    </row>
    <row r="791" spans="2:53" s="188" customFormat="1" ht="24.95" customHeight="1">
      <c r="B791" s="281"/>
      <c r="C791" s="168"/>
      <c r="D791" s="168"/>
      <c r="E791" s="168"/>
      <c r="F791" s="227"/>
      <c r="G791" s="660"/>
      <c r="H791" s="253"/>
      <c r="I791" s="212"/>
      <c r="N791" s="212"/>
      <c r="O791" s="1557"/>
      <c r="P791" s="1558"/>
      <c r="Q791" s="661"/>
      <c r="R791" s="655"/>
      <c r="S791" s="655"/>
      <c r="T791" s="655"/>
      <c r="U791" s="655"/>
      <c r="V791" s="655"/>
      <c r="W791" s="655"/>
      <c r="Y791" s="1827"/>
      <c r="Z791" s="1828"/>
      <c r="AA791" s="1829"/>
      <c r="AB791" s="1829"/>
      <c r="AC791" s="1829"/>
      <c r="AD791" s="1564"/>
      <c r="AE791" s="701"/>
      <c r="AF791" s="684"/>
      <c r="AG791" s="684"/>
      <c r="AH791" s="710"/>
      <c r="AI791" s="710"/>
      <c r="AJ791" s="710"/>
      <c r="AK791" s="710"/>
      <c r="AL791" s="710"/>
      <c r="AM791" s="710"/>
      <c r="AN791" s="710"/>
      <c r="AO791" s="710"/>
      <c r="AP791" s="710"/>
      <c r="AQ791" s="710"/>
      <c r="AR791" s="710"/>
      <c r="AS791" s="710"/>
      <c r="AT791" s="710"/>
      <c r="AU791" s="1829"/>
      <c r="AV791" s="1835"/>
      <c r="AW791" s="1836"/>
      <c r="AX791" s="1836"/>
      <c r="AY791" s="1836"/>
      <c r="AZ791" s="1825"/>
      <c r="BA791" s="1825"/>
    </row>
    <row r="792" spans="2:53" s="188" customFormat="1" ht="24.95" customHeight="1">
      <c r="B792" s="281"/>
      <c r="C792" s="168"/>
      <c r="D792" s="168"/>
      <c r="E792" s="168"/>
      <c r="F792" s="227"/>
      <c r="G792" s="660"/>
      <c r="H792" s="253"/>
      <c r="I792" s="212"/>
      <c r="N792" s="212"/>
      <c r="O792" s="1557"/>
      <c r="P792" s="1558"/>
      <c r="Q792" s="661"/>
      <c r="R792" s="655"/>
      <c r="S792" s="655"/>
      <c r="T792" s="655"/>
      <c r="U792" s="655"/>
      <c r="V792" s="655"/>
      <c r="W792" s="655"/>
      <c r="Y792" s="1827"/>
      <c r="Z792" s="1828"/>
      <c r="AA792" s="1829"/>
      <c r="AB792" s="1829"/>
      <c r="AC792" s="1829"/>
      <c r="AD792" s="1564"/>
      <c r="AE792" s="701"/>
      <c r="AF792" s="684"/>
      <c r="AG792" s="684"/>
      <c r="AH792" s="710"/>
      <c r="AI792" s="710"/>
      <c r="AJ792" s="710"/>
      <c r="AK792" s="710"/>
      <c r="AL792" s="710"/>
      <c r="AM792" s="710"/>
      <c r="AN792" s="710"/>
      <c r="AO792" s="710"/>
      <c r="AP792" s="710"/>
      <c r="AQ792" s="710"/>
      <c r="AR792" s="710"/>
      <c r="AS792" s="710"/>
      <c r="AT792" s="710"/>
      <c r="AU792" s="1829"/>
      <c r="AV792" s="1835"/>
      <c r="AW792" s="1836"/>
      <c r="AX792" s="1836"/>
      <c r="AY792" s="1836"/>
      <c r="AZ792" s="1825"/>
      <c r="BA792" s="1825"/>
    </row>
    <row r="793" spans="2:53" s="188" customFormat="1" ht="24.95" customHeight="1">
      <c r="B793" s="281"/>
      <c r="C793" s="168"/>
      <c r="D793" s="168"/>
      <c r="E793" s="168"/>
      <c r="F793" s="227"/>
      <c r="G793" s="660"/>
      <c r="H793" s="253"/>
      <c r="I793" s="212"/>
      <c r="N793" s="212"/>
      <c r="O793" s="1557"/>
      <c r="P793" s="1558"/>
      <c r="Q793" s="661"/>
      <c r="R793" s="655"/>
      <c r="S793" s="655"/>
      <c r="T793" s="655"/>
      <c r="U793" s="655"/>
      <c r="V793" s="655"/>
      <c r="W793" s="655"/>
      <c r="Y793" s="1827"/>
      <c r="Z793" s="1828"/>
      <c r="AA793" s="1829"/>
      <c r="AB793" s="1829"/>
      <c r="AC793" s="1829"/>
      <c r="AD793" s="1564"/>
      <c r="AE793" s="701"/>
      <c r="AF793" s="684"/>
      <c r="AG793" s="684"/>
      <c r="AH793" s="710"/>
      <c r="AI793" s="710"/>
      <c r="AJ793" s="710"/>
      <c r="AK793" s="710"/>
      <c r="AL793" s="710"/>
      <c r="AM793" s="710"/>
      <c r="AN793" s="710"/>
      <c r="AO793" s="710"/>
      <c r="AP793" s="710"/>
      <c r="AQ793" s="710"/>
      <c r="AR793" s="710"/>
      <c r="AS793" s="710"/>
      <c r="AT793" s="710"/>
      <c r="AU793" s="1829"/>
      <c r="AV793" s="1835"/>
      <c r="AW793" s="1836"/>
      <c r="AX793" s="1836"/>
      <c r="AY793" s="1836"/>
      <c r="AZ793" s="1825"/>
      <c r="BA793" s="1825"/>
    </row>
    <row r="794" spans="2:53" s="188" customFormat="1" ht="24.95" customHeight="1">
      <c r="B794" s="281"/>
      <c r="C794" s="168"/>
      <c r="D794" s="168"/>
      <c r="E794" s="168"/>
      <c r="F794" s="227"/>
      <c r="G794" s="660"/>
      <c r="H794" s="253"/>
      <c r="I794" s="212"/>
      <c r="N794" s="212"/>
      <c r="O794" s="1557"/>
      <c r="P794" s="1558"/>
      <c r="Q794" s="661"/>
      <c r="R794" s="655"/>
      <c r="S794" s="655"/>
      <c r="T794" s="655"/>
      <c r="U794" s="655"/>
      <c r="V794" s="655"/>
      <c r="W794" s="655"/>
      <c r="Y794" s="1827"/>
      <c r="Z794" s="1828"/>
      <c r="AA794" s="1829"/>
      <c r="AB794" s="1829"/>
      <c r="AC794" s="1829"/>
      <c r="AD794" s="1564"/>
      <c r="AE794" s="701"/>
      <c r="AF794" s="684"/>
      <c r="AG794" s="684"/>
      <c r="AH794" s="710"/>
      <c r="AI794" s="710"/>
      <c r="AJ794" s="710"/>
      <c r="AK794" s="710"/>
      <c r="AL794" s="710"/>
      <c r="AM794" s="710"/>
      <c r="AN794" s="710"/>
      <c r="AO794" s="710"/>
      <c r="AP794" s="710"/>
      <c r="AQ794" s="710"/>
      <c r="AR794" s="710"/>
      <c r="AS794" s="710"/>
      <c r="AT794" s="710"/>
      <c r="AU794" s="1829"/>
      <c r="AV794" s="1835"/>
      <c r="AW794" s="1836"/>
      <c r="AX794" s="1836"/>
      <c r="AY794" s="1836"/>
      <c r="AZ794" s="1825"/>
      <c r="BA794" s="1825"/>
    </row>
    <row r="795" spans="2:53" s="188" customFormat="1" ht="24.95" customHeight="1">
      <c r="B795" s="281"/>
      <c r="C795" s="168"/>
      <c r="D795" s="168"/>
      <c r="E795" s="168"/>
      <c r="F795" s="227"/>
      <c r="G795" s="660"/>
      <c r="H795" s="253"/>
      <c r="I795" s="212"/>
      <c r="N795" s="212"/>
      <c r="O795" s="1557"/>
      <c r="P795" s="1558"/>
      <c r="Q795" s="661"/>
      <c r="R795" s="655"/>
      <c r="S795" s="655"/>
      <c r="T795" s="655"/>
      <c r="U795" s="655"/>
      <c r="V795" s="655"/>
      <c r="W795" s="655"/>
      <c r="Y795" s="1827"/>
      <c r="Z795" s="1828"/>
      <c r="AA795" s="1829"/>
      <c r="AB795" s="1829"/>
      <c r="AC795" s="1829"/>
      <c r="AD795" s="1564"/>
      <c r="AE795" s="701"/>
      <c r="AF795" s="684"/>
      <c r="AG795" s="684"/>
      <c r="AH795" s="710"/>
      <c r="AI795" s="710"/>
      <c r="AJ795" s="710"/>
      <c r="AK795" s="710"/>
      <c r="AL795" s="710"/>
      <c r="AM795" s="710"/>
      <c r="AN795" s="710"/>
      <c r="AO795" s="710"/>
      <c r="AP795" s="710"/>
      <c r="AQ795" s="710"/>
      <c r="AR795" s="710"/>
      <c r="AS795" s="710"/>
      <c r="AT795" s="710"/>
      <c r="AU795" s="1829"/>
      <c r="AV795" s="1835"/>
      <c r="AW795" s="1836"/>
      <c r="AX795" s="1836"/>
      <c r="AY795" s="1836"/>
      <c r="AZ795" s="1825"/>
      <c r="BA795" s="1825"/>
    </row>
    <row r="796" spans="2:53" s="188" customFormat="1" ht="24.95" customHeight="1">
      <c r="B796" s="281"/>
      <c r="C796" s="168"/>
      <c r="D796" s="168"/>
      <c r="E796" s="168"/>
      <c r="F796" s="227"/>
      <c r="G796" s="660"/>
      <c r="H796" s="253"/>
      <c r="I796" s="212"/>
      <c r="N796" s="212"/>
      <c r="O796" s="1557"/>
      <c r="P796" s="1558"/>
      <c r="Q796" s="661"/>
      <c r="R796" s="655"/>
      <c r="S796" s="655"/>
      <c r="T796" s="655"/>
      <c r="U796" s="655"/>
      <c r="V796" s="655"/>
      <c r="W796" s="655"/>
      <c r="Y796" s="1827"/>
      <c r="Z796" s="1828"/>
      <c r="AA796" s="1829"/>
      <c r="AB796" s="1829"/>
      <c r="AC796" s="1829"/>
      <c r="AD796" s="1564"/>
      <c r="AE796" s="701"/>
      <c r="AF796" s="684"/>
      <c r="AG796" s="684"/>
      <c r="AH796" s="710"/>
      <c r="AI796" s="710"/>
      <c r="AJ796" s="710"/>
      <c r="AK796" s="710"/>
      <c r="AL796" s="710"/>
      <c r="AM796" s="710"/>
      <c r="AN796" s="710"/>
      <c r="AO796" s="710"/>
      <c r="AP796" s="710"/>
      <c r="AQ796" s="710"/>
      <c r="AR796" s="710"/>
      <c r="AS796" s="710"/>
      <c r="AT796" s="710"/>
      <c r="AU796" s="1829"/>
      <c r="AV796" s="1835"/>
      <c r="AW796" s="1836"/>
      <c r="AX796" s="1836"/>
      <c r="AY796" s="1836"/>
      <c r="AZ796" s="1825"/>
      <c r="BA796" s="1825"/>
    </row>
    <row r="797" spans="2:53" s="188" customFormat="1" ht="24.95" customHeight="1">
      <c r="B797" s="281"/>
      <c r="C797" s="168"/>
      <c r="D797" s="168"/>
      <c r="E797" s="168"/>
      <c r="F797" s="227"/>
      <c r="G797" s="660"/>
      <c r="H797" s="253"/>
      <c r="I797" s="212"/>
      <c r="N797" s="212"/>
      <c r="O797" s="1557"/>
      <c r="P797" s="1558"/>
      <c r="Q797" s="661"/>
      <c r="R797" s="655"/>
      <c r="S797" s="655"/>
      <c r="T797" s="655"/>
      <c r="U797" s="655"/>
      <c r="V797" s="655"/>
      <c r="W797" s="655"/>
      <c r="Y797" s="1827"/>
      <c r="Z797" s="1828"/>
      <c r="AA797" s="1829"/>
      <c r="AB797" s="1829"/>
      <c r="AC797" s="1829"/>
      <c r="AD797" s="1564"/>
      <c r="AE797" s="701"/>
      <c r="AF797" s="684"/>
      <c r="AG797" s="684"/>
      <c r="AH797" s="710"/>
      <c r="AI797" s="710"/>
      <c r="AJ797" s="710"/>
      <c r="AK797" s="710"/>
      <c r="AL797" s="710"/>
      <c r="AM797" s="710"/>
      <c r="AN797" s="710"/>
      <c r="AO797" s="710"/>
      <c r="AP797" s="710"/>
      <c r="AQ797" s="710"/>
      <c r="AR797" s="710"/>
      <c r="AS797" s="710"/>
      <c r="AT797" s="710"/>
      <c r="AU797" s="1829"/>
      <c r="AV797" s="1835"/>
      <c r="AW797" s="1836"/>
      <c r="AX797" s="1836"/>
      <c r="AY797" s="1836"/>
      <c r="AZ797" s="1825"/>
      <c r="BA797" s="1825"/>
    </row>
    <row r="798" spans="2:53" s="188" customFormat="1" ht="24.95" customHeight="1">
      <c r="B798" s="281"/>
      <c r="C798" s="168"/>
      <c r="D798" s="168"/>
      <c r="E798" s="168"/>
      <c r="F798" s="227"/>
      <c r="G798" s="660"/>
      <c r="H798" s="253"/>
      <c r="I798" s="212"/>
      <c r="N798" s="212"/>
      <c r="O798" s="1557"/>
      <c r="P798" s="1558"/>
      <c r="Q798" s="661"/>
      <c r="R798" s="655"/>
      <c r="S798" s="655"/>
      <c r="T798" s="655"/>
      <c r="U798" s="655"/>
      <c r="V798" s="655"/>
      <c r="W798" s="655"/>
      <c r="Y798" s="1827"/>
      <c r="Z798" s="1828"/>
      <c r="AA798" s="1829"/>
      <c r="AB798" s="1829"/>
      <c r="AC798" s="1829"/>
      <c r="AD798" s="1564"/>
      <c r="AE798" s="701"/>
      <c r="AF798" s="684"/>
      <c r="AG798" s="684"/>
      <c r="AH798" s="710"/>
      <c r="AI798" s="710"/>
      <c r="AJ798" s="710"/>
      <c r="AK798" s="710"/>
      <c r="AL798" s="710"/>
      <c r="AM798" s="710"/>
      <c r="AN798" s="710"/>
      <c r="AO798" s="710"/>
      <c r="AP798" s="710"/>
      <c r="AQ798" s="710"/>
      <c r="AR798" s="710"/>
      <c r="AS798" s="710"/>
      <c r="AT798" s="710"/>
      <c r="AU798" s="1829"/>
      <c r="AV798" s="1835"/>
      <c r="AW798" s="1836"/>
      <c r="AX798" s="1836"/>
      <c r="AY798" s="1836"/>
      <c r="AZ798" s="1825"/>
      <c r="BA798" s="1825"/>
    </row>
    <row r="799" spans="2:53" s="188" customFormat="1" ht="24.95" customHeight="1">
      <c r="B799" s="281"/>
      <c r="C799" s="168"/>
      <c r="D799" s="168"/>
      <c r="E799" s="168"/>
      <c r="F799" s="227"/>
      <c r="G799" s="660"/>
      <c r="H799" s="253"/>
      <c r="I799" s="212"/>
      <c r="N799" s="212"/>
      <c r="O799" s="1557"/>
      <c r="P799" s="1558"/>
      <c r="Q799" s="661"/>
      <c r="R799" s="655"/>
      <c r="S799" s="655"/>
      <c r="T799" s="655"/>
      <c r="U799" s="655"/>
      <c r="V799" s="655"/>
      <c r="W799" s="655"/>
      <c r="Y799" s="1827"/>
      <c r="Z799" s="1828"/>
      <c r="AA799" s="1829"/>
      <c r="AB799" s="1829"/>
      <c r="AC799" s="1829"/>
      <c r="AD799" s="1564"/>
      <c r="AE799" s="701"/>
      <c r="AF799" s="684"/>
      <c r="AG799" s="684"/>
      <c r="AH799" s="710"/>
      <c r="AI799" s="710"/>
      <c r="AJ799" s="710"/>
      <c r="AK799" s="710"/>
      <c r="AL799" s="710"/>
      <c r="AM799" s="710"/>
      <c r="AN799" s="710"/>
      <c r="AO799" s="710"/>
      <c r="AP799" s="710"/>
      <c r="AQ799" s="710"/>
      <c r="AR799" s="710"/>
      <c r="AS799" s="710"/>
      <c r="AT799" s="710"/>
      <c r="AU799" s="1829"/>
      <c r="AV799" s="1835"/>
      <c r="AW799" s="1836"/>
      <c r="AX799" s="1836"/>
      <c r="AY799" s="1836"/>
      <c r="AZ799" s="1825"/>
      <c r="BA799" s="1825"/>
    </row>
    <row r="800" spans="2:53" s="188" customFormat="1" ht="24.95" customHeight="1">
      <c r="B800" s="281"/>
      <c r="C800" s="168"/>
      <c r="D800" s="168"/>
      <c r="E800" s="168"/>
      <c r="F800" s="227"/>
      <c r="G800" s="660"/>
      <c r="H800" s="253"/>
      <c r="I800" s="212"/>
      <c r="N800" s="212"/>
      <c r="O800" s="1557"/>
      <c r="P800" s="1558"/>
      <c r="Q800" s="661"/>
      <c r="R800" s="655"/>
      <c r="S800" s="655"/>
      <c r="T800" s="655"/>
      <c r="U800" s="655"/>
      <c r="V800" s="655"/>
      <c r="W800" s="655"/>
      <c r="Y800" s="1827"/>
      <c r="Z800" s="1828"/>
      <c r="AA800" s="1829"/>
      <c r="AB800" s="1829"/>
      <c r="AC800" s="1829"/>
      <c r="AD800" s="1564"/>
      <c r="AE800" s="701"/>
      <c r="AF800" s="684"/>
      <c r="AG800" s="684"/>
      <c r="AH800" s="710"/>
      <c r="AI800" s="710"/>
      <c r="AJ800" s="710"/>
      <c r="AK800" s="710"/>
      <c r="AL800" s="710"/>
      <c r="AM800" s="710"/>
      <c r="AN800" s="710"/>
      <c r="AO800" s="710"/>
      <c r="AP800" s="710"/>
      <c r="AQ800" s="710"/>
      <c r="AR800" s="710"/>
      <c r="AS800" s="710"/>
      <c r="AT800" s="710"/>
      <c r="AU800" s="1829"/>
      <c r="AV800" s="1835"/>
      <c r="AW800" s="1836"/>
      <c r="AX800" s="1836"/>
      <c r="AY800" s="1836"/>
      <c r="AZ800" s="1825"/>
      <c r="BA800" s="1825"/>
    </row>
    <row r="801" spans="2:53" s="188" customFormat="1" ht="24.95" customHeight="1">
      <c r="B801" s="281"/>
      <c r="C801" s="168"/>
      <c r="D801" s="168"/>
      <c r="E801" s="168"/>
      <c r="F801" s="227"/>
      <c r="G801" s="660"/>
      <c r="H801" s="253"/>
      <c r="I801" s="212"/>
      <c r="N801" s="212"/>
      <c r="O801" s="1557"/>
      <c r="P801" s="1558"/>
      <c r="Q801" s="661"/>
      <c r="R801" s="655"/>
      <c r="S801" s="655"/>
      <c r="T801" s="655"/>
      <c r="U801" s="655"/>
      <c r="V801" s="655"/>
      <c r="W801" s="655"/>
      <c r="Y801" s="1827"/>
      <c r="Z801" s="1828"/>
      <c r="AA801" s="1829"/>
      <c r="AB801" s="1829"/>
      <c r="AC801" s="1829"/>
      <c r="AD801" s="1564"/>
      <c r="AE801" s="701"/>
      <c r="AF801" s="684"/>
      <c r="AG801" s="684"/>
      <c r="AH801" s="710"/>
      <c r="AI801" s="710"/>
      <c r="AJ801" s="710"/>
      <c r="AK801" s="710"/>
      <c r="AL801" s="710"/>
      <c r="AM801" s="710"/>
      <c r="AN801" s="710"/>
      <c r="AO801" s="710"/>
      <c r="AP801" s="710"/>
      <c r="AQ801" s="710"/>
      <c r="AR801" s="710"/>
      <c r="AS801" s="710"/>
      <c r="AT801" s="710"/>
      <c r="AU801" s="1829"/>
      <c r="AV801" s="1835"/>
      <c r="AW801" s="1836"/>
      <c r="AX801" s="1836"/>
      <c r="AY801" s="1836"/>
      <c r="AZ801" s="1825"/>
      <c r="BA801" s="1825"/>
    </row>
    <row r="802" spans="2:53" s="188" customFormat="1" ht="24.95" customHeight="1">
      <c r="B802" s="281"/>
      <c r="C802" s="168"/>
      <c r="D802" s="168"/>
      <c r="E802" s="168"/>
      <c r="F802" s="227"/>
      <c r="G802" s="660"/>
      <c r="H802" s="253"/>
      <c r="I802" s="212"/>
      <c r="N802" s="212"/>
      <c r="O802" s="1557"/>
      <c r="P802" s="1558"/>
      <c r="Q802" s="661"/>
      <c r="R802" s="655"/>
      <c r="S802" s="655"/>
      <c r="T802" s="655"/>
      <c r="U802" s="655"/>
      <c r="V802" s="655"/>
      <c r="W802" s="655"/>
      <c r="Y802" s="1827"/>
      <c r="Z802" s="1828"/>
      <c r="AA802" s="1829"/>
      <c r="AB802" s="1829"/>
      <c r="AC802" s="1829"/>
      <c r="AD802" s="1564"/>
      <c r="AE802" s="701"/>
      <c r="AF802" s="684"/>
      <c r="AG802" s="684"/>
      <c r="AH802" s="710"/>
      <c r="AI802" s="710"/>
      <c r="AJ802" s="710"/>
      <c r="AK802" s="710"/>
      <c r="AL802" s="710"/>
      <c r="AM802" s="710"/>
      <c r="AN802" s="710"/>
      <c r="AO802" s="710"/>
      <c r="AP802" s="710"/>
      <c r="AQ802" s="710"/>
      <c r="AR802" s="710"/>
      <c r="AS802" s="710"/>
      <c r="AT802" s="710"/>
      <c r="AU802" s="1829"/>
      <c r="AV802" s="1835"/>
      <c r="AW802" s="1836"/>
      <c r="AX802" s="1836"/>
      <c r="AY802" s="1836"/>
      <c r="AZ802" s="1825"/>
      <c r="BA802" s="1825"/>
    </row>
    <row r="803" spans="2:53" s="188" customFormat="1" ht="24.95" customHeight="1">
      <c r="B803" s="281"/>
      <c r="C803" s="168"/>
      <c r="D803" s="168"/>
      <c r="E803" s="168"/>
      <c r="F803" s="227"/>
      <c r="G803" s="660"/>
      <c r="H803" s="253"/>
      <c r="I803" s="212"/>
      <c r="N803" s="212"/>
      <c r="O803" s="1557"/>
      <c r="P803" s="1558"/>
      <c r="Q803" s="661"/>
      <c r="R803" s="655"/>
      <c r="S803" s="655"/>
      <c r="T803" s="655"/>
      <c r="U803" s="655"/>
      <c r="V803" s="655"/>
      <c r="W803" s="655"/>
      <c r="Y803" s="1827"/>
      <c r="Z803" s="1828"/>
      <c r="AA803" s="1829"/>
      <c r="AB803" s="1829"/>
      <c r="AC803" s="1829"/>
      <c r="AD803" s="1564"/>
      <c r="AE803" s="701"/>
      <c r="AF803" s="684"/>
      <c r="AG803" s="684"/>
      <c r="AH803" s="710"/>
      <c r="AI803" s="710"/>
      <c r="AJ803" s="710"/>
      <c r="AK803" s="710"/>
      <c r="AL803" s="710"/>
      <c r="AM803" s="710"/>
      <c r="AN803" s="710"/>
      <c r="AO803" s="710"/>
      <c r="AP803" s="710"/>
      <c r="AQ803" s="710"/>
      <c r="AR803" s="710"/>
      <c r="AS803" s="710"/>
      <c r="AT803" s="710"/>
      <c r="AU803" s="1829"/>
      <c r="AV803" s="1835"/>
      <c r="AW803" s="1836"/>
      <c r="AX803" s="1836"/>
      <c r="AY803" s="1836"/>
      <c r="AZ803" s="1825"/>
      <c r="BA803" s="1825"/>
    </row>
    <row r="804" spans="2:53" s="188" customFormat="1" ht="24.95" customHeight="1">
      <c r="B804" s="281"/>
      <c r="C804" s="168"/>
      <c r="D804" s="168"/>
      <c r="E804" s="168"/>
      <c r="F804" s="227"/>
      <c r="G804" s="660"/>
      <c r="H804" s="253"/>
      <c r="I804" s="212"/>
      <c r="N804" s="212"/>
      <c r="O804" s="1557"/>
      <c r="P804" s="1558"/>
      <c r="Q804" s="661"/>
      <c r="R804" s="655"/>
      <c r="S804" s="655"/>
      <c r="T804" s="655"/>
      <c r="U804" s="655"/>
      <c r="V804" s="655"/>
      <c r="W804" s="655"/>
      <c r="Y804" s="1827"/>
      <c r="Z804" s="1828"/>
      <c r="AA804" s="1829"/>
      <c r="AB804" s="1829"/>
      <c r="AC804" s="1829"/>
      <c r="AD804" s="1564"/>
      <c r="AE804" s="701"/>
      <c r="AF804" s="684"/>
      <c r="AG804" s="684"/>
      <c r="AH804" s="710"/>
      <c r="AI804" s="710"/>
      <c r="AJ804" s="710"/>
      <c r="AK804" s="710"/>
      <c r="AL804" s="710"/>
      <c r="AM804" s="710"/>
      <c r="AN804" s="710"/>
      <c r="AO804" s="710"/>
      <c r="AP804" s="710"/>
      <c r="AQ804" s="710"/>
      <c r="AR804" s="710"/>
      <c r="AS804" s="710"/>
      <c r="AT804" s="710"/>
      <c r="AU804" s="1829"/>
      <c r="AV804" s="1835"/>
      <c r="AW804" s="1836"/>
      <c r="AX804" s="1836"/>
      <c r="AY804" s="1836"/>
      <c r="AZ804" s="1825"/>
      <c r="BA804" s="1825"/>
    </row>
    <row r="805" spans="2:53" s="188" customFormat="1" ht="24.95" customHeight="1">
      <c r="B805" s="281"/>
      <c r="C805" s="168"/>
      <c r="D805" s="168"/>
      <c r="E805" s="168"/>
      <c r="F805" s="227"/>
      <c r="G805" s="660"/>
      <c r="H805" s="253"/>
      <c r="I805" s="212"/>
      <c r="N805" s="212"/>
      <c r="O805" s="1557"/>
      <c r="P805" s="1558"/>
      <c r="Q805" s="661"/>
      <c r="R805" s="655"/>
      <c r="S805" s="655"/>
      <c r="T805" s="655"/>
      <c r="U805" s="655"/>
      <c r="V805" s="655"/>
      <c r="W805" s="655"/>
      <c r="Y805" s="1827"/>
      <c r="Z805" s="1828"/>
      <c r="AA805" s="1829"/>
      <c r="AB805" s="1829"/>
      <c r="AC805" s="1829"/>
      <c r="AD805" s="1564"/>
      <c r="AE805" s="701"/>
      <c r="AF805" s="684"/>
      <c r="AG805" s="684"/>
      <c r="AH805" s="710"/>
      <c r="AI805" s="710"/>
      <c r="AJ805" s="710"/>
      <c r="AK805" s="710"/>
      <c r="AL805" s="710"/>
      <c r="AM805" s="710"/>
      <c r="AN805" s="710"/>
      <c r="AO805" s="710"/>
      <c r="AP805" s="710"/>
      <c r="AQ805" s="710"/>
      <c r="AR805" s="710"/>
      <c r="AS805" s="710"/>
      <c r="AT805" s="710"/>
      <c r="AU805" s="1829"/>
      <c r="AV805" s="1835"/>
      <c r="AW805" s="1836"/>
      <c r="AX805" s="1836"/>
      <c r="AY805" s="1836"/>
      <c r="AZ805" s="1825"/>
      <c r="BA805" s="1825"/>
    </row>
    <row r="806" spans="2:53" s="188" customFormat="1" ht="24.95" customHeight="1">
      <c r="B806" s="281"/>
      <c r="C806" s="168"/>
      <c r="D806" s="168"/>
      <c r="E806" s="168"/>
      <c r="F806" s="227"/>
      <c r="G806" s="660"/>
      <c r="H806" s="253"/>
      <c r="I806" s="212"/>
      <c r="N806" s="212"/>
      <c r="O806" s="1557"/>
      <c r="P806" s="1558"/>
      <c r="Q806" s="661"/>
      <c r="R806" s="655"/>
      <c r="S806" s="655"/>
      <c r="T806" s="655"/>
      <c r="U806" s="655"/>
      <c r="V806" s="655"/>
      <c r="W806" s="655"/>
      <c r="Y806" s="1827"/>
      <c r="Z806" s="1828"/>
      <c r="AA806" s="1829"/>
      <c r="AB806" s="1829"/>
      <c r="AC806" s="1829"/>
      <c r="AD806" s="1564"/>
      <c r="AE806" s="701"/>
      <c r="AF806" s="684"/>
      <c r="AG806" s="684"/>
      <c r="AH806" s="710"/>
      <c r="AI806" s="710"/>
      <c r="AJ806" s="710"/>
      <c r="AK806" s="710"/>
      <c r="AL806" s="710"/>
      <c r="AM806" s="710"/>
      <c r="AN806" s="710"/>
      <c r="AO806" s="710"/>
      <c r="AP806" s="710"/>
      <c r="AQ806" s="710"/>
      <c r="AR806" s="710"/>
      <c r="AS806" s="710"/>
      <c r="AT806" s="710"/>
      <c r="AU806" s="1829"/>
      <c r="AV806" s="1835"/>
      <c r="AW806" s="1836"/>
      <c r="AX806" s="1836"/>
      <c r="AY806" s="1836"/>
      <c r="AZ806" s="1825"/>
      <c r="BA806" s="1825"/>
    </row>
    <row r="807" spans="2:53" s="188" customFormat="1" ht="24.95" customHeight="1">
      <c r="B807" s="281"/>
      <c r="C807" s="168"/>
      <c r="D807" s="168"/>
      <c r="E807" s="168"/>
      <c r="F807" s="227"/>
      <c r="G807" s="660"/>
      <c r="H807" s="253"/>
      <c r="I807" s="212"/>
      <c r="N807" s="212"/>
      <c r="O807" s="1557"/>
      <c r="P807" s="1558"/>
      <c r="Q807" s="661"/>
      <c r="R807" s="655"/>
      <c r="S807" s="655"/>
      <c r="T807" s="655"/>
      <c r="U807" s="655"/>
      <c r="V807" s="655"/>
      <c r="W807" s="655"/>
      <c r="Y807" s="1827"/>
      <c r="Z807" s="1828"/>
      <c r="AA807" s="1829"/>
      <c r="AB807" s="1829"/>
      <c r="AC807" s="1829"/>
      <c r="AD807" s="1564"/>
      <c r="AE807" s="701"/>
      <c r="AF807" s="684"/>
      <c r="AG807" s="684"/>
      <c r="AH807" s="710"/>
      <c r="AI807" s="710"/>
      <c r="AJ807" s="710"/>
      <c r="AK807" s="710"/>
      <c r="AL807" s="710"/>
      <c r="AM807" s="710"/>
      <c r="AN807" s="710"/>
      <c r="AO807" s="710"/>
      <c r="AP807" s="710"/>
      <c r="AQ807" s="710"/>
      <c r="AR807" s="710"/>
      <c r="AS807" s="710"/>
      <c r="AT807" s="710"/>
      <c r="AU807" s="1829"/>
      <c r="AV807" s="1835"/>
      <c r="AW807" s="1836"/>
      <c r="AX807" s="1836"/>
      <c r="AY807" s="1836"/>
      <c r="AZ807" s="1825"/>
      <c r="BA807" s="1825"/>
    </row>
    <row r="808" spans="2:53" s="188" customFormat="1" ht="24.95" customHeight="1">
      <c r="B808" s="281"/>
      <c r="C808" s="168"/>
      <c r="D808" s="168"/>
      <c r="E808" s="168"/>
      <c r="F808" s="227"/>
      <c r="G808" s="660"/>
      <c r="H808" s="253"/>
      <c r="I808" s="212"/>
      <c r="N808" s="212"/>
      <c r="O808" s="1557"/>
      <c r="P808" s="1558"/>
      <c r="Q808" s="661"/>
      <c r="R808" s="655"/>
      <c r="S808" s="655"/>
      <c r="T808" s="655"/>
      <c r="U808" s="655"/>
      <c r="V808" s="655"/>
      <c r="W808" s="655"/>
      <c r="Y808" s="1827"/>
      <c r="Z808" s="1828"/>
      <c r="AA808" s="1829"/>
      <c r="AB808" s="1829"/>
      <c r="AC808" s="1829"/>
      <c r="AD808" s="1564"/>
      <c r="AE808" s="701"/>
      <c r="AF808" s="684"/>
      <c r="AG808" s="684"/>
      <c r="AH808" s="710"/>
      <c r="AI808" s="710"/>
      <c r="AJ808" s="710"/>
      <c r="AK808" s="710"/>
      <c r="AL808" s="710"/>
      <c r="AM808" s="710"/>
      <c r="AN808" s="710"/>
      <c r="AO808" s="710"/>
      <c r="AP808" s="710"/>
      <c r="AQ808" s="710"/>
      <c r="AR808" s="710"/>
      <c r="AS808" s="710"/>
      <c r="AT808" s="710"/>
      <c r="AU808" s="1829"/>
      <c r="AV808" s="1835"/>
      <c r="AW808" s="1836"/>
      <c r="AX808" s="1836"/>
      <c r="AY808" s="1836"/>
      <c r="AZ808" s="1825"/>
      <c r="BA808" s="1825"/>
    </row>
    <row r="809" spans="2:53" s="188" customFormat="1" ht="24.95" customHeight="1">
      <c r="B809" s="281"/>
      <c r="C809" s="168"/>
      <c r="D809" s="168"/>
      <c r="E809" s="168"/>
      <c r="F809" s="227"/>
      <c r="G809" s="660"/>
      <c r="H809" s="253"/>
      <c r="I809" s="212"/>
      <c r="N809" s="212"/>
      <c r="O809" s="1557"/>
      <c r="P809" s="1558"/>
      <c r="Q809" s="661"/>
      <c r="R809" s="655"/>
      <c r="S809" s="655"/>
      <c r="T809" s="655"/>
      <c r="U809" s="655"/>
      <c r="V809" s="655"/>
      <c r="W809" s="655"/>
      <c r="Y809" s="1827"/>
      <c r="Z809" s="1828"/>
      <c r="AA809" s="1829"/>
      <c r="AB809" s="1829"/>
      <c r="AC809" s="1829"/>
      <c r="AD809" s="1564"/>
      <c r="AE809" s="701"/>
      <c r="AF809" s="684"/>
      <c r="AG809" s="684"/>
      <c r="AH809" s="710"/>
      <c r="AI809" s="710"/>
      <c r="AJ809" s="710"/>
      <c r="AK809" s="710"/>
      <c r="AL809" s="710"/>
      <c r="AM809" s="710"/>
      <c r="AN809" s="710"/>
      <c r="AO809" s="710"/>
      <c r="AP809" s="710"/>
      <c r="AQ809" s="710"/>
      <c r="AR809" s="710"/>
      <c r="AS809" s="710"/>
      <c r="AT809" s="710"/>
      <c r="AU809" s="1829"/>
      <c r="AV809" s="1835"/>
      <c r="AW809" s="1836"/>
      <c r="AX809" s="1836"/>
      <c r="AY809" s="1836"/>
      <c r="AZ809" s="1825"/>
      <c r="BA809" s="1825"/>
    </row>
    <row r="810" spans="2:53" s="188" customFormat="1" ht="24.95" customHeight="1">
      <c r="B810" s="281"/>
      <c r="C810" s="168"/>
      <c r="D810" s="168"/>
      <c r="E810" s="168"/>
      <c r="F810" s="227"/>
      <c r="G810" s="660"/>
      <c r="H810" s="253"/>
      <c r="I810" s="212"/>
      <c r="N810" s="212"/>
      <c r="O810" s="1557"/>
      <c r="P810" s="1558"/>
      <c r="Q810" s="661"/>
      <c r="R810" s="655"/>
      <c r="S810" s="655"/>
      <c r="T810" s="655"/>
      <c r="U810" s="655"/>
      <c r="V810" s="655"/>
      <c r="W810" s="655"/>
      <c r="Y810" s="1827"/>
      <c r="Z810" s="1828"/>
      <c r="AA810" s="1829"/>
      <c r="AB810" s="1829"/>
      <c r="AC810" s="1829"/>
      <c r="AD810" s="1564"/>
      <c r="AE810" s="701"/>
      <c r="AF810" s="684"/>
      <c r="AG810" s="684"/>
      <c r="AH810" s="710"/>
      <c r="AI810" s="710"/>
      <c r="AJ810" s="710"/>
      <c r="AK810" s="710"/>
      <c r="AL810" s="710"/>
      <c r="AM810" s="710"/>
      <c r="AN810" s="710"/>
      <c r="AO810" s="710"/>
      <c r="AP810" s="710"/>
      <c r="AQ810" s="710"/>
      <c r="AR810" s="710"/>
      <c r="AS810" s="710"/>
      <c r="AT810" s="710"/>
      <c r="AU810" s="1829"/>
      <c r="AV810" s="1835"/>
      <c r="AW810" s="1836"/>
      <c r="AX810" s="1836"/>
      <c r="AY810" s="1836"/>
      <c r="AZ810" s="1825"/>
      <c r="BA810" s="1825"/>
    </row>
    <row r="811" spans="2:53" s="188" customFormat="1" ht="24.95" customHeight="1">
      <c r="B811" s="281"/>
      <c r="C811" s="168"/>
      <c r="D811" s="168"/>
      <c r="E811" s="168"/>
      <c r="F811" s="227"/>
      <c r="G811" s="660"/>
      <c r="H811" s="253"/>
      <c r="I811" s="212"/>
      <c r="N811" s="212"/>
      <c r="O811" s="1557"/>
      <c r="P811" s="1558"/>
      <c r="Q811" s="661"/>
      <c r="R811" s="655"/>
      <c r="S811" s="655"/>
      <c r="T811" s="655"/>
      <c r="U811" s="655"/>
      <c r="V811" s="655"/>
      <c r="W811" s="655"/>
      <c r="Y811" s="1827"/>
      <c r="Z811" s="1828"/>
      <c r="AA811" s="1829"/>
      <c r="AB811" s="1829"/>
      <c r="AC811" s="1829"/>
      <c r="AD811" s="1564"/>
      <c r="AE811" s="701"/>
      <c r="AF811" s="684"/>
      <c r="AG811" s="684"/>
      <c r="AH811" s="710"/>
      <c r="AI811" s="710"/>
      <c r="AJ811" s="710"/>
      <c r="AK811" s="710"/>
      <c r="AL811" s="710"/>
      <c r="AM811" s="710"/>
      <c r="AN811" s="710"/>
      <c r="AO811" s="710"/>
      <c r="AP811" s="710"/>
      <c r="AQ811" s="710"/>
      <c r="AR811" s="710"/>
      <c r="AS811" s="710"/>
      <c r="AT811" s="710"/>
      <c r="AU811" s="1829"/>
      <c r="AV811" s="1835"/>
      <c r="AW811" s="1836"/>
      <c r="AX811" s="1836"/>
      <c r="AY811" s="1836"/>
      <c r="AZ811" s="1825"/>
      <c r="BA811" s="1825"/>
    </row>
    <row r="812" spans="2:53" s="188" customFormat="1" ht="24.95" customHeight="1">
      <c r="B812" s="281"/>
      <c r="C812" s="168"/>
      <c r="D812" s="168"/>
      <c r="E812" s="168"/>
      <c r="F812" s="227"/>
      <c r="G812" s="660"/>
      <c r="H812" s="253"/>
      <c r="I812" s="212"/>
      <c r="N812" s="212"/>
      <c r="O812" s="1557"/>
      <c r="P812" s="1558"/>
      <c r="Q812" s="661"/>
      <c r="R812" s="655"/>
      <c r="S812" s="655"/>
      <c r="T812" s="655"/>
      <c r="U812" s="655"/>
      <c r="V812" s="655"/>
      <c r="W812" s="655"/>
      <c r="Y812" s="1827"/>
      <c r="Z812" s="1828"/>
      <c r="AA812" s="1829"/>
      <c r="AB812" s="1829"/>
      <c r="AC812" s="1829"/>
      <c r="AD812" s="1564"/>
      <c r="AE812" s="701"/>
      <c r="AF812" s="684"/>
      <c r="AG812" s="684"/>
      <c r="AH812" s="710"/>
      <c r="AI812" s="710"/>
      <c r="AJ812" s="710"/>
      <c r="AK812" s="710"/>
      <c r="AL812" s="710"/>
      <c r="AM812" s="710"/>
      <c r="AN812" s="710"/>
      <c r="AO812" s="710"/>
      <c r="AP812" s="710"/>
      <c r="AQ812" s="710"/>
      <c r="AR812" s="710"/>
      <c r="AS812" s="710"/>
      <c r="AT812" s="710"/>
      <c r="AU812" s="1829"/>
      <c r="AV812" s="1835"/>
      <c r="AW812" s="1836"/>
      <c r="AX812" s="1836"/>
      <c r="AY812" s="1836"/>
      <c r="AZ812" s="1825"/>
      <c r="BA812" s="1825"/>
    </row>
    <row r="813" spans="2:53" s="188" customFormat="1" ht="24.95" customHeight="1">
      <c r="B813" s="281"/>
      <c r="C813" s="168"/>
      <c r="D813" s="168"/>
      <c r="E813" s="168"/>
      <c r="F813" s="227"/>
      <c r="G813" s="660"/>
      <c r="H813" s="253"/>
      <c r="I813" s="212"/>
      <c r="N813" s="212"/>
      <c r="O813" s="1557"/>
      <c r="P813" s="1558"/>
      <c r="Q813" s="661"/>
      <c r="R813" s="655"/>
      <c r="S813" s="655"/>
      <c r="T813" s="655"/>
      <c r="U813" s="655"/>
      <c r="V813" s="655"/>
      <c r="W813" s="655"/>
      <c r="Y813" s="1827"/>
      <c r="Z813" s="1828"/>
      <c r="AA813" s="1829"/>
      <c r="AB813" s="1829"/>
      <c r="AC813" s="1829"/>
      <c r="AD813" s="1564"/>
      <c r="AE813" s="701"/>
      <c r="AF813" s="684"/>
      <c r="AG813" s="684"/>
      <c r="AH813" s="710"/>
      <c r="AI813" s="710"/>
      <c r="AJ813" s="710"/>
      <c r="AK813" s="710"/>
      <c r="AL813" s="710"/>
      <c r="AM813" s="710"/>
      <c r="AN813" s="710"/>
      <c r="AO813" s="710"/>
      <c r="AP813" s="710"/>
      <c r="AQ813" s="710"/>
      <c r="AR813" s="710"/>
      <c r="AS813" s="710"/>
      <c r="AT813" s="710"/>
      <c r="AU813" s="1829"/>
      <c r="AV813" s="1835"/>
      <c r="AW813" s="1836"/>
      <c r="AX813" s="1836"/>
      <c r="AY813" s="1836"/>
      <c r="AZ813" s="1825"/>
      <c r="BA813" s="1825"/>
    </row>
  </sheetData>
  <autoFilter ref="C19:BA19" xr:uid="{B7E7599A-1902-4E0A-A46A-28615151ABD7}"/>
  <mergeCells count="1">
    <mergeCell ref="F2:H2"/>
  </mergeCells>
  <phoneticPr fontId="36" type="noConversion"/>
  <dataValidations count="5">
    <dataValidation type="list" allowBlank="1" showInputMessage="1" showErrorMessage="1" sqref="K20:K219" xr:uid="{00EC7F7F-4233-40EC-9B07-C349559D9F97}">
      <formula1>product_brand_option</formula1>
    </dataValidation>
    <dataValidation type="list" allowBlank="1" showInputMessage="1" showErrorMessage="1" sqref="J20:J219" xr:uid="{B9054209-5736-48CD-AA1D-481EE2C505BF}">
      <formula1>product_group_option</formula1>
    </dataValidation>
    <dataValidation type="list" allowBlank="1" showInputMessage="1" showErrorMessage="1" sqref="X20:X813" xr:uid="{A38FD09F-C7C3-44D6-B97C-CD5F83476E4F}">
      <formula1>uom_option</formula1>
    </dataValidation>
    <dataValidation type="list" allowBlank="1" showInputMessage="1" showErrorMessage="1" sqref="J2:Z2" xr:uid="{37BE5AA6-DC1A-4F44-8945-84EB0BA33E62}">
      <formula1>price_type_option</formula1>
    </dataValidation>
    <dataValidation type="list" allowBlank="1" showInputMessage="1" showErrorMessage="1" sqref="F2" xr:uid="{3AE1DD65-F2F3-4550-910E-C5B2A5B86E4D}">
      <formula1>branch_option</formula1>
    </dataValidation>
  </dataValidations>
  <printOptions horizontalCentered="1"/>
  <pageMargins left="0" right="0" top="0" bottom="0" header="0" footer="0"/>
  <pageSetup paperSize="9" scale="5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73539" r:id="rId4" name="Button 3">
              <controlPr defaultSize="0" autoFill="0" autoPict="0" macro="[0]!importProductPriceByUom">
                <anchor>
                  <from>
                    <xdr:col>5</xdr:col>
                    <xdr:colOff>914400</xdr:colOff>
                    <xdr:row>0</xdr:row>
                    <xdr:rowOff>95250</xdr:rowOff>
                  </from>
                  <to>
                    <xdr:col>6</xdr:col>
                    <xdr:colOff>1209675</xdr:colOff>
                    <xdr:row>0</xdr:row>
                    <xdr:rowOff>571500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34454C-DD7F-40E7-AC6C-9609B0728D83}">
  <sheetPr codeName="Sheet17"/>
  <dimension ref="A1:K31"/>
  <sheetViews>
    <sheetView workbookViewId="0">
      <selection activeCell="O34" sqref="O34"/>
    </sheetView>
  </sheetViews>
  <sheetFormatPr defaultRowHeight="15"/>
  <cols>
    <col min="1" max="1" width="26.5703125" bestFit="1" customWidth="1"/>
    <col min="2" max="2" width="25" customWidth="1"/>
    <col min="8" max="8" width="16.85546875" customWidth="1"/>
    <col min="9" max="9" width="13.5703125" customWidth="1"/>
    <col min="10" max="10" width="27" customWidth="1"/>
    <col min="11" max="11" width="27.28515625" customWidth="1"/>
  </cols>
  <sheetData>
    <row r="1" spans="1:11">
      <c r="A1" t="s">
        <v>1928</v>
      </c>
      <c r="B1" t="s">
        <v>4718</v>
      </c>
      <c r="C1" t="s">
        <v>4719</v>
      </c>
      <c r="D1" t="s">
        <v>4720</v>
      </c>
      <c r="E1" t="s">
        <v>4721</v>
      </c>
      <c r="F1" t="s">
        <v>4722</v>
      </c>
      <c r="G1" t="s">
        <v>4723</v>
      </c>
      <c r="H1" t="s">
        <v>4724</v>
      </c>
      <c r="I1" t="s">
        <v>9</v>
      </c>
      <c r="J1" t="s">
        <v>4796</v>
      </c>
      <c r="K1" t="s">
        <v>1557</v>
      </c>
    </row>
    <row r="2" spans="1:11">
      <c r="A2" t="s">
        <v>4725</v>
      </c>
      <c r="B2" t="s">
        <v>4726</v>
      </c>
      <c r="C2">
        <v>1999</v>
      </c>
      <c r="D2" t="s">
        <v>4727</v>
      </c>
      <c r="E2">
        <v>8.6999999999999993</v>
      </c>
      <c r="F2">
        <v>136</v>
      </c>
      <c r="G2">
        <v>63000000</v>
      </c>
      <c r="H2">
        <v>463517383</v>
      </c>
      <c r="I2">
        <v>1</v>
      </c>
      <c r="J2" t="str">
        <f>TEXT(I2,"000")&amp;"."&amp;A2</f>
        <v>001.The Matrix</v>
      </c>
      <c r="K2" t="str">
        <f>TEXT(I2,"000")&amp;"."&amp;B2</f>
        <v>001.Lana Wachowski</v>
      </c>
    </row>
    <row r="3" spans="1:11">
      <c r="A3" t="s">
        <v>4728</v>
      </c>
      <c r="B3" t="s">
        <v>4729</v>
      </c>
      <c r="C3">
        <v>2010</v>
      </c>
      <c r="D3" t="s">
        <v>4730</v>
      </c>
      <c r="E3">
        <v>8.8000000000000007</v>
      </c>
      <c r="F3">
        <v>148</v>
      </c>
      <c r="G3">
        <v>160000000</v>
      </c>
      <c r="H3">
        <v>836836967</v>
      </c>
      <c r="I3">
        <v>2</v>
      </c>
      <c r="J3" t="str">
        <f t="shared" ref="J3:J31" si="0">TEXT(I3,"000")&amp;"."&amp;A3</f>
        <v>002.Inception</v>
      </c>
      <c r="K3" t="str">
        <f t="shared" ref="K3:K31" si="1">TEXT(I3,"000")&amp;"."&amp;B3</f>
        <v>002.Christopher Nolan</v>
      </c>
    </row>
    <row r="4" spans="1:11">
      <c r="A4" t="s">
        <v>4731</v>
      </c>
      <c r="B4" t="s">
        <v>4732</v>
      </c>
      <c r="C4">
        <v>1972</v>
      </c>
      <c r="D4" t="s">
        <v>4733</v>
      </c>
      <c r="E4">
        <v>9.1999999999999993</v>
      </c>
      <c r="F4">
        <v>175</v>
      </c>
      <c r="G4">
        <v>6000000</v>
      </c>
      <c r="H4">
        <v>246120986</v>
      </c>
      <c r="I4">
        <v>3</v>
      </c>
      <c r="J4" t="str">
        <f t="shared" si="0"/>
        <v>003.The Godfather</v>
      </c>
      <c r="K4" t="str">
        <f t="shared" si="1"/>
        <v>003.Francis Ford Coppola</v>
      </c>
    </row>
    <row r="5" spans="1:11">
      <c r="A5" t="s">
        <v>4734</v>
      </c>
      <c r="B5" t="s">
        <v>4729</v>
      </c>
      <c r="C5">
        <v>2014</v>
      </c>
      <c r="D5" t="s">
        <v>4735</v>
      </c>
      <c r="E5">
        <v>8.6</v>
      </c>
      <c r="F5">
        <v>169</v>
      </c>
      <c r="G5">
        <v>165000000</v>
      </c>
      <c r="H5">
        <v>701729206</v>
      </c>
      <c r="I5">
        <v>4</v>
      </c>
      <c r="J5" t="str">
        <f t="shared" si="0"/>
        <v>004.Interstellar</v>
      </c>
      <c r="K5" t="str">
        <f t="shared" si="1"/>
        <v>004.Christopher Nolan</v>
      </c>
    </row>
    <row r="6" spans="1:11">
      <c r="A6" t="s">
        <v>4736</v>
      </c>
      <c r="B6" t="s">
        <v>4737</v>
      </c>
      <c r="C6">
        <v>2019</v>
      </c>
      <c r="D6" t="s">
        <v>4730</v>
      </c>
      <c r="E6">
        <v>8.4</v>
      </c>
      <c r="F6">
        <v>181</v>
      </c>
      <c r="G6">
        <v>356000000</v>
      </c>
      <c r="H6">
        <v>2798000000</v>
      </c>
      <c r="I6">
        <v>5</v>
      </c>
      <c r="J6" t="str">
        <f t="shared" si="0"/>
        <v>005.Avengers: Endgame</v>
      </c>
      <c r="K6" t="str">
        <f t="shared" si="1"/>
        <v>005.Anthony &amp; Joe Russo</v>
      </c>
    </row>
    <row r="7" spans="1:11">
      <c r="A7" t="s">
        <v>4738</v>
      </c>
      <c r="B7" t="s">
        <v>4739</v>
      </c>
      <c r="C7">
        <v>1997</v>
      </c>
      <c r="D7" t="s">
        <v>4740</v>
      </c>
      <c r="E7">
        <v>7.9</v>
      </c>
      <c r="F7">
        <v>195</v>
      </c>
      <c r="G7">
        <v>200000000</v>
      </c>
      <c r="H7">
        <v>2202000000</v>
      </c>
      <c r="I7">
        <v>6</v>
      </c>
      <c r="J7" t="str">
        <f t="shared" si="0"/>
        <v>006.Titanic</v>
      </c>
      <c r="K7" t="str">
        <f t="shared" si="1"/>
        <v>006.James Cameron</v>
      </c>
    </row>
    <row r="8" spans="1:11">
      <c r="A8" t="s">
        <v>4741</v>
      </c>
      <c r="B8" t="s">
        <v>4742</v>
      </c>
      <c r="C8">
        <v>2019</v>
      </c>
      <c r="D8" t="s">
        <v>4733</v>
      </c>
      <c r="E8">
        <v>8.4</v>
      </c>
      <c r="F8">
        <v>122</v>
      </c>
      <c r="G8">
        <v>55000000</v>
      </c>
      <c r="H8">
        <v>1074000000</v>
      </c>
      <c r="I8">
        <v>7</v>
      </c>
      <c r="J8" t="str">
        <f t="shared" si="0"/>
        <v>007.Joker</v>
      </c>
      <c r="K8" t="str">
        <f t="shared" si="1"/>
        <v>007.Todd Phillips</v>
      </c>
    </row>
    <row r="9" spans="1:11">
      <c r="A9" t="s">
        <v>4743</v>
      </c>
      <c r="B9" t="s">
        <v>4744</v>
      </c>
      <c r="C9">
        <v>1994</v>
      </c>
      <c r="D9" t="s">
        <v>4733</v>
      </c>
      <c r="E9">
        <v>8.9</v>
      </c>
      <c r="F9">
        <v>154</v>
      </c>
      <c r="G9">
        <v>8000000</v>
      </c>
      <c r="H9">
        <v>213928762</v>
      </c>
      <c r="I9">
        <v>8</v>
      </c>
      <c r="J9" t="str">
        <f t="shared" si="0"/>
        <v>008.Pulp Fiction</v>
      </c>
      <c r="K9" t="str">
        <f t="shared" si="1"/>
        <v>008.Quentin Tarantino</v>
      </c>
    </row>
    <row r="10" spans="1:11">
      <c r="A10" t="s">
        <v>4745</v>
      </c>
      <c r="B10" t="s">
        <v>4729</v>
      </c>
      <c r="C10">
        <v>2008</v>
      </c>
      <c r="D10" t="s">
        <v>4746</v>
      </c>
      <c r="E10">
        <v>9</v>
      </c>
      <c r="F10">
        <v>152</v>
      </c>
      <c r="G10">
        <v>185000000</v>
      </c>
      <c r="H10">
        <v>1005000000</v>
      </c>
      <c r="I10">
        <v>9</v>
      </c>
      <c r="J10" t="str">
        <f t="shared" si="0"/>
        <v>009.The Dark Knight</v>
      </c>
      <c r="K10" t="str">
        <f t="shared" si="1"/>
        <v>009.Christopher Nolan</v>
      </c>
    </row>
    <row r="11" spans="1:11">
      <c r="A11" t="s">
        <v>4747</v>
      </c>
      <c r="B11" t="s">
        <v>4748</v>
      </c>
      <c r="C11">
        <v>2019</v>
      </c>
      <c r="D11" t="s">
        <v>4749</v>
      </c>
      <c r="E11">
        <v>8.6</v>
      </c>
      <c r="F11">
        <v>132</v>
      </c>
      <c r="G11">
        <v>11400000</v>
      </c>
      <c r="H11">
        <v>263000000</v>
      </c>
      <c r="I11">
        <v>10</v>
      </c>
      <c r="J11" t="str">
        <f t="shared" si="0"/>
        <v>010.Parasite</v>
      </c>
      <c r="K11" t="str">
        <f t="shared" si="1"/>
        <v>010.Bong Joon-ho</v>
      </c>
    </row>
    <row r="12" spans="1:11">
      <c r="A12" t="s">
        <v>4750</v>
      </c>
      <c r="B12" t="s">
        <v>4751</v>
      </c>
      <c r="C12">
        <v>1994</v>
      </c>
      <c r="D12" t="s">
        <v>4752</v>
      </c>
      <c r="E12">
        <v>8.8000000000000007</v>
      </c>
      <c r="F12">
        <v>142</v>
      </c>
      <c r="G12">
        <v>55000000</v>
      </c>
      <c r="H12">
        <v>678200000</v>
      </c>
      <c r="I12">
        <v>11</v>
      </c>
      <c r="J12" t="str">
        <f t="shared" si="0"/>
        <v>011.Forrest Gump</v>
      </c>
      <c r="K12" t="str">
        <f t="shared" si="1"/>
        <v>011.Robert Zemeckis</v>
      </c>
    </row>
    <row r="13" spans="1:11">
      <c r="A13" t="s">
        <v>4753</v>
      </c>
      <c r="B13" t="s">
        <v>4754</v>
      </c>
      <c r="C13">
        <v>1994</v>
      </c>
      <c r="D13" t="s">
        <v>4755</v>
      </c>
      <c r="E13">
        <v>8.5</v>
      </c>
      <c r="F13">
        <v>88</v>
      </c>
      <c r="G13">
        <v>45000000</v>
      </c>
      <c r="H13">
        <v>968500000</v>
      </c>
      <c r="I13">
        <v>12</v>
      </c>
      <c r="J13" t="str">
        <f t="shared" si="0"/>
        <v>012.The Lion King</v>
      </c>
      <c r="K13" t="str">
        <f t="shared" si="1"/>
        <v>012.Roger Allers</v>
      </c>
    </row>
    <row r="14" spans="1:11">
      <c r="A14" t="s">
        <v>4756</v>
      </c>
      <c r="B14" t="s">
        <v>4757</v>
      </c>
      <c r="C14">
        <v>2000</v>
      </c>
      <c r="D14" t="s">
        <v>4758</v>
      </c>
      <c r="E14">
        <v>8.5</v>
      </c>
      <c r="F14">
        <v>155</v>
      </c>
      <c r="G14">
        <v>103000000</v>
      </c>
      <c r="H14">
        <v>460500000</v>
      </c>
      <c r="I14">
        <v>13</v>
      </c>
      <c r="J14" t="str">
        <f t="shared" si="0"/>
        <v>013.Gladiator</v>
      </c>
      <c r="K14" t="str">
        <f t="shared" si="1"/>
        <v>013.Ridley Scott</v>
      </c>
    </row>
    <row r="15" spans="1:11">
      <c r="A15" t="s">
        <v>4759</v>
      </c>
      <c r="B15" t="s">
        <v>4760</v>
      </c>
      <c r="C15">
        <v>1993</v>
      </c>
      <c r="D15" t="s">
        <v>4761</v>
      </c>
      <c r="E15">
        <v>9</v>
      </c>
      <c r="F15">
        <v>195</v>
      </c>
      <c r="G15">
        <v>22000000</v>
      </c>
      <c r="H15">
        <v>322000000</v>
      </c>
      <c r="I15">
        <v>14</v>
      </c>
      <c r="J15" t="str">
        <f t="shared" si="0"/>
        <v>014.Schindler's List</v>
      </c>
      <c r="K15" t="str">
        <f t="shared" si="1"/>
        <v>014.Steven Spielberg</v>
      </c>
    </row>
    <row r="16" spans="1:11">
      <c r="A16" t="s">
        <v>4762</v>
      </c>
      <c r="B16" t="s">
        <v>4763</v>
      </c>
      <c r="C16">
        <v>1999</v>
      </c>
      <c r="D16" t="s">
        <v>4752</v>
      </c>
      <c r="E16">
        <v>8.8000000000000007</v>
      </c>
      <c r="F16">
        <v>139</v>
      </c>
      <c r="G16">
        <v>63000000</v>
      </c>
      <c r="H16">
        <v>101200000</v>
      </c>
      <c r="I16">
        <v>15</v>
      </c>
      <c r="J16" t="str">
        <f t="shared" si="0"/>
        <v>015.Fight Club</v>
      </c>
      <c r="K16" t="str">
        <f t="shared" si="1"/>
        <v>015.David Fincher</v>
      </c>
    </row>
    <row r="17" spans="1:11">
      <c r="A17" t="s">
        <v>4764</v>
      </c>
      <c r="B17" t="s">
        <v>4765</v>
      </c>
      <c r="C17">
        <v>2012</v>
      </c>
      <c r="D17" t="s">
        <v>4730</v>
      </c>
      <c r="E17">
        <v>8</v>
      </c>
      <c r="F17">
        <v>143</v>
      </c>
      <c r="G17">
        <v>220000000</v>
      </c>
      <c r="H17">
        <v>1518812988</v>
      </c>
      <c r="I17">
        <v>16</v>
      </c>
      <c r="J17" t="str">
        <f t="shared" si="0"/>
        <v>016.The Avengers</v>
      </c>
      <c r="K17" t="str">
        <f t="shared" si="1"/>
        <v>016.Joss Whedon</v>
      </c>
    </row>
    <row r="18" spans="1:11">
      <c r="A18" t="s">
        <v>4766</v>
      </c>
      <c r="B18" t="s">
        <v>4767</v>
      </c>
      <c r="C18">
        <v>1977</v>
      </c>
      <c r="D18" t="s">
        <v>4768</v>
      </c>
      <c r="E18">
        <v>8.6</v>
      </c>
      <c r="F18">
        <v>121</v>
      </c>
      <c r="G18">
        <v>11000000</v>
      </c>
      <c r="H18">
        <v>775398007</v>
      </c>
      <c r="I18">
        <v>17</v>
      </c>
      <c r="J18" t="str">
        <f t="shared" si="0"/>
        <v>017.Star Wars</v>
      </c>
      <c r="K18" t="str">
        <f t="shared" si="1"/>
        <v>017.George Lucas</v>
      </c>
    </row>
    <row r="19" spans="1:11">
      <c r="A19" t="s">
        <v>4769</v>
      </c>
      <c r="B19" t="s">
        <v>4760</v>
      </c>
      <c r="C19">
        <v>1993</v>
      </c>
      <c r="D19" t="s">
        <v>4770</v>
      </c>
      <c r="E19">
        <v>8.1999999999999993</v>
      </c>
      <c r="F19">
        <v>127</v>
      </c>
      <c r="G19">
        <v>63000000</v>
      </c>
      <c r="H19">
        <v>1046000000</v>
      </c>
      <c r="I19">
        <v>18</v>
      </c>
      <c r="J19" t="str">
        <f t="shared" si="0"/>
        <v>018.Jurassic Park</v>
      </c>
      <c r="K19" t="str">
        <f t="shared" si="1"/>
        <v>018.Steven Spielberg</v>
      </c>
    </row>
    <row r="20" spans="1:11">
      <c r="A20" t="s">
        <v>4771</v>
      </c>
      <c r="B20" t="s">
        <v>4772</v>
      </c>
      <c r="C20">
        <v>2001</v>
      </c>
      <c r="D20" t="s">
        <v>4773</v>
      </c>
      <c r="E20">
        <v>8.8000000000000007</v>
      </c>
      <c r="F20">
        <v>178</v>
      </c>
      <c r="G20">
        <v>93000000</v>
      </c>
      <c r="H20">
        <v>871500000</v>
      </c>
      <c r="I20">
        <v>19</v>
      </c>
      <c r="J20" t="str">
        <f t="shared" si="0"/>
        <v>019.The Lord of the Rings</v>
      </c>
      <c r="K20" t="str">
        <f t="shared" si="1"/>
        <v>019.Peter Jackson</v>
      </c>
    </row>
    <row r="21" spans="1:11">
      <c r="A21" t="s">
        <v>4774</v>
      </c>
      <c r="B21" t="s">
        <v>4775</v>
      </c>
      <c r="C21">
        <v>1991</v>
      </c>
      <c r="D21" t="s">
        <v>4776</v>
      </c>
      <c r="E21">
        <v>8.6</v>
      </c>
      <c r="F21">
        <v>118</v>
      </c>
      <c r="G21">
        <v>19000000</v>
      </c>
      <c r="H21">
        <v>272742922</v>
      </c>
      <c r="I21">
        <v>20</v>
      </c>
      <c r="J21" t="str">
        <f t="shared" si="0"/>
        <v>020.The Silence of the Lambs</v>
      </c>
      <c r="K21" t="str">
        <f t="shared" si="1"/>
        <v>020.Jonathan Demme</v>
      </c>
    </row>
    <row r="22" spans="1:11">
      <c r="A22" t="s">
        <v>4777</v>
      </c>
      <c r="B22" t="s">
        <v>4739</v>
      </c>
      <c r="C22">
        <v>2009</v>
      </c>
      <c r="D22" t="s">
        <v>4768</v>
      </c>
      <c r="E22">
        <v>7.8</v>
      </c>
      <c r="F22">
        <v>162</v>
      </c>
      <c r="G22">
        <v>237000000</v>
      </c>
      <c r="H22">
        <v>2923706026</v>
      </c>
      <c r="I22">
        <v>21</v>
      </c>
      <c r="J22" t="str">
        <f t="shared" si="0"/>
        <v>021.Avatar</v>
      </c>
      <c r="K22" t="str">
        <f t="shared" si="1"/>
        <v>021.James Cameron</v>
      </c>
    </row>
    <row r="23" spans="1:11">
      <c r="A23" t="s">
        <v>4778</v>
      </c>
      <c r="B23" t="s">
        <v>4763</v>
      </c>
      <c r="C23">
        <v>2010</v>
      </c>
      <c r="D23" t="s">
        <v>4761</v>
      </c>
      <c r="E23">
        <v>7.7</v>
      </c>
      <c r="F23">
        <v>120</v>
      </c>
      <c r="G23">
        <v>40000000</v>
      </c>
      <c r="H23">
        <v>224920315</v>
      </c>
      <c r="I23">
        <v>22</v>
      </c>
      <c r="J23" t="str">
        <f t="shared" si="0"/>
        <v>022.The Social Network</v>
      </c>
      <c r="K23" t="str">
        <f t="shared" si="1"/>
        <v>022.David Fincher</v>
      </c>
    </row>
    <row r="24" spans="1:11">
      <c r="A24" t="s">
        <v>4779</v>
      </c>
      <c r="B24" t="s">
        <v>4760</v>
      </c>
      <c r="C24">
        <v>1998</v>
      </c>
      <c r="D24" t="s">
        <v>4780</v>
      </c>
      <c r="E24">
        <v>8.6</v>
      </c>
      <c r="F24">
        <v>169</v>
      </c>
      <c r="G24">
        <v>70000000</v>
      </c>
      <c r="H24">
        <v>481840909</v>
      </c>
      <c r="I24">
        <v>23</v>
      </c>
      <c r="J24" t="str">
        <f t="shared" si="0"/>
        <v>023.Saving Private Ryan</v>
      </c>
      <c r="K24" t="str">
        <f t="shared" si="1"/>
        <v>023.Steven Spielberg</v>
      </c>
    </row>
    <row r="25" spans="1:11">
      <c r="A25" t="s">
        <v>4781</v>
      </c>
      <c r="B25" t="s">
        <v>4782</v>
      </c>
      <c r="C25">
        <v>1995</v>
      </c>
      <c r="D25" t="s">
        <v>4780</v>
      </c>
      <c r="E25">
        <v>8.3000000000000007</v>
      </c>
      <c r="F25">
        <v>178</v>
      </c>
      <c r="G25">
        <v>72000000</v>
      </c>
      <c r="H25">
        <v>213216216</v>
      </c>
      <c r="I25">
        <v>24</v>
      </c>
      <c r="J25" t="str">
        <f t="shared" si="0"/>
        <v>024.Braveheart</v>
      </c>
      <c r="K25" t="str">
        <f t="shared" si="1"/>
        <v>024.Mel Gibson</v>
      </c>
    </row>
    <row r="26" spans="1:11">
      <c r="A26" t="s">
        <v>4783</v>
      </c>
      <c r="B26" t="s">
        <v>4784</v>
      </c>
      <c r="C26">
        <v>2016</v>
      </c>
      <c r="D26" t="s">
        <v>4785</v>
      </c>
      <c r="E26">
        <v>8</v>
      </c>
      <c r="F26">
        <v>128</v>
      </c>
      <c r="G26">
        <v>30000000</v>
      </c>
      <c r="H26">
        <v>448974494</v>
      </c>
      <c r="I26">
        <v>25</v>
      </c>
      <c r="J26" t="str">
        <f t="shared" si="0"/>
        <v>025.La La Land</v>
      </c>
      <c r="K26" t="str">
        <f t="shared" si="1"/>
        <v>025.Damien Chazelle</v>
      </c>
    </row>
    <row r="27" spans="1:11">
      <c r="A27" t="s">
        <v>4786</v>
      </c>
      <c r="B27" t="s">
        <v>4787</v>
      </c>
      <c r="C27">
        <v>2018</v>
      </c>
      <c r="D27" t="s">
        <v>4758</v>
      </c>
      <c r="E27">
        <v>7.3</v>
      </c>
      <c r="F27">
        <v>134</v>
      </c>
      <c r="G27">
        <v>200000000</v>
      </c>
      <c r="H27">
        <v>1347597973</v>
      </c>
      <c r="I27">
        <v>26</v>
      </c>
      <c r="J27" t="str">
        <f t="shared" si="0"/>
        <v>026.Black Panther</v>
      </c>
      <c r="K27" t="str">
        <f t="shared" si="1"/>
        <v>026.Ryan Coogler</v>
      </c>
    </row>
    <row r="28" spans="1:11">
      <c r="A28" t="s">
        <v>4788</v>
      </c>
      <c r="B28" t="s">
        <v>4789</v>
      </c>
      <c r="C28">
        <v>1994</v>
      </c>
      <c r="D28" t="s">
        <v>4752</v>
      </c>
      <c r="E28">
        <v>9.3000000000000007</v>
      </c>
      <c r="F28">
        <v>142</v>
      </c>
      <c r="G28">
        <v>25000000</v>
      </c>
      <c r="H28">
        <v>58300000</v>
      </c>
      <c r="I28">
        <v>27</v>
      </c>
      <c r="J28" t="str">
        <f t="shared" si="0"/>
        <v>027.The Shawshank Redemption</v>
      </c>
      <c r="K28" t="str">
        <f t="shared" si="1"/>
        <v>027.Frank Darabont</v>
      </c>
    </row>
    <row r="29" spans="1:11">
      <c r="A29" t="s">
        <v>4790</v>
      </c>
      <c r="B29" t="s">
        <v>4791</v>
      </c>
      <c r="C29">
        <v>1990</v>
      </c>
      <c r="D29" t="s">
        <v>4733</v>
      </c>
      <c r="E29">
        <v>8.6999999999999993</v>
      </c>
      <c r="F29">
        <v>146</v>
      </c>
      <c r="G29">
        <v>25000000</v>
      </c>
      <c r="H29">
        <v>47100000</v>
      </c>
      <c r="I29">
        <v>28</v>
      </c>
      <c r="J29" t="str">
        <f t="shared" si="0"/>
        <v>028.Goodfellas</v>
      </c>
      <c r="K29" t="str">
        <f t="shared" si="1"/>
        <v>028.Martin Scorsese</v>
      </c>
    </row>
    <row r="30" spans="1:11">
      <c r="A30" t="s">
        <v>4792</v>
      </c>
      <c r="B30" t="s">
        <v>4791</v>
      </c>
      <c r="C30">
        <v>2006</v>
      </c>
      <c r="D30" t="s">
        <v>4793</v>
      </c>
      <c r="E30">
        <v>8.5</v>
      </c>
      <c r="F30">
        <v>151</v>
      </c>
      <c r="G30">
        <v>90000000</v>
      </c>
      <c r="H30">
        <v>291480452</v>
      </c>
      <c r="I30">
        <v>29</v>
      </c>
      <c r="J30" t="str">
        <f t="shared" si="0"/>
        <v>029.The Departed</v>
      </c>
      <c r="K30" t="str">
        <f t="shared" si="1"/>
        <v>029.Martin Scorsese</v>
      </c>
    </row>
    <row r="31" spans="1:11">
      <c r="A31" t="s">
        <v>4794</v>
      </c>
      <c r="B31" t="s">
        <v>4729</v>
      </c>
      <c r="C31">
        <v>2006</v>
      </c>
      <c r="D31" t="s">
        <v>4795</v>
      </c>
      <c r="E31">
        <v>8.5</v>
      </c>
      <c r="F31">
        <v>130</v>
      </c>
      <c r="G31">
        <v>40000000</v>
      </c>
      <c r="H31">
        <v>109676311</v>
      </c>
      <c r="I31">
        <v>30</v>
      </c>
      <c r="J31" t="str">
        <f t="shared" si="0"/>
        <v>030.The Prestige</v>
      </c>
      <c r="K31" t="str">
        <f t="shared" si="1"/>
        <v>030.Christopher Nolan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70849" r:id="rId3" name="Button 1">
              <controlPr defaultSize="0" autoFill="0" autoPict="0" macro="[0]!ListBoxDemo">
                <anchor>
                  <from>
                    <xdr:col>13</xdr:col>
                    <xdr:colOff>323850</xdr:colOff>
                    <xdr:row>1</xdr:row>
                    <xdr:rowOff>57150</xdr:rowOff>
                  </from>
                  <to>
                    <xdr:col>17</xdr:col>
                    <xdr:colOff>390525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15F-ED8C-4510-BE5D-352DF49B7C97}">
  <sheetPr codeName="Sheet19"/>
  <dimension ref="A1:L2"/>
  <sheetViews>
    <sheetView workbookViewId="0">
      <selection activeCell="L2" sqref="L2"/>
    </sheetView>
  </sheetViews>
  <sheetFormatPr defaultRowHeight="15"/>
  <cols>
    <col min="1" max="1" width="21.85546875" customWidth="1"/>
    <col min="2" max="2" width="26.85546875" customWidth="1"/>
    <col min="3" max="3" width="16.140625" bestFit="1" customWidth="1"/>
    <col min="4" max="4" width="5.28515625" bestFit="1" customWidth="1"/>
    <col min="5" max="5" width="18.28515625" bestFit="1" customWidth="1"/>
    <col min="6" max="6" width="5.7109375" bestFit="1" customWidth="1"/>
    <col min="7" max="7" width="8.7109375" bestFit="1" customWidth="1"/>
    <col min="8" max="8" width="10" bestFit="1" customWidth="1"/>
    <col min="9" max="9" width="11" bestFit="1" customWidth="1"/>
  </cols>
  <sheetData>
    <row r="1" spans="1:12">
      <c r="A1" t="s">
        <v>4797</v>
      </c>
      <c r="B1" t="s">
        <v>4799</v>
      </c>
    </row>
    <row r="2" spans="1:12" ht="16.5">
      <c r="L2" s="1861" t="s">
        <v>4801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71873" r:id="rId3" name="Button 1">
              <controlPr defaultSize="0" autoFill="0" autoPict="0" macro="[0]!ListBoxDemo">
                <anchor>
                  <from>
                    <xdr:col>2</xdr:col>
                    <xdr:colOff>581025</xdr:colOff>
                    <xdr:row>1</xdr:row>
                    <xdr:rowOff>161925</xdr:rowOff>
                  </from>
                  <to>
                    <xdr:col>6</xdr:col>
                    <xdr:colOff>57150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customUI/customUI14.xml><?xml version="1.0" encoding="utf-8"?>
<customUI xmlns="http://schemas.microsoft.com/office/2009/07/customui">
  <!-- Set startFromScratch to true to hide the Ribbon and QAT-->
  <ribbon startFromScratch="true">
    <!-- startFromScratch="true" hides all of the Ribbon tabs and it hide the QAT.   -->
    <!-- It not hides the Contextual tabs on the ribbon, for example the             -->
    <!-- Format tab that you see when you select a picture on your worksheet.        -->
    <!-- So if you want to hide them you must use the RibbonX below:                 -->
    <contextualTabs>
      <tabSet idMso="TabSetSmartArtTools" visible="true"/>
      <tabSet idMso="TabSetChartTools" visible="true"/>
      <tabSet idMso="TabSetDrawingTools" visible="true"/>
      <tabSet idMso="TabSetPictureTools" visible="true"/>
      <tabSet idMso="TabSetPivotTableTools" visible="true"/>
      <tabSet idMso="TabSetHeaderAndFooterTools" visible="true"/>
      <tabSet idMso="TabSetTableToolsExcel" visible="true"/>
      <tabSet idMso="TabSetPivotChartTools" visible="true"/>
      <tabSet idMso="TabSetInkTools" visible="true"/>
    </contextualTabs>
    <!-- Toolbar Tab -->
    <tabs>
</tabs>
  </ribbon>
  <!--hide all buttons and tabs in Backstage (File)-->
  <backstage>
    </backstage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Props1.xml><?xml version="1.0" encoding="utf-8"?>
<ds:datastoreItem xmlns:ds="http://schemas.openxmlformats.org/officeDocument/2006/customXml" ds:itemID="{ADC146D0-807C-44AA-9A06-51FA38B5E60F}">
  <ds:schemaRefs/>
</ds:datastoreItem>
</file>

<file path=customXml/itemProps2.xml><?xml version="1.0" encoding="utf-8"?>
<ds:datastoreItem xmlns:ds="http://schemas.openxmlformats.org/officeDocument/2006/customXml" ds:itemID="{B5A1DD9B-0F58-4925-8C5B-0E95DAFA040E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E27BC1BA-2931-412A-BFCF-F6C2AD0824D0}">
  <ds:schemaRefs/>
</ds:datastoreItem>
</file>

<file path=customXml/itemProps4.xml><?xml version="1.0" encoding="utf-8"?>
<ds:datastoreItem xmlns:ds="http://schemas.openxmlformats.org/officeDocument/2006/customXml" ds:itemID="{267CAF88-E639-45A1-8BA9-EC131FA570FE}">
  <ds:schemaRefs/>
</ds:datastoreItem>
</file>

<file path=customXml/itemProps5.xml><?xml version="1.0" encoding="utf-8"?>
<ds:datastoreItem xmlns:ds="http://schemas.openxmlformats.org/officeDocument/2006/customXml" ds:itemID="{63AAF10D-7B32-4C1D-A7E1-FA34FE2DB930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52</vt:i4>
      </vt:variant>
      <vt:variant>
        <vt:lpstr>Named Ranges</vt:lpstr>
      </vt:variant>
      <vt:variant>
        <vt:i4>585</vt:i4>
      </vt:variant>
    </vt:vector>
  </HeadingPairs>
  <TitlesOfParts>
    <vt:vector size="637" baseType="lpstr">
      <vt:lpstr>List of Invoice</vt:lpstr>
      <vt:lpstr>Home</vt:lpstr>
      <vt:lpstr>FilesSetting</vt:lpstr>
      <vt:lpstr>ChartAccountType</vt:lpstr>
      <vt:lpstr>ChartAccountGroup</vt:lpstr>
      <vt:lpstr>ChartAccount</vt:lpstr>
      <vt:lpstr>COA</vt:lpstr>
      <vt:lpstr>ChartAccountDefault</vt:lpstr>
      <vt:lpstr>ModuleGroup</vt:lpstr>
      <vt:lpstr>ModuleType</vt:lpstr>
      <vt:lpstr>Lang</vt:lpstr>
      <vt:lpstr>ReportInventoryActivitySummary</vt:lpstr>
      <vt:lpstr>InventoryAdj</vt:lpstr>
      <vt:lpstr>PrintInvAdjustment</vt:lpstr>
      <vt:lpstr>PrintInvoiceA5</vt:lpstr>
      <vt:lpstr>PrintQuotation</vt:lpstr>
      <vt:lpstr>PrintInvoice</vt:lpstr>
      <vt:lpstr>AddQuotation</vt:lpstr>
      <vt:lpstr>PrintPurchaseBill</vt:lpstr>
      <vt:lpstr>AddPurchaseBill</vt:lpstr>
      <vt:lpstr>AddInvoice</vt:lpstr>
      <vt:lpstr>AddReceivePayment</vt:lpstr>
      <vt:lpstr>OtherExpense</vt:lpstr>
      <vt:lpstr>OtherIncome</vt:lpstr>
      <vt:lpstr>ShipTo</vt:lpstr>
      <vt:lpstr>Cgroup</vt:lpstr>
      <vt:lpstr>CustomerList</vt:lpstr>
      <vt:lpstr>VendorList</vt:lpstr>
      <vt:lpstr>VendorContact</vt:lpstr>
      <vt:lpstr>Seller</vt:lpstr>
      <vt:lpstr>ReportFinancialDetail</vt:lpstr>
      <vt:lpstr>CountStock</vt:lpstr>
      <vt:lpstr>Setting</vt:lpstr>
      <vt:lpstr>LocationGroup</vt:lpstr>
      <vt:lpstr>Location</vt:lpstr>
      <vt:lpstr>Currency</vt:lpstr>
      <vt:lpstr>UoM</vt:lpstr>
      <vt:lpstr>UomConversion</vt:lpstr>
      <vt:lpstr>Branch</vt:lpstr>
      <vt:lpstr>BankInfo</vt:lpstr>
      <vt:lpstr>(1 )</vt:lpstr>
      <vt:lpstr>( 3)</vt:lpstr>
      <vt:lpstr>NBC_Exchange_Rate</vt:lpstr>
      <vt:lpstr>ProductCostHistory</vt:lpstr>
      <vt:lpstr>ProductPriceHistory</vt:lpstr>
      <vt:lpstr>ProductPrice</vt:lpstr>
      <vt:lpstr>Brand</vt:lpstr>
      <vt:lpstr>ProductGroup</vt:lpstr>
      <vt:lpstr>ProductList</vt:lpstr>
      <vt:lpstr>ImportProductPrice</vt:lpstr>
      <vt:lpstr>Movies</vt:lpstr>
      <vt:lpstr>Output</vt:lpstr>
      <vt:lpstr>adj_branch</vt:lpstr>
      <vt:lpstr>adj_branch_id</vt:lpstr>
      <vt:lpstr>adj_chart_account_id</vt:lpstr>
      <vt:lpstr>adj_check_ref_invoice</vt:lpstr>
      <vt:lpstr>adj_code</vt:lpstr>
      <vt:lpstr>adj_column_current_qty</vt:lpstr>
      <vt:lpstr>adj_column_expired_date</vt:lpstr>
      <vt:lpstr>adj_column_location</vt:lpstr>
      <vt:lpstr>adj_column_lots_number</vt:lpstr>
      <vt:lpstr>adj_column_remark</vt:lpstr>
      <vt:lpstr>adj_column_uom</vt:lpstr>
      <vt:lpstr>adj_created_by</vt:lpstr>
      <vt:lpstr>adj_date</vt:lpstr>
      <vt:lpstr>adj_item</vt:lpstr>
      <vt:lpstr>adj_location_group_id</vt:lpstr>
      <vt:lpstr>adj_no</vt:lpstr>
      <vt:lpstr>adj_note</vt:lpstr>
      <vt:lpstr>adj_ref_invoice</vt:lpstr>
      <vt:lpstr>adj_status</vt:lpstr>
      <vt:lpstr>adj_stock_creator</vt:lpstr>
      <vt:lpstr>adj_total_qty</vt:lpstr>
      <vt:lpstr>adj_type</vt:lpstr>
      <vt:lpstr>adj_week</vt:lpstr>
      <vt:lpstr>branch_list</vt:lpstr>
      <vt:lpstr>branch_option</vt:lpstr>
      <vt:lpstr>c_exp_amount_en_paid</vt:lpstr>
      <vt:lpstr>c_exp_amount_kh_paid</vt:lpstr>
      <vt:lpstr>c_exp_branch_id</vt:lpstr>
      <vt:lpstr>c_exp_current_date</vt:lpstr>
      <vt:lpstr>c_exp_description</vt:lpstr>
      <vt:lpstr>c_exp_exchange_rate</vt:lpstr>
      <vt:lpstr>c_exp_module_types_option</vt:lpstr>
      <vt:lpstr>c_exp_qrcode</vt:lpstr>
      <vt:lpstr>c_exp_ref_invoice_no</vt:lpstr>
      <vt:lpstr>c_exp_vendor_id</vt:lpstr>
      <vt:lpstr>c_expense_type_id</vt:lpstr>
      <vt:lpstr>CountStock!c_inv_amount_paid</vt:lpstr>
      <vt:lpstr>CountStock!c_inv_discount</vt:lpstr>
      <vt:lpstr>CountStock!c_inv_discount_type</vt:lpstr>
      <vt:lpstr>CountStock!c_invoice_price_type</vt:lpstr>
      <vt:lpstr>ReportFinancialDetail!c_monthly_exchange_rate_balance_summary_detail</vt:lpstr>
      <vt:lpstr>c_other_expense_no</vt:lpstr>
      <vt:lpstr>c_other_expense_status</vt:lpstr>
      <vt:lpstr>OtherExpense!c_rp_amount_en_paid</vt:lpstr>
      <vt:lpstr>OtherExpense!c_rp_amount_kh_paid</vt:lpstr>
      <vt:lpstr>OtherExpense!c_rp_current_date</vt:lpstr>
      <vt:lpstr>OtherExpense!c_rp_description</vt:lpstr>
      <vt:lpstr>OtherExpense!c_rp_exchange_rate</vt:lpstr>
      <vt:lpstr>OtherExpense!c_rp_invoice_no</vt:lpstr>
      <vt:lpstr>OtherExpense!c_rp_module_types_option</vt:lpstr>
      <vt:lpstr>OtherExpense!c_rp_receipt_no</vt:lpstr>
      <vt:lpstr>OtherExpense!c_rp_status</vt:lpstr>
      <vt:lpstr>cgroup_list</vt:lpstr>
      <vt:lpstr>cgroup_option</vt:lpstr>
      <vt:lpstr>chart_account_default_list</vt:lpstr>
      <vt:lpstr>chart_account_default_list2</vt:lpstr>
      <vt:lpstr>chart_account_default_option</vt:lpstr>
      <vt:lpstr>chart_account_group_list</vt:lpstr>
      <vt:lpstr>chart_account_group_option</vt:lpstr>
      <vt:lpstr>chart_account_list</vt:lpstr>
      <vt:lpstr>chart_account_option</vt:lpstr>
      <vt:lpstr>chart_account_type_list</vt:lpstr>
      <vt:lpstr>chart_account_type_option</vt:lpstr>
      <vt:lpstr>PrintInvoice!Clint_ID</vt:lpstr>
      <vt:lpstr>PrintQuotation!Clint_ID</vt:lpstr>
      <vt:lpstr>col_header</vt:lpstr>
      <vt:lpstr>AddReceivePayment!column_qty_stock</vt:lpstr>
      <vt:lpstr>OtherExpense!column_qty_stock</vt:lpstr>
      <vt:lpstr>company_list</vt:lpstr>
      <vt:lpstr>currency_list</vt:lpstr>
      <vt:lpstr>currency_option</vt:lpstr>
      <vt:lpstr>VendorContact!customer_code_option</vt:lpstr>
      <vt:lpstr>customer_code_option</vt:lpstr>
      <vt:lpstr>VendorContact!customer_code_th</vt:lpstr>
      <vt:lpstr>VendorList!customer_code_th</vt:lpstr>
      <vt:lpstr>customer_code_th</vt:lpstr>
      <vt:lpstr>'( 3)'!Customer_Detail</vt:lpstr>
      <vt:lpstr>customer_list</vt:lpstr>
      <vt:lpstr>VendorContact!customer_name_kh_th</vt:lpstr>
      <vt:lpstr>VendorList!customer_name_kh_th</vt:lpstr>
      <vt:lpstr>customer_name_kh_th</vt:lpstr>
      <vt:lpstr>VendorContact!customer_name_option</vt:lpstr>
      <vt:lpstr>customer_name_option</vt:lpstr>
      <vt:lpstr>'( 3)'!Customer_TIN_Area</vt:lpstr>
      <vt:lpstr>data_input_path</vt:lpstr>
      <vt:lpstr>database_backup_path</vt:lpstr>
      <vt:lpstr>database_path</vt:lpstr>
      <vt:lpstr>'( 3)'!Date</vt:lpstr>
      <vt:lpstr>'( 3)'!Description_Area</vt:lpstr>
      <vt:lpstr>discount_option</vt:lpstr>
      <vt:lpstr>discount_type_option</vt:lpstr>
      <vt:lpstr>eow_1</vt:lpstr>
      <vt:lpstr>'( 3)'!Exchange_Rate</vt:lpstr>
      <vt:lpstr>exchange_rate_date_wbsd</vt:lpstr>
      <vt:lpstr>exchange_rate_list</vt:lpstr>
      <vt:lpstr>exchange_rate_wbsd</vt:lpstr>
      <vt:lpstr>ExchangeRateToday</vt:lpstr>
      <vt:lpstr>exp_alert_to_check_amount</vt:lpstr>
      <vt:lpstr>exp_code</vt:lpstr>
      <vt:lpstr>OtherExpense!exp_member_id</vt:lpstr>
      <vt:lpstr>exp_member_option</vt:lpstr>
      <vt:lpstr>exp_vendor_option</vt:lpstr>
      <vt:lpstr>exp_week</vt:lpstr>
      <vt:lpstr>exp_year</vt:lpstr>
      <vt:lpstr>file_path_list</vt:lpstr>
      <vt:lpstr>file_path_option</vt:lpstr>
      <vt:lpstr>AddReceivePayment!group_member_option_select</vt:lpstr>
      <vt:lpstr>import_pro_branch_id</vt:lpstr>
      <vt:lpstr>import_pro_number_of_price_type</vt:lpstr>
      <vt:lpstr>import_pro_price_type_arr</vt:lpstr>
      <vt:lpstr>ReportFinancialDetail!income_option</vt:lpstr>
      <vt:lpstr>inv_adj_stock_type_option</vt:lpstr>
      <vt:lpstr>inventory_activity_list</vt:lpstr>
      <vt:lpstr>inventory_activity_summary_list</vt:lpstr>
      <vt:lpstr>AddInvoice!invoice_branch</vt:lpstr>
      <vt:lpstr>invoice_branch_id</vt:lpstr>
      <vt:lpstr>invoice_chart_acc_income</vt:lpstr>
      <vt:lpstr>invoice_chart_account_id</vt:lpstr>
      <vt:lpstr>invoice_code</vt:lpstr>
      <vt:lpstr>invoice_column_expired_date</vt:lpstr>
      <vt:lpstr>invoice_column_lote_number</vt:lpstr>
      <vt:lpstr>invoice_column_new_unit_price</vt:lpstr>
      <vt:lpstr>AddInvoice!invoice_column_product</vt:lpstr>
      <vt:lpstr>invoice_column_remark</vt:lpstr>
      <vt:lpstr>AddInvoice!invoice_column_uom</vt:lpstr>
      <vt:lpstr>invoice_column_uom</vt:lpstr>
      <vt:lpstr>AddInvoice!invoice_copy_print_letter_head</vt:lpstr>
      <vt:lpstr>invoice_currency_id</vt:lpstr>
      <vt:lpstr>invoice_currency_symbol</vt:lpstr>
      <vt:lpstr>AddInvoice!invoice_customer</vt:lpstr>
      <vt:lpstr>invoice_customer_id</vt:lpstr>
      <vt:lpstr>invoice_date</vt:lpstr>
      <vt:lpstr>invoice_deposit</vt:lpstr>
      <vt:lpstr>invoice_discount</vt:lpstr>
      <vt:lpstr>invoice_discount_amount</vt:lpstr>
      <vt:lpstr>AddInvoice!invoice_discount_by_item</vt:lpstr>
      <vt:lpstr>invoice_discount_id</vt:lpstr>
      <vt:lpstr>invoice_discount_option</vt:lpstr>
      <vt:lpstr>invoice_discount_percent</vt:lpstr>
      <vt:lpstr>invoice_exchange_rate</vt:lpstr>
      <vt:lpstr>invoice_location</vt:lpstr>
      <vt:lpstr>invoice_location_group_id</vt:lpstr>
      <vt:lpstr>invoice_location_id</vt:lpstr>
      <vt:lpstr>invoice_no</vt:lpstr>
      <vt:lpstr>invoice_note</vt:lpstr>
      <vt:lpstr>invoice_payment_term_id</vt:lpstr>
      <vt:lpstr>invoice_price_type</vt:lpstr>
      <vt:lpstr>invoice_price_type_id</vt:lpstr>
      <vt:lpstr>AddInvoice!invoice_qty</vt:lpstr>
      <vt:lpstr>AddInvoice!invoice_qty_free</vt:lpstr>
      <vt:lpstr>invoice_seller</vt:lpstr>
      <vt:lpstr>invoice_seller_id</vt:lpstr>
      <vt:lpstr>invoice_status</vt:lpstr>
      <vt:lpstr>invoice_sub_total_amount</vt:lpstr>
      <vt:lpstr>invoice_tax_code</vt:lpstr>
      <vt:lpstr>invoice_tax_no</vt:lpstr>
      <vt:lpstr>invoice_total_amount</vt:lpstr>
      <vt:lpstr>invoice_total_dis_item_free</vt:lpstr>
      <vt:lpstr>AddInvoice!invoice_total_price_bf_discount</vt:lpstr>
      <vt:lpstr>invoice_total_vat</vt:lpstr>
      <vt:lpstr>invoice_type_id</vt:lpstr>
      <vt:lpstr>invoice_type_list</vt:lpstr>
      <vt:lpstr>invoice_type_option</vt:lpstr>
      <vt:lpstr>invoice_vat</vt:lpstr>
      <vt:lpstr>AddInvoice!invoice_vat_cal_id</vt:lpstr>
      <vt:lpstr>invoice_vat_chart_acc_id</vt:lpstr>
      <vt:lpstr>invoice_vat_percent</vt:lpstr>
      <vt:lpstr>invoice_week</vt:lpstr>
      <vt:lpstr>iow_1</vt:lpstr>
      <vt:lpstr>CountStock!item_code_invoice</vt:lpstr>
      <vt:lpstr>last_adj_id</vt:lpstr>
      <vt:lpstr>last_invoice_id</vt:lpstr>
      <vt:lpstr>AddPurchaseBill!last_pb_id</vt:lpstr>
      <vt:lpstr>AddQuotation!last_quot_id</vt:lpstr>
      <vt:lpstr>local_system_path</vt:lpstr>
      <vt:lpstr>location_group_list</vt:lpstr>
      <vt:lpstr>location_group_option</vt:lpstr>
      <vt:lpstr>location_option</vt:lpstr>
      <vt:lpstr>module_type_option</vt:lpstr>
      <vt:lpstr>month_kh_option</vt:lpstr>
      <vt:lpstr>nbc_exchange_date</vt:lpstr>
      <vt:lpstr>OtherIncome!oic_amount_due</vt:lpstr>
      <vt:lpstr>OtherIncome!oic_amount_en_paid</vt:lpstr>
      <vt:lpstr>OtherIncome!oic_amount_kh_paid</vt:lpstr>
      <vt:lpstr>OtherIncome!oic_amount_paid_befor</vt:lpstr>
      <vt:lpstr>OtherIncome!oic_amount_paid_over</vt:lpstr>
      <vt:lpstr>OtherIncome!oic_column_qty_stock</vt:lpstr>
      <vt:lpstr>OtherIncome!oic_current_date</vt:lpstr>
      <vt:lpstr>OtherIncome!oic_customer_code</vt:lpstr>
      <vt:lpstr>OtherIncome!oic_customer_id</vt:lpstr>
      <vt:lpstr>OtherIncome!oic_customer_name</vt:lpstr>
      <vt:lpstr>OtherIncome!oic_description</vt:lpstr>
      <vt:lpstr>OtherIncome!oic_exchange_rate</vt:lpstr>
      <vt:lpstr>OtherIncome!oic_expense_type</vt:lpstr>
      <vt:lpstr>OtherIncome!oic_group_member_option_select</vt:lpstr>
      <vt:lpstr>OtherIncome!oic_income_id</vt:lpstr>
      <vt:lpstr>OtherIncome!oic_invoice_no</vt:lpstr>
      <vt:lpstr>OtherIncome!oic_invoice_note</vt:lpstr>
      <vt:lpstr>OtherIncome!oic_invoice_sheet_no</vt:lpstr>
      <vt:lpstr>OtherIncome!oic_last_discount</vt:lpstr>
      <vt:lpstr>OtherIncome!oic_module_types_option</vt:lpstr>
      <vt:lpstr>OtherIncome!oic_option_income_from</vt:lpstr>
      <vt:lpstr>OtherIncome!oic_option_income_type</vt:lpstr>
      <vt:lpstr>OtherIncome!oic_print_area</vt:lpstr>
      <vt:lpstr>OtherIncome!oic_qty_invoice</vt:lpstr>
      <vt:lpstr>OtherIncome!oic_receipt_code</vt:lpstr>
      <vt:lpstr>OtherIncome!oic_receipt_no</vt:lpstr>
      <vt:lpstr>OtherIncome!oic_recipient_id</vt:lpstr>
      <vt:lpstr>OtherIncome!oic_recipient_option</vt:lpstr>
      <vt:lpstr>OtherIncome!oic_status</vt:lpstr>
      <vt:lpstr>OtherIncome!oic_status_note</vt:lpstr>
      <vt:lpstr>OtherIncome!oic_total_amount_paid</vt:lpstr>
      <vt:lpstr>OtherIncome!oic_total_balance</vt:lpstr>
      <vt:lpstr>OtherIncome!oic_total_balance_unpaid</vt:lpstr>
      <vt:lpstr>OtherIncome!oic_week</vt:lpstr>
      <vt:lpstr>one_drive_path</vt:lpstr>
      <vt:lpstr>online_system_path</vt:lpstr>
      <vt:lpstr>VendorContact!option_vendor</vt:lpstr>
      <vt:lpstr>other_exp_branch_option</vt:lpstr>
      <vt:lpstr>other_expense_type_option</vt:lpstr>
      <vt:lpstr>payment_term_list</vt:lpstr>
      <vt:lpstr>payment_term_option</vt:lpstr>
      <vt:lpstr>AddPurchaseBill!pb_branch</vt:lpstr>
      <vt:lpstr>AddPurchaseBill!pb_branch_id</vt:lpstr>
      <vt:lpstr>AddPurchaseBill!pb_chart_account_id</vt:lpstr>
      <vt:lpstr>AddPurchaseBill!pb_code</vt:lpstr>
      <vt:lpstr>pb_column_expired_date</vt:lpstr>
      <vt:lpstr>pb_column_new_unit_cost</vt:lpstr>
      <vt:lpstr>AddPurchaseBill!pb_column_product</vt:lpstr>
      <vt:lpstr>pb_column_remark</vt:lpstr>
      <vt:lpstr>AddPurchaseBill!pb_column_uom</vt:lpstr>
      <vt:lpstr>AddPurchaseBill!pb_copy_print_letter_head</vt:lpstr>
      <vt:lpstr>AddPurchaseBill!pb_copy_print_no_letter_head</vt:lpstr>
      <vt:lpstr>AddPurchaseBill!pb_currency_id</vt:lpstr>
      <vt:lpstr>AddPurchaseBill!pb_currency_symbol</vt:lpstr>
      <vt:lpstr>AddPurchaseBill!pb_date</vt:lpstr>
      <vt:lpstr>AddPurchaseBill!pb_deposit</vt:lpstr>
      <vt:lpstr>AddPurchaseBill!pb_discount</vt:lpstr>
      <vt:lpstr>AddPurchaseBill!pb_discount_amount</vt:lpstr>
      <vt:lpstr>AddPurchaseBill!pb_discount_by_item</vt:lpstr>
      <vt:lpstr>AddPurchaseBill!pb_discount_id</vt:lpstr>
      <vt:lpstr>AddPurchaseBill!pb_discount_option</vt:lpstr>
      <vt:lpstr>AddPurchaseBill!pb_discount_percent</vt:lpstr>
      <vt:lpstr>AddPurchaseBill!pb_exchange_rate</vt:lpstr>
      <vt:lpstr>AddPurchaseBill!pb_location</vt:lpstr>
      <vt:lpstr>pb_location_group_id</vt:lpstr>
      <vt:lpstr>AddPurchaseBill!pb_location_id</vt:lpstr>
      <vt:lpstr>pb_lots_number</vt:lpstr>
      <vt:lpstr>pb_net_days</vt:lpstr>
      <vt:lpstr>AddPurchaseBill!pb_no</vt:lpstr>
      <vt:lpstr>AddPurchaseBill!pb_no_letter_head_qrcode</vt:lpstr>
      <vt:lpstr>AddPurchaseBill!pb_note</vt:lpstr>
      <vt:lpstr>AddPurchaseBill!pb_payment_term_id</vt:lpstr>
      <vt:lpstr>AddPurchaseBill!pb_print_letter_head</vt:lpstr>
      <vt:lpstr>AddPurchaseBill!pb_print_no_letter_head</vt:lpstr>
      <vt:lpstr>pb_purchase_request_no</vt:lpstr>
      <vt:lpstr>AddPurchaseBill!pb_qty</vt:lpstr>
      <vt:lpstr>AddPurchaseBill!pb_qty_free</vt:lpstr>
      <vt:lpstr>pb_ref_invoice</vt:lpstr>
      <vt:lpstr>pb_ref_invoice_date</vt:lpstr>
      <vt:lpstr>AddPurchaseBill!pb_status</vt:lpstr>
      <vt:lpstr>AddPurchaseBill!pb_sub_total_amount</vt:lpstr>
      <vt:lpstr>AddPurchaseBill!pb_total_amount</vt:lpstr>
      <vt:lpstr>AddPurchaseBill!pb_total_dis_item_free</vt:lpstr>
      <vt:lpstr>AddPurchaseBill!pb_total_price_bf_discount</vt:lpstr>
      <vt:lpstr>AddPurchaseBill!pb_total_vat</vt:lpstr>
      <vt:lpstr>AddPurchaseBill!pb_vat</vt:lpstr>
      <vt:lpstr>AddPurchaseBill!pb_vat_cal_id</vt:lpstr>
      <vt:lpstr>AddPurchaseBill!pb_vat_chart_acc_id</vt:lpstr>
      <vt:lpstr>AddPurchaseBill!pb_vat_percent</vt:lpstr>
      <vt:lpstr>AddPurchaseBill!pb_vendor</vt:lpstr>
      <vt:lpstr>AddPurchaseBill!pb_vendor_id</vt:lpstr>
      <vt:lpstr>AddPurchaseBill!pb_week</vt:lpstr>
      <vt:lpstr>position_list</vt:lpstr>
      <vt:lpstr>position_option</vt:lpstr>
      <vt:lpstr>price_type_list</vt:lpstr>
      <vt:lpstr>price_type_option</vt:lpstr>
      <vt:lpstr>PrintInvAdjustment!print_adj_branch_address_kh</vt:lpstr>
      <vt:lpstr>PrintInvAdjustment!print_adj_branch_email</vt:lpstr>
      <vt:lpstr>PrintInvAdjustment!print_adj_branch_telephone</vt:lpstr>
      <vt:lpstr>PrintInvAdjustment!print_adj_code</vt:lpstr>
      <vt:lpstr>PrintInvAdjustment!print_adj_company_name_en</vt:lpstr>
      <vt:lpstr>PrintInvAdjustment!print_adj_company_name_kh</vt:lpstr>
      <vt:lpstr>PrintInvAdjustment!print_adj_company_tin</vt:lpstr>
      <vt:lpstr>PrintInvAdjustment!print_adj_date</vt:lpstr>
      <vt:lpstr>print_adj_exchange_rate</vt:lpstr>
      <vt:lpstr>PrintInvAdjustment!print_adj_items</vt:lpstr>
      <vt:lpstr>PrintInvAdjustment!print_adj_note</vt:lpstr>
      <vt:lpstr>print_adj_reference</vt:lpstr>
      <vt:lpstr>print_adj_total_cost_kh</vt:lpstr>
      <vt:lpstr>print_adj_total_cost_usd</vt:lpstr>
      <vt:lpstr>print_adj_warehouse</vt:lpstr>
      <vt:lpstr>'( 3)'!Print_Area</vt:lpstr>
      <vt:lpstr>'(1 )'!Print_Area</vt:lpstr>
      <vt:lpstr>AddPurchaseBill!Print_Area</vt:lpstr>
      <vt:lpstr>AddReceivePayment!Print_Area</vt:lpstr>
      <vt:lpstr>Branch!Print_Area</vt:lpstr>
      <vt:lpstr>Brand!Print_Area</vt:lpstr>
      <vt:lpstr>CountStock!Print_Area</vt:lpstr>
      <vt:lpstr>CustomerList!Print_Area</vt:lpstr>
      <vt:lpstr>Home!Print_Area</vt:lpstr>
      <vt:lpstr>ImportProductPrice!Print_Area</vt:lpstr>
      <vt:lpstr>OtherExpense!Print_Area</vt:lpstr>
      <vt:lpstr>PrintInvAdjustment!Print_Area</vt:lpstr>
      <vt:lpstr>PrintInvoice!Print_Area</vt:lpstr>
      <vt:lpstr>PrintInvoiceA5!Print_Area</vt:lpstr>
      <vt:lpstr>PrintPurchaseBill!Print_Area</vt:lpstr>
      <vt:lpstr>PrintQuotation!Print_Area</vt:lpstr>
      <vt:lpstr>ProductGroup!Print_Area</vt:lpstr>
      <vt:lpstr>ProductList!Print_Area</vt:lpstr>
      <vt:lpstr>ProductPrice!Print_Area</vt:lpstr>
      <vt:lpstr>ReportFinancialDetail!Print_Area</vt:lpstr>
      <vt:lpstr>ReportInventoryActivitySummary!Print_Area</vt:lpstr>
      <vt:lpstr>Seller!Print_Area</vt:lpstr>
      <vt:lpstr>UoM!Print_Area</vt:lpstr>
      <vt:lpstr>print_inv_account_name</vt:lpstr>
      <vt:lpstr>print_inv_account_no</vt:lpstr>
      <vt:lpstr>print_inv_bank_name</vt:lpstr>
      <vt:lpstr>print_inv_branch_address_kh</vt:lpstr>
      <vt:lpstr>print_inv_branch_email</vt:lpstr>
      <vt:lpstr>print_inv_branch_telephone</vt:lpstr>
      <vt:lpstr>print_inv_brand_address_kh</vt:lpstr>
      <vt:lpstr>print_inv_code</vt:lpstr>
      <vt:lpstr>print_inv_company_name_en</vt:lpstr>
      <vt:lpstr>print_inv_company_name_kh</vt:lpstr>
      <vt:lpstr>print_inv_company_tin</vt:lpstr>
      <vt:lpstr>print_inv_customer_address_kh</vt:lpstr>
      <vt:lpstr>print_inv_customer_email</vt:lpstr>
      <vt:lpstr>print_inv_customer_name_en</vt:lpstr>
      <vt:lpstr>print_inv_customer_name_kh</vt:lpstr>
      <vt:lpstr>print_inv_customer_tel</vt:lpstr>
      <vt:lpstr>print_inv_customer_tin_number</vt:lpstr>
      <vt:lpstr>print_inv_date</vt:lpstr>
      <vt:lpstr>print_inv_due_date</vt:lpstr>
      <vt:lpstr>print_inv_exchange_rate</vt:lpstr>
      <vt:lpstr>print_inv_grand_total</vt:lpstr>
      <vt:lpstr>print_inv_grand_total_kh</vt:lpstr>
      <vt:lpstr>print_inv_items</vt:lpstr>
      <vt:lpstr>print_inv_note</vt:lpstr>
      <vt:lpstr>print_inv_payment_net_days</vt:lpstr>
      <vt:lpstr>print_inv_payment_term_id</vt:lpstr>
      <vt:lpstr>print_inv_sub_total</vt:lpstr>
      <vt:lpstr>print_inv_sub_total_kh</vt:lpstr>
      <vt:lpstr>print_inv_toal_deposit</vt:lpstr>
      <vt:lpstr>print_inv_toal_discount</vt:lpstr>
      <vt:lpstr>print_inv_toal_discount_kh</vt:lpstr>
      <vt:lpstr>print_inv_toal_vat</vt:lpstr>
      <vt:lpstr>PrintPurchaseBill!print_pb_account_name</vt:lpstr>
      <vt:lpstr>PrintPurchaseBill!print_pb_account_no</vt:lpstr>
      <vt:lpstr>PrintPurchaseBill!print_pb_bank_name</vt:lpstr>
      <vt:lpstr>PrintPurchaseBill!print_pb_branch_address_kh</vt:lpstr>
      <vt:lpstr>print_pb_branch_address_kh</vt:lpstr>
      <vt:lpstr>PrintPurchaseBill!print_pb_branch_email</vt:lpstr>
      <vt:lpstr>print_pb_branch_email</vt:lpstr>
      <vt:lpstr>PrintPurchaseBill!print_pb_branch_telephone</vt:lpstr>
      <vt:lpstr>print_pb_branch_telephone</vt:lpstr>
      <vt:lpstr>PrintPurchaseBill!print_pb_brand_address_kh</vt:lpstr>
      <vt:lpstr>PrintPurchaseBill!print_pb_code</vt:lpstr>
      <vt:lpstr>PrintPurchaseBill!print_pb_company_name_en</vt:lpstr>
      <vt:lpstr>PrintPurchaseBill!print_pb_company_name_kh</vt:lpstr>
      <vt:lpstr>PrintPurchaseBill!print_pb_company_tin</vt:lpstr>
      <vt:lpstr>print_pb_company_tin</vt:lpstr>
      <vt:lpstr>PrintPurchaseBill!print_pb_customer_tin_number</vt:lpstr>
      <vt:lpstr>PrintPurchaseBill!print_pb_date</vt:lpstr>
      <vt:lpstr>PrintPurchaseBill!print_pb_due_date</vt:lpstr>
      <vt:lpstr>PrintPurchaseBill!print_pb_exchange_rate</vt:lpstr>
      <vt:lpstr>PrintPurchaseBill!print_pb_grand_total</vt:lpstr>
      <vt:lpstr>PrintPurchaseBill!print_pb_grand_total_kh</vt:lpstr>
      <vt:lpstr>PrintPurchaseBill!print_pb_items</vt:lpstr>
      <vt:lpstr>PrintPurchaseBill!print_pb_note</vt:lpstr>
      <vt:lpstr>PrintPurchaseBill!print_pb_payment_net_days</vt:lpstr>
      <vt:lpstr>print_pb_payment_net_days</vt:lpstr>
      <vt:lpstr>PrintPurchaseBill!print_pb_payment_term_id</vt:lpstr>
      <vt:lpstr>print_pb_payment_term_id</vt:lpstr>
      <vt:lpstr>PrintPurchaseBill!print_pb_sub_total</vt:lpstr>
      <vt:lpstr>PrintPurchaseBill!print_pb_sub_total_kh</vt:lpstr>
      <vt:lpstr>PrintPurchaseBill!print_pb_toal_deposit</vt:lpstr>
      <vt:lpstr>PrintPurchaseBill!print_pb_toal_discount</vt:lpstr>
      <vt:lpstr>PrintPurchaseBill!print_pb_toal_discount_kh</vt:lpstr>
      <vt:lpstr>PrintPurchaseBill!print_pb_toal_vat</vt:lpstr>
      <vt:lpstr>PrintPurchaseBill!print_pb_vendor_address_kh</vt:lpstr>
      <vt:lpstr>PrintPurchaseBill!print_pb_vendor_email</vt:lpstr>
      <vt:lpstr>PrintPurchaseBill!print_pb_vendor_name_en</vt:lpstr>
      <vt:lpstr>PrintPurchaseBill!print_pb_vendor_name_kh</vt:lpstr>
      <vt:lpstr>PrintPurchaseBill!print_pb_vendor_tel</vt:lpstr>
      <vt:lpstr>print_pb_vendor_tin_number</vt:lpstr>
      <vt:lpstr>PrintQuotation!print_quote_account_name</vt:lpstr>
      <vt:lpstr>PrintQuotation!print_quote_account_no</vt:lpstr>
      <vt:lpstr>PrintQuotation!print_quote_bank_name</vt:lpstr>
      <vt:lpstr>PrintQuotation!print_quote_branch_address_kh</vt:lpstr>
      <vt:lpstr>PrintQuotation!print_quote_branch_email</vt:lpstr>
      <vt:lpstr>PrintQuotation!print_quote_branch_telephone</vt:lpstr>
      <vt:lpstr>PrintQuotation!print_quote_brand_address_kh</vt:lpstr>
      <vt:lpstr>PrintQuotation!print_quote_code</vt:lpstr>
      <vt:lpstr>PrintQuotation!print_quote_company_name_en</vt:lpstr>
      <vt:lpstr>PrintQuotation!print_quote_company_name_kh</vt:lpstr>
      <vt:lpstr>PrintQuotation!print_quote_company_tin</vt:lpstr>
      <vt:lpstr>PrintQuotation!print_quote_customer_address_kh</vt:lpstr>
      <vt:lpstr>PrintQuotation!print_quote_customer_email</vt:lpstr>
      <vt:lpstr>PrintQuotation!print_quote_customer_name_en</vt:lpstr>
      <vt:lpstr>PrintQuotation!print_quote_customer_name_kh</vt:lpstr>
      <vt:lpstr>PrintQuotation!print_quote_customer_tel</vt:lpstr>
      <vt:lpstr>PrintQuotation!print_quote_customer_tin_number</vt:lpstr>
      <vt:lpstr>PrintQuotation!print_quote_date</vt:lpstr>
      <vt:lpstr>PrintQuotation!print_quote_exchange_rate</vt:lpstr>
      <vt:lpstr>PrintQuotation!print_quote_grand_total</vt:lpstr>
      <vt:lpstr>PrintQuotation!print_quote_grand_total_kh</vt:lpstr>
      <vt:lpstr>PrintQuotation!print_quote_items</vt:lpstr>
      <vt:lpstr>PrintQuotation!print_quote_note</vt:lpstr>
      <vt:lpstr>PrintQuotation!print_quote_sub_total</vt:lpstr>
      <vt:lpstr>PrintQuotation!print_quote_toal_deposit</vt:lpstr>
      <vt:lpstr>PrintQuotation!print_quote_toal_discount</vt:lpstr>
      <vt:lpstr>PrintQuotation!print_quote_toal_vat</vt:lpstr>
      <vt:lpstr>AddInvoice!Print_Titles</vt:lpstr>
      <vt:lpstr>AddPurchaseBill!Print_Titles</vt:lpstr>
      <vt:lpstr>AddQuotation!Print_Titles</vt:lpstr>
      <vt:lpstr>PrintInvAdjustment!Print_Titles</vt:lpstr>
      <vt:lpstr>PrintInvoice!Print_Titles</vt:lpstr>
      <vt:lpstr>PrintInvoiceA5!Print_Titles</vt:lpstr>
      <vt:lpstr>PrintPurchaseBill!Print_Titles</vt:lpstr>
      <vt:lpstr>PrintQuotation!Print_Titles</vt:lpstr>
      <vt:lpstr>ProductList!Print_Titles</vt:lpstr>
      <vt:lpstr>ProductPrice!Print_Titles</vt:lpstr>
      <vt:lpstr>UoM!Print_Titles</vt:lpstr>
      <vt:lpstr>ImportProductPrice!product_barcode_list</vt:lpstr>
      <vt:lpstr>product_barcode_list</vt:lpstr>
      <vt:lpstr>product_brand_list</vt:lpstr>
      <vt:lpstr>product_brand_option</vt:lpstr>
      <vt:lpstr>product_currency</vt:lpstr>
      <vt:lpstr>product_group_list</vt:lpstr>
      <vt:lpstr>product_group_option</vt:lpstr>
      <vt:lpstr>ImportProductPrice!product_list</vt:lpstr>
      <vt:lpstr>product_list</vt:lpstr>
      <vt:lpstr>ImportProductPrice!product_list_second</vt:lpstr>
      <vt:lpstr>product_list_second</vt:lpstr>
      <vt:lpstr>ImportProductPrice!product_name_option</vt:lpstr>
      <vt:lpstr>product_name_option</vt:lpstr>
      <vt:lpstr>ImportProductPrice!product_name_th</vt:lpstr>
      <vt:lpstr>product_name_th</vt:lpstr>
      <vt:lpstr>product_price_branch_id</vt:lpstr>
      <vt:lpstr>product_price_input_by_uom_list</vt:lpstr>
      <vt:lpstr>product_price_input_range</vt:lpstr>
      <vt:lpstr>product_price_list</vt:lpstr>
      <vt:lpstr>product_price_name</vt:lpstr>
      <vt:lpstr>product_price_pcode</vt:lpstr>
      <vt:lpstr>product_price_pid</vt:lpstr>
      <vt:lpstr>product_price_pname</vt:lpstr>
      <vt:lpstr>product_price_small_val_uom</vt:lpstr>
      <vt:lpstr>product_price_uom</vt:lpstr>
      <vt:lpstr>product_price_uom_id</vt:lpstr>
      <vt:lpstr>PrintInvAdjustment!qr_code_adj</vt:lpstr>
      <vt:lpstr>qr_code_invoice</vt:lpstr>
      <vt:lpstr>PrintPurchaseBill!qr_code_pb</vt:lpstr>
      <vt:lpstr>PrintQuotation!qr_code_quote</vt:lpstr>
      <vt:lpstr>AddReceivePayment!qty_invoice</vt:lpstr>
      <vt:lpstr>CountStock!qty_invoice</vt:lpstr>
      <vt:lpstr>OtherExpense!qty_invoice</vt:lpstr>
      <vt:lpstr>AddQuotation!quot_branch</vt:lpstr>
      <vt:lpstr>AddQuotation!quot_branch_id</vt:lpstr>
      <vt:lpstr>AddQuotation!quot_code</vt:lpstr>
      <vt:lpstr>AddQuotation!quot_column_expired_date</vt:lpstr>
      <vt:lpstr>AddQuotation!quot_column_lote_number</vt:lpstr>
      <vt:lpstr>AddQuotation!quot_column_new_unit_price</vt:lpstr>
      <vt:lpstr>AddQuotation!quot_column_product</vt:lpstr>
      <vt:lpstr>AddQuotation!quot_column_remark</vt:lpstr>
      <vt:lpstr>AddQuotation!quot_column_uom</vt:lpstr>
      <vt:lpstr>AddQuotation!quot_copy_print_letter_head</vt:lpstr>
      <vt:lpstr>AddQuotation!quot_currency_id</vt:lpstr>
      <vt:lpstr>AddQuotation!quot_currency_symbol</vt:lpstr>
      <vt:lpstr>AddQuotation!quot_customer</vt:lpstr>
      <vt:lpstr>AddQuotation!quot_customer_id</vt:lpstr>
      <vt:lpstr>AddQuotation!quot_date</vt:lpstr>
      <vt:lpstr>AddQuotation!quot_deposit</vt:lpstr>
      <vt:lpstr>AddQuotation!quot_discount</vt:lpstr>
      <vt:lpstr>AddQuotation!quot_discount_amount</vt:lpstr>
      <vt:lpstr>AddQuotation!quot_discount_by_item</vt:lpstr>
      <vt:lpstr>AddQuotation!quot_discount_id</vt:lpstr>
      <vt:lpstr>AddQuotation!quot_discount_option</vt:lpstr>
      <vt:lpstr>AddQuotation!quot_discount_percent</vt:lpstr>
      <vt:lpstr>AddQuotation!quot_exchange_rate</vt:lpstr>
      <vt:lpstr>AddQuotation!quot_location</vt:lpstr>
      <vt:lpstr>AddQuotation!quot_location_group_id</vt:lpstr>
      <vt:lpstr>AddQuotation!quot_location_id</vt:lpstr>
      <vt:lpstr>AddQuotation!quot_no</vt:lpstr>
      <vt:lpstr>AddQuotation!quot_note</vt:lpstr>
      <vt:lpstr>AddQuotation!quot_price_type</vt:lpstr>
      <vt:lpstr>AddQuotation!quot_price_type_id</vt:lpstr>
      <vt:lpstr>AddQuotation!quot_qty</vt:lpstr>
      <vt:lpstr>AddQuotation!quot_qty_free</vt:lpstr>
      <vt:lpstr>AddQuotation!quot_seller</vt:lpstr>
      <vt:lpstr>AddQuotation!quot_seller_id</vt:lpstr>
      <vt:lpstr>quot_service_type</vt:lpstr>
      <vt:lpstr>AddQuotation!quot_service_type_id</vt:lpstr>
      <vt:lpstr>quot_ship_telephone</vt:lpstr>
      <vt:lpstr>quot_ship_to</vt:lpstr>
      <vt:lpstr>AddQuotation!quot_status</vt:lpstr>
      <vt:lpstr>AddQuotation!quot_sub_total_amount</vt:lpstr>
      <vt:lpstr>AddQuotation!quot_tax_code</vt:lpstr>
      <vt:lpstr>AddQuotation!quot_tax_no</vt:lpstr>
      <vt:lpstr>AddQuotation!quot_total_amount</vt:lpstr>
      <vt:lpstr>AddQuotation!quot_total_dis_item_free</vt:lpstr>
      <vt:lpstr>AddQuotation!quot_total_price_bf_discount</vt:lpstr>
      <vt:lpstr>AddQuotation!quot_total_vat</vt:lpstr>
      <vt:lpstr>AddQuotation!quot_vat</vt:lpstr>
      <vt:lpstr>AddQuotation!quot_vat_cal_id</vt:lpstr>
      <vt:lpstr>AddQuotation!quot_vat_chart_acc_id</vt:lpstr>
      <vt:lpstr>AddQuotation!quot_vat_percent</vt:lpstr>
      <vt:lpstr>AddQuotation!quot_week</vt:lpstr>
      <vt:lpstr>AddInvoice!quote_total_dis_item_free</vt:lpstr>
      <vt:lpstr>AddQuotation!quote_total_dis_item_free</vt:lpstr>
      <vt:lpstr>'( 3)'!Reference_Area</vt:lpstr>
      <vt:lpstr>rp_amount_change_en</vt:lpstr>
      <vt:lpstr>rp_amount_change_kh</vt:lpstr>
      <vt:lpstr>rp_amount_due</vt:lpstr>
      <vt:lpstr>rp_amount_paid_before</vt:lpstr>
      <vt:lpstr>rp_amount_paid_en</vt:lpstr>
      <vt:lpstr>rp_amount_paid_kh</vt:lpstr>
      <vt:lpstr>rp_branch</vt:lpstr>
      <vt:lpstr>rp_chart_account</vt:lpstr>
      <vt:lpstr>rp_chart_account_id</vt:lpstr>
      <vt:lpstr>rp_currency_id</vt:lpstr>
      <vt:lpstr>rp_currency_symbol</vt:lpstr>
      <vt:lpstr>rp_current_date</vt:lpstr>
      <vt:lpstr>rp_customer_code</vt:lpstr>
      <vt:lpstr>rp_customer_id</vt:lpstr>
      <vt:lpstr>rp_customer_name</vt:lpstr>
      <vt:lpstr>rp_description</vt:lpstr>
      <vt:lpstr>rp_discount_en</vt:lpstr>
      <vt:lpstr>rp_discount_kh</vt:lpstr>
      <vt:lpstr>rp_exchange_rate</vt:lpstr>
      <vt:lpstr>rp_invoice_code</vt:lpstr>
      <vt:lpstr>rp_invoice_date</vt:lpstr>
      <vt:lpstr>rp_invoice_id</vt:lpstr>
      <vt:lpstr>rp_invoice_no</vt:lpstr>
      <vt:lpstr>rp_last_discount</vt:lpstr>
      <vt:lpstr>rp_last_discount_en</vt:lpstr>
      <vt:lpstr>rp_last_discount_kh</vt:lpstr>
      <vt:lpstr>rp_location_group_id</vt:lpstr>
      <vt:lpstr>rp_location_id</vt:lpstr>
      <vt:lpstr>rp_module_types_option</vt:lpstr>
      <vt:lpstr>OtherExpense!rp_option_income_from</vt:lpstr>
      <vt:lpstr>OtherExpense!rp_option_income_type</vt:lpstr>
      <vt:lpstr>rp_payment_net_days</vt:lpstr>
      <vt:lpstr>rp_payment_term_id</vt:lpstr>
      <vt:lpstr>rp_print_receipt</vt:lpstr>
      <vt:lpstr>rp_receipt_code</vt:lpstr>
      <vt:lpstr>rp_receipt_no</vt:lpstr>
      <vt:lpstr>rp_recipient_id</vt:lpstr>
      <vt:lpstr>rp_recipient_option</vt:lpstr>
      <vt:lpstr>rp_status</vt:lpstr>
      <vt:lpstr>rp_status_note</vt:lpstr>
      <vt:lpstr>rp_total_amount_paid</vt:lpstr>
      <vt:lpstr>rp_total_balance</vt:lpstr>
      <vt:lpstr>rp_total_balance_unpaid</vt:lpstr>
      <vt:lpstr>rp_total_change</vt:lpstr>
      <vt:lpstr>rp_total_discount</vt:lpstr>
      <vt:lpstr>rp_total_last_discount</vt:lpstr>
      <vt:lpstr>rp_total_paid</vt:lpstr>
      <vt:lpstr>rp_week</vt:lpstr>
      <vt:lpstr>saller_list</vt:lpstr>
      <vt:lpstr>saller_option</vt:lpstr>
      <vt:lpstr>ship_to_list</vt:lpstr>
      <vt:lpstr>ship_to_option</vt:lpstr>
      <vt:lpstr>uom_con_array_con_id</vt:lpstr>
      <vt:lpstr>uom_con_array_value</vt:lpstr>
      <vt:lpstr>uom_con_main_uom</vt:lpstr>
      <vt:lpstr>uom_con_main_uom_id</vt:lpstr>
      <vt:lpstr>uom_con_middle_uom</vt:lpstr>
      <vt:lpstr>uom_con_middle_uom_id</vt:lpstr>
      <vt:lpstr>uom_con_middle_value_uom</vt:lpstr>
      <vt:lpstr>uom_con_small_uom</vt:lpstr>
      <vt:lpstr>uom_con_small_uom_id</vt:lpstr>
      <vt:lpstr>uom_con_small_value_uom</vt:lpstr>
      <vt:lpstr>uom_converion_list</vt:lpstr>
      <vt:lpstr>uom_list</vt:lpstr>
      <vt:lpstr>uom_option</vt:lpstr>
      <vt:lpstr>uom_type_option</vt:lpstr>
      <vt:lpstr>vat_list</vt:lpstr>
      <vt:lpstr>vat_option</vt:lpstr>
      <vt:lpstr>'( 3)'!VATRATE</vt:lpstr>
      <vt:lpstr>'(1 )'!VATRATE</vt:lpstr>
      <vt:lpstr>vendor_list</vt:lpstr>
      <vt:lpstr>vendor_option</vt:lpstr>
      <vt:lpstr>week_list</vt:lpstr>
      <vt:lpstr>week_option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ASUS</dc:creator>
  <cp:keywords/>
  <dc:description/>
  <cp:lastModifiedBy>Bou Panha</cp:lastModifiedBy>
  <cp:revision/>
  <cp:lastPrinted>2026-09-25T23:20:41Z</cp:lastPrinted>
  <dcterms:created xsi:type="dcterms:W3CDTF">2019-10-05T07:51:15Z</dcterms:created>
  <dcterms:modified xsi:type="dcterms:W3CDTF">2026-10-12T05:01:07Z</dcterms:modified>
  <cp:category/>
  <cp:contentStatus/>
</cp:coreProperties>
</file>